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4.xml" ContentType="application/vnd.ms-excel.threaded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H:\Pensions\LGERS\2021 Template (2022FY)\"/>
    </mc:Choice>
  </mc:AlternateContent>
  <xr:revisionPtr revIDLastSave="0" documentId="13_ncr:1_{82FCA8D7-3DBF-49B3-B07A-E258CC9AF7B1}" xr6:coauthVersionLast="47" xr6:coauthVersionMax="47" xr10:uidLastSave="{00000000-0000-0000-0000-000000000000}"/>
  <bookViews>
    <workbookView xWindow="-120" yWindow="-120" windowWidth="29040" windowHeight="15840" tabRatio="910" xr2:uid="{00000000-000D-0000-FFFF-FFFF00000000}"/>
  </bookViews>
  <sheets>
    <sheet name="Info" sheetId="12" r:id="rId1"/>
    <sheet name="Changes to Update Template " sheetId="24" state="hidden" r:id="rId2"/>
    <sheet name="JE Template 2021" sheetId="18" r:id="rId3"/>
    <sheet name="2022 summary" sheetId="34" r:id="rId4"/>
    <sheet name="2021 summary" sheetId="27" r:id="rId5"/>
    <sheet name="2020 summary" sheetId="25" r:id="rId6"/>
    <sheet name="2019 summary" sheetId="16" state="hidden" r:id="rId7"/>
    <sheet name="2018 summary" sheetId="17" state="hidden" r:id="rId8"/>
    <sheet name="2017 summary" sheetId="21" state="hidden" r:id="rId9"/>
    <sheet name="LGERS Contributions FY 2021" sheetId="33" r:id="rId10"/>
    <sheet name="LGERS Contributions FY 2020" sheetId="28" r:id="rId11"/>
    <sheet name="LGERS Contributions FY 2019" sheetId="26" state="hidden" r:id="rId12"/>
    <sheet name="LGERS Contributions FY 2018" sheetId="19" state="hidden" r:id="rId13"/>
    <sheet name="LGERS Contributions FY 2017" sheetId="22" state="hidden" r:id="rId14"/>
    <sheet name="Deferred Amort MD 06-30-21" sheetId="31" r:id="rId15"/>
    <sheet name="Deferred Amort MD 6-30-20" sheetId="29" r:id="rId16"/>
    <sheet name="Deferred Amort MD 6-30-19" sheetId="20" state="hidden" r:id="rId17"/>
  </sheets>
  <externalReferences>
    <externalReference r:id="rId18"/>
    <externalReference r:id="rId19"/>
  </externalReferences>
  <definedNames>
    <definedName name="_xlnm._FilterDatabase" localSheetId="6" hidden="1">'2019 summary'!$A$7:$T$927</definedName>
    <definedName name="_xlnm._FilterDatabase" localSheetId="5" hidden="1">'2020 summary'!$A$7:$T$927</definedName>
    <definedName name="_xlnm._FilterDatabase" localSheetId="4" hidden="1">'2021 summary'!$A$7:$T$924</definedName>
    <definedName name="_xlnm._FilterDatabase" localSheetId="3" hidden="1">'2022 summary'!$A$7:$U$957</definedName>
    <definedName name="_xlnm._FilterDatabase" localSheetId="15" hidden="1">'Deferred Amort MD 6-30-20'!$A$7:$CN$923</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8">#REF!</definedName>
    <definedName name="AgencyCode" localSheetId="7">#REF!</definedName>
    <definedName name="AgencyCode" localSheetId="16">#REF!</definedName>
    <definedName name="AgencyCode" localSheetId="15">#REF!</definedName>
    <definedName name="AgencyCode" localSheetId="0">#REF!</definedName>
    <definedName name="AgencyCode" localSheetId="2">#REF!</definedName>
    <definedName name="AgencyCode">#REF!</definedName>
    <definedName name="AgencyCode1" localSheetId="2">#REF!</definedName>
    <definedName name="AgencyCode1">#REF!</definedName>
    <definedName name="AnalystGASB">[1]DeveloperInfo!$D$20</definedName>
    <definedName name="Annuity" localSheetId="8">#REF!</definedName>
    <definedName name="Annuity" localSheetId="7">#REF!</definedName>
    <definedName name="Annuity" localSheetId="16">#REF!</definedName>
    <definedName name="Annuity" localSheetId="15">#REF!</definedName>
    <definedName name="Annuity" localSheetId="0">#REF!</definedName>
    <definedName name="Annuity" localSheetId="2">#REF!</definedName>
    <definedName name="Annuity">#REF!</definedName>
    <definedName name="Annuity1" localSheetId="2">#REF!</definedName>
    <definedName name="Annuity1">#REF!</definedName>
    <definedName name="AnnuityLY" localSheetId="8">#REF!</definedName>
    <definedName name="AnnuityLY" localSheetId="7">#REF!</definedName>
    <definedName name="AnnuityLY" localSheetId="16">#REF!</definedName>
    <definedName name="AnnuityLY" localSheetId="15">#REF!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8">#REF!</definedName>
    <definedName name="EmployerRates" localSheetId="7">#REF!</definedName>
    <definedName name="EmployerRates" localSheetId="16">#REF!</definedName>
    <definedName name="EmployerRates" localSheetId="15">#REF!</definedName>
    <definedName name="EmployerRates" localSheetId="0">#REF!</definedName>
    <definedName name="EmployerRates" localSheetId="2">#REF!</definedName>
    <definedName name="EmployerRates">#REF!</definedName>
    <definedName name="EmployerRates1" localSheetId="2">#REF!</definedName>
    <definedName name="EmployerRates1">#REF!</definedName>
    <definedName name="EmployerRatesLEO" localSheetId="8">#REF!</definedName>
    <definedName name="EmployerRatesLEO" localSheetId="7">#REF!</definedName>
    <definedName name="EmployerRatesLEO" localSheetId="16">#REF!</definedName>
    <definedName name="EmployerRatesLEO" localSheetId="15">#REF!</definedName>
    <definedName name="EmployerRatesLEO" localSheetId="0">#REF!</definedName>
    <definedName name="EmployerRatesLEO" localSheetId="2">#REF!</definedName>
    <definedName name="EmployerRatesLEO">#REF!</definedName>
    <definedName name="EmployerRatesLEO1" localSheetId="2">#REF!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8">#REF!</definedName>
    <definedName name="Pension" localSheetId="7">#REF!</definedName>
    <definedName name="Pension" localSheetId="16">#REF!</definedName>
    <definedName name="Pension" localSheetId="15">#REF!</definedName>
    <definedName name="Pension" localSheetId="0">#REF!</definedName>
    <definedName name="Pension" localSheetId="2">#REF!</definedName>
    <definedName name="Pension">#REF!</definedName>
    <definedName name="Pension1" localSheetId="2">#REF!</definedName>
    <definedName name="Pension1">#REF!</definedName>
    <definedName name="PensionLY" localSheetId="8">#REF!</definedName>
    <definedName name="PensionLY" localSheetId="7">#REF!</definedName>
    <definedName name="PensionLY" localSheetId="16">#REF!</definedName>
    <definedName name="PensionLY" localSheetId="15">#REF!</definedName>
    <definedName name="PensionLY" localSheetId="2">#REF!</definedName>
    <definedName name="PensionLY">#REF!</definedName>
    <definedName name="PlanNameLongGASB">[1]DeveloperInfo!$D$7</definedName>
    <definedName name="PlanNameShortGASB">[1]DeveloperInfo!$D$8</definedName>
    <definedName name="_xlnm.Print_Area" localSheetId="16">'Deferred Amort MD 6-30-19'!$A$6:$AM$915</definedName>
    <definedName name="_xlnm.Print_Area" localSheetId="15">'Deferred Amort MD 6-30-20'!$A$6:$AM$915</definedName>
    <definedName name="_xlnm.Print_Area" localSheetId="2">'JE Template 2021'!$A$30:$G$57</definedName>
    <definedName name="_xlnm.Print_Titles" localSheetId="8">'2017 summary'!$6:$7</definedName>
    <definedName name="_xlnm.Print_Titles" localSheetId="7">'2018 summary'!$6:$7</definedName>
    <definedName name="_xlnm.Print_Titles" localSheetId="16">'Deferred Amort MD 6-30-19'!$A:$D,'Deferred Amort MD 6-30-19'!$6:$7</definedName>
    <definedName name="_xlnm.Print_Titles" localSheetId="15">'Deferred Amort MD 6-30-20'!$A:$D,'Deferred Amort MD 6-30-20'!$6:$7</definedName>
    <definedName name="ProjDisc?">[1]DeveloperInfo!$D$65</definedName>
    <definedName name="ProValResults" localSheetId="8">#REF!</definedName>
    <definedName name="ProValResults" localSheetId="7">#REF!</definedName>
    <definedName name="ProValResults" localSheetId="16">#REF!</definedName>
    <definedName name="ProValResults" localSheetId="15">#REF!</definedName>
    <definedName name="ProValResults" localSheetId="0">#REF!</definedName>
    <definedName name="ProValResults" localSheetId="2">#REF!</definedName>
    <definedName name="ProValResults">#REF!</definedName>
    <definedName name="ProValResults1" localSheetId="2">#REF!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8">#REF!</definedName>
    <definedName name="TableData" localSheetId="7">#REF!</definedName>
    <definedName name="TableData" localSheetId="16">#REF!</definedName>
    <definedName name="TableData" localSheetId="15">#REF!</definedName>
    <definedName name="TableData" localSheetId="0">#REF!</definedName>
    <definedName name="TableData" localSheetId="2">#REF!</definedName>
    <definedName name="TableData">#REF!</definedName>
    <definedName name="TableData1" localSheetId="2">#REF!</definedName>
    <definedName name="TableData1">#REF!</definedName>
    <definedName name="Total_Summary_Data" localSheetId="4">'2021 summary'!$A$9:$T$924</definedName>
    <definedName name="Total_Summary_Data" localSheetId="3">'2022 summary'!$A$9:$U$957</definedName>
    <definedName name="Total_Summary_Data">'2020 summary'!$A$8:$T$927</definedName>
    <definedName name="Type" localSheetId="8">#REF!</definedName>
    <definedName name="Type" localSheetId="7">#REF!</definedName>
    <definedName name="Type" localSheetId="16">#REF!</definedName>
    <definedName name="Type" localSheetId="15">#REF!</definedName>
    <definedName name="Type" localSheetId="2">#REF!</definedName>
    <definedName name="Type">#REF!</definedName>
    <definedName name="TypeAnnuity" localSheetId="8">#REF!</definedName>
    <definedName name="TypeAnnuity" localSheetId="7">#REF!</definedName>
    <definedName name="TypeAnnuity" localSheetId="16">#REF!</definedName>
    <definedName name="TypeAnnuity" localSheetId="15">#REF!</definedName>
    <definedName name="TypeAnnuity" localSheetId="0">#REF!</definedName>
    <definedName name="TypeAnnuity" localSheetId="2">#REF!</definedName>
    <definedName name="TypeAnnuity">#REF!</definedName>
    <definedName name="TypeAnnuity1" localSheetId="2">#REF!</definedName>
    <definedName name="TypeAnnuity1">#REF!</definedName>
    <definedName name="TypePension" localSheetId="8">#REF!</definedName>
    <definedName name="TypePension" localSheetId="7">#REF!</definedName>
    <definedName name="TypePension" localSheetId="16">#REF!</definedName>
    <definedName name="TypePension" localSheetId="15">#REF!</definedName>
    <definedName name="TypePension" localSheetId="0">#REF!</definedName>
    <definedName name="TypePension" localSheetId="2">#REF!</definedName>
    <definedName name="TypePension">#REF!</definedName>
    <definedName name="TypePension1" localSheetId="2">#REF!</definedName>
    <definedName name="TypePension1">#REF!</definedName>
    <definedName name="UnfundedData" localSheetId="8">#REF!</definedName>
    <definedName name="UnfundedData" localSheetId="7">#REF!</definedName>
    <definedName name="UnfundedData" localSheetId="16">#REF!</definedName>
    <definedName name="UnfundedData" localSheetId="15">#REF!</definedName>
    <definedName name="UnfundedData" localSheetId="0">#REF!</definedName>
    <definedName name="UnfundedData" localSheetId="2">#REF!</definedName>
    <definedName name="UnfundedData">#REF!</definedName>
    <definedName name="UnfundedData1" localSheetId="2">#REF!</definedName>
    <definedName name="UnfundedData1">#REF!</definedName>
    <definedName name="UnfundedLY" localSheetId="8">#REF!</definedName>
    <definedName name="UnfundedLY" localSheetId="7">#REF!</definedName>
    <definedName name="UnfundedLY" localSheetId="16">#REF!</definedName>
    <definedName name="UnfundedLY" localSheetId="15">#REF!</definedName>
    <definedName name="UnfundedLY" localSheetId="0">#REF!</definedName>
    <definedName name="UnfundedLY" localSheetId="2">#REF!</definedName>
    <definedName name="UnfundedLY">#REF!</definedName>
    <definedName name="UnfundedLY1" localSheetId="2">#REF!</definedName>
    <definedName name="UnfundedLY1">#REF!</definedName>
    <definedName name="UnfundedLYLEO1" localSheetId="2">#REF!</definedName>
    <definedName name="UnfundedLYLEO1">#REF!</definedName>
    <definedName name="UnfunedLYLEO" localSheetId="8">#REF!</definedName>
    <definedName name="UnfunedLYLEO" localSheetId="7">#REF!</definedName>
    <definedName name="UnfunedLYLEO" localSheetId="16">#REF!</definedName>
    <definedName name="UnfunedLYLEO" localSheetId="15">#REF!</definedName>
    <definedName name="UnfunedLYLEO" localSheetId="0">#REF!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 i="12" l="1"/>
  <c r="C23" i="12"/>
  <c r="X3" i="34" l="1"/>
  <c r="W3" i="34"/>
  <c r="V3" i="34"/>
  <c r="U3" i="34"/>
  <c r="V19" i="18" s="1"/>
  <c r="T3" i="34"/>
  <c r="U19" i="18" s="1"/>
  <c r="S3" i="34"/>
  <c r="T19" i="18" s="1"/>
  <c r="R3" i="34"/>
  <c r="Q3" i="34"/>
  <c r="P3" i="34"/>
  <c r="R19" i="18" s="1"/>
  <c r="O3" i="34"/>
  <c r="Q19" i="18" s="1"/>
  <c r="N3" i="34"/>
  <c r="P19" i="18" s="1"/>
  <c r="M3" i="34"/>
  <c r="O19" i="18" s="1"/>
  <c r="L3" i="34"/>
  <c r="K3" i="34"/>
  <c r="J3" i="34"/>
  <c r="M19" i="18" s="1"/>
  <c r="I3" i="34"/>
  <c r="L19" i="18" s="1"/>
  <c r="H3" i="34"/>
  <c r="K19" i="18" s="1"/>
  <c r="G3" i="34"/>
  <c r="J19" i="18" s="1"/>
  <c r="E3" i="34"/>
  <c r="H19" i="18" s="1"/>
  <c r="AR2" i="31" l="1"/>
  <c r="AQ2" i="31"/>
  <c r="AP2" i="31"/>
  <c r="AO2" i="31"/>
  <c r="AN2" i="31"/>
  <c r="E2" i="31"/>
  <c r="AM2" i="31"/>
  <c r="AL2" i="31"/>
  <c r="AK2" i="31"/>
  <c r="AJ2" i="31"/>
  <c r="AI2" i="31"/>
  <c r="AH2" i="31"/>
  <c r="AG2" i="31"/>
  <c r="AF2" i="31"/>
  <c r="AE2" i="31"/>
  <c r="AD2" i="31"/>
  <c r="AC2" i="31"/>
  <c r="AB2" i="31"/>
  <c r="AA2" i="31"/>
  <c r="Z2" i="31"/>
  <c r="Y2" i="31"/>
  <c r="X2" i="31"/>
  <c r="W2" i="31"/>
  <c r="V2" i="31"/>
  <c r="U2" i="31"/>
  <c r="T2" i="31"/>
  <c r="S2" i="31"/>
  <c r="R2" i="31"/>
  <c r="Q2" i="31"/>
  <c r="P2" i="31"/>
  <c r="O2" i="31"/>
  <c r="N2" i="31"/>
  <c r="M2" i="31"/>
  <c r="L2" i="31"/>
  <c r="K2" i="31"/>
  <c r="J2" i="31"/>
  <c r="I2" i="31"/>
  <c r="H2" i="31"/>
  <c r="G2" i="31"/>
  <c r="F2" i="31"/>
  <c r="C2" i="31"/>
  <c r="AP920" i="31"/>
  <c r="AO920" i="31"/>
  <c r="AN920" i="31"/>
  <c r="AL920" i="31"/>
  <c r="AI920" i="31"/>
  <c r="AH920" i="31"/>
  <c r="AG920" i="31"/>
  <c r="AE920" i="31"/>
  <c r="AB920" i="31"/>
  <c r="AA920" i="31"/>
  <c r="Z920" i="31"/>
  <c r="X920" i="31"/>
  <c r="V920" i="31"/>
  <c r="U920" i="31"/>
  <c r="T920" i="31"/>
  <c r="S920" i="31"/>
  <c r="Q920" i="31"/>
  <c r="N920" i="31"/>
  <c r="M920" i="31"/>
  <c r="L920" i="31"/>
  <c r="J920" i="31"/>
  <c r="H920" i="31"/>
  <c r="G920" i="31"/>
  <c r="F920" i="31"/>
  <c r="E920" i="31"/>
  <c r="C920" i="31"/>
  <c r="A33" i="12" l="1"/>
  <c r="F19" i="18" l="1"/>
  <c r="Q28" i="18"/>
  <c r="O28" i="18"/>
  <c r="V28" i="18"/>
  <c r="U28" i="18"/>
  <c r="T28" i="18"/>
  <c r="L28" i="18"/>
  <c r="K28" i="18"/>
  <c r="J28" i="18"/>
  <c r="G28" i="18"/>
  <c r="G19" i="18"/>
  <c r="H28" i="18"/>
  <c r="C7" i="24"/>
  <c r="M28" i="18"/>
  <c r="A13" i="18" l="1"/>
  <c r="A22" i="18"/>
  <c r="C3" i="27"/>
  <c r="E3" i="27"/>
  <c r="T3" i="27"/>
  <c r="S3" i="27"/>
  <c r="R3" i="27"/>
  <c r="P3" i="27"/>
  <c r="O3" i="27"/>
  <c r="R28" i="18" s="1"/>
  <c r="N3" i="27"/>
  <c r="M3" i="27"/>
  <c r="K3" i="27"/>
  <c r="I3" i="27"/>
  <c r="H3" i="27"/>
  <c r="G3" i="27"/>
  <c r="J3" i="27"/>
  <c r="H13" i="18" l="1"/>
  <c r="O13" i="18"/>
  <c r="C13" i="18"/>
  <c r="J13" i="18"/>
  <c r="V13" i="18"/>
  <c r="M13" i="18"/>
  <c r="K13" i="18"/>
  <c r="U13" i="18"/>
  <c r="Q13" i="18"/>
  <c r="P13" i="18"/>
  <c r="F92" i="18" s="1"/>
  <c r="T13" i="18"/>
  <c r="D13" i="18"/>
  <c r="R13" i="18"/>
  <c r="L13" i="18"/>
  <c r="Q22" i="18"/>
  <c r="U22" i="18"/>
  <c r="V22" i="18"/>
  <c r="T22" i="18"/>
  <c r="C22" i="18"/>
  <c r="R22" i="18"/>
  <c r="D22" i="18"/>
  <c r="M22" i="18"/>
  <c r="O22" i="18"/>
  <c r="F22" i="18"/>
  <c r="G13" i="18"/>
  <c r="F13" i="18"/>
  <c r="G22" i="18"/>
  <c r="C15" i="12"/>
  <c r="G59" i="18" l="1"/>
  <c r="E59" i="18"/>
  <c r="B19" i="18" l="1"/>
  <c r="C3" i="25"/>
  <c r="D3" i="25"/>
  <c r="E3" i="25"/>
  <c r="G3" i="25"/>
  <c r="H3" i="25"/>
  <c r="I3" i="25"/>
  <c r="J3" i="25"/>
  <c r="K3" i="25"/>
  <c r="M3" i="25"/>
  <c r="N3" i="25"/>
  <c r="S3" i="25"/>
  <c r="T3" i="25"/>
  <c r="R3" i="25"/>
  <c r="O3" i="25"/>
  <c r="P3" i="25"/>
  <c r="B5" i="27"/>
  <c r="C1" i="29" l="1"/>
  <c r="C3" i="29" s="1"/>
  <c r="AM1" i="29" l="1"/>
  <c r="AD1" i="29"/>
  <c r="T1" i="29"/>
  <c r="K1" i="29"/>
  <c r="AI1" i="29"/>
  <c r="AG1" i="29"/>
  <c r="Y1" i="29"/>
  <c r="X1" i="29"/>
  <c r="O1" i="29"/>
  <c r="N1" i="29"/>
  <c r="F1" i="29"/>
  <c r="E1" i="29"/>
  <c r="AK1" i="29"/>
  <c r="AJ1" i="29"/>
  <c r="AF1" i="29"/>
  <c r="AE1" i="29"/>
  <c r="AA1" i="29"/>
  <c r="Z1" i="29"/>
  <c r="W1" i="29"/>
  <c r="U1" i="29"/>
  <c r="R1" i="29"/>
  <c r="Q1" i="29"/>
  <c r="M1" i="29"/>
  <c r="L1" i="29"/>
  <c r="G1" i="29"/>
  <c r="A2" i="29"/>
  <c r="AL1" i="29"/>
  <c r="AC1" i="29"/>
  <c r="S1" i="29"/>
  <c r="H1" i="29"/>
  <c r="C1" i="28" l="1"/>
  <c r="F28" i="18" s="1"/>
  <c r="C1" i="20" l="1"/>
  <c r="C5" i="27" l="1"/>
  <c r="D3" i="27" l="1"/>
  <c r="D5" i="27" s="1"/>
  <c r="C2" i="27"/>
  <c r="A1" i="27"/>
  <c r="K22" i="18" l="1"/>
  <c r="F88" i="18" s="1"/>
  <c r="J22" i="18"/>
  <c r="H22" i="18"/>
  <c r="L22" i="18"/>
  <c r="K2" i="27"/>
  <c r="P2" i="27"/>
  <c r="D2" i="27"/>
  <c r="C919" i="20"/>
  <c r="C918" i="20"/>
  <c r="C917" i="20"/>
  <c r="C916" i="20"/>
  <c r="C915" i="20"/>
  <c r="C914" i="20"/>
  <c r="C913" i="20"/>
  <c r="C912" i="20"/>
  <c r="C911" i="20"/>
  <c r="C910" i="20"/>
  <c r="C909" i="20"/>
  <c r="C908" i="20"/>
  <c r="C907" i="20"/>
  <c r="C906" i="20"/>
  <c r="C905" i="20"/>
  <c r="C904" i="20"/>
  <c r="C903" i="20"/>
  <c r="C902" i="20"/>
  <c r="C901" i="20"/>
  <c r="C900" i="20"/>
  <c r="C899" i="20"/>
  <c r="C898" i="20"/>
  <c r="C897" i="20"/>
  <c r="C896" i="20"/>
  <c r="C895" i="20"/>
  <c r="C894" i="20"/>
  <c r="C893" i="20"/>
  <c r="C892" i="20"/>
  <c r="C891" i="20"/>
  <c r="C890" i="20"/>
  <c r="C889" i="20"/>
  <c r="C888" i="20"/>
  <c r="C887" i="20"/>
  <c r="C886" i="20"/>
  <c r="C885" i="20"/>
  <c r="C884" i="20"/>
  <c r="C883" i="20"/>
  <c r="C882" i="20"/>
  <c r="C881" i="20"/>
  <c r="C880" i="20"/>
  <c r="C879" i="20"/>
  <c r="C878" i="20"/>
  <c r="C877" i="20"/>
  <c r="C876" i="20"/>
  <c r="C875" i="20"/>
  <c r="C874" i="20"/>
  <c r="C873" i="20"/>
  <c r="C872" i="20"/>
  <c r="C871" i="20"/>
  <c r="C870" i="20"/>
  <c r="C869" i="20"/>
  <c r="C868" i="20"/>
  <c r="C867" i="20"/>
  <c r="C866" i="20"/>
  <c r="C865" i="20"/>
  <c r="C864" i="20"/>
  <c r="C863" i="20"/>
  <c r="C862" i="20"/>
  <c r="C861" i="20"/>
  <c r="C860" i="20"/>
  <c r="C859" i="20"/>
  <c r="C858" i="20"/>
  <c r="C857" i="20"/>
  <c r="C856" i="20"/>
  <c r="C855" i="20"/>
  <c r="C854" i="20"/>
  <c r="C853" i="20"/>
  <c r="C852" i="20"/>
  <c r="C851" i="20"/>
  <c r="C850" i="20"/>
  <c r="C849" i="20"/>
  <c r="C848" i="20"/>
  <c r="C847" i="20"/>
  <c r="C846" i="20"/>
  <c r="C845" i="20"/>
  <c r="C844" i="20"/>
  <c r="C843" i="20"/>
  <c r="C842" i="20"/>
  <c r="C841" i="20"/>
  <c r="C840" i="20"/>
  <c r="C839" i="20"/>
  <c r="C838" i="20"/>
  <c r="C837" i="20"/>
  <c r="C836" i="20"/>
  <c r="C835" i="20"/>
  <c r="C834" i="20"/>
  <c r="C833" i="20"/>
  <c r="C832" i="20"/>
  <c r="C831" i="20"/>
  <c r="C830" i="20"/>
  <c r="C829" i="20"/>
  <c r="C828" i="20"/>
  <c r="C827" i="20"/>
  <c r="C826" i="20"/>
  <c r="C825" i="20"/>
  <c r="C824" i="20"/>
  <c r="C823" i="20"/>
  <c r="C822" i="20"/>
  <c r="C821" i="20"/>
  <c r="C820" i="20"/>
  <c r="C819" i="20"/>
  <c r="C818" i="20"/>
  <c r="C817" i="20"/>
  <c r="C816" i="20"/>
  <c r="C815" i="20"/>
  <c r="C814" i="20"/>
  <c r="C813" i="20"/>
  <c r="C812" i="20"/>
  <c r="C811" i="20"/>
  <c r="C810" i="20"/>
  <c r="C809" i="20"/>
  <c r="C808" i="20"/>
  <c r="C807" i="20"/>
  <c r="C806" i="20"/>
  <c r="C805" i="20"/>
  <c r="C804" i="20"/>
  <c r="C803" i="20"/>
  <c r="C802" i="20"/>
  <c r="C801" i="20"/>
  <c r="C800" i="20"/>
  <c r="C799" i="20"/>
  <c r="C798" i="20"/>
  <c r="C797" i="20"/>
  <c r="C796" i="20"/>
  <c r="C795" i="20"/>
  <c r="C794" i="20"/>
  <c r="C793" i="20"/>
  <c r="C792" i="20"/>
  <c r="C791" i="20"/>
  <c r="C790" i="20"/>
  <c r="C789" i="20"/>
  <c r="C788" i="20"/>
  <c r="C787" i="20"/>
  <c r="C786" i="20"/>
  <c r="C785" i="20"/>
  <c r="C784" i="20"/>
  <c r="C783" i="20"/>
  <c r="C782" i="20"/>
  <c r="C781" i="20"/>
  <c r="C780" i="20"/>
  <c r="C779" i="20"/>
  <c r="C778" i="20"/>
  <c r="C777" i="20"/>
  <c r="C776" i="20"/>
  <c r="C775" i="20"/>
  <c r="C774" i="20"/>
  <c r="C773" i="20"/>
  <c r="C772" i="20"/>
  <c r="C771" i="20"/>
  <c r="C770" i="20"/>
  <c r="C769" i="20"/>
  <c r="C768" i="20"/>
  <c r="C767" i="20"/>
  <c r="C766" i="20"/>
  <c r="C765" i="20"/>
  <c r="C764" i="20"/>
  <c r="C763" i="20"/>
  <c r="C762" i="20"/>
  <c r="C761" i="20"/>
  <c r="C760" i="20"/>
  <c r="C759" i="20"/>
  <c r="C758" i="20"/>
  <c r="C757" i="20"/>
  <c r="C756" i="20"/>
  <c r="C755" i="20"/>
  <c r="C754" i="20"/>
  <c r="C753" i="20"/>
  <c r="C752" i="20"/>
  <c r="C751" i="20"/>
  <c r="C750" i="20"/>
  <c r="C749" i="20"/>
  <c r="C748" i="20"/>
  <c r="C747" i="20"/>
  <c r="C746" i="20"/>
  <c r="C745" i="20"/>
  <c r="C744" i="20"/>
  <c r="C743" i="20"/>
  <c r="C742" i="20"/>
  <c r="C741" i="20"/>
  <c r="C740" i="20"/>
  <c r="C739" i="20"/>
  <c r="C738" i="20"/>
  <c r="C737" i="20"/>
  <c r="C736" i="20"/>
  <c r="C735" i="20"/>
  <c r="C734" i="20"/>
  <c r="C733" i="20"/>
  <c r="C732" i="20"/>
  <c r="C731" i="20"/>
  <c r="C730" i="20"/>
  <c r="C729" i="20"/>
  <c r="C728" i="20"/>
  <c r="C727" i="20"/>
  <c r="C726" i="20"/>
  <c r="C725" i="20"/>
  <c r="C724" i="20"/>
  <c r="C723" i="20"/>
  <c r="C722" i="20"/>
  <c r="C721" i="20"/>
  <c r="C720" i="20"/>
  <c r="C719" i="20"/>
  <c r="C718" i="20"/>
  <c r="C717" i="20"/>
  <c r="C716" i="20"/>
  <c r="C715" i="20"/>
  <c r="C714" i="20"/>
  <c r="C713" i="20"/>
  <c r="C712" i="20"/>
  <c r="C711" i="20"/>
  <c r="C710" i="20"/>
  <c r="C709" i="20"/>
  <c r="C708" i="20"/>
  <c r="C707" i="20"/>
  <c r="C706" i="20"/>
  <c r="C705" i="20"/>
  <c r="C704" i="20"/>
  <c r="C703" i="20"/>
  <c r="C702" i="20"/>
  <c r="C701" i="20"/>
  <c r="C700" i="20"/>
  <c r="C699" i="20"/>
  <c r="C698" i="20"/>
  <c r="C697" i="20"/>
  <c r="C696" i="20"/>
  <c r="C695" i="20"/>
  <c r="C694" i="20"/>
  <c r="C693" i="20"/>
  <c r="C692" i="20"/>
  <c r="C691" i="20"/>
  <c r="C690" i="20"/>
  <c r="C689" i="20"/>
  <c r="C688" i="20"/>
  <c r="C687" i="20"/>
  <c r="C686" i="20"/>
  <c r="C685" i="20"/>
  <c r="C684" i="20"/>
  <c r="C683" i="20"/>
  <c r="C682" i="20"/>
  <c r="C681" i="20"/>
  <c r="C680" i="20"/>
  <c r="C679" i="20"/>
  <c r="C678" i="20"/>
  <c r="C677" i="20"/>
  <c r="C676" i="20"/>
  <c r="C675" i="20"/>
  <c r="C674" i="20"/>
  <c r="C673" i="20"/>
  <c r="C672" i="20"/>
  <c r="C671" i="20"/>
  <c r="C670" i="20"/>
  <c r="C669" i="20"/>
  <c r="C668" i="20"/>
  <c r="C667" i="20"/>
  <c r="C666" i="20"/>
  <c r="C665" i="20"/>
  <c r="C664" i="20"/>
  <c r="C663" i="20"/>
  <c r="C662" i="20"/>
  <c r="C661" i="20"/>
  <c r="C660" i="20"/>
  <c r="C659" i="20"/>
  <c r="C658" i="20"/>
  <c r="C657" i="20"/>
  <c r="C656" i="20"/>
  <c r="C655" i="20"/>
  <c r="C654" i="20"/>
  <c r="C653" i="20"/>
  <c r="C652" i="20"/>
  <c r="C651" i="20"/>
  <c r="C650" i="20"/>
  <c r="C649" i="20"/>
  <c r="C648" i="20"/>
  <c r="C647" i="20"/>
  <c r="C646" i="20"/>
  <c r="C645" i="20"/>
  <c r="C644" i="20"/>
  <c r="C643" i="20"/>
  <c r="C642" i="20"/>
  <c r="C641" i="20"/>
  <c r="C640" i="20"/>
  <c r="C639" i="20"/>
  <c r="C638" i="20"/>
  <c r="C637" i="20"/>
  <c r="C636" i="20"/>
  <c r="C635" i="20"/>
  <c r="C634" i="20"/>
  <c r="C633" i="20"/>
  <c r="C632" i="20"/>
  <c r="C631" i="20"/>
  <c r="C630" i="20"/>
  <c r="C629" i="20"/>
  <c r="C628" i="20"/>
  <c r="C627" i="20"/>
  <c r="C626" i="20"/>
  <c r="C625" i="20"/>
  <c r="C624" i="20"/>
  <c r="C623" i="20"/>
  <c r="C622" i="20"/>
  <c r="C621" i="20"/>
  <c r="C620" i="20"/>
  <c r="C619" i="20"/>
  <c r="C618" i="20"/>
  <c r="C617" i="20"/>
  <c r="C616" i="20"/>
  <c r="C615" i="20"/>
  <c r="C614" i="20"/>
  <c r="C613" i="20"/>
  <c r="C612" i="20"/>
  <c r="C611" i="20"/>
  <c r="C610" i="20"/>
  <c r="C609" i="20"/>
  <c r="C608" i="20"/>
  <c r="C607" i="20"/>
  <c r="C606" i="20"/>
  <c r="C605" i="20"/>
  <c r="C604" i="20"/>
  <c r="C603" i="20"/>
  <c r="C602" i="20"/>
  <c r="C601" i="20"/>
  <c r="C600" i="20"/>
  <c r="C599" i="20"/>
  <c r="C598" i="20"/>
  <c r="C597" i="20"/>
  <c r="C596" i="20"/>
  <c r="C595" i="20"/>
  <c r="C594" i="20"/>
  <c r="C593" i="20"/>
  <c r="C592" i="20"/>
  <c r="C591" i="20"/>
  <c r="C590" i="20"/>
  <c r="C589" i="20"/>
  <c r="C588" i="20"/>
  <c r="C587" i="20"/>
  <c r="C586" i="20"/>
  <c r="C585" i="20"/>
  <c r="C584" i="20"/>
  <c r="C583" i="20"/>
  <c r="C582" i="20"/>
  <c r="C581" i="20"/>
  <c r="C580" i="20"/>
  <c r="C579" i="20"/>
  <c r="C578" i="20"/>
  <c r="C577" i="20"/>
  <c r="C576" i="20"/>
  <c r="C575" i="20"/>
  <c r="C574" i="20"/>
  <c r="C573" i="20"/>
  <c r="C572" i="20"/>
  <c r="C571" i="20"/>
  <c r="C570" i="20"/>
  <c r="C569" i="20"/>
  <c r="C568" i="20"/>
  <c r="C567" i="20"/>
  <c r="C566" i="20"/>
  <c r="C565" i="20"/>
  <c r="C564" i="20"/>
  <c r="C563" i="20"/>
  <c r="C562" i="20"/>
  <c r="C561" i="20"/>
  <c r="C560" i="20"/>
  <c r="C559" i="20"/>
  <c r="C558" i="20"/>
  <c r="C557" i="20"/>
  <c r="C556" i="20"/>
  <c r="C555" i="20"/>
  <c r="C554" i="20"/>
  <c r="C553" i="20"/>
  <c r="C552" i="20"/>
  <c r="C551" i="20"/>
  <c r="C550" i="20"/>
  <c r="C549" i="20"/>
  <c r="C548" i="20"/>
  <c r="C547" i="20"/>
  <c r="C546" i="20"/>
  <c r="C545" i="20"/>
  <c r="C544" i="20"/>
  <c r="C543" i="20"/>
  <c r="C542" i="20"/>
  <c r="C541" i="20"/>
  <c r="C540" i="20"/>
  <c r="C539" i="20"/>
  <c r="C538" i="20"/>
  <c r="C537" i="20"/>
  <c r="C536" i="20"/>
  <c r="C535" i="20"/>
  <c r="C534" i="20"/>
  <c r="C533" i="20"/>
  <c r="C532" i="20"/>
  <c r="C531" i="20"/>
  <c r="C530" i="20"/>
  <c r="C529" i="20"/>
  <c r="C528" i="20"/>
  <c r="C527" i="20"/>
  <c r="C526" i="20"/>
  <c r="C525" i="20"/>
  <c r="C524" i="20"/>
  <c r="C523" i="20"/>
  <c r="C522" i="20"/>
  <c r="C521" i="20"/>
  <c r="C520" i="20"/>
  <c r="C519" i="20"/>
  <c r="C518" i="20"/>
  <c r="C517" i="20"/>
  <c r="C516" i="20"/>
  <c r="C515" i="20"/>
  <c r="C514" i="20"/>
  <c r="C513" i="20"/>
  <c r="C512" i="20"/>
  <c r="C511" i="20"/>
  <c r="C510" i="20"/>
  <c r="C509" i="20"/>
  <c r="C508" i="20"/>
  <c r="C507" i="20"/>
  <c r="C506" i="20"/>
  <c r="C505" i="20"/>
  <c r="C504" i="20"/>
  <c r="C503" i="20"/>
  <c r="C502" i="20"/>
  <c r="C501" i="20"/>
  <c r="C500" i="20"/>
  <c r="C499" i="20"/>
  <c r="C498" i="20"/>
  <c r="C497" i="20"/>
  <c r="C496" i="20"/>
  <c r="C495" i="20"/>
  <c r="C494" i="20"/>
  <c r="C493" i="20"/>
  <c r="C492" i="20"/>
  <c r="C491" i="20"/>
  <c r="C490" i="20"/>
  <c r="C489" i="20"/>
  <c r="C488" i="20"/>
  <c r="C487" i="20"/>
  <c r="C486" i="20"/>
  <c r="C485" i="20"/>
  <c r="C484" i="20"/>
  <c r="C483" i="20"/>
  <c r="C482" i="20"/>
  <c r="C481" i="20"/>
  <c r="C480" i="20"/>
  <c r="C479" i="20"/>
  <c r="C478" i="20"/>
  <c r="C477" i="20"/>
  <c r="C476" i="20"/>
  <c r="C475" i="20"/>
  <c r="C474" i="20"/>
  <c r="C473" i="20"/>
  <c r="C472" i="20"/>
  <c r="C471" i="20"/>
  <c r="C470" i="20"/>
  <c r="C469" i="20"/>
  <c r="C468" i="20"/>
  <c r="C467" i="20"/>
  <c r="C466" i="20"/>
  <c r="C465" i="20"/>
  <c r="C464" i="20"/>
  <c r="C463" i="20"/>
  <c r="C462" i="20"/>
  <c r="C461" i="20"/>
  <c r="C460" i="20"/>
  <c r="C459" i="20"/>
  <c r="C458" i="20"/>
  <c r="C457" i="20"/>
  <c r="C456" i="20"/>
  <c r="C455" i="20"/>
  <c r="C454" i="20"/>
  <c r="C453" i="20"/>
  <c r="C452" i="20"/>
  <c r="C451" i="20"/>
  <c r="C450" i="20"/>
  <c r="C449" i="20"/>
  <c r="C448" i="20"/>
  <c r="C447" i="20"/>
  <c r="C446" i="20"/>
  <c r="C445" i="20"/>
  <c r="C444" i="20"/>
  <c r="C443" i="20"/>
  <c r="C442" i="20"/>
  <c r="C441" i="20"/>
  <c r="C440" i="20"/>
  <c r="C439" i="20"/>
  <c r="C438" i="20"/>
  <c r="C437" i="20"/>
  <c r="C436" i="20"/>
  <c r="C435" i="20"/>
  <c r="C434" i="20"/>
  <c r="C433" i="20"/>
  <c r="C432" i="20"/>
  <c r="C431" i="20"/>
  <c r="C430" i="20"/>
  <c r="C429" i="20"/>
  <c r="C428" i="20"/>
  <c r="C427" i="20"/>
  <c r="C426" i="20"/>
  <c r="C425" i="20"/>
  <c r="C424" i="20"/>
  <c r="C423" i="20"/>
  <c r="C422" i="20"/>
  <c r="C421" i="20"/>
  <c r="C420" i="20"/>
  <c r="C419" i="20"/>
  <c r="C418" i="20"/>
  <c r="C417" i="20"/>
  <c r="C416" i="20"/>
  <c r="C415" i="20"/>
  <c r="C414" i="20"/>
  <c r="C413" i="20"/>
  <c r="C412" i="20"/>
  <c r="C411" i="20"/>
  <c r="C410" i="20"/>
  <c r="C409" i="20"/>
  <c r="C408" i="20"/>
  <c r="C407" i="20"/>
  <c r="C406" i="20"/>
  <c r="C405" i="20"/>
  <c r="C404" i="20"/>
  <c r="C403" i="20"/>
  <c r="C402" i="20"/>
  <c r="C401" i="20"/>
  <c r="C400" i="20"/>
  <c r="C399" i="20"/>
  <c r="C398" i="20"/>
  <c r="C397" i="20"/>
  <c r="C396" i="20"/>
  <c r="C395" i="20"/>
  <c r="C394" i="20"/>
  <c r="C393" i="20"/>
  <c r="C392" i="20"/>
  <c r="C391" i="20"/>
  <c r="C390" i="20"/>
  <c r="C389" i="20"/>
  <c r="C388" i="20"/>
  <c r="C387" i="20"/>
  <c r="C386" i="20"/>
  <c r="C385" i="20"/>
  <c r="C384" i="20"/>
  <c r="C383" i="20"/>
  <c r="C382" i="20"/>
  <c r="C381" i="20"/>
  <c r="C380" i="20"/>
  <c r="C379" i="20"/>
  <c r="C378" i="20"/>
  <c r="C377" i="20"/>
  <c r="C376" i="20"/>
  <c r="C375" i="20"/>
  <c r="C374" i="20"/>
  <c r="C373" i="20"/>
  <c r="C372" i="20"/>
  <c r="C371" i="20"/>
  <c r="C370" i="20"/>
  <c r="C369" i="20"/>
  <c r="C368" i="20"/>
  <c r="C367" i="20"/>
  <c r="C366" i="20"/>
  <c r="C365" i="20"/>
  <c r="C364" i="20"/>
  <c r="C363" i="20"/>
  <c r="C362" i="20"/>
  <c r="C361" i="20"/>
  <c r="C360" i="20"/>
  <c r="C359" i="20"/>
  <c r="C358" i="20"/>
  <c r="C357" i="20"/>
  <c r="C356" i="20"/>
  <c r="C355" i="20"/>
  <c r="C354" i="20"/>
  <c r="C353" i="20"/>
  <c r="C352" i="20"/>
  <c r="C351" i="20"/>
  <c r="C350" i="20"/>
  <c r="C349" i="20"/>
  <c r="C348" i="20"/>
  <c r="C347" i="20"/>
  <c r="C346" i="20"/>
  <c r="C345" i="20"/>
  <c r="C344" i="20"/>
  <c r="C343" i="20"/>
  <c r="C342" i="20"/>
  <c r="C341" i="20"/>
  <c r="C340" i="20"/>
  <c r="C339" i="20"/>
  <c r="C338" i="20"/>
  <c r="C337" i="20"/>
  <c r="C336" i="20"/>
  <c r="C335" i="20"/>
  <c r="C334" i="20"/>
  <c r="C333" i="20"/>
  <c r="C332" i="20"/>
  <c r="C331" i="20"/>
  <c r="C330" i="20"/>
  <c r="C329" i="20"/>
  <c r="C328" i="20"/>
  <c r="C327" i="20"/>
  <c r="C326" i="20"/>
  <c r="C325" i="20"/>
  <c r="C324" i="20"/>
  <c r="C323" i="20"/>
  <c r="C322" i="20"/>
  <c r="C321" i="20"/>
  <c r="C320" i="20"/>
  <c r="C319" i="20"/>
  <c r="C318" i="20"/>
  <c r="C317" i="20"/>
  <c r="C316" i="20"/>
  <c r="C315" i="20"/>
  <c r="C314" i="20"/>
  <c r="C313" i="20"/>
  <c r="C312" i="20"/>
  <c r="C311" i="20"/>
  <c r="C310" i="20"/>
  <c r="C309" i="20"/>
  <c r="C308" i="20"/>
  <c r="C307" i="20"/>
  <c r="C306" i="20"/>
  <c r="C305" i="20"/>
  <c r="C304" i="20"/>
  <c r="C303" i="20"/>
  <c r="C302" i="20"/>
  <c r="C301" i="20"/>
  <c r="C300" i="20"/>
  <c r="C299" i="20"/>
  <c r="C298" i="20"/>
  <c r="C297" i="20"/>
  <c r="C296" i="20"/>
  <c r="C295" i="20"/>
  <c r="C294" i="20"/>
  <c r="C293" i="20"/>
  <c r="C292" i="20"/>
  <c r="C291" i="20"/>
  <c r="C290" i="20"/>
  <c r="C289" i="20"/>
  <c r="C288" i="20"/>
  <c r="C287" i="20"/>
  <c r="C286" i="20"/>
  <c r="C285" i="20"/>
  <c r="C284" i="20"/>
  <c r="C283" i="20"/>
  <c r="C282" i="20"/>
  <c r="C281" i="20"/>
  <c r="C280" i="20"/>
  <c r="C279" i="20"/>
  <c r="C278" i="20"/>
  <c r="C277" i="20"/>
  <c r="C276" i="20"/>
  <c r="C275" i="20"/>
  <c r="C274" i="20"/>
  <c r="C273" i="20"/>
  <c r="C272" i="20"/>
  <c r="C271" i="20"/>
  <c r="C270" i="20"/>
  <c r="C269" i="20"/>
  <c r="C268" i="20"/>
  <c r="C267" i="20"/>
  <c r="C266" i="20"/>
  <c r="C265" i="20"/>
  <c r="C264" i="20"/>
  <c r="C263" i="20"/>
  <c r="C262" i="20"/>
  <c r="C261" i="20"/>
  <c r="C260" i="20"/>
  <c r="C259" i="20"/>
  <c r="C258" i="20"/>
  <c r="C257" i="20"/>
  <c r="C256" i="20"/>
  <c r="C255" i="20"/>
  <c r="C254" i="20"/>
  <c r="C253" i="20"/>
  <c r="C252" i="20"/>
  <c r="C251" i="20"/>
  <c r="C250" i="20"/>
  <c r="C249" i="20"/>
  <c r="C248" i="20"/>
  <c r="C247" i="20"/>
  <c r="C246" i="20"/>
  <c r="C245" i="20"/>
  <c r="C244" i="20"/>
  <c r="C243" i="20"/>
  <c r="C242" i="20"/>
  <c r="C241" i="20"/>
  <c r="C240" i="20"/>
  <c r="C239" i="20"/>
  <c r="C238" i="20"/>
  <c r="C237" i="20"/>
  <c r="C236" i="20"/>
  <c r="C235" i="20"/>
  <c r="C234" i="20"/>
  <c r="C233" i="20"/>
  <c r="C232" i="20"/>
  <c r="C231" i="20"/>
  <c r="C230" i="20"/>
  <c r="C229" i="20"/>
  <c r="C228" i="20"/>
  <c r="C227" i="20"/>
  <c r="C226" i="20"/>
  <c r="C225" i="20"/>
  <c r="C224" i="20"/>
  <c r="C223" i="20"/>
  <c r="C222" i="20"/>
  <c r="C221" i="20"/>
  <c r="C220" i="20"/>
  <c r="C219" i="20"/>
  <c r="C218" i="20"/>
  <c r="C217" i="20"/>
  <c r="C216" i="20"/>
  <c r="C215" i="20"/>
  <c r="C214" i="20"/>
  <c r="C213" i="20"/>
  <c r="C212" i="20"/>
  <c r="C211" i="20"/>
  <c r="C210" i="20"/>
  <c r="C209" i="20"/>
  <c r="C208" i="20"/>
  <c r="C207" i="20"/>
  <c r="C206" i="20"/>
  <c r="C205" i="20"/>
  <c r="C204" i="20"/>
  <c r="C203" i="20"/>
  <c r="C202" i="20"/>
  <c r="C201" i="20"/>
  <c r="C200" i="20"/>
  <c r="C199" i="20"/>
  <c r="C198" i="20"/>
  <c r="C197" i="20"/>
  <c r="C196" i="20"/>
  <c r="C195" i="20"/>
  <c r="C194" i="20"/>
  <c r="C193" i="20"/>
  <c r="C192" i="20"/>
  <c r="C191" i="20"/>
  <c r="C190" i="20"/>
  <c r="C189" i="20"/>
  <c r="C188" i="20"/>
  <c r="C187" i="20"/>
  <c r="C186" i="20"/>
  <c r="C185" i="20"/>
  <c r="C184" i="20"/>
  <c r="C183" i="20"/>
  <c r="C182" i="20"/>
  <c r="C181" i="20"/>
  <c r="C180" i="20"/>
  <c r="C179" i="20"/>
  <c r="C178" i="20"/>
  <c r="C177" i="20"/>
  <c r="C176" i="20"/>
  <c r="C175" i="20"/>
  <c r="C174" i="20"/>
  <c r="C173" i="20"/>
  <c r="C172" i="20"/>
  <c r="C171" i="20"/>
  <c r="C170" i="20"/>
  <c r="C169" i="20"/>
  <c r="C168" i="20"/>
  <c r="C167" i="20"/>
  <c r="C166" i="20"/>
  <c r="C165" i="20"/>
  <c r="C164" i="20"/>
  <c r="C163" i="20"/>
  <c r="C162" i="20"/>
  <c r="C161" i="20"/>
  <c r="C160" i="20"/>
  <c r="C159" i="20"/>
  <c r="C158" i="20"/>
  <c r="C157" i="20"/>
  <c r="C156" i="20"/>
  <c r="C155" i="20"/>
  <c r="C154" i="20"/>
  <c r="C153" i="20"/>
  <c r="C152" i="20"/>
  <c r="C151" i="20"/>
  <c r="C150" i="20"/>
  <c r="C149" i="20"/>
  <c r="C148" i="20"/>
  <c r="C147" i="20"/>
  <c r="C146" i="20"/>
  <c r="C145" i="20"/>
  <c r="C144" i="20"/>
  <c r="C143" i="20"/>
  <c r="C142" i="20"/>
  <c r="C141" i="20"/>
  <c r="C140" i="20"/>
  <c r="C139" i="20"/>
  <c r="C138" i="20"/>
  <c r="C137" i="20"/>
  <c r="C136" i="20"/>
  <c r="C135" i="20"/>
  <c r="C134" i="20"/>
  <c r="C133" i="20"/>
  <c r="C132" i="20"/>
  <c r="C131" i="20"/>
  <c r="C130" i="20"/>
  <c r="C129" i="20"/>
  <c r="C128" i="20"/>
  <c r="C127" i="20"/>
  <c r="C126" i="20"/>
  <c r="C125" i="20"/>
  <c r="C124" i="20"/>
  <c r="C123" i="20"/>
  <c r="C122" i="20"/>
  <c r="C121" i="20"/>
  <c r="C120" i="20"/>
  <c r="C119" i="20"/>
  <c r="C118" i="20"/>
  <c r="C117" i="20"/>
  <c r="C116" i="20"/>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83" i="20"/>
  <c r="C82" i="20"/>
  <c r="C81" i="20"/>
  <c r="C80" i="20"/>
  <c r="C79" i="20"/>
  <c r="C78" i="20"/>
  <c r="C77" i="20"/>
  <c r="C76" i="20"/>
  <c r="C75" i="20"/>
  <c r="C74" i="20"/>
  <c r="C73" i="20"/>
  <c r="C72" i="20"/>
  <c r="C71" i="20"/>
  <c r="C70" i="20"/>
  <c r="C69" i="20"/>
  <c r="C68" i="20"/>
  <c r="C67" i="20"/>
  <c r="C66" i="20"/>
  <c r="C65" i="20"/>
  <c r="C64" i="20"/>
  <c r="C63" i="20"/>
  <c r="C62" i="20"/>
  <c r="C61" i="20"/>
  <c r="C60" i="20"/>
  <c r="C59" i="20"/>
  <c r="C58" i="20"/>
  <c r="C57" i="20"/>
  <c r="C56" i="20"/>
  <c r="C55" i="20"/>
  <c r="C54" i="20"/>
  <c r="C53" i="20"/>
  <c r="C52" i="20"/>
  <c r="C51" i="20"/>
  <c r="C50" i="20"/>
  <c r="C49" i="20"/>
  <c r="C48" i="20"/>
  <c r="C47" i="20"/>
  <c r="C46" i="20"/>
  <c r="C45" i="20"/>
  <c r="C44" i="20"/>
  <c r="C43" i="20"/>
  <c r="C42" i="20"/>
  <c r="C41" i="20"/>
  <c r="C40" i="20"/>
  <c r="C39" i="20"/>
  <c r="C38" i="20"/>
  <c r="C37" i="20"/>
  <c r="C36" i="20"/>
  <c r="C35" i="20"/>
  <c r="C34" i="20"/>
  <c r="C33" i="20"/>
  <c r="C32" i="20"/>
  <c r="C31" i="20"/>
  <c r="C29" i="20"/>
  <c r="C27" i="20"/>
  <c r="C24" i="20"/>
  <c r="C8" i="20"/>
  <c r="AM919" i="20"/>
  <c r="AL919" i="20"/>
  <c r="AK919" i="20"/>
  <c r="AJ919" i="20"/>
  <c r="AI919" i="20"/>
  <c r="AG919" i="20"/>
  <c r="AF919" i="20"/>
  <c r="AE919" i="20"/>
  <c r="AD919" i="20"/>
  <c r="AC919" i="20"/>
  <c r="AA919" i="20"/>
  <c r="Z919" i="20"/>
  <c r="Y919" i="20"/>
  <c r="X919" i="20"/>
  <c r="W919" i="20"/>
  <c r="AM918" i="20"/>
  <c r="AL918" i="20"/>
  <c r="AK918" i="20"/>
  <c r="AJ918" i="20"/>
  <c r="AI918" i="20"/>
  <c r="AG918" i="20"/>
  <c r="AF918" i="20"/>
  <c r="AE918" i="20"/>
  <c r="AD918" i="20"/>
  <c r="AC918" i="20"/>
  <c r="AA918" i="20"/>
  <c r="Z918" i="20"/>
  <c r="Y918" i="20"/>
  <c r="X918" i="20"/>
  <c r="W918" i="20"/>
  <c r="AM917" i="20"/>
  <c r="AL917" i="20"/>
  <c r="AK917" i="20"/>
  <c r="AJ917" i="20"/>
  <c r="AI917" i="20"/>
  <c r="AG917" i="20"/>
  <c r="AF917" i="20"/>
  <c r="AE917" i="20"/>
  <c r="AD917" i="20"/>
  <c r="AC917" i="20"/>
  <c r="AA917" i="20"/>
  <c r="Z917" i="20"/>
  <c r="Y917" i="20"/>
  <c r="X917" i="20"/>
  <c r="W917" i="20"/>
  <c r="AM916" i="20"/>
  <c r="AL916" i="20"/>
  <c r="AK916" i="20"/>
  <c r="AJ916" i="20"/>
  <c r="AI916" i="20"/>
  <c r="AG916" i="20"/>
  <c r="AF916" i="20"/>
  <c r="AE916" i="20"/>
  <c r="AD916" i="20"/>
  <c r="AC916" i="20"/>
  <c r="AA916" i="20"/>
  <c r="Z916" i="20"/>
  <c r="Y916" i="20"/>
  <c r="X916" i="20"/>
  <c r="W916" i="20"/>
  <c r="AM915" i="20"/>
  <c r="AL915" i="20"/>
  <c r="AK915" i="20"/>
  <c r="AJ915" i="20"/>
  <c r="AI915" i="20"/>
  <c r="AG915" i="20"/>
  <c r="AF915" i="20"/>
  <c r="AE915" i="20"/>
  <c r="AD915" i="20"/>
  <c r="AC915" i="20"/>
  <c r="AA915" i="20"/>
  <c r="Z915" i="20"/>
  <c r="Y915" i="20"/>
  <c r="X915" i="20"/>
  <c r="W915" i="20"/>
  <c r="AM914" i="20"/>
  <c r="AL914" i="20"/>
  <c r="AK914" i="20"/>
  <c r="AJ914" i="20"/>
  <c r="AI914" i="20"/>
  <c r="AG914" i="20"/>
  <c r="AF914" i="20"/>
  <c r="AE914" i="20"/>
  <c r="AD914" i="20"/>
  <c r="AC914" i="20"/>
  <c r="AA914" i="20"/>
  <c r="Z914" i="20"/>
  <c r="Y914" i="20"/>
  <c r="X914" i="20"/>
  <c r="W914" i="20"/>
  <c r="AM913" i="20"/>
  <c r="AL913" i="20"/>
  <c r="AK913" i="20"/>
  <c r="AJ913" i="20"/>
  <c r="AI913" i="20"/>
  <c r="AG913" i="20"/>
  <c r="AF913" i="20"/>
  <c r="AE913" i="20"/>
  <c r="AD913" i="20"/>
  <c r="AC913" i="20"/>
  <c r="AA913" i="20"/>
  <c r="Z913" i="20"/>
  <c r="Y913" i="20"/>
  <c r="X913" i="20"/>
  <c r="W913" i="20"/>
  <c r="AM912" i="20"/>
  <c r="AL912" i="20"/>
  <c r="AK912" i="20"/>
  <c r="AJ912" i="20"/>
  <c r="AI912" i="20"/>
  <c r="AG912" i="20"/>
  <c r="AF912" i="20"/>
  <c r="AE912" i="20"/>
  <c r="AD912" i="20"/>
  <c r="AC912" i="20"/>
  <c r="AA912" i="20"/>
  <c r="Z912" i="20"/>
  <c r="Y912" i="20"/>
  <c r="X912" i="20"/>
  <c r="W912" i="20"/>
  <c r="AM911" i="20"/>
  <c r="AL911" i="20"/>
  <c r="AK911" i="20"/>
  <c r="AJ911" i="20"/>
  <c r="AI911" i="20"/>
  <c r="AG911" i="20"/>
  <c r="AF911" i="20"/>
  <c r="AE911" i="20"/>
  <c r="AD911" i="20"/>
  <c r="AC911" i="20"/>
  <c r="AA911" i="20"/>
  <c r="Z911" i="20"/>
  <c r="Y911" i="20"/>
  <c r="X911" i="20"/>
  <c r="W911" i="20"/>
  <c r="AM910" i="20"/>
  <c r="AL910" i="20"/>
  <c r="AK910" i="20"/>
  <c r="AJ910" i="20"/>
  <c r="AI910" i="20"/>
  <c r="AG910" i="20"/>
  <c r="AF910" i="20"/>
  <c r="AE910" i="20"/>
  <c r="AD910" i="20"/>
  <c r="AC910" i="20"/>
  <c r="AA910" i="20"/>
  <c r="Z910" i="20"/>
  <c r="Y910" i="20"/>
  <c r="X910" i="20"/>
  <c r="W910" i="20"/>
  <c r="AM909" i="20"/>
  <c r="AL909" i="20"/>
  <c r="AK909" i="20"/>
  <c r="AJ909" i="20"/>
  <c r="AI909" i="20"/>
  <c r="AG909" i="20"/>
  <c r="AF909" i="20"/>
  <c r="AE909" i="20"/>
  <c r="AD909" i="20"/>
  <c r="AC909" i="20"/>
  <c r="AA909" i="20"/>
  <c r="Z909" i="20"/>
  <c r="Y909" i="20"/>
  <c r="X909" i="20"/>
  <c r="W909" i="20"/>
  <c r="AM908" i="20"/>
  <c r="AL908" i="20"/>
  <c r="AK908" i="20"/>
  <c r="AJ908" i="20"/>
  <c r="AI908" i="20"/>
  <c r="AG908" i="20"/>
  <c r="AF908" i="20"/>
  <c r="AE908" i="20"/>
  <c r="AD908" i="20"/>
  <c r="AC908" i="20"/>
  <c r="AA908" i="20"/>
  <c r="Z908" i="20"/>
  <c r="Y908" i="20"/>
  <c r="X908" i="20"/>
  <c r="W908" i="20"/>
  <c r="AM907" i="20"/>
  <c r="AL907" i="20"/>
  <c r="AK907" i="20"/>
  <c r="AJ907" i="20"/>
  <c r="AI907" i="20"/>
  <c r="AG907" i="20"/>
  <c r="AF907" i="20"/>
  <c r="AE907" i="20"/>
  <c r="AD907" i="20"/>
  <c r="AC907" i="20"/>
  <c r="AA907" i="20"/>
  <c r="Z907" i="20"/>
  <c r="Y907" i="20"/>
  <c r="X907" i="20"/>
  <c r="W907" i="20"/>
  <c r="AM906" i="20"/>
  <c r="AL906" i="20"/>
  <c r="AK906" i="20"/>
  <c r="AJ906" i="20"/>
  <c r="AI906" i="20"/>
  <c r="AG906" i="20"/>
  <c r="AF906" i="20"/>
  <c r="AE906" i="20"/>
  <c r="AD906" i="20"/>
  <c r="AC906" i="20"/>
  <c r="AA906" i="20"/>
  <c r="Z906" i="20"/>
  <c r="Y906" i="20"/>
  <c r="X906" i="20"/>
  <c r="W906" i="20"/>
  <c r="AM905" i="20"/>
  <c r="AL905" i="20"/>
  <c r="AK905" i="20"/>
  <c r="AJ905" i="20"/>
  <c r="AI905" i="20"/>
  <c r="AG905" i="20"/>
  <c r="AF905" i="20"/>
  <c r="AE905" i="20"/>
  <c r="AD905" i="20"/>
  <c r="AC905" i="20"/>
  <c r="AA905" i="20"/>
  <c r="Z905" i="20"/>
  <c r="Y905" i="20"/>
  <c r="X905" i="20"/>
  <c r="W905" i="20"/>
  <c r="AM904" i="20"/>
  <c r="AL904" i="20"/>
  <c r="AK904" i="20"/>
  <c r="AJ904" i="20"/>
  <c r="AI904" i="20"/>
  <c r="AG904" i="20"/>
  <c r="AF904" i="20"/>
  <c r="AE904" i="20"/>
  <c r="AD904" i="20"/>
  <c r="AC904" i="20"/>
  <c r="AA904" i="20"/>
  <c r="Z904" i="20"/>
  <c r="Y904" i="20"/>
  <c r="X904" i="20"/>
  <c r="W904" i="20"/>
  <c r="AM903" i="20"/>
  <c r="AL903" i="20"/>
  <c r="AK903" i="20"/>
  <c r="AJ903" i="20"/>
  <c r="AI903" i="20"/>
  <c r="AG903" i="20"/>
  <c r="AF903" i="20"/>
  <c r="AE903" i="20"/>
  <c r="AD903" i="20"/>
  <c r="AC903" i="20"/>
  <c r="AA903" i="20"/>
  <c r="Z903" i="20"/>
  <c r="Y903" i="20"/>
  <c r="X903" i="20"/>
  <c r="W903" i="20"/>
  <c r="AM902" i="20"/>
  <c r="AL902" i="20"/>
  <c r="AK902" i="20"/>
  <c r="AJ902" i="20"/>
  <c r="AI902" i="20"/>
  <c r="AG902" i="20"/>
  <c r="AF902" i="20"/>
  <c r="AE902" i="20"/>
  <c r="AD902" i="20"/>
  <c r="AC902" i="20"/>
  <c r="AA902" i="20"/>
  <c r="Z902" i="20"/>
  <c r="Y902" i="20"/>
  <c r="X902" i="20"/>
  <c r="W902" i="20"/>
  <c r="AM901" i="20"/>
  <c r="AL901" i="20"/>
  <c r="AK901" i="20"/>
  <c r="AJ901" i="20"/>
  <c r="AI901" i="20"/>
  <c r="AG901" i="20"/>
  <c r="AF901" i="20"/>
  <c r="AE901" i="20"/>
  <c r="AD901" i="20"/>
  <c r="AC901" i="20"/>
  <c r="AA901" i="20"/>
  <c r="Z901" i="20"/>
  <c r="Y901" i="20"/>
  <c r="X901" i="20"/>
  <c r="W901" i="20"/>
  <c r="AM900" i="20"/>
  <c r="AL900" i="20"/>
  <c r="AK900" i="20"/>
  <c r="AJ900" i="20"/>
  <c r="AI900" i="20"/>
  <c r="AG900" i="20"/>
  <c r="AF900" i="20"/>
  <c r="AE900" i="20"/>
  <c r="AD900" i="20"/>
  <c r="AC900" i="20"/>
  <c r="AA900" i="20"/>
  <c r="Z900" i="20"/>
  <c r="Y900" i="20"/>
  <c r="X900" i="20"/>
  <c r="W900" i="20"/>
  <c r="AM899" i="20"/>
  <c r="AL899" i="20"/>
  <c r="AK899" i="20"/>
  <c r="AJ899" i="20"/>
  <c r="AI899" i="20"/>
  <c r="AG899" i="20"/>
  <c r="AF899" i="20"/>
  <c r="AE899" i="20"/>
  <c r="AD899" i="20"/>
  <c r="AC899" i="20"/>
  <c r="AA899" i="20"/>
  <c r="Z899" i="20"/>
  <c r="Y899" i="20"/>
  <c r="X899" i="20"/>
  <c r="W899" i="20"/>
  <c r="AM898" i="20"/>
  <c r="AL898" i="20"/>
  <c r="AK898" i="20"/>
  <c r="AJ898" i="20"/>
  <c r="AI898" i="20"/>
  <c r="AG898" i="20"/>
  <c r="AF898" i="20"/>
  <c r="AE898" i="20"/>
  <c r="AD898" i="20"/>
  <c r="AC898" i="20"/>
  <c r="AA898" i="20"/>
  <c r="Z898" i="20"/>
  <c r="Y898" i="20"/>
  <c r="X898" i="20"/>
  <c r="W898" i="20"/>
  <c r="AM897" i="20"/>
  <c r="AL897" i="20"/>
  <c r="AK897" i="20"/>
  <c r="AJ897" i="20"/>
  <c r="AI897" i="20"/>
  <c r="AG897" i="20"/>
  <c r="AF897" i="20"/>
  <c r="AE897" i="20"/>
  <c r="AD897" i="20"/>
  <c r="AC897" i="20"/>
  <c r="AA897" i="20"/>
  <c r="Z897" i="20"/>
  <c r="Y897" i="20"/>
  <c r="X897" i="20"/>
  <c r="W897" i="20"/>
  <c r="AM896" i="20"/>
  <c r="AL896" i="20"/>
  <c r="AK896" i="20"/>
  <c r="AJ896" i="20"/>
  <c r="AI896" i="20"/>
  <c r="AG896" i="20"/>
  <c r="AF896" i="20"/>
  <c r="AE896" i="20"/>
  <c r="AD896" i="20"/>
  <c r="AC896" i="20"/>
  <c r="AA896" i="20"/>
  <c r="Z896" i="20"/>
  <c r="Y896" i="20"/>
  <c r="X896" i="20"/>
  <c r="W896" i="20"/>
  <c r="AM895" i="20"/>
  <c r="AL895" i="20"/>
  <c r="AK895" i="20"/>
  <c r="AJ895" i="20"/>
  <c r="AI895" i="20"/>
  <c r="AG895" i="20"/>
  <c r="AF895" i="20"/>
  <c r="AE895" i="20"/>
  <c r="AD895" i="20"/>
  <c r="AC895" i="20"/>
  <c r="AA895" i="20"/>
  <c r="Z895" i="20"/>
  <c r="Y895" i="20"/>
  <c r="X895" i="20"/>
  <c r="W895" i="20"/>
  <c r="AM894" i="20"/>
  <c r="AL894" i="20"/>
  <c r="AK894" i="20"/>
  <c r="AJ894" i="20"/>
  <c r="AI894" i="20"/>
  <c r="AG894" i="20"/>
  <c r="AF894" i="20"/>
  <c r="AE894" i="20"/>
  <c r="AD894" i="20"/>
  <c r="AC894" i="20"/>
  <c r="AA894" i="20"/>
  <c r="Z894" i="20"/>
  <c r="Y894" i="20"/>
  <c r="X894" i="20"/>
  <c r="W894" i="20"/>
  <c r="AM893" i="20"/>
  <c r="AL893" i="20"/>
  <c r="AK893" i="20"/>
  <c r="AJ893" i="20"/>
  <c r="AI893" i="20"/>
  <c r="AG893" i="20"/>
  <c r="AF893" i="20"/>
  <c r="AE893" i="20"/>
  <c r="AD893" i="20"/>
  <c r="AC893" i="20"/>
  <c r="AA893" i="20"/>
  <c r="Z893" i="20"/>
  <c r="Y893" i="20"/>
  <c r="X893" i="20"/>
  <c r="W893" i="20"/>
  <c r="AM892" i="20"/>
  <c r="AL892" i="20"/>
  <c r="AK892" i="20"/>
  <c r="AJ892" i="20"/>
  <c r="AI892" i="20"/>
  <c r="AG892" i="20"/>
  <c r="AF892" i="20"/>
  <c r="AE892" i="20"/>
  <c r="AD892" i="20"/>
  <c r="AC892" i="20"/>
  <c r="AA892" i="20"/>
  <c r="Z892" i="20"/>
  <c r="Y892" i="20"/>
  <c r="X892" i="20"/>
  <c r="W892" i="20"/>
  <c r="AM891" i="20"/>
  <c r="AL891" i="20"/>
  <c r="AK891" i="20"/>
  <c r="AJ891" i="20"/>
  <c r="AI891" i="20"/>
  <c r="AG891" i="20"/>
  <c r="AF891" i="20"/>
  <c r="AE891" i="20"/>
  <c r="AD891" i="20"/>
  <c r="AC891" i="20"/>
  <c r="AA891" i="20"/>
  <c r="Z891" i="20"/>
  <c r="Y891" i="20"/>
  <c r="X891" i="20"/>
  <c r="W891" i="20"/>
  <c r="AM890" i="20"/>
  <c r="AL890" i="20"/>
  <c r="AK890" i="20"/>
  <c r="AJ890" i="20"/>
  <c r="AI890" i="20"/>
  <c r="AG890" i="20"/>
  <c r="AF890" i="20"/>
  <c r="AE890" i="20"/>
  <c r="AD890" i="20"/>
  <c r="AC890" i="20"/>
  <c r="AA890" i="20"/>
  <c r="Z890" i="20"/>
  <c r="Y890" i="20"/>
  <c r="X890" i="20"/>
  <c r="W890" i="20"/>
  <c r="AM889" i="20"/>
  <c r="AL889" i="20"/>
  <c r="AK889" i="20"/>
  <c r="AJ889" i="20"/>
  <c r="AI889" i="20"/>
  <c r="AG889" i="20"/>
  <c r="AF889" i="20"/>
  <c r="AE889" i="20"/>
  <c r="AD889" i="20"/>
  <c r="AC889" i="20"/>
  <c r="AA889" i="20"/>
  <c r="Z889" i="20"/>
  <c r="Y889" i="20"/>
  <c r="X889" i="20"/>
  <c r="W889" i="20"/>
  <c r="AM888" i="20"/>
  <c r="AL888" i="20"/>
  <c r="AK888" i="20"/>
  <c r="AJ888" i="20"/>
  <c r="AI888" i="20"/>
  <c r="AG888" i="20"/>
  <c r="AF888" i="20"/>
  <c r="AE888" i="20"/>
  <c r="AD888" i="20"/>
  <c r="AC888" i="20"/>
  <c r="AA888" i="20"/>
  <c r="Z888" i="20"/>
  <c r="Y888" i="20"/>
  <c r="X888" i="20"/>
  <c r="W888" i="20"/>
  <c r="AM887" i="20"/>
  <c r="AL887" i="20"/>
  <c r="AK887" i="20"/>
  <c r="AJ887" i="20"/>
  <c r="AI887" i="20"/>
  <c r="AG887" i="20"/>
  <c r="AF887" i="20"/>
  <c r="AE887" i="20"/>
  <c r="AD887" i="20"/>
  <c r="AC887" i="20"/>
  <c r="AA887" i="20"/>
  <c r="Z887" i="20"/>
  <c r="Y887" i="20"/>
  <c r="X887" i="20"/>
  <c r="W887" i="20"/>
  <c r="AM886" i="20"/>
  <c r="AL886" i="20"/>
  <c r="AK886" i="20"/>
  <c r="AJ886" i="20"/>
  <c r="AI886" i="20"/>
  <c r="AG886" i="20"/>
  <c r="AF886" i="20"/>
  <c r="AE886" i="20"/>
  <c r="AD886" i="20"/>
  <c r="AC886" i="20"/>
  <c r="AA886" i="20"/>
  <c r="Z886" i="20"/>
  <c r="Y886" i="20"/>
  <c r="X886" i="20"/>
  <c r="W886" i="20"/>
  <c r="AM885" i="20"/>
  <c r="AL885" i="20"/>
  <c r="AK885" i="20"/>
  <c r="AJ885" i="20"/>
  <c r="AI885" i="20"/>
  <c r="AG885" i="20"/>
  <c r="AF885" i="20"/>
  <c r="AE885" i="20"/>
  <c r="AD885" i="20"/>
  <c r="AC885" i="20"/>
  <c r="AA885" i="20"/>
  <c r="Z885" i="20"/>
  <c r="Y885" i="20"/>
  <c r="X885" i="20"/>
  <c r="W885" i="20"/>
  <c r="AM884" i="20"/>
  <c r="AL884" i="20"/>
  <c r="AK884" i="20"/>
  <c r="AJ884" i="20"/>
  <c r="AI884" i="20"/>
  <c r="AG884" i="20"/>
  <c r="AF884" i="20"/>
  <c r="AE884" i="20"/>
  <c r="AD884" i="20"/>
  <c r="AC884" i="20"/>
  <c r="AA884" i="20"/>
  <c r="Z884" i="20"/>
  <c r="Y884" i="20"/>
  <c r="X884" i="20"/>
  <c r="W884" i="20"/>
  <c r="AM883" i="20"/>
  <c r="AL883" i="20"/>
  <c r="AK883" i="20"/>
  <c r="AJ883" i="20"/>
  <c r="AI883" i="20"/>
  <c r="AG883" i="20"/>
  <c r="AF883" i="20"/>
  <c r="AE883" i="20"/>
  <c r="AD883" i="20"/>
  <c r="AC883" i="20"/>
  <c r="AA883" i="20"/>
  <c r="Z883" i="20"/>
  <c r="Y883" i="20"/>
  <c r="X883" i="20"/>
  <c r="W883" i="20"/>
  <c r="AM882" i="20"/>
  <c r="AL882" i="20"/>
  <c r="AK882" i="20"/>
  <c r="AJ882" i="20"/>
  <c r="AI882" i="20"/>
  <c r="AG882" i="20"/>
  <c r="AF882" i="20"/>
  <c r="AE882" i="20"/>
  <c r="AD882" i="20"/>
  <c r="AC882" i="20"/>
  <c r="AA882" i="20"/>
  <c r="Z882" i="20"/>
  <c r="Y882" i="20"/>
  <c r="X882" i="20"/>
  <c r="W882" i="20"/>
  <c r="AM881" i="20"/>
  <c r="AL881" i="20"/>
  <c r="AK881" i="20"/>
  <c r="AJ881" i="20"/>
  <c r="AI881" i="20"/>
  <c r="AG881" i="20"/>
  <c r="AF881" i="20"/>
  <c r="AE881" i="20"/>
  <c r="AD881" i="20"/>
  <c r="AC881" i="20"/>
  <c r="AA881" i="20"/>
  <c r="Z881" i="20"/>
  <c r="Y881" i="20"/>
  <c r="X881" i="20"/>
  <c r="W881" i="20"/>
  <c r="AM880" i="20"/>
  <c r="AL880" i="20"/>
  <c r="AK880" i="20"/>
  <c r="AJ880" i="20"/>
  <c r="AI880" i="20"/>
  <c r="AG880" i="20"/>
  <c r="AF880" i="20"/>
  <c r="AE880" i="20"/>
  <c r="AD880" i="20"/>
  <c r="AC880" i="20"/>
  <c r="AA880" i="20"/>
  <c r="Z880" i="20"/>
  <c r="Y880" i="20"/>
  <c r="X880" i="20"/>
  <c r="W880" i="20"/>
  <c r="AM879" i="20"/>
  <c r="AL879" i="20"/>
  <c r="AK879" i="20"/>
  <c r="AJ879" i="20"/>
  <c r="AI879" i="20"/>
  <c r="AG879" i="20"/>
  <c r="AF879" i="20"/>
  <c r="AE879" i="20"/>
  <c r="AD879" i="20"/>
  <c r="AC879" i="20"/>
  <c r="AA879" i="20"/>
  <c r="Z879" i="20"/>
  <c r="Y879" i="20"/>
  <c r="X879" i="20"/>
  <c r="W879" i="20"/>
  <c r="AM878" i="20"/>
  <c r="AL878" i="20"/>
  <c r="AK878" i="20"/>
  <c r="AJ878" i="20"/>
  <c r="AI878" i="20"/>
  <c r="AG878" i="20"/>
  <c r="AF878" i="20"/>
  <c r="AE878" i="20"/>
  <c r="AD878" i="20"/>
  <c r="AC878" i="20"/>
  <c r="AA878" i="20"/>
  <c r="Z878" i="20"/>
  <c r="Y878" i="20"/>
  <c r="X878" i="20"/>
  <c r="W878" i="20"/>
  <c r="AM877" i="20"/>
  <c r="AL877" i="20"/>
  <c r="AK877" i="20"/>
  <c r="AJ877" i="20"/>
  <c r="AI877" i="20"/>
  <c r="AG877" i="20"/>
  <c r="AF877" i="20"/>
  <c r="AE877" i="20"/>
  <c r="AD877" i="20"/>
  <c r="AC877" i="20"/>
  <c r="AA877" i="20"/>
  <c r="Z877" i="20"/>
  <c r="Y877" i="20"/>
  <c r="X877" i="20"/>
  <c r="W877" i="20"/>
  <c r="AM876" i="20"/>
  <c r="AL876" i="20"/>
  <c r="AK876" i="20"/>
  <c r="AJ876" i="20"/>
  <c r="AI876" i="20"/>
  <c r="AG876" i="20"/>
  <c r="AF876" i="20"/>
  <c r="AE876" i="20"/>
  <c r="AD876" i="20"/>
  <c r="AC876" i="20"/>
  <c r="AA876" i="20"/>
  <c r="Z876" i="20"/>
  <c r="Y876" i="20"/>
  <c r="X876" i="20"/>
  <c r="W876" i="20"/>
  <c r="AM875" i="20"/>
  <c r="AL875" i="20"/>
  <c r="AK875" i="20"/>
  <c r="AJ875" i="20"/>
  <c r="AI875" i="20"/>
  <c r="AG875" i="20"/>
  <c r="AF875" i="20"/>
  <c r="AE875" i="20"/>
  <c r="AD875" i="20"/>
  <c r="AC875" i="20"/>
  <c r="AA875" i="20"/>
  <c r="Z875" i="20"/>
  <c r="Y875" i="20"/>
  <c r="X875" i="20"/>
  <c r="W875" i="20"/>
  <c r="AM874" i="20"/>
  <c r="AL874" i="20"/>
  <c r="AK874" i="20"/>
  <c r="AJ874" i="20"/>
  <c r="AI874" i="20"/>
  <c r="AG874" i="20"/>
  <c r="AF874" i="20"/>
  <c r="AE874" i="20"/>
  <c r="AD874" i="20"/>
  <c r="AC874" i="20"/>
  <c r="AA874" i="20"/>
  <c r="Z874" i="20"/>
  <c r="Y874" i="20"/>
  <c r="X874" i="20"/>
  <c r="W874" i="20"/>
  <c r="AM873" i="20"/>
  <c r="AL873" i="20"/>
  <c r="AK873" i="20"/>
  <c r="AJ873" i="20"/>
  <c r="AI873" i="20"/>
  <c r="AG873" i="20"/>
  <c r="AF873" i="20"/>
  <c r="AE873" i="20"/>
  <c r="AD873" i="20"/>
  <c r="AC873" i="20"/>
  <c r="AA873" i="20"/>
  <c r="Z873" i="20"/>
  <c r="Y873" i="20"/>
  <c r="X873" i="20"/>
  <c r="W873" i="20"/>
  <c r="AM872" i="20"/>
  <c r="AL872" i="20"/>
  <c r="AK872" i="20"/>
  <c r="AJ872" i="20"/>
  <c r="AI872" i="20"/>
  <c r="AG872" i="20"/>
  <c r="AF872" i="20"/>
  <c r="AE872" i="20"/>
  <c r="AD872" i="20"/>
  <c r="AC872" i="20"/>
  <c r="AA872" i="20"/>
  <c r="Z872" i="20"/>
  <c r="Y872" i="20"/>
  <c r="X872" i="20"/>
  <c r="W872" i="20"/>
  <c r="AM871" i="20"/>
  <c r="AL871" i="20"/>
  <c r="AK871" i="20"/>
  <c r="AJ871" i="20"/>
  <c r="AI871" i="20"/>
  <c r="AG871" i="20"/>
  <c r="AF871" i="20"/>
  <c r="AE871" i="20"/>
  <c r="AD871" i="20"/>
  <c r="AC871" i="20"/>
  <c r="AA871" i="20"/>
  <c r="Z871" i="20"/>
  <c r="Y871" i="20"/>
  <c r="X871" i="20"/>
  <c r="W871" i="20"/>
  <c r="AM870" i="20"/>
  <c r="AL870" i="20"/>
  <c r="AK870" i="20"/>
  <c r="AJ870" i="20"/>
  <c r="AI870" i="20"/>
  <c r="AG870" i="20"/>
  <c r="AF870" i="20"/>
  <c r="AE870" i="20"/>
  <c r="AD870" i="20"/>
  <c r="AC870" i="20"/>
  <c r="AA870" i="20"/>
  <c r="Z870" i="20"/>
  <c r="Y870" i="20"/>
  <c r="X870" i="20"/>
  <c r="W870" i="20"/>
  <c r="AM869" i="20"/>
  <c r="AL869" i="20"/>
  <c r="AK869" i="20"/>
  <c r="AJ869" i="20"/>
  <c r="AI869" i="20"/>
  <c r="AG869" i="20"/>
  <c r="AF869" i="20"/>
  <c r="AE869" i="20"/>
  <c r="AD869" i="20"/>
  <c r="AC869" i="20"/>
  <c r="AA869" i="20"/>
  <c r="Z869" i="20"/>
  <c r="Y869" i="20"/>
  <c r="X869" i="20"/>
  <c r="W869" i="20"/>
  <c r="AM868" i="20"/>
  <c r="AL868" i="20"/>
  <c r="AK868" i="20"/>
  <c r="AJ868" i="20"/>
  <c r="AI868" i="20"/>
  <c r="AG868" i="20"/>
  <c r="AF868" i="20"/>
  <c r="AE868" i="20"/>
  <c r="AD868" i="20"/>
  <c r="AC868" i="20"/>
  <c r="AA868" i="20"/>
  <c r="Z868" i="20"/>
  <c r="Y868" i="20"/>
  <c r="X868" i="20"/>
  <c r="W868" i="20"/>
  <c r="AM867" i="20"/>
  <c r="AL867" i="20"/>
  <c r="AK867" i="20"/>
  <c r="AJ867" i="20"/>
  <c r="AI867" i="20"/>
  <c r="AG867" i="20"/>
  <c r="AF867" i="20"/>
  <c r="AE867" i="20"/>
  <c r="AD867" i="20"/>
  <c r="AC867" i="20"/>
  <c r="AA867" i="20"/>
  <c r="Z867" i="20"/>
  <c r="Y867" i="20"/>
  <c r="X867" i="20"/>
  <c r="W867" i="20"/>
  <c r="AM866" i="20"/>
  <c r="AL866" i="20"/>
  <c r="AK866" i="20"/>
  <c r="AJ866" i="20"/>
  <c r="AI866" i="20"/>
  <c r="AG866" i="20"/>
  <c r="AF866" i="20"/>
  <c r="AE866" i="20"/>
  <c r="AD866" i="20"/>
  <c r="AC866" i="20"/>
  <c r="AA866" i="20"/>
  <c r="Z866" i="20"/>
  <c r="Y866" i="20"/>
  <c r="X866" i="20"/>
  <c r="W866" i="20"/>
  <c r="AM865" i="20"/>
  <c r="AL865" i="20"/>
  <c r="AK865" i="20"/>
  <c r="AJ865" i="20"/>
  <c r="AI865" i="20"/>
  <c r="AG865" i="20"/>
  <c r="AF865" i="20"/>
  <c r="AE865" i="20"/>
  <c r="AD865" i="20"/>
  <c r="AC865" i="20"/>
  <c r="AA865" i="20"/>
  <c r="Z865" i="20"/>
  <c r="Y865" i="20"/>
  <c r="X865" i="20"/>
  <c r="W865" i="20"/>
  <c r="AM864" i="20"/>
  <c r="AL864" i="20"/>
  <c r="AK864" i="20"/>
  <c r="AJ864" i="20"/>
  <c r="AI864" i="20"/>
  <c r="AG864" i="20"/>
  <c r="AF864" i="20"/>
  <c r="AE864" i="20"/>
  <c r="AD864" i="20"/>
  <c r="AC864" i="20"/>
  <c r="AA864" i="20"/>
  <c r="Z864" i="20"/>
  <c r="Y864" i="20"/>
  <c r="X864" i="20"/>
  <c r="W864" i="20"/>
  <c r="AM863" i="20"/>
  <c r="AL863" i="20"/>
  <c r="AK863" i="20"/>
  <c r="AJ863" i="20"/>
  <c r="AI863" i="20"/>
  <c r="AG863" i="20"/>
  <c r="AF863" i="20"/>
  <c r="AE863" i="20"/>
  <c r="AD863" i="20"/>
  <c r="AC863" i="20"/>
  <c r="AA863" i="20"/>
  <c r="Z863" i="20"/>
  <c r="Y863" i="20"/>
  <c r="X863" i="20"/>
  <c r="W863" i="20"/>
  <c r="AM862" i="20"/>
  <c r="AL862" i="20"/>
  <c r="AK862" i="20"/>
  <c r="AJ862" i="20"/>
  <c r="AI862" i="20"/>
  <c r="AG862" i="20"/>
  <c r="AF862" i="20"/>
  <c r="AE862" i="20"/>
  <c r="AD862" i="20"/>
  <c r="AC862" i="20"/>
  <c r="AA862" i="20"/>
  <c r="Z862" i="20"/>
  <c r="Y862" i="20"/>
  <c r="X862" i="20"/>
  <c r="W862" i="20"/>
  <c r="AM861" i="20"/>
  <c r="AL861" i="20"/>
  <c r="AK861" i="20"/>
  <c r="AJ861" i="20"/>
  <c r="AI861" i="20"/>
  <c r="AG861" i="20"/>
  <c r="AF861" i="20"/>
  <c r="AE861" i="20"/>
  <c r="AD861" i="20"/>
  <c r="AC861" i="20"/>
  <c r="AA861" i="20"/>
  <c r="Z861" i="20"/>
  <c r="Y861" i="20"/>
  <c r="X861" i="20"/>
  <c r="W861" i="20"/>
  <c r="AM860" i="20"/>
  <c r="AL860" i="20"/>
  <c r="AK860" i="20"/>
  <c r="AJ860" i="20"/>
  <c r="AI860" i="20"/>
  <c r="AG860" i="20"/>
  <c r="AF860" i="20"/>
  <c r="AE860" i="20"/>
  <c r="AD860" i="20"/>
  <c r="AC860" i="20"/>
  <c r="AA860" i="20"/>
  <c r="Z860" i="20"/>
  <c r="Y860" i="20"/>
  <c r="X860" i="20"/>
  <c r="W860" i="20"/>
  <c r="AM859" i="20"/>
  <c r="AL859" i="20"/>
  <c r="AK859" i="20"/>
  <c r="AJ859" i="20"/>
  <c r="AI859" i="20"/>
  <c r="AG859" i="20"/>
  <c r="AF859" i="20"/>
  <c r="AE859" i="20"/>
  <c r="AD859" i="20"/>
  <c r="AC859" i="20"/>
  <c r="AA859" i="20"/>
  <c r="Z859" i="20"/>
  <c r="Y859" i="20"/>
  <c r="X859" i="20"/>
  <c r="W859" i="20"/>
  <c r="AM858" i="20"/>
  <c r="AL858" i="20"/>
  <c r="AK858" i="20"/>
  <c r="AJ858" i="20"/>
  <c r="AI858" i="20"/>
  <c r="AG858" i="20"/>
  <c r="AF858" i="20"/>
  <c r="AE858" i="20"/>
  <c r="AD858" i="20"/>
  <c r="AC858" i="20"/>
  <c r="AA858" i="20"/>
  <c r="Z858" i="20"/>
  <c r="Y858" i="20"/>
  <c r="X858" i="20"/>
  <c r="W858" i="20"/>
  <c r="AM857" i="20"/>
  <c r="AL857" i="20"/>
  <c r="AK857" i="20"/>
  <c r="AJ857" i="20"/>
  <c r="AI857" i="20"/>
  <c r="AG857" i="20"/>
  <c r="AF857" i="20"/>
  <c r="AE857" i="20"/>
  <c r="AD857" i="20"/>
  <c r="AC857" i="20"/>
  <c r="AA857" i="20"/>
  <c r="Z857" i="20"/>
  <c r="Y857" i="20"/>
  <c r="X857" i="20"/>
  <c r="W857" i="20"/>
  <c r="AM856" i="20"/>
  <c r="AL856" i="20"/>
  <c r="AK856" i="20"/>
  <c r="AJ856" i="20"/>
  <c r="AI856" i="20"/>
  <c r="AG856" i="20"/>
  <c r="AF856" i="20"/>
  <c r="AE856" i="20"/>
  <c r="AD856" i="20"/>
  <c r="AC856" i="20"/>
  <c r="AA856" i="20"/>
  <c r="Z856" i="20"/>
  <c r="Y856" i="20"/>
  <c r="X856" i="20"/>
  <c r="W856" i="20"/>
  <c r="AM855" i="20"/>
  <c r="AL855" i="20"/>
  <c r="AK855" i="20"/>
  <c r="AJ855" i="20"/>
  <c r="AI855" i="20"/>
  <c r="AG855" i="20"/>
  <c r="AF855" i="20"/>
  <c r="AE855" i="20"/>
  <c r="AD855" i="20"/>
  <c r="AC855" i="20"/>
  <c r="AA855" i="20"/>
  <c r="Z855" i="20"/>
  <c r="Y855" i="20"/>
  <c r="X855" i="20"/>
  <c r="W855" i="20"/>
  <c r="AM854" i="20"/>
  <c r="AL854" i="20"/>
  <c r="AK854" i="20"/>
  <c r="AJ854" i="20"/>
  <c r="AI854" i="20"/>
  <c r="AG854" i="20"/>
  <c r="AF854" i="20"/>
  <c r="AE854" i="20"/>
  <c r="AD854" i="20"/>
  <c r="AC854" i="20"/>
  <c r="AA854" i="20"/>
  <c r="Z854" i="20"/>
  <c r="Y854" i="20"/>
  <c r="X854" i="20"/>
  <c r="W854" i="20"/>
  <c r="AM853" i="20"/>
  <c r="AL853" i="20"/>
  <c r="AK853" i="20"/>
  <c r="AJ853" i="20"/>
  <c r="AI853" i="20"/>
  <c r="AG853" i="20"/>
  <c r="AF853" i="20"/>
  <c r="AE853" i="20"/>
  <c r="AD853" i="20"/>
  <c r="AC853" i="20"/>
  <c r="AA853" i="20"/>
  <c r="Z853" i="20"/>
  <c r="Y853" i="20"/>
  <c r="X853" i="20"/>
  <c r="W853" i="20"/>
  <c r="AM852" i="20"/>
  <c r="AL852" i="20"/>
  <c r="AK852" i="20"/>
  <c r="AJ852" i="20"/>
  <c r="AI852" i="20"/>
  <c r="AG852" i="20"/>
  <c r="AF852" i="20"/>
  <c r="AE852" i="20"/>
  <c r="AD852" i="20"/>
  <c r="AC852" i="20"/>
  <c r="AA852" i="20"/>
  <c r="Z852" i="20"/>
  <c r="Y852" i="20"/>
  <c r="X852" i="20"/>
  <c r="W852" i="20"/>
  <c r="AM851" i="20"/>
  <c r="AL851" i="20"/>
  <c r="AK851" i="20"/>
  <c r="AJ851" i="20"/>
  <c r="AI851" i="20"/>
  <c r="AG851" i="20"/>
  <c r="AF851" i="20"/>
  <c r="AE851" i="20"/>
  <c r="AD851" i="20"/>
  <c r="AC851" i="20"/>
  <c r="AA851" i="20"/>
  <c r="Z851" i="20"/>
  <c r="Y851" i="20"/>
  <c r="X851" i="20"/>
  <c r="W851" i="20"/>
  <c r="AM850" i="20"/>
  <c r="AL850" i="20"/>
  <c r="AK850" i="20"/>
  <c r="AJ850" i="20"/>
  <c r="AI850" i="20"/>
  <c r="AG850" i="20"/>
  <c r="AF850" i="20"/>
  <c r="AE850" i="20"/>
  <c r="AD850" i="20"/>
  <c r="AC850" i="20"/>
  <c r="AA850" i="20"/>
  <c r="Z850" i="20"/>
  <c r="Y850" i="20"/>
  <c r="X850" i="20"/>
  <c r="W850" i="20"/>
  <c r="AM849" i="20"/>
  <c r="AL849" i="20"/>
  <c r="AK849" i="20"/>
  <c r="AJ849" i="20"/>
  <c r="AI849" i="20"/>
  <c r="AG849" i="20"/>
  <c r="AF849" i="20"/>
  <c r="AE849" i="20"/>
  <c r="AD849" i="20"/>
  <c r="AC849" i="20"/>
  <c r="AA849" i="20"/>
  <c r="Z849" i="20"/>
  <c r="Y849" i="20"/>
  <c r="X849" i="20"/>
  <c r="W849" i="20"/>
  <c r="AM848" i="20"/>
  <c r="AL848" i="20"/>
  <c r="AK848" i="20"/>
  <c r="AJ848" i="20"/>
  <c r="AI848" i="20"/>
  <c r="AG848" i="20"/>
  <c r="AF848" i="20"/>
  <c r="AE848" i="20"/>
  <c r="AD848" i="20"/>
  <c r="AC848" i="20"/>
  <c r="AA848" i="20"/>
  <c r="Z848" i="20"/>
  <c r="Y848" i="20"/>
  <c r="X848" i="20"/>
  <c r="W848" i="20"/>
  <c r="AM847" i="20"/>
  <c r="AL847" i="20"/>
  <c r="AK847" i="20"/>
  <c r="AJ847" i="20"/>
  <c r="AI847" i="20"/>
  <c r="AG847" i="20"/>
  <c r="AF847" i="20"/>
  <c r="AE847" i="20"/>
  <c r="AD847" i="20"/>
  <c r="AC847" i="20"/>
  <c r="AA847" i="20"/>
  <c r="Z847" i="20"/>
  <c r="Y847" i="20"/>
  <c r="X847" i="20"/>
  <c r="W847" i="20"/>
  <c r="AM846" i="20"/>
  <c r="AL846" i="20"/>
  <c r="AK846" i="20"/>
  <c r="AJ846" i="20"/>
  <c r="AI846" i="20"/>
  <c r="AG846" i="20"/>
  <c r="AF846" i="20"/>
  <c r="AE846" i="20"/>
  <c r="AD846" i="20"/>
  <c r="AC846" i="20"/>
  <c r="AA846" i="20"/>
  <c r="Z846" i="20"/>
  <c r="Y846" i="20"/>
  <c r="X846" i="20"/>
  <c r="W846" i="20"/>
  <c r="AM845" i="20"/>
  <c r="AL845" i="20"/>
  <c r="AK845" i="20"/>
  <c r="AJ845" i="20"/>
  <c r="AI845" i="20"/>
  <c r="AG845" i="20"/>
  <c r="AF845" i="20"/>
  <c r="AE845" i="20"/>
  <c r="AD845" i="20"/>
  <c r="AC845" i="20"/>
  <c r="AA845" i="20"/>
  <c r="Z845" i="20"/>
  <c r="Y845" i="20"/>
  <c r="X845" i="20"/>
  <c r="W845" i="20"/>
  <c r="AM844" i="20"/>
  <c r="AL844" i="20"/>
  <c r="AK844" i="20"/>
  <c r="AJ844" i="20"/>
  <c r="AI844" i="20"/>
  <c r="AG844" i="20"/>
  <c r="AF844" i="20"/>
  <c r="AE844" i="20"/>
  <c r="AD844" i="20"/>
  <c r="AC844" i="20"/>
  <c r="AA844" i="20"/>
  <c r="Z844" i="20"/>
  <c r="Y844" i="20"/>
  <c r="X844" i="20"/>
  <c r="W844" i="20"/>
  <c r="AM843" i="20"/>
  <c r="AL843" i="20"/>
  <c r="AK843" i="20"/>
  <c r="AJ843" i="20"/>
  <c r="AI843" i="20"/>
  <c r="AG843" i="20"/>
  <c r="AF843" i="20"/>
  <c r="AE843" i="20"/>
  <c r="AD843" i="20"/>
  <c r="AC843" i="20"/>
  <c r="AA843" i="20"/>
  <c r="Z843" i="20"/>
  <c r="Y843" i="20"/>
  <c r="X843" i="20"/>
  <c r="W843" i="20"/>
  <c r="AM842" i="20"/>
  <c r="AL842" i="20"/>
  <c r="AK842" i="20"/>
  <c r="AJ842" i="20"/>
  <c r="AI842" i="20"/>
  <c r="AG842" i="20"/>
  <c r="AF842" i="20"/>
  <c r="AE842" i="20"/>
  <c r="AD842" i="20"/>
  <c r="AC842" i="20"/>
  <c r="AA842" i="20"/>
  <c r="Z842" i="20"/>
  <c r="Y842" i="20"/>
  <c r="X842" i="20"/>
  <c r="W842" i="20"/>
  <c r="AM841" i="20"/>
  <c r="AL841" i="20"/>
  <c r="AK841" i="20"/>
  <c r="AJ841" i="20"/>
  <c r="AI841" i="20"/>
  <c r="AG841" i="20"/>
  <c r="AF841" i="20"/>
  <c r="AE841" i="20"/>
  <c r="AD841" i="20"/>
  <c r="AC841" i="20"/>
  <c r="AA841" i="20"/>
  <c r="Z841" i="20"/>
  <c r="Y841" i="20"/>
  <c r="X841" i="20"/>
  <c r="W841" i="20"/>
  <c r="AM840" i="20"/>
  <c r="AL840" i="20"/>
  <c r="AK840" i="20"/>
  <c r="AJ840" i="20"/>
  <c r="AI840" i="20"/>
  <c r="AG840" i="20"/>
  <c r="AF840" i="20"/>
  <c r="AE840" i="20"/>
  <c r="AD840" i="20"/>
  <c r="AC840" i="20"/>
  <c r="AA840" i="20"/>
  <c r="Z840" i="20"/>
  <c r="Y840" i="20"/>
  <c r="X840" i="20"/>
  <c r="W840" i="20"/>
  <c r="AM839" i="20"/>
  <c r="AL839" i="20"/>
  <c r="AK839" i="20"/>
  <c r="AJ839" i="20"/>
  <c r="AI839" i="20"/>
  <c r="AG839" i="20"/>
  <c r="AF839" i="20"/>
  <c r="AE839" i="20"/>
  <c r="AD839" i="20"/>
  <c r="AC839" i="20"/>
  <c r="AA839" i="20"/>
  <c r="Z839" i="20"/>
  <c r="Y839" i="20"/>
  <c r="X839" i="20"/>
  <c r="W839" i="20"/>
  <c r="AM838" i="20"/>
  <c r="AL838" i="20"/>
  <c r="AK838" i="20"/>
  <c r="AJ838" i="20"/>
  <c r="AI838" i="20"/>
  <c r="AG838" i="20"/>
  <c r="AF838" i="20"/>
  <c r="AE838" i="20"/>
  <c r="AD838" i="20"/>
  <c r="AC838" i="20"/>
  <c r="AA838" i="20"/>
  <c r="Z838" i="20"/>
  <c r="Y838" i="20"/>
  <c r="X838" i="20"/>
  <c r="W838" i="20"/>
  <c r="AM837" i="20"/>
  <c r="AL837" i="20"/>
  <c r="AK837" i="20"/>
  <c r="AJ837" i="20"/>
  <c r="AI837" i="20"/>
  <c r="AG837" i="20"/>
  <c r="AF837" i="20"/>
  <c r="AE837" i="20"/>
  <c r="AD837" i="20"/>
  <c r="AC837" i="20"/>
  <c r="AA837" i="20"/>
  <c r="Z837" i="20"/>
  <c r="Y837" i="20"/>
  <c r="X837" i="20"/>
  <c r="W837" i="20"/>
  <c r="AM836" i="20"/>
  <c r="AL836" i="20"/>
  <c r="AK836" i="20"/>
  <c r="AJ836" i="20"/>
  <c r="AI836" i="20"/>
  <c r="AG836" i="20"/>
  <c r="AF836" i="20"/>
  <c r="AE836" i="20"/>
  <c r="AD836" i="20"/>
  <c r="AC836" i="20"/>
  <c r="AA836" i="20"/>
  <c r="Z836" i="20"/>
  <c r="Y836" i="20"/>
  <c r="X836" i="20"/>
  <c r="W836" i="20"/>
  <c r="AM835" i="20"/>
  <c r="AL835" i="20"/>
  <c r="AK835" i="20"/>
  <c r="AJ835" i="20"/>
  <c r="AI835" i="20"/>
  <c r="AG835" i="20"/>
  <c r="AF835" i="20"/>
  <c r="AE835" i="20"/>
  <c r="AD835" i="20"/>
  <c r="AC835" i="20"/>
  <c r="AA835" i="20"/>
  <c r="Z835" i="20"/>
  <c r="Y835" i="20"/>
  <c r="X835" i="20"/>
  <c r="W835" i="20"/>
  <c r="AM834" i="20"/>
  <c r="AL834" i="20"/>
  <c r="AK834" i="20"/>
  <c r="AJ834" i="20"/>
  <c r="AI834" i="20"/>
  <c r="AG834" i="20"/>
  <c r="AF834" i="20"/>
  <c r="AE834" i="20"/>
  <c r="AD834" i="20"/>
  <c r="AC834" i="20"/>
  <c r="AA834" i="20"/>
  <c r="Z834" i="20"/>
  <c r="Y834" i="20"/>
  <c r="X834" i="20"/>
  <c r="W834" i="20"/>
  <c r="AM833" i="20"/>
  <c r="AL833" i="20"/>
  <c r="AK833" i="20"/>
  <c r="AJ833" i="20"/>
  <c r="AI833" i="20"/>
  <c r="AG833" i="20"/>
  <c r="AF833" i="20"/>
  <c r="AE833" i="20"/>
  <c r="AD833" i="20"/>
  <c r="AC833" i="20"/>
  <c r="AA833" i="20"/>
  <c r="Z833" i="20"/>
  <c r="Y833" i="20"/>
  <c r="X833" i="20"/>
  <c r="W833" i="20"/>
  <c r="AM832" i="20"/>
  <c r="AL832" i="20"/>
  <c r="AK832" i="20"/>
  <c r="AJ832" i="20"/>
  <c r="AI832" i="20"/>
  <c r="AG832" i="20"/>
  <c r="AF832" i="20"/>
  <c r="AE832" i="20"/>
  <c r="AD832" i="20"/>
  <c r="AC832" i="20"/>
  <c r="AA832" i="20"/>
  <c r="Z832" i="20"/>
  <c r="Y832" i="20"/>
  <c r="X832" i="20"/>
  <c r="W832" i="20"/>
  <c r="AM831" i="20"/>
  <c r="AL831" i="20"/>
  <c r="AK831" i="20"/>
  <c r="AJ831" i="20"/>
  <c r="AI831" i="20"/>
  <c r="AG831" i="20"/>
  <c r="AF831" i="20"/>
  <c r="AE831" i="20"/>
  <c r="AD831" i="20"/>
  <c r="AC831" i="20"/>
  <c r="AA831" i="20"/>
  <c r="Z831" i="20"/>
  <c r="Y831" i="20"/>
  <c r="X831" i="20"/>
  <c r="W831" i="20"/>
  <c r="AM830" i="20"/>
  <c r="AL830" i="20"/>
  <c r="AK830" i="20"/>
  <c r="AJ830" i="20"/>
  <c r="AI830" i="20"/>
  <c r="AG830" i="20"/>
  <c r="AF830" i="20"/>
  <c r="AE830" i="20"/>
  <c r="AD830" i="20"/>
  <c r="AC830" i="20"/>
  <c r="AA830" i="20"/>
  <c r="Z830" i="20"/>
  <c r="Y830" i="20"/>
  <c r="X830" i="20"/>
  <c r="W830" i="20"/>
  <c r="AM829" i="20"/>
  <c r="AL829" i="20"/>
  <c r="AK829" i="20"/>
  <c r="AJ829" i="20"/>
  <c r="AI829" i="20"/>
  <c r="AG829" i="20"/>
  <c r="AF829" i="20"/>
  <c r="AE829" i="20"/>
  <c r="AD829" i="20"/>
  <c r="AC829" i="20"/>
  <c r="AA829" i="20"/>
  <c r="Z829" i="20"/>
  <c r="Y829" i="20"/>
  <c r="X829" i="20"/>
  <c r="W829" i="20"/>
  <c r="AM828" i="20"/>
  <c r="AL828" i="20"/>
  <c r="AK828" i="20"/>
  <c r="AJ828" i="20"/>
  <c r="AI828" i="20"/>
  <c r="AG828" i="20"/>
  <c r="AF828" i="20"/>
  <c r="AE828" i="20"/>
  <c r="AD828" i="20"/>
  <c r="AC828" i="20"/>
  <c r="AA828" i="20"/>
  <c r="Z828" i="20"/>
  <c r="Y828" i="20"/>
  <c r="X828" i="20"/>
  <c r="W828" i="20"/>
  <c r="AM827" i="20"/>
  <c r="AL827" i="20"/>
  <c r="AK827" i="20"/>
  <c r="AJ827" i="20"/>
  <c r="AI827" i="20"/>
  <c r="AG827" i="20"/>
  <c r="AF827" i="20"/>
  <c r="AE827" i="20"/>
  <c r="AD827" i="20"/>
  <c r="AC827" i="20"/>
  <c r="AA827" i="20"/>
  <c r="Z827" i="20"/>
  <c r="Y827" i="20"/>
  <c r="X827" i="20"/>
  <c r="W827" i="20"/>
  <c r="AM826" i="20"/>
  <c r="AL826" i="20"/>
  <c r="AK826" i="20"/>
  <c r="AJ826" i="20"/>
  <c r="AI826" i="20"/>
  <c r="AG826" i="20"/>
  <c r="AF826" i="20"/>
  <c r="AE826" i="20"/>
  <c r="AD826" i="20"/>
  <c r="AC826" i="20"/>
  <c r="AA826" i="20"/>
  <c r="Z826" i="20"/>
  <c r="Y826" i="20"/>
  <c r="X826" i="20"/>
  <c r="W826" i="20"/>
  <c r="AM825" i="20"/>
  <c r="AL825" i="20"/>
  <c r="AK825" i="20"/>
  <c r="AJ825" i="20"/>
  <c r="AI825" i="20"/>
  <c r="AG825" i="20"/>
  <c r="AF825" i="20"/>
  <c r="AE825" i="20"/>
  <c r="AD825" i="20"/>
  <c r="AC825" i="20"/>
  <c r="AA825" i="20"/>
  <c r="Z825" i="20"/>
  <c r="Y825" i="20"/>
  <c r="X825" i="20"/>
  <c r="W825" i="20"/>
  <c r="AM824" i="20"/>
  <c r="AL824" i="20"/>
  <c r="AK824" i="20"/>
  <c r="AJ824" i="20"/>
  <c r="AI824" i="20"/>
  <c r="AG824" i="20"/>
  <c r="AF824" i="20"/>
  <c r="AE824" i="20"/>
  <c r="AD824" i="20"/>
  <c r="AC824" i="20"/>
  <c r="AA824" i="20"/>
  <c r="Z824" i="20"/>
  <c r="Y824" i="20"/>
  <c r="X824" i="20"/>
  <c r="W824" i="20"/>
  <c r="AM823" i="20"/>
  <c r="AL823" i="20"/>
  <c r="AK823" i="20"/>
  <c r="AJ823" i="20"/>
  <c r="AI823" i="20"/>
  <c r="AG823" i="20"/>
  <c r="AF823" i="20"/>
  <c r="AE823" i="20"/>
  <c r="AD823" i="20"/>
  <c r="AC823" i="20"/>
  <c r="AA823" i="20"/>
  <c r="Z823" i="20"/>
  <c r="Y823" i="20"/>
  <c r="X823" i="20"/>
  <c r="W823" i="20"/>
  <c r="AM822" i="20"/>
  <c r="AL822" i="20"/>
  <c r="AK822" i="20"/>
  <c r="AJ822" i="20"/>
  <c r="AI822" i="20"/>
  <c r="AG822" i="20"/>
  <c r="AF822" i="20"/>
  <c r="AE822" i="20"/>
  <c r="AD822" i="20"/>
  <c r="AC822" i="20"/>
  <c r="AA822" i="20"/>
  <c r="Z822" i="20"/>
  <c r="Y822" i="20"/>
  <c r="X822" i="20"/>
  <c r="W822" i="20"/>
  <c r="AM821" i="20"/>
  <c r="AL821" i="20"/>
  <c r="AK821" i="20"/>
  <c r="AJ821" i="20"/>
  <c r="AI821" i="20"/>
  <c r="AG821" i="20"/>
  <c r="AF821" i="20"/>
  <c r="AE821" i="20"/>
  <c r="AD821" i="20"/>
  <c r="AC821" i="20"/>
  <c r="AA821" i="20"/>
  <c r="Z821" i="20"/>
  <c r="Y821" i="20"/>
  <c r="X821" i="20"/>
  <c r="W821" i="20"/>
  <c r="AM820" i="20"/>
  <c r="AL820" i="20"/>
  <c r="AK820" i="20"/>
  <c r="AJ820" i="20"/>
  <c r="AI820" i="20"/>
  <c r="AG820" i="20"/>
  <c r="AF820" i="20"/>
  <c r="AE820" i="20"/>
  <c r="AD820" i="20"/>
  <c r="AC820" i="20"/>
  <c r="AA820" i="20"/>
  <c r="Z820" i="20"/>
  <c r="Y820" i="20"/>
  <c r="X820" i="20"/>
  <c r="W820" i="20"/>
  <c r="AM819" i="20"/>
  <c r="AL819" i="20"/>
  <c r="AK819" i="20"/>
  <c r="AJ819" i="20"/>
  <c r="AI819" i="20"/>
  <c r="AG819" i="20"/>
  <c r="AF819" i="20"/>
  <c r="AE819" i="20"/>
  <c r="AD819" i="20"/>
  <c r="AC819" i="20"/>
  <c r="AA819" i="20"/>
  <c r="Z819" i="20"/>
  <c r="Y819" i="20"/>
  <c r="X819" i="20"/>
  <c r="W819" i="20"/>
  <c r="AM818" i="20"/>
  <c r="AL818" i="20"/>
  <c r="AK818" i="20"/>
  <c r="AJ818" i="20"/>
  <c r="AI818" i="20"/>
  <c r="AG818" i="20"/>
  <c r="AF818" i="20"/>
  <c r="AE818" i="20"/>
  <c r="AD818" i="20"/>
  <c r="AC818" i="20"/>
  <c r="AA818" i="20"/>
  <c r="Z818" i="20"/>
  <c r="Y818" i="20"/>
  <c r="X818" i="20"/>
  <c r="W818" i="20"/>
  <c r="AM817" i="20"/>
  <c r="AL817" i="20"/>
  <c r="AK817" i="20"/>
  <c r="AJ817" i="20"/>
  <c r="AI817" i="20"/>
  <c r="AG817" i="20"/>
  <c r="AF817" i="20"/>
  <c r="AE817" i="20"/>
  <c r="AD817" i="20"/>
  <c r="AC817" i="20"/>
  <c r="AA817" i="20"/>
  <c r="Z817" i="20"/>
  <c r="Y817" i="20"/>
  <c r="X817" i="20"/>
  <c r="W817" i="20"/>
  <c r="AM816" i="20"/>
  <c r="AL816" i="20"/>
  <c r="AK816" i="20"/>
  <c r="AJ816" i="20"/>
  <c r="AI816" i="20"/>
  <c r="AG816" i="20"/>
  <c r="AF816" i="20"/>
  <c r="AE816" i="20"/>
  <c r="AD816" i="20"/>
  <c r="AC816" i="20"/>
  <c r="AA816" i="20"/>
  <c r="Z816" i="20"/>
  <c r="Y816" i="20"/>
  <c r="X816" i="20"/>
  <c r="W816" i="20"/>
  <c r="AM815" i="20"/>
  <c r="AL815" i="20"/>
  <c r="AK815" i="20"/>
  <c r="AJ815" i="20"/>
  <c r="AI815" i="20"/>
  <c r="AG815" i="20"/>
  <c r="AF815" i="20"/>
  <c r="AE815" i="20"/>
  <c r="AD815" i="20"/>
  <c r="AC815" i="20"/>
  <c r="AA815" i="20"/>
  <c r="Z815" i="20"/>
  <c r="Y815" i="20"/>
  <c r="X815" i="20"/>
  <c r="W815" i="20"/>
  <c r="AM814" i="20"/>
  <c r="AL814" i="20"/>
  <c r="AK814" i="20"/>
  <c r="AJ814" i="20"/>
  <c r="AI814" i="20"/>
  <c r="AG814" i="20"/>
  <c r="AF814" i="20"/>
  <c r="AE814" i="20"/>
  <c r="AD814" i="20"/>
  <c r="AC814" i="20"/>
  <c r="AA814" i="20"/>
  <c r="Z814" i="20"/>
  <c r="Y814" i="20"/>
  <c r="X814" i="20"/>
  <c r="W814" i="20"/>
  <c r="AM813" i="20"/>
  <c r="AL813" i="20"/>
  <c r="AK813" i="20"/>
  <c r="AJ813" i="20"/>
  <c r="AI813" i="20"/>
  <c r="AG813" i="20"/>
  <c r="AF813" i="20"/>
  <c r="AE813" i="20"/>
  <c r="AD813" i="20"/>
  <c r="AC813" i="20"/>
  <c r="AA813" i="20"/>
  <c r="Z813" i="20"/>
  <c r="Y813" i="20"/>
  <c r="X813" i="20"/>
  <c r="W813" i="20"/>
  <c r="AM812" i="20"/>
  <c r="AL812" i="20"/>
  <c r="AK812" i="20"/>
  <c r="AJ812" i="20"/>
  <c r="AI812" i="20"/>
  <c r="AG812" i="20"/>
  <c r="AF812" i="20"/>
  <c r="AE812" i="20"/>
  <c r="AD812" i="20"/>
  <c r="AC812" i="20"/>
  <c r="AA812" i="20"/>
  <c r="Z812" i="20"/>
  <c r="Y812" i="20"/>
  <c r="X812" i="20"/>
  <c r="W812" i="20"/>
  <c r="AM811" i="20"/>
  <c r="AL811" i="20"/>
  <c r="AK811" i="20"/>
  <c r="AJ811" i="20"/>
  <c r="AI811" i="20"/>
  <c r="AG811" i="20"/>
  <c r="AF811" i="20"/>
  <c r="AE811" i="20"/>
  <c r="AD811" i="20"/>
  <c r="AC811" i="20"/>
  <c r="AA811" i="20"/>
  <c r="Z811" i="20"/>
  <c r="Y811" i="20"/>
  <c r="X811" i="20"/>
  <c r="W811" i="20"/>
  <c r="AM810" i="20"/>
  <c r="AL810" i="20"/>
  <c r="AK810" i="20"/>
  <c r="AJ810" i="20"/>
  <c r="AI810" i="20"/>
  <c r="AG810" i="20"/>
  <c r="AF810" i="20"/>
  <c r="AE810" i="20"/>
  <c r="AD810" i="20"/>
  <c r="AC810" i="20"/>
  <c r="AA810" i="20"/>
  <c r="Z810" i="20"/>
  <c r="Y810" i="20"/>
  <c r="X810" i="20"/>
  <c r="W810" i="20"/>
  <c r="AM809" i="20"/>
  <c r="AL809" i="20"/>
  <c r="AK809" i="20"/>
  <c r="AJ809" i="20"/>
  <c r="AI809" i="20"/>
  <c r="AG809" i="20"/>
  <c r="AF809" i="20"/>
  <c r="AE809" i="20"/>
  <c r="AD809" i="20"/>
  <c r="AC809" i="20"/>
  <c r="AA809" i="20"/>
  <c r="Z809" i="20"/>
  <c r="Y809" i="20"/>
  <c r="X809" i="20"/>
  <c r="W809" i="20"/>
  <c r="AM808" i="20"/>
  <c r="AL808" i="20"/>
  <c r="AK808" i="20"/>
  <c r="AJ808" i="20"/>
  <c r="AI808" i="20"/>
  <c r="AG808" i="20"/>
  <c r="AF808" i="20"/>
  <c r="AE808" i="20"/>
  <c r="AD808" i="20"/>
  <c r="AC808" i="20"/>
  <c r="AA808" i="20"/>
  <c r="Z808" i="20"/>
  <c r="Y808" i="20"/>
  <c r="X808" i="20"/>
  <c r="W808" i="20"/>
  <c r="AM807" i="20"/>
  <c r="AL807" i="20"/>
  <c r="AK807" i="20"/>
  <c r="AJ807" i="20"/>
  <c r="AI807" i="20"/>
  <c r="AG807" i="20"/>
  <c r="AF807" i="20"/>
  <c r="AE807" i="20"/>
  <c r="AD807" i="20"/>
  <c r="AC807" i="20"/>
  <c r="AA807" i="20"/>
  <c r="Z807" i="20"/>
  <c r="Y807" i="20"/>
  <c r="X807" i="20"/>
  <c r="W807" i="20"/>
  <c r="AM806" i="20"/>
  <c r="AL806" i="20"/>
  <c r="AK806" i="20"/>
  <c r="AJ806" i="20"/>
  <c r="AI806" i="20"/>
  <c r="AG806" i="20"/>
  <c r="AF806" i="20"/>
  <c r="AE806" i="20"/>
  <c r="AD806" i="20"/>
  <c r="AC806" i="20"/>
  <c r="AA806" i="20"/>
  <c r="Z806" i="20"/>
  <c r="Y806" i="20"/>
  <c r="X806" i="20"/>
  <c r="W806" i="20"/>
  <c r="AM805" i="20"/>
  <c r="AL805" i="20"/>
  <c r="AK805" i="20"/>
  <c r="AJ805" i="20"/>
  <c r="AI805" i="20"/>
  <c r="AG805" i="20"/>
  <c r="AF805" i="20"/>
  <c r="AE805" i="20"/>
  <c r="AD805" i="20"/>
  <c r="AC805" i="20"/>
  <c r="AA805" i="20"/>
  <c r="Z805" i="20"/>
  <c r="Y805" i="20"/>
  <c r="X805" i="20"/>
  <c r="W805" i="20"/>
  <c r="AM804" i="20"/>
  <c r="AL804" i="20"/>
  <c r="AK804" i="20"/>
  <c r="AJ804" i="20"/>
  <c r="AI804" i="20"/>
  <c r="AG804" i="20"/>
  <c r="AF804" i="20"/>
  <c r="AE804" i="20"/>
  <c r="AD804" i="20"/>
  <c r="AC804" i="20"/>
  <c r="AA804" i="20"/>
  <c r="Z804" i="20"/>
  <c r="Y804" i="20"/>
  <c r="X804" i="20"/>
  <c r="W804" i="20"/>
  <c r="AM803" i="20"/>
  <c r="AL803" i="20"/>
  <c r="AK803" i="20"/>
  <c r="AJ803" i="20"/>
  <c r="AI803" i="20"/>
  <c r="AG803" i="20"/>
  <c r="AF803" i="20"/>
  <c r="AE803" i="20"/>
  <c r="AD803" i="20"/>
  <c r="AC803" i="20"/>
  <c r="AA803" i="20"/>
  <c r="Z803" i="20"/>
  <c r="Y803" i="20"/>
  <c r="X803" i="20"/>
  <c r="W803" i="20"/>
  <c r="AM802" i="20"/>
  <c r="AL802" i="20"/>
  <c r="AK802" i="20"/>
  <c r="AJ802" i="20"/>
  <c r="AI802" i="20"/>
  <c r="AG802" i="20"/>
  <c r="AF802" i="20"/>
  <c r="AE802" i="20"/>
  <c r="AD802" i="20"/>
  <c r="AC802" i="20"/>
  <c r="AA802" i="20"/>
  <c r="Z802" i="20"/>
  <c r="Y802" i="20"/>
  <c r="X802" i="20"/>
  <c r="W802" i="20"/>
  <c r="AM801" i="20"/>
  <c r="AL801" i="20"/>
  <c r="AK801" i="20"/>
  <c r="AJ801" i="20"/>
  <c r="AI801" i="20"/>
  <c r="AG801" i="20"/>
  <c r="AF801" i="20"/>
  <c r="AE801" i="20"/>
  <c r="AD801" i="20"/>
  <c r="AC801" i="20"/>
  <c r="AA801" i="20"/>
  <c r="Z801" i="20"/>
  <c r="Y801" i="20"/>
  <c r="X801" i="20"/>
  <c r="W801" i="20"/>
  <c r="AM800" i="20"/>
  <c r="AL800" i="20"/>
  <c r="AK800" i="20"/>
  <c r="AJ800" i="20"/>
  <c r="AI800" i="20"/>
  <c r="AG800" i="20"/>
  <c r="AF800" i="20"/>
  <c r="AE800" i="20"/>
  <c r="AD800" i="20"/>
  <c r="AC800" i="20"/>
  <c r="AA800" i="20"/>
  <c r="Z800" i="20"/>
  <c r="Y800" i="20"/>
  <c r="X800" i="20"/>
  <c r="W800" i="20"/>
  <c r="AM799" i="20"/>
  <c r="AL799" i="20"/>
  <c r="AK799" i="20"/>
  <c r="AJ799" i="20"/>
  <c r="AI799" i="20"/>
  <c r="AG799" i="20"/>
  <c r="AF799" i="20"/>
  <c r="AE799" i="20"/>
  <c r="AD799" i="20"/>
  <c r="AC799" i="20"/>
  <c r="AA799" i="20"/>
  <c r="Z799" i="20"/>
  <c r="Y799" i="20"/>
  <c r="X799" i="20"/>
  <c r="W799" i="20"/>
  <c r="AM798" i="20"/>
  <c r="AL798" i="20"/>
  <c r="AK798" i="20"/>
  <c r="AJ798" i="20"/>
  <c r="AI798" i="20"/>
  <c r="AG798" i="20"/>
  <c r="AF798" i="20"/>
  <c r="AE798" i="20"/>
  <c r="AD798" i="20"/>
  <c r="AC798" i="20"/>
  <c r="AA798" i="20"/>
  <c r="Z798" i="20"/>
  <c r="Y798" i="20"/>
  <c r="X798" i="20"/>
  <c r="W798" i="20"/>
  <c r="AM797" i="20"/>
  <c r="AL797" i="20"/>
  <c r="AK797" i="20"/>
  <c r="AJ797" i="20"/>
  <c r="AI797" i="20"/>
  <c r="AG797" i="20"/>
  <c r="AF797" i="20"/>
  <c r="AE797" i="20"/>
  <c r="AD797" i="20"/>
  <c r="AC797" i="20"/>
  <c r="AA797" i="20"/>
  <c r="Z797" i="20"/>
  <c r="Y797" i="20"/>
  <c r="X797" i="20"/>
  <c r="W797" i="20"/>
  <c r="AM796" i="20"/>
  <c r="AL796" i="20"/>
  <c r="AK796" i="20"/>
  <c r="AJ796" i="20"/>
  <c r="AI796" i="20"/>
  <c r="AG796" i="20"/>
  <c r="AF796" i="20"/>
  <c r="AE796" i="20"/>
  <c r="AD796" i="20"/>
  <c r="AC796" i="20"/>
  <c r="AA796" i="20"/>
  <c r="Z796" i="20"/>
  <c r="Y796" i="20"/>
  <c r="X796" i="20"/>
  <c r="W796" i="20"/>
  <c r="AM795" i="20"/>
  <c r="AL795" i="20"/>
  <c r="AK795" i="20"/>
  <c r="AJ795" i="20"/>
  <c r="AI795" i="20"/>
  <c r="AG795" i="20"/>
  <c r="AF795" i="20"/>
  <c r="AE795" i="20"/>
  <c r="AD795" i="20"/>
  <c r="AC795" i="20"/>
  <c r="AA795" i="20"/>
  <c r="Z795" i="20"/>
  <c r="Y795" i="20"/>
  <c r="X795" i="20"/>
  <c r="W795" i="20"/>
  <c r="AM794" i="20"/>
  <c r="AL794" i="20"/>
  <c r="AK794" i="20"/>
  <c r="AJ794" i="20"/>
  <c r="AI794" i="20"/>
  <c r="AG794" i="20"/>
  <c r="AF794" i="20"/>
  <c r="AE794" i="20"/>
  <c r="AD794" i="20"/>
  <c r="AC794" i="20"/>
  <c r="AA794" i="20"/>
  <c r="Z794" i="20"/>
  <c r="Y794" i="20"/>
  <c r="X794" i="20"/>
  <c r="W794" i="20"/>
  <c r="AM793" i="20"/>
  <c r="AL793" i="20"/>
  <c r="AK793" i="20"/>
  <c r="AJ793" i="20"/>
  <c r="AI793" i="20"/>
  <c r="AG793" i="20"/>
  <c r="AF793" i="20"/>
  <c r="AE793" i="20"/>
  <c r="AD793" i="20"/>
  <c r="AC793" i="20"/>
  <c r="AA793" i="20"/>
  <c r="Z793" i="20"/>
  <c r="Y793" i="20"/>
  <c r="X793" i="20"/>
  <c r="W793" i="20"/>
  <c r="AM792" i="20"/>
  <c r="AL792" i="20"/>
  <c r="AK792" i="20"/>
  <c r="AJ792" i="20"/>
  <c r="AI792" i="20"/>
  <c r="AG792" i="20"/>
  <c r="AF792" i="20"/>
  <c r="AE792" i="20"/>
  <c r="AD792" i="20"/>
  <c r="AC792" i="20"/>
  <c r="AA792" i="20"/>
  <c r="Z792" i="20"/>
  <c r="Y792" i="20"/>
  <c r="X792" i="20"/>
  <c r="W792" i="20"/>
  <c r="AM791" i="20"/>
  <c r="AL791" i="20"/>
  <c r="AK791" i="20"/>
  <c r="AJ791" i="20"/>
  <c r="AI791" i="20"/>
  <c r="AG791" i="20"/>
  <c r="AF791" i="20"/>
  <c r="AE791" i="20"/>
  <c r="AD791" i="20"/>
  <c r="AC791" i="20"/>
  <c r="AA791" i="20"/>
  <c r="Z791" i="20"/>
  <c r="Y791" i="20"/>
  <c r="X791" i="20"/>
  <c r="W791" i="20"/>
  <c r="AM790" i="20"/>
  <c r="AL790" i="20"/>
  <c r="AK790" i="20"/>
  <c r="AJ790" i="20"/>
  <c r="AI790" i="20"/>
  <c r="AG790" i="20"/>
  <c r="AF790" i="20"/>
  <c r="AE790" i="20"/>
  <c r="AD790" i="20"/>
  <c r="AC790" i="20"/>
  <c r="AA790" i="20"/>
  <c r="Z790" i="20"/>
  <c r="Y790" i="20"/>
  <c r="X790" i="20"/>
  <c r="W790" i="20"/>
  <c r="AM789" i="20"/>
  <c r="AL789" i="20"/>
  <c r="AK789" i="20"/>
  <c r="AJ789" i="20"/>
  <c r="AI789" i="20"/>
  <c r="AG789" i="20"/>
  <c r="AF789" i="20"/>
  <c r="AE789" i="20"/>
  <c r="AD789" i="20"/>
  <c r="AC789" i="20"/>
  <c r="AA789" i="20"/>
  <c r="Z789" i="20"/>
  <c r="Y789" i="20"/>
  <c r="X789" i="20"/>
  <c r="W789" i="20"/>
  <c r="AM788" i="20"/>
  <c r="AL788" i="20"/>
  <c r="AK788" i="20"/>
  <c r="AJ788" i="20"/>
  <c r="AI788" i="20"/>
  <c r="AG788" i="20"/>
  <c r="AF788" i="20"/>
  <c r="AE788" i="20"/>
  <c r="AD788" i="20"/>
  <c r="AC788" i="20"/>
  <c r="AA788" i="20"/>
  <c r="Z788" i="20"/>
  <c r="Y788" i="20"/>
  <c r="X788" i="20"/>
  <c r="W788" i="20"/>
  <c r="AM787" i="20"/>
  <c r="AL787" i="20"/>
  <c r="AK787" i="20"/>
  <c r="AJ787" i="20"/>
  <c r="AI787" i="20"/>
  <c r="AG787" i="20"/>
  <c r="AF787" i="20"/>
  <c r="AE787" i="20"/>
  <c r="AD787" i="20"/>
  <c r="AC787" i="20"/>
  <c r="AA787" i="20"/>
  <c r="Z787" i="20"/>
  <c r="Y787" i="20"/>
  <c r="X787" i="20"/>
  <c r="W787" i="20"/>
  <c r="AM786" i="20"/>
  <c r="AL786" i="20"/>
  <c r="AK786" i="20"/>
  <c r="AJ786" i="20"/>
  <c r="AI786" i="20"/>
  <c r="AG786" i="20"/>
  <c r="AF786" i="20"/>
  <c r="AE786" i="20"/>
  <c r="AD786" i="20"/>
  <c r="AC786" i="20"/>
  <c r="AA786" i="20"/>
  <c r="Z786" i="20"/>
  <c r="Y786" i="20"/>
  <c r="X786" i="20"/>
  <c r="W786" i="20"/>
  <c r="AM785" i="20"/>
  <c r="AL785" i="20"/>
  <c r="AK785" i="20"/>
  <c r="AJ785" i="20"/>
  <c r="AI785" i="20"/>
  <c r="AG785" i="20"/>
  <c r="AF785" i="20"/>
  <c r="AE785" i="20"/>
  <c r="AD785" i="20"/>
  <c r="AC785" i="20"/>
  <c r="AA785" i="20"/>
  <c r="Z785" i="20"/>
  <c r="Y785" i="20"/>
  <c r="X785" i="20"/>
  <c r="W785" i="20"/>
  <c r="AM784" i="20"/>
  <c r="AL784" i="20"/>
  <c r="AK784" i="20"/>
  <c r="AJ784" i="20"/>
  <c r="AI784" i="20"/>
  <c r="AG784" i="20"/>
  <c r="AF784" i="20"/>
  <c r="AE784" i="20"/>
  <c r="AD784" i="20"/>
  <c r="AC784" i="20"/>
  <c r="AA784" i="20"/>
  <c r="Z784" i="20"/>
  <c r="Y784" i="20"/>
  <c r="X784" i="20"/>
  <c r="W784" i="20"/>
  <c r="AM783" i="20"/>
  <c r="AL783" i="20"/>
  <c r="AK783" i="20"/>
  <c r="AJ783" i="20"/>
  <c r="AI783" i="20"/>
  <c r="AG783" i="20"/>
  <c r="AF783" i="20"/>
  <c r="AE783" i="20"/>
  <c r="AD783" i="20"/>
  <c r="AC783" i="20"/>
  <c r="AA783" i="20"/>
  <c r="Z783" i="20"/>
  <c r="Y783" i="20"/>
  <c r="X783" i="20"/>
  <c r="W783" i="20"/>
  <c r="AM782" i="20"/>
  <c r="AL782" i="20"/>
  <c r="AK782" i="20"/>
  <c r="AJ782" i="20"/>
  <c r="AI782" i="20"/>
  <c r="AG782" i="20"/>
  <c r="AF782" i="20"/>
  <c r="AE782" i="20"/>
  <c r="AD782" i="20"/>
  <c r="AC782" i="20"/>
  <c r="AA782" i="20"/>
  <c r="Z782" i="20"/>
  <c r="Y782" i="20"/>
  <c r="X782" i="20"/>
  <c r="W782" i="20"/>
  <c r="AM781" i="20"/>
  <c r="AL781" i="20"/>
  <c r="AK781" i="20"/>
  <c r="AJ781" i="20"/>
  <c r="AI781" i="20"/>
  <c r="AG781" i="20"/>
  <c r="AF781" i="20"/>
  <c r="AE781" i="20"/>
  <c r="AD781" i="20"/>
  <c r="AC781" i="20"/>
  <c r="AA781" i="20"/>
  <c r="Z781" i="20"/>
  <c r="Y781" i="20"/>
  <c r="X781" i="20"/>
  <c r="W781" i="20"/>
  <c r="AM780" i="20"/>
  <c r="AL780" i="20"/>
  <c r="AK780" i="20"/>
  <c r="AJ780" i="20"/>
  <c r="AI780" i="20"/>
  <c r="AG780" i="20"/>
  <c r="AF780" i="20"/>
  <c r="AE780" i="20"/>
  <c r="AD780" i="20"/>
  <c r="AC780" i="20"/>
  <c r="AA780" i="20"/>
  <c r="Z780" i="20"/>
  <c r="Y780" i="20"/>
  <c r="X780" i="20"/>
  <c r="W780" i="20"/>
  <c r="AM779" i="20"/>
  <c r="AL779" i="20"/>
  <c r="AK779" i="20"/>
  <c r="AJ779" i="20"/>
  <c r="AI779" i="20"/>
  <c r="AG779" i="20"/>
  <c r="AF779" i="20"/>
  <c r="AE779" i="20"/>
  <c r="AD779" i="20"/>
  <c r="AC779" i="20"/>
  <c r="AA779" i="20"/>
  <c r="Z779" i="20"/>
  <c r="Y779" i="20"/>
  <c r="X779" i="20"/>
  <c r="W779" i="20"/>
  <c r="AM778" i="20"/>
  <c r="AL778" i="20"/>
  <c r="AK778" i="20"/>
  <c r="AJ778" i="20"/>
  <c r="AI778" i="20"/>
  <c r="AG778" i="20"/>
  <c r="AF778" i="20"/>
  <c r="AE778" i="20"/>
  <c r="AD778" i="20"/>
  <c r="AC778" i="20"/>
  <c r="AA778" i="20"/>
  <c r="Z778" i="20"/>
  <c r="Y778" i="20"/>
  <c r="X778" i="20"/>
  <c r="W778" i="20"/>
  <c r="AM777" i="20"/>
  <c r="AL777" i="20"/>
  <c r="AK777" i="20"/>
  <c r="AJ777" i="20"/>
  <c r="AI777" i="20"/>
  <c r="AG777" i="20"/>
  <c r="AF777" i="20"/>
  <c r="AE777" i="20"/>
  <c r="AD777" i="20"/>
  <c r="AC777" i="20"/>
  <c r="AA777" i="20"/>
  <c r="Z777" i="20"/>
  <c r="Y777" i="20"/>
  <c r="X777" i="20"/>
  <c r="W777" i="20"/>
  <c r="AM776" i="20"/>
  <c r="AL776" i="20"/>
  <c r="AK776" i="20"/>
  <c r="AJ776" i="20"/>
  <c r="AI776" i="20"/>
  <c r="AG776" i="20"/>
  <c r="AF776" i="20"/>
  <c r="AE776" i="20"/>
  <c r="AD776" i="20"/>
  <c r="AC776" i="20"/>
  <c r="AA776" i="20"/>
  <c r="Z776" i="20"/>
  <c r="Y776" i="20"/>
  <c r="X776" i="20"/>
  <c r="W776" i="20"/>
  <c r="AM775" i="20"/>
  <c r="AL775" i="20"/>
  <c r="AK775" i="20"/>
  <c r="AJ775" i="20"/>
  <c r="AI775" i="20"/>
  <c r="AG775" i="20"/>
  <c r="AF775" i="20"/>
  <c r="AE775" i="20"/>
  <c r="AD775" i="20"/>
  <c r="AC775" i="20"/>
  <c r="AA775" i="20"/>
  <c r="Z775" i="20"/>
  <c r="Y775" i="20"/>
  <c r="X775" i="20"/>
  <c r="W775" i="20"/>
  <c r="AM774" i="20"/>
  <c r="AL774" i="20"/>
  <c r="AK774" i="20"/>
  <c r="AJ774" i="20"/>
  <c r="AI774" i="20"/>
  <c r="AG774" i="20"/>
  <c r="AF774" i="20"/>
  <c r="AE774" i="20"/>
  <c r="AD774" i="20"/>
  <c r="AC774" i="20"/>
  <c r="AA774" i="20"/>
  <c r="Z774" i="20"/>
  <c r="Y774" i="20"/>
  <c r="X774" i="20"/>
  <c r="W774" i="20"/>
  <c r="AM773" i="20"/>
  <c r="AL773" i="20"/>
  <c r="AK773" i="20"/>
  <c r="AJ773" i="20"/>
  <c r="AI773" i="20"/>
  <c r="AG773" i="20"/>
  <c r="AF773" i="20"/>
  <c r="AE773" i="20"/>
  <c r="AD773" i="20"/>
  <c r="AC773" i="20"/>
  <c r="AA773" i="20"/>
  <c r="Z773" i="20"/>
  <c r="Y773" i="20"/>
  <c r="X773" i="20"/>
  <c r="W773" i="20"/>
  <c r="AM772" i="20"/>
  <c r="AL772" i="20"/>
  <c r="AK772" i="20"/>
  <c r="AJ772" i="20"/>
  <c r="AI772" i="20"/>
  <c r="AG772" i="20"/>
  <c r="AF772" i="20"/>
  <c r="AE772" i="20"/>
  <c r="AD772" i="20"/>
  <c r="AC772" i="20"/>
  <c r="AA772" i="20"/>
  <c r="Z772" i="20"/>
  <c r="Y772" i="20"/>
  <c r="X772" i="20"/>
  <c r="W772" i="20"/>
  <c r="AM771" i="20"/>
  <c r="AL771" i="20"/>
  <c r="AK771" i="20"/>
  <c r="AJ771" i="20"/>
  <c r="AI771" i="20"/>
  <c r="AG771" i="20"/>
  <c r="AF771" i="20"/>
  <c r="AE771" i="20"/>
  <c r="AD771" i="20"/>
  <c r="AC771" i="20"/>
  <c r="AA771" i="20"/>
  <c r="Z771" i="20"/>
  <c r="Y771" i="20"/>
  <c r="X771" i="20"/>
  <c r="W771" i="20"/>
  <c r="AM770" i="20"/>
  <c r="AL770" i="20"/>
  <c r="AK770" i="20"/>
  <c r="AJ770" i="20"/>
  <c r="AI770" i="20"/>
  <c r="AG770" i="20"/>
  <c r="AF770" i="20"/>
  <c r="AE770" i="20"/>
  <c r="AD770" i="20"/>
  <c r="AC770" i="20"/>
  <c r="AA770" i="20"/>
  <c r="Z770" i="20"/>
  <c r="Y770" i="20"/>
  <c r="X770" i="20"/>
  <c r="W770" i="20"/>
  <c r="AM769" i="20"/>
  <c r="AL769" i="20"/>
  <c r="AK769" i="20"/>
  <c r="AJ769" i="20"/>
  <c r="AI769" i="20"/>
  <c r="AG769" i="20"/>
  <c r="AF769" i="20"/>
  <c r="AE769" i="20"/>
  <c r="AD769" i="20"/>
  <c r="AC769" i="20"/>
  <c r="AA769" i="20"/>
  <c r="Z769" i="20"/>
  <c r="Y769" i="20"/>
  <c r="X769" i="20"/>
  <c r="W769" i="20"/>
  <c r="AM768" i="20"/>
  <c r="AL768" i="20"/>
  <c r="AK768" i="20"/>
  <c r="AJ768" i="20"/>
  <c r="AI768" i="20"/>
  <c r="AG768" i="20"/>
  <c r="AF768" i="20"/>
  <c r="AE768" i="20"/>
  <c r="AD768" i="20"/>
  <c r="AC768" i="20"/>
  <c r="AA768" i="20"/>
  <c r="Z768" i="20"/>
  <c r="Y768" i="20"/>
  <c r="X768" i="20"/>
  <c r="W768" i="20"/>
  <c r="AM767" i="20"/>
  <c r="AL767" i="20"/>
  <c r="AK767" i="20"/>
  <c r="AJ767" i="20"/>
  <c r="AI767" i="20"/>
  <c r="AG767" i="20"/>
  <c r="AF767" i="20"/>
  <c r="AE767" i="20"/>
  <c r="AD767" i="20"/>
  <c r="AC767" i="20"/>
  <c r="AA767" i="20"/>
  <c r="Z767" i="20"/>
  <c r="Y767" i="20"/>
  <c r="X767" i="20"/>
  <c r="W767" i="20"/>
  <c r="AM766" i="20"/>
  <c r="AL766" i="20"/>
  <c r="AK766" i="20"/>
  <c r="AJ766" i="20"/>
  <c r="AI766" i="20"/>
  <c r="AG766" i="20"/>
  <c r="AF766" i="20"/>
  <c r="AE766" i="20"/>
  <c r="AD766" i="20"/>
  <c r="AC766" i="20"/>
  <c r="AA766" i="20"/>
  <c r="Z766" i="20"/>
  <c r="Y766" i="20"/>
  <c r="X766" i="20"/>
  <c r="W766" i="20"/>
  <c r="AM765" i="20"/>
  <c r="AL765" i="20"/>
  <c r="AK765" i="20"/>
  <c r="AJ765" i="20"/>
  <c r="AI765" i="20"/>
  <c r="AG765" i="20"/>
  <c r="AF765" i="20"/>
  <c r="AE765" i="20"/>
  <c r="AD765" i="20"/>
  <c r="AC765" i="20"/>
  <c r="AA765" i="20"/>
  <c r="Z765" i="20"/>
  <c r="Y765" i="20"/>
  <c r="X765" i="20"/>
  <c r="W765" i="20"/>
  <c r="AM764" i="20"/>
  <c r="AL764" i="20"/>
  <c r="AK764" i="20"/>
  <c r="AJ764" i="20"/>
  <c r="AI764" i="20"/>
  <c r="AG764" i="20"/>
  <c r="AF764" i="20"/>
  <c r="AE764" i="20"/>
  <c r="AD764" i="20"/>
  <c r="AC764" i="20"/>
  <c r="AA764" i="20"/>
  <c r="Z764" i="20"/>
  <c r="Y764" i="20"/>
  <c r="X764" i="20"/>
  <c r="W764" i="20"/>
  <c r="AM763" i="20"/>
  <c r="AL763" i="20"/>
  <c r="AK763" i="20"/>
  <c r="AJ763" i="20"/>
  <c r="AI763" i="20"/>
  <c r="AG763" i="20"/>
  <c r="AF763" i="20"/>
  <c r="AE763" i="20"/>
  <c r="AD763" i="20"/>
  <c r="AC763" i="20"/>
  <c r="AA763" i="20"/>
  <c r="Z763" i="20"/>
  <c r="Y763" i="20"/>
  <c r="X763" i="20"/>
  <c r="W763" i="20"/>
  <c r="AM762" i="20"/>
  <c r="AL762" i="20"/>
  <c r="AK762" i="20"/>
  <c r="AJ762" i="20"/>
  <c r="AI762" i="20"/>
  <c r="AG762" i="20"/>
  <c r="AF762" i="20"/>
  <c r="AE762" i="20"/>
  <c r="AD762" i="20"/>
  <c r="AC762" i="20"/>
  <c r="AA762" i="20"/>
  <c r="Z762" i="20"/>
  <c r="Y762" i="20"/>
  <c r="X762" i="20"/>
  <c r="W762" i="20"/>
  <c r="AM761" i="20"/>
  <c r="AL761" i="20"/>
  <c r="AK761" i="20"/>
  <c r="AJ761" i="20"/>
  <c r="AI761" i="20"/>
  <c r="AG761" i="20"/>
  <c r="AF761" i="20"/>
  <c r="AE761" i="20"/>
  <c r="AD761" i="20"/>
  <c r="AC761" i="20"/>
  <c r="AA761" i="20"/>
  <c r="Z761" i="20"/>
  <c r="Y761" i="20"/>
  <c r="X761" i="20"/>
  <c r="W761" i="20"/>
  <c r="AM760" i="20"/>
  <c r="AL760" i="20"/>
  <c r="AK760" i="20"/>
  <c r="AJ760" i="20"/>
  <c r="AI760" i="20"/>
  <c r="AG760" i="20"/>
  <c r="AF760" i="20"/>
  <c r="AE760" i="20"/>
  <c r="AD760" i="20"/>
  <c r="AC760" i="20"/>
  <c r="AA760" i="20"/>
  <c r="Z760" i="20"/>
  <c r="Y760" i="20"/>
  <c r="X760" i="20"/>
  <c r="W760" i="20"/>
  <c r="AM759" i="20"/>
  <c r="AL759" i="20"/>
  <c r="AK759" i="20"/>
  <c r="AJ759" i="20"/>
  <c r="AI759" i="20"/>
  <c r="AG759" i="20"/>
  <c r="AF759" i="20"/>
  <c r="AE759" i="20"/>
  <c r="AD759" i="20"/>
  <c r="AC759" i="20"/>
  <c r="AA759" i="20"/>
  <c r="Z759" i="20"/>
  <c r="Y759" i="20"/>
  <c r="X759" i="20"/>
  <c r="W759" i="20"/>
  <c r="AM758" i="20"/>
  <c r="AL758" i="20"/>
  <c r="AK758" i="20"/>
  <c r="AJ758" i="20"/>
  <c r="AI758" i="20"/>
  <c r="AG758" i="20"/>
  <c r="AF758" i="20"/>
  <c r="AE758" i="20"/>
  <c r="AD758" i="20"/>
  <c r="AC758" i="20"/>
  <c r="AA758" i="20"/>
  <c r="Z758" i="20"/>
  <c r="Y758" i="20"/>
  <c r="X758" i="20"/>
  <c r="W758" i="20"/>
  <c r="AM757" i="20"/>
  <c r="AL757" i="20"/>
  <c r="AK757" i="20"/>
  <c r="AJ757" i="20"/>
  <c r="AI757" i="20"/>
  <c r="AG757" i="20"/>
  <c r="AF757" i="20"/>
  <c r="AE757" i="20"/>
  <c r="AD757" i="20"/>
  <c r="AC757" i="20"/>
  <c r="AA757" i="20"/>
  <c r="Z757" i="20"/>
  <c r="Y757" i="20"/>
  <c r="X757" i="20"/>
  <c r="W757" i="20"/>
  <c r="AM756" i="20"/>
  <c r="AL756" i="20"/>
  <c r="AK756" i="20"/>
  <c r="AJ756" i="20"/>
  <c r="AI756" i="20"/>
  <c r="AG756" i="20"/>
  <c r="AF756" i="20"/>
  <c r="AE756" i="20"/>
  <c r="AD756" i="20"/>
  <c r="AC756" i="20"/>
  <c r="AA756" i="20"/>
  <c r="Z756" i="20"/>
  <c r="Y756" i="20"/>
  <c r="X756" i="20"/>
  <c r="W756" i="20"/>
  <c r="AM755" i="20"/>
  <c r="AL755" i="20"/>
  <c r="AK755" i="20"/>
  <c r="AJ755" i="20"/>
  <c r="AI755" i="20"/>
  <c r="AG755" i="20"/>
  <c r="AF755" i="20"/>
  <c r="AE755" i="20"/>
  <c r="AD755" i="20"/>
  <c r="AC755" i="20"/>
  <c r="AA755" i="20"/>
  <c r="Z755" i="20"/>
  <c r="Y755" i="20"/>
  <c r="X755" i="20"/>
  <c r="W755" i="20"/>
  <c r="AM754" i="20"/>
  <c r="AL754" i="20"/>
  <c r="AK754" i="20"/>
  <c r="AJ754" i="20"/>
  <c r="AI754" i="20"/>
  <c r="AG754" i="20"/>
  <c r="AF754" i="20"/>
  <c r="AE754" i="20"/>
  <c r="AD754" i="20"/>
  <c r="AC754" i="20"/>
  <c r="AA754" i="20"/>
  <c r="Z754" i="20"/>
  <c r="Y754" i="20"/>
  <c r="X754" i="20"/>
  <c r="W754" i="20"/>
  <c r="AM753" i="20"/>
  <c r="AL753" i="20"/>
  <c r="AK753" i="20"/>
  <c r="AJ753" i="20"/>
  <c r="AI753" i="20"/>
  <c r="AG753" i="20"/>
  <c r="AF753" i="20"/>
  <c r="AE753" i="20"/>
  <c r="AD753" i="20"/>
  <c r="AC753" i="20"/>
  <c r="AA753" i="20"/>
  <c r="Z753" i="20"/>
  <c r="Y753" i="20"/>
  <c r="X753" i="20"/>
  <c r="W753" i="20"/>
  <c r="AM752" i="20"/>
  <c r="AL752" i="20"/>
  <c r="AK752" i="20"/>
  <c r="AJ752" i="20"/>
  <c r="AI752" i="20"/>
  <c r="AG752" i="20"/>
  <c r="AF752" i="20"/>
  <c r="AE752" i="20"/>
  <c r="AD752" i="20"/>
  <c r="AC752" i="20"/>
  <c r="AA752" i="20"/>
  <c r="Z752" i="20"/>
  <c r="Y752" i="20"/>
  <c r="X752" i="20"/>
  <c r="W752" i="20"/>
  <c r="AM751" i="20"/>
  <c r="AL751" i="20"/>
  <c r="AK751" i="20"/>
  <c r="AJ751" i="20"/>
  <c r="AI751" i="20"/>
  <c r="AG751" i="20"/>
  <c r="AF751" i="20"/>
  <c r="AE751" i="20"/>
  <c r="AD751" i="20"/>
  <c r="AC751" i="20"/>
  <c r="AA751" i="20"/>
  <c r="Z751" i="20"/>
  <c r="Y751" i="20"/>
  <c r="X751" i="20"/>
  <c r="W751" i="20"/>
  <c r="AM750" i="20"/>
  <c r="AL750" i="20"/>
  <c r="AK750" i="20"/>
  <c r="AJ750" i="20"/>
  <c r="AI750" i="20"/>
  <c r="AG750" i="20"/>
  <c r="AF750" i="20"/>
  <c r="AE750" i="20"/>
  <c r="AD750" i="20"/>
  <c r="AC750" i="20"/>
  <c r="AA750" i="20"/>
  <c r="Z750" i="20"/>
  <c r="Y750" i="20"/>
  <c r="X750" i="20"/>
  <c r="W750" i="20"/>
  <c r="AM749" i="20"/>
  <c r="AL749" i="20"/>
  <c r="AK749" i="20"/>
  <c r="AJ749" i="20"/>
  <c r="AI749" i="20"/>
  <c r="AG749" i="20"/>
  <c r="AF749" i="20"/>
  <c r="AE749" i="20"/>
  <c r="AD749" i="20"/>
  <c r="AC749" i="20"/>
  <c r="AA749" i="20"/>
  <c r="Z749" i="20"/>
  <c r="Y749" i="20"/>
  <c r="X749" i="20"/>
  <c r="W749" i="20"/>
  <c r="AM748" i="20"/>
  <c r="AL748" i="20"/>
  <c r="AK748" i="20"/>
  <c r="AJ748" i="20"/>
  <c r="AI748" i="20"/>
  <c r="AG748" i="20"/>
  <c r="AF748" i="20"/>
  <c r="AE748" i="20"/>
  <c r="AD748" i="20"/>
  <c r="AC748" i="20"/>
  <c r="AA748" i="20"/>
  <c r="Z748" i="20"/>
  <c r="Y748" i="20"/>
  <c r="X748" i="20"/>
  <c r="W748" i="20"/>
  <c r="AM747" i="20"/>
  <c r="AL747" i="20"/>
  <c r="AK747" i="20"/>
  <c r="AJ747" i="20"/>
  <c r="AI747" i="20"/>
  <c r="AG747" i="20"/>
  <c r="AF747" i="20"/>
  <c r="AE747" i="20"/>
  <c r="AD747" i="20"/>
  <c r="AC747" i="20"/>
  <c r="AA747" i="20"/>
  <c r="Z747" i="20"/>
  <c r="Y747" i="20"/>
  <c r="X747" i="20"/>
  <c r="W747" i="20"/>
  <c r="AM746" i="20"/>
  <c r="AL746" i="20"/>
  <c r="AK746" i="20"/>
  <c r="AJ746" i="20"/>
  <c r="AI746" i="20"/>
  <c r="AG746" i="20"/>
  <c r="AF746" i="20"/>
  <c r="AE746" i="20"/>
  <c r="AD746" i="20"/>
  <c r="AC746" i="20"/>
  <c r="AA746" i="20"/>
  <c r="Z746" i="20"/>
  <c r="Y746" i="20"/>
  <c r="X746" i="20"/>
  <c r="W746" i="20"/>
  <c r="AM745" i="20"/>
  <c r="AL745" i="20"/>
  <c r="AK745" i="20"/>
  <c r="AJ745" i="20"/>
  <c r="AI745" i="20"/>
  <c r="AG745" i="20"/>
  <c r="AF745" i="20"/>
  <c r="AE745" i="20"/>
  <c r="AD745" i="20"/>
  <c r="AC745" i="20"/>
  <c r="AA745" i="20"/>
  <c r="Z745" i="20"/>
  <c r="Y745" i="20"/>
  <c r="X745" i="20"/>
  <c r="W745" i="20"/>
  <c r="AM744" i="20"/>
  <c r="AL744" i="20"/>
  <c r="AK744" i="20"/>
  <c r="AJ744" i="20"/>
  <c r="AI744" i="20"/>
  <c r="AG744" i="20"/>
  <c r="AF744" i="20"/>
  <c r="AE744" i="20"/>
  <c r="AD744" i="20"/>
  <c r="AC744" i="20"/>
  <c r="AA744" i="20"/>
  <c r="Z744" i="20"/>
  <c r="Y744" i="20"/>
  <c r="X744" i="20"/>
  <c r="W744" i="20"/>
  <c r="AM743" i="20"/>
  <c r="AL743" i="20"/>
  <c r="AK743" i="20"/>
  <c r="AJ743" i="20"/>
  <c r="AI743" i="20"/>
  <c r="AG743" i="20"/>
  <c r="AF743" i="20"/>
  <c r="AE743" i="20"/>
  <c r="AD743" i="20"/>
  <c r="AC743" i="20"/>
  <c r="AA743" i="20"/>
  <c r="Z743" i="20"/>
  <c r="Y743" i="20"/>
  <c r="X743" i="20"/>
  <c r="W743" i="20"/>
  <c r="AM742" i="20"/>
  <c r="AL742" i="20"/>
  <c r="AK742" i="20"/>
  <c r="AJ742" i="20"/>
  <c r="AI742" i="20"/>
  <c r="AG742" i="20"/>
  <c r="AF742" i="20"/>
  <c r="AE742" i="20"/>
  <c r="AD742" i="20"/>
  <c r="AC742" i="20"/>
  <c r="AA742" i="20"/>
  <c r="Z742" i="20"/>
  <c r="Y742" i="20"/>
  <c r="X742" i="20"/>
  <c r="W742" i="20"/>
  <c r="AM741" i="20"/>
  <c r="AL741" i="20"/>
  <c r="AK741" i="20"/>
  <c r="AJ741" i="20"/>
  <c r="AI741" i="20"/>
  <c r="AG741" i="20"/>
  <c r="AF741" i="20"/>
  <c r="AE741" i="20"/>
  <c r="AD741" i="20"/>
  <c r="AC741" i="20"/>
  <c r="AA741" i="20"/>
  <c r="Z741" i="20"/>
  <c r="Y741" i="20"/>
  <c r="X741" i="20"/>
  <c r="W741" i="20"/>
  <c r="AM740" i="20"/>
  <c r="AL740" i="20"/>
  <c r="AK740" i="20"/>
  <c r="AJ740" i="20"/>
  <c r="AI740" i="20"/>
  <c r="AG740" i="20"/>
  <c r="AF740" i="20"/>
  <c r="AE740" i="20"/>
  <c r="AD740" i="20"/>
  <c r="AC740" i="20"/>
  <c r="AA740" i="20"/>
  <c r="Z740" i="20"/>
  <c r="Y740" i="20"/>
  <c r="X740" i="20"/>
  <c r="W740" i="20"/>
  <c r="AM739" i="20"/>
  <c r="AL739" i="20"/>
  <c r="AK739" i="20"/>
  <c r="AJ739" i="20"/>
  <c r="AI739" i="20"/>
  <c r="AG739" i="20"/>
  <c r="AF739" i="20"/>
  <c r="AE739" i="20"/>
  <c r="AD739" i="20"/>
  <c r="AC739" i="20"/>
  <c r="AA739" i="20"/>
  <c r="Z739" i="20"/>
  <c r="Y739" i="20"/>
  <c r="X739" i="20"/>
  <c r="W739" i="20"/>
  <c r="AM738" i="20"/>
  <c r="AL738" i="20"/>
  <c r="AK738" i="20"/>
  <c r="AJ738" i="20"/>
  <c r="AI738" i="20"/>
  <c r="AG738" i="20"/>
  <c r="AF738" i="20"/>
  <c r="AE738" i="20"/>
  <c r="AD738" i="20"/>
  <c r="AC738" i="20"/>
  <c r="AA738" i="20"/>
  <c r="Z738" i="20"/>
  <c r="Y738" i="20"/>
  <c r="X738" i="20"/>
  <c r="W738" i="20"/>
  <c r="AM737" i="20"/>
  <c r="AL737" i="20"/>
  <c r="AK737" i="20"/>
  <c r="AJ737" i="20"/>
  <c r="AI737" i="20"/>
  <c r="AG737" i="20"/>
  <c r="AF737" i="20"/>
  <c r="AE737" i="20"/>
  <c r="AD737" i="20"/>
  <c r="AC737" i="20"/>
  <c r="AA737" i="20"/>
  <c r="Z737" i="20"/>
  <c r="Y737" i="20"/>
  <c r="X737" i="20"/>
  <c r="W737" i="20"/>
  <c r="AM736" i="20"/>
  <c r="AL736" i="20"/>
  <c r="AK736" i="20"/>
  <c r="AJ736" i="20"/>
  <c r="AI736" i="20"/>
  <c r="AG736" i="20"/>
  <c r="AF736" i="20"/>
  <c r="AE736" i="20"/>
  <c r="AD736" i="20"/>
  <c r="AC736" i="20"/>
  <c r="AA736" i="20"/>
  <c r="Z736" i="20"/>
  <c r="Y736" i="20"/>
  <c r="X736" i="20"/>
  <c r="W736" i="20"/>
  <c r="AM735" i="20"/>
  <c r="AL735" i="20"/>
  <c r="AK735" i="20"/>
  <c r="AJ735" i="20"/>
  <c r="AI735" i="20"/>
  <c r="AG735" i="20"/>
  <c r="AF735" i="20"/>
  <c r="AE735" i="20"/>
  <c r="AD735" i="20"/>
  <c r="AC735" i="20"/>
  <c r="AA735" i="20"/>
  <c r="Z735" i="20"/>
  <c r="Y735" i="20"/>
  <c r="X735" i="20"/>
  <c r="W735" i="20"/>
  <c r="AM734" i="20"/>
  <c r="AL734" i="20"/>
  <c r="AK734" i="20"/>
  <c r="AJ734" i="20"/>
  <c r="AI734" i="20"/>
  <c r="AG734" i="20"/>
  <c r="AF734" i="20"/>
  <c r="AE734" i="20"/>
  <c r="AD734" i="20"/>
  <c r="AC734" i="20"/>
  <c r="AA734" i="20"/>
  <c r="Z734" i="20"/>
  <c r="Y734" i="20"/>
  <c r="X734" i="20"/>
  <c r="W734" i="20"/>
  <c r="AM733" i="20"/>
  <c r="AL733" i="20"/>
  <c r="AK733" i="20"/>
  <c r="AJ733" i="20"/>
  <c r="AI733" i="20"/>
  <c r="AG733" i="20"/>
  <c r="AF733" i="20"/>
  <c r="AE733" i="20"/>
  <c r="AD733" i="20"/>
  <c r="AC733" i="20"/>
  <c r="AA733" i="20"/>
  <c r="Z733" i="20"/>
  <c r="Y733" i="20"/>
  <c r="X733" i="20"/>
  <c r="W733" i="20"/>
  <c r="AM732" i="20"/>
  <c r="AL732" i="20"/>
  <c r="AK732" i="20"/>
  <c r="AJ732" i="20"/>
  <c r="AI732" i="20"/>
  <c r="AG732" i="20"/>
  <c r="AF732" i="20"/>
  <c r="AE732" i="20"/>
  <c r="AD732" i="20"/>
  <c r="AC732" i="20"/>
  <c r="AA732" i="20"/>
  <c r="Z732" i="20"/>
  <c r="Y732" i="20"/>
  <c r="X732" i="20"/>
  <c r="W732" i="20"/>
  <c r="AM731" i="20"/>
  <c r="AL731" i="20"/>
  <c r="AK731" i="20"/>
  <c r="AJ731" i="20"/>
  <c r="AI731" i="20"/>
  <c r="AG731" i="20"/>
  <c r="AF731" i="20"/>
  <c r="AE731" i="20"/>
  <c r="AD731" i="20"/>
  <c r="AC731" i="20"/>
  <c r="AA731" i="20"/>
  <c r="Z731" i="20"/>
  <c r="Y731" i="20"/>
  <c r="X731" i="20"/>
  <c r="W731" i="20"/>
  <c r="AM730" i="20"/>
  <c r="AL730" i="20"/>
  <c r="AK730" i="20"/>
  <c r="AJ730" i="20"/>
  <c r="AI730" i="20"/>
  <c r="AG730" i="20"/>
  <c r="AF730" i="20"/>
  <c r="AE730" i="20"/>
  <c r="AD730" i="20"/>
  <c r="AC730" i="20"/>
  <c r="AA730" i="20"/>
  <c r="Z730" i="20"/>
  <c r="Y730" i="20"/>
  <c r="X730" i="20"/>
  <c r="W730" i="20"/>
  <c r="AM729" i="20"/>
  <c r="AL729" i="20"/>
  <c r="AK729" i="20"/>
  <c r="AJ729" i="20"/>
  <c r="AI729" i="20"/>
  <c r="AG729" i="20"/>
  <c r="AF729" i="20"/>
  <c r="AE729" i="20"/>
  <c r="AD729" i="20"/>
  <c r="AC729" i="20"/>
  <c r="AA729" i="20"/>
  <c r="Z729" i="20"/>
  <c r="Y729" i="20"/>
  <c r="X729" i="20"/>
  <c r="W729" i="20"/>
  <c r="AM728" i="20"/>
  <c r="AL728" i="20"/>
  <c r="AK728" i="20"/>
  <c r="AJ728" i="20"/>
  <c r="AI728" i="20"/>
  <c r="AG728" i="20"/>
  <c r="AF728" i="20"/>
  <c r="AE728" i="20"/>
  <c r="AD728" i="20"/>
  <c r="AC728" i="20"/>
  <c r="AA728" i="20"/>
  <c r="Z728" i="20"/>
  <c r="Y728" i="20"/>
  <c r="X728" i="20"/>
  <c r="W728" i="20"/>
  <c r="AM727" i="20"/>
  <c r="AL727" i="20"/>
  <c r="AK727" i="20"/>
  <c r="AJ727" i="20"/>
  <c r="AI727" i="20"/>
  <c r="AG727" i="20"/>
  <c r="AF727" i="20"/>
  <c r="AE727" i="20"/>
  <c r="AD727" i="20"/>
  <c r="AC727" i="20"/>
  <c r="AA727" i="20"/>
  <c r="Z727" i="20"/>
  <c r="Y727" i="20"/>
  <c r="X727" i="20"/>
  <c r="W727" i="20"/>
  <c r="AM726" i="20"/>
  <c r="AL726" i="20"/>
  <c r="AK726" i="20"/>
  <c r="AJ726" i="20"/>
  <c r="AI726" i="20"/>
  <c r="AG726" i="20"/>
  <c r="AF726" i="20"/>
  <c r="AE726" i="20"/>
  <c r="AD726" i="20"/>
  <c r="AC726" i="20"/>
  <c r="AA726" i="20"/>
  <c r="Z726" i="20"/>
  <c r="Y726" i="20"/>
  <c r="X726" i="20"/>
  <c r="W726" i="20"/>
  <c r="AM725" i="20"/>
  <c r="AL725" i="20"/>
  <c r="AK725" i="20"/>
  <c r="AJ725" i="20"/>
  <c r="AI725" i="20"/>
  <c r="AG725" i="20"/>
  <c r="AF725" i="20"/>
  <c r="AE725" i="20"/>
  <c r="AD725" i="20"/>
  <c r="AC725" i="20"/>
  <c r="AA725" i="20"/>
  <c r="Z725" i="20"/>
  <c r="Y725" i="20"/>
  <c r="X725" i="20"/>
  <c r="W725" i="20"/>
  <c r="AM724" i="20"/>
  <c r="AL724" i="20"/>
  <c r="AK724" i="20"/>
  <c r="AJ724" i="20"/>
  <c r="AI724" i="20"/>
  <c r="AG724" i="20"/>
  <c r="AF724" i="20"/>
  <c r="AE724" i="20"/>
  <c r="AD724" i="20"/>
  <c r="AC724" i="20"/>
  <c r="AA724" i="20"/>
  <c r="Z724" i="20"/>
  <c r="Y724" i="20"/>
  <c r="X724" i="20"/>
  <c r="W724" i="20"/>
  <c r="AM723" i="20"/>
  <c r="AL723" i="20"/>
  <c r="AK723" i="20"/>
  <c r="AJ723" i="20"/>
  <c r="AI723" i="20"/>
  <c r="AG723" i="20"/>
  <c r="AF723" i="20"/>
  <c r="AE723" i="20"/>
  <c r="AD723" i="20"/>
  <c r="AC723" i="20"/>
  <c r="AA723" i="20"/>
  <c r="Z723" i="20"/>
  <c r="Y723" i="20"/>
  <c r="X723" i="20"/>
  <c r="W723" i="20"/>
  <c r="AM722" i="20"/>
  <c r="AL722" i="20"/>
  <c r="AK722" i="20"/>
  <c r="AJ722" i="20"/>
  <c r="AI722" i="20"/>
  <c r="AG722" i="20"/>
  <c r="AF722" i="20"/>
  <c r="AE722" i="20"/>
  <c r="AD722" i="20"/>
  <c r="AC722" i="20"/>
  <c r="AA722" i="20"/>
  <c r="Z722" i="20"/>
  <c r="Y722" i="20"/>
  <c r="X722" i="20"/>
  <c r="W722" i="20"/>
  <c r="AM721" i="20"/>
  <c r="AL721" i="20"/>
  <c r="AK721" i="20"/>
  <c r="AJ721" i="20"/>
  <c r="AI721" i="20"/>
  <c r="AG721" i="20"/>
  <c r="AF721" i="20"/>
  <c r="AE721" i="20"/>
  <c r="AD721" i="20"/>
  <c r="AC721" i="20"/>
  <c r="AA721" i="20"/>
  <c r="Z721" i="20"/>
  <c r="Y721" i="20"/>
  <c r="X721" i="20"/>
  <c r="W721" i="20"/>
  <c r="AM720" i="20"/>
  <c r="AL720" i="20"/>
  <c r="AK720" i="20"/>
  <c r="AJ720" i="20"/>
  <c r="AI720" i="20"/>
  <c r="AG720" i="20"/>
  <c r="AF720" i="20"/>
  <c r="AE720" i="20"/>
  <c r="AD720" i="20"/>
  <c r="AC720" i="20"/>
  <c r="AA720" i="20"/>
  <c r="Z720" i="20"/>
  <c r="Y720" i="20"/>
  <c r="X720" i="20"/>
  <c r="W720" i="20"/>
  <c r="AM719" i="20"/>
  <c r="AL719" i="20"/>
  <c r="AK719" i="20"/>
  <c r="AJ719" i="20"/>
  <c r="AI719" i="20"/>
  <c r="AG719" i="20"/>
  <c r="AF719" i="20"/>
  <c r="AE719" i="20"/>
  <c r="AD719" i="20"/>
  <c r="AC719" i="20"/>
  <c r="AA719" i="20"/>
  <c r="Z719" i="20"/>
  <c r="Y719" i="20"/>
  <c r="X719" i="20"/>
  <c r="W719" i="20"/>
  <c r="AM718" i="20"/>
  <c r="AL718" i="20"/>
  <c r="AK718" i="20"/>
  <c r="AJ718" i="20"/>
  <c r="AI718" i="20"/>
  <c r="AG718" i="20"/>
  <c r="AF718" i="20"/>
  <c r="AE718" i="20"/>
  <c r="AD718" i="20"/>
  <c r="AC718" i="20"/>
  <c r="AA718" i="20"/>
  <c r="Z718" i="20"/>
  <c r="Y718" i="20"/>
  <c r="X718" i="20"/>
  <c r="W718" i="20"/>
  <c r="AM717" i="20"/>
  <c r="AL717" i="20"/>
  <c r="AK717" i="20"/>
  <c r="AJ717" i="20"/>
  <c r="AI717" i="20"/>
  <c r="AG717" i="20"/>
  <c r="AF717" i="20"/>
  <c r="AE717" i="20"/>
  <c r="AD717" i="20"/>
  <c r="AC717" i="20"/>
  <c r="AA717" i="20"/>
  <c r="Z717" i="20"/>
  <c r="Y717" i="20"/>
  <c r="X717" i="20"/>
  <c r="W717" i="20"/>
  <c r="AM716" i="20"/>
  <c r="AL716" i="20"/>
  <c r="AK716" i="20"/>
  <c r="AJ716" i="20"/>
  <c r="AI716" i="20"/>
  <c r="AG716" i="20"/>
  <c r="AF716" i="20"/>
  <c r="AE716" i="20"/>
  <c r="AD716" i="20"/>
  <c r="AC716" i="20"/>
  <c r="AA716" i="20"/>
  <c r="Z716" i="20"/>
  <c r="Y716" i="20"/>
  <c r="X716" i="20"/>
  <c r="W716" i="20"/>
  <c r="AM715" i="20"/>
  <c r="AL715" i="20"/>
  <c r="AK715" i="20"/>
  <c r="AJ715" i="20"/>
  <c r="AI715" i="20"/>
  <c r="AG715" i="20"/>
  <c r="AF715" i="20"/>
  <c r="AE715" i="20"/>
  <c r="AD715" i="20"/>
  <c r="AC715" i="20"/>
  <c r="AA715" i="20"/>
  <c r="Z715" i="20"/>
  <c r="Y715" i="20"/>
  <c r="X715" i="20"/>
  <c r="W715" i="20"/>
  <c r="AM714" i="20"/>
  <c r="AL714" i="20"/>
  <c r="AK714" i="20"/>
  <c r="AJ714" i="20"/>
  <c r="AI714" i="20"/>
  <c r="AG714" i="20"/>
  <c r="AF714" i="20"/>
  <c r="AE714" i="20"/>
  <c r="AD714" i="20"/>
  <c r="AC714" i="20"/>
  <c r="AA714" i="20"/>
  <c r="Z714" i="20"/>
  <c r="Y714" i="20"/>
  <c r="X714" i="20"/>
  <c r="W714" i="20"/>
  <c r="AM713" i="20"/>
  <c r="AL713" i="20"/>
  <c r="AK713" i="20"/>
  <c r="AJ713" i="20"/>
  <c r="AI713" i="20"/>
  <c r="AG713" i="20"/>
  <c r="AF713" i="20"/>
  <c r="AE713" i="20"/>
  <c r="AD713" i="20"/>
  <c r="AC713" i="20"/>
  <c r="AA713" i="20"/>
  <c r="Z713" i="20"/>
  <c r="Y713" i="20"/>
  <c r="X713" i="20"/>
  <c r="W713" i="20"/>
  <c r="AM712" i="20"/>
  <c r="AL712" i="20"/>
  <c r="AK712" i="20"/>
  <c r="AJ712" i="20"/>
  <c r="AI712" i="20"/>
  <c r="AG712" i="20"/>
  <c r="AF712" i="20"/>
  <c r="AE712" i="20"/>
  <c r="AD712" i="20"/>
  <c r="AC712" i="20"/>
  <c r="AA712" i="20"/>
  <c r="Z712" i="20"/>
  <c r="Y712" i="20"/>
  <c r="X712" i="20"/>
  <c r="W712" i="20"/>
  <c r="AM711" i="20"/>
  <c r="AL711" i="20"/>
  <c r="AK711" i="20"/>
  <c r="AJ711" i="20"/>
  <c r="AI711" i="20"/>
  <c r="AG711" i="20"/>
  <c r="AF711" i="20"/>
  <c r="AE711" i="20"/>
  <c r="AD711" i="20"/>
  <c r="AC711" i="20"/>
  <c r="AA711" i="20"/>
  <c r="Z711" i="20"/>
  <c r="Y711" i="20"/>
  <c r="X711" i="20"/>
  <c r="W711" i="20"/>
  <c r="AM710" i="20"/>
  <c r="AL710" i="20"/>
  <c r="AK710" i="20"/>
  <c r="AJ710" i="20"/>
  <c r="AI710" i="20"/>
  <c r="AG710" i="20"/>
  <c r="AF710" i="20"/>
  <c r="AE710" i="20"/>
  <c r="AD710" i="20"/>
  <c r="AC710" i="20"/>
  <c r="AA710" i="20"/>
  <c r="Z710" i="20"/>
  <c r="Y710" i="20"/>
  <c r="X710" i="20"/>
  <c r="W710" i="20"/>
  <c r="AM709" i="20"/>
  <c r="AL709" i="20"/>
  <c r="AK709" i="20"/>
  <c r="AJ709" i="20"/>
  <c r="AI709" i="20"/>
  <c r="AG709" i="20"/>
  <c r="AF709" i="20"/>
  <c r="AE709" i="20"/>
  <c r="AD709" i="20"/>
  <c r="AC709" i="20"/>
  <c r="AA709" i="20"/>
  <c r="Z709" i="20"/>
  <c r="Y709" i="20"/>
  <c r="X709" i="20"/>
  <c r="W709" i="20"/>
  <c r="AM708" i="20"/>
  <c r="AL708" i="20"/>
  <c r="AK708" i="20"/>
  <c r="AJ708" i="20"/>
  <c r="AI708" i="20"/>
  <c r="AG708" i="20"/>
  <c r="AF708" i="20"/>
  <c r="AE708" i="20"/>
  <c r="AD708" i="20"/>
  <c r="AC708" i="20"/>
  <c r="AA708" i="20"/>
  <c r="Z708" i="20"/>
  <c r="Y708" i="20"/>
  <c r="X708" i="20"/>
  <c r="W708" i="20"/>
  <c r="AM707" i="20"/>
  <c r="AL707" i="20"/>
  <c r="AK707" i="20"/>
  <c r="AJ707" i="20"/>
  <c r="AI707" i="20"/>
  <c r="AG707" i="20"/>
  <c r="AF707" i="20"/>
  <c r="AE707" i="20"/>
  <c r="AD707" i="20"/>
  <c r="AC707" i="20"/>
  <c r="AA707" i="20"/>
  <c r="Z707" i="20"/>
  <c r="Y707" i="20"/>
  <c r="X707" i="20"/>
  <c r="W707" i="20"/>
  <c r="AM706" i="20"/>
  <c r="AL706" i="20"/>
  <c r="AK706" i="20"/>
  <c r="AJ706" i="20"/>
  <c r="AI706" i="20"/>
  <c r="AG706" i="20"/>
  <c r="AF706" i="20"/>
  <c r="AE706" i="20"/>
  <c r="AD706" i="20"/>
  <c r="AC706" i="20"/>
  <c r="AA706" i="20"/>
  <c r="Z706" i="20"/>
  <c r="Y706" i="20"/>
  <c r="X706" i="20"/>
  <c r="W706" i="20"/>
  <c r="AM705" i="20"/>
  <c r="AL705" i="20"/>
  <c r="AK705" i="20"/>
  <c r="AJ705" i="20"/>
  <c r="AI705" i="20"/>
  <c r="AG705" i="20"/>
  <c r="AF705" i="20"/>
  <c r="AE705" i="20"/>
  <c r="AD705" i="20"/>
  <c r="AC705" i="20"/>
  <c r="AA705" i="20"/>
  <c r="Z705" i="20"/>
  <c r="Y705" i="20"/>
  <c r="X705" i="20"/>
  <c r="W705" i="20"/>
  <c r="AM704" i="20"/>
  <c r="AL704" i="20"/>
  <c r="AK704" i="20"/>
  <c r="AJ704" i="20"/>
  <c r="AI704" i="20"/>
  <c r="AG704" i="20"/>
  <c r="AF704" i="20"/>
  <c r="AE704" i="20"/>
  <c r="AD704" i="20"/>
  <c r="AC704" i="20"/>
  <c r="AA704" i="20"/>
  <c r="Z704" i="20"/>
  <c r="Y704" i="20"/>
  <c r="X704" i="20"/>
  <c r="W704" i="20"/>
  <c r="AM703" i="20"/>
  <c r="AL703" i="20"/>
  <c r="AK703" i="20"/>
  <c r="AJ703" i="20"/>
  <c r="AI703" i="20"/>
  <c r="AG703" i="20"/>
  <c r="AF703" i="20"/>
  <c r="AE703" i="20"/>
  <c r="AD703" i="20"/>
  <c r="AC703" i="20"/>
  <c r="AA703" i="20"/>
  <c r="Z703" i="20"/>
  <c r="Y703" i="20"/>
  <c r="X703" i="20"/>
  <c r="W703" i="20"/>
  <c r="AM702" i="20"/>
  <c r="AL702" i="20"/>
  <c r="AK702" i="20"/>
  <c r="AJ702" i="20"/>
  <c r="AI702" i="20"/>
  <c r="AG702" i="20"/>
  <c r="AF702" i="20"/>
  <c r="AE702" i="20"/>
  <c r="AD702" i="20"/>
  <c r="AC702" i="20"/>
  <c r="AA702" i="20"/>
  <c r="Z702" i="20"/>
  <c r="Y702" i="20"/>
  <c r="X702" i="20"/>
  <c r="W702" i="20"/>
  <c r="AM701" i="20"/>
  <c r="AL701" i="20"/>
  <c r="AK701" i="20"/>
  <c r="AJ701" i="20"/>
  <c r="AI701" i="20"/>
  <c r="AG701" i="20"/>
  <c r="AF701" i="20"/>
  <c r="AE701" i="20"/>
  <c r="AD701" i="20"/>
  <c r="AC701" i="20"/>
  <c r="AA701" i="20"/>
  <c r="Z701" i="20"/>
  <c r="Y701" i="20"/>
  <c r="X701" i="20"/>
  <c r="W701" i="20"/>
  <c r="AM700" i="20"/>
  <c r="AL700" i="20"/>
  <c r="AK700" i="20"/>
  <c r="AJ700" i="20"/>
  <c r="AI700" i="20"/>
  <c r="AG700" i="20"/>
  <c r="AF700" i="20"/>
  <c r="AE700" i="20"/>
  <c r="AD700" i="20"/>
  <c r="AC700" i="20"/>
  <c r="AA700" i="20"/>
  <c r="Z700" i="20"/>
  <c r="Y700" i="20"/>
  <c r="X700" i="20"/>
  <c r="W700" i="20"/>
  <c r="AM699" i="20"/>
  <c r="AL699" i="20"/>
  <c r="AK699" i="20"/>
  <c r="AJ699" i="20"/>
  <c r="AI699" i="20"/>
  <c r="AG699" i="20"/>
  <c r="AF699" i="20"/>
  <c r="AE699" i="20"/>
  <c r="AD699" i="20"/>
  <c r="AC699" i="20"/>
  <c r="AA699" i="20"/>
  <c r="Z699" i="20"/>
  <c r="Y699" i="20"/>
  <c r="X699" i="20"/>
  <c r="W699" i="20"/>
  <c r="AM698" i="20"/>
  <c r="AL698" i="20"/>
  <c r="AK698" i="20"/>
  <c r="AJ698" i="20"/>
  <c r="AI698" i="20"/>
  <c r="AG698" i="20"/>
  <c r="AF698" i="20"/>
  <c r="AE698" i="20"/>
  <c r="AD698" i="20"/>
  <c r="AC698" i="20"/>
  <c r="AA698" i="20"/>
  <c r="Z698" i="20"/>
  <c r="Y698" i="20"/>
  <c r="X698" i="20"/>
  <c r="W698" i="20"/>
  <c r="AM697" i="20"/>
  <c r="AL697" i="20"/>
  <c r="AK697" i="20"/>
  <c r="AJ697" i="20"/>
  <c r="AI697" i="20"/>
  <c r="AG697" i="20"/>
  <c r="AF697" i="20"/>
  <c r="AE697" i="20"/>
  <c r="AD697" i="20"/>
  <c r="AC697" i="20"/>
  <c r="AA697" i="20"/>
  <c r="Z697" i="20"/>
  <c r="Y697" i="20"/>
  <c r="X697" i="20"/>
  <c r="W697" i="20"/>
  <c r="AM696" i="20"/>
  <c r="AL696" i="20"/>
  <c r="AK696" i="20"/>
  <c r="AJ696" i="20"/>
  <c r="AI696" i="20"/>
  <c r="AG696" i="20"/>
  <c r="AF696" i="20"/>
  <c r="AE696" i="20"/>
  <c r="AD696" i="20"/>
  <c r="AC696" i="20"/>
  <c r="AA696" i="20"/>
  <c r="Z696" i="20"/>
  <c r="Y696" i="20"/>
  <c r="X696" i="20"/>
  <c r="W696" i="20"/>
  <c r="AM695" i="20"/>
  <c r="AL695" i="20"/>
  <c r="AK695" i="20"/>
  <c r="AJ695" i="20"/>
  <c r="AI695" i="20"/>
  <c r="AG695" i="20"/>
  <c r="AF695" i="20"/>
  <c r="AE695" i="20"/>
  <c r="AD695" i="20"/>
  <c r="AC695" i="20"/>
  <c r="AA695" i="20"/>
  <c r="Z695" i="20"/>
  <c r="Y695" i="20"/>
  <c r="X695" i="20"/>
  <c r="W695" i="20"/>
  <c r="AM694" i="20"/>
  <c r="AL694" i="20"/>
  <c r="AK694" i="20"/>
  <c r="AJ694" i="20"/>
  <c r="AI694" i="20"/>
  <c r="AG694" i="20"/>
  <c r="AF694" i="20"/>
  <c r="AE694" i="20"/>
  <c r="AD694" i="20"/>
  <c r="AC694" i="20"/>
  <c r="AA694" i="20"/>
  <c r="Z694" i="20"/>
  <c r="Y694" i="20"/>
  <c r="X694" i="20"/>
  <c r="W694" i="20"/>
  <c r="AM693" i="20"/>
  <c r="AL693" i="20"/>
  <c r="AK693" i="20"/>
  <c r="AJ693" i="20"/>
  <c r="AI693" i="20"/>
  <c r="AG693" i="20"/>
  <c r="AF693" i="20"/>
  <c r="AE693" i="20"/>
  <c r="AD693" i="20"/>
  <c r="AC693" i="20"/>
  <c r="AA693" i="20"/>
  <c r="Z693" i="20"/>
  <c r="Y693" i="20"/>
  <c r="X693" i="20"/>
  <c r="W693" i="20"/>
  <c r="AM692" i="20"/>
  <c r="AL692" i="20"/>
  <c r="AK692" i="20"/>
  <c r="AJ692" i="20"/>
  <c r="AI692" i="20"/>
  <c r="AG692" i="20"/>
  <c r="AF692" i="20"/>
  <c r="AE692" i="20"/>
  <c r="AD692" i="20"/>
  <c r="AC692" i="20"/>
  <c r="AA692" i="20"/>
  <c r="Z692" i="20"/>
  <c r="Y692" i="20"/>
  <c r="X692" i="20"/>
  <c r="W692" i="20"/>
  <c r="AM691" i="20"/>
  <c r="AL691" i="20"/>
  <c r="AK691" i="20"/>
  <c r="AJ691" i="20"/>
  <c r="AI691" i="20"/>
  <c r="AG691" i="20"/>
  <c r="AF691" i="20"/>
  <c r="AE691" i="20"/>
  <c r="AD691" i="20"/>
  <c r="AC691" i="20"/>
  <c r="AA691" i="20"/>
  <c r="Z691" i="20"/>
  <c r="Y691" i="20"/>
  <c r="X691" i="20"/>
  <c r="W691" i="20"/>
  <c r="AM690" i="20"/>
  <c r="AL690" i="20"/>
  <c r="AK690" i="20"/>
  <c r="AJ690" i="20"/>
  <c r="AI690" i="20"/>
  <c r="AG690" i="20"/>
  <c r="AF690" i="20"/>
  <c r="AE690" i="20"/>
  <c r="AD690" i="20"/>
  <c r="AC690" i="20"/>
  <c r="AA690" i="20"/>
  <c r="Z690" i="20"/>
  <c r="Y690" i="20"/>
  <c r="X690" i="20"/>
  <c r="W690" i="20"/>
  <c r="AM689" i="20"/>
  <c r="AL689" i="20"/>
  <c r="AK689" i="20"/>
  <c r="AJ689" i="20"/>
  <c r="AI689" i="20"/>
  <c r="AG689" i="20"/>
  <c r="AF689" i="20"/>
  <c r="AE689" i="20"/>
  <c r="AD689" i="20"/>
  <c r="AC689" i="20"/>
  <c r="AA689" i="20"/>
  <c r="Z689" i="20"/>
  <c r="Y689" i="20"/>
  <c r="X689" i="20"/>
  <c r="W689" i="20"/>
  <c r="AM688" i="20"/>
  <c r="AL688" i="20"/>
  <c r="AK688" i="20"/>
  <c r="AJ688" i="20"/>
  <c r="AI688" i="20"/>
  <c r="AG688" i="20"/>
  <c r="AF688" i="20"/>
  <c r="AE688" i="20"/>
  <c r="AD688" i="20"/>
  <c r="AC688" i="20"/>
  <c r="AA688" i="20"/>
  <c r="Z688" i="20"/>
  <c r="Y688" i="20"/>
  <c r="X688" i="20"/>
  <c r="W688" i="20"/>
  <c r="AM687" i="20"/>
  <c r="AL687" i="20"/>
  <c r="AK687" i="20"/>
  <c r="AJ687" i="20"/>
  <c r="AI687" i="20"/>
  <c r="AG687" i="20"/>
  <c r="AF687" i="20"/>
  <c r="AE687" i="20"/>
  <c r="AD687" i="20"/>
  <c r="AC687" i="20"/>
  <c r="AA687" i="20"/>
  <c r="Z687" i="20"/>
  <c r="Y687" i="20"/>
  <c r="X687" i="20"/>
  <c r="W687" i="20"/>
  <c r="AM686" i="20"/>
  <c r="AL686" i="20"/>
  <c r="AK686" i="20"/>
  <c r="AJ686" i="20"/>
  <c r="AI686" i="20"/>
  <c r="AG686" i="20"/>
  <c r="AF686" i="20"/>
  <c r="AE686" i="20"/>
  <c r="AD686" i="20"/>
  <c r="AC686" i="20"/>
  <c r="AA686" i="20"/>
  <c r="Z686" i="20"/>
  <c r="Y686" i="20"/>
  <c r="X686" i="20"/>
  <c r="W686" i="20"/>
  <c r="AM685" i="20"/>
  <c r="AL685" i="20"/>
  <c r="AK685" i="20"/>
  <c r="AJ685" i="20"/>
  <c r="AI685" i="20"/>
  <c r="AG685" i="20"/>
  <c r="AF685" i="20"/>
  <c r="AE685" i="20"/>
  <c r="AD685" i="20"/>
  <c r="AC685" i="20"/>
  <c r="AA685" i="20"/>
  <c r="Z685" i="20"/>
  <c r="Y685" i="20"/>
  <c r="X685" i="20"/>
  <c r="W685" i="20"/>
  <c r="AM684" i="20"/>
  <c r="AL684" i="20"/>
  <c r="AK684" i="20"/>
  <c r="AJ684" i="20"/>
  <c r="AI684" i="20"/>
  <c r="AG684" i="20"/>
  <c r="AF684" i="20"/>
  <c r="AE684" i="20"/>
  <c r="AD684" i="20"/>
  <c r="AC684" i="20"/>
  <c r="AA684" i="20"/>
  <c r="Z684" i="20"/>
  <c r="Y684" i="20"/>
  <c r="X684" i="20"/>
  <c r="W684" i="20"/>
  <c r="AM683" i="20"/>
  <c r="AL683" i="20"/>
  <c r="AK683" i="20"/>
  <c r="AJ683" i="20"/>
  <c r="AI683" i="20"/>
  <c r="AG683" i="20"/>
  <c r="AF683" i="20"/>
  <c r="AE683" i="20"/>
  <c r="AD683" i="20"/>
  <c r="AC683" i="20"/>
  <c r="AA683" i="20"/>
  <c r="Z683" i="20"/>
  <c r="Y683" i="20"/>
  <c r="X683" i="20"/>
  <c r="W683" i="20"/>
  <c r="AM682" i="20"/>
  <c r="AL682" i="20"/>
  <c r="AK682" i="20"/>
  <c r="AJ682" i="20"/>
  <c r="AI682" i="20"/>
  <c r="AG682" i="20"/>
  <c r="AF682" i="20"/>
  <c r="AE682" i="20"/>
  <c r="AD682" i="20"/>
  <c r="AC682" i="20"/>
  <c r="AA682" i="20"/>
  <c r="Z682" i="20"/>
  <c r="Y682" i="20"/>
  <c r="X682" i="20"/>
  <c r="W682" i="20"/>
  <c r="AM681" i="20"/>
  <c r="AL681" i="20"/>
  <c r="AK681" i="20"/>
  <c r="AJ681" i="20"/>
  <c r="AI681" i="20"/>
  <c r="AG681" i="20"/>
  <c r="AF681" i="20"/>
  <c r="AE681" i="20"/>
  <c r="AD681" i="20"/>
  <c r="AC681" i="20"/>
  <c r="AA681" i="20"/>
  <c r="Z681" i="20"/>
  <c r="Y681" i="20"/>
  <c r="X681" i="20"/>
  <c r="W681" i="20"/>
  <c r="AM680" i="20"/>
  <c r="AL680" i="20"/>
  <c r="AK680" i="20"/>
  <c r="AJ680" i="20"/>
  <c r="AI680" i="20"/>
  <c r="AG680" i="20"/>
  <c r="AF680" i="20"/>
  <c r="AE680" i="20"/>
  <c r="AD680" i="20"/>
  <c r="AC680" i="20"/>
  <c r="AA680" i="20"/>
  <c r="Z680" i="20"/>
  <c r="Y680" i="20"/>
  <c r="X680" i="20"/>
  <c r="W680" i="20"/>
  <c r="AM679" i="20"/>
  <c r="AL679" i="20"/>
  <c r="AK679" i="20"/>
  <c r="AJ679" i="20"/>
  <c r="AI679" i="20"/>
  <c r="AG679" i="20"/>
  <c r="AF679" i="20"/>
  <c r="AE679" i="20"/>
  <c r="AD679" i="20"/>
  <c r="AC679" i="20"/>
  <c r="AA679" i="20"/>
  <c r="Z679" i="20"/>
  <c r="Y679" i="20"/>
  <c r="X679" i="20"/>
  <c r="W679" i="20"/>
  <c r="AM678" i="20"/>
  <c r="AL678" i="20"/>
  <c r="AK678" i="20"/>
  <c r="AJ678" i="20"/>
  <c r="AI678" i="20"/>
  <c r="AG678" i="20"/>
  <c r="AF678" i="20"/>
  <c r="AE678" i="20"/>
  <c r="AD678" i="20"/>
  <c r="AC678" i="20"/>
  <c r="AA678" i="20"/>
  <c r="Z678" i="20"/>
  <c r="Y678" i="20"/>
  <c r="X678" i="20"/>
  <c r="W678" i="20"/>
  <c r="AM677" i="20"/>
  <c r="AL677" i="20"/>
  <c r="AK677" i="20"/>
  <c r="AJ677" i="20"/>
  <c r="AI677" i="20"/>
  <c r="AG677" i="20"/>
  <c r="AF677" i="20"/>
  <c r="AE677" i="20"/>
  <c r="AD677" i="20"/>
  <c r="AC677" i="20"/>
  <c r="AA677" i="20"/>
  <c r="Z677" i="20"/>
  <c r="Y677" i="20"/>
  <c r="X677" i="20"/>
  <c r="W677" i="20"/>
  <c r="AM676" i="20"/>
  <c r="AL676" i="20"/>
  <c r="AK676" i="20"/>
  <c r="AJ676" i="20"/>
  <c r="AI676" i="20"/>
  <c r="AG676" i="20"/>
  <c r="AF676" i="20"/>
  <c r="AE676" i="20"/>
  <c r="AD676" i="20"/>
  <c r="AC676" i="20"/>
  <c r="AA676" i="20"/>
  <c r="Z676" i="20"/>
  <c r="Y676" i="20"/>
  <c r="X676" i="20"/>
  <c r="W676" i="20"/>
  <c r="AM675" i="20"/>
  <c r="AL675" i="20"/>
  <c r="AK675" i="20"/>
  <c r="AJ675" i="20"/>
  <c r="AI675" i="20"/>
  <c r="AG675" i="20"/>
  <c r="AF675" i="20"/>
  <c r="AE675" i="20"/>
  <c r="AD675" i="20"/>
  <c r="AC675" i="20"/>
  <c r="AA675" i="20"/>
  <c r="Z675" i="20"/>
  <c r="Y675" i="20"/>
  <c r="X675" i="20"/>
  <c r="W675" i="20"/>
  <c r="AM674" i="20"/>
  <c r="AL674" i="20"/>
  <c r="AK674" i="20"/>
  <c r="AJ674" i="20"/>
  <c r="AI674" i="20"/>
  <c r="AG674" i="20"/>
  <c r="AF674" i="20"/>
  <c r="AE674" i="20"/>
  <c r="AD674" i="20"/>
  <c r="AC674" i="20"/>
  <c r="AA674" i="20"/>
  <c r="Z674" i="20"/>
  <c r="Y674" i="20"/>
  <c r="X674" i="20"/>
  <c r="W674" i="20"/>
  <c r="AM673" i="20"/>
  <c r="AL673" i="20"/>
  <c r="AK673" i="20"/>
  <c r="AJ673" i="20"/>
  <c r="AI673" i="20"/>
  <c r="AG673" i="20"/>
  <c r="AF673" i="20"/>
  <c r="AE673" i="20"/>
  <c r="AD673" i="20"/>
  <c r="AC673" i="20"/>
  <c r="AA673" i="20"/>
  <c r="Z673" i="20"/>
  <c r="Y673" i="20"/>
  <c r="X673" i="20"/>
  <c r="W673" i="20"/>
  <c r="AM672" i="20"/>
  <c r="AL672" i="20"/>
  <c r="AK672" i="20"/>
  <c r="AJ672" i="20"/>
  <c r="AI672" i="20"/>
  <c r="AG672" i="20"/>
  <c r="AF672" i="20"/>
  <c r="AE672" i="20"/>
  <c r="AD672" i="20"/>
  <c r="AC672" i="20"/>
  <c r="AA672" i="20"/>
  <c r="Z672" i="20"/>
  <c r="Y672" i="20"/>
  <c r="X672" i="20"/>
  <c r="W672" i="20"/>
  <c r="AM671" i="20"/>
  <c r="AL671" i="20"/>
  <c r="AK671" i="20"/>
  <c r="AJ671" i="20"/>
  <c r="AI671" i="20"/>
  <c r="AG671" i="20"/>
  <c r="AF671" i="20"/>
  <c r="AE671" i="20"/>
  <c r="AD671" i="20"/>
  <c r="AC671" i="20"/>
  <c r="AA671" i="20"/>
  <c r="Z671" i="20"/>
  <c r="Y671" i="20"/>
  <c r="X671" i="20"/>
  <c r="W671" i="20"/>
  <c r="AM670" i="20"/>
  <c r="AL670" i="20"/>
  <c r="AK670" i="20"/>
  <c r="AJ670" i="20"/>
  <c r="AI670" i="20"/>
  <c r="AG670" i="20"/>
  <c r="AF670" i="20"/>
  <c r="AE670" i="20"/>
  <c r="AD670" i="20"/>
  <c r="AC670" i="20"/>
  <c r="AA670" i="20"/>
  <c r="Z670" i="20"/>
  <c r="Y670" i="20"/>
  <c r="X670" i="20"/>
  <c r="W670" i="20"/>
  <c r="AM669" i="20"/>
  <c r="AL669" i="20"/>
  <c r="AK669" i="20"/>
  <c r="AJ669" i="20"/>
  <c r="AI669" i="20"/>
  <c r="AG669" i="20"/>
  <c r="AF669" i="20"/>
  <c r="AE669" i="20"/>
  <c r="AD669" i="20"/>
  <c r="AC669" i="20"/>
  <c r="AA669" i="20"/>
  <c r="Z669" i="20"/>
  <c r="Y669" i="20"/>
  <c r="X669" i="20"/>
  <c r="W669" i="20"/>
  <c r="AM668" i="20"/>
  <c r="AL668" i="20"/>
  <c r="AK668" i="20"/>
  <c r="AJ668" i="20"/>
  <c r="AI668" i="20"/>
  <c r="AG668" i="20"/>
  <c r="AF668" i="20"/>
  <c r="AE668" i="20"/>
  <c r="AD668" i="20"/>
  <c r="AC668" i="20"/>
  <c r="AA668" i="20"/>
  <c r="Z668" i="20"/>
  <c r="Y668" i="20"/>
  <c r="X668" i="20"/>
  <c r="W668" i="20"/>
  <c r="AM667" i="20"/>
  <c r="AL667" i="20"/>
  <c r="AK667" i="20"/>
  <c r="AJ667" i="20"/>
  <c r="AI667" i="20"/>
  <c r="AG667" i="20"/>
  <c r="AF667" i="20"/>
  <c r="AE667" i="20"/>
  <c r="AD667" i="20"/>
  <c r="AC667" i="20"/>
  <c r="AA667" i="20"/>
  <c r="Z667" i="20"/>
  <c r="Y667" i="20"/>
  <c r="X667" i="20"/>
  <c r="W667" i="20"/>
  <c r="AM666" i="20"/>
  <c r="AL666" i="20"/>
  <c r="AK666" i="20"/>
  <c r="AJ666" i="20"/>
  <c r="AI666" i="20"/>
  <c r="AG666" i="20"/>
  <c r="AF666" i="20"/>
  <c r="AE666" i="20"/>
  <c r="AD666" i="20"/>
  <c r="AC666" i="20"/>
  <c r="AA666" i="20"/>
  <c r="Z666" i="20"/>
  <c r="Y666" i="20"/>
  <c r="X666" i="20"/>
  <c r="W666" i="20"/>
  <c r="AM665" i="20"/>
  <c r="AL665" i="20"/>
  <c r="AK665" i="20"/>
  <c r="AJ665" i="20"/>
  <c r="AI665" i="20"/>
  <c r="AG665" i="20"/>
  <c r="AF665" i="20"/>
  <c r="AE665" i="20"/>
  <c r="AD665" i="20"/>
  <c r="AC665" i="20"/>
  <c r="AA665" i="20"/>
  <c r="Z665" i="20"/>
  <c r="Y665" i="20"/>
  <c r="X665" i="20"/>
  <c r="W665" i="20"/>
  <c r="AM664" i="20"/>
  <c r="AL664" i="20"/>
  <c r="AK664" i="20"/>
  <c r="AJ664" i="20"/>
  <c r="AI664" i="20"/>
  <c r="AG664" i="20"/>
  <c r="AF664" i="20"/>
  <c r="AE664" i="20"/>
  <c r="AD664" i="20"/>
  <c r="AC664" i="20"/>
  <c r="AA664" i="20"/>
  <c r="Z664" i="20"/>
  <c r="Y664" i="20"/>
  <c r="X664" i="20"/>
  <c r="W664" i="20"/>
  <c r="AM663" i="20"/>
  <c r="AL663" i="20"/>
  <c r="AK663" i="20"/>
  <c r="AJ663" i="20"/>
  <c r="AI663" i="20"/>
  <c r="AG663" i="20"/>
  <c r="AF663" i="20"/>
  <c r="AE663" i="20"/>
  <c r="AD663" i="20"/>
  <c r="AC663" i="20"/>
  <c r="AA663" i="20"/>
  <c r="Z663" i="20"/>
  <c r="Y663" i="20"/>
  <c r="X663" i="20"/>
  <c r="W663" i="20"/>
  <c r="AM662" i="20"/>
  <c r="AL662" i="20"/>
  <c r="AK662" i="20"/>
  <c r="AJ662" i="20"/>
  <c r="AI662" i="20"/>
  <c r="AG662" i="20"/>
  <c r="AF662" i="20"/>
  <c r="AE662" i="20"/>
  <c r="AD662" i="20"/>
  <c r="AC662" i="20"/>
  <c r="AA662" i="20"/>
  <c r="Z662" i="20"/>
  <c r="Y662" i="20"/>
  <c r="X662" i="20"/>
  <c r="W662" i="20"/>
  <c r="AM661" i="20"/>
  <c r="AL661" i="20"/>
  <c r="AK661" i="20"/>
  <c r="AJ661" i="20"/>
  <c r="AI661" i="20"/>
  <c r="AG661" i="20"/>
  <c r="AF661" i="20"/>
  <c r="AE661" i="20"/>
  <c r="AD661" i="20"/>
  <c r="AC661" i="20"/>
  <c r="AA661" i="20"/>
  <c r="Z661" i="20"/>
  <c r="Y661" i="20"/>
  <c r="X661" i="20"/>
  <c r="W661" i="20"/>
  <c r="AM660" i="20"/>
  <c r="AL660" i="20"/>
  <c r="AK660" i="20"/>
  <c r="AJ660" i="20"/>
  <c r="AI660" i="20"/>
  <c r="AG660" i="20"/>
  <c r="AF660" i="20"/>
  <c r="AE660" i="20"/>
  <c r="AD660" i="20"/>
  <c r="AC660" i="20"/>
  <c r="AA660" i="20"/>
  <c r="Z660" i="20"/>
  <c r="Y660" i="20"/>
  <c r="X660" i="20"/>
  <c r="W660" i="20"/>
  <c r="AM659" i="20"/>
  <c r="AL659" i="20"/>
  <c r="AK659" i="20"/>
  <c r="AJ659" i="20"/>
  <c r="AI659" i="20"/>
  <c r="AG659" i="20"/>
  <c r="AF659" i="20"/>
  <c r="AE659" i="20"/>
  <c r="AD659" i="20"/>
  <c r="AC659" i="20"/>
  <c r="AA659" i="20"/>
  <c r="Z659" i="20"/>
  <c r="Y659" i="20"/>
  <c r="X659" i="20"/>
  <c r="W659" i="20"/>
  <c r="AM658" i="20"/>
  <c r="AL658" i="20"/>
  <c r="AK658" i="20"/>
  <c r="AJ658" i="20"/>
  <c r="AI658" i="20"/>
  <c r="AG658" i="20"/>
  <c r="AF658" i="20"/>
  <c r="AE658" i="20"/>
  <c r="AD658" i="20"/>
  <c r="AC658" i="20"/>
  <c r="AA658" i="20"/>
  <c r="Z658" i="20"/>
  <c r="Y658" i="20"/>
  <c r="X658" i="20"/>
  <c r="W658" i="20"/>
  <c r="AM657" i="20"/>
  <c r="AL657" i="20"/>
  <c r="AK657" i="20"/>
  <c r="AJ657" i="20"/>
  <c r="AI657" i="20"/>
  <c r="AG657" i="20"/>
  <c r="AF657" i="20"/>
  <c r="AE657" i="20"/>
  <c r="AD657" i="20"/>
  <c r="AC657" i="20"/>
  <c r="AA657" i="20"/>
  <c r="Z657" i="20"/>
  <c r="Y657" i="20"/>
  <c r="X657" i="20"/>
  <c r="W657" i="20"/>
  <c r="AM656" i="20"/>
  <c r="AL656" i="20"/>
  <c r="AK656" i="20"/>
  <c r="AJ656" i="20"/>
  <c r="AI656" i="20"/>
  <c r="AG656" i="20"/>
  <c r="AF656" i="20"/>
  <c r="AE656" i="20"/>
  <c r="AD656" i="20"/>
  <c r="AC656" i="20"/>
  <c r="AA656" i="20"/>
  <c r="Z656" i="20"/>
  <c r="Y656" i="20"/>
  <c r="X656" i="20"/>
  <c r="W656" i="20"/>
  <c r="AM655" i="20"/>
  <c r="AL655" i="20"/>
  <c r="AK655" i="20"/>
  <c r="AJ655" i="20"/>
  <c r="AI655" i="20"/>
  <c r="AG655" i="20"/>
  <c r="AF655" i="20"/>
  <c r="AE655" i="20"/>
  <c r="AD655" i="20"/>
  <c r="AC655" i="20"/>
  <c r="AA655" i="20"/>
  <c r="Z655" i="20"/>
  <c r="Y655" i="20"/>
  <c r="X655" i="20"/>
  <c r="W655" i="20"/>
  <c r="AM654" i="20"/>
  <c r="AL654" i="20"/>
  <c r="AK654" i="20"/>
  <c r="AJ654" i="20"/>
  <c r="AI654" i="20"/>
  <c r="AG654" i="20"/>
  <c r="AF654" i="20"/>
  <c r="AE654" i="20"/>
  <c r="AD654" i="20"/>
  <c r="AC654" i="20"/>
  <c r="AA654" i="20"/>
  <c r="Z654" i="20"/>
  <c r="Y654" i="20"/>
  <c r="X654" i="20"/>
  <c r="W654" i="20"/>
  <c r="AM653" i="20"/>
  <c r="AL653" i="20"/>
  <c r="AK653" i="20"/>
  <c r="AJ653" i="20"/>
  <c r="AI653" i="20"/>
  <c r="AG653" i="20"/>
  <c r="AF653" i="20"/>
  <c r="AE653" i="20"/>
  <c r="AD653" i="20"/>
  <c r="AC653" i="20"/>
  <c r="AA653" i="20"/>
  <c r="Z653" i="20"/>
  <c r="Y653" i="20"/>
  <c r="X653" i="20"/>
  <c r="W653" i="20"/>
  <c r="AM652" i="20"/>
  <c r="AL652" i="20"/>
  <c r="AK652" i="20"/>
  <c r="AJ652" i="20"/>
  <c r="AI652" i="20"/>
  <c r="AG652" i="20"/>
  <c r="AF652" i="20"/>
  <c r="AE652" i="20"/>
  <c r="AD652" i="20"/>
  <c r="AC652" i="20"/>
  <c r="AA652" i="20"/>
  <c r="Z652" i="20"/>
  <c r="Y652" i="20"/>
  <c r="X652" i="20"/>
  <c r="W652" i="20"/>
  <c r="AM651" i="20"/>
  <c r="AL651" i="20"/>
  <c r="AK651" i="20"/>
  <c r="AJ651" i="20"/>
  <c r="AI651" i="20"/>
  <c r="AG651" i="20"/>
  <c r="AF651" i="20"/>
  <c r="AE651" i="20"/>
  <c r="AD651" i="20"/>
  <c r="AC651" i="20"/>
  <c r="AA651" i="20"/>
  <c r="Z651" i="20"/>
  <c r="Y651" i="20"/>
  <c r="X651" i="20"/>
  <c r="W651" i="20"/>
  <c r="AM650" i="20"/>
  <c r="AL650" i="20"/>
  <c r="AK650" i="20"/>
  <c r="AJ650" i="20"/>
  <c r="AI650" i="20"/>
  <c r="AG650" i="20"/>
  <c r="AF650" i="20"/>
  <c r="AE650" i="20"/>
  <c r="AD650" i="20"/>
  <c r="AC650" i="20"/>
  <c r="AA650" i="20"/>
  <c r="Z650" i="20"/>
  <c r="Y650" i="20"/>
  <c r="X650" i="20"/>
  <c r="W650" i="20"/>
  <c r="AM649" i="20"/>
  <c r="AL649" i="20"/>
  <c r="AK649" i="20"/>
  <c r="AJ649" i="20"/>
  <c r="AI649" i="20"/>
  <c r="AG649" i="20"/>
  <c r="AF649" i="20"/>
  <c r="AE649" i="20"/>
  <c r="AD649" i="20"/>
  <c r="AC649" i="20"/>
  <c r="AA649" i="20"/>
  <c r="Z649" i="20"/>
  <c r="Y649" i="20"/>
  <c r="X649" i="20"/>
  <c r="W649" i="20"/>
  <c r="AM648" i="20"/>
  <c r="AL648" i="20"/>
  <c r="AK648" i="20"/>
  <c r="AJ648" i="20"/>
  <c r="AI648" i="20"/>
  <c r="AG648" i="20"/>
  <c r="AF648" i="20"/>
  <c r="AE648" i="20"/>
  <c r="AD648" i="20"/>
  <c r="AC648" i="20"/>
  <c r="AA648" i="20"/>
  <c r="Z648" i="20"/>
  <c r="Y648" i="20"/>
  <c r="X648" i="20"/>
  <c r="W648" i="20"/>
  <c r="AM647" i="20"/>
  <c r="AL647" i="20"/>
  <c r="AK647" i="20"/>
  <c r="AJ647" i="20"/>
  <c r="AI647" i="20"/>
  <c r="AG647" i="20"/>
  <c r="AF647" i="20"/>
  <c r="AE647" i="20"/>
  <c r="AD647" i="20"/>
  <c r="AC647" i="20"/>
  <c r="AA647" i="20"/>
  <c r="Z647" i="20"/>
  <c r="Y647" i="20"/>
  <c r="X647" i="20"/>
  <c r="W647" i="20"/>
  <c r="AM646" i="20"/>
  <c r="AL646" i="20"/>
  <c r="AK646" i="20"/>
  <c r="AJ646" i="20"/>
  <c r="AI646" i="20"/>
  <c r="AG646" i="20"/>
  <c r="AF646" i="20"/>
  <c r="AE646" i="20"/>
  <c r="AD646" i="20"/>
  <c r="AC646" i="20"/>
  <c r="AA646" i="20"/>
  <c r="Z646" i="20"/>
  <c r="Y646" i="20"/>
  <c r="X646" i="20"/>
  <c r="W646" i="20"/>
  <c r="AM645" i="20"/>
  <c r="AL645" i="20"/>
  <c r="AK645" i="20"/>
  <c r="AJ645" i="20"/>
  <c r="AI645" i="20"/>
  <c r="AG645" i="20"/>
  <c r="AF645" i="20"/>
  <c r="AE645" i="20"/>
  <c r="AD645" i="20"/>
  <c r="AC645" i="20"/>
  <c r="AA645" i="20"/>
  <c r="Z645" i="20"/>
  <c r="Y645" i="20"/>
  <c r="X645" i="20"/>
  <c r="W645" i="20"/>
  <c r="AM644" i="20"/>
  <c r="AL644" i="20"/>
  <c r="AK644" i="20"/>
  <c r="AJ644" i="20"/>
  <c r="AI644" i="20"/>
  <c r="AG644" i="20"/>
  <c r="AF644" i="20"/>
  <c r="AE644" i="20"/>
  <c r="AD644" i="20"/>
  <c r="AC644" i="20"/>
  <c r="AA644" i="20"/>
  <c r="Z644" i="20"/>
  <c r="Y644" i="20"/>
  <c r="X644" i="20"/>
  <c r="W644" i="20"/>
  <c r="AM643" i="20"/>
  <c r="AL643" i="20"/>
  <c r="AK643" i="20"/>
  <c r="AJ643" i="20"/>
  <c r="AI643" i="20"/>
  <c r="AG643" i="20"/>
  <c r="AF643" i="20"/>
  <c r="AE643" i="20"/>
  <c r="AD643" i="20"/>
  <c r="AC643" i="20"/>
  <c r="AA643" i="20"/>
  <c r="Z643" i="20"/>
  <c r="Y643" i="20"/>
  <c r="X643" i="20"/>
  <c r="W643" i="20"/>
  <c r="AM642" i="20"/>
  <c r="AL642" i="20"/>
  <c r="AK642" i="20"/>
  <c r="AJ642" i="20"/>
  <c r="AI642" i="20"/>
  <c r="AG642" i="20"/>
  <c r="AF642" i="20"/>
  <c r="AE642" i="20"/>
  <c r="AD642" i="20"/>
  <c r="AC642" i="20"/>
  <c r="AA642" i="20"/>
  <c r="Z642" i="20"/>
  <c r="Y642" i="20"/>
  <c r="X642" i="20"/>
  <c r="W642" i="20"/>
  <c r="AM641" i="20"/>
  <c r="AL641" i="20"/>
  <c r="AK641" i="20"/>
  <c r="AJ641" i="20"/>
  <c r="AI641" i="20"/>
  <c r="AG641" i="20"/>
  <c r="AF641" i="20"/>
  <c r="AE641" i="20"/>
  <c r="AD641" i="20"/>
  <c r="AC641" i="20"/>
  <c r="AA641" i="20"/>
  <c r="Z641" i="20"/>
  <c r="Y641" i="20"/>
  <c r="X641" i="20"/>
  <c r="W641" i="20"/>
  <c r="AM640" i="20"/>
  <c r="AL640" i="20"/>
  <c r="AK640" i="20"/>
  <c r="AJ640" i="20"/>
  <c r="AI640" i="20"/>
  <c r="AG640" i="20"/>
  <c r="AF640" i="20"/>
  <c r="AE640" i="20"/>
  <c r="AD640" i="20"/>
  <c r="AC640" i="20"/>
  <c r="AA640" i="20"/>
  <c r="Z640" i="20"/>
  <c r="Y640" i="20"/>
  <c r="X640" i="20"/>
  <c r="W640" i="20"/>
  <c r="AM639" i="20"/>
  <c r="AL639" i="20"/>
  <c r="AK639" i="20"/>
  <c r="AJ639" i="20"/>
  <c r="AI639" i="20"/>
  <c r="AG639" i="20"/>
  <c r="AF639" i="20"/>
  <c r="AE639" i="20"/>
  <c r="AD639" i="20"/>
  <c r="AC639" i="20"/>
  <c r="AA639" i="20"/>
  <c r="Z639" i="20"/>
  <c r="Y639" i="20"/>
  <c r="X639" i="20"/>
  <c r="W639" i="20"/>
  <c r="AM638" i="20"/>
  <c r="AL638" i="20"/>
  <c r="AK638" i="20"/>
  <c r="AJ638" i="20"/>
  <c r="AI638" i="20"/>
  <c r="AG638" i="20"/>
  <c r="AF638" i="20"/>
  <c r="AE638" i="20"/>
  <c r="AD638" i="20"/>
  <c r="AC638" i="20"/>
  <c r="AA638" i="20"/>
  <c r="Z638" i="20"/>
  <c r="Y638" i="20"/>
  <c r="X638" i="20"/>
  <c r="W638" i="20"/>
  <c r="AM637" i="20"/>
  <c r="AL637" i="20"/>
  <c r="AK637" i="20"/>
  <c r="AJ637" i="20"/>
  <c r="AI637" i="20"/>
  <c r="AG637" i="20"/>
  <c r="AF637" i="20"/>
  <c r="AE637" i="20"/>
  <c r="AD637" i="20"/>
  <c r="AC637" i="20"/>
  <c r="AA637" i="20"/>
  <c r="Z637" i="20"/>
  <c r="Y637" i="20"/>
  <c r="X637" i="20"/>
  <c r="W637" i="20"/>
  <c r="AM636" i="20"/>
  <c r="AL636" i="20"/>
  <c r="AK636" i="20"/>
  <c r="AJ636" i="20"/>
  <c r="AI636" i="20"/>
  <c r="AG636" i="20"/>
  <c r="AF636" i="20"/>
  <c r="AE636" i="20"/>
  <c r="AD636" i="20"/>
  <c r="AC636" i="20"/>
  <c r="AA636" i="20"/>
  <c r="Z636" i="20"/>
  <c r="Y636" i="20"/>
  <c r="X636" i="20"/>
  <c r="W636" i="20"/>
  <c r="AM635" i="20"/>
  <c r="AL635" i="20"/>
  <c r="AK635" i="20"/>
  <c r="AJ635" i="20"/>
  <c r="AI635" i="20"/>
  <c r="AG635" i="20"/>
  <c r="AF635" i="20"/>
  <c r="AE635" i="20"/>
  <c r="AD635" i="20"/>
  <c r="AC635" i="20"/>
  <c r="AA635" i="20"/>
  <c r="Z635" i="20"/>
  <c r="Y635" i="20"/>
  <c r="X635" i="20"/>
  <c r="W635" i="20"/>
  <c r="AM634" i="20"/>
  <c r="AL634" i="20"/>
  <c r="AK634" i="20"/>
  <c r="AJ634" i="20"/>
  <c r="AI634" i="20"/>
  <c r="AG634" i="20"/>
  <c r="AF634" i="20"/>
  <c r="AE634" i="20"/>
  <c r="AD634" i="20"/>
  <c r="AC634" i="20"/>
  <c r="AA634" i="20"/>
  <c r="Z634" i="20"/>
  <c r="Y634" i="20"/>
  <c r="X634" i="20"/>
  <c r="W634" i="20"/>
  <c r="AM633" i="20"/>
  <c r="AL633" i="20"/>
  <c r="AK633" i="20"/>
  <c r="AJ633" i="20"/>
  <c r="AI633" i="20"/>
  <c r="AG633" i="20"/>
  <c r="AF633" i="20"/>
  <c r="AE633" i="20"/>
  <c r="AD633" i="20"/>
  <c r="AC633" i="20"/>
  <c r="AA633" i="20"/>
  <c r="Z633" i="20"/>
  <c r="Y633" i="20"/>
  <c r="X633" i="20"/>
  <c r="W633" i="20"/>
  <c r="AM632" i="20"/>
  <c r="AL632" i="20"/>
  <c r="AK632" i="20"/>
  <c r="AJ632" i="20"/>
  <c r="AI632" i="20"/>
  <c r="AG632" i="20"/>
  <c r="AF632" i="20"/>
  <c r="AE632" i="20"/>
  <c r="AD632" i="20"/>
  <c r="AC632" i="20"/>
  <c r="AA632" i="20"/>
  <c r="Z632" i="20"/>
  <c r="Y632" i="20"/>
  <c r="X632" i="20"/>
  <c r="W632" i="20"/>
  <c r="AM631" i="20"/>
  <c r="AL631" i="20"/>
  <c r="AK631" i="20"/>
  <c r="AJ631" i="20"/>
  <c r="AI631" i="20"/>
  <c r="AG631" i="20"/>
  <c r="AF631" i="20"/>
  <c r="AE631" i="20"/>
  <c r="AD631" i="20"/>
  <c r="AC631" i="20"/>
  <c r="AA631" i="20"/>
  <c r="Z631" i="20"/>
  <c r="Y631" i="20"/>
  <c r="X631" i="20"/>
  <c r="W631" i="20"/>
  <c r="AM630" i="20"/>
  <c r="AL630" i="20"/>
  <c r="AK630" i="20"/>
  <c r="AJ630" i="20"/>
  <c r="AI630" i="20"/>
  <c r="AG630" i="20"/>
  <c r="AF630" i="20"/>
  <c r="AE630" i="20"/>
  <c r="AD630" i="20"/>
  <c r="AC630" i="20"/>
  <c r="AA630" i="20"/>
  <c r="Z630" i="20"/>
  <c r="Y630" i="20"/>
  <c r="X630" i="20"/>
  <c r="W630" i="20"/>
  <c r="AM629" i="20"/>
  <c r="AL629" i="20"/>
  <c r="AK629" i="20"/>
  <c r="AJ629" i="20"/>
  <c r="AI629" i="20"/>
  <c r="AG629" i="20"/>
  <c r="AF629" i="20"/>
  <c r="AE629" i="20"/>
  <c r="AD629" i="20"/>
  <c r="AC629" i="20"/>
  <c r="AA629" i="20"/>
  <c r="Z629" i="20"/>
  <c r="Y629" i="20"/>
  <c r="X629" i="20"/>
  <c r="W629" i="20"/>
  <c r="AM628" i="20"/>
  <c r="AL628" i="20"/>
  <c r="AK628" i="20"/>
  <c r="AJ628" i="20"/>
  <c r="AI628" i="20"/>
  <c r="AG628" i="20"/>
  <c r="AF628" i="20"/>
  <c r="AE628" i="20"/>
  <c r="AD628" i="20"/>
  <c r="AC628" i="20"/>
  <c r="AA628" i="20"/>
  <c r="Z628" i="20"/>
  <c r="Y628" i="20"/>
  <c r="X628" i="20"/>
  <c r="W628" i="20"/>
  <c r="AM627" i="20"/>
  <c r="AL627" i="20"/>
  <c r="AK627" i="20"/>
  <c r="AJ627" i="20"/>
  <c r="AI627" i="20"/>
  <c r="AG627" i="20"/>
  <c r="AF627" i="20"/>
  <c r="AE627" i="20"/>
  <c r="AD627" i="20"/>
  <c r="AC627" i="20"/>
  <c r="AA627" i="20"/>
  <c r="Z627" i="20"/>
  <c r="Y627" i="20"/>
  <c r="X627" i="20"/>
  <c r="W627" i="20"/>
  <c r="AM626" i="20"/>
  <c r="AL626" i="20"/>
  <c r="AK626" i="20"/>
  <c r="AJ626" i="20"/>
  <c r="AI626" i="20"/>
  <c r="AG626" i="20"/>
  <c r="AF626" i="20"/>
  <c r="AE626" i="20"/>
  <c r="AD626" i="20"/>
  <c r="AC626" i="20"/>
  <c r="AA626" i="20"/>
  <c r="Z626" i="20"/>
  <c r="Y626" i="20"/>
  <c r="X626" i="20"/>
  <c r="W626" i="20"/>
  <c r="AM625" i="20"/>
  <c r="AL625" i="20"/>
  <c r="AK625" i="20"/>
  <c r="AJ625" i="20"/>
  <c r="AI625" i="20"/>
  <c r="AG625" i="20"/>
  <c r="AF625" i="20"/>
  <c r="AE625" i="20"/>
  <c r="AD625" i="20"/>
  <c r="AC625" i="20"/>
  <c r="AA625" i="20"/>
  <c r="Z625" i="20"/>
  <c r="Y625" i="20"/>
  <c r="X625" i="20"/>
  <c r="W625" i="20"/>
  <c r="AM624" i="20"/>
  <c r="AL624" i="20"/>
  <c r="AK624" i="20"/>
  <c r="AJ624" i="20"/>
  <c r="AI624" i="20"/>
  <c r="AG624" i="20"/>
  <c r="AF624" i="20"/>
  <c r="AE624" i="20"/>
  <c r="AD624" i="20"/>
  <c r="AC624" i="20"/>
  <c r="AA624" i="20"/>
  <c r="Z624" i="20"/>
  <c r="Y624" i="20"/>
  <c r="X624" i="20"/>
  <c r="W624" i="20"/>
  <c r="AM623" i="20"/>
  <c r="AL623" i="20"/>
  <c r="AK623" i="20"/>
  <c r="AJ623" i="20"/>
  <c r="AI623" i="20"/>
  <c r="AG623" i="20"/>
  <c r="AF623" i="20"/>
  <c r="AE623" i="20"/>
  <c r="AD623" i="20"/>
  <c r="AC623" i="20"/>
  <c r="AA623" i="20"/>
  <c r="Z623" i="20"/>
  <c r="Y623" i="20"/>
  <c r="X623" i="20"/>
  <c r="W623" i="20"/>
  <c r="AM622" i="20"/>
  <c r="AL622" i="20"/>
  <c r="AK622" i="20"/>
  <c r="AJ622" i="20"/>
  <c r="AI622" i="20"/>
  <c r="AG622" i="20"/>
  <c r="AF622" i="20"/>
  <c r="AE622" i="20"/>
  <c r="AD622" i="20"/>
  <c r="AC622" i="20"/>
  <c r="AA622" i="20"/>
  <c r="Z622" i="20"/>
  <c r="Y622" i="20"/>
  <c r="X622" i="20"/>
  <c r="W622" i="20"/>
  <c r="AM621" i="20"/>
  <c r="AL621" i="20"/>
  <c r="AK621" i="20"/>
  <c r="AJ621" i="20"/>
  <c r="AI621" i="20"/>
  <c r="AG621" i="20"/>
  <c r="AF621" i="20"/>
  <c r="AE621" i="20"/>
  <c r="AD621" i="20"/>
  <c r="AC621" i="20"/>
  <c r="AA621" i="20"/>
  <c r="Z621" i="20"/>
  <c r="Y621" i="20"/>
  <c r="X621" i="20"/>
  <c r="W621" i="20"/>
  <c r="AM620" i="20"/>
  <c r="AL620" i="20"/>
  <c r="AK620" i="20"/>
  <c r="AJ620" i="20"/>
  <c r="AI620" i="20"/>
  <c r="AG620" i="20"/>
  <c r="AF620" i="20"/>
  <c r="AE620" i="20"/>
  <c r="AD620" i="20"/>
  <c r="AC620" i="20"/>
  <c r="AA620" i="20"/>
  <c r="Z620" i="20"/>
  <c r="Y620" i="20"/>
  <c r="X620" i="20"/>
  <c r="W620" i="20"/>
  <c r="AM619" i="20"/>
  <c r="AL619" i="20"/>
  <c r="AK619" i="20"/>
  <c r="AJ619" i="20"/>
  <c r="AI619" i="20"/>
  <c r="AG619" i="20"/>
  <c r="AF619" i="20"/>
  <c r="AE619" i="20"/>
  <c r="AD619" i="20"/>
  <c r="AC619" i="20"/>
  <c r="AA619" i="20"/>
  <c r="Z619" i="20"/>
  <c r="Y619" i="20"/>
  <c r="X619" i="20"/>
  <c r="W619" i="20"/>
  <c r="AM618" i="20"/>
  <c r="AL618" i="20"/>
  <c r="AK618" i="20"/>
  <c r="AJ618" i="20"/>
  <c r="AI618" i="20"/>
  <c r="AG618" i="20"/>
  <c r="AF618" i="20"/>
  <c r="AE618" i="20"/>
  <c r="AD618" i="20"/>
  <c r="AC618" i="20"/>
  <c r="AA618" i="20"/>
  <c r="Z618" i="20"/>
  <c r="Y618" i="20"/>
  <c r="X618" i="20"/>
  <c r="W618" i="20"/>
  <c r="AM617" i="20"/>
  <c r="AL617" i="20"/>
  <c r="AK617" i="20"/>
  <c r="AJ617" i="20"/>
  <c r="AI617" i="20"/>
  <c r="AG617" i="20"/>
  <c r="AF617" i="20"/>
  <c r="AE617" i="20"/>
  <c r="AD617" i="20"/>
  <c r="AC617" i="20"/>
  <c r="AA617" i="20"/>
  <c r="Z617" i="20"/>
  <c r="Y617" i="20"/>
  <c r="X617" i="20"/>
  <c r="W617" i="20"/>
  <c r="AM616" i="20"/>
  <c r="AL616" i="20"/>
  <c r="AK616" i="20"/>
  <c r="AJ616" i="20"/>
  <c r="AI616" i="20"/>
  <c r="AG616" i="20"/>
  <c r="AF616" i="20"/>
  <c r="AE616" i="20"/>
  <c r="AD616" i="20"/>
  <c r="AC616" i="20"/>
  <c r="AA616" i="20"/>
  <c r="Z616" i="20"/>
  <c r="Y616" i="20"/>
  <c r="X616" i="20"/>
  <c r="W616" i="20"/>
  <c r="AM615" i="20"/>
  <c r="AL615" i="20"/>
  <c r="AK615" i="20"/>
  <c r="AJ615" i="20"/>
  <c r="AI615" i="20"/>
  <c r="AG615" i="20"/>
  <c r="AF615" i="20"/>
  <c r="AE615" i="20"/>
  <c r="AD615" i="20"/>
  <c r="AC615" i="20"/>
  <c r="AA615" i="20"/>
  <c r="Z615" i="20"/>
  <c r="Y615" i="20"/>
  <c r="X615" i="20"/>
  <c r="W615" i="20"/>
  <c r="AM614" i="20"/>
  <c r="AL614" i="20"/>
  <c r="AK614" i="20"/>
  <c r="AJ614" i="20"/>
  <c r="AI614" i="20"/>
  <c r="AG614" i="20"/>
  <c r="AF614" i="20"/>
  <c r="AE614" i="20"/>
  <c r="AD614" i="20"/>
  <c r="AC614" i="20"/>
  <c r="AA614" i="20"/>
  <c r="Z614" i="20"/>
  <c r="Y614" i="20"/>
  <c r="X614" i="20"/>
  <c r="W614" i="20"/>
  <c r="AM613" i="20"/>
  <c r="AL613" i="20"/>
  <c r="AK613" i="20"/>
  <c r="AJ613" i="20"/>
  <c r="AI613" i="20"/>
  <c r="AG613" i="20"/>
  <c r="AF613" i="20"/>
  <c r="AE613" i="20"/>
  <c r="AD613" i="20"/>
  <c r="AC613" i="20"/>
  <c r="AA613" i="20"/>
  <c r="Z613" i="20"/>
  <c r="Y613" i="20"/>
  <c r="X613" i="20"/>
  <c r="W613" i="20"/>
  <c r="AM612" i="20"/>
  <c r="AL612" i="20"/>
  <c r="AK612" i="20"/>
  <c r="AJ612" i="20"/>
  <c r="AI612" i="20"/>
  <c r="AG612" i="20"/>
  <c r="AF612" i="20"/>
  <c r="AE612" i="20"/>
  <c r="AD612" i="20"/>
  <c r="AC612" i="20"/>
  <c r="AA612" i="20"/>
  <c r="Z612" i="20"/>
  <c r="Y612" i="20"/>
  <c r="X612" i="20"/>
  <c r="W612" i="20"/>
  <c r="AM611" i="20"/>
  <c r="AL611" i="20"/>
  <c r="AK611" i="20"/>
  <c r="AJ611" i="20"/>
  <c r="AI611" i="20"/>
  <c r="AG611" i="20"/>
  <c r="AF611" i="20"/>
  <c r="AE611" i="20"/>
  <c r="AD611" i="20"/>
  <c r="AC611" i="20"/>
  <c r="AA611" i="20"/>
  <c r="Z611" i="20"/>
  <c r="Y611" i="20"/>
  <c r="X611" i="20"/>
  <c r="W611" i="20"/>
  <c r="AM610" i="20"/>
  <c r="AL610" i="20"/>
  <c r="AK610" i="20"/>
  <c r="AJ610" i="20"/>
  <c r="AI610" i="20"/>
  <c r="AG610" i="20"/>
  <c r="AF610" i="20"/>
  <c r="AE610" i="20"/>
  <c r="AD610" i="20"/>
  <c r="AC610" i="20"/>
  <c r="AA610" i="20"/>
  <c r="Z610" i="20"/>
  <c r="Y610" i="20"/>
  <c r="X610" i="20"/>
  <c r="W610" i="20"/>
  <c r="AM609" i="20"/>
  <c r="AL609" i="20"/>
  <c r="AK609" i="20"/>
  <c r="AJ609" i="20"/>
  <c r="AI609" i="20"/>
  <c r="AG609" i="20"/>
  <c r="AF609" i="20"/>
  <c r="AE609" i="20"/>
  <c r="AD609" i="20"/>
  <c r="AC609" i="20"/>
  <c r="AA609" i="20"/>
  <c r="Z609" i="20"/>
  <c r="Y609" i="20"/>
  <c r="X609" i="20"/>
  <c r="W609" i="20"/>
  <c r="AM608" i="20"/>
  <c r="AL608" i="20"/>
  <c r="AK608" i="20"/>
  <c r="AJ608" i="20"/>
  <c r="AI608" i="20"/>
  <c r="AG608" i="20"/>
  <c r="AF608" i="20"/>
  <c r="AE608" i="20"/>
  <c r="AD608" i="20"/>
  <c r="AC608" i="20"/>
  <c r="AA608" i="20"/>
  <c r="Z608" i="20"/>
  <c r="Y608" i="20"/>
  <c r="X608" i="20"/>
  <c r="W608" i="20"/>
  <c r="AM607" i="20"/>
  <c r="AL607" i="20"/>
  <c r="AK607" i="20"/>
  <c r="AJ607" i="20"/>
  <c r="AI607" i="20"/>
  <c r="AG607" i="20"/>
  <c r="AF607" i="20"/>
  <c r="AE607" i="20"/>
  <c r="AD607" i="20"/>
  <c r="AC607" i="20"/>
  <c r="AA607" i="20"/>
  <c r="Z607" i="20"/>
  <c r="Y607" i="20"/>
  <c r="X607" i="20"/>
  <c r="W607" i="20"/>
  <c r="AM606" i="20"/>
  <c r="AL606" i="20"/>
  <c r="AK606" i="20"/>
  <c r="AJ606" i="20"/>
  <c r="AI606" i="20"/>
  <c r="AG606" i="20"/>
  <c r="AF606" i="20"/>
  <c r="AE606" i="20"/>
  <c r="AD606" i="20"/>
  <c r="AC606" i="20"/>
  <c r="AA606" i="20"/>
  <c r="Z606" i="20"/>
  <c r="Y606" i="20"/>
  <c r="X606" i="20"/>
  <c r="W606" i="20"/>
  <c r="AM605" i="20"/>
  <c r="AL605" i="20"/>
  <c r="AK605" i="20"/>
  <c r="AJ605" i="20"/>
  <c r="AI605" i="20"/>
  <c r="AG605" i="20"/>
  <c r="AF605" i="20"/>
  <c r="AE605" i="20"/>
  <c r="AD605" i="20"/>
  <c r="AC605" i="20"/>
  <c r="AA605" i="20"/>
  <c r="Z605" i="20"/>
  <c r="Y605" i="20"/>
  <c r="X605" i="20"/>
  <c r="W605" i="20"/>
  <c r="AM604" i="20"/>
  <c r="AL604" i="20"/>
  <c r="AK604" i="20"/>
  <c r="AJ604" i="20"/>
  <c r="AI604" i="20"/>
  <c r="AG604" i="20"/>
  <c r="AF604" i="20"/>
  <c r="AE604" i="20"/>
  <c r="AD604" i="20"/>
  <c r="AC604" i="20"/>
  <c r="AA604" i="20"/>
  <c r="Z604" i="20"/>
  <c r="Y604" i="20"/>
  <c r="X604" i="20"/>
  <c r="W604" i="20"/>
  <c r="AM603" i="20"/>
  <c r="AL603" i="20"/>
  <c r="AK603" i="20"/>
  <c r="AJ603" i="20"/>
  <c r="AI603" i="20"/>
  <c r="AG603" i="20"/>
  <c r="AF603" i="20"/>
  <c r="AE603" i="20"/>
  <c r="AD603" i="20"/>
  <c r="AC603" i="20"/>
  <c r="AA603" i="20"/>
  <c r="Z603" i="20"/>
  <c r="Y603" i="20"/>
  <c r="X603" i="20"/>
  <c r="W603" i="20"/>
  <c r="AM602" i="20"/>
  <c r="AL602" i="20"/>
  <c r="AK602" i="20"/>
  <c r="AJ602" i="20"/>
  <c r="AI602" i="20"/>
  <c r="AG602" i="20"/>
  <c r="AF602" i="20"/>
  <c r="AE602" i="20"/>
  <c r="AD602" i="20"/>
  <c r="AC602" i="20"/>
  <c r="AA602" i="20"/>
  <c r="Z602" i="20"/>
  <c r="Y602" i="20"/>
  <c r="X602" i="20"/>
  <c r="W602" i="20"/>
  <c r="AM601" i="20"/>
  <c r="AL601" i="20"/>
  <c r="AK601" i="20"/>
  <c r="AJ601" i="20"/>
  <c r="AI601" i="20"/>
  <c r="AG601" i="20"/>
  <c r="AF601" i="20"/>
  <c r="AE601" i="20"/>
  <c r="AD601" i="20"/>
  <c r="AC601" i="20"/>
  <c r="AA601" i="20"/>
  <c r="Z601" i="20"/>
  <c r="Y601" i="20"/>
  <c r="X601" i="20"/>
  <c r="W601" i="20"/>
  <c r="AM600" i="20"/>
  <c r="AL600" i="20"/>
  <c r="AK600" i="20"/>
  <c r="AJ600" i="20"/>
  <c r="AI600" i="20"/>
  <c r="AG600" i="20"/>
  <c r="AF600" i="20"/>
  <c r="AE600" i="20"/>
  <c r="AD600" i="20"/>
  <c r="AC600" i="20"/>
  <c r="AA600" i="20"/>
  <c r="Z600" i="20"/>
  <c r="Y600" i="20"/>
  <c r="X600" i="20"/>
  <c r="W600" i="20"/>
  <c r="AM599" i="20"/>
  <c r="AL599" i="20"/>
  <c r="AK599" i="20"/>
  <c r="AJ599" i="20"/>
  <c r="AI599" i="20"/>
  <c r="AG599" i="20"/>
  <c r="AF599" i="20"/>
  <c r="AE599" i="20"/>
  <c r="AD599" i="20"/>
  <c r="AC599" i="20"/>
  <c r="AA599" i="20"/>
  <c r="Z599" i="20"/>
  <c r="Y599" i="20"/>
  <c r="X599" i="20"/>
  <c r="W599" i="20"/>
  <c r="AM598" i="20"/>
  <c r="AL598" i="20"/>
  <c r="AK598" i="20"/>
  <c r="AJ598" i="20"/>
  <c r="AI598" i="20"/>
  <c r="AG598" i="20"/>
  <c r="AF598" i="20"/>
  <c r="AE598" i="20"/>
  <c r="AD598" i="20"/>
  <c r="AC598" i="20"/>
  <c r="AA598" i="20"/>
  <c r="Z598" i="20"/>
  <c r="Y598" i="20"/>
  <c r="X598" i="20"/>
  <c r="W598" i="20"/>
  <c r="AM597" i="20"/>
  <c r="AL597" i="20"/>
  <c r="AK597" i="20"/>
  <c r="AJ597" i="20"/>
  <c r="AI597" i="20"/>
  <c r="AG597" i="20"/>
  <c r="AF597" i="20"/>
  <c r="AE597" i="20"/>
  <c r="AD597" i="20"/>
  <c r="AC597" i="20"/>
  <c r="AA597" i="20"/>
  <c r="Z597" i="20"/>
  <c r="Y597" i="20"/>
  <c r="X597" i="20"/>
  <c r="W597" i="20"/>
  <c r="AM596" i="20"/>
  <c r="AL596" i="20"/>
  <c r="AK596" i="20"/>
  <c r="AJ596" i="20"/>
  <c r="AI596" i="20"/>
  <c r="AG596" i="20"/>
  <c r="AF596" i="20"/>
  <c r="AE596" i="20"/>
  <c r="AD596" i="20"/>
  <c r="AC596" i="20"/>
  <c r="AA596" i="20"/>
  <c r="Z596" i="20"/>
  <c r="Y596" i="20"/>
  <c r="X596" i="20"/>
  <c r="W596" i="20"/>
  <c r="AM595" i="20"/>
  <c r="AL595" i="20"/>
  <c r="AK595" i="20"/>
  <c r="AJ595" i="20"/>
  <c r="AI595" i="20"/>
  <c r="AG595" i="20"/>
  <c r="AF595" i="20"/>
  <c r="AE595" i="20"/>
  <c r="AD595" i="20"/>
  <c r="AC595" i="20"/>
  <c r="AA595" i="20"/>
  <c r="Z595" i="20"/>
  <c r="Y595" i="20"/>
  <c r="X595" i="20"/>
  <c r="W595" i="20"/>
  <c r="AM594" i="20"/>
  <c r="AL594" i="20"/>
  <c r="AK594" i="20"/>
  <c r="AJ594" i="20"/>
  <c r="AI594" i="20"/>
  <c r="AG594" i="20"/>
  <c r="AF594" i="20"/>
  <c r="AE594" i="20"/>
  <c r="AD594" i="20"/>
  <c r="AC594" i="20"/>
  <c r="AA594" i="20"/>
  <c r="Z594" i="20"/>
  <c r="Y594" i="20"/>
  <c r="X594" i="20"/>
  <c r="W594" i="20"/>
  <c r="AM593" i="20"/>
  <c r="AL593" i="20"/>
  <c r="AK593" i="20"/>
  <c r="AJ593" i="20"/>
  <c r="AI593" i="20"/>
  <c r="AG593" i="20"/>
  <c r="AF593" i="20"/>
  <c r="AE593" i="20"/>
  <c r="AD593" i="20"/>
  <c r="AC593" i="20"/>
  <c r="AA593" i="20"/>
  <c r="Z593" i="20"/>
  <c r="Y593" i="20"/>
  <c r="X593" i="20"/>
  <c r="W593" i="20"/>
  <c r="AM592" i="20"/>
  <c r="AL592" i="20"/>
  <c r="AK592" i="20"/>
  <c r="AJ592" i="20"/>
  <c r="AI592" i="20"/>
  <c r="AG592" i="20"/>
  <c r="AF592" i="20"/>
  <c r="AE592" i="20"/>
  <c r="AD592" i="20"/>
  <c r="AC592" i="20"/>
  <c r="AA592" i="20"/>
  <c r="Z592" i="20"/>
  <c r="Y592" i="20"/>
  <c r="X592" i="20"/>
  <c r="W592" i="20"/>
  <c r="AM591" i="20"/>
  <c r="AL591" i="20"/>
  <c r="AK591" i="20"/>
  <c r="AJ591" i="20"/>
  <c r="AI591" i="20"/>
  <c r="AG591" i="20"/>
  <c r="AF591" i="20"/>
  <c r="AE591" i="20"/>
  <c r="AD591" i="20"/>
  <c r="AC591" i="20"/>
  <c r="AA591" i="20"/>
  <c r="Z591" i="20"/>
  <c r="Y591" i="20"/>
  <c r="X591" i="20"/>
  <c r="W591" i="20"/>
  <c r="AM590" i="20"/>
  <c r="AL590" i="20"/>
  <c r="AK590" i="20"/>
  <c r="AJ590" i="20"/>
  <c r="AI590" i="20"/>
  <c r="AG590" i="20"/>
  <c r="AF590" i="20"/>
  <c r="AE590" i="20"/>
  <c r="AD590" i="20"/>
  <c r="AC590" i="20"/>
  <c r="AA590" i="20"/>
  <c r="Z590" i="20"/>
  <c r="Y590" i="20"/>
  <c r="X590" i="20"/>
  <c r="W590" i="20"/>
  <c r="AM589" i="20"/>
  <c r="AL589" i="20"/>
  <c r="AK589" i="20"/>
  <c r="AJ589" i="20"/>
  <c r="AI589" i="20"/>
  <c r="AG589" i="20"/>
  <c r="AF589" i="20"/>
  <c r="AE589" i="20"/>
  <c r="AD589" i="20"/>
  <c r="AC589" i="20"/>
  <c r="AA589" i="20"/>
  <c r="Z589" i="20"/>
  <c r="Y589" i="20"/>
  <c r="X589" i="20"/>
  <c r="W589" i="20"/>
  <c r="AM588" i="20"/>
  <c r="AL588" i="20"/>
  <c r="AK588" i="20"/>
  <c r="AJ588" i="20"/>
  <c r="AI588" i="20"/>
  <c r="AG588" i="20"/>
  <c r="AF588" i="20"/>
  <c r="AE588" i="20"/>
  <c r="AD588" i="20"/>
  <c r="AC588" i="20"/>
  <c r="AA588" i="20"/>
  <c r="Z588" i="20"/>
  <c r="Y588" i="20"/>
  <c r="X588" i="20"/>
  <c r="W588" i="20"/>
  <c r="AM587" i="20"/>
  <c r="AL587" i="20"/>
  <c r="AK587" i="20"/>
  <c r="AJ587" i="20"/>
  <c r="AI587" i="20"/>
  <c r="AG587" i="20"/>
  <c r="AF587" i="20"/>
  <c r="AE587" i="20"/>
  <c r="AD587" i="20"/>
  <c r="AC587" i="20"/>
  <c r="AA587" i="20"/>
  <c r="Z587" i="20"/>
  <c r="Y587" i="20"/>
  <c r="X587" i="20"/>
  <c r="W587" i="20"/>
  <c r="AM586" i="20"/>
  <c r="AL586" i="20"/>
  <c r="AK586" i="20"/>
  <c r="AJ586" i="20"/>
  <c r="AI586" i="20"/>
  <c r="AG586" i="20"/>
  <c r="AF586" i="20"/>
  <c r="AE586" i="20"/>
  <c r="AD586" i="20"/>
  <c r="AC586" i="20"/>
  <c r="AA586" i="20"/>
  <c r="Z586" i="20"/>
  <c r="Y586" i="20"/>
  <c r="X586" i="20"/>
  <c r="W586" i="20"/>
  <c r="AM585" i="20"/>
  <c r="AL585" i="20"/>
  <c r="AK585" i="20"/>
  <c r="AJ585" i="20"/>
  <c r="AI585" i="20"/>
  <c r="AG585" i="20"/>
  <c r="AF585" i="20"/>
  <c r="AE585" i="20"/>
  <c r="AD585" i="20"/>
  <c r="AC585" i="20"/>
  <c r="AA585" i="20"/>
  <c r="Z585" i="20"/>
  <c r="Y585" i="20"/>
  <c r="X585" i="20"/>
  <c r="W585" i="20"/>
  <c r="AM584" i="20"/>
  <c r="AL584" i="20"/>
  <c r="AK584" i="20"/>
  <c r="AJ584" i="20"/>
  <c r="AI584" i="20"/>
  <c r="AG584" i="20"/>
  <c r="AF584" i="20"/>
  <c r="AE584" i="20"/>
  <c r="AD584" i="20"/>
  <c r="AC584" i="20"/>
  <c r="AA584" i="20"/>
  <c r="Z584" i="20"/>
  <c r="Y584" i="20"/>
  <c r="X584" i="20"/>
  <c r="W584" i="20"/>
  <c r="AM583" i="20"/>
  <c r="AL583" i="20"/>
  <c r="AK583" i="20"/>
  <c r="AJ583" i="20"/>
  <c r="AI583" i="20"/>
  <c r="AG583" i="20"/>
  <c r="AF583" i="20"/>
  <c r="AE583" i="20"/>
  <c r="AD583" i="20"/>
  <c r="AC583" i="20"/>
  <c r="AA583" i="20"/>
  <c r="Z583" i="20"/>
  <c r="Y583" i="20"/>
  <c r="X583" i="20"/>
  <c r="W583" i="20"/>
  <c r="AM582" i="20"/>
  <c r="AL582" i="20"/>
  <c r="AK582" i="20"/>
  <c r="AJ582" i="20"/>
  <c r="AI582" i="20"/>
  <c r="AG582" i="20"/>
  <c r="AF582" i="20"/>
  <c r="AE582" i="20"/>
  <c r="AD582" i="20"/>
  <c r="AC582" i="20"/>
  <c r="AA582" i="20"/>
  <c r="Z582" i="20"/>
  <c r="Y582" i="20"/>
  <c r="X582" i="20"/>
  <c r="W582" i="20"/>
  <c r="AM581" i="20"/>
  <c r="AL581" i="20"/>
  <c r="AK581" i="20"/>
  <c r="AJ581" i="20"/>
  <c r="AI581" i="20"/>
  <c r="AG581" i="20"/>
  <c r="AF581" i="20"/>
  <c r="AE581" i="20"/>
  <c r="AD581" i="20"/>
  <c r="AC581" i="20"/>
  <c r="AA581" i="20"/>
  <c r="Z581" i="20"/>
  <c r="Y581" i="20"/>
  <c r="X581" i="20"/>
  <c r="W581" i="20"/>
  <c r="AM580" i="20"/>
  <c r="AL580" i="20"/>
  <c r="AK580" i="20"/>
  <c r="AJ580" i="20"/>
  <c r="AI580" i="20"/>
  <c r="AG580" i="20"/>
  <c r="AF580" i="20"/>
  <c r="AE580" i="20"/>
  <c r="AD580" i="20"/>
  <c r="AC580" i="20"/>
  <c r="AA580" i="20"/>
  <c r="Z580" i="20"/>
  <c r="Y580" i="20"/>
  <c r="X580" i="20"/>
  <c r="W580" i="20"/>
  <c r="AM579" i="20"/>
  <c r="AL579" i="20"/>
  <c r="AK579" i="20"/>
  <c r="AJ579" i="20"/>
  <c r="AI579" i="20"/>
  <c r="AG579" i="20"/>
  <c r="AF579" i="20"/>
  <c r="AE579" i="20"/>
  <c r="AD579" i="20"/>
  <c r="AC579" i="20"/>
  <c r="AA579" i="20"/>
  <c r="Z579" i="20"/>
  <c r="Y579" i="20"/>
  <c r="X579" i="20"/>
  <c r="W579" i="20"/>
  <c r="AM578" i="20"/>
  <c r="AL578" i="20"/>
  <c r="AK578" i="20"/>
  <c r="AJ578" i="20"/>
  <c r="AI578" i="20"/>
  <c r="AG578" i="20"/>
  <c r="AF578" i="20"/>
  <c r="AE578" i="20"/>
  <c r="AD578" i="20"/>
  <c r="AC578" i="20"/>
  <c r="AA578" i="20"/>
  <c r="Z578" i="20"/>
  <c r="Y578" i="20"/>
  <c r="X578" i="20"/>
  <c r="W578" i="20"/>
  <c r="AM577" i="20"/>
  <c r="AL577" i="20"/>
  <c r="AK577" i="20"/>
  <c r="AJ577" i="20"/>
  <c r="AI577" i="20"/>
  <c r="AG577" i="20"/>
  <c r="AF577" i="20"/>
  <c r="AE577" i="20"/>
  <c r="AD577" i="20"/>
  <c r="AC577" i="20"/>
  <c r="AA577" i="20"/>
  <c r="Z577" i="20"/>
  <c r="Y577" i="20"/>
  <c r="X577" i="20"/>
  <c r="W577" i="20"/>
  <c r="AM576" i="20"/>
  <c r="AL576" i="20"/>
  <c r="AK576" i="20"/>
  <c r="AJ576" i="20"/>
  <c r="AI576" i="20"/>
  <c r="AG576" i="20"/>
  <c r="AF576" i="20"/>
  <c r="AE576" i="20"/>
  <c r="AD576" i="20"/>
  <c r="AC576" i="20"/>
  <c r="AA576" i="20"/>
  <c r="Z576" i="20"/>
  <c r="Y576" i="20"/>
  <c r="X576" i="20"/>
  <c r="W576" i="20"/>
  <c r="AM575" i="20"/>
  <c r="AL575" i="20"/>
  <c r="AK575" i="20"/>
  <c r="AJ575" i="20"/>
  <c r="AI575" i="20"/>
  <c r="AG575" i="20"/>
  <c r="AF575" i="20"/>
  <c r="AE575" i="20"/>
  <c r="AD575" i="20"/>
  <c r="AC575" i="20"/>
  <c r="AA575" i="20"/>
  <c r="Z575" i="20"/>
  <c r="Y575" i="20"/>
  <c r="X575" i="20"/>
  <c r="W575" i="20"/>
  <c r="AM574" i="20"/>
  <c r="AL574" i="20"/>
  <c r="AK574" i="20"/>
  <c r="AJ574" i="20"/>
  <c r="AI574" i="20"/>
  <c r="AG574" i="20"/>
  <c r="AF574" i="20"/>
  <c r="AE574" i="20"/>
  <c r="AD574" i="20"/>
  <c r="AC574" i="20"/>
  <c r="AA574" i="20"/>
  <c r="Z574" i="20"/>
  <c r="Y574" i="20"/>
  <c r="X574" i="20"/>
  <c r="W574" i="20"/>
  <c r="AM573" i="20"/>
  <c r="AL573" i="20"/>
  <c r="AK573" i="20"/>
  <c r="AJ573" i="20"/>
  <c r="AI573" i="20"/>
  <c r="AG573" i="20"/>
  <c r="AF573" i="20"/>
  <c r="AE573" i="20"/>
  <c r="AD573" i="20"/>
  <c r="AC573" i="20"/>
  <c r="AA573" i="20"/>
  <c r="Z573" i="20"/>
  <c r="Y573" i="20"/>
  <c r="X573" i="20"/>
  <c r="W573" i="20"/>
  <c r="AM572" i="20"/>
  <c r="AL572" i="20"/>
  <c r="AK572" i="20"/>
  <c r="AJ572" i="20"/>
  <c r="AI572" i="20"/>
  <c r="AG572" i="20"/>
  <c r="AF572" i="20"/>
  <c r="AE572" i="20"/>
  <c r="AD572" i="20"/>
  <c r="AC572" i="20"/>
  <c r="AA572" i="20"/>
  <c r="Z572" i="20"/>
  <c r="Y572" i="20"/>
  <c r="X572" i="20"/>
  <c r="W572" i="20"/>
  <c r="AM571" i="20"/>
  <c r="AL571" i="20"/>
  <c r="AK571" i="20"/>
  <c r="AJ571" i="20"/>
  <c r="AI571" i="20"/>
  <c r="AG571" i="20"/>
  <c r="AF571" i="20"/>
  <c r="AE571" i="20"/>
  <c r="AD571" i="20"/>
  <c r="AC571" i="20"/>
  <c r="AA571" i="20"/>
  <c r="Z571" i="20"/>
  <c r="Y571" i="20"/>
  <c r="X571" i="20"/>
  <c r="W571" i="20"/>
  <c r="AM570" i="20"/>
  <c r="AL570" i="20"/>
  <c r="AK570" i="20"/>
  <c r="AJ570" i="20"/>
  <c r="AI570" i="20"/>
  <c r="AG570" i="20"/>
  <c r="AF570" i="20"/>
  <c r="AE570" i="20"/>
  <c r="AD570" i="20"/>
  <c r="AC570" i="20"/>
  <c r="AA570" i="20"/>
  <c r="Z570" i="20"/>
  <c r="Y570" i="20"/>
  <c r="X570" i="20"/>
  <c r="W570" i="20"/>
  <c r="AM569" i="20"/>
  <c r="AL569" i="20"/>
  <c r="AK569" i="20"/>
  <c r="AJ569" i="20"/>
  <c r="AI569" i="20"/>
  <c r="AG569" i="20"/>
  <c r="AF569" i="20"/>
  <c r="AE569" i="20"/>
  <c r="AD569" i="20"/>
  <c r="AC569" i="20"/>
  <c r="AA569" i="20"/>
  <c r="Z569" i="20"/>
  <c r="Y569" i="20"/>
  <c r="X569" i="20"/>
  <c r="W569" i="20"/>
  <c r="AM568" i="20"/>
  <c r="AL568" i="20"/>
  <c r="AK568" i="20"/>
  <c r="AJ568" i="20"/>
  <c r="AI568" i="20"/>
  <c r="AG568" i="20"/>
  <c r="AF568" i="20"/>
  <c r="AE568" i="20"/>
  <c r="AD568" i="20"/>
  <c r="AC568" i="20"/>
  <c r="AA568" i="20"/>
  <c r="Z568" i="20"/>
  <c r="Y568" i="20"/>
  <c r="X568" i="20"/>
  <c r="W568" i="20"/>
  <c r="AM567" i="20"/>
  <c r="AL567" i="20"/>
  <c r="AK567" i="20"/>
  <c r="AJ567" i="20"/>
  <c r="AI567" i="20"/>
  <c r="AG567" i="20"/>
  <c r="AF567" i="20"/>
  <c r="AE567" i="20"/>
  <c r="AD567" i="20"/>
  <c r="AC567" i="20"/>
  <c r="AA567" i="20"/>
  <c r="Z567" i="20"/>
  <c r="Y567" i="20"/>
  <c r="X567" i="20"/>
  <c r="W567" i="20"/>
  <c r="AM566" i="20"/>
  <c r="AL566" i="20"/>
  <c r="AK566" i="20"/>
  <c r="AJ566" i="20"/>
  <c r="AI566" i="20"/>
  <c r="AG566" i="20"/>
  <c r="AF566" i="20"/>
  <c r="AE566" i="20"/>
  <c r="AD566" i="20"/>
  <c r="AC566" i="20"/>
  <c r="AA566" i="20"/>
  <c r="Z566" i="20"/>
  <c r="Y566" i="20"/>
  <c r="X566" i="20"/>
  <c r="W566" i="20"/>
  <c r="AM565" i="20"/>
  <c r="AL565" i="20"/>
  <c r="AK565" i="20"/>
  <c r="AJ565" i="20"/>
  <c r="AI565" i="20"/>
  <c r="AG565" i="20"/>
  <c r="AF565" i="20"/>
  <c r="AE565" i="20"/>
  <c r="AD565" i="20"/>
  <c r="AC565" i="20"/>
  <c r="AA565" i="20"/>
  <c r="Z565" i="20"/>
  <c r="Y565" i="20"/>
  <c r="X565" i="20"/>
  <c r="W565" i="20"/>
  <c r="AM564" i="20"/>
  <c r="AL564" i="20"/>
  <c r="AK564" i="20"/>
  <c r="AJ564" i="20"/>
  <c r="AI564" i="20"/>
  <c r="AG564" i="20"/>
  <c r="AF564" i="20"/>
  <c r="AE564" i="20"/>
  <c r="AD564" i="20"/>
  <c r="AC564" i="20"/>
  <c r="AA564" i="20"/>
  <c r="Z564" i="20"/>
  <c r="Y564" i="20"/>
  <c r="X564" i="20"/>
  <c r="W564" i="20"/>
  <c r="AM563" i="20"/>
  <c r="AL563" i="20"/>
  <c r="AK563" i="20"/>
  <c r="AJ563" i="20"/>
  <c r="AI563" i="20"/>
  <c r="AG563" i="20"/>
  <c r="AF563" i="20"/>
  <c r="AE563" i="20"/>
  <c r="AD563" i="20"/>
  <c r="AC563" i="20"/>
  <c r="AA563" i="20"/>
  <c r="Z563" i="20"/>
  <c r="Y563" i="20"/>
  <c r="X563" i="20"/>
  <c r="W563" i="20"/>
  <c r="AM562" i="20"/>
  <c r="AL562" i="20"/>
  <c r="AK562" i="20"/>
  <c r="AJ562" i="20"/>
  <c r="AI562" i="20"/>
  <c r="AG562" i="20"/>
  <c r="AF562" i="20"/>
  <c r="AE562" i="20"/>
  <c r="AD562" i="20"/>
  <c r="AC562" i="20"/>
  <c r="AA562" i="20"/>
  <c r="Z562" i="20"/>
  <c r="Y562" i="20"/>
  <c r="X562" i="20"/>
  <c r="W562" i="20"/>
  <c r="AM561" i="20"/>
  <c r="AL561" i="20"/>
  <c r="AK561" i="20"/>
  <c r="AJ561" i="20"/>
  <c r="AI561" i="20"/>
  <c r="AG561" i="20"/>
  <c r="AF561" i="20"/>
  <c r="AE561" i="20"/>
  <c r="AD561" i="20"/>
  <c r="AC561" i="20"/>
  <c r="AA561" i="20"/>
  <c r="Z561" i="20"/>
  <c r="Y561" i="20"/>
  <c r="X561" i="20"/>
  <c r="W561" i="20"/>
  <c r="AM560" i="20"/>
  <c r="AL560" i="20"/>
  <c r="AK560" i="20"/>
  <c r="AJ560" i="20"/>
  <c r="AI560" i="20"/>
  <c r="AG560" i="20"/>
  <c r="AF560" i="20"/>
  <c r="AE560" i="20"/>
  <c r="AD560" i="20"/>
  <c r="AC560" i="20"/>
  <c r="AA560" i="20"/>
  <c r="Z560" i="20"/>
  <c r="Y560" i="20"/>
  <c r="X560" i="20"/>
  <c r="W560" i="20"/>
  <c r="AM559" i="20"/>
  <c r="AL559" i="20"/>
  <c r="AK559" i="20"/>
  <c r="AJ559" i="20"/>
  <c r="AI559" i="20"/>
  <c r="AG559" i="20"/>
  <c r="AF559" i="20"/>
  <c r="AE559" i="20"/>
  <c r="AD559" i="20"/>
  <c r="AC559" i="20"/>
  <c r="AA559" i="20"/>
  <c r="Z559" i="20"/>
  <c r="Y559" i="20"/>
  <c r="X559" i="20"/>
  <c r="W559" i="20"/>
  <c r="AM558" i="20"/>
  <c r="AL558" i="20"/>
  <c r="AK558" i="20"/>
  <c r="AJ558" i="20"/>
  <c r="AI558" i="20"/>
  <c r="AG558" i="20"/>
  <c r="AF558" i="20"/>
  <c r="AE558" i="20"/>
  <c r="AD558" i="20"/>
  <c r="AC558" i="20"/>
  <c r="AA558" i="20"/>
  <c r="Z558" i="20"/>
  <c r="Y558" i="20"/>
  <c r="X558" i="20"/>
  <c r="W558" i="20"/>
  <c r="AM557" i="20"/>
  <c r="AL557" i="20"/>
  <c r="AK557" i="20"/>
  <c r="AJ557" i="20"/>
  <c r="AI557" i="20"/>
  <c r="AG557" i="20"/>
  <c r="AF557" i="20"/>
  <c r="AE557" i="20"/>
  <c r="AD557" i="20"/>
  <c r="AC557" i="20"/>
  <c r="AA557" i="20"/>
  <c r="Z557" i="20"/>
  <c r="Y557" i="20"/>
  <c r="X557" i="20"/>
  <c r="W557" i="20"/>
  <c r="AM556" i="20"/>
  <c r="AL556" i="20"/>
  <c r="AK556" i="20"/>
  <c r="AJ556" i="20"/>
  <c r="AI556" i="20"/>
  <c r="AG556" i="20"/>
  <c r="AF556" i="20"/>
  <c r="AE556" i="20"/>
  <c r="AD556" i="20"/>
  <c r="AC556" i="20"/>
  <c r="AA556" i="20"/>
  <c r="Z556" i="20"/>
  <c r="Y556" i="20"/>
  <c r="X556" i="20"/>
  <c r="W556" i="20"/>
  <c r="AM555" i="20"/>
  <c r="AL555" i="20"/>
  <c r="AK555" i="20"/>
  <c r="AJ555" i="20"/>
  <c r="AI555" i="20"/>
  <c r="AG555" i="20"/>
  <c r="AF555" i="20"/>
  <c r="AE555" i="20"/>
  <c r="AD555" i="20"/>
  <c r="AC555" i="20"/>
  <c r="AA555" i="20"/>
  <c r="Z555" i="20"/>
  <c r="Y555" i="20"/>
  <c r="X555" i="20"/>
  <c r="W555" i="20"/>
  <c r="AM554" i="20"/>
  <c r="AL554" i="20"/>
  <c r="AK554" i="20"/>
  <c r="AJ554" i="20"/>
  <c r="AI554" i="20"/>
  <c r="AG554" i="20"/>
  <c r="AF554" i="20"/>
  <c r="AE554" i="20"/>
  <c r="AD554" i="20"/>
  <c r="AC554" i="20"/>
  <c r="AA554" i="20"/>
  <c r="Z554" i="20"/>
  <c r="Y554" i="20"/>
  <c r="X554" i="20"/>
  <c r="W554" i="20"/>
  <c r="AM553" i="20"/>
  <c r="AL553" i="20"/>
  <c r="AK553" i="20"/>
  <c r="AJ553" i="20"/>
  <c r="AI553" i="20"/>
  <c r="AG553" i="20"/>
  <c r="AF553" i="20"/>
  <c r="AE553" i="20"/>
  <c r="AD553" i="20"/>
  <c r="AC553" i="20"/>
  <c r="AA553" i="20"/>
  <c r="Z553" i="20"/>
  <c r="Y553" i="20"/>
  <c r="X553" i="20"/>
  <c r="W553" i="20"/>
  <c r="AM552" i="20"/>
  <c r="AL552" i="20"/>
  <c r="AK552" i="20"/>
  <c r="AJ552" i="20"/>
  <c r="AI552" i="20"/>
  <c r="AG552" i="20"/>
  <c r="AF552" i="20"/>
  <c r="AE552" i="20"/>
  <c r="AD552" i="20"/>
  <c r="AC552" i="20"/>
  <c r="AA552" i="20"/>
  <c r="Z552" i="20"/>
  <c r="Y552" i="20"/>
  <c r="X552" i="20"/>
  <c r="W552" i="20"/>
  <c r="AM551" i="20"/>
  <c r="AL551" i="20"/>
  <c r="AK551" i="20"/>
  <c r="AJ551" i="20"/>
  <c r="AI551" i="20"/>
  <c r="AG551" i="20"/>
  <c r="AF551" i="20"/>
  <c r="AE551" i="20"/>
  <c r="AD551" i="20"/>
  <c r="AC551" i="20"/>
  <c r="AA551" i="20"/>
  <c r="Z551" i="20"/>
  <c r="Y551" i="20"/>
  <c r="X551" i="20"/>
  <c r="W551" i="20"/>
  <c r="AM550" i="20"/>
  <c r="AL550" i="20"/>
  <c r="AK550" i="20"/>
  <c r="AJ550" i="20"/>
  <c r="AI550" i="20"/>
  <c r="AG550" i="20"/>
  <c r="AF550" i="20"/>
  <c r="AE550" i="20"/>
  <c r="AD550" i="20"/>
  <c r="AC550" i="20"/>
  <c r="AA550" i="20"/>
  <c r="Z550" i="20"/>
  <c r="Y550" i="20"/>
  <c r="X550" i="20"/>
  <c r="W550" i="20"/>
  <c r="AM549" i="20"/>
  <c r="AL549" i="20"/>
  <c r="AK549" i="20"/>
  <c r="AJ549" i="20"/>
  <c r="AI549" i="20"/>
  <c r="AG549" i="20"/>
  <c r="AF549" i="20"/>
  <c r="AE549" i="20"/>
  <c r="AD549" i="20"/>
  <c r="AC549" i="20"/>
  <c r="AA549" i="20"/>
  <c r="Z549" i="20"/>
  <c r="Y549" i="20"/>
  <c r="X549" i="20"/>
  <c r="W549" i="20"/>
  <c r="AM548" i="20"/>
  <c r="AL548" i="20"/>
  <c r="AK548" i="20"/>
  <c r="AJ548" i="20"/>
  <c r="AI548" i="20"/>
  <c r="AG548" i="20"/>
  <c r="AF548" i="20"/>
  <c r="AE548" i="20"/>
  <c r="AD548" i="20"/>
  <c r="AC548" i="20"/>
  <c r="AA548" i="20"/>
  <c r="Z548" i="20"/>
  <c r="Y548" i="20"/>
  <c r="X548" i="20"/>
  <c r="W548" i="20"/>
  <c r="AM547" i="20"/>
  <c r="AL547" i="20"/>
  <c r="AK547" i="20"/>
  <c r="AJ547" i="20"/>
  <c r="AI547" i="20"/>
  <c r="AG547" i="20"/>
  <c r="AF547" i="20"/>
  <c r="AE547" i="20"/>
  <c r="AD547" i="20"/>
  <c r="AC547" i="20"/>
  <c r="AA547" i="20"/>
  <c r="Z547" i="20"/>
  <c r="Y547" i="20"/>
  <c r="X547" i="20"/>
  <c r="W547" i="20"/>
  <c r="AM546" i="20"/>
  <c r="AL546" i="20"/>
  <c r="AK546" i="20"/>
  <c r="AJ546" i="20"/>
  <c r="AI546" i="20"/>
  <c r="AG546" i="20"/>
  <c r="AF546" i="20"/>
  <c r="AE546" i="20"/>
  <c r="AD546" i="20"/>
  <c r="AC546" i="20"/>
  <c r="AA546" i="20"/>
  <c r="Z546" i="20"/>
  <c r="Y546" i="20"/>
  <c r="X546" i="20"/>
  <c r="W546" i="20"/>
  <c r="AM545" i="20"/>
  <c r="AL545" i="20"/>
  <c r="AK545" i="20"/>
  <c r="AJ545" i="20"/>
  <c r="AI545" i="20"/>
  <c r="AG545" i="20"/>
  <c r="AF545" i="20"/>
  <c r="AE545" i="20"/>
  <c r="AD545" i="20"/>
  <c r="AC545" i="20"/>
  <c r="AA545" i="20"/>
  <c r="Z545" i="20"/>
  <c r="Y545" i="20"/>
  <c r="X545" i="20"/>
  <c r="W545" i="20"/>
  <c r="AM544" i="20"/>
  <c r="AL544" i="20"/>
  <c r="AK544" i="20"/>
  <c r="AJ544" i="20"/>
  <c r="AI544" i="20"/>
  <c r="AG544" i="20"/>
  <c r="AF544" i="20"/>
  <c r="AE544" i="20"/>
  <c r="AD544" i="20"/>
  <c r="AC544" i="20"/>
  <c r="AA544" i="20"/>
  <c r="Z544" i="20"/>
  <c r="Y544" i="20"/>
  <c r="X544" i="20"/>
  <c r="W544" i="20"/>
  <c r="AM543" i="20"/>
  <c r="AL543" i="20"/>
  <c r="AK543" i="20"/>
  <c r="AJ543" i="20"/>
  <c r="AI543" i="20"/>
  <c r="AG543" i="20"/>
  <c r="AF543" i="20"/>
  <c r="AE543" i="20"/>
  <c r="AD543" i="20"/>
  <c r="AC543" i="20"/>
  <c r="AA543" i="20"/>
  <c r="Z543" i="20"/>
  <c r="Y543" i="20"/>
  <c r="X543" i="20"/>
  <c r="W543" i="20"/>
  <c r="AM542" i="20"/>
  <c r="AL542" i="20"/>
  <c r="AK542" i="20"/>
  <c r="AJ542" i="20"/>
  <c r="AI542" i="20"/>
  <c r="AG542" i="20"/>
  <c r="AF542" i="20"/>
  <c r="AE542" i="20"/>
  <c r="AD542" i="20"/>
  <c r="AC542" i="20"/>
  <c r="AA542" i="20"/>
  <c r="Z542" i="20"/>
  <c r="Y542" i="20"/>
  <c r="X542" i="20"/>
  <c r="W542" i="20"/>
  <c r="AM541" i="20"/>
  <c r="AL541" i="20"/>
  <c r="AK541" i="20"/>
  <c r="AJ541" i="20"/>
  <c r="AI541" i="20"/>
  <c r="AG541" i="20"/>
  <c r="AF541" i="20"/>
  <c r="AE541" i="20"/>
  <c r="AD541" i="20"/>
  <c r="AC541" i="20"/>
  <c r="AA541" i="20"/>
  <c r="Z541" i="20"/>
  <c r="Y541" i="20"/>
  <c r="X541" i="20"/>
  <c r="W541" i="20"/>
  <c r="AM540" i="20"/>
  <c r="AL540" i="20"/>
  <c r="AK540" i="20"/>
  <c r="AJ540" i="20"/>
  <c r="AI540" i="20"/>
  <c r="AG540" i="20"/>
  <c r="AF540" i="20"/>
  <c r="AE540" i="20"/>
  <c r="AD540" i="20"/>
  <c r="AC540" i="20"/>
  <c r="AA540" i="20"/>
  <c r="Z540" i="20"/>
  <c r="Y540" i="20"/>
  <c r="X540" i="20"/>
  <c r="W540" i="20"/>
  <c r="AM539" i="20"/>
  <c r="AL539" i="20"/>
  <c r="AK539" i="20"/>
  <c r="AJ539" i="20"/>
  <c r="AI539" i="20"/>
  <c r="AG539" i="20"/>
  <c r="AF539" i="20"/>
  <c r="AE539" i="20"/>
  <c r="AD539" i="20"/>
  <c r="AC539" i="20"/>
  <c r="AA539" i="20"/>
  <c r="Z539" i="20"/>
  <c r="Y539" i="20"/>
  <c r="X539" i="20"/>
  <c r="W539" i="20"/>
  <c r="AM538" i="20"/>
  <c r="AL538" i="20"/>
  <c r="AK538" i="20"/>
  <c r="AJ538" i="20"/>
  <c r="AI538" i="20"/>
  <c r="AG538" i="20"/>
  <c r="AF538" i="20"/>
  <c r="AE538" i="20"/>
  <c r="AD538" i="20"/>
  <c r="AC538" i="20"/>
  <c r="AA538" i="20"/>
  <c r="Z538" i="20"/>
  <c r="Y538" i="20"/>
  <c r="X538" i="20"/>
  <c r="W538" i="20"/>
  <c r="AM537" i="20"/>
  <c r="AL537" i="20"/>
  <c r="AK537" i="20"/>
  <c r="AJ537" i="20"/>
  <c r="AI537" i="20"/>
  <c r="AG537" i="20"/>
  <c r="AF537" i="20"/>
  <c r="AE537" i="20"/>
  <c r="AD537" i="20"/>
  <c r="AC537" i="20"/>
  <c r="AA537" i="20"/>
  <c r="Z537" i="20"/>
  <c r="Y537" i="20"/>
  <c r="X537" i="20"/>
  <c r="W537" i="20"/>
  <c r="AM536" i="20"/>
  <c r="AL536" i="20"/>
  <c r="AK536" i="20"/>
  <c r="AJ536" i="20"/>
  <c r="AI536" i="20"/>
  <c r="AG536" i="20"/>
  <c r="AF536" i="20"/>
  <c r="AE536" i="20"/>
  <c r="AD536" i="20"/>
  <c r="AC536" i="20"/>
  <c r="AA536" i="20"/>
  <c r="Z536" i="20"/>
  <c r="Y536" i="20"/>
  <c r="X536" i="20"/>
  <c r="W536" i="20"/>
  <c r="AM535" i="20"/>
  <c r="AL535" i="20"/>
  <c r="AK535" i="20"/>
  <c r="AJ535" i="20"/>
  <c r="AI535" i="20"/>
  <c r="AG535" i="20"/>
  <c r="AF535" i="20"/>
  <c r="AE535" i="20"/>
  <c r="AD535" i="20"/>
  <c r="AC535" i="20"/>
  <c r="AA535" i="20"/>
  <c r="Z535" i="20"/>
  <c r="Y535" i="20"/>
  <c r="X535" i="20"/>
  <c r="W535" i="20"/>
  <c r="AM534" i="20"/>
  <c r="AL534" i="20"/>
  <c r="AK534" i="20"/>
  <c r="AJ534" i="20"/>
  <c r="AI534" i="20"/>
  <c r="AG534" i="20"/>
  <c r="AF534" i="20"/>
  <c r="AE534" i="20"/>
  <c r="AD534" i="20"/>
  <c r="AC534" i="20"/>
  <c r="AA534" i="20"/>
  <c r="Z534" i="20"/>
  <c r="Y534" i="20"/>
  <c r="X534" i="20"/>
  <c r="W534" i="20"/>
  <c r="AM533" i="20"/>
  <c r="AL533" i="20"/>
  <c r="AK533" i="20"/>
  <c r="AJ533" i="20"/>
  <c r="AI533" i="20"/>
  <c r="AG533" i="20"/>
  <c r="AF533" i="20"/>
  <c r="AE533" i="20"/>
  <c r="AD533" i="20"/>
  <c r="AC533" i="20"/>
  <c r="AA533" i="20"/>
  <c r="Z533" i="20"/>
  <c r="Y533" i="20"/>
  <c r="X533" i="20"/>
  <c r="W533" i="20"/>
  <c r="AM532" i="20"/>
  <c r="AL532" i="20"/>
  <c r="AK532" i="20"/>
  <c r="AJ532" i="20"/>
  <c r="AI532" i="20"/>
  <c r="AG532" i="20"/>
  <c r="AF532" i="20"/>
  <c r="AE532" i="20"/>
  <c r="AD532" i="20"/>
  <c r="AC532" i="20"/>
  <c r="AA532" i="20"/>
  <c r="Z532" i="20"/>
  <c r="Y532" i="20"/>
  <c r="X532" i="20"/>
  <c r="W532" i="20"/>
  <c r="AM531" i="20"/>
  <c r="AL531" i="20"/>
  <c r="AK531" i="20"/>
  <c r="AJ531" i="20"/>
  <c r="AI531" i="20"/>
  <c r="AG531" i="20"/>
  <c r="AF531" i="20"/>
  <c r="AE531" i="20"/>
  <c r="AD531" i="20"/>
  <c r="AC531" i="20"/>
  <c r="AA531" i="20"/>
  <c r="Z531" i="20"/>
  <c r="Y531" i="20"/>
  <c r="X531" i="20"/>
  <c r="W531" i="20"/>
  <c r="AM530" i="20"/>
  <c r="AL530" i="20"/>
  <c r="AK530" i="20"/>
  <c r="AJ530" i="20"/>
  <c r="AI530" i="20"/>
  <c r="AG530" i="20"/>
  <c r="AF530" i="20"/>
  <c r="AE530" i="20"/>
  <c r="AD530" i="20"/>
  <c r="AC530" i="20"/>
  <c r="AA530" i="20"/>
  <c r="Z530" i="20"/>
  <c r="Y530" i="20"/>
  <c r="X530" i="20"/>
  <c r="W530" i="20"/>
  <c r="AM529" i="20"/>
  <c r="AL529" i="20"/>
  <c r="AK529" i="20"/>
  <c r="AJ529" i="20"/>
  <c r="AI529" i="20"/>
  <c r="AG529" i="20"/>
  <c r="AF529" i="20"/>
  <c r="AE529" i="20"/>
  <c r="AD529" i="20"/>
  <c r="AC529" i="20"/>
  <c r="AA529" i="20"/>
  <c r="Z529" i="20"/>
  <c r="Y529" i="20"/>
  <c r="X529" i="20"/>
  <c r="W529" i="20"/>
  <c r="AM528" i="20"/>
  <c r="AL528" i="20"/>
  <c r="AK528" i="20"/>
  <c r="AJ528" i="20"/>
  <c r="AI528" i="20"/>
  <c r="AG528" i="20"/>
  <c r="AF528" i="20"/>
  <c r="AE528" i="20"/>
  <c r="AD528" i="20"/>
  <c r="AC528" i="20"/>
  <c r="AA528" i="20"/>
  <c r="Z528" i="20"/>
  <c r="Y528" i="20"/>
  <c r="X528" i="20"/>
  <c r="W528" i="20"/>
  <c r="AM527" i="20"/>
  <c r="AL527" i="20"/>
  <c r="AK527" i="20"/>
  <c r="AJ527" i="20"/>
  <c r="AI527" i="20"/>
  <c r="AG527" i="20"/>
  <c r="AF527" i="20"/>
  <c r="AE527" i="20"/>
  <c r="AD527" i="20"/>
  <c r="AC527" i="20"/>
  <c r="AA527" i="20"/>
  <c r="Z527" i="20"/>
  <c r="Y527" i="20"/>
  <c r="X527" i="20"/>
  <c r="W527" i="20"/>
  <c r="AM526" i="20"/>
  <c r="AL526" i="20"/>
  <c r="AK526" i="20"/>
  <c r="AJ526" i="20"/>
  <c r="AI526" i="20"/>
  <c r="AG526" i="20"/>
  <c r="AF526" i="20"/>
  <c r="AE526" i="20"/>
  <c r="AD526" i="20"/>
  <c r="AC526" i="20"/>
  <c r="AA526" i="20"/>
  <c r="Z526" i="20"/>
  <c r="Y526" i="20"/>
  <c r="X526" i="20"/>
  <c r="W526" i="20"/>
  <c r="AM525" i="20"/>
  <c r="AL525" i="20"/>
  <c r="AK525" i="20"/>
  <c r="AJ525" i="20"/>
  <c r="AI525" i="20"/>
  <c r="AG525" i="20"/>
  <c r="AF525" i="20"/>
  <c r="AE525" i="20"/>
  <c r="AD525" i="20"/>
  <c r="AC525" i="20"/>
  <c r="AA525" i="20"/>
  <c r="Z525" i="20"/>
  <c r="Y525" i="20"/>
  <c r="X525" i="20"/>
  <c r="W525" i="20"/>
  <c r="AM524" i="20"/>
  <c r="AL524" i="20"/>
  <c r="AK524" i="20"/>
  <c r="AJ524" i="20"/>
  <c r="AI524" i="20"/>
  <c r="AG524" i="20"/>
  <c r="AF524" i="20"/>
  <c r="AE524" i="20"/>
  <c r="AD524" i="20"/>
  <c r="AC524" i="20"/>
  <c r="AA524" i="20"/>
  <c r="Z524" i="20"/>
  <c r="Y524" i="20"/>
  <c r="X524" i="20"/>
  <c r="W524" i="20"/>
  <c r="AM523" i="20"/>
  <c r="AL523" i="20"/>
  <c r="AK523" i="20"/>
  <c r="AJ523" i="20"/>
  <c r="AI523" i="20"/>
  <c r="AG523" i="20"/>
  <c r="AF523" i="20"/>
  <c r="AE523" i="20"/>
  <c r="AD523" i="20"/>
  <c r="AC523" i="20"/>
  <c r="AA523" i="20"/>
  <c r="Z523" i="20"/>
  <c r="Y523" i="20"/>
  <c r="X523" i="20"/>
  <c r="W523" i="20"/>
  <c r="AM522" i="20"/>
  <c r="AL522" i="20"/>
  <c r="AK522" i="20"/>
  <c r="AJ522" i="20"/>
  <c r="AI522" i="20"/>
  <c r="AG522" i="20"/>
  <c r="AF522" i="20"/>
  <c r="AE522" i="20"/>
  <c r="AD522" i="20"/>
  <c r="AC522" i="20"/>
  <c r="AA522" i="20"/>
  <c r="Z522" i="20"/>
  <c r="Y522" i="20"/>
  <c r="X522" i="20"/>
  <c r="W522" i="20"/>
  <c r="AM521" i="20"/>
  <c r="AL521" i="20"/>
  <c r="AK521" i="20"/>
  <c r="AJ521" i="20"/>
  <c r="AI521" i="20"/>
  <c r="AG521" i="20"/>
  <c r="AF521" i="20"/>
  <c r="AE521" i="20"/>
  <c r="AD521" i="20"/>
  <c r="AC521" i="20"/>
  <c r="AA521" i="20"/>
  <c r="Z521" i="20"/>
  <c r="Y521" i="20"/>
  <c r="X521" i="20"/>
  <c r="W521" i="20"/>
  <c r="AM520" i="20"/>
  <c r="AL520" i="20"/>
  <c r="AK520" i="20"/>
  <c r="AJ520" i="20"/>
  <c r="AI520" i="20"/>
  <c r="AG520" i="20"/>
  <c r="AF520" i="20"/>
  <c r="AE520" i="20"/>
  <c r="AD520" i="20"/>
  <c r="AC520" i="20"/>
  <c r="AA520" i="20"/>
  <c r="Z520" i="20"/>
  <c r="Y520" i="20"/>
  <c r="X520" i="20"/>
  <c r="W520" i="20"/>
  <c r="AM519" i="20"/>
  <c r="AL519" i="20"/>
  <c r="AK519" i="20"/>
  <c r="AJ519" i="20"/>
  <c r="AI519" i="20"/>
  <c r="AG519" i="20"/>
  <c r="AF519" i="20"/>
  <c r="AE519" i="20"/>
  <c r="AD519" i="20"/>
  <c r="AC519" i="20"/>
  <c r="AA519" i="20"/>
  <c r="Z519" i="20"/>
  <c r="Y519" i="20"/>
  <c r="X519" i="20"/>
  <c r="W519" i="20"/>
  <c r="AM518" i="20"/>
  <c r="AL518" i="20"/>
  <c r="AK518" i="20"/>
  <c r="AJ518" i="20"/>
  <c r="AI518" i="20"/>
  <c r="AG518" i="20"/>
  <c r="AF518" i="20"/>
  <c r="AE518" i="20"/>
  <c r="AD518" i="20"/>
  <c r="AC518" i="20"/>
  <c r="AA518" i="20"/>
  <c r="Z518" i="20"/>
  <c r="Y518" i="20"/>
  <c r="X518" i="20"/>
  <c r="W518" i="20"/>
  <c r="AM517" i="20"/>
  <c r="AL517" i="20"/>
  <c r="AK517" i="20"/>
  <c r="AJ517" i="20"/>
  <c r="AI517" i="20"/>
  <c r="AG517" i="20"/>
  <c r="AF517" i="20"/>
  <c r="AE517" i="20"/>
  <c r="AD517" i="20"/>
  <c r="AC517" i="20"/>
  <c r="AA517" i="20"/>
  <c r="Z517" i="20"/>
  <c r="Y517" i="20"/>
  <c r="X517" i="20"/>
  <c r="W517" i="20"/>
  <c r="AM516" i="20"/>
  <c r="AL516" i="20"/>
  <c r="AK516" i="20"/>
  <c r="AJ516" i="20"/>
  <c r="AI516" i="20"/>
  <c r="AG516" i="20"/>
  <c r="AF516" i="20"/>
  <c r="AE516" i="20"/>
  <c r="AD516" i="20"/>
  <c r="AC516" i="20"/>
  <c r="AA516" i="20"/>
  <c r="Z516" i="20"/>
  <c r="Y516" i="20"/>
  <c r="X516" i="20"/>
  <c r="W516" i="20"/>
  <c r="AM515" i="20"/>
  <c r="AL515" i="20"/>
  <c r="AK515" i="20"/>
  <c r="AJ515" i="20"/>
  <c r="AI515" i="20"/>
  <c r="AG515" i="20"/>
  <c r="AF515" i="20"/>
  <c r="AE515" i="20"/>
  <c r="AD515" i="20"/>
  <c r="AC515" i="20"/>
  <c r="AA515" i="20"/>
  <c r="Z515" i="20"/>
  <c r="Y515" i="20"/>
  <c r="X515" i="20"/>
  <c r="W515" i="20"/>
  <c r="AM514" i="20"/>
  <c r="AL514" i="20"/>
  <c r="AK514" i="20"/>
  <c r="AJ514" i="20"/>
  <c r="AI514" i="20"/>
  <c r="AG514" i="20"/>
  <c r="AF514" i="20"/>
  <c r="AE514" i="20"/>
  <c r="AD514" i="20"/>
  <c r="AC514" i="20"/>
  <c r="AA514" i="20"/>
  <c r="Z514" i="20"/>
  <c r="Y514" i="20"/>
  <c r="X514" i="20"/>
  <c r="W514" i="20"/>
  <c r="AM513" i="20"/>
  <c r="AL513" i="20"/>
  <c r="AK513" i="20"/>
  <c r="AJ513" i="20"/>
  <c r="AI513" i="20"/>
  <c r="AG513" i="20"/>
  <c r="AF513" i="20"/>
  <c r="AE513" i="20"/>
  <c r="AD513" i="20"/>
  <c r="AC513" i="20"/>
  <c r="AA513" i="20"/>
  <c r="Z513" i="20"/>
  <c r="Y513" i="20"/>
  <c r="X513" i="20"/>
  <c r="W513" i="20"/>
  <c r="AM512" i="20"/>
  <c r="AL512" i="20"/>
  <c r="AK512" i="20"/>
  <c r="AJ512" i="20"/>
  <c r="AI512" i="20"/>
  <c r="AG512" i="20"/>
  <c r="AF512" i="20"/>
  <c r="AE512" i="20"/>
  <c r="AD512" i="20"/>
  <c r="AC512" i="20"/>
  <c r="AA512" i="20"/>
  <c r="Z512" i="20"/>
  <c r="Y512" i="20"/>
  <c r="X512" i="20"/>
  <c r="W512" i="20"/>
  <c r="AM511" i="20"/>
  <c r="AL511" i="20"/>
  <c r="AK511" i="20"/>
  <c r="AJ511" i="20"/>
  <c r="AI511" i="20"/>
  <c r="AG511" i="20"/>
  <c r="AF511" i="20"/>
  <c r="AE511" i="20"/>
  <c r="AD511" i="20"/>
  <c r="AC511" i="20"/>
  <c r="AA511" i="20"/>
  <c r="Z511" i="20"/>
  <c r="Y511" i="20"/>
  <c r="X511" i="20"/>
  <c r="W511" i="20"/>
  <c r="AM510" i="20"/>
  <c r="AL510" i="20"/>
  <c r="AK510" i="20"/>
  <c r="AJ510" i="20"/>
  <c r="AI510" i="20"/>
  <c r="AG510" i="20"/>
  <c r="AF510" i="20"/>
  <c r="AE510" i="20"/>
  <c r="AD510" i="20"/>
  <c r="AC510" i="20"/>
  <c r="AA510" i="20"/>
  <c r="Z510" i="20"/>
  <c r="Y510" i="20"/>
  <c r="X510" i="20"/>
  <c r="W510" i="20"/>
  <c r="AM509" i="20"/>
  <c r="AL509" i="20"/>
  <c r="AK509" i="20"/>
  <c r="AJ509" i="20"/>
  <c r="AI509" i="20"/>
  <c r="AG509" i="20"/>
  <c r="AF509" i="20"/>
  <c r="AE509" i="20"/>
  <c r="AD509" i="20"/>
  <c r="AC509" i="20"/>
  <c r="AA509" i="20"/>
  <c r="Z509" i="20"/>
  <c r="Y509" i="20"/>
  <c r="X509" i="20"/>
  <c r="W509" i="20"/>
  <c r="AM508" i="20"/>
  <c r="AL508" i="20"/>
  <c r="AK508" i="20"/>
  <c r="AJ508" i="20"/>
  <c r="AI508" i="20"/>
  <c r="AG508" i="20"/>
  <c r="AF508" i="20"/>
  <c r="AE508" i="20"/>
  <c r="AD508" i="20"/>
  <c r="AC508" i="20"/>
  <c r="AA508" i="20"/>
  <c r="Z508" i="20"/>
  <c r="Y508" i="20"/>
  <c r="X508" i="20"/>
  <c r="W508" i="20"/>
  <c r="AM507" i="20"/>
  <c r="AL507" i="20"/>
  <c r="AK507" i="20"/>
  <c r="AJ507" i="20"/>
  <c r="AI507" i="20"/>
  <c r="AG507" i="20"/>
  <c r="AF507" i="20"/>
  <c r="AE507" i="20"/>
  <c r="AD507" i="20"/>
  <c r="AC507" i="20"/>
  <c r="AA507" i="20"/>
  <c r="Z507" i="20"/>
  <c r="Y507" i="20"/>
  <c r="X507" i="20"/>
  <c r="W507" i="20"/>
  <c r="AM506" i="20"/>
  <c r="AL506" i="20"/>
  <c r="AK506" i="20"/>
  <c r="AJ506" i="20"/>
  <c r="AI506" i="20"/>
  <c r="AG506" i="20"/>
  <c r="AF506" i="20"/>
  <c r="AE506" i="20"/>
  <c r="AD506" i="20"/>
  <c r="AC506" i="20"/>
  <c r="AA506" i="20"/>
  <c r="Z506" i="20"/>
  <c r="Y506" i="20"/>
  <c r="X506" i="20"/>
  <c r="W506" i="20"/>
  <c r="AM505" i="20"/>
  <c r="AL505" i="20"/>
  <c r="AK505" i="20"/>
  <c r="AJ505" i="20"/>
  <c r="AI505" i="20"/>
  <c r="AG505" i="20"/>
  <c r="AF505" i="20"/>
  <c r="AE505" i="20"/>
  <c r="AD505" i="20"/>
  <c r="AC505" i="20"/>
  <c r="AA505" i="20"/>
  <c r="Z505" i="20"/>
  <c r="Y505" i="20"/>
  <c r="X505" i="20"/>
  <c r="W505" i="20"/>
  <c r="AM504" i="20"/>
  <c r="AL504" i="20"/>
  <c r="AK504" i="20"/>
  <c r="AJ504" i="20"/>
  <c r="AI504" i="20"/>
  <c r="AG504" i="20"/>
  <c r="AF504" i="20"/>
  <c r="AE504" i="20"/>
  <c r="AD504" i="20"/>
  <c r="AC504" i="20"/>
  <c r="AA504" i="20"/>
  <c r="Z504" i="20"/>
  <c r="Y504" i="20"/>
  <c r="X504" i="20"/>
  <c r="W504" i="20"/>
  <c r="AM503" i="20"/>
  <c r="AL503" i="20"/>
  <c r="AK503" i="20"/>
  <c r="AJ503" i="20"/>
  <c r="AI503" i="20"/>
  <c r="AG503" i="20"/>
  <c r="AF503" i="20"/>
  <c r="AE503" i="20"/>
  <c r="AD503" i="20"/>
  <c r="AC503" i="20"/>
  <c r="AA503" i="20"/>
  <c r="Z503" i="20"/>
  <c r="Y503" i="20"/>
  <c r="X503" i="20"/>
  <c r="W503" i="20"/>
  <c r="AM502" i="20"/>
  <c r="AL502" i="20"/>
  <c r="AK502" i="20"/>
  <c r="AJ502" i="20"/>
  <c r="AI502" i="20"/>
  <c r="AG502" i="20"/>
  <c r="AF502" i="20"/>
  <c r="AE502" i="20"/>
  <c r="AD502" i="20"/>
  <c r="AC502" i="20"/>
  <c r="AA502" i="20"/>
  <c r="Z502" i="20"/>
  <c r="Y502" i="20"/>
  <c r="X502" i="20"/>
  <c r="W502" i="20"/>
  <c r="AM501" i="20"/>
  <c r="AL501" i="20"/>
  <c r="AK501" i="20"/>
  <c r="AJ501" i="20"/>
  <c r="AI501" i="20"/>
  <c r="AG501" i="20"/>
  <c r="AF501" i="20"/>
  <c r="AE501" i="20"/>
  <c r="AD501" i="20"/>
  <c r="AC501" i="20"/>
  <c r="AA501" i="20"/>
  <c r="Z501" i="20"/>
  <c r="Y501" i="20"/>
  <c r="X501" i="20"/>
  <c r="W501" i="20"/>
  <c r="AM500" i="20"/>
  <c r="AL500" i="20"/>
  <c r="AK500" i="20"/>
  <c r="AJ500" i="20"/>
  <c r="AI500" i="20"/>
  <c r="AG500" i="20"/>
  <c r="AF500" i="20"/>
  <c r="AE500" i="20"/>
  <c r="AD500" i="20"/>
  <c r="AC500" i="20"/>
  <c r="AA500" i="20"/>
  <c r="Z500" i="20"/>
  <c r="Y500" i="20"/>
  <c r="X500" i="20"/>
  <c r="W500" i="20"/>
  <c r="AM499" i="20"/>
  <c r="AL499" i="20"/>
  <c r="AK499" i="20"/>
  <c r="AJ499" i="20"/>
  <c r="AI499" i="20"/>
  <c r="AG499" i="20"/>
  <c r="AF499" i="20"/>
  <c r="AE499" i="20"/>
  <c r="AD499" i="20"/>
  <c r="AC499" i="20"/>
  <c r="AA499" i="20"/>
  <c r="Z499" i="20"/>
  <c r="Y499" i="20"/>
  <c r="X499" i="20"/>
  <c r="W499" i="20"/>
  <c r="AM498" i="20"/>
  <c r="AL498" i="20"/>
  <c r="AK498" i="20"/>
  <c r="AJ498" i="20"/>
  <c r="AI498" i="20"/>
  <c r="AG498" i="20"/>
  <c r="AF498" i="20"/>
  <c r="AE498" i="20"/>
  <c r="AD498" i="20"/>
  <c r="AC498" i="20"/>
  <c r="AA498" i="20"/>
  <c r="Z498" i="20"/>
  <c r="Y498" i="20"/>
  <c r="X498" i="20"/>
  <c r="W498" i="20"/>
  <c r="AM497" i="20"/>
  <c r="AL497" i="20"/>
  <c r="AK497" i="20"/>
  <c r="AJ497" i="20"/>
  <c r="AI497" i="20"/>
  <c r="AG497" i="20"/>
  <c r="AF497" i="20"/>
  <c r="AE497" i="20"/>
  <c r="AD497" i="20"/>
  <c r="AC497" i="20"/>
  <c r="AA497" i="20"/>
  <c r="Z497" i="20"/>
  <c r="Y497" i="20"/>
  <c r="X497" i="20"/>
  <c r="W497" i="20"/>
  <c r="AM496" i="20"/>
  <c r="AL496" i="20"/>
  <c r="AK496" i="20"/>
  <c r="AJ496" i="20"/>
  <c r="AI496" i="20"/>
  <c r="AG496" i="20"/>
  <c r="AF496" i="20"/>
  <c r="AE496" i="20"/>
  <c r="AD496" i="20"/>
  <c r="AC496" i="20"/>
  <c r="AA496" i="20"/>
  <c r="Z496" i="20"/>
  <c r="Y496" i="20"/>
  <c r="X496" i="20"/>
  <c r="W496" i="20"/>
  <c r="AM495" i="20"/>
  <c r="AL495" i="20"/>
  <c r="AK495" i="20"/>
  <c r="AJ495" i="20"/>
  <c r="AI495" i="20"/>
  <c r="AG495" i="20"/>
  <c r="AF495" i="20"/>
  <c r="AE495" i="20"/>
  <c r="AD495" i="20"/>
  <c r="AC495" i="20"/>
  <c r="AA495" i="20"/>
  <c r="Z495" i="20"/>
  <c r="Y495" i="20"/>
  <c r="X495" i="20"/>
  <c r="W495" i="20"/>
  <c r="AM494" i="20"/>
  <c r="AL494" i="20"/>
  <c r="AK494" i="20"/>
  <c r="AJ494" i="20"/>
  <c r="AI494" i="20"/>
  <c r="AG494" i="20"/>
  <c r="AF494" i="20"/>
  <c r="AE494" i="20"/>
  <c r="AD494" i="20"/>
  <c r="AC494" i="20"/>
  <c r="AA494" i="20"/>
  <c r="Z494" i="20"/>
  <c r="Y494" i="20"/>
  <c r="X494" i="20"/>
  <c r="W494" i="20"/>
  <c r="AM493" i="20"/>
  <c r="AL493" i="20"/>
  <c r="AK493" i="20"/>
  <c r="AJ493" i="20"/>
  <c r="AI493" i="20"/>
  <c r="AG493" i="20"/>
  <c r="AF493" i="20"/>
  <c r="AE493" i="20"/>
  <c r="AD493" i="20"/>
  <c r="AC493" i="20"/>
  <c r="AA493" i="20"/>
  <c r="Z493" i="20"/>
  <c r="Y493" i="20"/>
  <c r="X493" i="20"/>
  <c r="W493" i="20"/>
  <c r="AM492" i="20"/>
  <c r="AL492" i="20"/>
  <c r="AK492" i="20"/>
  <c r="AJ492" i="20"/>
  <c r="AI492" i="20"/>
  <c r="AG492" i="20"/>
  <c r="AF492" i="20"/>
  <c r="AE492" i="20"/>
  <c r="AD492" i="20"/>
  <c r="AC492" i="20"/>
  <c r="AA492" i="20"/>
  <c r="Z492" i="20"/>
  <c r="Y492" i="20"/>
  <c r="X492" i="20"/>
  <c r="W492" i="20"/>
  <c r="AM491" i="20"/>
  <c r="AL491" i="20"/>
  <c r="AK491" i="20"/>
  <c r="AJ491" i="20"/>
  <c r="AI491" i="20"/>
  <c r="AG491" i="20"/>
  <c r="AF491" i="20"/>
  <c r="AE491" i="20"/>
  <c r="AD491" i="20"/>
  <c r="AC491" i="20"/>
  <c r="AA491" i="20"/>
  <c r="Z491" i="20"/>
  <c r="Y491" i="20"/>
  <c r="X491" i="20"/>
  <c r="W491" i="20"/>
  <c r="AM490" i="20"/>
  <c r="AL490" i="20"/>
  <c r="AK490" i="20"/>
  <c r="AJ490" i="20"/>
  <c r="AI490" i="20"/>
  <c r="AG490" i="20"/>
  <c r="AF490" i="20"/>
  <c r="AE490" i="20"/>
  <c r="AD490" i="20"/>
  <c r="AC490" i="20"/>
  <c r="AA490" i="20"/>
  <c r="Z490" i="20"/>
  <c r="Y490" i="20"/>
  <c r="X490" i="20"/>
  <c r="W490" i="20"/>
  <c r="AM489" i="20"/>
  <c r="AL489" i="20"/>
  <c r="AK489" i="20"/>
  <c r="AJ489" i="20"/>
  <c r="AI489" i="20"/>
  <c r="AG489" i="20"/>
  <c r="AF489" i="20"/>
  <c r="AE489" i="20"/>
  <c r="AD489" i="20"/>
  <c r="AC489" i="20"/>
  <c r="AA489" i="20"/>
  <c r="Z489" i="20"/>
  <c r="Y489" i="20"/>
  <c r="X489" i="20"/>
  <c r="W489" i="20"/>
  <c r="AM488" i="20"/>
  <c r="AL488" i="20"/>
  <c r="AK488" i="20"/>
  <c r="AJ488" i="20"/>
  <c r="AI488" i="20"/>
  <c r="AG488" i="20"/>
  <c r="AF488" i="20"/>
  <c r="AE488" i="20"/>
  <c r="AD488" i="20"/>
  <c r="AC488" i="20"/>
  <c r="AA488" i="20"/>
  <c r="Z488" i="20"/>
  <c r="Y488" i="20"/>
  <c r="X488" i="20"/>
  <c r="W488" i="20"/>
  <c r="AM487" i="20"/>
  <c r="AL487" i="20"/>
  <c r="AK487" i="20"/>
  <c r="AJ487" i="20"/>
  <c r="AI487" i="20"/>
  <c r="AG487" i="20"/>
  <c r="AF487" i="20"/>
  <c r="AE487" i="20"/>
  <c r="AD487" i="20"/>
  <c r="AC487" i="20"/>
  <c r="AA487" i="20"/>
  <c r="Z487" i="20"/>
  <c r="Y487" i="20"/>
  <c r="X487" i="20"/>
  <c r="W487" i="20"/>
  <c r="AM486" i="20"/>
  <c r="AL486" i="20"/>
  <c r="AK486" i="20"/>
  <c r="AJ486" i="20"/>
  <c r="AI486" i="20"/>
  <c r="AG486" i="20"/>
  <c r="AF486" i="20"/>
  <c r="AE486" i="20"/>
  <c r="AD486" i="20"/>
  <c r="AC486" i="20"/>
  <c r="AA486" i="20"/>
  <c r="Z486" i="20"/>
  <c r="Y486" i="20"/>
  <c r="X486" i="20"/>
  <c r="W486" i="20"/>
  <c r="AM485" i="20"/>
  <c r="AL485" i="20"/>
  <c r="AK485" i="20"/>
  <c r="AJ485" i="20"/>
  <c r="AI485" i="20"/>
  <c r="AG485" i="20"/>
  <c r="AF485" i="20"/>
  <c r="AE485" i="20"/>
  <c r="AD485" i="20"/>
  <c r="AC485" i="20"/>
  <c r="AA485" i="20"/>
  <c r="Z485" i="20"/>
  <c r="Y485" i="20"/>
  <c r="X485" i="20"/>
  <c r="W485" i="20"/>
  <c r="AM484" i="20"/>
  <c r="AL484" i="20"/>
  <c r="AK484" i="20"/>
  <c r="AJ484" i="20"/>
  <c r="AI484" i="20"/>
  <c r="AG484" i="20"/>
  <c r="AF484" i="20"/>
  <c r="AE484" i="20"/>
  <c r="AD484" i="20"/>
  <c r="AC484" i="20"/>
  <c r="AA484" i="20"/>
  <c r="Z484" i="20"/>
  <c r="Y484" i="20"/>
  <c r="X484" i="20"/>
  <c r="W484" i="20"/>
  <c r="AM483" i="20"/>
  <c r="AL483" i="20"/>
  <c r="AK483" i="20"/>
  <c r="AJ483" i="20"/>
  <c r="AI483" i="20"/>
  <c r="AG483" i="20"/>
  <c r="AF483" i="20"/>
  <c r="AE483" i="20"/>
  <c r="AD483" i="20"/>
  <c r="AC483" i="20"/>
  <c r="AA483" i="20"/>
  <c r="Z483" i="20"/>
  <c r="Y483" i="20"/>
  <c r="X483" i="20"/>
  <c r="W483" i="20"/>
  <c r="AM482" i="20"/>
  <c r="AL482" i="20"/>
  <c r="AK482" i="20"/>
  <c r="AJ482" i="20"/>
  <c r="AI482" i="20"/>
  <c r="AG482" i="20"/>
  <c r="AF482" i="20"/>
  <c r="AE482" i="20"/>
  <c r="AD482" i="20"/>
  <c r="AC482" i="20"/>
  <c r="AA482" i="20"/>
  <c r="Z482" i="20"/>
  <c r="Y482" i="20"/>
  <c r="X482" i="20"/>
  <c r="W482" i="20"/>
  <c r="AM481" i="20"/>
  <c r="AL481" i="20"/>
  <c r="AK481" i="20"/>
  <c r="AJ481" i="20"/>
  <c r="AI481" i="20"/>
  <c r="AG481" i="20"/>
  <c r="AF481" i="20"/>
  <c r="AE481" i="20"/>
  <c r="AD481" i="20"/>
  <c r="AC481" i="20"/>
  <c r="AA481" i="20"/>
  <c r="Z481" i="20"/>
  <c r="Y481" i="20"/>
  <c r="X481" i="20"/>
  <c r="W481" i="20"/>
  <c r="AM480" i="20"/>
  <c r="AL480" i="20"/>
  <c r="AK480" i="20"/>
  <c r="AJ480" i="20"/>
  <c r="AI480" i="20"/>
  <c r="AG480" i="20"/>
  <c r="AF480" i="20"/>
  <c r="AE480" i="20"/>
  <c r="AD480" i="20"/>
  <c r="AC480" i="20"/>
  <c r="AA480" i="20"/>
  <c r="Z480" i="20"/>
  <c r="Y480" i="20"/>
  <c r="X480" i="20"/>
  <c r="W480" i="20"/>
  <c r="AM479" i="20"/>
  <c r="AL479" i="20"/>
  <c r="AK479" i="20"/>
  <c r="AJ479" i="20"/>
  <c r="AI479" i="20"/>
  <c r="AG479" i="20"/>
  <c r="AF479" i="20"/>
  <c r="AE479" i="20"/>
  <c r="AD479" i="20"/>
  <c r="AC479" i="20"/>
  <c r="AA479" i="20"/>
  <c r="Z479" i="20"/>
  <c r="Y479" i="20"/>
  <c r="X479" i="20"/>
  <c r="W479" i="20"/>
  <c r="AM478" i="20"/>
  <c r="AL478" i="20"/>
  <c r="AK478" i="20"/>
  <c r="AJ478" i="20"/>
  <c r="AI478" i="20"/>
  <c r="AG478" i="20"/>
  <c r="AF478" i="20"/>
  <c r="AE478" i="20"/>
  <c r="AD478" i="20"/>
  <c r="AC478" i="20"/>
  <c r="AA478" i="20"/>
  <c r="Z478" i="20"/>
  <c r="Y478" i="20"/>
  <c r="X478" i="20"/>
  <c r="W478" i="20"/>
  <c r="AM477" i="20"/>
  <c r="AL477" i="20"/>
  <c r="AK477" i="20"/>
  <c r="AJ477" i="20"/>
  <c r="AI477" i="20"/>
  <c r="AG477" i="20"/>
  <c r="AF477" i="20"/>
  <c r="AE477" i="20"/>
  <c r="AD477" i="20"/>
  <c r="AC477" i="20"/>
  <c r="AA477" i="20"/>
  <c r="Z477" i="20"/>
  <c r="Y477" i="20"/>
  <c r="X477" i="20"/>
  <c r="W477" i="20"/>
  <c r="AM476" i="20"/>
  <c r="AL476" i="20"/>
  <c r="AK476" i="20"/>
  <c r="AJ476" i="20"/>
  <c r="AI476" i="20"/>
  <c r="AG476" i="20"/>
  <c r="AF476" i="20"/>
  <c r="AE476" i="20"/>
  <c r="AD476" i="20"/>
  <c r="AC476" i="20"/>
  <c r="AA476" i="20"/>
  <c r="Z476" i="20"/>
  <c r="Y476" i="20"/>
  <c r="X476" i="20"/>
  <c r="W476" i="20"/>
  <c r="AM475" i="20"/>
  <c r="AL475" i="20"/>
  <c r="AK475" i="20"/>
  <c r="AJ475" i="20"/>
  <c r="AI475" i="20"/>
  <c r="AG475" i="20"/>
  <c r="AF475" i="20"/>
  <c r="AE475" i="20"/>
  <c r="AD475" i="20"/>
  <c r="AC475" i="20"/>
  <c r="AA475" i="20"/>
  <c r="Z475" i="20"/>
  <c r="Y475" i="20"/>
  <c r="X475" i="20"/>
  <c r="W475" i="20"/>
  <c r="AM474" i="20"/>
  <c r="AL474" i="20"/>
  <c r="AK474" i="20"/>
  <c r="AJ474" i="20"/>
  <c r="AI474" i="20"/>
  <c r="AG474" i="20"/>
  <c r="AF474" i="20"/>
  <c r="AE474" i="20"/>
  <c r="AD474" i="20"/>
  <c r="AC474" i="20"/>
  <c r="AA474" i="20"/>
  <c r="Z474" i="20"/>
  <c r="Y474" i="20"/>
  <c r="X474" i="20"/>
  <c r="W474" i="20"/>
  <c r="AM473" i="20"/>
  <c r="AL473" i="20"/>
  <c r="AK473" i="20"/>
  <c r="AJ473" i="20"/>
  <c r="AI473" i="20"/>
  <c r="AG473" i="20"/>
  <c r="AF473" i="20"/>
  <c r="AE473" i="20"/>
  <c r="AD473" i="20"/>
  <c r="AC473" i="20"/>
  <c r="AA473" i="20"/>
  <c r="Z473" i="20"/>
  <c r="Y473" i="20"/>
  <c r="X473" i="20"/>
  <c r="W473" i="20"/>
  <c r="AM472" i="20"/>
  <c r="AL472" i="20"/>
  <c r="AK472" i="20"/>
  <c r="AJ472" i="20"/>
  <c r="AI472" i="20"/>
  <c r="AG472" i="20"/>
  <c r="AF472" i="20"/>
  <c r="AE472" i="20"/>
  <c r="AD472" i="20"/>
  <c r="AC472" i="20"/>
  <c r="AA472" i="20"/>
  <c r="Z472" i="20"/>
  <c r="Y472" i="20"/>
  <c r="X472" i="20"/>
  <c r="W472" i="20"/>
  <c r="AM471" i="20"/>
  <c r="AL471" i="20"/>
  <c r="AK471" i="20"/>
  <c r="AJ471" i="20"/>
  <c r="AI471" i="20"/>
  <c r="AG471" i="20"/>
  <c r="AF471" i="20"/>
  <c r="AE471" i="20"/>
  <c r="AD471" i="20"/>
  <c r="AC471" i="20"/>
  <c r="AA471" i="20"/>
  <c r="Z471" i="20"/>
  <c r="Y471" i="20"/>
  <c r="X471" i="20"/>
  <c r="W471" i="20"/>
  <c r="AM470" i="20"/>
  <c r="AL470" i="20"/>
  <c r="AK470" i="20"/>
  <c r="AJ470" i="20"/>
  <c r="AI470" i="20"/>
  <c r="AG470" i="20"/>
  <c r="AF470" i="20"/>
  <c r="AE470" i="20"/>
  <c r="AD470" i="20"/>
  <c r="AC470" i="20"/>
  <c r="AA470" i="20"/>
  <c r="Z470" i="20"/>
  <c r="Y470" i="20"/>
  <c r="X470" i="20"/>
  <c r="W470" i="20"/>
  <c r="AM469" i="20"/>
  <c r="AL469" i="20"/>
  <c r="AK469" i="20"/>
  <c r="AJ469" i="20"/>
  <c r="AI469" i="20"/>
  <c r="AG469" i="20"/>
  <c r="AF469" i="20"/>
  <c r="AE469" i="20"/>
  <c r="AD469" i="20"/>
  <c r="AC469" i="20"/>
  <c r="AA469" i="20"/>
  <c r="Z469" i="20"/>
  <c r="Y469" i="20"/>
  <c r="X469" i="20"/>
  <c r="W469" i="20"/>
  <c r="AM468" i="20"/>
  <c r="AL468" i="20"/>
  <c r="AK468" i="20"/>
  <c r="AJ468" i="20"/>
  <c r="AI468" i="20"/>
  <c r="AG468" i="20"/>
  <c r="AF468" i="20"/>
  <c r="AE468" i="20"/>
  <c r="AD468" i="20"/>
  <c r="AC468" i="20"/>
  <c r="AA468" i="20"/>
  <c r="Z468" i="20"/>
  <c r="Y468" i="20"/>
  <c r="X468" i="20"/>
  <c r="W468" i="20"/>
  <c r="AM467" i="20"/>
  <c r="AL467" i="20"/>
  <c r="AK467" i="20"/>
  <c r="AJ467" i="20"/>
  <c r="AI467" i="20"/>
  <c r="AG467" i="20"/>
  <c r="AF467" i="20"/>
  <c r="AE467" i="20"/>
  <c r="AD467" i="20"/>
  <c r="AC467" i="20"/>
  <c r="AA467" i="20"/>
  <c r="Z467" i="20"/>
  <c r="Y467" i="20"/>
  <c r="X467" i="20"/>
  <c r="W467" i="20"/>
  <c r="AM466" i="20"/>
  <c r="AL466" i="20"/>
  <c r="AK466" i="20"/>
  <c r="AJ466" i="20"/>
  <c r="AI466" i="20"/>
  <c r="AG466" i="20"/>
  <c r="AF466" i="20"/>
  <c r="AE466" i="20"/>
  <c r="AD466" i="20"/>
  <c r="AC466" i="20"/>
  <c r="AA466" i="20"/>
  <c r="Z466" i="20"/>
  <c r="Y466" i="20"/>
  <c r="X466" i="20"/>
  <c r="W466" i="20"/>
  <c r="AM465" i="20"/>
  <c r="AL465" i="20"/>
  <c r="AK465" i="20"/>
  <c r="AJ465" i="20"/>
  <c r="AI465" i="20"/>
  <c r="AG465" i="20"/>
  <c r="AF465" i="20"/>
  <c r="AE465" i="20"/>
  <c r="AD465" i="20"/>
  <c r="AC465" i="20"/>
  <c r="AA465" i="20"/>
  <c r="Z465" i="20"/>
  <c r="Y465" i="20"/>
  <c r="X465" i="20"/>
  <c r="W465" i="20"/>
  <c r="AM464" i="20"/>
  <c r="AL464" i="20"/>
  <c r="AK464" i="20"/>
  <c r="AJ464" i="20"/>
  <c r="AI464" i="20"/>
  <c r="AG464" i="20"/>
  <c r="AF464" i="20"/>
  <c r="AE464" i="20"/>
  <c r="AD464" i="20"/>
  <c r="AC464" i="20"/>
  <c r="AA464" i="20"/>
  <c r="Z464" i="20"/>
  <c r="Y464" i="20"/>
  <c r="X464" i="20"/>
  <c r="W464" i="20"/>
  <c r="AM463" i="20"/>
  <c r="AL463" i="20"/>
  <c r="AK463" i="20"/>
  <c r="AJ463" i="20"/>
  <c r="AI463" i="20"/>
  <c r="AG463" i="20"/>
  <c r="AF463" i="20"/>
  <c r="AE463" i="20"/>
  <c r="AD463" i="20"/>
  <c r="AC463" i="20"/>
  <c r="AA463" i="20"/>
  <c r="Z463" i="20"/>
  <c r="Y463" i="20"/>
  <c r="X463" i="20"/>
  <c r="W463" i="20"/>
  <c r="AM462" i="20"/>
  <c r="AL462" i="20"/>
  <c r="AK462" i="20"/>
  <c r="AJ462" i="20"/>
  <c r="AI462" i="20"/>
  <c r="AG462" i="20"/>
  <c r="AF462" i="20"/>
  <c r="AE462" i="20"/>
  <c r="AD462" i="20"/>
  <c r="AC462" i="20"/>
  <c r="AA462" i="20"/>
  <c r="Z462" i="20"/>
  <c r="Y462" i="20"/>
  <c r="X462" i="20"/>
  <c r="W462" i="20"/>
  <c r="AM461" i="20"/>
  <c r="AL461" i="20"/>
  <c r="AK461" i="20"/>
  <c r="AJ461" i="20"/>
  <c r="AI461" i="20"/>
  <c r="AG461" i="20"/>
  <c r="AF461" i="20"/>
  <c r="AE461" i="20"/>
  <c r="AD461" i="20"/>
  <c r="AC461" i="20"/>
  <c r="AA461" i="20"/>
  <c r="Z461" i="20"/>
  <c r="Y461" i="20"/>
  <c r="X461" i="20"/>
  <c r="W461" i="20"/>
  <c r="AM460" i="20"/>
  <c r="AL460" i="20"/>
  <c r="AK460" i="20"/>
  <c r="AJ460" i="20"/>
  <c r="AI460" i="20"/>
  <c r="AG460" i="20"/>
  <c r="AF460" i="20"/>
  <c r="AE460" i="20"/>
  <c r="AD460" i="20"/>
  <c r="AC460" i="20"/>
  <c r="AA460" i="20"/>
  <c r="Z460" i="20"/>
  <c r="Y460" i="20"/>
  <c r="X460" i="20"/>
  <c r="W460" i="20"/>
  <c r="AM459" i="20"/>
  <c r="AL459" i="20"/>
  <c r="AK459" i="20"/>
  <c r="AJ459" i="20"/>
  <c r="AI459" i="20"/>
  <c r="AG459" i="20"/>
  <c r="AF459" i="20"/>
  <c r="AE459" i="20"/>
  <c r="AD459" i="20"/>
  <c r="AC459" i="20"/>
  <c r="AA459" i="20"/>
  <c r="Z459" i="20"/>
  <c r="Y459" i="20"/>
  <c r="X459" i="20"/>
  <c r="W459" i="20"/>
  <c r="AM458" i="20"/>
  <c r="AL458" i="20"/>
  <c r="AK458" i="20"/>
  <c r="AJ458" i="20"/>
  <c r="AI458" i="20"/>
  <c r="AG458" i="20"/>
  <c r="AF458" i="20"/>
  <c r="AE458" i="20"/>
  <c r="AD458" i="20"/>
  <c r="AC458" i="20"/>
  <c r="AA458" i="20"/>
  <c r="Z458" i="20"/>
  <c r="Y458" i="20"/>
  <c r="X458" i="20"/>
  <c r="W458" i="20"/>
  <c r="AM457" i="20"/>
  <c r="AL457" i="20"/>
  <c r="AK457" i="20"/>
  <c r="AJ457" i="20"/>
  <c r="AI457" i="20"/>
  <c r="AG457" i="20"/>
  <c r="AF457" i="20"/>
  <c r="AE457" i="20"/>
  <c r="AD457" i="20"/>
  <c r="AC457" i="20"/>
  <c r="AA457" i="20"/>
  <c r="Z457" i="20"/>
  <c r="Y457" i="20"/>
  <c r="X457" i="20"/>
  <c r="W457" i="20"/>
  <c r="AM456" i="20"/>
  <c r="AL456" i="20"/>
  <c r="AK456" i="20"/>
  <c r="AJ456" i="20"/>
  <c r="AI456" i="20"/>
  <c r="AG456" i="20"/>
  <c r="AF456" i="20"/>
  <c r="AE456" i="20"/>
  <c r="AD456" i="20"/>
  <c r="AC456" i="20"/>
  <c r="AA456" i="20"/>
  <c r="Z456" i="20"/>
  <c r="Y456" i="20"/>
  <c r="X456" i="20"/>
  <c r="W456" i="20"/>
  <c r="AM455" i="20"/>
  <c r="AL455" i="20"/>
  <c r="AK455" i="20"/>
  <c r="AJ455" i="20"/>
  <c r="AI455" i="20"/>
  <c r="AG455" i="20"/>
  <c r="AF455" i="20"/>
  <c r="AE455" i="20"/>
  <c r="AD455" i="20"/>
  <c r="AC455" i="20"/>
  <c r="AA455" i="20"/>
  <c r="Z455" i="20"/>
  <c r="Y455" i="20"/>
  <c r="X455" i="20"/>
  <c r="W455" i="20"/>
  <c r="AM454" i="20"/>
  <c r="AL454" i="20"/>
  <c r="AK454" i="20"/>
  <c r="AJ454" i="20"/>
  <c r="AI454" i="20"/>
  <c r="AG454" i="20"/>
  <c r="AF454" i="20"/>
  <c r="AE454" i="20"/>
  <c r="AD454" i="20"/>
  <c r="AC454" i="20"/>
  <c r="AA454" i="20"/>
  <c r="Z454" i="20"/>
  <c r="Y454" i="20"/>
  <c r="X454" i="20"/>
  <c r="W454" i="20"/>
  <c r="AM453" i="20"/>
  <c r="AL453" i="20"/>
  <c r="AK453" i="20"/>
  <c r="AJ453" i="20"/>
  <c r="AI453" i="20"/>
  <c r="AG453" i="20"/>
  <c r="AF453" i="20"/>
  <c r="AE453" i="20"/>
  <c r="AD453" i="20"/>
  <c r="AC453" i="20"/>
  <c r="AA453" i="20"/>
  <c r="Z453" i="20"/>
  <c r="Y453" i="20"/>
  <c r="X453" i="20"/>
  <c r="W453" i="20"/>
  <c r="AM452" i="20"/>
  <c r="AL452" i="20"/>
  <c r="AK452" i="20"/>
  <c r="AJ452" i="20"/>
  <c r="AI452" i="20"/>
  <c r="AG452" i="20"/>
  <c r="AF452" i="20"/>
  <c r="AE452" i="20"/>
  <c r="AD452" i="20"/>
  <c r="AC452" i="20"/>
  <c r="AA452" i="20"/>
  <c r="Z452" i="20"/>
  <c r="Y452" i="20"/>
  <c r="X452" i="20"/>
  <c r="W452" i="20"/>
  <c r="AM451" i="20"/>
  <c r="AL451" i="20"/>
  <c r="AK451" i="20"/>
  <c r="AJ451" i="20"/>
  <c r="AI451" i="20"/>
  <c r="AG451" i="20"/>
  <c r="AF451" i="20"/>
  <c r="AE451" i="20"/>
  <c r="AD451" i="20"/>
  <c r="AC451" i="20"/>
  <c r="AA451" i="20"/>
  <c r="Z451" i="20"/>
  <c r="Y451" i="20"/>
  <c r="X451" i="20"/>
  <c r="W451" i="20"/>
  <c r="AM450" i="20"/>
  <c r="AL450" i="20"/>
  <c r="AK450" i="20"/>
  <c r="AJ450" i="20"/>
  <c r="AI450" i="20"/>
  <c r="AG450" i="20"/>
  <c r="AF450" i="20"/>
  <c r="AE450" i="20"/>
  <c r="AD450" i="20"/>
  <c r="AC450" i="20"/>
  <c r="AA450" i="20"/>
  <c r="Z450" i="20"/>
  <c r="Y450" i="20"/>
  <c r="X450" i="20"/>
  <c r="W450" i="20"/>
  <c r="AM449" i="20"/>
  <c r="AL449" i="20"/>
  <c r="AK449" i="20"/>
  <c r="AJ449" i="20"/>
  <c r="AI449" i="20"/>
  <c r="AG449" i="20"/>
  <c r="AF449" i="20"/>
  <c r="AE449" i="20"/>
  <c r="AD449" i="20"/>
  <c r="AC449" i="20"/>
  <c r="AA449" i="20"/>
  <c r="Z449" i="20"/>
  <c r="Y449" i="20"/>
  <c r="X449" i="20"/>
  <c r="W449" i="20"/>
  <c r="AM448" i="20"/>
  <c r="AL448" i="20"/>
  <c r="AK448" i="20"/>
  <c r="AJ448" i="20"/>
  <c r="AI448" i="20"/>
  <c r="AG448" i="20"/>
  <c r="AF448" i="20"/>
  <c r="AE448" i="20"/>
  <c r="AD448" i="20"/>
  <c r="AC448" i="20"/>
  <c r="AA448" i="20"/>
  <c r="Z448" i="20"/>
  <c r="Y448" i="20"/>
  <c r="X448" i="20"/>
  <c r="W448" i="20"/>
  <c r="AM447" i="20"/>
  <c r="AL447" i="20"/>
  <c r="AK447" i="20"/>
  <c r="AJ447" i="20"/>
  <c r="AI447" i="20"/>
  <c r="AG447" i="20"/>
  <c r="AF447" i="20"/>
  <c r="AE447" i="20"/>
  <c r="AD447" i="20"/>
  <c r="AC447" i="20"/>
  <c r="AA447" i="20"/>
  <c r="Z447" i="20"/>
  <c r="Y447" i="20"/>
  <c r="X447" i="20"/>
  <c r="W447" i="20"/>
  <c r="AM446" i="20"/>
  <c r="AL446" i="20"/>
  <c r="AK446" i="20"/>
  <c r="AJ446" i="20"/>
  <c r="AI446" i="20"/>
  <c r="AG446" i="20"/>
  <c r="AF446" i="20"/>
  <c r="AE446" i="20"/>
  <c r="AD446" i="20"/>
  <c r="AC446" i="20"/>
  <c r="AA446" i="20"/>
  <c r="Z446" i="20"/>
  <c r="Y446" i="20"/>
  <c r="X446" i="20"/>
  <c r="W446" i="20"/>
  <c r="AM445" i="20"/>
  <c r="AL445" i="20"/>
  <c r="AK445" i="20"/>
  <c r="AJ445" i="20"/>
  <c r="AI445" i="20"/>
  <c r="AG445" i="20"/>
  <c r="AF445" i="20"/>
  <c r="AE445" i="20"/>
  <c r="AD445" i="20"/>
  <c r="AC445" i="20"/>
  <c r="AA445" i="20"/>
  <c r="Z445" i="20"/>
  <c r="Y445" i="20"/>
  <c r="X445" i="20"/>
  <c r="W445" i="20"/>
  <c r="AM444" i="20"/>
  <c r="AL444" i="20"/>
  <c r="AK444" i="20"/>
  <c r="AJ444" i="20"/>
  <c r="AI444" i="20"/>
  <c r="AG444" i="20"/>
  <c r="AF444" i="20"/>
  <c r="AE444" i="20"/>
  <c r="AD444" i="20"/>
  <c r="AC444" i="20"/>
  <c r="AA444" i="20"/>
  <c r="Z444" i="20"/>
  <c r="Y444" i="20"/>
  <c r="X444" i="20"/>
  <c r="W444" i="20"/>
  <c r="AM443" i="20"/>
  <c r="AL443" i="20"/>
  <c r="AK443" i="20"/>
  <c r="AJ443" i="20"/>
  <c r="AI443" i="20"/>
  <c r="AG443" i="20"/>
  <c r="AF443" i="20"/>
  <c r="AE443" i="20"/>
  <c r="AD443" i="20"/>
  <c r="AC443" i="20"/>
  <c r="AA443" i="20"/>
  <c r="Z443" i="20"/>
  <c r="Y443" i="20"/>
  <c r="X443" i="20"/>
  <c r="W443" i="20"/>
  <c r="AM442" i="20"/>
  <c r="AL442" i="20"/>
  <c r="AK442" i="20"/>
  <c r="AJ442" i="20"/>
  <c r="AI442" i="20"/>
  <c r="AG442" i="20"/>
  <c r="AF442" i="20"/>
  <c r="AE442" i="20"/>
  <c r="AD442" i="20"/>
  <c r="AC442" i="20"/>
  <c r="AA442" i="20"/>
  <c r="Z442" i="20"/>
  <c r="Y442" i="20"/>
  <c r="X442" i="20"/>
  <c r="W442" i="20"/>
  <c r="AM441" i="20"/>
  <c r="AL441" i="20"/>
  <c r="AK441" i="20"/>
  <c r="AJ441" i="20"/>
  <c r="AI441" i="20"/>
  <c r="AG441" i="20"/>
  <c r="AF441" i="20"/>
  <c r="AE441" i="20"/>
  <c r="AD441" i="20"/>
  <c r="AC441" i="20"/>
  <c r="AA441" i="20"/>
  <c r="Z441" i="20"/>
  <c r="Y441" i="20"/>
  <c r="X441" i="20"/>
  <c r="W441" i="20"/>
  <c r="AM440" i="20"/>
  <c r="AL440" i="20"/>
  <c r="AK440" i="20"/>
  <c r="AJ440" i="20"/>
  <c r="AI440" i="20"/>
  <c r="AG440" i="20"/>
  <c r="AF440" i="20"/>
  <c r="AE440" i="20"/>
  <c r="AD440" i="20"/>
  <c r="AC440" i="20"/>
  <c r="AA440" i="20"/>
  <c r="Z440" i="20"/>
  <c r="Y440" i="20"/>
  <c r="X440" i="20"/>
  <c r="W440" i="20"/>
  <c r="AM439" i="20"/>
  <c r="AL439" i="20"/>
  <c r="AK439" i="20"/>
  <c r="AJ439" i="20"/>
  <c r="AI439" i="20"/>
  <c r="AG439" i="20"/>
  <c r="AF439" i="20"/>
  <c r="AE439" i="20"/>
  <c r="AD439" i="20"/>
  <c r="AC439" i="20"/>
  <c r="AA439" i="20"/>
  <c r="Z439" i="20"/>
  <c r="Y439" i="20"/>
  <c r="X439" i="20"/>
  <c r="W439" i="20"/>
  <c r="AM438" i="20"/>
  <c r="AL438" i="20"/>
  <c r="AK438" i="20"/>
  <c r="AJ438" i="20"/>
  <c r="AI438" i="20"/>
  <c r="AG438" i="20"/>
  <c r="AF438" i="20"/>
  <c r="AE438" i="20"/>
  <c r="AD438" i="20"/>
  <c r="AC438" i="20"/>
  <c r="AA438" i="20"/>
  <c r="Z438" i="20"/>
  <c r="Y438" i="20"/>
  <c r="X438" i="20"/>
  <c r="W438" i="20"/>
  <c r="AM437" i="20"/>
  <c r="AL437" i="20"/>
  <c r="AK437" i="20"/>
  <c r="AJ437" i="20"/>
  <c r="AI437" i="20"/>
  <c r="AG437" i="20"/>
  <c r="AF437" i="20"/>
  <c r="AE437" i="20"/>
  <c r="AD437" i="20"/>
  <c r="AC437" i="20"/>
  <c r="AA437" i="20"/>
  <c r="Z437" i="20"/>
  <c r="Y437" i="20"/>
  <c r="X437" i="20"/>
  <c r="W437" i="20"/>
  <c r="AM436" i="20"/>
  <c r="AL436" i="20"/>
  <c r="AK436" i="20"/>
  <c r="AJ436" i="20"/>
  <c r="AI436" i="20"/>
  <c r="AG436" i="20"/>
  <c r="AF436" i="20"/>
  <c r="AE436" i="20"/>
  <c r="AD436" i="20"/>
  <c r="AC436" i="20"/>
  <c r="AA436" i="20"/>
  <c r="Z436" i="20"/>
  <c r="Y436" i="20"/>
  <c r="X436" i="20"/>
  <c r="W436" i="20"/>
  <c r="AM435" i="20"/>
  <c r="AL435" i="20"/>
  <c r="AK435" i="20"/>
  <c r="AJ435" i="20"/>
  <c r="AI435" i="20"/>
  <c r="AG435" i="20"/>
  <c r="AF435" i="20"/>
  <c r="AE435" i="20"/>
  <c r="AD435" i="20"/>
  <c r="AC435" i="20"/>
  <c r="AA435" i="20"/>
  <c r="Z435" i="20"/>
  <c r="Y435" i="20"/>
  <c r="X435" i="20"/>
  <c r="W435" i="20"/>
  <c r="AM434" i="20"/>
  <c r="AL434" i="20"/>
  <c r="AK434" i="20"/>
  <c r="AJ434" i="20"/>
  <c r="AI434" i="20"/>
  <c r="AG434" i="20"/>
  <c r="AF434" i="20"/>
  <c r="AE434" i="20"/>
  <c r="AD434" i="20"/>
  <c r="AC434" i="20"/>
  <c r="AA434" i="20"/>
  <c r="Z434" i="20"/>
  <c r="Y434" i="20"/>
  <c r="X434" i="20"/>
  <c r="W434" i="20"/>
  <c r="AM433" i="20"/>
  <c r="AL433" i="20"/>
  <c r="AK433" i="20"/>
  <c r="AJ433" i="20"/>
  <c r="AI433" i="20"/>
  <c r="AG433" i="20"/>
  <c r="AF433" i="20"/>
  <c r="AE433" i="20"/>
  <c r="AD433" i="20"/>
  <c r="AC433" i="20"/>
  <c r="AA433" i="20"/>
  <c r="Z433" i="20"/>
  <c r="Y433" i="20"/>
  <c r="X433" i="20"/>
  <c r="W433" i="20"/>
  <c r="AM432" i="20"/>
  <c r="AL432" i="20"/>
  <c r="AK432" i="20"/>
  <c r="AJ432" i="20"/>
  <c r="AI432" i="20"/>
  <c r="AG432" i="20"/>
  <c r="AF432" i="20"/>
  <c r="AE432" i="20"/>
  <c r="AD432" i="20"/>
  <c r="AC432" i="20"/>
  <c r="AA432" i="20"/>
  <c r="Z432" i="20"/>
  <c r="Y432" i="20"/>
  <c r="X432" i="20"/>
  <c r="W432" i="20"/>
  <c r="AM431" i="20"/>
  <c r="AL431" i="20"/>
  <c r="AK431" i="20"/>
  <c r="AJ431" i="20"/>
  <c r="AI431" i="20"/>
  <c r="AG431" i="20"/>
  <c r="AF431" i="20"/>
  <c r="AE431" i="20"/>
  <c r="AD431" i="20"/>
  <c r="AC431" i="20"/>
  <c r="AA431" i="20"/>
  <c r="Z431" i="20"/>
  <c r="Y431" i="20"/>
  <c r="X431" i="20"/>
  <c r="W431" i="20"/>
  <c r="AM430" i="20"/>
  <c r="AL430" i="20"/>
  <c r="AK430" i="20"/>
  <c r="AJ430" i="20"/>
  <c r="AI430" i="20"/>
  <c r="AG430" i="20"/>
  <c r="AF430" i="20"/>
  <c r="AE430" i="20"/>
  <c r="AD430" i="20"/>
  <c r="AC430" i="20"/>
  <c r="AA430" i="20"/>
  <c r="Z430" i="20"/>
  <c r="Y430" i="20"/>
  <c r="X430" i="20"/>
  <c r="W430" i="20"/>
  <c r="AM429" i="20"/>
  <c r="AL429" i="20"/>
  <c r="AK429" i="20"/>
  <c r="AJ429" i="20"/>
  <c r="AI429" i="20"/>
  <c r="AG429" i="20"/>
  <c r="AF429" i="20"/>
  <c r="AE429" i="20"/>
  <c r="AD429" i="20"/>
  <c r="AC429" i="20"/>
  <c r="AA429" i="20"/>
  <c r="Z429" i="20"/>
  <c r="Y429" i="20"/>
  <c r="X429" i="20"/>
  <c r="W429" i="20"/>
  <c r="AM428" i="20"/>
  <c r="AL428" i="20"/>
  <c r="AK428" i="20"/>
  <c r="AJ428" i="20"/>
  <c r="AI428" i="20"/>
  <c r="AG428" i="20"/>
  <c r="AF428" i="20"/>
  <c r="AE428" i="20"/>
  <c r="AD428" i="20"/>
  <c r="AC428" i="20"/>
  <c r="AA428" i="20"/>
  <c r="Z428" i="20"/>
  <c r="Y428" i="20"/>
  <c r="X428" i="20"/>
  <c r="W428" i="20"/>
  <c r="AM427" i="20"/>
  <c r="AL427" i="20"/>
  <c r="AK427" i="20"/>
  <c r="AJ427" i="20"/>
  <c r="AI427" i="20"/>
  <c r="AG427" i="20"/>
  <c r="AF427" i="20"/>
  <c r="AE427" i="20"/>
  <c r="AD427" i="20"/>
  <c r="AC427" i="20"/>
  <c r="AA427" i="20"/>
  <c r="Z427" i="20"/>
  <c r="Y427" i="20"/>
  <c r="X427" i="20"/>
  <c r="W427" i="20"/>
  <c r="AM426" i="20"/>
  <c r="AL426" i="20"/>
  <c r="AK426" i="20"/>
  <c r="AJ426" i="20"/>
  <c r="AI426" i="20"/>
  <c r="AG426" i="20"/>
  <c r="AF426" i="20"/>
  <c r="AE426" i="20"/>
  <c r="AD426" i="20"/>
  <c r="AC426" i="20"/>
  <c r="AA426" i="20"/>
  <c r="Z426" i="20"/>
  <c r="Y426" i="20"/>
  <c r="X426" i="20"/>
  <c r="W426" i="20"/>
  <c r="AM425" i="20"/>
  <c r="AL425" i="20"/>
  <c r="AK425" i="20"/>
  <c r="AJ425" i="20"/>
  <c r="AI425" i="20"/>
  <c r="AG425" i="20"/>
  <c r="AF425" i="20"/>
  <c r="AE425" i="20"/>
  <c r="AD425" i="20"/>
  <c r="AC425" i="20"/>
  <c r="AA425" i="20"/>
  <c r="Z425" i="20"/>
  <c r="Y425" i="20"/>
  <c r="X425" i="20"/>
  <c r="W425" i="20"/>
  <c r="AM424" i="20"/>
  <c r="AL424" i="20"/>
  <c r="AK424" i="20"/>
  <c r="AJ424" i="20"/>
  <c r="AI424" i="20"/>
  <c r="AG424" i="20"/>
  <c r="AF424" i="20"/>
  <c r="AE424" i="20"/>
  <c r="AD424" i="20"/>
  <c r="AC424" i="20"/>
  <c r="AA424" i="20"/>
  <c r="Z424" i="20"/>
  <c r="Y424" i="20"/>
  <c r="X424" i="20"/>
  <c r="W424" i="20"/>
  <c r="AM423" i="20"/>
  <c r="AL423" i="20"/>
  <c r="AK423" i="20"/>
  <c r="AJ423" i="20"/>
  <c r="AI423" i="20"/>
  <c r="AG423" i="20"/>
  <c r="AF423" i="20"/>
  <c r="AE423" i="20"/>
  <c r="AD423" i="20"/>
  <c r="AC423" i="20"/>
  <c r="AA423" i="20"/>
  <c r="Z423" i="20"/>
  <c r="Y423" i="20"/>
  <c r="X423" i="20"/>
  <c r="W423" i="20"/>
  <c r="AM422" i="20"/>
  <c r="AL422" i="20"/>
  <c r="AK422" i="20"/>
  <c r="AJ422" i="20"/>
  <c r="AI422" i="20"/>
  <c r="AG422" i="20"/>
  <c r="AF422" i="20"/>
  <c r="AE422" i="20"/>
  <c r="AD422" i="20"/>
  <c r="AC422" i="20"/>
  <c r="AA422" i="20"/>
  <c r="Z422" i="20"/>
  <c r="Y422" i="20"/>
  <c r="X422" i="20"/>
  <c r="W422" i="20"/>
  <c r="AM421" i="20"/>
  <c r="AL421" i="20"/>
  <c r="AK421" i="20"/>
  <c r="AJ421" i="20"/>
  <c r="AI421" i="20"/>
  <c r="AG421" i="20"/>
  <c r="AF421" i="20"/>
  <c r="AE421" i="20"/>
  <c r="AD421" i="20"/>
  <c r="AC421" i="20"/>
  <c r="AA421" i="20"/>
  <c r="Z421" i="20"/>
  <c r="Y421" i="20"/>
  <c r="X421" i="20"/>
  <c r="W421" i="20"/>
  <c r="AM420" i="20"/>
  <c r="AL420" i="20"/>
  <c r="AK420" i="20"/>
  <c r="AJ420" i="20"/>
  <c r="AI420" i="20"/>
  <c r="AG420" i="20"/>
  <c r="AF420" i="20"/>
  <c r="AE420" i="20"/>
  <c r="AD420" i="20"/>
  <c r="AC420" i="20"/>
  <c r="AA420" i="20"/>
  <c r="Z420" i="20"/>
  <c r="Y420" i="20"/>
  <c r="X420" i="20"/>
  <c r="W420" i="20"/>
  <c r="AM419" i="20"/>
  <c r="AL419" i="20"/>
  <c r="AK419" i="20"/>
  <c r="AJ419" i="20"/>
  <c r="AI419" i="20"/>
  <c r="AG419" i="20"/>
  <c r="AF419" i="20"/>
  <c r="AE419" i="20"/>
  <c r="AD419" i="20"/>
  <c r="AC419" i="20"/>
  <c r="AA419" i="20"/>
  <c r="Z419" i="20"/>
  <c r="Y419" i="20"/>
  <c r="X419" i="20"/>
  <c r="W419" i="20"/>
  <c r="AM418" i="20"/>
  <c r="AL418" i="20"/>
  <c r="AK418" i="20"/>
  <c r="AJ418" i="20"/>
  <c r="AI418" i="20"/>
  <c r="AG418" i="20"/>
  <c r="AF418" i="20"/>
  <c r="AE418" i="20"/>
  <c r="AD418" i="20"/>
  <c r="AC418" i="20"/>
  <c r="AA418" i="20"/>
  <c r="Z418" i="20"/>
  <c r="Y418" i="20"/>
  <c r="X418" i="20"/>
  <c r="W418" i="20"/>
  <c r="AM417" i="20"/>
  <c r="AL417" i="20"/>
  <c r="AK417" i="20"/>
  <c r="AJ417" i="20"/>
  <c r="AI417" i="20"/>
  <c r="AG417" i="20"/>
  <c r="AF417" i="20"/>
  <c r="AE417" i="20"/>
  <c r="AD417" i="20"/>
  <c r="AC417" i="20"/>
  <c r="AA417" i="20"/>
  <c r="Z417" i="20"/>
  <c r="Y417" i="20"/>
  <c r="X417" i="20"/>
  <c r="W417" i="20"/>
  <c r="AM416" i="20"/>
  <c r="AL416" i="20"/>
  <c r="AK416" i="20"/>
  <c r="AJ416" i="20"/>
  <c r="AI416" i="20"/>
  <c r="AG416" i="20"/>
  <c r="AF416" i="20"/>
  <c r="AE416" i="20"/>
  <c r="AD416" i="20"/>
  <c r="AC416" i="20"/>
  <c r="AA416" i="20"/>
  <c r="Z416" i="20"/>
  <c r="Y416" i="20"/>
  <c r="X416" i="20"/>
  <c r="W416" i="20"/>
  <c r="AM415" i="20"/>
  <c r="AL415" i="20"/>
  <c r="AK415" i="20"/>
  <c r="AJ415" i="20"/>
  <c r="AI415" i="20"/>
  <c r="AG415" i="20"/>
  <c r="AF415" i="20"/>
  <c r="AE415" i="20"/>
  <c r="AD415" i="20"/>
  <c r="AC415" i="20"/>
  <c r="AA415" i="20"/>
  <c r="Z415" i="20"/>
  <c r="Y415" i="20"/>
  <c r="X415" i="20"/>
  <c r="W415" i="20"/>
  <c r="AM414" i="20"/>
  <c r="AL414" i="20"/>
  <c r="AK414" i="20"/>
  <c r="AJ414" i="20"/>
  <c r="AI414" i="20"/>
  <c r="AG414" i="20"/>
  <c r="AF414" i="20"/>
  <c r="AE414" i="20"/>
  <c r="AD414" i="20"/>
  <c r="AC414" i="20"/>
  <c r="AA414" i="20"/>
  <c r="Z414" i="20"/>
  <c r="Y414" i="20"/>
  <c r="X414" i="20"/>
  <c r="W414" i="20"/>
  <c r="AM413" i="20"/>
  <c r="AL413" i="20"/>
  <c r="AK413" i="20"/>
  <c r="AJ413" i="20"/>
  <c r="AI413" i="20"/>
  <c r="AG413" i="20"/>
  <c r="AF413" i="20"/>
  <c r="AE413" i="20"/>
  <c r="AD413" i="20"/>
  <c r="AC413" i="20"/>
  <c r="AA413" i="20"/>
  <c r="Z413" i="20"/>
  <c r="Y413" i="20"/>
  <c r="X413" i="20"/>
  <c r="W413" i="20"/>
  <c r="AM412" i="20"/>
  <c r="AL412" i="20"/>
  <c r="AK412" i="20"/>
  <c r="AJ412" i="20"/>
  <c r="AI412" i="20"/>
  <c r="AG412" i="20"/>
  <c r="AF412" i="20"/>
  <c r="AE412" i="20"/>
  <c r="AD412" i="20"/>
  <c r="AC412" i="20"/>
  <c r="AA412" i="20"/>
  <c r="Z412" i="20"/>
  <c r="Y412" i="20"/>
  <c r="X412" i="20"/>
  <c r="W412" i="20"/>
  <c r="AM411" i="20"/>
  <c r="AL411" i="20"/>
  <c r="AK411" i="20"/>
  <c r="AJ411" i="20"/>
  <c r="AI411" i="20"/>
  <c r="AG411" i="20"/>
  <c r="AF411" i="20"/>
  <c r="AE411" i="20"/>
  <c r="AD411" i="20"/>
  <c r="AC411" i="20"/>
  <c r="AA411" i="20"/>
  <c r="Z411" i="20"/>
  <c r="Y411" i="20"/>
  <c r="X411" i="20"/>
  <c r="W411" i="20"/>
  <c r="AM410" i="20"/>
  <c r="AL410" i="20"/>
  <c r="AK410" i="20"/>
  <c r="AJ410" i="20"/>
  <c r="AI410" i="20"/>
  <c r="AG410" i="20"/>
  <c r="AF410" i="20"/>
  <c r="AE410" i="20"/>
  <c r="AD410" i="20"/>
  <c r="AC410" i="20"/>
  <c r="AA410" i="20"/>
  <c r="Z410" i="20"/>
  <c r="Y410" i="20"/>
  <c r="X410" i="20"/>
  <c r="W410" i="20"/>
  <c r="AM409" i="20"/>
  <c r="AL409" i="20"/>
  <c r="AK409" i="20"/>
  <c r="AJ409" i="20"/>
  <c r="AI409" i="20"/>
  <c r="AG409" i="20"/>
  <c r="AF409" i="20"/>
  <c r="AE409" i="20"/>
  <c r="AD409" i="20"/>
  <c r="AC409" i="20"/>
  <c r="AA409" i="20"/>
  <c r="Z409" i="20"/>
  <c r="Y409" i="20"/>
  <c r="X409" i="20"/>
  <c r="W409" i="20"/>
  <c r="AM408" i="20"/>
  <c r="AL408" i="20"/>
  <c r="AK408" i="20"/>
  <c r="AJ408" i="20"/>
  <c r="AI408" i="20"/>
  <c r="AG408" i="20"/>
  <c r="AF408" i="20"/>
  <c r="AE408" i="20"/>
  <c r="AD408" i="20"/>
  <c r="AC408" i="20"/>
  <c r="AA408" i="20"/>
  <c r="Z408" i="20"/>
  <c r="Y408" i="20"/>
  <c r="X408" i="20"/>
  <c r="W408" i="20"/>
  <c r="AM407" i="20"/>
  <c r="AL407" i="20"/>
  <c r="AK407" i="20"/>
  <c r="AJ407" i="20"/>
  <c r="AI407" i="20"/>
  <c r="AG407" i="20"/>
  <c r="AF407" i="20"/>
  <c r="AE407" i="20"/>
  <c r="AD407" i="20"/>
  <c r="AC407" i="20"/>
  <c r="AA407" i="20"/>
  <c r="Z407" i="20"/>
  <c r="Y407" i="20"/>
  <c r="X407" i="20"/>
  <c r="W407" i="20"/>
  <c r="AM406" i="20"/>
  <c r="AL406" i="20"/>
  <c r="AK406" i="20"/>
  <c r="AJ406" i="20"/>
  <c r="AI406" i="20"/>
  <c r="AG406" i="20"/>
  <c r="AF406" i="20"/>
  <c r="AE406" i="20"/>
  <c r="AD406" i="20"/>
  <c r="AC406" i="20"/>
  <c r="AA406" i="20"/>
  <c r="Z406" i="20"/>
  <c r="Y406" i="20"/>
  <c r="X406" i="20"/>
  <c r="W406" i="20"/>
  <c r="AM405" i="20"/>
  <c r="AL405" i="20"/>
  <c r="AK405" i="20"/>
  <c r="AJ405" i="20"/>
  <c r="AI405" i="20"/>
  <c r="AG405" i="20"/>
  <c r="AF405" i="20"/>
  <c r="AE405" i="20"/>
  <c r="AD405" i="20"/>
  <c r="AC405" i="20"/>
  <c r="AA405" i="20"/>
  <c r="Z405" i="20"/>
  <c r="Y405" i="20"/>
  <c r="X405" i="20"/>
  <c r="W405" i="20"/>
  <c r="AM404" i="20"/>
  <c r="AL404" i="20"/>
  <c r="AK404" i="20"/>
  <c r="AJ404" i="20"/>
  <c r="AI404" i="20"/>
  <c r="AG404" i="20"/>
  <c r="AF404" i="20"/>
  <c r="AE404" i="20"/>
  <c r="AD404" i="20"/>
  <c r="AC404" i="20"/>
  <c r="AA404" i="20"/>
  <c r="Z404" i="20"/>
  <c r="Y404" i="20"/>
  <c r="X404" i="20"/>
  <c r="W404" i="20"/>
  <c r="AM403" i="20"/>
  <c r="AL403" i="20"/>
  <c r="AK403" i="20"/>
  <c r="AJ403" i="20"/>
  <c r="AI403" i="20"/>
  <c r="AG403" i="20"/>
  <c r="AF403" i="20"/>
  <c r="AE403" i="20"/>
  <c r="AD403" i="20"/>
  <c r="AC403" i="20"/>
  <c r="AA403" i="20"/>
  <c r="Z403" i="20"/>
  <c r="Y403" i="20"/>
  <c r="X403" i="20"/>
  <c r="W403" i="20"/>
  <c r="AM402" i="20"/>
  <c r="AL402" i="20"/>
  <c r="AK402" i="20"/>
  <c r="AJ402" i="20"/>
  <c r="AI402" i="20"/>
  <c r="AG402" i="20"/>
  <c r="AF402" i="20"/>
  <c r="AE402" i="20"/>
  <c r="AD402" i="20"/>
  <c r="AC402" i="20"/>
  <c r="AA402" i="20"/>
  <c r="Z402" i="20"/>
  <c r="Y402" i="20"/>
  <c r="X402" i="20"/>
  <c r="W402" i="20"/>
  <c r="AM401" i="20"/>
  <c r="AL401" i="20"/>
  <c r="AK401" i="20"/>
  <c r="AJ401" i="20"/>
  <c r="AI401" i="20"/>
  <c r="AG401" i="20"/>
  <c r="AF401" i="20"/>
  <c r="AE401" i="20"/>
  <c r="AD401" i="20"/>
  <c r="AC401" i="20"/>
  <c r="AA401" i="20"/>
  <c r="Z401" i="20"/>
  <c r="Y401" i="20"/>
  <c r="X401" i="20"/>
  <c r="W401" i="20"/>
  <c r="AM400" i="20"/>
  <c r="AL400" i="20"/>
  <c r="AK400" i="20"/>
  <c r="AJ400" i="20"/>
  <c r="AI400" i="20"/>
  <c r="AG400" i="20"/>
  <c r="AF400" i="20"/>
  <c r="AE400" i="20"/>
  <c r="AD400" i="20"/>
  <c r="AC400" i="20"/>
  <c r="AA400" i="20"/>
  <c r="Z400" i="20"/>
  <c r="Y400" i="20"/>
  <c r="X400" i="20"/>
  <c r="W400" i="20"/>
  <c r="AM399" i="20"/>
  <c r="AL399" i="20"/>
  <c r="AK399" i="20"/>
  <c r="AJ399" i="20"/>
  <c r="AI399" i="20"/>
  <c r="AG399" i="20"/>
  <c r="AF399" i="20"/>
  <c r="AE399" i="20"/>
  <c r="AD399" i="20"/>
  <c r="AC399" i="20"/>
  <c r="AA399" i="20"/>
  <c r="Z399" i="20"/>
  <c r="Y399" i="20"/>
  <c r="X399" i="20"/>
  <c r="W399" i="20"/>
  <c r="AM398" i="20"/>
  <c r="AL398" i="20"/>
  <c r="AK398" i="20"/>
  <c r="AJ398" i="20"/>
  <c r="AI398" i="20"/>
  <c r="AG398" i="20"/>
  <c r="AF398" i="20"/>
  <c r="AE398" i="20"/>
  <c r="AD398" i="20"/>
  <c r="AC398" i="20"/>
  <c r="AA398" i="20"/>
  <c r="Z398" i="20"/>
  <c r="Y398" i="20"/>
  <c r="X398" i="20"/>
  <c r="W398" i="20"/>
  <c r="AM397" i="20"/>
  <c r="AL397" i="20"/>
  <c r="AK397" i="20"/>
  <c r="AJ397" i="20"/>
  <c r="AI397" i="20"/>
  <c r="AG397" i="20"/>
  <c r="AF397" i="20"/>
  <c r="AE397" i="20"/>
  <c r="AD397" i="20"/>
  <c r="AC397" i="20"/>
  <c r="AA397" i="20"/>
  <c r="Z397" i="20"/>
  <c r="Y397" i="20"/>
  <c r="X397" i="20"/>
  <c r="W397" i="20"/>
  <c r="AM396" i="20"/>
  <c r="AL396" i="20"/>
  <c r="AK396" i="20"/>
  <c r="AJ396" i="20"/>
  <c r="AI396" i="20"/>
  <c r="AG396" i="20"/>
  <c r="AF396" i="20"/>
  <c r="AE396" i="20"/>
  <c r="AD396" i="20"/>
  <c r="AC396" i="20"/>
  <c r="AA396" i="20"/>
  <c r="Z396" i="20"/>
  <c r="Y396" i="20"/>
  <c r="X396" i="20"/>
  <c r="W396" i="20"/>
  <c r="AM395" i="20"/>
  <c r="AL395" i="20"/>
  <c r="AK395" i="20"/>
  <c r="AJ395" i="20"/>
  <c r="AI395" i="20"/>
  <c r="AG395" i="20"/>
  <c r="AF395" i="20"/>
  <c r="AE395" i="20"/>
  <c r="AD395" i="20"/>
  <c r="AC395" i="20"/>
  <c r="AA395" i="20"/>
  <c r="Z395" i="20"/>
  <c r="Y395" i="20"/>
  <c r="X395" i="20"/>
  <c r="W395" i="20"/>
  <c r="AM394" i="20"/>
  <c r="AL394" i="20"/>
  <c r="AK394" i="20"/>
  <c r="AJ394" i="20"/>
  <c r="AI394" i="20"/>
  <c r="AG394" i="20"/>
  <c r="AF394" i="20"/>
  <c r="AE394" i="20"/>
  <c r="AD394" i="20"/>
  <c r="AC394" i="20"/>
  <c r="AA394" i="20"/>
  <c r="Z394" i="20"/>
  <c r="Y394" i="20"/>
  <c r="X394" i="20"/>
  <c r="W394" i="20"/>
  <c r="AM393" i="20"/>
  <c r="AL393" i="20"/>
  <c r="AK393" i="20"/>
  <c r="AJ393" i="20"/>
  <c r="AI393" i="20"/>
  <c r="AG393" i="20"/>
  <c r="AF393" i="20"/>
  <c r="AE393" i="20"/>
  <c r="AD393" i="20"/>
  <c r="AC393" i="20"/>
  <c r="AA393" i="20"/>
  <c r="Z393" i="20"/>
  <c r="Y393" i="20"/>
  <c r="X393" i="20"/>
  <c r="W393" i="20"/>
  <c r="AM392" i="20"/>
  <c r="AL392" i="20"/>
  <c r="AK392" i="20"/>
  <c r="AJ392" i="20"/>
  <c r="AI392" i="20"/>
  <c r="AG392" i="20"/>
  <c r="AF392" i="20"/>
  <c r="AE392" i="20"/>
  <c r="AD392" i="20"/>
  <c r="AC392" i="20"/>
  <c r="AA392" i="20"/>
  <c r="Z392" i="20"/>
  <c r="Y392" i="20"/>
  <c r="X392" i="20"/>
  <c r="W392" i="20"/>
  <c r="AM391" i="20"/>
  <c r="AL391" i="20"/>
  <c r="AK391" i="20"/>
  <c r="AJ391" i="20"/>
  <c r="AI391" i="20"/>
  <c r="AG391" i="20"/>
  <c r="AF391" i="20"/>
  <c r="AE391" i="20"/>
  <c r="AD391" i="20"/>
  <c r="AC391" i="20"/>
  <c r="AA391" i="20"/>
  <c r="Z391" i="20"/>
  <c r="Y391" i="20"/>
  <c r="X391" i="20"/>
  <c r="W391" i="20"/>
  <c r="AM390" i="20"/>
  <c r="AL390" i="20"/>
  <c r="AK390" i="20"/>
  <c r="AJ390" i="20"/>
  <c r="AI390" i="20"/>
  <c r="AG390" i="20"/>
  <c r="AF390" i="20"/>
  <c r="AE390" i="20"/>
  <c r="AD390" i="20"/>
  <c r="AC390" i="20"/>
  <c r="AA390" i="20"/>
  <c r="Z390" i="20"/>
  <c r="Y390" i="20"/>
  <c r="X390" i="20"/>
  <c r="W390" i="20"/>
  <c r="AM389" i="20"/>
  <c r="AL389" i="20"/>
  <c r="AK389" i="20"/>
  <c r="AJ389" i="20"/>
  <c r="AI389" i="20"/>
  <c r="AG389" i="20"/>
  <c r="AF389" i="20"/>
  <c r="AE389" i="20"/>
  <c r="AD389" i="20"/>
  <c r="AC389" i="20"/>
  <c r="AA389" i="20"/>
  <c r="Z389" i="20"/>
  <c r="Y389" i="20"/>
  <c r="X389" i="20"/>
  <c r="W389" i="20"/>
  <c r="AM388" i="20"/>
  <c r="AL388" i="20"/>
  <c r="AK388" i="20"/>
  <c r="AJ388" i="20"/>
  <c r="AI388" i="20"/>
  <c r="AG388" i="20"/>
  <c r="AF388" i="20"/>
  <c r="AE388" i="20"/>
  <c r="AD388" i="20"/>
  <c r="AC388" i="20"/>
  <c r="AA388" i="20"/>
  <c r="Z388" i="20"/>
  <c r="Y388" i="20"/>
  <c r="X388" i="20"/>
  <c r="W388" i="20"/>
  <c r="AM387" i="20"/>
  <c r="AL387" i="20"/>
  <c r="AK387" i="20"/>
  <c r="AJ387" i="20"/>
  <c r="AI387" i="20"/>
  <c r="AG387" i="20"/>
  <c r="AF387" i="20"/>
  <c r="AE387" i="20"/>
  <c r="AD387" i="20"/>
  <c r="AC387" i="20"/>
  <c r="AA387" i="20"/>
  <c r="Z387" i="20"/>
  <c r="Y387" i="20"/>
  <c r="X387" i="20"/>
  <c r="W387" i="20"/>
  <c r="AM386" i="20"/>
  <c r="AL386" i="20"/>
  <c r="AK386" i="20"/>
  <c r="AJ386" i="20"/>
  <c r="AI386" i="20"/>
  <c r="AG386" i="20"/>
  <c r="AF386" i="20"/>
  <c r="AE386" i="20"/>
  <c r="AD386" i="20"/>
  <c r="AC386" i="20"/>
  <c r="AA386" i="20"/>
  <c r="Z386" i="20"/>
  <c r="Y386" i="20"/>
  <c r="X386" i="20"/>
  <c r="W386" i="20"/>
  <c r="AM385" i="20"/>
  <c r="AL385" i="20"/>
  <c r="AK385" i="20"/>
  <c r="AJ385" i="20"/>
  <c r="AI385" i="20"/>
  <c r="AG385" i="20"/>
  <c r="AF385" i="20"/>
  <c r="AE385" i="20"/>
  <c r="AD385" i="20"/>
  <c r="AC385" i="20"/>
  <c r="AA385" i="20"/>
  <c r="Z385" i="20"/>
  <c r="Y385" i="20"/>
  <c r="X385" i="20"/>
  <c r="W385" i="20"/>
  <c r="AM384" i="20"/>
  <c r="AL384" i="20"/>
  <c r="AK384" i="20"/>
  <c r="AJ384" i="20"/>
  <c r="AI384" i="20"/>
  <c r="AG384" i="20"/>
  <c r="AF384" i="20"/>
  <c r="AE384" i="20"/>
  <c r="AD384" i="20"/>
  <c r="AC384" i="20"/>
  <c r="AA384" i="20"/>
  <c r="Z384" i="20"/>
  <c r="Y384" i="20"/>
  <c r="X384" i="20"/>
  <c r="W384" i="20"/>
  <c r="AM383" i="20"/>
  <c r="AL383" i="20"/>
  <c r="AK383" i="20"/>
  <c r="AJ383" i="20"/>
  <c r="AI383" i="20"/>
  <c r="AG383" i="20"/>
  <c r="AF383" i="20"/>
  <c r="AE383" i="20"/>
  <c r="AD383" i="20"/>
  <c r="AC383" i="20"/>
  <c r="AA383" i="20"/>
  <c r="Z383" i="20"/>
  <c r="Y383" i="20"/>
  <c r="X383" i="20"/>
  <c r="W383" i="20"/>
  <c r="AM382" i="20"/>
  <c r="AL382" i="20"/>
  <c r="AK382" i="20"/>
  <c r="AJ382" i="20"/>
  <c r="AI382" i="20"/>
  <c r="AG382" i="20"/>
  <c r="AF382" i="20"/>
  <c r="AE382" i="20"/>
  <c r="AD382" i="20"/>
  <c r="AC382" i="20"/>
  <c r="AA382" i="20"/>
  <c r="Z382" i="20"/>
  <c r="Y382" i="20"/>
  <c r="X382" i="20"/>
  <c r="W382" i="20"/>
  <c r="AM381" i="20"/>
  <c r="AL381" i="20"/>
  <c r="AK381" i="20"/>
  <c r="AJ381" i="20"/>
  <c r="AI381" i="20"/>
  <c r="AG381" i="20"/>
  <c r="AF381" i="20"/>
  <c r="AE381" i="20"/>
  <c r="AD381" i="20"/>
  <c r="AC381" i="20"/>
  <c r="AA381" i="20"/>
  <c r="Z381" i="20"/>
  <c r="Y381" i="20"/>
  <c r="X381" i="20"/>
  <c r="W381" i="20"/>
  <c r="AM380" i="20"/>
  <c r="AL380" i="20"/>
  <c r="AK380" i="20"/>
  <c r="AJ380" i="20"/>
  <c r="AI380" i="20"/>
  <c r="AG380" i="20"/>
  <c r="AF380" i="20"/>
  <c r="AE380" i="20"/>
  <c r="AD380" i="20"/>
  <c r="AC380" i="20"/>
  <c r="AA380" i="20"/>
  <c r="Z380" i="20"/>
  <c r="Y380" i="20"/>
  <c r="X380" i="20"/>
  <c r="W380" i="20"/>
  <c r="AM379" i="20"/>
  <c r="AL379" i="20"/>
  <c r="AK379" i="20"/>
  <c r="AJ379" i="20"/>
  <c r="AI379" i="20"/>
  <c r="AG379" i="20"/>
  <c r="AF379" i="20"/>
  <c r="AE379" i="20"/>
  <c r="AD379" i="20"/>
  <c r="AC379" i="20"/>
  <c r="AA379" i="20"/>
  <c r="Z379" i="20"/>
  <c r="Y379" i="20"/>
  <c r="X379" i="20"/>
  <c r="W379" i="20"/>
  <c r="AM378" i="20"/>
  <c r="AL378" i="20"/>
  <c r="AK378" i="20"/>
  <c r="AJ378" i="20"/>
  <c r="AI378" i="20"/>
  <c r="AG378" i="20"/>
  <c r="AF378" i="20"/>
  <c r="AE378" i="20"/>
  <c r="AD378" i="20"/>
  <c r="AC378" i="20"/>
  <c r="AA378" i="20"/>
  <c r="Z378" i="20"/>
  <c r="Y378" i="20"/>
  <c r="X378" i="20"/>
  <c r="W378" i="20"/>
  <c r="AM377" i="20"/>
  <c r="AL377" i="20"/>
  <c r="AK377" i="20"/>
  <c r="AJ377" i="20"/>
  <c r="AI377" i="20"/>
  <c r="AG377" i="20"/>
  <c r="AF377" i="20"/>
  <c r="AE377" i="20"/>
  <c r="AD377" i="20"/>
  <c r="AC377" i="20"/>
  <c r="AA377" i="20"/>
  <c r="Z377" i="20"/>
  <c r="Y377" i="20"/>
  <c r="X377" i="20"/>
  <c r="W377" i="20"/>
  <c r="AM376" i="20"/>
  <c r="AL376" i="20"/>
  <c r="AK376" i="20"/>
  <c r="AJ376" i="20"/>
  <c r="AI376" i="20"/>
  <c r="AG376" i="20"/>
  <c r="AF376" i="20"/>
  <c r="AE376" i="20"/>
  <c r="AD376" i="20"/>
  <c r="AC376" i="20"/>
  <c r="AA376" i="20"/>
  <c r="Z376" i="20"/>
  <c r="Y376" i="20"/>
  <c r="X376" i="20"/>
  <c r="W376" i="20"/>
  <c r="AM375" i="20"/>
  <c r="AL375" i="20"/>
  <c r="AK375" i="20"/>
  <c r="AJ375" i="20"/>
  <c r="AI375" i="20"/>
  <c r="AG375" i="20"/>
  <c r="AF375" i="20"/>
  <c r="AE375" i="20"/>
  <c r="AD375" i="20"/>
  <c r="AC375" i="20"/>
  <c r="AA375" i="20"/>
  <c r="Z375" i="20"/>
  <c r="Y375" i="20"/>
  <c r="X375" i="20"/>
  <c r="W375" i="20"/>
  <c r="AM374" i="20"/>
  <c r="AL374" i="20"/>
  <c r="AK374" i="20"/>
  <c r="AJ374" i="20"/>
  <c r="AI374" i="20"/>
  <c r="AG374" i="20"/>
  <c r="AF374" i="20"/>
  <c r="AE374" i="20"/>
  <c r="AD374" i="20"/>
  <c r="AC374" i="20"/>
  <c r="AA374" i="20"/>
  <c r="Z374" i="20"/>
  <c r="Y374" i="20"/>
  <c r="X374" i="20"/>
  <c r="W374" i="20"/>
  <c r="AM373" i="20"/>
  <c r="AL373" i="20"/>
  <c r="AK373" i="20"/>
  <c r="AJ373" i="20"/>
  <c r="AI373" i="20"/>
  <c r="AG373" i="20"/>
  <c r="AF373" i="20"/>
  <c r="AE373" i="20"/>
  <c r="AD373" i="20"/>
  <c r="AC373" i="20"/>
  <c r="AA373" i="20"/>
  <c r="Z373" i="20"/>
  <c r="Y373" i="20"/>
  <c r="X373" i="20"/>
  <c r="W373" i="20"/>
  <c r="AM372" i="20"/>
  <c r="AL372" i="20"/>
  <c r="AK372" i="20"/>
  <c r="AJ372" i="20"/>
  <c r="AI372" i="20"/>
  <c r="AG372" i="20"/>
  <c r="AF372" i="20"/>
  <c r="AE372" i="20"/>
  <c r="AD372" i="20"/>
  <c r="AC372" i="20"/>
  <c r="AA372" i="20"/>
  <c r="Z372" i="20"/>
  <c r="Y372" i="20"/>
  <c r="X372" i="20"/>
  <c r="W372" i="20"/>
  <c r="AM371" i="20"/>
  <c r="AL371" i="20"/>
  <c r="AK371" i="20"/>
  <c r="AJ371" i="20"/>
  <c r="AI371" i="20"/>
  <c r="AG371" i="20"/>
  <c r="AF371" i="20"/>
  <c r="AE371" i="20"/>
  <c r="AD371" i="20"/>
  <c r="AC371" i="20"/>
  <c r="AA371" i="20"/>
  <c r="Z371" i="20"/>
  <c r="Y371" i="20"/>
  <c r="X371" i="20"/>
  <c r="W371" i="20"/>
  <c r="AM370" i="20"/>
  <c r="AL370" i="20"/>
  <c r="AK370" i="20"/>
  <c r="AJ370" i="20"/>
  <c r="AI370" i="20"/>
  <c r="AG370" i="20"/>
  <c r="AF370" i="20"/>
  <c r="AE370" i="20"/>
  <c r="AD370" i="20"/>
  <c r="AC370" i="20"/>
  <c r="AA370" i="20"/>
  <c r="Z370" i="20"/>
  <c r="Y370" i="20"/>
  <c r="X370" i="20"/>
  <c r="W370" i="20"/>
  <c r="AM369" i="20"/>
  <c r="AL369" i="20"/>
  <c r="AK369" i="20"/>
  <c r="AJ369" i="20"/>
  <c r="AI369" i="20"/>
  <c r="AG369" i="20"/>
  <c r="AF369" i="20"/>
  <c r="AE369" i="20"/>
  <c r="AD369" i="20"/>
  <c r="AC369" i="20"/>
  <c r="AA369" i="20"/>
  <c r="Z369" i="20"/>
  <c r="Y369" i="20"/>
  <c r="X369" i="20"/>
  <c r="W369" i="20"/>
  <c r="AM368" i="20"/>
  <c r="AL368" i="20"/>
  <c r="AK368" i="20"/>
  <c r="AJ368" i="20"/>
  <c r="AI368" i="20"/>
  <c r="AG368" i="20"/>
  <c r="AF368" i="20"/>
  <c r="AE368" i="20"/>
  <c r="AD368" i="20"/>
  <c r="AC368" i="20"/>
  <c r="AA368" i="20"/>
  <c r="Z368" i="20"/>
  <c r="Y368" i="20"/>
  <c r="X368" i="20"/>
  <c r="W368" i="20"/>
  <c r="AM367" i="20"/>
  <c r="AL367" i="20"/>
  <c r="AK367" i="20"/>
  <c r="AJ367" i="20"/>
  <c r="AI367" i="20"/>
  <c r="AG367" i="20"/>
  <c r="AF367" i="20"/>
  <c r="AE367" i="20"/>
  <c r="AD367" i="20"/>
  <c r="AC367" i="20"/>
  <c r="AA367" i="20"/>
  <c r="Z367" i="20"/>
  <c r="Y367" i="20"/>
  <c r="X367" i="20"/>
  <c r="W367" i="20"/>
  <c r="AM366" i="20"/>
  <c r="AL366" i="20"/>
  <c r="AK366" i="20"/>
  <c r="AJ366" i="20"/>
  <c r="AI366" i="20"/>
  <c r="AG366" i="20"/>
  <c r="AF366" i="20"/>
  <c r="AE366" i="20"/>
  <c r="AD366" i="20"/>
  <c r="AC366" i="20"/>
  <c r="AA366" i="20"/>
  <c r="Z366" i="20"/>
  <c r="Y366" i="20"/>
  <c r="X366" i="20"/>
  <c r="W366" i="20"/>
  <c r="AM365" i="20"/>
  <c r="AL365" i="20"/>
  <c r="AK365" i="20"/>
  <c r="AJ365" i="20"/>
  <c r="AI365" i="20"/>
  <c r="AG365" i="20"/>
  <c r="AF365" i="20"/>
  <c r="AE365" i="20"/>
  <c r="AD365" i="20"/>
  <c r="AC365" i="20"/>
  <c r="AA365" i="20"/>
  <c r="Z365" i="20"/>
  <c r="Y365" i="20"/>
  <c r="X365" i="20"/>
  <c r="W365" i="20"/>
  <c r="AM364" i="20"/>
  <c r="AL364" i="20"/>
  <c r="AK364" i="20"/>
  <c r="AJ364" i="20"/>
  <c r="AI364" i="20"/>
  <c r="AG364" i="20"/>
  <c r="AF364" i="20"/>
  <c r="AE364" i="20"/>
  <c r="AD364" i="20"/>
  <c r="AC364" i="20"/>
  <c r="AA364" i="20"/>
  <c r="Z364" i="20"/>
  <c r="Y364" i="20"/>
  <c r="X364" i="20"/>
  <c r="W364" i="20"/>
  <c r="AM363" i="20"/>
  <c r="AL363" i="20"/>
  <c r="AK363" i="20"/>
  <c r="AJ363" i="20"/>
  <c r="AI363" i="20"/>
  <c r="AG363" i="20"/>
  <c r="AF363" i="20"/>
  <c r="AE363" i="20"/>
  <c r="AD363" i="20"/>
  <c r="AC363" i="20"/>
  <c r="AA363" i="20"/>
  <c r="Z363" i="20"/>
  <c r="Y363" i="20"/>
  <c r="X363" i="20"/>
  <c r="W363" i="20"/>
  <c r="AM362" i="20"/>
  <c r="AL362" i="20"/>
  <c r="AK362" i="20"/>
  <c r="AJ362" i="20"/>
  <c r="AI362" i="20"/>
  <c r="AG362" i="20"/>
  <c r="AF362" i="20"/>
  <c r="AE362" i="20"/>
  <c r="AD362" i="20"/>
  <c r="AC362" i="20"/>
  <c r="AA362" i="20"/>
  <c r="Z362" i="20"/>
  <c r="Y362" i="20"/>
  <c r="X362" i="20"/>
  <c r="W362" i="20"/>
  <c r="AM361" i="20"/>
  <c r="AL361" i="20"/>
  <c r="AK361" i="20"/>
  <c r="AJ361" i="20"/>
  <c r="AI361" i="20"/>
  <c r="AG361" i="20"/>
  <c r="AF361" i="20"/>
  <c r="AE361" i="20"/>
  <c r="AD361" i="20"/>
  <c r="AC361" i="20"/>
  <c r="AA361" i="20"/>
  <c r="Z361" i="20"/>
  <c r="Y361" i="20"/>
  <c r="X361" i="20"/>
  <c r="W361" i="20"/>
  <c r="AM360" i="20"/>
  <c r="AL360" i="20"/>
  <c r="AK360" i="20"/>
  <c r="AJ360" i="20"/>
  <c r="AI360" i="20"/>
  <c r="AG360" i="20"/>
  <c r="AF360" i="20"/>
  <c r="AE360" i="20"/>
  <c r="AD360" i="20"/>
  <c r="AC360" i="20"/>
  <c r="AA360" i="20"/>
  <c r="Z360" i="20"/>
  <c r="Y360" i="20"/>
  <c r="X360" i="20"/>
  <c r="W360" i="20"/>
  <c r="AM359" i="20"/>
  <c r="AL359" i="20"/>
  <c r="AK359" i="20"/>
  <c r="AJ359" i="20"/>
  <c r="AI359" i="20"/>
  <c r="AG359" i="20"/>
  <c r="AF359" i="20"/>
  <c r="AE359" i="20"/>
  <c r="AD359" i="20"/>
  <c r="AC359" i="20"/>
  <c r="AA359" i="20"/>
  <c r="Z359" i="20"/>
  <c r="Y359" i="20"/>
  <c r="X359" i="20"/>
  <c r="W359" i="20"/>
  <c r="AM358" i="20"/>
  <c r="AL358" i="20"/>
  <c r="AK358" i="20"/>
  <c r="AJ358" i="20"/>
  <c r="AI358" i="20"/>
  <c r="AG358" i="20"/>
  <c r="AF358" i="20"/>
  <c r="AE358" i="20"/>
  <c r="AD358" i="20"/>
  <c r="AC358" i="20"/>
  <c r="AA358" i="20"/>
  <c r="Z358" i="20"/>
  <c r="Y358" i="20"/>
  <c r="X358" i="20"/>
  <c r="W358" i="20"/>
  <c r="AM357" i="20"/>
  <c r="AL357" i="20"/>
  <c r="AK357" i="20"/>
  <c r="AJ357" i="20"/>
  <c r="AI357" i="20"/>
  <c r="AG357" i="20"/>
  <c r="AF357" i="20"/>
  <c r="AE357" i="20"/>
  <c r="AD357" i="20"/>
  <c r="AC357" i="20"/>
  <c r="AA357" i="20"/>
  <c r="Z357" i="20"/>
  <c r="Y357" i="20"/>
  <c r="X357" i="20"/>
  <c r="W357" i="20"/>
  <c r="AM356" i="20"/>
  <c r="AL356" i="20"/>
  <c r="AK356" i="20"/>
  <c r="AJ356" i="20"/>
  <c r="AI356" i="20"/>
  <c r="AG356" i="20"/>
  <c r="AF356" i="20"/>
  <c r="AE356" i="20"/>
  <c r="AD356" i="20"/>
  <c r="AC356" i="20"/>
  <c r="AA356" i="20"/>
  <c r="Z356" i="20"/>
  <c r="Y356" i="20"/>
  <c r="X356" i="20"/>
  <c r="W356" i="20"/>
  <c r="AM355" i="20"/>
  <c r="AL355" i="20"/>
  <c r="AK355" i="20"/>
  <c r="AJ355" i="20"/>
  <c r="AI355" i="20"/>
  <c r="AG355" i="20"/>
  <c r="AF355" i="20"/>
  <c r="AE355" i="20"/>
  <c r="AD355" i="20"/>
  <c r="AC355" i="20"/>
  <c r="AA355" i="20"/>
  <c r="Z355" i="20"/>
  <c r="Y355" i="20"/>
  <c r="X355" i="20"/>
  <c r="W355" i="20"/>
  <c r="AM354" i="20"/>
  <c r="AL354" i="20"/>
  <c r="AK354" i="20"/>
  <c r="AJ354" i="20"/>
  <c r="AI354" i="20"/>
  <c r="AG354" i="20"/>
  <c r="AF354" i="20"/>
  <c r="AE354" i="20"/>
  <c r="AD354" i="20"/>
  <c r="AC354" i="20"/>
  <c r="AA354" i="20"/>
  <c r="Z354" i="20"/>
  <c r="Y354" i="20"/>
  <c r="X354" i="20"/>
  <c r="W354" i="20"/>
  <c r="AM353" i="20"/>
  <c r="AL353" i="20"/>
  <c r="AK353" i="20"/>
  <c r="AJ353" i="20"/>
  <c r="AI353" i="20"/>
  <c r="AG353" i="20"/>
  <c r="AF353" i="20"/>
  <c r="AE353" i="20"/>
  <c r="AD353" i="20"/>
  <c r="AC353" i="20"/>
  <c r="AA353" i="20"/>
  <c r="Z353" i="20"/>
  <c r="Y353" i="20"/>
  <c r="X353" i="20"/>
  <c r="W353" i="20"/>
  <c r="AM352" i="20"/>
  <c r="AL352" i="20"/>
  <c r="AK352" i="20"/>
  <c r="AJ352" i="20"/>
  <c r="AI352" i="20"/>
  <c r="AG352" i="20"/>
  <c r="AF352" i="20"/>
  <c r="AE352" i="20"/>
  <c r="AD352" i="20"/>
  <c r="AC352" i="20"/>
  <c r="AA352" i="20"/>
  <c r="Z352" i="20"/>
  <c r="Y352" i="20"/>
  <c r="X352" i="20"/>
  <c r="W352" i="20"/>
  <c r="AM351" i="20"/>
  <c r="AL351" i="20"/>
  <c r="AK351" i="20"/>
  <c r="AJ351" i="20"/>
  <c r="AI351" i="20"/>
  <c r="AG351" i="20"/>
  <c r="AF351" i="20"/>
  <c r="AE351" i="20"/>
  <c r="AD351" i="20"/>
  <c r="AC351" i="20"/>
  <c r="AA351" i="20"/>
  <c r="Z351" i="20"/>
  <c r="Y351" i="20"/>
  <c r="X351" i="20"/>
  <c r="W351" i="20"/>
  <c r="AM350" i="20"/>
  <c r="AL350" i="20"/>
  <c r="AK350" i="20"/>
  <c r="AJ350" i="20"/>
  <c r="AI350" i="20"/>
  <c r="AG350" i="20"/>
  <c r="AF350" i="20"/>
  <c r="AE350" i="20"/>
  <c r="AD350" i="20"/>
  <c r="AC350" i="20"/>
  <c r="AA350" i="20"/>
  <c r="Z350" i="20"/>
  <c r="Y350" i="20"/>
  <c r="X350" i="20"/>
  <c r="W350" i="20"/>
  <c r="AM349" i="20"/>
  <c r="AL349" i="20"/>
  <c r="AK349" i="20"/>
  <c r="AJ349" i="20"/>
  <c r="AI349" i="20"/>
  <c r="AG349" i="20"/>
  <c r="AF349" i="20"/>
  <c r="AE349" i="20"/>
  <c r="AD349" i="20"/>
  <c r="AC349" i="20"/>
  <c r="AA349" i="20"/>
  <c r="Z349" i="20"/>
  <c r="Y349" i="20"/>
  <c r="X349" i="20"/>
  <c r="W349" i="20"/>
  <c r="AM348" i="20"/>
  <c r="AL348" i="20"/>
  <c r="AK348" i="20"/>
  <c r="AJ348" i="20"/>
  <c r="AI348" i="20"/>
  <c r="AG348" i="20"/>
  <c r="AF348" i="20"/>
  <c r="AE348" i="20"/>
  <c r="AD348" i="20"/>
  <c r="AC348" i="20"/>
  <c r="AA348" i="20"/>
  <c r="Z348" i="20"/>
  <c r="Y348" i="20"/>
  <c r="X348" i="20"/>
  <c r="W348" i="20"/>
  <c r="AM347" i="20"/>
  <c r="AL347" i="20"/>
  <c r="AK347" i="20"/>
  <c r="AJ347" i="20"/>
  <c r="AI347" i="20"/>
  <c r="AG347" i="20"/>
  <c r="AF347" i="20"/>
  <c r="AE347" i="20"/>
  <c r="AD347" i="20"/>
  <c r="AC347" i="20"/>
  <c r="AA347" i="20"/>
  <c r="Z347" i="20"/>
  <c r="Y347" i="20"/>
  <c r="X347" i="20"/>
  <c r="W347" i="20"/>
  <c r="AM346" i="20"/>
  <c r="AL346" i="20"/>
  <c r="AK346" i="20"/>
  <c r="AJ346" i="20"/>
  <c r="AI346" i="20"/>
  <c r="AG346" i="20"/>
  <c r="AF346" i="20"/>
  <c r="AE346" i="20"/>
  <c r="AD346" i="20"/>
  <c r="AC346" i="20"/>
  <c r="AA346" i="20"/>
  <c r="Z346" i="20"/>
  <c r="Y346" i="20"/>
  <c r="X346" i="20"/>
  <c r="W346" i="20"/>
  <c r="AM345" i="20"/>
  <c r="AL345" i="20"/>
  <c r="AK345" i="20"/>
  <c r="AJ345" i="20"/>
  <c r="AI345" i="20"/>
  <c r="AG345" i="20"/>
  <c r="AF345" i="20"/>
  <c r="AE345" i="20"/>
  <c r="AD345" i="20"/>
  <c r="AC345" i="20"/>
  <c r="AA345" i="20"/>
  <c r="Z345" i="20"/>
  <c r="Y345" i="20"/>
  <c r="X345" i="20"/>
  <c r="W345" i="20"/>
  <c r="AM344" i="20"/>
  <c r="AL344" i="20"/>
  <c r="AK344" i="20"/>
  <c r="AJ344" i="20"/>
  <c r="AI344" i="20"/>
  <c r="AG344" i="20"/>
  <c r="AF344" i="20"/>
  <c r="AE344" i="20"/>
  <c r="AD344" i="20"/>
  <c r="AC344" i="20"/>
  <c r="AA344" i="20"/>
  <c r="Z344" i="20"/>
  <c r="Y344" i="20"/>
  <c r="X344" i="20"/>
  <c r="W344" i="20"/>
  <c r="AM343" i="20"/>
  <c r="AL343" i="20"/>
  <c r="AK343" i="20"/>
  <c r="AJ343" i="20"/>
  <c r="AI343" i="20"/>
  <c r="AG343" i="20"/>
  <c r="AF343" i="20"/>
  <c r="AE343" i="20"/>
  <c r="AD343" i="20"/>
  <c r="AC343" i="20"/>
  <c r="AA343" i="20"/>
  <c r="Z343" i="20"/>
  <c r="Y343" i="20"/>
  <c r="X343" i="20"/>
  <c r="W343" i="20"/>
  <c r="AM342" i="20"/>
  <c r="AL342" i="20"/>
  <c r="AK342" i="20"/>
  <c r="AJ342" i="20"/>
  <c r="AI342" i="20"/>
  <c r="AG342" i="20"/>
  <c r="AF342" i="20"/>
  <c r="AE342" i="20"/>
  <c r="AD342" i="20"/>
  <c r="AC342" i="20"/>
  <c r="AA342" i="20"/>
  <c r="Z342" i="20"/>
  <c r="Y342" i="20"/>
  <c r="X342" i="20"/>
  <c r="W342" i="20"/>
  <c r="AM341" i="20"/>
  <c r="AL341" i="20"/>
  <c r="AK341" i="20"/>
  <c r="AJ341" i="20"/>
  <c r="AI341" i="20"/>
  <c r="AG341" i="20"/>
  <c r="AF341" i="20"/>
  <c r="AE341" i="20"/>
  <c r="AD341" i="20"/>
  <c r="AC341" i="20"/>
  <c r="AA341" i="20"/>
  <c r="Z341" i="20"/>
  <c r="Y341" i="20"/>
  <c r="X341" i="20"/>
  <c r="W341" i="20"/>
  <c r="AM340" i="20"/>
  <c r="AL340" i="20"/>
  <c r="AK340" i="20"/>
  <c r="AJ340" i="20"/>
  <c r="AI340" i="20"/>
  <c r="AG340" i="20"/>
  <c r="AF340" i="20"/>
  <c r="AE340" i="20"/>
  <c r="AD340" i="20"/>
  <c r="AC340" i="20"/>
  <c r="AA340" i="20"/>
  <c r="Z340" i="20"/>
  <c r="Y340" i="20"/>
  <c r="X340" i="20"/>
  <c r="W340" i="20"/>
  <c r="AM339" i="20"/>
  <c r="AL339" i="20"/>
  <c r="AK339" i="20"/>
  <c r="AJ339" i="20"/>
  <c r="AI339" i="20"/>
  <c r="AG339" i="20"/>
  <c r="AF339" i="20"/>
  <c r="AE339" i="20"/>
  <c r="AD339" i="20"/>
  <c r="AC339" i="20"/>
  <c r="AA339" i="20"/>
  <c r="Z339" i="20"/>
  <c r="Y339" i="20"/>
  <c r="X339" i="20"/>
  <c r="W339" i="20"/>
  <c r="AM338" i="20"/>
  <c r="AL338" i="20"/>
  <c r="AK338" i="20"/>
  <c r="AJ338" i="20"/>
  <c r="AI338" i="20"/>
  <c r="AG338" i="20"/>
  <c r="AF338" i="20"/>
  <c r="AE338" i="20"/>
  <c r="AD338" i="20"/>
  <c r="AC338" i="20"/>
  <c r="AA338" i="20"/>
  <c r="Z338" i="20"/>
  <c r="Y338" i="20"/>
  <c r="X338" i="20"/>
  <c r="W338" i="20"/>
  <c r="AM337" i="20"/>
  <c r="AL337" i="20"/>
  <c r="AK337" i="20"/>
  <c r="AJ337" i="20"/>
  <c r="AI337" i="20"/>
  <c r="AG337" i="20"/>
  <c r="AF337" i="20"/>
  <c r="AE337" i="20"/>
  <c r="AD337" i="20"/>
  <c r="AC337" i="20"/>
  <c r="AA337" i="20"/>
  <c r="Z337" i="20"/>
  <c r="Y337" i="20"/>
  <c r="X337" i="20"/>
  <c r="W337" i="20"/>
  <c r="AM336" i="20"/>
  <c r="AL336" i="20"/>
  <c r="AK336" i="20"/>
  <c r="AJ336" i="20"/>
  <c r="AI336" i="20"/>
  <c r="AG336" i="20"/>
  <c r="AF336" i="20"/>
  <c r="AE336" i="20"/>
  <c r="AD336" i="20"/>
  <c r="AC336" i="20"/>
  <c r="AA336" i="20"/>
  <c r="Z336" i="20"/>
  <c r="Y336" i="20"/>
  <c r="X336" i="20"/>
  <c r="W336" i="20"/>
  <c r="AM335" i="20"/>
  <c r="AL335" i="20"/>
  <c r="AK335" i="20"/>
  <c r="AJ335" i="20"/>
  <c r="AI335" i="20"/>
  <c r="AG335" i="20"/>
  <c r="AF335" i="20"/>
  <c r="AE335" i="20"/>
  <c r="AD335" i="20"/>
  <c r="AC335" i="20"/>
  <c r="AA335" i="20"/>
  <c r="Z335" i="20"/>
  <c r="Y335" i="20"/>
  <c r="X335" i="20"/>
  <c r="W335" i="20"/>
  <c r="AM334" i="20"/>
  <c r="AL334" i="20"/>
  <c r="AK334" i="20"/>
  <c r="AJ334" i="20"/>
  <c r="AI334" i="20"/>
  <c r="AG334" i="20"/>
  <c r="AF334" i="20"/>
  <c r="AE334" i="20"/>
  <c r="AD334" i="20"/>
  <c r="AC334" i="20"/>
  <c r="AA334" i="20"/>
  <c r="Z334" i="20"/>
  <c r="Y334" i="20"/>
  <c r="X334" i="20"/>
  <c r="W334" i="20"/>
  <c r="AM333" i="20"/>
  <c r="AL333" i="20"/>
  <c r="AK333" i="20"/>
  <c r="AJ333" i="20"/>
  <c r="AI333" i="20"/>
  <c r="AG333" i="20"/>
  <c r="AF333" i="20"/>
  <c r="AE333" i="20"/>
  <c r="AD333" i="20"/>
  <c r="AC333" i="20"/>
  <c r="AA333" i="20"/>
  <c r="Z333" i="20"/>
  <c r="Y333" i="20"/>
  <c r="X333" i="20"/>
  <c r="W333" i="20"/>
  <c r="AM332" i="20"/>
  <c r="AL332" i="20"/>
  <c r="AK332" i="20"/>
  <c r="AJ332" i="20"/>
  <c r="AI332" i="20"/>
  <c r="AG332" i="20"/>
  <c r="AF332" i="20"/>
  <c r="AE332" i="20"/>
  <c r="AD332" i="20"/>
  <c r="AC332" i="20"/>
  <c r="AA332" i="20"/>
  <c r="Z332" i="20"/>
  <c r="Y332" i="20"/>
  <c r="X332" i="20"/>
  <c r="W332" i="20"/>
  <c r="AM331" i="20"/>
  <c r="AL331" i="20"/>
  <c r="AK331" i="20"/>
  <c r="AJ331" i="20"/>
  <c r="AI331" i="20"/>
  <c r="AG331" i="20"/>
  <c r="AF331" i="20"/>
  <c r="AE331" i="20"/>
  <c r="AD331" i="20"/>
  <c r="AC331" i="20"/>
  <c r="AA331" i="20"/>
  <c r="Z331" i="20"/>
  <c r="Y331" i="20"/>
  <c r="X331" i="20"/>
  <c r="W331" i="20"/>
  <c r="AM330" i="20"/>
  <c r="AL330" i="20"/>
  <c r="AK330" i="20"/>
  <c r="AJ330" i="20"/>
  <c r="AI330" i="20"/>
  <c r="AG330" i="20"/>
  <c r="AF330" i="20"/>
  <c r="AE330" i="20"/>
  <c r="AD330" i="20"/>
  <c r="AC330" i="20"/>
  <c r="AA330" i="20"/>
  <c r="Z330" i="20"/>
  <c r="Y330" i="20"/>
  <c r="X330" i="20"/>
  <c r="W330" i="20"/>
  <c r="AM329" i="20"/>
  <c r="AL329" i="20"/>
  <c r="AK329" i="20"/>
  <c r="AJ329" i="20"/>
  <c r="AI329" i="20"/>
  <c r="AG329" i="20"/>
  <c r="AF329" i="20"/>
  <c r="AE329" i="20"/>
  <c r="AD329" i="20"/>
  <c r="AC329" i="20"/>
  <c r="AA329" i="20"/>
  <c r="Z329" i="20"/>
  <c r="Y329" i="20"/>
  <c r="X329" i="20"/>
  <c r="W329" i="20"/>
  <c r="AM328" i="20"/>
  <c r="AL328" i="20"/>
  <c r="AK328" i="20"/>
  <c r="AJ328" i="20"/>
  <c r="AI328" i="20"/>
  <c r="AG328" i="20"/>
  <c r="AF328" i="20"/>
  <c r="AE328" i="20"/>
  <c r="AD328" i="20"/>
  <c r="AC328" i="20"/>
  <c r="AA328" i="20"/>
  <c r="Z328" i="20"/>
  <c r="Y328" i="20"/>
  <c r="X328" i="20"/>
  <c r="W328" i="20"/>
  <c r="AM327" i="20"/>
  <c r="AL327" i="20"/>
  <c r="AK327" i="20"/>
  <c r="AJ327" i="20"/>
  <c r="AI327" i="20"/>
  <c r="AG327" i="20"/>
  <c r="AF327" i="20"/>
  <c r="AE327" i="20"/>
  <c r="AD327" i="20"/>
  <c r="AC327" i="20"/>
  <c r="AA327" i="20"/>
  <c r="Z327" i="20"/>
  <c r="Y327" i="20"/>
  <c r="X327" i="20"/>
  <c r="W327" i="20"/>
  <c r="AM326" i="20"/>
  <c r="AL326" i="20"/>
  <c r="AK326" i="20"/>
  <c r="AJ326" i="20"/>
  <c r="AI326" i="20"/>
  <c r="AG326" i="20"/>
  <c r="AF326" i="20"/>
  <c r="AE326" i="20"/>
  <c r="AD326" i="20"/>
  <c r="AC326" i="20"/>
  <c r="AA326" i="20"/>
  <c r="Z326" i="20"/>
  <c r="Y326" i="20"/>
  <c r="X326" i="20"/>
  <c r="W326" i="20"/>
  <c r="AM325" i="20"/>
  <c r="AL325" i="20"/>
  <c r="AK325" i="20"/>
  <c r="AJ325" i="20"/>
  <c r="AI325" i="20"/>
  <c r="AG325" i="20"/>
  <c r="AF325" i="20"/>
  <c r="AE325" i="20"/>
  <c r="AD325" i="20"/>
  <c r="AC325" i="20"/>
  <c r="AA325" i="20"/>
  <c r="Z325" i="20"/>
  <c r="Y325" i="20"/>
  <c r="X325" i="20"/>
  <c r="W325" i="20"/>
  <c r="AM324" i="20"/>
  <c r="AL324" i="20"/>
  <c r="AK324" i="20"/>
  <c r="AJ324" i="20"/>
  <c r="AI324" i="20"/>
  <c r="AG324" i="20"/>
  <c r="AF324" i="20"/>
  <c r="AE324" i="20"/>
  <c r="AD324" i="20"/>
  <c r="AC324" i="20"/>
  <c r="AA324" i="20"/>
  <c r="Z324" i="20"/>
  <c r="Y324" i="20"/>
  <c r="X324" i="20"/>
  <c r="W324" i="20"/>
  <c r="AM323" i="20"/>
  <c r="AL323" i="20"/>
  <c r="AK323" i="20"/>
  <c r="AJ323" i="20"/>
  <c r="AI323" i="20"/>
  <c r="AG323" i="20"/>
  <c r="AF323" i="20"/>
  <c r="AE323" i="20"/>
  <c r="AD323" i="20"/>
  <c r="AC323" i="20"/>
  <c r="AA323" i="20"/>
  <c r="Z323" i="20"/>
  <c r="Y323" i="20"/>
  <c r="X323" i="20"/>
  <c r="W323" i="20"/>
  <c r="AM322" i="20"/>
  <c r="AL322" i="20"/>
  <c r="AK322" i="20"/>
  <c r="AJ322" i="20"/>
  <c r="AI322" i="20"/>
  <c r="AG322" i="20"/>
  <c r="AF322" i="20"/>
  <c r="AE322" i="20"/>
  <c r="AD322" i="20"/>
  <c r="AC322" i="20"/>
  <c r="AA322" i="20"/>
  <c r="Z322" i="20"/>
  <c r="Y322" i="20"/>
  <c r="X322" i="20"/>
  <c r="W322" i="20"/>
  <c r="AM321" i="20"/>
  <c r="AL321" i="20"/>
  <c r="AK321" i="20"/>
  <c r="AJ321" i="20"/>
  <c r="AI321" i="20"/>
  <c r="AG321" i="20"/>
  <c r="AF321" i="20"/>
  <c r="AE321" i="20"/>
  <c r="AD321" i="20"/>
  <c r="AC321" i="20"/>
  <c r="AA321" i="20"/>
  <c r="Z321" i="20"/>
  <c r="Y321" i="20"/>
  <c r="X321" i="20"/>
  <c r="W321" i="20"/>
  <c r="AM320" i="20"/>
  <c r="AL320" i="20"/>
  <c r="AK320" i="20"/>
  <c r="AJ320" i="20"/>
  <c r="AI320" i="20"/>
  <c r="AG320" i="20"/>
  <c r="AF320" i="20"/>
  <c r="AE320" i="20"/>
  <c r="AD320" i="20"/>
  <c r="AC320" i="20"/>
  <c r="AA320" i="20"/>
  <c r="Z320" i="20"/>
  <c r="Y320" i="20"/>
  <c r="X320" i="20"/>
  <c r="W320" i="20"/>
  <c r="AM319" i="20"/>
  <c r="AL319" i="20"/>
  <c r="AK319" i="20"/>
  <c r="AJ319" i="20"/>
  <c r="AI319" i="20"/>
  <c r="AG319" i="20"/>
  <c r="AF319" i="20"/>
  <c r="AE319" i="20"/>
  <c r="AD319" i="20"/>
  <c r="AC319" i="20"/>
  <c r="AA319" i="20"/>
  <c r="Z319" i="20"/>
  <c r="Y319" i="20"/>
  <c r="X319" i="20"/>
  <c r="W319" i="20"/>
  <c r="AM318" i="20"/>
  <c r="AL318" i="20"/>
  <c r="AK318" i="20"/>
  <c r="AJ318" i="20"/>
  <c r="AI318" i="20"/>
  <c r="AG318" i="20"/>
  <c r="AF318" i="20"/>
  <c r="AE318" i="20"/>
  <c r="AD318" i="20"/>
  <c r="AC318" i="20"/>
  <c r="AA318" i="20"/>
  <c r="Z318" i="20"/>
  <c r="Y318" i="20"/>
  <c r="X318" i="20"/>
  <c r="W318" i="20"/>
  <c r="AM317" i="20"/>
  <c r="AL317" i="20"/>
  <c r="AK317" i="20"/>
  <c r="AJ317" i="20"/>
  <c r="AI317" i="20"/>
  <c r="AG317" i="20"/>
  <c r="AF317" i="20"/>
  <c r="AE317" i="20"/>
  <c r="AD317" i="20"/>
  <c r="AC317" i="20"/>
  <c r="AA317" i="20"/>
  <c r="Z317" i="20"/>
  <c r="Y317" i="20"/>
  <c r="X317" i="20"/>
  <c r="W317" i="20"/>
  <c r="AM316" i="20"/>
  <c r="AL316" i="20"/>
  <c r="AK316" i="20"/>
  <c r="AJ316" i="20"/>
  <c r="AI316" i="20"/>
  <c r="AG316" i="20"/>
  <c r="AF316" i="20"/>
  <c r="AE316" i="20"/>
  <c r="AD316" i="20"/>
  <c r="AC316" i="20"/>
  <c r="AA316" i="20"/>
  <c r="Z316" i="20"/>
  <c r="Y316" i="20"/>
  <c r="X316" i="20"/>
  <c r="W316" i="20"/>
  <c r="AM315" i="20"/>
  <c r="AL315" i="20"/>
  <c r="AK315" i="20"/>
  <c r="AJ315" i="20"/>
  <c r="AI315" i="20"/>
  <c r="AG315" i="20"/>
  <c r="AF315" i="20"/>
  <c r="AE315" i="20"/>
  <c r="AD315" i="20"/>
  <c r="AC315" i="20"/>
  <c r="AA315" i="20"/>
  <c r="Z315" i="20"/>
  <c r="Y315" i="20"/>
  <c r="X315" i="20"/>
  <c r="W315" i="20"/>
  <c r="AM314" i="20"/>
  <c r="AL314" i="20"/>
  <c r="AK314" i="20"/>
  <c r="AJ314" i="20"/>
  <c r="AI314" i="20"/>
  <c r="AG314" i="20"/>
  <c r="AF314" i="20"/>
  <c r="AE314" i="20"/>
  <c r="AD314" i="20"/>
  <c r="AC314" i="20"/>
  <c r="AA314" i="20"/>
  <c r="Z314" i="20"/>
  <c r="Y314" i="20"/>
  <c r="X314" i="20"/>
  <c r="W314" i="20"/>
  <c r="AM313" i="20"/>
  <c r="AL313" i="20"/>
  <c r="AK313" i="20"/>
  <c r="AJ313" i="20"/>
  <c r="AI313" i="20"/>
  <c r="AG313" i="20"/>
  <c r="AF313" i="20"/>
  <c r="AE313" i="20"/>
  <c r="AD313" i="20"/>
  <c r="AC313" i="20"/>
  <c r="AA313" i="20"/>
  <c r="Z313" i="20"/>
  <c r="Y313" i="20"/>
  <c r="X313" i="20"/>
  <c r="W313" i="20"/>
  <c r="AM312" i="20"/>
  <c r="AL312" i="20"/>
  <c r="AK312" i="20"/>
  <c r="AJ312" i="20"/>
  <c r="AI312" i="20"/>
  <c r="AG312" i="20"/>
  <c r="AF312" i="20"/>
  <c r="AE312" i="20"/>
  <c r="AD312" i="20"/>
  <c r="AC312" i="20"/>
  <c r="AA312" i="20"/>
  <c r="Z312" i="20"/>
  <c r="Y312" i="20"/>
  <c r="X312" i="20"/>
  <c r="W312" i="20"/>
  <c r="AM311" i="20"/>
  <c r="AL311" i="20"/>
  <c r="AK311" i="20"/>
  <c r="AJ311" i="20"/>
  <c r="AI311" i="20"/>
  <c r="AG311" i="20"/>
  <c r="AF311" i="20"/>
  <c r="AE311" i="20"/>
  <c r="AD311" i="20"/>
  <c r="AC311" i="20"/>
  <c r="AA311" i="20"/>
  <c r="Z311" i="20"/>
  <c r="Y311" i="20"/>
  <c r="X311" i="20"/>
  <c r="W311" i="20"/>
  <c r="AM310" i="20"/>
  <c r="AL310" i="20"/>
  <c r="AK310" i="20"/>
  <c r="AJ310" i="20"/>
  <c r="AI310" i="20"/>
  <c r="AG310" i="20"/>
  <c r="AF310" i="20"/>
  <c r="AE310" i="20"/>
  <c r="AD310" i="20"/>
  <c r="AC310" i="20"/>
  <c r="AA310" i="20"/>
  <c r="Z310" i="20"/>
  <c r="Y310" i="20"/>
  <c r="X310" i="20"/>
  <c r="W310" i="20"/>
  <c r="AM309" i="20"/>
  <c r="AL309" i="20"/>
  <c r="AK309" i="20"/>
  <c r="AJ309" i="20"/>
  <c r="AI309" i="20"/>
  <c r="AG309" i="20"/>
  <c r="AF309" i="20"/>
  <c r="AE309" i="20"/>
  <c r="AD309" i="20"/>
  <c r="AC309" i="20"/>
  <c r="AA309" i="20"/>
  <c r="Z309" i="20"/>
  <c r="Y309" i="20"/>
  <c r="X309" i="20"/>
  <c r="W309" i="20"/>
  <c r="AM308" i="20"/>
  <c r="AL308" i="20"/>
  <c r="AK308" i="20"/>
  <c r="AJ308" i="20"/>
  <c r="AI308" i="20"/>
  <c r="AG308" i="20"/>
  <c r="AF308" i="20"/>
  <c r="AE308" i="20"/>
  <c r="AD308" i="20"/>
  <c r="AC308" i="20"/>
  <c r="AA308" i="20"/>
  <c r="Z308" i="20"/>
  <c r="Y308" i="20"/>
  <c r="X308" i="20"/>
  <c r="W308" i="20"/>
  <c r="AM307" i="20"/>
  <c r="AL307" i="20"/>
  <c r="AK307" i="20"/>
  <c r="AJ307" i="20"/>
  <c r="AI307" i="20"/>
  <c r="AG307" i="20"/>
  <c r="AF307" i="20"/>
  <c r="AE307" i="20"/>
  <c r="AD307" i="20"/>
  <c r="AC307" i="20"/>
  <c r="AA307" i="20"/>
  <c r="Z307" i="20"/>
  <c r="Y307" i="20"/>
  <c r="X307" i="20"/>
  <c r="W307" i="20"/>
  <c r="AM306" i="20"/>
  <c r="AL306" i="20"/>
  <c r="AK306" i="20"/>
  <c r="AJ306" i="20"/>
  <c r="AI306" i="20"/>
  <c r="AG306" i="20"/>
  <c r="AF306" i="20"/>
  <c r="AE306" i="20"/>
  <c r="AD306" i="20"/>
  <c r="AC306" i="20"/>
  <c r="AA306" i="20"/>
  <c r="Z306" i="20"/>
  <c r="Y306" i="20"/>
  <c r="X306" i="20"/>
  <c r="W306" i="20"/>
  <c r="AM305" i="20"/>
  <c r="AL305" i="20"/>
  <c r="AK305" i="20"/>
  <c r="AJ305" i="20"/>
  <c r="AI305" i="20"/>
  <c r="AG305" i="20"/>
  <c r="AF305" i="20"/>
  <c r="AE305" i="20"/>
  <c r="AD305" i="20"/>
  <c r="AC305" i="20"/>
  <c r="AA305" i="20"/>
  <c r="Z305" i="20"/>
  <c r="Y305" i="20"/>
  <c r="X305" i="20"/>
  <c r="W305" i="20"/>
  <c r="AM304" i="20"/>
  <c r="AL304" i="20"/>
  <c r="AK304" i="20"/>
  <c r="AJ304" i="20"/>
  <c r="AI304" i="20"/>
  <c r="AG304" i="20"/>
  <c r="AF304" i="20"/>
  <c r="AE304" i="20"/>
  <c r="AD304" i="20"/>
  <c r="AC304" i="20"/>
  <c r="AA304" i="20"/>
  <c r="Z304" i="20"/>
  <c r="Y304" i="20"/>
  <c r="X304" i="20"/>
  <c r="W304" i="20"/>
  <c r="AM303" i="20"/>
  <c r="AL303" i="20"/>
  <c r="AK303" i="20"/>
  <c r="AJ303" i="20"/>
  <c r="AI303" i="20"/>
  <c r="AG303" i="20"/>
  <c r="AF303" i="20"/>
  <c r="AE303" i="20"/>
  <c r="AD303" i="20"/>
  <c r="AC303" i="20"/>
  <c r="AA303" i="20"/>
  <c r="Z303" i="20"/>
  <c r="Y303" i="20"/>
  <c r="X303" i="20"/>
  <c r="W303" i="20"/>
  <c r="AM302" i="20"/>
  <c r="AL302" i="20"/>
  <c r="AK302" i="20"/>
  <c r="AJ302" i="20"/>
  <c r="AI302" i="20"/>
  <c r="AG302" i="20"/>
  <c r="AF302" i="20"/>
  <c r="AE302" i="20"/>
  <c r="AD302" i="20"/>
  <c r="AC302" i="20"/>
  <c r="AA302" i="20"/>
  <c r="Z302" i="20"/>
  <c r="Y302" i="20"/>
  <c r="X302" i="20"/>
  <c r="W302" i="20"/>
  <c r="AM301" i="20"/>
  <c r="AL301" i="20"/>
  <c r="AK301" i="20"/>
  <c r="AJ301" i="20"/>
  <c r="AI301" i="20"/>
  <c r="AG301" i="20"/>
  <c r="AF301" i="20"/>
  <c r="AE301" i="20"/>
  <c r="AD301" i="20"/>
  <c r="AC301" i="20"/>
  <c r="AA301" i="20"/>
  <c r="Z301" i="20"/>
  <c r="Y301" i="20"/>
  <c r="X301" i="20"/>
  <c r="W301" i="20"/>
  <c r="AM300" i="20"/>
  <c r="AL300" i="20"/>
  <c r="AK300" i="20"/>
  <c r="AJ300" i="20"/>
  <c r="AI300" i="20"/>
  <c r="AG300" i="20"/>
  <c r="AF300" i="20"/>
  <c r="AE300" i="20"/>
  <c r="AD300" i="20"/>
  <c r="AC300" i="20"/>
  <c r="AA300" i="20"/>
  <c r="Z300" i="20"/>
  <c r="Y300" i="20"/>
  <c r="X300" i="20"/>
  <c r="W300" i="20"/>
  <c r="AM299" i="20"/>
  <c r="AL299" i="20"/>
  <c r="AK299" i="20"/>
  <c r="AJ299" i="20"/>
  <c r="AI299" i="20"/>
  <c r="AG299" i="20"/>
  <c r="AF299" i="20"/>
  <c r="AE299" i="20"/>
  <c r="AD299" i="20"/>
  <c r="AC299" i="20"/>
  <c r="AA299" i="20"/>
  <c r="Z299" i="20"/>
  <c r="Y299" i="20"/>
  <c r="X299" i="20"/>
  <c r="W299" i="20"/>
  <c r="AM298" i="20"/>
  <c r="AL298" i="20"/>
  <c r="AK298" i="20"/>
  <c r="AJ298" i="20"/>
  <c r="AI298" i="20"/>
  <c r="AG298" i="20"/>
  <c r="AF298" i="20"/>
  <c r="AE298" i="20"/>
  <c r="AD298" i="20"/>
  <c r="AC298" i="20"/>
  <c r="AA298" i="20"/>
  <c r="Z298" i="20"/>
  <c r="Y298" i="20"/>
  <c r="X298" i="20"/>
  <c r="W298" i="20"/>
  <c r="AM297" i="20"/>
  <c r="AL297" i="20"/>
  <c r="AK297" i="20"/>
  <c r="AJ297" i="20"/>
  <c r="AI297" i="20"/>
  <c r="AG297" i="20"/>
  <c r="AF297" i="20"/>
  <c r="AE297" i="20"/>
  <c r="AD297" i="20"/>
  <c r="AC297" i="20"/>
  <c r="AA297" i="20"/>
  <c r="Z297" i="20"/>
  <c r="Y297" i="20"/>
  <c r="X297" i="20"/>
  <c r="W297" i="20"/>
  <c r="AM296" i="20"/>
  <c r="AL296" i="20"/>
  <c r="AK296" i="20"/>
  <c r="AJ296" i="20"/>
  <c r="AI296" i="20"/>
  <c r="AG296" i="20"/>
  <c r="AF296" i="20"/>
  <c r="AE296" i="20"/>
  <c r="AD296" i="20"/>
  <c r="AC296" i="20"/>
  <c r="AA296" i="20"/>
  <c r="Z296" i="20"/>
  <c r="Y296" i="20"/>
  <c r="X296" i="20"/>
  <c r="W296" i="20"/>
  <c r="AM295" i="20"/>
  <c r="AL295" i="20"/>
  <c r="AK295" i="20"/>
  <c r="AJ295" i="20"/>
  <c r="AI295" i="20"/>
  <c r="AG295" i="20"/>
  <c r="AF295" i="20"/>
  <c r="AE295" i="20"/>
  <c r="AD295" i="20"/>
  <c r="AC295" i="20"/>
  <c r="AA295" i="20"/>
  <c r="Z295" i="20"/>
  <c r="Y295" i="20"/>
  <c r="X295" i="20"/>
  <c r="W295" i="20"/>
  <c r="AM294" i="20"/>
  <c r="AL294" i="20"/>
  <c r="AK294" i="20"/>
  <c r="AJ294" i="20"/>
  <c r="AI294" i="20"/>
  <c r="AG294" i="20"/>
  <c r="AF294" i="20"/>
  <c r="AE294" i="20"/>
  <c r="AD294" i="20"/>
  <c r="AC294" i="20"/>
  <c r="AA294" i="20"/>
  <c r="Z294" i="20"/>
  <c r="Y294" i="20"/>
  <c r="X294" i="20"/>
  <c r="W294" i="20"/>
  <c r="AM293" i="20"/>
  <c r="AL293" i="20"/>
  <c r="AK293" i="20"/>
  <c r="AJ293" i="20"/>
  <c r="AI293" i="20"/>
  <c r="AG293" i="20"/>
  <c r="AF293" i="20"/>
  <c r="AE293" i="20"/>
  <c r="AD293" i="20"/>
  <c r="AC293" i="20"/>
  <c r="AA293" i="20"/>
  <c r="Z293" i="20"/>
  <c r="Y293" i="20"/>
  <c r="X293" i="20"/>
  <c r="W293" i="20"/>
  <c r="AM292" i="20"/>
  <c r="AL292" i="20"/>
  <c r="AK292" i="20"/>
  <c r="AJ292" i="20"/>
  <c r="AI292" i="20"/>
  <c r="AG292" i="20"/>
  <c r="AF292" i="20"/>
  <c r="AE292" i="20"/>
  <c r="AD292" i="20"/>
  <c r="AC292" i="20"/>
  <c r="AA292" i="20"/>
  <c r="Z292" i="20"/>
  <c r="Y292" i="20"/>
  <c r="X292" i="20"/>
  <c r="W292" i="20"/>
  <c r="AM291" i="20"/>
  <c r="AL291" i="20"/>
  <c r="AK291" i="20"/>
  <c r="AJ291" i="20"/>
  <c r="AI291" i="20"/>
  <c r="AG291" i="20"/>
  <c r="AF291" i="20"/>
  <c r="AE291" i="20"/>
  <c r="AD291" i="20"/>
  <c r="AC291" i="20"/>
  <c r="AA291" i="20"/>
  <c r="Z291" i="20"/>
  <c r="Y291" i="20"/>
  <c r="X291" i="20"/>
  <c r="W291" i="20"/>
  <c r="AM290" i="20"/>
  <c r="AL290" i="20"/>
  <c r="AK290" i="20"/>
  <c r="AJ290" i="20"/>
  <c r="AI290" i="20"/>
  <c r="AG290" i="20"/>
  <c r="AF290" i="20"/>
  <c r="AE290" i="20"/>
  <c r="AD290" i="20"/>
  <c r="AC290" i="20"/>
  <c r="AA290" i="20"/>
  <c r="Z290" i="20"/>
  <c r="Y290" i="20"/>
  <c r="X290" i="20"/>
  <c r="W290" i="20"/>
  <c r="AM289" i="20"/>
  <c r="AL289" i="20"/>
  <c r="AK289" i="20"/>
  <c r="AJ289" i="20"/>
  <c r="AI289" i="20"/>
  <c r="AG289" i="20"/>
  <c r="AF289" i="20"/>
  <c r="AE289" i="20"/>
  <c r="AD289" i="20"/>
  <c r="AC289" i="20"/>
  <c r="AA289" i="20"/>
  <c r="Z289" i="20"/>
  <c r="Y289" i="20"/>
  <c r="X289" i="20"/>
  <c r="W289" i="20"/>
  <c r="AM288" i="20"/>
  <c r="AL288" i="20"/>
  <c r="AK288" i="20"/>
  <c r="AJ288" i="20"/>
  <c r="AI288" i="20"/>
  <c r="AG288" i="20"/>
  <c r="AF288" i="20"/>
  <c r="AE288" i="20"/>
  <c r="AD288" i="20"/>
  <c r="AC288" i="20"/>
  <c r="AA288" i="20"/>
  <c r="Z288" i="20"/>
  <c r="Y288" i="20"/>
  <c r="X288" i="20"/>
  <c r="W288" i="20"/>
  <c r="AM287" i="20"/>
  <c r="AL287" i="20"/>
  <c r="AK287" i="20"/>
  <c r="AJ287" i="20"/>
  <c r="AI287" i="20"/>
  <c r="AG287" i="20"/>
  <c r="AF287" i="20"/>
  <c r="AE287" i="20"/>
  <c r="AD287" i="20"/>
  <c r="AC287" i="20"/>
  <c r="AA287" i="20"/>
  <c r="Z287" i="20"/>
  <c r="Y287" i="20"/>
  <c r="X287" i="20"/>
  <c r="W287" i="20"/>
  <c r="AM286" i="20"/>
  <c r="AL286" i="20"/>
  <c r="AK286" i="20"/>
  <c r="AJ286" i="20"/>
  <c r="AI286" i="20"/>
  <c r="AG286" i="20"/>
  <c r="AF286" i="20"/>
  <c r="AE286" i="20"/>
  <c r="AD286" i="20"/>
  <c r="AC286" i="20"/>
  <c r="AA286" i="20"/>
  <c r="Z286" i="20"/>
  <c r="Y286" i="20"/>
  <c r="X286" i="20"/>
  <c r="W286" i="20"/>
  <c r="AM285" i="20"/>
  <c r="AL285" i="20"/>
  <c r="AK285" i="20"/>
  <c r="AJ285" i="20"/>
  <c r="AI285" i="20"/>
  <c r="AG285" i="20"/>
  <c r="AF285" i="20"/>
  <c r="AE285" i="20"/>
  <c r="AD285" i="20"/>
  <c r="AC285" i="20"/>
  <c r="AA285" i="20"/>
  <c r="Z285" i="20"/>
  <c r="Y285" i="20"/>
  <c r="X285" i="20"/>
  <c r="W285" i="20"/>
  <c r="AM284" i="20"/>
  <c r="AL284" i="20"/>
  <c r="AK284" i="20"/>
  <c r="AJ284" i="20"/>
  <c r="AI284" i="20"/>
  <c r="AG284" i="20"/>
  <c r="AF284" i="20"/>
  <c r="AE284" i="20"/>
  <c r="AD284" i="20"/>
  <c r="AC284" i="20"/>
  <c r="AA284" i="20"/>
  <c r="Z284" i="20"/>
  <c r="Y284" i="20"/>
  <c r="X284" i="20"/>
  <c r="W284" i="20"/>
  <c r="AM283" i="20"/>
  <c r="AL283" i="20"/>
  <c r="AK283" i="20"/>
  <c r="AJ283" i="20"/>
  <c r="AI283" i="20"/>
  <c r="AG283" i="20"/>
  <c r="AF283" i="20"/>
  <c r="AE283" i="20"/>
  <c r="AD283" i="20"/>
  <c r="AC283" i="20"/>
  <c r="AA283" i="20"/>
  <c r="Z283" i="20"/>
  <c r="Y283" i="20"/>
  <c r="X283" i="20"/>
  <c r="W283" i="20"/>
  <c r="AM282" i="20"/>
  <c r="AL282" i="20"/>
  <c r="AK282" i="20"/>
  <c r="AJ282" i="20"/>
  <c r="AI282" i="20"/>
  <c r="AG282" i="20"/>
  <c r="AF282" i="20"/>
  <c r="AE282" i="20"/>
  <c r="AD282" i="20"/>
  <c r="AC282" i="20"/>
  <c r="AA282" i="20"/>
  <c r="Z282" i="20"/>
  <c r="Y282" i="20"/>
  <c r="X282" i="20"/>
  <c r="W282" i="20"/>
  <c r="AM281" i="20"/>
  <c r="AL281" i="20"/>
  <c r="AK281" i="20"/>
  <c r="AJ281" i="20"/>
  <c r="AI281" i="20"/>
  <c r="AG281" i="20"/>
  <c r="AF281" i="20"/>
  <c r="AE281" i="20"/>
  <c r="AD281" i="20"/>
  <c r="AC281" i="20"/>
  <c r="AA281" i="20"/>
  <c r="Z281" i="20"/>
  <c r="Y281" i="20"/>
  <c r="X281" i="20"/>
  <c r="W281" i="20"/>
  <c r="AM280" i="20"/>
  <c r="AL280" i="20"/>
  <c r="AK280" i="20"/>
  <c r="AJ280" i="20"/>
  <c r="AI280" i="20"/>
  <c r="AG280" i="20"/>
  <c r="AF280" i="20"/>
  <c r="AE280" i="20"/>
  <c r="AD280" i="20"/>
  <c r="AC280" i="20"/>
  <c r="AA280" i="20"/>
  <c r="Z280" i="20"/>
  <c r="Y280" i="20"/>
  <c r="X280" i="20"/>
  <c r="W280" i="20"/>
  <c r="AM279" i="20"/>
  <c r="AL279" i="20"/>
  <c r="AK279" i="20"/>
  <c r="AJ279" i="20"/>
  <c r="AI279" i="20"/>
  <c r="AG279" i="20"/>
  <c r="AF279" i="20"/>
  <c r="AE279" i="20"/>
  <c r="AD279" i="20"/>
  <c r="AC279" i="20"/>
  <c r="AA279" i="20"/>
  <c r="Z279" i="20"/>
  <c r="Y279" i="20"/>
  <c r="X279" i="20"/>
  <c r="W279" i="20"/>
  <c r="AM278" i="20"/>
  <c r="AL278" i="20"/>
  <c r="AK278" i="20"/>
  <c r="AJ278" i="20"/>
  <c r="AI278" i="20"/>
  <c r="AG278" i="20"/>
  <c r="AF278" i="20"/>
  <c r="AE278" i="20"/>
  <c r="AD278" i="20"/>
  <c r="AC278" i="20"/>
  <c r="AA278" i="20"/>
  <c r="Z278" i="20"/>
  <c r="Y278" i="20"/>
  <c r="X278" i="20"/>
  <c r="W278" i="20"/>
  <c r="AM277" i="20"/>
  <c r="AL277" i="20"/>
  <c r="AK277" i="20"/>
  <c r="AJ277" i="20"/>
  <c r="AI277" i="20"/>
  <c r="AG277" i="20"/>
  <c r="AF277" i="20"/>
  <c r="AE277" i="20"/>
  <c r="AD277" i="20"/>
  <c r="AC277" i="20"/>
  <c r="AA277" i="20"/>
  <c r="Z277" i="20"/>
  <c r="Y277" i="20"/>
  <c r="X277" i="20"/>
  <c r="W277" i="20"/>
  <c r="AM276" i="20"/>
  <c r="AL276" i="20"/>
  <c r="AK276" i="20"/>
  <c r="AJ276" i="20"/>
  <c r="AI276" i="20"/>
  <c r="AG276" i="20"/>
  <c r="AF276" i="20"/>
  <c r="AE276" i="20"/>
  <c r="AD276" i="20"/>
  <c r="AC276" i="20"/>
  <c r="AA276" i="20"/>
  <c r="Z276" i="20"/>
  <c r="Y276" i="20"/>
  <c r="X276" i="20"/>
  <c r="W276" i="20"/>
  <c r="AM275" i="20"/>
  <c r="AL275" i="20"/>
  <c r="AK275" i="20"/>
  <c r="AJ275" i="20"/>
  <c r="AI275" i="20"/>
  <c r="AG275" i="20"/>
  <c r="AF275" i="20"/>
  <c r="AE275" i="20"/>
  <c r="AD275" i="20"/>
  <c r="AC275" i="20"/>
  <c r="AA275" i="20"/>
  <c r="Z275" i="20"/>
  <c r="Y275" i="20"/>
  <c r="X275" i="20"/>
  <c r="W275" i="20"/>
  <c r="AM274" i="20"/>
  <c r="AL274" i="20"/>
  <c r="AK274" i="20"/>
  <c r="AJ274" i="20"/>
  <c r="AI274" i="20"/>
  <c r="AG274" i="20"/>
  <c r="AF274" i="20"/>
  <c r="AE274" i="20"/>
  <c r="AD274" i="20"/>
  <c r="AC274" i="20"/>
  <c r="AA274" i="20"/>
  <c r="Z274" i="20"/>
  <c r="Y274" i="20"/>
  <c r="X274" i="20"/>
  <c r="W274" i="20"/>
  <c r="AM273" i="20"/>
  <c r="AL273" i="20"/>
  <c r="AK273" i="20"/>
  <c r="AJ273" i="20"/>
  <c r="AI273" i="20"/>
  <c r="AG273" i="20"/>
  <c r="AF273" i="20"/>
  <c r="AE273" i="20"/>
  <c r="AD273" i="20"/>
  <c r="AC273" i="20"/>
  <c r="AA273" i="20"/>
  <c r="Z273" i="20"/>
  <c r="Y273" i="20"/>
  <c r="X273" i="20"/>
  <c r="W273" i="20"/>
  <c r="AM272" i="20"/>
  <c r="AL272" i="20"/>
  <c r="AK272" i="20"/>
  <c r="AJ272" i="20"/>
  <c r="AI272" i="20"/>
  <c r="AG272" i="20"/>
  <c r="AF272" i="20"/>
  <c r="AE272" i="20"/>
  <c r="AD272" i="20"/>
  <c r="AC272" i="20"/>
  <c r="AA272" i="20"/>
  <c r="Z272" i="20"/>
  <c r="Y272" i="20"/>
  <c r="X272" i="20"/>
  <c r="W272" i="20"/>
  <c r="AM271" i="20"/>
  <c r="AL271" i="20"/>
  <c r="AK271" i="20"/>
  <c r="AJ271" i="20"/>
  <c r="AI271" i="20"/>
  <c r="AG271" i="20"/>
  <c r="AF271" i="20"/>
  <c r="AE271" i="20"/>
  <c r="AD271" i="20"/>
  <c r="AC271" i="20"/>
  <c r="AA271" i="20"/>
  <c r="Z271" i="20"/>
  <c r="Y271" i="20"/>
  <c r="X271" i="20"/>
  <c r="W271" i="20"/>
  <c r="AM270" i="20"/>
  <c r="AL270" i="20"/>
  <c r="AK270" i="20"/>
  <c r="AJ270" i="20"/>
  <c r="AI270" i="20"/>
  <c r="AG270" i="20"/>
  <c r="AF270" i="20"/>
  <c r="AE270" i="20"/>
  <c r="AD270" i="20"/>
  <c r="AC270" i="20"/>
  <c r="AA270" i="20"/>
  <c r="Z270" i="20"/>
  <c r="Y270" i="20"/>
  <c r="X270" i="20"/>
  <c r="W270" i="20"/>
  <c r="AM269" i="20"/>
  <c r="AL269" i="20"/>
  <c r="AK269" i="20"/>
  <c r="AJ269" i="20"/>
  <c r="AI269" i="20"/>
  <c r="AG269" i="20"/>
  <c r="AF269" i="20"/>
  <c r="AE269" i="20"/>
  <c r="AD269" i="20"/>
  <c r="AC269" i="20"/>
  <c r="AA269" i="20"/>
  <c r="Z269" i="20"/>
  <c r="Y269" i="20"/>
  <c r="X269" i="20"/>
  <c r="W269" i="20"/>
  <c r="AM268" i="20"/>
  <c r="AL268" i="20"/>
  <c r="AK268" i="20"/>
  <c r="AJ268" i="20"/>
  <c r="AI268" i="20"/>
  <c r="AG268" i="20"/>
  <c r="AF268" i="20"/>
  <c r="AE268" i="20"/>
  <c r="AD268" i="20"/>
  <c r="AC268" i="20"/>
  <c r="AA268" i="20"/>
  <c r="Z268" i="20"/>
  <c r="Y268" i="20"/>
  <c r="X268" i="20"/>
  <c r="W268" i="20"/>
  <c r="AM267" i="20"/>
  <c r="AL267" i="20"/>
  <c r="AK267" i="20"/>
  <c r="AJ267" i="20"/>
  <c r="AI267" i="20"/>
  <c r="AG267" i="20"/>
  <c r="AF267" i="20"/>
  <c r="AE267" i="20"/>
  <c r="AD267" i="20"/>
  <c r="AC267" i="20"/>
  <c r="AA267" i="20"/>
  <c r="Z267" i="20"/>
  <c r="Y267" i="20"/>
  <c r="X267" i="20"/>
  <c r="W267" i="20"/>
  <c r="AM266" i="20"/>
  <c r="AL266" i="20"/>
  <c r="AK266" i="20"/>
  <c r="AJ266" i="20"/>
  <c r="AI266" i="20"/>
  <c r="AG266" i="20"/>
  <c r="AF266" i="20"/>
  <c r="AE266" i="20"/>
  <c r="AD266" i="20"/>
  <c r="AC266" i="20"/>
  <c r="AA266" i="20"/>
  <c r="Z266" i="20"/>
  <c r="Y266" i="20"/>
  <c r="X266" i="20"/>
  <c r="W266" i="20"/>
  <c r="AM265" i="20"/>
  <c r="AL265" i="20"/>
  <c r="AK265" i="20"/>
  <c r="AJ265" i="20"/>
  <c r="AI265" i="20"/>
  <c r="AG265" i="20"/>
  <c r="AF265" i="20"/>
  <c r="AE265" i="20"/>
  <c r="AD265" i="20"/>
  <c r="AC265" i="20"/>
  <c r="AA265" i="20"/>
  <c r="Z265" i="20"/>
  <c r="Y265" i="20"/>
  <c r="X265" i="20"/>
  <c r="W265" i="20"/>
  <c r="AM264" i="20"/>
  <c r="AL264" i="20"/>
  <c r="AK264" i="20"/>
  <c r="AJ264" i="20"/>
  <c r="AI264" i="20"/>
  <c r="AG264" i="20"/>
  <c r="AF264" i="20"/>
  <c r="AE264" i="20"/>
  <c r="AD264" i="20"/>
  <c r="AC264" i="20"/>
  <c r="AA264" i="20"/>
  <c r="Z264" i="20"/>
  <c r="Y264" i="20"/>
  <c r="X264" i="20"/>
  <c r="W264" i="20"/>
  <c r="AM263" i="20"/>
  <c r="AL263" i="20"/>
  <c r="AK263" i="20"/>
  <c r="AJ263" i="20"/>
  <c r="AI263" i="20"/>
  <c r="AG263" i="20"/>
  <c r="AF263" i="20"/>
  <c r="AE263" i="20"/>
  <c r="AD263" i="20"/>
  <c r="AC263" i="20"/>
  <c r="AA263" i="20"/>
  <c r="Z263" i="20"/>
  <c r="Y263" i="20"/>
  <c r="X263" i="20"/>
  <c r="W263" i="20"/>
  <c r="AM262" i="20"/>
  <c r="AL262" i="20"/>
  <c r="AK262" i="20"/>
  <c r="AJ262" i="20"/>
  <c r="AI262" i="20"/>
  <c r="AG262" i="20"/>
  <c r="AF262" i="20"/>
  <c r="AE262" i="20"/>
  <c r="AD262" i="20"/>
  <c r="AC262" i="20"/>
  <c r="AA262" i="20"/>
  <c r="Z262" i="20"/>
  <c r="Y262" i="20"/>
  <c r="X262" i="20"/>
  <c r="W262" i="20"/>
  <c r="AM261" i="20"/>
  <c r="AL261" i="20"/>
  <c r="AK261" i="20"/>
  <c r="AJ261" i="20"/>
  <c r="AI261" i="20"/>
  <c r="AG261" i="20"/>
  <c r="AF261" i="20"/>
  <c r="AE261" i="20"/>
  <c r="AD261" i="20"/>
  <c r="AC261" i="20"/>
  <c r="AA261" i="20"/>
  <c r="Z261" i="20"/>
  <c r="Y261" i="20"/>
  <c r="X261" i="20"/>
  <c r="W261" i="20"/>
  <c r="AM260" i="20"/>
  <c r="AL260" i="20"/>
  <c r="AK260" i="20"/>
  <c r="AJ260" i="20"/>
  <c r="AI260" i="20"/>
  <c r="AG260" i="20"/>
  <c r="AF260" i="20"/>
  <c r="AE260" i="20"/>
  <c r="AD260" i="20"/>
  <c r="AC260" i="20"/>
  <c r="AA260" i="20"/>
  <c r="Z260" i="20"/>
  <c r="Y260" i="20"/>
  <c r="X260" i="20"/>
  <c r="W260" i="20"/>
  <c r="AM259" i="20"/>
  <c r="AL259" i="20"/>
  <c r="AK259" i="20"/>
  <c r="AJ259" i="20"/>
  <c r="AI259" i="20"/>
  <c r="AG259" i="20"/>
  <c r="AF259" i="20"/>
  <c r="AE259" i="20"/>
  <c r="AD259" i="20"/>
  <c r="AC259" i="20"/>
  <c r="AA259" i="20"/>
  <c r="Z259" i="20"/>
  <c r="Y259" i="20"/>
  <c r="X259" i="20"/>
  <c r="W259" i="20"/>
  <c r="AM258" i="20"/>
  <c r="AL258" i="20"/>
  <c r="AK258" i="20"/>
  <c r="AJ258" i="20"/>
  <c r="AI258" i="20"/>
  <c r="AG258" i="20"/>
  <c r="AF258" i="20"/>
  <c r="AE258" i="20"/>
  <c r="AD258" i="20"/>
  <c r="AC258" i="20"/>
  <c r="AA258" i="20"/>
  <c r="Z258" i="20"/>
  <c r="Y258" i="20"/>
  <c r="X258" i="20"/>
  <c r="W258" i="20"/>
  <c r="AM257" i="20"/>
  <c r="AL257" i="20"/>
  <c r="AK257" i="20"/>
  <c r="AJ257" i="20"/>
  <c r="AI257" i="20"/>
  <c r="AG257" i="20"/>
  <c r="AF257" i="20"/>
  <c r="AE257" i="20"/>
  <c r="AD257" i="20"/>
  <c r="AC257" i="20"/>
  <c r="AA257" i="20"/>
  <c r="Z257" i="20"/>
  <c r="Y257" i="20"/>
  <c r="X257" i="20"/>
  <c r="W257" i="20"/>
  <c r="AM256" i="20"/>
  <c r="AL256" i="20"/>
  <c r="AK256" i="20"/>
  <c r="AJ256" i="20"/>
  <c r="AI256" i="20"/>
  <c r="AG256" i="20"/>
  <c r="AF256" i="20"/>
  <c r="AE256" i="20"/>
  <c r="AD256" i="20"/>
  <c r="AC256" i="20"/>
  <c r="AA256" i="20"/>
  <c r="Z256" i="20"/>
  <c r="Y256" i="20"/>
  <c r="X256" i="20"/>
  <c r="W256" i="20"/>
  <c r="AM255" i="20"/>
  <c r="AL255" i="20"/>
  <c r="AK255" i="20"/>
  <c r="AJ255" i="20"/>
  <c r="AI255" i="20"/>
  <c r="AG255" i="20"/>
  <c r="AF255" i="20"/>
  <c r="AE255" i="20"/>
  <c r="AD255" i="20"/>
  <c r="AC255" i="20"/>
  <c r="AA255" i="20"/>
  <c r="Z255" i="20"/>
  <c r="Y255" i="20"/>
  <c r="X255" i="20"/>
  <c r="W255" i="20"/>
  <c r="AM254" i="20"/>
  <c r="AL254" i="20"/>
  <c r="AK254" i="20"/>
  <c r="AJ254" i="20"/>
  <c r="AI254" i="20"/>
  <c r="AG254" i="20"/>
  <c r="AF254" i="20"/>
  <c r="AE254" i="20"/>
  <c r="AD254" i="20"/>
  <c r="AC254" i="20"/>
  <c r="AA254" i="20"/>
  <c r="Z254" i="20"/>
  <c r="Y254" i="20"/>
  <c r="X254" i="20"/>
  <c r="W254" i="20"/>
  <c r="AM253" i="20"/>
  <c r="AL253" i="20"/>
  <c r="AK253" i="20"/>
  <c r="AJ253" i="20"/>
  <c r="AI253" i="20"/>
  <c r="AG253" i="20"/>
  <c r="AF253" i="20"/>
  <c r="AE253" i="20"/>
  <c r="AD253" i="20"/>
  <c r="AC253" i="20"/>
  <c r="AA253" i="20"/>
  <c r="Z253" i="20"/>
  <c r="Y253" i="20"/>
  <c r="X253" i="20"/>
  <c r="W253" i="20"/>
  <c r="AM252" i="20"/>
  <c r="AL252" i="20"/>
  <c r="AK252" i="20"/>
  <c r="AJ252" i="20"/>
  <c r="AI252" i="20"/>
  <c r="AG252" i="20"/>
  <c r="AF252" i="20"/>
  <c r="AE252" i="20"/>
  <c r="AD252" i="20"/>
  <c r="AC252" i="20"/>
  <c r="AA252" i="20"/>
  <c r="Z252" i="20"/>
  <c r="Y252" i="20"/>
  <c r="X252" i="20"/>
  <c r="W252" i="20"/>
  <c r="AM251" i="20"/>
  <c r="AL251" i="20"/>
  <c r="AK251" i="20"/>
  <c r="AJ251" i="20"/>
  <c r="AI251" i="20"/>
  <c r="AG251" i="20"/>
  <c r="AF251" i="20"/>
  <c r="AE251" i="20"/>
  <c r="AD251" i="20"/>
  <c r="AC251" i="20"/>
  <c r="AA251" i="20"/>
  <c r="Z251" i="20"/>
  <c r="Y251" i="20"/>
  <c r="X251" i="20"/>
  <c r="W251" i="20"/>
  <c r="AM250" i="20"/>
  <c r="AL250" i="20"/>
  <c r="AK250" i="20"/>
  <c r="AJ250" i="20"/>
  <c r="AI250" i="20"/>
  <c r="AG250" i="20"/>
  <c r="AF250" i="20"/>
  <c r="AE250" i="20"/>
  <c r="AD250" i="20"/>
  <c r="AC250" i="20"/>
  <c r="AA250" i="20"/>
  <c r="Z250" i="20"/>
  <c r="Y250" i="20"/>
  <c r="X250" i="20"/>
  <c r="W250" i="20"/>
  <c r="AM249" i="20"/>
  <c r="AL249" i="20"/>
  <c r="AK249" i="20"/>
  <c r="AJ249" i="20"/>
  <c r="AI249" i="20"/>
  <c r="AG249" i="20"/>
  <c r="AF249" i="20"/>
  <c r="AE249" i="20"/>
  <c r="AD249" i="20"/>
  <c r="AC249" i="20"/>
  <c r="AA249" i="20"/>
  <c r="Z249" i="20"/>
  <c r="Y249" i="20"/>
  <c r="X249" i="20"/>
  <c r="W249" i="20"/>
  <c r="AM248" i="20"/>
  <c r="AL248" i="20"/>
  <c r="AK248" i="20"/>
  <c r="AJ248" i="20"/>
  <c r="AI248" i="20"/>
  <c r="AG248" i="20"/>
  <c r="AF248" i="20"/>
  <c r="AE248" i="20"/>
  <c r="AD248" i="20"/>
  <c r="AC248" i="20"/>
  <c r="AA248" i="20"/>
  <c r="Z248" i="20"/>
  <c r="Y248" i="20"/>
  <c r="X248" i="20"/>
  <c r="W248" i="20"/>
  <c r="AM247" i="20"/>
  <c r="AL247" i="20"/>
  <c r="AK247" i="20"/>
  <c r="AJ247" i="20"/>
  <c r="AI247" i="20"/>
  <c r="AG247" i="20"/>
  <c r="AF247" i="20"/>
  <c r="AE247" i="20"/>
  <c r="AD247" i="20"/>
  <c r="AC247" i="20"/>
  <c r="AA247" i="20"/>
  <c r="Z247" i="20"/>
  <c r="Y247" i="20"/>
  <c r="X247" i="20"/>
  <c r="W247" i="20"/>
  <c r="AM246" i="20"/>
  <c r="AL246" i="20"/>
  <c r="AK246" i="20"/>
  <c r="AJ246" i="20"/>
  <c r="AI246" i="20"/>
  <c r="AG246" i="20"/>
  <c r="AF246" i="20"/>
  <c r="AE246" i="20"/>
  <c r="AD246" i="20"/>
  <c r="AC246" i="20"/>
  <c r="AA246" i="20"/>
  <c r="Z246" i="20"/>
  <c r="Y246" i="20"/>
  <c r="X246" i="20"/>
  <c r="W246" i="20"/>
  <c r="AM245" i="20"/>
  <c r="AL245" i="20"/>
  <c r="AK245" i="20"/>
  <c r="AJ245" i="20"/>
  <c r="AI245" i="20"/>
  <c r="AG245" i="20"/>
  <c r="AF245" i="20"/>
  <c r="AE245" i="20"/>
  <c r="AD245" i="20"/>
  <c r="AC245" i="20"/>
  <c r="AA245" i="20"/>
  <c r="Z245" i="20"/>
  <c r="Y245" i="20"/>
  <c r="X245" i="20"/>
  <c r="W245" i="20"/>
  <c r="AM244" i="20"/>
  <c r="AL244" i="20"/>
  <c r="AK244" i="20"/>
  <c r="AJ244" i="20"/>
  <c r="AI244" i="20"/>
  <c r="AG244" i="20"/>
  <c r="AF244" i="20"/>
  <c r="AE244" i="20"/>
  <c r="AD244" i="20"/>
  <c r="AC244" i="20"/>
  <c r="AA244" i="20"/>
  <c r="Z244" i="20"/>
  <c r="Y244" i="20"/>
  <c r="X244" i="20"/>
  <c r="W244" i="20"/>
  <c r="AM243" i="20"/>
  <c r="AL243" i="20"/>
  <c r="AK243" i="20"/>
  <c r="AJ243" i="20"/>
  <c r="AI243" i="20"/>
  <c r="AG243" i="20"/>
  <c r="AF243" i="20"/>
  <c r="AE243" i="20"/>
  <c r="AD243" i="20"/>
  <c r="AC243" i="20"/>
  <c r="AA243" i="20"/>
  <c r="Z243" i="20"/>
  <c r="Y243" i="20"/>
  <c r="X243" i="20"/>
  <c r="W243" i="20"/>
  <c r="AM242" i="20"/>
  <c r="AL242" i="20"/>
  <c r="AK242" i="20"/>
  <c r="AJ242" i="20"/>
  <c r="AI242" i="20"/>
  <c r="AG242" i="20"/>
  <c r="AF242" i="20"/>
  <c r="AE242" i="20"/>
  <c r="AD242" i="20"/>
  <c r="AC242" i="20"/>
  <c r="AA242" i="20"/>
  <c r="Z242" i="20"/>
  <c r="Y242" i="20"/>
  <c r="X242" i="20"/>
  <c r="W242" i="20"/>
  <c r="AM241" i="20"/>
  <c r="AL241" i="20"/>
  <c r="AK241" i="20"/>
  <c r="AJ241" i="20"/>
  <c r="AI241" i="20"/>
  <c r="AG241" i="20"/>
  <c r="AF241" i="20"/>
  <c r="AE241" i="20"/>
  <c r="AD241" i="20"/>
  <c r="AC241" i="20"/>
  <c r="AA241" i="20"/>
  <c r="Z241" i="20"/>
  <c r="Y241" i="20"/>
  <c r="X241" i="20"/>
  <c r="W241" i="20"/>
  <c r="AM240" i="20"/>
  <c r="AL240" i="20"/>
  <c r="AK240" i="20"/>
  <c r="AJ240" i="20"/>
  <c r="AI240" i="20"/>
  <c r="AG240" i="20"/>
  <c r="AF240" i="20"/>
  <c r="AE240" i="20"/>
  <c r="AD240" i="20"/>
  <c r="AC240" i="20"/>
  <c r="AA240" i="20"/>
  <c r="Z240" i="20"/>
  <c r="Y240" i="20"/>
  <c r="X240" i="20"/>
  <c r="W240" i="20"/>
  <c r="AM239" i="20"/>
  <c r="AL239" i="20"/>
  <c r="AK239" i="20"/>
  <c r="AJ239" i="20"/>
  <c r="AI239" i="20"/>
  <c r="AG239" i="20"/>
  <c r="AF239" i="20"/>
  <c r="AE239" i="20"/>
  <c r="AD239" i="20"/>
  <c r="AC239" i="20"/>
  <c r="AA239" i="20"/>
  <c r="Z239" i="20"/>
  <c r="Y239" i="20"/>
  <c r="X239" i="20"/>
  <c r="W239" i="20"/>
  <c r="AM238" i="20"/>
  <c r="AL238" i="20"/>
  <c r="AK238" i="20"/>
  <c r="AJ238" i="20"/>
  <c r="AI238" i="20"/>
  <c r="AG238" i="20"/>
  <c r="AF238" i="20"/>
  <c r="AE238" i="20"/>
  <c r="AD238" i="20"/>
  <c r="AC238" i="20"/>
  <c r="AA238" i="20"/>
  <c r="Z238" i="20"/>
  <c r="Y238" i="20"/>
  <c r="X238" i="20"/>
  <c r="W238" i="20"/>
  <c r="AM237" i="20"/>
  <c r="AL237" i="20"/>
  <c r="AK237" i="20"/>
  <c r="AJ237" i="20"/>
  <c r="AI237" i="20"/>
  <c r="AG237" i="20"/>
  <c r="AF237" i="20"/>
  <c r="AE237" i="20"/>
  <c r="AD237" i="20"/>
  <c r="AC237" i="20"/>
  <c r="AA237" i="20"/>
  <c r="Z237" i="20"/>
  <c r="Y237" i="20"/>
  <c r="X237" i="20"/>
  <c r="W237" i="20"/>
  <c r="AM236" i="20"/>
  <c r="AL236" i="20"/>
  <c r="AK236" i="20"/>
  <c r="AJ236" i="20"/>
  <c r="AI236" i="20"/>
  <c r="AG236" i="20"/>
  <c r="AF236" i="20"/>
  <c r="AE236" i="20"/>
  <c r="AD236" i="20"/>
  <c r="AC236" i="20"/>
  <c r="AA236" i="20"/>
  <c r="Z236" i="20"/>
  <c r="Y236" i="20"/>
  <c r="X236" i="20"/>
  <c r="W236" i="20"/>
  <c r="AM235" i="20"/>
  <c r="AL235" i="20"/>
  <c r="AK235" i="20"/>
  <c r="AJ235" i="20"/>
  <c r="AI235" i="20"/>
  <c r="AG235" i="20"/>
  <c r="AF235" i="20"/>
  <c r="AE235" i="20"/>
  <c r="AD235" i="20"/>
  <c r="AC235" i="20"/>
  <c r="AA235" i="20"/>
  <c r="Z235" i="20"/>
  <c r="Y235" i="20"/>
  <c r="X235" i="20"/>
  <c r="W235" i="20"/>
  <c r="AM234" i="20"/>
  <c r="AL234" i="20"/>
  <c r="AK234" i="20"/>
  <c r="AJ234" i="20"/>
  <c r="AI234" i="20"/>
  <c r="AG234" i="20"/>
  <c r="AF234" i="20"/>
  <c r="AE234" i="20"/>
  <c r="AD234" i="20"/>
  <c r="AC234" i="20"/>
  <c r="AA234" i="20"/>
  <c r="Z234" i="20"/>
  <c r="Y234" i="20"/>
  <c r="X234" i="20"/>
  <c r="W234" i="20"/>
  <c r="AM233" i="20"/>
  <c r="AL233" i="20"/>
  <c r="AK233" i="20"/>
  <c r="AJ233" i="20"/>
  <c r="AI233" i="20"/>
  <c r="AG233" i="20"/>
  <c r="AF233" i="20"/>
  <c r="AE233" i="20"/>
  <c r="AD233" i="20"/>
  <c r="AC233" i="20"/>
  <c r="AA233" i="20"/>
  <c r="Z233" i="20"/>
  <c r="Y233" i="20"/>
  <c r="X233" i="20"/>
  <c r="W233" i="20"/>
  <c r="AM232" i="20"/>
  <c r="AL232" i="20"/>
  <c r="AK232" i="20"/>
  <c r="AJ232" i="20"/>
  <c r="AI232" i="20"/>
  <c r="AG232" i="20"/>
  <c r="AF232" i="20"/>
  <c r="AE232" i="20"/>
  <c r="AD232" i="20"/>
  <c r="AC232" i="20"/>
  <c r="AA232" i="20"/>
  <c r="Z232" i="20"/>
  <c r="Y232" i="20"/>
  <c r="X232" i="20"/>
  <c r="W232" i="20"/>
  <c r="AM231" i="20"/>
  <c r="AL231" i="20"/>
  <c r="AK231" i="20"/>
  <c r="AJ231" i="20"/>
  <c r="AI231" i="20"/>
  <c r="AG231" i="20"/>
  <c r="AF231" i="20"/>
  <c r="AE231" i="20"/>
  <c r="AD231" i="20"/>
  <c r="AC231" i="20"/>
  <c r="AA231" i="20"/>
  <c r="Z231" i="20"/>
  <c r="Y231" i="20"/>
  <c r="X231" i="20"/>
  <c r="W231" i="20"/>
  <c r="AM230" i="20"/>
  <c r="AL230" i="20"/>
  <c r="AK230" i="20"/>
  <c r="AJ230" i="20"/>
  <c r="AI230" i="20"/>
  <c r="AG230" i="20"/>
  <c r="AF230" i="20"/>
  <c r="AE230" i="20"/>
  <c r="AD230" i="20"/>
  <c r="AC230" i="20"/>
  <c r="AA230" i="20"/>
  <c r="Z230" i="20"/>
  <c r="Y230" i="20"/>
  <c r="X230" i="20"/>
  <c r="W230" i="20"/>
  <c r="AM229" i="20"/>
  <c r="AL229" i="20"/>
  <c r="AK229" i="20"/>
  <c r="AJ229" i="20"/>
  <c r="AI229" i="20"/>
  <c r="AG229" i="20"/>
  <c r="AF229" i="20"/>
  <c r="AE229" i="20"/>
  <c r="AD229" i="20"/>
  <c r="AC229" i="20"/>
  <c r="AA229" i="20"/>
  <c r="Z229" i="20"/>
  <c r="Y229" i="20"/>
  <c r="X229" i="20"/>
  <c r="W229" i="20"/>
  <c r="AM228" i="20"/>
  <c r="AL228" i="20"/>
  <c r="AK228" i="20"/>
  <c r="AJ228" i="20"/>
  <c r="AI228" i="20"/>
  <c r="AG228" i="20"/>
  <c r="AF228" i="20"/>
  <c r="AE228" i="20"/>
  <c r="AD228" i="20"/>
  <c r="AC228" i="20"/>
  <c r="AA228" i="20"/>
  <c r="Z228" i="20"/>
  <c r="Y228" i="20"/>
  <c r="X228" i="20"/>
  <c r="W228" i="20"/>
  <c r="AM227" i="20"/>
  <c r="AL227" i="20"/>
  <c r="AK227" i="20"/>
  <c r="AJ227" i="20"/>
  <c r="AI227" i="20"/>
  <c r="AG227" i="20"/>
  <c r="AF227" i="20"/>
  <c r="AE227" i="20"/>
  <c r="AD227" i="20"/>
  <c r="AC227" i="20"/>
  <c r="AA227" i="20"/>
  <c r="Z227" i="20"/>
  <c r="Y227" i="20"/>
  <c r="X227" i="20"/>
  <c r="W227" i="20"/>
  <c r="AM226" i="20"/>
  <c r="AL226" i="20"/>
  <c r="AK226" i="20"/>
  <c r="AJ226" i="20"/>
  <c r="AI226" i="20"/>
  <c r="AG226" i="20"/>
  <c r="AF226" i="20"/>
  <c r="AE226" i="20"/>
  <c r="AD226" i="20"/>
  <c r="AC226" i="20"/>
  <c r="AA226" i="20"/>
  <c r="Z226" i="20"/>
  <c r="Y226" i="20"/>
  <c r="X226" i="20"/>
  <c r="W226" i="20"/>
  <c r="AM225" i="20"/>
  <c r="AL225" i="20"/>
  <c r="AK225" i="20"/>
  <c r="AJ225" i="20"/>
  <c r="AI225" i="20"/>
  <c r="AG225" i="20"/>
  <c r="AF225" i="20"/>
  <c r="AE225" i="20"/>
  <c r="AD225" i="20"/>
  <c r="AC225" i="20"/>
  <c r="AA225" i="20"/>
  <c r="Z225" i="20"/>
  <c r="Y225" i="20"/>
  <c r="X225" i="20"/>
  <c r="W225" i="20"/>
  <c r="AM224" i="20"/>
  <c r="AL224" i="20"/>
  <c r="AK224" i="20"/>
  <c r="AJ224" i="20"/>
  <c r="AI224" i="20"/>
  <c r="AG224" i="20"/>
  <c r="AF224" i="20"/>
  <c r="AE224" i="20"/>
  <c r="AD224" i="20"/>
  <c r="AC224" i="20"/>
  <c r="AA224" i="20"/>
  <c r="Z224" i="20"/>
  <c r="Y224" i="20"/>
  <c r="X224" i="20"/>
  <c r="W224" i="20"/>
  <c r="AM223" i="20"/>
  <c r="AL223" i="20"/>
  <c r="AK223" i="20"/>
  <c r="AJ223" i="20"/>
  <c r="AI223" i="20"/>
  <c r="AG223" i="20"/>
  <c r="AF223" i="20"/>
  <c r="AE223" i="20"/>
  <c r="AD223" i="20"/>
  <c r="AC223" i="20"/>
  <c r="AA223" i="20"/>
  <c r="Z223" i="20"/>
  <c r="Y223" i="20"/>
  <c r="X223" i="20"/>
  <c r="W223" i="20"/>
  <c r="AM222" i="20"/>
  <c r="AL222" i="20"/>
  <c r="AK222" i="20"/>
  <c r="AJ222" i="20"/>
  <c r="AI222" i="20"/>
  <c r="AG222" i="20"/>
  <c r="AF222" i="20"/>
  <c r="AE222" i="20"/>
  <c r="AD222" i="20"/>
  <c r="AC222" i="20"/>
  <c r="AA222" i="20"/>
  <c r="Z222" i="20"/>
  <c r="Y222" i="20"/>
  <c r="X222" i="20"/>
  <c r="W222" i="20"/>
  <c r="AM221" i="20"/>
  <c r="AL221" i="20"/>
  <c r="AK221" i="20"/>
  <c r="AJ221" i="20"/>
  <c r="AI221" i="20"/>
  <c r="AG221" i="20"/>
  <c r="AF221" i="20"/>
  <c r="AE221" i="20"/>
  <c r="AD221" i="20"/>
  <c r="AC221" i="20"/>
  <c r="AA221" i="20"/>
  <c r="Z221" i="20"/>
  <c r="Y221" i="20"/>
  <c r="X221" i="20"/>
  <c r="W221" i="20"/>
  <c r="AM220" i="20"/>
  <c r="AL220" i="20"/>
  <c r="AK220" i="20"/>
  <c r="AJ220" i="20"/>
  <c r="AI220" i="20"/>
  <c r="AG220" i="20"/>
  <c r="AF220" i="20"/>
  <c r="AE220" i="20"/>
  <c r="AD220" i="20"/>
  <c r="AC220" i="20"/>
  <c r="AA220" i="20"/>
  <c r="Z220" i="20"/>
  <c r="Y220" i="20"/>
  <c r="X220" i="20"/>
  <c r="W220" i="20"/>
  <c r="AM219" i="20"/>
  <c r="AL219" i="20"/>
  <c r="AK219" i="20"/>
  <c r="AJ219" i="20"/>
  <c r="AI219" i="20"/>
  <c r="AG219" i="20"/>
  <c r="AF219" i="20"/>
  <c r="AE219" i="20"/>
  <c r="AD219" i="20"/>
  <c r="AC219" i="20"/>
  <c r="AA219" i="20"/>
  <c r="Z219" i="20"/>
  <c r="Y219" i="20"/>
  <c r="X219" i="20"/>
  <c r="W219" i="20"/>
  <c r="AM218" i="20"/>
  <c r="AL218" i="20"/>
  <c r="AK218" i="20"/>
  <c r="AJ218" i="20"/>
  <c r="AI218" i="20"/>
  <c r="AG218" i="20"/>
  <c r="AF218" i="20"/>
  <c r="AE218" i="20"/>
  <c r="AD218" i="20"/>
  <c r="AC218" i="20"/>
  <c r="AA218" i="20"/>
  <c r="Z218" i="20"/>
  <c r="Y218" i="20"/>
  <c r="X218" i="20"/>
  <c r="W218" i="20"/>
  <c r="AM217" i="20"/>
  <c r="AL217" i="20"/>
  <c r="AK217" i="20"/>
  <c r="AJ217" i="20"/>
  <c r="AI217" i="20"/>
  <c r="AG217" i="20"/>
  <c r="AF217" i="20"/>
  <c r="AE217" i="20"/>
  <c r="AD217" i="20"/>
  <c r="AC217" i="20"/>
  <c r="AA217" i="20"/>
  <c r="Z217" i="20"/>
  <c r="Y217" i="20"/>
  <c r="X217" i="20"/>
  <c r="W217" i="20"/>
  <c r="AM216" i="20"/>
  <c r="AL216" i="20"/>
  <c r="AK216" i="20"/>
  <c r="AJ216" i="20"/>
  <c r="AI216" i="20"/>
  <c r="AG216" i="20"/>
  <c r="AF216" i="20"/>
  <c r="AE216" i="20"/>
  <c r="AD216" i="20"/>
  <c r="AC216" i="20"/>
  <c r="AA216" i="20"/>
  <c r="Z216" i="20"/>
  <c r="Y216" i="20"/>
  <c r="X216" i="20"/>
  <c r="W216" i="20"/>
  <c r="AM215" i="20"/>
  <c r="AL215" i="20"/>
  <c r="AK215" i="20"/>
  <c r="AJ215" i="20"/>
  <c r="AI215" i="20"/>
  <c r="AG215" i="20"/>
  <c r="AF215" i="20"/>
  <c r="AE215" i="20"/>
  <c r="AD215" i="20"/>
  <c r="AC215" i="20"/>
  <c r="AA215" i="20"/>
  <c r="Z215" i="20"/>
  <c r="Y215" i="20"/>
  <c r="X215" i="20"/>
  <c r="W215" i="20"/>
  <c r="AM214" i="20"/>
  <c r="AL214" i="20"/>
  <c r="AK214" i="20"/>
  <c r="AJ214" i="20"/>
  <c r="AI214" i="20"/>
  <c r="AG214" i="20"/>
  <c r="AF214" i="20"/>
  <c r="AE214" i="20"/>
  <c r="AD214" i="20"/>
  <c r="AC214" i="20"/>
  <c r="AA214" i="20"/>
  <c r="Z214" i="20"/>
  <c r="Y214" i="20"/>
  <c r="X214" i="20"/>
  <c r="W214" i="20"/>
  <c r="AM213" i="20"/>
  <c r="AL213" i="20"/>
  <c r="AK213" i="20"/>
  <c r="AJ213" i="20"/>
  <c r="AI213" i="20"/>
  <c r="AG213" i="20"/>
  <c r="AF213" i="20"/>
  <c r="AE213" i="20"/>
  <c r="AD213" i="20"/>
  <c r="AC213" i="20"/>
  <c r="AA213" i="20"/>
  <c r="Z213" i="20"/>
  <c r="Y213" i="20"/>
  <c r="X213" i="20"/>
  <c r="W213" i="20"/>
  <c r="AM212" i="20"/>
  <c r="AL212" i="20"/>
  <c r="AK212" i="20"/>
  <c r="AJ212" i="20"/>
  <c r="AI212" i="20"/>
  <c r="AG212" i="20"/>
  <c r="AF212" i="20"/>
  <c r="AE212" i="20"/>
  <c r="AD212" i="20"/>
  <c r="AC212" i="20"/>
  <c r="AA212" i="20"/>
  <c r="Z212" i="20"/>
  <c r="Y212" i="20"/>
  <c r="X212" i="20"/>
  <c r="W212" i="20"/>
  <c r="AM211" i="20"/>
  <c r="AL211" i="20"/>
  <c r="AK211" i="20"/>
  <c r="AJ211" i="20"/>
  <c r="AI211" i="20"/>
  <c r="AG211" i="20"/>
  <c r="AF211" i="20"/>
  <c r="AE211" i="20"/>
  <c r="AD211" i="20"/>
  <c r="AC211" i="20"/>
  <c r="AA211" i="20"/>
  <c r="Z211" i="20"/>
  <c r="Y211" i="20"/>
  <c r="X211" i="20"/>
  <c r="W211" i="20"/>
  <c r="AM210" i="20"/>
  <c r="AL210" i="20"/>
  <c r="AK210" i="20"/>
  <c r="AJ210" i="20"/>
  <c r="AI210" i="20"/>
  <c r="AG210" i="20"/>
  <c r="AF210" i="20"/>
  <c r="AE210" i="20"/>
  <c r="AD210" i="20"/>
  <c r="AC210" i="20"/>
  <c r="AA210" i="20"/>
  <c r="Z210" i="20"/>
  <c r="Y210" i="20"/>
  <c r="X210" i="20"/>
  <c r="W210" i="20"/>
  <c r="AM209" i="20"/>
  <c r="AL209" i="20"/>
  <c r="AK209" i="20"/>
  <c r="AJ209" i="20"/>
  <c r="AI209" i="20"/>
  <c r="AG209" i="20"/>
  <c r="AF209" i="20"/>
  <c r="AE209" i="20"/>
  <c r="AD209" i="20"/>
  <c r="AC209" i="20"/>
  <c r="AA209" i="20"/>
  <c r="Z209" i="20"/>
  <c r="Y209" i="20"/>
  <c r="X209" i="20"/>
  <c r="W209" i="20"/>
  <c r="AM208" i="20"/>
  <c r="AL208" i="20"/>
  <c r="AK208" i="20"/>
  <c r="AJ208" i="20"/>
  <c r="AI208" i="20"/>
  <c r="AG208" i="20"/>
  <c r="AF208" i="20"/>
  <c r="AE208" i="20"/>
  <c r="AD208" i="20"/>
  <c r="AC208" i="20"/>
  <c r="AA208" i="20"/>
  <c r="Z208" i="20"/>
  <c r="Y208" i="20"/>
  <c r="X208" i="20"/>
  <c r="W208" i="20"/>
  <c r="AM207" i="20"/>
  <c r="AL207" i="20"/>
  <c r="AK207" i="20"/>
  <c r="AJ207" i="20"/>
  <c r="AI207" i="20"/>
  <c r="AG207" i="20"/>
  <c r="AF207" i="20"/>
  <c r="AE207" i="20"/>
  <c r="AD207" i="20"/>
  <c r="AC207" i="20"/>
  <c r="AA207" i="20"/>
  <c r="Z207" i="20"/>
  <c r="Y207" i="20"/>
  <c r="X207" i="20"/>
  <c r="W207" i="20"/>
  <c r="AM206" i="20"/>
  <c r="AL206" i="20"/>
  <c r="AK206" i="20"/>
  <c r="AJ206" i="20"/>
  <c r="AI206" i="20"/>
  <c r="AG206" i="20"/>
  <c r="AF206" i="20"/>
  <c r="AE206" i="20"/>
  <c r="AD206" i="20"/>
  <c r="AC206" i="20"/>
  <c r="AA206" i="20"/>
  <c r="Z206" i="20"/>
  <c r="Y206" i="20"/>
  <c r="X206" i="20"/>
  <c r="W206" i="20"/>
  <c r="AM205" i="20"/>
  <c r="AL205" i="20"/>
  <c r="AK205" i="20"/>
  <c r="AJ205" i="20"/>
  <c r="AI205" i="20"/>
  <c r="AG205" i="20"/>
  <c r="AF205" i="20"/>
  <c r="AE205" i="20"/>
  <c r="AD205" i="20"/>
  <c r="AC205" i="20"/>
  <c r="AA205" i="20"/>
  <c r="Z205" i="20"/>
  <c r="Y205" i="20"/>
  <c r="X205" i="20"/>
  <c r="W205" i="20"/>
  <c r="AM204" i="20"/>
  <c r="AL204" i="20"/>
  <c r="AK204" i="20"/>
  <c r="AJ204" i="20"/>
  <c r="AI204" i="20"/>
  <c r="AG204" i="20"/>
  <c r="AF204" i="20"/>
  <c r="AE204" i="20"/>
  <c r="AD204" i="20"/>
  <c r="AC204" i="20"/>
  <c r="AA204" i="20"/>
  <c r="Z204" i="20"/>
  <c r="Y204" i="20"/>
  <c r="X204" i="20"/>
  <c r="W204" i="20"/>
  <c r="AM203" i="20"/>
  <c r="AL203" i="20"/>
  <c r="AK203" i="20"/>
  <c r="AJ203" i="20"/>
  <c r="AI203" i="20"/>
  <c r="AG203" i="20"/>
  <c r="AF203" i="20"/>
  <c r="AE203" i="20"/>
  <c r="AD203" i="20"/>
  <c r="AC203" i="20"/>
  <c r="AA203" i="20"/>
  <c r="Z203" i="20"/>
  <c r="Y203" i="20"/>
  <c r="X203" i="20"/>
  <c r="W203" i="20"/>
  <c r="AM202" i="20"/>
  <c r="AL202" i="20"/>
  <c r="AK202" i="20"/>
  <c r="AJ202" i="20"/>
  <c r="AI202" i="20"/>
  <c r="AG202" i="20"/>
  <c r="AF202" i="20"/>
  <c r="AE202" i="20"/>
  <c r="AD202" i="20"/>
  <c r="AC202" i="20"/>
  <c r="AA202" i="20"/>
  <c r="Z202" i="20"/>
  <c r="Y202" i="20"/>
  <c r="X202" i="20"/>
  <c r="W202" i="20"/>
  <c r="AM201" i="20"/>
  <c r="AL201" i="20"/>
  <c r="AK201" i="20"/>
  <c r="AJ201" i="20"/>
  <c r="AI201" i="20"/>
  <c r="AG201" i="20"/>
  <c r="AF201" i="20"/>
  <c r="AE201" i="20"/>
  <c r="AD201" i="20"/>
  <c r="AC201" i="20"/>
  <c r="AA201" i="20"/>
  <c r="Z201" i="20"/>
  <c r="Y201" i="20"/>
  <c r="X201" i="20"/>
  <c r="W201" i="20"/>
  <c r="AM200" i="20"/>
  <c r="AL200" i="20"/>
  <c r="AK200" i="20"/>
  <c r="AJ200" i="20"/>
  <c r="AI200" i="20"/>
  <c r="AG200" i="20"/>
  <c r="AF200" i="20"/>
  <c r="AE200" i="20"/>
  <c r="AD200" i="20"/>
  <c r="AC200" i="20"/>
  <c r="AA200" i="20"/>
  <c r="Z200" i="20"/>
  <c r="Y200" i="20"/>
  <c r="X200" i="20"/>
  <c r="W200" i="20"/>
  <c r="AM199" i="20"/>
  <c r="AL199" i="20"/>
  <c r="AK199" i="20"/>
  <c r="AJ199" i="20"/>
  <c r="AI199" i="20"/>
  <c r="AG199" i="20"/>
  <c r="AF199" i="20"/>
  <c r="AE199" i="20"/>
  <c r="AD199" i="20"/>
  <c r="AC199" i="20"/>
  <c r="AA199" i="20"/>
  <c r="Z199" i="20"/>
  <c r="Y199" i="20"/>
  <c r="X199" i="20"/>
  <c r="W199" i="20"/>
  <c r="AM198" i="20"/>
  <c r="AL198" i="20"/>
  <c r="AK198" i="20"/>
  <c r="AJ198" i="20"/>
  <c r="AI198" i="20"/>
  <c r="AG198" i="20"/>
  <c r="AF198" i="20"/>
  <c r="AE198" i="20"/>
  <c r="AD198" i="20"/>
  <c r="AC198" i="20"/>
  <c r="AA198" i="20"/>
  <c r="Z198" i="20"/>
  <c r="Y198" i="20"/>
  <c r="X198" i="20"/>
  <c r="W198" i="20"/>
  <c r="AM197" i="20"/>
  <c r="AL197" i="20"/>
  <c r="AK197" i="20"/>
  <c r="AJ197" i="20"/>
  <c r="AI197" i="20"/>
  <c r="AG197" i="20"/>
  <c r="AF197" i="20"/>
  <c r="AE197" i="20"/>
  <c r="AD197" i="20"/>
  <c r="AC197" i="20"/>
  <c r="AA197" i="20"/>
  <c r="Z197" i="20"/>
  <c r="Y197" i="20"/>
  <c r="X197" i="20"/>
  <c r="W197" i="20"/>
  <c r="AM196" i="20"/>
  <c r="AL196" i="20"/>
  <c r="AK196" i="20"/>
  <c r="AJ196" i="20"/>
  <c r="AI196" i="20"/>
  <c r="AG196" i="20"/>
  <c r="AF196" i="20"/>
  <c r="AE196" i="20"/>
  <c r="AD196" i="20"/>
  <c r="AC196" i="20"/>
  <c r="AA196" i="20"/>
  <c r="Z196" i="20"/>
  <c r="Y196" i="20"/>
  <c r="X196" i="20"/>
  <c r="W196" i="20"/>
  <c r="AM195" i="20"/>
  <c r="AL195" i="20"/>
  <c r="AK195" i="20"/>
  <c r="AJ195" i="20"/>
  <c r="AI195" i="20"/>
  <c r="AG195" i="20"/>
  <c r="AF195" i="20"/>
  <c r="AE195" i="20"/>
  <c r="AD195" i="20"/>
  <c r="AC195" i="20"/>
  <c r="AA195" i="20"/>
  <c r="Z195" i="20"/>
  <c r="Y195" i="20"/>
  <c r="X195" i="20"/>
  <c r="W195" i="20"/>
  <c r="AM194" i="20"/>
  <c r="AL194" i="20"/>
  <c r="AK194" i="20"/>
  <c r="AJ194" i="20"/>
  <c r="AI194" i="20"/>
  <c r="AG194" i="20"/>
  <c r="AF194" i="20"/>
  <c r="AE194" i="20"/>
  <c r="AD194" i="20"/>
  <c r="AC194" i="20"/>
  <c r="AA194" i="20"/>
  <c r="Z194" i="20"/>
  <c r="Y194" i="20"/>
  <c r="X194" i="20"/>
  <c r="W194" i="20"/>
  <c r="AM193" i="20"/>
  <c r="AL193" i="20"/>
  <c r="AK193" i="20"/>
  <c r="AJ193" i="20"/>
  <c r="AI193" i="20"/>
  <c r="AG193" i="20"/>
  <c r="AF193" i="20"/>
  <c r="AE193" i="20"/>
  <c r="AD193" i="20"/>
  <c r="AC193" i="20"/>
  <c r="AA193" i="20"/>
  <c r="Z193" i="20"/>
  <c r="Y193" i="20"/>
  <c r="X193" i="20"/>
  <c r="W193" i="20"/>
  <c r="AM192" i="20"/>
  <c r="AL192" i="20"/>
  <c r="AK192" i="20"/>
  <c r="AJ192" i="20"/>
  <c r="AI192" i="20"/>
  <c r="AG192" i="20"/>
  <c r="AF192" i="20"/>
  <c r="AE192" i="20"/>
  <c r="AD192" i="20"/>
  <c r="AC192" i="20"/>
  <c r="AA192" i="20"/>
  <c r="Z192" i="20"/>
  <c r="Y192" i="20"/>
  <c r="X192" i="20"/>
  <c r="W192" i="20"/>
  <c r="AM191" i="20"/>
  <c r="AL191" i="20"/>
  <c r="AK191" i="20"/>
  <c r="AJ191" i="20"/>
  <c r="AI191" i="20"/>
  <c r="AG191" i="20"/>
  <c r="AF191" i="20"/>
  <c r="AE191" i="20"/>
  <c r="AD191" i="20"/>
  <c r="AC191" i="20"/>
  <c r="AA191" i="20"/>
  <c r="Z191" i="20"/>
  <c r="Y191" i="20"/>
  <c r="X191" i="20"/>
  <c r="W191" i="20"/>
  <c r="AM190" i="20"/>
  <c r="AL190" i="20"/>
  <c r="AK190" i="20"/>
  <c r="AJ190" i="20"/>
  <c r="AI190" i="20"/>
  <c r="AG190" i="20"/>
  <c r="AF190" i="20"/>
  <c r="AE190" i="20"/>
  <c r="AD190" i="20"/>
  <c r="AC190" i="20"/>
  <c r="AA190" i="20"/>
  <c r="Z190" i="20"/>
  <c r="Y190" i="20"/>
  <c r="X190" i="20"/>
  <c r="W190" i="20"/>
  <c r="AM189" i="20"/>
  <c r="AL189" i="20"/>
  <c r="AK189" i="20"/>
  <c r="AJ189" i="20"/>
  <c r="AI189" i="20"/>
  <c r="AG189" i="20"/>
  <c r="AF189" i="20"/>
  <c r="AE189" i="20"/>
  <c r="AD189" i="20"/>
  <c r="AC189" i="20"/>
  <c r="AA189" i="20"/>
  <c r="Z189" i="20"/>
  <c r="Y189" i="20"/>
  <c r="X189" i="20"/>
  <c r="W189" i="20"/>
  <c r="AM188" i="20"/>
  <c r="AL188" i="20"/>
  <c r="AK188" i="20"/>
  <c r="AJ188" i="20"/>
  <c r="AI188" i="20"/>
  <c r="AG188" i="20"/>
  <c r="AF188" i="20"/>
  <c r="AE188" i="20"/>
  <c r="AD188" i="20"/>
  <c r="AC188" i="20"/>
  <c r="AA188" i="20"/>
  <c r="Z188" i="20"/>
  <c r="Y188" i="20"/>
  <c r="X188" i="20"/>
  <c r="W188" i="20"/>
  <c r="AM187" i="20"/>
  <c r="AL187" i="20"/>
  <c r="AK187" i="20"/>
  <c r="AJ187" i="20"/>
  <c r="AI187" i="20"/>
  <c r="AG187" i="20"/>
  <c r="AF187" i="20"/>
  <c r="AE187" i="20"/>
  <c r="AD187" i="20"/>
  <c r="AC187" i="20"/>
  <c r="AA187" i="20"/>
  <c r="Z187" i="20"/>
  <c r="Y187" i="20"/>
  <c r="X187" i="20"/>
  <c r="W187" i="20"/>
  <c r="AM186" i="20"/>
  <c r="AL186" i="20"/>
  <c r="AK186" i="20"/>
  <c r="AJ186" i="20"/>
  <c r="AI186" i="20"/>
  <c r="AG186" i="20"/>
  <c r="AF186" i="20"/>
  <c r="AE186" i="20"/>
  <c r="AD186" i="20"/>
  <c r="AC186" i="20"/>
  <c r="AA186" i="20"/>
  <c r="Z186" i="20"/>
  <c r="Y186" i="20"/>
  <c r="X186" i="20"/>
  <c r="W186" i="20"/>
  <c r="AM185" i="20"/>
  <c r="AL185" i="20"/>
  <c r="AK185" i="20"/>
  <c r="AJ185" i="20"/>
  <c r="AI185" i="20"/>
  <c r="AG185" i="20"/>
  <c r="AF185" i="20"/>
  <c r="AE185" i="20"/>
  <c r="AD185" i="20"/>
  <c r="AC185" i="20"/>
  <c r="AA185" i="20"/>
  <c r="Z185" i="20"/>
  <c r="Y185" i="20"/>
  <c r="X185" i="20"/>
  <c r="W185" i="20"/>
  <c r="AM184" i="20"/>
  <c r="AL184" i="20"/>
  <c r="AK184" i="20"/>
  <c r="AJ184" i="20"/>
  <c r="AI184" i="20"/>
  <c r="AG184" i="20"/>
  <c r="AF184" i="20"/>
  <c r="AE184" i="20"/>
  <c r="AD184" i="20"/>
  <c r="AC184" i="20"/>
  <c r="AA184" i="20"/>
  <c r="Z184" i="20"/>
  <c r="Y184" i="20"/>
  <c r="X184" i="20"/>
  <c r="W184" i="20"/>
  <c r="AM183" i="20"/>
  <c r="AL183" i="20"/>
  <c r="AK183" i="20"/>
  <c r="AJ183" i="20"/>
  <c r="AI183" i="20"/>
  <c r="AG183" i="20"/>
  <c r="AF183" i="20"/>
  <c r="AE183" i="20"/>
  <c r="AD183" i="20"/>
  <c r="AC183" i="20"/>
  <c r="AA183" i="20"/>
  <c r="Z183" i="20"/>
  <c r="Y183" i="20"/>
  <c r="X183" i="20"/>
  <c r="W183" i="20"/>
  <c r="AM182" i="20"/>
  <c r="AL182" i="20"/>
  <c r="AK182" i="20"/>
  <c r="AJ182" i="20"/>
  <c r="AI182" i="20"/>
  <c r="AG182" i="20"/>
  <c r="AF182" i="20"/>
  <c r="AE182" i="20"/>
  <c r="AD182" i="20"/>
  <c r="AC182" i="20"/>
  <c r="AA182" i="20"/>
  <c r="Z182" i="20"/>
  <c r="Y182" i="20"/>
  <c r="X182" i="20"/>
  <c r="W182" i="20"/>
  <c r="AM181" i="20"/>
  <c r="AL181" i="20"/>
  <c r="AK181" i="20"/>
  <c r="AJ181" i="20"/>
  <c r="AI181" i="20"/>
  <c r="AG181" i="20"/>
  <c r="AF181" i="20"/>
  <c r="AE181" i="20"/>
  <c r="AD181" i="20"/>
  <c r="AC181" i="20"/>
  <c r="AA181" i="20"/>
  <c r="Z181" i="20"/>
  <c r="Y181" i="20"/>
  <c r="X181" i="20"/>
  <c r="W181" i="20"/>
  <c r="AM180" i="20"/>
  <c r="AL180" i="20"/>
  <c r="AK180" i="20"/>
  <c r="AJ180" i="20"/>
  <c r="AI180" i="20"/>
  <c r="AG180" i="20"/>
  <c r="AF180" i="20"/>
  <c r="AE180" i="20"/>
  <c r="AD180" i="20"/>
  <c r="AC180" i="20"/>
  <c r="AA180" i="20"/>
  <c r="Z180" i="20"/>
  <c r="Y180" i="20"/>
  <c r="X180" i="20"/>
  <c r="W180" i="20"/>
  <c r="AM179" i="20"/>
  <c r="AL179" i="20"/>
  <c r="AK179" i="20"/>
  <c r="AJ179" i="20"/>
  <c r="AI179" i="20"/>
  <c r="AG179" i="20"/>
  <c r="AF179" i="20"/>
  <c r="AE179" i="20"/>
  <c r="AD179" i="20"/>
  <c r="AC179" i="20"/>
  <c r="AA179" i="20"/>
  <c r="Z179" i="20"/>
  <c r="Y179" i="20"/>
  <c r="X179" i="20"/>
  <c r="W179" i="20"/>
  <c r="AM178" i="20"/>
  <c r="AL178" i="20"/>
  <c r="AK178" i="20"/>
  <c r="AJ178" i="20"/>
  <c r="AI178" i="20"/>
  <c r="AG178" i="20"/>
  <c r="AF178" i="20"/>
  <c r="AE178" i="20"/>
  <c r="AD178" i="20"/>
  <c r="AC178" i="20"/>
  <c r="AA178" i="20"/>
  <c r="Z178" i="20"/>
  <c r="Y178" i="20"/>
  <c r="X178" i="20"/>
  <c r="W178" i="20"/>
  <c r="AM177" i="20"/>
  <c r="AL177" i="20"/>
  <c r="AK177" i="20"/>
  <c r="AJ177" i="20"/>
  <c r="AI177" i="20"/>
  <c r="AG177" i="20"/>
  <c r="AF177" i="20"/>
  <c r="AE177" i="20"/>
  <c r="AD177" i="20"/>
  <c r="AC177" i="20"/>
  <c r="AA177" i="20"/>
  <c r="Z177" i="20"/>
  <c r="Y177" i="20"/>
  <c r="X177" i="20"/>
  <c r="W177" i="20"/>
  <c r="AM176" i="20"/>
  <c r="AL176" i="20"/>
  <c r="AK176" i="20"/>
  <c r="AJ176" i="20"/>
  <c r="AI176" i="20"/>
  <c r="AG176" i="20"/>
  <c r="AF176" i="20"/>
  <c r="AE176" i="20"/>
  <c r="AD176" i="20"/>
  <c r="AC176" i="20"/>
  <c r="AA176" i="20"/>
  <c r="Z176" i="20"/>
  <c r="Y176" i="20"/>
  <c r="X176" i="20"/>
  <c r="W176" i="20"/>
  <c r="AM175" i="20"/>
  <c r="AL175" i="20"/>
  <c r="AK175" i="20"/>
  <c r="AJ175" i="20"/>
  <c r="AI175" i="20"/>
  <c r="AG175" i="20"/>
  <c r="AF175" i="20"/>
  <c r="AE175" i="20"/>
  <c r="AD175" i="20"/>
  <c r="AC175" i="20"/>
  <c r="AA175" i="20"/>
  <c r="Z175" i="20"/>
  <c r="Y175" i="20"/>
  <c r="X175" i="20"/>
  <c r="W175" i="20"/>
  <c r="AM174" i="20"/>
  <c r="AL174" i="20"/>
  <c r="AK174" i="20"/>
  <c r="AJ174" i="20"/>
  <c r="AI174" i="20"/>
  <c r="AG174" i="20"/>
  <c r="AF174" i="20"/>
  <c r="AE174" i="20"/>
  <c r="AD174" i="20"/>
  <c r="AC174" i="20"/>
  <c r="AA174" i="20"/>
  <c r="Z174" i="20"/>
  <c r="Y174" i="20"/>
  <c r="X174" i="20"/>
  <c r="W174" i="20"/>
  <c r="AM173" i="20"/>
  <c r="AL173" i="20"/>
  <c r="AK173" i="20"/>
  <c r="AJ173" i="20"/>
  <c r="AI173" i="20"/>
  <c r="AG173" i="20"/>
  <c r="AF173" i="20"/>
  <c r="AE173" i="20"/>
  <c r="AD173" i="20"/>
  <c r="AC173" i="20"/>
  <c r="AA173" i="20"/>
  <c r="Z173" i="20"/>
  <c r="Y173" i="20"/>
  <c r="X173" i="20"/>
  <c r="W173" i="20"/>
  <c r="AM172" i="20"/>
  <c r="AL172" i="20"/>
  <c r="AK172" i="20"/>
  <c r="AJ172" i="20"/>
  <c r="AI172" i="20"/>
  <c r="AG172" i="20"/>
  <c r="AF172" i="20"/>
  <c r="AE172" i="20"/>
  <c r="AD172" i="20"/>
  <c r="AC172" i="20"/>
  <c r="AA172" i="20"/>
  <c r="Z172" i="20"/>
  <c r="Y172" i="20"/>
  <c r="X172" i="20"/>
  <c r="W172" i="20"/>
  <c r="AM171" i="20"/>
  <c r="AL171" i="20"/>
  <c r="AK171" i="20"/>
  <c r="AJ171" i="20"/>
  <c r="AI171" i="20"/>
  <c r="AG171" i="20"/>
  <c r="AF171" i="20"/>
  <c r="AE171" i="20"/>
  <c r="AD171" i="20"/>
  <c r="AC171" i="20"/>
  <c r="AA171" i="20"/>
  <c r="Z171" i="20"/>
  <c r="Y171" i="20"/>
  <c r="X171" i="20"/>
  <c r="W171" i="20"/>
  <c r="AM170" i="20"/>
  <c r="AL170" i="20"/>
  <c r="AK170" i="20"/>
  <c r="AJ170" i="20"/>
  <c r="AI170" i="20"/>
  <c r="AG170" i="20"/>
  <c r="AF170" i="20"/>
  <c r="AE170" i="20"/>
  <c r="AD170" i="20"/>
  <c r="AC170" i="20"/>
  <c r="AA170" i="20"/>
  <c r="Z170" i="20"/>
  <c r="Y170" i="20"/>
  <c r="X170" i="20"/>
  <c r="W170" i="20"/>
  <c r="AM169" i="20"/>
  <c r="AL169" i="20"/>
  <c r="AK169" i="20"/>
  <c r="AJ169" i="20"/>
  <c r="AI169" i="20"/>
  <c r="AG169" i="20"/>
  <c r="AF169" i="20"/>
  <c r="AE169" i="20"/>
  <c r="AD169" i="20"/>
  <c r="AC169" i="20"/>
  <c r="AA169" i="20"/>
  <c r="Z169" i="20"/>
  <c r="Y169" i="20"/>
  <c r="X169" i="20"/>
  <c r="W169" i="20"/>
  <c r="AM168" i="20"/>
  <c r="AL168" i="20"/>
  <c r="AK168" i="20"/>
  <c r="AJ168" i="20"/>
  <c r="AI168" i="20"/>
  <c r="AG168" i="20"/>
  <c r="AF168" i="20"/>
  <c r="AE168" i="20"/>
  <c r="AD168" i="20"/>
  <c r="AC168" i="20"/>
  <c r="AA168" i="20"/>
  <c r="Z168" i="20"/>
  <c r="Y168" i="20"/>
  <c r="X168" i="20"/>
  <c r="W168" i="20"/>
  <c r="AM167" i="20"/>
  <c r="AL167" i="20"/>
  <c r="AK167" i="20"/>
  <c r="AJ167" i="20"/>
  <c r="AI167" i="20"/>
  <c r="AG167" i="20"/>
  <c r="AF167" i="20"/>
  <c r="AE167" i="20"/>
  <c r="AD167" i="20"/>
  <c r="AC167" i="20"/>
  <c r="AA167" i="20"/>
  <c r="Z167" i="20"/>
  <c r="Y167" i="20"/>
  <c r="X167" i="20"/>
  <c r="W167" i="20"/>
  <c r="AM166" i="20"/>
  <c r="AL166" i="20"/>
  <c r="AK166" i="20"/>
  <c r="AJ166" i="20"/>
  <c r="AI166" i="20"/>
  <c r="AG166" i="20"/>
  <c r="AF166" i="20"/>
  <c r="AE166" i="20"/>
  <c r="AD166" i="20"/>
  <c r="AC166" i="20"/>
  <c r="AA166" i="20"/>
  <c r="Z166" i="20"/>
  <c r="Y166" i="20"/>
  <c r="X166" i="20"/>
  <c r="W166" i="20"/>
  <c r="AM165" i="20"/>
  <c r="AL165" i="20"/>
  <c r="AK165" i="20"/>
  <c r="AJ165" i="20"/>
  <c r="AI165" i="20"/>
  <c r="AG165" i="20"/>
  <c r="AF165" i="20"/>
  <c r="AE165" i="20"/>
  <c r="AD165" i="20"/>
  <c r="AC165" i="20"/>
  <c r="AA165" i="20"/>
  <c r="Z165" i="20"/>
  <c r="Y165" i="20"/>
  <c r="X165" i="20"/>
  <c r="W165" i="20"/>
  <c r="AM164" i="20"/>
  <c r="AL164" i="20"/>
  <c r="AK164" i="20"/>
  <c r="AJ164" i="20"/>
  <c r="AI164" i="20"/>
  <c r="AG164" i="20"/>
  <c r="AF164" i="20"/>
  <c r="AE164" i="20"/>
  <c r="AD164" i="20"/>
  <c r="AC164" i="20"/>
  <c r="AA164" i="20"/>
  <c r="Z164" i="20"/>
  <c r="Y164" i="20"/>
  <c r="X164" i="20"/>
  <c r="W164" i="20"/>
  <c r="AM163" i="20"/>
  <c r="AL163" i="20"/>
  <c r="AK163" i="20"/>
  <c r="AJ163" i="20"/>
  <c r="AI163" i="20"/>
  <c r="AG163" i="20"/>
  <c r="AF163" i="20"/>
  <c r="AE163" i="20"/>
  <c r="AD163" i="20"/>
  <c r="AC163" i="20"/>
  <c r="AA163" i="20"/>
  <c r="Z163" i="20"/>
  <c r="Y163" i="20"/>
  <c r="X163" i="20"/>
  <c r="W163" i="20"/>
  <c r="AM162" i="20"/>
  <c r="AL162" i="20"/>
  <c r="AK162" i="20"/>
  <c r="AJ162" i="20"/>
  <c r="AI162" i="20"/>
  <c r="AG162" i="20"/>
  <c r="AF162" i="20"/>
  <c r="AE162" i="20"/>
  <c r="AD162" i="20"/>
  <c r="AC162" i="20"/>
  <c r="AA162" i="20"/>
  <c r="Z162" i="20"/>
  <c r="Y162" i="20"/>
  <c r="X162" i="20"/>
  <c r="W162" i="20"/>
  <c r="AM161" i="20"/>
  <c r="AL161" i="20"/>
  <c r="AK161" i="20"/>
  <c r="AJ161" i="20"/>
  <c r="AI161" i="20"/>
  <c r="AG161" i="20"/>
  <c r="AF161" i="20"/>
  <c r="AE161" i="20"/>
  <c r="AD161" i="20"/>
  <c r="AC161" i="20"/>
  <c r="AA161" i="20"/>
  <c r="Z161" i="20"/>
  <c r="Y161" i="20"/>
  <c r="X161" i="20"/>
  <c r="W161" i="20"/>
  <c r="AM160" i="20"/>
  <c r="AL160" i="20"/>
  <c r="AK160" i="20"/>
  <c r="AJ160" i="20"/>
  <c r="AI160" i="20"/>
  <c r="AG160" i="20"/>
  <c r="AF160" i="20"/>
  <c r="AE160" i="20"/>
  <c r="AD160" i="20"/>
  <c r="AC160" i="20"/>
  <c r="AA160" i="20"/>
  <c r="Z160" i="20"/>
  <c r="Y160" i="20"/>
  <c r="X160" i="20"/>
  <c r="W160" i="20"/>
  <c r="AM159" i="20"/>
  <c r="AL159" i="20"/>
  <c r="AK159" i="20"/>
  <c r="AJ159" i="20"/>
  <c r="AI159" i="20"/>
  <c r="AG159" i="20"/>
  <c r="AF159" i="20"/>
  <c r="AE159" i="20"/>
  <c r="AD159" i="20"/>
  <c r="AC159" i="20"/>
  <c r="AA159" i="20"/>
  <c r="Z159" i="20"/>
  <c r="Y159" i="20"/>
  <c r="X159" i="20"/>
  <c r="W159" i="20"/>
  <c r="AM158" i="20"/>
  <c r="AL158" i="20"/>
  <c r="AK158" i="20"/>
  <c r="AJ158" i="20"/>
  <c r="AI158" i="20"/>
  <c r="AG158" i="20"/>
  <c r="AF158" i="20"/>
  <c r="AE158" i="20"/>
  <c r="AD158" i="20"/>
  <c r="AC158" i="20"/>
  <c r="AA158" i="20"/>
  <c r="Z158" i="20"/>
  <c r="Y158" i="20"/>
  <c r="X158" i="20"/>
  <c r="W158" i="20"/>
  <c r="AM157" i="20"/>
  <c r="AL157" i="20"/>
  <c r="AK157" i="20"/>
  <c r="AJ157" i="20"/>
  <c r="AI157" i="20"/>
  <c r="AG157" i="20"/>
  <c r="AF157" i="20"/>
  <c r="AE157" i="20"/>
  <c r="AD157" i="20"/>
  <c r="AC157" i="20"/>
  <c r="AA157" i="20"/>
  <c r="Z157" i="20"/>
  <c r="Y157" i="20"/>
  <c r="X157" i="20"/>
  <c r="W157" i="20"/>
  <c r="AM156" i="20"/>
  <c r="AL156" i="20"/>
  <c r="AK156" i="20"/>
  <c r="AJ156" i="20"/>
  <c r="AI156" i="20"/>
  <c r="AG156" i="20"/>
  <c r="AF156" i="20"/>
  <c r="AE156" i="20"/>
  <c r="AD156" i="20"/>
  <c r="AC156" i="20"/>
  <c r="AA156" i="20"/>
  <c r="Z156" i="20"/>
  <c r="Y156" i="20"/>
  <c r="X156" i="20"/>
  <c r="W156" i="20"/>
  <c r="AM155" i="20"/>
  <c r="AL155" i="20"/>
  <c r="AK155" i="20"/>
  <c r="AJ155" i="20"/>
  <c r="AI155" i="20"/>
  <c r="AG155" i="20"/>
  <c r="AF155" i="20"/>
  <c r="AE155" i="20"/>
  <c r="AD155" i="20"/>
  <c r="AC155" i="20"/>
  <c r="AA155" i="20"/>
  <c r="Z155" i="20"/>
  <c r="Y155" i="20"/>
  <c r="X155" i="20"/>
  <c r="W155" i="20"/>
  <c r="AM154" i="20"/>
  <c r="AL154" i="20"/>
  <c r="AK154" i="20"/>
  <c r="AJ154" i="20"/>
  <c r="AI154" i="20"/>
  <c r="AG154" i="20"/>
  <c r="AF154" i="20"/>
  <c r="AE154" i="20"/>
  <c r="AD154" i="20"/>
  <c r="AC154" i="20"/>
  <c r="AA154" i="20"/>
  <c r="Z154" i="20"/>
  <c r="Y154" i="20"/>
  <c r="X154" i="20"/>
  <c r="W154" i="20"/>
  <c r="AM153" i="20"/>
  <c r="AL153" i="20"/>
  <c r="AK153" i="20"/>
  <c r="AJ153" i="20"/>
  <c r="AI153" i="20"/>
  <c r="AG153" i="20"/>
  <c r="AF153" i="20"/>
  <c r="AE153" i="20"/>
  <c r="AD153" i="20"/>
  <c r="AC153" i="20"/>
  <c r="AA153" i="20"/>
  <c r="Z153" i="20"/>
  <c r="Y153" i="20"/>
  <c r="X153" i="20"/>
  <c r="W153" i="20"/>
  <c r="AM152" i="20"/>
  <c r="AL152" i="20"/>
  <c r="AK152" i="20"/>
  <c r="AJ152" i="20"/>
  <c r="AI152" i="20"/>
  <c r="AG152" i="20"/>
  <c r="AF152" i="20"/>
  <c r="AE152" i="20"/>
  <c r="AD152" i="20"/>
  <c r="AC152" i="20"/>
  <c r="AA152" i="20"/>
  <c r="Z152" i="20"/>
  <c r="Y152" i="20"/>
  <c r="X152" i="20"/>
  <c r="W152" i="20"/>
  <c r="AM151" i="20"/>
  <c r="AL151" i="20"/>
  <c r="AK151" i="20"/>
  <c r="AJ151" i="20"/>
  <c r="AI151" i="20"/>
  <c r="AG151" i="20"/>
  <c r="AF151" i="20"/>
  <c r="AE151" i="20"/>
  <c r="AD151" i="20"/>
  <c r="AC151" i="20"/>
  <c r="AA151" i="20"/>
  <c r="Z151" i="20"/>
  <c r="Y151" i="20"/>
  <c r="X151" i="20"/>
  <c r="W151" i="20"/>
  <c r="AM150" i="20"/>
  <c r="AL150" i="20"/>
  <c r="AK150" i="20"/>
  <c r="AJ150" i="20"/>
  <c r="AI150" i="20"/>
  <c r="AG150" i="20"/>
  <c r="AF150" i="20"/>
  <c r="AE150" i="20"/>
  <c r="AD150" i="20"/>
  <c r="AC150" i="20"/>
  <c r="AA150" i="20"/>
  <c r="Z150" i="20"/>
  <c r="Y150" i="20"/>
  <c r="X150" i="20"/>
  <c r="W150" i="20"/>
  <c r="AM149" i="20"/>
  <c r="AL149" i="20"/>
  <c r="AK149" i="20"/>
  <c r="AJ149" i="20"/>
  <c r="AI149" i="20"/>
  <c r="AG149" i="20"/>
  <c r="AF149" i="20"/>
  <c r="AE149" i="20"/>
  <c r="AD149" i="20"/>
  <c r="AC149" i="20"/>
  <c r="AA149" i="20"/>
  <c r="Z149" i="20"/>
  <c r="Y149" i="20"/>
  <c r="X149" i="20"/>
  <c r="W149" i="20"/>
  <c r="AM148" i="20"/>
  <c r="AL148" i="20"/>
  <c r="AK148" i="20"/>
  <c r="AJ148" i="20"/>
  <c r="AI148" i="20"/>
  <c r="AG148" i="20"/>
  <c r="AF148" i="20"/>
  <c r="AE148" i="20"/>
  <c r="AD148" i="20"/>
  <c r="AC148" i="20"/>
  <c r="AA148" i="20"/>
  <c r="Z148" i="20"/>
  <c r="Y148" i="20"/>
  <c r="X148" i="20"/>
  <c r="W148" i="20"/>
  <c r="AM147" i="20"/>
  <c r="AL147" i="20"/>
  <c r="AK147" i="20"/>
  <c r="AJ147" i="20"/>
  <c r="AI147" i="20"/>
  <c r="AG147" i="20"/>
  <c r="AF147" i="20"/>
  <c r="AE147" i="20"/>
  <c r="AD147" i="20"/>
  <c r="AC147" i="20"/>
  <c r="AA147" i="20"/>
  <c r="Z147" i="20"/>
  <c r="Y147" i="20"/>
  <c r="X147" i="20"/>
  <c r="W147" i="20"/>
  <c r="AM146" i="20"/>
  <c r="AL146" i="20"/>
  <c r="AK146" i="20"/>
  <c r="AJ146" i="20"/>
  <c r="AI146" i="20"/>
  <c r="AG146" i="20"/>
  <c r="AF146" i="20"/>
  <c r="AE146" i="20"/>
  <c r="AD146" i="20"/>
  <c r="AC146" i="20"/>
  <c r="AA146" i="20"/>
  <c r="Z146" i="20"/>
  <c r="Y146" i="20"/>
  <c r="X146" i="20"/>
  <c r="W146" i="20"/>
  <c r="AM145" i="20"/>
  <c r="AL145" i="20"/>
  <c r="AK145" i="20"/>
  <c r="AJ145" i="20"/>
  <c r="AI145" i="20"/>
  <c r="AG145" i="20"/>
  <c r="AF145" i="20"/>
  <c r="AE145" i="20"/>
  <c r="AD145" i="20"/>
  <c r="AC145" i="20"/>
  <c r="AA145" i="20"/>
  <c r="Z145" i="20"/>
  <c r="Y145" i="20"/>
  <c r="X145" i="20"/>
  <c r="W145" i="20"/>
  <c r="AM144" i="20"/>
  <c r="AL144" i="20"/>
  <c r="AK144" i="20"/>
  <c r="AJ144" i="20"/>
  <c r="AI144" i="20"/>
  <c r="AG144" i="20"/>
  <c r="AF144" i="20"/>
  <c r="AE144" i="20"/>
  <c r="AD144" i="20"/>
  <c r="AC144" i="20"/>
  <c r="AA144" i="20"/>
  <c r="Z144" i="20"/>
  <c r="Y144" i="20"/>
  <c r="X144" i="20"/>
  <c r="W144" i="20"/>
  <c r="AM143" i="20"/>
  <c r="AL143" i="20"/>
  <c r="AK143" i="20"/>
  <c r="AJ143" i="20"/>
  <c r="AI143" i="20"/>
  <c r="AG143" i="20"/>
  <c r="AF143" i="20"/>
  <c r="AE143" i="20"/>
  <c r="AD143" i="20"/>
  <c r="AC143" i="20"/>
  <c r="AA143" i="20"/>
  <c r="Z143" i="20"/>
  <c r="Y143" i="20"/>
  <c r="X143" i="20"/>
  <c r="W143" i="20"/>
  <c r="AM142" i="20"/>
  <c r="AL142" i="20"/>
  <c r="AK142" i="20"/>
  <c r="AJ142" i="20"/>
  <c r="AI142" i="20"/>
  <c r="AG142" i="20"/>
  <c r="AF142" i="20"/>
  <c r="AE142" i="20"/>
  <c r="AD142" i="20"/>
  <c r="AC142" i="20"/>
  <c r="AA142" i="20"/>
  <c r="Z142" i="20"/>
  <c r="Y142" i="20"/>
  <c r="X142" i="20"/>
  <c r="W142" i="20"/>
  <c r="AM141" i="20"/>
  <c r="AL141" i="20"/>
  <c r="AK141" i="20"/>
  <c r="AJ141" i="20"/>
  <c r="AI141" i="20"/>
  <c r="AG141" i="20"/>
  <c r="AF141" i="20"/>
  <c r="AE141" i="20"/>
  <c r="AD141" i="20"/>
  <c r="AC141" i="20"/>
  <c r="AA141" i="20"/>
  <c r="Z141" i="20"/>
  <c r="Y141" i="20"/>
  <c r="X141" i="20"/>
  <c r="W141" i="20"/>
  <c r="AM140" i="20"/>
  <c r="AL140" i="20"/>
  <c r="AK140" i="20"/>
  <c r="AJ140" i="20"/>
  <c r="AI140" i="20"/>
  <c r="AG140" i="20"/>
  <c r="AF140" i="20"/>
  <c r="AE140" i="20"/>
  <c r="AD140" i="20"/>
  <c r="AC140" i="20"/>
  <c r="AA140" i="20"/>
  <c r="Z140" i="20"/>
  <c r="Y140" i="20"/>
  <c r="X140" i="20"/>
  <c r="W140" i="20"/>
  <c r="AM139" i="20"/>
  <c r="AL139" i="20"/>
  <c r="AK139" i="20"/>
  <c r="AJ139" i="20"/>
  <c r="AI139" i="20"/>
  <c r="AG139" i="20"/>
  <c r="AF139" i="20"/>
  <c r="AE139" i="20"/>
  <c r="AD139" i="20"/>
  <c r="AC139" i="20"/>
  <c r="AA139" i="20"/>
  <c r="Z139" i="20"/>
  <c r="Y139" i="20"/>
  <c r="X139" i="20"/>
  <c r="W139" i="20"/>
  <c r="AM138" i="20"/>
  <c r="AL138" i="20"/>
  <c r="AK138" i="20"/>
  <c r="AJ138" i="20"/>
  <c r="AI138" i="20"/>
  <c r="AG138" i="20"/>
  <c r="AF138" i="20"/>
  <c r="AE138" i="20"/>
  <c r="AD138" i="20"/>
  <c r="AC138" i="20"/>
  <c r="AA138" i="20"/>
  <c r="Z138" i="20"/>
  <c r="Y138" i="20"/>
  <c r="X138" i="20"/>
  <c r="W138" i="20"/>
  <c r="AM137" i="20"/>
  <c r="AL137" i="20"/>
  <c r="AK137" i="20"/>
  <c r="AJ137" i="20"/>
  <c r="AI137" i="20"/>
  <c r="AG137" i="20"/>
  <c r="AF137" i="20"/>
  <c r="AE137" i="20"/>
  <c r="AD137" i="20"/>
  <c r="AC137" i="20"/>
  <c r="AA137" i="20"/>
  <c r="Z137" i="20"/>
  <c r="Y137" i="20"/>
  <c r="X137" i="20"/>
  <c r="W137" i="20"/>
  <c r="AM136" i="20"/>
  <c r="AL136" i="20"/>
  <c r="AK136" i="20"/>
  <c r="AJ136" i="20"/>
  <c r="AI136" i="20"/>
  <c r="AG136" i="20"/>
  <c r="AF136" i="20"/>
  <c r="AE136" i="20"/>
  <c r="AD136" i="20"/>
  <c r="AC136" i="20"/>
  <c r="AA136" i="20"/>
  <c r="Z136" i="20"/>
  <c r="Y136" i="20"/>
  <c r="X136" i="20"/>
  <c r="W136" i="20"/>
  <c r="AM135" i="20"/>
  <c r="AL135" i="20"/>
  <c r="AK135" i="20"/>
  <c r="AJ135" i="20"/>
  <c r="AI135" i="20"/>
  <c r="AG135" i="20"/>
  <c r="AF135" i="20"/>
  <c r="AE135" i="20"/>
  <c r="AD135" i="20"/>
  <c r="AC135" i="20"/>
  <c r="AA135" i="20"/>
  <c r="Z135" i="20"/>
  <c r="Y135" i="20"/>
  <c r="X135" i="20"/>
  <c r="W135" i="20"/>
  <c r="AM134" i="20"/>
  <c r="AL134" i="20"/>
  <c r="AK134" i="20"/>
  <c r="AJ134" i="20"/>
  <c r="AI134" i="20"/>
  <c r="AG134" i="20"/>
  <c r="AF134" i="20"/>
  <c r="AE134" i="20"/>
  <c r="AD134" i="20"/>
  <c r="AC134" i="20"/>
  <c r="AA134" i="20"/>
  <c r="Z134" i="20"/>
  <c r="Y134" i="20"/>
  <c r="X134" i="20"/>
  <c r="W134" i="20"/>
  <c r="AM133" i="20"/>
  <c r="AL133" i="20"/>
  <c r="AK133" i="20"/>
  <c r="AJ133" i="20"/>
  <c r="AI133" i="20"/>
  <c r="AG133" i="20"/>
  <c r="AF133" i="20"/>
  <c r="AE133" i="20"/>
  <c r="AD133" i="20"/>
  <c r="AC133" i="20"/>
  <c r="AA133" i="20"/>
  <c r="Z133" i="20"/>
  <c r="Y133" i="20"/>
  <c r="X133" i="20"/>
  <c r="W133" i="20"/>
  <c r="AM132" i="20"/>
  <c r="AL132" i="20"/>
  <c r="AK132" i="20"/>
  <c r="AJ132" i="20"/>
  <c r="AI132" i="20"/>
  <c r="AG132" i="20"/>
  <c r="AF132" i="20"/>
  <c r="AE132" i="20"/>
  <c r="AD132" i="20"/>
  <c r="AC132" i="20"/>
  <c r="AA132" i="20"/>
  <c r="Z132" i="20"/>
  <c r="Y132" i="20"/>
  <c r="X132" i="20"/>
  <c r="W132" i="20"/>
  <c r="AM131" i="20"/>
  <c r="AL131" i="20"/>
  <c r="AK131" i="20"/>
  <c r="AJ131" i="20"/>
  <c r="AI131" i="20"/>
  <c r="AG131" i="20"/>
  <c r="AF131" i="20"/>
  <c r="AE131" i="20"/>
  <c r="AD131" i="20"/>
  <c r="AC131" i="20"/>
  <c r="AA131" i="20"/>
  <c r="Z131" i="20"/>
  <c r="Y131" i="20"/>
  <c r="X131" i="20"/>
  <c r="W131" i="20"/>
  <c r="AM130" i="20"/>
  <c r="AL130" i="20"/>
  <c r="AK130" i="20"/>
  <c r="AJ130" i="20"/>
  <c r="AI130" i="20"/>
  <c r="AG130" i="20"/>
  <c r="AF130" i="20"/>
  <c r="AE130" i="20"/>
  <c r="AD130" i="20"/>
  <c r="AC130" i="20"/>
  <c r="AA130" i="20"/>
  <c r="Z130" i="20"/>
  <c r="Y130" i="20"/>
  <c r="X130" i="20"/>
  <c r="W130" i="20"/>
  <c r="AM129" i="20"/>
  <c r="AL129" i="20"/>
  <c r="AK129" i="20"/>
  <c r="AJ129" i="20"/>
  <c r="AI129" i="20"/>
  <c r="AG129" i="20"/>
  <c r="AF129" i="20"/>
  <c r="AE129" i="20"/>
  <c r="AD129" i="20"/>
  <c r="AC129" i="20"/>
  <c r="AA129" i="20"/>
  <c r="Z129" i="20"/>
  <c r="Y129" i="20"/>
  <c r="X129" i="20"/>
  <c r="W129" i="20"/>
  <c r="AM128" i="20"/>
  <c r="AL128" i="20"/>
  <c r="AK128" i="20"/>
  <c r="AJ128" i="20"/>
  <c r="AI128" i="20"/>
  <c r="AG128" i="20"/>
  <c r="AF128" i="20"/>
  <c r="AE128" i="20"/>
  <c r="AD128" i="20"/>
  <c r="AC128" i="20"/>
  <c r="AA128" i="20"/>
  <c r="Z128" i="20"/>
  <c r="Y128" i="20"/>
  <c r="X128" i="20"/>
  <c r="W128" i="20"/>
  <c r="AM127" i="20"/>
  <c r="AL127" i="20"/>
  <c r="AK127" i="20"/>
  <c r="AJ127" i="20"/>
  <c r="AI127" i="20"/>
  <c r="AG127" i="20"/>
  <c r="AF127" i="20"/>
  <c r="AE127" i="20"/>
  <c r="AD127" i="20"/>
  <c r="AC127" i="20"/>
  <c r="AA127" i="20"/>
  <c r="Z127" i="20"/>
  <c r="Y127" i="20"/>
  <c r="X127" i="20"/>
  <c r="W127" i="20"/>
  <c r="AM126" i="20"/>
  <c r="AL126" i="20"/>
  <c r="AK126" i="20"/>
  <c r="AJ126" i="20"/>
  <c r="AI126" i="20"/>
  <c r="AG126" i="20"/>
  <c r="AF126" i="20"/>
  <c r="AE126" i="20"/>
  <c r="AD126" i="20"/>
  <c r="AC126" i="20"/>
  <c r="AA126" i="20"/>
  <c r="Z126" i="20"/>
  <c r="Y126" i="20"/>
  <c r="X126" i="20"/>
  <c r="W126" i="20"/>
  <c r="AM125" i="20"/>
  <c r="AL125" i="20"/>
  <c r="AK125" i="20"/>
  <c r="AJ125" i="20"/>
  <c r="AI125" i="20"/>
  <c r="AG125" i="20"/>
  <c r="AF125" i="20"/>
  <c r="AE125" i="20"/>
  <c r="AD125" i="20"/>
  <c r="AC125" i="20"/>
  <c r="AA125" i="20"/>
  <c r="Z125" i="20"/>
  <c r="Y125" i="20"/>
  <c r="X125" i="20"/>
  <c r="W125" i="20"/>
  <c r="AM124" i="20"/>
  <c r="AL124" i="20"/>
  <c r="AK124" i="20"/>
  <c r="AJ124" i="20"/>
  <c r="AI124" i="20"/>
  <c r="AG124" i="20"/>
  <c r="AF124" i="20"/>
  <c r="AE124" i="20"/>
  <c r="AD124" i="20"/>
  <c r="AC124" i="20"/>
  <c r="AA124" i="20"/>
  <c r="Z124" i="20"/>
  <c r="Y124" i="20"/>
  <c r="X124" i="20"/>
  <c r="W124" i="20"/>
  <c r="AM123" i="20"/>
  <c r="AL123" i="20"/>
  <c r="AK123" i="20"/>
  <c r="AJ123" i="20"/>
  <c r="AI123" i="20"/>
  <c r="AG123" i="20"/>
  <c r="AF123" i="20"/>
  <c r="AE123" i="20"/>
  <c r="AD123" i="20"/>
  <c r="AC123" i="20"/>
  <c r="AA123" i="20"/>
  <c r="Z123" i="20"/>
  <c r="Y123" i="20"/>
  <c r="X123" i="20"/>
  <c r="W123" i="20"/>
  <c r="AM122" i="20"/>
  <c r="AL122" i="20"/>
  <c r="AK122" i="20"/>
  <c r="AJ122" i="20"/>
  <c r="AI122" i="20"/>
  <c r="AG122" i="20"/>
  <c r="AF122" i="20"/>
  <c r="AE122" i="20"/>
  <c r="AD122" i="20"/>
  <c r="AC122" i="20"/>
  <c r="AA122" i="20"/>
  <c r="Z122" i="20"/>
  <c r="Y122" i="20"/>
  <c r="X122" i="20"/>
  <c r="W122" i="20"/>
  <c r="AM121" i="20"/>
  <c r="AL121" i="20"/>
  <c r="AK121" i="20"/>
  <c r="AJ121" i="20"/>
  <c r="AI121" i="20"/>
  <c r="AG121" i="20"/>
  <c r="AF121" i="20"/>
  <c r="AE121" i="20"/>
  <c r="AD121" i="20"/>
  <c r="AC121" i="20"/>
  <c r="AA121" i="20"/>
  <c r="Z121" i="20"/>
  <c r="Y121" i="20"/>
  <c r="X121" i="20"/>
  <c r="W121" i="20"/>
  <c r="AM120" i="20"/>
  <c r="AL120" i="20"/>
  <c r="AK120" i="20"/>
  <c r="AJ120" i="20"/>
  <c r="AI120" i="20"/>
  <c r="AG120" i="20"/>
  <c r="AF120" i="20"/>
  <c r="AE120" i="20"/>
  <c r="AD120" i="20"/>
  <c r="AC120" i="20"/>
  <c r="AA120" i="20"/>
  <c r="Z120" i="20"/>
  <c r="Y120" i="20"/>
  <c r="X120" i="20"/>
  <c r="W120" i="20"/>
  <c r="AM119" i="20"/>
  <c r="AL119" i="20"/>
  <c r="AK119" i="20"/>
  <c r="AJ119" i="20"/>
  <c r="AI119" i="20"/>
  <c r="AG119" i="20"/>
  <c r="AF119" i="20"/>
  <c r="AE119" i="20"/>
  <c r="AD119" i="20"/>
  <c r="AC119" i="20"/>
  <c r="AA119" i="20"/>
  <c r="Z119" i="20"/>
  <c r="Y119" i="20"/>
  <c r="X119" i="20"/>
  <c r="W119" i="20"/>
  <c r="AM118" i="20"/>
  <c r="AL118" i="20"/>
  <c r="AK118" i="20"/>
  <c r="AJ118" i="20"/>
  <c r="AI118" i="20"/>
  <c r="AG118" i="20"/>
  <c r="AF118" i="20"/>
  <c r="AE118" i="20"/>
  <c r="AD118" i="20"/>
  <c r="AC118" i="20"/>
  <c r="AA118" i="20"/>
  <c r="Z118" i="20"/>
  <c r="Y118" i="20"/>
  <c r="X118" i="20"/>
  <c r="W118" i="20"/>
  <c r="AM117" i="20"/>
  <c r="AL117" i="20"/>
  <c r="AK117" i="20"/>
  <c r="AJ117" i="20"/>
  <c r="AI117" i="20"/>
  <c r="AG117" i="20"/>
  <c r="AF117" i="20"/>
  <c r="AE117" i="20"/>
  <c r="AD117" i="20"/>
  <c r="AC117" i="20"/>
  <c r="AA117" i="20"/>
  <c r="Z117" i="20"/>
  <c r="Y117" i="20"/>
  <c r="X117" i="20"/>
  <c r="W117" i="20"/>
  <c r="AM116" i="20"/>
  <c r="AL116" i="20"/>
  <c r="AK116" i="20"/>
  <c r="AJ116" i="20"/>
  <c r="AI116" i="20"/>
  <c r="AG116" i="20"/>
  <c r="AF116" i="20"/>
  <c r="AE116" i="20"/>
  <c r="AD116" i="20"/>
  <c r="AC116" i="20"/>
  <c r="AA116" i="20"/>
  <c r="Z116" i="20"/>
  <c r="Y116" i="20"/>
  <c r="X116" i="20"/>
  <c r="W116" i="20"/>
  <c r="AM115" i="20"/>
  <c r="AL115" i="20"/>
  <c r="AK115" i="20"/>
  <c r="AJ115" i="20"/>
  <c r="AI115" i="20"/>
  <c r="AG115" i="20"/>
  <c r="AF115" i="20"/>
  <c r="AE115" i="20"/>
  <c r="AD115" i="20"/>
  <c r="AC115" i="20"/>
  <c r="AA115" i="20"/>
  <c r="Z115" i="20"/>
  <c r="Y115" i="20"/>
  <c r="X115" i="20"/>
  <c r="W115" i="20"/>
  <c r="AM114" i="20"/>
  <c r="AL114" i="20"/>
  <c r="AK114" i="20"/>
  <c r="AJ114" i="20"/>
  <c r="AI114" i="20"/>
  <c r="AG114" i="20"/>
  <c r="AF114" i="20"/>
  <c r="AE114" i="20"/>
  <c r="AD114" i="20"/>
  <c r="AC114" i="20"/>
  <c r="AA114" i="20"/>
  <c r="Z114" i="20"/>
  <c r="Y114" i="20"/>
  <c r="X114" i="20"/>
  <c r="W114" i="20"/>
  <c r="AM113" i="20"/>
  <c r="AL113" i="20"/>
  <c r="AK113" i="20"/>
  <c r="AJ113" i="20"/>
  <c r="AI113" i="20"/>
  <c r="AG113" i="20"/>
  <c r="AF113" i="20"/>
  <c r="AE113" i="20"/>
  <c r="AD113" i="20"/>
  <c r="AC113" i="20"/>
  <c r="AA113" i="20"/>
  <c r="Z113" i="20"/>
  <c r="Y113" i="20"/>
  <c r="X113" i="20"/>
  <c r="W113" i="20"/>
  <c r="AM112" i="20"/>
  <c r="AL112" i="20"/>
  <c r="AK112" i="20"/>
  <c r="AJ112" i="20"/>
  <c r="AI112" i="20"/>
  <c r="AG112" i="20"/>
  <c r="AF112" i="20"/>
  <c r="AE112" i="20"/>
  <c r="AD112" i="20"/>
  <c r="AC112" i="20"/>
  <c r="AA112" i="20"/>
  <c r="Z112" i="20"/>
  <c r="Y112" i="20"/>
  <c r="X112" i="20"/>
  <c r="W112" i="20"/>
  <c r="AM111" i="20"/>
  <c r="AL111" i="20"/>
  <c r="AK111" i="20"/>
  <c r="AJ111" i="20"/>
  <c r="AI111" i="20"/>
  <c r="AG111" i="20"/>
  <c r="AF111" i="20"/>
  <c r="AE111" i="20"/>
  <c r="AD111" i="20"/>
  <c r="AC111" i="20"/>
  <c r="AA111" i="20"/>
  <c r="Z111" i="20"/>
  <c r="Y111" i="20"/>
  <c r="X111" i="20"/>
  <c r="W111" i="20"/>
  <c r="AM110" i="20"/>
  <c r="AL110" i="20"/>
  <c r="AK110" i="20"/>
  <c r="AJ110" i="20"/>
  <c r="AI110" i="20"/>
  <c r="AG110" i="20"/>
  <c r="AF110" i="20"/>
  <c r="AE110" i="20"/>
  <c r="AD110" i="20"/>
  <c r="AC110" i="20"/>
  <c r="AA110" i="20"/>
  <c r="Z110" i="20"/>
  <c r="Y110" i="20"/>
  <c r="X110" i="20"/>
  <c r="W110" i="20"/>
  <c r="AM109" i="20"/>
  <c r="AL109" i="20"/>
  <c r="AK109" i="20"/>
  <c r="AJ109" i="20"/>
  <c r="AI109" i="20"/>
  <c r="AG109" i="20"/>
  <c r="AF109" i="20"/>
  <c r="AE109" i="20"/>
  <c r="AD109" i="20"/>
  <c r="AC109" i="20"/>
  <c r="AA109" i="20"/>
  <c r="Z109" i="20"/>
  <c r="Y109" i="20"/>
  <c r="X109" i="20"/>
  <c r="W109" i="20"/>
  <c r="AM108" i="20"/>
  <c r="AL108" i="20"/>
  <c r="AK108" i="20"/>
  <c r="AJ108" i="20"/>
  <c r="AI108" i="20"/>
  <c r="AG108" i="20"/>
  <c r="AF108" i="20"/>
  <c r="AE108" i="20"/>
  <c r="AD108" i="20"/>
  <c r="AC108" i="20"/>
  <c r="AA108" i="20"/>
  <c r="Z108" i="20"/>
  <c r="Y108" i="20"/>
  <c r="X108" i="20"/>
  <c r="W108" i="20"/>
  <c r="AM107" i="20"/>
  <c r="AL107" i="20"/>
  <c r="AK107" i="20"/>
  <c r="AJ107" i="20"/>
  <c r="AI107" i="20"/>
  <c r="AG107" i="20"/>
  <c r="AF107" i="20"/>
  <c r="AE107" i="20"/>
  <c r="AD107" i="20"/>
  <c r="AC107" i="20"/>
  <c r="AA107" i="20"/>
  <c r="Z107" i="20"/>
  <c r="Y107" i="20"/>
  <c r="X107" i="20"/>
  <c r="W107" i="20"/>
  <c r="AM106" i="20"/>
  <c r="AL106" i="20"/>
  <c r="AK106" i="20"/>
  <c r="AJ106" i="20"/>
  <c r="AI106" i="20"/>
  <c r="AG106" i="20"/>
  <c r="AF106" i="20"/>
  <c r="AE106" i="20"/>
  <c r="AD106" i="20"/>
  <c r="AC106" i="20"/>
  <c r="AA106" i="20"/>
  <c r="Z106" i="20"/>
  <c r="Y106" i="20"/>
  <c r="X106" i="20"/>
  <c r="W106" i="20"/>
  <c r="AM105" i="20"/>
  <c r="AL105" i="20"/>
  <c r="AK105" i="20"/>
  <c r="AJ105" i="20"/>
  <c r="AI105" i="20"/>
  <c r="AG105" i="20"/>
  <c r="AF105" i="20"/>
  <c r="AE105" i="20"/>
  <c r="AD105" i="20"/>
  <c r="AC105" i="20"/>
  <c r="AA105" i="20"/>
  <c r="Z105" i="20"/>
  <c r="Y105" i="20"/>
  <c r="X105" i="20"/>
  <c r="W105" i="20"/>
  <c r="AM104" i="20"/>
  <c r="AL104" i="20"/>
  <c r="AK104" i="20"/>
  <c r="AJ104" i="20"/>
  <c r="AI104" i="20"/>
  <c r="AG104" i="20"/>
  <c r="AF104" i="20"/>
  <c r="AE104" i="20"/>
  <c r="AD104" i="20"/>
  <c r="AC104" i="20"/>
  <c r="AA104" i="20"/>
  <c r="Z104" i="20"/>
  <c r="Y104" i="20"/>
  <c r="X104" i="20"/>
  <c r="W104" i="20"/>
  <c r="AM103" i="20"/>
  <c r="AL103" i="20"/>
  <c r="AK103" i="20"/>
  <c r="AJ103" i="20"/>
  <c r="AI103" i="20"/>
  <c r="AG103" i="20"/>
  <c r="AF103" i="20"/>
  <c r="AE103" i="20"/>
  <c r="AD103" i="20"/>
  <c r="AC103" i="20"/>
  <c r="AA103" i="20"/>
  <c r="Z103" i="20"/>
  <c r="Y103" i="20"/>
  <c r="X103" i="20"/>
  <c r="W103" i="20"/>
  <c r="AM102" i="20"/>
  <c r="AL102" i="20"/>
  <c r="AK102" i="20"/>
  <c r="AJ102" i="20"/>
  <c r="AI102" i="20"/>
  <c r="AG102" i="20"/>
  <c r="AF102" i="20"/>
  <c r="AE102" i="20"/>
  <c r="AD102" i="20"/>
  <c r="AC102" i="20"/>
  <c r="AA102" i="20"/>
  <c r="Z102" i="20"/>
  <c r="Y102" i="20"/>
  <c r="X102" i="20"/>
  <c r="W102" i="20"/>
  <c r="AM101" i="20"/>
  <c r="AL101" i="20"/>
  <c r="AK101" i="20"/>
  <c r="AJ101" i="20"/>
  <c r="AI101" i="20"/>
  <c r="AG101" i="20"/>
  <c r="AF101" i="20"/>
  <c r="AE101" i="20"/>
  <c r="AD101" i="20"/>
  <c r="AC101" i="20"/>
  <c r="AA101" i="20"/>
  <c r="Z101" i="20"/>
  <c r="Y101" i="20"/>
  <c r="X101" i="20"/>
  <c r="W101" i="20"/>
  <c r="AM100" i="20"/>
  <c r="AL100" i="20"/>
  <c r="AK100" i="20"/>
  <c r="AJ100" i="20"/>
  <c r="AI100" i="20"/>
  <c r="AG100" i="20"/>
  <c r="AF100" i="20"/>
  <c r="AE100" i="20"/>
  <c r="AD100" i="20"/>
  <c r="AC100" i="20"/>
  <c r="AA100" i="20"/>
  <c r="Z100" i="20"/>
  <c r="Y100" i="20"/>
  <c r="X100" i="20"/>
  <c r="W100" i="20"/>
  <c r="AM99" i="20"/>
  <c r="AL99" i="20"/>
  <c r="AK99" i="20"/>
  <c r="AJ99" i="20"/>
  <c r="AI99" i="20"/>
  <c r="AG99" i="20"/>
  <c r="AF99" i="20"/>
  <c r="AE99" i="20"/>
  <c r="AD99" i="20"/>
  <c r="AC99" i="20"/>
  <c r="AA99" i="20"/>
  <c r="Z99" i="20"/>
  <c r="Y99" i="20"/>
  <c r="X99" i="20"/>
  <c r="W99" i="20"/>
  <c r="AM98" i="20"/>
  <c r="AL98" i="20"/>
  <c r="AK98" i="20"/>
  <c r="AJ98" i="20"/>
  <c r="AI98" i="20"/>
  <c r="AG98" i="20"/>
  <c r="AF98" i="20"/>
  <c r="AE98" i="20"/>
  <c r="AD98" i="20"/>
  <c r="AC98" i="20"/>
  <c r="AA98" i="20"/>
  <c r="Z98" i="20"/>
  <c r="Y98" i="20"/>
  <c r="X98" i="20"/>
  <c r="W98" i="20"/>
  <c r="AM97" i="20"/>
  <c r="AL97" i="20"/>
  <c r="AK97" i="20"/>
  <c r="AJ97" i="20"/>
  <c r="AI97" i="20"/>
  <c r="AG97" i="20"/>
  <c r="AF97" i="20"/>
  <c r="AE97" i="20"/>
  <c r="AD97" i="20"/>
  <c r="AC97" i="20"/>
  <c r="AA97" i="20"/>
  <c r="Z97" i="20"/>
  <c r="Y97" i="20"/>
  <c r="X97" i="20"/>
  <c r="W97" i="20"/>
  <c r="AM96" i="20"/>
  <c r="AL96" i="20"/>
  <c r="AK96" i="20"/>
  <c r="AJ96" i="20"/>
  <c r="AI96" i="20"/>
  <c r="AG96" i="20"/>
  <c r="AF96" i="20"/>
  <c r="AE96" i="20"/>
  <c r="AD96" i="20"/>
  <c r="AC96" i="20"/>
  <c r="AA96" i="20"/>
  <c r="Z96" i="20"/>
  <c r="Y96" i="20"/>
  <c r="X96" i="20"/>
  <c r="W96" i="20"/>
  <c r="AM95" i="20"/>
  <c r="AL95" i="20"/>
  <c r="AK95" i="20"/>
  <c r="AJ95" i="20"/>
  <c r="AI95" i="20"/>
  <c r="AG95" i="20"/>
  <c r="AF95" i="20"/>
  <c r="AE95" i="20"/>
  <c r="AD95" i="20"/>
  <c r="AC95" i="20"/>
  <c r="AA95" i="20"/>
  <c r="Z95" i="20"/>
  <c r="Y95" i="20"/>
  <c r="X95" i="20"/>
  <c r="W95" i="20"/>
  <c r="AM94" i="20"/>
  <c r="AL94" i="20"/>
  <c r="AK94" i="20"/>
  <c r="AJ94" i="20"/>
  <c r="AI94" i="20"/>
  <c r="AG94" i="20"/>
  <c r="AF94" i="20"/>
  <c r="AE94" i="20"/>
  <c r="AD94" i="20"/>
  <c r="AC94" i="20"/>
  <c r="AA94" i="20"/>
  <c r="Z94" i="20"/>
  <c r="Y94" i="20"/>
  <c r="X94" i="20"/>
  <c r="W94" i="20"/>
  <c r="AM93" i="20"/>
  <c r="AL93" i="20"/>
  <c r="AK93" i="20"/>
  <c r="AJ93" i="20"/>
  <c r="AI93" i="20"/>
  <c r="AG93" i="20"/>
  <c r="AF93" i="20"/>
  <c r="AE93" i="20"/>
  <c r="AD93" i="20"/>
  <c r="AC93" i="20"/>
  <c r="AA93" i="20"/>
  <c r="Z93" i="20"/>
  <c r="Y93" i="20"/>
  <c r="X93" i="20"/>
  <c r="W93" i="20"/>
  <c r="AM92" i="20"/>
  <c r="AL92" i="20"/>
  <c r="AK92" i="20"/>
  <c r="AJ92" i="20"/>
  <c r="AI92" i="20"/>
  <c r="AG92" i="20"/>
  <c r="AF92" i="20"/>
  <c r="AE92" i="20"/>
  <c r="AD92" i="20"/>
  <c r="AC92" i="20"/>
  <c r="AA92" i="20"/>
  <c r="Z92" i="20"/>
  <c r="Y92" i="20"/>
  <c r="X92" i="20"/>
  <c r="W92" i="20"/>
  <c r="AM91" i="20"/>
  <c r="AL91" i="20"/>
  <c r="AK91" i="20"/>
  <c r="AJ91" i="20"/>
  <c r="AI91" i="20"/>
  <c r="AG91" i="20"/>
  <c r="AF91" i="20"/>
  <c r="AE91" i="20"/>
  <c r="AD91" i="20"/>
  <c r="AC91" i="20"/>
  <c r="AA91" i="20"/>
  <c r="Z91" i="20"/>
  <c r="Y91" i="20"/>
  <c r="X91" i="20"/>
  <c r="W91" i="20"/>
  <c r="AM90" i="20"/>
  <c r="AL90" i="20"/>
  <c r="AK90" i="20"/>
  <c r="AJ90" i="20"/>
  <c r="AI90" i="20"/>
  <c r="AG90" i="20"/>
  <c r="AF90" i="20"/>
  <c r="AE90" i="20"/>
  <c r="AD90" i="20"/>
  <c r="AC90" i="20"/>
  <c r="AA90" i="20"/>
  <c r="Z90" i="20"/>
  <c r="Y90" i="20"/>
  <c r="X90" i="20"/>
  <c r="W90" i="20"/>
  <c r="AM89" i="20"/>
  <c r="AL89" i="20"/>
  <c r="AK89" i="20"/>
  <c r="AJ89" i="20"/>
  <c r="AI89" i="20"/>
  <c r="AG89" i="20"/>
  <c r="AF89" i="20"/>
  <c r="AE89" i="20"/>
  <c r="AD89" i="20"/>
  <c r="AC89" i="20"/>
  <c r="AA89" i="20"/>
  <c r="Z89" i="20"/>
  <c r="Y89" i="20"/>
  <c r="X89" i="20"/>
  <c r="W89" i="20"/>
  <c r="AM88" i="20"/>
  <c r="AL88" i="20"/>
  <c r="AK88" i="20"/>
  <c r="AJ88" i="20"/>
  <c r="AI88" i="20"/>
  <c r="AG88" i="20"/>
  <c r="AF88" i="20"/>
  <c r="AE88" i="20"/>
  <c r="AD88" i="20"/>
  <c r="AC88" i="20"/>
  <c r="AA88" i="20"/>
  <c r="Z88" i="20"/>
  <c r="Y88" i="20"/>
  <c r="X88" i="20"/>
  <c r="W88" i="20"/>
  <c r="AM87" i="20"/>
  <c r="AL87" i="20"/>
  <c r="AK87" i="20"/>
  <c r="AJ87" i="20"/>
  <c r="AI87" i="20"/>
  <c r="AG87" i="20"/>
  <c r="AF87" i="20"/>
  <c r="AE87" i="20"/>
  <c r="AD87" i="20"/>
  <c r="AC87" i="20"/>
  <c r="AA87" i="20"/>
  <c r="Z87" i="20"/>
  <c r="Y87" i="20"/>
  <c r="X87" i="20"/>
  <c r="W87" i="20"/>
  <c r="AM86" i="20"/>
  <c r="AL86" i="20"/>
  <c r="AK86" i="20"/>
  <c r="AJ86" i="20"/>
  <c r="AI86" i="20"/>
  <c r="AG86" i="20"/>
  <c r="AF86" i="20"/>
  <c r="AE86" i="20"/>
  <c r="AD86" i="20"/>
  <c r="AC86" i="20"/>
  <c r="AA86" i="20"/>
  <c r="Z86" i="20"/>
  <c r="Y86" i="20"/>
  <c r="X86" i="20"/>
  <c r="W86" i="20"/>
  <c r="AM85" i="20"/>
  <c r="AL85" i="20"/>
  <c r="AK85" i="20"/>
  <c r="AJ85" i="20"/>
  <c r="AI85" i="20"/>
  <c r="AG85" i="20"/>
  <c r="AF85" i="20"/>
  <c r="AE85" i="20"/>
  <c r="AD85" i="20"/>
  <c r="AC85" i="20"/>
  <c r="AA85" i="20"/>
  <c r="Z85" i="20"/>
  <c r="Y85" i="20"/>
  <c r="X85" i="20"/>
  <c r="W85" i="20"/>
  <c r="AM84" i="20"/>
  <c r="AL84" i="20"/>
  <c r="AK84" i="20"/>
  <c r="AJ84" i="20"/>
  <c r="AI84" i="20"/>
  <c r="AG84" i="20"/>
  <c r="AF84" i="20"/>
  <c r="AE84" i="20"/>
  <c r="AD84" i="20"/>
  <c r="AC84" i="20"/>
  <c r="AA84" i="20"/>
  <c r="Z84" i="20"/>
  <c r="Y84" i="20"/>
  <c r="X84" i="20"/>
  <c r="W84" i="20"/>
  <c r="AM83" i="20"/>
  <c r="AL83" i="20"/>
  <c r="AK83" i="20"/>
  <c r="AJ83" i="20"/>
  <c r="AI83" i="20"/>
  <c r="AG83" i="20"/>
  <c r="AF83" i="20"/>
  <c r="AE83" i="20"/>
  <c r="AD83" i="20"/>
  <c r="AC83" i="20"/>
  <c r="AA83" i="20"/>
  <c r="Z83" i="20"/>
  <c r="Y83" i="20"/>
  <c r="X83" i="20"/>
  <c r="W83" i="20"/>
  <c r="AM82" i="20"/>
  <c r="AL82" i="20"/>
  <c r="AK82" i="20"/>
  <c r="AJ82" i="20"/>
  <c r="AI82" i="20"/>
  <c r="AG82" i="20"/>
  <c r="AF82" i="20"/>
  <c r="AE82" i="20"/>
  <c r="AD82" i="20"/>
  <c r="AC82" i="20"/>
  <c r="AA82" i="20"/>
  <c r="Z82" i="20"/>
  <c r="Y82" i="20"/>
  <c r="X82" i="20"/>
  <c r="W82" i="20"/>
  <c r="AM81" i="20"/>
  <c r="AL81" i="20"/>
  <c r="AK81" i="20"/>
  <c r="AJ81" i="20"/>
  <c r="AI81" i="20"/>
  <c r="AG81" i="20"/>
  <c r="AF81" i="20"/>
  <c r="AE81" i="20"/>
  <c r="AD81" i="20"/>
  <c r="AC81" i="20"/>
  <c r="AA81" i="20"/>
  <c r="Z81" i="20"/>
  <c r="Y81" i="20"/>
  <c r="X81" i="20"/>
  <c r="W81" i="20"/>
  <c r="AM80" i="20"/>
  <c r="AL80" i="20"/>
  <c r="AK80" i="20"/>
  <c r="AJ80" i="20"/>
  <c r="AI80" i="20"/>
  <c r="AG80" i="20"/>
  <c r="AF80" i="20"/>
  <c r="AE80" i="20"/>
  <c r="AD80" i="20"/>
  <c r="AC80" i="20"/>
  <c r="AA80" i="20"/>
  <c r="Z80" i="20"/>
  <c r="Y80" i="20"/>
  <c r="X80" i="20"/>
  <c r="W80" i="20"/>
  <c r="AM79" i="20"/>
  <c r="AL79" i="20"/>
  <c r="AK79" i="20"/>
  <c r="AJ79" i="20"/>
  <c r="AI79" i="20"/>
  <c r="AG79" i="20"/>
  <c r="AF79" i="20"/>
  <c r="AE79" i="20"/>
  <c r="AD79" i="20"/>
  <c r="AC79" i="20"/>
  <c r="AA79" i="20"/>
  <c r="Z79" i="20"/>
  <c r="Y79" i="20"/>
  <c r="X79" i="20"/>
  <c r="W79" i="20"/>
  <c r="AM78" i="20"/>
  <c r="AL78" i="20"/>
  <c r="AK78" i="20"/>
  <c r="AJ78" i="20"/>
  <c r="AI78" i="20"/>
  <c r="AG78" i="20"/>
  <c r="AF78" i="20"/>
  <c r="AE78" i="20"/>
  <c r="AD78" i="20"/>
  <c r="AC78" i="20"/>
  <c r="AA78" i="20"/>
  <c r="Z78" i="20"/>
  <c r="Y78" i="20"/>
  <c r="X78" i="20"/>
  <c r="W78" i="20"/>
  <c r="AM77" i="20"/>
  <c r="AL77" i="20"/>
  <c r="AK77" i="20"/>
  <c r="AJ77" i="20"/>
  <c r="AI77" i="20"/>
  <c r="AG77" i="20"/>
  <c r="AF77" i="20"/>
  <c r="AE77" i="20"/>
  <c r="AD77" i="20"/>
  <c r="AC77" i="20"/>
  <c r="AA77" i="20"/>
  <c r="Z77" i="20"/>
  <c r="Y77" i="20"/>
  <c r="X77" i="20"/>
  <c r="W77" i="20"/>
  <c r="AM76" i="20"/>
  <c r="AL76" i="20"/>
  <c r="AK76" i="20"/>
  <c r="AJ76" i="20"/>
  <c r="AI76" i="20"/>
  <c r="AG76" i="20"/>
  <c r="AF76" i="20"/>
  <c r="AE76" i="20"/>
  <c r="AD76" i="20"/>
  <c r="AC76" i="20"/>
  <c r="AA76" i="20"/>
  <c r="Z76" i="20"/>
  <c r="Y76" i="20"/>
  <c r="X76" i="20"/>
  <c r="W76" i="20"/>
  <c r="AM75" i="20"/>
  <c r="AL75" i="20"/>
  <c r="AK75" i="20"/>
  <c r="AJ75" i="20"/>
  <c r="AI75" i="20"/>
  <c r="AG75" i="20"/>
  <c r="AF75" i="20"/>
  <c r="AE75" i="20"/>
  <c r="AD75" i="20"/>
  <c r="AC75" i="20"/>
  <c r="AA75" i="20"/>
  <c r="Z75" i="20"/>
  <c r="Y75" i="20"/>
  <c r="X75" i="20"/>
  <c r="W75" i="20"/>
  <c r="AM74" i="20"/>
  <c r="AL74" i="20"/>
  <c r="AK74" i="20"/>
  <c r="AJ74" i="20"/>
  <c r="AI74" i="20"/>
  <c r="AG74" i="20"/>
  <c r="AF74" i="20"/>
  <c r="AE74" i="20"/>
  <c r="AD74" i="20"/>
  <c r="AC74" i="20"/>
  <c r="AA74" i="20"/>
  <c r="Z74" i="20"/>
  <c r="Y74" i="20"/>
  <c r="X74" i="20"/>
  <c r="W74" i="20"/>
  <c r="AM73" i="20"/>
  <c r="AL73" i="20"/>
  <c r="AK73" i="20"/>
  <c r="AJ73" i="20"/>
  <c r="AI73" i="20"/>
  <c r="AG73" i="20"/>
  <c r="AF73" i="20"/>
  <c r="AE73" i="20"/>
  <c r="AD73" i="20"/>
  <c r="AC73" i="20"/>
  <c r="AA73" i="20"/>
  <c r="Z73" i="20"/>
  <c r="Y73" i="20"/>
  <c r="X73" i="20"/>
  <c r="W73" i="20"/>
  <c r="AM72" i="20"/>
  <c r="AL72" i="20"/>
  <c r="AK72" i="20"/>
  <c r="AJ72" i="20"/>
  <c r="AI72" i="20"/>
  <c r="AG72" i="20"/>
  <c r="AF72" i="20"/>
  <c r="AE72" i="20"/>
  <c r="AD72" i="20"/>
  <c r="AC72" i="20"/>
  <c r="AA72" i="20"/>
  <c r="Z72" i="20"/>
  <c r="Y72" i="20"/>
  <c r="X72" i="20"/>
  <c r="W72" i="20"/>
  <c r="AM71" i="20"/>
  <c r="AL71" i="20"/>
  <c r="AK71" i="20"/>
  <c r="AJ71" i="20"/>
  <c r="AI71" i="20"/>
  <c r="AG71" i="20"/>
  <c r="AF71" i="20"/>
  <c r="AE71" i="20"/>
  <c r="AD71" i="20"/>
  <c r="AC71" i="20"/>
  <c r="AA71" i="20"/>
  <c r="Z71" i="20"/>
  <c r="Y71" i="20"/>
  <c r="X71" i="20"/>
  <c r="W71" i="20"/>
  <c r="AM70" i="20"/>
  <c r="AL70" i="20"/>
  <c r="AK70" i="20"/>
  <c r="AJ70" i="20"/>
  <c r="AI70" i="20"/>
  <c r="AG70" i="20"/>
  <c r="AF70" i="20"/>
  <c r="AE70" i="20"/>
  <c r="AD70" i="20"/>
  <c r="AC70" i="20"/>
  <c r="AA70" i="20"/>
  <c r="Z70" i="20"/>
  <c r="Y70" i="20"/>
  <c r="X70" i="20"/>
  <c r="W70" i="20"/>
  <c r="AM69" i="20"/>
  <c r="AL69" i="20"/>
  <c r="AK69" i="20"/>
  <c r="AJ69" i="20"/>
  <c r="AI69" i="20"/>
  <c r="AG69" i="20"/>
  <c r="AF69" i="20"/>
  <c r="AE69" i="20"/>
  <c r="AD69" i="20"/>
  <c r="AC69" i="20"/>
  <c r="AA69" i="20"/>
  <c r="Z69" i="20"/>
  <c r="Y69" i="20"/>
  <c r="X69" i="20"/>
  <c r="W69" i="20"/>
  <c r="AM68" i="20"/>
  <c r="AL68" i="20"/>
  <c r="AK68" i="20"/>
  <c r="AJ68" i="20"/>
  <c r="AI68" i="20"/>
  <c r="AG68" i="20"/>
  <c r="AF68" i="20"/>
  <c r="AE68" i="20"/>
  <c r="AD68" i="20"/>
  <c r="AC68" i="20"/>
  <c r="AA68" i="20"/>
  <c r="Z68" i="20"/>
  <c r="Y68" i="20"/>
  <c r="X68" i="20"/>
  <c r="W68" i="20"/>
  <c r="AM67" i="20"/>
  <c r="AL67" i="20"/>
  <c r="AK67" i="20"/>
  <c r="AJ67" i="20"/>
  <c r="AI67" i="20"/>
  <c r="AG67" i="20"/>
  <c r="AF67" i="20"/>
  <c r="AE67" i="20"/>
  <c r="AD67" i="20"/>
  <c r="AC67" i="20"/>
  <c r="AA67" i="20"/>
  <c r="Z67" i="20"/>
  <c r="Y67" i="20"/>
  <c r="X67" i="20"/>
  <c r="W67" i="20"/>
  <c r="AM66" i="20"/>
  <c r="AL66" i="20"/>
  <c r="AK66" i="20"/>
  <c r="AJ66" i="20"/>
  <c r="AI66" i="20"/>
  <c r="AG66" i="20"/>
  <c r="AF66" i="20"/>
  <c r="AE66" i="20"/>
  <c r="AD66" i="20"/>
  <c r="AC66" i="20"/>
  <c r="AA66" i="20"/>
  <c r="Z66" i="20"/>
  <c r="Y66" i="20"/>
  <c r="X66" i="20"/>
  <c r="W66" i="20"/>
  <c r="AM65" i="20"/>
  <c r="AL65" i="20"/>
  <c r="AK65" i="20"/>
  <c r="AJ65" i="20"/>
  <c r="AI65" i="20"/>
  <c r="AG65" i="20"/>
  <c r="AF65" i="20"/>
  <c r="AE65" i="20"/>
  <c r="AD65" i="20"/>
  <c r="AC65" i="20"/>
  <c r="AA65" i="20"/>
  <c r="Z65" i="20"/>
  <c r="Y65" i="20"/>
  <c r="X65" i="20"/>
  <c r="W65" i="20"/>
  <c r="AM64" i="20"/>
  <c r="AL64" i="20"/>
  <c r="AK64" i="20"/>
  <c r="AJ64" i="20"/>
  <c r="AI64" i="20"/>
  <c r="AG64" i="20"/>
  <c r="AF64" i="20"/>
  <c r="AE64" i="20"/>
  <c r="AD64" i="20"/>
  <c r="AC64" i="20"/>
  <c r="AA64" i="20"/>
  <c r="Z64" i="20"/>
  <c r="Y64" i="20"/>
  <c r="X64" i="20"/>
  <c r="W64" i="20"/>
  <c r="AM63" i="20"/>
  <c r="AL63" i="20"/>
  <c r="AK63" i="20"/>
  <c r="AJ63" i="20"/>
  <c r="AI63" i="20"/>
  <c r="AG63" i="20"/>
  <c r="AF63" i="20"/>
  <c r="AE63" i="20"/>
  <c r="AD63" i="20"/>
  <c r="AC63" i="20"/>
  <c r="AA63" i="20"/>
  <c r="Z63" i="20"/>
  <c r="Y63" i="20"/>
  <c r="X63" i="20"/>
  <c r="W63" i="20"/>
  <c r="AM62" i="20"/>
  <c r="AL62" i="20"/>
  <c r="AK62" i="20"/>
  <c r="AJ62" i="20"/>
  <c r="AI62" i="20"/>
  <c r="AG62" i="20"/>
  <c r="AF62" i="20"/>
  <c r="AE62" i="20"/>
  <c r="AD62" i="20"/>
  <c r="AC62" i="20"/>
  <c r="AA62" i="20"/>
  <c r="Z62" i="20"/>
  <c r="Y62" i="20"/>
  <c r="X62" i="20"/>
  <c r="W62" i="20"/>
  <c r="AM61" i="20"/>
  <c r="AL61" i="20"/>
  <c r="AK61" i="20"/>
  <c r="AJ61" i="20"/>
  <c r="AI61" i="20"/>
  <c r="AG61" i="20"/>
  <c r="AF61" i="20"/>
  <c r="AE61" i="20"/>
  <c r="AD61" i="20"/>
  <c r="AC61" i="20"/>
  <c r="AA61" i="20"/>
  <c r="Z61" i="20"/>
  <c r="Y61" i="20"/>
  <c r="X61" i="20"/>
  <c r="W61" i="20"/>
  <c r="AM60" i="20"/>
  <c r="AL60" i="20"/>
  <c r="AK60" i="20"/>
  <c r="AJ60" i="20"/>
  <c r="AI60" i="20"/>
  <c r="AG60" i="20"/>
  <c r="AF60" i="20"/>
  <c r="AE60" i="20"/>
  <c r="AD60" i="20"/>
  <c r="AC60" i="20"/>
  <c r="AA60" i="20"/>
  <c r="Z60" i="20"/>
  <c r="Y60" i="20"/>
  <c r="X60" i="20"/>
  <c r="W60" i="20"/>
  <c r="AM59" i="20"/>
  <c r="AL59" i="20"/>
  <c r="AK59" i="20"/>
  <c r="AJ59" i="20"/>
  <c r="AI59" i="20"/>
  <c r="AG59" i="20"/>
  <c r="AF59" i="20"/>
  <c r="AE59" i="20"/>
  <c r="AD59" i="20"/>
  <c r="AC59" i="20"/>
  <c r="AA59" i="20"/>
  <c r="Z59" i="20"/>
  <c r="Y59" i="20"/>
  <c r="X59" i="20"/>
  <c r="W59" i="20"/>
  <c r="AM58" i="20"/>
  <c r="AL58" i="20"/>
  <c r="AK58" i="20"/>
  <c r="AJ58" i="20"/>
  <c r="AI58" i="20"/>
  <c r="AG58" i="20"/>
  <c r="AF58" i="20"/>
  <c r="AE58" i="20"/>
  <c r="AD58" i="20"/>
  <c r="AC58" i="20"/>
  <c r="AA58" i="20"/>
  <c r="Z58" i="20"/>
  <c r="Y58" i="20"/>
  <c r="X58" i="20"/>
  <c r="W58" i="20"/>
  <c r="AM57" i="20"/>
  <c r="AL57" i="20"/>
  <c r="AK57" i="20"/>
  <c r="AJ57" i="20"/>
  <c r="AI57" i="20"/>
  <c r="AG57" i="20"/>
  <c r="AF57" i="20"/>
  <c r="AE57" i="20"/>
  <c r="AD57" i="20"/>
  <c r="AC57" i="20"/>
  <c r="AA57" i="20"/>
  <c r="Z57" i="20"/>
  <c r="Y57" i="20"/>
  <c r="X57" i="20"/>
  <c r="W57" i="20"/>
  <c r="AM56" i="20"/>
  <c r="AL56" i="20"/>
  <c r="AK56" i="20"/>
  <c r="AJ56" i="20"/>
  <c r="AI56" i="20"/>
  <c r="AG56" i="20"/>
  <c r="AF56" i="20"/>
  <c r="AE56" i="20"/>
  <c r="AD56" i="20"/>
  <c r="AC56" i="20"/>
  <c r="AA56" i="20"/>
  <c r="Z56" i="20"/>
  <c r="Y56" i="20"/>
  <c r="X56" i="20"/>
  <c r="W56" i="20"/>
  <c r="AM55" i="20"/>
  <c r="AL55" i="20"/>
  <c r="AK55" i="20"/>
  <c r="AJ55" i="20"/>
  <c r="AI55" i="20"/>
  <c r="AG55" i="20"/>
  <c r="AF55" i="20"/>
  <c r="AE55" i="20"/>
  <c r="AD55" i="20"/>
  <c r="AC55" i="20"/>
  <c r="AA55" i="20"/>
  <c r="Z55" i="20"/>
  <c r="Y55" i="20"/>
  <c r="X55" i="20"/>
  <c r="W55" i="20"/>
  <c r="AM54" i="20"/>
  <c r="AL54" i="20"/>
  <c r="AK54" i="20"/>
  <c r="AJ54" i="20"/>
  <c r="AI54" i="20"/>
  <c r="AG54" i="20"/>
  <c r="AF54" i="20"/>
  <c r="AE54" i="20"/>
  <c r="AD54" i="20"/>
  <c r="AC54" i="20"/>
  <c r="AA54" i="20"/>
  <c r="Z54" i="20"/>
  <c r="Y54" i="20"/>
  <c r="X54" i="20"/>
  <c r="W54" i="20"/>
  <c r="AM53" i="20"/>
  <c r="AL53" i="20"/>
  <c r="AK53" i="20"/>
  <c r="AJ53" i="20"/>
  <c r="AI53" i="20"/>
  <c r="AG53" i="20"/>
  <c r="AF53" i="20"/>
  <c r="AE53" i="20"/>
  <c r="AD53" i="20"/>
  <c r="AC53" i="20"/>
  <c r="AA53" i="20"/>
  <c r="Z53" i="20"/>
  <c r="Y53" i="20"/>
  <c r="X53" i="20"/>
  <c r="W53" i="20"/>
  <c r="AM52" i="20"/>
  <c r="AL52" i="20"/>
  <c r="AK52" i="20"/>
  <c r="AJ52" i="20"/>
  <c r="AI52" i="20"/>
  <c r="AG52" i="20"/>
  <c r="AF52" i="20"/>
  <c r="AE52" i="20"/>
  <c r="AD52" i="20"/>
  <c r="AC52" i="20"/>
  <c r="AA52" i="20"/>
  <c r="Z52" i="20"/>
  <c r="Y52" i="20"/>
  <c r="X52" i="20"/>
  <c r="W52" i="20"/>
  <c r="AM51" i="20"/>
  <c r="AL51" i="20"/>
  <c r="AK51" i="20"/>
  <c r="AJ51" i="20"/>
  <c r="AI51" i="20"/>
  <c r="AG51" i="20"/>
  <c r="AF51" i="20"/>
  <c r="AE51" i="20"/>
  <c r="AD51" i="20"/>
  <c r="AC51" i="20"/>
  <c r="AA51" i="20"/>
  <c r="Z51" i="20"/>
  <c r="Y51" i="20"/>
  <c r="X51" i="20"/>
  <c r="W51" i="20"/>
  <c r="AM50" i="20"/>
  <c r="AL50" i="20"/>
  <c r="AK50" i="20"/>
  <c r="AJ50" i="20"/>
  <c r="AI50" i="20"/>
  <c r="AG50" i="20"/>
  <c r="AF50" i="20"/>
  <c r="AE50" i="20"/>
  <c r="AD50" i="20"/>
  <c r="AC50" i="20"/>
  <c r="AA50" i="20"/>
  <c r="Z50" i="20"/>
  <c r="Y50" i="20"/>
  <c r="X50" i="20"/>
  <c r="W50" i="20"/>
  <c r="AM49" i="20"/>
  <c r="AL49" i="20"/>
  <c r="AK49" i="20"/>
  <c r="AJ49" i="20"/>
  <c r="AI49" i="20"/>
  <c r="AG49" i="20"/>
  <c r="AF49" i="20"/>
  <c r="AE49" i="20"/>
  <c r="AD49" i="20"/>
  <c r="AC49" i="20"/>
  <c r="AA49" i="20"/>
  <c r="Z49" i="20"/>
  <c r="Y49" i="20"/>
  <c r="X49" i="20"/>
  <c r="W49" i="20"/>
  <c r="AM48" i="20"/>
  <c r="AL48" i="20"/>
  <c r="AK48" i="20"/>
  <c r="AJ48" i="20"/>
  <c r="AI48" i="20"/>
  <c r="AG48" i="20"/>
  <c r="AF48" i="20"/>
  <c r="AE48" i="20"/>
  <c r="AD48" i="20"/>
  <c r="AC48" i="20"/>
  <c r="AA48" i="20"/>
  <c r="Z48" i="20"/>
  <c r="Y48" i="20"/>
  <c r="X48" i="20"/>
  <c r="W48" i="20"/>
  <c r="AM47" i="20"/>
  <c r="AL47" i="20"/>
  <c r="AK47" i="20"/>
  <c r="AJ47" i="20"/>
  <c r="AI47" i="20"/>
  <c r="AG47" i="20"/>
  <c r="AF47" i="20"/>
  <c r="AE47" i="20"/>
  <c r="AD47" i="20"/>
  <c r="AC47" i="20"/>
  <c r="AA47" i="20"/>
  <c r="Z47" i="20"/>
  <c r="Y47" i="20"/>
  <c r="X47" i="20"/>
  <c r="W47" i="20"/>
  <c r="AM46" i="20"/>
  <c r="AL46" i="20"/>
  <c r="AK46" i="20"/>
  <c r="AJ46" i="20"/>
  <c r="AI46" i="20"/>
  <c r="AG46" i="20"/>
  <c r="AF46" i="20"/>
  <c r="AE46" i="20"/>
  <c r="AD46" i="20"/>
  <c r="AC46" i="20"/>
  <c r="AA46" i="20"/>
  <c r="Z46" i="20"/>
  <c r="Y46" i="20"/>
  <c r="X46" i="20"/>
  <c r="W46" i="20"/>
  <c r="AM45" i="20"/>
  <c r="AL45" i="20"/>
  <c r="AK45" i="20"/>
  <c r="AJ45" i="20"/>
  <c r="AI45" i="20"/>
  <c r="AG45" i="20"/>
  <c r="AF45" i="20"/>
  <c r="AE45" i="20"/>
  <c r="AD45" i="20"/>
  <c r="AC45" i="20"/>
  <c r="AA45" i="20"/>
  <c r="Z45" i="20"/>
  <c r="Y45" i="20"/>
  <c r="X45" i="20"/>
  <c r="W45" i="20"/>
  <c r="AM44" i="20"/>
  <c r="AL44" i="20"/>
  <c r="AK44" i="20"/>
  <c r="AJ44" i="20"/>
  <c r="AI44" i="20"/>
  <c r="AG44" i="20"/>
  <c r="AF44" i="20"/>
  <c r="AE44" i="20"/>
  <c r="AD44" i="20"/>
  <c r="AC44" i="20"/>
  <c r="AA44" i="20"/>
  <c r="Z44" i="20"/>
  <c r="Y44" i="20"/>
  <c r="X44" i="20"/>
  <c r="W44" i="20"/>
  <c r="AM43" i="20"/>
  <c r="AL43" i="20"/>
  <c r="AK43" i="20"/>
  <c r="AJ43" i="20"/>
  <c r="AI43" i="20"/>
  <c r="AG43" i="20"/>
  <c r="AF43" i="20"/>
  <c r="AE43" i="20"/>
  <c r="AD43" i="20"/>
  <c r="AC43" i="20"/>
  <c r="AA43" i="20"/>
  <c r="Z43" i="20"/>
  <c r="Y43" i="20"/>
  <c r="X43" i="20"/>
  <c r="W43" i="20"/>
  <c r="AM42" i="20"/>
  <c r="AL42" i="20"/>
  <c r="AK42" i="20"/>
  <c r="AJ42" i="20"/>
  <c r="AI42" i="20"/>
  <c r="AG42" i="20"/>
  <c r="AF42" i="20"/>
  <c r="AE42" i="20"/>
  <c r="AD42" i="20"/>
  <c r="AC42" i="20"/>
  <c r="AA42" i="20"/>
  <c r="Z42" i="20"/>
  <c r="Y42" i="20"/>
  <c r="X42" i="20"/>
  <c r="W42" i="20"/>
  <c r="AM41" i="20"/>
  <c r="AL41" i="20"/>
  <c r="AK41" i="20"/>
  <c r="AJ41" i="20"/>
  <c r="AI41" i="20"/>
  <c r="AG41" i="20"/>
  <c r="AF41" i="20"/>
  <c r="AE41" i="20"/>
  <c r="AD41" i="20"/>
  <c r="AC41" i="20"/>
  <c r="AA41" i="20"/>
  <c r="Z41" i="20"/>
  <c r="Y41" i="20"/>
  <c r="X41" i="20"/>
  <c r="W41" i="20"/>
  <c r="AM40" i="20"/>
  <c r="AL40" i="20"/>
  <c r="AK40" i="20"/>
  <c r="AJ40" i="20"/>
  <c r="AI40" i="20"/>
  <c r="AG40" i="20"/>
  <c r="AF40" i="20"/>
  <c r="AE40" i="20"/>
  <c r="AD40" i="20"/>
  <c r="AC40" i="20"/>
  <c r="AA40" i="20"/>
  <c r="Z40" i="20"/>
  <c r="Y40" i="20"/>
  <c r="X40" i="20"/>
  <c r="W40" i="20"/>
  <c r="AM39" i="20"/>
  <c r="AL39" i="20"/>
  <c r="AK39" i="20"/>
  <c r="AJ39" i="20"/>
  <c r="AI39" i="20"/>
  <c r="AG39" i="20"/>
  <c r="AF39" i="20"/>
  <c r="AE39" i="20"/>
  <c r="AD39" i="20"/>
  <c r="AC39" i="20"/>
  <c r="AA39" i="20"/>
  <c r="Z39" i="20"/>
  <c r="Y39" i="20"/>
  <c r="X39" i="20"/>
  <c r="W39" i="20"/>
  <c r="AM38" i="20"/>
  <c r="AL38" i="20"/>
  <c r="AK38" i="20"/>
  <c r="AJ38" i="20"/>
  <c r="AI38" i="20"/>
  <c r="AG38" i="20"/>
  <c r="AF38" i="20"/>
  <c r="AE38" i="20"/>
  <c r="AD38" i="20"/>
  <c r="AC38" i="20"/>
  <c r="AA38" i="20"/>
  <c r="Z38" i="20"/>
  <c r="Y38" i="20"/>
  <c r="X38" i="20"/>
  <c r="W38" i="20"/>
  <c r="AM37" i="20"/>
  <c r="AL37" i="20"/>
  <c r="AK37" i="20"/>
  <c r="AJ37" i="20"/>
  <c r="AI37" i="20"/>
  <c r="AG37" i="20"/>
  <c r="AF37" i="20"/>
  <c r="AE37" i="20"/>
  <c r="AD37" i="20"/>
  <c r="AC37" i="20"/>
  <c r="AA37" i="20"/>
  <c r="Z37" i="20"/>
  <c r="Y37" i="20"/>
  <c r="X37" i="20"/>
  <c r="W37" i="20"/>
  <c r="AM36" i="20"/>
  <c r="AL36" i="20"/>
  <c r="AK36" i="20"/>
  <c r="AJ36" i="20"/>
  <c r="AI36" i="20"/>
  <c r="AG36" i="20"/>
  <c r="AF36" i="20"/>
  <c r="AE36" i="20"/>
  <c r="AD36" i="20"/>
  <c r="AC36" i="20"/>
  <c r="AA36" i="20"/>
  <c r="Z36" i="20"/>
  <c r="Y36" i="20"/>
  <c r="X36" i="20"/>
  <c r="W36" i="20"/>
  <c r="AM35" i="20"/>
  <c r="AL35" i="20"/>
  <c r="AK35" i="20"/>
  <c r="AJ35" i="20"/>
  <c r="AI35" i="20"/>
  <c r="AG35" i="20"/>
  <c r="AF35" i="20"/>
  <c r="AE35" i="20"/>
  <c r="AD35" i="20"/>
  <c r="AC35" i="20"/>
  <c r="AA35" i="20"/>
  <c r="Z35" i="20"/>
  <c r="Y35" i="20"/>
  <c r="X35" i="20"/>
  <c r="W35" i="20"/>
  <c r="AM34" i="20"/>
  <c r="AL34" i="20"/>
  <c r="AK34" i="20"/>
  <c r="AJ34" i="20"/>
  <c r="AI34" i="20"/>
  <c r="AG34" i="20"/>
  <c r="AF34" i="20"/>
  <c r="AE34" i="20"/>
  <c r="AD34" i="20"/>
  <c r="AC34" i="20"/>
  <c r="AA34" i="20"/>
  <c r="Z34" i="20"/>
  <c r="Y34" i="20"/>
  <c r="X34" i="20"/>
  <c r="W34" i="20"/>
  <c r="AM33" i="20"/>
  <c r="AL33" i="20"/>
  <c r="AK33" i="20"/>
  <c r="AJ33" i="20"/>
  <c r="AI33" i="20"/>
  <c r="AG33" i="20"/>
  <c r="AF33" i="20"/>
  <c r="AE33" i="20"/>
  <c r="AD33" i="20"/>
  <c r="AC33" i="20"/>
  <c r="AA33" i="20"/>
  <c r="Z33" i="20"/>
  <c r="Y33" i="20"/>
  <c r="X33" i="20"/>
  <c r="W33" i="20"/>
  <c r="AM32" i="20"/>
  <c r="AL32" i="20"/>
  <c r="AK32" i="20"/>
  <c r="AJ32" i="20"/>
  <c r="AI32" i="20"/>
  <c r="AG32" i="20"/>
  <c r="AF32" i="20"/>
  <c r="AE32" i="20"/>
  <c r="AD32" i="20"/>
  <c r="AC32" i="20"/>
  <c r="AA32" i="20"/>
  <c r="Z32" i="20"/>
  <c r="Y32" i="20"/>
  <c r="X32" i="20"/>
  <c r="W32" i="20"/>
  <c r="AM31" i="20"/>
  <c r="AL31" i="20"/>
  <c r="AK31" i="20"/>
  <c r="AJ31" i="20"/>
  <c r="AI31" i="20"/>
  <c r="AG31" i="20"/>
  <c r="AF31" i="20"/>
  <c r="AE31" i="20"/>
  <c r="AD31" i="20"/>
  <c r="AC31" i="20"/>
  <c r="AA31" i="20"/>
  <c r="Z31" i="20"/>
  <c r="Y31" i="20"/>
  <c r="X31" i="20"/>
  <c r="W31" i="20"/>
  <c r="AM30" i="20"/>
  <c r="AL30" i="20"/>
  <c r="AK30" i="20"/>
  <c r="AJ30" i="20"/>
  <c r="AI30" i="20"/>
  <c r="AG30" i="20"/>
  <c r="AF30" i="20"/>
  <c r="AE30" i="20"/>
  <c r="AD30" i="20"/>
  <c r="AC30" i="20"/>
  <c r="AA30" i="20"/>
  <c r="Z30" i="20"/>
  <c r="Y30" i="20"/>
  <c r="X30" i="20"/>
  <c r="W30" i="20"/>
  <c r="AM29" i="20"/>
  <c r="AL29" i="20"/>
  <c r="AK29" i="20"/>
  <c r="AJ29" i="20"/>
  <c r="AI29" i="20"/>
  <c r="AG29" i="20"/>
  <c r="AF29" i="20"/>
  <c r="AE29" i="20"/>
  <c r="AD29" i="20"/>
  <c r="AC29" i="20"/>
  <c r="AA29" i="20"/>
  <c r="Z29" i="20"/>
  <c r="Y29" i="20"/>
  <c r="X29" i="20"/>
  <c r="W29" i="20"/>
  <c r="AM28" i="20"/>
  <c r="AL28" i="20"/>
  <c r="AK28" i="20"/>
  <c r="AJ28" i="20"/>
  <c r="AI28" i="20"/>
  <c r="AG28" i="20"/>
  <c r="AF28" i="20"/>
  <c r="AE28" i="20"/>
  <c r="AD28" i="20"/>
  <c r="AC28" i="20"/>
  <c r="AA28" i="20"/>
  <c r="Z28" i="20"/>
  <c r="Y28" i="20"/>
  <c r="X28" i="20"/>
  <c r="W28" i="20"/>
  <c r="AM27" i="20"/>
  <c r="AL27" i="20"/>
  <c r="AK27" i="20"/>
  <c r="AJ27" i="20"/>
  <c r="AI27" i="20"/>
  <c r="AG27" i="20"/>
  <c r="AF27" i="20"/>
  <c r="AE27" i="20"/>
  <c r="AD27" i="20"/>
  <c r="AC27" i="20"/>
  <c r="AA27" i="20"/>
  <c r="Z27" i="20"/>
  <c r="Y27" i="20"/>
  <c r="X27" i="20"/>
  <c r="W27" i="20"/>
  <c r="AM26" i="20"/>
  <c r="AL26" i="20"/>
  <c r="AK26" i="20"/>
  <c r="AJ26" i="20"/>
  <c r="AI26" i="20"/>
  <c r="AG26" i="20"/>
  <c r="AF26" i="20"/>
  <c r="AE26" i="20"/>
  <c r="AD26" i="20"/>
  <c r="AC26" i="20"/>
  <c r="AA26" i="20"/>
  <c r="Z26" i="20"/>
  <c r="Y26" i="20"/>
  <c r="X26" i="20"/>
  <c r="W26" i="20"/>
  <c r="AM25" i="20"/>
  <c r="AL25" i="20"/>
  <c r="AK25" i="20"/>
  <c r="AJ25" i="20"/>
  <c r="AI25" i="20"/>
  <c r="AG25" i="20"/>
  <c r="AF25" i="20"/>
  <c r="AE25" i="20"/>
  <c r="AD25" i="20"/>
  <c r="AC25" i="20"/>
  <c r="AA25" i="20"/>
  <c r="Z25" i="20"/>
  <c r="Y25" i="20"/>
  <c r="X25" i="20"/>
  <c r="W25" i="20"/>
  <c r="AM24" i="20"/>
  <c r="AL24" i="20"/>
  <c r="AK24" i="20"/>
  <c r="AJ24" i="20"/>
  <c r="AI24" i="20"/>
  <c r="AG24" i="20"/>
  <c r="AF24" i="20"/>
  <c r="AE24" i="20"/>
  <c r="AD24" i="20"/>
  <c r="AC24" i="20"/>
  <c r="AA24" i="20"/>
  <c r="Z24" i="20"/>
  <c r="Y24" i="20"/>
  <c r="X24" i="20"/>
  <c r="W24" i="20"/>
  <c r="AM23" i="20"/>
  <c r="AL23" i="20"/>
  <c r="AK23" i="20"/>
  <c r="AJ23" i="20"/>
  <c r="AI23" i="20"/>
  <c r="AG23" i="20"/>
  <c r="AF23" i="20"/>
  <c r="AE23" i="20"/>
  <c r="AD23" i="20"/>
  <c r="AC23" i="20"/>
  <c r="AA23" i="20"/>
  <c r="Z23" i="20"/>
  <c r="Y23" i="20"/>
  <c r="X23" i="20"/>
  <c r="W23" i="20"/>
  <c r="AM22" i="20"/>
  <c r="AL22" i="20"/>
  <c r="AK22" i="20"/>
  <c r="AJ22" i="20"/>
  <c r="AI22" i="20"/>
  <c r="AG22" i="20"/>
  <c r="AF22" i="20"/>
  <c r="AE22" i="20"/>
  <c r="AD22" i="20"/>
  <c r="AC22" i="20"/>
  <c r="AA22" i="20"/>
  <c r="Z22" i="20"/>
  <c r="Y22" i="20"/>
  <c r="X22" i="20"/>
  <c r="W22" i="20"/>
  <c r="AM21" i="20"/>
  <c r="AL21" i="20"/>
  <c r="AK21" i="20"/>
  <c r="AJ21" i="20"/>
  <c r="AI21" i="20"/>
  <c r="AG21" i="20"/>
  <c r="AF21" i="20"/>
  <c r="AE21" i="20"/>
  <c r="AD21" i="20"/>
  <c r="AC21" i="20"/>
  <c r="AA21" i="20"/>
  <c r="Z21" i="20"/>
  <c r="Y21" i="20"/>
  <c r="X21" i="20"/>
  <c r="W21" i="20"/>
  <c r="AM20" i="20"/>
  <c r="AL20" i="20"/>
  <c r="AK20" i="20"/>
  <c r="AJ20" i="20"/>
  <c r="AI20" i="20"/>
  <c r="AG20" i="20"/>
  <c r="AF20" i="20"/>
  <c r="AE20" i="20"/>
  <c r="AD20" i="20"/>
  <c r="AC20" i="20"/>
  <c r="AA20" i="20"/>
  <c r="Z20" i="20"/>
  <c r="Y20" i="20"/>
  <c r="X20" i="20"/>
  <c r="W20" i="20"/>
  <c r="AM19" i="20"/>
  <c r="AL19" i="20"/>
  <c r="AK19" i="20"/>
  <c r="AJ19" i="20"/>
  <c r="AI19" i="20"/>
  <c r="AG19" i="20"/>
  <c r="AF19" i="20"/>
  <c r="AE19" i="20"/>
  <c r="AD19" i="20"/>
  <c r="AC19" i="20"/>
  <c r="AA19" i="20"/>
  <c r="Z19" i="20"/>
  <c r="Y19" i="20"/>
  <c r="X19" i="20"/>
  <c r="W19" i="20"/>
  <c r="AM18" i="20"/>
  <c r="AL18" i="20"/>
  <c r="AK18" i="20"/>
  <c r="AJ18" i="20"/>
  <c r="AI18" i="20"/>
  <c r="AG18" i="20"/>
  <c r="AF18" i="20"/>
  <c r="AE18" i="20"/>
  <c r="AD18" i="20"/>
  <c r="AC18" i="20"/>
  <c r="AA18" i="20"/>
  <c r="Z18" i="20"/>
  <c r="Y18" i="20"/>
  <c r="X18" i="20"/>
  <c r="W18" i="20"/>
  <c r="AM17" i="20"/>
  <c r="AL17" i="20"/>
  <c r="AK17" i="20"/>
  <c r="AJ17" i="20"/>
  <c r="AI17" i="20"/>
  <c r="AG17" i="20"/>
  <c r="AF17" i="20"/>
  <c r="AE17" i="20"/>
  <c r="AD17" i="20"/>
  <c r="AC17" i="20"/>
  <c r="AA17" i="20"/>
  <c r="Z17" i="20"/>
  <c r="Y17" i="20"/>
  <c r="X17" i="20"/>
  <c r="W17" i="20"/>
  <c r="AM16" i="20"/>
  <c r="AL16" i="20"/>
  <c r="AK16" i="20"/>
  <c r="AJ16" i="20"/>
  <c r="AI16" i="20"/>
  <c r="AG16" i="20"/>
  <c r="AF16" i="20"/>
  <c r="AE16" i="20"/>
  <c r="AD16" i="20"/>
  <c r="AC16" i="20"/>
  <c r="AA16" i="20"/>
  <c r="Z16" i="20"/>
  <c r="Y16" i="20"/>
  <c r="X16" i="20"/>
  <c r="W16" i="20"/>
  <c r="AM15" i="20"/>
  <c r="AL15" i="20"/>
  <c r="AK15" i="20"/>
  <c r="AJ15" i="20"/>
  <c r="AI15" i="20"/>
  <c r="AG15" i="20"/>
  <c r="AF15" i="20"/>
  <c r="AE15" i="20"/>
  <c r="AD15" i="20"/>
  <c r="AC15" i="20"/>
  <c r="AA15" i="20"/>
  <c r="Z15" i="20"/>
  <c r="Y15" i="20"/>
  <c r="X15" i="20"/>
  <c r="W15" i="20"/>
  <c r="AM14" i="20"/>
  <c r="AL14" i="20"/>
  <c r="AK14" i="20"/>
  <c r="AJ14" i="20"/>
  <c r="AI14" i="20"/>
  <c r="AG14" i="20"/>
  <c r="AF14" i="20"/>
  <c r="AE14" i="20"/>
  <c r="AD14" i="20"/>
  <c r="AC14" i="20"/>
  <c r="AA14" i="20"/>
  <c r="Z14" i="20"/>
  <c r="Y14" i="20"/>
  <c r="X14" i="20"/>
  <c r="W14" i="20"/>
  <c r="AM13" i="20"/>
  <c r="AL13" i="20"/>
  <c r="AK13" i="20"/>
  <c r="AJ13" i="20"/>
  <c r="AI13" i="20"/>
  <c r="AG13" i="20"/>
  <c r="AF13" i="20"/>
  <c r="AE13" i="20"/>
  <c r="AD13" i="20"/>
  <c r="AC13" i="20"/>
  <c r="AA13" i="20"/>
  <c r="Z13" i="20"/>
  <c r="Y13" i="20"/>
  <c r="X13" i="20"/>
  <c r="W13" i="20"/>
  <c r="AM12" i="20"/>
  <c r="AL12" i="20"/>
  <c r="AK12" i="20"/>
  <c r="AJ12" i="20"/>
  <c r="AI12" i="20"/>
  <c r="AG12" i="20"/>
  <c r="AF12" i="20"/>
  <c r="AE12" i="20"/>
  <c r="AD12" i="20"/>
  <c r="AC12" i="20"/>
  <c r="AA12" i="20"/>
  <c r="Z12" i="20"/>
  <c r="Y12" i="20"/>
  <c r="X12" i="20"/>
  <c r="W12" i="20"/>
  <c r="AM11" i="20"/>
  <c r="AL11" i="20"/>
  <c r="AK11" i="20"/>
  <c r="AJ11" i="20"/>
  <c r="AI11" i="20"/>
  <c r="AG11" i="20"/>
  <c r="AF11" i="20"/>
  <c r="AE11" i="20"/>
  <c r="AD11" i="20"/>
  <c r="AC11" i="20"/>
  <c r="AA11" i="20"/>
  <c r="Z11" i="20"/>
  <c r="Y11" i="20"/>
  <c r="X11" i="20"/>
  <c r="W11" i="20"/>
  <c r="AM10" i="20"/>
  <c r="AL10" i="20"/>
  <c r="AK10" i="20"/>
  <c r="AJ10" i="20"/>
  <c r="AI10" i="20"/>
  <c r="AG10" i="20"/>
  <c r="AF10" i="20"/>
  <c r="AE10" i="20"/>
  <c r="AD10" i="20"/>
  <c r="AC10" i="20"/>
  <c r="AA10" i="20"/>
  <c r="Z10" i="20"/>
  <c r="Y10" i="20"/>
  <c r="X10" i="20"/>
  <c r="W10" i="20"/>
  <c r="AM9" i="20"/>
  <c r="AL9" i="20"/>
  <c r="AK9" i="20"/>
  <c r="AJ9" i="20"/>
  <c r="AI9" i="20"/>
  <c r="AG9" i="20"/>
  <c r="AF9" i="20"/>
  <c r="AE9" i="20"/>
  <c r="AD9" i="20"/>
  <c r="AC9" i="20"/>
  <c r="AA9" i="20"/>
  <c r="Z9" i="20"/>
  <c r="Y9" i="20"/>
  <c r="X9" i="20"/>
  <c r="W9" i="20"/>
  <c r="AM8" i="20"/>
  <c r="AL8" i="20"/>
  <c r="AK8" i="20"/>
  <c r="AJ8" i="20"/>
  <c r="AI8" i="20"/>
  <c r="AG8" i="20"/>
  <c r="AF8" i="20"/>
  <c r="AE8" i="20"/>
  <c r="AD8" i="20"/>
  <c r="AC8" i="20"/>
  <c r="AA8" i="20"/>
  <c r="Z8" i="20"/>
  <c r="Y8" i="20"/>
  <c r="X8" i="20"/>
  <c r="W8" i="20"/>
  <c r="H2" i="27" l="1"/>
  <c r="J2" i="27"/>
  <c r="G2" i="27"/>
  <c r="O2" i="27"/>
  <c r="M2" i="27"/>
  <c r="R2" i="27"/>
  <c r="S2" i="27"/>
  <c r="T2" i="27"/>
  <c r="E2" i="27"/>
  <c r="I2" i="27"/>
  <c r="N2" i="27"/>
  <c r="U919" i="20"/>
  <c r="T919" i="20"/>
  <c r="S919" i="20"/>
  <c r="R919" i="20"/>
  <c r="Q919" i="20"/>
  <c r="O919" i="20"/>
  <c r="N919" i="20"/>
  <c r="M919" i="20"/>
  <c r="L919" i="20"/>
  <c r="K919" i="20"/>
  <c r="I919" i="20"/>
  <c r="H919" i="20"/>
  <c r="G919" i="20"/>
  <c r="F919" i="20"/>
  <c r="E919" i="20"/>
  <c r="U918" i="20"/>
  <c r="T918" i="20"/>
  <c r="S918" i="20"/>
  <c r="R918" i="20"/>
  <c r="Q918" i="20"/>
  <c r="O918" i="20"/>
  <c r="N918" i="20"/>
  <c r="M918" i="20"/>
  <c r="L918" i="20"/>
  <c r="K918" i="20"/>
  <c r="I918" i="20"/>
  <c r="H918" i="20"/>
  <c r="G918" i="20"/>
  <c r="F918" i="20"/>
  <c r="E918" i="20"/>
  <c r="U917" i="20"/>
  <c r="T917" i="20"/>
  <c r="S917" i="20"/>
  <c r="R917" i="20"/>
  <c r="Q917" i="20"/>
  <c r="O917" i="20"/>
  <c r="N917" i="20"/>
  <c r="M917" i="20"/>
  <c r="L917" i="20"/>
  <c r="K917" i="20"/>
  <c r="I917" i="20"/>
  <c r="H917" i="20"/>
  <c r="G917" i="20"/>
  <c r="F917" i="20"/>
  <c r="E917" i="20"/>
  <c r="U916" i="20"/>
  <c r="T916" i="20"/>
  <c r="S916" i="20"/>
  <c r="R916" i="20"/>
  <c r="Q916" i="20"/>
  <c r="O916" i="20"/>
  <c r="N916" i="20"/>
  <c r="M916" i="20"/>
  <c r="L916" i="20"/>
  <c r="K916" i="20"/>
  <c r="I916" i="20"/>
  <c r="H916" i="20"/>
  <c r="G916" i="20"/>
  <c r="F916" i="20"/>
  <c r="E916" i="20"/>
  <c r="U915" i="20"/>
  <c r="T915" i="20"/>
  <c r="S915" i="20"/>
  <c r="R915" i="20"/>
  <c r="Q915" i="20"/>
  <c r="O915" i="20"/>
  <c r="N915" i="20"/>
  <c r="M915" i="20"/>
  <c r="L915" i="20"/>
  <c r="K915" i="20"/>
  <c r="I915" i="20"/>
  <c r="H915" i="20"/>
  <c r="G915" i="20"/>
  <c r="F915" i="20"/>
  <c r="E915" i="20"/>
  <c r="U914" i="20"/>
  <c r="T914" i="20"/>
  <c r="S914" i="20"/>
  <c r="R914" i="20"/>
  <c r="Q914" i="20"/>
  <c r="O914" i="20"/>
  <c r="N914" i="20"/>
  <c r="M914" i="20"/>
  <c r="L914" i="20"/>
  <c r="K914" i="20"/>
  <c r="I914" i="20"/>
  <c r="H914" i="20"/>
  <c r="G914" i="20"/>
  <c r="F914" i="20"/>
  <c r="E914" i="20"/>
  <c r="U913" i="20"/>
  <c r="T913" i="20"/>
  <c r="S913" i="20"/>
  <c r="R913" i="20"/>
  <c r="Q913" i="20"/>
  <c r="O913" i="20"/>
  <c r="N913" i="20"/>
  <c r="M913" i="20"/>
  <c r="L913" i="20"/>
  <c r="K913" i="20"/>
  <c r="I913" i="20"/>
  <c r="H913" i="20"/>
  <c r="G913" i="20"/>
  <c r="F913" i="20"/>
  <c r="E913" i="20"/>
  <c r="U912" i="20"/>
  <c r="T912" i="20"/>
  <c r="S912" i="20"/>
  <c r="R912" i="20"/>
  <c r="Q912" i="20"/>
  <c r="O912" i="20"/>
  <c r="N912" i="20"/>
  <c r="M912" i="20"/>
  <c r="L912" i="20"/>
  <c r="K912" i="20"/>
  <c r="I912" i="20"/>
  <c r="H912" i="20"/>
  <c r="G912" i="20"/>
  <c r="F912" i="20"/>
  <c r="E912" i="20"/>
  <c r="U911" i="20"/>
  <c r="T911" i="20"/>
  <c r="S911" i="20"/>
  <c r="R911" i="20"/>
  <c r="Q911" i="20"/>
  <c r="O911" i="20"/>
  <c r="N911" i="20"/>
  <c r="M911" i="20"/>
  <c r="L911" i="20"/>
  <c r="K911" i="20"/>
  <c r="I911" i="20"/>
  <c r="H911" i="20"/>
  <c r="G911" i="20"/>
  <c r="F911" i="20"/>
  <c r="E911" i="20"/>
  <c r="U910" i="20"/>
  <c r="T910" i="20"/>
  <c r="S910" i="20"/>
  <c r="R910" i="20"/>
  <c r="Q910" i="20"/>
  <c r="O910" i="20"/>
  <c r="N910" i="20"/>
  <c r="M910" i="20"/>
  <c r="L910" i="20"/>
  <c r="K910" i="20"/>
  <c r="I910" i="20"/>
  <c r="H910" i="20"/>
  <c r="G910" i="20"/>
  <c r="F910" i="20"/>
  <c r="E910" i="20"/>
  <c r="U909" i="20"/>
  <c r="T909" i="20"/>
  <c r="S909" i="20"/>
  <c r="R909" i="20"/>
  <c r="Q909" i="20"/>
  <c r="O909" i="20"/>
  <c r="N909" i="20"/>
  <c r="M909" i="20"/>
  <c r="L909" i="20"/>
  <c r="K909" i="20"/>
  <c r="I909" i="20"/>
  <c r="H909" i="20"/>
  <c r="G909" i="20"/>
  <c r="F909" i="20"/>
  <c r="E909" i="20"/>
  <c r="U908" i="20"/>
  <c r="T908" i="20"/>
  <c r="S908" i="20"/>
  <c r="R908" i="20"/>
  <c r="Q908" i="20"/>
  <c r="O908" i="20"/>
  <c r="N908" i="20"/>
  <c r="M908" i="20"/>
  <c r="L908" i="20"/>
  <c r="K908" i="20"/>
  <c r="I908" i="20"/>
  <c r="H908" i="20"/>
  <c r="G908" i="20"/>
  <c r="F908" i="20"/>
  <c r="E908" i="20"/>
  <c r="U907" i="20"/>
  <c r="T907" i="20"/>
  <c r="S907" i="20"/>
  <c r="R907" i="20"/>
  <c r="Q907" i="20"/>
  <c r="O907" i="20"/>
  <c r="N907" i="20"/>
  <c r="M907" i="20"/>
  <c r="L907" i="20"/>
  <c r="K907" i="20"/>
  <c r="I907" i="20"/>
  <c r="H907" i="20"/>
  <c r="G907" i="20"/>
  <c r="F907" i="20"/>
  <c r="E907" i="20"/>
  <c r="U906" i="20"/>
  <c r="T906" i="20"/>
  <c r="S906" i="20"/>
  <c r="R906" i="20"/>
  <c r="Q906" i="20"/>
  <c r="O906" i="20"/>
  <c r="N906" i="20"/>
  <c r="M906" i="20"/>
  <c r="L906" i="20"/>
  <c r="K906" i="20"/>
  <c r="I906" i="20"/>
  <c r="H906" i="20"/>
  <c r="G906" i="20"/>
  <c r="F906" i="20"/>
  <c r="E906" i="20"/>
  <c r="U905" i="20"/>
  <c r="T905" i="20"/>
  <c r="S905" i="20"/>
  <c r="R905" i="20"/>
  <c r="Q905" i="20"/>
  <c r="O905" i="20"/>
  <c r="N905" i="20"/>
  <c r="M905" i="20"/>
  <c r="L905" i="20"/>
  <c r="K905" i="20"/>
  <c r="I905" i="20"/>
  <c r="H905" i="20"/>
  <c r="G905" i="20"/>
  <c r="F905" i="20"/>
  <c r="E905" i="20"/>
  <c r="U904" i="20"/>
  <c r="T904" i="20"/>
  <c r="S904" i="20"/>
  <c r="R904" i="20"/>
  <c r="Q904" i="20"/>
  <c r="O904" i="20"/>
  <c r="N904" i="20"/>
  <c r="M904" i="20"/>
  <c r="L904" i="20"/>
  <c r="K904" i="20"/>
  <c r="I904" i="20"/>
  <c r="H904" i="20"/>
  <c r="G904" i="20"/>
  <c r="F904" i="20"/>
  <c r="E904" i="20"/>
  <c r="U903" i="20"/>
  <c r="T903" i="20"/>
  <c r="S903" i="20"/>
  <c r="R903" i="20"/>
  <c r="Q903" i="20"/>
  <c r="O903" i="20"/>
  <c r="N903" i="20"/>
  <c r="M903" i="20"/>
  <c r="L903" i="20"/>
  <c r="K903" i="20"/>
  <c r="I903" i="20"/>
  <c r="H903" i="20"/>
  <c r="G903" i="20"/>
  <c r="F903" i="20"/>
  <c r="E903" i="20"/>
  <c r="U902" i="20"/>
  <c r="T902" i="20"/>
  <c r="S902" i="20"/>
  <c r="R902" i="20"/>
  <c r="Q902" i="20"/>
  <c r="O902" i="20"/>
  <c r="N902" i="20"/>
  <c r="M902" i="20"/>
  <c r="L902" i="20"/>
  <c r="K902" i="20"/>
  <c r="I902" i="20"/>
  <c r="H902" i="20"/>
  <c r="G902" i="20"/>
  <c r="F902" i="20"/>
  <c r="E902" i="20"/>
  <c r="U901" i="20"/>
  <c r="T901" i="20"/>
  <c r="S901" i="20"/>
  <c r="R901" i="20"/>
  <c r="Q901" i="20"/>
  <c r="O901" i="20"/>
  <c r="N901" i="20"/>
  <c r="M901" i="20"/>
  <c r="L901" i="20"/>
  <c r="K901" i="20"/>
  <c r="I901" i="20"/>
  <c r="H901" i="20"/>
  <c r="G901" i="20"/>
  <c r="F901" i="20"/>
  <c r="E901" i="20"/>
  <c r="U900" i="20"/>
  <c r="T900" i="20"/>
  <c r="S900" i="20"/>
  <c r="R900" i="20"/>
  <c r="Q900" i="20"/>
  <c r="O900" i="20"/>
  <c r="N900" i="20"/>
  <c r="M900" i="20"/>
  <c r="L900" i="20"/>
  <c r="K900" i="20"/>
  <c r="I900" i="20"/>
  <c r="H900" i="20"/>
  <c r="G900" i="20"/>
  <c r="F900" i="20"/>
  <c r="E900" i="20"/>
  <c r="U899" i="20"/>
  <c r="T899" i="20"/>
  <c r="S899" i="20"/>
  <c r="R899" i="20"/>
  <c r="Q899" i="20"/>
  <c r="O899" i="20"/>
  <c r="N899" i="20"/>
  <c r="M899" i="20"/>
  <c r="L899" i="20"/>
  <c r="K899" i="20"/>
  <c r="I899" i="20"/>
  <c r="H899" i="20"/>
  <c r="G899" i="20"/>
  <c r="F899" i="20"/>
  <c r="E899" i="20"/>
  <c r="U898" i="20"/>
  <c r="T898" i="20"/>
  <c r="S898" i="20"/>
  <c r="R898" i="20"/>
  <c r="Q898" i="20"/>
  <c r="O898" i="20"/>
  <c r="N898" i="20"/>
  <c r="M898" i="20"/>
  <c r="L898" i="20"/>
  <c r="K898" i="20"/>
  <c r="I898" i="20"/>
  <c r="H898" i="20"/>
  <c r="G898" i="20"/>
  <c r="F898" i="20"/>
  <c r="E898" i="20"/>
  <c r="U897" i="20"/>
  <c r="T897" i="20"/>
  <c r="S897" i="20"/>
  <c r="R897" i="20"/>
  <c r="Q897" i="20"/>
  <c r="O897" i="20"/>
  <c r="N897" i="20"/>
  <c r="M897" i="20"/>
  <c r="L897" i="20"/>
  <c r="K897" i="20"/>
  <c r="I897" i="20"/>
  <c r="H897" i="20"/>
  <c r="G897" i="20"/>
  <c r="F897" i="20"/>
  <c r="E897" i="20"/>
  <c r="U896" i="20"/>
  <c r="T896" i="20"/>
  <c r="S896" i="20"/>
  <c r="R896" i="20"/>
  <c r="Q896" i="20"/>
  <c r="O896" i="20"/>
  <c r="N896" i="20"/>
  <c r="M896" i="20"/>
  <c r="L896" i="20"/>
  <c r="K896" i="20"/>
  <c r="I896" i="20"/>
  <c r="H896" i="20"/>
  <c r="G896" i="20"/>
  <c r="F896" i="20"/>
  <c r="E896" i="20"/>
  <c r="U895" i="20"/>
  <c r="T895" i="20"/>
  <c r="S895" i="20"/>
  <c r="R895" i="20"/>
  <c r="Q895" i="20"/>
  <c r="O895" i="20"/>
  <c r="N895" i="20"/>
  <c r="M895" i="20"/>
  <c r="L895" i="20"/>
  <c r="K895" i="20"/>
  <c r="I895" i="20"/>
  <c r="H895" i="20"/>
  <c r="G895" i="20"/>
  <c r="F895" i="20"/>
  <c r="E895" i="20"/>
  <c r="U894" i="20"/>
  <c r="T894" i="20"/>
  <c r="S894" i="20"/>
  <c r="R894" i="20"/>
  <c r="Q894" i="20"/>
  <c r="O894" i="20"/>
  <c r="N894" i="20"/>
  <c r="M894" i="20"/>
  <c r="L894" i="20"/>
  <c r="K894" i="20"/>
  <c r="I894" i="20"/>
  <c r="H894" i="20"/>
  <c r="G894" i="20"/>
  <c r="F894" i="20"/>
  <c r="E894" i="20"/>
  <c r="U893" i="20"/>
  <c r="T893" i="20"/>
  <c r="S893" i="20"/>
  <c r="R893" i="20"/>
  <c r="Q893" i="20"/>
  <c r="O893" i="20"/>
  <c r="N893" i="20"/>
  <c r="M893" i="20"/>
  <c r="L893" i="20"/>
  <c r="K893" i="20"/>
  <c r="I893" i="20"/>
  <c r="H893" i="20"/>
  <c r="G893" i="20"/>
  <c r="F893" i="20"/>
  <c r="E893" i="20"/>
  <c r="U892" i="20"/>
  <c r="T892" i="20"/>
  <c r="S892" i="20"/>
  <c r="R892" i="20"/>
  <c r="Q892" i="20"/>
  <c r="O892" i="20"/>
  <c r="N892" i="20"/>
  <c r="M892" i="20"/>
  <c r="L892" i="20"/>
  <c r="K892" i="20"/>
  <c r="I892" i="20"/>
  <c r="H892" i="20"/>
  <c r="G892" i="20"/>
  <c r="F892" i="20"/>
  <c r="E892" i="20"/>
  <c r="U891" i="20"/>
  <c r="T891" i="20"/>
  <c r="S891" i="20"/>
  <c r="R891" i="20"/>
  <c r="Q891" i="20"/>
  <c r="O891" i="20"/>
  <c r="N891" i="20"/>
  <c r="M891" i="20"/>
  <c r="L891" i="20"/>
  <c r="K891" i="20"/>
  <c r="I891" i="20"/>
  <c r="H891" i="20"/>
  <c r="G891" i="20"/>
  <c r="F891" i="20"/>
  <c r="E891" i="20"/>
  <c r="U890" i="20"/>
  <c r="T890" i="20"/>
  <c r="S890" i="20"/>
  <c r="R890" i="20"/>
  <c r="Q890" i="20"/>
  <c r="O890" i="20"/>
  <c r="N890" i="20"/>
  <c r="M890" i="20"/>
  <c r="L890" i="20"/>
  <c r="K890" i="20"/>
  <c r="I890" i="20"/>
  <c r="H890" i="20"/>
  <c r="G890" i="20"/>
  <c r="F890" i="20"/>
  <c r="E890" i="20"/>
  <c r="U889" i="20"/>
  <c r="T889" i="20"/>
  <c r="S889" i="20"/>
  <c r="R889" i="20"/>
  <c r="Q889" i="20"/>
  <c r="O889" i="20"/>
  <c r="N889" i="20"/>
  <c r="M889" i="20"/>
  <c r="L889" i="20"/>
  <c r="K889" i="20"/>
  <c r="I889" i="20"/>
  <c r="H889" i="20"/>
  <c r="G889" i="20"/>
  <c r="F889" i="20"/>
  <c r="E889" i="20"/>
  <c r="U888" i="20"/>
  <c r="T888" i="20"/>
  <c r="S888" i="20"/>
  <c r="R888" i="20"/>
  <c r="Q888" i="20"/>
  <c r="O888" i="20"/>
  <c r="N888" i="20"/>
  <c r="M888" i="20"/>
  <c r="L888" i="20"/>
  <c r="K888" i="20"/>
  <c r="I888" i="20"/>
  <c r="H888" i="20"/>
  <c r="G888" i="20"/>
  <c r="F888" i="20"/>
  <c r="E888" i="20"/>
  <c r="U887" i="20"/>
  <c r="T887" i="20"/>
  <c r="S887" i="20"/>
  <c r="R887" i="20"/>
  <c r="Q887" i="20"/>
  <c r="O887" i="20"/>
  <c r="N887" i="20"/>
  <c r="M887" i="20"/>
  <c r="L887" i="20"/>
  <c r="K887" i="20"/>
  <c r="I887" i="20"/>
  <c r="H887" i="20"/>
  <c r="G887" i="20"/>
  <c r="F887" i="20"/>
  <c r="E887" i="20"/>
  <c r="U886" i="20"/>
  <c r="T886" i="20"/>
  <c r="S886" i="20"/>
  <c r="R886" i="20"/>
  <c r="Q886" i="20"/>
  <c r="O886" i="20"/>
  <c r="N886" i="20"/>
  <c r="M886" i="20"/>
  <c r="L886" i="20"/>
  <c r="K886" i="20"/>
  <c r="I886" i="20"/>
  <c r="H886" i="20"/>
  <c r="G886" i="20"/>
  <c r="F886" i="20"/>
  <c r="E886" i="20"/>
  <c r="U885" i="20"/>
  <c r="T885" i="20"/>
  <c r="S885" i="20"/>
  <c r="R885" i="20"/>
  <c r="Q885" i="20"/>
  <c r="O885" i="20"/>
  <c r="N885" i="20"/>
  <c r="M885" i="20"/>
  <c r="L885" i="20"/>
  <c r="K885" i="20"/>
  <c r="I885" i="20"/>
  <c r="H885" i="20"/>
  <c r="G885" i="20"/>
  <c r="F885" i="20"/>
  <c r="E885" i="20"/>
  <c r="U884" i="20"/>
  <c r="T884" i="20"/>
  <c r="S884" i="20"/>
  <c r="R884" i="20"/>
  <c r="Q884" i="20"/>
  <c r="O884" i="20"/>
  <c r="N884" i="20"/>
  <c r="M884" i="20"/>
  <c r="L884" i="20"/>
  <c r="K884" i="20"/>
  <c r="I884" i="20"/>
  <c r="H884" i="20"/>
  <c r="G884" i="20"/>
  <c r="F884" i="20"/>
  <c r="E884" i="20"/>
  <c r="U883" i="20"/>
  <c r="T883" i="20"/>
  <c r="S883" i="20"/>
  <c r="R883" i="20"/>
  <c r="Q883" i="20"/>
  <c r="O883" i="20"/>
  <c r="N883" i="20"/>
  <c r="M883" i="20"/>
  <c r="L883" i="20"/>
  <c r="K883" i="20"/>
  <c r="I883" i="20"/>
  <c r="H883" i="20"/>
  <c r="G883" i="20"/>
  <c r="F883" i="20"/>
  <c r="E883" i="20"/>
  <c r="U882" i="20"/>
  <c r="T882" i="20"/>
  <c r="S882" i="20"/>
  <c r="R882" i="20"/>
  <c r="Q882" i="20"/>
  <c r="O882" i="20"/>
  <c r="N882" i="20"/>
  <c r="M882" i="20"/>
  <c r="L882" i="20"/>
  <c r="K882" i="20"/>
  <c r="I882" i="20"/>
  <c r="H882" i="20"/>
  <c r="G882" i="20"/>
  <c r="F882" i="20"/>
  <c r="E882" i="20"/>
  <c r="U881" i="20"/>
  <c r="T881" i="20"/>
  <c r="S881" i="20"/>
  <c r="R881" i="20"/>
  <c r="Q881" i="20"/>
  <c r="O881" i="20"/>
  <c r="N881" i="20"/>
  <c r="M881" i="20"/>
  <c r="L881" i="20"/>
  <c r="K881" i="20"/>
  <c r="I881" i="20"/>
  <c r="H881" i="20"/>
  <c r="G881" i="20"/>
  <c r="F881" i="20"/>
  <c r="E881" i="20"/>
  <c r="U880" i="20"/>
  <c r="T880" i="20"/>
  <c r="S880" i="20"/>
  <c r="R880" i="20"/>
  <c r="Q880" i="20"/>
  <c r="O880" i="20"/>
  <c r="N880" i="20"/>
  <c r="M880" i="20"/>
  <c r="L880" i="20"/>
  <c r="K880" i="20"/>
  <c r="I880" i="20"/>
  <c r="H880" i="20"/>
  <c r="G880" i="20"/>
  <c r="F880" i="20"/>
  <c r="E880" i="20"/>
  <c r="U879" i="20"/>
  <c r="T879" i="20"/>
  <c r="S879" i="20"/>
  <c r="R879" i="20"/>
  <c r="Q879" i="20"/>
  <c r="O879" i="20"/>
  <c r="N879" i="20"/>
  <c r="M879" i="20"/>
  <c r="L879" i="20"/>
  <c r="K879" i="20"/>
  <c r="I879" i="20"/>
  <c r="H879" i="20"/>
  <c r="G879" i="20"/>
  <c r="F879" i="20"/>
  <c r="E879" i="20"/>
  <c r="U878" i="20"/>
  <c r="T878" i="20"/>
  <c r="S878" i="20"/>
  <c r="R878" i="20"/>
  <c r="Q878" i="20"/>
  <c r="O878" i="20"/>
  <c r="N878" i="20"/>
  <c r="M878" i="20"/>
  <c r="L878" i="20"/>
  <c r="K878" i="20"/>
  <c r="I878" i="20"/>
  <c r="H878" i="20"/>
  <c r="G878" i="20"/>
  <c r="F878" i="20"/>
  <c r="E878" i="20"/>
  <c r="U877" i="20"/>
  <c r="T877" i="20"/>
  <c r="S877" i="20"/>
  <c r="R877" i="20"/>
  <c r="Q877" i="20"/>
  <c r="O877" i="20"/>
  <c r="N877" i="20"/>
  <c r="M877" i="20"/>
  <c r="L877" i="20"/>
  <c r="K877" i="20"/>
  <c r="I877" i="20"/>
  <c r="H877" i="20"/>
  <c r="G877" i="20"/>
  <c r="F877" i="20"/>
  <c r="E877" i="20"/>
  <c r="U876" i="20"/>
  <c r="T876" i="20"/>
  <c r="S876" i="20"/>
  <c r="R876" i="20"/>
  <c r="Q876" i="20"/>
  <c r="O876" i="20"/>
  <c r="N876" i="20"/>
  <c r="M876" i="20"/>
  <c r="L876" i="20"/>
  <c r="K876" i="20"/>
  <c r="I876" i="20"/>
  <c r="H876" i="20"/>
  <c r="G876" i="20"/>
  <c r="F876" i="20"/>
  <c r="E876" i="20"/>
  <c r="U875" i="20"/>
  <c r="T875" i="20"/>
  <c r="S875" i="20"/>
  <c r="R875" i="20"/>
  <c r="Q875" i="20"/>
  <c r="O875" i="20"/>
  <c r="N875" i="20"/>
  <c r="M875" i="20"/>
  <c r="L875" i="20"/>
  <c r="K875" i="20"/>
  <c r="I875" i="20"/>
  <c r="H875" i="20"/>
  <c r="G875" i="20"/>
  <c r="F875" i="20"/>
  <c r="E875" i="20"/>
  <c r="U874" i="20"/>
  <c r="T874" i="20"/>
  <c r="S874" i="20"/>
  <c r="R874" i="20"/>
  <c r="Q874" i="20"/>
  <c r="O874" i="20"/>
  <c r="N874" i="20"/>
  <c r="M874" i="20"/>
  <c r="L874" i="20"/>
  <c r="K874" i="20"/>
  <c r="I874" i="20"/>
  <c r="H874" i="20"/>
  <c r="G874" i="20"/>
  <c r="F874" i="20"/>
  <c r="E874" i="20"/>
  <c r="U873" i="20"/>
  <c r="T873" i="20"/>
  <c r="S873" i="20"/>
  <c r="R873" i="20"/>
  <c r="Q873" i="20"/>
  <c r="O873" i="20"/>
  <c r="N873" i="20"/>
  <c r="M873" i="20"/>
  <c r="L873" i="20"/>
  <c r="K873" i="20"/>
  <c r="I873" i="20"/>
  <c r="H873" i="20"/>
  <c r="G873" i="20"/>
  <c r="F873" i="20"/>
  <c r="E873" i="20"/>
  <c r="U872" i="20"/>
  <c r="T872" i="20"/>
  <c r="S872" i="20"/>
  <c r="R872" i="20"/>
  <c r="Q872" i="20"/>
  <c r="O872" i="20"/>
  <c r="N872" i="20"/>
  <c r="M872" i="20"/>
  <c r="L872" i="20"/>
  <c r="K872" i="20"/>
  <c r="I872" i="20"/>
  <c r="H872" i="20"/>
  <c r="G872" i="20"/>
  <c r="F872" i="20"/>
  <c r="E872" i="20"/>
  <c r="U871" i="20"/>
  <c r="T871" i="20"/>
  <c r="S871" i="20"/>
  <c r="R871" i="20"/>
  <c r="Q871" i="20"/>
  <c r="O871" i="20"/>
  <c r="N871" i="20"/>
  <c r="M871" i="20"/>
  <c r="L871" i="20"/>
  <c r="K871" i="20"/>
  <c r="I871" i="20"/>
  <c r="H871" i="20"/>
  <c r="G871" i="20"/>
  <c r="F871" i="20"/>
  <c r="E871" i="20"/>
  <c r="U870" i="20"/>
  <c r="T870" i="20"/>
  <c r="S870" i="20"/>
  <c r="R870" i="20"/>
  <c r="Q870" i="20"/>
  <c r="O870" i="20"/>
  <c r="N870" i="20"/>
  <c r="M870" i="20"/>
  <c r="L870" i="20"/>
  <c r="K870" i="20"/>
  <c r="I870" i="20"/>
  <c r="H870" i="20"/>
  <c r="G870" i="20"/>
  <c r="F870" i="20"/>
  <c r="E870" i="20"/>
  <c r="U869" i="20"/>
  <c r="T869" i="20"/>
  <c r="S869" i="20"/>
  <c r="R869" i="20"/>
  <c r="Q869" i="20"/>
  <c r="O869" i="20"/>
  <c r="N869" i="20"/>
  <c r="M869" i="20"/>
  <c r="L869" i="20"/>
  <c r="K869" i="20"/>
  <c r="I869" i="20"/>
  <c r="H869" i="20"/>
  <c r="G869" i="20"/>
  <c r="F869" i="20"/>
  <c r="E869" i="20"/>
  <c r="U868" i="20"/>
  <c r="T868" i="20"/>
  <c r="S868" i="20"/>
  <c r="R868" i="20"/>
  <c r="Q868" i="20"/>
  <c r="O868" i="20"/>
  <c r="N868" i="20"/>
  <c r="M868" i="20"/>
  <c r="L868" i="20"/>
  <c r="K868" i="20"/>
  <c r="I868" i="20"/>
  <c r="H868" i="20"/>
  <c r="G868" i="20"/>
  <c r="F868" i="20"/>
  <c r="E868" i="20"/>
  <c r="U867" i="20"/>
  <c r="T867" i="20"/>
  <c r="S867" i="20"/>
  <c r="R867" i="20"/>
  <c r="Q867" i="20"/>
  <c r="O867" i="20"/>
  <c r="N867" i="20"/>
  <c r="M867" i="20"/>
  <c r="L867" i="20"/>
  <c r="K867" i="20"/>
  <c r="I867" i="20"/>
  <c r="H867" i="20"/>
  <c r="G867" i="20"/>
  <c r="F867" i="20"/>
  <c r="E867" i="20"/>
  <c r="U866" i="20"/>
  <c r="T866" i="20"/>
  <c r="S866" i="20"/>
  <c r="R866" i="20"/>
  <c r="Q866" i="20"/>
  <c r="O866" i="20"/>
  <c r="N866" i="20"/>
  <c r="M866" i="20"/>
  <c r="L866" i="20"/>
  <c r="K866" i="20"/>
  <c r="I866" i="20"/>
  <c r="H866" i="20"/>
  <c r="G866" i="20"/>
  <c r="F866" i="20"/>
  <c r="E866" i="20"/>
  <c r="U865" i="20"/>
  <c r="T865" i="20"/>
  <c r="S865" i="20"/>
  <c r="R865" i="20"/>
  <c r="Q865" i="20"/>
  <c r="O865" i="20"/>
  <c r="N865" i="20"/>
  <c r="M865" i="20"/>
  <c r="L865" i="20"/>
  <c r="K865" i="20"/>
  <c r="I865" i="20"/>
  <c r="H865" i="20"/>
  <c r="G865" i="20"/>
  <c r="F865" i="20"/>
  <c r="E865" i="20"/>
  <c r="U864" i="20"/>
  <c r="T864" i="20"/>
  <c r="S864" i="20"/>
  <c r="R864" i="20"/>
  <c r="Q864" i="20"/>
  <c r="O864" i="20"/>
  <c r="N864" i="20"/>
  <c r="M864" i="20"/>
  <c r="L864" i="20"/>
  <c r="K864" i="20"/>
  <c r="I864" i="20"/>
  <c r="H864" i="20"/>
  <c r="G864" i="20"/>
  <c r="F864" i="20"/>
  <c r="E864" i="20"/>
  <c r="U863" i="20"/>
  <c r="T863" i="20"/>
  <c r="S863" i="20"/>
  <c r="R863" i="20"/>
  <c r="Q863" i="20"/>
  <c r="O863" i="20"/>
  <c r="N863" i="20"/>
  <c r="M863" i="20"/>
  <c r="L863" i="20"/>
  <c r="K863" i="20"/>
  <c r="I863" i="20"/>
  <c r="H863" i="20"/>
  <c r="G863" i="20"/>
  <c r="F863" i="20"/>
  <c r="E863" i="20"/>
  <c r="U862" i="20"/>
  <c r="T862" i="20"/>
  <c r="S862" i="20"/>
  <c r="R862" i="20"/>
  <c r="Q862" i="20"/>
  <c r="O862" i="20"/>
  <c r="N862" i="20"/>
  <c r="M862" i="20"/>
  <c r="L862" i="20"/>
  <c r="K862" i="20"/>
  <c r="I862" i="20"/>
  <c r="H862" i="20"/>
  <c r="G862" i="20"/>
  <c r="F862" i="20"/>
  <c r="E862" i="20"/>
  <c r="U861" i="20"/>
  <c r="T861" i="20"/>
  <c r="S861" i="20"/>
  <c r="R861" i="20"/>
  <c r="Q861" i="20"/>
  <c r="O861" i="20"/>
  <c r="N861" i="20"/>
  <c r="M861" i="20"/>
  <c r="L861" i="20"/>
  <c r="K861" i="20"/>
  <c r="I861" i="20"/>
  <c r="H861" i="20"/>
  <c r="G861" i="20"/>
  <c r="F861" i="20"/>
  <c r="E861" i="20"/>
  <c r="U860" i="20"/>
  <c r="T860" i="20"/>
  <c r="S860" i="20"/>
  <c r="R860" i="20"/>
  <c r="Q860" i="20"/>
  <c r="O860" i="20"/>
  <c r="N860" i="20"/>
  <c r="M860" i="20"/>
  <c r="L860" i="20"/>
  <c r="K860" i="20"/>
  <c r="I860" i="20"/>
  <c r="H860" i="20"/>
  <c r="G860" i="20"/>
  <c r="F860" i="20"/>
  <c r="E860" i="20"/>
  <c r="U859" i="20"/>
  <c r="T859" i="20"/>
  <c r="S859" i="20"/>
  <c r="R859" i="20"/>
  <c r="Q859" i="20"/>
  <c r="O859" i="20"/>
  <c r="N859" i="20"/>
  <c r="M859" i="20"/>
  <c r="L859" i="20"/>
  <c r="K859" i="20"/>
  <c r="I859" i="20"/>
  <c r="H859" i="20"/>
  <c r="G859" i="20"/>
  <c r="F859" i="20"/>
  <c r="E859" i="20"/>
  <c r="U858" i="20"/>
  <c r="T858" i="20"/>
  <c r="S858" i="20"/>
  <c r="R858" i="20"/>
  <c r="Q858" i="20"/>
  <c r="O858" i="20"/>
  <c r="N858" i="20"/>
  <c r="M858" i="20"/>
  <c r="L858" i="20"/>
  <c r="K858" i="20"/>
  <c r="I858" i="20"/>
  <c r="H858" i="20"/>
  <c r="G858" i="20"/>
  <c r="F858" i="20"/>
  <c r="E858" i="20"/>
  <c r="U857" i="20"/>
  <c r="T857" i="20"/>
  <c r="S857" i="20"/>
  <c r="R857" i="20"/>
  <c r="Q857" i="20"/>
  <c r="O857" i="20"/>
  <c r="N857" i="20"/>
  <c r="M857" i="20"/>
  <c r="L857" i="20"/>
  <c r="K857" i="20"/>
  <c r="I857" i="20"/>
  <c r="H857" i="20"/>
  <c r="G857" i="20"/>
  <c r="F857" i="20"/>
  <c r="E857" i="20"/>
  <c r="U856" i="20"/>
  <c r="T856" i="20"/>
  <c r="S856" i="20"/>
  <c r="R856" i="20"/>
  <c r="Q856" i="20"/>
  <c r="O856" i="20"/>
  <c r="N856" i="20"/>
  <c r="M856" i="20"/>
  <c r="L856" i="20"/>
  <c r="K856" i="20"/>
  <c r="I856" i="20"/>
  <c r="H856" i="20"/>
  <c r="G856" i="20"/>
  <c r="F856" i="20"/>
  <c r="E856" i="20"/>
  <c r="U855" i="20"/>
  <c r="T855" i="20"/>
  <c r="S855" i="20"/>
  <c r="R855" i="20"/>
  <c r="Q855" i="20"/>
  <c r="O855" i="20"/>
  <c r="N855" i="20"/>
  <c r="M855" i="20"/>
  <c r="L855" i="20"/>
  <c r="K855" i="20"/>
  <c r="I855" i="20"/>
  <c r="H855" i="20"/>
  <c r="G855" i="20"/>
  <c r="F855" i="20"/>
  <c r="E855" i="20"/>
  <c r="U854" i="20"/>
  <c r="T854" i="20"/>
  <c r="S854" i="20"/>
  <c r="R854" i="20"/>
  <c r="Q854" i="20"/>
  <c r="O854" i="20"/>
  <c r="N854" i="20"/>
  <c r="M854" i="20"/>
  <c r="L854" i="20"/>
  <c r="K854" i="20"/>
  <c r="I854" i="20"/>
  <c r="H854" i="20"/>
  <c r="G854" i="20"/>
  <c r="F854" i="20"/>
  <c r="E854" i="20"/>
  <c r="U853" i="20"/>
  <c r="T853" i="20"/>
  <c r="S853" i="20"/>
  <c r="R853" i="20"/>
  <c r="Q853" i="20"/>
  <c r="O853" i="20"/>
  <c r="N853" i="20"/>
  <c r="M853" i="20"/>
  <c r="L853" i="20"/>
  <c r="K853" i="20"/>
  <c r="I853" i="20"/>
  <c r="H853" i="20"/>
  <c r="G853" i="20"/>
  <c r="F853" i="20"/>
  <c r="E853" i="20"/>
  <c r="U852" i="20"/>
  <c r="T852" i="20"/>
  <c r="S852" i="20"/>
  <c r="R852" i="20"/>
  <c r="Q852" i="20"/>
  <c r="O852" i="20"/>
  <c r="N852" i="20"/>
  <c r="M852" i="20"/>
  <c r="L852" i="20"/>
  <c r="K852" i="20"/>
  <c r="I852" i="20"/>
  <c r="H852" i="20"/>
  <c r="G852" i="20"/>
  <c r="F852" i="20"/>
  <c r="E852" i="20"/>
  <c r="U851" i="20"/>
  <c r="T851" i="20"/>
  <c r="S851" i="20"/>
  <c r="R851" i="20"/>
  <c r="Q851" i="20"/>
  <c r="O851" i="20"/>
  <c r="N851" i="20"/>
  <c r="M851" i="20"/>
  <c r="L851" i="20"/>
  <c r="K851" i="20"/>
  <c r="I851" i="20"/>
  <c r="H851" i="20"/>
  <c r="G851" i="20"/>
  <c r="F851" i="20"/>
  <c r="E851" i="20"/>
  <c r="U850" i="20"/>
  <c r="T850" i="20"/>
  <c r="S850" i="20"/>
  <c r="R850" i="20"/>
  <c r="Q850" i="20"/>
  <c r="O850" i="20"/>
  <c r="N850" i="20"/>
  <c r="M850" i="20"/>
  <c r="L850" i="20"/>
  <c r="K850" i="20"/>
  <c r="I850" i="20"/>
  <c r="H850" i="20"/>
  <c r="G850" i="20"/>
  <c r="F850" i="20"/>
  <c r="E850" i="20"/>
  <c r="U849" i="20"/>
  <c r="T849" i="20"/>
  <c r="S849" i="20"/>
  <c r="R849" i="20"/>
  <c r="Q849" i="20"/>
  <c r="O849" i="20"/>
  <c r="N849" i="20"/>
  <c r="M849" i="20"/>
  <c r="L849" i="20"/>
  <c r="K849" i="20"/>
  <c r="I849" i="20"/>
  <c r="H849" i="20"/>
  <c r="G849" i="20"/>
  <c r="F849" i="20"/>
  <c r="E849" i="20"/>
  <c r="U848" i="20"/>
  <c r="T848" i="20"/>
  <c r="S848" i="20"/>
  <c r="R848" i="20"/>
  <c r="Q848" i="20"/>
  <c r="O848" i="20"/>
  <c r="N848" i="20"/>
  <c r="M848" i="20"/>
  <c r="L848" i="20"/>
  <c r="K848" i="20"/>
  <c r="I848" i="20"/>
  <c r="H848" i="20"/>
  <c r="G848" i="20"/>
  <c r="F848" i="20"/>
  <c r="E848" i="20"/>
  <c r="U847" i="20"/>
  <c r="T847" i="20"/>
  <c r="S847" i="20"/>
  <c r="R847" i="20"/>
  <c r="Q847" i="20"/>
  <c r="O847" i="20"/>
  <c r="N847" i="20"/>
  <c r="M847" i="20"/>
  <c r="L847" i="20"/>
  <c r="K847" i="20"/>
  <c r="I847" i="20"/>
  <c r="H847" i="20"/>
  <c r="G847" i="20"/>
  <c r="F847" i="20"/>
  <c r="E847" i="20"/>
  <c r="U846" i="20"/>
  <c r="T846" i="20"/>
  <c r="S846" i="20"/>
  <c r="R846" i="20"/>
  <c r="Q846" i="20"/>
  <c r="O846" i="20"/>
  <c r="N846" i="20"/>
  <c r="M846" i="20"/>
  <c r="L846" i="20"/>
  <c r="K846" i="20"/>
  <c r="I846" i="20"/>
  <c r="H846" i="20"/>
  <c r="G846" i="20"/>
  <c r="F846" i="20"/>
  <c r="E846" i="20"/>
  <c r="U845" i="20"/>
  <c r="T845" i="20"/>
  <c r="S845" i="20"/>
  <c r="R845" i="20"/>
  <c r="Q845" i="20"/>
  <c r="O845" i="20"/>
  <c r="N845" i="20"/>
  <c r="M845" i="20"/>
  <c r="L845" i="20"/>
  <c r="K845" i="20"/>
  <c r="I845" i="20"/>
  <c r="H845" i="20"/>
  <c r="G845" i="20"/>
  <c r="F845" i="20"/>
  <c r="E845" i="20"/>
  <c r="U844" i="20"/>
  <c r="T844" i="20"/>
  <c r="S844" i="20"/>
  <c r="R844" i="20"/>
  <c r="Q844" i="20"/>
  <c r="O844" i="20"/>
  <c r="N844" i="20"/>
  <c r="M844" i="20"/>
  <c r="L844" i="20"/>
  <c r="K844" i="20"/>
  <c r="I844" i="20"/>
  <c r="H844" i="20"/>
  <c r="G844" i="20"/>
  <c r="F844" i="20"/>
  <c r="E844" i="20"/>
  <c r="U843" i="20"/>
  <c r="T843" i="20"/>
  <c r="S843" i="20"/>
  <c r="R843" i="20"/>
  <c r="Q843" i="20"/>
  <c r="O843" i="20"/>
  <c r="N843" i="20"/>
  <c r="M843" i="20"/>
  <c r="L843" i="20"/>
  <c r="K843" i="20"/>
  <c r="I843" i="20"/>
  <c r="H843" i="20"/>
  <c r="G843" i="20"/>
  <c r="F843" i="20"/>
  <c r="E843" i="20"/>
  <c r="U842" i="20"/>
  <c r="T842" i="20"/>
  <c r="S842" i="20"/>
  <c r="R842" i="20"/>
  <c r="Q842" i="20"/>
  <c r="O842" i="20"/>
  <c r="N842" i="20"/>
  <c r="M842" i="20"/>
  <c r="L842" i="20"/>
  <c r="K842" i="20"/>
  <c r="I842" i="20"/>
  <c r="H842" i="20"/>
  <c r="G842" i="20"/>
  <c r="F842" i="20"/>
  <c r="E842" i="20"/>
  <c r="U841" i="20"/>
  <c r="T841" i="20"/>
  <c r="S841" i="20"/>
  <c r="R841" i="20"/>
  <c r="Q841" i="20"/>
  <c r="O841" i="20"/>
  <c r="N841" i="20"/>
  <c r="M841" i="20"/>
  <c r="L841" i="20"/>
  <c r="K841" i="20"/>
  <c r="I841" i="20"/>
  <c r="H841" i="20"/>
  <c r="G841" i="20"/>
  <c r="F841" i="20"/>
  <c r="E841" i="20"/>
  <c r="U840" i="20"/>
  <c r="T840" i="20"/>
  <c r="S840" i="20"/>
  <c r="R840" i="20"/>
  <c r="Q840" i="20"/>
  <c r="O840" i="20"/>
  <c r="N840" i="20"/>
  <c r="M840" i="20"/>
  <c r="L840" i="20"/>
  <c r="K840" i="20"/>
  <c r="I840" i="20"/>
  <c r="H840" i="20"/>
  <c r="G840" i="20"/>
  <c r="F840" i="20"/>
  <c r="E840" i="20"/>
  <c r="U839" i="20"/>
  <c r="T839" i="20"/>
  <c r="S839" i="20"/>
  <c r="R839" i="20"/>
  <c r="Q839" i="20"/>
  <c r="O839" i="20"/>
  <c r="N839" i="20"/>
  <c r="M839" i="20"/>
  <c r="L839" i="20"/>
  <c r="K839" i="20"/>
  <c r="I839" i="20"/>
  <c r="H839" i="20"/>
  <c r="G839" i="20"/>
  <c r="F839" i="20"/>
  <c r="E839" i="20"/>
  <c r="U838" i="20"/>
  <c r="T838" i="20"/>
  <c r="S838" i="20"/>
  <c r="R838" i="20"/>
  <c r="Q838" i="20"/>
  <c r="O838" i="20"/>
  <c r="N838" i="20"/>
  <c r="M838" i="20"/>
  <c r="L838" i="20"/>
  <c r="K838" i="20"/>
  <c r="I838" i="20"/>
  <c r="H838" i="20"/>
  <c r="G838" i="20"/>
  <c r="F838" i="20"/>
  <c r="E838" i="20"/>
  <c r="U837" i="20"/>
  <c r="T837" i="20"/>
  <c r="S837" i="20"/>
  <c r="R837" i="20"/>
  <c r="Q837" i="20"/>
  <c r="O837" i="20"/>
  <c r="N837" i="20"/>
  <c r="M837" i="20"/>
  <c r="L837" i="20"/>
  <c r="K837" i="20"/>
  <c r="I837" i="20"/>
  <c r="H837" i="20"/>
  <c r="G837" i="20"/>
  <c r="F837" i="20"/>
  <c r="E837" i="20"/>
  <c r="U836" i="20"/>
  <c r="T836" i="20"/>
  <c r="S836" i="20"/>
  <c r="R836" i="20"/>
  <c r="Q836" i="20"/>
  <c r="O836" i="20"/>
  <c r="N836" i="20"/>
  <c r="M836" i="20"/>
  <c r="L836" i="20"/>
  <c r="K836" i="20"/>
  <c r="I836" i="20"/>
  <c r="H836" i="20"/>
  <c r="G836" i="20"/>
  <c r="F836" i="20"/>
  <c r="E836" i="20"/>
  <c r="U835" i="20"/>
  <c r="T835" i="20"/>
  <c r="S835" i="20"/>
  <c r="R835" i="20"/>
  <c r="Q835" i="20"/>
  <c r="O835" i="20"/>
  <c r="N835" i="20"/>
  <c r="M835" i="20"/>
  <c r="L835" i="20"/>
  <c r="K835" i="20"/>
  <c r="I835" i="20"/>
  <c r="H835" i="20"/>
  <c r="G835" i="20"/>
  <c r="F835" i="20"/>
  <c r="E835" i="20"/>
  <c r="U834" i="20"/>
  <c r="T834" i="20"/>
  <c r="S834" i="20"/>
  <c r="R834" i="20"/>
  <c r="Q834" i="20"/>
  <c r="O834" i="20"/>
  <c r="N834" i="20"/>
  <c r="M834" i="20"/>
  <c r="L834" i="20"/>
  <c r="K834" i="20"/>
  <c r="I834" i="20"/>
  <c r="H834" i="20"/>
  <c r="G834" i="20"/>
  <c r="F834" i="20"/>
  <c r="E834" i="20"/>
  <c r="U833" i="20"/>
  <c r="T833" i="20"/>
  <c r="S833" i="20"/>
  <c r="R833" i="20"/>
  <c r="Q833" i="20"/>
  <c r="O833" i="20"/>
  <c r="N833" i="20"/>
  <c r="M833" i="20"/>
  <c r="L833" i="20"/>
  <c r="K833" i="20"/>
  <c r="I833" i="20"/>
  <c r="H833" i="20"/>
  <c r="G833" i="20"/>
  <c r="F833" i="20"/>
  <c r="E833" i="20"/>
  <c r="U832" i="20"/>
  <c r="T832" i="20"/>
  <c r="S832" i="20"/>
  <c r="R832" i="20"/>
  <c r="Q832" i="20"/>
  <c r="O832" i="20"/>
  <c r="N832" i="20"/>
  <c r="M832" i="20"/>
  <c r="L832" i="20"/>
  <c r="K832" i="20"/>
  <c r="I832" i="20"/>
  <c r="H832" i="20"/>
  <c r="G832" i="20"/>
  <c r="F832" i="20"/>
  <c r="E832" i="20"/>
  <c r="U831" i="20"/>
  <c r="T831" i="20"/>
  <c r="S831" i="20"/>
  <c r="R831" i="20"/>
  <c r="Q831" i="20"/>
  <c r="O831" i="20"/>
  <c r="N831" i="20"/>
  <c r="M831" i="20"/>
  <c r="L831" i="20"/>
  <c r="K831" i="20"/>
  <c r="I831" i="20"/>
  <c r="H831" i="20"/>
  <c r="G831" i="20"/>
  <c r="F831" i="20"/>
  <c r="E831" i="20"/>
  <c r="U830" i="20"/>
  <c r="T830" i="20"/>
  <c r="S830" i="20"/>
  <c r="R830" i="20"/>
  <c r="Q830" i="20"/>
  <c r="O830" i="20"/>
  <c r="N830" i="20"/>
  <c r="M830" i="20"/>
  <c r="L830" i="20"/>
  <c r="K830" i="20"/>
  <c r="I830" i="20"/>
  <c r="H830" i="20"/>
  <c r="G830" i="20"/>
  <c r="F830" i="20"/>
  <c r="E830" i="20"/>
  <c r="U829" i="20"/>
  <c r="T829" i="20"/>
  <c r="S829" i="20"/>
  <c r="R829" i="20"/>
  <c r="Q829" i="20"/>
  <c r="O829" i="20"/>
  <c r="N829" i="20"/>
  <c r="M829" i="20"/>
  <c r="L829" i="20"/>
  <c r="K829" i="20"/>
  <c r="I829" i="20"/>
  <c r="H829" i="20"/>
  <c r="G829" i="20"/>
  <c r="F829" i="20"/>
  <c r="E829" i="20"/>
  <c r="U828" i="20"/>
  <c r="T828" i="20"/>
  <c r="S828" i="20"/>
  <c r="R828" i="20"/>
  <c r="Q828" i="20"/>
  <c r="O828" i="20"/>
  <c r="N828" i="20"/>
  <c r="M828" i="20"/>
  <c r="L828" i="20"/>
  <c r="K828" i="20"/>
  <c r="I828" i="20"/>
  <c r="H828" i="20"/>
  <c r="G828" i="20"/>
  <c r="F828" i="20"/>
  <c r="E828" i="20"/>
  <c r="U827" i="20"/>
  <c r="T827" i="20"/>
  <c r="S827" i="20"/>
  <c r="R827" i="20"/>
  <c r="Q827" i="20"/>
  <c r="O827" i="20"/>
  <c r="N827" i="20"/>
  <c r="M827" i="20"/>
  <c r="L827" i="20"/>
  <c r="K827" i="20"/>
  <c r="I827" i="20"/>
  <c r="H827" i="20"/>
  <c r="G827" i="20"/>
  <c r="F827" i="20"/>
  <c r="E827" i="20"/>
  <c r="U826" i="20"/>
  <c r="T826" i="20"/>
  <c r="S826" i="20"/>
  <c r="R826" i="20"/>
  <c r="Q826" i="20"/>
  <c r="O826" i="20"/>
  <c r="N826" i="20"/>
  <c r="M826" i="20"/>
  <c r="L826" i="20"/>
  <c r="K826" i="20"/>
  <c r="I826" i="20"/>
  <c r="H826" i="20"/>
  <c r="G826" i="20"/>
  <c r="F826" i="20"/>
  <c r="E826" i="20"/>
  <c r="U825" i="20"/>
  <c r="T825" i="20"/>
  <c r="S825" i="20"/>
  <c r="R825" i="20"/>
  <c r="Q825" i="20"/>
  <c r="O825" i="20"/>
  <c r="N825" i="20"/>
  <c r="M825" i="20"/>
  <c r="L825" i="20"/>
  <c r="K825" i="20"/>
  <c r="I825" i="20"/>
  <c r="H825" i="20"/>
  <c r="G825" i="20"/>
  <c r="F825" i="20"/>
  <c r="E825" i="20"/>
  <c r="U824" i="20"/>
  <c r="T824" i="20"/>
  <c r="S824" i="20"/>
  <c r="R824" i="20"/>
  <c r="Q824" i="20"/>
  <c r="O824" i="20"/>
  <c r="N824" i="20"/>
  <c r="M824" i="20"/>
  <c r="L824" i="20"/>
  <c r="K824" i="20"/>
  <c r="I824" i="20"/>
  <c r="H824" i="20"/>
  <c r="G824" i="20"/>
  <c r="F824" i="20"/>
  <c r="E824" i="20"/>
  <c r="U823" i="20"/>
  <c r="T823" i="20"/>
  <c r="S823" i="20"/>
  <c r="R823" i="20"/>
  <c r="Q823" i="20"/>
  <c r="O823" i="20"/>
  <c r="N823" i="20"/>
  <c r="M823" i="20"/>
  <c r="L823" i="20"/>
  <c r="K823" i="20"/>
  <c r="I823" i="20"/>
  <c r="H823" i="20"/>
  <c r="G823" i="20"/>
  <c r="F823" i="20"/>
  <c r="E823" i="20"/>
  <c r="U822" i="20"/>
  <c r="T822" i="20"/>
  <c r="S822" i="20"/>
  <c r="R822" i="20"/>
  <c r="Q822" i="20"/>
  <c r="O822" i="20"/>
  <c r="N822" i="20"/>
  <c r="M822" i="20"/>
  <c r="L822" i="20"/>
  <c r="K822" i="20"/>
  <c r="I822" i="20"/>
  <c r="H822" i="20"/>
  <c r="G822" i="20"/>
  <c r="F822" i="20"/>
  <c r="E822" i="20"/>
  <c r="U821" i="20"/>
  <c r="T821" i="20"/>
  <c r="S821" i="20"/>
  <c r="R821" i="20"/>
  <c r="Q821" i="20"/>
  <c r="O821" i="20"/>
  <c r="N821" i="20"/>
  <c r="M821" i="20"/>
  <c r="L821" i="20"/>
  <c r="K821" i="20"/>
  <c r="I821" i="20"/>
  <c r="H821" i="20"/>
  <c r="G821" i="20"/>
  <c r="F821" i="20"/>
  <c r="E821" i="20"/>
  <c r="U820" i="20"/>
  <c r="T820" i="20"/>
  <c r="S820" i="20"/>
  <c r="R820" i="20"/>
  <c r="Q820" i="20"/>
  <c r="O820" i="20"/>
  <c r="N820" i="20"/>
  <c r="M820" i="20"/>
  <c r="L820" i="20"/>
  <c r="K820" i="20"/>
  <c r="I820" i="20"/>
  <c r="H820" i="20"/>
  <c r="G820" i="20"/>
  <c r="F820" i="20"/>
  <c r="E820" i="20"/>
  <c r="U819" i="20"/>
  <c r="T819" i="20"/>
  <c r="S819" i="20"/>
  <c r="R819" i="20"/>
  <c r="Q819" i="20"/>
  <c r="O819" i="20"/>
  <c r="N819" i="20"/>
  <c r="M819" i="20"/>
  <c r="L819" i="20"/>
  <c r="K819" i="20"/>
  <c r="I819" i="20"/>
  <c r="H819" i="20"/>
  <c r="G819" i="20"/>
  <c r="F819" i="20"/>
  <c r="E819" i="20"/>
  <c r="U818" i="20"/>
  <c r="T818" i="20"/>
  <c r="S818" i="20"/>
  <c r="R818" i="20"/>
  <c r="Q818" i="20"/>
  <c r="O818" i="20"/>
  <c r="N818" i="20"/>
  <c r="M818" i="20"/>
  <c r="L818" i="20"/>
  <c r="K818" i="20"/>
  <c r="I818" i="20"/>
  <c r="H818" i="20"/>
  <c r="G818" i="20"/>
  <c r="F818" i="20"/>
  <c r="E818" i="20"/>
  <c r="U817" i="20"/>
  <c r="T817" i="20"/>
  <c r="S817" i="20"/>
  <c r="R817" i="20"/>
  <c r="Q817" i="20"/>
  <c r="O817" i="20"/>
  <c r="N817" i="20"/>
  <c r="M817" i="20"/>
  <c r="L817" i="20"/>
  <c r="K817" i="20"/>
  <c r="I817" i="20"/>
  <c r="H817" i="20"/>
  <c r="G817" i="20"/>
  <c r="F817" i="20"/>
  <c r="E817" i="20"/>
  <c r="U816" i="20"/>
  <c r="T816" i="20"/>
  <c r="S816" i="20"/>
  <c r="R816" i="20"/>
  <c r="Q816" i="20"/>
  <c r="O816" i="20"/>
  <c r="N816" i="20"/>
  <c r="M816" i="20"/>
  <c r="L816" i="20"/>
  <c r="K816" i="20"/>
  <c r="I816" i="20"/>
  <c r="H816" i="20"/>
  <c r="G816" i="20"/>
  <c r="F816" i="20"/>
  <c r="E816" i="20"/>
  <c r="U815" i="20"/>
  <c r="T815" i="20"/>
  <c r="S815" i="20"/>
  <c r="R815" i="20"/>
  <c r="Q815" i="20"/>
  <c r="O815" i="20"/>
  <c r="N815" i="20"/>
  <c r="M815" i="20"/>
  <c r="L815" i="20"/>
  <c r="K815" i="20"/>
  <c r="I815" i="20"/>
  <c r="H815" i="20"/>
  <c r="G815" i="20"/>
  <c r="F815" i="20"/>
  <c r="E815" i="20"/>
  <c r="U814" i="20"/>
  <c r="T814" i="20"/>
  <c r="S814" i="20"/>
  <c r="R814" i="20"/>
  <c r="Q814" i="20"/>
  <c r="O814" i="20"/>
  <c r="N814" i="20"/>
  <c r="M814" i="20"/>
  <c r="L814" i="20"/>
  <c r="K814" i="20"/>
  <c r="I814" i="20"/>
  <c r="H814" i="20"/>
  <c r="G814" i="20"/>
  <c r="F814" i="20"/>
  <c r="E814" i="20"/>
  <c r="U813" i="20"/>
  <c r="T813" i="20"/>
  <c r="S813" i="20"/>
  <c r="R813" i="20"/>
  <c r="Q813" i="20"/>
  <c r="O813" i="20"/>
  <c r="N813" i="20"/>
  <c r="M813" i="20"/>
  <c r="L813" i="20"/>
  <c r="K813" i="20"/>
  <c r="I813" i="20"/>
  <c r="H813" i="20"/>
  <c r="G813" i="20"/>
  <c r="F813" i="20"/>
  <c r="E813" i="20"/>
  <c r="U812" i="20"/>
  <c r="T812" i="20"/>
  <c r="S812" i="20"/>
  <c r="R812" i="20"/>
  <c r="Q812" i="20"/>
  <c r="O812" i="20"/>
  <c r="N812" i="20"/>
  <c r="M812" i="20"/>
  <c r="L812" i="20"/>
  <c r="K812" i="20"/>
  <c r="I812" i="20"/>
  <c r="H812" i="20"/>
  <c r="G812" i="20"/>
  <c r="F812" i="20"/>
  <c r="E812" i="20"/>
  <c r="U811" i="20"/>
  <c r="T811" i="20"/>
  <c r="S811" i="20"/>
  <c r="R811" i="20"/>
  <c r="Q811" i="20"/>
  <c r="O811" i="20"/>
  <c r="N811" i="20"/>
  <c r="M811" i="20"/>
  <c r="L811" i="20"/>
  <c r="K811" i="20"/>
  <c r="I811" i="20"/>
  <c r="H811" i="20"/>
  <c r="G811" i="20"/>
  <c r="F811" i="20"/>
  <c r="E811" i="20"/>
  <c r="U810" i="20"/>
  <c r="T810" i="20"/>
  <c r="S810" i="20"/>
  <c r="R810" i="20"/>
  <c r="Q810" i="20"/>
  <c r="O810" i="20"/>
  <c r="N810" i="20"/>
  <c r="M810" i="20"/>
  <c r="L810" i="20"/>
  <c r="K810" i="20"/>
  <c r="I810" i="20"/>
  <c r="H810" i="20"/>
  <c r="G810" i="20"/>
  <c r="F810" i="20"/>
  <c r="E810" i="20"/>
  <c r="U809" i="20"/>
  <c r="T809" i="20"/>
  <c r="S809" i="20"/>
  <c r="R809" i="20"/>
  <c r="Q809" i="20"/>
  <c r="O809" i="20"/>
  <c r="N809" i="20"/>
  <c r="M809" i="20"/>
  <c r="L809" i="20"/>
  <c r="K809" i="20"/>
  <c r="I809" i="20"/>
  <c r="H809" i="20"/>
  <c r="G809" i="20"/>
  <c r="F809" i="20"/>
  <c r="E809" i="20"/>
  <c r="U808" i="20"/>
  <c r="T808" i="20"/>
  <c r="S808" i="20"/>
  <c r="R808" i="20"/>
  <c r="Q808" i="20"/>
  <c r="O808" i="20"/>
  <c r="N808" i="20"/>
  <c r="M808" i="20"/>
  <c r="L808" i="20"/>
  <c r="K808" i="20"/>
  <c r="I808" i="20"/>
  <c r="H808" i="20"/>
  <c r="G808" i="20"/>
  <c r="F808" i="20"/>
  <c r="E808" i="20"/>
  <c r="U807" i="20"/>
  <c r="T807" i="20"/>
  <c r="S807" i="20"/>
  <c r="R807" i="20"/>
  <c r="Q807" i="20"/>
  <c r="O807" i="20"/>
  <c r="N807" i="20"/>
  <c r="M807" i="20"/>
  <c r="L807" i="20"/>
  <c r="K807" i="20"/>
  <c r="I807" i="20"/>
  <c r="H807" i="20"/>
  <c r="G807" i="20"/>
  <c r="F807" i="20"/>
  <c r="E807" i="20"/>
  <c r="U806" i="20"/>
  <c r="T806" i="20"/>
  <c r="S806" i="20"/>
  <c r="R806" i="20"/>
  <c r="Q806" i="20"/>
  <c r="O806" i="20"/>
  <c r="N806" i="20"/>
  <c r="M806" i="20"/>
  <c r="L806" i="20"/>
  <c r="K806" i="20"/>
  <c r="I806" i="20"/>
  <c r="H806" i="20"/>
  <c r="G806" i="20"/>
  <c r="F806" i="20"/>
  <c r="E806" i="20"/>
  <c r="U805" i="20"/>
  <c r="T805" i="20"/>
  <c r="S805" i="20"/>
  <c r="R805" i="20"/>
  <c r="Q805" i="20"/>
  <c r="O805" i="20"/>
  <c r="N805" i="20"/>
  <c r="M805" i="20"/>
  <c r="L805" i="20"/>
  <c r="K805" i="20"/>
  <c r="I805" i="20"/>
  <c r="H805" i="20"/>
  <c r="G805" i="20"/>
  <c r="F805" i="20"/>
  <c r="E805" i="20"/>
  <c r="U804" i="20"/>
  <c r="T804" i="20"/>
  <c r="S804" i="20"/>
  <c r="R804" i="20"/>
  <c r="Q804" i="20"/>
  <c r="O804" i="20"/>
  <c r="N804" i="20"/>
  <c r="M804" i="20"/>
  <c r="L804" i="20"/>
  <c r="K804" i="20"/>
  <c r="I804" i="20"/>
  <c r="H804" i="20"/>
  <c r="G804" i="20"/>
  <c r="F804" i="20"/>
  <c r="E804" i="20"/>
  <c r="U803" i="20"/>
  <c r="T803" i="20"/>
  <c r="S803" i="20"/>
  <c r="R803" i="20"/>
  <c r="Q803" i="20"/>
  <c r="O803" i="20"/>
  <c r="N803" i="20"/>
  <c r="M803" i="20"/>
  <c r="L803" i="20"/>
  <c r="K803" i="20"/>
  <c r="I803" i="20"/>
  <c r="H803" i="20"/>
  <c r="G803" i="20"/>
  <c r="F803" i="20"/>
  <c r="E803" i="20"/>
  <c r="U802" i="20"/>
  <c r="T802" i="20"/>
  <c r="S802" i="20"/>
  <c r="R802" i="20"/>
  <c r="Q802" i="20"/>
  <c r="O802" i="20"/>
  <c r="N802" i="20"/>
  <c r="M802" i="20"/>
  <c r="L802" i="20"/>
  <c r="K802" i="20"/>
  <c r="I802" i="20"/>
  <c r="H802" i="20"/>
  <c r="G802" i="20"/>
  <c r="F802" i="20"/>
  <c r="E802" i="20"/>
  <c r="U801" i="20"/>
  <c r="T801" i="20"/>
  <c r="S801" i="20"/>
  <c r="R801" i="20"/>
  <c r="Q801" i="20"/>
  <c r="O801" i="20"/>
  <c r="N801" i="20"/>
  <c r="M801" i="20"/>
  <c r="L801" i="20"/>
  <c r="K801" i="20"/>
  <c r="I801" i="20"/>
  <c r="H801" i="20"/>
  <c r="G801" i="20"/>
  <c r="F801" i="20"/>
  <c r="E801" i="20"/>
  <c r="U800" i="20"/>
  <c r="T800" i="20"/>
  <c r="S800" i="20"/>
  <c r="R800" i="20"/>
  <c r="Q800" i="20"/>
  <c r="O800" i="20"/>
  <c r="N800" i="20"/>
  <c r="M800" i="20"/>
  <c r="L800" i="20"/>
  <c r="K800" i="20"/>
  <c r="I800" i="20"/>
  <c r="H800" i="20"/>
  <c r="G800" i="20"/>
  <c r="F800" i="20"/>
  <c r="E800" i="20"/>
  <c r="U799" i="20"/>
  <c r="T799" i="20"/>
  <c r="S799" i="20"/>
  <c r="R799" i="20"/>
  <c r="Q799" i="20"/>
  <c r="O799" i="20"/>
  <c r="N799" i="20"/>
  <c r="M799" i="20"/>
  <c r="L799" i="20"/>
  <c r="K799" i="20"/>
  <c r="I799" i="20"/>
  <c r="H799" i="20"/>
  <c r="G799" i="20"/>
  <c r="F799" i="20"/>
  <c r="E799" i="20"/>
  <c r="U798" i="20"/>
  <c r="T798" i="20"/>
  <c r="S798" i="20"/>
  <c r="R798" i="20"/>
  <c r="Q798" i="20"/>
  <c r="O798" i="20"/>
  <c r="N798" i="20"/>
  <c r="M798" i="20"/>
  <c r="L798" i="20"/>
  <c r="K798" i="20"/>
  <c r="I798" i="20"/>
  <c r="H798" i="20"/>
  <c r="G798" i="20"/>
  <c r="F798" i="20"/>
  <c r="E798" i="20"/>
  <c r="U797" i="20"/>
  <c r="T797" i="20"/>
  <c r="S797" i="20"/>
  <c r="R797" i="20"/>
  <c r="Q797" i="20"/>
  <c r="O797" i="20"/>
  <c r="N797" i="20"/>
  <c r="M797" i="20"/>
  <c r="L797" i="20"/>
  <c r="K797" i="20"/>
  <c r="I797" i="20"/>
  <c r="H797" i="20"/>
  <c r="G797" i="20"/>
  <c r="F797" i="20"/>
  <c r="E797" i="20"/>
  <c r="U796" i="20"/>
  <c r="T796" i="20"/>
  <c r="S796" i="20"/>
  <c r="R796" i="20"/>
  <c r="Q796" i="20"/>
  <c r="O796" i="20"/>
  <c r="N796" i="20"/>
  <c r="M796" i="20"/>
  <c r="L796" i="20"/>
  <c r="K796" i="20"/>
  <c r="I796" i="20"/>
  <c r="H796" i="20"/>
  <c r="G796" i="20"/>
  <c r="F796" i="20"/>
  <c r="E796" i="20"/>
  <c r="U795" i="20"/>
  <c r="T795" i="20"/>
  <c r="S795" i="20"/>
  <c r="R795" i="20"/>
  <c r="Q795" i="20"/>
  <c r="O795" i="20"/>
  <c r="N795" i="20"/>
  <c r="M795" i="20"/>
  <c r="L795" i="20"/>
  <c r="K795" i="20"/>
  <c r="I795" i="20"/>
  <c r="H795" i="20"/>
  <c r="G795" i="20"/>
  <c r="F795" i="20"/>
  <c r="E795" i="20"/>
  <c r="U794" i="20"/>
  <c r="T794" i="20"/>
  <c r="S794" i="20"/>
  <c r="R794" i="20"/>
  <c r="Q794" i="20"/>
  <c r="O794" i="20"/>
  <c r="N794" i="20"/>
  <c r="M794" i="20"/>
  <c r="L794" i="20"/>
  <c r="K794" i="20"/>
  <c r="I794" i="20"/>
  <c r="H794" i="20"/>
  <c r="G794" i="20"/>
  <c r="F794" i="20"/>
  <c r="E794" i="20"/>
  <c r="U793" i="20"/>
  <c r="T793" i="20"/>
  <c r="S793" i="20"/>
  <c r="R793" i="20"/>
  <c r="Q793" i="20"/>
  <c r="O793" i="20"/>
  <c r="N793" i="20"/>
  <c r="M793" i="20"/>
  <c r="L793" i="20"/>
  <c r="K793" i="20"/>
  <c r="I793" i="20"/>
  <c r="H793" i="20"/>
  <c r="G793" i="20"/>
  <c r="F793" i="20"/>
  <c r="E793" i="20"/>
  <c r="U792" i="20"/>
  <c r="T792" i="20"/>
  <c r="S792" i="20"/>
  <c r="R792" i="20"/>
  <c r="Q792" i="20"/>
  <c r="O792" i="20"/>
  <c r="N792" i="20"/>
  <c r="M792" i="20"/>
  <c r="L792" i="20"/>
  <c r="K792" i="20"/>
  <c r="I792" i="20"/>
  <c r="H792" i="20"/>
  <c r="G792" i="20"/>
  <c r="F792" i="20"/>
  <c r="E792" i="20"/>
  <c r="U791" i="20"/>
  <c r="T791" i="20"/>
  <c r="S791" i="20"/>
  <c r="R791" i="20"/>
  <c r="Q791" i="20"/>
  <c r="O791" i="20"/>
  <c r="N791" i="20"/>
  <c r="M791" i="20"/>
  <c r="L791" i="20"/>
  <c r="K791" i="20"/>
  <c r="I791" i="20"/>
  <c r="H791" i="20"/>
  <c r="G791" i="20"/>
  <c r="F791" i="20"/>
  <c r="E791" i="20"/>
  <c r="U790" i="20"/>
  <c r="T790" i="20"/>
  <c r="S790" i="20"/>
  <c r="R790" i="20"/>
  <c r="Q790" i="20"/>
  <c r="O790" i="20"/>
  <c r="N790" i="20"/>
  <c r="M790" i="20"/>
  <c r="L790" i="20"/>
  <c r="K790" i="20"/>
  <c r="I790" i="20"/>
  <c r="H790" i="20"/>
  <c r="G790" i="20"/>
  <c r="F790" i="20"/>
  <c r="E790" i="20"/>
  <c r="U789" i="20"/>
  <c r="T789" i="20"/>
  <c r="S789" i="20"/>
  <c r="R789" i="20"/>
  <c r="Q789" i="20"/>
  <c r="O789" i="20"/>
  <c r="N789" i="20"/>
  <c r="M789" i="20"/>
  <c r="L789" i="20"/>
  <c r="K789" i="20"/>
  <c r="I789" i="20"/>
  <c r="H789" i="20"/>
  <c r="G789" i="20"/>
  <c r="F789" i="20"/>
  <c r="E789" i="20"/>
  <c r="U788" i="20"/>
  <c r="T788" i="20"/>
  <c r="S788" i="20"/>
  <c r="R788" i="20"/>
  <c r="Q788" i="20"/>
  <c r="O788" i="20"/>
  <c r="N788" i="20"/>
  <c r="M788" i="20"/>
  <c r="L788" i="20"/>
  <c r="K788" i="20"/>
  <c r="I788" i="20"/>
  <c r="H788" i="20"/>
  <c r="G788" i="20"/>
  <c r="F788" i="20"/>
  <c r="E788" i="20"/>
  <c r="U787" i="20"/>
  <c r="T787" i="20"/>
  <c r="S787" i="20"/>
  <c r="R787" i="20"/>
  <c r="Q787" i="20"/>
  <c r="O787" i="20"/>
  <c r="N787" i="20"/>
  <c r="M787" i="20"/>
  <c r="L787" i="20"/>
  <c r="K787" i="20"/>
  <c r="I787" i="20"/>
  <c r="H787" i="20"/>
  <c r="G787" i="20"/>
  <c r="F787" i="20"/>
  <c r="E787" i="20"/>
  <c r="U786" i="20"/>
  <c r="T786" i="20"/>
  <c r="S786" i="20"/>
  <c r="R786" i="20"/>
  <c r="Q786" i="20"/>
  <c r="O786" i="20"/>
  <c r="N786" i="20"/>
  <c r="M786" i="20"/>
  <c r="L786" i="20"/>
  <c r="K786" i="20"/>
  <c r="I786" i="20"/>
  <c r="H786" i="20"/>
  <c r="G786" i="20"/>
  <c r="F786" i="20"/>
  <c r="E786" i="20"/>
  <c r="U785" i="20"/>
  <c r="T785" i="20"/>
  <c r="S785" i="20"/>
  <c r="R785" i="20"/>
  <c r="Q785" i="20"/>
  <c r="O785" i="20"/>
  <c r="N785" i="20"/>
  <c r="M785" i="20"/>
  <c r="L785" i="20"/>
  <c r="K785" i="20"/>
  <c r="I785" i="20"/>
  <c r="H785" i="20"/>
  <c r="G785" i="20"/>
  <c r="F785" i="20"/>
  <c r="E785" i="20"/>
  <c r="U784" i="20"/>
  <c r="T784" i="20"/>
  <c r="S784" i="20"/>
  <c r="R784" i="20"/>
  <c r="Q784" i="20"/>
  <c r="O784" i="20"/>
  <c r="N784" i="20"/>
  <c r="M784" i="20"/>
  <c r="L784" i="20"/>
  <c r="K784" i="20"/>
  <c r="I784" i="20"/>
  <c r="H784" i="20"/>
  <c r="G784" i="20"/>
  <c r="F784" i="20"/>
  <c r="E784" i="20"/>
  <c r="U783" i="20"/>
  <c r="T783" i="20"/>
  <c r="S783" i="20"/>
  <c r="R783" i="20"/>
  <c r="Q783" i="20"/>
  <c r="O783" i="20"/>
  <c r="N783" i="20"/>
  <c r="M783" i="20"/>
  <c r="L783" i="20"/>
  <c r="K783" i="20"/>
  <c r="I783" i="20"/>
  <c r="H783" i="20"/>
  <c r="G783" i="20"/>
  <c r="F783" i="20"/>
  <c r="E783" i="20"/>
  <c r="U782" i="20"/>
  <c r="T782" i="20"/>
  <c r="S782" i="20"/>
  <c r="R782" i="20"/>
  <c r="Q782" i="20"/>
  <c r="O782" i="20"/>
  <c r="N782" i="20"/>
  <c r="M782" i="20"/>
  <c r="L782" i="20"/>
  <c r="K782" i="20"/>
  <c r="I782" i="20"/>
  <c r="H782" i="20"/>
  <c r="G782" i="20"/>
  <c r="F782" i="20"/>
  <c r="E782" i="20"/>
  <c r="U781" i="20"/>
  <c r="T781" i="20"/>
  <c r="S781" i="20"/>
  <c r="R781" i="20"/>
  <c r="Q781" i="20"/>
  <c r="O781" i="20"/>
  <c r="N781" i="20"/>
  <c r="M781" i="20"/>
  <c r="L781" i="20"/>
  <c r="K781" i="20"/>
  <c r="I781" i="20"/>
  <c r="H781" i="20"/>
  <c r="G781" i="20"/>
  <c r="F781" i="20"/>
  <c r="E781" i="20"/>
  <c r="U780" i="20"/>
  <c r="T780" i="20"/>
  <c r="S780" i="20"/>
  <c r="R780" i="20"/>
  <c r="Q780" i="20"/>
  <c r="O780" i="20"/>
  <c r="N780" i="20"/>
  <c r="M780" i="20"/>
  <c r="L780" i="20"/>
  <c r="K780" i="20"/>
  <c r="I780" i="20"/>
  <c r="H780" i="20"/>
  <c r="G780" i="20"/>
  <c r="F780" i="20"/>
  <c r="E780" i="20"/>
  <c r="U779" i="20"/>
  <c r="T779" i="20"/>
  <c r="S779" i="20"/>
  <c r="R779" i="20"/>
  <c r="Q779" i="20"/>
  <c r="O779" i="20"/>
  <c r="N779" i="20"/>
  <c r="M779" i="20"/>
  <c r="L779" i="20"/>
  <c r="K779" i="20"/>
  <c r="I779" i="20"/>
  <c r="H779" i="20"/>
  <c r="G779" i="20"/>
  <c r="F779" i="20"/>
  <c r="E779" i="20"/>
  <c r="U778" i="20"/>
  <c r="T778" i="20"/>
  <c r="S778" i="20"/>
  <c r="R778" i="20"/>
  <c r="Q778" i="20"/>
  <c r="O778" i="20"/>
  <c r="N778" i="20"/>
  <c r="M778" i="20"/>
  <c r="L778" i="20"/>
  <c r="K778" i="20"/>
  <c r="I778" i="20"/>
  <c r="H778" i="20"/>
  <c r="G778" i="20"/>
  <c r="F778" i="20"/>
  <c r="E778" i="20"/>
  <c r="U777" i="20"/>
  <c r="T777" i="20"/>
  <c r="S777" i="20"/>
  <c r="R777" i="20"/>
  <c r="Q777" i="20"/>
  <c r="O777" i="20"/>
  <c r="N777" i="20"/>
  <c r="M777" i="20"/>
  <c r="L777" i="20"/>
  <c r="K777" i="20"/>
  <c r="I777" i="20"/>
  <c r="H777" i="20"/>
  <c r="G777" i="20"/>
  <c r="F777" i="20"/>
  <c r="E777" i="20"/>
  <c r="U776" i="20"/>
  <c r="T776" i="20"/>
  <c r="S776" i="20"/>
  <c r="R776" i="20"/>
  <c r="Q776" i="20"/>
  <c r="O776" i="20"/>
  <c r="N776" i="20"/>
  <c r="M776" i="20"/>
  <c r="L776" i="20"/>
  <c r="K776" i="20"/>
  <c r="I776" i="20"/>
  <c r="H776" i="20"/>
  <c r="G776" i="20"/>
  <c r="F776" i="20"/>
  <c r="E776" i="20"/>
  <c r="U775" i="20"/>
  <c r="T775" i="20"/>
  <c r="S775" i="20"/>
  <c r="R775" i="20"/>
  <c r="Q775" i="20"/>
  <c r="O775" i="20"/>
  <c r="N775" i="20"/>
  <c r="M775" i="20"/>
  <c r="L775" i="20"/>
  <c r="K775" i="20"/>
  <c r="I775" i="20"/>
  <c r="H775" i="20"/>
  <c r="G775" i="20"/>
  <c r="F775" i="20"/>
  <c r="E775" i="20"/>
  <c r="U774" i="20"/>
  <c r="T774" i="20"/>
  <c r="S774" i="20"/>
  <c r="R774" i="20"/>
  <c r="Q774" i="20"/>
  <c r="O774" i="20"/>
  <c r="N774" i="20"/>
  <c r="M774" i="20"/>
  <c r="L774" i="20"/>
  <c r="K774" i="20"/>
  <c r="I774" i="20"/>
  <c r="H774" i="20"/>
  <c r="G774" i="20"/>
  <c r="F774" i="20"/>
  <c r="E774" i="20"/>
  <c r="U773" i="20"/>
  <c r="T773" i="20"/>
  <c r="S773" i="20"/>
  <c r="R773" i="20"/>
  <c r="Q773" i="20"/>
  <c r="O773" i="20"/>
  <c r="N773" i="20"/>
  <c r="M773" i="20"/>
  <c r="L773" i="20"/>
  <c r="K773" i="20"/>
  <c r="I773" i="20"/>
  <c r="H773" i="20"/>
  <c r="G773" i="20"/>
  <c r="F773" i="20"/>
  <c r="E773" i="20"/>
  <c r="U772" i="20"/>
  <c r="T772" i="20"/>
  <c r="S772" i="20"/>
  <c r="R772" i="20"/>
  <c r="Q772" i="20"/>
  <c r="O772" i="20"/>
  <c r="N772" i="20"/>
  <c r="M772" i="20"/>
  <c r="L772" i="20"/>
  <c r="K772" i="20"/>
  <c r="I772" i="20"/>
  <c r="H772" i="20"/>
  <c r="G772" i="20"/>
  <c r="F772" i="20"/>
  <c r="E772" i="20"/>
  <c r="U771" i="20"/>
  <c r="T771" i="20"/>
  <c r="S771" i="20"/>
  <c r="R771" i="20"/>
  <c r="Q771" i="20"/>
  <c r="O771" i="20"/>
  <c r="N771" i="20"/>
  <c r="M771" i="20"/>
  <c r="L771" i="20"/>
  <c r="K771" i="20"/>
  <c r="I771" i="20"/>
  <c r="H771" i="20"/>
  <c r="G771" i="20"/>
  <c r="F771" i="20"/>
  <c r="E771" i="20"/>
  <c r="U770" i="20"/>
  <c r="T770" i="20"/>
  <c r="S770" i="20"/>
  <c r="R770" i="20"/>
  <c r="Q770" i="20"/>
  <c r="O770" i="20"/>
  <c r="N770" i="20"/>
  <c r="M770" i="20"/>
  <c r="L770" i="20"/>
  <c r="K770" i="20"/>
  <c r="I770" i="20"/>
  <c r="H770" i="20"/>
  <c r="G770" i="20"/>
  <c r="F770" i="20"/>
  <c r="E770" i="20"/>
  <c r="U769" i="20"/>
  <c r="T769" i="20"/>
  <c r="S769" i="20"/>
  <c r="R769" i="20"/>
  <c r="Q769" i="20"/>
  <c r="O769" i="20"/>
  <c r="N769" i="20"/>
  <c r="M769" i="20"/>
  <c r="L769" i="20"/>
  <c r="K769" i="20"/>
  <c r="I769" i="20"/>
  <c r="H769" i="20"/>
  <c r="G769" i="20"/>
  <c r="F769" i="20"/>
  <c r="E769" i="20"/>
  <c r="U768" i="20"/>
  <c r="T768" i="20"/>
  <c r="S768" i="20"/>
  <c r="R768" i="20"/>
  <c r="Q768" i="20"/>
  <c r="O768" i="20"/>
  <c r="N768" i="20"/>
  <c r="M768" i="20"/>
  <c r="L768" i="20"/>
  <c r="K768" i="20"/>
  <c r="I768" i="20"/>
  <c r="H768" i="20"/>
  <c r="G768" i="20"/>
  <c r="F768" i="20"/>
  <c r="E768" i="20"/>
  <c r="U767" i="20"/>
  <c r="T767" i="20"/>
  <c r="S767" i="20"/>
  <c r="R767" i="20"/>
  <c r="Q767" i="20"/>
  <c r="O767" i="20"/>
  <c r="N767" i="20"/>
  <c r="M767" i="20"/>
  <c r="L767" i="20"/>
  <c r="K767" i="20"/>
  <c r="I767" i="20"/>
  <c r="H767" i="20"/>
  <c r="G767" i="20"/>
  <c r="F767" i="20"/>
  <c r="E767" i="20"/>
  <c r="U766" i="20"/>
  <c r="T766" i="20"/>
  <c r="S766" i="20"/>
  <c r="R766" i="20"/>
  <c r="Q766" i="20"/>
  <c r="O766" i="20"/>
  <c r="N766" i="20"/>
  <c r="M766" i="20"/>
  <c r="L766" i="20"/>
  <c r="K766" i="20"/>
  <c r="I766" i="20"/>
  <c r="H766" i="20"/>
  <c r="G766" i="20"/>
  <c r="F766" i="20"/>
  <c r="E766" i="20"/>
  <c r="U765" i="20"/>
  <c r="T765" i="20"/>
  <c r="S765" i="20"/>
  <c r="R765" i="20"/>
  <c r="Q765" i="20"/>
  <c r="O765" i="20"/>
  <c r="N765" i="20"/>
  <c r="M765" i="20"/>
  <c r="L765" i="20"/>
  <c r="K765" i="20"/>
  <c r="I765" i="20"/>
  <c r="H765" i="20"/>
  <c r="G765" i="20"/>
  <c r="F765" i="20"/>
  <c r="E765" i="20"/>
  <c r="U764" i="20"/>
  <c r="T764" i="20"/>
  <c r="S764" i="20"/>
  <c r="R764" i="20"/>
  <c r="Q764" i="20"/>
  <c r="O764" i="20"/>
  <c r="N764" i="20"/>
  <c r="M764" i="20"/>
  <c r="L764" i="20"/>
  <c r="K764" i="20"/>
  <c r="I764" i="20"/>
  <c r="H764" i="20"/>
  <c r="G764" i="20"/>
  <c r="F764" i="20"/>
  <c r="E764" i="20"/>
  <c r="U763" i="20"/>
  <c r="T763" i="20"/>
  <c r="S763" i="20"/>
  <c r="R763" i="20"/>
  <c r="Q763" i="20"/>
  <c r="O763" i="20"/>
  <c r="N763" i="20"/>
  <c r="M763" i="20"/>
  <c r="L763" i="20"/>
  <c r="K763" i="20"/>
  <c r="I763" i="20"/>
  <c r="H763" i="20"/>
  <c r="G763" i="20"/>
  <c r="F763" i="20"/>
  <c r="E763" i="20"/>
  <c r="U762" i="20"/>
  <c r="T762" i="20"/>
  <c r="S762" i="20"/>
  <c r="R762" i="20"/>
  <c r="Q762" i="20"/>
  <c r="O762" i="20"/>
  <c r="N762" i="20"/>
  <c r="M762" i="20"/>
  <c r="L762" i="20"/>
  <c r="K762" i="20"/>
  <c r="I762" i="20"/>
  <c r="H762" i="20"/>
  <c r="G762" i="20"/>
  <c r="F762" i="20"/>
  <c r="E762" i="20"/>
  <c r="U761" i="20"/>
  <c r="T761" i="20"/>
  <c r="S761" i="20"/>
  <c r="R761" i="20"/>
  <c r="Q761" i="20"/>
  <c r="O761" i="20"/>
  <c r="N761" i="20"/>
  <c r="M761" i="20"/>
  <c r="L761" i="20"/>
  <c r="K761" i="20"/>
  <c r="I761" i="20"/>
  <c r="H761" i="20"/>
  <c r="G761" i="20"/>
  <c r="F761" i="20"/>
  <c r="E761" i="20"/>
  <c r="U760" i="20"/>
  <c r="T760" i="20"/>
  <c r="S760" i="20"/>
  <c r="R760" i="20"/>
  <c r="Q760" i="20"/>
  <c r="O760" i="20"/>
  <c r="N760" i="20"/>
  <c r="M760" i="20"/>
  <c r="L760" i="20"/>
  <c r="K760" i="20"/>
  <c r="I760" i="20"/>
  <c r="H760" i="20"/>
  <c r="G760" i="20"/>
  <c r="F760" i="20"/>
  <c r="E760" i="20"/>
  <c r="U759" i="20"/>
  <c r="T759" i="20"/>
  <c r="S759" i="20"/>
  <c r="R759" i="20"/>
  <c r="Q759" i="20"/>
  <c r="O759" i="20"/>
  <c r="N759" i="20"/>
  <c r="M759" i="20"/>
  <c r="L759" i="20"/>
  <c r="K759" i="20"/>
  <c r="I759" i="20"/>
  <c r="H759" i="20"/>
  <c r="G759" i="20"/>
  <c r="F759" i="20"/>
  <c r="E759" i="20"/>
  <c r="U758" i="20"/>
  <c r="T758" i="20"/>
  <c r="S758" i="20"/>
  <c r="R758" i="20"/>
  <c r="Q758" i="20"/>
  <c r="O758" i="20"/>
  <c r="N758" i="20"/>
  <c r="M758" i="20"/>
  <c r="L758" i="20"/>
  <c r="K758" i="20"/>
  <c r="I758" i="20"/>
  <c r="H758" i="20"/>
  <c r="G758" i="20"/>
  <c r="F758" i="20"/>
  <c r="E758" i="20"/>
  <c r="U757" i="20"/>
  <c r="T757" i="20"/>
  <c r="S757" i="20"/>
  <c r="R757" i="20"/>
  <c r="Q757" i="20"/>
  <c r="O757" i="20"/>
  <c r="N757" i="20"/>
  <c r="M757" i="20"/>
  <c r="L757" i="20"/>
  <c r="K757" i="20"/>
  <c r="I757" i="20"/>
  <c r="H757" i="20"/>
  <c r="G757" i="20"/>
  <c r="F757" i="20"/>
  <c r="E757" i="20"/>
  <c r="U756" i="20"/>
  <c r="T756" i="20"/>
  <c r="S756" i="20"/>
  <c r="R756" i="20"/>
  <c r="Q756" i="20"/>
  <c r="O756" i="20"/>
  <c r="N756" i="20"/>
  <c r="M756" i="20"/>
  <c r="L756" i="20"/>
  <c r="K756" i="20"/>
  <c r="I756" i="20"/>
  <c r="H756" i="20"/>
  <c r="G756" i="20"/>
  <c r="F756" i="20"/>
  <c r="E756" i="20"/>
  <c r="U755" i="20"/>
  <c r="T755" i="20"/>
  <c r="S755" i="20"/>
  <c r="R755" i="20"/>
  <c r="Q755" i="20"/>
  <c r="O755" i="20"/>
  <c r="N755" i="20"/>
  <c r="M755" i="20"/>
  <c r="L755" i="20"/>
  <c r="K755" i="20"/>
  <c r="I755" i="20"/>
  <c r="H755" i="20"/>
  <c r="G755" i="20"/>
  <c r="F755" i="20"/>
  <c r="E755" i="20"/>
  <c r="U754" i="20"/>
  <c r="T754" i="20"/>
  <c r="S754" i="20"/>
  <c r="R754" i="20"/>
  <c r="Q754" i="20"/>
  <c r="O754" i="20"/>
  <c r="N754" i="20"/>
  <c r="M754" i="20"/>
  <c r="L754" i="20"/>
  <c r="K754" i="20"/>
  <c r="I754" i="20"/>
  <c r="H754" i="20"/>
  <c r="G754" i="20"/>
  <c r="F754" i="20"/>
  <c r="E754" i="20"/>
  <c r="U753" i="20"/>
  <c r="T753" i="20"/>
  <c r="S753" i="20"/>
  <c r="R753" i="20"/>
  <c r="Q753" i="20"/>
  <c r="O753" i="20"/>
  <c r="N753" i="20"/>
  <c r="M753" i="20"/>
  <c r="L753" i="20"/>
  <c r="K753" i="20"/>
  <c r="I753" i="20"/>
  <c r="H753" i="20"/>
  <c r="G753" i="20"/>
  <c r="F753" i="20"/>
  <c r="E753" i="20"/>
  <c r="U752" i="20"/>
  <c r="T752" i="20"/>
  <c r="S752" i="20"/>
  <c r="R752" i="20"/>
  <c r="Q752" i="20"/>
  <c r="O752" i="20"/>
  <c r="N752" i="20"/>
  <c r="M752" i="20"/>
  <c r="L752" i="20"/>
  <c r="K752" i="20"/>
  <c r="I752" i="20"/>
  <c r="H752" i="20"/>
  <c r="G752" i="20"/>
  <c r="F752" i="20"/>
  <c r="E752" i="20"/>
  <c r="U751" i="20"/>
  <c r="T751" i="20"/>
  <c r="S751" i="20"/>
  <c r="R751" i="20"/>
  <c r="Q751" i="20"/>
  <c r="O751" i="20"/>
  <c r="N751" i="20"/>
  <c r="M751" i="20"/>
  <c r="L751" i="20"/>
  <c r="K751" i="20"/>
  <c r="I751" i="20"/>
  <c r="H751" i="20"/>
  <c r="G751" i="20"/>
  <c r="F751" i="20"/>
  <c r="E751" i="20"/>
  <c r="U750" i="20"/>
  <c r="T750" i="20"/>
  <c r="S750" i="20"/>
  <c r="R750" i="20"/>
  <c r="Q750" i="20"/>
  <c r="O750" i="20"/>
  <c r="N750" i="20"/>
  <c r="M750" i="20"/>
  <c r="L750" i="20"/>
  <c r="K750" i="20"/>
  <c r="I750" i="20"/>
  <c r="H750" i="20"/>
  <c r="G750" i="20"/>
  <c r="F750" i="20"/>
  <c r="E750" i="20"/>
  <c r="U749" i="20"/>
  <c r="T749" i="20"/>
  <c r="S749" i="20"/>
  <c r="R749" i="20"/>
  <c r="Q749" i="20"/>
  <c r="O749" i="20"/>
  <c r="N749" i="20"/>
  <c r="M749" i="20"/>
  <c r="L749" i="20"/>
  <c r="K749" i="20"/>
  <c r="I749" i="20"/>
  <c r="H749" i="20"/>
  <c r="G749" i="20"/>
  <c r="F749" i="20"/>
  <c r="E749" i="20"/>
  <c r="U748" i="20"/>
  <c r="T748" i="20"/>
  <c r="S748" i="20"/>
  <c r="R748" i="20"/>
  <c r="Q748" i="20"/>
  <c r="O748" i="20"/>
  <c r="N748" i="20"/>
  <c r="M748" i="20"/>
  <c r="L748" i="20"/>
  <c r="K748" i="20"/>
  <c r="I748" i="20"/>
  <c r="H748" i="20"/>
  <c r="G748" i="20"/>
  <c r="F748" i="20"/>
  <c r="E748" i="20"/>
  <c r="U747" i="20"/>
  <c r="T747" i="20"/>
  <c r="S747" i="20"/>
  <c r="R747" i="20"/>
  <c r="Q747" i="20"/>
  <c r="O747" i="20"/>
  <c r="N747" i="20"/>
  <c r="M747" i="20"/>
  <c r="L747" i="20"/>
  <c r="K747" i="20"/>
  <c r="I747" i="20"/>
  <c r="H747" i="20"/>
  <c r="G747" i="20"/>
  <c r="F747" i="20"/>
  <c r="E747" i="20"/>
  <c r="U746" i="20"/>
  <c r="T746" i="20"/>
  <c r="S746" i="20"/>
  <c r="R746" i="20"/>
  <c r="Q746" i="20"/>
  <c r="O746" i="20"/>
  <c r="N746" i="20"/>
  <c r="M746" i="20"/>
  <c r="L746" i="20"/>
  <c r="K746" i="20"/>
  <c r="I746" i="20"/>
  <c r="H746" i="20"/>
  <c r="G746" i="20"/>
  <c r="F746" i="20"/>
  <c r="E746" i="20"/>
  <c r="U745" i="20"/>
  <c r="T745" i="20"/>
  <c r="S745" i="20"/>
  <c r="R745" i="20"/>
  <c r="Q745" i="20"/>
  <c r="O745" i="20"/>
  <c r="N745" i="20"/>
  <c r="M745" i="20"/>
  <c r="L745" i="20"/>
  <c r="K745" i="20"/>
  <c r="I745" i="20"/>
  <c r="H745" i="20"/>
  <c r="G745" i="20"/>
  <c r="F745" i="20"/>
  <c r="E745" i="20"/>
  <c r="U744" i="20"/>
  <c r="T744" i="20"/>
  <c r="S744" i="20"/>
  <c r="R744" i="20"/>
  <c r="Q744" i="20"/>
  <c r="O744" i="20"/>
  <c r="N744" i="20"/>
  <c r="M744" i="20"/>
  <c r="L744" i="20"/>
  <c r="K744" i="20"/>
  <c r="I744" i="20"/>
  <c r="H744" i="20"/>
  <c r="G744" i="20"/>
  <c r="F744" i="20"/>
  <c r="E744" i="20"/>
  <c r="U743" i="20"/>
  <c r="T743" i="20"/>
  <c r="S743" i="20"/>
  <c r="R743" i="20"/>
  <c r="Q743" i="20"/>
  <c r="O743" i="20"/>
  <c r="N743" i="20"/>
  <c r="M743" i="20"/>
  <c r="L743" i="20"/>
  <c r="K743" i="20"/>
  <c r="I743" i="20"/>
  <c r="H743" i="20"/>
  <c r="G743" i="20"/>
  <c r="F743" i="20"/>
  <c r="E743" i="20"/>
  <c r="U742" i="20"/>
  <c r="T742" i="20"/>
  <c r="S742" i="20"/>
  <c r="R742" i="20"/>
  <c r="Q742" i="20"/>
  <c r="O742" i="20"/>
  <c r="N742" i="20"/>
  <c r="M742" i="20"/>
  <c r="L742" i="20"/>
  <c r="K742" i="20"/>
  <c r="I742" i="20"/>
  <c r="H742" i="20"/>
  <c r="G742" i="20"/>
  <c r="F742" i="20"/>
  <c r="E742" i="20"/>
  <c r="U741" i="20"/>
  <c r="T741" i="20"/>
  <c r="S741" i="20"/>
  <c r="R741" i="20"/>
  <c r="Q741" i="20"/>
  <c r="O741" i="20"/>
  <c r="N741" i="20"/>
  <c r="M741" i="20"/>
  <c r="L741" i="20"/>
  <c r="K741" i="20"/>
  <c r="I741" i="20"/>
  <c r="H741" i="20"/>
  <c r="G741" i="20"/>
  <c r="F741" i="20"/>
  <c r="E741" i="20"/>
  <c r="U740" i="20"/>
  <c r="T740" i="20"/>
  <c r="S740" i="20"/>
  <c r="R740" i="20"/>
  <c r="Q740" i="20"/>
  <c r="O740" i="20"/>
  <c r="N740" i="20"/>
  <c r="M740" i="20"/>
  <c r="L740" i="20"/>
  <c r="K740" i="20"/>
  <c r="I740" i="20"/>
  <c r="H740" i="20"/>
  <c r="G740" i="20"/>
  <c r="F740" i="20"/>
  <c r="E740" i="20"/>
  <c r="U739" i="20"/>
  <c r="T739" i="20"/>
  <c r="S739" i="20"/>
  <c r="R739" i="20"/>
  <c r="Q739" i="20"/>
  <c r="O739" i="20"/>
  <c r="N739" i="20"/>
  <c r="M739" i="20"/>
  <c r="L739" i="20"/>
  <c r="K739" i="20"/>
  <c r="I739" i="20"/>
  <c r="H739" i="20"/>
  <c r="G739" i="20"/>
  <c r="F739" i="20"/>
  <c r="E739" i="20"/>
  <c r="U738" i="20"/>
  <c r="T738" i="20"/>
  <c r="S738" i="20"/>
  <c r="R738" i="20"/>
  <c r="Q738" i="20"/>
  <c r="O738" i="20"/>
  <c r="N738" i="20"/>
  <c r="M738" i="20"/>
  <c r="L738" i="20"/>
  <c r="K738" i="20"/>
  <c r="I738" i="20"/>
  <c r="H738" i="20"/>
  <c r="G738" i="20"/>
  <c r="F738" i="20"/>
  <c r="E738" i="20"/>
  <c r="U737" i="20"/>
  <c r="T737" i="20"/>
  <c r="S737" i="20"/>
  <c r="R737" i="20"/>
  <c r="Q737" i="20"/>
  <c r="O737" i="20"/>
  <c r="N737" i="20"/>
  <c r="M737" i="20"/>
  <c r="L737" i="20"/>
  <c r="K737" i="20"/>
  <c r="I737" i="20"/>
  <c r="H737" i="20"/>
  <c r="G737" i="20"/>
  <c r="F737" i="20"/>
  <c r="E737" i="20"/>
  <c r="U736" i="20"/>
  <c r="T736" i="20"/>
  <c r="S736" i="20"/>
  <c r="R736" i="20"/>
  <c r="Q736" i="20"/>
  <c r="O736" i="20"/>
  <c r="N736" i="20"/>
  <c r="M736" i="20"/>
  <c r="L736" i="20"/>
  <c r="K736" i="20"/>
  <c r="I736" i="20"/>
  <c r="H736" i="20"/>
  <c r="G736" i="20"/>
  <c r="F736" i="20"/>
  <c r="E736" i="20"/>
  <c r="U735" i="20"/>
  <c r="T735" i="20"/>
  <c r="S735" i="20"/>
  <c r="R735" i="20"/>
  <c r="Q735" i="20"/>
  <c r="O735" i="20"/>
  <c r="N735" i="20"/>
  <c r="M735" i="20"/>
  <c r="L735" i="20"/>
  <c r="K735" i="20"/>
  <c r="I735" i="20"/>
  <c r="H735" i="20"/>
  <c r="G735" i="20"/>
  <c r="F735" i="20"/>
  <c r="E735" i="20"/>
  <c r="U734" i="20"/>
  <c r="T734" i="20"/>
  <c r="S734" i="20"/>
  <c r="R734" i="20"/>
  <c r="Q734" i="20"/>
  <c r="O734" i="20"/>
  <c r="N734" i="20"/>
  <c r="M734" i="20"/>
  <c r="L734" i="20"/>
  <c r="K734" i="20"/>
  <c r="I734" i="20"/>
  <c r="H734" i="20"/>
  <c r="G734" i="20"/>
  <c r="F734" i="20"/>
  <c r="E734" i="20"/>
  <c r="U733" i="20"/>
  <c r="T733" i="20"/>
  <c r="S733" i="20"/>
  <c r="R733" i="20"/>
  <c r="Q733" i="20"/>
  <c r="O733" i="20"/>
  <c r="N733" i="20"/>
  <c r="M733" i="20"/>
  <c r="L733" i="20"/>
  <c r="K733" i="20"/>
  <c r="I733" i="20"/>
  <c r="H733" i="20"/>
  <c r="G733" i="20"/>
  <c r="F733" i="20"/>
  <c r="E733" i="20"/>
  <c r="U732" i="20"/>
  <c r="T732" i="20"/>
  <c r="S732" i="20"/>
  <c r="R732" i="20"/>
  <c r="Q732" i="20"/>
  <c r="O732" i="20"/>
  <c r="N732" i="20"/>
  <c r="M732" i="20"/>
  <c r="L732" i="20"/>
  <c r="K732" i="20"/>
  <c r="I732" i="20"/>
  <c r="H732" i="20"/>
  <c r="G732" i="20"/>
  <c r="F732" i="20"/>
  <c r="E732" i="20"/>
  <c r="U731" i="20"/>
  <c r="T731" i="20"/>
  <c r="S731" i="20"/>
  <c r="R731" i="20"/>
  <c r="Q731" i="20"/>
  <c r="O731" i="20"/>
  <c r="N731" i="20"/>
  <c r="M731" i="20"/>
  <c r="L731" i="20"/>
  <c r="K731" i="20"/>
  <c r="I731" i="20"/>
  <c r="H731" i="20"/>
  <c r="G731" i="20"/>
  <c r="F731" i="20"/>
  <c r="E731" i="20"/>
  <c r="U730" i="20"/>
  <c r="T730" i="20"/>
  <c r="S730" i="20"/>
  <c r="R730" i="20"/>
  <c r="Q730" i="20"/>
  <c r="O730" i="20"/>
  <c r="N730" i="20"/>
  <c r="M730" i="20"/>
  <c r="L730" i="20"/>
  <c r="K730" i="20"/>
  <c r="I730" i="20"/>
  <c r="H730" i="20"/>
  <c r="G730" i="20"/>
  <c r="F730" i="20"/>
  <c r="E730" i="20"/>
  <c r="U729" i="20"/>
  <c r="T729" i="20"/>
  <c r="S729" i="20"/>
  <c r="R729" i="20"/>
  <c r="Q729" i="20"/>
  <c r="O729" i="20"/>
  <c r="N729" i="20"/>
  <c r="M729" i="20"/>
  <c r="L729" i="20"/>
  <c r="K729" i="20"/>
  <c r="I729" i="20"/>
  <c r="H729" i="20"/>
  <c r="G729" i="20"/>
  <c r="F729" i="20"/>
  <c r="E729" i="20"/>
  <c r="U728" i="20"/>
  <c r="T728" i="20"/>
  <c r="S728" i="20"/>
  <c r="R728" i="20"/>
  <c r="Q728" i="20"/>
  <c r="O728" i="20"/>
  <c r="N728" i="20"/>
  <c r="M728" i="20"/>
  <c r="L728" i="20"/>
  <c r="K728" i="20"/>
  <c r="I728" i="20"/>
  <c r="H728" i="20"/>
  <c r="G728" i="20"/>
  <c r="F728" i="20"/>
  <c r="E728" i="20"/>
  <c r="U727" i="20"/>
  <c r="T727" i="20"/>
  <c r="S727" i="20"/>
  <c r="R727" i="20"/>
  <c r="Q727" i="20"/>
  <c r="O727" i="20"/>
  <c r="N727" i="20"/>
  <c r="M727" i="20"/>
  <c r="L727" i="20"/>
  <c r="K727" i="20"/>
  <c r="I727" i="20"/>
  <c r="H727" i="20"/>
  <c r="G727" i="20"/>
  <c r="F727" i="20"/>
  <c r="E727" i="20"/>
  <c r="U726" i="20"/>
  <c r="T726" i="20"/>
  <c r="S726" i="20"/>
  <c r="R726" i="20"/>
  <c r="Q726" i="20"/>
  <c r="O726" i="20"/>
  <c r="N726" i="20"/>
  <c r="M726" i="20"/>
  <c r="L726" i="20"/>
  <c r="K726" i="20"/>
  <c r="I726" i="20"/>
  <c r="H726" i="20"/>
  <c r="G726" i="20"/>
  <c r="F726" i="20"/>
  <c r="E726" i="20"/>
  <c r="U725" i="20"/>
  <c r="T725" i="20"/>
  <c r="S725" i="20"/>
  <c r="R725" i="20"/>
  <c r="Q725" i="20"/>
  <c r="O725" i="20"/>
  <c r="N725" i="20"/>
  <c r="M725" i="20"/>
  <c r="L725" i="20"/>
  <c r="K725" i="20"/>
  <c r="I725" i="20"/>
  <c r="H725" i="20"/>
  <c r="G725" i="20"/>
  <c r="F725" i="20"/>
  <c r="E725" i="20"/>
  <c r="U724" i="20"/>
  <c r="T724" i="20"/>
  <c r="S724" i="20"/>
  <c r="R724" i="20"/>
  <c r="Q724" i="20"/>
  <c r="O724" i="20"/>
  <c r="N724" i="20"/>
  <c r="M724" i="20"/>
  <c r="L724" i="20"/>
  <c r="K724" i="20"/>
  <c r="I724" i="20"/>
  <c r="H724" i="20"/>
  <c r="G724" i="20"/>
  <c r="F724" i="20"/>
  <c r="E724" i="20"/>
  <c r="U723" i="20"/>
  <c r="T723" i="20"/>
  <c r="S723" i="20"/>
  <c r="R723" i="20"/>
  <c r="Q723" i="20"/>
  <c r="O723" i="20"/>
  <c r="N723" i="20"/>
  <c r="M723" i="20"/>
  <c r="L723" i="20"/>
  <c r="K723" i="20"/>
  <c r="I723" i="20"/>
  <c r="H723" i="20"/>
  <c r="G723" i="20"/>
  <c r="F723" i="20"/>
  <c r="E723" i="20"/>
  <c r="U722" i="20"/>
  <c r="T722" i="20"/>
  <c r="S722" i="20"/>
  <c r="R722" i="20"/>
  <c r="Q722" i="20"/>
  <c r="O722" i="20"/>
  <c r="N722" i="20"/>
  <c r="M722" i="20"/>
  <c r="L722" i="20"/>
  <c r="K722" i="20"/>
  <c r="I722" i="20"/>
  <c r="H722" i="20"/>
  <c r="G722" i="20"/>
  <c r="F722" i="20"/>
  <c r="E722" i="20"/>
  <c r="U721" i="20"/>
  <c r="T721" i="20"/>
  <c r="S721" i="20"/>
  <c r="R721" i="20"/>
  <c r="Q721" i="20"/>
  <c r="O721" i="20"/>
  <c r="N721" i="20"/>
  <c r="M721" i="20"/>
  <c r="L721" i="20"/>
  <c r="K721" i="20"/>
  <c r="I721" i="20"/>
  <c r="H721" i="20"/>
  <c r="G721" i="20"/>
  <c r="F721" i="20"/>
  <c r="E721" i="20"/>
  <c r="U720" i="20"/>
  <c r="T720" i="20"/>
  <c r="S720" i="20"/>
  <c r="R720" i="20"/>
  <c r="Q720" i="20"/>
  <c r="O720" i="20"/>
  <c r="N720" i="20"/>
  <c r="M720" i="20"/>
  <c r="L720" i="20"/>
  <c r="K720" i="20"/>
  <c r="I720" i="20"/>
  <c r="H720" i="20"/>
  <c r="G720" i="20"/>
  <c r="F720" i="20"/>
  <c r="E720" i="20"/>
  <c r="U719" i="20"/>
  <c r="T719" i="20"/>
  <c r="S719" i="20"/>
  <c r="R719" i="20"/>
  <c r="Q719" i="20"/>
  <c r="O719" i="20"/>
  <c r="N719" i="20"/>
  <c r="M719" i="20"/>
  <c r="L719" i="20"/>
  <c r="K719" i="20"/>
  <c r="I719" i="20"/>
  <c r="H719" i="20"/>
  <c r="G719" i="20"/>
  <c r="F719" i="20"/>
  <c r="E719" i="20"/>
  <c r="U718" i="20"/>
  <c r="T718" i="20"/>
  <c r="S718" i="20"/>
  <c r="R718" i="20"/>
  <c r="Q718" i="20"/>
  <c r="O718" i="20"/>
  <c r="N718" i="20"/>
  <c r="M718" i="20"/>
  <c r="L718" i="20"/>
  <c r="K718" i="20"/>
  <c r="I718" i="20"/>
  <c r="H718" i="20"/>
  <c r="G718" i="20"/>
  <c r="F718" i="20"/>
  <c r="E718" i="20"/>
  <c r="U717" i="20"/>
  <c r="T717" i="20"/>
  <c r="S717" i="20"/>
  <c r="R717" i="20"/>
  <c r="Q717" i="20"/>
  <c r="O717" i="20"/>
  <c r="N717" i="20"/>
  <c r="M717" i="20"/>
  <c r="L717" i="20"/>
  <c r="K717" i="20"/>
  <c r="I717" i="20"/>
  <c r="H717" i="20"/>
  <c r="G717" i="20"/>
  <c r="F717" i="20"/>
  <c r="E717" i="20"/>
  <c r="U716" i="20"/>
  <c r="T716" i="20"/>
  <c r="S716" i="20"/>
  <c r="R716" i="20"/>
  <c r="Q716" i="20"/>
  <c r="O716" i="20"/>
  <c r="N716" i="20"/>
  <c r="M716" i="20"/>
  <c r="L716" i="20"/>
  <c r="K716" i="20"/>
  <c r="I716" i="20"/>
  <c r="H716" i="20"/>
  <c r="G716" i="20"/>
  <c r="F716" i="20"/>
  <c r="E716" i="20"/>
  <c r="U715" i="20"/>
  <c r="T715" i="20"/>
  <c r="S715" i="20"/>
  <c r="R715" i="20"/>
  <c r="Q715" i="20"/>
  <c r="O715" i="20"/>
  <c r="N715" i="20"/>
  <c r="M715" i="20"/>
  <c r="L715" i="20"/>
  <c r="K715" i="20"/>
  <c r="I715" i="20"/>
  <c r="H715" i="20"/>
  <c r="G715" i="20"/>
  <c r="F715" i="20"/>
  <c r="E715" i="20"/>
  <c r="U714" i="20"/>
  <c r="T714" i="20"/>
  <c r="S714" i="20"/>
  <c r="R714" i="20"/>
  <c r="Q714" i="20"/>
  <c r="O714" i="20"/>
  <c r="N714" i="20"/>
  <c r="M714" i="20"/>
  <c r="L714" i="20"/>
  <c r="K714" i="20"/>
  <c r="I714" i="20"/>
  <c r="H714" i="20"/>
  <c r="G714" i="20"/>
  <c r="F714" i="20"/>
  <c r="E714" i="20"/>
  <c r="U713" i="20"/>
  <c r="T713" i="20"/>
  <c r="S713" i="20"/>
  <c r="R713" i="20"/>
  <c r="Q713" i="20"/>
  <c r="O713" i="20"/>
  <c r="N713" i="20"/>
  <c r="M713" i="20"/>
  <c r="L713" i="20"/>
  <c r="K713" i="20"/>
  <c r="I713" i="20"/>
  <c r="H713" i="20"/>
  <c r="G713" i="20"/>
  <c r="F713" i="20"/>
  <c r="E713" i="20"/>
  <c r="U712" i="20"/>
  <c r="T712" i="20"/>
  <c r="S712" i="20"/>
  <c r="R712" i="20"/>
  <c r="Q712" i="20"/>
  <c r="O712" i="20"/>
  <c r="N712" i="20"/>
  <c r="M712" i="20"/>
  <c r="L712" i="20"/>
  <c r="K712" i="20"/>
  <c r="I712" i="20"/>
  <c r="H712" i="20"/>
  <c r="G712" i="20"/>
  <c r="F712" i="20"/>
  <c r="E712" i="20"/>
  <c r="U711" i="20"/>
  <c r="T711" i="20"/>
  <c r="S711" i="20"/>
  <c r="R711" i="20"/>
  <c r="Q711" i="20"/>
  <c r="O711" i="20"/>
  <c r="N711" i="20"/>
  <c r="M711" i="20"/>
  <c r="L711" i="20"/>
  <c r="K711" i="20"/>
  <c r="I711" i="20"/>
  <c r="H711" i="20"/>
  <c r="G711" i="20"/>
  <c r="F711" i="20"/>
  <c r="E711" i="20"/>
  <c r="U710" i="20"/>
  <c r="T710" i="20"/>
  <c r="S710" i="20"/>
  <c r="R710" i="20"/>
  <c r="Q710" i="20"/>
  <c r="O710" i="20"/>
  <c r="N710" i="20"/>
  <c r="M710" i="20"/>
  <c r="L710" i="20"/>
  <c r="K710" i="20"/>
  <c r="I710" i="20"/>
  <c r="H710" i="20"/>
  <c r="G710" i="20"/>
  <c r="F710" i="20"/>
  <c r="E710" i="20"/>
  <c r="U709" i="20"/>
  <c r="T709" i="20"/>
  <c r="S709" i="20"/>
  <c r="R709" i="20"/>
  <c r="Q709" i="20"/>
  <c r="O709" i="20"/>
  <c r="N709" i="20"/>
  <c r="M709" i="20"/>
  <c r="L709" i="20"/>
  <c r="K709" i="20"/>
  <c r="I709" i="20"/>
  <c r="H709" i="20"/>
  <c r="G709" i="20"/>
  <c r="F709" i="20"/>
  <c r="E709" i="20"/>
  <c r="U708" i="20"/>
  <c r="T708" i="20"/>
  <c r="S708" i="20"/>
  <c r="R708" i="20"/>
  <c r="Q708" i="20"/>
  <c r="O708" i="20"/>
  <c r="N708" i="20"/>
  <c r="M708" i="20"/>
  <c r="L708" i="20"/>
  <c r="K708" i="20"/>
  <c r="I708" i="20"/>
  <c r="H708" i="20"/>
  <c r="G708" i="20"/>
  <c r="F708" i="20"/>
  <c r="E708" i="20"/>
  <c r="U707" i="20"/>
  <c r="T707" i="20"/>
  <c r="S707" i="20"/>
  <c r="R707" i="20"/>
  <c r="Q707" i="20"/>
  <c r="O707" i="20"/>
  <c r="N707" i="20"/>
  <c r="M707" i="20"/>
  <c r="L707" i="20"/>
  <c r="K707" i="20"/>
  <c r="I707" i="20"/>
  <c r="H707" i="20"/>
  <c r="G707" i="20"/>
  <c r="F707" i="20"/>
  <c r="E707" i="20"/>
  <c r="U706" i="20"/>
  <c r="T706" i="20"/>
  <c r="S706" i="20"/>
  <c r="R706" i="20"/>
  <c r="Q706" i="20"/>
  <c r="O706" i="20"/>
  <c r="N706" i="20"/>
  <c r="M706" i="20"/>
  <c r="L706" i="20"/>
  <c r="K706" i="20"/>
  <c r="I706" i="20"/>
  <c r="H706" i="20"/>
  <c r="G706" i="20"/>
  <c r="F706" i="20"/>
  <c r="E706" i="20"/>
  <c r="U705" i="20"/>
  <c r="T705" i="20"/>
  <c r="S705" i="20"/>
  <c r="R705" i="20"/>
  <c r="Q705" i="20"/>
  <c r="O705" i="20"/>
  <c r="N705" i="20"/>
  <c r="M705" i="20"/>
  <c r="L705" i="20"/>
  <c r="K705" i="20"/>
  <c r="I705" i="20"/>
  <c r="H705" i="20"/>
  <c r="G705" i="20"/>
  <c r="F705" i="20"/>
  <c r="E705" i="20"/>
  <c r="U704" i="20"/>
  <c r="T704" i="20"/>
  <c r="S704" i="20"/>
  <c r="R704" i="20"/>
  <c r="Q704" i="20"/>
  <c r="O704" i="20"/>
  <c r="N704" i="20"/>
  <c r="M704" i="20"/>
  <c r="L704" i="20"/>
  <c r="K704" i="20"/>
  <c r="I704" i="20"/>
  <c r="H704" i="20"/>
  <c r="G704" i="20"/>
  <c r="F704" i="20"/>
  <c r="E704" i="20"/>
  <c r="U703" i="20"/>
  <c r="T703" i="20"/>
  <c r="S703" i="20"/>
  <c r="R703" i="20"/>
  <c r="Q703" i="20"/>
  <c r="O703" i="20"/>
  <c r="N703" i="20"/>
  <c r="M703" i="20"/>
  <c r="L703" i="20"/>
  <c r="K703" i="20"/>
  <c r="I703" i="20"/>
  <c r="H703" i="20"/>
  <c r="G703" i="20"/>
  <c r="F703" i="20"/>
  <c r="E703" i="20"/>
  <c r="U702" i="20"/>
  <c r="T702" i="20"/>
  <c r="S702" i="20"/>
  <c r="R702" i="20"/>
  <c r="Q702" i="20"/>
  <c r="O702" i="20"/>
  <c r="N702" i="20"/>
  <c r="M702" i="20"/>
  <c r="L702" i="20"/>
  <c r="K702" i="20"/>
  <c r="I702" i="20"/>
  <c r="H702" i="20"/>
  <c r="G702" i="20"/>
  <c r="F702" i="20"/>
  <c r="E702" i="20"/>
  <c r="U701" i="20"/>
  <c r="T701" i="20"/>
  <c r="S701" i="20"/>
  <c r="R701" i="20"/>
  <c r="Q701" i="20"/>
  <c r="O701" i="20"/>
  <c r="N701" i="20"/>
  <c r="M701" i="20"/>
  <c r="L701" i="20"/>
  <c r="K701" i="20"/>
  <c r="I701" i="20"/>
  <c r="H701" i="20"/>
  <c r="G701" i="20"/>
  <c r="F701" i="20"/>
  <c r="E701" i="20"/>
  <c r="U700" i="20"/>
  <c r="T700" i="20"/>
  <c r="S700" i="20"/>
  <c r="R700" i="20"/>
  <c r="Q700" i="20"/>
  <c r="O700" i="20"/>
  <c r="N700" i="20"/>
  <c r="M700" i="20"/>
  <c r="L700" i="20"/>
  <c r="K700" i="20"/>
  <c r="I700" i="20"/>
  <c r="H700" i="20"/>
  <c r="G700" i="20"/>
  <c r="F700" i="20"/>
  <c r="E700" i="20"/>
  <c r="U699" i="20"/>
  <c r="T699" i="20"/>
  <c r="S699" i="20"/>
  <c r="R699" i="20"/>
  <c r="Q699" i="20"/>
  <c r="O699" i="20"/>
  <c r="N699" i="20"/>
  <c r="M699" i="20"/>
  <c r="L699" i="20"/>
  <c r="K699" i="20"/>
  <c r="I699" i="20"/>
  <c r="H699" i="20"/>
  <c r="G699" i="20"/>
  <c r="F699" i="20"/>
  <c r="E699" i="20"/>
  <c r="U698" i="20"/>
  <c r="T698" i="20"/>
  <c r="S698" i="20"/>
  <c r="R698" i="20"/>
  <c r="Q698" i="20"/>
  <c r="O698" i="20"/>
  <c r="N698" i="20"/>
  <c r="M698" i="20"/>
  <c r="L698" i="20"/>
  <c r="K698" i="20"/>
  <c r="I698" i="20"/>
  <c r="H698" i="20"/>
  <c r="G698" i="20"/>
  <c r="F698" i="20"/>
  <c r="E698" i="20"/>
  <c r="U697" i="20"/>
  <c r="T697" i="20"/>
  <c r="S697" i="20"/>
  <c r="R697" i="20"/>
  <c r="Q697" i="20"/>
  <c r="O697" i="20"/>
  <c r="N697" i="20"/>
  <c r="M697" i="20"/>
  <c r="L697" i="20"/>
  <c r="K697" i="20"/>
  <c r="I697" i="20"/>
  <c r="H697" i="20"/>
  <c r="G697" i="20"/>
  <c r="F697" i="20"/>
  <c r="E697" i="20"/>
  <c r="U696" i="20"/>
  <c r="T696" i="20"/>
  <c r="S696" i="20"/>
  <c r="R696" i="20"/>
  <c r="Q696" i="20"/>
  <c r="O696" i="20"/>
  <c r="N696" i="20"/>
  <c r="M696" i="20"/>
  <c r="L696" i="20"/>
  <c r="K696" i="20"/>
  <c r="I696" i="20"/>
  <c r="H696" i="20"/>
  <c r="G696" i="20"/>
  <c r="F696" i="20"/>
  <c r="E696" i="20"/>
  <c r="U695" i="20"/>
  <c r="T695" i="20"/>
  <c r="S695" i="20"/>
  <c r="R695" i="20"/>
  <c r="Q695" i="20"/>
  <c r="O695" i="20"/>
  <c r="N695" i="20"/>
  <c r="M695" i="20"/>
  <c r="L695" i="20"/>
  <c r="K695" i="20"/>
  <c r="I695" i="20"/>
  <c r="H695" i="20"/>
  <c r="G695" i="20"/>
  <c r="F695" i="20"/>
  <c r="E695" i="20"/>
  <c r="U694" i="20"/>
  <c r="T694" i="20"/>
  <c r="S694" i="20"/>
  <c r="R694" i="20"/>
  <c r="Q694" i="20"/>
  <c r="O694" i="20"/>
  <c r="N694" i="20"/>
  <c r="M694" i="20"/>
  <c r="L694" i="20"/>
  <c r="K694" i="20"/>
  <c r="I694" i="20"/>
  <c r="H694" i="20"/>
  <c r="G694" i="20"/>
  <c r="F694" i="20"/>
  <c r="E694" i="20"/>
  <c r="U693" i="20"/>
  <c r="T693" i="20"/>
  <c r="S693" i="20"/>
  <c r="R693" i="20"/>
  <c r="Q693" i="20"/>
  <c r="O693" i="20"/>
  <c r="N693" i="20"/>
  <c r="M693" i="20"/>
  <c r="L693" i="20"/>
  <c r="K693" i="20"/>
  <c r="I693" i="20"/>
  <c r="H693" i="20"/>
  <c r="G693" i="20"/>
  <c r="F693" i="20"/>
  <c r="E693" i="20"/>
  <c r="U692" i="20"/>
  <c r="T692" i="20"/>
  <c r="S692" i="20"/>
  <c r="R692" i="20"/>
  <c r="Q692" i="20"/>
  <c r="O692" i="20"/>
  <c r="N692" i="20"/>
  <c r="M692" i="20"/>
  <c r="L692" i="20"/>
  <c r="K692" i="20"/>
  <c r="I692" i="20"/>
  <c r="H692" i="20"/>
  <c r="G692" i="20"/>
  <c r="F692" i="20"/>
  <c r="E692" i="20"/>
  <c r="U691" i="20"/>
  <c r="T691" i="20"/>
  <c r="S691" i="20"/>
  <c r="R691" i="20"/>
  <c r="Q691" i="20"/>
  <c r="O691" i="20"/>
  <c r="N691" i="20"/>
  <c r="M691" i="20"/>
  <c r="L691" i="20"/>
  <c r="K691" i="20"/>
  <c r="I691" i="20"/>
  <c r="H691" i="20"/>
  <c r="G691" i="20"/>
  <c r="F691" i="20"/>
  <c r="E691" i="20"/>
  <c r="U690" i="20"/>
  <c r="T690" i="20"/>
  <c r="S690" i="20"/>
  <c r="R690" i="20"/>
  <c r="Q690" i="20"/>
  <c r="O690" i="20"/>
  <c r="N690" i="20"/>
  <c r="M690" i="20"/>
  <c r="L690" i="20"/>
  <c r="K690" i="20"/>
  <c r="I690" i="20"/>
  <c r="H690" i="20"/>
  <c r="G690" i="20"/>
  <c r="F690" i="20"/>
  <c r="E690" i="20"/>
  <c r="U689" i="20"/>
  <c r="T689" i="20"/>
  <c r="S689" i="20"/>
  <c r="R689" i="20"/>
  <c r="Q689" i="20"/>
  <c r="O689" i="20"/>
  <c r="N689" i="20"/>
  <c r="M689" i="20"/>
  <c r="L689" i="20"/>
  <c r="K689" i="20"/>
  <c r="I689" i="20"/>
  <c r="H689" i="20"/>
  <c r="G689" i="20"/>
  <c r="F689" i="20"/>
  <c r="E689" i="20"/>
  <c r="U688" i="20"/>
  <c r="T688" i="20"/>
  <c r="S688" i="20"/>
  <c r="R688" i="20"/>
  <c r="Q688" i="20"/>
  <c r="O688" i="20"/>
  <c r="N688" i="20"/>
  <c r="M688" i="20"/>
  <c r="L688" i="20"/>
  <c r="K688" i="20"/>
  <c r="I688" i="20"/>
  <c r="H688" i="20"/>
  <c r="G688" i="20"/>
  <c r="F688" i="20"/>
  <c r="E688" i="20"/>
  <c r="U687" i="20"/>
  <c r="T687" i="20"/>
  <c r="S687" i="20"/>
  <c r="R687" i="20"/>
  <c r="Q687" i="20"/>
  <c r="O687" i="20"/>
  <c r="N687" i="20"/>
  <c r="M687" i="20"/>
  <c r="L687" i="20"/>
  <c r="K687" i="20"/>
  <c r="I687" i="20"/>
  <c r="H687" i="20"/>
  <c r="G687" i="20"/>
  <c r="F687" i="20"/>
  <c r="E687" i="20"/>
  <c r="U686" i="20"/>
  <c r="T686" i="20"/>
  <c r="S686" i="20"/>
  <c r="R686" i="20"/>
  <c r="Q686" i="20"/>
  <c r="O686" i="20"/>
  <c r="N686" i="20"/>
  <c r="M686" i="20"/>
  <c r="L686" i="20"/>
  <c r="K686" i="20"/>
  <c r="I686" i="20"/>
  <c r="H686" i="20"/>
  <c r="G686" i="20"/>
  <c r="F686" i="20"/>
  <c r="E686" i="20"/>
  <c r="U685" i="20"/>
  <c r="T685" i="20"/>
  <c r="S685" i="20"/>
  <c r="R685" i="20"/>
  <c r="Q685" i="20"/>
  <c r="O685" i="20"/>
  <c r="N685" i="20"/>
  <c r="M685" i="20"/>
  <c r="L685" i="20"/>
  <c r="K685" i="20"/>
  <c r="I685" i="20"/>
  <c r="H685" i="20"/>
  <c r="G685" i="20"/>
  <c r="F685" i="20"/>
  <c r="E685" i="20"/>
  <c r="U684" i="20"/>
  <c r="T684" i="20"/>
  <c r="S684" i="20"/>
  <c r="R684" i="20"/>
  <c r="Q684" i="20"/>
  <c r="O684" i="20"/>
  <c r="N684" i="20"/>
  <c r="M684" i="20"/>
  <c r="L684" i="20"/>
  <c r="K684" i="20"/>
  <c r="I684" i="20"/>
  <c r="H684" i="20"/>
  <c r="G684" i="20"/>
  <c r="F684" i="20"/>
  <c r="E684" i="20"/>
  <c r="U683" i="20"/>
  <c r="T683" i="20"/>
  <c r="S683" i="20"/>
  <c r="R683" i="20"/>
  <c r="Q683" i="20"/>
  <c r="O683" i="20"/>
  <c r="N683" i="20"/>
  <c r="M683" i="20"/>
  <c r="L683" i="20"/>
  <c r="K683" i="20"/>
  <c r="I683" i="20"/>
  <c r="H683" i="20"/>
  <c r="G683" i="20"/>
  <c r="F683" i="20"/>
  <c r="E683" i="20"/>
  <c r="U682" i="20"/>
  <c r="T682" i="20"/>
  <c r="S682" i="20"/>
  <c r="R682" i="20"/>
  <c r="Q682" i="20"/>
  <c r="O682" i="20"/>
  <c r="N682" i="20"/>
  <c r="M682" i="20"/>
  <c r="L682" i="20"/>
  <c r="K682" i="20"/>
  <c r="I682" i="20"/>
  <c r="H682" i="20"/>
  <c r="G682" i="20"/>
  <c r="F682" i="20"/>
  <c r="E682" i="20"/>
  <c r="U681" i="20"/>
  <c r="T681" i="20"/>
  <c r="S681" i="20"/>
  <c r="R681" i="20"/>
  <c r="Q681" i="20"/>
  <c r="O681" i="20"/>
  <c r="N681" i="20"/>
  <c r="M681" i="20"/>
  <c r="L681" i="20"/>
  <c r="K681" i="20"/>
  <c r="I681" i="20"/>
  <c r="H681" i="20"/>
  <c r="G681" i="20"/>
  <c r="F681" i="20"/>
  <c r="E681" i="20"/>
  <c r="U680" i="20"/>
  <c r="T680" i="20"/>
  <c r="S680" i="20"/>
  <c r="R680" i="20"/>
  <c r="Q680" i="20"/>
  <c r="O680" i="20"/>
  <c r="N680" i="20"/>
  <c r="M680" i="20"/>
  <c r="L680" i="20"/>
  <c r="K680" i="20"/>
  <c r="I680" i="20"/>
  <c r="H680" i="20"/>
  <c r="G680" i="20"/>
  <c r="F680" i="20"/>
  <c r="E680" i="20"/>
  <c r="U679" i="20"/>
  <c r="T679" i="20"/>
  <c r="S679" i="20"/>
  <c r="R679" i="20"/>
  <c r="Q679" i="20"/>
  <c r="O679" i="20"/>
  <c r="N679" i="20"/>
  <c r="M679" i="20"/>
  <c r="L679" i="20"/>
  <c r="K679" i="20"/>
  <c r="I679" i="20"/>
  <c r="H679" i="20"/>
  <c r="G679" i="20"/>
  <c r="F679" i="20"/>
  <c r="E679" i="20"/>
  <c r="U678" i="20"/>
  <c r="T678" i="20"/>
  <c r="S678" i="20"/>
  <c r="R678" i="20"/>
  <c r="Q678" i="20"/>
  <c r="O678" i="20"/>
  <c r="N678" i="20"/>
  <c r="M678" i="20"/>
  <c r="L678" i="20"/>
  <c r="K678" i="20"/>
  <c r="I678" i="20"/>
  <c r="H678" i="20"/>
  <c r="G678" i="20"/>
  <c r="F678" i="20"/>
  <c r="E678" i="20"/>
  <c r="U677" i="20"/>
  <c r="T677" i="20"/>
  <c r="S677" i="20"/>
  <c r="R677" i="20"/>
  <c r="Q677" i="20"/>
  <c r="O677" i="20"/>
  <c r="N677" i="20"/>
  <c r="M677" i="20"/>
  <c r="L677" i="20"/>
  <c r="K677" i="20"/>
  <c r="I677" i="20"/>
  <c r="H677" i="20"/>
  <c r="G677" i="20"/>
  <c r="F677" i="20"/>
  <c r="E677" i="20"/>
  <c r="U676" i="20"/>
  <c r="T676" i="20"/>
  <c r="S676" i="20"/>
  <c r="R676" i="20"/>
  <c r="Q676" i="20"/>
  <c r="O676" i="20"/>
  <c r="N676" i="20"/>
  <c r="M676" i="20"/>
  <c r="L676" i="20"/>
  <c r="K676" i="20"/>
  <c r="I676" i="20"/>
  <c r="H676" i="20"/>
  <c r="G676" i="20"/>
  <c r="F676" i="20"/>
  <c r="E676" i="20"/>
  <c r="U675" i="20"/>
  <c r="T675" i="20"/>
  <c r="S675" i="20"/>
  <c r="R675" i="20"/>
  <c r="Q675" i="20"/>
  <c r="O675" i="20"/>
  <c r="N675" i="20"/>
  <c r="M675" i="20"/>
  <c r="L675" i="20"/>
  <c r="K675" i="20"/>
  <c r="I675" i="20"/>
  <c r="H675" i="20"/>
  <c r="G675" i="20"/>
  <c r="F675" i="20"/>
  <c r="E675" i="20"/>
  <c r="U674" i="20"/>
  <c r="T674" i="20"/>
  <c r="S674" i="20"/>
  <c r="R674" i="20"/>
  <c r="Q674" i="20"/>
  <c r="O674" i="20"/>
  <c r="N674" i="20"/>
  <c r="M674" i="20"/>
  <c r="L674" i="20"/>
  <c r="K674" i="20"/>
  <c r="I674" i="20"/>
  <c r="H674" i="20"/>
  <c r="G674" i="20"/>
  <c r="F674" i="20"/>
  <c r="E674" i="20"/>
  <c r="U673" i="20"/>
  <c r="T673" i="20"/>
  <c r="S673" i="20"/>
  <c r="R673" i="20"/>
  <c r="Q673" i="20"/>
  <c r="O673" i="20"/>
  <c r="N673" i="20"/>
  <c r="M673" i="20"/>
  <c r="L673" i="20"/>
  <c r="K673" i="20"/>
  <c r="I673" i="20"/>
  <c r="H673" i="20"/>
  <c r="G673" i="20"/>
  <c r="F673" i="20"/>
  <c r="E673" i="20"/>
  <c r="U672" i="20"/>
  <c r="T672" i="20"/>
  <c r="S672" i="20"/>
  <c r="R672" i="20"/>
  <c r="Q672" i="20"/>
  <c r="O672" i="20"/>
  <c r="N672" i="20"/>
  <c r="M672" i="20"/>
  <c r="L672" i="20"/>
  <c r="K672" i="20"/>
  <c r="I672" i="20"/>
  <c r="H672" i="20"/>
  <c r="G672" i="20"/>
  <c r="F672" i="20"/>
  <c r="E672" i="20"/>
  <c r="U671" i="20"/>
  <c r="T671" i="20"/>
  <c r="S671" i="20"/>
  <c r="R671" i="20"/>
  <c r="Q671" i="20"/>
  <c r="O671" i="20"/>
  <c r="N671" i="20"/>
  <c r="M671" i="20"/>
  <c r="L671" i="20"/>
  <c r="K671" i="20"/>
  <c r="I671" i="20"/>
  <c r="H671" i="20"/>
  <c r="G671" i="20"/>
  <c r="F671" i="20"/>
  <c r="E671" i="20"/>
  <c r="U670" i="20"/>
  <c r="T670" i="20"/>
  <c r="S670" i="20"/>
  <c r="R670" i="20"/>
  <c r="Q670" i="20"/>
  <c r="O670" i="20"/>
  <c r="N670" i="20"/>
  <c r="M670" i="20"/>
  <c r="L670" i="20"/>
  <c r="K670" i="20"/>
  <c r="I670" i="20"/>
  <c r="H670" i="20"/>
  <c r="G670" i="20"/>
  <c r="F670" i="20"/>
  <c r="E670" i="20"/>
  <c r="U669" i="20"/>
  <c r="T669" i="20"/>
  <c r="S669" i="20"/>
  <c r="R669" i="20"/>
  <c r="Q669" i="20"/>
  <c r="O669" i="20"/>
  <c r="N669" i="20"/>
  <c r="M669" i="20"/>
  <c r="L669" i="20"/>
  <c r="K669" i="20"/>
  <c r="I669" i="20"/>
  <c r="H669" i="20"/>
  <c r="G669" i="20"/>
  <c r="F669" i="20"/>
  <c r="E669" i="20"/>
  <c r="U668" i="20"/>
  <c r="T668" i="20"/>
  <c r="S668" i="20"/>
  <c r="R668" i="20"/>
  <c r="Q668" i="20"/>
  <c r="O668" i="20"/>
  <c r="N668" i="20"/>
  <c r="M668" i="20"/>
  <c r="L668" i="20"/>
  <c r="K668" i="20"/>
  <c r="I668" i="20"/>
  <c r="H668" i="20"/>
  <c r="G668" i="20"/>
  <c r="F668" i="20"/>
  <c r="E668" i="20"/>
  <c r="U667" i="20"/>
  <c r="T667" i="20"/>
  <c r="S667" i="20"/>
  <c r="R667" i="20"/>
  <c r="Q667" i="20"/>
  <c r="O667" i="20"/>
  <c r="N667" i="20"/>
  <c r="M667" i="20"/>
  <c r="L667" i="20"/>
  <c r="K667" i="20"/>
  <c r="I667" i="20"/>
  <c r="H667" i="20"/>
  <c r="G667" i="20"/>
  <c r="F667" i="20"/>
  <c r="E667" i="20"/>
  <c r="U666" i="20"/>
  <c r="T666" i="20"/>
  <c r="S666" i="20"/>
  <c r="R666" i="20"/>
  <c r="Q666" i="20"/>
  <c r="O666" i="20"/>
  <c r="N666" i="20"/>
  <c r="M666" i="20"/>
  <c r="L666" i="20"/>
  <c r="K666" i="20"/>
  <c r="I666" i="20"/>
  <c r="H666" i="20"/>
  <c r="G666" i="20"/>
  <c r="F666" i="20"/>
  <c r="E666" i="20"/>
  <c r="U665" i="20"/>
  <c r="T665" i="20"/>
  <c r="S665" i="20"/>
  <c r="R665" i="20"/>
  <c r="Q665" i="20"/>
  <c r="O665" i="20"/>
  <c r="N665" i="20"/>
  <c r="M665" i="20"/>
  <c r="L665" i="20"/>
  <c r="K665" i="20"/>
  <c r="I665" i="20"/>
  <c r="H665" i="20"/>
  <c r="G665" i="20"/>
  <c r="F665" i="20"/>
  <c r="E665" i="20"/>
  <c r="U664" i="20"/>
  <c r="T664" i="20"/>
  <c r="S664" i="20"/>
  <c r="R664" i="20"/>
  <c r="Q664" i="20"/>
  <c r="O664" i="20"/>
  <c r="N664" i="20"/>
  <c r="M664" i="20"/>
  <c r="L664" i="20"/>
  <c r="K664" i="20"/>
  <c r="I664" i="20"/>
  <c r="H664" i="20"/>
  <c r="G664" i="20"/>
  <c r="F664" i="20"/>
  <c r="E664" i="20"/>
  <c r="U663" i="20"/>
  <c r="T663" i="20"/>
  <c r="S663" i="20"/>
  <c r="R663" i="20"/>
  <c r="Q663" i="20"/>
  <c r="O663" i="20"/>
  <c r="N663" i="20"/>
  <c r="M663" i="20"/>
  <c r="L663" i="20"/>
  <c r="K663" i="20"/>
  <c r="I663" i="20"/>
  <c r="H663" i="20"/>
  <c r="G663" i="20"/>
  <c r="F663" i="20"/>
  <c r="E663" i="20"/>
  <c r="U662" i="20"/>
  <c r="T662" i="20"/>
  <c r="S662" i="20"/>
  <c r="R662" i="20"/>
  <c r="Q662" i="20"/>
  <c r="O662" i="20"/>
  <c r="N662" i="20"/>
  <c r="M662" i="20"/>
  <c r="L662" i="20"/>
  <c r="K662" i="20"/>
  <c r="I662" i="20"/>
  <c r="H662" i="20"/>
  <c r="G662" i="20"/>
  <c r="F662" i="20"/>
  <c r="E662" i="20"/>
  <c r="U661" i="20"/>
  <c r="T661" i="20"/>
  <c r="S661" i="20"/>
  <c r="R661" i="20"/>
  <c r="Q661" i="20"/>
  <c r="O661" i="20"/>
  <c r="N661" i="20"/>
  <c r="M661" i="20"/>
  <c r="L661" i="20"/>
  <c r="K661" i="20"/>
  <c r="I661" i="20"/>
  <c r="H661" i="20"/>
  <c r="G661" i="20"/>
  <c r="F661" i="20"/>
  <c r="E661" i="20"/>
  <c r="U660" i="20"/>
  <c r="T660" i="20"/>
  <c r="S660" i="20"/>
  <c r="R660" i="20"/>
  <c r="Q660" i="20"/>
  <c r="O660" i="20"/>
  <c r="N660" i="20"/>
  <c r="M660" i="20"/>
  <c r="L660" i="20"/>
  <c r="K660" i="20"/>
  <c r="I660" i="20"/>
  <c r="H660" i="20"/>
  <c r="G660" i="20"/>
  <c r="F660" i="20"/>
  <c r="E660" i="20"/>
  <c r="U659" i="20"/>
  <c r="T659" i="20"/>
  <c r="S659" i="20"/>
  <c r="R659" i="20"/>
  <c r="Q659" i="20"/>
  <c r="O659" i="20"/>
  <c r="N659" i="20"/>
  <c r="M659" i="20"/>
  <c r="L659" i="20"/>
  <c r="K659" i="20"/>
  <c r="I659" i="20"/>
  <c r="H659" i="20"/>
  <c r="G659" i="20"/>
  <c r="F659" i="20"/>
  <c r="E659" i="20"/>
  <c r="U658" i="20"/>
  <c r="T658" i="20"/>
  <c r="S658" i="20"/>
  <c r="R658" i="20"/>
  <c r="Q658" i="20"/>
  <c r="O658" i="20"/>
  <c r="N658" i="20"/>
  <c r="M658" i="20"/>
  <c r="L658" i="20"/>
  <c r="K658" i="20"/>
  <c r="I658" i="20"/>
  <c r="H658" i="20"/>
  <c r="G658" i="20"/>
  <c r="F658" i="20"/>
  <c r="E658" i="20"/>
  <c r="U657" i="20"/>
  <c r="T657" i="20"/>
  <c r="S657" i="20"/>
  <c r="R657" i="20"/>
  <c r="Q657" i="20"/>
  <c r="O657" i="20"/>
  <c r="N657" i="20"/>
  <c r="M657" i="20"/>
  <c r="L657" i="20"/>
  <c r="K657" i="20"/>
  <c r="I657" i="20"/>
  <c r="H657" i="20"/>
  <c r="G657" i="20"/>
  <c r="F657" i="20"/>
  <c r="E657" i="20"/>
  <c r="U656" i="20"/>
  <c r="T656" i="20"/>
  <c r="S656" i="20"/>
  <c r="R656" i="20"/>
  <c r="Q656" i="20"/>
  <c r="O656" i="20"/>
  <c r="N656" i="20"/>
  <c r="M656" i="20"/>
  <c r="L656" i="20"/>
  <c r="K656" i="20"/>
  <c r="I656" i="20"/>
  <c r="H656" i="20"/>
  <c r="G656" i="20"/>
  <c r="F656" i="20"/>
  <c r="E656" i="20"/>
  <c r="U655" i="20"/>
  <c r="T655" i="20"/>
  <c r="S655" i="20"/>
  <c r="R655" i="20"/>
  <c r="Q655" i="20"/>
  <c r="O655" i="20"/>
  <c r="N655" i="20"/>
  <c r="M655" i="20"/>
  <c r="L655" i="20"/>
  <c r="K655" i="20"/>
  <c r="I655" i="20"/>
  <c r="H655" i="20"/>
  <c r="G655" i="20"/>
  <c r="F655" i="20"/>
  <c r="E655" i="20"/>
  <c r="U654" i="20"/>
  <c r="T654" i="20"/>
  <c r="S654" i="20"/>
  <c r="R654" i="20"/>
  <c r="Q654" i="20"/>
  <c r="O654" i="20"/>
  <c r="N654" i="20"/>
  <c r="M654" i="20"/>
  <c r="L654" i="20"/>
  <c r="K654" i="20"/>
  <c r="I654" i="20"/>
  <c r="H654" i="20"/>
  <c r="G654" i="20"/>
  <c r="F654" i="20"/>
  <c r="E654" i="20"/>
  <c r="U653" i="20"/>
  <c r="T653" i="20"/>
  <c r="S653" i="20"/>
  <c r="R653" i="20"/>
  <c r="Q653" i="20"/>
  <c r="O653" i="20"/>
  <c r="N653" i="20"/>
  <c r="M653" i="20"/>
  <c r="L653" i="20"/>
  <c r="K653" i="20"/>
  <c r="I653" i="20"/>
  <c r="H653" i="20"/>
  <c r="G653" i="20"/>
  <c r="F653" i="20"/>
  <c r="E653" i="20"/>
  <c r="U652" i="20"/>
  <c r="T652" i="20"/>
  <c r="S652" i="20"/>
  <c r="R652" i="20"/>
  <c r="Q652" i="20"/>
  <c r="O652" i="20"/>
  <c r="N652" i="20"/>
  <c r="M652" i="20"/>
  <c r="L652" i="20"/>
  <c r="K652" i="20"/>
  <c r="I652" i="20"/>
  <c r="H652" i="20"/>
  <c r="G652" i="20"/>
  <c r="F652" i="20"/>
  <c r="E652" i="20"/>
  <c r="U651" i="20"/>
  <c r="T651" i="20"/>
  <c r="S651" i="20"/>
  <c r="R651" i="20"/>
  <c r="Q651" i="20"/>
  <c r="O651" i="20"/>
  <c r="N651" i="20"/>
  <c r="M651" i="20"/>
  <c r="L651" i="20"/>
  <c r="K651" i="20"/>
  <c r="I651" i="20"/>
  <c r="H651" i="20"/>
  <c r="G651" i="20"/>
  <c r="F651" i="20"/>
  <c r="E651" i="20"/>
  <c r="U650" i="20"/>
  <c r="T650" i="20"/>
  <c r="S650" i="20"/>
  <c r="R650" i="20"/>
  <c r="Q650" i="20"/>
  <c r="O650" i="20"/>
  <c r="N650" i="20"/>
  <c r="M650" i="20"/>
  <c r="L650" i="20"/>
  <c r="K650" i="20"/>
  <c r="I650" i="20"/>
  <c r="H650" i="20"/>
  <c r="G650" i="20"/>
  <c r="F650" i="20"/>
  <c r="E650" i="20"/>
  <c r="U649" i="20"/>
  <c r="T649" i="20"/>
  <c r="S649" i="20"/>
  <c r="R649" i="20"/>
  <c r="Q649" i="20"/>
  <c r="O649" i="20"/>
  <c r="N649" i="20"/>
  <c r="M649" i="20"/>
  <c r="L649" i="20"/>
  <c r="K649" i="20"/>
  <c r="I649" i="20"/>
  <c r="H649" i="20"/>
  <c r="G649" i="20"/>
  <c r="F649" i="20"/>
  <c r="E649" i="20"/>
  <c r="U648" i="20"/>
  <c r="T648" i="20"/>
  <c r="S648" i="20"/>
  <c r="R648" i="20"/>
  <c r="Q648" i="20"/>
  <c r="O648" i="20"/>
  <c r="N648" i="20"/>
  <c r="M648" i="20"/>
  <c r="L648" i="20"/>
  <c r="K648" i="20"/>
  <c r="I648" i="20"/>
  <c r="H648" i="20"/>
  <c r="G648" i="20"/>
  <c r="F648" i="20"/>
  <c r="E648" i="20"/>
  <c r="U647" i="20"/>
  <c r="T647" i="20"/>
  <c r="S647" i="20"/>
  <c r="R647" i="20"/>
  <c r="Q647" i="20"/>
  <c r="O647" i="20"/>
  <c r="N647" i="20"/>
  <c r="M647" i="20"/>
  <c r="L647" i="20"/>
  <c r="K647" i="20"/>
  <c r="I647" i="20"/>
  <c r="H647" i="20"/>
  <c r="G647" i="20"/>
  <c r="F647" i="20"/>
  <c r="E647" i="20"/>
  <c r="U646" i="20"/>
  <c r="T646" i="20"/>
  <c r="S646" i="20"/>
  <c r="R646" i="20"/>
  <c r="Q646" i="20"/>
  <c r="O646" i="20"/>
  <c r="N646" i="20"/>
  <c r="M646" i="20"/>
  <c r="L646" i="20"/>
  <c r="K646" i="20"/>
  <c r="I646" i="20"/>
  <c r="H646" i="20"/>
  <c r="G646" i="20"/>
  <c r="F646" i="20"/>
  <c r="E646" i="20"/>
  <c r="U645" i="20"/>
  <c r="T645" i="20"/>
  <c r="S645" i="20"/>
  <c r="R645" i="20"/>
  <c r="Q645" i="20"/>
  <c r="O645" i="20"/>
  <c r="N645" i="20"/>
  <c r="M645" i="20"/>
  <c r="L645" i="20"/>
  <c r="K645" i="20"/>
  <c r="I645" i="20"/>
  <c r="H645" i="20"/>
  <c r="G645" i="20"/>
  <c r="F645" i="20"/>
  <c r="E645" i="20"/>
  <c r="U644" i="20"/>
  <c r="T644" i="20"/>
  <c r="S644" i="20"/>
  <c r="R644" i="20"/>
  <c r="Q644" i="20"/>
  <c r="O644" i="20"/>
  <c r="N644" i="20"/>
  <c r="M644" i="20"/>
  <c r="L644" i="20"/>
  <c r="K644" i="20"/>
  <c r="I644" i="20"/>
  <c r="H644" i="20"/>
  <c r="G644" i="20"/>
  <c r="F644" i="20"/>
  <c r="E644" i="20"/>
  <c r="U643" i="20"/>
  <c r="T643" i="20"/>
  <c r="S643" i="20"/>
  <c r="R643" i="20"/>
  <c r="Q643" i="20"/>
  <c r="O643" i="20"/>
  <c r="N643" i="20"/>
  <c r="M643" i="20"/>
  <c r="L643" i="20"/>
  <c r="K643" i="20"/>
  <c r="I643" i="20"/>
  <c r="H643" i="20"/>
  <c r="G643" i="20"/>
  <c r="F643" i="20"/>
  <c r="E643" i="20"/>
  <c r="U642" i="20"/>
  <c r="T642" i="20"/>
  <c r="S642" i="20"/>
  <c r="R642" i="20"/>
  <c r="Q642" i="20"/>
  <c r="O642" i="20"/>
  <c r="N642" i="20"/>
  <c r="M642" i="20"/>
  <c r="L642" i="20"/>
  <c r="K642" i="20"/>
  <c r="I642" i="20"/>
  <c r="H642" i="20"/>
  <c r="G642" i="20"/>
  <c r="F642" i="20"/>
  <c r="E642" i="20"/>
  <c r="U641" i="20"/>
  <c r="T641" i="20"/>
  <c r="S641" i="20"/>
  <c r="R641" i="20"/>
  <c r="Q641" i="20"/>
  <c r="O641" i="20"/>
  <c r="N641" i="20"/>
  <c r="M641" i="20"/>
  <c r="L641" i="20"/>
  <c r="K641" i="20"/>
  <c r="I641" i="20"/>
  <c r="H641" i="20"/>
  <c r="G641" i="20"/>
  <c r="F641" i="20"/>
  <c r="E641" i="20"/>
  <c r="U640" i="20"/>
  <c r="T640" i="20"/>
  <c r="S640" i="20"/>
  <c r="R640" i="20"/>
  <c r="Q640" i="20"/>
  <c r="O640" i="20"/>
  <c r="N640" i="20"/>
  <c r="M640" i="20"/>
  <c r="L640" i="20"/>
  <c r="K640" i="20"/>
  <c r="I640" i="20"/>
  <c r="H640" i="20"/>
  <c r="G640" i="20"/>
  <c r="F640" i="20"/>
  <c r="E640" i="20"/>
  <c r="U639" i="20"/>
  <c r="T639" i="20"/>
  <c r="S639" i="20"/>
  <c r="R639" i="20"/>
  <c r="Q639" i="20"/>
  <c r="O639" i="20"/>
  <c r="N639" i="20"/>
  <c r="M639" i="20"/>
  <c r="L639" i="20"/>
  <c r="K639" i="20"/>
  <c r="I639" i="20"/>
  <c r="H639" i="20"/>
  <c r="G639" i="20"/>
  <c r="F639" i="20"/>
  <c r="E639" i="20"/>
  <c r="U638" i="20"/>
  <c r="T638" i="20"/>
  <c r="S638" i="20"/>
  <c r="R638" i="20"/>
  <c r="Q638" i="20"/>
  <c r="O638" i="20"/>
  <c r="N638" i="20"/>
  <c r="M638" i="20"/>
  <c r="L638" i="20"/>
  <c r="K638" i="20"/>
  <c r="I638" i="20"/>
  <c r="H638" i="20"/>
  <c r="G638" i="20"/>
  <c r="F638" i="20"/>
  <c r="E638" i="20"/>
  <c r="U637" i="20"/>
  <c r="T637" i="20"/>
  <c r="S637" i="20"/>
  <c r="R637" i="20"/>
  <c r="Q637" i="20"/>
  <c r="O637" i="20"/>
  <c r="N637" i="20"/>
  <c r="M637" i="20"/>
  <c r="L637" i="20"/>
  <c r="K637" i="20"/>
  <c r="I637" i="20"/>
  <c r="H637" i="20"/>
  <c r="G637" i="20"/>
  <c r="F637" i="20"/>
  <c r="E637" i="20"/>
  <c r="U636" i="20"/>
  <c r="T636" i="20"/>
  <c r="S636" i="20"/>
  <c r="R636" i="20"/>
  <c r="Q636" i="20"/>
  <c r="O636" i="20"/>
  <c r="N636" i="20"/>
  <c r="M636" i="20"/>
  <c r="L636" i="20"/>
  <c r="K636" i="20"/>
  <c r="I636" i="20"/>
  <c r="H636" i="20"/>
  <c r="G636" i="20"/>
  <c r="F636" i="20"/>
  <c r="E636" i="20"/>
  <c r="U635" i="20"/>
  <c r="T635" i="20"/>
  <c r="S635" i="20"/>
  <c r="R635" i="20"/>
  <c r="Q635" i="20"/>
  <c r="O635" i="20"/>
  <c r="N635" i="20"/>
  <c r="M635" i="20"/>
  <c r="L635" i="20"/>
  <c r="K635" i="20"/>
  <c r="I635" i="20"/>
  <c r="H635" i="20"/>
  <c r="G635" i="20"/>
  <c r="F635" i="20"/>
  <c r="E635" i="20"/>
  <c r="U634" i="20"/>
  <c r="T634" i="20"/>
  <c r="S634" i="20"/>
  <c r="R634" i="20"/>
  <c r="Q634" i="20"/>
  <c r="O634" i="20"/>
  <c r="N634" i="20"/>
  <c r="M634" i="20"/>
  <c r="L634" i="20"/>
  <c r="K634" i="20"/>
  <c r="I634" i="20"/>
  <c r="H634" i="20"/>
  <c r="G634" i="20"/>
  <c r="F634" i="20"/>
  <c r="E634" i="20"/>
  <c r="U633" i="20"/>
  <c r="T633" i="20"/>
  <c r="S633" i="20"/>
  <c r="R633" i="20"/>
  <c r="Q633" i="20"/>
  <c r="O633" i="20"/>
  <c r="N633" i="20"/>
  <c r="M633" i="20"/>
  <c r="L633" i="20"/>
  <c r="K633" i="20"/>
  <c r="I633" i="20"/>
  <c r="H633" i="20"/>
  <c r="G633" i="20"/>
  <c r="F633" i="20"/>
  <c r="E633" i="20"/>
  <c r="U632" i="20"/>
  <c r="T632" i="20"/>
  <c r="S632" i="20"/>
  <c r="R632" i="20"/>
  <c r="Q632" i="20"/>
  <c r="O632" i="20"/>
  <c r="N632" i="20"/>
  <c r="M632" i="20"/>
  <c r="L632" i="20"/>
  <c r="K632" i="20"/>
  <c r="I632" i="20"/>
  <c r="H632" i="20"/>
  <c r="G632" i="20"/>
  <c r="F632" i="20"/>
  <c r="E632" i="20"/>
  <c r="U631" i="20"/>
  <c r="T631" i="20"/>
  <c r="S631" i="20"/>
  <c r="R631" i="20"/>
  <c r="Q631" i="20"/>
  <c r="O631" i="20"/>
  <c r="N631" i="20"/>
  <c r="M631" i="20"/>
  <c r="L631" i="20"/>
  <c r="K631" i="20"/>
  <c r="I631" i="20"/>
  <c r="H631" i="20"/>
  <c r="G631" i="20"/>
  <c r="F631" i="20"/>
  <c r="E631" i="20"/>
  <c r="U630" i="20"/>
  <c r="T630" i="20"/>
  <c r="S630" i="20"/>
  <c r="R630" i="20"/>
  <c r="Q630" i="20"/>
  <c r="O630" i="20"/>
  <c r="N630" i="20"/>
  <c r="M630" i="20"/>
  <c r="L630" i="20"/>
  <c r="K630" i="20"/>
  <c r="I630" i="20"/>
  <c r="H630" i="20"/>
  <c r="G630" i="20"/>
  <c r="F630" i="20"/>
  <c r="E630" i="20"/>
  <c r="U629" i="20"/>
  <c r="T629" i="20"/>
  <c r="S629" i="20"/>
  <c r="R629" i="20"/>
  <c r="Q629" i="20"/>
  <c r="O629" i="20"/>
  <c r="N629" i="20"/>
  <c r="M629" i="20"/>
  <c r="L629" i="20"/>
  <c r="K629" i="20"/>
  <c r="I629" i="20"/>
  <c r="H629" i="20"/>
  <c r="G629" i="20"/>
  <c r="F629" i="20"/>
  <c r="E629" i="20"/>
  <c r="U628" i="20"/>
  <c r="T628" i="20"/>
  <c r="S628" i="20"/>
  <c r="R628" i="20"/>
  <c r="Q628" i="20"/>
  <c r="O628" i="20"/>
  <c r="N628" i="20"/>
  <c r="M628" i="20"/>
  <c r="L628" i="20"/>
  <c r="K628" i="20"/>
  <c r="I628" i="20"/>
  <c r="H628" i="20"/>
  <c r="G628" i="20"/>
  <c r="F628" i="20"/>
  <c r="E628" i="20"/>
  <c r="U627" i="20"/>
  <c r="T627" i="20"/>
  <c r="S627" i="20"/>
  <c r="R627" i="20"/>
  <c r="Q627" i="20"/>
  <c r="O627" i="20"/>
  <c r="N627" i="20"/>
  <c r="M627" i="20"/>
  <c r="L627" i="20"/>
  <c r="K627" i="20"/>
  <c r="I627" i="20"/>
  <c r="H627" i="20"/>
  <c r="G627" i="20"/>
  <c r="F627" i="20"/>
  <c r="E627" i="20"/>
  <c r="U626" i="20"/>
  <c r="T626" i="20"/>
  <c r="S626" i="20"/>
  <c r="R626" i="20"/>
  <c r="Q626" i="20"/>
  <c r="O626" i="20"/>
  <c r="N626" i="20"/>
  <c r="M626" i="20"/>
  <c r="L626" i="20"/>
  <c r="K626" i="20"/>
  <c r="I626" i="20"/>
  <c r="H626" i="20"/>
  <c r="G626" i="20"/>
  <c r="F626" i="20"/>
  <c r="E626" i="20"/>
  <c r="U625" i="20"/>
  <c r="T625" i="20"/>
  <c r="S625" i="20"/>
  <c r="R625" i="20"/>
  <c r="Q625" i="20"/>
  <c r="O625" i="20"/>
  <c r="N625" i="20"/>
  <c r="M625" i="20"/>
  <c r="L625" i="20"/>
  <c r="K625" i="20"/>
  <c r="I625" i="20"/>
  <c r="H625" i="20"/>
  <c r="G625" i="20"/>
  <c r="F625" i="20"/>
  <c r="E625" i="20"/>
  <c r="U624" i="20"/>
  <c r="T624" i="20"/>
  <c r="S624" i="20"/>
  <c r="R624" i="20"/>
  <c r="Q624" i="20"/>
  <c r="O624" i="20"/>
  <c r="N624" i="20"/>
  <c r="M624" i="20"/>
  <c r="L624" i="20"/>
  <c r="K624" i="20"/>
  <c r="I624" i="20"/>
  <c r="H624" i="20"/>
  <c r="G624" i="20"/>
  <c r="F624" i="20"/>
  <c r="E624" i="20"/>
  <c r="U623" i="20"/>
  <c r="T623" i="20"/>
  <c r="S623" i="20"/>
  <c r="R623" i="20"/>
  <c r="Q623" i="20"/>
  <c r="O623" i="20"/>
  <c r="N623" i="20"/>
  <c r="M623" i="20"/>
  <c r="L623" i="20"/>
  <c r="K623" i="20"/>
  <c r="I623" i="20"/>
  <c r="H623" i="20"/>
  <c r="G623" i="20"/>
  <c r="F623" i="20"/>
  <c r="E623" i="20"/>
  <c r="U622" i="20"/>
  <c r="T622" i="20"/>
  <c r="S622" i="20"/>
  <c r="R622" i="20"/>
  <c r="Q622" i="20"/>
  <c r="O622" i="20"/>
  <c r="N622" i="20"/>
  <c r="M622" i="20"/>
  <c r="L622" i="20"/>
  <c r="K622" i="20"/>
  <c r="I622" i="20"/>
  <c r="H622" i="20"/>
  <c r="G622" i="20"/>
  <c r="F622" i="20"/>
  <c r="E622" i="20"/>
  <c r="U621" i="20"/>
  <c r="T621" i="20"/>
  <c r="S621" i="20"/>
  <c r="R621" i="20"/>
  <c r="Q621" i="20"/>
  <c r="O621" i="20"/>
  <c r="N621" i="20"/>
  <c r="M621" i="20"/>
  <c r="L621" i="20"/>
  <c r="K621" i="20"/>
  <c r="I621" i="20"/>
  <c r="H621" i="20"/>
  <c r="G621" i="20"/>
  <c r="F621" i="20"/>
  <c r="E621" i="20"/>
  <c r="U620" i="20"/>
  <c r="T620" i="20"/>
  <c r="S620" i="20"/>
  <c r="R620" i="20"/>
  <c r="Q620" i="20"/>
  <c r="O620" i="20"/>
  <c r="N620" i="20"/>
  <c r="M620" i="20"/>
  <c r="L620" i="20"/>
  <c r="K620" i="20"/>
  <c r="I620" i="20"/>
  <c r="H620" i="20"/>
  <c r="G620" i="20"/>
  <c r="F620" i="20"/>
  <c r="E620" i="20"/>
  <c r="U619" i="20"/>
  <c r="T619" i="20"/>
  <c r="S619" i="20"/>
  <c r="R619" i="20"/>
  <c r="Q619" i="20"/>
  <c r="O619" i="20"/>
  <c r="N619" i="20"/>
  <c r="M619" i="20"/>
  <c r="L619" i="20"/>
  <c r="K619" i="20"/>
  <c r="I619" i="20"/>
  <c r="H619" i="20"/>
  <c r="G619" i="20"/>
  <c r="F619" i="20"/>
  <c r="E619" i="20"/>
  <c r="U618" i="20"/>
  <c r="T618" i="20"/>
  <c r="S618" i="20"/>
  <c r="R618" i="20"/>
  <c r="Q618" i="20"/>
  <c r="O618" i="20"/>
  <c r="N618" i="20"/>
  <c r="M618" i="20"/>
  <c r="L618" i="20"/>
  <c r="K618" i="20"/>
  <c r="I618" i="20"/>
  <c r="H618" i="20"/>
  <c r="G618" i="20"/>
  <c r="F618" i="20"/>
  <c r="E618" i="20"/>
  <c r="U617" i="20"/>
  <c r="T617" i="20"/>
  <c r="S617" i="20"/>
  <c r="R617" i="20"/>
  <c r="Q617" i="20"/>
  <c r="O617" i="20"/>
  <c r="N617" i="20"/>
  <c r="M617" i="20"/>
  <c r="L617" i="20"/>
  <c r="K617" i="20"/>
  <c r="I617" i="20"/>
  <c r="H617" i="20"/>
  <c r="G617" i="20"/>
  <c r="F617" i="20"/>
  <c r="E617" i="20"/>
  <c r="U616" i="20"/>
  <c r="T616" i="20"/>
  <c r="S616" i="20"/>
  <c r="R616" i="20"/>
  <c r="Q616" i="20"/>
  <c r="O616" i="20"/>
  <c r="N616" i="20"/>
  <c r="M616" i="20"/>
  <c r="L616" i="20"/>
  <c r="K616" i="20"/>
  <c r="I616" i="20"/>
  <c r="H616" i="20"/>
  <c r="G616" i="20"/>
  <c r="F616" i="20"/>
  <c r="E616" i="20"/>
  <c r="U615" i="20"/>
  <c r="T615" i="20"/>
  <c r="S615" i="20"/>
  <c r="R615" i="20"/>
  <c r="Q615" i="20"/>
  <c r="O615" i="20"/>
  <c r="N615" i="20"/>
  <c r="M615" i="20"/>
  <c r="L615" i="20"/>
  <c r="K615" i="20"/>
  <c r="I615" i="20"/>
  <c r="H615" i="20"/>
  <c r="G615" i="20"/>
  <c r="F615" i="20"/>
  <c r="E615" i="20"/>
  <c r="U614" i="20"/>
  <c r="T614" i="20"/>
  <c r="S614" i="20"/>
  <c r="R614" i="20"/>
  <c r="Q614" i="20"/>
  <c r="O614" i="20"/>
  <c r="N614" i="20"/>
  <c r="M614" i="20"/>
  <c r="L614" i="20"/>
  <c r="K614" i="20"/>
  <c r="I614" i="20"/>
  <c r="H614" i="20"/>
  <c r="G614" i="20"/>
  <c r="F614" i="20"/>
  <c r="E614" i="20"/>
  <c r="U613" i="20"/>
  <c r="T613" i="20"/>
  <c r="S613" i="20"/>
  <c r="R613" i="20"/>
  <c r="Q613" i="20"/>
  <c r="O613" i="20"/>
  <c r="N613" i="20"/>
  <c r="M613" i="20"/>
  <c r="L613" i="20"/>
  <c r="K613" i="20"/>
  <c r="I613" i="20"/>
  <c r="H613" i="20"/>
  <c r="G613" i="20"/>
  <c r="F613" i="20"/>
  <c r="E613" i="20"/>
  <c r="U612" i="20"/>
  <c r="T612" i="20"/>
  <c r="S612" i="20"/>
  <c r="R612" i="20"/>
  <c r="Q612" i="20"/>
  <c r="O612" i="20"/>
  <c r="N612" i="20"/>
  <c r="M612" i="20"/>
  <c r="L612" i="20"/>
  <c r="K612" i="20"/>
  <c r="I612" i="20"/>
  <c r="H612" i="20"/>
  <c r="G612" i="20"/>
  <c r="F612" i="20"/>
  <c r="E612" i="20"/>
  <c r="U611" i="20"/>
  <c r="T611" i="20"/>
  <c r="S611" i="20"/>
  <c r="R611" i="20"/>
  <c r="Q611" i="20"/>
  <c r="O611" i="20"/>
  <c r="N611" i="20"/>
  <c r="M611" i="20"/>
  <c r="L611" i="20"/>
  <c r="K611" i="20"/>
  <c r="I611" i="20"/>
  <c r="H611" i="20"/>
  <c r="G611" i="20"/>
  <c r="F611" i="20"/>
  <c r="E611" i="20"/>
  <c r="U610" i="20"/>
  <c r="T610" i="20"/>
  <c r="S610" i="20"/>
  <c r="R610" i="20"/>
  <c r="Q610" i="20"/>
  <c r="O610" i="20"/>
  <c r="N610" i="20"/>
  <c r="M610" i="20"/>
  <c r="L610" i="20"/>
  <c r="K610" i="20"/>
  <c r="I610" i="20"/>
  <c r="H610" i="20"/>
  <c r="G610" i="20"/>
  <c r="F610" i="20"/>
  <c r="E610" i="20"/>
  <c r="U609" i="20"/>
  <c r="T609" i="20"/>
  <c r="S609" i="20"/>
  <c r="R609" i="20"/>
  <c r="Q609" i="20"/>
  <c r="O609" i="20"/>
  <c r="N609" i="20"/>
  <c r="M609" i="20"/>
  <c r="L609" i="20"/>
  <c r="K609" i="20"/>
  <c r="I609" i="20"/>
  <c r="H609" i="20"/>
  <c r="G609" i="20"/>
  <c r="F609" i="20"/>
  <c r="E609" i="20"/>
  <c r="U608" i="20"/>
  <c r="T608" i="20"/>
  <c r="S608" i="20"/>
  <c r="R608" i="20"/>
  <c r="Q608" i="20"/>
  <c r="O608" i="20"/>
  <c r="N608" i="20"/>
  <c r="M608" i="20"/>
  <c r="L608" i="20"/>
  <c r="K608" i="20"/>
  <c r="I608" i="20"/>
  <c r="H608" i="20"/>
  <c r="G608" i="20"/>
  <c r="F608" i="20"/>
  <c r="E608" i="20"/>
  <c r="U607" i="20"/>
  <c r="T607" i="20"/>
  <c r="S607" i="20"/>
  <c r="R607" i="20"/>
  <c r="Q607" i="20"/>
  <c r="O607" i="20"/>
  <c r="N607" i="20"/>
  <c r="M607" i="20"/>
  <c r="L607" i="20"/>
  <c r="K607" i="20"/>
  <c r="I607" i="20"/>
  <c r="H607" i="20"/>
  <c r="G607" i="20"/>
  <c r="F607" i="20"/>
  <c r="E607" i="20"/>
  <c r="U606" i="20"/>
  <c r="T606" i="20"/>
  <c r="S606" i="20"/>
  <c r="R606" i="20"/>
  <c r="Q606" i="20"/>
  <c r="O606" i="20"/>
  <c r="N606" i="20"/>
  <c r="M606" i="20"/>
  <c r="L606" i="20"/>
  <c r="K606" i="20"/>
  <c r="I606" i="20"/>
  <c r="H606" i="20"/>
  <c r="G606" i="20"/>
  <c r="F606" i="20"/>
  <c r="E606" i="20"/>
  <c r="U605" i="20"/>
  <c r="T605" i="20"/>
  <c r="S605" i="20"/>
  <c r="R605" i="20"/>
  <c r="Q605" i="20"/>
  <c r="O605" i="20"/>
  <c r="N605" i="20"/>
  <c r="M605" i="20"/>
  <c r="L605" i="20"/>
  <c r="K605" i="20"/>
  <c r="I605" i="20"/>
  <c r="H605" i="20"/>
  <c r="G605" i="20"/>
  <c r="F605" i="20"/>
  <c r="E605" i="20"/>
  <c r="U604" i="20"/>
  <c r="T604" i="20"/>
  <c r="S604" i="20"/>
  <c r="R604" i="20"/>
  <c r="Q604" i="20"/>
  <c r="O604" i="20"/>
  <c r="N604" i="20"/>
  <c r="M604" i="20"/>
  <c r="L604" i="20"/>
  <c r="K604" i="20"/>
  <c r="I604" i="20"/>
  <c r="H604" i="20"/>
  <c r="G604" i="20"/>
  <c r="F604" i="20"/>
  <c r="E604" i="20"/>
  <c r="U603" i="20"/>
  <c r="T603" i="20"/>
  <c r="S603" i="20"/>
  <c r="R603" i="20"/>
  <c r="Q603" i="20"/>
  <c r="O603" i="20"/>
  <c r="N603" i="20"/>
  <c r="M603" i="20"/>
  <c r="L603" i="20"/>
  <c r="K603" i="20"/>
  <c r="I603" i="20"/>
  <c r="H603" i="20"/>
  <c r="G603" i="20"/>
  <c r="F603" i="20"/>
  <c r="E603" i="20"/>
  <c r="U602" i="20"/>
  <c r="T602" i="20"/>
  <c r="S602" i="20"/>
  <c r="R602" i="20"/>
  <c r="Q602" i="20"/>
  <c r="O602" i="20"/>
  <c r="N602" i="20"/>
  <c r="M602" i="20"/>
  <c r="L602" i="20"/>
  <c r="K602" i="20"/>
  <c r="I602" i="20"/>
  <c r="H602" i="20"/>
  <c r="G602" i="20"/>
  <c r="F602" i="20"/>
  <c r="E602" i="20"/>
  <c r="U601" i="20"/>
  <c r="T601" i="20"/>
  <c r="S601" i="20"/>
  <c r="R601" i="20"/>
  <c r="Q601" i="20"/>
  <c r="O601" i="20"/>
  <c r="N601" i="20"/>
  <c r="M601" i="20"/>
  <c r="L601" i="20"/>
  <c r="K601" i="20"/>
  <c r="I601" i="20"/>
  <c r="H601" i="20"/>
  <c r="G601" i="20"/>
  <c r="F601" i="20"/>
  <c r="E601" i="20"/>
  <c r="U600" i="20"/>
  <c r="T600" i="20"/>
  <c r="S600" i="20"/>
  <c r="R600" i="20"/>
  <c r="Q600" i="20"/>
  <c r="O600" i="20"/>
  <c r="N600" i="20"/>
  <c r="M600" i="20"/>
  <c r="L600" i="20"/>
  <c r="K600" i="20"/>
  <c r="I600" i="20"/>
  <c r="H600" i="20"/>
  <c r="G600" i="20"/>
  <c r="F600" i="20"/>
  <c r="E600" i="20"/>
  <c r="U599" i="20"/>
  <c r="T599" i="20"/>
  <c r="S599" i="20"/>
  <c r="R599" i="20"/>
  <c r="Q599" i="20"/>
  <c r="O599" i="20"/>
  <c r="N599" i="20"/>
  <c r="M599" i="20"/>
  <c r="L599" i="20"/>
  <c r="K599" i="20"/>
  <c r="I599" i="20"/>
  <c r="H599" i="20"/>
  <c r="G599" i="20"/>
  <c r="F599" i="20"/>
  <c r="E599" i="20"/>
  <c r="U598" i="20"/>
  <c r="T598" i="20"/>
  <c r="S598" i="20"/>
  <c r="R598" i="20"/>
  <c r="Q598" i="20"/>
  <c r="O598" i="20"/>
  <c r="N598" i="20"/>
  <c r="M598" i="20"/>
  <c r="L598" i="20"/>
  <c r="K598" i="20"/>
  <c r="I598" i="20"/>
  <c r="H598" i="20"/>
  <c r="G598" i="20"/>
  <c r="F598" i="20"/>
  <c r="E598" i="20"/>
  <c r="U597" i="20"/>
  <c r="T597" i="20"/>
  <c r="S597" i="20"/>
  <c r="R597" i="20"/>
  <c r="Q597" i="20"/>
  <c r="O597" i="20"/>
  <c r="N597" i="20"/>
  <c r="M597" i="20"/>
  <c r="L597" i="20"/>
  <c r="K597" i="20"/>
  <c r="I597" i="20"/>
  <c r="H597" i="20"/>
  <c r="G597" i="20"/>
  <c r="F597" i="20"/>
  <c r="E597" i="20"/>
  <c r="U596" i="20"/>
  <c r="T596" i="20"/>
  <c r="S596" i="20"/>
  <c r="R596" i="20"/>
  <c r="Q596" i="20"/>
  <c r="O596" i="20"/>
  <c r="N596" i="20"/>
  <c r="M596" i="20"/>
  <c r="L596" i="20"/>
  <c r="K596" i="20"/>
  <c r="I596" i="20"/>
  <c r="H596" i="20"/>
  <c r="G596" i="20"/>
  <c r="F596" i="20"/>
  <c r="E596" i="20"/>
  <c r="U595" i="20"/>
  <c r="T595" i="20"/>
  <c r="S595" i="20"/>
  <c r="R595" i="20"/>
  <c r="Q595" i="20"/>
  <c r="O595" i="20"/>
  <c r="N595" i="20"/>
  <c r="M595" i="20"/>
  <c r="L595" i="20"/>
  <c r="K595" i="20"/>
  <c r="I595" i="20"/>
  <c r="H595" i="20"/>
  <c r="G595" i="20"/>
  <c r="F595" i="20"/>
  <c r="E595" i="20"/>
  <c r="U594" i="20"/>
  <c r="T594" i="20"/>
  <c r="S594" i="20"/>
  <c r="R594" i="20"/>
  <c r="Q594" i="20"/>
  <c r="O594" i="20"/>
  <c r="N594" i="20"/>
  <c r="M594" i="20"/>
  <c r="L594" i="20"/>
  <c r="K594" i="20"/>
  <c r="I594" i="20"/>
  <c r="H594" i="20"/>
  <c r="G594" i="20"/>
  <c r="F594" i="20"/>
  <c r="E594" i="20"/>
  <c r="U593" i="20"/>
  <c r="T593" i="20"/>
  <c r="S593" i="20"/>
  <c r="R593" i="20"/>
  <c r="Q593" i="20"/>
  <c r="O593" i="20"/>
  <c r="N593" i="20"/>
  <c r="M593" i="20"/>
  <c r="L593" i="20"/>
  <c r="K593" i="20"/>
  <c r="I593" i="20"/>
  <c r="H593" i="20"/>
  <c r="G593" i="20"/>
  <c r="F593" i="20"/>
  <c r="E593" i="20"/>
  <c r="U592" i="20"/>
  <c r="T592" i="20"/>
  <c r="S592" i="20"/>
  <c r="R592" i="20"/>
  <c r="Q592" i="20"/>
  <c r="O592" i="20"/>
  <c r="N592" i="20"/>
  <c r="M592" i="20"/>
  <c r="L592" i="20"/>
  <c r="K592" i="20"/>
  <c r="I592" i="20"/>
  <c r="H592" i="20"/>
  <c r="G592" i="20"/>
  <c r="F592" i="20"/>
  <c r="E592" i="20"/>
  <c r="U591" i="20"/>
  <c r="T591" i="20"/>
  <c r="S591" i="20"/>
  <c r="R591" i="20"/>
  <c r="Q591" i="20"/>
  <c r="O591" i="20"/>
  <c r="N591" i="20"/>
  <c r="M591" i="20"/>
  <c r="L591" i="20"/>
  <c r="K591" i="20"/>
  <c r="I591" i="20"/>
  <c r="H591" i="20"/>
  <c r="G591" i="20"/>
  <c r="F591" i="20"/>
  <c r="E591" i="20"/>
  <c r="U590" i="20"/>
  <c r="T590" i="20"/>
  <c r="S590" i="20"/>
  <c r="R590" i="20"/>
  <c r="Q590" i="20"/>
  <c r="O590" i="20"/>
  <c r="N590" i="20"/>
  <c r="M590" i="20"/>
  <c r="L590" i="20"/>
  <c r="K590" i="20"/>
  <c r="I590" i="20"/>
  <c r="H590" i="20"/>
  <c r="G590" i="20"/>
  <c r="F590" i="20"/>
  <c r="E590" i="20"/>
  <c r="U589" i="20"/>
  <c r="T589" i="20"/>
  <c r="S589" i="20"/>
  <c r="R589" i="20"/>
  <c r="Q589" i="20"/>
  <c r="O589" i="20"/>
  <c r="N589" i="20"/>
  <c r="M589" i="20"/>
  <c r="L589" i="20"/>
  <c r="K589" i="20"/>
  <c r="I589" i="20"/>
  <c r="H589" i="20"/>
  <c r="G589" i="20"/>
  <c r="F589" i="20"/>
  <c r="E589" i="20"/>
  <c r="U588" i="20"/>
  <c r="T588" i="20"/>
  <c r="S588" i="20"/>
  <c r="R588" i="20"/>
  <c r="Q588" i="20"/>
  <c r="O588" i="20"/>
  <c r="N588" i="20"/>
  <c r="M588" i="20"/>
  <c r="L588" i="20"/>
  <c r="K588" i="20"/>
  <c r="I588" i="20"/>
  <c r="H588" i="20"/>
  <c r="G588" i="20"/>
  <c r="F588" i="20"/>
  <c r="E588" i="20"/>
  <c r="U587" i="20"/>
  <c r="T587" i="20"/>
  <c r="S587" i="20"/>
  <c r="R587" i="20"/>
  <c r="Q587" i="20"/>
  <c r="O587" i="20"/>
  <c r="N587" i="20"/>
  <c r="M587" i="20"/>
  <c r="L587" i="20"/>
  <c r="K587" i="20"/>
  <c r="I587" i="20"/>
  <c r="H587" i="20"/>
  <c r="G587" i="20"/>
  <c r="F587" i="20"/>
  <c r="E587" i="20"/>
  <c r="U586" i="20"/>
  <c r="T586" i="20"/>
  <c r="S586" i="20"/>
  <c r="R586" i="20"/>
  <c r="Q586" i="20"/>
  <c r="O586" i="20"/>
  <c r="N586" i="20"/>
  <c r="M586" i="20"/>
  <c r="L586" i="20"/>
  <c r="K586" i="20"/>
  <c r="I586" i="20"/>
  <c r="H586" i="20"/>
  <c r="G586" i="20"/>
  <c r="F586" i="20"/>
  <c r="E586" i="20"/>
  <c r="U585" i="20"/>
  <c r="T585" i="20"/>
  <c r="S585" i="20"/>
  <c r="R585" i="20"/>
  <c r="Q585" i="20"/>
  <c r="O585" i="20"/>
  <c r="N585" i="20"/>
  <c r="M585" i="20"/>
  <c r="L585" i="20"/>
  <c r="K585" i="20"/>
  <c r="I585" i="20"/>
  <c r="H585" i="20"/>
  <c r="G585" i="20"/>
  <c r="F585" i="20"/>
  <c r="E585" i="20"/>
  <c r="U584" i="20"/>
  <c r="T584" i="20"/>
  <c r="S584" i="20"/>
  <c r="R584" i="20"/>
  <c r="Q584" i="20"/>
  <c r="O584" i="20"/>
  <c r="N584" i="20"/>
  <c r="M584" i="20"/>
  <c r="L584" i="20"/>
  <c r="K584" i="20"/>
  <c r="I584" i="20"/>
  <c r="H584" i="20"/>
  <c r="G584" i="20"/>
  <c r="F584" i="20"/>
  <c r="E584" i="20"/>
  <c r="U583" i="20"/>
  <c r="T583" i="20"/>
  <c r="S583" i="20"/>
  <c r="R583" i="20"/>
  <c r="Q583" i="20"/>
  <c r="O583" i="20"/>
  <c r="N583" i="20"/>
  <c r="M583" i="20"/>
  <c r="L583" i="20"/>
  <c r="K583" i="20"/>
  <c r="I583" i="20"/>
  <c r="H583" i="20"/>
  <c r="G583" i="20"/>
  <c r="F583" i="20"/>
  <c r="E583" i="20"/>
  <c r="U582" i="20"/>
  <c r="T582" i="20"/>
  <c r="S582" i="20"/>
  <c r="R582" i="20"/>
  <c r="Q582" i="20"/>
  <c r="O582" i="20"/>
  <c r="N582" i="20"/>
  <c r="M582" i="20"/>
  <c r="L582" i="20"/>
  <c r="K582" i="20"/>
  <c r="I582" i="20"/>
  <c r="H582" i="20"/>
  <c r="G582" i="20"/>
  <c r="F582" i="20"/>
  <c r="E582" i="20"/>
  <c r="U581" i="20"/>
  <c r="T581" i="20"/>
  <c r="S581" i="20"/>
  <c r="R581" i="20"/>
  <c r="Q581" i="20"/>
  <c r="O581" i="20"/>
  <c r="N581" i="20"/>
  <c r="M581" i="20"/>
  <c r="L581" i="20"/>
  <c r="K581" i="20"/>
  <c r="I581" i="20"/>
  <c r="H581" i="20"/>
  <c r="G581" i="20"/>
  <c r="F581" i="20"/>
  <c r="E581" i="20"/>
  <c r="U580" i="20"/>
  <c r="T580" i="20"/>
  <c r="S580" i="20"/>
  <c r="R580" i="20"/>
  <c r="Q580" i="20"/>
  <c r="O580" i="20"/>
  <c r="N580" i="20"/>
  <c r="M580" i="20"/>
  <c r="L580" i="20"/>
  <c r="K580" i="20"/>
  <c r="I580" i="20"/>
  <c r="H580" i="20"/>
  <c r="G580" i="20"/>
  <c r="F580" i="20"/>
  <c r="E580" i="20"/>
  <c r="U579" i="20"/>
  <c r="T579" i="20"/>
  <c r="S579" i="20"/>
  <c r="R579" i="20"/>
  <c r="Q579" i="20"/>
  <c r="O579" i="20"/>
  <c r="N579" i="20"/>
  <c r="M579" i="20"/>
  <c r="L579" i="20"/>
  <c r="K579" i="20"/>
  <c r="I579" i="20"/>
  <c r="H579" i="20"/>
  <c r="G579" i="20"/>
  <c r="F579" i="20"/>
  <c r="E579" i="20"/>
  <c r="U578" i="20"/>
  <c r="T578" i="20"/>
  <c r="S578" i="20"/>
  <c r="R578" i="20"/>
  <c r="Q578" i="20"/>
  <c r="O578" i="20"/>
  <c r="N578" i="20"/>
  <c r="M578" i="20"/>
  <c r="L578" i="20"/>
  <c r="K578" i="20"/>
  <c r="I578" i="20"/>
  <c r="H578" i="20"/>
  <c r="G578" i="20"/>
  <c r="F578" i="20"/>
  <c r="E578" i="20"/>
  <c r="U577" i="20"/>
  <c r="T577" i="20"/>
  <c r="S577" i="20"/>
  <c r="R577" i="20"/>
  <c r="Q577" i="20"/>
  <c r="O577" i="20"/>
  <c r="N577" i="20"/>
  <c r="M577" i="20"/>
  <c r="L577" i="20"/>
  <c r="K577" i="20"/>
  <c r="I577" i="20"/>
  <c r="H577" i="20"/>
  <c r="G577" i="20"/>
  <c r="F577" i="20"/>
  <c r="E577" i="20"/>
  <c r="U576" i="20"/>
  <c r="T576" i="20"/>
  <c r="S576" i="20"/>
  <c r="R576" i="20"/>
  <c r="Q576" i="20"/>
  <c r="O576" i="20"/>
  <c r="N576" i="20"/>
  <c r="M576" i="20"/>
  <c r="L576" i="20"/>
  <c r="K576" i="20"/>
  <c r="I576" i="20"/>
  <c r="H576" i="20"/>
  <c r="G576" i="20"/>
  <c r="F576" i="20"/>
  <c r="E576" i="20"/>
  <c r="U575" i="20"/>
  <c r="T575" i="20"/>
  <c r="S575" i="20"/>
  <c r="R575" i="20"/>
  <c r="Q575" i="20"/>
  <c r="O575" i="20"/>
  <c r="N575" i="20"/>
  <c r="M575" i="20"/>
  <c r="L575" i="20"/>
  <c r="K575" i="20"/>
  <c r="I575" i="20"/>
  <c r="H575" i="20"/>
  <c r="G575" i="20"/>
  <c r="F575" i="20"/>
  <c r="E575" i="20"/>
  <c r="U574" i="20"/>
  <c r="T574" i="20"/>
  <c r="S574" i="20"/>
  <c r="R574" i="20"/>
  <c r="Q574" i="20"/>
  <c r="O574" i="20"/>
  <c r="N574" i="20"/>
  <c r="M574" i="20"/>
  <c r="L574" i="20"/>
  <c r="K574" i="20"/>
  <c r="I574" i="20"/>
  <c r="H574" i="20"/>
  <c r="G574" i="20"/>
  <c r="F574" i="20"/>
  <c r="E574" i="20"/>
  <c r="U573" i="20"/>
  <c r="T573" i="20"/>
  <c r="S573" i="20"/>
  <c r="R573" i="20"/>
  <c r="Q573" i="20"/>
  <c r="O573" i="20"/>
  <c r="N573" i="20"/>
  <c r="M573" i="20"/>
  <c r="L573" i="20"/>
  <c r="K573" i="20"/>
  <c r="I573" i="20"/>
  <c r="H573" i="20"/>
  <c r="G573" i="20"/>
  <c r="F573" i="20"/>
  <c r="E573" i="20"/>
  <c r="U572" i="20"/>
  <c r="T572" i="20"/>
  <c r="S572" i="20"/>
  <c r="R572" i="20"/>
  <c r="Q572" i="20"/>
  <c r="O572" i="20"/>
  <c r="N572" i="20"/>
  <c r="M572" i="20"/>
  <c r="L572" i="20"/>
  <c r="K572" i="20"/>
  <c r="I572" i="20"/>
  <c r="H572" i="20"/>
  <c r="G572" i="20"/>
  <c r="F572" i="20"/>
  <c r="E572" i="20"/>
  <c r="U571" i="20"/>
  <c r="T571" i="20"/>
  <c r="S571" i="20"/>
  <c r="R571" i="20"/>
  <c r="Q571" i="20"/>
  <c r="O571" i="20"/>
  <c r="N571" i="20"/>
  <c r="M571" i="20"/>
  <c r="L571" i="20"/>
  <c r="K571" i="20"/>
  <c r="I571" i="20"/>
  <c r="H571" i="20"/>
  <c r="G571" i="20"/>
  <c r="F571" i="20"/>
  <c r="E571" i="20"/>
  <c r="U570" i="20"/>
  <c r="T570" i="20"/>
  <c r="S570" i="20"/>
  <c r="R570" i="20"/>
  <c r="Q570" i="20"/>
  <c r="O570" i="20"/>
  <c r="N570" i="20"/>
  <c r="M570" i="20"/>
  <c r="L570" i="20"/>
  <c r="K570" i="20"/>
  <c r="I570" i="20"/>
  <c r="H570" i="20"/>
  <c r="G570" i="20"/>
  <c r="F570" i="20"/>
  <c r="E570" i="20"/>
  <c r="U569" i="20"/>
  <c r="T569" i="20"/>
  <c r="S569" i="20"/>
  <c r="R569" i="20"/>
  <c r="Q569" i="20"/>
  <c r="O569" i="20"/>
  <c r="N569" i="20"/>
  <c r="M569" i="20"/>
  <c r="L569" i="20"/>
  <c r="K569" i="20"/>
  <c r="I569" i="20"/>
  <c r="H569" i="20"/>
  <c r="G569" i="20"/>
  <c r="F569" i="20"/>
  <c r="E569" i="20"/>
  <c r="U568" i="20"/>
  <c r="T568" i="20"/>
  <c r="S568" i="20"/>
  <c r="R568" i="20"/>
  <c r="Q568" i="20"/>
  <c r="O568" i="20"/>
  <c r="N568" i="20"/>
  <c r="M568" i="20"/>
  <c r="L568" i="20"/>
  <c r="K568" i="20"/>
  <c r="I568" i="20"/>
  <c r="H568" i="20"/>
  <c r="G568" i="20"/>
  <c r="F568" i="20"/>
  <c r="E568" i="20"/>
  <c r="U567" i="20"/>
  <c r="T567" i="20"/>
  <c r="S567" i="20"/>
  <c r="R567" i="20"/>
  <c r="Q567" i="20"/>
  <c r="O567" i="20"/>
  <c r="N567" i="20"/>
  <c r="M567" i="20"/>
  <c r="L567" i="20"/>
  <c r="K567" i="20"/>
  <c r="I567" i="20"/>
  <c r="H567" i="20"/>
  <c r="G567" i="20"/>
  <c r="F567" i="20"/>
  <c r="E567" i="20"/>
  <c r="U566" i="20"/>
  <c r="T566" i="20"/>
  <c r="S566" i="20"/>
  <c r="R566" i="20"/>
  <c r="Q566" i="20"/>
  <c r="O566" i="20"/>
  <c r="N566" i="20"/>
  <c r="M566" i="20"/>
  <c r="L566" i="20"/>
  <c r="K566" i="20"/>
  <c r="I566" i="20"/>
  <c r="H566" i="20"/>
  <c r="G566" i="20"/>
  <c r="F566" i="20"/>
  <c r="E566" i="20"/>
  <c r="U565" i="20"/>
  <c r="T565" i="20"/>
  <c r="S565" i="20"/>
  <c r="R565" i="20"/>
  <c r="Q565" i="20"/>
  <c r="O565" i="20"/>
  <c r="N565" i="20"/>
  <c r="M565" i="20"/>
  <c r="L565" i="20"/>
  <c r="K565" i="20"/>
  <c r="I565" i="20"/>
  <c r="H565" i="20"/>
  <c r="G565" i="20"/>
  <c r="F565" i="20"/>
  <c r="E565" i="20"/>
  <c r="U564" i="20"/>
  <c r="T564" i="20"/>
  <c r="S564" i="20"/>
  <c r="R564" i="20"/>
  <c r="Q564" i="20"/>
  <c r="O564" i="20"/>
  <c r="N564" i="20"/>
  <c r="M564" i="20"/>
  <c r="L564" i="20"/>
  <c r="K564" i="20"/>
  <c r="I564" i="20"/>
  <c r="H564" i="20"/>
  <c r="G564" i="20"/>
  <c r="F564" i="20"/>
  <c r="E564" i="20"/>
  <c r="U563" i="20"/>
  <c r="T563" i="20"/>
  <c r="S563" i="20"/>
  <c r="R563" i="20"/>
  <c r="Q563" i="20"/>
  <c r="O563" i="20"/>
  <c r="N563" i="20"/>
  <c r="M563" i="20"/>
  <c r="L563" i="20"/>
  <c r="K563" i="20"/>
  <c r="I563" i="20"/>
  <c r="H563" i="20"/>
  <c r="G563" i="20"/>
  <c r="F563" i="20"/>
  <c r="E563" i="20"/>
  <c r="U562" i="20"/>
  <c r="T562" i="20"/>
  <c r="S562" i="20"/>
  <c r="R562" i="20"/>
  <c r="Q562" i="20"/>
  <c r="O562" i="20"/>
  <c r="N562" i="20"/>
  <c r="M562" i="20"/>
  <c r="L562" i="20"/>
  <c r="K562" i="20"/>
  <c r="I562" i="20"/>
  <c r="H562" i="20"/>
  <c r="G562" i="20"/>
  <c r="F562" i="20"/>
  <c r="E562" i="20"/>
  <c r="U561" i="20"/>
  <c r="T561" i="20"/>
  <c r="S561" i="20"/>
  <c r="R561" i="20"/>
  <c r="Q561" i="20"/>
  <c r="O561" i="20"/>
  <c r="N561" i="20"/>
  <c r="M561" i="20"/>
  <c r="L561" i="20"/>
  <c r="K561" i="20"/>
  <c r="I561" i="20"/>
  <c r="H561" i="20"/>
  <c r="G561" i="20"/>
  <c r="F561" i="20"/>
  <c r="E561" i="20"/>
  <c r="U560" i="20"/>
  <c r="T560" i="20"/>
  <c r="S560" i="20"/>
  <c r="R560" i="20"/>
  <c r="Q560" i="20"/>
  <c r="O560" i="20"/>
  <c r="N560" i="20"/>
  <c r="M560" i="20"/>
  <c r="L560" i="20"/>
  <c r="K560" i="20"/>
  <c r="I560" i="20"/>
  <c r="H560" i="20"/>
  <c r="G560" i="20"/>
  <c r="F560" i="20"/>
  <c r="E560" i="20"/>
  <c r="U559" i="20"/>
  <c r="T559" i="20"/>
  <c r="S559" i="20"/>
  <c r="R559" i="20"/>
  <c r="Q559" i="20"/>
  <c r="O559" i="20"/>
  <c r="N559" i="20"/>
  <c r="M559" i="20"/>
  <c r="L559" i="20"/>
  <c r="K559" i="20"/>
  <c r="I559" i="20"/>
  <c r="H559" i="20"/>
  <c r="G559" i="20"/>
  <c r="F559" i="20"/>
  <c r="E559" i="20"/>
  <c r="U558" i="20"/>
  <c r="T558" i="20"/>
  <c r="S558" i="20"/>
  <c r="R558" i="20"/>
  <c r="Q558" i="20"/>
  <c r="O558" i="20"/>
  <c r="N558" i="20"/>
  <c r="M558" i="20"/>
  <c r="L558" i="20"/>
  <c r="K558" i="20"/>
  <c r="I558" i="20"/>
  <c r="H558" i="20"/>
  <c r="G558" i="20"/>
  <c r="F558" i="20"/>
  <c r="E558" i="20"/>
  <c r="U557" i="20"/>
  <c r="T557" i="20"/>
  <c r="S557" i="20"/>
  <c r="R557" i="20"/>
  <c r="Q557" i="20"/>
  <c r="O557" i="20"/>
  <c r="N557" i="20"/>
  <c r="M557" i="20"/>
  <c r="L557" i="20"/>
  <c r="K557" i="20"/>
  <c r="I557" i="20"/>
  <c r="H557" i="20"/>
  <c r="G557" i="20"/>
  <c r="F557" i="20"/>
  <c r="E557" i="20"/>
  <c r="U556" i="20"/>
  <c r="T556" i="20"/>
  <c r="S556" i="20"/>
  <c r="R556" i="20"/>
  <c r="Q556" i="20"/>
  <c r="O556" i="20"/>
  <c r="N556" i="20"/>
  <c r="M556" i="20"/>
  <c r="L556" i="20"/>
  <c r="K556" i="20"/>
  <c r="I556" i="20"/>
  <c r="H556" i="20"/>
  <c r="G556" i="20"/>
  <c r="F556" i="20"/>
  <c r="E556" i="20"/>
  <c r="U555" i="20"/>
  <c r="T555" i="20"/>
  <c r="S555" i="20"/>
  <c r="R555" i="20"/>
  <c r="Q555" i="20"/>
  <c r="O555" i="20"/>
  <c r="N555" i="20"/>
  <c r="M555" i="20"/>
  <c r="L555" i="20"/>
  <c r="K555" i="20"/>
  <c r="I555" i="20"/>
  <c r="H555" i="20"/>
  <c r="G555" i="20"/>
  <c r="F555" i="20"/>
  <c r="E555" i="20"/>
  <c r="U554" i="20"/>
  <c r="T554" i="20"/>
  <c r="S554" i="20"/>
  <c r="R554" i="20"/>
  <c r="Q554" i="20"/>
  <c r="O554" i="20"/>
  <c r="N554" i="20"/>
  <c r="M554" i="20"/>
  <c r="L554" i="20"/>
  <c r="K554" i="20"/>
  <c r="I554" i="20"/>
  <c r="H554" i="20"/>
  <c r="G554" i="20"/>
  <c r="F554" i="20"/>
  <c r="E554" i="20"/>
  <c r="U553" i="20"/>
  <c r="T553" i="20"/>
  <c r="S553" i="20"/>
  <c r="R553" i="20"/>
  <c r="Q553" i="20"/>
  <c r="O553" i="20"/>
  <c r="N553" i="20"/>
  <c r="M553" i="20"/>
  <c r="L553" i="20"/>
  <c r="K553" i="20"/>
  <c r="I553" i="20"/>
  <c r="H553" i="20"/>
  <c r="G553" i="20"/>
  <c r="F553" i="20"/>
  <c r="E553" i="20"/>
  <c r="U552" i="20"/>
  <c r="T552" i="20"/>
  <c r="S552" i="20"/>
  <c r="R552" i="20"/>
  <c r="Q552" i="20"/>
  <c r="O552" i="20"/>
  <c r="N552" i="20"/>
  <c r="M552" i="20"/>
  <c r="L552" i="20"/>
  <c r="K552" i="20"/>
  <c r="I552" i="20"/>
  <c r="H552" i="20"/>
  <c r="G552" i="20"/>
  <c r="F552" i="20"/>
  <c r="E552" i="20"/>
  <c r="U551" i="20"/>
  <c r="T551" i="20"/>
  <c r="S551" i="20"/>
  <c r="R551" i="20"/>
  <c r="Q551" i="20"/>
  <c r="O551" i="20"/>
  <c r="N551" i="20"/>
  <c r="M551" i="20"/>
  <c r="L551" i="20"/>
  <c r="K551" i="20"/>
  <c r="I551" i="20"/>
  <c r="H551" i="20"/>
  <c r="G551" i="20"/>
  <c r="F551" i="20"/>
  <c r="E551" i="20"/>
  <c r="U550" i="20"/>
  <c r="T550" i="20"/>
  <c r="S550" i="20"/>
  <c r="R550" i="20"/>
  <c r="Q550" i="20"/>
  <c r="O550" i="20"/>
  <c r="N550" i="20"/>
  <c r="M550" i="20"/>
  <c r="L550" i="20"/>
  <c r="K550" i="20"/>
  <c r="I550" i="20"/>
  <c r="H550" i="20"/>
  <c r="G550" i="20"/>
  <c r="F550" i="20"/>
  <c r="E550" i="20"/>
  <c r="U549" i="20"/>
  <c r="T549" i="20"/>
  <c r="S549" i="20"/>
  <c r="R549" i="20"/>
  <c r="Q549" i="20"/>
  <c r="O549" i="20"/>
  <c r="N549" i="20"/>
  <c r="M549" i="20"/>
  <c r="L549" i="20"/>
  <c r="K549" i="20"/>
  <c r="I549" i="20"/>
  <c r="H549" i="20"/>
  <c r="G549" i="20"/>
  <c r="F549" i="20"/>
  <c r="E549" i="20"/>
  <c r="U548" i="20"/>
  <c r="T548" i="20"/>
  <c r="S548" i="20"/>
  <c r="R548" i="20"/>
  <c r="Q548" i="20"/>
  <c r="O548" i="20"/>
  <c r="N548" i="20"/>
  <c r="M548" i="20"/>
  <c r="L548" i="20"/>
  <c r="K548" i="20"/>
  <c r="I548" i="20"/>
  <c r="H548" i="20"/>
  <c r="G548" i="20"/>
  <c r="F548" i="20"/>
  <c r="E548" i="20"/>
  <c r="U547" i="20"/>
  <c r="T547" i="20"/>
  <c r="S547" i="20"/>
  <c r="R547" i="20"/>
  <c r="Q547" i="20"/>
  <c r="O547" i="20"/>
  <c r="N547" i="20"/>
  <c r="M547" i="20"/>
  <c r="L547" i="20"/>
  <c r="K547" i="20"/>
  <c r="I547" i="20"/>
  <c r="H547" i="20"/>
  <c r="G547" i="20"/>
  <c r="F547" i="20"/>
  <c r="E547" i="20"/>
  <c r="U546" i="20"/>
  <c r="T546" i="20"/>
  <c r="S546" i="20"/>
  <c r="R546" i="20"/>
  <c r="Q546" i="20"/>
  <c r="O546" i="20"/>
  <c r="N546" i="20"/>
  <c r="M546" i="20"/>
  <c r="L546" i="20"/>
  <c r="K546" i="20"/>
  <c r="I546" i="20"/>
  <c r="H546" i="20"/>
  <c r="G546" i="20"/>
  <c r="F546" i="20"/>
  <c r="E546" i="20"/>
  <c r="U545" i="20"/>
  <c r="T545" i="20"/>
  <c r="S545" i="20"/>
  <c r="R545" i="20"/>
  <c r="Q545" i="20"/>
  <c r="O545" i="20"/>
  <c r="N545" i="20"/>
  <c r="M545" i="20"/>
  <c r="L545" i="20"/>
  <c r="K545" i="20"/>
  <c r="I545" i="20"/>
  <c r="H545" i="20"/>
  <c r="G545" i="20"/>
  <c r="F545" i="20"/>
  <c r="E545" i="20"/>
  <c r="U544" i="20"/>
  <c r="T544" i="20"/>
  <c r="S544" i="20"/>
  <c r="R544" i="20"/>
  <c r="Q544" i="20"/>
  <c r="O544" i="20"/>
  <c r="N544" i="20"/>
  <c r="M544" i="20"/>
  <c r="L544" i="20"/>
  <c r="K544" i="20"/>
  <c r="I544" i="20"/>
  <c r="H544" i="20"/>
  <c r="G544" i="20"/>
  <c r="F544" i="20"/>
  <c r="E544" i="20"/>
  <c r="U543" i="20"/>
  <c r="T543" i="20"/>
  <c r="S543" i="20"/>
  <c r="R543" i="20"/>
  <c r="Q543" i="20"/>
  <c r="O543" i="20"/>
  <c r="N543" i="20"/>
  <c r="M543" i="20"/>
  <c r="L543" i="20"/>
  <c r="K543" i="20"/>
  <c r="I543" i="20"/>
  <c r="H543" i="20"/>
  <c r="G543" i="20"/>
  <c r="F543" i="20"/>
  <c r="E543" i="20"/>
  <c r="U542" i="20"/>
  <c r="T542" i="20"/>
  <c r="S542" i="20"/>
  <c r="R542" i="20"/>
  <c r="Q542" i="20"/>
  <c r="O542" i="20"/>
  <c r="N542" i="20"/>
  <c r="M542" i="20"/>
  <c r="L542" i="20"/>
  <c r="K542" i="20"/>
  <c r="I542" i="20"/>
  <c r="H542" i="20"/>
  <c r="G542" i="20"/>
  <c r="F542" i="20"/>
  <c r="E542" i="20"/>
  <c r="U541" i="20"/>
  <c r="T541" i="20"/>
  <c r="S541" i="20"/>
  <c r="R541" i="20"/>
  <c r="Q541" i="20"/>
  <c r="O541" i="20"/>
  <c r="N541" i="20"/>
  <c r="M541" i="20"/>
  <c r="L541" i="20"/>
  <c r="K541" i="20"/>
  <c r="I541" i="20"/>
  <c r="H541" i="20"/>
  <c r="G541" i="20"/>
  <c r="F541" i="20"/>
  <c r="E541" i="20"/>
  <c r="U540" i="20"/>
  <c r="T540" i="20"/>
  <c r="S540" i="20"/>
  <c r="R540" i="20"/>
  <c r="Q540" i="20"/>
  <c r="O540" i="20"/>
  <c r="N540" i="20"/>
  <c r="M540" i="20"/>
  <c r="L540" i="20"/>
  <c r="K540" i="20"/>
  <c r="I540" i="20"/>
  <c r="H540" i="20"/>
  <c r="G540" i="20"/>
  <c r="F540" i="20"/>
  <c r="E540" i="20"/>
  <c r="U539" i="20"/>
  <c r="T539" i="20"/>
  <c r="S539" i="20"/>
  <c r="R539" i="20"/>
  <c r="Q539" i="20"/>
  <c r="O539" i="20"/>
  <c r="N539" i="20"/>
  <c r="M539" i="20"/>
  <c r="L539" i="20"/>
  <c r="K539" i="20"/>
  <c r="I539" i="20"/>
  <c r="H539" i="20"/>
  <c r="G539" i="20"/>
  <c r="F539" i="20"/>
  <c r="E539" i="20"/>
  <c r="U538" i="20"/>
  <c r="T538" i="20"/>
  <c r="S538" i="20"/>
  <c r="R538" i="20"/>
  <c r="Q538" i="20"/>
  <c r="O538" i="20"/>
  <c r="N538" i="20"/>
  <c r="M538" i="20"/>
  <c r="L538" i="20"/>
  <c r="K538" i="20"/>
  <c r="I538" i="20"/>
  <c r="H538" i="20"/>
  <c r="G538" i="20"/>
  <c r="F538" i="20"/>
  <c r="E538" i="20"/>
  <c r="U537" i="20"/>
  <c r="T537" i="20"/>
  <c r="S537" i="20"/>
  <c r="R537" i="20"/>
  <c r="Q537" i="20"/>
  <c r="O537" i="20"/>
  <c r="N537" i="20"/>
  <c r="M537" i="20"/>
  <c r="L537" i="20"/>
  <c r="K537" i="20"/>
  <c r="I537" i="20"/>
  <c r="H537" i="20"/>
  <c r="G537" i="20"/>
  <c r="F537" i="20"/>
  <c r="E537" i="20"/>
  <c r="U536" i="20"/>
  <c r="T536" i="20"/>
  <c r="S536" i="20"/>
  <c r="R536" i="20"/>
  <c r="Q536" i="20"/>
  <c r="O536" i="20"/>
  <c r="N536" i="20"/>
  <c r="M536" i="20"/>
  <c r="L536" i="20"/>
  <c r="K536" i="20"/>
  <c r="I536" i="20"/>
  <c r="H536" i="20"/>
  <c r="G536" i="20"/>
  <c r="F536" i="20"/>
  <c r="E536" i="20"/>
  <c r="U535" i="20"/>
  <c r="T535" i="20"/>
  <c r="S535" i="20"/>
  <c r="R535" i="20"/>
  <c r="Q535" i="20"/>
  <c r="O535" i="20"/>
  <c r="N535" i="20"/>
  <c r="M535" i="20"/>
  <c r="L535" i="20"/>
  <c r="K535" i="20"/>
  <c r="I535" i="20"/>
  <c r="H535" i="20"/>
  <c r="G535" i="20"/>
  <c r="F535" i="20"/>
  <c r="E535" i="20"/>
  <c r="U534" i="20"/>
  <c r="T534" i="20"/>
  <c r="S534" i="20"/>
  <c r="R534" i="20"/>
  <c r="Q534" i="20"/>
  <c r="O534" i="20"/>
  <c r="N534" i="20"/>
  <c r="M534" i="20"/>
  <c r="L534" i="20"/>
  <c r="K534" i="20"/>
  <c r="I534" i="20"/>
  <c r="H534" i="20"/>
  <c r="G534" i="20"/>
  <c r="F534" i="20"/>
  <c r="E534" i="20"/>
  <c r="U533" i="20"/>
  <c r="T533" i="20"/>
  <c r="S533" i="20"/>
  <c r="R533" i="20"/>
  <c r="Q533" i="20"/>
  <c r="O533" i="20"/>
  <c r="N533" i="20"/>
  <c r="M533" i="20"/>
  <c r="L533" i="20"/>
  <c r="K533" i="20"/>
  <c r="I533" i="20"/>
  <c r="H533" i="20"/>
  <c r="G533" i="20"/>
  <c r="F533" i="20"/>
  <c r="E533" i="20"/>
  <c r="U532" i="20"/>
  <c r="T532" i="20"/>
  <c r="S532" i="20"/>
  <c r="R532" i="20"/>
  <c r="Q532" i="20"/>
  <c r="O532" i="20"/>
  <c r="N532" i="20"/>
  <c r="M532" i="20"/>
  <c r="L532" i="20"/>
  <c r="K532" i="20"/>
  <c r="I532" i="20"/>
  <c r="H532" i="20"/>
  <c r="G532" i="20"/>
  <c r="F532" i="20"/>
  <c r="E532" i="20"/>
  <c r="U531" i="20"/>
  <c r="T531" i="20"/>
  <c r="S531" i="20"/>
  <c r="R531" i="20"/>
  <c r="Q531" i="20"/>
  <c r="O531" i="20"/>
  <c r="N531" i="20"/>
  <c r="M531" i="20"/>
  <c r="L531" i="20"/>
  <c r="K531" i="20"/>
  <c r="I531" i="20"/>
  <c r="H531" i="20"/>
  <c r="G531" i="20"/>
  <c r="F531" i="20"/>
  <c r="E531" i="20"/>
  <c r="U530" i="20"/>
  <c r="T530" i="20"/>
  <c r="S530" i="20"/>
  <c r="R530" i="20"/>
  <c r="Q530" i="20"/>
  <c r="O530" i="20"/>
  <c r="N530" i="20"/>
  <c r="M530" i="20"/>
  <c r="L530" i="20"/>
  <c r="K530" i="20"/>
  <c r="I530" i="20"/>
  <c r="H530" i="20"/>
  <c r="G530" i="20"/>
  <c r="F530" i="20"/>
  <c r="E530" i="20"/>
  <c r="U529" i="20"/>
  <c r="T529" i="20"/>
  <c r="S529" i="20"/>
  <c r="R529" i="20"/>
  <c r="Q529" i="20"/>
  <c r="O529" i="20"/>
  <c r="N529" i="20"/>
  <c r="M529" i="20"/>
  <c r="L529" i="20"/>
  <c r="K529" i="20"/>
  <c r="I529" i="20"/>
  <c r="H529" i="20"/>
  <c r="G529" i="20"/>
  <c r="F529" i="20"/>
  <c r="E529" i="20"/>
  <c r="U528" i="20"/>
  <c r="T528" i="20"/>
  <c r="S528" i="20"/>
  <c r="R528" i="20"/>
  <c r="Q528" i="20"/>
  <c r="O528" i="20"/>
  <c r="N528" i="20"/>
  <c r="M528" i="20"/>
  <c r="L528" i="20"/>
  <c r="K528" i="20"/>
  <c r="I528" i="20"/>
  <c r="H528" i="20"/>
  <c r="G528" i="20"/>
  <c r="F528" i="20"/>
  <c r="E528" i="20"/>
  <c r="U527" i="20"/>
  <c r="T527" i="20"/>
  <c r="S527" i="20"/>
  <c r="R527" i="20"/>
  <c r="Q527" i="20"/>
  <c r="O527" i="20"/>
  <c r="N527" i="20"/>
  <c r="M527" i="20"/>
  <c r="L527" i="20"/>
  <c r="K527" i="20"/>
  <c r="I527" i="20"/>
  <c r="H527" i="20"/>
  <c r="G527" i="20"/>
  <c r="F527" i="20"/>
  <c r="E527" i="20"/>
  <c r="U526" i="20"/>
  <c r="T526" i="20"/>
  <c r="S526" i="20"/>
  <c r="R526" i="20"/>
  <c r="Q526" i="20"/>
  <c r="O526" i="20"/>
  <c r="N526" i="20"/>
  <c r="M526" i="20"/>
  <c r="L526" i="20"/>
  <c r="K526" i="20"/>
  <c r="I526" i="20"/>
  <c r="H526" i="20"/>
  <c r="G526" i="20"/>
  <c r="F526" i="20"/>
  <c r="E526" i="20"/>
  <c r="U525" i="20"/>
  <c r="T525" i="20"/>
  <c r="S525" i="20"/>
  <c r="R525" i="20"/>
  <c r="Q525" i="20"/>
  <c r="O525" i="20"/>
  <c r="N525" i="20"/>
  <c r="M525" i="20"/>
  <c r="L525" i="20"/>
  <c r="K525" i="20"/>
  <c r="I525" i="20"/>
  <c r="H525" i="20"/>
  <c r="G525" i="20"/>
  <c r="F525" i="20"/>
  <c r="E525" i="20"/>
  <c r="U524" i="20"/>
  <c r="T524" i="20"/>
  <c r="S524" i="20"/>
  <c r="R524" i="20"/>
  <c r="Q524" i="20"/>
  <c r="O524" i="20"/>
  <c r="N524" i="20"/>
  <c r="M524" i="20"/>
  <c r="L524" i="20"/>
  <c r="K524" i="20"/>
  <c r="I524" i="20"/>
  <c r="H524" i="20"/>
  <c r="G524" i="20"/>
  <c r="F524" i="20"/>
  <c r="E524" i="20"/>
  <c r="U523" i="20"/>
  <c r="T523" i="20"/>
  <c r="S523" i="20"/>
  <c r="R523" i="20"/>
  <c r="Q523" i="20"/>
  <c r="O523" i="20"/>
  <c r="N523" i="20"/>
  <c r="M523" i="20"/>
  <c r="L523" i="20"/>
  <c r="K523" i="20"/>
  <c r="I523" i="20"/>
  <c r="H523" i="20"/>
  <c r="G523" i="20"/>
  <c r="F523" i="20"/>
  <c r="E523" i="20"/>
  <c r="U522" i="20"/>
  <c r="T522" i="20"/>
  <c r="S522" i="20"/>
  <c r="R522" i="20"/>
  <c r="Q522" i="20"/>
  <c r="O522" i="20"/>
  <c r="N522" i="20"/>
  <c r="M522" i="20"/>
  <c r="L522" i="20"/>
  <c r="K522" i="20"/>
  <c r="I522" i="20"/>
  <c r="H522" i="20"/>
  <c r="G522" i="20"/>
  <c r="F522" i="20"/>
  <c r="E522" i="20"/>
  <c r="U521" i="20"/>
  <c r="T521" i="20"/>
  <c r="S521" i="20"/>
  <c r="R521" i="20"/>
  <c r="Q521" i="20"/>
  <c r="O521" i="20"/>
  <c r="N521" i="20"/>
  <c r="M521" i="20"/>
  <c r="L521" i="20"/>
  <c r="K521" i="20"/>
  <c r="I521" i="20"/>
  <c r="H521" i="20"/>
  <c r="G521" i="20"/>
  <c r="F521" i="20"/>
  <c r="E521" i="20"/>
  <c r="U520" i="20"/>
  <c r="T520" i="20"/>
  <c r="S520" i="20"/>
  <c r="R520" i="20"/>
  <c r="Q520" i="20"/>
  <c r="O520" i="20"/>
  <c r="N520" i="20"/>
  <c r="M520" i="20"/>
  <c r="L520" i="20"/>
  <c r="K520" i="20"/>
  <c r="I520" i="20"/>
  <c r="H520" i="20"/>
  <c r="G520" i="20"/>
  <c r="F520" i="20"/>
  <c r="E520" i="20"/>
  <c r="U519" i="20"/>
  <c r="T519" i="20"/>
  <c r="S519" i="20"/>
  <c r="R519" i="20"/>
  <c r="Q519" i="20"/>
  <c r="O519" i="20"/>
  <c r="N519" i="20"/>
  <c r="M519" i="20"/>
  <c r="L519" i="20"/>
  <c r="K519" i="20"/>
  <c r="I519" i="20"/>
  <c r="H519" i="20"/>
  <c r="G519" i="20"/>
  <c r="F519" i="20"/>
  <c r="E519" i="20"/>
  <c r="U518" i="20"/>
  <c r="T518" i="20"/>
  <c r="S518" i="20"/>
  <c r="R518" i="20"/>
  <c r="Q518" i="20"/>
  <c r="O518" i="20"/>
  <c r="N518" i="20"/>
  <c r="M518" i="20"/>
  <c r="L518" i="20"/>
  <c r="K518" i="20"/>
  <c r="I518" i="20"/>
  <c r="H518" i="20"/>
  <c r="G518" i="20"/>
  <c r="F518" i="20"/>
  <c r="E518" i="20"/>
  <c r="U517" i="20"/>
  <c r="T517" i="20"/>
  <c r="S517" i="20"/>
  <c r="R517" i="20"/>
  <c r="Q517" i="20"/>
  <c r="O517" i="20"/>
  <c r="N517" i="20"/>
  <c r="M517" i="20"/>
  <c r="L517" i="20"/>
  <c r="K517" i="20"/>
  <c r="I517" i="20"/>
  <c r="H517" i="20"/>
  <c r="G517" i="20"/>
  <c r="F517" i="20"/>
  <c r="E517" i="20"/>
  <c r="U516" i="20"/>
  <c r="T516" i="20"/>
  <c r="S516" i="20"/>
  <c r="R516" i="20"/>
  <c r="Q516" i="20"/>
  <c r="O516" i="20"/>
  <c r="N516" i="20"/>
  <c r="M516" i="20"/>
  <c r="L516" i="20"/>
  <c r="K516" i="20"/>
  <c r="I516" i="20"/>
  <c r="H516" i="20"/>
  <c r="G516" i="20"/>
  <c r="F516" i="20"/>
  <c r="E516" i="20"/>
  <c r="U515" i="20"/>
  <c r="T515" i="20"/>
  <c r="S515" i="20"/>
  <c r="R515" i="20"/>
  <c r="Q515" i="20"/>
  <c r="O515" i="20"/>
  <c r="N515" i="20"/>
  <c r="M515" i="20"/>
  <c r="L515" i="20"/>
  <c r="K515" i="20"/>
  <c r="I515" i="20"/>
  <c r="H515" i="20"/>
  <c r="G515" i="20"/>
  <c r="F515" i="20"/>
  <c r="E515" i="20"/>
  <c r="U514" i="20"/>
  <c r="T514" i="20"/>
  <c r="S514" i="20"/>
  <c r="R514" i="20"/>
  <c r="Q514" i="20"/>
  <c r="O514" i="20"/>
  <c r="N514" i="20"/>
  <c r="M514" i="20"/>
  <c r="L514" i="20"/>
  <c r="K514" i="20"/>
  <c r="I514" i="20"/>
  <c r="H514" i="20"/>
  <c r="G514" i="20"/>
  <c r="F514" i="20"/>
  <c r="E514" i="20"/>
  <c r="U513" i="20"/>
  <c r="T513" i="20"/>
  <c r="S513" i="20"/>
  <c r="R513" i="20"/>
  <c r="Q513" i="20"/>
  <c r="O513" i="20"/>
  <c r="N513" i="20"/>
  <c r="M513" i="20"/>
  <c r="L513" i="20"/>
  <c r="K513" i="20"/>
  <c r="I513" i="20"/>
  <c r="H513" i="20"/>
  <c r="G513" i="20"/>
  <c r="F513" i="20"/>
  <c r="E513" i="20"/>
  <c r="U512" i="20"/>
  <c r="T512" i="20"/>
  <c r="S512" i="20"/>
  <c r="R512" i="20"/>
  <c r="Q512" i="20"/>
  <c r="O512" i="20"/>
  <c r="N512" i="20"/>
  <c r="M512" i="20"/>
  <c r="L512" i="20"/>
  <c r="K512" i="20"/>
  <c r="I512" i="20"/>
  <c r="H512" i="20"/>
  <c r="G512" i="20"/>
  <c r="F512" i="20"/>
  <c r="E512" i="20"/>
  <c r="U511" i="20"/>
  <c r="T511" i="20"/>
  <c r="S511" i="20"/>
  <c r="R511" i="20"/>
  <c r="Q511" i="20"/>
  <c r="O511" i="20"/>
  <c r="N511" i="20"/>
  <c r="M511" i="20"/>
  <c r="L511" i="20"/>
  <c r="K511" i="20"/>
  <c r="I511" i="20"/>
  <c r="H511" i="20"/>
  <c r="G511" i="20"/>
  <c r="F511" i="20"/>
  <c r="E511" i="20"/>
  <c r="U510" i="20"/>
  <c r="T510" i="20"/>
  <c r="S510" i="20"/>
  <c r="R510" i="20"/>
  <c r="Q510" i="20"/>
  <c r="O510" i="20"/>
  <c r="N510" i="20"/>
  <c r="M510" i="20"/>
  <c r="L510" i="20"/>
  <c r="K510" i="20"/>
  <c r="I510" i="20"/>
  <c r="H510" i="20"/>
  <c r="G510" i="20"/>
  <c r="F510" i="20"/>
  <c r="E510" i="20"/>
  <c r="U509" i="20"/>
  <c r="T509" i="20"/>
  <c r="S509" i="20"/>
  <c r="R509" i="20"/>
  <c r="Q509" i="20"/>
  <c r="O509" i="20"/>
  <c r="N509" i="20"/>
  <c r="M509" i="20"/>
  <c r="L509" i="20"/>
  <c r="K509" i="20"/>
  <c r="I509" i="20"/>
  <c r="H509" i="20"/>
  <c r="G509" i="20"/>
  <c r="F509" i="20"/>
  <c r="E509" i="20"/>
  <c r="U508" i="20"/>
  <c r="T508" i="20"/>
  <c r="S508" i="20"/>
  <c r="R508" i="20"/>
  <c r="Q508" i="20"/>
  <c r="O508" i="20"/>
  <c r="N508" i="20"/>
  <c r="M508" i="20"/>
  <c r="L508" i="20"/>
  <c r="K508" i="20"/>
  <c r="I508" i="20"/>
  <c r="H508" i="20"/>
  <c r="G508" i="20"/>
  <c r="F508" i="20"/>
  <c r="E508" i="20"/>
  <c r="U507" i="20"/>
  <c r="T507" i="20"/>
  <c r="S507" i="20"/>
  <c r="R507" i="20"/>
  <c r="Q507" i="20"/>
  <c r="O507" i="20"/>
  <c r="N507" i="20"/>
  <c r="M507" i="20"/>
  <c r="L507" i="20"/>
  <c r="K507" i="20"/>
  <c r="I507" i="20"/>
  <c r="H507" i="20"/>
  <c r="G507" i="20"/>
  <c r="F507" i="20"/>
  <c r="E507" i="20"/>
  <c r="U506" i="20"/>
  <c r="T506" i="20"/>
  <c r="S506" i="20"/>
  <c r="R506" i="20"/>
  <c r="Q506" i="20"/>
  <c r="O506" i="20"/>
  <c r="N506" i="20"/>
  <c r="M506" i="20"/>
  <c r="L506" i="20"/>
  <c r="K506" i="20"/>
  <c r="I506" i="20"/>
  <c r="H506" i="20"/>
  <c r="G506" i="20"/>
  <c r="F506" i="20"/>
  <c r="E506" i="20"/>
  <c r="U505" i="20"/>
  <c r="T505" i="20"/>
  <c r="S505" i="20"/>
  <c r="R505" i="20"/>
  <c r="Q505" i="20"/>
  <c r="O505" i="20"/>
  <c r="N505" i="20"/>
  <c r="M505" i="20"/>
  <c r="L505" i="20"/>
  <c r="K505" i="20"/>
  <c r="I505" i="20"/>
  <c r="H505" i="20"/>
  <c r="G505" i="20"/>
  <c r="F505" i="20"/>
  <c r="E505" i="20"/>
  <c r="U504" i="20"/>
  <c r="T504" i="20"/>
  <c r="S504" i="20"/>
  <c r="R504" i="20"/>
  <c r="Q504" i="20"/>
  <c r="O504" i="20"/>
  <c r="N504" i="20"/>
  <c r="M504" i="20"/>
  <c r="L504" i="20"/>
  <c r="K504" i="20"/>
  <c r="I504" i="20"/>
  <c r="H504" i="20"/>
  <c r="G504" i="20"/>
  <c r="F504" i="20"/>
  <c r="E504" i="20"/>
  <c r="U503" i="20"/>
  <c r="T503" i="20"/>
  <c r="S503" i="20"/>
  <c r="R503" i="20"/>
  <c r="Q503" i="20"/>
  <c r="O503" i="20"/>
  <c r="N503" i="20"/>
  <c r="M503" i="20"/>
  <c r="L503" i="20"/>
  <c r="K503" i="20"/>
  <c r="I503" i="20"/>
  <c r="H503" i="20"/>
  <c r="G503" i="20"/>
  <c r="F503" i="20"/>
  <c r="E503" i="20"/>
  <c r="U502" i="20"/>
  <c r="T502" i="20"/>
  <c r="S502" i="20"/>
  <c r="R502" i="20"/>
  <c r="Q502" i="20"/>
  <c r="O502" i="20"/>
  <c r="N502" i="20"/>
  <c r="M502" i="20"/>
  <c r="L502" i="20"/>
  <c r="K502" i="20"/>
  <c r="I502" i="20"/>
  <c r="H502" i="20"/>
  <c r="G502" i="20"/>
  <c r="F502" i="20"/>
  <c r="E502" i="20"/>
  <c r="U501" i="20"/>
  <c r="T501" i="20"/>
  <c r="S501" i="20"/>
  <c r="R501" i="20"/>
  <c r="Q501" i="20"/>
  <c r="O501" i="20"/>
  <c r="N501" i="20"/>
  <c r="M501" i="20"/>
  <c r="L501" i="20"/>
  <c r="K501" i="20"/>
  <c r="I501" i="20"/>
  <c r="H501" i="20"/>
  <c r="G501" i="20"/>
  <c r="F501" i="20"/>
  <c r="E501" i="20"/>
  <c r="U500" i="20"/>
  <c r="T500" i="20"/>
  <c r="S500" i="20"/>
  <c r="R500" i="20"/>
  <c r="Q500" i="20"/>
  <c r="O500" i="20"/>
  <c r="N500" i="20"/>
  <c r="M500" i="20"/>
  <c r="L500" i="20"/>
  <c r="K500" i="20"/>
  <c r="I500" i="20"/>
  <c r="H500" i="20"/>
  <c r="G500" i="20"/>
  <c r="F500" i="20"/>
  <c r="E500" i="20"/>
  <c r="U499" i="20"/>
  <c r="T499" i="20"/>
  <c r="S499" i="20"/>
  <c r="R499" i="20"/>
  <c r="Q499" i="20"/>
  <c r="O499" i="20"/>
  <c r="N499" i="20"/>
  <c r="M499" i="20"/>
  <c r="L499" i="20"/>
  <c r="K499" i="20"/>
  <c r="I499" i="20"/>
  <c r="H499" i="20"/>
  <c r="G499" i="20"/>
  <c r="F499" i="20"/>
  <c r="E499" i="20"/>
  <c r="U498" i="20"/>
  <c r="T498" i="20"/>
  <c r="S498" i="20"/>
  <c r="R498" i="20"/>
  <c r="Q498" i="20"/>
  <c r="O498" i="20"/>
  <c r="N498" i="20"/>
  <c r="M498" i="20"/>
  <c r="L498" i="20"/>
  <c r="K498" i="20"/>
  <c r="I498" i="20"/>
  <c r="H498" i="20"/>
  <c r="G498" i="20"/>
  <c r="F498" i="20"/>
  <c r="E498" i="20"/>
  <c r="U497" i="20"/>
  <c r="T497" i="20"/>
  <c r="S497" i="20"/>
  <c r="R497" i="20"/>
  <c r="Q497" i="20"/>
  <c r="O497" i="20"/>
  <c r="N497" i="20"/>
  <c r="M497" i="20"/>
  <c r="L497" i="20"/>
  <c r="K497" i="20"/>
  <c r="I497" i="20"/>
  <c r="H497" i="20"/>
  <c r="G497" i="20"/>
  <c r="F497" i="20"/>
  <c r="E497" i="20"/>
  <c r="U496" i="20"/>
  <c r="T496" i="20"/>
  <c r="S496" i="20"/>
  <c r="R496" i="20"/>
  <c r="Q496" i="20"/>
  <c r="O496" i="20"/>
  <c r="N496" i="20"/>
  <c r="M496" i="20"/>
  <c r="L496" i="20"/>
  <c r="K496" i="20"/>
  <c r="I496" i="20"/>
  <c r="H496" i="20"/>
  <c r="G496" i="20"/>
  <c r="F496" i="20"/>
  <c r="E496" i="20"/>
  <c r="U495" i="20"/>
  <c r="T495" i="20"/>
  <c r="S495" i="20"/>
  <c r="R495" i="20"/>
  <c r="Q495" i="20"/>
  <c r="O495" i="20"/>
  <c r="N495" i="20"/>
  <c r="M495" i="20"/>
  <c r="L495" i="20"/>
  <c r="K495" i="20"/>
  <c r="I495" i="20"/>
  <c r="H495" i="20"/>
  <c r="G495" i="20"/>
  <c r="F495" i="20"/>
  <c r="E495" i="20"/>
  <c r="U494" i="20"/>
  <c r="T494" i="20"/>
  <c r="S494" i="20"/>
  <c r="R494" i="20"/>
  <c r="Q494" i="20"/>
  <c r="O494" i="20"/>
  <c r="N494" i="20"/>
  <c r="M494" i="20"/>
  <c r="L494" i="20"/>
  <c r="K494" i="20"/>
  <c r="I494" i="20"/>
  <c r="H494" i="20"/>
  <c r="G494" i="20"/>
  <c r="F494" i="20"/>
  <c r="E494" i="20"/>
  <c r="U493" i="20"/>
  <c r="T493" i="20"/>
  <c r="S493" i="20"/>
  <c r="R493" i="20"/>
  <c r="Q493" i="20"/>
  <c r="O493" i="20"/>
  <c r="N493" i="20"/>
  <c r="M493" i="20"/>
  <c r="L493" i="20"/>
  <c r="K493" i="20"/>
  <c r="I493" i="20"/>
  <c r="H493" i="20"/>
  <c r="G493" i="20"/>
  <c r="F493" i="20"/>
  <c r="E493" i="20"/>
  <c r="U492" i="20"/>
  <c r="T492" i="20"/>
  <c r="S492" i="20"/>
  <c r="R492" i="20"/>
  <c r="Q492" i="20"/>
  <c r="O492" i="20"/>
  <c r="N492" i="20"/>
  <c r="M492" i="20"/>
  <c r="L492" i="20"/>
  <c r="K492" i="20"/>
  <c r="I492" i="20"/>
  <c r="H492" i="20"/>
  <c r="G492" i="20"/>
  <c r="F492" i="20"/>
  <c r="E492" i="20"/>
  <c r="U491" i="20"/>
  <c r="T491" i="20"/>
  <c r="S491" i="20"/>
  <c r="R491" i="20"/>
  <c r="Q491" i="20"/>
  <c r="O491" i="20"/>
  <c r="N491" i="20"/>
  <c r="M491" i="20"/>
  <c r="L491" i="20"/>
  <c r="K491" i="20"/>
  <c r="I491" i="20"/>
  <c r="H491" i="20"/>
  <c r="G491" i="20"/>
  <c r="F491" i="20"/>
  <c r="E491" i="20"/>
  <c r="U490" i="20"/>
  <c r="T490" i="20"/>
  <c r="S490" i="20"/>
  <c r="R490" i="20"/>
  <c r="Q490" i="20"/>
  <c r="O490" i="20"/>
  <c r="N490" i="20"/>
  <c r="M490" i="20"/>
  <c r="L490" i="20"/>
  <c r="K490" i="20"/>
  <c r="I490" i="20"/>
  <c r="H490" i="20"/>
  <c r="G490" i="20"/>
  <c r="F490" i="20"/>
  <c r="E490" i="20"/>
  <c r="U489" i="20"/>
  <c r="T489" i="20"/>
  <c r="S489" i="20"/>
  <c r="R489" i="20"/>
  <c r="Q489" i="20"/>
  <c r="O489" i="20"/>
  <c r="N489" i="20"/>
  <c r="M489" i="20"/>
  <c r="L489" i="20"/>
  <c r="K489" i="20"/>
  <c r="I489" i="20"/>
  <c r="H489" i="20"/>
  <c r="G489" i="20"/>
  <c r="F489" i="20"/>
  <c r="E489" i="20"/>
  <c r="U488" i="20"/>
  <c r="T488" i="20"/>
  <c r="S488" i="20"/>
  <c r="R488" i="20"/>
  <c r="Q488" i="20"/>
  <c r="O488" i="20"/>
  <c r="N488" i="20"/>
  <c r="M488" i="20"/>
  <c r="L488" i="20"/>
  <c r="K488" i="20"/>
  <c r="I488" i="20"/>
  <c r="H488" i="20"/>
  <c r="G488" i="20"/>
  <c r="F488" i="20"/>
  <c r="E488" i="20"/>
  <c r="U487" i="20"/>
  <c r="T487" i="20"/>
  <c r="S487" i="20"/>
  <c r="R487" i="20"/>
  <c r="Q487" i="20"/>
  <c r="O487" i="20"/>
  <c r="N487" i="20"/>
  <c r="M487" i="20"/>
  <c r="L487" i="20"/>
  <c r="K487" i="20"/>
  <c r="I487" i="20"/>
  <c r="H487" i="20"/>
  <c r="G487" i="20"/>
  <c r="F487" i="20"/>
  <c r="E487" i="20"/>
  <c r="U486" i="20"/>
  <c r="T486" i="20"/>
  <c r="S486" i="20"/>
  <c r="R486" i="20"/>
  <c r="Q486" i="20"/>
  <c r="O486" i="20"/>
  <c r="N486" i="20"/>
  <c r="M486" i="20"/>
  <c r="L486" i="20"/>
  <c r="K486" i="20"/>
  <c r="I486" i="20"/>
  <c r="H486" i="20"/>
  <c r="G486" i="20"/>
  <c r="F486" i="20"/>
  <c r="E486" i="20"/>
  <c r="U485" i="20"/>
  <c r="T485" i="20"/>
  <c r="S485" i="20"/>
  <c r="R485" i="20"/>
  <c r="Q485" i="20"/>
  <c r="O485" i="20"/>
  <c r="N485" i="20"/>
  <c r="M485" i="20"/>
  <c r="L485" i="20"/>
  <c r="K485" i="20"/>
  <c r="I485" i="20"/>
  <c r="H485" i="20"/>
  <c r="G485" i="20"/>
  <c r="F485" i="20"/>
  <c r="E485" i="20"/>
  <c r="U484" i="20"/>
  <c r="T484" i="20"/>
  <c r="S484" i="20"/>
  <c r="R484" i="20"/>
  <c r="Q484" i="20"/>
  <c r="O484" i="20"/>
  <c r="N484" i="20"/>
  <c r="M484" i="20"/>
  <c r="L484" i="20"/>
  <c r="K484" i="20"/>
  <c r="I484" i="20"/>
  <c r="H484" i="20"/>
  <c r="G484" i="20"/>
  <c r="F484" i="20"/>
  <c r="E484" i="20"/>
  <c r="U483" i="20"/>
  <c r="T483" i="20"/>
  <c r="S483" i="20"/>
  <c r="R483" i="20"/>
  <c r="Q483" i="20"/>
  <c r="O483" i="20"/>
  <c r="N483" i="20"/>
  <c r="M483" i="20"/>
  <c r="L483" i="20"/>
  <c r="K483" i="20"/>
  <c r="I483" i="20"/>
  <c r="H483" i="20"/>
  <c r="G483" i="20"/>
  <c r="F483" i="20"/>
  <c r="E483" i="20"/>
  <c r="U482" i="20"/>
  <c r="T482" i="20"/>
  <c r="S482" i="20"/>
  <c r="R482" i="20"/>
  <c r="Q482" i="20"/>
  <c r="O482" i="20"/>
  <c r="N482" i="20"/>
  <c r="M482" i="20"/>
  <c r="L482" i="20"/>
  <c r="K482" i="20"/>
  <c r="I482" i="20"/>
  <c r="H482" i="20"/>
  <c r="G482" i="20"/>
  <c r="F482" i="20"/>
  <c r="E482" i="20"/>
  <c r="U481" i="20"/>
  <c r="T481" i="20"/>
  <c r="S481" i="20"/>
  <c r="R481" i="20"/>
  <c r="Q481" i="20"/>
  <c r="O481" i="20"/>
  <c r="N481" i="20"/>
  <c r="M481" i="20"/>
  <c r="L481" i="20"/>
  <c r="K481" i="20"/>
  <c r="I481" i="20"/>
  <c r="H481" i="20"/>
  <c r="G481" i="20"/>
  <c r="F481" i="20"/>
  <c r="E481" i="20"/>
  <c r="U480" i="20"/>
  <c r="T480" i="20"/>
  <c r="S480" i="20"/>
  <c r="R480" i="20"/>
  <c r="Q480" i="20"/>
  <c r="O480" i="20"/>
  <c r="N480" i="20"/>
  <c r="M480" i="20"/>
  <c r="L480" i="20"/>
  <c r="K480" i="20"/>
  <c r="I480" i="20"/>
  <c r="H480" i="20"/>
  <c r="G480" i="20"/>
  <c r="F480" i="20"/>
  <c r="E480" i="20"/>
  <c r="U479" i="20"/>
  <c r="T479" i="20"/>
  <c r="S479" i="20"/>
  <c r="R479" i="20"/>
  <c r="Q479" i="20"/>
  <c r="O479" i="20"/>
  <c r="N479" i="20"/>
  <c r="M479" i="20"/>
  <c r="L479" i="20"/>
  <c r="K479" i="20"/>
  <c r="I479" i="20"/>
  <c r="H479" i="20"/>
  <c r="G479" i="20"/>
  <c r="F479" i="20"/>
  <c r="E479" i="20"/>
  <c r="U478" i="20"/>
  <c r="T478" i="20"/>
  <c r="S478" i="20"/>
  <c r="R478" i="20"/>
  <c r="Q478" i="20"/>
  <c r="O478" i="20"/>
  <c r="N478" i="20"/>
  <c r="M478" i="20"/>
  <c r="L478" i="20"/>
  <c r="K478" i="20"/>
  <c r="I478" i="20"/>
  <c r="H478" i="20"/>
  <c r="G478" i="20"/>
  <c r="F478" i="20"/>
  <c r="E478" i="20"/>
  <c r="U477" i="20"/>
  <c r="T477" i="20"/>
  <c r="S477" i="20"/>
  <c r="R477" i="20"/>
  <c r="Q477" i="20"/>
  <c r="O477" i="20"/>
  <c r="N477" i="20"/>
  <c r="M477" i="20"/>
  <c r="L477" i="20"/>
  <c r="K477" i="20"/>
  <c r="I477" i="20"/>
  <c r="H477" i="20"/>
  <c r="G477" i="20"/>
  <c r="F477" i="20"/>
  <c r="E477" i="20"/>
  <c r="U476" i="20"/>
  <c r="T476" i="20"/>
  <c r="S476" i="20"/>
  <c r="R476" i="20"/>
  <c r="Q476" i="20"/>
  <c r="O476" i="20"/>
  <c r="N476" i="20"/>
  <c r="M476" i="20"/>
  <c r="L476" i="20"/>
  <c r="K476" i="20"/>
  <c r="I476" i="20"/>
  <c r="H476" i="20"/>
  <c r="G476" i="20"/>
  <c r="F476" i="20"/>
  <c r="E476" i="20"/>
  <c r="U475" i="20"/>
  <c r="T475" i="20"/>
  <c r="S475" i="20"/>
  <c r="R475" i="20"/>
  <c r="Q475" i="20"/>
  <c r="O475" i="20"/>
  <c r="N475" i="20"/>
  <c r="M475" i="20"/>
  <c r="L475" i="20"/>
  <c r="K475" i="20"/>
  <c r="I475" i="20"/>
  <c r="H475" i="20"/>
  <c r="G475" i="20"/>
  <c r="F475" i="20"/>
  <c r="E475" i="20"/>
  <c r="U474" i="20"/>
  <c r="T474" i="20"/>
  <c r="S474" i="20"/>
  <c r="R474" i="20"/>
  <c r="Q474" i="20"/>
  <c r="O474" i="20"/>
  <c r="N474" i="20"/>
  <c r="M474" i="20"/>
  <c r="L474" i="20"/>
  <c r="K474" i="20"/>
  <c r="I474" i="20"/>
  <c r="H474" i="20"/>
  <c r="G474" i="20"/>
  <c r="F474" i="20"/>
  <c r="E474" i="20"/>
  <c r="U473" i="20"/>
  <c r="T473" i="20"/>
  <c r="S473" i="20"/>
  <c r="R473" i="20"/>
  <c r="Q473" i="20"/>
  <c r="O473" i="20"/>
  <c r="N473" i="20"/>
  <c r="M473" i="20"/>
  <c r="L473" i="20"/>
  <c r="K473" i="20"/>
  <c r="I473" i="20"/>
  <c r="H473" i="20"/>
  <c r="G473" i="20"/>
  <c r="F473" i="20"/>
  <c r="E473" i="20"/>
  <c r="U472" i="20"/>
  <c r="T472" i="20"/>
  <c r="S472" i="20"/>
  <c r="R472" i="20"/>
  <c r="Q472" i="20"/>
  <c r="O472" i="20"/>
  <c r="N472" i="20"/>
  <c r="M472" i="20"/>
  <c r="L472" i="20"/>
  <c r="K472" i="20"/>
  <c r="I472" i="20"/>
  <c r="H472" i="20"/>
  <c r="G472" i="20"/>
  <c r="F472" i="20"/>
  <c r="E472" i="20"/>
  <c r="U471" i="20"/>
  <c r="T471" i="20"/>
  <c r="S471" i="20"/>
  <c r="R471" i="20"/>
  <c r="Q471" i="20"/>
  <c r="O471" i="20"/>
  <c r="N471" i="20"/>
  <c r="M471" i="20"/>
  <c r="L471" i="20"/>
  <c r="K471" i="20"/>
  <c r="I471" i="20"/>
  <c r="H471" i="20"/>
  <c r="G471" i="20"/>
  <c r="F471" i="20"/>
  <c r="E471" i="20"/>
  <c r="U470" i="20"/>
  <c r="T470" i="20"/>
  <c r="S470" i="20"/>
  <c r="R470" i="20"/>
  <c r="Q470" i="20"/>
  <c r="O470" i="20"/>
  <c r="N470" i="20"/>
  <c r="M470" i="20"/>
  <c r="L470" i="20"/>
  <c r="K470" i="20"/>
  <c r="I470" i="20"/>
  <c r="H470" i="20"/>
  <c r="G470" i="20"/>
  <c r="F470" i="20"/>
  <c r="E470" i="20"/>
  <c r="U469" i="20"/>
  <c r="T469" i="20"/>
  <c r="S469" i="20"/>
  <c r="R469" i="20"/>
  <c r="Q469" i="20"/>
  <c r="O469" i="20"/>
  <c r="N469" i="20"/>
  <c r="M469" i="20"/>
  <c r="L469" i="20"/>
  <c r="K469" i="20"/>
  <c r="I469" i="20"/>
  <c r="H469" i="20"/>
  <c r="G469" i="20"/>
  <c r="F469" i="20"/>
  <c r="E469" i="20"/>
  <c r="U468" i="20"/>
  <c r="T468" i="20"/>
  <c r="S468" i="20"/>
  <c r="R468" i="20"/>
  <c r="Q468" i="20"/>
  <c r="O468" i="20"/>
  <c r="N468" i="20"/>
  <c r="M468" i="20"/>
  <c r="L468" i="20"/>
  <c r="K468" i="20"/>
  <c r="I468" i="20"/>
  <c r="H468" i="20"/>
  <c r="G468" i="20"/>
  <c r="F468" i="20"/>
  <c r="E468" i="20"/>
  <c r="U467" i="20"/>
  <c r="T467" i="20"/>
  <c r="S467" i="20"/>
  <c r="R467" i="20"/>
  <c r="Q467" i="20"/>
  <c r="O467" i="20"/>
  <c r="N467" i="20"/>
  <c r="M467" i="20"/>
  <c r="L467" i="20"/>
  <c r="K467" i="20"/>
  <c r="I467" i="20"/>
  <c r="H467" i="20"/>
  <c r="G467" i="20"/>
  <c r="F467" i="20"/>
  <c r="E467" i="20"/>
  <c r="U466" i="20"/>
  <c r="T466" i="20"/>
  <c r="S466" i="20"/>
  <c r="R466" i="20"/>
  <c r="Q466" i="20"/>
  <c r="O466" i="20"/>
  <c r="N466" i="20"/>
  <c r="M466" i="20"/>
  <c r="L466" i="20"/>
  <c r="K466" i="20"/>
  <c r="I466" i="20"/>
  <c r="H466" i="20"/>
  <c r="G466" i="20"/>
  <c r="F466" i="20"/>
  <c r="E466" i="20"/>
  <c r="U465" i="20"/>
  <c r="T465" i="20"/>
  <c r="S465" i="20"/>
  <c r="R465" i="20"/>
  <c r="Q465" i="20"/>
  <c r="O465" i="20"/>
  <c r="N465" i="20"/>
  <c r="M465" i="20"/>
  <c r="L465" i="20"/>
  <c r="K465" i="20"/>
  <c r="I465" i="20"/>
  <c r="H465" i="20"/>
  <c r="G465" i="20"/>
  <c r="F465" i="20"/>
  <c r="E465" i="20"/>
  <c r="U464" i="20"/>
  <c r="T464" i="20"/>
  <c r="S464" i="20"/>
  <c r="R464" i="20"/>
  <c r="Q464" i="20"/>
  <c r="O464" i="20"/>
  <c r="N464" i="20"/>
  <c r="M464" i="20"/>
  <c r="L464" i="20"/>
  <c r="K464" i="20"/>
  <c r="I464" i="20"/>
  <c r="H464" i="20"/>
  <c r="G464" i="20"/>
  <c r="F464" i="20"/>
  <c r="E464" i="20"/>
  <c r="U463" i="20"/>
  <c r="T463" i="20"/>
  <c r="S463" i="20"/>
  <c r="R463" i="20"/>
  <c r="Q463" i="20"/>
  <c r="O463" i="20"/>
  <c r="N463" i="20"/>
  <c r="M463" i="20"/>
  <c r="L463" i="20"/>
  <c r="K463" i="20"/>
  <c r="I463" i="20"/>
  <c r="H463" i="20"/>
  <c r="G463" i="20"/>
  <c r="F463" i="20"/>
  <c r="E463" i="20"/>
  <c r="U462" i="20"/>
  <c r="T462" i="20"/>
  <c r="S462" i="20"/>
  <c r="R462" i="20"/>
  <c r="Q462" i="20"/>
  <c r="O462" i="20"/>
  <c r="N462" i="20"/>
  <c r="M462" i="20"/>
  <c r="L462" i="20"/>
  <c r="K462" i="20"/>
  <c r="I462" i="20"/>
  <c r="H462" i="20"/>
  <c r="G462" i="20"/>
  <c r="F462" i="20"/>
  <c r="E462" i="20"/>
  <c r="U461" i="20"/>
  <c r="T461" i="20"/>
  <c r="S461" i="20"/>
  <c r="R461" i="20"/>
  <c r="Q461" i="20"/>
  <c r="O461" i="20"/>
  <c r="N461" i="20"/>
  <c r="M461" i="20"/>
  <c r="L461" i="20"/>
  <c r="K461" i="20"/>
  <c r="I461" i="20"/>
  <c r="H461" i="20"/>
  <c r="G461" i="20"/>
  <c r="F461" i="20"/>
  <c r="E461" i="20"/>
  <c r="U460" i="20"/>
  <c r="T460" i="20"/>
  <c r="S460" i="20"/>
  <c r="R460" i="20"/>
  <c r="Q460" i="20"/>
  <c r="O460" i="20"/>
  <c r="N460" i="20"/>
  <c r="M460" i="20"/>
  <c r="L460" i="20"/>
  <c r="K460" i="20"/>
  <c r="I460" i="20"/>
  <c r="H460" i="20"/>
  <c r="G460" i="20"/>
  <c r="F460" i="20"/>
  <c r="E460" i="20"/>
  <c r="U459" i="20"/>
  <c r="T459" i="20"/>
  <c r="S459" i="20"/>
  <c r="R459" i="20"/>
  <c r="Q459" i="20"/>
  <c r="O459" i="20"/>
  <c r="N459" i="20"/>
  <c r="M459" i="20"/>
  <c r="L459" i="20"/>
  <c r="K459" i="20"/>
  <c r="I459" i="20"/>
  <c r="H459" i="20"/>
  <c r="G459" i="20"/>
  <c r="F459" i="20"/>
  <c r="E459" i="20"/>
  <c r="U458" i="20"/>
  <c r="T458" i="20"/>
  <c r="S458" i="20"/>
  <c r="R458" i="20"/>
  <c r="Q458" i="20"/>
  <c r="O458" i="20"/>
  <c r="N458" i="20"/>
  <c r="M458" i="20"/>
  <c r="L458" i="20"/>
  <c r="K458" i="20"/>
  <c r="I458" i="20"/>
  <c r="H458" i="20"/>
  <c r="G458" i="20"/>
  <c r="F458" i="20"/>
  <c r="E458" i="20"/>
  <c r="U457" i="20"/>
  <c r="T457" i="20"/>
  <c r="S457" i="20"/>
  <c r="R457" i="20"/>
  <c r="Q457" i="20"/>
  <c r="O457" i="20"/>
  <c r="N457" i="20"/>
  <c r="M457" i="20"/>
  <c r="L457" i="20"/>
  <c r="K457" i="20"/>
  <c r="I457" i="20"/>
  <c r="H457" i="20"/>
  <c r="G457" i="20"/>
  <c r="F457" i="20"/>
  <c r="E457" i="20"/>
  <c r="U456" i="20"/>
  <c r="T456" i="20"/>
  <c r="S456" i="20"/>
  <c r="R456" i="20"/>
  <c r="Q456" i="20"/>
  <c r="O456" i="20"/>
  <c r="N456" i="20"/>
  <c r="M456" i="20"/>
  <c r="L456" i="20"/>
  <c r="K456" i="20"/>
  <c r="I456" i="20"/>
  <c r="H456" i="20"/>
  <c r="G456" i="20"/>
  <c r="F456" i="20"/>
  <c r="E456" i="20"/>
  <c r="U455" i="20"/>
  <c r="T455" i="20"/>
  <c r="S455" i="20"/>
  <c r="R455" i="20"/>
  <c r="Q455" i="20"/>
  <c r="O455" i="20"/>
  <c r="N455" i="20"/>
  <c r="M455" i="20"/>
  <c r="L455" i="20"/>
  <c r="K455" i="20"/>
  <c r="I455" i="20"/>
  <c r="H455" i="20"/>
  <c r="G455" i="20"/>
  <c r="F455" i="20"/>
  <c r="E455" i="20"/>
  <c r="U454" i="20"/>
  <c r="T454" i="20"/>
  <c r="S454" i="20"/>
  <c r="R454" i="20"/>
  <c r="Q454" i="20"/>
  <c r="O454" i="20"/>
  <c r="N454" i="20"/>
  <c r="M454" i="20"/>
  <c r="L454" i="20"/>
  <c r="K454" i="20"/>
  <c r="I454" i="20"/>
  <c r="H454" i="20"/>
  <c r="G454" i="20"/>
  <c r="F454" i="20"/>
  <c r="E454" i="20"/>
  <c r="U453" i="20"/>
  <c r="T453" i="20"/>
  <c r="S453" i="20"/>
  <c r="R453" i="20"/>
  <c r="Q453" i="20"/>
  <c r="O453" i="20"/>
  <c r="N453" i="20"/>
  <c r="M453" i="20"/>
  <c r="L453" i="20"/>
  <c r="K453" i="20"/>
  <c r="I453" i="20"/>
  <c r="H453" i="20"/>
  <c r="G453" i="20"/>
  <c r="F453" i="20"/>
  <c r="E453" i="20"/>
  <c r="U452" i="20"/>
  <c r="T452" i="20"/>
  <c r="S452" i="20"/>
  <c r="R452" i="20"/>
  <c r="Q452" i="20"/>
  <c r="O452" i="20"/>
  <c r="N452" i="20"/>
  <c r="M452" i="20"/>
  <c r="L452" i="20"/>
  <c r="K452" i="20"/>
  <c r="I452" i="20"/>
  <c r="H452" i="20"/>
  <c r="G452" i="20"/>
  <c r="F452" i="20"/>
  <c r="E452" i="20"/>
  <c r="U451" i="20"/>
  <c r="T451" i="20"/>
  <c r="S451" i="20"/>
  <c r="R451" i="20"/>
  <c r="Q451" i="20"/>
  <c r="O451" i="20"/>
  <c r="N451" i="20"/>
  <c r="M451" i="20"/>
  <c r="L451" i="20"/>
  <c r="K451" i="20"/>
  <c r="I451" i="20"/>
  <c r="H451" i="20"/>
  <c r="G451" i="20"/>
  <c r="F451" i="20"/>
  <c r="E451" i="20"/>
  <c r="U450" i="20"/>
  <c r="T450" i="20"/>
  <c r="S450" i="20"/>
  <c r="R450" i="20"/>
  <c r="Q450" i="20"/>
  <c r="O450" i="20"/>
  <c r="N450" i="20"/>
  <c r="M450" i="20"/>
  <c r="L450" i="20"/>
  <c r="K450" i="20"/>
  <c r="I450" i="20"/>
  <c r="H450" i="20"/>
  <c r="G450" i="20"/>
  <c r="F450" i="20"/>
  <c r="E450" i="20"/>
  <c r="U449" i="20"/>
  <c r="T449" i="20"/>
  <c r="S449" i="20"/>
  <c r="R449" i="20"/>
  <c r="Q449" i="20"/>
  <c r="O449" i="20"/>
  <c r="N449" i="20"/>
  <c r="M449" i="20"/>
  <c r="L449" i="20"/>
  <c r="K449" i="20"/>
  <c r="I449" i="20"/>
  <c r="H449" i="20"/>
  <c r="G449" i="20"/>
  <c r="F449" i="20"/>
  <c r="E449" i="20"/>
  <c r="U448" i="20"/>
  <c r="T448" i="20"/>
  <c r="S448" i="20"/>
  <c r="R448" i="20"/>
  <c r="Q448" i="20"/>
  <c r="O448" i="20"/>
  <c r="N448" i="20"/>
  <c r="M448" i="20"/>
  <c r="L448" i="20"/>
  <c r="K448" i="20"/>
  <c r="I448" i="20"/>
  <c r="H448" i="20"/>
  <c r="G448" i="20"/>
  <c r="F448" i="20"/>
  <c r="E448" i="20"/>
  <c r="U447" i="20"/>
  <c r="T447" i="20"/>
  <c r="S447" i="20"/>
  <c r="R447" i="20"/>
  <c r="Q447" i="20"/>
  <c r="O447" i="20"/>
  <c r="N447" i="20"/>
  <c r="M447" i="20"/>
  <c r="L447" i="20"/>
  <c r="K447" i="20"/>
  <c r="I447" i="20"/>
  <c r="H447" i="20"/>
  <c r="G447" i="20"/>
  <c r="F447" i="20"/>
  <c r="E447" i="20"/>
  <c r="U446" i="20"/>
  <c r="T446" i="20"/>
  <c r="S446" i="20"/>
  <c r="R446" i="20"/>
  <c r="Q446" i="20"/>
  <c r="O446" i="20"/>
  <c r="N446" i="20"/>
  <c r="M446" i="20"/>
  <c r="L446" i="20"/>
  <c r="K446" i="20"/>
  <c r="I446" i="20"/>
  <c r="H446" i="20"/>
  <c r="G446" i="20"/>
  <c r="F446" i="20"/>
  <c r="E446" i="20"/>
  <c r="U445" i="20"/>
  <c r="T445" i="20"/>
  <c r="S445" i="20"/>
  <c r="R445" i="20"/>
  <c r="Q445" i="20"/>
  <c r="O445" i="20"/>
  <c r="N445" i="20"/>
  <c r="M445" i="20"/>
  <c r="L445" i="20"/>
  <c r="K445" i="20"/>
  <c r="I445" i="20"/>
  <c r="H445" i="20"/>
  <c r="G445" i="20"/>
  <c r="F445" i="20"/>
  <c r="E445" i="20"/>
  <c r="U444" i="20"/>
  <c r="T444" i="20"/>
  <c r="S444" i="20"/>
  <c r="R444" i="20"/>
  <c r="Q444" i="20"/>
  <c r="O444" i="20"/>
  <c r="N444" i="20"/>
  <c r="M444" i="20"/>
  <c r="L444" i="20"/>
  <c r="K444" i="20"/>
  <c r="I444" i="20"/>
  <c r="H444" i="20"/>
  <c r="G444" i="20"/>
  <c r="F444" i="20"/>
  <c r="E444" i="20"/>
  <c r="U443" i="20"/>
  <c r="T443" i="20"/>
  <c r="S443" i="20"/>
  <c r="R443" i="20"/>
  <c r="Q443" i="20"/>
  <c r="O443" i="20"/>
  <c r="N443" i="20"/>
  <c r="M443" i="20"/>
  <c r="L443" i="20"/>
  <c r="K443" i="20"/>
  <c r="I443" i="20"/>
  <c r="H443" i="20"/>
  <c r="G443" i="20"/>
  <c r="F443" i="20"/>
  <c r="E443" i="20"/>
  <c r="U442" i="20"/>
  <c r="T442" i="20"/>
  <c r="S442" i="20"/>
  <c r="R442" i="20"/>
  <c r="Q442" i="20"/>
  <c r="O442" i="20"/>
  <c r="N442" i="20"/>
  <c r="M442" i="20"/>
  <c r="L442" i="20"/>
  <c r="K442" i="20"/>
  <c r="I442" i="20"/>
  <c r="H442" i="20"/>
  <c r="G442" i="20"/>
  <c r="F442" i="20"/>
  <c r="E442" i="20"/>
  <c r="U441" i="20"/>
  <c r="T441" i="20"/>
  <c r="S441" i="20"/>
  <c r="R441" i="20"/>
  <c r="Q441" i="20"/>
  <c r="O441" i="20"/>
  <c r="N441" i="20"/>
  <c r="M441" i="20"/>
  <c r="L441" i="20"/>
  <c r="K441" i="20"/>
  <c r="I441" i="20"/>
  <c r="H441" i="20"/>
  <c r="G441" i="20"/>
  <c r="F441" i="20"/>
  <c r="E441" i="20"/>
  <c r="U440" i="20"/>
  <c r="T440" i="20"/>
  <c r="S440" i="20"/>
  <c r="R440" i="20"/>
  <c r="Q440" i="20"/>
  <c r="O440" i="20"/>
  <c r="N440" i="20"/>
  <c r="M440" i="20"/>
  <c r="L440" i="20"/>
  <c r="K440" i="20"/>
  <c r="I440" i="20"/>
  <c r="H440" i="20"/>
  <c r="G440" i="20"/>
  <c r="F440" i="20"/>
  <c r="E440" i="20"/>
  <c r="U439" i="20"/>
  <c r="T439" i="20"/>
  <c r="S439" i="20"/>
  <c r="R439" i="20"/>
  <c r="Q439" i="20"/>
  <c r="O439" i="20"/>
  <c r="N439" i="20"/>
  <c r="M439" i="20"/>
  <c r="L439" i="20"/>
  <c r="K439" i="20"/>
  <c r="I439" i="20"/>
  <c r="H439" i="20"/>
  <c r="G439" i="20"/>
  <c r="F439" i="20"/>
  <c r="E439" i="20"/>
  <c r="U438" i="20"/>
  <c r="T438" i="20"/>
  <c r="S438" i="20"/>
  <c r="R438" i="20"/>
  <c r="Q438" i="20"/>
  <c r="O438" i="20"/>
  <c r="N438" i="20"/>
  <c r="M438" i="20"/>
  <c r="L438" i="20"/>
  <c r="K438" i="20"/>
  <c r="I438" i="20"/>
  <c r="H438" i="20"/>
  <c r="G438" i="20"/>
  <c r="F438" i="20"/>
  <c r="E438" i="20"/>
  <c r="U437" i="20"/>
  <c r="T437" i="20"/>
  <c r="S437" i="20"/>
  <c r="R437" i="20"/>
  <c r="Q437" i="20"/>
  <c r="O437" i="20"/>
  <c r="N437" i="20"/>
  <c r="M437" i="20"/>
  <c r="L437" i="20"/>
  <c r="K437" i="20"/>
  <c r="I437" i="20"/>
  <c r="H437" i="20"/>
  <c r="G437" i="20"/>
  <c r="F437" i="20"/>
  <c r="E437" i="20"/>
  <c r="U436" i="20"/>
  <c r="T436" i="20"/>
  <c r="S436" i="20"/>
  <c r="R436" i="20"/>
  <c r="Q436" i="20"/>
  <c r="O436" i="20"/>
  <c r="N436" i="20"/>
  <c r="M436" i="20"/>
  <c r="L436" i="20"/>
  <c r="K436" i="20"/>
  <c r="I436" i="20"/>
  <c r="H436" i="20"/>
  <c r="G436" i="20"/>
  <c r="F436" i="20"/>
  <c r="E436" i="20"/>
  <c r="U435" i="20"/>
  <c r="T435" i="20"/>
  <c r="S435" i="20"/>
  <c r="R435" i="20"/>
  <c r="Q435" i="20"/>
  <c r="O435" i="20"/>
  <c r="N435" i="20"/>
  <c r="M435" i="20"/>
  <c r="L435" i="20"/>
  <c r="K435" i="20"/>
  <c r="I435" i="20"/>
  <c r="H435" i="20"/>
  <c r="G435" i="20"/>
  <c r="F435" i="20"/>
  <c r="E435" i="20"/>
  <c r="U434" i="20"/>
  <c r="T434" i="20"/>
  <c r="S434" i="20"/>
  <c r="R434" i="20"/>
  <c r="Q434" i="20"/>
  <c r="O434" i="20"/>
  <c r="N434" i="20"/>
  <c r="M434" i="20"/>
  <c r="L434" i="20"/>
  <c r="K434" i="20"/>
  <c r="I434" i="20"/>
  <c r="H434" i="20"/>
  <c r="G434" i="20"/>
  <c r="F434" i="20"/>
  <c r="E434" i="20"/>
  <c r="U433" i="20"/>
  <c r="T433" i="20"/>
  <c r="S433" i="20"/>
  <c r="R433" i="20"/>
  <c r="Q433" i="20"/>
  <c r="O433" i="20"/>
  <c r="N433" i="20"/>
  <c r="M433" i="20"/>
  <c r="L433" i="20"/>
  <c r="K433" i="20"/>
  <c r="I433" i="20"/>
  <c r="H433" i="20"/>
  <c r="G433" i="20"/>
  <c r="F433" i="20"/>
  <c r="E433" i="20"/>
  <c r="U432" i="20"/>
  <c r="T432" i="20"/>
  <c r="S432" i="20"/>
  <c r="R432" i="20"/>
  <c r="Q432" i="20"/>
  <c r="O432" i="20"/>
  <c r="N432" i="20"/>
  <c r="M432" i="20"/>
  <c r="L432" i="20"/>
  <c r="K432" i="20"/>
  <c r="I432" i="20"/>
  <c r="H432" i="20"/>
  <c r="G432" i="20"/>
  <c r="F432" i="20"/>
  <c r="E432" i="20"/>
  <c r="U431" i="20"/>
  <c r="T431" i="20"/>
  <c r="S431" i="20"/>
  <c r="R431" i="20"/>
  <c r="Q431" i="20"/>
  <c r="O431" i="20"/>
  <c r="N431" i="20"/>
  <c r="M431" i="20"/>
  <c r="L431" i="20"/>
  <c r="K431" i="20"/>
  <c r="I431" i="20"/>
  <c r="H431" i="20"/>
  <c r="G431" i="20"/>
  <c r="F431" i="20"/>
  <c r="E431" i="20"/>
  <c r="U430" i="20"/>
  <c r="T430" i="20"/>
  <c r="S430" i="20"/>
  <c r="R430" i="20"/>
  <c r="Q430" i="20"/>
  <c r="O430" i="20"/>
  <c r="N430" i="20"/>
  <c r="M430" i="20"/>
  <c r="L430" i="20"/>
  <c r="K430" i="20"/>
  <c r="I430" i="20"/>
  <c r="H430" i="20"/>
  <c r="G430" i="20"/>
  <c r="F430" i="20"/>
  <c r="E430" i="20"/>
  <c r="U429" i="20"/>
  <c r="T429" i="20"/>
  <c r="S429" i="20"/>
  <c r="R429" i="20"/>
  <c r="Q429" i="20"/>
  <c r="O429" i="20"/>
  <c r="N429" i="20"/>
  <c r="M429" i="20"/>
  <c r="L429" i="20"/>
  <c r="K429" i="20"/>
  <c r="I429" i="20"/>
  <c r="H429" i="20"/>
  <c r="G429" i="20"/>
  <c r="F429" i="20"/>
  <c r="E429" i="20"/>
  <c r="U428" i="20"/>
  <c r="T428" i="20"/>
  <c r="S428" i="20"/>
  <c r="R428" i="20"/>
  <c r="Q428" i="20"/>
  <c r="O428" i="20"/>
  <c r="N428" i="20"/>
  <c r="M428" i="20"/>
  <c r="L428" i="20"/>
  <c r="K428" i="20"/>
  <c r="I428" i="20"/>
  <c r="H428" i="20"/>
  <c r="G428" i="20"/>
  <c r="F428" i="20"/>
  <c r="E428" i="20"/>
  <c r="U427" i="20"/>
  <c r="T427" i="20"/>
  <c r="S427" i="20"/>
  <c r="R427" i="20"/>
  <c r="Q427" i="20"/>
  <c r="O427" i="20"/>
  <c r="N427" i="20"/>
  <c r="M427" i="20"/>
  <c r="L427" i="20"/>
  <c r="K427" i="20"/>
  <c r="I427" i="20"/>
  <c r="H427" i="20"/>
  <c r="G427" i="20"/>
  <c r="F427" i="20"/>
  <c r="E427" i="20"/>
  <c r="U426" i="20"/>
  <c r="T426" i="20"/>
  <c r="S426" i="20"/>
  <c r="R426" i="20"/>
  <c r="Q426" i="20"/>
  <c r="O426" i="20"/>
  <c r="N426" i="20"/>
  <c r="M426" i="20"/>
  <c r="L426" i="20"/>
  <c r="K426" i="20"/>
  <c r="I426" i="20"/>
  <c r="H426" i="20"/>
  <c r="G426" i="20"/>
  <c r="F426" i="20"/>
  <c r="E426" i="20"/>
  <c r="U425" i="20"/>
  <c r="T425" i="20"/>
  <c r="S425" i="20"/>
  <c r="R425" i="20"/>
  <c r="Q425" i="20"/>
  <c r="O425" i="20"/>
  <c r="N425" i="20"/>
  <c r="M425" i="20"/>
  <c r="L425" i="20"/>
  <c r="K425" i="20"/>
  <c r="I425" i="20"/>
  <c r="H425" i="20"/>
  <c r="G425" i="20"/>
  <c r="F425" i="20"/>
  <c r="E425" i="20"/>
  <c r="U424" i="20"/>
  <c r="T424" i="20"/>
  <c r="S424" i="20"/>
  <c r="R424" i="20"/>
  <c r="Q424" i="20"/>
  <c r="O424" i="20"/>
  <c r="N424" i="20"/>
  <c r="M424" i="20"/>
  <c r="L424" i="20"/>
  <c r="K424" i="20"/>
  <c r="I424" i="20"/>
  <c r="H424" i="20"/>
  <c r="G424" i="20"/>
  <c r="F424" i="20"/>
  <c r="E424" i="20"/>
  <c r="U423" i="20"/>
  <c r="T423" i="20"/>
  <c r="S423" i="20"/>
  <c r="R423" i="20"/>
  <c r="Q423" i="20"/>
  <c r="O423" i="20"/>
  <c r="N423" i="20"/>
  <c r="M423" i="20"/>
  <c r="L423" i="20"/>
  <c r="K423" i="20"/>
  <c r="I423" i="20"/>
  <c r="H423" i="20"/>
  <c r="G423" i="20"/>
  <c r="F423" i="20"/>
  <c r="E423" i="20"/>
  <c r="U422" i="20"/>
  <c r="T422" i="20"/>
  <c r="S422" i="20"/>
  <c r="R422" i="20"/>
  <c r="Q422" i="20"/>
  <c r="O422" i="20"/>
  <c r="N422" i="20"/>
  <c r="M422" i="20"/>
  <c r="L422" i="20"/>
  <c r="K422" i="20"/>
  <c r="I422" i="20"/>
  <c r="H422" i="20"/>
  <c r="G422" i="20"/>
  <c r="F422" i="20"/>
  <c r="E422" i="20"/>
  <c r="U421" i="20"/>
  <c r="T421" i="20"/>
  <c r="S421" i="20"/>
  <c r="R421" i="20"/>
  <c r="Q421" i="20"/>
  <c r="O421" i="20"/>
  <c r="N421" i="20"/>
  <c r="M421" i="20"/>
  <c r="L421" i="20"/>
  <c r="K421" i="20"/>
  <c r="I421" i="20"/>
  <c r="H421" i="20"/>
  <c r="G421" i="20"/>
  <c r="F421" i="20"/>
  <c r="E421" i="20"/>
  <c r="U420" i="20"/>
  <c r="T420" i="20"/>
  <c r="S420" i="20"/>
  <c r="R420" i="20"/>
  <c r="Q420" i="20"/>
  <c r="O420" i="20"/>
  <c r="N420" i="20"/>
  <c r="M420" i="20"/>
  <c r="L420" i="20"/>
  <c r="K420" i="20"/>
  <c r="I420" i="20"/>
  <c r="H420" i="20"/>
  <c r="G420" i="20"/>
  <c r="F420" i="20"/>
  <c r="E420" i="20"/>
  <c r="U419" i="20"/>
  <c r="T419" i="20"/>
  <c r="S419" i="20"/>
  <c r="R419" i="20"/>
  <c r="Q419" i="20"/>
  <c r="O419" i="20"/>
  <c r="N419" i="20"/>
  <c r="M419" i="20"/>
  <c r="L419" i="20"/>
  <c r="K419" i="20"/>
  <c r="I419" i="20"/>
  <c r="H419" i="20"/>
  <c r="G419" i="20"/>
  <c r="F419" i="20"/>
  <c r="E419" i="20"/>
  <c r="U418" i="20"/>
  <c r="T418" i="20"/>
  <c r="S418" i="20"/>
  <c r="R418" i="20"/>
  <c r="Q418" i="20"/>
  <c r="O418" i="20"/>
  <c r="N418" i="20"/>
  <c r="M418" i="20"/>
  <c r="L418" i="20"/>
  <c r="K418" i="20"/>
  <c r="I418" i="20"/>
  <c r="H418" i="20"/>
  <c r="G418" i="20"/>
  <c r="F418" i="20"/>
  <c r="E418" i="20"/>
  <c r="U417" i="20"/>
  <c r="T417" i="20"/>
  <c r="S417" i="20"/>
  <c r="R417" i="20"/>
  <c r="Q417" i="20"/>
  <c r="O417" i="20"/>
  <c r="N417" i="20"/>
  <c r="M417" i="20"/>
  <c r="L417" i="20"/>
  <c r="K417" i="20"/>
  <c r="I417" i="20"/>
  <c r="H417" i="20"/>
  <c r="G417" i="20"/>
  <c r="F417" i="20"/>
  <c r="E417" i="20"/>
  <c r="U416" i="20"/>
  <c r="T416" i="20"/>
  <c r="S416" i="20"/>
  <c r="R416" i="20"/>
  <c r="Q416" i="20"/>
  <c r="O416" i="20"/>
  <c r="N416" i="20"/>
  <c r="M416" i="20"/>
  <c r="L416" i="20"/>
  <c r="K416" i="20"/>
  <c r="I416" i="20"/>
  <c r="H416" i="20"/>
  <c r="G416" i="20"/>
  <c r="F416" i="20"/>
  <c r="E416" i="20"/>
  <c r="U415" i="20"/>
  <c r="T415" i="20"/>
  <c r="S415" i="20"/>
  <c r="R415" i="20"/>
  <c r="Q415" i="20"/>
  <c r="O415" i="20"/>
  <c r="N415" i="20"/>
  <c r="M415" i="20"/>
  <c r="L415" i="20"/>
  <c r="K415" i="20"/>
  <c r="I415" i="20"/>
  <c r="H415" i="20"/>
  <c r="G415" i="20"/>
  <c r="F415" i="20"/>
  <c r="E415" i="20"/>
  <c r="U414" i="20"/>
  <c r="T414" i="20"/>
  <c r="S414" i="20"/>
  <c r="R414" i="20"/>
  <c r="Q414" i="20"/>
  <c r="O414" i="20"/>
  <c r="N414" i="20"/>
  <c r="M414" i="20"/>
  <c r="L414" i="20"/>
  <c r="K414" i="20"/>
  <c r="I414" i="20"/>
  <c r="H414" i="20"/>
  <c r="G414" i="20"/>
  <c r="F414" i="20"/>
  <c r="E414" i="20"/>
  <c r="U413" i="20"/>
  <c r="T413" i="20"/>
  <c r="S413" i="20"/>
  <c r="R413" i="20"/>
  <c r="Q413" i="20"/>
  <c r="O413" i="20"/>
  <c r="N413" i="20"/>
  <c r="M413" i="20"/>
  <c r="L413" i="20"/>
  <c r="K413" i="20"/>
  <c r="I413" i="20"/>
  <c r="H413" i="20"/>
  <c r="G413" i="20"/>
  <c r="F413" i="20"/>
  <c r="E413" i="20"/>
  <c r="U412" i="20"/>
  <c r="T412" i="20"/>
  <c r="S412" i="20"/>
  <c r="R412" i="20"/>
  <c r="Q412" i="20"/>
  <c r="O412" i="20"/>
  <c r="N412" i="20"/>
  <c r="M412" i="20"/>
  <c r="L412" i="20"/>
  <c r="K412" i="20"/>
  <c r="I412" i="20"/>
  <c r="H412" i="20"/>
  <c r="G412" i="20"/>
  <c r="F412" i="20"/>
  <c r="E412" i="20"/>
  <c r="U411" i="20"/>
  <c r="T411" i="20"/>
  <c r="S411" i="20"/>
  <c r="R411" i="20"/>
  <c r="Q411" i="20"/>
  <c r="O411" i="20"/>
  <c r="N411" i="20"/>
  <c r="M411" i="20"/>
  <c r="L411" i="20"/>
  <c r="K411" i="20"/>
  <c r="I411" i="20"/>
  <c r="H411" i="20"/>
  <c r="G411" i="20"/>
  <c r="F411" i="20"/>
  <c r="E411" i="20"/>
  <c r="U410" i="20"/>
  <c r="T410" i="20"/>
  <c r="S410" i="20"/>
  <c r="R410" i="20"/>
  <c r="Q410" i="20"/>
  <c r="O410" i="20"/>
  <c r="N410" i="20"/>
  <c r="M410" i="20"/>
  <c r="L410" i="20"/>
  <c r="K410" i="20"/>
  <c r="I410" i="20"/>
  <c r="H410" i="20"/>
  <c r="G410" i="20"/>
  <c r="F410" i="20"/>
  <c r="E410" i="20"/>
  <c r="U409" i="20"/>
  <c r="T409" i="20"/>
  <c r="S409" i="20"/>
  <c r="R409" i="20"/>
  <c r="Q409" i="20"/>
  <c r="O409" i="20"/>
  <c r="N409" i="20"/>
  <c r="M409" i="20"/>
  <c r="L409" i="20"/>
  <c r="K409" i="20"/>
  <c r="I409" i="20"/>
  <c r="H409" i="20"/>
  <c r="G409" i="20"/>
  <c r="F409" i="20"/>
  <c r="E409" i="20"/>
  <c r="U408" i="20"/>
  <c r="T408" i="20"/>
  <c r="S408" i="20"/>
  <c r="R408" i="20"/>
  <c r="Q408" i="20"/>
  <c r="O408" i="20"/>
  <c r="N408" i="20"/>
  <c r="M408" i="20"/>
  <c r="L408" i="20"/>
  <c r="K408" i="20"/>
  <c r="I408" i="20"/>
  <c r="H408" i="20"/>
  <c r="G408" i="20"/>
  <c r="F408" i="20"/>
  <c r="E408" i="20"/>
  <c r="U407" i="20"/>
  <c r="T407" i="20"/>
  <c r="S407" i="20"/>
  <c r="R407" i="20"/>
  <c r="Q407" i="20"/>
  <c r="O407" i="20"/>
  <c r="N407" i="20"/>
  <c r="M407" i="20"/>
  <c r="L407" i="20"/>
  <c r="K407" i="20"/>
  <c r="I407" i="20"/>
  <c r="H407" i="20"/>
  <c r="G407" i="20"/>
  <c r="F407" i="20"/>
  <c r="E407" i="20"/>
  <c r="U406" i="20"/>
  <c r="T406" i="20"/>
  <c r="S406" i="20"/>
  <c r="R406" i="20"/>
  <c r="Q406" i="20"/>
  <c r="O406" i="20"/>
  <c r="N406" i="20"/>
  <c r="M406" i="20"/>
  <c r="L406" i="20"/>
  <c r="K406" i="20"/>
  <c r="I406" i="20"/>
  <c r="H406" i="20"/>
  <c r="G406" i="20"/>
  <c r="F406" i="20"/>
  <c r="E406" i="20"/>
  <c r="U405" i="20"/>
  <c r="T405" i="20"/>
  <c r="S405" i="20"/>
  <c r="R405" i="20"/>
  <c r="Q405" i="20"/>
  <c r="O405" i="20"/>
  <c r="N405" i="20"/>
  <c r="M405" i="20"/>
  <c r="L405" i="20"/>
  <c r="K405" i="20"/>
  <c r="I405" i="20"/>
  <c r="H405" i="20"/>
  <c r="G405" i="20"/>
  <c r="F405" i="20"/>
  <c r="E405" i="20"/>
  <c r="U404" i="20"/>
  <c r="T404" i="20"/>
  <c r="S404" i="20"/>
  <c r="R404" i="20"/>
  <c r="Q404" i="20"/>
  <c r="O404" i="20"/>
  <c r="N404" i="20"/>
  <c r="M404" i="20"/>
  <c r="L404" i="20"/>
  <c r="K404" i="20"/>
  <c r="I404" i="20"/>
  <c r="H404" i="20"/>
  <c r="G404" i="20"/>
  <c r="F404" i="20"/>
  <c r="E404" i="20"/>
  <c r="U403" i="20"/>
  <c r="T403" i="20"/>
  <c r="S403" i="20"/>
  <c r="R403" i="20"/>
  <c r="Q403" i="20"/>
  <c r="O403" i="20"/>
  <c r="N403" i="20"/>
  <c r="M403" i="20"/>
  <c r="L403" i="20"/>
  <c r="K403" i="20"/>
  <c r="I403" i="20"/>
  <c r="H403" i="20"/>
  <c r="G403" i="20"/>
  <c r="F403" i="20"/>
  <c r="E403" i="20"/>
  <c r="U402" i="20"/>
  <c r="T402" i="20"/>
  <c r="S402" i="20"/>
  <c r="R402" i="20"/>
  <c r="Q402" i="20"/>
  <c r="O402" i="20"/>
  <c r="N402" i="20"/>
  <c r="M402" i="20"/>
  <c r="L402" i="20"/>
  <c r="K402" i="20"/>
  <c r="I402" i="20"/>
  <c r="H402" i="20"/>
  <c r="G402" i="20"/>
  <c r="F402" i="20"/>
  <c r="E402" i="20"/>
  <c r="U401" i="20"/>
  <c r="T401" i="20"/>
  <c r="S401" i="20"/>
  <c r="R401" i="20"/>
  <c r="Q401" i="20"/>
  <c r="O401" i="20"/>
  <c r="N401" i="20"/>
  <c r="M401" i="20"/>
  <c r="L401" i="20"/>
  <c r="K401" i="20"/>
  <c r="I401" i="20"/>
  <c r="H401" i="20"/>
  <c r="G401" i="20"/>
  <c r="F401" i="20"/>
  <c r="E401" i="20"/>
  <c r="U400" i="20"/>
  <c r="T400" i="20"/>
  <c r="S400" i="20"/>
  <c r="R400" i="20"/>
  <c r="Q400" i="20"/>
  <c r="O400" i="20"/>
  <c r="N400" i="20"/>
  <c r="M400" i="20"/>
  <c r="L400" i="20"/>
  <c r="K400" i="20"/>
  <c r="I400" i="20"/>
  <c r="H400" i="20"/>
  <c r="G400" i="20"/>
  <c r="F400" i="20"/>
  <c r="E400" i="20"/>
  <c r="U399" i="20"/>
  <c r="T399" i="20"/>
  <c r="S399" i="20"/>
  <c r="R399" i="20"/>
  <c r="Q399" i="20"/>
  <c r="O399" i="20"/>
  <c r="N399" i="20"/>
  <c r="M399" i="20"/>
  <c r="L399" i="20"/>
  <c r="K399" i="20"/>
  <c r="I399" i="20"/>
  <c r="H399" i="20"/>
  <c r="G399" i="20"/>
  <c r="F399" i="20"/>
  <c r="E399" i="20"/>
  <c r="U398" i="20"/>
  <c r="T398" i="20"/>
  <c r="S398" i="20"/>
  <c r="R398" i="20"/>
  <c r="Q398" i="20"/>
  <c r="O398" i="20"/>
  <c r="N398" i="20"/>
  <c r="M398" i="20"/>
  <c r="L398" i="20"/>
  <c r="K398" i="20"/>
  <c r="I398" i="20"/>
  <c r="H398" i="20"/>
  <c r="G398" i="20"/>
  <c r="F398" i="20"/>
  <c r="E398" i="20"/>
  <c r="U397" i="20"/>
  <c r="T397" i="20"/>
  <c r="S397" i="20"/>
  <c r="R397" i="20"/>
  <c r="Q397" i="20"/>
  <c r="O397" i="20"/>
  <c r="N397" i="20"/>
  <c r="M397" i="20"/>
  <c r="L397" i="20"/>
  <c r="K397" i="20"/>
  <c r="I397" i="20"/>
  <c r="H397" i="20"/>
  <c r="G397" i="20"/>
  <c r="F397" i="20"/>
  <c r="E397" i="20"/>
  <c r="U396" i="20"/>
  <c r="T396" i="20"/>
  <c r="S396" i="20"/>
  <c r="R396" i="20"/>
  <c r="Q396" i="20"/>
  <c r="O396" i="20"/>
  <c r="N396" i="20"/>
  <c r="M396" i="20"/>
  <c r="L396" i="20"/>
  <c r="K396" i="20"/>
  <c r="I396" i="20"/>
  <c r="H396" i="20"/>
  <c r="G396" i="20"/>
  <c r="F396" i="20"/>
  <c r="E396" i="20"/>
  <c r="U395" i="20"/>
  <c r="T395" i="20"/>
  <c r="S395" i="20"/>
  <c r="R395" i="20"/>
  <c r="Q395" i="20"/>
  <c r="O395" i="20"/>
  <c r="N395" i="20"/>
  <c r="M395" i="20"/>
  <c r="L395" i="20"/>
  <c r="K395" i="20"/>
  <c r="I395" i="20"/>
  <c r="H395" i="20"/>
  <c r="G395" i="20"/>
  <c r="F395" i="20"/>
  <c r="E395" i="20"/>
  <c r="U394" i="20"/>
  <c r="T394" i="20"/>
  <c r="S394" i="20"/>
  <c r="R394" i="20"/>
  <c r="Q394" i="20"/>
  <c r="O394" i="20"/>
  <c r="N394" i="20"/>
  <c r="M394" i="20"/>
  <c r="L394" i="20"/>
  <c r="K394" i="20"/>
  <c r="I394" i="20"/>
  <c r="H394" i="20"/>
  <c r="G394" i="20"/>
  <c r="F394" i="20"/>
  <c r="E394" i="20"/>
  <c r="U393" i="20"/>
  <c r="T393" i="20"/>
  <c r="S393" i="20"/>
  <c r="R393" i="20"/>
  <c r="Q393" i="20"/>
  <c r="O393" i="20"/>
  <c r="N393" i="20"/>
  <c r="M393" i="20"/>
  <c r="L393" i="20"/>
  <c r="K393" i="20"/>
  <c r="I393" i="20"/>
  <c r="H393" i="20"/>
  <c r="G393" i="20"/>
  <c r="F393" i="20"/>
  <c r="E393" i="20"/>
  <c r="U392" i="20"/>
  <c r="T392" i="20"/>
  <c r="S392" i="20"/>
  <c r="R392" i="20"/>
  <c r="Q392" i="20"/>
  <c r="O392" i="20"/>
  <c r="N392" i="20"/>
  <c r="M392" i="20"/>
  <c r="L392" i="20"/>
  <c r="K392" i="20"/>
  <c r="I392" i="20"/>
  <c r="H392" i="20"/>
  <c r="G392" i="20"/>
  <c r="F392" i="20"/>
  <c r="E392" i="20"/>
  <c r="U391" i="20"/>
  <c r="T391" i="20"/>
  <c r="S391" i="20"/>
  <c r="R391" i="20"/>
  <c r="Q391" i="20"/>
  <c r="O391" i="20"/>
  <c r="N391" i="20"/>
  <c r="M391" i="20"/>
  <c r="L391" i="20"/>
  <c r="K391" i="20"/>
  <c r="I391" i="20"/>
  <c r="H391" i="20"/>
  <c r="G391" i="20"/>
  <c r="F391" i="20"/>
  <c r="E391" i="20"/>
  <c r="U390" i="20"/>
  <c r="T390" i="20"/>
  <c r="S390" i="20"/>
  <c r="R390" i="20"/>
  <c r="Q390" i="20"/>
  <c r="O390" i="20"/>
  <c r="N390" i="20"/>
  <c r="M390" i="20"/>
  <c r="L390" i="20"/>
  <c r="K390" i="20"/>
  <c r="I390" i="20"/>
  <c r="H390" i="20"/>
  <c r="G390" i="20"/>
  <c r="F390" i="20"/>
  <c r="E390" i="20"/>
  <c r="U389" i="20"/>
  <c r="T389" i="20"/>
  <c r="S389" i="20"/>
  <c r="R389" i="20"/>
  <c r="Q389" i="20"/>
  <c r="O389" i="20"/>
  <c r="N389" i="20"/>
  <c r="M389" i="20"/>
  <c r="L389" i="20"/>
  <c r="K389" i="20"/>
  <c r="I389" i="20"/>
  <c r="H389" i="20"/>
  <c r="G389" i="20"/>
  <c r="F389" i="20"/>
  <c r="E389" i="20"/>
  <c r="U388" i="20"/>
  <c r="T388" i="20"/>
  <c r="S388" i="20"/>
  <c r="R388" i="20"/>
  <c r="Q388" i="20"/>
  <c r="O388" i="20"/>
  <c r="N388" i="20"/>
  <c r="M388" i="20"/>
  <c r="L388" i="20"/>
  <c r="K388" i="20"/>
  <c r="I388" i="20"/>
  <c r="H388" i="20"/>
  <c r="G388" i="20"/>
  <c r="F388" i="20"/>
  <c r="E388" i="20"/>
  <c r="U387" i="20"/>
  <c r="T387" i="20"/>
  <c r="S387" i="20"/>
  <c r="R387" i="20"/>
  <c r="Q387" i="20"/>
  <c r="O387" i="20"/>
  <c r="N387" i="20"/>
  <c r="M387" i="20"/>
  <c r="L387" i="20"/>
  <c r="K387" i="20"/>
  <c r="I387" i="20"/>
  <c r="H387" i="20"/>
  <c r="G387" i="20"/>
  <c r="F387" i="20"/>
  <c r="E387" i="20"/>
  <c r="U386" i="20"/>
  <c r="T386" i="20"/>
  <c r="S386" i="20"/>
  <c r="R386" i="20"/>
  <c r="Q386" i="20"/>
  <c r="O386" i="20"/>
  <c r="N386" i="20"/>
  <c r="M386" i="20"/>
  <c r="L386" i="20"/>
  <c r="K386" i="20"/>
  <c r="I386" i="20"/>
  <c r="H386" i="20"/>
  <c r="G386" i="20"/>
  <c r="F386" i="20"/>
  <c r="E386" i="20"/>
  <c r="U385" i="20"/>
  <c r="T385" i="20"/>
  <c r="S385" i="20"/>
  <c r="R385" i="20"/>
  <c r="Q385" i="20"/>
  <c r="O385" i="20"/>
  <c r="N385" i="20"/>
  <c r="M385" i="20"/>
  <c r="L385" i="20"/>
  <c r="K385" i="20"/>
  <c r="I385" i="20"/>
  <c r="H385" i="20"/>
  <c r="G385" i="20"/>
  <c r="F385" i="20"/>
  <c r="E385" i="20"/>
  <c r="U384" i="20"/>
  <c r="T384" i="20"/>
  <c r="S384" i="20"/>
  <c r="R384" i="20"/>
  <c r="Q384" i="20"/>
  <c r="O384" i="20"/>
  <c r="N384" i="20"/>
  <c r="M384" i="20"/>
  <c r="L384" i="20"/>
  <c r="K384" i="20"/>
  <c r="I384" i="20"/>
  <c r="H384" i="20"/>
  <c r="G384" i="20"/>
  <c r="F384" i="20"/>
  <c r="E384" i="20"/>
  <c r="U383" i="20"/>
  <c r="T383" i="20"/>
  <c r="S383" i="20"/>
  <c r="R383" i="20"/>
  <c r="Q383" i="20"/>
  <c r="O383" i="20"/>
  <c r="N383" i="20"/>
  <c r="M383" i="20"/>
  <c r="L383" i="20"/>
  <c r="K383" i="20"/>
  <c r="I383" i="20"/>
  <c r="H383" i="20"/>
  <c r="G383" i="20"/>
  <c r="F383" i="20"/>
  <c r="E383" i="20"/>
  <c r="U382" i="20"/>
  <c r="T382" i="20"/>
  <c r="S382" i="20"/>
  <c r="R382" i="20"/>
  <c r="Q382" i="20"/>
  <c r="O382" i="20"/>
  <c r="N382" i="20"/>
  <c r="M382" i="20"/>
  <c r="L382" i="20"/>
  <c r="K382" i="20"/>
  <c r="I382" i="20"/>
  <c r="H382" i="20"/>
  <c r="G382" i="20"/>
  <c r="F382" i="20"/>
  <c r="E382" i="20"/>
  <c r="U381" i="20"/>
  <c r="T381" i="20"/>
  <c r="S381" i="20"/>
  <c r="R381" i="20"/>
  <c r="Q381" i="20"/>
  <c r="O381" i="20"/>
  <c r="N381" i="20"/>
  <c r="M381" i="20"/>
  <c r="L381" i="20"/>
  <c r="K381" i="20"/>
  <c r="I381" i="20"/>
  <c r="H381" i="20"/>
  <c r="G381" i="20"/>
  <c r="F381" i="20"/>
  <c r="E381" i="20"/>
  <c r="U380" i="20"/>
  <c r="T380" i="20"/>
  <c r="S380" i="20"/>
  <c r="R380" i="20"/>
  <c r="Q380" i="20"/>
  <c r="O380" i="20"/>
  <c r="N380" i="20"/>
  <c r="M380" i="20"/>
  <c r="L380" i="20"/>
  <c r="K380" i="20"/>
  <c r="I380" i="20"/>
  <c r="H380" i="20"/>
  <c r="G380" i="20"/>
  <c r="F380" i="20"/>
  <c r="E380" i="20"/>
  <c r="U379" i="20"/>
  <c r="T379" i="20"/>
  <c r="S379" i="20"/>
  <c r="R379" i="20"/>
  <c r="Q379" i="20"/>
  <c r="O379" i="20"/>
  <c r="N379" i="20"/>
  <c r="M379" i="20"/>
  <c r="L379" i="20"/>
  <c r="K379" i="20"/>
  <c r="I379" i="20"/>
  <c r="H379" i="20"/>
  <c r="G379" i="20"/>
  <c r="F379" i="20"/>
  <c r="E379" i="20"/>
  <c r="U378" i="20"/>
  <c r="T378" i="20"/>
  <c r="S378" i="20"/>
  <c r="R378" i="20"/>
  <c r="Q378" i="20"/>
  <c r="O378" i="20"/>
  <c r="N378" i="20"/>
  <c r="M378" i="20"/>
  <c r="L378" i="20"/>
  <c r="K378" i="20"/>
  <c r="I378" i="20"/>
  <c r="H378" i="20"/>
  <c r="G378" i="20"/>
  <c r="F378" i="20"/>
  <c r="E378" i="20"/>
  <c r="U377" i="20"/>
  <c r="T377" i="20"/>
  <c r="S377" i="20"/>
  <c r="R377" i="20"/>
  <c r="Q377" i="20"/>
  <c r="O377" i="20"/>
  <c r="N377" i="20"/>
  <c r="M377" i="20"/>
  <c r="L377" i="20"/>
  <c r="K377" i="20"/>
  <c r="I377" i="20"/>
  <c r="H377" i="20"/>
  <c r="G377" i="20"/>
  <c r="F377" i="20"/>
  <c r="E377" i="20"/>
  <c r="U376" i="20"/>
  <c r="T376" i="20"/>
  <c r="S376" i="20"/>
  <c r="R376" i="20"/>
  <c r="Q376" i="20"/>
  <c r="O376" i="20"/>
  <c r="N376" i="20"/>
  <c r="M376" i="20"/>
  <c r="L376" i="20"/>
  <c r="K376" i="20"/>
  <c r="I376" i="20"/>
  <c r="H376" i="20"/>
  <c r="G376" i="20"/>
  <c r="F376" i="20"/>
  <c r="E376" i="20"/>
  <c r="U375" i="20"/>
  <c r="T375" i="20"/>
  <c r="S375" i="20"/>
  <c r="R375" i="20"/>
  <c r="Q375" i="20"/>
  <c r="O375" i="20"/>
  <c r="N375" i="20"/>
  <c r="M375" i="20"/>
  <c r="L375" i="20"/>
  <c r="K375" i="20"/>
  <c r="I375" i="20"/>
  <c r="H375" i="20"/>
  <c r="G375" i="20"/>
  <c r="F375" i="20"/>
  <c r="E375" i="20"/>
  <c r="U374" i="20"/>
  <c r="T374" i="20"/>
  <c r="S374" i="20"/>
  <c r="R374" i="20"/>
  <c r="Q374" i="20"/>
  <c r="O374" i="20"/>
  <c r="N374" i="20"/>
  <c r="M374" i="20"/>
  <c r="L374" i="20"/>
  <c r="K374" i="20"/>
  <c r="I374" i="20"/>
  <c r="H374" i="20"/>
  <c r="G374" i="20"/>
  <c r="F374" i="20"/>
  <c r="E374" i="20"/>
  <c r="U373" i="20"/>
  <c r="T373" i="20"/>
  <c r="S373" i="20"/>
  <c r="R373" i="20"/>
  <c r="Q373" i="20"/>
  <c r="O373" i="20"/>
  <c r="N373" i="20"/>
  <c r="M373" i="20"/>
  <c r="L373" i="20"/>
  <c r="K373" i="20"/>
  <c r="I373" i="20"/>
  <c r="H373" i="20"/>
  <c r="G373" i="20"/>
  <c r="F373" i="20"/>
  <c r="E373" i="20"/>
  <c r="U372" i="20"/>
  <c r="T372" i="20"/>
  <c r="S372" i="20"/>
  <c r="R372" i="20"/>
  <c r="Q372" i="20"/>
  <c r="O372" i="20"/>
  <c r="N372" i="20"/>
  <c r="M372" i="20"/>
  <c r="L372" i="20"/>
  <c r="K372" i="20"/>
  <c r="I372" i="20"/>
  <c r="H372" i="20"/>
  <c r="G372" i="20"/>
  <c r="F372" i="20"/>
  <c r="E372" i="20"/>
  <c r="U371" i="20"/>
  <c r="T371" i="20"/>
  <c r="S371" i="20"/>
  <c r="R371" i="20"/>
  <c r="Q371" i="20"/>
  <c r="O371" i="20"/>
  <c r="N371" i="20"/>
  <c r="M371" i="20"/>
  <c r="L371" i="20"/>
  <c r="K371" i="20"/>
  <c r="I371" i="20"/>
  <c r="H371" i="20"/>
  <c r="G371" i="20"/>
  <c r="F371" i="20"/>
  <c r="E371" i="20"/>
  <c r="U370" i="20"/>
  <c r="T370" i="20"/>
  <c r="S370" i="20"/>
  <c r="R370" i="20"/>
  <c r="Q370" i="20"/>
  <c r="O370" i="20"/>
  <c r="N370" i="20"/>
  <c r="M370" i="20"/>
  <c r="L370" i="20"/>
  <c r="K370" i="20"/>
  <c r="I370" i="20"/>
  <c r="H370" i="20"/>
  <c r="G370" i="20"/>
  <c r="F370" i="20"/>
  <c r="E370" i="20"/>
  <c r="U369" i="20"/>
  <c r="T369" i="20"/>
  <c r="S369" i="20"/>
  <c r="R369" i="20"/>
  <c r="Q369" i="20"/>
  <c r="O369" i="20"/>
  <c r="N369" i="20"/>
  <c r="M369" i="20"/>
  <c r="L369" i="20"/>
  <c r="K369" i="20"/>
  <c r="I369" i="20"/>
  <c r="H369" i="20"/>
  <c r="G369" i="20"/>
  <c r="F369" i="20"/>
  <c r="E369" i="20"/>
  <c r="U368" i="20"/>
  <c r="T368" i="20"/>
  <c r="S368" i="20"/>
  <c r="R368" i="20"/>
  <c r="Q368" i="20"/>
  <c r="O368" i="20"/>
  <c r="N368" i="20"/>
  <c r="M368" i="20"/>
  <c r="L368" i="20"/>
  <c r="K368" i="20"/>
  <c r="I368" i="20"/>
  <c r="H368" i="20"/>
  <c r="G368" i="20"/>
  <c r="F368" i="20"/>
  <c r="E368" i="20"/>
  <c r="U367" i="20"/>
  <c r="T367" i="20"/>
  <c r="S367" i="20"/>
  <c r="R367" i="20"/>
  <c r="Q367" i="20"/>
  <c r="O367" i="20"/>
  <c r="N367" i="20"/>
  <c r="M367" i="20"/>
  <c r="L367" i="20"/>
  <c r="K367" i="20"/>
  <c r="I367" i="20"/>
  <c r="H367" i="20"/>
  <c r="G367" i="20"/>
  <c r="F367" i="20"/>
  <c r="E367" i="20"/>
  <c r="U366" i="20"/>
  <c r="T366" i="20"/>
  <c r="S366" i="20"/>
  <c r="R366" i="20"/>
  <c r="Q366" i="20"/>
  <c r="O366" i="20"/>
  <c r="N366" i="20"/>
  <c r="M366" i="20"/>
  <c r="L366" i="20"/>
  <c r="K366" i="20"/>
  <c r="I366" i="20"/>
  <c r="H366" i="20"/>
  <c r="G366" i="20"/>
  <c r="F366" i="20"/>
  <c r="E366" i="20"/>
  <c r="U365" i="20"/>
  <c r="T365" i="20"/>
  <c r="S365" i="20"/>
  <c r="R365" i="20"/>
  <c r="Q365" i="20"/>
  <c r="O365" i="20"/>
  <c r="N365" i="20"/>
  <c r="M365" i="20"/>
  <c r="L365" i="20"/>
  <c r="K365" i="20"/>
  <c r="I365" i="20"/>
  <c r="H365" i="20"/>
  <c r="G365" i="20"/>
  <c r="F365" i="20"/>
  <c r="E365" i="20"/>
  <c r="U364" i="20"/>
  <c r="T364" i="20"/>
  <c r="S364" i="20"/>
  <c r="R364" i="20"/>
  <c r="Q364" i="20"/>
  <c r="O364" i="20"/>
  <c r="N364" i="20"/>
  <c r="M364" i="20"/>
  <c r="L364" i="20"/>
  <c r="K364" i="20"/>
  <c r="I364" i="20"/>
  <c r="H364" i="20"/>
  <c r="G364" i="20"/>
  <c r="F364" i="20"/>
  <c r="E364" i="20"/>
  <c r="U363" i="20"/>
  <c r="T363" i="20"/>
  <c r="S363" i="20"/>
  <c r="R363" i="20"/>
  <c r="Q363" i="20"/>
  <c r="O363" i="20"/>
  <c r="N363" i="20"/>
  <c r="M363" i="20"/>
  <c r="L363" i="20"/>
  <c r="K363" i="20"/>
  <c r="I363" i="20"/>
  <c r="H363" i="20"/>
  <c r="G363" i="20"/>
  <c r="F363" i="20"/>
  <c r="E363" i="20"/>
  <c r="U362" i="20"/>
  <c r="T362" i="20"/>
  <c r="S362" i="20"/>
  <c r="R362" i="20"/>
  <c r="Q362" i="20"/>
  <c r="O362" i="20"/>
  <c r="N362" i="20"/>
  <c r="M362" i="20"/>
  <c r="L362" i="20"/>
  <c r="K362" i="20"/>
  <c r="I362" i="20"/>
  <c r="H362" i="20"/>
  <c r="G362" i="20"/>
  <c r="F362" i="20"/>
  <c r="E362" i="20"/>
  <c r="U361" i="20"/>
  <c r="T361" i="20"/>
  <c r="S361" i="20"/>
  <c r="R361" i="20"/>
  <c r="Q361" i="20"/>
  <c r="O361" i="20"/>
  <c r="N361" i="20"/>
  <c r="M361" i="20"/>
  <c r="L361" i="20"/>
  <c r="K361" i="20"/>
  <c r="I361" i="20"/>
  <c r="H361" i="20"/>
  <c r="G361" i="20"/>
  <c r="F361" i="20"/>
  <c r="E361" i="20"/>
  <c r="U360" i="20"/>
  <c r="T360" i="20"/>
  <c r="S360" i="20"/>
  <c r="R360" i="20"/>
  <c r="Q360" i="20"/>
  <c r="O360" i="20"/>
  <c r="N360" i="20"/>
  <c r="M360" i="20"/>
  <c r="L360" i="20"/>
  <c r="K360" i="20"/>
  <c r="I360" i="20"/>
  <c r="H360" i="20"/>
  <c r="G360" i="20"/>
  <c r="F360" i="20"/>
  <c r="E360" i="20"/>
  <c r="U359" i="20"/>
  <c r="T359" i="20"/>
  <c r="S359" i="20"/>
  <c r="R359" i="20"/>
  <c r="Q359" i="20"/>
  <c r="O359" i="20"/>
  <c r="N359" i="20"/>
  <c r="M359" i="20"/>
  <c r="L359" i="20"/>
  <c r="K359" i="20"/>
  <c r="I359" i="20"/>
  <c r="H359" i="20"/>
  <c r="G359" i="20"/>
  <c r="F359" i="20"/>
  <c r="E359" i="20"/>
  <c r="U358" i="20"/>
  <c r="T358" i="20"/>
  <c r="S358" i="20"/>
  <c r="R358" i="20"/>
  <c r="Q358" i="20"/>
  <c r="O358" i="20"/>
  <c r="N358" i="20"/>
  <c r="M358" i="20"/>
  <c r="L358" i="20"/>
  <c r="K358" i="20"/>
  <c r="I358" i="20"/>
  <c r="H358" i="20"/>
  <c r="G358" i="20"/>
  <c r="F358" i="20"/>
  <c r="E358" i="20"/>
  <c r="U357" i="20"/>
  <c r="T357" i="20"/>
  <c r="S357" i="20"/>
  <c r="R357" i="20"/>
  <c r="Q357" i="20"/>
  <c r="O357" i="20"/>
  <c r="N357" i="20"/>
  <c r="M357" i="20"/>
  <c r="L357" i="20"/>
  <c r="K357" i="20"/>
  <c r="I357" i="20"/>
  <c r="H357" i="20"/>
  <c r="G357" i="20"/>
  <c r="F357" i="20"/>
  <c r="E357" i="20"/>
  <c r="U356" i="20"/>
  <c r="T356" i="20"/>
  <c r="S356" i="20"/>
  <c r="R356" i="20"/>
  <c r="Q356" i="20"/>
  <c r="O356" i="20"/>
  <c r="N356" i="20"/>
  <c r="M356" i="20"/>
  <c r="L356" i="20"/>
  <c r="K356" i="20"/>
  <c r="I356" i="20"/>
  <c r="H356" i="20"/>
  <c r="G356" i="20"/>
  <c r="F356" i="20"/>
  <c r="E356" i="20"/>
  <c r="U355" i="20"/>
  <c r="T355" i="20"/>
  <c r="S355" i="20"/>
  <c r="R355" i="20"/>
  <c r="Q355" i="20"/>
  <c r="O355" i="20"/>
  <c r="N355" i="20"/>
  <c r="M355" i="20"/>
  <c r="L355" i="20"/>
  <c r="K355" i="20"/>
  <c r="I355" i="20"/>
  <c r="H355" i="20"/>
  <c r="G355" i="20"/>
  <c r="F355" i="20"/>
  <c r="E355" i="20"/>
  <c r="U354" i="20"/>
  <c r="T354" i="20"/>
  <c r="S354" i="20"/>
  <c r="R354" i="20"/>
  <c r="Q354" i="20"/>
  <c r="O354" i="20"/>
  <c r="N354" i="20"/>
  <c r="M354" i="20"/>
  <c r="L354" i="20"/>
  <c r="K354" i="20"/>
  <c r="I354" i="20"/>
  <c r="H354" i="20"/>
  <c r="G354" i="20"/>
  <c r="F354" i="20"/>
  <c r="E354" i="20"/>
  <c r="U353" i="20"/>
  <c r="T353" i="20"/>
  <c r="S353" i="20"/>
  <c r="R353" i="20"/>
  <c r="Q353" i="20"/>
  <c r="O353" i="20"/>
  <c r="N353" i="20"/>
  <c r="M353" i="20"/>
  <c r="L353" i="20"/>
  <c r="K353" i="20"/>
  <c r="I353" i="20"/>
  <c r="H353" i="20"/>
  <c r="G353" i="20"/>
  <c r="F353" i="20"/>
  <c r="E353" i="20"/>
  <c r="U352" i="20"/>
  <c r="T352" i="20"/>
  <c r="S352" i="20"/>
  <c r="R352" i="20"/>
  <c r="Q352" i="20"/>
  <c r="O352" i="20"/>
  <c r="N352" i="20"/>
  <c r="M352" i="20"/>
  <c r="L352" i="20"/>
  <c r="K352" i="20"/>
  <c r="I352" i="20"/>
  <c r="H352" i="20"/>
  <c r="G352" i="20"/>
  <c r="F352" i="20"/>
  <c r="E352" i="20"/>
  <c r="U351" i="20"/>
  <c r="T351" i="20"/>
  <c r="S351" i="20"/>
  <c r="R351" i="20"/>
  <c r="Q351" i="20"/>
  <c r="O351" i="20"/>
  <c r="N351" i="20"/>
  <c r="M351" i="20"/>
  <c r="L351" i="20"/>
  <c r="K351" i="20"/>
  <c r="I351" i="20"/>
  <c r="H351" i="20"/>
  <c r="G351" i="20"/>
  <c r="F351" i="20"/>
  <c r="E351" i="20"/>
  <c r="U350" i="20"/>
  <c r="T350" i="20"/>
  <c r="S350" i="20"/>
  <c r="R350" i="20"/>
  <c r="Q350" i="20"/>
  <c r="O350" i="20"/>
  <c r="N350" i="20"/>
  <c r="M350" i="20"/>
  <c r="L350" i="20"/>
  <c r="K350" i="20"/>
  <c r="I350" i="20"/>
  <c r="H350" i="20"/>
  <c r="G350" i="20"/>
  <c r="F350" i="20"/>
  <c r="E350" i="20"/>
  <c r="U349" i="20"/>
  <c r="T349" i="20"/>
  <c r="S349" i="20"/>
  <c r="R349" i="20"/>
  <c r="Q349" i="20"/>
  <c r="O349" i="20"/>
  <c r="N349" i="20"/>
  <c r="M349" i="20"/>
  <c r="L349" i="20"/>
  <c r="K349" i="20"/>
  <c r="I349" i="20"/>
  <c r="H349" i="20"/>
  <c r="G349" i="20"/>
  <c r="F349" i="20"/>
  <c r="E349" i="20"/>
  <c r="U348" i="20"/>
  <c r="T348" i="20"/>
  <c r="S348" i="20"/>
  <c r="R348" i="20"/>
  <c r="Q348" i="20"/>
  <c r="O348" i="20"/>
  <c r="N348" i="20"/>
  <c r="M348" i="20"/>
  <c r="L348" i="20"/>
  <c r="K348" i="20"/>
  <c r="I348" i="20"/>
  <c r="H348" i="20"/>
  <c r="G348" i="20"/>
  <c r="F348" i="20"/>
  <c r="E348" i="20"/>
  <c r="U347" i="20"/>
  <c r="T347" i="20"/>
  <c r="S347" i="20"/>
  <c r="R347" i="20"/>
  <c r="Q347" i="20"/>
  <c r="O347" i="20"/>
  <c r="N347" i="20"/>
  <c r="M347" i="20"/>
  <c r="L347" i="20"/>
  <c r="K347" i="20"/>
  <c r="I347" i="20"/>
  <c r="H347" i="20"/>
  <c r="G347" i="20"/>
  <c r="F347" i="20"/>
  <c r="E347" i="20"/>
  <c r="U346" i="20"/>
  <c r="T346" i="20"/>
  <c r="S346" i="20"/>
  <c r="R346" i="20"/>
  <c r="Q346" i="20"/>
  <c r="O346" i="20"/>
  <c r="N346" i="20"/>
  <c r="M346" i="20"/>
  <c r="L346" i="20"/>
  <c r="K346" i="20"/>
  <c r="I346" i="20"/>
  <c r="H346" i="20"/>
  <c r="G346" i="20"/>
  <c r="F346" i="20"/>
  <c r="E346" i="20"/>
  <c r="U345" i="20"/>
  <c r="T345" i="20"/>
  <c r="S345" i="20"/>
  <c r="R345" i="20"/>
  <c r="Q345" i="20"/>
  <c r="O345" i="20"/>
  <c r="N345" i="20"/>
  <c r="M345" i="20"/>
  <c r="L345" i="20"/>
  <c r="K345" i="20"/>
  <c r="I345" i="20"/>
  <c r="H345" i="20"/>
  <c r="G345" i="20"/>
  <c r="F345" i="20"/>
  <c r="E345" i="20"/>
  <c r="U344" i="20"/>
  <c r="T344" i="20"/>
  <c r="S344" i="20"/>
  <c r="R344" i="20"/>
  <c r="Q344" i="20"/>
  <c r="O344" i="20"/>
  <c r="N344" i="20"/>
  <c r="M344" i="20"/>
  <c r="L344" i="20"/>
  <c r="K344" i="20"/>
  <c r="I344" i="20"/>
  <c r="H344" i="20"/>
  <c r="G344" i="20"/>
  <c r="F344" i="20"/>
  <c r="E344" i="20"/>
  <c r="U343" i="20"/>
  <c r="T343" i="20"/>
  <c r="S343" i="20"/>
  <c r="R343" i="20"/>
  <c r="Q343" i="20"/>
  <c r="O343" i="20"/>
  <c r="N343" i="20"/>
  <c r="M343" i="20"/>
  <c r="L343" i="20"/>
  <c r="K343" i="20"/>
  <c r="I343" i="20"/>
  <c r="H343" i="20"/>
  <c r="G343" i="20"/>
  <c r="F343" i="20"/>
  <c r="E343" i="20"/>
  <c r="U342" i="20"/>
  <c r="T342" i="20"/>
  <c r="S342" i="20"/>
  <c r="R342" i="20"/>
  <c r="Q342" i="20"/>
  <c r="O342" i="20"/>
  <c r="N342" i="20"/>
  <c r="M342" i="20"/>
  <c r="L342" i="20"/>
  <c r="K342" i="20"/>
  <c r="I342" i="20"/>
  <c r="H342" i="20"/>
  <c r="G342" i="20"/>
  <c r="F342" i="20"/>
  <c r="E342" i="20"/>
  <c r="U341" i="20"/>
  <c r="T341" i="20"/>
  <c r="S341" i="20"/>
  <c r="R341" i="20"/>
  <c r="Q341" i="20"/>
  <c r="O341" i="20"/>
  <c r="N341" i="20"/>
  <c r="M341" i="20"/>
  <c r="L341" i="20"/>
  <c r="K341" i="20"/>
  <c r="I341" i="20"/>
  <c r="H341" i="20"/>
  <c r="G341" i="20"/>
  <c r="F341" i="20"/>
  <c r="E341" i="20"/>
  <c r="U340" i="20"/>
  <c r="T340" i="20"/>
  <c r="S340" i="20"/>
  <c r="R340" i="20"/>
  <c r="Q340" i="20"/>
  <c r="O340" i="20"/>
  <c r="N340" i="20"/>
  <c r="M340" i="20"/>
  <c r="L340" i="20"/>
  <c r="K340" i="20"/>
  <c r="I340" i="20"/>
  <c r="H340" i="20"/>
  <c r="G340" i="20"/>
  <c r="F340" i="20"/>
  <c r="E340" i="20"/>
  <c r="U339" i="20"/>
  <c r="T339" i="20"/>
  <c r="S339" i="20"/>
  <c r="R339" i="20"/>
  <c r="Q339" i="20"/>
  <c r="O339" i="20"/>
  <c r="N339" i="20"/>
  <c r="M339" i="20"/>
  <c r="L339" i="20"/>
  <c r="K339" i="20"/>
  <c r="I339" i="20"/>
  <c r="H339" i="20"/>
  <c r="G339" i="20"/>
  <c r="F339" i="20"/>
  <c r="E339" i="20"/>
  <c r="U338" i="20"/>
  <c r="T338" i="20"/>
  <c r="S338" i="20"/>
  <c r="R338" i="20"/>
  <c r="Q338" i="20"/>
  <c r="O338" i="20"/>
  <c r="N338" i="20"/>
  <c r="M338" i="20"/>
  <c r="L338" i="20"/>
  <c r="K338" i="20"/>
  <c r="I338" i="20"/>
  <c r="H338" i="20"/>
  <c r="G338" i="20"/>
  <c r="F338" i="20"/>
  <c r="E338" i="20"/>
  <c r="U337" i="20"/>
  <c r="T337" i="20"/>
  <c r="S337" i="20"/>
  <c r="R337" i="20"/>
  <c r="Q337" i="20"/>
  <c r="O337" i="20"/>
  <c r="N337" i="20"/>
  <c r="M337" i="20"/>
  <c r="L337" i="20"/>
  <c r="K337" i="20"/>
  <c r="I337" i="20"/>
  <c r="H337" i="20"/>
  <c r="G337" i="20"/>
  <c r="F337" i="20"/>
  <c r="E337" i="20"/>
  <c r="U336" i="20"/>
  <c r="T336" i="20"/>
  <c r="S336" i="20"/>
  <c r="R336" i="20"/>
  <c r="Q336" i="20"/>
  <c r="O336" i="20"/>
  <c r="N336" i="20"/>
  <c r="M336" i="20"/>
  <c r="L336" i="20"/>
  <c r="K336" i="20"/>
  <c r="I336" i="20"/>
  <c r="H336" i="20"/>
  <c r="G336" i="20"/>
  <c r="F336" i="20"/>
  <c r="E336" i="20"/>
  <c r="U335" i="20"/>
  <c r="T335" i="20"/>
  <c r="S335" i="20"/>
  <c r="R335" i="20"/>
  <c r="Q335" i="20"/>
  <c r="O335" i="20"/>
  <c r="N335" i="20"/>
  <c r="M335" i="20"/>
  <c r="L335" i="20"/>
  <c r="K335" i="20"/>
  <c r="I335" i="20"/>
  <c r="H335" i="20"/>
  <c r="G335" i="20"/>
  <c r="F335" i="20"/>
  <c r="E335" i="20"/>
  <c r="U334" i="20"/>
  <c r="T334" i="20"/>
  <c r="S334" i="20"/>
  <c r="R334" i="20"/>
  <c r="Q334" i="20"/>
  <c r="O334" i="20"/>
  <c r="N334" i="20"/>
  <c r="M334" i="20"/>
  <c r="L334" i="20"/>
  <c r="K334" i="20"/>
  <c r="I334" i="20"/>
  <c r="H334" i="20"/>
  <c r="G334" i="20"/>
  <c r="F334" i="20"/>
  <c r="E334" i="20"/>
  <c r="U333" i="20"/>
  <c r="T333" i="20"/>
  <c r="S333" i="20"/>
  <c r="R333" i="20"/>
  <c r="Q333" i="20"/>
  <c r="O333" i="20"/>
  <c r="N333" i="20"/>
  <c r="M333" i="20"/>
  <c r="L333" i="20"/>
  <c r="K333" i="20"/>
  <c r="I333" i="20"/>
  <c r="H333" i="20"/>
  <c r="G333" i="20"/>
  <c r="F333" i="20"/>
  <c r="E333" i="20"/>
  <c r="U332" i="20"/>
  <c r="T332" i="20"/>
  <c r="S332" i="20"/>
  <c r="R332" i="20"/>
  <c r="Q332" i="20"/>
  <c r="O332" i="20"/>
  <c r="N332" i="20"/>
  <c r="M332" i="20"/>
  <c r="L332" i="20"/>
  <c r="K332" i="20"/>
  <c r="I332" i="20"/>
  <c r="H332" i="20"/>
  <c r="G332" i="20"/>
  <c r="F332" i="20"/>
  <c r="E332" i="20"/>
  <c r="U331" i="20"/>
  <c r="T331" i="20"/>
  <c r="S331" i="20"/>
  <c r="R331" i="20"/>
  <c r="Q331" i="20"/>
  <c r="O331" i="20"/>
  <c r="N331" i="20"/>
  <c r="M331" i="20"/>
  <c r="L331" i="20"/>
  <c r="K331" i="20"/>
  <c r="I331" i="20"/>
  <c r="H331" i="20"/>
  <c r="G331" i="20"/>
  <c r="F331" i="20"/>
  <c r="E331" i="20"/>
  <c r="U330" i="20"/>
  <c r="T330" i="20"/>
  <c r="S330" i="20"/>
  <c r="R330" i="20"/>
  <c r="Q330" i="20"/>
  <c r="O330" i="20"/>
  <c r="N330" i="20"/>
  <c r="M330" i="20"/>
  <c r="L330" i="20"/>
  <c r="K330" i="20"/>
  <c r="I330" i="20"/>
  <c r="H330" i="20"/>
  <c r="G330" i="20"/>
  <c r="F330" i="20"/>
  <c r="E330" i="20"/>
  <c r="U329" i="20"/>
  <c r="T329" i="20"/>
  <c r="S329" i="20"/>
  <c r="R329" i="20"/>
  <c r="Q329" i="20"/>
  <c r="O329" i="20"/>
  <c r="N329" i="20"/>
  <c r="M329" i="20"/>
  <c r="L329" i="20"/>
  <c r="K329" i="20"/>
  <c r="I329" i="20"/>
  <c r="H329" i="20"/>
  <c r="G329" i="20"/>
  <c r="F329" i="20"/>
  <c r="E329" i="20"/>
  <c r="U328" i="20"/>
  <c r="T328" i="20"/>
  <c r="S328" i="20"/>
  <c r="R328" i="20"/>
  <c r="Q328" i="20"/>
  <c r="O328" i="20"/>
  <c r="N328" i="20"/>
  <c r="M328" i="20"/>
  <c r="L328" i="20"/>
  <c r="K328" i="20"/>
  <c r="I328" i="20"/>
  <c r="H328" i="20"/>
  <c r="G328" i="20"/>
  <c r="F328" i="20"/>
  <c r="E328" i="20"/>
  <c r="U327" i="20"/>
  <c r="T327" i="20"/>
  <c r="S327" i="20"/>
  <c r="R327" i="20"/>
  <c r="Q327" i="20"/>
  <c r="O327" i="20"/>
  <c r="N327" i="20"/>
  <c r="M327" i="20"/>
  <c r="L327" i="20"/>
  <c r="K327" i="20"/>
  <c r="I327" i="20"/>
  <c r="H327" i="20"/>
  <c r="G327" i="20"/>
  <c r="F327" i="20"/>
  <c r="E327" i="20"/>
  <c r="U326" i="20"/>
  <c r="T326" i="20"/>
  <c r="S326" i="20"/>
  <c r="R326" i="20"/>
  <c r="Q326" i="20"/>
  <c r="O326" i="20"/>
  <c r="N326" i="20"/>
  <c r="M326" i="20"/>
  <c r="L326" i="20"/>
  <c r="K326" i="20"/>
  <c r="I326" i="20"/>
  <c r="H326" i="20"/>
  <c r="G326" i="20"/>
  <c r="F326" i="20"/>
  <c r="E326" i="20"/>
  <c r="U325" i="20"/>
  <c r="T325" i="20"/>
  <c r="S325" i="20"/>
  <c r="R325" i="20"/>
  <c r="Q325" i="20"/>
  <c r="O325" i="20"/>
  <c r="N325" i="20"/>
  <c r="M325" i="20"/>
  <c r="L325" i="20"/>
  <c r="K325" i="20"/>
  <c r="I325" i="20"/>
  <c r="H325" i="20"/>
  <c r="G325" i="20"/>
  <c r="F325" i="20"/>
  <c r="E325" i="20"/>
  <c r="U324" i="20"/>
  <c r="T324" i="20"/>
  <c r="S324" i="20"/>
  <c r="R324" i="20"/>
  <c r="Q324" i="20"/>
  <c r="O324" i="20"/>
  <c r="N324" i="20"/>
  <c r="M324" i="20"/>
  <c r="L324" i="20"/>
  <c r="K324" i="20"/>
  <c r="I324" i="20"/>
  <c r="H324" i="20"/>
  <c r="G324" i="20"/>
  <c r="F324" i="20"/>
  <c r="E324" i="20"/>
  <c r="U323" i="20"/>
  <c r="T323" i="20"/>
  <c r="S323" i="20"/>
  <c r="R323" i="20"/>
  <c r="Q323" i="20"/>
  <c r="O323" i="20"/>
  <c r="N323" i="20"/>
  <c r="M323" i="20"/>
  <c r="L323" i="20"/>
  <c r="K323" i="20"/>
  <c r="I323" i="20"/>
  <c r="H323" i="20"/>
  <c r="G323" i="20"/>
  <c r="F323" i="20"/>
  <c r="E323" i="20"/>
  <c r="U322" i="20"/>
  <c r="T322" i="20"/>
  <c r="S322" i="20"/>
  <c r="R322" i="20"/>
  <c r="Q322" i="20"/>
  <c r="O322" i="20"/>
  <c r="N322" i="20"/>
  <c r="M322" i="20"/>
  <c r="L322" i="20"/>
  <c r="K322" i="20"/>
  <c r="I322" i="20"/>
  <c r="H322" i="20"/>
  <c r="G322" i="20"/>
  <c r="F322" i="20"/>
  <c r="E322" i="20"/>
  <c r="U321" i="20"/>
  <c r="T321" i="20"/>
  <c r="S321" i="20"/>
  <c r="R321" i="20"/>
  <c r="Q321" i="20"/>
  <c r="O321" i="20"/>
  <c r="N321" i="20"/>
  <c r="M321" i="20"/>
  <c r="L321" i="20"/>
  <c r="K321" i="20"/>
  <c r="I321" i="20"/>
  <c r="H321" i="20"/>
  <c r="G321" i="20"/>
  <c r="F321" i="20"/>
  <c r="E321" i="20"/>
  <c r="U320" i="20"/>
  <c r="T320" i="20"/>
  <c r="S320" i="20"/>
  <c r="R320" i="20"/>
  <c r="Q320" i="20"/>
  <c r="O320" i="20"/>
  <c r="N320" i="20"/>
  <c r="M320" i="20"/>
  <c r="L320" i="20"/>
  <c r="K320" i="20"/>
  <c r="I320" i="20"/>
  <c r="H320" i="20"/>
  <c r="G320" i="20"/>
  <c r="F320" i="20"/>
  <c r="E320" i="20"/>
  <c r="U319" i="20"/>
  <c r="T319" i="20"/>
  <c r="S319" i="20"/>
  <c r="R319" i="20"/>
  <c r="Q319" i="20"/>
  <c r="O319" i="20"/>
  <c r="N319" i="20"/>
  <c r="M319" i="20"/>
  <c r="L319" i="20"/>
  <c r="K319" i="20"/>
  <c r="I319" i="20"/>
  <c r="H319" i="20"/>
  <c r="G319" i="20"/>
  <c r="F319" i="20"/>
  <c r="E319" i="20"/>
  <c r="U318" i="20"/>
  <c r="T318" i="20"/>
  <c r="S318" i="20"/>
  <c r="R318" i="20"/>
  <c r="Q318" i="20"/>
  <c r="O318" i="20"/>
  <c r="N318" i="20"/>
  <c r="M318" i="20"/>
  <c r="L318" i="20"/>
  <c r="K318" i="20"/>
  <c r="I318" i="20"/>
  <c r="H318" i="20"/>
  <c r="G318" i="20"/>
  <c r="F318" i="20"/>
  <c r="E318" i="20"/>
  <c r="U317" i="20"/>
  <c r="T317" i="20"/>
  <c r="S317" i="20"/>
  <c r="R317" i="20"/>
  <c r="Q317" i="20"/>
  <c r="O317" i="20"/>
  <c r="N317" i="20"/>
  <c r="M317" i="20"/>
  <c r="L317" i="20"/>
  <c r="K317" i="20"/>
  <c r="I317" i="20"/>
  <c r="H317" i="20"/>
  <c r="G317" i="20"/>
  <c r="F317" i="20"/>
  <c r="E317" i="20"/>
  <c r="U316" i="20"/>
  <c r="T316" i="20"/>
  <c r="S316" i="20"/>
  <c r="R316" i="20"/>
  <c r="Q316" i="20"/>
  <c r="O316" i="20"/>
  <c r="N316" i="20"/>
  <c r="M316" i="20"/>
  <c r="L316" i="20"/>
  <c r="K316" i="20"/>
  <c r="I316" i="20"/>
  <c r="H316" i="20"/>
  <c r="G316" i="20"/>
  <c r="F316" i="20"/>
  <c r="E316" i="20"/>
  <c r="U315" i="20"/>
  <c r="T315" i="20"/>
  <c r="S315" i="20"/>
  <c r="R315" i="20"/>
  <c r="Q315" i="20"/>
  <c r="O315" i="20"/>
  <c r="N315" i="20"/>
  <c r="M315" i="20"/>
  <c r="L315" i="20"/>
  <c r="K315" i="20"/>
  <c r="I315" i="20"/>
  <c r="H315" i="20"/>
  <c r="G315" i="20"/>
  <c r="F315" i="20"/>
  <c r="E315" i="20"/>
  <c r="U314" i="20"/>
  <c r="T314" i="20"/>
  <c r="S314" i="20"/>
  <c r="R314" i="20"/>
  <c r="Q314" i="20"/>
  <c r="O314" i="20"/>
  <c r="N314" i="20"/>
  <c r="M314" i="20"/>
  <c r="L314" i="20"/>
  <c r="K314" i="20"/>
  <c r="I314" i="20"/>
  <c r="H314" i="20"/>
  <c r="G314" i="20"/>
  <c r="F314" i="20"/>
  <c r="E314" i="20"/>
  <c r="U313" i="20"/>
  <c r="T313" i="20"/>
  <c r="S313" i="20"/>
  <c r="R313" i="20"/>
  <c r="Q313" i="20"/>
  <c r="O313" i="20"/>
  <c r="N313" i="20"/>
  <c r="M313" i="20"/>
  <c r="L313" i="20"/>
  <c r="K313" i="20"/>
  <c r="I313" i="20"/>
  <c r="H313" i="20"/>
  <c r="G313" i="20"/>
  <c r="F313" i="20"/>
  <c r="E313" i="20"/>
  <c r="U312" i="20"/>
  <c r="T312" i="20"/>
  <c r="S312" i="20"/>
  <c r="R312" i="20"/>
  <c r="Q312" i="20"/>
  <c r="O312" i="20"/>
  <c r="N312" i="20"/>
  <c r="M312" i="20"/>
  <c r="L312" i="20"/>
  <c r="K312" i="20"/>
  <c r="I312" i="20"/>
  <c r="H312" i="20"/>
  <c r="G312" i="20"/>
  <c r="F312" i="20"/>
  <c r="E312" i="20"/>
  <c r="U311" i="20"/>
  <c r="T311" i="20"/>
  <c r="S311" i="20"/>
  <c r="R311" i="20"/>
  <c r="Q311" i="20"/>
  <c r="O311" i="20"/>
  <c r="N311" i="20"/>
  <c r="M311" i="20"/>
  <c r="L311" i="20"/>
  <c r="K311" i="20"/>
  <c r="I311" i="20"/>
  <c r="H311" i="20"/>
  <c r="G311" i="20"/>
  <c r="F311" i="20"/>
  <c r="E311" i="20"/>
  <c r="U310" i="20"/>
  <c r="T310" i="20"/>
  <c r="S310" i="20"/>
  <c r="R310" i="20"/>
  <c r="Q310" i="20"/>
  <c r="O310" i="20"/>
  <c r="N310" i="20"/>
  <c r="M310" i="20"/>
  <c r="L310" i="20"/>
  <c r="K310" i="20"/>
  <c r="I310" i="20"/>
  <c r="H310" i="20"/>
  <c r="G310" i="20"/>
  <c r="F310" i="20"/>
  <c r="E310" i="20"/>
  <c r="U309" i="20"/>
  <c r="T309" i="20"/>
  <c r="S309" i="20"/>
  <c r="R309" i="20"/>
  <c r="Q309" i="20"/>
  <c r="O309" i="20"/>
  <c r="N309" i="20"/>
  <c r="M309" i="20"/>
  <c r="L309" i="20"/>
  <c r="K309" i="20"/>
  <c r="I309" i="20"/>
  <c r="H309" i="20"/>
  <c r="G309" i="20"/>
  <c r="F309" i="20"/>
  <c r="E309" i="20"/>
  <c r="U308" i="20"/>
  <c r="T308" i="20"/>
  <c r="S308" i="20"/>
  <c r="R308" i="20"/>
  <c r="Q308" i="20"/>
  <c r="O308" i="20"/>
  <c r="N308" i="20"/>
  <c r="M308" i="20"/>
  <c r="L308" i="20"/>
  <c r="K308" i="20"/>
  <c r="I308" i="20"/>
  <c r="H308" i="20"/>
  <c r="G308" i="20"/>
  <c r="F308" i="20"/>
  <c r="E308" i="20"/>
  <c r="U307" i="20"/>
  <c r="T307" i="20"/>
  <c r="S307" i="20"/>
  <c r="R307" i="20"/>
  <c r="Q307" i="20"/>
  <c r="O307" i="20"/>
  <c r="N307" i="20"/>
  <c r="M307" i="20"/>
  <c r="L307" i="20"/>
  <c r="K307" i="20"/>
  <c r="I307" i="20"/>
  <c r="H307" i="20"/>
  <c r="G307" i="20"/>
  <c r="F307" i="20"/>
  <c r="E307" i="20"/>
  <c r="U306" i="20"/>
  <c r="T306" i="20"/>
  <c r="S306" i="20"/>
  <c r="R306" i="20"/>
  <c r="Q306" i="20"/>
  <c r="O306" i="20"/>
  <c r="N306" i="20"/>
  <c r="M306" i="20"/>
  <c r="L306" i="20"/>
  <c r="K306" i="20"/>
  <c r="I306" i="20"/>
  <c r="H306" i="20"/>
  <c r="G306" i="20"/>
  <c r="F306" i="20"/>
  <c r="E306" i="20"/>
  <c r="U305" i="20"/>
  <c r="T305" i="20"/>
  <c r="S305" i="20"/>
  <c r="R305" i="20"/>
  <c r="Q305" i="20"/>
  <c r="O305" i="20"/>
  <c r="N305" i="20"/>
  <c r="M305" i="20"/>
  <c r="L305" i="20"/>
  <c r="K305" i="20"/>
  <c r="I305" i="20"/>
  <c r="H305" i="20"/>
  <c r="G305" i="20"/>
  <c r="F305" i="20"/>
  <c r="E305" i="20"/>
  <c r="U304" i="20"/>
  <c r="T304" i="20"/>
  <c r="S304" i="20"/>
  <c r="R304" i="20"/>
  <c r="Q304" i="20"/>
  <c r="O304" i="20"/>
  <c r="N304" i="20"/>
  <c r="M304" i="20"/>
  <c r="L304" i="20"/>
  <c r="K304" i="20"/>
  <c r="I304" i="20"/>
  <c r="H304" i="20"/>
  <c r="G304" i="20"/>
  <c r="F304" i="20"/>
  <c r="E304" i="20"/>
  <c r="U303" i="20"/>
  <c r="T303" i="20"/>
  <c r="S303" i="20"/>
  <c r="R303" i="20"/>
  <c r="Q303" i="20"/>
  <c r="O303" i="20"/>
  <c r="N303" i="20"/>
  <c r="M303" i="20"/>
  <c r="L303" i="20"/>
  <c r="K303" i="20"/>
  <c r="I303" i="20"/>
  <c r="H303" i="20"/>
  <c r="G303" i="20"/>
  <c r="F303" i="20"/>
  <c r="E303" i="20"/>
  <c r="U302" i="20"/>
  <c r="T302" i="20"/>
  <c r="S302" i="20"/>
  <c r="R302" i="20"/>
  <c r="Q302" i="20"/>
  <c r="O302" i="20"/>
  <c r="N302" i="20"/>
  <c r="M302" i="20"/>
  <c r="L302" i="20"/>
  <c r="K302" i="20"/>
  <c r="I302" i="20"/>
  <c r="H302" i="20"/>
  <c r="G302" i="20"/>
  <c r="F302" i="20"/>
  <c r="E302" i="20"/>
  <c r="U301" i="20"/>
  <c r="T301" i="20"/>
  <c r="S301" i="20"/>
  <c r="R301" i="20"/>
  <c r="Q301" i="20"/>
  <c r="O301" i="20"/>
  <c r="N301" i="20"/>
  <c r="M301" i="20"/>
  <c r="L301" i="20"/>
  <c r="K301" i="20"/>
  <c r="I301" i="20"/>
  <c r="H301" i="20"/>
  <c r="G301" i="20"/>
  <c r="F301" i="20"/>
  <c r="E301" i="20"/>
  <c r="U300" i="20"/>
  <c r="T300" i="20"/>
  <c r="S300" i="20"/>
  <c r="R300" i="20"/>
  <c r="Q300" i="20"/>
  <c r="O300" i="20"/>
  <c r="N300" i="20"/>
  <c r="M300" i="20"/>
  <c r="L300" i="20"/>
  <c r="K300" i="20"/>
  <c r="I300" i="20"/>
  <c r="H300" i="20"/>
  <c r="G300" i="20"/>
  <c r="F300" i="20"/>
  <c r="E300" i="20"/>
  <c r="U299" i="20"/>
  <c r="T299" i="20"/>
  <c r="S299" i="20"/>
  <c r="R299" i="20"/>
  <c r="Q299" i="20"/>
  <c r="O299" i="20"/>
  <c r="N299" i="20"/>
  <c r="M299" i="20"/>
  <c r="L299" i="20"/>
  <c r="K299" i="20"/>
  <c r="I299" i="20"/>
  <c r="H299" i="20"/>
  <c r="G299" i="20"/>
  <c r="F299" i="20"/>
  <c r="E299" i="20"/>
  <c r="U298" i="20"/>
  <c r="T298" i="20"/>
  <c r="S298" i="20"/>
  <c r="R298" i="20"/>
  <c r="Q298" i="20"/>
  <c r="O298" i="20"/>
  <c r="N298" i="20"/>
  <c r="M298" i="20"/>
  <c r="L298" i="20"/>
  <c r="K298" i="20"/>
  <c r="I298" i="20"/>
  <c r="H298" i="20"/>
  <c r="G298" i="20"/>
  <c r="F298" i="20"/>
  <c r="E298" i="20"/>
  <c r="U297" i="20"/>
  <c r="T297" i="20"/>
  <c r="S297" i="20"/>
  <c r="R297" i="20"/>
  <c r="Q297" i="20"/>
  <c r="O297" i="20"/>
  <c r="N297" i="20"/>
  <c r="M297" i="20"/>
  <c r="L297" i="20"/>
  <c r="K297" i="20"/>
  <c r="I297" i="20"/>
  <c r="H297" i="20"/>
  <c r="G297" i="20"/>
  <c r="F297" i="20"/>
  <c r="E297" i="20"/>
  <c r="U296" i="20"/>
  <c r="T296" i="20"/>
  <c r="S296" i="20"/>
  <c r="R296" i="20"/>
  <c r="Q296" i="20"/>
  <c r="O296" i="20"/>
  <c r="N296" i="20"/>
  <c r="M296" i="20"/>
  <c r="L296" i="20"/>
  <c r="K296" i="20"/>
  <c r="I296" i="20"/>
  <c r="H296" i="20"/>
  <c r="G296" i="20"/>
  <c r="F296" i="20"/>
  <c r="E296" i="20"/>
  <c r="U295" i="20"/>
  <c r="T295" i="20"/>
  <c r="S295" i="20"/>
  <c r="R295" i="20"/>
  <c r="Q295" i="20"/>
  <c r="O295" i="20"/>
  <c r="N295" i="20"/>
  <c r="M295" i="20"/>
  <c r="L295" i="20"/>
  <c r="K295" i="20"/>
  <c r="I295" i="20"/>
  <c r="H295" i="20"/>
  <c r="G295" i="20"/>
  <c r="F295" i="20"/>
  <c r="E295" i="20"/>
  <c r="U294" i="20"/>
  <c r="T294" i="20"/>
  <c r="S294" i="20"/>
  <c r="R294" i="20"/>
  <c r="Q294" i="20"/>
  <c r="O294" i="20"/>
  <c r="N294" i="20"/>
  <c r="M294" i="20"/>
  <c r="L294" i="20"/>
  <c r="K294" i="20"/>
  <c r="I294" i="20"/>
  <c r="H294" i="20"/>
  <c r="G294" i="20"/>
  <c r="F294" i="20"/>
  <c r="E294" i="20"/>
  <c r="U293" i="20"/>
  <c r="T293" i="20"/>
  <c r="S293" i="20"/>
  <c r="R293" i="20"/>
  <c r="Q293" i="20"/>
  <c r="O293" i="20"/>
  <c r="N293" i="20"/>
  <c r="M293" i="20"/>
  <c r="L293" i="20"/>
  <c r="K293" i="20"/>
  <c r="I293" i="20"/>
  <c r="H293" i="20"/>
  <c r="G293" i="20"/>
  <c r="F293" i="20"/>
  <c r="E293" i="20"/>
  <c r="U292" i="20"/>
  <c r="T292" i="20"/>
  <c r="S292" i="20"/>
  <c r="R292" i="20"/>
  <c r="Q292" i="20"/>
  <c r="O292" i="20"/>
  <c r="N292" i="20"/>
  <c r="M292" i="20"/>
  <c r="L292" i="20"/>
  <c r="K292" i="20"/>
  <c r="I292" i="20"/>
  <c r="H292" i="20"/>
  <c r="G292" i="20"/>
  <c r="F292" i="20"/>
  <c r="E292" i="20"/>
  <c r="U291" i="20"/>
  <c r="T291" i="20"/>
  <c r="S291" i="20"/>
  <c r="R291" i="20"/>
  <c r="Q291" i="20"/>
  <c r="O291" i="20"/>
  <c r="N291" i="20"/>
  <c r="M291" i="20"/>
  <c r="L291" i="20"/>
  <c r="K291" i="20"/>
  <c r="I291" i="20"/>
  <c r="H291" i="20"/>
  <c r="G291" i="20"/>
  <c r="F291" i="20"/>
  <c r="E291" i="20"/>
  <c r="U290" i="20"/>
  <c r="T290" i="20"/>
  <c r="S290" i="20"/>
  <c r="R290" i="20"/>
  <c r="Q290" i="20"/>
  <c r="O290" i="20"/>
  <c r="N290" i="20"/>
  <c r="M290" i="20"/>
  <c r="L290" i="20"/>
  <c r="K290" i="20"/>
  <c r="I290" i="20"/>
  <c r="H290" i="20"/>
  <c r="G290" i="20"/>
  <c r="F290" i="20"/>
  <c r="E290" i="20"/>
  <c r="U289" i="20"/>
  <c r="T289" i="20"/>
  <c r="S289" i="20"/>
  <c r="R289" i="20"/>
  <c r="Q289" i="20"/>
  <c r="O289" i="20"/>
  <c r="N289" i="20"/>
  <c r="M289" i="20"/>
  <c r="L289" i="20"/>
  <c r="K289" i="20"/>
  <c r="I289" i="20"/>
  <c r="H289" i="20"/>
  <c r="G289" i="20"/>
  <c r="F289" i="20"/>
  <c r="E289" i="20"/>
  <c r="U288" i="20"/>
  <c r="T288" i="20"/>
  <c r="S288" i="20"/>
  <c r="R288" i="20"/>
  <c r="Q288" i="20"/>
  <c r="O288" i="20"/>
  <c r="N288" i="20"/>
  <c r="M288" i="20"/>
  <c r="L288" i="20"/>
  <c r="K288" i="20"/>
  <c r="I288" i="20"/>
  <c r="H288" i="20"/>
  <c r="G288" i="20"/>
  <c r="F288" i="20"/>
  <c r="E288" i="20"/>
  <c r="U287" i="20"/>
  <c r="T287" i="20"/>
  <c r="S287" i="20"/>
  <c r="R287" i="20"/>
  <c r="Q287" i="20"/>
  <c r="O287" i="20"/>
  <c r="N287" i="20"/>
  <c r="M287" i="20"/>
  <c r="L287" i="20"/>
  <c r="K287" i="20"/>
  <c r="I287" i="20"/>
  <c r="H287" i="20"/>
  <c r="G287" i="20"/>
  <c r="F287" i="20"/>
  <c r="E287" i="20"/>
  <c r="U286" i="20"/>
  <c r="T286" i="20"/>
  <c r="S286" i="20"/>
  <c r="R286" i="20"/>
  <c r="Q286" i="20"/>
  <c r="O286" i="20"/>
  <c r="N286" i="20"/>
  <c r="M286" i="20"/>
  <c r="L286" i="20"/>
  <c r="K286" i="20"/>
  <c r="I286" i="20"/>
  <c r="H286" i="20"/>
  <c r="G286" i="20"/>
  <c r="F286" i="20"/>
  <c r="E286" i="20"/>
  <c r="U285" i="20"/>
  <c r="T285" i="20"/>
  <c r="S285" i="20"/>
  <c r="R285" i="20"/>
  <c r="Q285" i="20"/>
  <c r="O285" i="20"/>
  <c r="N285" i="20"/>
  <c r="M285" i="20"/>
  <c r="L285" i="20"/>
  <c r="K285" i="20"/>
  <c r="I285" i="20"/>
  <c r="H285" i="20"/>
  <c r="G285" i="20"/>
  <c r="F285" i="20"/>
  <c r="E285" i="20"/>
  <c r="U284" i="20"/>
  <c r="T284" i="20"/>
  <c r="S284" i="20"/>
  <c r="R284" i="20"/>
  <c r="Q284" i="20"/>
  <c r="O284" i="20"/>
  <c r="N284" i="20"/>
  <c r="M284" i="20"/>
  <c r="L284" i="20"/>
  <c r="K284" i="20"/>
  <c r="I284" i="20"/>
  <c r="H284" i="20"/>
  <c r="G284" i="20"/>
  <c r="F284" i="20"/>
  <c r="E284" i="20"/>
  <c r="U283" i="20"/>
  <c r="T283" i="20"/>
  <c r="S283" i="20"/>
  <c r="R283" i="20"/>
  <c r="Q283" i="20"/>
  <c r="O283" i="20"/>
  <c r="N283" i="20"/>
  <c r="M283" i="20"/>
  <c r="L283" i="20"/>
  <c r="K283" i="20"/>
  <c r="I283" i="20"/>
  <c r="H283" i="20"/>
  <c r="G283" i="20"/>
  <c r="F283" i="20"/>
  <c r="E283" i="20"/>
  <c r="U282" i="20"/>
  <c r="T282" i="20"/>
  <c r="S282" i="20"/>
  <c r="R282" i="20"/>
  <c r="Q282" i="20"/>
  <c r="O282" i="20"/>
  <c r="N282" i="20"/>
  <c r="M282" i="20"/>
  <c r="L282" i="20"/>
  <c r="K282" i="20"/>
  <c r="I282" i="20"/>
  <c r="H282" i="20"/>
  <c r="G282" i="20"/>
  <c r="F282" i="20"/>
  <c r="E282" i="20"/>
  <c r="U281" i="20"/>
  <c r="T281" i="20"/>
  <c r="S281" i="20"/>
  <c r="R281" i="20"/>
  <c r="Q281" i="20"/>
  <c r="O281" i="20"/>
  <c r="N281" i="20"/>
  <c r="M281" i="20"/>
  <c r="L281" i="20"/>
  <c r="K281" i="20"/>
  <c r="I281" i="20"/>
  <c r="H281" i="20"/>
  <c r="G281" i="20"/>
  <c r="F281" i="20"/>
  <c r="E281" i="20"/>
  <c r="U280" i="20"/>
  <c r="T280" i="20"/>
  <c r="S280" i="20"/>
  <c r="R280" i="20"/>
  <c r="Q280" i="20"/>
  <c r="O280" i="20"/>
  <c r="N280" i="20"/>
  <c r="M280" i="20"/>
  <c r="L280" i="20"/>
  <c r="K280" i="20"/>
  <c r="I280" i="20"/>
  <c r="H280" i="20"/>
  <c r="G280" i="20"/>
  <c r="F280" i="20"/>
  <c r="E280" i="20"/>
  <c r="U279" i="20"/>
  <c r="T279" i="20"/>
  <c r="S279" i="20"/>
  <c r="R279" i="20"/>
  <c r="Q279" i="20"/>
  <c r="O279" i="20"/>
  <c r="N279" i="20"/>
  <c r="M279" i="20"/>
  <c r="L279" i="20"/>
  <c r="K279" i="20"/>
  <c r="I279" i="20"/>
  <c r="H279" i="20"/>
  <c r="G279" i="20"/>
  <c r="F279" i="20"/>
  <c r="E279" i="20"/>
  <c r="U278" i="20"/>
  <c r="T278" i="20"/>
  <c r="S278" i="20"/>
  <c r="R278" i="20"/>
  <c r="Q278" i="20"/>
  <c r="O278" i="20"/>
  <c r="N278" i="20"/>
  <c r="M278" i="20"/>
  <c r="L278" i="20"/>
  <c r="K278" i="20"/>
  <c r="I278" i="20"/>
  <c r="H278" i="20"/>
  <c r="G278" i="20"/>
  <c r="F278" i="20"/>
  <c r="E278" i="20"/>
  <c r="U277" i="20"/>
  <c r="T277" i="20"/>
  <c r="S277" i="20"/>
  <c r="R277" i="20"/>
  <c r="Q277" i="20"/>
  <c r="O277" i="20"/>
  <c r="N277" i="20"/>
  <c r="M277" i="20"/>
  <c r="L277" i="20"/>
  <c r="K277" i="20"/>
  <c r="I277" i="20"/>
  <c r="H277" i="20"/>
  <c r="G277" i="20"/>
  <c r="F277" i="20"/>
  <c r="E277" i="20"/>
  <c r="U276" i="20"/>
  <c r="T276" i="20"/>
  <c r="S276" i="20"/>
  <c r="R276" i="20"/>
  <c r="Q276" i="20"/>
  <c r="O276" i="20"/>
  <c r="N276" i="20"/>
  <c r="M276" i="20"/>
  <c r="L276" i="20"/>
  <c r="K276" i="20"/>
  <c r="I276" i="20"/>
  <c r="H276" i="20"/>
  <c r="G276" i="20"/>
  <c r="F276" i="20"/>
  <c r="E276" i="20"/>
  <c r="U275" i="20"/>
  <c r="T275" i="20"/>
  <c r="S275" i="20"/>
  <c r="R275" i="20"/>
  <c r="Q275" i="20"/>
  <c r="O275" i="20"/>
  <c r="N275" i="20"/>
  <c r="M275" i="20"/>
  <c r="L275" i="20"/>
  <c r="K275" i="20"/>
  <c r="I275" i="20"/>
  <c r="H275" i="20"/>
  <c r="G275" i="20"/>
  <c r="F275" i="20"/>
  <c r="E275" i="20"/>
  <c r="U274" i="20"/>
  <c r="T274" i="20"/>
  <c r="S274" i="20"/>
  <c r="R274" i="20"/>
  <c r="Q274" i="20"/>
  <c r="O274" i="20"/>
  <c r="N274" i="20"/>
  <c r="M274" i="20"/>
  <c r="L274" i="20"/>
  <c r="K274" i="20"/>
  <c r="I274" i="20"/>
  <c r="H274" i="20"/>
  <c r="G274" i="20"/>
  <c r="F274" i="20"/>
  <c r="E274" i="20"/>
  <c r="U273" i="20"/>
  <c r="T273" i="20"/>
  <c r="S273" i="20"/>
  <c r="R273" i="20"/>
  <c r="Q273" i="20"/>
  <c r="O273" i="20"/>
  <c r="N273" i="20"/>
  <c r="M273" i="20"/>
  <c r="L273" i="20"/>
  <c r="K273" i="20"/>
  <c r="I273" i="20"/>
  <c r="H273" i="20"/>
  <c r="G273" i="20"/>
  <c r="F273" i="20"/>
  <c r="E273" i="20"/>
  <c r="U272" i="20"/>
  <c r="T272" i="20"/>
  <c r="S272" i="20"/>
  <c r="R272" i="20"/>
  <c r="Q272" i="20"/>
  <c r="O272" i="20"/>
  <c r="N272" i="20"/>
  <c r="M272" i="20"/>
  <c r="L272" i="20"/>
  <c r="K272" i="20"/>
  <c r="I272" i="20"/>
  <c r="H272" i="20"/>
  <c r="G272" i="20"/>
  <c r="F272" i="20"/>
  <c r="E272" i="20"/>
  <c r="U271" i="20"/>
  <c r="T271" i="20"/>
  <c r="S271" i="20"/>
  <c r="R271" i="20"/>
  <c r="Q271" i="20"/>
  <c r="O271" i="20"/>
  <c r="N271" i="20"/>
  <c r="M271" i="20"/>
  <c r="L271" i="20"/>
  <c r="K271" i="20"/>
  <c r="I271" i="20"/>
  <c r="H271" i="20"/>
  <c r="G271" i="20"/>
  <c r="F271" i="20"/>
  <c r="E271" i="20"/>
  <c r="U270" i="20"/>
  <c r="T270" i="20"/>
  <c r="S270" i="20"/>
  <c r="R270" i="20"/>
  <c r="Q270" i="20"/>
  <c r="O270" i="20"/>
  <c r="N270" i="20"/>
  <c r="M270" i="20"/>
  <c r="L270" i="20"/>
  <c r="K270" i="20"/>
  <c r="I270" i="20"/>
  <c r="H270" i="20"/>
  <c r="G270" i="20"/>
  <c r="F270" i="20"/>
  <c r="E270" i="20"/>
  <c r="U269" i="20"/>
  <c r="T269" i="20"/>
  <c r="S269" i="20"/>
  <c r="R269" i="20"/>
  <c r="Q269" i="20"/>
  <c r="O269" i="20"/>
  <c r="N269" i="20"/>
  <c r="M269" i="20"/>
  <c r="L269" i="20"/>
  <c r="K269" i="20"/>
  <c r="I269" i="20"/>
  <c r="H269" i="20"/>
  <c r="G269" i="20"/>
  <c r="F269" i="20"/>
  <c r="E269" i="20"/>
  <c r="U268" i="20"/>
  <c r="T268" i="20"/>
  <c r="S268" i="20"/>
  <c r="R268" i="20"/>
  <c r="Q268" i="20"/>
  <c r="O268" i="20"/>
  <c r="N268" i="20"/>
  <c r="M268" i="20"/>
  <c r="L268" i="20"/>
  <c r="K268" i="20"/>
  <c r="I268" i="20"/>
  <c r="H268" i="20"/>
  <c r="G268" i="20"/>
  <c r="F268" i="20"/>
  <c r="E268" i="20"/>
  <c r="U267" i="20"/>
  <c r="T267" i="20"/>
  <c r="S267" i="20"/>
  <c r="R267" i="20"/>
  <c r="Q267" i="20"/>
  <c r="O267" i="20"/>
  <c r="N267" i="20"/>
  <c r="M267" i="20"/>
  <c r="L267" i="20"/>
  <c r="K267" i="20"/>
  <c r="I267" i="20"/>
  <c r="H267" i="20"/>
  <c r="G267" i="20"/>
  <c r="F267" i="20"/>
  <c r="E267" i="20"/>
  <c r="U266" i="20"/>
  <c r="T266" i="20"/>
  <c r="S266" i="20"/>
  <c r="R266" i="20"/>
  <c r="Q266" i="20"/>
  <c r="O266" i="20"/>
  <c r="N266" i="20"/>
  <c r="M266" i="20"/>
  <c r="L266" i="20"/>
  <c r="K266" i="20"/>
  <c r="I266" i="20"/>
  <c r="H266" i="20"/>
  <c r="G266" i="20"/>
  <c r="F266" i="20"/>
  <c r="E266" i="20"/>
  <c r="U265" i="20"/>
  <c r="T265" i="20"/>
  <c r="S265" i="20"/>
  <c r="R265" i="20"/>
  <c r="Q265" i="20"/>
  <c r="O265" i="20"/>
  <c r="N265" i="20"/>
  <c r="M265" i="20"/>
  <c r="L265" i="20"/>
  <c r="K265" i="20"/>
  <c r="I265" i="20"/>
  <c r="H265" i="20"/>
  <c r="G265" i="20"/>
  <c r="F265" i="20"/>
  <c r="E265" i="20"/>
  <c r="U264" i="20"/>
  <c r="T264" i="20"/>
  <c r="S264" i="20"/>
  <c r="R264" i="20"/>
  <c r="Q264" i="20"/>
  <c r="O264" i="20"/>
  <c r="N264" i="20"/>
  <c r="M264" i="20"/>
  <c r="L264" i="20"/>
  <c r="K264" i="20"/>
  <c r="I264" i="20"/>
  <c r="H264" i="20"/>
  <c r="G264" i="20"/>
  <c r="F264" i="20"/>
  <c r="E264" i="20"/>
  <c r="U263" i="20"/>
  <c r="T263" i="20"/>
  <c r="S263" i="20"/>
  <c r="R263" i="20"/>
  <c r="Q263" i="20"/>
  <c r="O263" i="20"/>
  <c r="N263" i="20"/>
  <c r="M263" i="20"/>
  <c r="L263" i="20"/>
  <c r="K263" i="20"/>
  <c r="I263" i="20"/>
  <c r="H263" i="20"/>
  <c r="G263" i="20"/>
  <c r="F263" i="20"/>
  <c r="E263" i="20"/>
  <c r="U262" i="20"/>
  <c r="T262" i="20"/>
  <c r="S262" i="20"/>
  <c r="R262" i="20"/>
  <c r="Q262" i="20"/>
  <c r="O262" i="20"/>
  <c r="N262" i="20"/>
  <c r="M262" i="20"/>
  <c r="L262" i="20"/>
  <c r="K262" i="20"/>
  <c r="I262" i="20"/>
  <c r="H262" i="20"/>
  <c r="G262" i="20"/>
  <c r="F262" i="20"/>
  <c r="E262" i="20"/>
  <c r="U261" i="20"/>
  <c r="T261" i="20"/>
  <c r="S261" i="20"/>
  <c r="R261" i="20"/>
  <c r="Q261" i="20"/>
  <c r="O261" i="20"/>
  <c r="N261" i="20"/>
  <c r="M261" i="20"/>
  <c r="L261" i="20"/>
  <c r="K261" i="20"/>
  <c r="I261" i="20"/>
  <c r="H261" i="20"/>
  <c r="G261" i="20"/>
  <c r="F261" i="20"/>
  <c r="E261" i="20"/>
  <c r="U260" i="20"/>
  <c r="T260" i="20"/>
  <c r="S260" i="20"/>
  <c r="R260" i="20"/>
  <c r="Q260" i="20"/>
  <c r="O260" i="20"/>
  <c r="N260" i="20"/>
  <c r="M260" i="20"/>
  <c r="L260" i="20"/>
  <c r="K260" i="20"/>
  <c r="I260" i="20"/>
  <c r="H260" i="20"/>
  <c r="G260" i="20"/>
  <c r="F260" i="20"/>
  <c r="E260" i="20"/>
  <c r="U259" i="20"/>
  <c r="T259" i="20"/>
  <c r="S259" i="20"/>
  <c r="R259" i="20"/>
  <c r="Q259" i="20"/>
  <c r="O259" i="20"/>
  <c r="N259" i="20"/>
  <c r="M259" i="20"/>
  <c r="L259" i="20"/>
  <c r="K259" i="20"/>
  <c r="I259" i="20"/>
  <c r="H259" i="20"/>
  <c r="G259" i="20"/>
  <c r="F259" i="20"/>
  <c r="E259" i="20"/>
  <c r="U258" i="20"/>
  <c r="T258" i="20"/>
  <c r="S258" i="20"/>
  <c r="R258" i="20"/>
  <c r="Q258" i="20"/>
  <c r="O258" i="20"/>
  <c r="N258" i="20"/>
  <c r="M258" i="20"/>
  <c r="L258" i="20"/>
  <c r="K258" i="20"/>
  <c r="I258" i="20"/>
  <c r="H258" i="20"/>
  <c r="G258" i="20"/>
  <c r="F258" i="20"/>
  <c r="E258" i="20"/>
  <c r="U257" i="20"/>
  <c r="T257" i="20"/>
  <c r="S257" i="20"/>
  <c r="R257" i="20"/>
  <c r="Q257" i="20"/>
  <c r="O257" i="20"/>
  <c r="N257" i="20"/>
  <c r="M257" i="20"/>
  <c r="L257" i="20"/>
  <c r="K257" i="20"/>
  <c r="I257" i="20"/>
  <c r="H257" i="20"/>
  <c r="G257" i="20"/>
  <c r="F257" i="20"/>
  <c r="E257" i="20"/>
  <c r="U256" i="20"/>
  <c r="T256" i="20"/>
  <c r="S256" i="20"/>
  <c r="R256" i="20"/>
  <c r="Q256" i="20"/>
  <c r="O256" i="20"/>
  <c r="N256" i="20"/>
  <c r="M256" i="20"/>
  <c r="L256" i="20"/>
  <c r="K256" i="20"/>
  <c r="I256" i="20"/>
  <c r="H256" i="20"/>
  <c r="G256" i="20"/>
  <c r="F256" i="20"/>
  <c r="E256" i="20"/>
  <c r="U255" i="20"/>
  <c r="T255" i="20"/>
  <c r="S255" i="20"/>
  <c r="R255" i="20"/>
  <c r="Q255" i="20"/>
  <c r="O255" i="20"/>
  <c r="N255" i="20"/>
  <c r="M255" i="20"/>
  <c r="L255" i="20"/>
  <c r="K255" i="20"/>
  <c r="I255" i="20"/>
  <c r="H255" i="20"/>
  <c r="G255" i="20"/>
  <c r="F255" i="20"/>
  <c r="E255" i="20"/>
  <c r="U254" i="20"/>
  <c r="T254" i="20"/>
  <c r="S254" i="20"/>
  <c r="R254" i="20"/>
  <c r="Q254" i="20"/>
  <c r="O254" i="20"/>
  <c r="N254" i="20"/>
  <c r="M254" i="20"/>
  <c r="L254" i="20"/>
  <c r="K254" i="20"/>
  <c r="I254" i="20"/>
  <c r="H254" i="20"/>
  <c r="G254" i="20"/>
  <c r="F254" i="20"/>
  <c r="E254" i="20"/>
  <c r="U253" i="20"/>
  <c r="T253" i="20"/>
  <c r="S253" i="20"/>
  <c r="R253" i="20"/>
  <c r="Q253" i="20"/>
  <c r="O253" i="20"/>
  <c r="N253" i="20"/>
  <c r="M253" i="20"/>
  <c r="L253" i="20"/>
  <c r="K253" i="20"/>
  <c r="I253" i="20"/>
  <c r="H253" i="20"/>
  <c r="G253" i="20"/>
  <c r="F253" i="20"/>
  <c r="E253" i="20"/>
  <c r="U252" i="20"/>
  <c r="T252" i="20"/>
  <c r="S252" i="20"/>
  <c r="R252" i="20"/>
  <c r="Q252" i="20"/>
  <c r="O252" i="20"/>
  <c r="N252" i="20"/>
  <c r="M252" i="20"/>
  <c r="L252" i="20"/>
  <c r="K252" i="20"/>
  <c r="I252" i="20"/>
  <c r="H252" i="20"/>
  <c r="G252" i="20"/>
  <c r="F252" i="20"/>
  <c r="E252" i="20"/>
  <c r="U251" i="20"/>
  <c r="T251" i="20"/>
  <c r="S251" i="20"/>
  <c r="R251" i="20"/>
  <c r="Q251" i="20"/>
  <c r="O251" i="20"/>
  <c r="N251" i="20"/>
  <c r="M251" i="20"/>
  <c r="L251" i="20"/>
  <c r="K251" i="20"/>
  <c r="I251" i="20"/>
  <c r="H251" i="20"/>
  <c r="G251" i="20"/>
  <c r="F251" i="20"/>
  <c r="E251" i="20"/>
  <c r="U250" i="20"/>
  <c r="T250" i="20"/>
  <c r="S250" i="20"/>
  <c r="R250" i="20"/>
  <c r="Q250" i="20"/>
  <c r="O250" i="20"/>
  <c r="N250" i="20"/>
  <c r="M250" i="20"/>
  <c r="L250" i="20"/>
  <c r="K250" i="20"/>
  <c r="I250" i="20"/>
  <c r="H250" i="20"/>
  <c r="G250" i="20"/>
  <c r="F250" i="20"/>
  <c r="E250" i="20"/>
  <c r="U249" i="20"/>
  <c r="T249" i="20"/>
  <c r="S249" i="20"/>
  <c r="R249" i="20"/>
  <c r="Q249" i="20"/>
  <c r="O249" i="20"/>
  <c r="N249" i="20"/>
  <c r="M249" i="20"/>
  <c r="L249" i="20"/>
  <c r="K249" i="20"/>
  <c r="I249" i="20"/>
  <c r="H249" i="20"/>
  <c r="G249" i="20"/>
  <c r="F249" i="20"/>
  <c r="E249" i="20"/>
  <c r="U248" i="20"/>
  <c r="T248" i="20"/>
  <c r="S248" i="20"/>
  <c r="R248" i="20"/>
  <c r="Q248" i="20"/>
  <c r="O248" i="20"/>
  <c r="N248" i="20"/>
  <c r="M248" i="20"/>
  <c r="L248" i="20"/>
  <c r="K248" i="20"/>
  <c r="I248" i="20"/>
  <c r="H248" i="20"/>
  <c r="G248" i="20"/>
  <c r="F248" i="20"/>
  <c r="E248" i="20"/>
  <c r="U247" i="20"/>
  <c r="T247" i="20"/>
  <c r="S247" i="20"/>
  <c r="R247" i="20"/>
  <c r="Q247" i="20"/>
  <c r="O247" i="20"/>
  <c r="N247" i="20"/>
  <c r="M247" i="20"/>
  <c r="L247" i="20"/>
  <c r="K247" i="20"/>
  <c r="I247" i="20"/>
  <c r="H247" i="20"/>
  <c r="G247" i="20"/>
  <c r="F247" i="20"/>
  <c r="E247" i="20"/>
  <c r="U246" i="20"/>
  <c r="T246" i="20"/>
  <c r="S246" i="20"/>
  <c r="R246" i="20"/>
  <c r="Q246" i="20"/>
  <c r="O246" i="20"/>
  <c r="N246" i="20"/>
  <c r="M246" i="20"/>
  <c r="L246" i="20"/>
  <c r="K246" i="20"/>
  <c r="I246" i="20"/>
  <c r="H246" i="20"/>
  <c r="G246" i="20"/>
  <c r="F246" i="20"/>
  <c r="E246" i="20"/>
  <c r="U245" i="20"/>
  <c r="T245" i="20"/>
  <c r="S245" i="20"/>
  <c r="R245" i="20"/>
  <c r="Q245" i="20"/>
  <c r="O245" i="20"/>
  <c r="N245" i="20"/>
  <c r="M245" i="20"/>
  <c r="L245" i="20"/>
  <c r="K245" i="20"/>
  <c r="I245" i="20"/>
  <c r="H245" i="20"/>
  <c r="G245" i="20"/>
  <c r="F245" i="20"/>
  <c r="E245" i="20"/>
  <c r="U244" i="20"/>
  <c r="T244" i="20"/>
  <c r="S244" i="20"/>
  <c r="R244" i="20"/>
  <c r="Q244" i="20"/>
  <c r="O244" i="20"/>
  <c r="N244" i="20"/>
  <c r="M244" i="20"/>
  <c r="L244" i="20"/>
  <c r="K244" i="20"/>
  <c r="I244" i="20"/>
  <c r="H244" i="20"/>
  <c r="G244" i="20"/>
  <c r="F244" i="20"/>
  <c r="E244" i="20"/>
  <c r="U243" i="20"/>
  <c r="T243" i="20"/>
  <c r="S243" i="20"/>
  <c r="R243" i="20"/>
  <c r="Q243" i="20"/>
  <c r="O243" i="20"/>
  <c r="N243" i="20"/>
  <c r="M243" i="20"/>
  <c r="L243" i="20"/>
  <c r="K243" i="20"/>
  <c r="I243" i="20"/>
  <c r="H243" i="20"/>
  <c r="G243" i="20"/>
  <c r="F243" i="20"/>
  <c r="E243" i="20"/>
  <c r="U242" i="20"/>
  <c r="T242" i="20"/>
  <c r="S242" i="20"/>
  <c r="R242" i="20"/>
  <c r="Q242" i="20"/>
  <c r="O242" i="20"/>
  <c r="N242" i="20"/>
  <c r="M242" i="20"/>
  <c r="L242" i="20"/>
  <c r="K242" i="20"/>
  <c r="I242" i="20"/>
  <c r="H242" i="20"/>
  <c r="G242" i="20"/>
  <c r="F242" i="20"/>
  <c r="E242" i="20"/>
  <c r="U241" i="20"/>
  <c r="T241" i="20"/>
  <c r="S241" i="20"/>
  <c r="R241" i="20"/>
  <c r="Q241" i="20"/>
  <c r="O241" i="20"/>
  <c r="N241" i="20"/>
  <c r="M241" i="20"/>
  <c r="L241" i="20"/>
  <c r="K241" i="20"/>
  <c r="I241" i="20"/>
  <c r="H241" i="20"/>
  <c r="G241" i="20"/>
  <c r="F241" i="20"/>
  <c r="E241" i="20"/>
  <c r="U240" i="20"/>
  <c r="T240" i="20"/>
  <c r="S240" i="20"/>
  <c r="R240" i="20"/>
  <c r="Q240" i="20"/>
  <c r="O240" i="20"/>
  <c r="N240" i="20"/>
  <c r="M240" i="20"/>
  <c r="L240" i="20"/>
  <c r="K240" i="20"/>
  <c r="I240" i="20"/>
  <c r="H240" i="20"/>
  <c r="G240" i="20"/>
  <c r="F240" i="20"/>
  <c r="E240" i="20"/>
  <c r="U239" i="20"/>
  <c r="T239" i="20"/>
  <c r="S239" i="20"/>
  <c r="R239" i="20"/>
  <c r="Q239" i="20"/>
  <c r="O239" i="20"/>
  <c r="N239" i="20"/>
  <c r="M239" i="20"/>
  <c r="L239" i="20"/>
  <c r="K239" i="20"/>
  <c r="I239" i="20"/>
  <c r="H239" i="20"/>
  <c r="G239" i="20"/>
  <c r="F239" i="20"/>
  <c r="E239" i="20"/>
  <c r="U238" i="20"/>
  <c r="T238" i="20"/>
  <c r="S238" i="20"/>
  <c r="R238" i="20"/>
  <c r="Q238" i="20"/>
  <c r="O238" i="20"/>
  <c r="N238" i="20"/>
  <c r="M238" i="20"/>
  <c r="L238" i="20"/>
  <c r="K238" i="20"/>
  <c r="I238" i="20"/>
  <c r="H238" i="20"/>
  <c r="G238" i="20"/>
  <c r="F238" i="20"/>
  <c r="E238" i="20"/>
  <c r="U237" i="20"/>
  <c r="T237" i="20"/>
  <c r="S237" i="20"/>
  <c r="R237" i="20"/>
  <c r="Q237" i="20"/>
  <c r="O237" i="20"/>
  <c r="N237" i="20"/>
  <c r="M237" i="20"/>
  <c r="L237" i="20"/>
  <c r="K237" i="20"/>
  <c r="I237" i="20"/>
  <c r="H237" i="20"/>
  <c r="G237" i="20"/>
  <c r="F237" i="20"/>
  <c r="E237" i="20"/>
  <c r="U236" i="20"/>
  <c r="T236" i="20"/>
  <c r="S236" i="20"/>
  <c r="R236" i="20"/>
  <c r="Q236" i="20"/>
  <c r="O236" i="20"/>
  <c r="N236" i="20"/>
  <c r="M236" i="20"/>
  <c r="L236" i="20"/>
  <c r="K236" i="20"/>
  <c r="I236" i="20"/>
  <c r="H236" i="20"/>
  <c r="G236" i="20"/>
  <c r="F236" i="20"/>
  <c r="E236" i="20"/>
  <c r="U235" i="20"/>
  <c r="T235" i="20"/>
  <c r="S235" i="20"/>
  <c r="R235" i="20"/>
  <c r="Q235" i="20"/>
  <c r="O235" i="20"/>
  <c r="N235" i="20"/>
  <c r="M235" i="20"/>
  <c r="L235" i="20"/>
  <c r="K235" i="20"/>
  <c r="I235" i="20"/>
  <c r="H235" i="20"/>
  <c r="G235" i="20"/>
  <c r="F235" i="20"/>
  <c r="E235" i="20"/>
  <c r="U234" i="20"/>
  <c r="T234" i="20"/>
  <c r="S234" i="20"/>
  <c r="R234" i="20"/>
  <c r="Q234" i="20"/>
  <c r="O234" i="20"/>
  <c r="N234" i="20"/>
  <c r="M234" i="20"/>
  <c r="L234" i="20"/>
  <c r="K234" i="20"/>
  <c r="I234" i="20"/>
  <c r="H234" i="20"/>
  <c r="G234" i="20"/>
  <c r="F234" i="20"/>
  <c r="E234" i="20"/>
  <c r="U233" i="20"/>
  <c r="T233" i="20"/>
  <c r="S233" i="20"/>
  <c r="R233" i="20"/>
  <c r="Q233" i="20"/>
  <c r="O233" i="20"/>
  <c r="N233" i="20"/>
  <c r="M233" i="20"/>
  <c r="L233" i="20"/>
  <c r="K233" i="20"/>
  <c r="I233" i="20"/>
  <c r="H233" i="20"/>
  <c r="G233" i="20"/>
  <c r="F233" i="20"/>
  <c r="E233" i="20"/>
  <c r="U232" i="20"/>
  <c r="T232" i="20"/>
  <c r="S232" i="20"/>
  <c r="R232" i="20"/>
  <c r="Q232" i="20"/>
  <c r="O232" i="20"/>
  <c r="N232" i="20"/>
  <c r="M232" i="20"/>
  <c r="L232" i="20"/>
  <c r="K232" i="20"/>
  <c r="I232" i="20"/>
  <c r="H232" i="20"/>
  <c r="G232" i="20"/>
  <c r="F232" i="20"/>
  <c r="E232" i="20"/>
  <c r="U231" i="20"/>
  <c r="T231" i="20"/>
  <c r="S231" i="20"/>
  <c r="R231" i="20"/>
  <c r="Q231" i="20"/>
  <c r="O231" i="20"/>
  <c r="N231" i="20"/>
  <c r="M231" i="20"/>
  <c r="L231" i="20"/>
  <c r="K231" i="20"/>
  <c r="I231" i="20"/>
  <c r="H231" i="20"/>
  <c r="G231" i="20"/>
  <c r="F231" i="20"/>
  <c r="E231" i="20"/>
  <c r="U230" i="20"/>
  <c r="T230" i="20"/>
  <c r="S230" i="20"/>
  <c r="R230" i="20"/>
  <c r="Q230" i="20"/>
  <c r="O230" i="20"/>
  <c r="N230" i="20"/>
  <c r="M230" i="20"/>
  <c r="L230" i="20"/>
  <c r="K230" i="20"/>
  <c r="I230" i="20"/>
  <c r="H230" i="20"/>
  <c r="G230" i="20"/>
  <c r="F230" i="20"/>
  <c r="E230" i="20"/>
  <c r="U229" i="20"/>
  <c r="T229" i="20"/>
  <c r="S229" i="20"/>
  <c r="R229" i="20"/>
  <c r="Q229" i="20"/>
  <c r="O229" i="20"/>
  <c r="N229" i="20"/>
  <c r="M229" i="20"/>
  <c r="L229" i="20"/>
  <c r="K229" i="20"/>
  <c r="I229" i="20"/>
  <c r="H229" i="20"/>
  <c r="G229" i="20"/>
  <c r="F229" i="20"/>
  <c r="E229" i="20"/>
  <c r="U228" i="20"/>
  <c r="T228" i="20"/>
  <c r="S228" i="20"/>
  <c r="R228" i="20"/>
  <c r="Q228" i="20"/>
  <c r="O228" i="20"/>
  <c r="N228" i="20"/>
  <c r="M228" i="20"/>
  <c r="L228" i="20"/>
  <c r="K228" i="20"/>
  <c r="I228" i="20"/>
  <c r="H228" i="20"/>
  <c r="G228" i="20"/>
  <c r="F228" i="20"/>
  <c r="E228" i="20"/>
  <c r="U227" i="20"/>
  <c r="T227" i="20"/>
  <c r="S227" i="20"/>
  <c r="R227" i="20"/>
  <c r="Q227" i="20"/>
  <c r="O227" i="20"/>
  <c r="N227" i="20"/>
  <c r="M227" i="20"/>
  <c r="L227" i="20"/>
  <c r="K227" i="20"/>
  <c r="I227" i="20"/>
  <c r="H227" i="20"/>
  <c r="G227" i="20"/>
  <c r="F227" i="20"/>
  <c r="E227" i="20"/>
  <c r="U226" i="20"/>
  <c r="T226" i="20"/>
  <c r="S226" i="20"/>
  <c r="R226" i="20"/>
  <c r="Q226" i="20"/>
  <c r="O226" i="20"/>
  <c r="N226" i="20"/>
  <c r="M226" i="20"/>
  <c r="L226" i="20"/>
  <c r="K226" i="20"/>
  <c r="I226" i="20"/>
  <c r="H226" i="20"/>
  <c r="G226" i="20"/>
  <c r="F226" i="20"/>
  <c r="E226" i="20"/>
  <c r="U225" i="20"/>
  <c r="T225" i="20"/>
  <c r="S225" i="20"/>
  <c r="R225" i="20"/>
  <c r="Q225" i="20"/>
  <c r="O225" i="20"/>
  <c r="N225" i="20"/>
  <c r="M225" i="20"/>
  <c r="L225" i="20"/>
  <c r="K225" i="20"/>
  <c r="I225" i="20"/>
  <c r="H225" i="20"/>
  <c r="G225" i="20"/>
  <c r="F225" i="20"/>
  <c r="E225" i="20"/>
  <c r="U224" i="20"/>
  <c r="T224" i="20"/>
  <c r="S224" i="20"/>
  <c r="R224" i="20"/>
  <c r="Q224" i="20"/>
  <c r="O224" i="20"/>
  <c r="N224" i="20"/>
  <c r="M224" i="20"/>
  <c r="L224" i="20"/>
  <c r="K224" i="20"/>
  <c r="I224" i="20"/>
  <c r="H224" i="20"/>
  <c r="G224" i="20"/>
  <c r="F224" i="20"/>
  <c r="E224" i="20"/>
  <c r="U223" i="20"/>
  <c r="T223" i="20"/>
  <c r="S223" i="20"/>
  <c r="R223" i="20"/>
  <c r="Q223" i="20"/>
  <c r="O223" i="20"/>
  <c r="N223" i="20"/>
  <c r="M223" i="20"/>
  <c r="L223" i="20"/>
  <c r="K223" i="20"/>
  <c r="I223" i="20"/>
  <c r="H223" i="20"/>
  <c r="G223" i="20"/>
  <c r="F223" i="20"/>
  <c r="E223" i="20"/>
  <c r="U222" i="20"/>
  <c r="T222" i="20"/>
  <c r="S222" i="20"/>
  <c r="R222" i="20"/>
  <c r="Q222" i="20"/>
  <c r="O222" i="20"/>
  <c r="N222" i="20"/>
  <c r="M222" i="20"/>
  <c r="L222" i="20"/>
  <c r="K222" i="20"/>
  <c r="I222" i="20"/>
  <c r="H222" i="20"/>
  <c r="G222" i="20"/>
  <c r="F222" i="20"/>
  <c r="E222" i="20"/>
  <c r="U221" i="20"/>
  <c r="T221" i="20"/>
  <c r="S221" i="20"/>
  <c r="R221" i="20"/>
  <c r="Q221" i="20"/>
  <c r="O221" i="20"/>
  <c r="N221" i="20"/>
  <c r="M221" i="20"/>
  <c r="L221" i="20"/>
  <c r="K221" i="20"/>
  <c r="I221" i="20"/>
  <c r="H221" i="20"/>
  <c r="G221" i="20"/>
  <c r="F221" i="20"/>
  <c r="E221" i="20"/>
  <c r="U220" i="20"/>
  <c r="T220" i="20"/>
  <c r="S220" i="20"/>
  <c r="R220" i="20"/>
  <c r="Q220" i="20"/>
  <c r="O220" i="20"/>
  <c r="N220" i="20"/>
  <c r="M220" i="20"/>
  <c r="L220" i="20"/>
  <c r="K220" i="20"/>
  <c r="I220" i="20"/>
  <c r="H220" i="20"/>
  <c r="G220" i="20"/>
  <c r="F220" i="20"/>
  <c r="E220" i="20"/>
  <c r="U219" i="20"/>
  <c r="T219" i="20"/>
  <c r="S219" i="20"/>
  <c r="R219" i="20"/>
  <c r="Q219" i="20"/>
  <c r="O219" i="20"/>
  <c r="N219" i="20"/>
  <c r="M219" i="20"/>
  <c r="L219" i="20"/>
  <c r="K219" i="20"/>
  <c r="I219" i="20"/>
  <c r="H219" i="20"/>
  <c r="G219" i="20"/>
  <c r="F219" i="20"/>
  <c r="E219" i="20"/>
  <c r="U218" i="20"/>
  <c r="T218" i="20"/>
  <c r="S218" i="20"/>
  <c r="R218" i="20"/>
  <c r="Q218" i="20"/>
  <c r="O218" i="20"/>
  <c r="N218" i="20"/>
  <c r="M218" i="20"/>
  <c r="L218" i="20"/>
  <c r="K218" i="20"/>
  <c r="I218" i="20"/>
  <c r="H218" i="20"/>
  <c r="G218" i="20"/>
  <c r="F218" i="20"/>
  <c r="E218" i="20"/>
  <c r="U217" i="20"/>
  <c r="T217" i="20"/>
  <c r="S217" i="20"/>
  <c r="R217" i="20"/>
  <c r="Q217" i="20"/>
  <c r="O217" i="20"/>
  <c r="N217" i="20"/>
  <c r="M217" i="20"/>
  <c r="L217" i="20"/>
  <c r="K217" i="20"/>
  <c r="I217" i="20"/>
  <c r="H217" i="20"/>
  <c r="G217" i="20"/>
  <c r="F217" i="20"/>
  <c r="E217" i="20"/>
  <c r="U216" i="20"/>
  <c r="T216" i="20"/>
  <c r="S216" i="20"/>
  <c r="R216" i="20"/>
  <c r="Q216" i="20"/>
  <c r="O216" i="20"/>
  <c r="N216" i="20"/>
  <c r="M216" i="20"/>
  <c r="L216" i="20"/>
  <c r="K216" i="20"/>
  <c r="I216" i="20"/>
  <c r="H216" i="20"/>
  <c r="G216" i="20"/>
  <c r="F216" i="20"/>
  <c r="E216" i="20"/>
  <c r="U215" i="20"/>
  <c r="T215" i="20"/>
  <c r="S215" i="20"/>
  <c r="R215" i="20"/>
  <c r="Q215" i="20"/>
  <c r="O215" i="20"/>
  <c r="N215" i="20"/>
  <c r="M215" i="20"/>
  <c r="L215" i="20"/>
  <c r="K215" i="20"/>
  <c r="I215" i="20"/>
  <c r="H215" i="20"/>
  <c r="G215" i="20"/>
  <c r="F215" i="20"/>
  <c r="E215" i="20"/>
  <c r="U214" i="20"/>
  <c r="T214" i="20"/>
  <c r="S214" i="20"/>
  <c r="R214" i="20"/>
  <c r="Q214" i="20"/>
  <c r="O214" i="20"/>
  <c r="N214" i="20"/>
  <c r="M214" i="20"/>
  <c r="L214" i="20"/>
  <c r="K214" i="20"/>
  <c r="I214" i="20"/>
  <c r="H214" i="20"/>
  <c r="G214" i="20"/>
  <c r="F214" i="20"/>
  <c r="E214" i="20"/>
  <c r="U213" i="20"/>
  <c r="T213" i="20"/>
  <c r="S213" i="20"/>
  <c r="R213" i="20"/>
  <c r="Q213" i="20"/>
  <c r="O213" i="20"/>
  <c r="N213" i="20"/>
  <c r="M213" i="20"/>
  <c r="L213" i="20"/>
  <c r="K213" i="20"/>
  <c r="I213" i="20"/>
  <c r="H213" i="20"/>
  <c r="G213" i="20"/>
  <c r="F213" i="20"/>
  <c r="E213" i="20"/>
  <c r="U212" i="20"/>
  <c r="T212" i="20"/>
  <c r="S212" i="20"/>
  <c r="R212" i="20"/>
  <c r="Q212" i="20"/>
  <c r="O212" i="20"/>
  <c r="N212" i="20"/>
  <c r="M212" i="20"/>
  <c r="L212" i="20"/>
  <c r="K212" i="20"/>
  <c r="I212" i="20"/>
  <c r="H212" i="20"/>
  <c r="G212" i="20"/>
  <c r="F212" i="20"/>
  <c r="E212" i="20"/>
  <c r="U211" i="20"/>
  <c r="T211" i="20"/>
  <c r="S211" i="20"/>
  <c r="R211" i="20"/>
  <c r="Q211" i="20"/>
  <c r="O211" i="20"/>
  <c r="N211" i="20"/>
  <c r="M211" i="20"/>
  <c r="L211" i="20"/>
  <c r="K211" i="20"/>
  <c r="I211" i="20"/>
  <c r="H211" i="20"/>
  <c r="G211" i="20"/>
  <c r="F211" i="20"/>
  <c r="E211" i="20"/>
  <c r="U210" i="20"/>
  <c r="T210" i="20"/>
  <c r="S210" i="20"/>
  <c r="R210" i="20"/>
  <c r="Q210" i="20"/>
  <c r="O210" i="20"/>
  <c r="N210" i="20"/>
  <c r="M210" i="20"/>
  <c r="L210" i="20"/>
  <c r="K210" i="20"/>
  <c r="I210" i="20"/>
  <c r="H210" i="20"/>
  <c r="G210" i="20"/>
  <c r="F210" i="20"/>
  <c r="E210" i="20"/>
  <c r="U209" i="20"/>
  <c r="T209" i="20"/>
  <c r="S209" i="20"/>
  <c r="R209" i="20"/>
  <c r="Q209" i="20"/>
  <c r="O209" i="20"/>
  <c r="N209" i="20"/>
  <c r="M209" i="20"/>
  <c r="L209" i="20"/>
  <c r="K209" i="20"/>
  <c r="I209" i="20"/>
  <c r="H209" i="20"/>
  <c r="G209" i="20"/>
  <c r="F209" i="20"/>
  <c r="E209" i="20"/>
  <c r="U208" i="20"/>
  <c r="T208" i="20"/>
  <c r="S208" i="20"/>
  <c r="R208" i="20"/>
  <c r="Q208" i="20"/>
  <c r="O208" i="20"/>
  <c r="N208" i="20"/>
  <c r="M208" i="20"/>
  <c r="L208" i="20"/>
  <c r="K208" i="20"/>
  <c r="I208" i="20"/>
  <c r="H208" i="20"/>
  <c r="G208" i="20"/>
  <c r="F208" i="20"/>
  <c r="E208" i="20"/>
  <c r="U207" i="20"/>
  <c r="T207" i="20"/>
  <c r="S207" i="20"/>
  <c r="R207" i="20"/>
  <c r="Q207" i="20"/>
  <c r="O207" i="20"/>
  <c r="N207" i="20"/>
  <c r="M207" i="20"/>
  <c r="L207" i="20"/>
  <c r="K207" i="20"/>
  <c r="I207" i="20"/>
  <c r="H207" i="20"/>
  <c r="G207" i="20"/>
  <c r="F207" i="20"/>
  <c r="E207" i="20"/>
  <c r="U206" i="20"/>
  <c r="T206" i="20"/>
  <c r="S206" i="20"/>
  <c r="R206" i="20"/>
  <c r="Q206" i="20"/>
  <c r="O206" i="20"/>
  <c r="N206" i="20"/>
  <c r="M206" i="20"/>
  <c r="L206" i="20"/>
  <c r="K206" i="20"/>
  <c r="I206" i="20"/>
  <c r="H206" i="20"/>
  <c r="G206" i="20"/>
  <c r="F206" i="20"/>
  <c r="E206" i="20"/>
  <c r="U205" i="20"/>
  <c r="T205" i="20"/>
  <c r="S205" i="20"/>
  <c r="R205" i="20"/>
  <c r="Q205" i="20"/>
  <c r="O205" i="20"/>
  <c r="N205" i="20"/>
  <c r="M205" i="20"/>
  <c r="L205" i="20"/>
  <c r="K205" i="20"/>
  <c r="I205" i="20"/>
  <c r="H205" i="20"/>
  <c r="G205" i="20"/>
  <c r="F205" i="20"/>
  <c r="E205" i="20"/>
  <c r="U204" i="20"/>
  <c r="T204" i="20"/>
  <c r="S204" i="20"/>
  <c r="R204" i="20"/>
  <c r="Q204" i="20"/>
  <c r="O204" i="20"/>
  <c r="N204" i="20"/>
  <c r="M204" i="20"/>
  <c r="L204" i="20"/>
  <c r="K204" i="20"/>
  <c r="I204" i="20"/>
  <c r="H204" i="20"/>
  <c r="G204" i="20"/>
  <c r="F204" i="20"/>
  <c r="E204" i="20"/>
  <c r="U203" i="20"/>
  <c r="T203" i="20"/>
  <c r="S203" i="20"/>
  <c r="R203" i="20"/>
  <c r="Q203" i="20"/>
  <c r="O203" i="20"/>
  <c r="N203" i="20"/>
  <c r="M203" i="20"/>
  <c r="L203" i="20"/>
  <c r="K203" i="20"/>
  <c r="I203" i="20"/>
  <c r="H203" i="20"/>
  <c r="G203" i="20"/>
  <c r="F203" i="20"/>
  <c r="E203" i="20"/>
  <c r="U202" i="20"/>
  <c r="T202" i="20"/>
  <c r="S202" i="20"/>
  <c r="R202" i="20"/>
  <c r="Q202" i="20"/>
  <c r="O202" i="20"/>
  <c r="N202" i="20"/>
  <c r="M202" i="20"/>
  <c r="L202" i="20"/>
  <c r="K202" i="20"/>
  <c r="I202" i="20"/>
  <c r="H202" i="20"/>
  <c r="G202" i="20"/>
  <c r="F202" i="20"/>
  <c r="E202" i="20"/>
  <c r="U201" i="20"/>
  <c r="T201" i="20"/>
  <c r="S201" i="20"/>
  <c r="R201" i="20"/>
  <c r="Q201" i="20"/>
  <c r="O201" i="20"/>
  <c r="N201" i="20"/>
  <c r="M201" i="20"/>
  <c r="L201" i="20"/>
  <c r="K201" i="20"/>
  <c r="I201" i="20"/>
  <c r="H201" i="20"/>
  <c r="G201" i="20"/>
  <c r="F201" i="20"/>
  <c r="E201" i="20"/>
  <c r="U200" i="20"/>
  <c r="T200" i="20"/>
  <c r="S200" i="20"/>
  <c r="R200" i="20"/>
  <c r="Q200" i="20"/>
  <c r="O200" i="20"/>
  <c r="N200" i="20"/>
  <c r="M200" i="20"/>
  <c r="L200" i="20"/>
  <c r="K200" i="20"/>
  <c r="I200" i="20"/>
  <c r="H200" i="20"/>
  <c r="G200" i="20"/>
  <c r="F200" i="20"/>
  <c r="E200" i="20"/>
  <c r="U199" i="20"/>
  <c r="T199" i="20"/>
  <c r="S199" i="20"/>
  <c r="R199" i="20"/>
  <c r="Q199" i="20"/>
  <c r="O199" i="20"/>
  <c r="N199" i="20"/>
  <c r="M199" i="20"/>
  <c r="L199" i="20"/>
  <c r="K199" i="20"/>
  <c r="I199" i="20"/>
  <c r="H199" i="20"/>
  <c r="G199" i="20"/>
  <c r="F199" i="20"/>
  <c r="E199" i="20"/>
  <c r="U198" i="20"/>
  <c r="T198" i="20"/>
  <c r="S198" i="20"/>
  <c r="R198" i="20"/>
  <c r="Q198" i="20"/>
  <c r="O198" i="20"/>
  <c r="N198" i="20"/>
  <c r="M198" i="20"/>
  <c r="L198" i="20"/>
  <c r="K198" i="20"/>
  <c r="I198" i="20"/>
  <c r="H198" i="20"/>
  <c r="G198" i="20"/>
  <c r="F198" i="20"/>
  <c r="E198" i="20"/>
  <c r="U197" i="20"/>
  <c r="T197" i="20"/>
  <c r="S197" i="20"/>
  <c r="R197" i="20"/>
  <c r="Q197" i="20"/>
  <c r="O197" i="20"/>
  <c r="N197" i="20"/>
  <c r="M197" i="20"/>
  <c r="L197" i="20"/>
  <c r="K197" i="20"/>
  <c r="I197" i="20"/>
  <c r="H197" i="20"/>
  <c r="G197" i="20"/>
  <c r="F197" i="20"/>
  <c r="E197" i="20"/>
  <c r="U196" i="20"/>
  <c r="T196" i="20"/>
  <c r="S196" i="20"/>
  <c r="R196" i="20"/>
  <c r="Q196" i="20"/>
  <c r="O196" i="20"/>
  <c r="N196" i="20"/>
  <c r="M196" i="20"/>
  <c r="L196" i="20"/>
  <c r="K196" i="20"/>
  <c r="I196" i="20"/>
  <c r="H196" i="20"/>
  <c r="G196" i="20"/>
  <c r="F196" i="20"/>
  <c r="E196" i="20"/>
  <c r="U195" i="20"/>
  <c r="T195" i="20"/>
  <c r="S195" i="20"/>
  <c r="R195" i="20"/>
  <c r="Q195" i="20"/>
  <c r="O195" i="20"/>
  <c r="N195" i="20"/>
  <c r="M195" i="20"/>
  <c r="L195" i="20"/>
  <c r="K195" i="20"/>
  <c r="I195" i="20"/>
  <c r="H195" i="20"/>
  <c r="G195" i="20"/>
  <c r="F195" i="20"/>
  <c r="E195" i="20"/>
  <c r="U194" i="20"/>
  <c r="T194" i="20"/>
  <c r="S194" i="20"/>
  <c r="R194" i="20"/>
  <c r="Q194" i="20"/>
  <c r="O194" i="20"/>
  <c r="N194" i="20"/>
  <c r="M194" i="20"/>
  <c r="L194" i="20"/>
  <c r="K194" i="20"/>
  <c r="I194" i="20"/>
  <c r="H194" i="20"/>
  <c r="G194" i="20"/>
  <c r="F194" i="20"/>
  <c r="E194" i="20"/>
  <c r="U193" i="20"/>
  <c r="T193" i="20"/>
  <c r="S193" i="20"/>
  <c r="R193" i="20"/>
  <c r="Q193" i="20"/>
  <c r="O193" i="20"/>
  <c r="N193" i="20"/>
  <c r="M193" i="20"/>
  <c r="L193" i="20"/>
  <c r="K193" i="20"/>
  <c r="I193" i="20"/>
  <c r="H193" i="20"/>
  <c r="G193" i="20"/>
  <c r="F193" i="20"/>
  <c r="E193" i="20"/>
  <c r="U192" i="20"/>
  <c r="T192" i="20"/>
  <c r="S192" i="20"/>
  <c r="R192" i="20"/>
  <c r="Q192" i="20"/>
  <c r="O192" i="20"/>
  <c r="N192" i="20"/>
  <c r="M192" i="20"/>
  <c r="L192" i="20"/>
  <c r="K192" i="20"/>
  <c r="I192" i="20"/>
  <c r="H192" i="20"/>
  <c r="G192" i="20"/>
  <c r="F192" i="20"/>
  <c r="E192" i="20"/>
  <c r="U191" i="20"/>
  <c r="T191" i="20"/>
  <c r="S191" i="20"/>
  <c r="R191" i="20"/>
  <c r="Q191" i="20"/>
  <c r="O191" i="20"/>
  <c r="N191" i="20"/>
  <c r="M191" i="20"/>
  <c r="L191" i="20"/>
  <c r="K191" i="20"/>
  <c r="I191" i="20"/>
  <c r="H191" i="20"/>
  <c r="G191" i="20"/>
  <c r="F191" i="20"/>
  <c r="E191" i="20"/>
  <c r="U190" i="20"/>
  <c r="T190" i="20"/>
  <c r="S190" i="20"/>
  <c r="R190" i="20"/>
  <c r="Q190" i="20"/>
  <c r="O190" i="20"/>
  <c r="N190" i="20"/>
  <c r="M190" i="20"/>
  <c r="L190" i="20"/>
  <c r="K190" i="20"/>
  <c r="I190" i="20"/>
  <c r="H190" i="20"/>
  <c r="G190" i="20"/>
  <c r="F190" i="20"/>
  <c r="E190" i="20"/>
  <c r="U189" i="20"/>
  <c r="T189" i="20"/>
  <c r="S189" i="20"/>
  <c r="R189" i="20"/>
  <c r="Q189" i="20"/>
  <c r="O189" i="20"/>
  <c r="N189" i="20"/>
  <c r="M189" i="20"/>
  <c r="L189" i="20"/>
  <c r="K189" i="20"/>
  <c r="I189" i="20"/>
  <c r="H189" i="20"/>
  <c r="G189" i="20"/>
  <c r="F189" i="20"/>
  <c r="E189" i="20"/>
  <c r="U188" i="20"/>
  <c r="T188" i="20"/>
  <c r="S188" i="20"/>
  <c r="R188" i="20"/>
  <c r="Q188" i="20"/>
  <c r="O188" i="20"/>
  <c r="N188" i="20"/>
  <c r="M188" i="20"/>
  <c r="L188" i="20"/>
  <c r="K188" i="20"/>
  <c r="I188" i="20"/>
  <c r="H188" i="20"/>
  <c r="G188" i="20"/>
  <c r="F188" i="20"/>
  <c r="E188" i="20"/>
  <c r="U187" i="20"/>
  <c r="T187" i="20"/>
  <c r="S187" i="20"/>
  <c r="R187" i="20"/>
  <c r="Q187" i="20"/>
  <c r="O187" i="20"/>
  <c r="N187" i="20"/>
  <c r="M187" i="20"/>
  <c r="L187" i="20"/>
  <c r="K187" i="20"/>
  <c r="I187" i="20"/>
  <c r="H187" i="20"/>
  <c r="G187" i="20"/>
  <c r="F187" i="20"/>
  <c r="E187" i="20"/>
  <c r="U186" i="20"/>
  <c r="T186" i="20"/>
  <c r="S186" i="20"/>
  <c r="R186" i="20"/>
  <c r="Q186" i="20"/>
  <c r="O186" i="20"/>
  <c r="N186" i="20"/>
  <c r="M186" i="20"/>
  <c r="L186" i="20"/>
  <c r="K186" i="20"/>
  <c r="I186" i="20"/>
  <c r="H186" i="20"/>
  <c r="G186" i="20"/>
  <c r="F186" i="20"/>
  <c r="E186" i="20"/>
  <c r="U185" i="20"/>
  <c r="T185" i="20"/>
  <c r="S185" i="20"/>
  <c r="R185" i="20"/>
  <c r="Q185" i="20"/>
  <c r="O185" i="20"/>
  <c r="N185" i="20"/>
  <c r="M185" i="20"/>
  <c r="L185" i="20"/>
  <c r="K185" i="20"/>
  <c r="I185" i="20"/>
  <c r="H185" i="20"/>
  <c r="G185" i="20"/>
  <c r="F185" i="20"/>
  <c r="E185" i="20"/>
  <c r="U184" i="20"/>
  <c r="T184" i="20"/>
  <c r="S184" i="20"/>
  <c r="R184" i="20"/>
  <c r="Q184" i="20"/>
  <c r="O184" i="20"/>
  <c r="N184" i="20"/>
  <c r="M184" i="20"/>
  <c r="L184" i="20"/>
  <c r="K184" i="20"/>
  <c r="I184" i="20"/>
  <c r="H184" i="20"/>
  <c r="G184" i="20"/>
  <c r="F184" i="20"/>
  <c r="E184" i="20"/>
  <c r="U183" i="20"/>
  <c r="T183" i="20"/>
  <c r="S183" i="20"/>
  <c r="R183" i="20"/>
  <c r="Q183" i="20"/>
  <c r="O183" i="20"/>
  <c r="N183" i="20"/>
  <c r="M183" i="20"/>
  <c r="L183" i="20"/>
  <c r="K183" i="20"/>
  <c r="I183" i="20"/>
  <c r="H183" i="20"/>
  <c r="G183" i="20"/>
  <c r="F183" i="20"/>
  <c r="E183" i="20"/>
  <c r="U182" i="20"/>
  <c r="T182" i="20"/>
  <c r="S182" i="20"/>
  <c r="R182" i="20"/>
  <c r="Q182" i="20"/>
  <c r="O182" i="20"/>
  <c r="N182" i="20"/>
  <c r="M182" i="20"/>
  <c r="L182" i="20"/>
  <c r="K182" i="20"/>
  <c r="I182" i="20"/>
  <c r="H182" i="20"/>
  <c r="G182" i="20"/>
  <c r="F182" i="20"/>
  <c r="E182" i="20"/>
  <c r="U181" i="20"/>
  <c r="T181" i="20"/>
  <c r="S181" i="20"/>
  <c r="R181" i="20"/>
  <c r="Q181" i="20"/>
  <c r="O181" i="20"/>
  <c r="N181" i="20"/>
  <c r="M181" i="20"/>
  <c r="L181" i="20"/>
  <c r="K181" i="20"/>
  <c r="I181" i="20"/>
  <c r="H181" i="20"/>
  <c r="G181" i="20"/>
  <c r="F181" i="20"/>
  <c r="E181" i="20"/>
  <c r="U180" i="20"/>
  <c r="T180" i="20"/>
  <c r="S180" i="20"/>
  <c r="R180" i="20"/>
  <c r="Q180" i="20"/>
  <c r="O180" i="20"/>
  <c r="N180" i="20"/>
  <c r="M180" i="20"/>
  <c r="L180" i="20"/>
  <c r="K180" i="20"/>
  <c r="I180" i="20"/>
  <c r="H180" i="20"/>
  <c r="G180" i="20"/>
  <c r="F180" i="20"/>
  <c r="E180" i="20"/>
  <c r="U179" i="20"/>
  <c r="T179" i="20"/>
  <c r="S179" i="20"/>
  <c r="R179" i="20"/>
  <c r="Q179" i="20"/>
  <c r="O179" i="20"/>
  <c r="N179" i="20"/>
  <c r="M179" i="20"/>
  <c r="L179" i="20"/>
  <c r="K179" i="20"/>
  <c r="I179" i="20"/>
  <c r="H179" i="20"/>
  <c r="G179" i="20"/>
  <c r="F179" i="20"/>
  <c r="E179" i="20"/>
  <c r="U178" i="20"/>
  <c r="T178" i="20"/>
  <c r="S178" i="20"/>
  <c r="R178" i="20"/>
  <c r="Q178" i="20"/>
  <c r="O178" i="20"/>
  <c r="N178" i="20"/>
  <c r="M178" i="20"/>
  <c r="L178" i="20"/>
  <c r="K178" i="20"/>
  <c r="I178" i="20"/>
  <c r="H178" i="20"/>
  <c r="G178" i="20"/>
  <c r="F178" i="20"/>
  <c r="E178" i="20"/>
  <c r="U177" i="20"/>
  <c r="T177" i="20"/>
  <c r="S177" i="20"/>
  <c r="R177" i="20"/>
  <c r="Q177" i="20"/>
  <c r="O177" i="20"/>
  <c r="N177" i="20"/>
  <c r="M177" i="20"/>
  <c r="L177" i="20"/>
  <c r="K177" i="20"/>
  <c r="I177" i="20"/>
  <c r="H177" i="20"/>
  <c r="G177" i="20"/>
  <c r="F177" i="20"/>
  <c r="E177" i="20"/>
  <c r="U176" i="20"/>
  <c r="T176" i="20"/>
  <c r="S176" i="20"/>
  <c r="R176" i="20"/>
  <c r="Q176" i="20"/>
  <c r="O176" i="20"/>
  <c r="N176" i="20"/>
  <c r="M176" i="20"/>
  <c r="L176" i="20"/>
  <c r="K176" i="20"/>
  <c r="I176" i="20"/>
  <c r="H176" i="20"/>
  <c r="G176" i="20"/>
  <c r="F176" i="20"/>
  <c r="E176" i="20"/>
  <c r="U175" i="20"/>
  <c r="T175" i="20"/>
  <c r="S175" i="20"/>
  <c r="R175" i="20"/>
  <c r="Q175" i="20"/>
  <c r="O175" i="20"/>
  <c r="N175" i="20"/>
  <c r="M175" i="20"/>
  <c r="L175" i="20"/>
  <c r="K175" i="20"/>
  <c r="I175" i="20"/>
  <c r="H175" i="20"/>
  <c r="G175" i="20"/>
  <c r="F175" i="20"/>
  <c r="E175" i="20"/>
  <c r="U174" i="20"/>
  <c r="T174" i="20"/>
  <c r="S174" i="20"/>
  <c r="R174" i="20"/>
  <c r="Q174" i="20"/>
  <c r="O174" i="20"/>
  <c r="N174" i="20"/>
  <c r="M174" i="20"/>
  <c r="L174" i="20"/>
  <c r="K174" i="20"/>
  <c r="I174" i="20"/>
  <c r="H174" i="20"/>
  <c r="G174" i="20"/>
  <c r="F174" i="20"/>
  <c r="E174" i="20"/>
  <c r="U173" i="20"/>
  <c r="T173" i="20"/>
  <c r="S173" i="20"/>
  <c r="R173" i="20"/>
  <c r="Q173" i="20"/>
  <c r="O173" i="20"/>
  <c r="N173" i="20"/>
  <c r="M173" i="20"/>
  <c r="L173" i="20"/>
  <c r="K173" i="20"/>
  <c r="I173" i="20"/>
  <c r="H173" i="20"/>
  <c r="G173" i="20"/>
  <c r="F173" i="20"/>
  <c r="E173" i="20"/>
  <c r="U172" i="20"/>
  <c r="T172" i="20"/>
  <c r="S172" i="20"/>
  <c r="R172" i="20"/>
  <c r="Q172" i="20"/>
  <c r="O172" i="20"/>
  <c r="N172" i="20"/>
  <c r="M172" i="20"/>
  <c r="L172" i="20"/>
  <c r="K172" i="20"/>
  <c r="I172" i="20"/>
  <c r="H172" i="20"/>
  <c r="G172" i="20"/>
  <c r="F172" i="20"/>
  <c r="E172" i="20"/>
  <c r="U171" i="20"/>
  <c r="T171" i="20"/>
  <c r="S171" i="20"/>
  <c r="R171" i="20"/>
  <c r="Q171" i="20"/>
  <c r="O171" i="20"/>
  <c r="N171" i="20"/>
  <c r="M171" i="20"/>
  <c r="L171" i="20"/>
  <c r="K171" i="20"/>
  <c r="I171" i="20"/>
  <c r="H171" i="20"/>
  <c r="G171" i="20"/>
  <c r="F171" i="20"/>
  <c r="E171" i="20"/>
  <c r="U170" i="20"/>
  <c r="T170" i="20"/>
  <c r="S170" i="20"/>
  <c r="R170" i="20"/>
  <c r="Q170" i="20"/>
  <c r="O170" i="20"/>
  <c r="N170" i="20"/>
  <c r="M170" i="20"/>
  <c r="L170" i="20"/>
  <c r="K170" i="20"/>
  <c r="I170" i="20"/>
  <c r="H170" i="20"/>
  <c r="G170" i="20"/>
  <c r="F170" i="20"/>
  <c r="E170" i="20"/>
  <c r="U169" i="20"/>
  <c r="T169" i="20"/>
  <c r="S169" i="20"/>
  <c r="R169" i="20"/>
  <c r="Q169" i="20"/>
  <c r="O169" i="20"/>
  <c r="N169" i="20"/>
  <c r="M169" i="20"/>
  <c r="L169" i="20"/>
  <c r="K169" i="20"/>
  <c r="I169" i="20"/>
  <c r="H169" i="20"/>
  <c r="G169" i="20"/>
  <c r="F169" i="20"/>
  <c r="E169" i="20"/>
  <c r="U168" i="20"/>
  <c r="T168" i="20"/>
  <c r="S168" i="20"/>
  <c r="R168" i="20"/>
  <c r="Q168" i="20"/>
  <c r="O168" i="20"/>
  <c r="N168" i="20"/>
  <c r="M168" i="20"/>
  <c r="L168" i="20"/>
  <c r="K168" i="20"/>
  <c r="I168" i="20"/>
  <c r="H168" i="20"/>
  <c r="G168" i="20"/>
  <c r="F168" i="20"/>
  <c r="E168" i="20"/>
  <c r="U167" i="20"/>
  <c r="T167" i="20"/>
  <c r="S167" i="20"/>
  <c r="R167" i="20"/>
  <c r="Q167" i="20"/>
  <c r="O167" i="20"/>
  <c r="N167" i="20"/>
  <c r="M167" i="20"/>
  <c r="L167" i="20"/>
  <c r="K167" i="20"/>
  <c r="I167" i="20"/>
  <c r="H167" i="20"/>
  <c r="G167" i="20"/>
  <c r="F167" i="20"/>
  <c r="E167" i="20"/>
  <c r="U166" i="20"/>
  <c r="T166" i="20"/>
  <c r="S166" i="20"/>
  <c r="R166" i="20"/>
  <c r="Q166" i="20"/>
  <c r="O166" i="20"/>
  <c r="N166" i="20"/>
  <c r="M166" i="20"/>
  <c r="L166" i="20"/>
  <c r="K166" i="20"/>
  <c r="I166" i="20"/>
  <c r="H166" i="20"/>
  <c r="G166" i="20"/>
  <c r="F166" i="20"/>
  <c r="E166" i="20"/>
  <c r="U165" i="20"/>
  <c r="T165" i="20"/>
  <c r="S165" i="20"/>
  <c r="R165" i="20"/>
  <c r="Q165" i="20"/>
  <c r="O165" i="20"/>
  <c r="N165" i="20"/>
  <c r="M165" i="20"/>
  <c r="L165" i="20"/>
  <c r="K165" i="20"/>
  <c r="I165" i="20"/>
  <c r="H165" i="20"/>
  <c r="G165" i="20"/>
  <c r="F165" i="20"/>
  <c r="E165" i="20"/>
  <c r="U164" i="20"/>
  <c r="T164" i="20"/>
  <c r="S164" i="20"/>
  <c r="R164" i="20"/>
  <c r="Q164" i="20"/>
  <c r="O164" i="20"/>
  <c r="N164" i="20"/>
  <c r="M164" i="20"/>
  <c r="L164" i="20"/>
  <c r="K164" i="20"/>
  <c r="I164" i="20"/>
  <c r="H164" i="20"/>
  <c r="G164" i="20"/>
  <c r="F164" i="20"/>
  <c r="E164" i="20"/>
  <c r="U163" i="20"/>
  <c r="T163" i="20"/>
  <c r="S163" i="20"/>
  <c r="R163" i="20"/>
  <c r="Q163" i="20"/>
  <c r="O163" i="20"/>
  <c r="N163" i="20"/>
  <c r="M163" i="20"/>
  <c r="L163" i="20"/>
  <c r="K163" i="20"/>
  <c r="I163" i="20"/>
  <c r="H163" i="20"/>
  <c r="G163" i="20"/>
  <c r="F163" i="20"/>
  <c r="E163" i="20"/>
  <c r="U162" i="20"/>
  <c r="T162" i="20"/>
  <c r="S162" i="20"/>
  <c r="R162" i="20"/>
  <c r="Q162" i="20"/>
  <c r="O162" i="20"/>
  <c r="N162" i="20"/>
  <c r="M162" i="20"/>
  <c r="L162" i="20"/>
  <c r="K162" i="20"/>
  <c r="I162" i="20"/>
  <c r="H162" i="20"/>
  <c r="G162" i="20"/>
  <c r="F162" i="20"/>
  <c r="E162" i="20"/>
  <c r="U161" i="20"/>
  <c r="T161" i="20"/>
  <c r="S161" i="20"/>
  <c r="R161" i="20"/>
  <c r="Q161" i="20"/>
  <c r="O161" i="20"/>
  <c r="N161" i="20"/>
  <c r="M161" i="20"/>
  <c r="L161" i="20"/>
  <c r="K161" i="20"/>
  <c r="I161" i="20"/>
  <c r="H161" i="20"/>
  <c r="G161" i="20"/>
  <c r="F161" i="20"/>
  <c r="E161" i="20"/>
  <c r="U160" i="20"/>
  <c r="T160" i="20"/>
  <c r="S160" i="20"/>
  <c r="R160" i="20"/>
  <c r="Q160" i="20"/>
  <c r="O160" i="20"/>
  <c r="N160" i="20"/>
  <c r="M160" i="20"/>
  <c r="L160" i="20"/>
  <c r="K160" i="20"/>
  <c r="I160" i="20"/>
  <c r="H160" i="20"/>
  <c r="G160" i="20"/>
  <c r="F160" i="20"/>
  <c r="E160" i="20"/>
  <c r="U159" i="20"/>
  <c r="T159" i="20"/>
  <c r="S159" i="20"/>
  <c r="R159" i="20"/>
  <c r="Q159" i="20"/>
  <c r="O159" i="20"/>
  <c r="N159" i="20"/>
  <c r="M159" i="20"/>
  <c r="L159" i="20"/>
  <c r="K159" i="20"/>
  <c r="I159" i="20"/>
  <c r="H159" i="20"/>
  <c r="G159" i="20"/>
  <c r="F159" i="20"/>
  <c r="E159" i="20"/>
  <c r="U158" i="20"/>
  <c r="T158" i="20"/>
  <c r="S158" i="20"/>
  <c r="R158" i="20"/>
  <c r="Q158" i="20"/>
  <c r="O158" i="20"/>
  <c r="N158" i="20"/>
  <c r="M158" i="20"/>
  <c r="L158" i="20"/>
  <c r="K158" i="20"/>
  <c r="I158" i="20"/>
  <c r="H158" i="20"/>
  <c r="G158" i="20"/>
  <c r="F158" i="20"/>
  <c r="E158" i="20"/>
  <c r="U157" i="20"/>
  <c r="T157" i="20"/>
  <c r="S157" i="20"/>
  <c r="R157" i="20"/>
  <c r="Q157" i="20"/>
  <c r="O157" i="20"/>
  <c r="N157" i="20"/>
  <c r="M157" i="20"/>
  <c r="L157" i="20"/>
  <c r="K157" i="20"/>
  <c r="I157" i="20"/>
  <c r="H157" i="20"/>
  <c r="G157" i="20"/>
  <c r="F157" i="20"/>
  <c r="E157" i="20"/>
  <c r="U156" i="20"/>
  <c r="T156" i="20"/>
  <c r="S156" i="20"/>
  <c r="R156" i="20"/>
  <c r="Q156" i="20"/>
  <c r="O156" i="20"/>
  <c r="N156" i="20"/>
  <c r="M156" i="20"/>
  <c r="L156" i="20"/>
  <c r="K156" i="20"/>
  <c r="I156" i="20"/>
  <c r="H156" i="20"/>
  <c r="G156" i="20"/>
  <c r="F156" i="20"/>
  <c r="E156" i="20"/>
  <c r="U155" i="20"/>
  <c r="T155" i="20"/>
  <c r="S155" i="20"/>
  <c r="R155" i="20"/>
  <c r="Q155" i="20"/>
  <c r="O155" i="20"/>
  <c r="N155" i="20"/>
  <c r="M155" i="20"/>
  <c r="L155" i="20"/>
  <c r="K155" i="20"/>
  <c r="I155" i="20"/>
  <c r="H155" i="20"/>
  <c r="G155" i="20"/>
  <c r="F155" i="20"/>
  <c r="E155" i="20"/>
  <c r="U154" i="20"/>
  <c r="T154" i="20"/>
  <c r="S154" i="20"/>
  <c r="R154" i="20"/>
  <c r="Q154" i="20"/>
  <c r="O154" i="20"/>
  <c r="N154" i="20"/>
  <c r="M154" i="20"/>
  <c r="L154" i="20"/>
  <c r="K154" i="20"/>
  <c r="I154" i="20"/>
  <c r="H154" i="20"/>
  <c r="G154" i="20"/>
  <c r="F154" i="20"/>
  <c r="E154" i="20"/>
  <c r="U153" i="20"/>
  <c r="T153" i="20"/>
  <c r="S153" i="20"/>
  <c r="R153" i="20"/>
  <c r="Q153" i="20"/>
  <c r="O153" i="20"/>
  <c r="N153" i="20"/>
  <c r="M153" i="20"/>
  <c r="L153" i="20"/>
  <c r="K153" i="20"/>
  <c r="I153" i="20"/>
  <c r="H153" i="20"/>
  <c r="G153" i="20"/>
  <c r="F153" i="20"/>
  <c r="E153" i="20"/>
  <c r="U152" i="20"/>
  <c r="T152" i="20"/>
  <c r="S152" i="20"/>
  <c r="R152" i="20"/>
  <c r="Q152" i="20"/>
  <c r="O152" i="20"/>
  <c r="N152" i="20"/>
  <c r="M152" i="20"/>
  <c r="L152" i="20"/>
  <c r="K152" i="20"/>
  <c r="I152" i="20"/>
  <c r="H152" i="20"/>
  <c r="G152" i="20"/>
  <c r="F152" i="20"/>
  <c r="E152" i="20"/>
  <c r="U151" i="20"/>
  <c r="T151" i="20"/>
  <c r="S151" i="20"/>
  <c r="R151" i="20"/>
  <c r="Q151" i="20"/>
  <c r="O151" i="20"/>
  <c r="N151" i="20"/>
  <c r="M151" i="20"/>
  <c r="L151" i="20"/>
  <c r="K151" i="20"/>
  <c r="I151" i="20"/>
  <c r="H151" i="20"/>
  <c r="G151" i="20"/>
  <c r="F151" i="20"/>
  <c r="E151" i="20"/>
  <c r="U150" i="20"/>
  <c r="T150" i="20"/>
  <c r="S150" i="20"/>
  <c r="R150" i="20"/>
  <c r="Q150" i="20"/>
  <c r="O150" i="20"/>
  <c r="N150" i="20"/>
  <c r="M150" i="20"/>
  <c r="L150" i="20"/>
  <c r="K150" i="20"/>
  <c r="I150" i="20"/>
  <c r="H150" i="20"/>
  <c r="G150" i="20"/>
  <c r="F150" i="20"/>
  <c r="E150" i="20"/>
  <c r="U149" i="20"/>
  <c r="T149" i="20"/>
  <c r="S149" i="20"/>
  <c r="R149" i="20"/>
  <c r="Q149" i="20"/>
  <c r="O149" i="20"/>
  <c r="N149" i="20"/>
  <c r="M149" i="20"/>
  <c r="L149" i="20"/>
  <c r="K149" i="20"/>
  <c r="I149" i="20"/>
  <c r="H149" i="20"/>
  <c r="G149" i="20"/>
  <c r="F149" i="20"/>
  <c r="E149" i="20"/>
  <c r="U148" i="20"/>
  <c r="T148" i="20"/>
  <c r="S148" i="20"/>
  <c r="R148" i="20"/>
  <c r="Q148" i="20"/>
  <c r="O148" i="20"/>
  <c r="N148" i="20"/>
  <c r="M148" i="20"/>
  <c r="L148" i="20"/>
  <c r="K148" i="20"/>
  <c r="I148" i="20"/>
  <c r="H148" i="20"/>
  <c r="G148" i="20"/>
  <c r="F148" i="20"/>
  <c r="E148" i="20"/>
  <c r="U147" i="20"/>
  <c r="T147" i="20"/>
  <c r="S147" i="20"/>
  <c r="R147" i="20"/>
  <c r="Q147" i="20"/>
  <c r="O147" i="20"/>
  <c r="N147" i="20"/>
  <c r="M147" i="20"/>
  <c r="L147" i="20"/>
  <c r="K147" i="20"/>
  <c r="I147" i="20"/>
  <c r="H147" i="20"/>
  <c r="G147" i="20"/>
  <c r="F147" i="20"/>
  <c r="E147" i="20"/>
  <c r="U146" i="20"/>
  <c r="T146" i="20"/>
  <c r="S146" i="20"/>
  <c r="R146" i="20"/>
  <c r="Q146" i="20"/>
  <c r="O146" i="20"/>
  <c r="N146" i="20"/>
  <c r="M146" i="20"/>
  <c r="L146" i="20"/>
  <c r="K146" i="20"/>
  <c r="I146" i="20"/>
  <c r="H146" i="20"/>
  <c r="G146" i="20"/>
  <c r="F146" i="20"/>
  <c r="E146" i="20"/>
  <c r="U145" i="20"/>
  <c r="T145" i="20"/>
  <c r="S145" i="20"/>
  <c r="R145" i="20"/>
  <c r="Q145" i="20"/>
  <c r="O145" i="20"/>
  <c r="N145" i="20"/>
  <c r="M145" i="20"/>
  <c r="L145" i="20"/>
  <c r="K145" i="20"/>
  <c r="I145" i="20"/>
  <c r="H145" i="20"/>
  <c r="G145" i="20"/>
  <c r="F145" i="20"/>
  <c r="E145" i="20"/>
  <c r="U144" i="20"/>
  <c r="T144" i="20"/>
  <c r="S144" i="20"/>
  <c r="R144" i="20"/>
  <c r="Q144" i="20"/>
  <c r="O144" i="20"/>
  <c r="N144" i="20"/>
  <c r="M144" i="20"/>
  <c r="L144" i="20"/>
  <c r="K144" i="20"/>
  <c r="I144" i="20"/>
  <c r="H144" i="20"/>
  <c r="G144" i="20"/>
  <c r="F144" i="20"/>
  <c r="E144" i="20"/>
  <c r="U143" i="20"/>
  <c r="T143" i="20"/>
  <c r="S143" i="20"/>
  <c r="R143" i="20"/>
  <c r="Q143" i="20"/>
  <c r="O143" i="20"/>
  <c r="N143" i="20"/>
  <c r="M143" i="20"/>
  <c r="L143" i="20"/>
  <c r="K143" i="20"/>
  <c r="I143" i="20"/>
  <c r="H143" i="20"/>
  <c r="G143" i="20"/>
  <c r="F143" i="20"/>
  <c r="E143" i="20"/>
  <c r="U142" i="20"/>
  <c r="T142" i="20"/>
  <c r="S142" i="20"/>
  <c r="R142" i="20"/>
  <c r="Q142" i="20"/>
  <c r="O142" i="20"/>
  <c r="N142" i="20"/>
  <c r="M142" i="20"/>
  <c r="L142" i="20"/>
  <c r="K142" i="20"/>
  <c r="I142" i="20"/>
  <c r="H142" i="20"/>
  <c r="G142" i="20"/>
  <c r="F142" i="20"/>
  <c r="E142" i="20"/>
  <c r="U141" i="20"/>
  <c r="T141" i="20"/>
  <c r="S141" i="20"/>
  <c r="R141" i="20"/>
  <c r="Q141" i="20"/>
  <c r="O141" i="20"/>
  <c r="N141" i="20"/>
  <c r="M141" i="20"/>
  <c r="L141" i="20"/>
  <c r="K141" i="20"/>
  <c r="I141" i="20"/>
  <c r="H141" i="20"/>
  <c r="G141" i="20"/>
  <c r="F141" i="20"/>
  <c r="E141" i="20"/>
  <c r="U140" i="20"/>
  <c r="T140" i="20"/>
  <c r="S140" i="20"/>
  <c r="R140" i="20"/>
  <c r="Q140" i="20"/>
  <c r="O140" i="20"/>
  <c r="N140" i="20"/>
  <c r="M140" i="20"/>
  <c r="L140" i="20"/>
  <c r="K140" i="20"/>
  <c r="I140" i="20"/>
  <c r="H140" i="20"/>
  <c r="G140" i="20"/>
  <c r="F140" i="20"/>
  <c r="E140" i="20"/>
  <c r="U139" i="20"/>
  <c r="T139" i="20"/>
  <c r="S139" i="20"/>
  <c r="R139" i="20"/>
  <c r="Q139" i="20"/>
  <c r="O139" i="20"/>
  <c r="N139" i="20"/>
  <c r="M139" i="20"/>
  <c r="L139" i="20"/>
  <c r="K139" i="20"/>
  <c r="I139" i="20"/>
  <c r="H139" i="20"/>
  <c r="G139" i="20"/>
  <c r="F139" i="20"/>
  <c r="E139" i="20"/>
  <c r="U138" i="20"/>
  <c r="T138" i="20"/>
  <c r="S138" i="20"/>
  <c r="R138" i="20"/>
  <c r="Q138" i="20"/>
  <c r="O138" i="20"/>
  <c r="N138" i="20"/>
  <c r="M138" i="20"/>
  <c r="L138" i="20"/>
  <c r="K138" i="20"/>
  <c r="I138" i="20"/>
  <c r="H138" i="20"/>
  <c r="G138" i="20"/>
  <c r="F138" i="20"/>
  <c r="E138" i="20"/>
  <c r="U137" i="20"/>
  <c r="T137" i="20"/>
  <c r="S137" i="20"/>
  <c r="R137" i="20"/>
  <c r="Q137" i="20"/>
  <c r="O137" i="20"/>
  <c r="N137" i="20"/>
  <c r="M137" i="20"/>
  <c r="L137" i="20"/>
  <c r="K137" i="20"/>
  <c r="I137" i="20"/>
  <c r="H137" i="20"/>
  <c r="G137" i="20"/>
  <c r="F137" i="20"/>
  <c r="E137" i="20"/>
  <c r="U136" i="20"/>
  <c r="T136" i="20"/>
  <c r="S136" i="20"/>
  <c r="R136" i="20"/>
  <c r="Q136" i="20"/>
  <c r="O136" i="20"/>
  <c r="N136" i="20"/>
  <c r="M136" i="20"/>
  <c r="L136" i="20"/>
  <c r="K136" i="20"/>
  <c r="I136" i="20"/>
  <c r="H136" i="20"/>
  <c r="G136" i="20"/>
  <c r="F136" i="20"/>
  <c r="E136" i="20"/>
  <c r="U135" i="20"/>
  <c r="T135" i="20"/>
  <c r="S135" i="20"/>
  <c r="R135" i="20"/>
  <c r="Q135" i="20"/>
  <c r="O135" i="20"/>
  <c r="N135" i="20"/>
  <c r="M135" i="20"/>
  <c r="L135" i="20"/>
  <c r="K135" i="20"/>
  <c r="I135" i="20"/>
  <c r="H135" i="20"/>
  <c r="G135" i="20"/>
  <c r="F135" i="20"/>
  <c r="E135" i="20"/>
  <c r="U134" i="20"/>
  <c r="T134" i="20"/>
  <c r="S134" i="20"/>
  <c r="R134" i="20"/>
  <c r="Q134" i="20"/>
  <c r="O134" i="20"/>
  <c r="N134" i="20"/>
  <c r="M134" i="20"/>
  <c r="L134" i="20"/>
  <c r="K134" i="20"/>
  <c r="I134" i="20"/>
  <c r="H134" i="20"/>
  <c r="G134" i="20"/>
  <c r="F134" i="20"/>
  <c r="E134" i="20"/>
  <c r="U133" i="20"/>
  <c r="T133" i="20"/>
  <c r="S133" i="20"/>
  <c r="R133" i="20"/>
  <c r="Q133" i="20"/>
  <c r="O133" i="20"/>
  <c r="N133" i="20"/>
  <c r="M133" i="20"/>
  <c r="L133" i="20"/>
  <c r="K133" i="20"/>
  <c r="I133" i="20"/>
  <c r="H133" i="20"/>
  <c r="G133" i="20"/>
  <c r="F133" i="20"/>
  <c r="E133" i="20"/>
  <c r="U132" i="20"/>
  <c r="T132" i="20"/>
  <c r="S132" i="20"/>
  <c r="R132" i="20"/>
  <c r="Q132" i="20"/>
  <c r="O132" i="20"/>
  <c r="N132" i="20"/>
  <c r="M132" i="20"/>
  <c r="L132" i="20"/>
  <c r="K132" i="20"/>
  <c r="I132" i="20"/>
  <c r="H132" i="20"/>
  <c r="G132" i="20"/>
  <c r="F132" i="20"/>
  <c r="E132" i="20"/>
  <c r="U131" i="20"/>
  <c r="T131" i="20"/>
  <c r="S131" i="20"/>
  <c r="R131" i="20"/>
  <c r="Q131" i="20"/>
  <c r="O131" i="20"/>
  <c r="N131" i="20"/>
  <c r="M131" i="20"/>
  <c r="L131" i="20"/>
  <c r="K131" i="20"/>
  <c r="I131" i="20"/>
  <c r="H131" i="20"/>
  <c r="G131" i="20"/>
  <c r="F131" i="20"/>
  <c r="E131" i="20"/>
  <c r="U130" i="20"/>
  <c r="T130" i="20"/>
  <c r="S130" i="20"/>
  <c r="R130" i="20"/>
  <c r="Q130" i="20"/>
  <c r="O130" i="20"/>
  <c r="N130" i="20"/>
  <c r="M130" i="20"/>
  <c r="L130" i="20"/>
  <c r="K130" i="20"/>
  <c r="I130" i="20"/>
  <c r="H130" i="20"/>
  <c r="G130" i="20"/>
  <c r="F130" i="20"/>
  <c r="E130" i="20"/>
  <c r="U129" i="20"/>
  <c r="T129" i="20"/>
  <c r="S129" i="20"/>
  <c r="R129" i="20"/>
  <c r="Q129" i="20"/>
  <c r="O129" i="20"/>
  <c r="N129" i="20"/>
  <c r="M129" i="20"/>
  <c r="L129" i="20"/>
  <c r="K129" i="20"/>
  <c r="I129" i="20"/>
  <c r="H129" i="20"/>
  <c r="G129" i="20"/>
  <c r="F129" i="20"/>
  <c r="E129" i="20"/>
  <c r="U128" i="20"/>
  <c r="T128" i="20"/>
  <c r="S128" i="20"/>
  <c r="R128" i="20"/>
  <c r="Q128" i="20"/>
  <c r="O128" i="20"/>
  <c r="N128" i="20"/>
  <c r="M128" i="20"/>
  <c r="L128" i="20"/>
  <c r="K128" i="20"/>
  <c r="I128" i="20"/>
  <c r="H128" i="20"/>
  <c r="G128" i="20"/>
  <c r="F128" i="20"/>
  <c r="E128" i="20"/>
  <c r="U127" i="20"/>
  <c r="T127" i="20"/>
  <c r="S127" i="20"/>
  <c r="R127" i="20"/>
  <c r="Q127" i="20"/>
  <c r="O127" i="20"/>
  <c r="N127" i="20"/>
  <c r="M127" i="20"/>
  <c r="L127" i="20"/>
  <c r="K127" i="20"/>
  <c r="I127" i="20"/>
  <c r="H127" i="20"/>
  <c r="G127" i="20"/>
  <c r="F127" i="20"/>
  <c r="E127" i="20"/>
  <c r="U126" i="20"/>
  <c r="T126" i="20"/>
  <c r="S126" i="20"/>
  <c r="R126" i="20"/>
  <c r="Q126" i="20"/>
  <c r="O126" i="20"/>
  <c r="N126" i="20"/>
  <c r="M126" i="20"/>
  <c r="L126" i="20"/>
  <c r="K126" i="20"/>
  <c r="I126" i="20"/>
  <c r="H126" i="20"/>
  <c r="G126" i="20"/>
  <c r="F126" i="20"/>
  <c r="E126" i="20"/>
  <c r="U125" i="20"/>
  <c r="T125" i="20"/>
  <c r="S125" i="20"/>
  <c r="R125" i="20"/>
  <c r="Q125" i="20"/>
  <c r="O125" i="20"/>
  <c r="N125" i="20"/>
  <c r="M125" i="20"/>
  <c r="L125" i="20"/>
  <c r="K125" i="20"/>
  <c r="I125" i="20"/>
  <c r="H125" i="20"/>
  <c r="G125" i="20"/>
  <c r="F125" i="20"/>
  <c r="E125" i="20"/>
  <c r="U124" i="20"/>
  <c r="T124" i="20"/>
  <c r="S124" i="20"/>
  <c r="R124" i="20"/>
  <c r="Q124" i="20"/>
  <c r="O124" i="20"/>
  <c r="N124" i="20"/>
  <c r="M124" i="20"/>
  <c r="L124" i="20"/>
  <c r="K124" i="20"/>
  <c r="I124" i="20"/>
  <c r="H124" i="20"/>
  <c r="G124" i="20"/>
  <c r="F124" i="20"/>
  <c r="E124" i="20"/>
  <c r="U123" i="20"/>
  <c r="T123" i="20"/>
  <c r="S123" i="20"/>
  <c r="R123" i="20"/>
  <c r="Q123" i="20"/>
  <c r="O123" i="20"/>
  <c r="N123" i="20"/>
  <c r="M123" i="20"/>
  <c r="L123" i="20"/>
  <c r="K123" i="20"/>
  <c r="I123" i="20"/>
  <c r="H123" i="20"/>
  <c r="G123" i="20"/>
  <c r="F123" i="20"/>
  <c r="E123" i="20"/>
  <c r="U122" i="20"/>
  <c r="T122" i="20"/>
  <c r="S122" i="20"/>
  <c r="R122" i="20"/>
  <c r="Q122" i="20"/>
  <c r="O122" i="20"/>
  <c r="N122" i="20"/>
  <c r="M122" i="20"/>
  <c r="L122" i="20"/>
  <c r="K122" i="20"/>
  <c r="I122" i="20"/>
  <c r="H122" i="20"/>
  <c r="G122" i="20"/>
  <c r="F122" i="20"/>
  <c r="E122" i="20"/>
  <c r="U121" i="20"/>
  <c r="T121" i="20"/>
  <c r="S121" i="20"/>
  <c r="R121" i="20"/>
  <c r="Q121" i="20"/>
  <c r="O121" i="20"/>
  <c r="N121" i="20"/>
  <c r="M121" i="20"/>
  <c r="L121" i="20"/>
  <c r="K121" i="20"/>
  <c r="I121" i="20"/>
  <c r="H121" i="20"/>
  <c r="G121" i="20"/>
  <c r="F121" i="20"/>
  <c r="E121" i="20"/>
  <c r="U120" i="20"/>
  <c r="T120" i="20"/>
  <c r="S120" i="20"/>
  <c r="R120" i="20"/>
  <c r="Q120" i="20"/>
  <c r="O120" i="20"/>
  <c r="N120" i="20"/>
  <c r="M120" i="20"/>
  <c r="L120" i="20"/>
  <c r="K120" i="20"/>
  <c r="I120" i="20"/>
  <c r="H120" i="20"/>
  <c r="G120" i="20"/>
  <c r="F120" i="20"/>
  <c r="E120" i="20"/>
  <c r="U119" i="20"/>
  <c r="T119" i="20"/>
  <c r="S119" i="20"/>
  <c r="R119" i="20"/>
  <c r="Q119" i="20"/>
  <c r="O119" i="20"/>
  <c r="N119" i="20"/>
  <c r="M119" i="20"/>
  <c r="L119" i="20"/>
  <c r="K119" i="20"/>
  <c r="I119" i="20"/>
  <c r="H119" i="20"/>
  <c r="G119" i="20"/>
  <c r="F119" i="20"/>
  <c r="E119" i="20"/>
  <c r="U118" i="20"/>
  <c r="T118" i="20"/>
  <c r="S118" i="20"/>
  <c r="R118" i="20"/>
  <c r="Q118" i="20"/>
  <c r="O118" i="20"/>
  <c r="N118" i="20"/>
  <c r="M118" i="20"/>
  <c r="L118" i="20"/>
  <c r="K118" i="20"/>
  <c r="I118" i="20"/>
  <c r="H118" i="20"/>
  <c r="G118" i="20"/>
  <c r="F118" i="20"/>
  <c r="E118" i="20"/>
  <c r="U117" i="20"/>
  <c r="T117" i="20"/>
  <c r="S117" i="20"/>
  <c r="R117" i="20"/>
  <c r="Q117" i="20"/>
  <c r="O117" i="20"/>
  <c r="N117" i="20"/>
  <c r="M117" i="20"/>
  <c r="L117" i="20"/>
  <c r="K117" i="20"/>
  <c r="I117" i="20"/>
  <c r="H117" i="20"/>
  <c r="G117" i="20"/>
  <c r="F117" i="20"/>
  <c r="E117" i="20"/>
  <c r="U116" i="20"/>
  <c r="T116" i="20"/>
  <c r="S116" i="20"/>
  <c r="R116" i="20"/>
  <c r="Q116" i="20"/>
  <c r="O116" i="20"/>
  <c r="N116" i="20"/>
  <c r="M116" i="20"/>
  <c r="L116" i="20"/>
  <c r="K116" i="20"/>
  <c r="I116" i="20"/>
  <c r="H116" i="20"/>
  <c r="G116" i="20"/>
  <c r="F116" i="20"/>
  <c r="E116" i="20"/>
  <c r="U115" i="20"/>
  <c r="T115" i="20"/>
  <c r="S115" i="20"/>
  <c r="R115" i="20"/>
  <c r="Q115" i="20"/>
  <c r="O115" i="20"/>
  <c r="N115" i="20"/>
  <c r="M115" i="20"/>
  <c r="L115" i="20"/>
  <c r="K115" i="20"/>
  <c r="I115" i="20"/>
  <c r="H115" i="20"/>
  <c r="G115" i="20"/>
  <c r="F115" i="20"/>
  <c r="E115" i="20"/>
  <c r="U114" i="20"/>
  <c r="T114" i="20"/>
  <c r="S114" i="20"/>
  <c r="R114" i="20"/>
  <c r="Q114" i="20"/>
  <c r="O114" i="20"/>
  <c r="N114" i="20"/>
  <c r="M114" i="20"/>
  <c r="L114" i="20"/>
  <c r="K114" i="20"/>
  <c r="I114" i="20"/>
  <c r="H114" i="20"/>
  <c r="G114" i="20"/>
  <c r="F114" i="20"/>
  <c r="E114" i="20"/>
  <c r="U113" i="20"/>
  <c r="T113" i="20"/>
  <c r="S113" i="20"/>
  <c r="R113" i="20"/>
  <c r="Q113" i="20"/>
  <c r="O113" i="20"/>
  <c r="N113" i="20"/>
  <c r="M113" i="20"/>
  <c r="L113" i="20"/>
  <c r="K113" i="20"/>
  <c r="I113" i="20"/>
  <c r="H113" i="20"/>
  <c r="G113" i="20"/>
  <c r="F113" i="20"/>
  <c r="E113" i="20"/>
  <c r="U112" i="20"/>
  <c r="T112" i="20"/>
  <c r="S112" i="20"/>
  <c r="R112" i="20"/>
  <c r="Q112" i="20"/>
  <c r="O112" i="20"/>
  <c r="N112" i="20"/>
  <c r="M112" i="20"/>
  <c r="L112" i="20"/>
  <c r="K112" i="20"/>
  <c r="I112" i="20"/>
  <c r="H112" i="20"/>
  <c r="G112" i="20"/>
  <c r="F112" i="20"/>
  <c r="E112" i="20"/>
  <c r="U111" i="20"/>
  <c r="T111" i="20"/>
  <c r="S111" i="20"/>
  <c r="R111" i="20"/>
  <c r="Q111" i="20"/>
  <c r="O111" i="20"/>
  <c r="N111" i="20"/>
  <c r="M111" i="20"/>
  <c r="L111" i="20"/>
  <c r="K111" i="20"/>
  <c r="I111" i="20"/>
  <c r="H111" i="20"/>
  <c r="G111" i="20"/>
  <c r="F111" i="20"/>
  <c r="E111" i="20"/>
  <c r="U110" i="20"/>
  <c r="T110" i="20"/>
  <c r="S110" i="20"/>
  <c r="R110" i="20"/>
  <c r="Q110" i="20"/>
  <c r="O110" i="20"/>
  <c r="N110" i="20"/>
  <c r="M110" i="20"/>
  <c r="L110" i="20"/>
  <c r="K110" i="20"/>
  <c r="I110" i="20"/>
  <c r="H110" i="20"/>
  <c r="G110" i="20"/>
  <c r="F110" i="20"/>
  <c r="E110" i="20"/>
  <c r="U109" i="20"/>
  <c r="T109" i="20"/>
  <c r="S109" i="20"/>
  <c r="R109" i="20"/>
  <c r="Q109" i="20"/>
  <c r="O109" i="20"/>
  <c r="N109" i="20"/>
  <c r="M109" i="20"/>
  <c r="L109" i="20"/>
  <c r="K109" i="20"/>
  <c r="I109" i="20"/>
  <c r="H109" i="20"/>
  <c r="G109" i="20"/>
  <c r="F109" i="20"/>
  <c r="E109" i="20"/>
  <c r="U108" i="20"/>
  <c r="T108" i="20"/>
  <c r="S108" i="20"/>
  <c r="R108" i="20"/>
  <c r="Q108" i="20"/>
  <c r="O108" i="20"/>
  <c r="N108" i="20"/>
  <c r="M108" i="20"/>
  <c r="L108" i="20"/>
  <c r="K108" i="20"/>
  <c r="I108" i="20"/>
  <c r="H108" i="20"/>
  <c r="G108" i="20"/>
  <c r="F108" i="20"/>
  <c r="E108" i="20"/>
  <c r="U107" i="20"/>
  <c r="T107" i="20"/>
  <c r="S107" i="20"/>
  <c r="R107" i="20"/>
  <c r="Q107" i="20"/>
  <c r="O107" i="20"/>
  <c r="N107" i="20"/>
  <c r="M107" i="20"/>
  <c r="L107" i="20"/>
  <c r="K107" i="20"/>
  <c r="I107" i="20"/>
  <c r="H107" i="20"/>
  <c r="G107" i="20"/>
  <c r="F107" i="20"/>
  <c r="E107" i="20"/>
  <c r="U106" i="20"/>
  <c r="T106" i="20"/>
  <c r="S106" i="20"/>
  <c r="R106" i="20"/>
  <c r="Q106" i="20"/>
  <c r="O106" i="20"/>
  <c r="N106" i="20"/>
  <c r="M106" i="20"/>
  <c r="L106" i="20"/>
  <c r="K106" i="20"/>
  <c r="I106" i="20"/>
  <c r="H106" i="20"/>
  <c r="G106" i="20"/>
  <c r="F106" i="20"/>
  <c r="E106" i="20"/>
  <c r="U105" i="20"/>
  <c r="T105" i="20"/>
  <c r="S105" i="20"/>
  <c r="R105" i="20"/>
  <c r="Q105" i="20"/>
  <c r="O105" i="20"/>
  <c r="N105" i="20"/>
  <c r="M105" i="20"/>
  <c r="L105" i="20"/>
  <c r="K105" i="20"/>
  <c r="I105" i="20"/>
  <c r="H105" i="20"/>
  <c r="G105" i="20"/>
  <c r="F105" i="20"/>
  <c r="E105" i="20"/>
  <c r="U104" i="20"/>
  <c r="T104" i="20"/>
  <c r="S104" i="20"/>
  <c r="R104" i="20"/>
  <c r="Q104" i="20"/>
  <c r="O104" i="20"/>
  <c r="N104" i="20"/>
  <c r="M104" i="20"/>
  <c r="L104" i="20"/>
  <c r="K104" i="20"/>
  <c r="I104" i="20"/>
  <c r="H104" i="20"/>
  <c r="G104" i="20"/>
  <c r="F104" i="20"/>
  <c r="E104" i="20"/>
  <c r="U103" i="20"/>
  <c r="T103" i="20"/>
  <c r="S103" i="20"/>
  <c r="R103" i="20"/>
  <c r="Q103" i="20"/>
  <c r="O103" i="20"/>
  <c r="N103" i="20"/>
  <c r="M103" i="20"/>
  <c r="L103" i="20"/>
  <c r="K103" i="20"/>
  <c r="I103" i="20"/>
  <c r="H103" i="20"/>
  <c r="G103" i="20"/>
  <c r="F103" i="20"/>
  <c r="E103" i="20"/>
  <c r="U102" i="20"/>
  <c r="T102" i="20"/>
  <c r="S102" i="20"/>
  <c r="R102" i="20"/>
  <c r="Q102" i="20"/>
  <c r="O102" i="20"/>
  <c r="N102" i="20"/>
  <c r="M102" i="20"/>
  <c r="L102" i="20"/>
  <c r="K102" i="20"/>
  <c r="I102" i="20"/>
  <c r="H102" i="20"/>
  <c r="G102" i="20"/>
  <c r="F102" i="20"/>
  <c r="E102" i="20"/>
  <c r="U101" i="20"/>
  <c r="T101" i="20"/>
  <c r="S101" i="20"/>
  <c r="R101" i="20"/>
  <c r="Q101" i="20"/>
  <c r="O101" i="20"/>
  <c r="N101" i="20"/>
  <c r="M101" i="20"/>
  <c r="L101" i="20"/>
  <c r="K101" i="20"/>
  <c r="I101" i="20"/>
  <c r="H101" i="20"/>
  <c r="G101" i="20"/>
  <c r="F101" i="20"/>
  <c r="E101" i="20"/>
  <c r="U100" i="20"/>
  <c r="T100" i="20"/>
  <c r="S100" i="20"/>
  <c r="R100" i="20"/>
  <c r="Q100" i="20"/>
  <c r="O100" i="20"/>
  <c r="N100" i="20"/>
  <c r="M100" i="20"/>
  <c r="L100" i="20"/>
  <c r="K100" i="20"/>
  <c r="I100" i="20"/>
  <c r="H100" i="20"/>
  <c r="G100" i="20"/>
  <c r="F100" i="20"/>
  <c r="E100" i="20"/>
  <c r="U99" i="20"/>
  <c r="T99" i="20"/>
  <c r="S99" i="20"/>
  <c r="R99" i="20"/>
  <c r="Q99" i="20"/>
  <c r="O99" i="20"/>
  <c r="N99" i="20"/>
  <c r="M99" i="20"/>
  <c r="L99" i="20"/>
  <c r="K99" i="20"/>
  <c r="I99" i="20"/>
  <c r="H99" i="20"/>
  <c r="G99" i="20"/>
  <c r="F99" i="20"/>
  <c r="E99" i="20"/>
  <c r="U98" i="20"/>
  <c r="T98" i="20"/>
  <c r="S98" i="20"/>
  <c r="R98" i="20"/>
  <c r="Q98" i="20"/>
  <c r="O98" i="20"/>
  <c r="N98" i="20"/>
  <c r="M98" i="20"/>
  <c r="L98" i="20"/>
  <c r="K98" i="20"/>
  <c r="I98" i="20"/>
  <c r="H98" i="20"/>
  <c r="G98" i="20"/>
  <c r="F98" i="20"/>
  <c r="E98" i="20"/>
  <c r="U97" i="20"/>
  <c r="T97" i="20"/>
  <c r="S97" i="20"/>
  <c r="R97" i="20"/>
  <c r="Q97" i="20"/>
  <c r="O97" i="20"/>
  <c r="N97" i="20"/>
  <c r="M97" i="20"/>
  <c r="L97" i="20"/>
  <c r="K97" i="20"/>
  <c r="I97" i="20"/>
  <c r="H97" i="20"/>
  <c r="G97" i="20"/>
  <c r="F97" i="20"/>
  <c r="E97" i="20"/>
  <c r="U96" i="20"/>
  <c r="T96" i="20"/>
  <c r="S96" i="20"/>
  <c r="R96" i="20"/>
  <c r="Q96" i="20"/>
  <c r="O96" i="20"/>
  <c r="N96" i="20"/>
  <c r="M96" i="20"/>
  <c r="L96" i="20"/>
  <c r="K96" i="20"/>
  <c r="I96" i="20"/>
  <c r="H96" i="20"/>
  <c r="G96" i="20"/>
  <c r="F96" i="20"/>
  <c r="E96" i="20"/>
  <c r="U95" i="20"/>
  <c r="T95" i="20"/>
  <c r="S95" i="20"/>
  <c r="R95" i="20"/>
  <c r="Q95" i="20"/>
  <c r="O95" i="20"/>
  <c r="N95" i="20"/>
  <c r="M95" i="20"/>
  <c r="L95" i="20"/>
  <c r="K95" i="20"/>
  <c r="I95" i="20"/>
  <c r="H95" i="20"/>
  <c r="G95" i="20"/>
  <c r="F95" i="20"/>
  <c r="E95" i="20"/>
  <c r="U94" i="20"/>
  <c r="T94" i="20"/>
  <c r="S94" i="20"/>
  <c r="R94" i="20"/>
  <c r="Q94" i="20"/>
  <c r="O94" i="20"/>
  <c r="N94" i="20"/>
  <c r="M94" i="20"/>
  <c r="L94" i="20"/>
  <c r="K94" i="20"/>
  <c r="I94" i="20"/>
  <c r="H94" i="20"/>
  <c r="G94" i="20"/>
  <c r="F94" i="20"/>
  <c r="E94" i="20"/>
  <c r="U93" i="20"/>
  <c r="T93" i="20"/>
  <c r="S93" i="20"/>
  <c r="R93" i="20"/>
  <c r="Q93" i="20"/>
  <c r="O93" i="20"/>
  <c r="N93" i="20"/>
  <c r="M93" i="20"/>
  <c r="L93" i="20"/>
  <c r="K93" i="20"/>
  <c r="I93" i="20"/>
  <c r="H93" i="20"/>
  <c r="G93" i="20"/>
  <c r="F93" i="20"/>
  <c r="E93" i="20"/>
  <c r="U92" i="20"/>
  <c r="T92" i="20"/>
  <c r="S92" i="20"/>
  <c r="R92" i="20"/>
  <c r="Q92" i="20"/>
  <c r="O92" i="20"/>
  <c r="N92" i="20"/>
  <c r="M92" i="20"/>
  <c r="L92" i="20"/>
  <c r="K92" i="20"/>
  <c r="I92" i="20"/>
  <c r="H92" i="20"/>
  <c r="G92" i="20"/>
  <c r="F92" i="20"/>
  <c r="E92" i="20"/>
  <c r="U91" i="20"/>
  <c r="T91" i="20"/>
  <c r="S91" i="20"/>
  <c r="R91" i="20"/>
  <c r="Q91" i="20"/>
  <c r="O91" i="20"/>
  <c r="N91" i="20"/>
  <c r="M91" i="20"/>
  <c r="L91" i="20"/>
  <c r="K91" i="20"/>
  <c r="I91" i="20"/>
  <c r="H91" i="20"/>
  <c r="G91" i="20"/>
  <c r="F91" i="20"/>
  <c r="E91" i="20"/>
  <c r="U90" i="20"/>
  <c r="T90" i="20"/>
  <c r="S90" i="20"/>
  <c r="R90" i="20"/>
  <c r="Q90" i="20"/>
  <c r="O90" i="20"/>
  <c r="N90" i="20"/>
  <c r="M90" i="20"/>
  <c r="L90" i="20"/>
  <c r="K90" i="20"/>
  <c r="I90" i="20"/>
  <c r="H90" i="20"/>
  <c r="G90" i="20"/>
  <c r="F90" i="20"/>
  <c r="E90" i="20"/>
  <c r="U89" i="20"/>
  <c r="T89" i="20"/>
  <c r="S89" i="20"/>
  <c r="R89" i="20"/>
  <c r="Q89" i="20"/>
  <c r="O89" i="20"/>
  <c r="N89" i="20"/>
  <c r="M89" i="20"/>
  <c r="L89" i="20"/>
  <c r="K89" i="20"/>
  <c r="I89" i="20"/>
  <c r="H89" i="20"/>
  <c r="G89" i="20"/>
  <c r="F89" i="20"/>
  <c r="E89" i="20"/>
  <c r="U88" i="20"/>
  <c r="T88" i="20"/>
  <c r="S88" i="20"/>
  <c r="R88" i="20"/>
  <c r="Q88" i="20"/>
  <c r="O88" i="20"/>
  <c r="N88" i="20"/>
  <c r="M88" i="20"/>
  <c r="L88" i="20"/>
  <c r="K88" i="20"/>
  <c r="I88" i="20"/>
  <c r="H88" i="20"/>
  <c r="G88" i="20"/>
  <c r="F88" i="20"/>
  <c r="E88" i="20"/>
  <c r="U87" i="20"/>
  <c r="T87" i="20"/>
  <c r="S87" i="20"/>
  <c r="R87" i="20"/>
  <c r="Q87" i="20"/>
  <c r="O87" i="20"/>
  <c r="N87" i="20"/>
  <c r="M87" i="20"/>
  <c r="L87" i="20"/>
  <c r="K87" i="20"/>
  <c r="I87" i="20"/>
  <c r="H87" i="20"/>
  <c r="G87" i="20"/>
  <c r="F87" i="20"/>
  <c r="E87" i="20"/>
  <c r="U86" i="20"/>
  <c r="T86" i="20"/>
  <c r="S86" i="20"/>
  <c r="R86" i="20"/>
  <c r="Q86" i="20"/>
  <c r="O86" i="20"/>
  <c r="N86" i="20"/>
  <c r="M86" i="20"/>
  <c r="L86" i="20"/>
  <c r="K86" i="20"/>
  <c r="I86" i="20"/>
  <c r="H86" i="20"/>
  <c r="G86" i="20"/>
  <c r="F86" i="20"/>
  <c r="E86" i="20"/>
  <c r="U85" i="20"/>
  <c r="T85" i="20"/>
  <c r="S85" i="20"/>
  <c r="R85" i="20"/>
  <c r="Q85" i="20"/>
  <c r="O85" i="20"/>
  <c r="N85" i="20"/>
  <c r="M85" i="20"/>
  <c r="L85" i="20"/>
  <c r="K85" i="20"/>
  <c r="I85" i="20"/>
  <c r="H85" i="20"/>
  <c r="G85" i="20"/>
  <c r="F85" i="20"/>
  <c r="E85" i="20"/>
  <c r="U84" i="20"/>
  <c r="T84" i="20"/>
  <c r="S84" i="20"/>
  <c r="R84" i="20"/>
  <c r="Q84" i="20"/>
  <c r="O84" i="20"/>
  <c r="N84" i="20"/>
  <c r="M84" i="20"/>
  <c r="L84" i="20"/>
  <c r="K84" i="20"/>
  <c r="I84" i="20"/>
  <c r="H84" i="20"/>
  <c r="G84" i="20"/>
  <c r="F84" i="20"/>
  <c r="E84" i="20"/>
  <c r="U83" i="20"/>
  <c r="T83" i="20"/>
  <c r="S83" i="20"/>
  <c r="R83" i="20"/>
  <c r="Q83" i="20"/>
  <c r="O83" i="20"/>
  <c r="N83" i="20"/>
  <c r="M83" i="20"/>
  <c r="L83" i="20"/>
  <c r="K83" i="20"/>
  <c r="I83" i="20"/>
  <c r="H83" i="20"/>
  <c r="G83" i="20"/>
  <c r="F83" i="20"/>
  <c r="E83" i="20"/>
  <c r="U82" i="20"/>
  <c r="T82" i="20"/>
  <c r="S82" i="20"/>
  <c r="R82" i="20"/>
  <c r="Q82" i="20"/>
  <c r="O82" i="20"/>
  <c r="N82" i="20"/>
  <c r="M82" i="20"/>
  <c r="L82" i="20"/>
  <c r="K82" i="20"/>
  <c r="I82" i="20"/>
  <c r="H82" i="20"/>
  <c r="G82" i="20"/>
  <c r="F82" i="20"/>
  <c r="E82" i="20"/>
  <c r="U81" i="20"/>
  <c r="T81" i="20"/>
  <c r="S81" i="20"/>
  <c r="R81" i="20"/>
  <c r="Q81" i="20"/>
  <c r="O81" i="20"/>
  <c r="N81" i="20"/>
  <c r="M81" i="20"/>
  <c r="L81" i="20"/>
  <c r="K81" i="20"/>
  <c r="I81" i="20"/>
  <c r="H81" i="20"/>
  <c r="G81" i="20"/>
  <c r="F81" i="20"/>
  <c r="E81" i="20"/>
  <c r="U80" i="20"/>
  <c r="T80" i="20"/>
  <c r="S80" i="20"/>
  <c r="R80" i="20"/>
  <c r="Q80" i="20"/>
  <c r="O80" i="20"/>
  <c r="N80" i="20"/>
  <c r="M80" i="20"/>
  <c r="L80" i="20"/>
  <c r="K80" i="20"/>
  <c r="I80" i="20"/>
  <c r="H80" i="20"/>
  <c r="G80" i="20"/>
  <c r="F80" i="20"/>
  <c r="E80" i="20"/>
  <c r="U79" i="20"/>
  <c r="T79" i="20"/>
  <c r="S79" i="20"/>
  <c r="R79" i="20"/>
  <c r="Q79" i="20"/>
  <c r="O79" i="20"/>
  <c r="N79" i="20"/>
  <c r="M79" i="20"/>
  <c r="L79" i="20"/>
  <c r="K79" i="20"/>
  <c r="I79" i="20"/>
  <c r="H79" i="20"/>
  <c r="G79" i="20"/>
  <c r="F79" i="20"/>
  <c r="E79" i="20"/>
  <c r="U78" i="20"/>
  <c r="T78" i="20"/>
  <c r="S78" i="20"/>
  <c r="R78" i="20"/>
  <c r="Q78" i="20"/>
  <c r="O78" i="20"/>
  <c r="N78" i="20"/>
  <c r="M78" i="20"/>
  <c r="L78" i="20"/>
  <c r="K78" i="20"/>
  <c r="I78" i="20"/>
  <c r="H78" i="20"/>
  <c r="G78" i="20"/>
  <c r="F78" i="20"/>
  <c r="E78" i="20"/>
  <c r="U77" i="20"/>
  <c r="T77" i="20"/>
  <c r="S77" i="20"/>
  <c r="R77" i="20"/>
  <c r="Q77" i="20"/>
  <c r="O77" i="20"/>
  <c r="N77" i="20"/>
  <c r="M77" i="20"/>
  <c r="L77" i="20"/>
  <c r="K77" i="20"/>
  <c r="I77" i="20"/>
  <c r="H77" i="20"/>
  <c r="G77" i="20"/>
  <c r="F77" i="20"/>
  <c r="E77" i="20"/>
  <c r="U76" i="20"/>
  <c r="T76" i="20"/>
  <c r="S76" i="20"/>
  <c r="R76" i="20"/>
  <c r="Q76" i="20"/>
  <c r="O76" i="20"/>
  <c r="N76" i="20"/>
  <c r="M76" i="20"/>
  <c r="L76" i="20"/>
  <c r="K76" i="20"/>
  <c r="I76" i="20"/>
  <c r="H76" i="20"/>
  <c r="G76" i="20"/>
  <c r="F76" i="20"/>
  <c r="E76" i="20"/>
  <c r="U75" i="20"/>
  <c r="T75" i="20"/>
  <c r="S75" i="20"/>
  <c r="R75" i="20"/>
  <c r="Q75" i="20"/>
  <c r="O75" i="20"/>
  <c r="N75" i="20"/>
  <c r="M75" i="20"/>
  <c r="L75" i="20"/>
  <c r="K75" i="20"/>
  <c r="I75" i="20"/>
  <c r="H75" i="20"/>
  <c r="G75" i="20"/>
  <c r="F75" i="20"/>
  <c r="E75" i="20"/>
  <c r="U74" i="20"/>
  <c r="T74" i="20"/>
  <c r="S74" i="20"/>
  <c r="R74" i="20"/>
  <c r="Q74" i="20"/>
  <c r="O74" i="20"/>
  <c r="N74" i="20"/>
  <c r="M74" i="20"/>
  <c r="L74" i="20"/>
  <c r="K74" i="20"/>
  <c r="I74" i="20"/>
  <c r="H74" i="20"/>
  <c r="G74" i="20"/>
  <c r="F74" i="20"/>
  <c r="E74" i="20"/>
  <c r="U73" i="20"/>
  <c r="T73" i="20"/>
  <c r="S73" i="20"/>
  <c r="R73" i="20"/>
  <c r="Q73" i="20"/>
  <c r="O73" i="20"/>
  <c r="N73" i="20"/>
  <c r="M73" i="20"/>
  <c r="L73" i="20"/>
  <c r="K73" i="20"/>
  <c r="I73" i="20"/>
  <c r="H73" i="20"/>
  <c r="G73" i="20"/>
  <c r="F73" i="20"/>
  <c r="E73" i="20"/>
  <c r="U72" i="20"/>
  <c r="T72" i="20"/>
  <c r="S72" i="20"/>
  <c r="R72" i="20"/>
  <c r="Q72" i="20"/>
  <c r="O72" i="20"/>
  <c r="N72" i="20"/>
  <c r="M72" i="20"/>
  <c r="L72" i="20"/>
  <c r="K72" i="20"/>
  <c r="I72" i="20"/>
  <c r="H72" i="20"/>
  <c r="G72" i="20"/>
  <c r="F72" i="20"/>
  <c r="E72" i="20"/>
  <c r="U71" i="20"/>
  <c r="T71" i="20"/>
  <c r="S71" i="20"/>
  <c r="R71" i="20"/>
  <c r="Q71" i="20"/>
  <c r="O71" i="20"/>
  <c r="N71" i="20"/>
  <c r="M71" i="20"/>
  <c r="L71" i="20"/>
  <c r="K71" i="20"/>
  <c r="I71" i="20"/>
  <c r="H71" i="20"/>
  <c r="G71" i="20"/>
  <c r="F71" i="20"/>
  <c r="E71" i="20"/>
  <c r="U70" i="20"/>
  <c r="T70" i="20"/>
  <c r="S70" i="20"/>
  <c r="R70" i="20"/>
  <c r="Q70" i="20"/>
  <c r="O70" i="20"/>
  <c r="N70" i="20"/>
  <c r="M70" i="20"/>
  <c r="L70" i="20"/>
  <c r="K70" i="20"/>
  <c r="I70" i="20"/>
  <c r="H70" i="20"/>
  <c r="G70" i="20"/>
  <c r="F70" i="20"/>
  <c r="E70" i="20"/>
  <c r="U69" i="20"/>
  <c r="T69" i="20"/>
  <c r="S69" i="20"/>
  <c r="R69" i="20"/>
  <c r="Q69" i="20"/>
  <c r="O69" i="20"/>
  <c r="N69" i="20"/>
  <c r="M69" i="20"/>
  <c r="L69" i="20"/>
  <c r="K69" i="20"/>
  <c r="I69" i="20"/>
  <c r="H69" i="20"/>
  <c r="G69" i="20"/>
  <c r="F69" i="20"/>
  <c r="E69" i="20"/>
  <c r="U68" i="20"/>
  <c r="T68" i="20"/>
  <c r="S68" i="20"/>
  <c r="R68" i="20"/>
  <c r="Q68" i="20"/>
  <c r="O68" i="20"/>
  <c r="N68" i="20"/>
  <c r="M68" i="20"/>
  <c r="L68" i="20"/>
  <c r="K68" i="20"/>
  <c r="I68" i="20"/>
  <c r="H68" i="20"/>
  <c r="G68" i="20"/>
  <c r="F68" i="20"/>
  <c r="E68" i="20"/>
  <c r="U67" i="20"/>
  <c r="T67" i="20"/>
  <c r="S67" i="20"/>
  <c r="R67" i="20"/>
  <c r="Q67" i="20"/>
  <c r="O67" i="20"/>
  <c r="N67" i="20"/>
  <c r="M67" i="20"/>
  <c r="L67" i="20"/>
  <c r="K67" i="20"/>
  <c r="I67" i="20"/>
  <c r="H67" i="20"/>
  <c r="G67" i="20"/>
  <c r="F67" i="20"/>
  <c r="E67" i="20"/>
  <c r="U66" i="20"/>
  <c r="T66" i="20"/>
  <c r="S66" i="20"/>
  <c r="R66" i="20"/>
  <c r="Q66" i="20"/>
  <c r="O66" i="20"/>
  <c r="N66" i="20"/>
  <c r="M66" i="20"/>
  <c r="L66" i="20"/>
  <c r="K66" i="20"/>
  <c r="I66" i="20"/>
  <c r="H66" i="20"/>
  <c r="G66" i="20"/>
  <c r="F66" i="20"/>
  <c r="E66" i="20"/>
  <c r="U65" i="20"/>
  <c r="T65" i="20"/>
  <c r="S65" i="20"/>
  <c r="R65" i="20"/>
  <c r="Q65" i="20"/>
  <c r="O65" i="20"/>
  <c r="N65" i="20"/>
  <c r="M65" i="20"/>
  <c r="L65" i="20"/>
  <c r="K65" i="20"/>
  <c r="I65" i="20"/>
  <c r="H65" i="20"/>
  <c r="G65" i="20"/>
  <c r="F65" i="20"/>
  <c r="E65" i="20"/>
  <c r="U64" i="20"/>
  <c r="T64" i="20"/>
  <c r="S64" i="20"/>
  <c r="R64" i="20"/>
  <c r="Q64" i="20"/>
  <c r="O64" i="20"/>
  <c r="N64" i="20"/>
  <c r="M64" i="20"/>
  <c r="L64" i="20"/>
  <c r="K64" i="20"/>
  <c r="I64" i="20"/>
  <c r="H64" i="20"/>
  <c r="G64" i="20"/>
  <c r="F64" i="20"/>
  <c r="E64" i="20"/>
  <c r="U63" i="20"/>
  <c r="T63" i="20"/>
  <c r="S63" i="20"/>
  <c r="R63" i="20"/>
  <c r="Q63" i="20"/>
  <c r="O63" i="20"/>
  <c r="N63" i="20"/>
  <c r="M63" i="20"/>
  <c r="L63" i="20"/>
  <c r="K63" i="20"/>
  <c r="I63" i="20"/>
  <c r="H63" i="20"/>
  <c r="G63" i="20"/>
  <c r="F63" i="20"/>
  <c r="E63" i="20"/>
  <c r="U62" i="20"/>
  <c r="T62" i="20"/>
  <c r="S62" i="20"/>
  <c r="R62" i="20"/>
  <c r="Q62" i="20"/>
  <c r="O62" i="20"/>
  <c r="N62" i="20"/>
  <c r="M62" i="20"/>
  <c r="L62" i="20"/>
  <c r="K62" i="20"/>
  <c r="I62" i="20"/>
  <c r="H62" i="20"/>
  <c r="G62" i="20"/>
  <c r="F62" i="20"/>
  <c r="E62" i="20"/>
  <c r="U61" i="20"/>
  <c r="T61" i="20"/>
  <c r="S61" i="20"/>
  <c r="R61" i="20"/>
  <c r="Q61" i="20"/>
  <c r="O61" i="20"/>
  <c r="N61" i="20"/>
  <c r="M61" i="20"/>
  <c r="L61" i="20"/>
  <c r="K61" i="20"/>
  <c r="I61" i="20"/>
  <c r="H61" i="20"/>
  <c r="G61" i="20"/>
  <c r="F61" i="20"/>
  <c r="E61" i="20"/>
  <c r="U60" i="20"/>
  <c r="T60" i="20"/>
  <c r="S60" i="20"/>
  <c r="R60" i="20"/>
  <c r="Q60" i="20"/>
  <c r="O60" i="20"/>
  <c r="N60" i="20"/>
  <c r="M60" i="20"/>
  <c r="L60" i="20"/>
  <c r="K60" i="20"/>
  <c r="I60" i="20"/>
  <c r="H60" i="20"/>
  <c r="G60" i="20"/>
  <c r="F60" i="20"/>
  <c r="E60" i="20"/>
  <c r="U59" i="20"/>
  <c r="T59" i="20"/>
  <c r="S59" i="20"/>
  <c r="R59" i="20"/>
  <c r="Q59" i="20"/>
  <c r="O59" i="20"/>
  <c r="N59" i="20"/>
  <c r="M59" i="20"/>
  <c r="L59" i="20"/>
  <c r="K59" i="20"/>
  <c r="I59" i="20"/>
  <c r="H59" i="20"/>
  <c r="G59" i="20"/>
  <c r="F59" i="20"/>
  <c r="E59" i="20"/>
  <c r="U58" i="20"/>
  <c r="T58" i="20"/>
  <c r="S58" i="20"/>
  <c r="R58" i="20"/>
  <c r="Q58" i="20"/>
  <c r="O58" i="20"/>
  <c r="N58" i="20"/>
  <c r="M58" i="20"/>
  <c r="L58" i="20"/>
  <c r="K58" i="20"/>
  <c r="I58" i="20"/>
  <c r="H58" i="20"/>
  <c r="G58" i="20"/>
  <c r="F58" i="20"/>
  <c r="E58" i="20"/>
  <c r="U57" i="20"/>
  <c r="T57" i="20"/>
  <c r="S57" i="20"/>
  <c r="R57" i="20"/>
  <c r="Q57" i="20"/>
  <c r="O57" i="20"/>
  <c r="N57" i="20"/>
  <c r="M57" i="20"/>
  <c r="L57" i="20"/>
  <c r="K57" i="20"/>
  <c r="I57" i="20"/>
  <c r="H57" i="20"/>
  <c r="G57" i="20"/>
  <c r="F57" i="20"/>
  <c r="E57" i="20"/>
  <c r="U56" i="20"/>
  <c r="T56" i="20"/>
  <c r="S56" i="20"/>
  <c r="R56" i="20"/>
  <c r="Q56" i="20"/>
  <c r="O56" i="20"/>
  <c r="N56" i="20"/>
  <c r="M56" i="20"/>
  <c r="L56" i="20"/>
  <c r="K56" i="20"/>
  <c r="I56" i="20"/>
  <c r="H56" i="20"/>
  <c r="G56" i="20"/>
  <c r="F56" i="20"/>
  <c r="E56" i="20"/>
  <c r="U55" i="20"/>
  <c r="T55" i="20"/>
  <c r="S55" i="20"/>
  <c r="R55" i="20"/>
  <c r="Q55" i="20"/>
  <c r="O55" i="20"/>
  <c r="N55" i="20"/>
  <c r="M55" i="20"/>
  <c r="L55" i="20"/>
  <c r="K55" i="20"/>
  <c r="I55" i="20"/>
  <c r="H55" i="20"/>
  <c r="G55" i="20"/>
  <c r="F55" i="20"/>
  <c r="E55" i="20"/>
  <c r="U54" i="20"/>
  <c r="T54" i="20"/>
  <c r="S54" i="20"/>
  <c r="R54" i="20"/>
  <c r="Q54" i="20"/>
  <c r="O54" i="20"/>
  <c r="N54" i="20"/>
  <c r="M54" i="20"/>
  <c r="L54" i="20"/>
  <c r="K54" i="20"/>
  <c r="I54" i="20"/>
  <c r="H54" i="20"/>
  <c r="G54" i="20"/>
  <c r="F54" i="20"/>
  <c r="E54" i="20"/>
  <c r="U53" i="20"/>
  <c r="T53" i="20"/>
  <c r="S53" i="20"/>
  <c r="R53" i="20"/>
  <c r="Q53" i="20"/>
  <c r="O53" i="20"/>
  <c r="N53" i="20"/>
  <c r="M53" i="20"/>
  <c r="L53" i="20"/>
  <c r="K53" i="20"/>
  <c r="I53" i="20"/>
  <c r="H53" i="20"/>
  <c r="G53" i="20"/>
  <c r="F53" i="20"/>
  <c r="E53" i="20"/>
  <c r="U52" i="20"/>
  <c r="T52" i="20"/>
  <c r="S52" i="20"/>
  <c r="R52" i="20"/>
  <c r="Q52" i="20"/>
  <c r="O52" i="20"/>
  <c r="N52" i="20"/>
  <c r="M52" i="20"/>
  <c r="L52" i="20"/>
  <c r="K52" i="20"/>
  <c r="I52" i="20"/>
  <c r="H52" i="20"/>
  <c r="G52" i="20"/>
  <c r="F52" i="20"/>
  <c r="E52" i="20"/>
  <c r="U51" i="20"/>
  <c r="T51" i="20"/>
  <c r="S51" i="20"/>
  <c r="R51" i="20"/>
  <c r="Q51" i="20"/>
  <c r="O51" i="20"/>
  <c r="N51" i="20"/>
  <c r="M51" i="20"/>
  <c r="L51" i="20"/>
  <c r="K51" i="20"/>
  <c r="I51" i="20"/>
  <c r="H51" i="20"/>
  <c r="G51" i="20"/>
  <c r="F51" i="20"/>
  <c r="E51" i="20"/>
  <c r="U50" i="20"/>
  <c r="T50" i="20"/>
  <c r="S50" i="20"/>
  <c r="R50" i="20"/>
  <c r="Q50" i="20"/>
  <c r="O50" i="20"/>
  <c r="N50" i="20"/>
  <c r="M50" i="20"/>
  <c r="L50" i="20"/>
  <c r="K50" i="20"/>
  <c r="I50" i="20"/>
  <c r="H50" i="20"/>
  <c r="G50" i="20"/>
  <c r="F50" i="20"/>
  <c r="E50" i="20"/>
  <c r="U49" i="20"/>
  <c r="T49" i="20"/>
  <c r="S49" i="20"/>
  <c r="R49" i="20"/>
  <c r="Q49" i="20"/>
  <c r="O49" i="20"/>
  <c r="N49" i="20"/>
  <c r="M49" i="20"/>
  <c r="L49" i="20"/>
  <c r="K49" i="20"/>
  <c r="I49" i="20"/>
  <c r="H49" i="20"/>
  <c r="G49" i="20"/>
  <c r="F49" i="20"/>
  <c r="E49" i="20"/>
  <c r="U48" i="20"/>
  <c r="T48" i="20"/>
  <c r="S48" i="20"/>
  <c r="R48" i="20"/>
  <c r="Q48" i="20"/>
  <c r="O48" i="20"/>
  <c r="N48" i="20"/>
  <c r="M48" i="20"/>
  <c r="L48" i="20"/>
  <c r="K48" i="20"/>
  <c r="I48" i="20"/>
  <c r="H48" i="20"/>
  <c r="G48" i="20"/>
  <c r="F48" i="20"/>
  <c r="E48" i="20"/>
  <c r="U47" i="20"/>
  <c r="T47" i="20"/>
  <c r="S47" i="20"/>
  <c r="R47" i="20"/>
  <c r="Q47" i="20"/>
  <c r="O47" i="20"/>
  <c r="N47" i="20"/>
  <c r="M47" i="20"/>
  <c r="L47" i="20"/>
  <c r="K47" i="20"/>
  <c r="I47" i="20"/>
  <c r="H47" i="20"/>
  <c r="G47" i="20"/>
  <c r="F47" i="20"/>
  <c r="E47" i="20"/>
  <c r="U46" i="20"/>
  <c r="T46" i="20"/>
  <c r="S46" i="20"/>
  <c r="R46" i="20"/>
  <c r="Q46" i="20"/>
  <c r="O46" i="20"/>
  <c r="N46" i="20"/>
  <c r="M46" i="20"/>
  <c r="L46" i="20"/>
  <c r="K46" i="20"/>
  <c r="I46" i="20"/>
  <c r="H46" i="20"/>
  <c r="G46" i="20"/>
  <c r="F46" i="20"/>
  <c r="E46" i="20"/>
  <c r="U45" i="20"/>
  <c r="T45" i="20"/>
  <c r="S45" i="20"/>
  <c r="R45" i="20"/>
  <c r="Q45" i="20"/>
  <c r="O45" i="20"/>
  <c r="N45" i="20"/>
  <c r="M45" i="20"/>
  <c r="L45" i="20"/>
  <c r="K45" i="20"/>
  <c r="I45" i="20"/>
  <c r="H45" i="20"/>
  <c r="G45" i="20"/>
  <c r="F45" i="20"/>
  <c r="E45" i="20"/>
  <c r="U44" i="20"/>
  <c r="T44" i="20"/>
  <c r="S44" i="20"/>
  <c r="R44" i="20"/>
  <c r="Q44" i="20"/>
  <c r="O44" i="20"/>
  <c r="N44" i="20"/>
  <c r="M44" i="20"/>
  <c r="L44" i="20"/>
  <c r="K44" i="20"/>
  <c r="I44" i="20"/>
  <c r="H44" i="20"/>
  <c r="G44" i="20"/>
  <c r="F44" i="20"/>
  <c r="E44" i="20"/>
  <c r="U43" i="20"/>
  <c r="T43" i="20"/>
  <c r="S43" i="20"/>
  <c r="R43" i="20"/>
  <c r="Q43" i="20"/>
  <c r="O43" i="20"/>
  <c r="N43" i="20"/>
  <c r="M43" i="20"/>
  <c r="L43" i="20"/>
  <c r="K43" i="20"/>
  <c r="I43" i="20"/>
  <c r="H43" i="20"/>
  <c r="G43" i="20"/>
  <c r="F43" i="20"/>
  <c r="E43" i="20"/>
  <c r="U42" i="20"/>
  <c r="T42" i="20"/>
  <c r="S42" i="20"/>
  <c r="R42" i="20"/>
  <c r="Q42" i="20"/>
  <c r="O42" i="20"/>
  <c r="N42" i="20"/>
  <c r="M42" i="20"/>
  <c r="L42" i="20"/>
  <c r="K42" i="20"/>
  <c r="I42" i="20"/>
  <c r="H42" i="20"/>
  <c r="G42" i="20"/>
  <c r="F42" i="20"/>
  <c r="E42" i="20"/>
  <c r="U41" i="20"/>
  <c r="T41" i="20"/>
  <c r="S41" i="20"/>
  <c r="R41" i="20"/>
  <c r="Q41" i="20"/>
  <c r="O41" i="20"/>
  <c r="N41" i="20"/>
  <c r="M41" i="20"/>
  <c r="L41" i="20"/>
  <c r="K41" i="20"/>
  <c r="I41" i="20"/>
  <c r="H41" i="20"/>
  <c r="G41" i="20"/>
  <c r="F41" i="20"/>
  <c r="E41" i="20"/>
  <c r="U40" i="20"/>
  <c r="T40" i="20"/>
  <c r="S40" i="20"/>
  <c r="R40" i="20"/>
  <c r="Q40" i="20"/>
  <c r="O40" i="20"/>
  <c r="N40" i="20"/>
  <c r="M40" i="20"/>
  <c r="L40" i="20"/>
  <c r="K40" i="20"/>
  <c r="I40" i="20"/>
  <c r="H40" i="20"/>
  <c r="G40" i="20"/>
  <c r="F40" i="20"/>
  <c r="E40" i="20"/>
  <c r="U39" i="20"/>
  <c r="T39" i="20"/>
  <c r="S39" i="20"/>
  <c r="R39" i="20"/>
  <c r="Q39" i="20"/>
  <c r="O39" i="20"/>
  <c r="N39" i="20"/>
  <c r="M39" i="20"/>
  <c r="L39" i="20"/>
  <c r="K39" i="20"/>
  <c r="I39" i="20"/>
  <c r="H39" i="20"/>
  <c r="G39" i="20"/>
  <c r="F39" i="20"/>
  <c r="E39" i="20"/>
  <c r="U38" i="20"/>
  <c r="T38" i="20"/>
  <c r="S38" i="20"/>
  <c r="R38" i="20"/>
  <c r="Q38" i="20"/>
  <c r="O38" i="20"/>
  <c r="N38" i="20"/>
  <c r="M38" i="20"/>
  <c r="L38" i="20"/>
  <c r="K38" i="20"/>
  <c r="I38" i="20"/>
  <c r="H38" i="20"/>
  <c r="G38" i="20"/>
  <c r="F38" i="20"/>
  <c r="E38" i="20"/>
  <c r="U37" i="20"/>
  <c r="T37" i="20"/>
  <c r="S37" i="20"/>
  <c r="R37" i="20"/>
  <c r="Q37" i="20"/>
  <c r="O37" i="20"/>
  <c r="N37" i="20"/>
  <c r="M37" i="20"/>
  <c r="L37" i="20"/>
  <c r="K37" i="20"/>
  <c r="I37" i="20"/>
  <c r="H37" i="20"/>
  <c r="G37" i="20"/>
  <c r="F37" i="20"/>
  <c r="E37" i="20"/>
  <c r="U36" i="20"/>
  <c r="T36" i="20"/>
  <c r="S36" i="20"/>
  <c r="R36" i="20"/>
  <c r="Q36" i="20"/>
  <c r="O36" i="20"/>
  <c r="N36" i="20"/>
  <c r="M36" i="20"/>
  <c r="L36" i="20"/>
  <c r="K36" i="20"/>
  <c r="I36" i="20"/>
  <c r="H36" i="20"/>
  <c r="G36" i="20"/>
  <c r="F36" i="20"/>
  <c r="E36" i="20"/>
  <c r="U35" i="20"/>
  <c r="T35" i="20"/>
  <c r="S35" i="20"/>
  <c r="R35" i="20"/>
  <c r="Q35" i="20"/>
  <c r="O35" i="20"/>
  <c r="N35" i="20"/>
  <c r="M35" i="20"/>
  <c r="L35" i="20"/>
  <c r="K35" i="20"/>
  <c r="I35" i="20"/>
  <c r="H35" i="20"/>
  <c r="G35" i="20"/>
  <c r="F35" i="20"/>
  <c r="E35" i="20"/>
  <c r="U34" i="20"/>
  <c r="T34" i="20"/>
  <c r="S34" i="20"/>
  <c r="R34" i="20"/>
  <c r="Q34" i="20"/>
  <c r="O34" i="20"/>
  <c r="N34" i="20"/>
  <c r="M34" i="20"/>
  <c r="L34" i="20"/>
  <c r="K34" i="20"/>
  <c r="I34" i="20"/>
  <c r="H34" i="20"/>
  <c r="G34" i="20"/>
  <c r="F34" i="20"/>
  <c r="E34" i="20"/>
  <c r="U33" i="20"/>
  <c r="T33" i="20"/>
  <c r="S33" i="20"/>
  <c r="R33" i="20"/>
  <c r="Q33" i="20"/>
  <c r="O33" i="20"/>
  <c r="N33" i="20"/>
  <c r="M33" i="20"/>
  <c r="L33" i="20"/>
  <c r="K33" i="20"/>
  <c r="I33" i="20"/>
  <c r="H33" i="20"/>
  <c r="G33" i="20"/>
  <c r="F33" i="20"/>
  <c r="E33" i="20"/>
  <c r="U32" i="20"/>
  <c r="T32" i="20"/>
  <c r="S32" i="20"/>
  <c r="R32" i="20"/>
  <c r="Q32" i="20"/>
  <c r="O32" i="20"/>
  <c r="N32" i="20"/>
  <c r="M32" i="20"/>
  <c r="L32" i="20"/>
  <c r="K32" i="20"/>
  <c r="I32" i="20"/>
  <c r="H32" i="20"/>
  <c r="G32" i="20"/>
  <c r="F32" i="20"/>
  <c r="E32" i="20"/>
  <c r="U31" i="20"/>
  <c r="T31" i="20"/>
  <c r="S31" i="20"/>
  <c r="R31" i="20"/>
  <c r="Q31" i="20"/>
  <c r="O31" i="20"/>
  <c r="N31" i="20"/>
  <c r="M31" i="20"/>
  <c r="L31" i="20"/>
  <c r="K31" i="20"/>
  <c r="I31" i="20"/>
  <c r="H31" i="20"/>
  <c r="G31" i="20"/>
  <c r="F31" i="20"/>
  <c r="E31" i="20"/>
  <c r="U30" i="20"/>
  <c r="T30" i="20"/>
  <c r="S30" i="20"/>
  <c r="R30" i="20"/>
  <c r="Q30" i="20"/>
  <c r="O30" i="20"/>
  <c r="N30" i="20"/>
  <c r="M30" i="20"/>
  <c r="L30" i="20"/>
  <c r="K30" i="20"/>
  <c r="I30" i="20"/>
  <c r="H30" i="20"/>
  <c r="G30" i="20"/>
  <c r="F30" i="20"/>
  <c r="E30" i="20"/>
  <c r="U29" i="20"/>
  <c r="T29" i="20"/>
  <c r="S29" i="20"/>
  <c r="R29" i="20"/>
  <c r="Q29" i="20"/>
  <c r="O29" i="20"/>
  <c r="N29" i="20"/>
  <c r="M29" i="20"/>
  <c r="L29" i="20"/>
  <c r="K29" i="20"/>
  <c r="I29" i="20"/>
  <c r="H29" i="20"/>
  <c r="G29" i="20"/>
  <c r="F29" i="20"/>
  <c r="E29" i="20"/>
  <c r="U28" i="20"/>
  <c r="T28" i="20"/>
  <c r="S28" i="20"/>
  <c r="R28" i="20"/>
  <c r="Q28" i="20"/>
  <c r="O28" i="20"/>
  <c r="N28" i="20"/>
  <c r="M28" i="20"/>
  <c r="L28" i="20"/>
  <c r="K28" i="20"/>
  <c r="I28" i="20"/>
  <c r="H28" i="20"/>
  <c r="G28" i="20"/>
  <c r="F28" i="20"/>
  <c r="E28" i="20"/>
  <c r="U27" i="20"/>
  <c r="T27" i="20"/>
  <c r="S27" i="20"/>
  <c r="R27" i="20"/>
  <c r="Q27" i="20"/>
  <c r="O27" i="20"/>
  <c r="N27" i="20"/>
  <c r="M27" i="20"/>
  <c r="L27" i="20"/>
  <c r="K27" i="20"/>
  <c r="I27" i="20"/>
  <c r="H27" i="20"/>
  <c r="G27" i="20"/>
  <c r="F27" i="20"/>
  <c r="E27" i="20"/>
  <c r="U26" i="20"/>
  <c r="T26" i="20"/>
  <c r="S26" i="20"/>
  <c r="R26" i="20"/>
  <c r="Q26" i="20"/>
  <c r="O26" i="20"/>
  <c r="N26" i="20"/>
  <c r="M26" i="20"/>
  <c r="L26" i="20"/>
  <c r="K26" i="20"/>
  <c r="I26" i="20"/>
  <c r="H26" i="20"/>
  <c r="G26" i="20"/>
  <c r="F26" i="20"/>
  <c r="E26" i="20"/>
  <c r="U25" i="20"/>
  <c r="T25" i="20"/>
  <c r="S25" i="20"/>
  <c r="R25" i="20"/>
  <c r="Q25" i="20"/>
  <c r="O25" i="20"/>
  <c r="N25" i="20"/>
  <c r="M25" i="20"/>
  <c r="L25" i="20"/>
  <c r="K25" i="20"/>
  <c r="I25" i="20"/>
  <c r="H25" i="20"/>
  <c r="G25" i="20"/>
  <c r="F25" i="20"/>
  <c r="E25" i="20"/>
  <c r="U24" i="20"/>
  <c r="T24" i="20"/>
  <c r="S24" i="20"/>
  <c r="R24" i="20"/>
  <c r="Q24" i="20"/>
  <c r="O24" i="20"/>
  <c r="N24" i="20"/>
  <c r="M24" i="20"/>
  <c r="L24" i="20"/>
  <c r="K24" i="20"/>
  <c r="I24" i="20"/>
  <c r="H24" i="20"/>
  <c r="G24" i="20"/>
  <c r="F24" i="20"/>
  <c r="E24" i="20"/>
  <c r="U23" i="20"/>
  <c r="T23" i="20"/>
  <c r="S23" i="20"/>
  <c r="R23" i="20"/>
  <c r="Q23" i="20"/>
  <c r="O23" i="20"/>
  <c r="N23" i="20"/>
  <c r="M23" i="20"/>
  <c r="L23" i="20"/>
  <c r="K23" i="20"/>
  <c r="I23" i="20"/>
  <c r="H23" i="20"/>
  <c r="G23" i="20"/>
  <c r="F23" i="20"/>
  <c r="E23" i="20"/>
  <c r="U22" i="20"/>
  <c r="T22" i="20"/>
  <c r="S22" i="20"/>
  <c r="R22" i="20"/>
  <c r="Q22" i="20"/>
  <c r="O22" i="20"/>
  <c r="N22" i="20"/>
  <c r="M22" i="20"/>
  <c r="L22" i="20"/>
  <c r="K22" i="20"/>
  <c r="I22" i="20"/>
  <c r="H22" i="20"/>
  <c r="G22" i="20"/>
  <c r="F22" i="20"/>
  <c r="E22" i="20"/>
  <c r="U21" i="20"/>
  <c r="T21" i="20"/>
  <c r="S21" i="20"/>
  <c r="R21" i="20"/>
  <c r="Q21" i="20"/>
  <c r="O21" i="20"/>
  <c r="N21" i="20"/>
  <c r="M21" i="20"/>
  <c r="L21" i="20"/>
  <c r="K21" i="20"/>
  <c r="I21" i="20"/>
  <c r="H21" i="20"/>
  <c r="G21" i="20"/>
  <c r="F21" i="20"/>
  <c r="E21" i="20"/>
  <c r="U20" i="20"/>
  <c r="T20" i="20"/>
  <c r="S20" i="20"/>
  <c r="R20" i="20"/>
  <c r="Q20" i="20"/>
  <c r="O20" i="20"/>
  <c r="N20" i="20"/>
  <c r="M20" i="20"/>
  <c r="L20" i="20"/>
  <c r="K20" i="20"/>
  <c r="I20" i="20"/>
  <c r="H20" i="20"/>
  <c r="G20" i="20"/>
  <c r="F20" i="20"/>
  <c r="E20" i="20"/>
  <c r="U19" i="20"/>
  <c r="T19" i="20"/>
  <c r="S19" i="20"/>
  <c r="R19" i="20"/>
  <c r="Q19" i="20"/>
  <c r="O19" i="20"/>
  <c r="N19" i="20"/>
  <c r="M19" i="20"/>
  <c r="L19" i="20"/>
  <c r="K19" i="20"/>
  <c r="I19" i="20"/>
  <c r="H19" i="20"/>
  <c r="G19" i="20"/>
  <c r="F19" i="20"/>
  <c r="E19" i="20"/>
  <c r="U18" i="20"/>
  <c r="T18" i="20"/>
  <c r="S18" i="20"/>
  <c r="R18" i="20"/>
  <c r="Q18" i="20"/>
  <c r="O18" i="20"/>
  <c r="N18" i="20"/>
  <c r="M18" i="20"/>
  <c r="L18" i="20"/>
  <c r="K18" i="20"/>
  <c r="I18" i="20"/>
  <c r="H18" i="20"/>
  <c r="G18" i="20"/>
  <c r="F18" i="20"/>
  <c r="E18" i="20"/>
  <c r="U17" i="20"/>
  <c r="T17" i="20"/>
  <c r="S17" i="20"/>
  <c r="R17" i="20"/>
  <c r="Q17" i="20"/>
  <c r="O17" i="20"/>
  <c r="N17" i="20"/>
  <c r="M17" i="20"/>
  <c r="L17" i="20"/>
  <c r="K17" i="20"/>
  <c r="I17" i="20"/>
  <c r="H17" i="20"/>
  <c r="G17" i="20"/>
  <c r="F17" i="20"/>
  <c r="E17" i="20"/>
  <c r="U16" i="20"/>
  <c r="T16" i="20"/>
  <c r="S16" i="20"/>
  <c r="R16" i="20"/>
  <c r="Q16" i="20"/>
  <c r="O16" i="20"/>
  <c r="N16" i="20"/>
  <c r="M16" i="20"/>
  <c r="L16" i="20"/>
  <c r="K16" i="20"/>
  <c r="I16" i="20"/>
  <c r="H16" i="20"/>
  <c r="G16" i="20"/>
  <c r="F16" i="20"/>
  <c r="E16" i="20"/>
  <c r="U15" i="20"/>
  <c r="T15" i="20"/>
  <c r="S15" i="20"/>
  <c r="R15" i="20"/>
  <c r="Q15" i="20"/>
  <c r="O15" i="20"/>
  <c r="N15" i="20"/>
  <c r="M15" i="20"/>
  <c r="L15" i="20"/>
  <c r="K15" i="20"/>
  <c r="I15" i="20"/>
  <c r="H15" i="20"/>
  <c r="G15" i="20"/>
  <c r="F15" i="20"/>
  <c r="E15" i="20"/>
  <c r="U14" i="20"/>
  <c r="T14" i="20"/>
  <c r="S14" i="20"/>
  <c r="R14" i="20"/>
  <c r="Q14" i="20"/>
  <c r="O14" i="20"/>
  <c r="N14" i="20"/>
  <c r="M14" i="20"/>
  <c r="L14" i="20"/>
  <c r="K14" i="20"/>
  <c r="I14" i="20"/>
  <c r="H14" i="20"/>
  <c r="G14" i="20"/>
  <c r="F14" i="20"/>
  <c r="E14" i="20"/>
  <c r="U13" i="20"/>
  <c r="T13" i="20"/>
  <c r="S13" i="20"/>
  <c r="R13" i="20"/>
  <c r="Q13" i="20"/>
  <c r="O13" i="20"/>
  <c r="N13" i="20"/>
  <c r="M13" i="20"/>
  <c r="L13" i="20"/>
  <c r="K13" i="20"/>
  <c r="I13" i="20"/>
  <c r="H13" i="20"/>
  <c r="G13" i="20"/>
  <c r="F13" i="20"/>
  <c r="E13" i="20"/>
  <c r="U12" i="20"/>
  <c r="T12" i="20"/>
  <c r="S12" i="20"/>
  <c r="R12" i="20"/>
  <c r="Q12" i="20"/>
  <c r="O12" i="20"/>
  <c r="N12" i="20"/>
  <c r="M12" i="20"/>
  <c r="L12" i="20"/>
  <c r="K12" i="20"/>
  <c r="I12" i="20"/>
  <c r="H12" i="20"/>
  <c r="G12" i="20"/>
  <c r="F12" i="20"/>
  <c r="E12" i="20"/>
  <c r="U11" i="20"/>
  <c r="T11" i="20"/>
  <c r="S11" i="20"/>
  <c r="R11" i="20"/>
  <c r="Q11" i="20"/>
  <c r="O11" i="20"/>
  <c r="N11" i="20"/>
  <c r="M11" i="20"/>
  <c r="L11" i="20"/>
  <c r="K11" i="20"/>
  <c r="I11" i="20"/>
  <c r="H11" i="20"/>
  <c r="G11" i="20"/>
  <c r="F11" i="20"/>
  <c r="E11" i="20"/>
  <c r="U10" i="20"/>
  <c r="T10" i="20"/>
  <c r="S10" i="20"/>
  <c r="R10" i="20"/>
  <c r="Q10" i="20"/>
  <c r="O10" i="20"/>
  <c r="N10" i="20"/>
  <c r="M10" i="20"/>
  <c r="L10" i="20"/>
  <c r="K10" i="20"/>
  <c r="I10" i="20"/>
  <c r="H10" i="20"/>
  <c r="G10" i="20"/>
  <c r="F10" i="20"/>
  <c r="E10" i="20"/>
  <c r="U8" i="20"/>
  <c r="T8" i="20"/>
  <c r="S8" i="20"/>
  <c r="R8" i="20"/>
  <c r="Q8" i="20"/>
  <c r="O8" i="20"/>
  <c r="N8" i="20"/>
  <c r="M8" i="20"/>
  <c r="L8" i="20"/>
  <c r="K8" i="20"/>
  <c r="I8" i="20"/>
  <c r="H8" i="20"/>
  <c r="G8" i="20"/>
  <c r="F8" i="20"/>
  <c r="E8" i="20"/>
  <c r="U9" i="20"/>
  <c r="T9" i="20"/>
  <c r="S9" i="20"/>
  <c r="R9" i="20"/>
  <c r="Q9" i="20"/>
  <c r="O9" i="20"/>
  <c r="N9" i="20"/>
  <c r="M9" i="20"/>
  <c r="L9" i="20"/>
  <c r="K9" i="20"/>
  <c r="I9" i="20"/>
  <c r="H9" i="20"/>
  <c r="G9" i="20"/>
  <c r="F9" i="20"/>
  <c r="E9" i="20"/>
  <c r="C1" i="26" l="1"/>
  <c r="B22" i="18" l="1"/>
  <c r="B13" i="18"/>
  <c r="A2" i="20"/>
  <c r="A50" i="18" l="1"/>
  <c r="A51" i="18" s="1"/>
  <c r="A52" i="18" s="1"/>
  <c r="A53" i="18" s="1"/>
  <c r="A54" i="18" s="1"/>
  <c r="B28" i="18"/>
  <c r="A61" i="12"/>
  <c r="A60" i="12"/>
  <c r="A59" i="12"/>
  <c r="A58" i="12"/>
  <c r="J52" i="12"/>
  <c r="I52" i="12"/>
  <c r="J51" i="12"/>
  <c r="I51" i="12"/>
  <c r="J50" i="12"/>
  <c r="I50" i="12"/>
  <c r="J49" i="12"/>
  <c r="I49" i="12"/>
  <c r="C27" i="12" s="1"/>
  <c r="B53" i="12"/>
  <c r="B52" i="12"/>
  <c r="B51" i="12"/>
  <c r="B50" i="12"/>
  <c r="A53" i="12"/>
  <c r="A52" i="12"/>
  <c r="A51" i="12"/>
  <c r="A50" i="12"/>
  <c r="D31" i="12"/>
  <c r="A3" i="12"/>
  <c r="D812" i="16" l="1"/>
  <c r="E812" i="16"/>
  <c r="G812" i="16"/>
  <c r="H812" i="16"/>
  <c r="I812" i="16"/>
  <c r="J812" i="16"/>
  <c r="M812" i="16"/>
  <c r="N812" i="16"/>
  <c r="O812" i="16"/>
  <c r="R812" i="16"/>
  <c r="S812" i="16"/>
  <c r="T812" i="16"/>
  <c r="C812" i="16"/>
  <c r="D796" i="16"/>
  <c r="E796" i="16"/>
  <c r="G796" i="16"/>
  <c r="H796" i="16"/>
  <c r="I796" i="16"/>
  <c r="J796" i="16"/>
  <c r="M796" i="16"/>
  <c r="N796" i="16"/>
  <c r="O796" i="16"/>
  <c r="R796" i="16"/>
  <c r="S796" i="16"/>
  <c r="T796" i="16"/>
  <c r="C796" i="16"/>
  <c r="C1" i="19" l="1"/>
  <c r="C665" i="19"/>
  <c r="D686" i="16"/>
  <c r="E686" i="16"/>
  <c r="G686" i="16"/>
  <c r="H686" i="16"/>
  <c r="I686" i="16"/>
  <c r="J686" i="16"/>
  <c r="M686" i="16"/>
  <c r="N686" i="16"/>
  <c r="O686" i="16"/>
  <c r="R686" i="16"/>
  <c r="S686" i="16"/>
  <c r="T686" i="16"/>
  <c r="C686" i="16"/>
  <c r="D675" i="17"/>
  <c r="E675" i="17"/>
  <c r="G675" i="17"/>
  <c r="H675" i="17"/>
  <c r="H3" i="17" s="1"/>
  <c r="I675" i="17"/>
  <c r="J675" i="17"/>
  <c r="M675" i="17"/>
  <c r="N675" i="17"/>
  <c r="N3" i="17" s="1"/>
  <c r="O675" i="17"/>
  <c r="R675" i="17"/>
  <c r="S675" i="17"/>
  <c r="T675" i="17"/>
  <c r="C675" i="17"/>
  <c r="M255" i="16"/>
  <c r="N255" i="16"/>
  <c r="O255" i="16"/>
  <c r="O3" i="16" s="1"/>
  <c r="R255" i="16"/>
  <c r="R3" i="16" s="1"/>
  <c r="S255" i="16"/>
  <c r="T255" i="16"/>
  <c r="D255" i="16"/>
  <c r="D3" i="16" s="1"/>
  <c r="E255" i="16"/>
  <c r="E3" i="16" s="1"/>
  <c r="G255" i="16"/>
  <c r="G3" i="16" s="1"/>
  <c r="H255" i="16"/>
  <c r="H3" i="16" s="1"/>
  <c r="I255" i="16"/>
  <c r="I3" i="16" s="1"/>
  <c r="J255" i="16"/>
  <c r="J3" i="16" s="1"/>
  <c r="C255" i="16"/>
  <c r="P911" i="17"/>
  <c r="K911" i="17"/>
  <c r="P910" i="17"/>
  <c r="K910" i="17"/>
  <c r="M3" i="16" l="1"/>
  <c r="C3" i="16"/>
  <c r="N3" i="16"/>
  <c r="T3" i="16"/>
  <c r="S3" i="16"/>
  <c r="C1" i="22"/>
  <c r="V3" i="21"/>
  <c r="U3" i="21"/>
  <c r="T3" i="21"/>
  <c r="Q3" i="21"/>
  <c r="P3" i="21"/>
  <c r="O3" i="21"/>
  <c r="N3" i="21"/>
  <c r="L3" i="21"/>
  <c r="K3" i="21"/>
  <c r="J3" i="21"/>
  <c r="I3" i="21"/>
  <c r="G3" i="21"/>
  <c r="F3" i="21"/>
  <c r="E3" i="21"/>
  <c r="D3" i="21"/>
  <c r="C3" i="21"/>
  <c r="R907" i="21"/>
  <c r="R906" i="21"/>
  <c r="R905" i="21"/>
  <c r="R904" i="21"/>
  <c r="R903" i="21"/>
  <c r="R902" i="21"/>
  <c r="R901" i="21"/>
  <c r="R900" i="21"/>
  <c r="R899" i="21"/>
  <c r="R898" i="21"/>
  <c r="R897" i="21"/>
  <c r="R896" i="21"/>
  <c r="R895" i="21"/>
  <c r="R894" i="21"/>
  <c r="R893" i="21"/>
  <c r="R892" i="21"/>
  <c r="R891" i="21"/>
  <c r="R890" i="21"/>
  <c r="R889" i="21"/>
  <c r="R888" i="21"/>
  <c r="R887" i="21"/>
  <c r="R886" i="21"/>
  <c r="R885" i="21"/>
  <c r="R884" i="21"/>
  <c r="R883" i="21"/>
  <c r="R882" i="21"/>
  <c r="R881" i="21"/>
  <c r="R880" i="21"/>
  <c r="R879" i="21"/>
  <c r="R878" i="21"/>
  <c r="R877" i="21"/>
  <c r="R876" i="21"/>
  <c r="R875" i="21"/>
  <c r="R874" i="21"/>
  <c r="R873" i="21"/>
  <c r="R872" i="21"/>
  <c r="R871" i="21"/>
  <c r="R870" i="21"/>
  <c r="R869" i="21"/>
  <c r="R868" i="21"/>
  <c r="R867" i="21"/>
  <c r="R866" i="21"/>
  <c r="R865" i="21"/>
  <c r="R864" i="21"/>
  <c r="R863" i="21"/>
  <c r="R862" i="21"/>
  <c r="R861" i="21"/>
  <c r="R860" i="21"/>
  <c r="R859" i="21"/>
  <c r="R858" i="21"/>
  <c r="R857" i="21"/>
  <c r="R856" i="21"/>
  <c r="R855" i="21"/>
  <c r="R854" i="21"/>
  <c r="R853" i="21"/>
  <c r="R852" i="21"/>
  <c r="R851" i="21"/>
  <c r="R850" i="21"/>
  <c r="R849" i="21"/>
  <c r="R848" i="21"/>
  <c r="R847" i="21"/>
  <c r="R846" i="21"/>
  <c r="R845" i="21"/>
  <c r="R844" i="21"/>
  <c r="R843" i="21"/>
  <c r="R842" i="21"/>
  <c r="R841" i="21"/>
  <c r="R840" i="21"/>
  <c r="R839" i="21"/>
  <c r="R838" i="21"/>
  <c r="R837" i="21"/>
  <c r="R836" i="21"/>
  <c r="R835" i="21"/>
  <c r="R834" i="21"/>
  <c r="R833" i="21"/>
  <c r="R832" i="21"/>
  <c r="R831" i="21"/>
  <c r="R830" i="21"/>
  <c r="R829" i="21"/>
  <c r="R828" i="21"/>
  <c r="R827" i="21"/>
  <c r="R826" i="21"/>
  <c r="R825" i="21"/>
  <c r="R824" i="21"/>
  <c r="R823" i="21"/>
  <c r="R822" i="21"/>
  <c r="R821" i="21"/>
  <c r="R820" i="21"/>
  <c r="R819" i="21"/>
  <c r="R818" i="21"/>
  <c r="R817" i="21"/>
  <c r="R816" i="21"/>
  <c r="R815" i="21"/>
  <c r="R814" i="21"/>
  <c r="R813" i="21"/>
  <c r="R812" i="21"/>
  <c r="R811" i="21"/>
  <c r="R810" i="21"/>
  <c r="R809" i="21"/>
  <c r="R808" i="21"/>
  <c r="R807" i="21"/>
  <c r="R806" i="21"/>
  <c r="R805" i="21"/>
  <c r="R804" i="21"/>
  <c r="R803" i="21"/>
  <c r="R802" i="21"/>
  <c r="R801" i="21"/>
  <c r="R800" i="21"/>
  <c r="R799" i="21"/>
  <c r="R798" i="21"/>
  <c r="R797" i="21"/>
  <c r="R796" i="21"/>
  <c r="R795" i="21"/>
  <c r="R794" i="21"/>
  <c r="R793" i="21"/>
  <c r="R792" i="21"/>
  <c r="R791" i="21"/>
  <c r="R790" i="21"/>
  <c r="R789" i="21"/>
  <c r="R788" i="21"/>
  <c r="R787" i="21"/>
  <c r="R786" i="21"/>
  <c r="R785" i="21"/>
  <c r="R784" i="21"/>
  <c r="R783" i="21"/>
  <c r="R782" i="21"/>
  <c r="R781" i="21"/>
  <c r="R780" i="21"/>
  <c r="R779" i="21"/>
  <c r="R778" i="21"/>
  <c r="R777" i="21"/>
  <c r="R776" i="21"/>
  <c r="R775" i="21"/>
  <c r="R774" i="21"/>
  <c r="R773" i="21"/>
  <c r="R772" i="21"/>
  <c r="R771" i="21"/>
  <c r="R770" i="21"/>
  <c r="R769" i="21"/>
  <c r="R768" i="21"/>
  <c r="R767" i="21"/>
  <c r="R766" i="21"/>
  <c r="R765" i="21"/>
  <c r="R764" i="21"/>
  <c r="R763" i="21"/>
  <c r="R762" i="21"/>
  <c r="R761" i="21"/>
  <c r="R760" i="21"/>
  <c r="R759" i="21"/>
  <c r="R758" i="21"/>
  <c r="R757" i="21"/>
  <c r="R756" i="21"/>
  <c r="R755" i="21"/>
  <c r="R754" i="21"/>
  <c r="R753" i="21"/>
  <c r="R752" i="21"/>
  <c r="R751" i="21"/>
  <c r="R750" i="21"/>
  <c r="R749" i="21"/>
  <c r="R748" i="21"/>
  <c r="R747" i="21"/>
  <c r="R746" i="21"/>
  <c r="R745" i="21"/>
  <c r="R744" i="21"/>
  <c r="R743" i="21"/>
  <c r="R742" i="21"/>
  <c r="R741" i="21"/>
  <c r="R740" i="21"/>
  <c r="R739" i="21"/>
  <c r="R738" i="21"/>
  <c r="R737" i="21"/>
  <c r="R736" i="21"/>
  <c r="R735" i="21"/>
  <c r="R734" i="21"/>
  <c r="R733" i="21"/>
  <c r="R732" i="21"/>
  <c r="R731" i="21"/>
  <c r="R730" i="21"/>
  <c r="R729" i="21"/>
  <c r="R728" i="21"/>
  <c r="R727" i="21"/>
  <c r="R726" i="21"/>
  <c r="R725" i="21"/>
  <c r="R724" i="21"/>
  <c r="R723" i="21"/>
  <c r="R722" i="21"/>
  <c r="R721" i="21"/>
  <c r="R720" i="21"/>
  <c r="R719" i="21"/>
  <c r="R718" i="21"/>
  <c r="R717" i="21"/>
  <c r="R716" i="21"/>
  <c r="R715" i="21"/>
  <c r="R714" i="21"/>
  <c r="R713" i="21"/>
  <c r="R712" i="21"/>
  <c r="R711" i="21"/>
  <c r="R710" i="21"/>
  <c r="R709" i="21"/>
  <c r="R708" i="21"/>
  <c r="R707" i="21"/>
  <c r="R706" i="21"/>
  <c r="R705" i="21"/>
  <c r="R704" i="21"/>
  <c r="R703" i="21"/>
  <c r="R702" i="21"/>
  <c r="R701" i="21"/>
  <c r="R700" i="21"/>
  <c r="R699" i="21"/>
  <c r="R698" i="21"/>
  <c r="R697" i="21"/>
  <c r="R696" i="21"/>
  <c r="R695" i="21"/>
  <c r="R694" i="21"/>
  <c r="R693" i="21"/>
  <c r="R692" i="21"/>
  <c r="R691" i="21"/>
  <c r="R690" i="21"/>
  <c r="R689" i="21"/>
  <c r="R688" i="21"/>
  <c r="R687" i="21"/>
  <c r="R686" i="21"/>
  <c r="R685" i="21"/>
  <c r="R684" i="21"/>
  <c r="R683" i="21"/>
  <c r="R682" i="21"/>
  <c r="R681" i="21"/>
  <c r="R680" i="21"/>
  <c r="R679" i="21"/>
  <c r="R678" i="21"/>
  <c r="R677" i="21"/>
  <c r="R676" i="21"/>
  <c r="R675" i="21"/>
  <c r="R674" i="21"/>
  <c r="R673" i="21"/>
  <c r="R672" i="21"/>
  <c r="R671" i="21"/>
  <c r="R670" i="21"/>
  <c r="R669" i="21"/>
  <c r="R668" i="21"/>
  <c r="R667" i="21"/>
  <c r="R666" i="21"/>
  <c r="R665" i="21"/>
  <c r="R664" i="21"/>
  <c r="R663" i="21"/>
  <c r="R662" i="21"/>
  <c r="R661" i="21"/>
  <c r="R660" i="21"/>
  <c r="R659" i="21"/>
  <c r="R658" i="21"/>
  <c r="R657" i="21"/>
  <c r="R656" i="21"/>
  <c r="R655" i="21"/>
  <c r="R654" i="21"/>
  <c r="R653" i="21"/>
  <c r="R652" i="21"/>
  <c r="R651" i="21"/>
  <c r="R650" i="21"/>
  <c r="R649" i="21"/>
  <c r="R648" i="21"/>
  <c r="R647" i="21"/>
  <c r="R646" i="21"/>
  <c r="R645" i="21"/>
  <c r="R644" i="21"/>
  <c r="R643" i="21"/>
  <c r="R642" i="21"/>
  <c r="R641" i="21"/>
  <c r="R640" i="21"/>
  <c r="R639" i="21"/>
  <c r="R638" i="21"/>
  <c r="R637" i="21"/>
  <c r="R636" i="21"/>
  <c r="R635" i="21"/>
  <c r="R634" i="21"/>
  <c r="R633" i="21"/>
  <c r="R632" i="21"/>
  <c r="R631" i="21"/>
  <c r="R630" i="21"/>
  <c r="R629" i="21"/>
  <c r="R628" i="21"/>
  <c r="R627" i="21"/>
  <c r="R626" i="21"/>
  <c r="R625" i="21"/>
  <c r="R624" i="21"/>
  <c r="R623" i="21"/>
  <c r="R622" i="21"/>
  <c r="R621" i="21"/>
  <c r="R620" i="21"/>
  <c r="R619" i="21"/>
  <c r="R618" i="21"/>
  <c r="R617" i="21"/>
  <c r="R616" i="21"/>
  <c r="R615" i="21"/>
  <c r="R614" i="21"/>
  <c r="R613" i="21"/>
  <c r="R612" i="21"/>
  <c r="R611" i="21"/>
  <c r="R610" i="21"/>
  <c r="R609" i="21"/>
  <c r="R608" i="21"/>
  <c r="R607" i="21"/>
  <c r="R606" i="21"/>
  <c r="R605" i="21"/>
  <c r="R604" i="21"/>
  <c r="R603" i="21"/>
  <c r="R602" i="21"/>
  <c r="R601" i="21"/>
  <c r="R600" i="21"/>
  <c r="R599" i="21"/>
  <c r="R598" i="21"/>
  <c r="R597" i="21"/>
  <c r="R596" i="21"/>
  <c r="R595" i="21"/>
  <c r="R594" i="21"/>
  <c r="R593" i="21"/>
  <c r="R592" i="21"/>
  <c r="R591" i="21"/>
  <c r="R590" i="21"/>
  <c r="R589" i="21"/>
  <c r="R588" i="21"/>
  <c r="R587" i="21"/>
  <c r="R586" i="21"/>
  <c r="R585" i="21"/>
  <c r="R584" i="21"/>
  <c r="R583" i="21"/>
  <c r="R582" i="21"/>
  <c r="R581" i="21"/>
  <c r="R580" i="21"/>
  <c r="R579" i="21"/>
  <c r="R578" i="21"/>
  <c r="R577" i="21"/>
  <c r="R576" i="21"/>
  <c r="R575" i="21"/>
  <c r="R574" i="21"/>
  <c r="R573" i="21"/>
  <c r="R572" i="21"/>
  <c r="R571" i="21"/>
  <c r="R570" i="21"/>
  <c r="R569" i="21"/>
  <c r="R568" i="21"/>
  <c r="R567" i="21"/>
  <c r="R566" i="21"/>
  <c r="R565" i="21"/>
  <c r="R564" i="21"/>
  <c r="R563" i="21"/>
  <c r="R562" i="21"/>
  <c r="R561" i="21"/>
  <c r="R560" i="21"/>
  <c r="R559" i="21"/>
  <c r="R558" i="21"/>
  <c r="R557" i="21"/>
  <c r="R556" i="21"/>
  <c r="R555" i="21"/>
  <c r="R554" i="21"/>
  <c r="R553" i="21"/>
  <c r="R552" i="21"/>
  <c r="R551" i="21"/>
  <c r="R550" i="21"/>
  <c r="R549" i="21"/>
  <c r="R548" i="21"/>
  <c r="R547" i="21"/>
  <c r="R546" i="21"/>
  <c r="R545" i="21"/>
  <c r="R544" i="21"/>
  <c r="R543" i="21"/>
  <c r="R542" i="21"/>
  <c r="R541" i="21"/>
  <c r="R540" i="21"/>
  <c r="R539" i="21"/>
  <c r="R538" i="21"/>
  <c r="R537" i="21"/>
  <c r="R536" i="21"/>
  <c r="R535" i="21"/>
  <c r="R534" i="21"/>
  <c r="R533" i="21"/>
  <c r="R532" i="21"/>
  <c r="R531" i="21"/>
  <c r="R530" i="21"/>
  <c r="R529" i="21"/>
  <c r="R528" i="21"/>
  <c r="R527" i="21"/>
  <c r="R526" i="21"/>
  <c r="R525" i="21"/>
  <c r="R524" i="21"/>
  <c r="R523" i="21"/>
  <c r="R522" i="21"/>
  <c r="R521" i="21"/>
  <c r="R520" i="21"/>
  <c r="R519" i="21"/>
  <c r="R518" i="21"/>
  <c r="R517" i="21"/>
  <c r="R516" i="21"/>
  <c r="R515" i="21"/>
  <c r="R514" i="21"/>
  <c r="R513" i="21"/>
  <c r="R512" i="21"/>
  <c r="R511" i="21"/>
  <c r="R510" i="21"/>
  <c r="R509" i="21"/>
  <c r="R508" i="21"/>
  <c r="R507" i="21"/>
  <c r="R506" i="21"/>
  <c r="R505" i="21"/>
  <c r="R504" i="21"/>
  <c r="R503" i="21"/>
  <c r="R502" i="21"/>
  <c r="R501" i="21"/>
  <c r="R500" i="21"/>
  <c r="R499" i="21"/>
  <c r="R498" i="21"/>
  <c r="R497" i="21"/>
  <c r="R496" i="21"/>
  <c r="R495" i="21"/>
  <c r="R494" i="21"/>
  <c r="R493" i="21"/>
  <c r="R492" i="21"/>
  <c r="R491" i="21"/>
  <c r="R490" i="21"/>
  <c r="R489" i="21"/>
  <c r="R488" i="21"/>
  <c r="R487" i="21"/>
  <c r="R486" i="21"/>
  <c r="R485" i="21"/>
  <c r="R484" i="21"/>
  <c r="R483" i="21"/>
  <c r="R482" i="21"/>
  <c r="R481" i="21"/>
  <c r="R480" i="21"/>
  <c r="R479" i="21"/>
  <c r="R478" i="21"/>
  <c r="R477" i="21"/>
  <c r="R476" i="21"/>
  <c r="R475" i="21"/>
  <c r="R474" i="21"/>
  <c r="R473" i="21"/>
  <c r="R472" i="21"/>
  <c r="R471" i="21"/>
  <c r="R470" i="21"/>
  <c r="R469" i="21"/>
  <c r="R468" i="21"/>
  <c r="R467" i="21"/>
  <c r="R466" i="21"/>
  <c r="R465" i="21"/>
  <c r="R464" i="21"/>
  <c r="R463" i="21"/>
  <c r="R462" i="21"/>
  <c r="R461" i="21"/>
  <c r="R460" i="21"/>
  <c r="R459" i="21"/>
  <c r="R458" i="21"/>
  <c r="R457" i="21"/>
  <c r="R456" i="21"/>
  <c r="R455" i="21"/>
  <c r="R454" i="21"/>
  <c r="R453" i="21"/>
  <c r="R452" i="21"/>
  <c r="R451" i="21"/>
  <c r="R450" i="21"/>
  <c r="R449" i="21"/>
  <c r="R448" i="21"/>
  <c r="R447" i="21"/>
  <c r="R446" i="21"/>
  <c r="R445" i="21"/>
  <c r="R444" i="21"/>
  <c r="R443" i="21"/>
  <c r="R442" i="21"/>
  <c r="R441" i="21"/>
  <c r="R440" i="21"/>
  <c r="R439" i="21"/>
  <c r="R438" i="21"/>
  <c r="R437" i="21"/>
  <c r="R436" i="21"/>
  <c r="R435" i="21"/>
  <c r="R434" i="21"/>
  <c r="R433" i="21"/>
  <c r="R432" i="21"/>
  <c r="R431" i="21"/>
  <c r="R430" i="21"/>
  <c r="R429" i="21"/>
  <c r="R428" i="21"/>
  <c r="R427" i="21"/>
  <c r="R426" i="21"/>
  <c r="R425" i="21"/>
  <c r="R424" i="21"/>
  <c r="R423" i="21"/>
  <c r="R422" i="21"/>
  <c r="R421" i="21"/>
  <c r="R420" i="21"/>
  <c r="R419" i="21"/>
  <c r="R418" i="21"/>
  <c r="R417" i="21"/>
  <c r="R416" i="21"/>
  <c r="R415" i="21"/>
  <c r="R414" i="21"/>
  <c r="R413" i="21"/>
  <c r="R412" i="21"/>
  <c r="R411" i="21"/>
  <c r="R410" i="21"/>
  <c r="R409" i="21"/>
  <c r="R408" i="21"/>
  <c r="R407" i="21"/>
  <c r="R406" i="21"/>
  <c r="R405" i="21"/>
  <c r="R404" i="21"/>
  <c r="R403" i="21"/>
  <c r="R402" i="21"/>
  <c r="R401" i="21"/>
  <c r="R400" i="21"/>
  <c r="R399" i="21"/>
  <c r="R398" i="21"/>
  <c r="R397" i="21"/>
  <c r="R396" i="21"/>
  <c r="R395" i="21"/>
  <c r="R394" i="21"/>
  <c r="R393" i="21"/>
  <c r="R392" i="21"/>
  <c r="R391" i="21"/>
  <c r="R390" i="21"/>
  <c r="R389" i="21"/>
  <c r="R388" i="21"/>
  <c r="R387" i="21"/>
  <c r="R386" i="21"/>
  <c r="R385" i="21"/>
  <c r="R384" i="21"/>
  <c r="R383" i="21"/>
  <c r="R382" i="21"/>
  <c r="R381" i="21"/>
  <c r="R380" i="21"/>
  <c r="R379" i="21"/>
  <c r="R378" i="21"/>
  <c r="R377" i="21"/>
  <c r="R376" i="21"/>
  <c r="R375" i="21"/>
  <c r="R374" i="21"/>
  <c r="R373" i="21"/>
  <c r="R372" i="21"/>
  <c r="R371" i="21"/>
  <c r="R370" i="21"/>
  <c r="R369" i="21"/>
  <c r="R368" i="21"/>
  <c r="R367" i="21"/>
  <c r="R366" i="21"/>
  <c r="R365" i="21"/>
  <c r="R364" i="21"/>
  <c r="R363" i="21"/>
  <c r="R362" i="21"/>
  <c r="R361" i="21"/>
  <c r="R360" i="21"/>
  <c r="R359" i="21"/>
  <c r="R358" i="21"/>
  <c r="R357" i="21"/>
  <c r="R356" i="21"/>
  <c r="R355" i="21"/>
  <c r="R354" i="21"/>
  <c r="R353" i="21"/>
  <c r="R352" i="21"/>
  <c r="R351" i="21"/>
  <c r="R350" i="21"/>
  <c r="R349" i="21"/>
  <c r="R348" i="21"/>
  <c r="R347" i="21"/>
  <c r="R346" i="21"/>
  <c r="R345" i="21"/>
  <c r="R344" i="21"/>
  <c r="R343" i="21"/>
  <c r="R342" i="21"/>
  <c r="R341" i="21"/>
  <c r="R340" i="21"/>
  <c r="R339" i="21"/>
  <c r="R338" i="21"/>
  <c r="R337" i="21"/>
  <c r="R336" i="21"/>
  <c r="R335" i="21"/>
  <c r="R334" i="21"/>
  <c r="R333" i="21"/>
  <c r="R332" i="21"/>
  <c r="R331" i="21"/>
  <c r="R330" i="21"/>
  <c r="R329" i="21"/>
  <c r="R328" i="21"/>
  <c r="R327" i="21"/>
  <c r="R326" i="21"/>
  <c r="R325" i="21"/>
  <c r="R324" i="21"/>
  <c r="R323" i="21"/>
  <c r="R322" i="21"/>
  <c r="R321" i="21"/>
  <c r="R320" i="21"/>
  <c r="R319" i="21"/>
  <c r="R318" i="21"/>
  <c r="R317" i="21"/>
  <c r="R316" i="21"/>
  <c r="R315" i="21"/>
  <c r="R314" i="21"/>
  <c r="R313" i="21"/>
  <c r="R312" i="21"/>
  <c r="R311" i="21"/>
  <c r="R310" i="21"/>
  <c r="R309" i="21"/>
  <c r="R308" i="21"/>
  <c r="R307" i="21"/>
  <c r="R306" i="21"/>
  <c r="R305" i="21"/>
  <c r="R304" i="21"/>
  <c r="R303" i="21"/>
  <c r="R302" i="21"/>
  <c r="R301" i="21"/>
  <c r="R300" i="21"/>
  <c r="R299" i="21"/>
  <c r="R298" i="21"/>
  <c r="R297" i="21"/>
  <c r="R296" i="21"/>
  <c r="R295" i="21"/>
  <c r="R294" i="21"/>
  <c r="R293" i="21"/>
  <c r="R292" i="21"/>
  <c r="R291" i="21"/>
  <c r="R290" i="21"/>
  <c r="R289" i="21"/>
  <c r="R288" i="21"/>
  <c r="R287" i="21"/>
  <c r="R286" i="21"/>
  <c r="R285" i="21"/>
  <c r="R284" i="21"/>
  <c r="R283" i="21"/>
  <c r="R282" i="21"/>
  <c r="R281" i="21"/>
  <c r="R280" i="21"/>
  <c r="R279" i="21"/>
  <c r="R278" i="21"/>
  <c r="R277" i="21"/>
  <c r="R276" i="21"/>
  <c r="R275" i="21"/>
  <c r="R274" i="21"/>
  <c r="R273" i="21"/>
  <c r="R272" i="21"/>
  <c r="R271" i="21"/>
  <c r="R270" i="21"/>
  <c r="R269" i="21"/>
  <c r="R268" i="21"/>
  <c r="R267" i="21"/>
  <c r="R266" i="21"/>
  <c r="R265" i="21"/>
  <c r="R264" i="21"/>
  <c r="R263" i="21"/>
  <c r="R262" i="21"/>
  <c r="R261" i="21"/>
  <c r="R260" i="21"/>
  <c r="R259" i="21"/>
  <c r="R258" i="21"/>
  <c r="R257" i="21"/>
  <c r="R256" i="21"/>
  <c r="R255" i="21"/>
  <c r="R254" i="21"/>
  <c r="R253" i="21"/>
  <c r="R252" i="21"/>
  <c r="R251" i="21"/>
  <c r="R250" i="21"/>
  <c r="R249" i="21"/>
  <c r="R248" i="21"/>
  <c r="R247" i="21"/>
  <c r="R246" i="21"/>
  <c r="R245" i="21"/>
  <c r="R244" i="21"/>
  <c r="R243" i="21"/>
  <c r="R242" i="21"/>
  <c r="R241" i="21"/>
  <c r="R240" i="21"/>
  <c r="R239" i="21"/>
  <c r="R238" i="21"/>
  <c r="R237" i="21"/>
  <c r="R236" i="21"/>
  <c r="R235" i="21"/>
  <c r="R234" i="21"/>
  <c r="R233" i="21"/>
  <c r="R232" i="21"/>
  <c r="R231" i="21"/>
  <c r="R230" i="21"/>
  <c r="R229" i="21"/>
  <c r="R228" i="21"/>
  <c r="R227" i="21"/>
  <c r="R226" i="21"/>
  <c r="R225" i="21"/>
  <c r="R224" i="21"/>
  <c r="R223" i="21"/>
  <c r="R222" i="21"/>
  <c r="R221" i="21"/>
  <c r="R220" i="21"/>
  <c r="R219" i="21"/>
  <c r="R218" i="21"/>
  <c r="R217" i="21"/>
  <c r="R216" i="21"/>
  <c r="R215" i="21"/>
  <c r="R214" i="21"/>
  <c r="R213" i="21"/>
  <c r="R212" i="21"/>
  <c r="R211" i="21"/>
  <c r="R210" i="21"/>
  <c r="R209" i="21"/>
  <c r="R208" i="21"/>
  <c r="R207" i="21"/>
  <c r="R206" i="21"/>
  <c r="R205" i="21"/>
  <c r="R204" i="21"/>
  <c r="R203" i="21"/>
  <c r="R202" i="21"/>
  <c r="R201" i="21"/>
  <c r="R200" i="21"/>
  <c r="R199" i="21"/>
  <c r="R198" i="21"/>
  <c r="R197" i="21"/>
  <c r="R196" i="21"/>
  <c r="R195" i="21"/>
  <c r="R194" i="21"/>
  <c r="R193" i="21"/>
  <c r="R192" i="21"/>
  <c r="R191" i="21"/>
  <c r="R190" i="21"/>
  <c r="R189" i="21"/>
  <c r="R188" i="21"/>
  <c r="R187" i="21"/>
  <c r="R186" i="21"/>
  <c r="R185" i="21"/>
  <c r="R184" i="21"/>
  <c r="R183" i="21"/>
  <c r="R182" i="21"/>
  <c r="R181" i="21"/>
  <c r="R180" i="21"/>
  <c r="R179" i="21"/>
  <c r="R178" i="21"/>
  <c r="R177" i="21"/>
  <c r="R176" i="21"/>
  <c r="R175" i="21"/>
  <c r="R174" i="21"/>
  <c r="R173" i="21"/>
  <c r="R172" i="21"/>
  <c r="R171" i="21"/>
  <c r="R170" i="21"/>
  <c r="R169" i="21"/>
  <c r="R168" i="21"/>
  <c r="R167" i="21"/>
  <c r="R166" i="21"/>
  <c r="R165" i="21"/>
  <c r="R164" i="21"/>
  <c r="R163" i="21"/>
  <c r="R162" i="21"/>
  <c r="R161" i="21"/>
  <c r="R160" i="21"/>
  <c r="R159" i="21"/>
  <c r="R158" i="21"/>
  <c r="R157" i="21"/>
  <c r="R156" i="21"/>
  <c r="R155" i="21"/>
  <c r="R154" i="21"/>
  <c r="R153" i="21"/>
  <c r="R152" i="21"/>
  <c r="R151" i="21"/>
  <c r="R150" i="21"/>
  <c r="R149" i="21"/>
  <c r="R148" i="21"/>
  <c r="R147" i="21"/>
  <c r="R146" i="21"/>
  <c r="R145" i="21"/>
  <c r="R144" i="21"/>
  <c r="R143" i="21"/>
  <c r="R142" i="21"/>
  <c r="R141" i="21"/>
  <c r="R140" i="21"/>
  <c r="R139" i="21"/>
  <c r="R138" i="21"/>
  <c r="R137" i="21"/>
  <c r="R136" i="21"/>
  <c r="R135" i="21"/>
  <c r="R134" i="21"/>
  <c r="R133" i="21"/>
  <c r="R132" i="21"/>
  <c r="R131" i="21"/>
  <c r="R130" i="21"/>
  <c r="R129" i="21"/>
  <c r="R128" i="21"/>
  <c r="R127" i="21"/>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AI1" i="20" l="1"/>
  <c r="AJ1" i="20"/>
  <c r="AK1" i="20"/>
  <c r="AL1" i="20"/>
  <c r="AM1" i="20"/>
  <c r="AD1" i="20"/>
  <c r="AE1" i="20"/>
  <c r="AF1" i="20"/>
  <c r="AG1" i="20"/>
  <c r="AC1" i="20"/>
  <c r="W1" i="20"/>
  <c r="X1" i="20"/>
  <c r="Y1" i="20"/>
  <c r="Z1" i="20"/>
  <c r="AA1" i="20"/>
  <c r="R1" i="20"/>
  <c r="S1" i="20"/>
  <c r="T1" i="20"/>
  <c r="U1" i="20"/>
  <c r="Q1" i="20"/>
  <c r="E1" i="20"/>
  <c r="F1" i="20"/>
  <c r="G1" i="20"/>
  <c r="H1" i="20"/>
  <c r="K1" i="20"/>
  <c r="L1" i="20"/>
  <c r="M1" i="20"/>
  <c r="N1" i="20"/>
  <c r="O1" i="20"/>
  <c r="P909" i="17" l="1"/>
  <c r="K909" i="17"/>
  <c r="P908" i="17"/>
  <c r="K908" i="17"/>
  <c r="T907" i="17"/>
  <c r="P907" i="17"/>
  <c r="K907" i="17"/>
  <c r="P906" i="17"/>
  <c r="K906" i="17"/>
  <c r="P905" i="17"/>
  <c r="K905" i="17"/>
  <c r="P904" i="17"/>
  <c r="K904" i="17"/>
  <c r="P903" i="17"/>
  <c r="K903" i="17"/>
  <c r="P902" i="17"/>
  <c r="K902" i="17"/>
  <c r="P901" i="17"/>
  <c r="K901" i="17"/>
  <c r="T900" i="17"/>
  <c r="P900" i="17"/>
  <c r="K900" i="17"/>
  <c r="P899" i="17"/>
  <c r="K899" i="17"/>
  <c r="P898" i="17"/>
  <c r="K898" i="17"/>
  <c r="P897" i="17"/>
  <c r="K897" i="17"/>
  <c r="T896" i="17"/>
  <c r="P896" i="17"/>
  <c r="K896" i="17"/>
  <c r="P895" i="17"/>
  <c r="K895" i="17"/>
  <c r="P894" i="17"/>
  <c r="K894" i="17"/>
  <c r="T893" i="17"/>
  <c r="P893" i="17"/>
  <c r="K893" i="17"/>
  <c r="P892" i="17"/>
  <c r="K892" i="17"/>
  <c r="P891" i="17"/>
  <c r="K891" i="17"/>
  <c r="P890" i="17"/>
  <c r="K890" i="17"/>
  <c r="P889" i="17"/>
  <c r="K889" i="17"/>
  <c r="P888" i="17"/>
  <c r="K888" i="17"/>
  <c r="T887" i="17"/>
  <c r="P887" i="17"/>
  <c r="K887" i="17"/>
  <c r="P886" i="17"/>
  <c r="K886" i="17"/>
  <c r="P885" i="17"/>
  <c r="K885" i="17"/>
  <c r="T884" i="17"/>
  <c r="P884" i="17"/>
  <c r="K884" i="17"/>
  <c r="T883" i="17"/>
  <c r="P883" i="17"/>
  <c r="K883" i="17"/>
  <c r="P882" i="17"/>
  <c r="K882" i="17"/>
  <c r="P881" i="17"/>
  <c r="K881" i="17"/>
  <c r="P880" i="17"/>
  <c r="K880" i="17"/>
  <c r="P879" i="17"/>
  <c r="K879" i="17"/>
  <c r="P878" i="17"/>
  <c r="K878" i="17"/>
  <c r="P877" i="17"/>
  <c r="K877" i="17"/>
  <c r="P876" i="17"/>
  <c r="K876" i="17"/>
  <c r="P875" i="17"/>
  <c r="K875" i="17"/>
  <c r="T874" i="17"/>
  <c r="P874" i="17"/>
  <c r="K874" i="17"/>
  <c r="P873" i="17"/>
  <c r="K873" i="17"/>
  <c r="P872" i="17"/>
  <c r="K872" i="17"/>
  <c r="P871" i="17"/>
  <c r="K871" i="17"/>
  <c r="P870" i="17"/>
  <c r="K870" i="17"/>
  <c r="P869" i="17"/>
  <c r="K869" i="17"/>
  <c r="P868" i="17"/>
  <c r="K868" i="17"/>
  <c r="P867" i="17"/>
  <c r="K867" i="17"/>
  <c r="T866" i="17"/>
  <c r="P866" i="17"/>
  <c r="K866" i="17"/>
  <c r="P865" i="17"/>
  <c r="K865" i="17"/>
  <c r="P864" i="17"/>
  <c r="K864" i="17"/>
  <c r="P863" i="17"/>
  <c r="K863" i="17"/>
  <c r="P862" i="17"/>
  <c r="K862" i="17"/>
  <c r="T861" i="17"/>
  <c r="P861" i="17"/>
  <c r="K861" i="17"/>
  <c r="P860" i="17"/>
  <c r="K860" i="17"/>
  <c r="P859" i="17"/>
  <c r="K859" i="17"/>
  <c r="P858" i="17"/>
  <c r="K858" i="17"/>
  <c r="P857" i="17"/>
  <c r="K857" i="17"/>
  <c r="T856" i="17"/>
  <c r="P856" i="17"/>
  <c r="K856" i="17"/>
  <c r="T855" i="17"/>
  <c r="P855" i="17"/>
  <c r="K855" i="17"/>
  <c r="P854" i="17"/>
  <c r="K854" i="17"/>
  <c r="P853" i="17"/>
  <c r="K853" i="17"/>
  <c r="P852" i="17"/>
  <c r="K852" i="17"/>
  <c r="P851" i="17"/>
  <c r="K851" i="17"/>
  <c r="P850" i="17"/>
  <c r="K850" i="17"/>
  <c r="P849" i="17"/>
  <c r="K849" i="17"/>
  <c r="T848" i="17"/>
  <c r="P848" i="17"/>
  <c r="K848" i="17"/>
  <c r="P847" i="17"/>
  <c r="K847" i="17"/>
  <c r="P846" i="17"/>
  <c r="K846" i="17"/>
  <c r="P845" i="17"/>
  <c r="K845" i="17"/>
  <c r="P844" i="17"/>
  <c r="K844" i="17"/>
  <c r="T843" i="17"/>
  <c r="P843" i="17"/>
  <c r="K843" i="17"/>
  <c r="P842" i="17"/>
  <c r="K842" i="17"/>
  <c r="T841" i="17"/>
  <c r="P841" i="17"/>
  <c r="K841" i="17"/>
  <c r="T840" i="17"/>
  <c r="P840" i="17"/>
  <c r="K840" i="17"/>
  <c r="P839" i="17"/>
  <c r="K839" i="17"/>
  <c r="P838" i="17"/>
  <c r="K838" i="17"/>
  <c r="T837" i="17"/>
  <c r="P837" i="17"/>
  <c r="K837" i="17"/>
  <c r="P836" i="17"/>
  <c r="K836" i="17"/>
  <c r="P835" i="17"/>
  <c r="K835" i="17"/>
  <c r="P834" i="17"/>
  <c r="K834" i="17"/>
  <c r="P833" i="17"/>
  <c r="K833" i="17"/>
  <c r="P832" i="17"/>
  <c r="K832" i="17"/>
  <c r="P831" i="17"/>
  <c r="K831" i="17"/>
  <c r="T830" i="17"/>
  <c r="P830" i="17"/>
  <c r="K830" i="17"/>
  <c r="T829" i="17"/>
  <c r="P829" i="17"/>
  <c r="K829" i="17"/>
  <c r="P828" i="17"/>
  <c r="K828" i="17"/>
  <c r="T827" i="17"/>
  <c r="P827" i="17"/>
  <c r="K827" i="17"/>
  <c r="T826" i="17"/>
  <c r="P826" i="17"/>
  <c r="K826" i="17"/>
  <c r="P825" i="17"/>
  <c r="K825" i="17"/>
  <c r="P824" i="17"/>
  <c r="K824" i="17"/>
  <c r="T823" i="17"/>
  <c r="P823" i="17"/>
  <c r="K823" i="17"/>
  <c r="T822" i="17"/>
  <c r="P822" i="17"/>
  <c r="K822" i="17"/>
  <c r="P821" i="17"/>
  <c r="K821" i="17"/>
  <c r="P820" i="17"/>
  <c r="K820" i="17"/>
  <c r="P819" i="17"/>
  <c r="K819" i="17"/>
  <c r="T818" i="17"/>
  <c r="P818" i="17"/>
  <c r="K818" i="17"/>
  <c r="P817" i="17"/>
  <c r="K817" i="17"/>
  <c r="P816" i="17"/>
  <c r="K816" i="17"/>
  <c r="T815" i="17"/>
  <c r="P815" i="17"/>
  <c r="K815" i="17"/>
  <c r="P814" i="17"/>
  <c r="K814" i="17"/>
  <c r="P813" i="17"/>
  <c r="K813" i="17"/>
  <c r="P812" i="17"/>
  <c r="K812" i="17"/>
  <c r="T811" i="17"/>
  <c r="P811" i="17"/>
  <c r="K811" i="17"/>
  <c r="P810" i="17"/>
  <c r="K810" i="17"/>
  <c r="P809" i="17"/>
  <c r="K809" i="17"/>
  <c r="T808" i="17"/>
  <c r="P808" i="17"/>
  <c r="K808" i="17"/>
  <c r="P807" i="17"/>
  <c r="K807" i="17"/>
  <c r="P806" i="17"/>
  <c r="K806" i="17"/>
  <c r="P805" i="17"/>
  <c r="K805" i="17"/>
  <c r="P804" i="17"/>
  <c r="K804" i="17"/>
  <c r="P803" i="17"/>
  <c r="K803" i="17"/>
  <c r="T802" i="17"/>
  <c r="P802" i="17"/>
  <c r="K802" i="17"/>
  <c r="P801" i="17"/>
  <c r="K801" i="17"/>
  <c r="P800" i="17"/>
  <c r="K800" i="17"/>
  <c r="T799" i="17"/>
  <c r="P799" i="17"/>
  <c r="K799" i="17"/>
  <c r="T798" i="17"/>
  <c r="P798" i="17"/>
  <c r="K798" i="17"/>
  <c r="P797" i="17"/>
  <c r="K797" i="17"/>
  <c r="P796" i="17"/>
  <c r="K796" i="17"/>
  <c r="T795" i="17"/>
  <c r="S795" i="17"/>
  <c r="O795" i="17"/>
  <c r="P795" i="17" s="1"/>
  <c r="J795" i="17"/>
  <c r="K795" i="17" s="1"/>
  <c r="P794" i="17"/>
  <c r="K794" i="17"/>
  <c r="P793" i="17"/>
  <c r="K793" i="17"/>
  <c r="P792" i="17"/>
  <c r="K792" i="17"/>
  <c r="T791" i="17"/>
  <c r="P791" i="17"/>
  <c r="K791" i="17"/>
  <c r="P790" i="17"/>
  <c r="K790" i="17"/>
  <c r="T789" i="17"/>
  <c r="P789" i="17"/>
  <c r="K789" i="17"/>
  <c r="P788" i="17"/>
  <c r="K788" i="17"/>
  <c r="P787" i="17"/>
  <c r="K787" i="17"/>
  <c r="T786" i="17"/>
  <c r="P786" i="17"/>
  <c r="K786" i="17"/>
  <c r="T785" i="17"/>
  <c r="P785" i="17"/>
  <c r="K785" i="17"/>
  <c r="P784" i="17"/>
  <c r="K784" i="17"/>
  <c r="P783" i="17"/>
  <c r="K783" i="17"/>
  <c r="T782" i="17"/>
  <c r="S782" i="17"/>
  <c r="R782" i="17"/>
  <c r="R3" i="17" s="1"/>
  <c r="O782" i="17"/>
  <c r="M782" i="17"/>
  <c r="M3" i="17" s="1"/>
  <c r="I782" i="17"/>
  <c r="G782" i="17"/>
  <c r="E782" i="17"/>
  <c r="E3" i="17" s="1"/>
  <c r="C782" i="17"/>
  <c r="P781" i="17"/>
  <c r="K781" i="17"/>
  <c r="T780" i="17"/>
  <c r="P780" i="17"/>
  <c r="K780" i="17"/>
  <c r="P779" i="17"/>
  <c r="K779" i="17"/>
  <c r="T778" i="17"/>
  <c r="P778" i="17"/>
  <c r="K778" i="17"/>
  <c r="P777" i="17"/>
  <c r="K777" i="17"/>
  <c r="P776" i="17"/>
  <c r="K776" i="17"/>
  <c r="T775" i="17"/>
  <c r="P775" i="17"/>
  <c r="K775" i="17"/>
  <c r="P774" i="17"/>
  <c r="K774" i="17"/>
  <c r="T773" i="17"/>
  <c r="P773" i="17"/>
  <c r="K773" i="17"/>
  <c r="P772" i="17"/>
  <c r="K772" i="17"/>
  <c r="T771" i="17"/>
  <c r="P771" i="17"/>
  <c r="K771" i="17"/>
  <c r="P770" i="17"/>
  <c r="K770" i="17"/>
  <c r="P769" i="17"/>
  <c r="K769" i="17"/>
  <c r="T768" i="17"/>
  <c r="P768" i="17"/>
  <c r="K768" i="17"/>
  <c r="P767" i="17"/>
  <c r="K767" i="17"/>
  <c r="P766" i="17"/>
  <c r="K766" i="17"/>
  <c r="P765" i="17"/>
  <c r="K765" i="17"/>
  <c r="P764" i="17"/>
  <c r="K764" i="17"/>
  <c r="P763" i="17"/>
  <c r="K763" i="17"/>
  <c r="T762" i="17"/>
  <c r="P762" i="17"/>
  <c r="K762" i="17"/>
  <c r="P761" i="17"/>
  <c r="K761" i="17"/>
  <c r="P760" i="17"/>
  <c r="K760" i="17"/>
  <c r="T759" i="17"/>
  <c r="P759" i="17"/>
  <c r="K759" i="17"/>
  <c r="P758" i="17"/>
  <c r="K758" i="17"/>
  <c r="P757" i="17"/>
  <c r="K757" i="17"/>
  <c r="T756" i="17"/>
  <c r="P756" i="17"/>
  <c r="K756" i="17"/>
  <c r="T755" i="17"/>
  <c r="P755" i="17"/>
  <c r="K755" i="17"/>
  <c r="P754" i="17"/>
  <c r="K754" i="17"/>
  <c r="P753" i="17"/>
  <c r="K753" i="17"/>
  <c r="P752" i="17"/>
  <c r="K752" i="17"/>
  <c r="P751" i="17"/>
  <c r="K751" i="17"/>
  <c r="P750" i="17"/>
  <c r="K750" i="17"/>
  <c r="T749" i="17"/>
  <c r="P749" i="17"/>
  <c r="K749" i="17"/>
  <c r="P748" i="17"/>
  <c r="K748" i="17"/>
  <c r="P747" i="17"/>
  <c r="K747" i="17"/>
  <c r="P746" i="17"/>
  <c r="K746" i="17"/>
  <c r="P745" i="17"/>
  <c r="K745" i="17"/>
  <c r="P744" i="17"/>
  <c r="K744" i="17"/>
  <c r="P743" i="17"/>
  <c r="K743" i="17"/>
  <c r="T742" i="17"/>
  <c r="P742" i="17"/>
  <c r="K742" i="17"/>
  <c r="P741" i="17"/>
  <c r="K741" i="17"/>
  <c r="P740" i="17"/>
  <c r="K740" i="17"/>
  <c r="T739" i="17"/>
  <c r="P739" i="17"/>
  <c r="K739" i="17"/>
  <c r="P738" i="17"/>
  <c r="K738" i="17"/>
  <c r="P737" i="17"/>
  <c r="K737" i="17"/>
  <c r="T736" i="17"/>
  <c r="P736" i="17"/>
  <c r="K736" i="17"/>
  <c r="P735" i="17"/>
  <c r="K735" i="17"/>
  <c r="P734" i="17"/>
  <c r="K734" i="17"/>
  <c r="P733" i="17"/>
  <c r="K733" i="17"/>
  <c r="T732" i="17"/>
  <c r="P732" i="17"/>
  <c r="K732" i="17"/>
  <c r="T731" i="17"/>
  <c r="P731" i="17"/>
  <c r="K731" i="17"/>
  <c r="P730" i="17"/>
  <c r="K730" i="17"/>
  <c r="P729" i="17"/>
  <c r="K729" i="17"/>
  <c r="P728" i="17"/>
  <c r="K728" i="17"/>
  <c r="P727" i="17"/>
  <c r="K727" i="17"/>
  <c r="P726" i="17"/>
  <c r="K726" i="17"/>
  <c r="T725" i="17"/>
  <c r="P725" i="17"/>
  <c r="K725" i="17"/>
  <c r="T724" i="17"/>
  <c r="P724" i="17"/>
  <c r="K724" i="17"/>
  <c r="P723" i="17"/>
  <c r="K723" i="17"/>
  <c r="P722" i="17"/>
  <c r="K722" i="17"/>
  <c r="T721" i="17"/>
  <c r="P721" i="17"/>
  <c r="K721" i="17"/>
  <c r="T720" i="17"/>
  <c r="P720" i="17"/>
  <c r="K720" i="17"/>
  <c r="T719" i="17"/>
  <c r="P719" i="17"/>
  <c r="K719" i="17"/>
  <c r="T718" i="17"/>
  <c r="P718" i="17"/>
  <c r="K718" i="17"/>
  <c r="P717" i="17"/>
  <c r="K717" i="17"/>
  <c r="P716" i="17"/>
  <c r="K716" i="17"/>
  <c r="P715" i="17"/>
  <c r="K715" i="17"/>
  <c r="P714" i="17"/>
  <c r="K714" i="17"/>
  <c r="P713" i="17"/>
  <c r="K713" i="17"/>
  <c r="P712" i="17"/>
  <c r="K712" i="17"/>
  <c r="P711" i="17"/>
  <c r="K711" i="17"/>
  <c r="T710" i="17"/>
  <c r="P710" i="17"/>
  <c r="K710" i="17"/>
  <c r="P709" i="17"/>
  <c r="K709" i="17"/>
  <c r="T708" i="17"/>
  <c r="P708" i="17"/>
  <c r="K708" i="17"/>
  <c r="P707" i="17"/>
  <c r="K707" i="17"/>
  <c r="P706" i="17"/>
  <c r="K706" i="17"/>
  <c r="P705" i="17"/>
  <c r="K705" i="17"/>
  <c r="P704" i="17"/>
  <c r="K704" i="17"/>
  <c r="P703" i="17"/>
  <c r="K703" i="17"/>
  <c r="P702" i="17"/>
  <c r="K702" i="17"/>
  <c r="P701" i="17"/>
  <c r="K701" i="17"/>
  <c r="P700" i="17"/>
  <c r="K700" i="17"/>
  <c r="T699" i="17"/>
  <c r="P699" i="17"/>
  <c r="K699" i="17"/>
  <c r="P698" i="17"/>
  <c r="K698" i="17"/>
  <c r="P697" i="17"/>
  <c r="K697" i="17"/>
  <c r="P696" i="17"/>
  <c r="K696" i="17"/>
  <c r="P695" i="17"/>
  <c r="K695" i="17"/>
  <c r="P694" i="17"/>
  <c r="K694" i="17"/>
  <c r="P693" i="17"/>
  <c r="K693" i="17"/>
  <c r="P692" i="17"/>
  <c r="K692" i="17"/>
  <c r="P691" i="17"/>
  <c r="K691" i="17"/>
  <c r="T690" i="17"/>
  <c r="P690" i="17"/>
  <c r="K690" i="17"/>
  <c r="P689" i="17"/>
  <c r="K689" i="17"/>
  <c r="P688" i="17"/>
  <c r="K688" i="17"/>
  <c r="P687" i="17"/>
  <c r="K687" i="17"/>
  <c r="T686" i="17"/>
  <c r="P686" i="17"/>
  <c r="K686" i="17"/>
  <c r="P685" i="17"/>
  <c r="K685" i="17"/>
  <c r="P684" i="17"/>
  <c r="K684" i="17"/>
  <c r="P683" i="17"/>
  <c r="K683" i="17"/>
  <c r="T682" i="17"/>
  <c r="P682" i="17"/>
  <c r="K682" i="17"/>
  <c r="P681" i="17"/>
  <c r="K681" i="17"/>
  <c r="P680" i="17"/>
  <c r="K680" i="17"/>
  <c r="P679" i="17"/>
  <c r="K679" i="17"/>
  <c r="P678" i="17"/>
  <c r="K678" i="17"/>
  <c r="P677" i="17"/>
  <c r="K677" i="17"/>
  <c r="P676" i="17"/>
  <c r="K676" i="17"/>
  <c r="P674" i="17"/>
  <c r="K674" i="17"/>
  <c r="P673" i="17"/>
  <c r="P675" i="17" s="1"/>
  <c r="K673" i="17"/>
  <c r="P672" i="17"/>
  <c r="K672" i="17"/>
  <c r="P671" i="17"/>
  <c r="K671" i="17"/>
  <c r="P670" i="17"/>
  <c r="K670" i="17"/>
  <c r="P669" i="17"/>
  <c r="K669" i="17"/>
  <c r="P668" i="17"/>
  <c r="K668" i="17"/>
  <c r="P667" i="17"/>
  <c r="K667" i="17"/>
  <c r="P666" i="17"/>
  <c r="K666" i="17"/>
  <c r="P665" i="17"/>
  <c r="K665" i="17"/>
  <c r="P664" i="17"/>
  <c r="K664" i="17"/>
  <c r="P663" i="17"/>
  <c r="K663" i="17"/>
  <c r="T662" i="17"/>
  <c r="P662" i="17"/>
  <c r="K662" i="17"/>
  <c r="T661" i="17"/>
  <c r="P661" i="17"/>
  <c r="K661" i="17"/>
  <c r="P660" i="17"/>
  <c r="K660" i="17"/>
  <c r="P659" i="17"/>
  <c r="K659" i="17"/>
  <c r="T658" i="17"/>
  <c r="P658" i="17"/>
  <c r="K658" i="17"/>
  <c r="P657" i="17"/>
  <c r="K657" i="17"/>
  <c r="P656" i="17"/>
  <c r="K656" i="17"/>
  <c r="P655" i="17"/>
  <c r="K655" i="17"/>
  <c r="P654" i="17"/>
  <c r="K654" i="17"/>
  <c r="P653" i="17"/>
  <c r="K653" i="17"/>
  <c r="T652" i="17"/>
  <c r="P652" i="17"/>
  <c r="K652" i="17"/>
  <c r="P651" i="17"/>
  <c r="K651" i="17"/>
  <c r="P650" i="17"/>
  <c r="K650" i="17"/>
  <c r="P649" i="17"/>
  <c r="K649" i="17"/>
  <c r="P648" i="17"/>
  <c r="K648" i="17"/>
  <c r="P647" i="17"/>
  <c r="K647" i="17"/>
  <c r="P646" i="17"/>
  <c r="K646" i="17"/>
  <c r="P645" i="17"/>
  <c r="K645" i="17"/>
  <c r="P644" i="17"/>
  <c r="K644" i="17"/>
  <c r="P643" i="17"/>
  <c r="K643" i="17"/>
  <c r="P642" i="17"/>
  <c r="K642" i="17"/>
  <c r="P641" i="17"/>
  <c r="K641" i="17"/>
  <c r="P640" i="17"/>
  <c r="K640" i="17"/>
  <c r="P639" i="17"/>
  <c r="K639" i="17"/>
  <c r="T638" i="17"/>
  <c r="P638" i="17"/>
  <c r="K638" i="17"/>
  <c r="T637" i="17"/>
  <c r="P637" i="17"/>
  <c r="K637" i="17"/>
  <c r="P636" i="17"/>
  <c r="K636" i="17"/>
  <c r="P635" i="17"/>
  <c r="K635" i="17"/>
  <c r="P634" i="17"/>
  <c r="K634" i="17"/>
  <c r="T633" i="17"/>
  <c r="P633" i="17"/>
  <c r="K633" i="17"/>
  <c r="P632" i="17"/>
  <c r="K632" i="17"/>
  <c r="P631" i="17"/>
  <c r="K631" i="17"/>
  <c r="P630" i="17"/>
  <c r="K630" i="17"/>
  <c r="P629" i="17"/>
  <c r="K629" i="17"/>
  <c r="P628" i="17"/>
  <c r="K628" i="17"/>
  <c r="P627" i="17"/>
  <c r="K627" i="17"/>
  <c r="P626" i="17"/>
  <c r="K626" i="17"/>
  <c r="P625" i="17"/>
  <c r="K625" i="17"/>
  <c r="P624" i="17"/>
  <c r="K624" i="17"/>
  <c r="P623" i="17"/>
  <c r="K623" i="17"/>
  <c r="P622" i="17"/>
  <c r="K622" i="17"/>
  <c r="P621" i="17"/>
  <c r="K621" i="17"/>
  <c r="P620" i="17"/>
  <c r="K620" i="17"/>
  <c r="P619" i="17"/>
  <c r="K619" i="17"/>
  <c r="P618" i="17"/>
  <c r="K618" i="17"/>
  <c r="T617" i="17"/>
  <c r="P617" i="17"/>
  <c r="K617" i="17"/>
  <c r="P616" i="17"/>
  <c r="K616" i="17"/>
  <c r="P615" i="17"/>
  <c r="K615" i="17"/>
  <c r="T614" i="17"/>
  <c r="P614" i="17"/>
  <c r="K614" i="17"/>
  <c r="T613" i="17"/>
  <c r="P613" i="17"/>
  <c r="K613" i="17"/>
  <c r="P612" i="17"/>
  <c r="K612" i="17"/>
  <c r="T611" i="17"/>
  <c r="P611" i="17"/>
  <c r="K611" i="17"/>
  <c r="P610" i="17"/>
  <c r="K610" i="17"/>
  <c r="T609" i="17"/>
  <c r="P609" i="17"/>
  <c r="K609" i="17"/>
  <c r="T608" i="17"/>
  <c r="P608" i="17"/>
  <c r="K608" i="17"/>
  <c r="P607" i="17"/>
  <c r="K607" i="17"/>
  <c r="P606" i="17"/>
  <c r="K606" i="17"/>
  <c r="T605" i="17"/>
  <c r="P605" i="17"/>
  <c r="K605" i="17"/>
  <c r="P604" i="17"/>
  <c r="K604" i="17"/>
  <c r="T603" i="17"/>
  <c r="P603" i="17"/>
  <c r="K603" i="17"/>
  <c r="P602" i="17"/>
  <c r="K602" i="17"/>
  <c r="P601" i="17"/>
  <c r="K601" i="17"/>
  <c r="P600" i="17"/>
  <c r="K600" i="17"/>
  <c r="P599" i="17"/>
  <c r="K599" i="17"/>
  <c r="T598" i="17"/>
  <c r="P598" i="17"/>
  <c r="K598" i="17"/>
  <c r="P597" i="17"/>
  <c r="K597" i="17"/>
  <c r="P596" i="17"/>
  <c r="K596" i="17"/>
  <c r="T595" i="17"/>
  <c r="P595" i="17"/>
  <c r="K595" i="17"/>
  <c r="T594" i="17"/>
  <c r="P594" i="17"/>
  <c r="K594" i="17"/>
  <c r="P593" i="17"/>
  <c r="K593" i="17"/>
  <c r="P592" i="17"/>
  <c r="K592" i="17"/>
  <c r="P591" i="17"/>
  <c r="K591" i="17"/>
  <c r="P590" i="17"/>
  <c r="K590" i="17"/>
  <c r="P589" i="17"/>
  <c r="K589" i="17"/>
  <c r="P588" i="17"/>
  <c r="K588" i="17"/>
  <c r="P587" i="17"/>
  <c r="K587" i="17"/>
  <c r="P586" i="17"/>
  <c r="K586" i="17"/>
  <c r="P585" i="17"/>
  <c r="K585" i="17"/>
  <c r="P584" i="17"/>
  <c r="K584" i="17"/>
  <c r="P583" i="17"/>
  <c r="K583" i="17"/>
  <c r="T582" i="17"/>
  <c r="P582" i="17"/>
  <c r="K582" i="17"/>
  <c r="P581" i="17"/>
  <c r="K581" i="17"/>
  <c r="P580" i="17"/>
  <c r="K580" i="17"/>
  <c r="P579" i="17"/>
  <c r="K579" i="17"/>
  <c r="P578" i="17"/>
  <c r="K578" i="17"/>
  <c r="P577" i="17"/>
  <c r="K577" i="17"/>
  <c r="P576" i="17"/>
  <c r="K576" i="17"/>
  <c r="P575" i="17"/>
  <c r="K575" i="17"/>
  <c r="P574" i="17"/>
  <c r="K574" i="17"/>
  <c r="P573" i="17"/>
  <c r="K573" i="17"/>
  <c r="P572" i="17"/>
  <c r="K572" i="17"/>
  <c r="P571" i="17"/>
  <c r="K571" i="17"/>
  <c r="P570" i="17"/>
  <c r="K570" i="17"/>
  <c r="P569" i="17"/>
  <c r="K569" i="17"/>
  <c r="T568" i="17"/>
  <c r="P568" i="17"/>
  <c r="K568" i="17"/>
  <c r="P567" i="17"/>
  <c r="K567" i="17"/>
  <c r="T566" i="17"/>
  <c r="P566" i="17"/>
  <c r="K566" i="17"/>
  <c r="P565" i="17"/>
  <c r="K565" i="17"/>
  <c r="T564" i="17"/>
  <c r="P564" i="17"/>
  <c r="K564" i="17"/>
  <c r="P563" i="17"/>
  <c r="K563" i="17"/>
  <c r="P562" i="17"/>
  <c r="K562" i="17"/>
  <c r="P561" i="17"/>
  <c r="K561" i="17"/>
  <c r="P560" i="17"/>
  <c r="K560" i="17"/>
  <c r="P559" i="17"/>
  <c r="K559" i="17"/>
  <c r="P558" i="17"/>
  <c r="K558" i="17"/>
  <c r="P557" i="17"/>
  <c r="K557" i="17"/>
  <c r="P556" i="17"/>
  <c r="K556" i="17"/>
  <c r="P555" i="17"/>
  <c r="K555" i="17"/>
  <c r="P554" i="17"/>
  <c r="K554" i="17"/>
  <c r="P553" i="17"/>
  <c r="K553" i="17"/>
  <c r="P552" i="17"/>
  <c r="K552" i="17"/>
  <c r="P551" i="17"/>
  <c r="K551" i="17"/>
  <c r="P550" i="17"/>
  <c r="K550" i="17"/>
  <c r="P549" i="17"/>
  <c r="K549" i="17"/>
  <c r="P548" i="17"/>
  <c r="K548" i="17"/>
  <c r="P547" i="17"/>
  <c r="K547" i="17"/>
  <c r="P546" i="17"/>
  <c r="K546" i="17"/>
  <c r="T545" i="17"/>
  <c r="P545" i="17"/>
  <c r="K545" i="17"/>
  <c r="P544" i="17"/>
  <c r="K544" i="17"/>
  <c r="P543" i="17"/>
  <c r="K543" i="17"/>
  <c r="P542" i="17"/>
  <c r="K542" i="17"/>
  <c r="P541" i="17"/>
  <c r="K541" i="17"/>
  <c r="P540" i="17"/>
  <c r="K540" i="17"/>
  <c r="P539" i="17"/>
  <c r="K539" i="17"/>
  <c r="P538" i="17"/>
  <c r="K538" i="17"/>
  <c r="T537" i="17"/>
  <c r="P537" i="17"/>
  <c r="K537" i="17"/>
  <c r="P536" i="17"/>
  <c r="K536" i="17"/>
  <c r="P535" i="17"/>
  <c r="K535" i="17"/>
  <c r="P534" i="17"/>
  <c r="K534" i="17"/>
  <c r="P533" i="17"/>
  <c r="K533" i="17"/>
  <c r="P532" i="17"/>
  <c r="K532" i="17"/>
  <c r="T531" i="17"/>
  <c r="P531" i="17"/>
  <c r="K531" i="17"/>
  <c r="T530" i="17"/>
  <c r="P530" i="17"/>
  <c r="K530" i="17"/>
  <c r="P529" i="17"/>
  <c r="K529" i="17"/>
  <c r="P528" i="17"/>
  <c r="K528" i="17"/>
  <c r="P527" i="17"/>
  <c r="K527" i="17"/>
  <c r="T526" i="17"/>
  <c r="P526" i="17"/>
  <c r="K526" i="17"/>
  <c r="P525" i="17"/>
  <c r="K525" i="17"/>
  <c r="P524" i="17"/>
  <c r="K524" i="17"/>
  <c r="T523" i="17"/>
  <c r="P523" i="17"/>
  <c r="K523" i="17"/>
  <c r="P522" i="17"/>
  <c r="K522" i="17"/>
  <c r="T521" i="17"/>
  <c r="P521" i="17"/>
  <c r="K521" i="17"/>
  <c r="P520" i="17"/>
  <c r="K520" i="17"/>
  <c r="P519" i="17"/>
  <c r="K519" i="17"/>
  <c r="P518" i="17"/>
  <c r="K518" i="17"/>
  <c r="P517" i="17"/>
  <c r="K517" i="17"/>
  <c r="T516" i="17"/>
  <c r="P516" i="17"/>
  <c r="K516" i="17"/>
  <c r="P515" i="17"/>
  <c r="K515" i="17"/>
  <c r="P514" i="17"/>
  <c r="K514" i="17"/>
  <c r="T513" i="17"/>
  <c r="P513" i="17"/>
  <c r="K513" i="17"/>
  <c r="P512" i="17"/>
  <c r="K512" i="17"/>
  <c r="P511" i="17"/>
  <c r="K511" i="17"/>
  <c r="P510" i="17"/>
  <c r="K510" i="17"/>
  <c r="T509" i="17"/>
  <c r="P509" i="17"/>
  <c r="K509" i="17"/>
  <c r="P508" i="17"/>
  <c r="K508" i="17"/>
  <c r="P507" i="17"/>
  <c r="K507" i="17"/>
  <c r="P506" i="17"/>
  <c r="K506" i="17"/>
  <c r="P505" i="17"/>
  <c r="K505" i="17"/>
  <c r="P504" i="17"/>
  <c r="K504" i="17"/>
  <c r="P503" i="17"/>
  <c r="K503" i="17"/>
  <c r="T502" i="17"/>
  <c r="P502" i="17"/>
  <c r="K502" i="17"/>
  <c r="P501" i="17"/>
  <c r="K501" i="17"/>
  <c r="P500" i="17"/>
  <c r="K500" i="17"/>
  <c r="P499" i="17"/>
  <c r="K499" i="17"/>
  <c r="P498" i="17"/>
  <c r="K498" i="17"/>
  <c r="P497" i="17"/>
  <c r="K497" i="17"/>
  <c r="P496" i="17"/>
  <c r="K496" i="17"/>
  <c r="P495" i="17"/>
  <c r="K495" i="17"/>
  <c r="P494" i="17"/>
  <c r="K494" i="17"/>
  <c r="P493" i="17"/>
  <c r="K493" i="17"/>
  <c r="P492" i="17"/>
  <c r="K492" i="17"/>
  <c r="P491" i="17"/>
  <c r="K491" i="17"/>
  <c r="P490" i="17"/>
  <c r="K490" i="17"/>
  <c r="P489" i="17"/>
  <c r="K489" i="17"/>
  <c r="P488" i="17"/>
  <c r="K488" i="17"/>
  <c r="P487" i="17"/>
  <c r="K487" i="17"/>
  <c r="P486" i="17"/>
  <c r="K486" i="17"/>
  <c r="P485" i="17"/>
  <c r="K485" i="17"/>
  <c r="P484" i="17"/>
  <c r="K484" i="17"/>
  <c r="P483" i="17"/>
  <c r="K483" i="17"/>
  <c r="P482" i="17"/>
  <c r="K482" i="17"/>
  <c r="P481" i="17"/>
  <c r="K481" i="17"/>
  <c r="P480" i="17"/>
  <c r="K480" i="17"/>
  <c r="P479" i="17"/>
  <c r="K479" i="17"/>
  <c r="P478" i="17"/>
  <c r="K478" i="17"/>
  <c r="P477" i="17"/>
  <c r="K477" i="17"/>
  <c r="P476" i="17"/>
  <c r="K476" i="17"/>
  <c r="P475" i="17"/>
  <c r="K475" i="17"/>
  <c r="P474" i="17"/>
  <c r="K474" i="17"/>
  <c r="P473" i="17"/>
  <c r="K473" i="17"/>
  <c r="P472" i="17"/>
  <c r="K472" i="17"/>
  <c r="P471" i="17"/>
  <c r="K471" i="17"/>
  <c r="P470" i="17"/>
  <c r="K470" i="17"/>
  <c r="P469" i="17"/>
  <c r="K469" i="17"/>
  <c r="P468" i="17"/>
  <c r="K468" i="17"/>
  <c r="P467" i="17"/>
  <c r="K467" i="17"/>
  <c r="P466" i="17"/>
  <c r="K466" i="17"/>
  <c r="P465" i="17"/>
  <c r="K465" i="17"/>
  <c r="P464" i="17"/>
  <c r="K464" i="17"/>
  <c r="P463" i="17"/>
  <c r="K463" i="17"/>
  <c r="P462" i="17"/>
  <c r="K462" i="17"/>
  <c r="P461" i="17"/>
  <c r="K461" i="17"/>
  <c r="P460" i="17"/>
  <c r="K460" i="17"/>
  <c r="P459" i="17"/>
  <c r="K459" i="17"/>
  <c r="P458" i="17"/>
  <c r="K458" i="17"/>
  <c r="P457" i="17"/>
  <c r="K457" i="17"/>
  <c r="P456" i="17"/>
  <c r="K456" i="17"/>
  <c r="P455" i="17"/>
  <c r="K455" i="17"/>
  <c r="P454" i="17"/>
  <c r="K454" i="17"/>
  <c r="P453" i="17"/>
  <c r="K453" i="17"/>
  <c r="P452" i="17"/>
  <c r="K452" i="17"/>
  <c r="P451" i="17"/>
  <c r="K451" i="17"/>
  <c r="P450" i="17"/>
  <c r="K450" i="17"/>
  <c r="P449" i="17"/>
  <c r="K449" i="17"/>
  <c r="P448" i="17"/>
  <c r="K448" i="17"/>
  <c r="P447" i="17"/>
  <c r="K447" i="17"/>
  <c r="P446" i="17"/>
  <c r="K446" i="17"/>
  <c r="P445" i="17"/>
  <c r="K445" i="17"/>
  <c r="P444" i="17"/>
  <c r="K444" i="17"/>
  <c r="P443" i="17"/>
  <c r="K443" i="17"/>
  <c r="P442" i="17"/>
  <c r="K442" i="17"/>
  <c r="P441" i="17"/>
  <c r="K441" i="17"/>
  <c r="P440" i="17"/>
  <c r="K440" i="17"/>
  <c r="P439" i="17"/>
  <c r="K439" i="17"/>
  <c r="P438" i="17"/>
  <c r="K438" i="17"/>
  <c r="P437" i="17"/>
  <c r="K437" i="17"/>
  <c r="P436" i="17"/>
  <c r="K436" i="17"/>
  <c r="P435" i="17"/>
  <c r="K435" i="17"/>
  <c r="P434" i="17"/>
  <c r="K434" i="17"/>
  <c r="P433" i="17"/>
  <c r="K433" i="17"/>
  <c r="P432" i="17"/>
  <c r="K432" i="17"/>
  <c r="P431" i="17"/>
  <c r="K431" i="17"/>
  <c r="P430" i="17"/>
  <c r="K430" i="17"/>
  <c r="P429" i="17"/>
  <c r="K429" i="17"/>
  <c r="P428" i="17"/>
  <c r="K428" i="17"/>
  <c r="P427" i="17"/>
  <c r="K427" i="17"/>
  <c r="P426" i="17"/>
  <c r="K426" i="17"/>
  <c r="P425" i="17"/>
  <c r="K425" i="17"/>
  <c r="P424" i="17"/>
  <c r="K424" i="17"/>
  <c r="P423" i="17"/>
  <c r="K423" i="17"/>
  <c r="P422" i="17"/>
  <c r="K422" i="17"/>
  <c r="P421" i="17"/>
  <c r="K421" i="17"/>
  <c r="P420" i="17"/>
  <c r="K420" i="17"/>
  <c r="P419" i="17"/>
  <c r="K419" i="17"/>
  <c r="P418" i="17"/>
  <c r="K418" i="17"/>
  <c r="P417" i="17"/>
  <c r="K417" i="17"/>
  <c r="P416" i="17"/>
  <c r="K416" i="17"/>
  <c r="P415" i="17"/>
  <c r="K415" i="17"/>
  <c r="P414" i="17"/>
  <c r="K414" i="17"/>
  <c r="P413" i="17"/>
  <c r="K413" i="17"/>
  <c r="P412" i="17"/>
  <c r="K412" i="17"/>
  <c r="P411" i="17"/>
  <c r="K411" i="17"/>
  <c r="P410" i="17"/>
  <c r="K410" i="17"/>
  <c r="P409" i="17"/>
  <c r="K409" i="17"/>
  <c r="P408" i="17"/>
  <c r="K408" i="17"/>
  <c r="P407" i="17"/>
  <c r="K407" i="17"/>
  <c r="P406" i="17"/>
  <c r="K406" i="17"/>
  <c r="P405" i="17"/>
  <c r="K405" i="17"/>
  <c r="P404" i="17"/>
  <c r="K404" i="17"/>
  <c r="P403" i="17"/>
  <c r="K403" i="17"/>
  <c r="P402" i="17"/>
  <c r="K402" i="17"/>
  <c r="P401" i="17"/>
  <c r="K401" i="17"/>
  <c r="P400" i="17"/>
  <c r="K400" i="17"/>
  <c r="P399" i="17"/>
  <c r="K399" i="17"/>
  <c r="P398" i="17"/>
  <c r="K398" i="17"/>
  <c r="P397" i="17"/>
  <c r="K397" i="17"/>
  <c r="P396" i="17"/>
  <c r="K396" i="17"/>
  <c r="P395" i="17"/>
  <c r="K395" i="17"/>
  <c r="P394" i="17"/>
  <c r="K394" i="17"/>
  <c r="P393" i="17"/>
  <c r="K393" i="17"/>
  <c r="P392" i="17"/>
  <c r="K392" i="17"/>
  <c r="P391" i="17"/>
  <c r="K391" i="17"/>
  <c r="P390" i="17"/>
  <c r="K390" i="17"/>
  <c r="P389" i="17"/>
  <c r="K389" i="17"/>
  <c r="P388" i="17"/>
  <c r="K388" i="17"/>
  <c r="P387" i="17"/>
  <c r="K387" i="17"/>
  <c r="P386" i="17"/>
  <c r="K386" i="17"/>
  <c r="P385" i="17"/>
  <c r="K385" i="17"/>
  <c r="P384" i="17"/>
  <c r="K384" i="17"/>
  <c r="P383" i="17"/>
  <c r="K383" i="17"/>
  <c r="P382" i="17"/>
  <c r="K382" i="17"/>
  <c r="P381" i="17"/>
  <c r="K381" i="17"/>
  <c r="P380" i="17"/>
  <c r="K380" i="17"/>
  <c r="P379" i="17"/>
  <c r="K379" i="17"/>
  <c r="P378" i="17"/>
  <c r="K378" i="17"/>
  <c r="P377" i="17"/>
  <c r="K377" i="17"/>
  <c r="P376" i="17"/>
  <c r="K376" i="17"/>
  <c r="P375" i="17"/>
  <c r="K375" i="17"/>
  <c r="T374" i="17"/>
  <c r="P374" i="17"/>
  <c r="K374" i="17"/>
  <c r="P373" i="17"/>
  <c r="K373" i="17"/>
  <c r="P372" i="17"/>
  <c r="K372" i="17"/>
  <c r="P371" i="17"/>
  <c r="K371" i="17"/>
  <c r="P370" i="17"/>
  <c r="K370" i="17"/>
  <c r="P369" i="17"/>
  <c r="K369" i="17"/>
  <c r="P368" i="17"/>
  <c r="K368" i="17"/>
  <c r="T367" i="17"/>
  <c r="P367" i="17"/>
  <c r="K367" i="17"/>
  <c r="P366" i="17"/>
  <c r="K366" i="17"/>
  <c r="P365" i="17"/>
  <c r="K365" i="17"/>
  <c r="P364" i="17"/>
  <c r="K364" i="17"/>
  <c r="T363" i="17"/>
  <c r="P363" i="17"/>
  <c r="K363" i="17"/>
  <c r="P362" i="17"/>
  <c r="K362" i="17"/>
  <c r="P361" i="17"/>
  <c r="K361" i="17"/>
  <c r="P360" i="17"/>
  <c r="K360" i="17"/>
  <c r="P359" i="17"/>
  <c r="K359" i="17"/>
  <c r="T358" i="17"/>
  <c r="P358" i="17"/>
  <c r="K358" i="17"/>
  <c r="P357" i="17"/>
  <c r="K357" i="17"/>
  <c r="P356" i="17"/>
  <c r="K356" i="17"/>
  <c r="P355" i="17"/>
  <c r="K355" i="17"/>
  <c r="T354" i="17"/>
  <c r="P354" i="17"/>
  <c r="K354" i="17"/>
  <c r="P353" i="17"/>
  <c r="K353" i="17"/>
  <c r="P352" i="17"/>
  <c r="K352" i="17"/>
  <c r="T351" i="17"/>
  <c r="P351" i="17"/>
  <c r="K351" i="17"/>
  <c r="T350" i="17"/>
  <c r="P350" i="17"/>
  <c r="K350" i="17"/>
  <c r="P349" i="17"/>
  <c r="K349" i="17"/>
  <c r="P348" i="17"/>
  <c r="K348" i="17"/>
  <c r="T347" i="17"/>
  <c r="P347" i="17"/>
  <c r="K347" i="17"/>
  <c r="T346" i="17"/>
  <c r="P346" i="17"/>
  <c r="K346" i="17"/>
  <c r="P345" i="17"/>
  <c r="K345" i="17"/>
  <c r="P344" i="17"/>
  <c r="K344" i="17"/>
  <c r="P343" i="17"/>
  <c r="K343" i="17"/>
  <c r="P342" i="17"/>
  <c r="K342" i="17"/>
  <c r="T341" i="17"/>
  <c r="P341" i="17"/>
  <c r="K341" i="17"/>
  <c r="T340" i="17"/>
  <c r="P340" i="17"/>
  <c r="K340" i="17"/>
  <c r="P339" i="17"/>
  <c r="K339" i="17"/>
  <c r="P338" i="17"/>
  <c r="K338" i="17"/>
  <c r="P337" i="17"/>
  <c r="K337" i="17"/>
  <c r="P336" i="17"/>
  <c r="K336" i="17"/>
  <c r="P335" i="17"/>
  <c r="K335" i="17"/>
  <c r="P334" i="17"/>
  <c r="K334" i="17"/>
  <c r="P333" i="17"/>
  <c r="K333" i="17"/>
  <c r="P332" i="17"/>
  <c r="K332" i="17"/>
  <c r="T331" i="17"/>
  <c r="P331" i="17"/>
  <c r="K331" i="17"/>
  <c r="T330" i="17"/>
  <c r="P330" i="17"/>
  <c r="K330" i="17"/>
  <c r="P329" i="17"/>
  <c r="K329" i="17"/>
  <c r="T328" i="17"/>
  <c r="P328" i="17"/>
  <c r="K328" i="17"/>
  <c r="P327" i="17"/>
  <c r="K327" i="17"/>
  <c r="P326" i="17"/>
  <c r="K326" i="17"/>
  <c r="P325" i="17"/>
  <c r="K325" i="17"/>
  <c r="P324" i="17"/>
  <c r="K324" i="17"/>
  <c r="T323" i="17"/>
  <c r="P323" i="17"/>
  <c r="K323" i="17"/>
  <c r="T322" i="17"/>
  <c r="P322" i="17"/>
  <c r="K322" i="17"/>
  <c r="P321" i="17"/>
  <c r="K321" i="17"/>
  <c r="P320" i="17"/>
  <c r="K320" i="17"/>
  <c r="P319" i="17"/>
  <c r="K319" i="17"/>
  <c r="P318" i="17"/>
  <c r="K318" i="17"/>
  <c r="T317" i="17"/>
  <c r="P317" i="17"/>
  <c r="K317" i="17"/>
  <c r="T316" i="17"/>
  <c r="P316" i="17"/>
  <c r="K316" i="17"/>
  <c r="P315" i="17"/>
  <c r="K315" i="17"/>
  <c r="P314" i="17"/>
  <c r="K314" i="17"/>
  <c r="P313" i="17"/>
  <c r="K313" i="17"/>
  <c r="P312" i="17"/>
  <c r="K312" i="17"/>
  <c r="P311" i="17"/>
  <c r="K311" i="17"/>
  <c r="T310" i="17"/>
  <c r="P310" i="17"/>
  <c r="K310" i="17"/>
  <c r="P309" i="17"/>
  <c r="K309" i="17"/>
  <c r="P308" i="17"/>
  <c r="K308" i="17"/>
  <c r="P307" i="17"/>
  <c r="K307" i="17"/>
  <c r="P306" i="17"/>
  <c r="K306" i="17"/>
  <c r="T305" i="17"/>
  <c r="P305" i="17"/>
  <c r="K305" i="17"/>
  <c r="T304" i="17"/>
  <c r="P304" i="17"/>
  <c r="K304" i="17"/>
  <c r="P303" i="17"/>
  <c r="K303" i="17"/>
  <c r="P302" i="17"/>
  <c r="K302" i="17"/>
  <c r="P301" i="17"/>
  <c r="K301" i="17"/>
  <c r="P300" i="17"/>
  <c r="K300" i="17"/>
  <c r="T299" i="17"/>
  <c r="P299" i="17"/>
  <c r="K299" i="17"/>
  <c r="T298" i="17"/>
  <c r="P298" i="17"/>
  <c r="K298" i="17"/>
  <c r="P297" i="17"/>
  <c r="K297" i="17"/>
  <c r="P296" i="17"/>
  <c r="K296" i="17"/>
  <c r="P295" i="17"/>
  <c r="K295" i="17"/>
  <c r="P294" i="17"/>
  <c r="K294" i="17"/>
  <c r="P293" i="17"/>
  <c r="K293" i="17"/>
  <c r="P292" i="17"/>
  <c r="K292" i="17"/>
  <c r="P291" i="17"/>
  <c r="K291" i="17"/>
  <c r="P290" i="17"/>
  <c r="K290" i="17"/>
  <c r="P289" i="17"/>
  <c r="K289" i="17"/>
  <c r="P288" i="17"/>
  <c r="K288" i="17"/>
  <c r="P287" i="17"/>
  <c r="K287" i="17"/>
  <c r="P286" i="17"/>
  <c r="K286" i="17"/>
  <c r="T285" i="17"/>
  <c r="P285" i="17"/>
  <c r="K285" i="17"/>
  <c r="P284" i="17"/>
  <c r="K284" i="17"/>
  <c r="P283" i="17"/>
  <c r="K283" i="17"/>
  <c r="P282" i="17"/>
  <c r="K282" i="17"/>
  <c r="T281" i="17"/>
  <c r="P281" i="17"/>
  <c r="K281" i="17"/>
  <c r="T280" i="17"/>
  <c r="P280" i="17"/>
  <c r="K280" i="17"/>
  <c r="P279" i="17"/>
  <c r="K279" i="17"/>
  <c r="P278" i="17"/>
  <c r="K278" i="17"/>
  <c r="T277" i="17"/>
  <c r="P277" i="17"/>
  <c r="K277" i="17"/>
  <c r="P276" i="17"/>
  <c r="K276" i="17"/>
  <c r="P275" i="17"/>
  <c r="K275" i="17"/>
  <c r="P274" i="17"/>
  <c r="K274" i="17"/>
  <c r="P273" i="17"/>
  <c r="K273" i="17"/>
  <c r="T272" i="17"/>
  <c r="P272" i="17"/>
  <c r="K272" i="17"/>
  <c r="T271" i="17"/>
  <c r="P271" i="17"/>
  <c r="K271" i="17"/>
  <c r="T270" i="17"/>
  <c r="P270" i="17"/>
  <c r="K270" i="17"/>
  <c r="P269" i="17"/>
  <c r="K269" i="17"/>
  <c r="T268" i="17"/>
  <c r="P268" i="17"/>
  <c r="K268" i="17"/>
  <c r="P267" i="17"/>
  <c r="K267" i="17"/>
  <c r="T266" i="17"/>
  <c r="P266" i="17"/>
  <c r="K266" i="17"/>
  <c r="P265" i="17"/>
  <c r="K265" i="17"/>
  <c r="P264" i="17"/>
  <c r="K264" i="17"/>
  <c r="P263" i="17"/>
  <c r="K263" i="17"/>
  <c r="P262" i="17"/>
  <c r="K262" i="17"/>
  <c r="P261" i="17"/>
  <c r="K261" i="17"/>
  <c r="P260" i="17"/>
  <c r="K260" i="17"/>
  <c r="P259" i="17"/>
  <c r="K259" i="17"/>
  <c r="T258" i="17"/>
  <c r="P258" i="17"/>
  <c r="K258" i="17"/>
  <c r="P257" i="17"/>
  <c r="K257" i="17"/>
  <c r="P256" i="17"/>
  <c r="K256" i="17"/>
  <c r="T255" i="17"/>
  <c r="P255" i="17"/>
  <c r="K255" i="17"/>
  <c r="P254" i="17"/>
  <c r="K254" i="17"/>
  <c r="T253" i="17"/>
  <c r="P253" i="17"/>
  <c r="K253" i="17"/>
  <c r="P252" i="17"/>
  <c r="K252" i="17"/>
  <c r="P251" i="17"/>
  <c r="K251" i="17"/>
  <c r="P250" i="17"/>
  <c r="K250" i="17"/>
  <c r="P249" i="17"/>
  <c r="K249" i="17"/>
  <c r="T248" i="17"/>
  <c r="S248" i="17"/>
  <c r="S3" i="17" s="1"/>
  <c r="O248" i="17"/>
  <c r="O3" i="17" s="1"/>
  <c r="J248" i="17"/>
  <c r="T247" i="17"/>
  <c r="P247" i="17"/>
  <c r="K247" i="17"/>
  <c r="P246" i="17"/>
  <c r="K246" i="17"/>
  <c r="T245" i="17"/>
  <c r="P245" i="17"/>
  <c r="K245" i="17"/>
  <c r="P244" i="17"/>
  <c r="K244" i="17"/>
  <c r="P243" i="17"/>
  <c r="K243" i="17"/>
  <c r="P242" i="17"/>
  <c r="K242" i="17"/>
  <c r="P241" i="17"/>
  <c r="K241" i="17"/>
  <c r="P240" i="17"/>
  <c r="K240" i="17"/>
  <c r="T239" i="17"/>
  <c r="P239" i="17"/>
  <c r="K239" i="17"/>
  <c r="P238" i="17"/>
  <c r="K238" i="17"/>
  <c r="P237" i="17"/>
  <c r="K237" i="17"/>
  <c r="T236" i="17"/>
  <c r="P236" i="17"/>
  <c r="K236" i="17"/>
  <c r="P235" i="17"/>
  <c r="K235" i="17"/>
  <c r="P234" i="17"/>
  <c r="K234" i="17"/>
  <c r="P233" i="17"/>
  <c r="K233" i="17"/>
  <c r="P232" i="17"/>
  <c r="K232" i="17"/>
  <c r="P231" i="17"/>
  <c r="K231" i="17"/>
  <c r="P230" i="17"/>
  <c r="K230" i="17"/>
  <c r="T229" i="17"/>
  <c r="P229" i="17"/>
  <c r="K229" i="17"/>
  <c r="P228" i="17"/>
  <c r="K228" i="17"/>
  <c r="T227" i="17"/>
  <c r="P227" i="17"/>
  <c r="K227" i="17"/>
  <c r="T226" i="17"/>
  <c r="P226" i="17"/>
  <c r="K226" i="17"/>
  <c r="P225" i="17"/>
  <c r="K225" i="17"/>
  <c r="P224" i="17"/>
  <c r="K224" i="17"/>
  <c r="P223" i="17"/>
  <c r="K223" i="17"/>
  <c r="P222" i="17"/>
  <c r="K222" i="17"/>
  <c r="P221" i="17"/>
  <c r="K221" i="17"/>
  <c r="P220" i="17"/>
  <c r="K220" i="17"/>
  <c r="P219" i="17"/>
  <c r="K219" i="17"/>
  <c r="P218" i="17"/>
  <c r="K218" i="17"/>
  <c r="P217" i="17"/>
  <c r="K217" i="17"/>
  <c r="P216" i="17"/>
  <c r="K216" i="17"/>
  <c r="P215" i="17"/>
  <c r="K215" i="17"/>
  <c r="T214" i="17"/>
  <c r="P214" i="17"/>
  <c r="K214" i="17"/>
  <c r="P213" i="17"/>
  <c r="K213" i="17"/>
  <c r="T212" i="17"/>
  <c r="P212" i="17"/>
  <c r="K212" i="17"/>
  <c r="T211" i="17"/>
  <c r="P211" i="17"/>
  <c r="K211" i="17"/>
  <c r="P210" i="17"/>
  <c r="K210" i="17"/>
  <c r="T209" i="17"/>
  <c r="P209" i="17"/>
  <c r="K209" i="17"/>
  <c r="T208" i="17"/>
  <c r="P208" i="17"/>
  <c r="K208" i="17"/>
  <c r="P207" i="17"/>
  <c r="K207" i="17"/>
  <c r="P206" i="17"/>
  <c r="K206" i="17"/>
  <c r="P205" i="17"/>
  <c r="K205" i="17"/>
  <c r="P204" i="17"/>
  <c r="K204" i="17"/>
  <c r="P203" i="17"/>
  <c r="K203" i="17"/>
  <c r="P202" i="17"/>
  <c r="K202" i="17"/>
  <c r="P201" i="17"/>
  <c r="K201" i="17"/>
  <c r="P200" i="17"/>
  <c r="K200" i="17"/>
  <c r="P199" i="17"/>
  <c r="K199" i="17"/>
  <c r="T198" i="17"/>
  <c r="P198" i="17"/>
  <c r="K198" i="17"/>
  <c r="P197" i="17"/>
  <c r="K197" i="17"/>
  <c r="P196" i="17"/>
  <c r="K196" i="17"/>
  <c r="P195" i="17"/>
  <c r="K195" i="17"/>
  <c r="T194" i="17"/>
  <c r="P194" i="17"/>
  <c r="K194" i="17"/>
  <c r="P193" i="17"/>
  <c r="K193" i="17"/>
  <c r="T192" i="17"/>
  <c r="P192" i="17"/>
  <c r="K192" i="17"/>
  <c r="P191" i="17"/>
  <c r="K191" i="17"/>
  <c r="P190" i="17"/>
  <c r="K190" i="17"/>
  <c r="P189" i="17"/>
  <c r="K189" i="17"/>
  <c r="P188" i="17"/>
  <c r="K188" i="17"/>
  <c r="T187" i="17"/>
  <c r="P187" i="17"/>
  <c r="K187" i="17"/>
  <c r="P186" i="17"/>
  <c r="K186" i="17"/>
  <c r="P185" i="17"/>
  <c r="K185" i="17"/>
  <c r="P184" i="17"/>
  <c r="K184" i="17"/>
  <c r="P183" i="17"/>
  <c r="K183" i="17"/>
  <c r="T182" i="17"/>
  <c r="P182" i="17"/>
  <c r="K182" i="17"/>
  <c r="P181" i="17"/>
  <c r="K181" i="17"/>
  <c r="P180" i="17"/>
  <c r="K180" i="17"/>
  <c r="P179" i="17"/>
  <c r="K179" i="17"/>
  <c r="P178" i="17"/>
  <c r="K178" i="17"/>
  <c r="P177" i="17"/>
  <c r="K177" i="17"/>
  <c r="T176" i="17"/>
  <c r="P176" i="17"/>
  <c r="K176" i="17"/>
  <c r="P175" i="17"/>
  <c r="K175" i="17"/>
  <c r="P174" i="17"/>
  <c r="K174" i="17"/>
  <c r="T173" i="17"/>
  <c r="P173" i="17"/>
  <c r="K173" i="17"/>
  <c r="T172" i="17"/>
  <c r="P172" i="17"/>
  <c r="K172" i="17"/>
  <c r="P171" i="17"/>
  <c r="K171" i="17"/>
  <c r="P170" i="17"/>
  <c r="K170" i="17"/>
  <c r="P169" i="17"/>
  <c r="K169" i="17"/>
  <c r="P168" i="17"/>
  <c r="K168" i="17"/>
  <c r="T167" i="17"/>
  <c r="P167" i="17"/>
  <c r="K167" i="17"/>
  <c r="P166" i="17"/>
  <c r="K166" i="17"/>
  <c r="P165" i="17"/>
  <c r="K165" i="17"/>
  <c r="P164" i="17"/>
  <c r="K164" i="17"/>
  <c r="P163" i="17"/>
  <c r="K163" i="17"/>
  <c r="T162" i="17"/>
  <c r="P162" i="17"/>
  <c r="K162" i="17"/>
  <c r="P161" i="17"/>
  <c r="K161" i="17"/>
  <c r="P160" i="17"/>
  <c r="K160" i="17"/>
  <c r="P159" i="17"/>
  <c r="K159" i="17"/>
  <c r="P158" i="17"/>
  <c r="K158" i="17"/>
  <c r="T157" i="17"/>
  <c r="P157" i="17"/>
  <c r="K157" i="17"/>
  <c r="P156" i="17"/>
  <c r="K156" i="17"/>
  <c r="P155" i="17"/>
  <c r="K155" i="17"/>
  <c r="P154" i="17"/>
  <c r="K154" i="17"/>
  <c r="T153" i="17"/>
  <c r="P153" i="17"/>
  <c r="K153" i="17"/>
  <c r="P152" i="17"/>
  <c r="K152" i="17"/>
  <c r="T151" i="17"/>
  <c r="P151" i="17"/>
  <c r="K151" i="17"/>
  <c r="P150" i="17"/>
  <c r="K150" i="17"/>
  <c r="P149" i="17"/>
  <c r="K149" i="17"/>
  <c r="P148" i="17"/>
  <c r="K148" i="17"/>
  <c r="P147" i="17"/>
  <c r="K147" i="17"/>
  <c r="T146" i="17"/>
  <c r="P146" i="17"/>
  <c r="K146" i="17"/>
  <c r="P145" i="17"/>
  <c r="K145" i="17"/>
  <c r="T144" i="17"/>
  <c r="P144" i="17"/>
  <c r="K144" i="17"/>
  <c r="P143" i="17"/>
  <c r="K143" i="17"/>
  <c r="P142" i="17"/>
  <c r="K142" i="17"/>
  <c r="P141" i="17"/>
  <c r="K141" i="17"/>
  <c r="P140" i="17"/>
  <c r="K140" i="17"/>
  <c r="P139" i="17"/>
  <c r="K139" i="17"/>
  <c r="P138" i="17"/>
  <c r="K138" i="17"/>
  <c r="P137" i="17"/>
  <c r="K137" i="17"/>
  <c r="P136" i="17"/>
  <c r="K136" i="17"/>
  <c r="T135" i="17"/>
  <c r="P135" i="17"/>
  <c r="K135" i="17"/>
  <c r="P134" i="17"/>
  <c r="K134" i="17"/>
  <c r="P133" i="17"/>
  <c r="K133" i="17"/>
  <c r="T132" i="17"/>
  <c r="P132" i="17"/>
  <c r="K132" i="17"/>
  <c r="P131" i="17"/>
  <c r="K131" i="17"/>
  <c r="T130" i="17"/>
  <c r="P130" i="17"/>
  <c r="K130" i="17"/>
  <c r="T129" i="17"/>
  <c r="P129" i="17"/>
  <c r="K129" i="17"/>
  <c r="T128" i="17"/>
  <c r="P128" i="17"/>
  <c r="K128" i="17"/>
  <c r="P127" i="17"/>
  <c r="K127" i="17"/>
  <c r="P126" i="17"/>
  <c r="K126" i="17"/>
  <c r="P125" i="17"/>
  <c r="K125" i="17"/>
  <c r="P124" i="17"/>
  <c r="K124" i="17"/>
  <c r="T123" i="17"/>
  <c r="P123" i="17"/>
  <c r="K123" i="17"/>
  <c r="P122" i="17"/>
  <c r="K122" i="17"/>
  <c r="P121" i="17"/>
  <c r="K121" i="17"/>
  <c r="P120" i="17"/>
  <c r="K120" i="17"/>
  <c r="P119" i="17"/>
  <c r="K119" i="17"/>
  <c r="P118" i="17"/>
  <c r="K118" i="17"/>
  <c r="P117" i="17"/>
  <c r="K117" i="17"/>
  <c r="P116" i="17"/>
  <c r="K116" i="17"/>
  <c r="T115" i="17"/>
  <c r="P115" i="17"/>
  <c r="K115" i="17"/>
  <c r="P114" i="17"/>
  <c r="K114" i="17"/>
  <c r="T113" i="17"/>
  <c r="P113" i="17"/>
  <c r="K113" i="17"/>
  <c r="P112" i="17"/>
  <c r="K112" i="17"/>
  <c r="T111" i="17"/>
  <c r="P111" i="17"/>
  <c r="K111" i="17"/>
  <c r="P110" i="17"/>
  <c r="K110" i="17"/>
  <c r="P109" i="17"/>
  <c r="K109" i="17"/>
  <c r="P108" i="17"/>
  <c r="K108" i="17"/>
  <c r="P107" i="17"/>
  <c r="K107" i="17"/>
  <c r="T106" i="17"/>
  <c r="P106" i="17"/>
  <c r="K106" i="17"/>
  <c r="P105" i="17"/>
  <c r="K105" i="17"/>
  <c r="T104" i="17"/>
  <c r="P104" i="17"/>
  <c r="K104" i="17"/>
  <c r="P103" i="17"/>
  <c r="K103" i="17"/>
  <c r="P102" i="17"/>
  <c r="K102" i="17"/>
  <c r="T101" i="17"/>
  <c r="P101" i="17"/>
  <c r="K101" i="17"/>
  <c r="P100" i="17"/>
  <c r="K100" i="17"/>
  <c r="T99" i="17"/>
  <c r="P99" i="17"/>
  <c r="K99" i="17"/>
  <c r="P98" i="17"/>
  <c r="K98" i="17"/>
  <c r="P97" i="17"/>
  <c r="K97" i="17"/>
  <c r="P96" i="17"/>
  <c r="K96" i="17"/>
  <c r="T95" i="17"/>
  <c r="P95" i="17"/>
  <c r="K95" i="17"/>
  <c r="P94" i="17"/>
  <c r="K94" i="17"/>
  <c r="T93" i="17"/>
  <c r="P93" i="17"/>
  <c r="K93" i="17"/>
  <c r="P92" i="17"/>
  <c r="K92" i="17"/>
  <c r="P91" i="17"/>
  <c r="K91" i="17"/>
  <c r="P90" i="17"/>
  <c r="K90" i="17"/>
  <c r="P89" i="17"/>
  <c r="K89" i="17"/>
  <c r="P88" i="17"/>
  <c r="K88" i="17"/>
  <c r="P87" i="17"/>
  <c r="K87" i="17"/>
  <c r="P86" i="17"/>
  <c r="K86" i="17"/>
  <c r="P85" i="17"/>
  <c r="K85" i="17"/>
  <c r="P84" i="17"/>
  <c r="K84" i="17"/>
  <c r="P83" i="17"/>
  <c r="K83" i="17"/>
  <c r="T82" i="17"/>
  <c r="P82" i="17"/>
  <c r="K82" i="17"/>
  <c r="P81" i="17"/>
  <c r="K81" i="17"/>
  <c r="P80" i="17"/>
  <c r="K80" i="17"/>
  <c r="T79" i="17"/>
  <c r="P79" i="17"/>
  <c r="K79" i="17"/>
  <c r="P78" i="17"/>
  <c r="K78" i="17"/>
  <c r="P77" i="17"/>
  <c r="K77" i="17"/>
  <c r="P76" i="17"/>
  <c r="K76" i="17"/>
  <c r="P75" i="17"/>
  <c r="K75" i="17"/>
  <c r="T74" i="17"/>
  <c r="P74" i="17"/>
  <c r="K74" i="17"/>
  <c r="P73" i="17"/>
  <c r="K73" i="17"/>
  <c r="P72" i="17"/>
  <c r="K72" i="17"/>
  <c r="T71" i="17"/>
  <c r="P71" i="17"/>
  <c r="K71" i="17"/>
  <c r="P70" i="17"/>
  <c r="K70" i="17"/>
  <c r="P69" i="17"/>
  <c r="K69" i="17"/>
  <c r="P68" i="17"/>
  <c r="K68" i="17"/>
  <c r="P67" i="17"/>
  <c r="K67" i="17"/>
  <c r="P66" i="17"/>
  <c r="K66" i="17"/>
  <c r="P65" i="17"/>
  <c r="K65" i="17"/>
  <c r="T64" i="17"/>
  <c r="P64" i="17"/>
  <c r="K64" i="17"/>
  <c r="P63" i="17"/>
  <c r="K63" i="17"/>
  <c r="P62" i="17"/>
  <c r="K62" i="17"/>
  <c r="P61" i="17"/>
  <c r="K61" i="17"/>
  <c r="T60" i="17"/>
  <c r="P60" i="17"/>
  <c r="K60" i="17"/>
  <c r="P59" i="17"/>
  <c r="K59" i="17"/>
  <c r="T58" i="17"/>
  <c r="P58" i="17"/>
  <c r="K58" i="17"/>
  <c r="P57" i="17"/>
  <c r="K57" i="17"/>
  <c r="T56" i="17"/>
  <c r="P56" i="17"/>
  <c r="K56" i="17"/>
  <c r="P55" i="17"/>
  <c r="K55" i="17"/>
  <c r="P54" i="17"/>
  <c r="K54" i="17"/>
  <c r="P53" i="17"/>
  <c r="K53" i="17"/>
  <c r="T52" i="17"/>
  <c r="P52" i="17"/>
  <c r="K52" i="17"/>
  <c r="T51" i="17"/>
  <c r="P51" i="17"/>
  <c r="K51" i="17"/>
  <c r="P50" i="17"/>
  <c r="K50" i="17"/>
  <c r="P49" i="17"/>
  <c r="K49" i="17"/>
  <c r="T48" i="17"/>
  <c r="P48" i="17"/>
  <c r="K48" i="17"/>
  <c r="P47" i="17"/>
  <c r="K47" i="17"/>
  <c r="P46" i="17"/>
  <c r="K46" i="17"/>
  <c r="T45" i="17"/>
  <c r="P45" i="17"/>
  <c r="K45" i="17"/>
  <c r="T44" i="17"/>
  <c r="P44" i="17"/>
  <c r="K44" i="17"/>
  <c r="P43" i="17"/>
  <c r="K43" i="17"/>
  <c r="P42" i="17"/>
  <c r="K42" i="17"/>
  <c r="P41" i="17"/>
  <c r="K41" i="17"/>
  <c r="T40" i="17"/>
  <c r="P40" i="17"/>
  <c r="K40" i="17"/>
  <c r="P39" i="17"/>
  <c r="K39" i="17"/>
  <c r="P38" i="17"/>
  <c r="K38" i="17"/>
  <c r="P37" i="17"/>
  <c r="K37" i="17"/>
  <c r="P36" i="17"/>
  <c r="K36" i="17"/>
  <c r="P35" i="17"/>
  <c r="K35" i="17"/>
  <c r="P34" i="17"/>
  <c r="K34" i="17"/>
  <c r="P33" i="17"/>
  <c r="K33" i="17"/>
  <c r="P32" i="17"/>
  <c r="K32" i="17"/>
  <c r="P31" i="17"/>
  <c r="K31" i="17"/>
  <c r="P30" i="17"/>
  <c r="K30" i="17"/>
  <c r="P29" i="17"/>
  <c r="K29" i="17"/>
  <c r="P28" i="17"/>
  <c r="K28" i="17"/>
  <c r="P27" i="17"/>
  <c r="K27" i="17"/>
  <c r="P26" i="17"/>
  <c r="K26" i="17"/>
  <c r="P25" i="17"/>
  <c r="K25" i="17"/>
  <c r="P24" i="17"/>
  <c r="K24" i="17"/>
  <c r="T23" i="17"/>
  <c r="P23" i="17"/>
  <c r="K23" i="17"/>
  <c r="P22" i="17"/>
  <c r="K22" i="17"/>
  <c r="P21" i="17"/>
  <c r="K21" i="17"/>
  <c r="T20" i="17"/>
  <c r="P20" i="17"/>
  <c r="K20" i="17"/>
  <c r="P19" i="17"/>
  <c r="K19" i="17"/>
  <c r="P18" i="17"/>
  <c r="K18" i="17"/>
  <c r="P17" i="17"/>
  <c r="K17" i="17"/>
  <c r="T16" i="17"/>
  <c r="P16" i="17"/>
  <c r="K16" i="17"/>
  <c r="P15" i="17"/>
  <c r="K15" i="17"/>
  <c r="P14" i="17"/>
  <c r="K14" i="17"/>
  <c r="T13" i="17"/>
  <c r="P13" i="17"/>
  <c r="K13" i="17"/>
  <c r="P12" i="17"/>
  <c r="K12" i="17"/>
  <c r="P11" i="17"/>
  <c r="K11" i="17"/>
  <c r="P10" i="17"/>
  <c r="K10" i="17"/>
  <c r="P9" i="17"/>
  <c r="K9" i="17"/>
  <c r="K675" i="17" l="1"/>
  <c r="T3" i="17"/>
  <c r="J3" i="17"/>
  <c r="I3" i="17"/>
  <c r="P3" i="17"/>
  <c r="K3" i="17"/>
  <c r="G3" i="17"/>
  <c r="P782" i="17"/>
  <c r="K782" i="17"/>
  <c r="K248" i="17"/>
  <c r="P248" i="17"/>
  <c r="P811" i="16" l="1"/>
  <c r="P803" i="16"/>
  <c r="K811" i="16"/>
  <c r="K803" i="16"/>
  <c r="P693" i="16"/>
  <c r="K693" i="16"/>
  <c r="P252" i="16"/>
  <c r="K252" i="16"/>
  <c r="P360" i="16"/>
  <c r="K360" i="16"/>
  <c r="P253" i="16"/>
  <c r="P221" i="16"/>
  <c r="K253" i="16"/>
  <c r="K221" i="16"/>
  <c r="P97" i="16"/>
  <c r="K97" i="16"/>
  <c r="F95" i="18" l="1"/>
  <c r="A29" i="12" l="1"/>
  <c r="E42" i="18" l="1"/>
  <c r="A31" i="12" l="1"/>
  <c r="F94" i="18" l="1"/>
  <c r="E94" i="18"/>
  <c r="P927" i="16" l="1"/>
  <c r="K927" i="16"/>
  <c r="P926" i="16"/>
  <c r="K926" i="16"/>
  <c r="P925" i="16"/>
  <c r="K925" i="16"/>
  <c r="P924" i="16"/>
  <c r="K924" i="16"/>
  <c r="P923" i="16"/>
  <c r="K923" i="16"/>
  <c r="P922" i="16"/>
  <c r="K922" i="16"/>
  <c r="P921" i="16"/>
  <c r="K921" i="16"/>
  <c r="P920" i="16"/>
  <c r="K920" i="16"/>
  <c r="P919" i="16"/>
  <c r="K919" i="16"/>
  <c r="P918" i="16"/>
  <c r="K918" i="16"/>
  <c r="P917" i="16"/>
  <c r="K917" i="16"/>
  <c r="P916" i="16"/>
  <c r="K916" i="16"/>
  <c r="P915" i="16"/>
  <c r="K915" i="16"/>
  <c r="P914" i="16"/>
  <c r="K914" i="16"/>
  <c r="P913" i="16"/>
  <c r="K913" i="16"/>
  <c r="P912" i="16"/>
  <c r="K912" i="16"/>
  <c r="P911" i="16"/>
  <c r="K911" i="16"/>
  <c r="P910" i="16"/>
  <c r="K910" i="16"/>
  <c r="P909" i="16"/>
  <c r="K909" i="16"/>
  <c r="P908" i="16"/>
  <c r="K908" i="16"/>
  <c r="P907" i="16"/>
  <c r="K907" i="16"/>
  <c r="P906" i="16"/>
  <c r="K906" i="16"/>
  <c r="P905" i="16"/>
  <c r="K905" i="16"/>
  <c r="P904" i="16"/>
  <c r="K904" i="16"/>
  <c r="P903" i="16"/>
  <c r="K903" i="16"/>
  <c r="P902" i="16"/>
  <c r="K902" i="16"/>
  <c r="P901" i="16"/>
  <c r="K901" i="16"/>
  <c r="P900" i="16"/>
  <c r="K900" i="16"/>
  <c r="P899" i="16"/>
  <c r="K899" i="16"/>
  <c r="P898" i="16"/>
  <c r="K898" i="16"/>
  <c r="P897" i="16"/>
  <c r="K897" i="16"/>
  <c r="P896" i="16"/>
  <c r="K896" i="16"/>
  <c r="P895" i="16"/>
  <c r="K895" i="16"/>
  <c r="P894" i="16"/>
  <c r="K894" i="16"/>
  <c r="P893" i="16"/>
  <c r="K893" i="16"/>
  <c r="P892" i="16"/>
  <c r="K892" i="16"/>
  <c r="P891" i="16"/>
  <c r="K891" i="16"/>
  <c r="P890" i="16"/>
  <c r="K890" i="16"/>
  <c r="P889" i="16"/>
  <c r="K889" i="16"/>
  <c r="P888" i="16"/>
  <c r="K888" i="16"/>
  <c r="P887" i="16"/>
  <c r="K887" i="16"/>
  <c r="P886" i="16"/>
  <c r="K886" i="16"/>
  <c r="P885" i="16"/>
  <c r="K885" i="16"/>
  <c r="P884" i="16"/>
  <c r="K884" i="16"/>
  <c r="P883" i="16"/>
  <c r="K883" i="16"/>
  <c r="P882" i="16"/>
  <c r="K882" i="16"/>
  <c r="P881" i="16"/>
  <c r="K881" i="16"/>
  <c r="P880" i="16"/>
  <c r="K880" i="16"/>
  <c r="P879" i="16"/>
  <c r="K879" i="16"/>
  <c r="P878" i="16"/>
  <c r="K878" i="16"/>
  <c r="P877" i="16"/>
  <c r="K877" i="16"/>
  <c r="P876" i="16"/>
  <c r="K876" i="16"/>
  <c r="P875" i="16"/>
  <c r="K875" i="16"/>
  <c r="P874" i="16"/>
  <c r="K874" i="16"/>
  <c r="P873" i="16"/>
  <c r="K873" i="16"/>
  <c r="P872" i="16"/>
  <c r="K872" i="16"/>
  <c r="P871" i="16"/>
  <c r="K871" i="16"/>
  <c r="P870" i="16"/>
  <c r="K870" i="16"/>
  <c r="P869" i="16"/>
  <c r="K869" i="16"/>
  <c r="P868" i="16"/>
  <c r="K868" i="16"/>
  <c r="P867" i="16"/>
  <c r="K867" i="16"/>
  <c r="P866" i="16"/>
  <c r="K866" i="16"/>
  <c r="P865" i="16"/>
  <c r="K865" i="16"/>
  <c r="P864" i="16"/>
  <c r="K864" i="16"/>
  <c r="P863" i="16"/>
  <c r="K863" i="16"/>
  <c r="P862" i="16"/>
  <c r="K862" i="16"/>
  <c r="P861" i="16"/>
  <c r="K861" i="16"/>
  <c r="P860" i="16"/>
  <c r="K860" i="16"/>
  <c r="P859" i="16"/>
  <c r="K859" i="16"/>
  <c r="P858" i="16"/>
  <c r="K858" i="16"/>
  <c r="P857" i="16"/>
  <c r="K857" i="16"/>
  <c r="P856" i="16"/>
  <c r="K856" i="16"/>
  <c r="P855" i="16"/>
  <c r="K855" i="16"/>
  <c r="P854" i="16"/>
  <c r="K854" i="16"/>
  <c r="P853" i="16"/>
  <c r="K853" i="16"/>
  <c r="P852" i="16"/>
  <c r="K852" i="16"/>
  <c r="P851" i="16"/>
  <c r="K851" i="16"/>
  <c r="P850" i="16"/>
  <c r="K850" i="16"/>
  <c r="P849" i="16"/>
  <c r="K849" i="16"/>
  <c r="P848" i="16"/>
  <c r="K848" i="16"/>
  <c r="P847" i="16"/>
  <c r="K847" i="16"/>
  <c r="P846" i="16"/>
  <c r="K846" i="16"/>
  <c r="P845" i="16"/>
  <c r="K845" i="16"/>
  <c r="P844" i="16"/>
  <c r="K844" i="16"/>
  <c r="P843" i="16"/>
  <c r="K843" i="16"/>
  <c r="P842" i="16"/>
  <c r="K842" i="16"/>
  <c r="P841" i="16"/>
  <c r="K841" i="16"/>
  <c r="P840" i="16"/>
  <c r="K840" i="16"/>
  <c r="P839" i="16"/>
  <c r="K839" i="16"/>
  <c r="P838" i="16"/>
  <c r="K838" i="16"/>
  <c r="P837" i="16"/>
  <c r="K837" i="16"/>
  <c r="P836" i="16"/>
  <c r="K836" i="16"/>
  <c r="P835" i="16"/>
  <c r="K835" i="16"/>
  <c r="P834" i="16"/>
  <c r="K834" i="16"/>
  <c r="P833" i="16"/>
  <c r="K833" i="16"/>
  <c r="P832" i="16"/>
  <c r="K832" i="16"/>
  <c r="P831" i="16"/>
  <c r="K831" i="16"/>
  <c r="P830" i="16"/>
  <c r="K830" i="16"/>
  <c r="P829" i="16"/>
  <c r="K829" i="16"/>
  <c r="P828" i="16"/>
  <c r="K828" i="16"/>
  <c r="P827" i="16"/>
  <c r="K827" i="16"/>
  <c r="P826" i="16"/>
  <c r="K826" i="16"/>
  <c r="P825" i="16"/>
  <c r="K825" i="16"/>
  <c r="P824" i="16"/>
  <c r="K824" i="16"/>
  <c r="P823" i="16"/>
  <c r="K823" i="16"/>
  <c r="P822" i="16"/>
  <c r="K822" i="16"/>
  <c r="P820" i="16"/>
  <c r="K820" i="16"/>
  <c r="P819" i="16"/>
  <c r="K819" i="16"/>
  <c r="P818" i="16"/>
  <c r="K818" i="16"/>
  <c r="P817" i="16"/>
  <c r="K817" i="16"/>
  <c r="P816" i="16"/>
  <c r="K816" i="16"/>
  <c r="P815" i="16"/>
  <c r="K815" i="16"/>
  <c r="P814" i="16"/>
  <c r="K814" i="16"/>
  <c r="P813" i="16"/>
  <c r="K813" i="16"/>
  <c r="P810" i="16"/>
  <c r="P812" i="16" s="1"/>
  <c r="K810" i="16"/>
  <c r="K812" i="16" s="1"/>
  <c r="P809" i="16"/>
  <c r="K809" i="16"/>
  <c r="P808" i="16"/>
  <c r="K808" i="16"/>
  <c r="P807" i="16"/>
  <c r="K807" i="16"/>
  <c r="P806" i="16"/>
  <c r="K806" i="16"/>
  <c r="P805" i="16"/>
  <c r="K805" i="16"/>
  <c r="P804" i="16"/>
  <c r="K804" i="16"/>
  <c r="P802" i="16"/>
  <c r="K802" i="16"/>
  <c r="P801" i="16"/>
  <c r="K801" i="16"/>
  <c r="P800" i="16"/>
  <c r="K800" i="16"/>
  <c r="P799" i="16"/>
  <c r="K799" i="16"/>
  <c r="P798" i="16"/>
  <c r="K798" i="16"/>
  <c r="P797" i="16"/>
  <c r="K797" i="16"/>
  <c r="F59" i="18"/>
  <c r="P793" i="16"/>
  <c r="K793" i="16"/>
  <c r="P792" i="16"/>
  <c r="K792" i="16"/>
  <c r="P791" i="16"/>
  <c r="K791" i="16"/>
  <c r="P790" i="16"/>
  <c r="K790" i="16"/>
  <c r="P789" i="16"/>
  <c r="K789" i="16"/>
  <c r="P788" i="16"/>
  <c r="K788" i="16"/>
  <c r="P787" i="16"/>
  <c r="K787" i="16"/>
  <c r="P786" i="16"/>
  <c r="K786" i="16"/>
  <c r="P785" i="16"/>
  <c r="K785" i="16"/>
  <c r="P784" i="16"/>
  <c r="K784" i="16"/>
  <c r="P783" i="16"/>
  <c r="K783" i="16"/>
  <c r="P782" i="16"/>
  <c r="K782" i="16"/>
  <c r="P781" i="16"/>
  <c r="K781" i="16"/>
  <c r="P780" i="16"/>
  <c r="K780" i="16"/>
  <c r="P779" i="16"/>
  <c r="K779" i="16"/>
  <c r="P778" i="16"/>
  <c r="K778" i="16"/>
  <c r="P777" i="16"/>
  <c r="K777" i="16"/>
  <c r="P776" i="16"/>
  <c r="K776" i="16"/>
  <c r="P775" i="16"/>
  <c r="K775" i="16"/>
  <c r="P774" i="16"/>
  <c r="K774" i="16"/>
  <c r="P773" i="16"/>
  <c r="K773" i="16"/>
  <c r="P772" i="16"/>
  <c r="K772" i="16"/>
  <c r="P771" i="16"/>
  <c r="K771" i="16"/>
  <c r="P770" i="16"/>
  <c r="K770" i="16"/>
  <c r="P769" i="16"/>
  <c r="K769" i="16"/>
  <c r="P768" i="16"/>
  <c r="K768" i="16"/>
  <c r="P767" i="16"/>
  <c r="K767" i="16"/>
  <c r="P766" i="16"/>
  <c r="K766" i="16"/>
  <c r="P765" i="16"/>
  <c r="K765" i="16"/>
  <c r="P764" i="16"/>
  <c r="K764" i="16"/>
  <c r="P763" i="16"/>
  <c r="K763" i="16"/>
  <c r="P762" i="16"/>
  <c r="K762" i="16"/>
  <c r="P761" i="16"/>
  <c r="K761" i="16"/>
  <c r="P760" i="16"/>
  <c r="K760" i="16"/>
  <c r="P759" i="16"/>
  <c r="K759" i="16"/>
  <c r="P758" i="16"/>
  <c r="K758" i="16"/>
  <c r="P757" i="16"/>
  <c r="K757" i="16"/>
  <c r="P756" i="16"/>
  <c r="K756" i="16"/>
  <c r="P755" i="16"/>
  <c r="K755" i="16"/>
  <c r="P754" i="16"/>
  <c r="K754" i="16"/>
  <c r="P753" i="16"/>
  <c r="K753" i="16"/>
  <c r="P752" i="16"/>
  <c r="K752" i="16"/>
  <c r="P751" i="16"/>
  <c r="K751" i="16"/>
  <c r="P750" i="16"/>
  <c r="K750" i="16"/>
  <c r="P749" i="16"/>
  <c r="K749" i="16"/>
  <c r="P748" i="16"/>
  <c r="K748" i="16"/>
  <c r="P747" i="16"/>
  <c r="K747" i="16"/>
  <c r="P746" i="16"/>
  <c r="K746" i="16"/>
  <c r="P745" i="16"/>
  <c r="K745" i="16"/>
  <c r="P744" i="16"/>
  <c r="K744" i="16"/>
  <c r="P743" i="16"/>
  <c r="K743" i="16"/>
  <c r="P742" i="16"/>
  <c r="K742" i="16"/>
  <c r="P741" i="16"/>
  <c r="K741" i="16"/>
  <c r="P740" i="16"/>
  <c r="K740" i="16"/>
  <c r="P739" i="16"/>
  <c r="K739" i="16"/>
  <c r="P738" i="16"/>
  <c r="K738" i="16"/>
  <c r="P737" i="16"/>
  <c r="K737" i="16"/>
  <c r="P736" i="16"/>
  <c r="K736" i="16"/>
  <c r="P735" i="16"/>
  <c r="K735" i="16"/>
  <c r="P734" i="16"/>
  <c r="K734" i="16"/>
  <c r="P733" i="16"/>
  <c r="K733" i="16"/>
  <c r="P732" i="16"/>
  <c r="K732" i="16"/>
  <c r="P731" i="16"/>
  <c r="K731" i="16"/>
  <c r="P730" i="16"/>
  <c r="K730" i="16"/>
  <c r="P729" i="16"/>
  <c r="K729" i="16"/>
  <c r="P728" i="16"/>
  <c r="K728" i="16"/>
  <c r="P727" i="16"/>
  <c r="K727" i="16"/>
  <c r="P726" i="16"/>
  <c r="K726" i="16"/>
  <c r="P725" i="16"/>
  <c r="K725" i="16"/>
  <c r="P724" i="16"/>
  <c r="K724" i="16"/>
  <c r="P723" i="16"/>
  <c r="K723" i="16"/>
  <c r="P722" i="16"/>
  <c r="K722" i="16"/>
  <c r="P721" i="16"/>
  <c r="K721" i="16"/>
  <c r="P720" i="16"/>
  <c r="K720" i="16"/>
  <c r="P719" i="16"/>
  <c r="K719" i="16"/>
  <c r="P718" i="16"/>
  <c r="K718" i="16"/>
  <c r="P717" i="16"/>
  <c r="K717" i="16"/>
  <c r="P716" i="16"/>
  <c r="K716" i="16"/>
  <c r="P715" i="16"/>
  <c r="K715" i="16"/>
  <c r="P714" i="16"/>
  <c r="K714" i="16"/>
  <c r="P713" i="16"/>
  <c r="K713" i="16"/>
  <c r="P712" i="16"/>
  <c r="K712" i="16"/>
  <c r="P711" i="16"/>
  <c r="K711" i="16"/>
  <c r="P710" i="16"/>
  <c r="K710" i="16"/>
  <c r="P709" i="16"/>
  <c r="K709" i="16"/>
  <c r="P708" i="16"/>
  <c r="K708" i="16"/>
  <c r="P707" i="16"/>
  <c r="K707" i="16"/>
  <c r="P706" i="16"/>
  <c r="K706" i="16"/>
  <c r="P705" i="16"/>
  <c r="K705" i="16"/>
  <c r="P704" i="16"/>
  <c r="K704" i="16"/>
  <c r="P703" i="16"/>
  <c r="K703" i="16"/>
  <c r="P702" i="16"/>
  <c r="K702" i="16"/>
  <c r="P701" i="16"/>
  <c r="K701" i="16"/>
  <c r="P700" i="16"/>
  <c r="K700" i="16"/>
  <c r="P699" i="16"/>
  <c r="K699" i="16"/>
  <c r="P698" i="16"/>
  <c r="K698" i="16"/>
  <c r="P697" i="16"/>
  <c r="K697" i="16"/>
  <c r="P696" i="16"/>
  <c r="K696" i="16"/>
  <c r="P695" i="16"/>
  <c r="K695" i="16"/>
  <c r="P694" i="16"/>
  <c r="K694" i="16"/>
  <c r="P692" i="16"/>
  <c r="K692" i="16"/>
  <c r="P691" i="16"/>
  <c r="K691" i="16"/>
  <c r="P690" i="16"/>
  <c r="K690" i="16"/>
  <c r="P689" i="16"/>
  <c r="K689" i="16"/>
  <c r="P688" i="16"/>
  <c r="K688" i="16"/>
  <c r="P687" i="16"/>
  <c r="K687" i="16"/>
  <c r="P685" i="16"/>
  <c r="K685" i="16"/>
  <c r="P684" i="16"/>
  <c r="K684" i="16"/>
  <c r="P683" i="16"/>
  <c r="K683" i="16"/>
  <c r="P682" i="16"/>
  <c r="K682" i="16"/>
  <c r="P681" i="16"/>
  <c r="K681" i="16"/>
  <c r="P680" i="16"/>
  <c r="K680"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P660" i="16"/>
  <c r="K660" i="16"/>
  <c r="P659" i="16"/>
  <c r="K659" i="16"/>
  <c r="P658" i="16"/>
  <c r="K658" i="16"/>
  <c r="P657" i="16"/>
  <c r="K657" i="16"/>
  <c r="P656" i="16"/>
  <c r="K656" i="16"/>
  <c r="P655" i="16"/>
  <c r="K655" i="16"/>
  <c r="P654" i="16"/>
  <c r="K654" i="16"/>
  <c r="P653" i="16"/>
  <c r="K653" i="16"/>
  <c r="P652" i="16"/>
  <c r="K652" i="16"/>
  <c r="P651" i="16"/>
  <c r="K651"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P636" i="16"/>
  <c r="K636" i="16"/>
  <c r="P635" i="16"/>
  <c r="K635" i="16"/>
  <c r="P634" i="16"/>
  <c r="K634" i="16"/>
  <c r="P633" i="16"/>
  <c r="K633" i="16"/>
  <c r="P632" i="16"/>
  <c r="K632"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P615" i="16"/>
  <c r="K615" i="16"/>
  <c r="P614" i="16"/>
  <c r="K614" i="16"/>
  <c r="P612" i="16"/>
  <c r="K612" i="16"/>
  <c r="P611" i="16"/>
  <c r="K611" i="16"/>
  <c r="P610" i="16"/>
  <c r="K610" i="16"/>
  <c r="P609" i="16"/>
  <c r="K609" i="16"/>
  <c r="P608" i="16"/>
  <c r="K608" i="16"/>
  <c r="P607" i="16"/>
  <c r="K607" i="16"/>
  <c r="P606" i="16"/>
  <c r="K606" i="16"/>
  <c r="P605" i="16"/>
  <c r="K605" i="16"/>
  <c r="P604" i="16"/>
  <c r="K604" i="16"/>
  <c r="P603" i="16"/>
  <c r="K603" i="16"/>
  <c r="P602" i="16"/>
  <c r="K602" i="16"/>
  <c r="P601" i="16"/>
  <c r="K601" i="16"/>
  <c r="P600" i="16"/>
  <c r="K600" i="16"/>
  <c r="P599" i="16"/>
  <c r="K599" i="16"/>
  <c r="P598" i="16"/>
  <c r="K598" i="16"/>
  <c r="P597" i="16"/>
  <c r="K597" i="16"/>
  <c r="P596" i="16"/>
  <c r="K596" i="16"/>
  <c r="P595" i="16"/>
  <c r="K595" i="16"/>
  <c r="P594" i="16"/>
  <c r="K594" i="16"/>
  <c r="P593" i="16"/>
  <c r="K593"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P566" i="16"/>
  <c r="K566" i="16"/>
  <c r="P565" i="16"/>
  <c r="K565" i="16"/>
  <c r="P564" i="16"/>
  <c r="K564" i="16"/>
  <c r="P563" i="16"/>
  <c r="K563"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P543" i="16"/>
  <c r="K543" i="16"/>
  <c r="P542" i="16"/>
  <c r="K542" i="16"/>
  <c r="P541" i="16"/>
  <c r="K541" i="16"/>
  <c r="P540" i="16"/>
  <c r="K540" i="16"/>
  <c r="P539" i="16"/>
  <c r="K539" i="16"/>
  <c r="P538" i="16"/>
  <c r="K538" i="16"/>
  <c r="P537" i="16"/>
  <c r="K537" i="16"/>
  <c r="P536" i="16"/>
  <c r="K536" i="16"/>
  <c r="P535" i="16"/>
  <c r="K535" i="16"/>
  <c r="P534" i="16"/>
  <c r="K534" i="16"/>
  <c r="P533" i="16"/>
  <c r="K533" i="16"/>
  <c r="P532" i="16"/>
  <c r="K532" i="16"/>
  <c r="P531" i="16"/>
  <c r="K531" i="16"/>
  <c r="P530" i="16"/>
  <c r="K530" i="16"/>
  <c r="P529" i="16"/>
  <c r="K529" i="16"/>
  <c r="P528" i="16"/>
  <c r="K528" i="16"/>
  <c r="P527" i="16"/>
  <c r="K527" i="16"/>
  <c r="P526" i="16"/>
  <c r="K526" i="16"/>
  <c r="P525" i="16"/>
  <c r="K525" i="16"/>
  <c r="P524" i="16"/>
  <c r="K524" i="16"/>
  <c r="P523" i="16"/>
  <c r="K523" i="16"/>
  <c r="P522" i="16"/>
  <c r="K522" i="16"/>
  <c r="P521" i="16"/>
  <c r="K521" i="16"/>
  <c r="P520" i="16"/>
  <c r="K520" i="16"/>
  <c r="P519" i="16"/>
  <c r="K519" i="16"/>
  <c r="P518" i="16"/>
  <c r="K518" i="16"/>
  <c r="P517" i="16"/>
  <c r="K517" i="16"/>
  <c r="P516" i="16"/>
  <c r="K516" i="16"/>
  <c r="P515" i="16"/>
  <c r="K515" i="16"/>
  <c r="P514" i="16"/>
  <c r="K514" i="16"/>
  <c r="P513" i="16"/>
  <c r="K513" i="16"/>
  <c r="P512" i="16"/>
  <c r="K512" i="16"/>
  <c r="P511" i="16"/>
  <c r="K511" i="16"/>
  <c r="P510" i="16"/>
  <c r="K510" i="16"/>
  <c r="P509" i="16"/>
  <c r="K509" i="16"/>
  <c r="P508" i="16"/>
  <c r="K508" i="16"/>
  <c r="P507" i="16"/>
  <c r="K507" i="16"/>
  <c r="P506" i="16"/>
  <c r="K506" i="16"/>
  <c r="P505" i="16"/>
  <c r="K505" i="16"/>
  <c r="P504" i="16"/>
  <c r="K504" i="16"/>
  <c r="P503" i="16"/>
  <c r="K503" i="16"/>
  <c r="P502" i="16"/>
  <c r="K502" i="16"/>
  <c r="P501" i="16"/>
  <c r="K501"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2" i="16"/>
  <c r="K482" i="16"/>
  <c r="P480" i="16"/>
  <c r="K480" i="16"/>
  <c r="P478" i="16"/>
  <c r="K478" i="16"/>
  <c r="P477" i="16"/>
  <c r="K477"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P372" i="16"/>
  <c r="K372" i="16"/>
  <c r="P371" i="16"/>
  <c r="K371" i="16"/>
  <c r="P370" i="16"/>
  <c r="K370" i="16"/>
  <c r="P369" i="16"/>
  <c r="K369" i="16"/>
  <c r="P368" i="16"/>
  <c r="K368" i="16"/>
  <c r="P367" i="16"/>
  <c r="K367" i="16"/>
  <c r="P366" i="16"/>
  <c r="K366" i="16"/>
  <c r="P365" i="16"/>
  <c r="K365" i="16"/>
  <c r="P364" i="16"/>
  <c r="K364" i="16"/>
  <c r="P363" i="16"/>
  <c r="K363" i="16"/>
  <c r="P362" i="16"/>
  <c r="K362" i="16"/>
  <c r="P361" i="16"/>
  <c r="K361" i="16"/>
  <c r="P359" i="16"/>
  <c r="K359" i="16"/>
  <c r="P358" i="16"/>
  <c r="K358" i="16"/>
  <c r="P357" i="16"/>
  <c r="K357" i="16"/>
  <c r="P356" i="16"/>
  <c r="K356" i="16"/>
  <c r="P355" i="16"/>
  <c r="K355" i="16"/>
  <c r="P354" i="16"/>
  <c r="K354" i="16"/>
  <c r="P353" i="16"/>
  <c r="K353" i="16"/>
  <c r="P352" i="16"/>
  <c r="K352" i="16"/>
  <c r="P351" i="16"/>
  <c r="K351" i="16"/>
  <c r="P350" i="16"/>
  <c r="K350" i="16"/>
  <c r="P349" i="16"/>
  <c r="K349" i="16"/>
  <c r="P348" i="16"/>
  <c r="K348" i="16"/>
  <c r="P347" i="16"/>
  <c r="K347" i="16"/>
  <c r="P346" i="16"/>
  <c r="K346" i="16"/>
  <c r="P345" i="16"/>
  <c r="K345" i="16"/>
  <c r="P344" i="16"/>
  <c r="K344" i="16"/>
  <c r="P343" i="16"/>
  <c r="K343" i="16"/>
  <c r="P342" i="16"/>
  <c r="K342" i="16"/>
  <c r="P341" i="16"/>
  <c r="K341" i="16"/>
  <c r="P340" i="16"/>
  <c r="K340" i="16"/>
  <c r="P339" i="16"/>
  <c r="K339" i="16"/>
  <c r="P338" i="16"/>
  <c r="K338" i="16"/>
  <c r="P337" i="16"/>
  <c r="K337" i="16"/>
  <c r="P336" i="16"/>
  <c r="K336" i="16"/>
  <c r="P335" i="16"/>
  <c r="K335" i="16"/>
  <c r="P334" i="16"/>
  <c r="K334" i="16"/>
  <c r="P333" i="16"/>
  <c r="K333" i="16"/>
  <c r="P332" i="16"/>
  <c r="K332" i="16"/>
  <c r="P331" i="16"/>
  <c r="K331" i="16"/>
  <c r="P330" i="16"/>
  <c r="K330" i="16"/>
  <c r="P329" i="16"/>
  <c r="K329" i="16"/>
  <c r="P328" i="16"/>
  <c r="K328" i="16"/>
  <c r="P327" i="16"/>
  <c r="K327" i="16"/>
  <c r="P326" i="16"/>
  <c r="K326" i="16"/>
  <c r="P325" i="16"/>
  <c r="K325" i="16"/>
  <c r="P324" i="16"/>
  <c r="K324" i="16"/>
  <c r="P323" i="16"/>
  <c r="K323" i="16"/>
  <c r="P322" i="16"/>
  <c r="K322" i="16"/>
  <c r="P321" i="16"/>
  <c r="K321" i="16"/>
  <c r="P320" i="16"/>
  <c r="K320" i="16"/>
  <c r="P319" i="16"/>
  <c r="K319" i="16"/>
  <c r="P318" i="16"/>
  <c r="K318" i="16"/>
  <c r="P317" i="16"/>
  <c r="K317" i="16"/>
  <c r="P316" i="16"/>
  <c r="K316" i="16"/>
  <c r="P315" i="16"/>
  <c r="K315" i="16"/>
  <c r="P314" i="16"/>
  <c r="K314" i="16"/>
  <c r="P313" i="16"/>
  <c r="K313" i="16"/>
  <c r="P312" i="16"/>
  <c r="K312" i="16"/>
  <c r="P311" i="16"/>
  <c r="K311" i="16"/>
  <c r="P310" i="16"/>
  <c r="K310" i="16"/>
  <c r="P309" i="16"/>
  <c r="K309" i="16"/>
  <c r="P308" i="16"/>
  <c r="K308" i="16"/>
  <c r="P307" i="16"/>
  <c r="K307" i="16"/>
  <c r="P306" i="16"/>
  <c r="K306" i="16"/>
  <c r="P305" i="16"/>
  <c r="K305" i="16"/>
  <c r="P304" i="16"/>
  <c r="K304" i="16"/>
  <c r="P303" i="16"/>
  <c r="K303" i="16"/>
  <c r="P302" i="16"/>
  <c r="K302" i="16"/>
  <c r="P301" i="16"/>
  <c r="K301" i="16"/>
  <c r="P300" i="16"/>
  <c r="K300" i="16"/>
  <c r="P299" i="16"/>
  <c r="K299" i="16"/>
  <c r="P298" i="16"/>
  <c r="K298" i="16"/>
  <c r="P297" i="16"/>
  <c r="K297"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P283" i="16"/>
  <c r="K283" i="16"/>
  <c r="P282" i="16"/>
  <c r="K282" i="16"/>
  <c r="P281" i="16"/>
  <c r="K281" i="16"/>
  <c r="P280" i="16"/>
  <c r="K280" i="16"/>
  <c r="P279" i="16"/>
  <c r="K279" i="16"/>
  <c r="P278" i="16"/>
  <c r="K278" i="16"/>
  <c r="P277" i="16"/>
  <c r="K277" i="16"/>
  <c r="P276" i="16"/>
  <c r="K276" i="16"/>
  <c r="P275" i="16"/>
  <c r="K275" i="16"/>
  <c r="P274" i="16"/>
  <c r="K274" i="16"/>
  <c r="P273" i="16"/>
  <c r="K273" i="16"/>
  <c r="P272" i="16"/>
  <c r="K272" i="16"/>
  <c r="P271" i="16"/>
  <c r="K271" i="16"/>
  <c r="P270" i="16"/>
  <c r="K270" i="16"/>
  <c r="P269" i="16"/>
  <c r="K269" i="16"/>
  <c r="P268" i="16"/>
  <c r="K268" i="16"/>
  <c r="P267" i="16"/>
  <c r="K267" i="16"/>
  <c r="P266" i="16"/>
  <c r="K266" i="16"/>
  <c r="P265" i="16"/>
  <c r="K265" i="16"/>
  <c r="P264" i="16"/>
  <c r="K264" i="16"/>
  <c r="P263" i="16"/>
  <c r="K263" i="16"/>
  <c r="P262" i="16"/>
  <c r="K262" i="16"/>
  <c r="P261" i="16"/>
  <c r="K261" i="16"/>
  <c r="P260" i="16"/>
  <c r="K260" i="16"/>
  <c r="P259" i="16"/>
  <c r="K259" i="16"/>
  <c r="P258" i="16"/>
  <c r="K258" i="16"/>
  <c r="P257" i="16"/>
  <c r="K257" i="16"/>
  <c r="P256" i="16"/>
  <c r="K256" i="16"/>
  <c r="P251" i="16"/>
  <c r="K251" i="16"/>
  <c r="P249" i="16"/>
  <c r="K249" i="16"/>
  <c r="P248" i="16"/>
  <c r="K248" i="16"/>
  <c r="P247" i="16"/>
  <c r="K247" i="16"/>
  <c r="P246" i="16"/>
  <c r="K246" i="16"/>
  <c r="P245" i="16"/>
  <c r="K245" i="16"/>
  <c r="P244" i="16"/>
  <c r="K244" i="16"/>
  <c r="P243" i="16"/>
  <c r="K243" i="16"/>
  <c r="P242" i="16"/>
  <c r="K242" i="16"/>
  <c r="P241" i="16"/>
  <c r="K241" i="16"/>
  <c r="P240" i="16"/>
  <c r="K240" i="16"/>
  <c r="P239" i="16"/>
  <c r="K239" i="16"/>
  <c r="P238" i="16"/>
  <c r="K238" i="16"/>
  <c r="P237" i="16"/>
  <c r="K237" i="16"/>
  <c r="P236" i="16"/>
  <c r="K236" i="16"/>
  <c r="P235" i="16"/>
  <c r="K235" i="16"/>
  <c r="P234" i="16"/>
  <c r="K234" i="16"/>
  <c r="P233" i="16"/>
  <c r="K233" i="16"/>
  <c r="P232" i="16"/>
  <c r="K232" i="16"/>
  <c r="P231" i="16"/>
  <c r="K231" i="16"/>
  <c r="P230" i="16"/>
  <c r="K230" i="16"/>
  <c r="P229" i="16"/>
  <c r="K229" i="16"/>
  <c r="P228" i="16"/>
  <c r="K228" i="16"/>
  <c r="P227" i="16"/>
  <c r="K227" i="16"/>
  <c r="P226" i="16"/>
  <c r="K226" i="16"/>
  <c r="P225" i="16"/>
  <c r="K225" i="16"/>
  <c r="P224" i="16"/>
  <c r="K224" i="16"/>
  <c r="P223" i="16"/>
  <c r="K223" i="16"/>
  <c r="P222" i="16"/>
  <c r="K222" i="16"/>
  <c r="P220" i="16"/>
  <c r="K220" i="16"/>
  <c r="P219" i="16"/>
  <c r="K219" i="16"/>
  <c r="P218" i="16"/>
  <c r="K218" i="16"/>
  <c r="P217" i="16"/>
  <c r="K217" i="16"/>
  <c r="P216" i="16"/>
  <c r="K216" i="16"/>
  <c r="P215" i="16"/>
  <c r="K215" i="16"/>
  <c r="P214" i="16"/>
  <c r="K214" i="16"/>
  <c r="P213" i="16"/>
  <c r="K213" i="16"/>
  <c r="P212" i="16"/>
  <c r="K212" i="16"/>
  <c r="P211" i="16"/>
  <c r="K211" i="16"/>
  <c r="P210" i="16"/>
  <c r="K210" i="16"/>
  <c r="P209" i="16"/>
  <c r="K209" i="16"/>
  <c r="P208" i="16"/>
  <c r="K208" i="16"/>
  <c r="P207" i="16"/>
  <c r="K207" i="16"/>
  <c r="P206" i="16"/>
  <c r="K206" i="16"/>
  <c r="P205" i="16"/>
  <c r="K205" i="16"/>
  <c r="P204" i="16"/>
  <c r="K204" i="16"/>
  <c r="P203" i="16"/>
  <c r="K203" i="16"/>
  <c r="P202" i="16"/>
  <c r="K202" i="16"/>
  <c r="P201" i="16"/>
  <c r="K201" i="16"/>
  <c r="P200" i="16"/>
  <c r="K200" i="16"/>
  <c r="P199" i="16"/>
  <c r="K199" i="16"/>
  <c r="P198" i="16"/>
  <c r="K198" i="16"/>
  <c r="P197" i="16"/>
  <c r="K197" i="16"/>
  <c r="P196" i="16"/>
  <c r="K196" i="16"/>
  <c r="P195" i="16"/>
  <c r="K195" i="16"/>
  <c r="P194" i="16"/>
  <c r="K194" i="16"/>
  <c r="P193" i="16"/>
  <c r="K193" i="16"/>
  <c r="P192" i="16"/>
  <c r="K192" i="16"/>
  <c r="P191" i="16"/>
  <c r="K191" i="16"/>
  <c r="P190" i="16"/>
  <c r="K190" i="16"/>
  <c r="P189" i="16"/>
  <c r="K189" i="16"/>
  <c r="P188" i="16"/>
  <c r="K188" i="16"/>
  <c r="P187" i="16"/>
  <c r="K187" i="16"/>
  <c r="P186" i="16"/>
  <c r="K186" i="16"/>
  <c r="P185" i="16"/>
  <c r="K185" i="16"/>
  <c r="P184" i="16"/>
  <c r="K184" i="16"/>
  <c r="P183" i="16"/>
  <c r="K183" i="16"/>
  <c r="P182" i="16"/>
  <c r="K182" i="16"/>
  <c r="P181" i="16"/>
  <c r="K181" i="16"/>
  <c r="P180" i="16"/>
  <c r="K180" i="16"/>
  <c r="P179" i="16"/>
  <c r="K179" i="16"/>
  <c r="P178" i="16"/>
  <c r="K178" i="16"/>
  <c r="P177" i="16"/>
  <c r="K177" i="16"/>
  <c r="P176" i="16"/>
  <c r="K176" i="16"/>
  <c r="P175" i="16"/>
  <c r="K175" i="16"/>
  <c r="P174" i="16"/>
  <c r="K174" i="16"/>
  <c r="P173" i="16"/>
  <c r="K173" i="16"/>
  <c r="P172" i="16"/>
  <c r="K172" i="16"/>
  <c r="P171" i="16"/>
  <c r="K171" i="16"/>
  <c r="P170" i="16"/>
  <c r="K170" i="16"/>
  <c r="P169" i="16"/>
  <c r="K169" i="16"/>
  <c r="P168" i="16"/>
  <c r="K168" i="16"/>
  <c r="P167" i="16"/>
  <c r="K167" i="16"/>
  <c r="P166" i="16"/>
  <c r="K166" i="16"/>
  <c r="P165" i="16"/>
  <c r="K165" i="16"/>
  <c r="P164" i="16"/>
  <c r="K164" i="16"/>
  <c r="P163" i="16"/>
  <c r="K163" i="16"/>
  <c r="P162" i="16"/>
  <c r="K162" i="16"/>
  <c r="P161" i="16"/>
  <c r="K161" i="16"/>
  <c r="P160" i="16"/>
  <c r="K160" i="16"/>
  <c r="P159" i="16"/>
  <c r="K159" i="16"/>
  <c r="P158" i="16"/>
  <c r="K158" i="16"/>
  <c r="P157" i="16"/>
  <c r="K157" i="16"/>
  <c r="P156" i="16"/>
  <c r="K156" i="16"/>
  <c r="P155" i="16"/>
  <c r="K155" i="16"/>
  <c r="P154" i="16"/>
  <c r="K154" i="16"/>
  <c r="P153" i="16"/>
  <c r="K153" i="16"/>
  <c r="P152" i="16"/>
  <c r="K152" i="16"/>
  <c r="P151" i="16"/>
  <c r="K151" i="16"/>
  <c r="P150" i="16"/>
  <c r="K150" i="16"/>
  <c r="P149" i="16"/>
  <c r="K149" i="16"/>
  <c r="P148" i="16"/>
  <c r="K148" i="16"/>
  <c r="P147" i="16"/>
  <c r="K147" i="16"/>
  <c r="P146" i="16"/>
  <c r="K146" i="16"/>
  <c r="P145" i="16"/>
  <c r="K145" i="16"/>
  <c r="P144" i="16"/>
  <c r="K144" i="16"/>
  <c r="P143" i="16"/>
  <c r="K143" i="16"/>
  <c r="P142" i="16"/>
  <c r="K142" i="16"/>
  <c r="P141" i="16"/>
  <c r="K141" i="16"/>
  <c r="P140" i="16"/>
  <c r="K140" i="16"/>
  <c r="P139" i="16"/>
  <c r="K139" i="16"/>
  <c r="P138" i="16"/>
  <c r="K138" i="16"/>
  <c r="P137" i="16"/>
  <c r="K137" i="16"/>
  <c r="P136" i="16"/>
  <c r="K136" i="16"/>
  <c r="P135" i="16"/>
  <c r="K135" i="16"/>
  <c r="P134" i="16"/>
  <c r="K134" i="16"/>
  <c r="P133" i="16"/>
  <c r="K133" i="16"/>
  <c r="P132" i="16"/>
  <c r="K132" i="16"/>
  <c r="P131" i="16"/>
  <c r="K131" i="16"/>
  <c r="P130" i="16"/>
  <c r="K130" i="16"/>
  <c r="P129" i="16"/>
  <c r="K129" i="16"/>
  <c r="P128" i="16"/>
  <c r="K128" i="16"/>
  <c r="P127" i="16"/>
  <c r="K127" i="16"/>
  <c r="P126" i="16"/>
  <c r="K126" i="16"/>
  <c r="P125" i="16"/>
  <c r="K125" i="16"/>
  <c r="P124" i="16"/>
  <c r="K124" i="16"/>
  <c r="P123" i="16"/>
  <c r="K123" i="16"/>
  <c r="P122" i="16"/>
  <c r="K122" i="16"/>
  <c r="P121" i="16"/>
  <c r="K121" i="16"/>
  <c r="P120" i="16"/>
  <c r="K120" i="16"/>
  <c r="P119" i="16"/>
  <c r="K119" i="16"/>
  <c r="P118" i="16"/>
  <c r="K118" i="16"/>
  <c r="P117" i="16"/>
  <c r="K117" i="16"/>
  <c r="P116" i="16"/>
  <c r="K116" i="16"/>
  <c r="P115" i="16"/>
  <c r="K115" i="16"/>
  <c r="P114" i="16"/>
  <c r="K114" i="16"/>
  <c r="P113" i="16"/>
  <c r="K113" i="16"/>
  <c r="P112" i="16"/>
  <c r="K112" i="16"/>
  <c r="P111" i="16"/>
  <c r="K111" i="16"/>
  <c r="P110" i="16"/>
  <c r="K110" i="16"/>
  <c r="P109" i="16"/>
  <c r="K109" i="16"/>
  <c r="P108" i="16"/>
  <c r="K108" i="16"/>
  <c r="P107" i="16"/>
  <c r="K107" i="16"/>
  <c r="P106" i="16"/>
  <c r="K106" i="16"/>
  <c r="P105" i="16"/>
  <c r="K105" i="16"/>
  <c r="P104" i="16"/>
  <c r="K104" i="16"/>
  <c r="P103" i="16"/>
  <c r="K103" i="16"/>
  <c r="P102" i="16"/>
  <c r="K102" i="16"/>
  <c r="P101" i="16"/>
  <c r="K101" i="16"/>
  <c r="P100" i="16"/>
  <c r="K100" i="16"/>
  <c r="P99" i="16"/>
  <c r="K99" i="16"/>
  <c r="P98" i="16"/>
  <c r="K98" i="16"/>
  <c r="P96" i="16"/>
  <c r="K96" i="16"/>
  <c r="P95" i="16"/>
  <c r="K95" i="16"/>
  <c r="P94" i="16"/>
  <c r="K94" i="16"/>
  <c r="P93" i="16"/>
  <c r="K93" i="16"/>
  <c r="P92" i="16"/>
  <c r="K92" i="16"/>
  <c r="P91" i="16"/>
  <c r="K91" i="16"/>
  <c r="P90" i="16"/>
  <c r="K90" i="16"/>
  <c r="P89" i="16"/>
  <c r="K89" i="16"/>
  <c r="P88" i="16"/>
  <c r="K88" i="16"/>
  <c r="P87" i="16"/>
  <c r="K87" i="16"/>
  <c r="P86" i="16"/>
  <c r="K86" i="16"/>
  <c r="P85" i="16"/>
  <c r="K85" i="16"/>
  <c r="P84" i="16"/>
  <c r="K84" i="16"/>
  <c r="P83" i="16"/>
  <c r="K83" i="16"/>
  <c r="P82" i="16"/>
  <c r="K82" i="16"/>
  <c r="P81" i="16"/>
  <c r="K81" i="16"/>
  <c r="P80" i="16"/>
  <c r="K80" i="16"/>
  <c r="P79" i="16"/>
  <c r="K79" i="16"/>
  <c r="P78" i="16"/>
  <c r="K78" i="16"/>
  <c r="P77" i="16"/>
  <c r="K77" i="16"/>
  <c r="P76" i="16"/>
  <c r="K76" i="16"/>
  <c r="P75" i="16"/>
  <c r="K75" i="16"/>
  <c r="P74" i="16"/>
  <c r="K74" i="16"/>
  <c r="P73" i="16"/>
  <c r="K73" i="16"/>
  <c r="P72" i="16"/>
  <c r="K72" i="16"/>
  <c r="P71" i="16"/>
  <c r="K71" i="16"/>
  <c r="P70" i="16"/>
  <c r="K70" i="16"/>
  <c r="P69" i="16"/>
  <c r="K69" i="16"/>
  <c r="P68" i="16"/>
  <c r="K68" i="16"/>
  <c r="P67" i="16"/>
  <c r="K67" i="16"/>
  <c r="P66" i="16"/>
  <c r="K66" i="16"/>
  <c r="P65" i="16"/>
  <c r="K65" i="16"/>
  <c r="P64" i="16"/>
  <c r="K64" i="16"/>
  <c r="P63" i="16"/>
  <c r="K63" i="16"/>
  <c r="P62" i="16"/>
  <c r="K62" i="16"/>
  <c r="P61" i="16"/>
  <c r="K61" i="16"/>
  <c r="P60" i="16"/>
  <c r="K60" i="16"/>
  <c r="P59" i="16"/>
  <c r="K59" i="16"/>
  <c r="P58" i="16"/>
  <c r="K58" i="16"/>
  <c r="P57" i="16"/>
  <c r="K57" i="16"/>
  <c r="P56" i="16"/>
  <c r="K56" i="16"/>
  <c r="P55" i="16"/>
  <c r="K55" i="16"/>
  <c r="P54" i="16"/>
  <c r="K54" i="16"/>
  <c r="P53" i="16"/>
  <c r="K53" i="16"/>
  <c r="P52" i="16"/>
  <c r="K52" i="16"/>
  <c r="P51" i="16"/>
  <c r="K51" i="16"/>
  <c r="P50" i="16"/>
  <c r="K50" i="16"/>
  <c r="P49" i="16"/>
  <c r="K49" i="16"/>
  <c r="P48" i="16"/>
  <c r="K48" i="16"/>
  <c r="P47" i="16"/>
  <c r="K47" i="16"/>
  <c r="P46" i="16"/>
  <c r="K46" i="16"/>
  <c r="P45" i="16"/>
  <c r="K45" i="16"/>
  <c r="P44" i="16"/>
  <c r="K44" i="16"/>
  <c r="P43" i="16"/>
  <c r="K43" i="16"/>
  <c r="P42" i="16"/>
  <c r="K42" i="16"/>
  <c r="P41" i="16"/>
  <c r="K41" i="16"/>
  <c r="P40" i="16"/>
  <c r="K40" i="16"/>
  <c r="P39" i="16"/>
  <c r="K39"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P21" i="16"/>
  <c r="K21" i="16"/>
  <c r="P20" i="16"/>
  <c r="K20" i="16"/>
  <c r="P19" i="16"/>
  <c r="K19" i="16"/>
  <c r="P18" i="16"/>
  <c r="K18" i="16"/>
  <c r="P17" i="16"/>
  <c r="K17" i="16"/>
  <c r="P16" i="16"/>
  <c r="K16" i="16"/>
  <c r="P15" i="16"/>
  <c r="K15" i="16"/>
  <c r="P14" i="16"/>
  <c r="K14" i="16"/>
  <c r="P13" i="16"/>
  <c r="K13" i="16"/>
  <c r="P12" i="16"/>
  <c r="K12" i="16"/>
  <c r="P11" i="16"/>
  <c r="K11" i="16"/>
  <c r="P9" i="16"/>
  <c r="K9" i="16"/>
  <c r="K686" i="16" l="1"/>
  <c r="P686" i="16"/>
  <c r="P794" i="16"/>
  <c r="P796" i="16" s="1"/>
  <c r="P254" i="16"/>
  <c r="P255" i="16" s="1"/>
  <c r="K254" i="16"/>
  <c r="K255" i="16" s="1"/>
  <c r="K794" i="16"/>
  <c r="K796" i="16" s="1"/>
  <c r="P3" i="16" l="1"/>
  <c r="K3" i="16"/>
  <c r="C3" i="18" l="1"/>
  <c r="A15" i="18" l="1"/>
  <c r="A24" i="18"/>
  <c r="C2" i="18"/>
  <c r="D52" i="18" l="1"/>
  <c r="D51" i="18"/>
  <c r="D53" i="18"/>
  <c r="R15" i="18"/>
  <c r="H15" i="18"/>
  <c r="P15" i="18"/>
  <c r="P17" i="18" s="1"/>
  <c r="D15" i="18"/>
  <c r="C15" i="18"/>
  <c r="C17" i="18" s="1"/>
  <c r="Q15" i="18"/>
  <c r="Q17" i="18" s="1"/>
  <c r="M15" i="18"/>
  <c r="J15" i="18"/>
  <c r="U15" i="18"/>
  <c r="L15" i="18"/>
  <c r="K15" i="18"/>
  <c r="V15" i="18"/>
  <c r="T15" i="18"/>
  <c r="D50" i="18"/>
  <c r="D54" i="18"/>
  <c r="K24" i="18"/>
  <c r="J24" i="18"/>
  <c r="H24" i="18"/>
  <c r="M24" i="18"/>
  <c r="G24" i="18"/>
  <c r="L24" i="18"/>
  <c r="V24" i="18"/>
  <c r="F24" i="18"/>
  <c r="U24" i="18"/>
  <c r="R24" i="18"/>
  <c r="T24" i="18"/>
  <c r="Q24" i="18"/>
  <c r="Q26" i="18" s="1"/>
  <c r="O24" i="18"/>
  <c r="G15" i="18"/>
  <c r="D24" i="18"/>
  <c r="C24" i="18"/>
  <c r="C26" i="18" s="1"/>
  <c r="F15" i="18"/>
  <c r="B24" i="18"/>
  <c r="O15" i="18"/>
  <c r="B15" i="18"/>
  <c r="D26" i="18" l="1"/>
  <c r="J17" i="18"/>
  <c r="D17" i="18"/>
  <c r="R26" i="18"/>
  <c r="O26" i="18"/>
  <c r="M26" i="18"/>
  <c r="K26" i="18"/>
  <c r="H26" i="18"/>
  <c r="F91" i="18"/>
  <c r="G26" i="18"/>
  <c r="L26" i="18"/>
  <c r="F26" i="18"/>
  <c r="V26" i="18"/>
  <c r="J26" i="18"/>
  <c r="T26" i="18"/>
  <c r="U26" i="18"/>
  <c r="R17" i="18"/>
  <c r="G17" i="18"/>
  <c r="O17" i="18"/>
  <c r="L17" i="18"/>
  <c r="V17" i="18"/>
  <c r="F96" i="18" s="1"/>
  <c r="U17" i="18"/>
  <c r="T17" i="18"/>
  <c r="M17" i="18"/>
  <c r="E41" i="18" s="1"/>
  <c r="E24" i="18"/>
  <c r="E15" i="18"/>
  <c r="F89" i="18" l="1"/>
  <c r="E13" i="18"/>
  <c r="E17" i="18" s="1"/>
  <c r="E86" i="18"/>
  <c r="H17" i="18"/>
  <c r="F99" i="18" s="1"/>
  <c r="E92" i="18"/>
  <c r="F90" i="18"/>
  <c r="E93" i="18"/>
  <c r="E96" i="18"/>
  <c r="E87" i="18"/>
  <c r="F86" i="18"/>
  <c r="F39" i="18"/>
  <c r="E91" i="18"/>
  <c r="F93" i="18"/>
  <c r="E89" i="18"/>
  <c r="F87" i="18"/>
  <c r="E90" i="18"/>
  <c r="D56" i="18"/>
  <c r="F41" i="18"/>
  <c r="F38" i="18"/>
  <c r="E39" i="18"/>
  <c r="E38" i="18"/>
  <c r="E22" i="18"/>
  <c r="E26" i="18" s="1"/>
  <c r="K17" i="18"/>
  <c r="E88" i="18" s="1"/>
  <c r="G61" i="18"/>
  <c r="F17" i="18"/>
  <c r="C31" i="18" l="1"/>
  <c r="E99" i="18"/>
  <c r="F61" i="18"/>
  <c r="E97" i="18"/>
  <c r="F97" i="18"/>
  <c r="C33" i="18"/>
  <c r="E40" i="18"/>
  <c r="F40" i="18" s="1"/>
  <c r="E61" i="18"/>
  <c r="E98" i="18" l="1"/>
  <c r="C34" i="18"/>
  <c r="D34" i="18" s="1"/>
  <c r="F98" i="18"/>
  <c r="C32" i="18" l="1"/>
  <c r="E100" i="18"/>
  <c r="F43" i="18"/>
  <c r="E43" i="18"/>
  <c r="F100" i="18" l="1"/>
  <c r="G10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tc={DA29CE89-0254-40DA-8C5A-3D363D4CCC88}</author>
    <author>tc={A54EBF66-8521-48EC-9B4E-F6143D5706CD}</author>
    <author>tc={796B3168-B70D-4088-AA44-E66CE30D881F}</author>
    <author>tc={91547CDF-F917-489D-8001-94F250BD98D5}</author>
    <author>tc={FF883F4D-3E3A-4419-BF84-894DBA1C51EE}</author>
  </authors>
  <commentList>
    <comment ref="B4" authorId="0" shapeId="0" xr:uid="{DA29CE89-0254-40DA-8C5A-3D363D4CCC88}">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A54EBF66-8521-48EC-9B4E-F6143D5706CD}">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796B3168-B70D-4088-AA44-E66CE30D881F}">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91547CDF-F917-489D-8001-94F250BD98D5}">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FF883F4D-3E3A-4419-BF84-894DBA1C51EE}">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tc={67B810F5-8127-4574-BA1F-C8609E87121B}</author>
    <author>tc={836613E1-F3C2-4EC8-80D2-8FF78D05DD24}</author>
    <author>tc={20A03AFD-60B4-48CB-BE69-82FE8981B168}</author>
    <author>tc={14A0C853-62CF-4651-B81B-43AEB6D38BEB}</author>
    <author>tc={F0F2B8F8-BEC0-48AD-8A20-AC785F4F9B02}</author>
  </authors>
  <commentList>
    <comment ref="B4" authorId="0" shapeId="0" xr:uid="{67B810F5-8127-4574-BA1F-C8609E87121B}">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836613E1-F3C2-4EC8-80D2-8FF78D05DD24}">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20A03AFD-60B4-48CB-BE69-82FE8981B168}">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14A0C853-62CF-4651-B81B-43AEB6D38BEB}">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F0F2B8F8-BEC0-48AD-8A20-AC785F4F9B02}">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tc={7395AA7C-AAFB-4098-8276-18A30E02F89D}</author>
    <author>tc={DD829B44-77F1-4A05-A0BF-0F131EE4B043}</author>
    <author>tc={339A4D02-736C-4C2A-BAD2-822A5AE5D37D}</author>
    <author>tc={28AF635C-2109-40AE-B7C6-6E334C9B3DCB}</author>
  </authors>
  <commentList>
    <comment ref="B4" authorId="0" shapeId="0" xr:uid="{7395AA7C-AAFB-4098-8276-18A30E02F89D}">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C7" authorId="1" shapeId="0" xr:uid="{DD829B44-77F1-4A05-A0BF-0F131EE4B043}">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2" shapeId="0" xr:uid="{339A4D02-736C-4C2A-BAD2-822A5AE5D37D}">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3" shapeId="0" xr:uid="{28AF635C-2109-40AE-B7C6-6E334C9B3DCB}">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A10" authorId="0" shapeId="0" xr:uid="{6BEBFD93-E013-43AF-8DB9-FCA5DC56E4B0}">
      <text>
        <r>
          <rPr>
            <b/>
            <sz val="9"/>
            <color indexed="81"/>
            <rFont val="Tahoma"/>
            <family val="2"/>
          </rPr>
          <t>Preeta Nayak:</t>
        </r>
        <r>
          <rPr>
            <sz val="9"/>
            <color indexed="81"/>
            <rFont val="Tahoma"/>
            <family val="2"/>
          </rPr>
          <t xml:space="preserve">
CHANGED FROM 71786 BY LGC STAFF/PN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tc={6448F355-600E-4E29-B075-D21259E27CCD}</author>
    <author>tc={85AC0FA1-26E3-4313-8938-B769A43A0766}</author>
  </authors>
  <commentList>
    <comment ref="B2" authorId="0" shapeId="0" xr:uid="{6448F355-600E-4E29-B075-D21259E27CCD}">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85AC0FA1-26E3-4313-8938-B769A43A0766}">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tc={74FD9AF4-4B3B-41DD-9327-7112CFA4739F}</author>
    <author>tc={85737AA7-88DC-4526-A5B6-9AD463D3B7A4}</author>
  </authors>
  <commentList>
    <comment ref="B2" authorId="0" shapeId="0" xr:uid="{74FD9AF4-4B3B-41DD-9327-7112CFA4739F}">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85737AA7-88DC-4526-A5B6-9AD463D3B7A4}">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tc={BB9D73FA-157F-4F30-B723-18CABBDBA039}</author>
  </authors>
  <commentList>
    <comment ref="B7" authorId="0" shapeId="0" xr:uid="{BB9D73FA-157F-4F30-B723-18CABBDBA039}">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tc={91536C80-5DC2-4018-BE1E-49A22537B2C1}</author>
  </authors>
  <commentList>
    <comment ref="B7" authorId="0" shapeId="0" xr:uid="{91536C80-5DC2-4018-BE1E-49A22537B2C1}">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sharedStrings.xml><?xml version="1.0" encoding="utf-8"?>
<sst xmlns="http://schemas.openxmlformats.org/spreadsheetml/2006/main" count="21491" uniqueCount="3778">
  <si>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</si>
  <si>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</si>
  <si>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</si>
  <si>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</si>
  <si>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</si>
  <si>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</si>
  <si>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</si>
  <si>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</si>
  <si>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</si>
  <si>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</si>
  <si>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</si>
  <si>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</si>
  <si>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</si>
  <si>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</si>
  <si>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</si>
  <si>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</si>
  <si>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</si>
  <si>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</si>
  <si>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</si>
  <si>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</si>
  <si>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</si>
  <si>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</si>
  <si>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</si>
  <si>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</si>
  <si>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</si>
  <si>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Piedmont Triad Airport Authority</t>
  </si>
  <si>
    <t>Yancey County</t>
  </si>
  <si>
    <t>Alamance County</t>
  </si>
  <si>
    <t>Alexander County</t>
  </si>
  <si>
    <t>Alleghany County</t>
  </si>
  <si>
    <t>Northwestern Regional Library</t>
  </si>
  <si>
    <t>Anson County</t>
  </si>
  <si>
    <t>Wadesboro Housing Authority</t>
  </si>
  <si>
    <t>Ashe County</t>
  </si>
  <si>
    <t>WEST JEFFERSON ABC BOARD</t>
  </si>
  <si>
    <t>Avery County</t>
  </si>
  <si>
    <t>Beaufort County</t>
  </si>
  <si>
    <t>Bertie County</t>
  </si>
  <si>
    <t>Albemarle Regional Library</t>
  </si>
  <si>
    <t>Bertie-Martin Regional Jail Comm</t>
  </si>
  <si>
    <t>Bladen County</t>
  </si>
  <si>
    <t>Brunswick County</t>
  </si>
  <si>
    <t>Cape Fear Council Of Governments</t>
  </si>
  <si>
    <t>TOWN OF NAVASSA</t>
  </si>
  <si>
    <t>Buncombe County</t>
  </si>
  <si>
    <t>Land-Of-Sky Regional Council</t>
  </si>
  <si>
    <t>Woodfin ABC Commission</t>
  </si>
  <si>
    <t>Metro Sewerage Dist Of Buncombe County</t>
  </si>
  <si>
    <t>WESTERN HIGHLAND AREA AUTHORITY</t>
  </si>
  <si>
    <t>Asheville Regional Airport Authority</t>
  </si>
  <si>
    <t>Burke County</t>
  </si>
  <si>
    <t>Valdese Housing Authority</t>
  </si>
  <si>
    <t>Morganton Housing Authority</t>
  </si>
  <si>
    <t>Cabarrus County</t>
  </si>
  <si>
    <t>Caldwell County</t>
  </si>
  <si>
    <t>Lenoir Housing Authority</t>
  </si>
  <si>
    <t>Camden County</t>
  </si>
  <si>
    <t>Carteret County</t>
  </si>
  <si>
    <t>Caswell County</t>
  </si>
  <si>
    <t>Catawba County</t>
  </si>
  <si>
    <t>Western Piedmont Regional Transit Authority</t>
  </si>
  <si>
    <t>Chatham County</t>
  </si>
  <si>
    <t>Goldston-Gulf Sanitary District</t>
  </si>
  <si>
    <t>Cherokee County</t>
  </si>
  <si>
    <t>Nantahala Regional Library</t>
  </si>
  <si>
    <t>Chowan County</t>
  </si>
  <si>
    <t>Clay County</t>
  </si>
  <si>
    <t>Cleveland County</t>
  </si>
  <si>
    <t>Columbus County</t>
  </si>
  <si>
    <t>Whiteville Housing Authority</t>
  </si>
  <si>
    <t>TOWN OF BOLTON</t>
  </si>
  <si>
    <t>Craven County</t>
  </si>
  <si>
    <t>Craven-Pamlico-Carteret Regional Library</t>
  </si>
  <si>
    <t>Neuse River Council Of Governments</t>
  </si>
  <si>
    <t>Cumberland County</t>
  </si>
  <si>
    <t>Cumberland Memorial Auditorium Com</t>
  </si>
  <si>
    <t>Currituck County</t>
  </si>
  <si>
    <t>Dare County</t>
  </si>
  <si>
    <t>Dare County Tourism Board</t>
  </si>
  <si>
    <t>Davidson County</t>
  </si>
  <si>
    <t>Thomasville Housing Authority</t>
  </si>
  <si>
    <t>TOWN OF MIDWAY</t>
  </si>
  <si>
    <t>Davie County</t>
  </si>
  <si>
    <t>Duplin County</t>
  </si>
  <si>
    <t>Durham County</t>
  </si>
  <si>
    <t>Parkwood Fire Department</t>
  </si>
  <si>
    <t>Triangle J Council Of Governments</t>
  </si>
  <si>
    <t>Edgecombe County</t>
  </si>
  <si>
    <t>Tarboro Redevelopment Commission</t>
  </si>
  <si>
    <t>Rocky Mount-Wilson Airport Authority</t>
  </si>
  <si>
    <t>Forsyth County</t>
  </si>
  <si>
    <t>Airport Commission Of Forsyth County</t>
  </si>
  <si>
    <t>Piedmont Triad Regional Council</t>
  </si>
  <si>
    <t>Winston-Salem Housing Authority</t>
  </si>
  <si>
    <t>Clemmons Fire Department</t>
  </si>
  <si>
    <t>Franklin County</t>
  </si>
  <si>
    <t>Gaston County</t>
  </si>
  <si>
    <t>Belmont Housing Authority</t>
  </si>
  <si>
    <t>BESSEMER CITY A.B.C. BOARD</t>
  </si>
  <si>
    <t>Gates County</t>
  </si>
  <si>
    <t>Graham County</t>
  </si>
  <si>
    <t>Granville County</t>
  </si>
  <si>
    <t>Granville County Hospital</t>
  </si>
  <si>
    <t>Oxford Housing Authority</t>
  </si>
  <si>
    <t>Greene County</t>
  </si>
  <si>
    <t>Maury Sanitary Land District</t>
  </si>
  <si>
    <t>Guil-Rand Fire Department</t>
  </si>
  <si>
    <t>Colfax Volunteer Fire Department</t>
  </si>
  <si>
    <t>Summerfield Fire District</t>
  </si>
  <si>
    <t>Halifax County</t>
  </si>
  <si>
    <t>Halifax County Tourism Development Authority</t>
  </si>
  <si>
    <t>Roanoke Rapids Sanitary District</t>
  </si>
  <si>
    <t>Harnett County</t>
  </si>
  <si>
    <t>Dunn Housing Authority</t>
  </si>
  <si>
    <t>Haywood County</t>
  </si>
  <si>
    <t>Haywood Medical Center</t>
  </si>
  <si>
    <t>Junaluska Sanitary District</t>
  </si>
  <si>
    <t>Hendersonville Water Commission</t>
  </si>
  <si>
    <t>Blue Ridge Fire Department</t>
  </si>
  <si>
    <t>Hertford County</t>
  </si>
  <si>
    <t>Hertford County Public Health Authority</t>
  </si>
  <si>
    <t>Hoke County</t>
  </si>
  <si>
    <t>Hyde County</t>
  </si>
  <si>
    <t>Iredell County</t>
  </si>
  <si>
    <t>Mooresville Housing Authority</t>
  </si>
  <si>
    <t>Jackson County</t>
  </si>
  <si>
    <t>Fontana Regional Library</t>
  </si>
  <si>
    <t>Johnston County</t>
  </si>
  <si>
    <t>Benson Housing Authority</t>
  </si>
  <si>
    <t>Smithfield Housing Authority</t>
  </si>
  <si>
    <t>Selma Housing Authority</t>
  </si>
  <si>
    <t>Jones County</t>
  </si>
  <si>
    <t>Lee County</t>
  </si>
  <si>
    <t>Lenoir County</t>
  </si>
  <si>
    <t>Neuse Regional Library</t>
  </si>
  <si>
    <t>Global Transpark Development Comm</t>
  </si>
  <si>
    <t>Lincoln County</t>
  </si>
  <si>
    <t>Lincolnton Housing Authority</t>
  </si>
  <si>
    <t>Macon County</t>
  </si>
  <si>
    <t>Madison County</t>
  </si>
  <si>
    <t>Hot Springs Housing Authority</t>
  </si>
  <si>
    <t>Martin County</t>
  </si>
  <si>
    <t>Williamston Housing Authority</t>
  </si>
  <si>
    <t>Robersonville Housing Authority</t>
  </si>
  <si>
    <t>Mecklenburg County</t>
  </si>
  <si>
    <t>Centralina Council Of Governments</t>
  </si>
  <si>
    <t>Mitchell County</t>
  </si>
  <si>
    <t>Montgomery County</t>
  </si>
  <si>
    <t>Moore County</t>
  </si>
  <si>
    <t>Moore County Airport Authority</t>
  </si>
  <si>
    <t>Foxfire Village</t>
  </si>
  <si>
    <t>Nash County</t>
  </si>
  <si>
    <t>Braswell Memorial Library</t>
  </si>
  <si>
    <t>New Hanover County</t>
  </si>
  <si>
    <t>Wilmington Housing Authority</t>
  </si>
  <si>
    <t>Cape Fear Public Utility Authority</t>
  </si>
  <si>
    <t>Lower Cape Fear Water &amp; Sewer Auth</t>
  </si>
  <si>
    <t>Cape Fear Public Transportation Authority</t>
  </si>
  <si>
    <t>Northampton County</t>
  </si>
  <si>
    <t>Onslow County</t>
  </si>
  <si>
    <t>Holly Ridge Housing Authority</t>
  </si>
  <si>
    <t>Orange County</t>
  </si>
  <si>
    <t>Pamlico County</t>
  </si>
  <si>
    <t>Bay River Metro Sewerage District</t>
  </si>
  <si>
    <t>Pasquotank County</t>
  </si>
  <si>
    <t>Pasquotank-Camden Ambulance Service</t>
  </si>
  <si>
    <t>East Albemarle Regional Library</t>
  </si>
  <si>
    <t>Albemarle District Jail Commission</t>
  </si>
  <si>
    <t>Albemarle Hospital Authority</t>
  </si>
  <si>
    <t>Elizabeth City</t>
  </si>
  <si>
    <t>Pasquotank-Camden Library</t>
  </si>
  <si>
    <t>Pender County</t>
  </si>
  <si>
    <t>Surf City</t>
  </si>
  <si>
    <t>Perquimans County</t>
  </si>
  <si>
    <t>Person County</t>
  </si>
  <si>
    <t>Pitt County</t>
  </si>
  <si>
    <t>Sheppard Memorial Library</t>
  </si>
  <si>
    <t>Greenville Utilities Commission</t>
  </si>
  <si>
    <t>Greenville Housing Authority</t>
  </si>
  <si>
    <t>Farmville Housing Authority</t>
  </si>
  <si>
    <t>Ayden Housing Authority</t>
  </si>
  <si>
    <t>Polk County</t>
  </si>
  <si>
    <t>Randolph County</t>
  </si>
  <si>
    <t>Richmond County</t>
  </si>
  <si>
    <t>Sandhill Regional Library</t>
  </si>
  <si>
    <t>Rockingham Housing Authority</t>
  </si>
  <si>
    <t>Robeson County</t>
  </si>
  <si>
    <t>Lumber River Council Of Governments</t>
  </si>
  <si>
    <t>Robeson County Housing Authority</t>
  </si>
  <si>
    <t>Robeson County Public Library</t>
  </si>
  <si>
    <t>Fairmont Housing Authority</t>
  </si>
  <si>
    <t>Pembroke Housing Authority</t>
  </si>
  <si>
    <t>Rockingham County</t>
  </si>
  <si>
    <t>Madison-Mayodan Recreation Comm</t>
  </si>
  <si>
    <t>Rowan County</t>
  </si>
  <si>
    <t>East Spencer Housing Authority</t>
  </si>
  <si>
    <t>Rutherford County</t>
  </si>
  <si>
    <t>Broad River Water Authority</t>
  </si>
  <si>
    <t>Forest City</t>
  </si>
  <si>
    <t>Forest City Housing Authority</t>
  </si>
  <si>
    <t>Sampson County</t>
  </si>
  <si>
    <t>Scotland County</t>
  </si>
  <si>
    <t>Laurinburg-Maxton Airport Commission</t>
  </si>
  <si>
    <t>Stanly County</t>
  </si>
  <si>
    <t>Stokes County</t>
  </si>
  <si>
    <t>Surry County</t>
  </si>
  <si>
    <t>Yadkin Valley Sewer Authority</t>
  </si>
  <si>
    <t>Swain County</t>
  </si>
  <si>
    <t>Transylvania County</t>
  </si>
  <si>
    <t>Tyrrell County</t>
  </si>
  <si>
    <t>Union County</t>
  </si>
  <si>
    <t>TOWN OF MINERAL SPRINGS</t>
  </si>
  <si>
    <t>Vance County</t>
  </si>
  <si>
    <t>Wake County</t>
  </si>
  <si>
    <t>Wake County Housing Authority</t>
  </si>
  <si>
    <t>Bayleaf Fire Department</t>
  </si>
  <si>
    <t>Raleigh-Durham Airport Authority</t>
  </si>
  <si>
    <t>Warren County</t>
  </si>
  <si>
    <t>Washington County</t>
  </si>
  <si>
    <t>Pettigrew Regional Library</t>
  </si>
  <si>
    <t>Plymouth Housing Authority</t>
  </si>
  <si>
    <t>Watauga County</t>
  </si>
  <si>
    <t>Region D Council Of Governments</t>
  </si>
  <si>
    <t>Blowing Rock Tourism Development Authority</t>
  </si>
  <si>
    <t>Wayne County</t>
  </si>
  <si>
    <t>Southern Wayne Sanitary District</t>
  </si>
  <si>
    <t>Wilkes County</t>
  </si>
  <si>
    <t>Appalachian Regional Library</t>
  </si>
  <si>
    <t>Wilson County</t>
  </si>
  <si>
    <t>Yadkin County</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</si>
  <si>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</si>
  <si>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</si>
  <si>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</si>
  <si>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</si>
  <si>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</si>
  <si>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</si>
  <si>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</si>
  <si>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</si>
  <si>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</si>
  <si>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</si>
  <si>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</si>
  <si>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</si>
  <si>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</si>
  <si>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</si>
  <si>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</si>
  <si>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</si>
  <si>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</si>
  <si>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</si>
  <si>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</si>
  <si>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</si>
  <si>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</si>
  <si>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</si>
  <si>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</si>
  <si>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</si>
  <si>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</si>
  <si>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</si>
  <si>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</si>
  <si>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</si>
  <si>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</si>
  <si>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</si>
  <si>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</si>
  <si>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</si>
  <si>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FY201X refers to the fiscal year ending June 30, 201X</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</si>
  <si>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</si>
  <si>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</si>
  <si>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</si>
  <si>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</si>
  <si>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</si>
  <si>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</si>
  <si>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</si>
  <si>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</si>
  <si>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</si>
  <si>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</si>
  <si>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</si>
  <si>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</si>
  <si>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</si>
  <si>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</si>
  <si>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</si>
  <si>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</si>
  <si>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</si>
  <si>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</si>
  <si>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</si>
  <si>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</si>
  <si>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</si>
  <si>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</si>
  <si>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</si>
  <si>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</si>
  <si>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</si>
  <si>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</si>
  <si>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</si>
  <si>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</si>
  <si>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</si>
  <si>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</si>
  <si>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</si>
  <si>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</si>
  <si>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</si>
  <si>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</si>
  <si>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</si>
  <si>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</si>
  <si>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</si>
  <si>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</si>
  <si>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</si>
  <si>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</si>
  <si>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</si>
  <si>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</si>
  <si>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</si>
  <si>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</si>
  <si>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</si>
  <si>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</si>
  <si>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</si>
  <si>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</si>
  <si>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</si>
  <si>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</si>
  <si>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</si>
  <si>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</si>
  <si>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</si>
  <si>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</si>
  <si>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</si>
  <si>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</si>
  <si>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</si>
  <si>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</si>
  <si>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</si>
  <si>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</si>
  <si>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</si>
  <si>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</si>
  <si>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</si>
  <si>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</si>
  <si>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</si>
  <si>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</si>
  <si>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</si>
  <si>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</si>
  <si>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</si>
  <si>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</si>
  <si>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</si>
  <si>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</si>
  <si>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</si>
  <si>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</si>
  <si>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</si>
  <si>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</si>
  <si>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</si>
  <si>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</si>
  <si>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</si>
  <si>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</si>
  <si>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</si>
  <si>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</si>
  <si>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</si>
  <si>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</si>
  <si>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</si>
  <si>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</si>
  <si>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</si>
  <si>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</si>
  <si>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</si>
  <si>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</si>
  <si>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</si>
  <si>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</si>
  <si>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</si>
  <si>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</si>
  <si>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</si>
  <si>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</si>
  <si>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</si>
  <si>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</si>
  <si>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</si>
  <si>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</si>
  <si>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</si>
  <si>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</si>
  <si>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</si>
  <si>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</si>
  <si>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</si>
  <si>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</si>
  <si>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</si>
  <si>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</si>
  <si>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</si>
  <si>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</si>
  <si>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</si>
  <si>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</si>
  <si>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</si>
  <si>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</si>
  <si>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</si>
  <si>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</si>
  <si>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</si>
  <si>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</si>
  <si>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</si>
  <si>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</si>
  <si>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</si>
  <si>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</si>
  <si>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</si>
  <si>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</si>
  <si>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</si>
  <si>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</si>
  <si>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</si>
  <si>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</si>
  <si>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</si>
  <si>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</si>
  <si>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</si>
  <si>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</si>
  <si>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</si>
  <si>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</si>
  <si>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</si>
  <si>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</si>
  <si>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</si>
  <si>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</si>
  <si>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</si>
  <si>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</si>
  <si>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</si>
  <si>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</si>
  <si>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</si>
  <si>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</si>
  <si>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</si>
  <si>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</si>
  <si>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</si>
  <si>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</si>
  <si>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</si>
  <si>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</si>
  <si>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</si>
  <si>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</si>
  <si>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</si>
  <si>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</si>
  <si>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</si>
  <si>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</si>
  <si>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</si>
  <si>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</si>
  <si>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</si>
  <si>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</si>
  <si>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</si>
  <si>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</si>
  <si>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</si>
  <si>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</si>
  <si>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</si>
  <si>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</si>
  <si>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</si>
  <si>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</si>
  <si>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</si>
  <si>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</si>
  <si>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</si>
  <si>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</si>
  <si>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</si>
  <si>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</si>
  <si>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</si>
  <si>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</si>
  <si>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</si>
  <si>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</si>
  <si>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</si>
  <si>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</si>
  <si>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</si>
  <si>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</si>
  <si>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</si>
  <si>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</si>
  <si>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</si>
  <si>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</si>
  <si>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</si>
  <si>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</si>
  <si>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</si>
  <si>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</si>
  <si>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</si>
  <si>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</si>
  <si>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</si>
  <si>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</si>
  <si>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</si>
  <si>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</si>
  <si>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</si>
  <si>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</si>
  <si>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</si>
  <si>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</si>
  <si>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</si>
  <si>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</si>
  <si>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</si>
  <si>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</si>
  <si>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</si>
  <si>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</si>
  <si>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</si>
  <si>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</si>
  <si>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</si>
  <si>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</si>
  <si>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</si>
  <si>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</si>
  <si>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</si>
  <si>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</si>
  <si>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</si>
  <si>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</si>
  <si>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</si>
  <si>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</si>
  <si>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</si>
  <si>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</si>
  <si>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</si>
  <si>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</si>
  <si>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</si>
  <si>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</si>
  <si>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</si>
  <si>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</si>
  <si>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</si>
  <si>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</si>
  <si>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</si>
  <si>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</si>
  <si>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</si>
  <si>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</si>
  <si>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</si>
  <si>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</si>
  <si>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</si>
  <si>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</si>
  <si>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</si>
  <si>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</si>
  <si>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</si>
  <si>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</si>
  <si>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</si>
  <si>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</si>
  <si>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</si>
  <si>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</si>
  <si>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</si>
  <si>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</si>
  <si>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</si>
  <si>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</si>
  <si>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</si>
  <si>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</si>
  <si>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</si>
  <si>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</si>
  <si>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</si>
  <si>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</si>
  <si>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</si>
  <si>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</si>
  <si>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</si>
  <si>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</si>
  <si>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</si>
  <si>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</si>
  <si>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</si>
  <si>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</si>
  <si>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</si>
  <si>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</si>
  <si>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</si>
  <si>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</si>
  <si>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</si>
  <si>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</si>
  <si>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</si>
  <si>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</si>
  <si>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</si>
  <si>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</si>
  <si>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</si>
  <si>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</si>
  <si>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</si>
  <si>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</si>
  <si>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</si>
  <si>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</si>
  <si>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</si>
  <si>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</si>
  <si>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</si>
  <si>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</si>
  <si>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</si>
  <si>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</si>
  <si>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</si>
  <si>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</si>
  <si>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</si>
  <si>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</si>
  <si>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</si>
  <si>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</si>
  <si>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</si>
  <si>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</si>
  <si>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</si>
  <si>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</si>
  <si>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</si>
  <si>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</si>
  <si>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</si>
  <si>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</si>
  <si>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</si>
  <si>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</si>
  <si>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</si>
  <si>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</si>
  <si>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</si>
  <si>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</si>
  <si>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</si>
  <si>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</si>
  <si>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</si>
  <si>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</si>
  <si>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</si>
  <si>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</si>
  <si>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</si>
  <si>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</si>
  <si>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</si>
  <si>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</si>
  <si>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</si>
  <si>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</si>
  <si>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</si>
  <si>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</si>
  <si>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</si>
  <si>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</si>
  <si>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</si>
  <si>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</si>
  <si>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</si>
  <si>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</si>
  <si>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</si>
  <si>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</si>
  <si>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</si>
  <si>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</si>
  <si>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</si>
  <si>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</si>
  <si>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</si>
  <si>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</si>
  <si>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</si>
  <si>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</si>
  <si>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</si>
  <si>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</si>
  <si>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</si>
  <si>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</si>
  <si>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</si>
  <si>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</si>
  <si>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</si>
  <si>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</si>
  <si>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</si>
  <si>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</si>
  <si>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</si>
  <si>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</si>
  <si>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</si>
  <si>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</si>
  <si>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</si>
  <si>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</si>
  <si>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</si>
  <si>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</si>
  <si>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</si>
  <si>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</si>
  <si>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</si>
  <si>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</si>
  <si>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</si>
  <si>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</si>
  <si>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</si>
  <si>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</si>
  <si>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</si>
  <si>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</si>
  <si>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</si>
  <si>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</si>
  <si>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</si>
  <si>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</si>
  <si>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</si>
  <si>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</si>
  <si>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</si>
  <si>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</si>
  <si>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</si>
  <si>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</si>
  <si>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</si>
  <si>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</si>
  <si>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</si>
  <si>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</si>
  <si>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</si>
  <si>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</si>
  <si>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</si>
  <si>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</si>
  <si>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</si>
  <si>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</si>
  <si>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</si>
  <si>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</si>
  <si>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</si>
  <si>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</si>
  <si>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</si>
  <si>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</si>
  <si>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</si>
  <si>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</si>
  <si>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</si>
  <si>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</si>
  <si>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</si>
  <si>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</si>
  <si>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</si>
  <si>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</si>
  <si>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</si>
  <si>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</si>
  <si>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</si>
  <si>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</si>
  <si>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</si>
  <si>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</si>
  <si>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</si>
  <si>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</si>
  <si>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</si>
  <si>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</si>
  <si>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</si>
  <si>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</si>
  <si>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</si>
  <si>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</si>
  <si>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</si>
  <si>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</si>
  <si>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</si>
  <si>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</si>
  <si>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</si>
  <si>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</si>
  <si>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</si>
  <si>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</si>
  <si>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</si>
  <si>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</si>
  <si>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</si>
  <si>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</si>
  <si>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</si>
  <si>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</si>
  <si>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</si>
  <si>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</si>
  <si>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</si>
  <si>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</si>
  <si>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</si>
  <si>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</si>
  <si>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</si>
  <si>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</si>
  <si>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</si>
  <si>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</si>
  <si>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</si>
  <si>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 xml:space="preserve">         Advanced, Display Options for this Workbook, and ensure that Show Sheet Tabs is checked.  Consult your IT specialist as needed.</t>
  </si>
  <si>
    <t>Step 2 - If you have an additional agency number to include in your financial statement (not common), click on cell C22 and choose that agency from the drop-down menu.</t>
  </si>
  <si>
    <t xml:space="preserve">            If you do not have an additional agency to include in your financial statement, verify that cell C22 shows "No additional agency chosen" and go to Step 3.</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</si>
  <si>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</si>
  <si>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</si>
  <si>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</si>
  <si>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</si>
  <si>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</si>
  <si>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</si>
  <si>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</si>
  <si>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</si>
  <si>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</si>
  <si>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</si>
  <si>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</si>
  <si>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</si>
  <si>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</si>
  <si>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</si>
  <si>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</si>
  <si>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</si>
  <si>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</si>
  <si>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</si>
  <si>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</si>
  <si>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</si>
  <si>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</si>
  <si>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</si>
  <si>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</si>
  <si>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</si>
  <si>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</si>
  <si>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</si>
  <si>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</si>
  <si>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</si>
  <si>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</si>
  <si>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</si>
  <si>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</si>
  <si>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</si>
  <si>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</si>
  <si>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</si>
  <si>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</si>
  <si>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</si>
  <si>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</si>
  <si>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</si>
  <si>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</si>
  <si>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</si>
  <si>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</si>
  <si>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</si>
  <si>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</si>
  <si>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</si>
  <si>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</si>
  <si>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</si>
  <si>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</si>
  <si>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</si>
  <si>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</si>
  <si>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</si>
  <si>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</si>
  <si>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</si>
  <si>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</si>
  <si>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</si>
  <si>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</si>
  <si>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</si>
  <si>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</si>
  <si>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</si>
  <si>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</si>
  <si>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</si>
  <si>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</si>
  <si>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</si>
  <si>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</si>
  <si>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</si>
  <si>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</si>
  <si>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</si>
  <si>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</si>
  <si>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</si>
  <si>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</si>
  <si>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</si>
  <si>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</si>
  <si>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</si>
  <si>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</si>
  <si>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</si>
  <si>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</si>
  <si>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</si>
  <si>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</si>
  <si>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</si>
  <si>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</si>
  <si>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</si>
  <si>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</si>
  <si>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</si>
  <si>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</si>
  <si>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</si>
  <si>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</si>
  <si>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</si>
  <si>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</si>
  <si>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</si>
  <si>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</si>
  <si>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</si>
  <si>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</si>
  <si>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</si>
  <si>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</si>
  <si>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</si>
  <si>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</si>
  <si>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</si>
  <si>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</si>
  <si>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</si>
  <si>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</si>
  <si>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</si>
  <si>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</si>
  <si>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</si>
  <si>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</si>
  <si>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</si>
  <si>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</si>
  <si>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</si>
  <si>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</si>
  <si>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</si>
  <si>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</si>
  <si>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</si>
  <si>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</si>
  <si>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</si>
  <si>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</si>
  <si>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</si>
  <si>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</si>
  <si>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</si>
  <si>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</si>
  <si>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</si>
  <si>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</si>
  <si>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</si>
  <si>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</si>
  <si>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</si>
  <si>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</si>
  <si>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</si>
  <si>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</si>
  <si>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</si>
  <si>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</si>
  <si>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</si>
  <si>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</si>
  <si>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</si>
  <si>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</si>
  <si>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</si>
  <si>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</si>
  <si>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</si>
  <si>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</si>
  <si>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</si>
  <si>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</si>
  <si>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</si>
  <si>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</si>
  <si>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</si>
  <si>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</si>
  <si>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</si>
  <si>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</si>
  <si>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</si>
  <si>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</si>
  <si>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</si>
  <si>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</si>
  <si>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</si>
  <si>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</si>
  <si>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</si>
  <si>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</si>
  <si>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</si>
  <si>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</si>
  <si>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</si>
  <si>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</si>
  <si>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</si>
  <si>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</si>
  <si>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</si>
  <si>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</si>
  <si>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</si>
  <si>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</si>
  <si>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</si>
  <si>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</si>
  <si>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</si>
  <si>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</si>
  <si>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</si>
  <si>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</si>
  <si>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</si>
  <si>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</si>
  <si>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</si>
  <si>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</si>
  <si>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</si>
  <si>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</si>
  <si>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</si>
  <si>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</si>
  <si>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</si>
  <si>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</si>
  <si>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</si>
  <si>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</si>
  <si>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</si>
  <si>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</si>
  <si>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</si>
  <si>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</si>
  <si>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</si>
  <si>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</si>
  <si>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</si>
  <si>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</si>
  <si>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</si>
  <si>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</si>
  <si>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</si>
  <si>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</si>
  <si>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</si>
  <si>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</si>
  <si>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</si>
  <si>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</si>
  <si>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</si>
  <si>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</si>
  <si>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</si>
  <si>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</si>
  <si>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</si>
  <si>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</si>
  <si>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</si>
  <si>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</si>
  <si>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</si>
  <si>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</si>
  <si>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</si>
  <si>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</si>
  <si>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</si>
  <si>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</si>
  <si>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</si>
  <si>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</si>
  <si>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</si>
  <si>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</si>
  <si>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</si>
  <si>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</si>
  <si>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</si>
  <si>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</si>
  <si>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</si>
  <si>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</si>
  <si>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</si>
  <si>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</si>
  <si>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</si>
  <si>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</si>
  <si>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</si>
  <si>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</si>
  <si>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</si>
  <si>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</si>
  <si>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</si>
  <si>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</si>
  <si>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</si>
  <si>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</si>
  <si>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</si>
  <si>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</si>
  <si>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</si>
  <si>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</si>
  <si>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</si>
  <si>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</si>
  <si>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</si>
  <si>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</si>
  <si>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</si>
  <si>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</si>
  <si>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</si>
  <si>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</si>
  <si>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</si>
  <si>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</si>
  <si>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</si>
  <si>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</si>
  <si>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</si>
  <si>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</si>
  <si>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</si>
  <si>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</si>
  <si>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</si>
  <si>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</si>
  <si>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</si>
  <si>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</si>
  <si>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</si>
  <si>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</si>
  <si>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</si>
  <si>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</si>
  <si>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</si>
  <si>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</si>
  <si>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</si>
  <si>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</si>
  <si>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</si>
  <si>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</si>
  <si>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</si>
  <si>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</si>
  <si>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</si>
  <si>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</si>
  <si>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</si>
  <si>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</si>
  <si>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</si>
  <si>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</si>
  <si>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</si>
  <si>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</si>
  <si>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</si>
  <si>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</si>
  <si>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</si>
  <si>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</si>
  <si>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</si>
  <si>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</si>
  <si>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</si>
  <si>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</si>
  <si>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</si>
  <si>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</si>
  <si>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</si>
  <si>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</si>
  <si>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</si>
  <si>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</si>
  <si>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</si>
  <si>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</si>
  <si>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</si>
  <si>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</si>
  <si>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</si>
  <si>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</si>
  <si>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</si>
  <si>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</si>
  <si>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</si>
  <si>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</si>
  <si>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</si>
  <si>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</si>
  <si>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</si>
  <si>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</si>
  <si>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</si>
  <si>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</si>
  <si>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</si>
  <si>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</si>
  <si>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</si>
  <si>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</si>
  <si>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</si>
  <si>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</si>
  <si>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</si>
  <si>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</si>
  <si>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</si>
  <si>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</si>
  <si>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</si>
  <si>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</si>
  <si>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</si>
  <si>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</si>
  <si>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</si>
  <si>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</si>
  <si>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</si>
  <si>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</si>
  <si>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</si>
  <si>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</si>
  <si>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</si>
  <si>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</si>
  <si>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</si>
  <si>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</si>
  <si>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</si>
  <si>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</si>
  <si>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</si>
  <si>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</si>
  <si>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</si>
  <si>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</si>
  <si>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</si>
  <si>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</si>
  <si>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</si>
  <si>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</si>
  <si>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</si>
  <si>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</si>
  <si>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</si>
  <si>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</si>
  <si>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</si>
  <si>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</si>
  <si>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</si>
  <si>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</si>
  <si>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</si>
  <si>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</si>
  <si>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</si>
  <si>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</si>
  <si>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</si>
  <si>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</si>
  <si>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</si>
  <si>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</si>
  <si>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</si>
  <si>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</si>
  <si>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</si>
  <si>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</si>
  <si>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</si>
  <si>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</si>
  <si>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</si>
  <si>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</si>
  <si>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</si>
  <si>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</si>
  <si>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</si>
  <si>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</si>
  <si>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</si>
  <si>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</si>
  <si>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</si>
  <si>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</si>
  <si>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</si>
  <si>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</si>
  <si>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</si>
  <si>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</si>
  <si>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</si>
  <si>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</si>
  <si>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</si>
  <si>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</si>
  <si>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</si>
  <si>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</si>
  <si>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</si>
  <si>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</si>
  <si>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</si>
  <si>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</si>
  <si>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</si>
  <si>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</si>
  <si>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</si>
  <si>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</si>
  <si>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</si>
  <si>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</si>
  <si>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</si>
  <si>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</si>
  <si>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</si>
  <si>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</si>
  <si>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</si>
  <si>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</si>
  <si>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</si>
  <si>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</si>
  <si>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</si>
  <si>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</si>
  <si>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</si>
  <si>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</si>
  <si>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</si>
  <si>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</si>
  <si>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</si>
  <si>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</si>
  <si>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</si>
  <si>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</si>
  <si>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</si>
  <si>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</si>
  <si>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</si>
  <si>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</si>
  <si>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</si>
  <si>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</si>
  <si>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</si>
  <si>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</si>
  <si>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</si>
  <si>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</si>
  <si>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</si>
  <si>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</si>
  <si>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</si>
  <si>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</si>
  <si>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</si>
  <si>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</si>
  <si>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</si>
  <si>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</si>
  <si>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</si>
  <si>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</si>
  <si>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</si>
  <si>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</si>
  <si>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</si>
  <si>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</si>
  <si>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</si>
  <si>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</si>
  <si>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</si>
  <si>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</si>
  <si>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</si>
  <si>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</si>
  <si>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</si>
  <si>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</si>
  <si>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</si>
  <si>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</si>
  <si>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</si>
  <si>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</si>
  <si>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</si>
  <si>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</si>
  <si>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</si>
  <si>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</si>
  <si>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</si>
  <si>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</si>
  <si>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</si>
  <si>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</si>
  <si>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</si>
  <si>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</si>
  <si>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</si>
  <si>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</si>
  <si>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</si>
  <si>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</si>
  <si>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</si>
  <si>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</si>
  <si>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</si>
  <si>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</si>
  <si>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</si>
  <si>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</si>
  <si>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</si>
  <si>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</si>
  <si>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</si>
  <si>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</si>
  <si>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</si>
  <si>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</si>
  <si>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</si>
  <si>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</si>
  <si>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</si>
  <si>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</si>
  <si>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</si>
  <si>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</si>
  <si>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</si>
  <si>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</si>
  <si>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</si>
  <si>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</si>
  <si>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</si>
  <si>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</si>
  <si>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</si>
  <si>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</si>
  <si>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</si>
  <si>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</si>
  <si>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</si>
  <si>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</si>
  <si>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</si>
  <si>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</si>
  <si>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</si>
  <si>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</si>
  <si>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</si>
  <si>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</si>
  <si>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</si>
  <si>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</si>
  <si>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</si>
  <si>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</si>
  <si>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</si>
  <si>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</si>
  <si>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</si>
  <si>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</si>
  <si>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</si>
  <si>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</si>
  <si>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</si>
  <si>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</si>
  <si>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</si>
  <si>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</si>
  <si>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</si>
  <si>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</si>
  <si>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</si>
  <si>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</si>
  <si>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</si>
  <si>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</si>
  <si>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</si>
  <si>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</si>
  <si>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</si>
  <si>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</si>
  <si>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</si>
  <si>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</si>
  <si>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</si>
  <si>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</si>
  <si>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</si>
  <si>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</si>
  <si>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</si>
  <si>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</si>
  <si>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</si>
  <si>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</si>
  <si>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</si>
  <si>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</si>
  <si>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</si>
  <si>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</si>
  <si>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</si>
  <si>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</si>
  <si>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</si>
  <si>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</si>
  <si>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</si>
  <si>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</si>
  <si>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</si>
  <si>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</si>
  <si>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</si>
  <si>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</si>
  <si>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</si>
  <si>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</si>
  <si>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</si>
  <si>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</si>
  <si>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</si>
  <si>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</si>
  <si>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</si>
  <si>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</si>
  <si>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</si>
  <si>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</si>
  <si>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</si>
  <si>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</si>
  <si>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</si>
  <si>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</si>
  <si>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</si>
  <si>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</si>
  <si>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</si>
  <si>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</si>
  <si>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</si>
  <si>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</si>
  <si>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</si>
  <si>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</si>
  <si>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</si>
  <si>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</si>
  <si>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</si>
  <si>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</si>
  <si>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</si>
  <si>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</si>
  <si>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</si>
  <si>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</si>
  <si>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</si>
  <si>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</si>
  <si>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</si>
  <si>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</si>
  <si>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</si>
  <si>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</si>
  <si>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</si>
  <si>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</si>
  <si>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</si>
  <si>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</si>
  <si>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</si>
  <si>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</si>
  <si>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</si>
  <si>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</si>
  <si>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</si>
  <si>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</si>
  <si>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</si>
  <si>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</si>
  <si>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</si>
  <si>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</si>
  <si>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</si>
  <si>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</si>
  <si>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</si>
  <si>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</si>
  <si>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</si>
  <si>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</si>
  <si>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</si>
  <si>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</si>
  <si>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</si>
  <si>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</si>
  <si>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</si>
  <si>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</si>
  <si>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</si>
  <si>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</si>
  <si>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</si>
  <si>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</si>
  <si>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</si>
  <si>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</si>
  <si>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</si>
  <si>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</si>
  <si>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</si>
  <si>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</si>
  <si>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</si>
  <si>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</si>
  <si>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</si>
  <si>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</si>
  <si>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</si>
  <si>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</si>
  <si>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</si>
  <si>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</si>
  <si>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</si>
  <si>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</si>
  <si>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</si>
  <si>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</si>
  <si>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</si>
  <si>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</si>
  <si>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</si>
  <si>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</si>
  <si>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</si>
  <si>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</si>
  <si>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</si>
  <si>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</si>
  <si>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</si>
  <si>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</si>
  <si>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</si>
  <si>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</si>
  <si>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</si>
  <si>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</si>
  <si>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</si>
  <si>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</si>
  <si>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</si>
  <si>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</si>
  <si>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</si>
  <si>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</si>
  <si>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</si>
  <si>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</si>
  <si>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</si>
  <si>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</si>
  <si>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</si>
  <si>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</si>
  <si>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</si>
  <si>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</si>
  <si>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</si>
  <si>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</si>
  <si>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</si>
  <si>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</si>
  <si>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</si>
  <si>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</si>
  <si>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</si>
  <si>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</si>
  <si>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</si>
  <si>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</si>
  <si>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</si>
  <si>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</si>
  <si>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</si>
  <si>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</si>
  <si>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</si>
  <si>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</si>
  <si>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</si>
  <si>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</si>
  <si>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</si>
  <si>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</si>
  <si>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</si>
  <si>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</si>
  <si>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</si>
  <si>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</si>
  <si>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</si>
  <si>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</si>
  <si>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</si>
  <si>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</si>
  <si>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</si>
  <si>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</si>
  <si>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</si>
  <si>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</si>
  <si>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</si>
  <si>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</si>
  <si>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</si>
  <si>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</si>
  <si>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</si>
  <si>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</si>
  <si>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</si>
  <si>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</si>
  <si>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</si>
  <si>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</si>
  <si>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</si>
  <si>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</si>
  <si>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</si>
  <si>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</si>
  <si>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</si>
  <si>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</si>
  <si>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</si>
  <si>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</si>
  <si>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</si>
  <si>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</si>
  <si>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</si>
  <si>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</si>
  <si>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</si>
  <si>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</si>
  <si>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</si>
  <si>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</si>
  <si>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</si>
  <si>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</si>
  <si>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</si>
  <si>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</si>
  <si>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</si>
  <si>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</si>
  <si>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</si>
  <si>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</si>
  <si>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</si>
  <si>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</si>
  <si>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</si>
  <si>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</si>
  <si>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</si>
  <si>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</si>
  <si>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</si>
  <si>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</si>
  <si>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</si>
  <si>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</si>
  <si>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</si>
  <si>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</si>
  <si>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</si>
  <si>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</si>
  <si>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</si>
  <si>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</si>
  <si>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</si>
  <si>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</si>
  <si>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</si>
  <si>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</si>
  <si>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</si>
  <si>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</si>
  <si>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</si>
  <si>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</si>
  <si>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</si>
  <si>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</si>
  <si>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</si>
  <si>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</si>
  <si>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</si>
  <si>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</si>
  <si>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</si>
  <si>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</si>
  <si>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</si>
  <si>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</si>
  <si>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</si>
  <si>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</si>
  <si>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</si>
  <si>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</si>
  <si>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</si>
  <si>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</si>
  <si>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</si>
  <si>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</si>
  <si>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</si>
  <si>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</si>
  <si>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</si>
  <si>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</si>
  <si>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</si>
  <si>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</si>
  <si>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</si>
  <si>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</si>
  <si>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</si>
  <si>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</si>
  <si>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</si>
  <si>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</si>
  <si>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</si>
  <si>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</si>
  <si>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</si>
  <si>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</si>
  <si>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</si>
  <si>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</si>
  <si>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</si>
  <si>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</si>
  <si>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</si>
  <si>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</si>
  <si>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</si>
  <si>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</si>
  <si>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</si>
  <si>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</si>
  <si>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</si>
  <si>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</si>
  <si>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</si>
  <si>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</si>
  <si>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</si>
  <si>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</si>
  <si>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</si>
  <si>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</si>
  <si>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</si>
  <si>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</si>
  <si>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</si>
  <si>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</si>
  <si>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</si>
  <si>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</si>
  <si>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</si>
  <si>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</si>
  <si>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</si>
  <si>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</si>
  <si>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</si>
  <si>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</si>
  <si>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</si>
  <si>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</si>
  <si>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</si>
  <si>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</si>
  <si>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</si>
  <si>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</si>
  <si>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</si>
  <si>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</si>
  <si>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</si>
  <si>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</si>
  <si>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</si>
  <si>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</si>
  <si>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</si>
  <si>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</si>
  <si>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</si>
  <si>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</si>
  <si>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</si>
  <si>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</si>
  <si>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</si>
  <si>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</si>
  <si>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</si>
  <si>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</si>
  <si>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</si>
  <si>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</si>
  <si>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</si>
  <si>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</si>
  <si>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</si>
  <si>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</si>
  <si>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</si>
  <si>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</si>
  <si>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</si>
  <si>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</si>
  <si>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</si>
  <si>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</si>
  <si>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</si>
  <si>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</si>
  <si>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</si>
  <si>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</si>
  <si>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</si>
  <si>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</si>
  <si>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</si>
  <si>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</si>
  <si>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</si>
  <si>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</si>
  <si>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</si>
  <si>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</si>
  <si>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</si>
  <si>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</si>
  <si>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</si>
  <si>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</si>
  <si>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</si>
  <si>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</si>
  <si>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</si>
  <si>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</si>
  <si>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</si>
  <si>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</si>
  <si>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</si>
  <si>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</si>
  <si>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</si>
  <si>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</si>
  <si>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</si>
  <si>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</si>
  <si>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</si>
  <si>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</si>
  <si>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</si>
  <si>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</si>
  <si>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</si>
  <si>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</si>
  <si>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</si>
  <si>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</si>
  <si>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</si>
  <si>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</si>
  <si>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</si>
  <si>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</si>
  <si>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</si>
  <si>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</si>
  <si>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</si>
  <si>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</si>
  <si>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</si>
  <si>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</si>
  <si>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</si>
  <si>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</si>
  <si>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</si>
  <si>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</si>
  <si>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</si>
  <si>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</si>
  <si>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</si>
  <si>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</si>
  <si>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</si>
  <si>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</si>
  <si>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</si>
  <si>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</si>
  <si>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</si>
  <si>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</si>
  <si>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</si>
  <si>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</si>
  <si>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</si>
  <si>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</si>
  <si>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</si>
  <si>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</si>
  <si>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</si>
  <si>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</si>
  <si>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</si>
  <si>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</si>
  <si>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</si>
  <si>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</si>
  <si>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</si>
  <si>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</si>
  <si>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EAST CAROLINA BEHAVORIAL HEALTHCARE</t>
  </si>
  <si>
    <t>COASTALCARE</t>
  </si>
  <si>
    <t>ELKIN ABC BOARD</t>
  </si>
  <si>
    <t>Alamance Municipal ABC Board</t>
  </si>
  <si>
    <t>Albemarle Regional Health Services</t>
  </si>
  <si>
    <t>Centerpoint Human Services</t>
  </si>
  <si>
    <t>Charlotte Regional Visitors Authority</t>
  </si>
  <si>
    <t>Eastpointe Human Services</t>
  </si>
  <si>
    <t>Indian Trail ABC Board</t>
  </si>
  <si>
    <t>Jackson County ABC Board</t>
  </si>
  <si>
    <t>Johnston Health Center</t>
  </si>
  <si>
    <t>Mideast Commission</t>
  </si>
  <si>
    <t>Partners Behavioral Health Management</t>
  </si>
  <si>
    <t>Sandhills Center</t>
  </si>
  <si>
    <t>Southeast Brunswick Sanitary District</t>
  </si>
  <si>
    <t>Triad Municipal ABC Board</t>
  </si>
  <si>
    <t>Trillium Health Resources</t>
  </si>
  <si>
    <t>West Columbus ABC Board</t>
  </si>
  <si>
    <t>Yadkin Valley ABC Board</t>
  </si>
  <si>
    <t>Agency Num</t>
  </si>
  <si>
    <t>Agency Name</t>
  </si>
  <si>
    <t>(Normal Contributions, Plus Liability Contributions, net of Court Costs Offsets)</t>
  </si>
  <si>
    <t>CAPE FEAR REGIONAL JETPORT</t>
  </si>
  <si>
    <t>COLUMBUS ABC BOARD</t>
  </si>
  <si>
    <t>TOWN OF NEW LONDON</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</si>
  <si>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</si>
  <si>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</si>
  <si>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</si>
  <si>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</si>
  <si>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</si>
  <si>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</si>
  <si>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</si>
  <si>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</si>
  <si>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</si>
  <si>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</si>
  <si>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</si>
  <si>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</si>
  <si>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</si>
  <si>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</si>
  <si>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</si>
  <si>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</si>
  <si>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</si>
  <si>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</si>
  <si>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</si>
  <si>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</si>
  <si>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</si>
  <si>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</si>
  <si>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</si>
  <si>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</si>
  <si>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</si>
  <si>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</si>
  <si>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</si>
  <si>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</si>
  <si>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</si>
  <si>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</si>
  <si>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</si>
  <si>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</si>
  <si>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</si>
  <si>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</si>
  <si>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</si>
  <si>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</si>
  <si>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</si>
  <si>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</si>
  <si>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</si>
  <si>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</si>
  <si>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</si>
  <si>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</si>
  <si>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</si>
  <si>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</si>
  <si>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</si>
  <si>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</si>
  <si>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</si>
  <si>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</si>
  <si>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</si>
  <si>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</si>
  <si>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</si>
  <si>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</si>
  <si>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</si>
  <si>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</si>
  <si>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</si>
  <si>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</si>
  <si>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</si>
  <si>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</si>
  <si>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</si>
  <si>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</si>
  <si>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</si>
  <si>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</si>
  <si>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</si>
  <si>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</si>
  <si>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</si>
  <si>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</si>
  <si>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</si>
  <si>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</si>
  <si>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</si>
  <si>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</si>
  <si>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</si>
  <si>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</si>
  <si>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</si>
  <si>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</si>
  <si>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</si>
  <si>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</si>
  <si>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</si>
  <si>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</si>
  <si>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</si>
  <si>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</si>
  <si>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</si>
  <si>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</si>
  <si>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</si>
  <si>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</si>
  <si>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</si>
  <si>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</si>
  <si>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</si>
  <si>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</si>
  <si>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</si>
  <si>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</si>
  <si>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</si>
  <si>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</si>
  <si>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</si>
  <si>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</si>
  <si>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</si>
  <si>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</si>
  <si>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</si>
  <si>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</si>
  <si>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</si>
  <si>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</si>
  <si>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</si>
  <si>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</si>
  <si>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</si>
  <si>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</si>
  <si>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</si>
  <si>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</si>
  <si>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</si>
  <si>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</si>
  <si>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</si>
  <si>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</si>
  <si>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</si>
  <si>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</si>
  <si>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</si>
  <si>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</si>
  <si>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</si>
  <si>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</si>
  <si>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</si>
  <si>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</si>
  <si>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</si>
  <si>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</si>
  <si>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</si>
  <si>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</si>
  <si>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</si>
  <si>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</si>
  <si>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</si>
  <si>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</si>
  <si>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</si>
  <si>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</si>
  <si>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</si>
  <si>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</si>
  <si>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</si>
  <si>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</si>
  <si>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</si>
  <si>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</si>
  <si>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</si>
  <si>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</si>
  <si>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</si>
  <si>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</si>
  <si>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</si>
  <si>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</si>
  <si>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</si>
  <si>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</si>
  <si>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</si>
  <si>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</si>
  <si>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</si>
  <si>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</si>
  <si>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</si>
  <si>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</si>
  <si>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</si>
  <si>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</si>
  <si>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</si>
  <si>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</si>
  <si>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</si>
  <si>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</si>
  <si>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</si>
  <si>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</si>
  <si>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</si>
  <si>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</si>
  <si>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</si>
  <si>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</si>
  <si>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</si>
  <si>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</si>
  <si>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</si>
  <si>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</si>
  <si>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</si>
  <si>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</si>
  <si>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</si>
  <si>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</si>
  <si>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</si>
  <si>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</si>
  <si>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</si>
  <si>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</si>
  <si>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</si>
  <si>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</si>
  <si>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</si>
  <si>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</si>
  <si>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</si>
  <si>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</si>
  <si>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</si>
  <si>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</si>
  <si>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</si>
  <si>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</si>
  <si>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</si>
  <si>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</si>
  <si>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</si>
  <si>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</si>
  <si>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</si>
  <si>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</si>
  <si>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</si>
  <si>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</si>
  <si>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</si>
  <si>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</si>
  <si>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</si>
  <si>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</si>
  <si>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</si>
  <si>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</si>
  <si>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</si>
  <si>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</si>
  <si>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</si>
  <si>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</si>
  <si>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</si>
  <si>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</si>
  <si>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</si>
  <si>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</si>
  <si>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</si>
  <si>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</si>
  <si>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</si>
  <si>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</si>
  <si>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</si>
  <si>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</si>
  <si>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</si>
  <si>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</si>
  <si>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</si>
  <si>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</si>
  <si>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</si>
  <si>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</si>
  <si>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</si>
  <si>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</si>
  <si>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</si>
  <si>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</si>
  <si>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</si>
  <si>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</si>
  <si>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</si>
  <si>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</si>
  <si>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</si>
  <si>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</si>
  <si>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</si>
  <si>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</si>
  <si>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</si>
  <si>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</si>
  <si>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</si>
  <si>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</si>
  <si>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</si>
  <si>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</si>
  <si>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</si>
  <si>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</si>
  <si>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</si>
  <si>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</si>
  <si>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</si>
  <si>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</si>
  <si>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</si>
  <si>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</si>
  <si>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</si>
  <si>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</si>
  <si>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</si>
  <si>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</si>
  <si>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</si>
  <si>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</si>
  <si>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</si>
  <si>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</si>
  <si>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</si>
  <si>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</si>
  <si>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</si>
  <si>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</si>
  <si>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</si>
  <si>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</si>
  <si>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</si>
  <si>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</si>
  <si>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</si>
  <si>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</si>
  <si>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</si>
  <si>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</si>
  <si>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</si>
  <si>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</si>
  <si>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</si>
  <si>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</si>
  <si>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</si>
  <si>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</si>
  <si>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</si>
  <si>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</si>
  <si>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</si>
  <si>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</si>
  <si>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</si>
  <si>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</si>
  <si>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</si>
  <si>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Step 1 - Click on cells C20 and C21 within this tab.  Select your agency from the drop-down menu.  Agencies are listed in alphabetical order.</t>
  </si>
  <si>
    <t xml:space="preserve">&lt;&lt;If you are reporting for only one agency, this should be N/A.  </t>
  </si>
  <si>
    <t>JE description</t>
  </si>
  <si>
    <t>Step 3 - Click on cell C26 within this tab.  Select your reporting fiscal year-end from the drop-down menu.</t>
  </si>
  <si>
    <t>Measurement date 6/30/2017</t>
  </si>
  <si>
    <r>
      <t xml:space="preserve">This template automatically generates the GASB 68 journal entries (13th period)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</si>
  <si>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</si>
  <si>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</si>
  <si>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Recognition period - 5.00 years</t>
  </si>
  <si>
    <t>Step 5 - Go to the JE Template tab within this workbook.  Review the resulting entries within the workbook for reasonableness.  Should you have any questions regarding</t>
  </si>
  <si>
    <t>Measurement date 6/30/2018</t>
  </si>
  <si>
    <t xml:space="preserve">   </t>
  </si>
  <si>
    <t xml:space="preserve"> </t>
  </si>
  <si>
    <t>CLAY COUNTY ABC BOARD</t>
  </si>
  <si>
    <t>CRAMERTON ABC BOARD</t>
  </si>
  <si>
    <t>TOWN OF TROUTMAN ABC BOARD</t>
  </si>
  <si>
    <t>VALDESE ABC BOARD</t>
  </si>
  <si>
    <t>FY 2018 Total Contributions</t>
  </si>
  <si>
    <t>VILLAGE OF SUGAR MOUNTAIN</t>
  </si>
  <si>
    <t>COUNTY OF BEAUFORT</t>
  </si>
  <si>
    <t>WESTERN AIR POLLUTION CTL</t>
  </si>
  <si>
    <t>WATER &amp; SEWER AUTH CABARRUS CNTY</t>
  </si>
  <si>
    <t>CLEVELAND CO SANITARY DIST</t>
  </si>
  <si>
    <t>COUNTY OF GATES</t>
  </si>
  <si>
    <t>GRANVILLE-VANCE HEALTH DIST</t>
  </si>
  <si>
    <t>HAYWOOD CO</t>
  </si>
  <si>
    <t>SMOKY MOUNTAIN M H C</t>
  </si>
  <si>
    <t>HOUSING AUTH OF THE CITY OF WILMINGTON</t>
  </si>
  <si>
    <t>COUNTY OF ROBESON</t>
  </si>
  <si>
    <t>HOUSING AUTHORITY OF THE COUNTY OF WAKE</t>
  </si>
  <si>
    <t>ALBEMARLE</t>
  </si>
  <si>
    <t>ARCHDALE</t>
  </si>
  <si>
    <t>ASHEBORO</t>
  </si>
  <si>
    <t>ASHEVILLE</t>
  </si>
  <si>
    <t>BELMONT</t>
  </si>
  <si>
    <t>BOILING SPRING LAKES</t>
  </si>
  <si>
    <t>BREVARD</t>
  </si>
  <si>
    <t>BURLINGTON</t>
  </si>
  <si>
    <t>CHARLOTTE</t>
  </si>
  <si>
    <t>CHERRYVILLE</t>
  </si>
  <si>
    <t>CLAREMONT</t>
  </si>
  <si>
    <t>CLINTON</t>
  </si>
  <si>
    <t>CONCORD</t>
  </si>
  <si>
    <t>CREEDMOOR</t>
  </si>
  <si>
    <t>DUNN</t>
  </si>
  <si>
    <t>DURHAM</t>
  </si>
  <si>
    <t>EDEN</t>
  </si>
  <si>
    <t>FAYETTEVILLE</t>
  </si>
  <si>
    <t>GASTONIA</t>
  </si>
  <si>
    <t>GOLDSBORO</t>
  </si>
  <si>
    <t>GREENSBORO</t>
  </si>
  <si>
    <t>GRAHAM</t>
  </si>
  <si>
    <t>GREENVILLE</t>
  </si>
  <si>
    <t>HAMLET</t>
  </si>
  <si>
    <t>HAVELOCK</t>
  </si>
  <si>
    <t>HENDERSON</t>
  </si>
  <si>
    <t>HENDERSONVILLE</t>
  </si>
  <si>
    <t>HICKORY</t>
  </si>
  <si>
    <t>HIGH POINT</t>
  </si>
  <si>
    <t>JACKSONVILLE</t>
  </si>
  <si>
    <t>KANNAPOLIS</t>
  </si>
  <si>
    <t>KINGS MOUNTAIN</t>
  </si>
  <si>
    <t>KINSTON</t>
  </si>
  <si>
    <t>LAURINBURG</t>
  </si>
  <si>
    <t>LENOIR</t>
  </si>
  <si>
    <t>LEXINGTON</t>
  </si>
  <si>
    <t>LINCOLNTON</t>
  </si>
  <si>
    <t>LOCUST</t>
  </si>
  <si>
    <t>LOWELL</t>
  </si>
  <si>
    <t>LUMBERTON</t>
  </si>
  <si>
    <t>MEBANE</t>
  </si>
  <si>
    <t>MONROE</t>
  </si>
  <si>
    <t>MONROE HOUSING AUTHORITY</t>
  </si>
  <si>
    <t>MOORESVILLE</t>
  </si>
  <si>
    <t>MORGANTON</t>
  </si>
  <si>
    <t>MOUNT AIRY</t>
  </si>
  <si>
    <t>MOUNT HOLLY</t>
  </si>
  <si>
    <t>NEW BERN</t>
  </si>
  <si>
    <t>NEWTON</t>
  </si>
  <si>
    <t>NORTHWEST</t>
  </si>
  <si>
    <t>OXFORD</t>
  </si>
  <si>
    <t>RALEIGH</t>
  </si>
  <si>
    <t>RALEIGH HOUSING AUTHORITY</t>
  </si>
  <si>
    <t>RANDLEMAN</t>
  </si>
  <si>
    <t>RANDLEMAN ABC BOARD</t>
  </si>
  <si>
    <t>RANDLEMAN HOUSING AUTHORITY</t>
  </si>
  <si>
    <t>REIDSVILLE</t>
  </si>
  <si>
    <t>ROANOKE RAPIDS</t>
  </si>
  <si>
    <t>ROCKINGHAM</t>
  </si>
  <si>
    <t>ROCKINGHAM ABC BOARD</t>
  </si>
  <si>
    <t>ROCKY MOUNT</t>
  </si>
  <si>
    <t>ROXBORO</t>
  </si>
  <si>
    <t>SALISBURY</t>
  </si>
  <si>
    <t>SALUDA</t>
  </si>
  <si>
    <t>SANFORD</t>
  </si>
  <si>
    <t>SHELBY</t>
  </si>
  <si>
    <t>SOUTHPORT</t>
  </si>
  <si>
    <t>SOUTHPORT ABC BOARD</t>
  </si>
  <si>
    <t>STATESVILLE</t>
  </si>
  <si>
    <t>THOMASVILLE</t>
  </si>
  <si>
    <t>TRINITY</t>
  </si>
  <si>
    <t>WASHINGTON</t>
  </si>
  <si>
    <t>WHITEVILLE</t>
  </si>
  <si>
    <t>WILMINGTON</t>
  </si>
  <si>
    <t>WILSON</t>
  </si>
  <si>
    <t>WILSON CEMETERY COMMISSION</t>
  </si>
  <si>
    <t>WINSTON-SALEM</t>
  </si>
  <si>
    <t>HENDERSON COUNTY</t>
  </si>
  <si>
    <t>EASTERN BAND OF CHEROKEE INDIANS</t>
  </si>
  <si>
    <t>ABERDEEN</t>
  </si>
  <si>
    <t>AHOSKIE</t>
  </si>
  <si>
    <t>ANDREWS</t>
  </si>
  <si>
    <t>ANGIER</t>
  </si>
  <si>
    <t>ANGIER ABC BOARD</t>
  </si>
  <si>
    <t>ANSONVILLE</t>
  </si>
  <si>
    <t>APEX</t>
  </si>
  <si>
    <t>ARCHER LODGE</t>
  </si>
  <si>
    <t>ATLANTIC BEACH</t>
  </si>
  <si>
    <t>AULANDER</t>
  </si>
  <si>
    <t>AUTRYVILLE</t>
  </si>
  <si>
    <t>AURORA</t>
  </si>
  <si>
    <t>AYDEN</t>
  </si>
  <si>
    <t>BADIN</t>
  </si>
  <si>
    <t>BAILEY</t>
  </si>
  <si>
    <t>BAKERSVILLE</t>
  </si>
  <si>
    <t>BANNER ELK</t>
  </si>
  <si>
    <t>BAYBORO</t>
  </si>
  <si>
    <t>BEAUFORT</t>
  </si>
  <si>
    <t>BEECH MOUNTAIN</t>
  </si>
  <si>
    <t>BELHAVEN</t>
  </si>
  <si>
    <t>BELVILLE</t>
  </si>
  <si>
    <t>BENSON</t>
  </si>
  <si>
    <t>BERMUDA RUN</t>
  </si>
  <si>
    <t>BETHEL</t>
  </si>
  <si>
    <t>BEULAVILLE</t>
  </si>
  <si>
    <t>BILTMORE FOREST</t>
  </si>
  <si>
    <t>BISCOE</t>
  </si>
  <si>
    <t>BLACK CREEK</t>
  </si>
  <si>
    <t>BLACK MOUNTAIN</t>
  </si>
  <si>
    <t>BLADENBORO</t>
  </si>
  <si>
    <t>BLOWING ROCK</t>
  </si>
  <si>
    <t>BOILING SPRINGS</t>
  </si>
  <si>
    <t>BOLTON</t>
  </si>
  <si>
    <t>BOONE</t>
  </si>
  <si>
    <t>BOONVILLE</t>
  </si>
  <si>
    <t>BRIDGETON</t>
  </si>
  <si>
    <t>BROADWAY</t>
  </si>
  <si>
    <t>BROOKFORD</t>
  </si>
  <si>
    <t>BRUNSWICK</t>
  </si>
  <si>
    <t>BRYSON CITY</t>
  </si>
  <si>
    <t>BUNN</t>
  </si>
  <si>
    <t>BURGAW</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</si>
  <si>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</si>
  <si>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</si>
  <si>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</si>
  <si>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</si>
  <si>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</si>
  <si>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</si>
  <si>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</si>
  <si>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</si>
  <si>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</si>
  <si>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</si>
  <si>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</si>
  <si>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</si>
  <si>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</si>
  <si>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</si>
  <si>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</si>
  <si>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</si>
  <si>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</si>
  <si>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</si>
  <si>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</si>
  <si>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CHINA GROVE</t>
  </si>
  <si>
    <t>CHOCOWINITY</t>
  </si>
  <si>
    <t>CLARKTON</t>
  </si>
  <si>
    <t>CLAYTON</t>
  </si>
  <si>
    <t>CLEVELAND</t>
  </si>
  <si>
    <t>COATS</t>
  </si>
  <si>
    <t>COFIELD</t>
  </si>
  <si>
    <t>COLERAIN</t>
  </si>
  <si>
    <t>COLUMBIA</t>
  </si>
  <si>
    <t>COLUMBUS</t>
  </si>
  <si>
    <t>CONNELLY SPRINGS</t>
  </si>
  <si>
    <t>CONOVER</t>
  </si>
  <si>
    <t>CONWAY</t>
  </si>
  <si>
    <t>COOLEEMEE</t>
  </si>
  <si>
    <t>CORNELIUS</t>
  </si>
  <si>
    <t>COVE CITY</t>
  </si>
  <si>
    <t>CRAMERTON</t>
  </si>
  <si>
    <t>CRESWELL</t>
  </si>
  <si>
    <t>DALLAS</t>
  </si>
  <si>
    <t>DAVIDSON</t>
  </si>
  <si>
    <t>DENTON</t>
  </si>
  <si>
    <t>DOBSON</t>
  </si>
  <si>
    <t>DREXEL</t>
  </si>
  <si>
    <t>DUCK</t>
  </si>
  <si>
    <t>EAST BEND</t>
  </si>
  <si>
    <t>EAST SPENCER</t>
  </si>
  <si>
    <t>EASTOVER</t>
  </si>
  <si>
    <t>EDENTON</t>
  </si>
  <si>
    <t>ELIZABETHTOWN</t>
  </si>
  <si>
    <t>ELK PARK</t>
  </si>
  <si>
    <t>ELKIN</t>
  </si>
  <si>
    <t>ELLENBORO</t>
  </si>
  <si>
    <t>ELLERBE</t>
  </si>
  <si>
    <t>ELM CITY</t>
  </si>
  <si>
    <t>ELON</t>
  </si>
  <si>
    <t>EMERALD ISLE</t>
  </si>
  <si>
    <t>ENFIELD</t>
  </si>
  <si>
    <t>ERWIN</t>
  </si>
  <si>
    <t>FAIR BLUFF</t>
  </si>
  <si>
    <t>FAIRMONT</t>
  </si>
  <si>
    <t>FAISON</t>
  </si>
  <si>
    <t>FAITH</t>
  </si>
  <si>
    <t>FALCON</t>
  </si>
  <si>
    <t>FARMVILLE</t>
  </si>
  <si>
    <t xml:space="preserve"> SEAGROVE</t>
  </si>
  <si>
    <t xml:space="preserve"> SPARTA</t>
  </si>
  <si>
    <t xml:space="preserve"> BURNSVILLE</t>
  </si>
  <si>
    <t xml:space="preserve"> ELON</t>
  </si>
  <si>
    <t xml:space="preserve"> HAW RIVER</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</si>
  <si>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</si>
  <si>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</si>
  <si>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</si>
  <si>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</si>
  <si>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</si>
  <si>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</si>
  <si>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</si>
  <si>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</si>
  <si>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</si>
  <si>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</si>
  <si>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</si>
  <si>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</si>
  <si>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</si>
  <si>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</si>
  <si>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</si>
  <si>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</si>
  <si>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</si>
  <si>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</si>
  <si>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</si>
  <si>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</si>
  <si>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</si>
  <si>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</si>
  <si>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</si>
  <si>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</si>
  <si>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</si>
  <si>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</si>
  <si>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</si>
  <si>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</si>
  <si>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</si>
  <si>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</si>
  <si>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</si>
  <si>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</si>
  <si>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</si>
  <si>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</si>
  <si>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</si>
  <si>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</si>
  <si>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</si>
  <si>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</si>
  <si>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</si>
  <si>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</si>
  <si>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</si>
  <si>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</si>
  <si>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</si>
  <si>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</si>
  <si>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</si>
  <si>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</si>
  <si>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</si>
  <si>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</si>
  <si>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</si>
  <si>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</si>
  <si>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</si>
  <si>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</si>
  <si>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</si>
  <si>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</si>
  <si>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</si>
  <si>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</si>
  <si>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</si>
  <si>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</si>
  <si>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</si>
  <si>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</si>
  <si>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</si>
  <si>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</si>
  <si>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</si>
  <si>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</si>
  <si>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</si>
  <si>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</si>
  <si>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</si>
  <si>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</si>
  <si>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</si>
  <si>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 xml:space="preserve"> MAIDEN</t>
  </si>
  <si>
    <t>THE  LONGVIEW</t>
  </si>
  <si>
    <t xml:space="preserve"> CONOVER</t>
  </si>
  <si>
    <t xml:space="preserve"> BROOKFORD</t>
  </si>
  <si>
    <t xml:space="preserve"> CATAWBA</t>
  </si>
  <si>
    <t xml:space="preserve"> SILER CITY</t>
  </si>
  <si>
    <t xml:space="preserve"> PITTSBORO</t>
  </si>
  <si>
    <t xml:space="preserve"> MURPHY</t>
  </si>
  <si>
    <t xml:space="preserve"> ANDREWS</t>
  </si>
  <si>
    <t xml:space="preserve"> EDENTON</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</si>
  <si>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</si>
  <si>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</si>
  <si>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</si>
  <si>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</si>
  <si>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</si>
  <si>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</si>
  <si>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</si>
  <si>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</si>
  <si>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</si>
  <si>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 xml:space="preserve"> TRENT WOODS</t>
  </si>
  <si>
    <t xml:space="preserve"> RIVER BEND</t>
  </si>
  <si>
    <t xml:space="preserve"> VANCEBORO</t>
  </si>
  <si>
    <t xml:space="preserve"> BRIDGETON</t>
  </si>
  <si>
    <t xml:space="preserve"> COVE CITY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</si>
  <si>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</si>
  <si>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</si>
  <si>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</si>
  <si>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</si>
  <si>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</si>
  <si>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</si>
  <si>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</si>
  <si>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</si>
  <si>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</si>
  <si>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</si>
  <si>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</si>
  <si>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</si>
  <si>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</si>
  <si>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</si>
  <si>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</si>
  <si>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</si>
  <si>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</si>
  <si>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</si>
  <si>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</si>
  <si>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</si>
  <si>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</si>
  <si>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</si>
  <si>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</si>
  <si>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</si>
  <si>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</si>
  <si>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</si>
  <si>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</si>
  <si>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</si>
  <si>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</si>
  <si>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</si>
  <si>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</si>
  <si>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</si>
  <si>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</si>
  <si>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LEWISVILLE</t>
  </si>
  <si>
    <t xml:space="preserve"> FRANKLINTON</t>
  </si>
  <si>
    <t xml:space="preserve"> LOUISBURG</t>
  </si>
  <si>
    <t>ABC BOARD -  BUNN</t>
  </si>
  <si>
    <t xml:space="preserve"> YOUNGSVILLE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</si>
  <si>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</si>
  <si>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</si>
  <si>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</si>
  <si>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</si>
  <si>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</si>
  <si>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</si>
  <si>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</si>
  <si>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</si>
  <si>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</si>
  <si>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</si>
  <si>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</si>
  <si>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</si>
  <si>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</si>
  <si>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</si>
  <si>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</si>
  <si>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</si>
  <si>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</si>
  <si>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</si>
  <si>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</si>
  <si>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</si>
  <si>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</si>
  <si>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</si>
  <si>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</si>
  <si>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</si>
  <si>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</si>
  <si>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</si>
  <si>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</si>
  <si>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</si>
  <si>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</si>
  <si>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</si>
  <si>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</si>
  <si>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</si>
  <si>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</si>
  <si>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</si>
  <si>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</si>
  <si>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</si>
  <si>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</si>
  <si>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</si>
  <si>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</si>
  <si>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</si>
  <si>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</si>
  <si>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</si>
  <si>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</si>
  <si>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</si>
  <si>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</si>
  <si>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</si>
  <si>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</si>
  <si>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</si>
  <si>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</si>
  <si>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</si>
  <si>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</si>
  <si>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 xml:space="preserve"> PINK HILL</t>
  </si>
  <si>
    <t xml:space="preserve"> LAGRANGE</t>
  </si>
  <si>
    <t xml:space="preserve"> LINCOLNTON ABC BOARD</t>
  </si>
  <si>
    <t xml:space="preserve"> FRANKLIN</t>
  </si>
  <si>
    <t xml:space="preserve"> HIGHLANDS</t>
  </si>
  <si>
    <t xml:space="preserve"> MARS HILL</t>
  </si>
  <si>
    <t xml:space="preserve"> MARSHALL</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</si>
  <si>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</si>
  <si>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</si>
  <si>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</si>
  <si>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</si>
  <si>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</si>
  <si>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</si>
  <si>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</si>
  <si>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</si>
  <si>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</si>
  <si>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</si>
  <si>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</si>
  <si>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</si>
  <si>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</si>
  <si>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</si>
  <si>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</si>
  <si>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</si>
  <si>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</si>
  <si>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</si>
  <si>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</si>
  <si>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</si>
  <si>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</si>
  <si>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</si>
  <si>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</si>
  <si>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</si>
  <si>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</si>
  <si>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</si>
  <si>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</si>
  <si>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PINEBLUFF</t>
  </si>
  <si>
    <t xml:space="preserve"> CARTHAGE</t>
  </si>
  <si>
    <t xml:space="preserve"> SPRING HOPE</t>
  </si>
  <si>
    <t xml:space="preserve"> NASHVILLE</t>
  </si>
  <si>
    <t xml:space="preserve"> MIDDLESEX</t>
  </si>
  <si>
    <t xml:space="preserve"> WHITAKERS</t>
  </si>
  <si>
    <t xml:space="preserve"> BAILEY</t>
  </si>
  <si>
    <t xml:space="preserve"> SHARPSBURG</t>
  </si>
  <si>
    <t xml:space="preserve"> WRIGHTSVILLE BEACH</t>
  </si>
  <si>
    <t xml:space="preserve"> CAROLINA BEACH</t>
  </si>
  <si>
    <t xml:space="preserve"> KURE BEACH</t>
  </si>
  <si>
    <t xml:space="preserve"> RICH SQUARE</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</si>
  <si>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</si>
  <si>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</si>
  <si>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</si>
  <si>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</si>
  <si>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</si>
  <si>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</si>
  <si>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</si>
  <si>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</si>
  <si>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</si>
  <si>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</si>
  <si>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</si>
  <si>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</si>
  <si>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</si>
  <si>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</si>
  <si>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</si>
  <si>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</si>
  <si>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 xml:space="preserve"> BURGAW</t>
  </si>
  <si>
    <t xml:space="preserve"> TOPSAIL BEACH</t>
  </si>
  <si>
    <t xml:space="preserve"> SURF CITY</t>
  </si>
  <si>
    <t xml:space="preserve"> HERTFORD</t>
  </si>
  <si>
    <t xml:space="preserve"> HERTFORD ABC BOARD</t>
  </si>
  <si>
    <t xml:space="preserve"> WINFALL</t>
  </si>
  <si>
    <t xml:space="preserve"> FARMVILLE</t>
  </si>
  <si>
    <t xml:space="preserve"> GRIFTON</t>
  </si>
  <si>
    <t xml:space="preserve"> BETHEL</t>
  </si>
  <si>
    <t xml:space="preserve"> WINTERVILLE</t>
  </si>
  <si>
    <t xml:space="preserve"> AYDEN</t>
  </si>
  <si>
    <t xml:space="preserve"> GRIMESLAND</t>
  </si>
  <si>
    <t xml:space="preserve">FOUNTAIN, </t>
  </si>
  <si>
    <t xml:space="preserve"> TRYON</t>
  </si>
  <si>
    <t xml:space="preserve"> COLUMBUS</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</si>
  <si>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</si>
  <si>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</si>
  <si>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</si>
  <si>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</si>
  <si>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</si>
  <si>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</si>
  <si>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</si>
  <si>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</si>
  <si>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</si>
  <si>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</si>
  <si>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 xml:space="preserve"> MAYODAN</t>
  </si>
  <si>
    <t xml:space="preserve"> STONEVILLE</t>
  </si>
  <si>
    <t xml:space="preserve"> MADISON</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</si>
  <si>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</si>
  <si>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</si>
  <si>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</si>
  <si>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</si>
  <si>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</si>
  <si>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</si>
  <si>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</si>
  <si>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</si>
  <si>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</si>
  <si>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</si>
  <si>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</si>
  <si>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</si>
  <si>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</si>
  <si>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</si>
  <si>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</si>
  <si>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</si>
  <si>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</si>
  <si>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</si>
  <si>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</si>
  <si>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</si>
  <si>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</si>
  <si>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</si>
  <si>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 xml:space="preserve"> NORWOOD</t>
  </si>
  <si>
    <t xml:space="preserve"> OAKBORO</t>
  </si>
  <si>
    <t xml:space="preserve"> BADIN</t>
  </si>
  <si>
    <t xml:space="preserve"> NEW LONDON</t>
  </si>
  <si>
    <t xml:space="preserve"> STANFIELD</t>
  </si>
  <si>
    <t xml:space="preserve"> WALNUT COVE</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</si>
  <si>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</si>
  <si>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</si>
  <si>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</si>
  <si>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</si>
  <si>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</si>
  <si>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</si>
  <si>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</si>
  <si>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</si>
  <si>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</si>
  <si>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</si>
  <si>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</si>
  <si>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</si>
  <si>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</si>
  <si>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</si>
  <si>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</si>
  <si>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</si>
  <si>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</si>
  <si>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</si>
  <si>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</si>
  <si>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</si>
  <si>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</si>
  <si>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</si>
  <si>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</si>
  <si>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</si>
  <si>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</si>
  <si>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</si>
  <si>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</si>
  <si>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</si>
  <si>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</si>
  <si>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</si>
  <si>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</si>
  <si>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 xml:space="preserve"> MOUNT OLIVE</t>
  </si>
  <si>
    <t xml:space="preserve"> FREMONT</t>
  </si>
  <si>
    <t xml:space="preserve"> PIKEVILLE</t>
  </si>
  <si>
    <t xml:space="preserve"> N WILKESBORO</t>
  </si>
  <si>
    <t xml:space="preserve"> N WILKESBORO ABC BOARD</t>
  </si>
  <si>
    <t xml:space="preserve"> WILKESBORO</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</si>
  <si>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</si>
  <si>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</si>
  <si>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</si>
  <si>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</si>
  <si>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</si>
  <si>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</si>
  <si>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</si>
  <si>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</si>
  <si>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 xml:space="preserve"> MISENHEIMER</t>
  </si>
  <si>
    <t xml:space="preserve"> ALAMANCE</t>
  </si>
  <si>
    <t xml:space="preserve"> BALD HEAD ISLAND</t>
  </si>
  <si>
    <t xml:space="preserve"> CLEMMONS</t>
  </si>
  <si>
    <t>THE  FLAT ROCK</t>
  </si>
  <si>
    <t xml:space="preserve"> PINEHURST</t>
  </si>
  <si>
    <t xml:space="preserve"> WHISPERING PINES</t>
  </si>
  <si>
    <t xml:space="preserve"> SIMPSON</t>
  </si>
  <si>
    <t xml:space="preserve"> MARVIN</t>
  </si>
  <si>
    <t xml:space="preserve"> WESLEY CHAPEL</t>
  </si>
  <si>
    <t xml:space="preserve"> WALNUT CREEK</t>
  </si>
  <si>
    <t>YOUNGSVILLE</t>
  </si>
  <si>
    <t>ZEBULON</t>
  </si>
  <si>
    <t>YANCEYVILLE</t>
  </si>
  <si>
    <t>YADKINVILLE</t>
  </si>
  <si>
    <t>WRIGHTSVILLE BEACH</t>
  </si>
  <si>
    <t>ALAMANCE</t>
  </si>
  <si>
    <t>BALD HEAD ISLAND</t>
  </si>
  <si>
    <t>CLEMMONS</t>
  </si>
  <si>
    <t>FLAT ROCK</t>
  </si>
  <si>
    <t>FLETCHER</t>
  </si>
  <si>
    <t>FOREST CITY</t>
  </si>
  <si>
    <t>FOUR OAKS</t>
  </si>
  <si>
    <t>FRANKLIN</t>
  </si>
  <si>
    <t>FRANKLINTON</t>
  </si>
  <si>
    <t>FREMONT</t>
  </si>
  <si>
    <t>FUQUAY-VARINA</t>
  </si>
  <si>
    <t>GARLAND</t>
  </si>
  <si>
    <t>GARNER</t>
  </si>
  <si>
    <t>GARYSBURG</t>
  </si>
  <si>
    <t>GASTON</t>
  </si>
  <si>
    <t>GIBSON</t>
  </si>
  <si>
    <t>GIBSONVILLE</t>
  </si>
  <si>
    <t>GLEN ALPINE</t>
  </si>
  <si>
    <t>GRANITE FALLS</t>
  </si>
  <si>
    <t>GRANITE QUARRY</t>
  </si>
  <si>
    <t>GREEN LEVEL</t>
  </si>
  <si>
    <t>GRIFTON</t>
  </si>
  <si>
    <t>GRIMESLAND</t>
  </si>
  <si>
    <t>GROVER</t>
  </si>
  <si>
    <t>HAMILTON</t>
  </si>
  <si>
    <t>HARRISBURG</t>
  </si>
  <si>
    <t>HAW RIVER</t>
  </si>
  <si>
    <t>HERTFORD</t>
  </si>
  <si>
    <t>HERTFORD ABC BOARD</t>
  </si>
  <si>
    <t>HIGHLANDS</t>
  </si>
  <si>
    <t>HILDEBRAN</t>
  </si>
  <si>
    <t>HILLSBOROUGH</t>
  </si>
  <si>
    <t>HOBGOOD</t>
  </si>
  <si>
    <t>HOLDEN BEACH</t>
  </si>
  <si>
    <t>HOLLY RIDGE</t>
  </si>
  <si>
    <t>HOLLY SPRINGS</t>
  </si>
  <si>
    <t>HOOKERTON</t>
  </si>
  <si>
    <t>HOPE MILLS</t>
  </si>
  <si>
    <t>HUDSON</t>
  </si>
  <si>
    <t>HUNTERSVILLE</t>
  </si>
  <si>
    <t>INDIAN BEACH</t>
  </si>
  <si>
    <t>INDIAN TRAIL</t>
  </si>
  <si>
    <t>JACKSON</t>
  </si>
  <si>
    <t>JAMESTOWN</t>
  </si>
  <si>
    <t>JAMESVILLE</t>
  </si>
  <si>
    <t>JEFFERSON</t>
  </si>
  <si>
    <t>JONESVILLE</t>
  </si>
  <si>
    <t>KENANSVILLE</t>
  </si>
  <si>
    <t>KENLY</t>
  </si>
  <si>
    <t>KERNERSVILLE</t>
  </si>
  <si>
    <t>KILL DEVIL HILLS</t>
  </si>
  <si>
    <t>KING</t>
  </si>
  <si>
    <t>KITTY HAWK</t>
  </si>
  <si>
    <t>KNIGHTDALE</t>
  </si>
  <si>
    <t>KURE BEACH</t>
  </si>
  <si>
    <t>LAGRANGE</t>
  </si>
  <si>
    <t>LAKE LURE</t>
  </si>
  <si>
    <t>LAKE WACCAMAW</t>
  </si>
  <si>
    <t>LANDIS</t>
  </si>
  <si>
    <t>LAUREL PARK</t>
  </si>
  <si>
    <t>LAWNDALE</t>
  </si>
  <si>
    <t>LELAND</t>
  </si>
  <si>
    <t>LEWISTON WOODVILLE</t>
  </si>
  <si>
    <t>LEWISVILLE</t>
  </si>
  <si>
    <t>LIBERTY</t>
  </si>
  <si>
    <t>LILESVILLE</t>
  </si>
  <si>
    <t>LILLINGTON</t>
  </si>
  <si>
    <t>LINCOLNTON ABC BOARD</t>
  </si>
  <si>
    <t>LINDEN</t>
  </si>
  <si>
    <t>LITTLETON</t>
  </si>
  <si>
    <t>LONGVIEW</t>
  </si>
  <si>
    <t>LOUISBURG</t>
  </si>
  <si>
    <t>LUCAMA</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</si>
  <si>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</si>
  <si>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</si>
  <si>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</si>
  <si>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</si>
  <si>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</si>
  <si>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</si>
  <si>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</si>
  <si>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</si>
  <si>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</si>
  <si>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</si>
  <si>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</si>
  <si>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</si>
  <si>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</si>
  <si>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</si>
  <si>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</si>
  <si>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</si>
  <si>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</si>
  <si>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</si>
  <si>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</si>
  <si>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</si>
  <si>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</si>
  <si>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</si>
  <si>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</si>
  <si>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</si>
  <si>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</si>
  <si>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MONTREAT</t>
  </si>
  <si>
    <t>MOREHEAD CITY</t>
  </si>
  <si>
    <t>MORRISVILLE</t>
  </si>
  <si>
    <t>MORVEN</t>
  </si>
  <si>
    <t>MOUNT GILEAD</t>
  </si>
  <si>
    <t>MOUNT OLIVE</t>
  </si>
  <si>
    <t>MOUNT PLEASANT</t>
  </si>
  <si>
    <t>MURFREESBORO</t>
  </si>
  <si>
    <t>MURPHY</t>
  </si>
  <si>
    <t>NORTH TOPSAIL BEACH</t>
  </si>
  <si>
    <t>NORTH WILKESBORO</t>
  </si>
  <si>
    <t>NORTH WILKESBORO ABC BOARD</t>
  </si>
  <si>
    <t>NAGS HEAD</t>
  </si>
  <si>
    <t>NASHVILLE</t>
  </si>
  <si>
    <t>NAVASSA</t>
  </si>
  <si>
    <t>NEW LONDON</t>
  </si>
  <si>
    <t>NEWLAND</t>
  </si>
  <si>
    <t>NEWPORT</t>
  </si>
  <si>
    <t>NEWTON GROVE</t>
  </si>
  <si>
    <t>NORLINA</t>
  </si>
  <si>
    <t>NORWOOD</t>
  </si>
  <si>
    <t>OAK CITY</t>
  </si>
  <si>
    <t>OAK ISLAND</t>
  </si>
  <si>
    <t>OAK RIDGE</t>
  </si>
  <si>
    <t>OAKBORO</t>
  </si>
  <si>
    <t>OCEAN ISLE BEACH</t>
  </si>
  <si>
    <t>OLD FORT</t>
  </si>
  <si>
    <t>ORIENTAL</t>
  </si>
  <si>
    <t>PARKTON</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</si>
  <si>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</si>
  <si>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</si>
  <si>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</si>
  <si>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</si>
  <si>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</si>
  <si>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</si>
  <si>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</si>
  <si>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</si>
  <si>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</si>
  <si>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</si>
  <si>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</si>
  <si>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</si>
  <si>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</si>
  <si>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</si>
  <si>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</si>
  <si>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</si>
  <si>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</si>
  <si>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</si>
  <si>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RAMSEUR</t>
  </si>
  <si>
    <t>RANLO</t>
  </si>
  <si>
    <t>RED SPRINGS</t>
  </si>
  <si>
    <t>RICH SQUARE</t>
  </si>
  <si>
    <t>RICHLANDS</t>
  </si>
  <si>
    <t>RIVER BEND</t>
  </si>
  <si>
    <t>ROBBINS</t>
  </si>
  <si>
    <t>ROBBINSVILLE</t>
  </si>
  <si>
    <t>ROBERSONVILLE</t>
  </si>
  <si>
    <t>ROCKWELL</t>
  </si>
  <si>
    <t>ROLESVILLE</t>
  </si>
  <si>
    <t>ROPER</t>
  </si>
  <si>
    <t>ROSE HILL</t>
  </si>
  <si>
    <t>ROSEBORO</t>
  </si>
  <si>
    <t>ROWLAND</t>
  </si>
  <si>
    <t>RURAL HALL</t>
  </si>
  <si>
    <t>RUTHERFORD COLLEGE</t>
  </si>
  <si>
    <t>RUTHERFORDTON</t>
  </si>
  <si>
    <t>SALEMBURG</t>
  </si>
  <si>
    <t>SAWMILLS</t>
  </si>
  <si>
    <t>SCOTLAND NECK</t>
  </si>
  <si>
    <t>SEABOARD</t>
  </si>
  <si>
    <t>SEAGROVE</t>
  </si>
  <si>
    <t>SELMA</t>
  </si>
  <si>
    <t>SEVEN DEVILS</t>
  </si>
  <si>
    <t>SEVERN</t>
  </si>
  <si>
    <t>SHALLOTTE</t>
  </si>
  <si>
    <t>SHARPSBURG</t>
  </si>
  <si>
    <t>SILER CITY</t>
  </si>
  <si>
    <t>SIMPSON</t>
  </si>
  <si>
    <t>SMITHFIELD</t>
  </si>
  <si>
    <t>SNOW HILL</t>
  </si>
  <si>
    <t>SOUTHERN PINES</t>
  </si>
  <si>
    <t>SOUTHERN SHORES</t>
  </si>
  <si>
    <t>SPARTA</t>
  </si>
  <si>
    <t>SPARTA ABC BOARD</t>
  </si>
  <si>
    <t>SPENCER</t>
  </si>
  <si>
    <t>SPINDALE</t>
  </si>
  <si>
    <t>SPRING HOPE</t>
  </si>
  <si>
    <t>SPRING LAKE</t>
  </si>
  <si>
    <t>SPRUCE PINE</t>
  </si>
  <si>
    <t>SAINT JAMES</t>
  </si>
  <si>
    <t>SAINT PAULS</t>
  </si>
  <si>
    <t>STALLINGS</t>
  </si>
  <si>
    <t>STANFIELD</t>
  </si>
  <si>
    <t>STANLEY</t>
  </si>
  <si>
    <t>STANTONSBURG</t>
  </si>
  <si>
    <t>STAR</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</si>
  <si>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</si>
  <si>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</si>
  <si>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</si>
  <si>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</si>
  <si>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</si>
  <si>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</si>
  <si>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</si>
  <si>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</si>
  <si>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</si>
  <si>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</si>
  <si>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</si>
  <si>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</si>
  <si>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</si>
  <si>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</si>
  <si>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</si>
  <si>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TOBACCOVILLE</t>
  </si>
  <si>
    <t>TOPSAIL BEACH</t>
  </si>
  <si>
    <t>TRENT WOODS</t>
  </si>
  <si>
    <t>TROUTMAN</t>
  </si>
  <si>
    <t>TROUTMAN ABC BOARD</t>
  </si>
  <si>
    <t>TROY</t>
  </si>
  <si>
    <t>TRYON</t>
  </si>
  <si>
    <t>TURKEY</t>
  </si>
  <si>
    <t>VALDESE</t>
  </si>
  <si>
    <t>VANCEBORO</t>
  </si>
  <si>
    <t>VASS</t>
  </si>
  <si>
    <t>WADE</t>
  </si>
  <si>
    <t>WADESBORO</t>
  </si>
  <si>
    <t>WAGRAM</t>
  </si>
  <si>
    <t>WAKE FOREST</t>
  </si>
  <si>
    <t>WALKERTOWN</t>
  </si>
  <si>
    <t>WALLACE</t>
  </si>
  <si>
    <t>WALNUT COVE</t>
  </si>
  <si>
    <t>WALNUT CREEK</t>
  </si>
  <si>
    <t>WALSTONBURG</t>
  </si>
  <si>
    <t>WARRENTON</t>
  </si>
  <si>
    <t>WARSAW</t>
  </si>
  <si>
    <t>WASHINGTON PARK</t>
  </si>
  <si>
    <t>WAXHAW</t>
  </si>
  <si>
    <t>WAYNESVILLE</t>
  </si>
  <si>
    <t>WEAVERVILLE</t>
  </si>
  <si>
    <t>WEDDINGTON</t>
  </si>
  <si>
    <t>WELDON</t>
  </si>
  <si>
    <t>WENDELL</t>
  </si>
  <si>
    <t>WESLEY CHAPEL</t>
  </si>
  <si>
    <t>WEST JEFFERSON</t>
  </si>
  <si>
    <t>WHISPERING PINES</t>
  </si>
  <si>
    <t>WHITAKERS</t>
  </si>
  <si>
    <t>WHITE LAKE</t>
  </si>
  <si>
    <t>WILKESBORO</t>
  </si>
  <si>
    <t>WILLIAMSTON</t>
  </si>
  <si>
    <t>WILSON'S MILLS</t>
  </si>
  <si>
    <t>WINDSOR</t>
  </si>
  <si>
    <t>WINFALL</t>
  </si>
  <si>
    <t>WINGATE</t>
  </si>
  <si>
    <t>WINTERVILLE</t>
  </si>
  <si>
    <t>WINTON</t>
  </si>
  <si>
    <t>WOODFIN</t>
  </si>
  <si>
    <t>WOODLAND</t>
  </si>
  <si>
    <t>BUNN ABC BOARD</t>
  </si>
  <si>
    <t>UNIONVILLE</t>
  </si>
  <si>
    <t>ASHEBORO HOUSING AUTHORITY</t>
  </si>
  <si>
    <t>WATER &amp; SEWER AUTHORITY OF CABARRUS CNTY</t>
  </si>
  <si>
    <t>CABARRUS CO PUBLIC HEALTH AUTHORITY</t>
  </si>
  <si>
    <t>BEAUFORT HOUSING AUTHORITY</t>
  </si>
  <si>
    <t>HICKORY CONOVER TOURISM DEV AUTHORITY</t>
  </si>
  <si>
    <t>CHATHAM CO HOUSING AUTHORITY</t>
  </si>
  <si>
    <t>THE NEW EDENTON HOUSING AUTHORITY</t>
  </si>
  <si>
    <t>COASTAL REGIONAL SOLID WASTE MNGT AUTHORITY</t>
  </si>
  <si>
    <t>FAYETTEVILLE METROPOLITAN HOUSING AUTHORITY</t>
  </si>
  <si>
    <t>PIEDMONT TRIAD REG WATER AUTHORITY</t>
  </si>
  <si>
    <t>HOUSING AUTHORITY FOR THE CTY OF KINSTON</t>
  </si>
  <si>
    <t>MARTIN CO TRAVEL &amp; TOURISM AUTHORITY</t>
  </si>
  <si>
    <t>NEW HANOVER AIRPORT AUTHORITY</t>
  </si>
  <si>
    <t>LOWER CAPE FEAR WATER &amp; SEWER AUTHORITY</t>
  </si>
  <si>
    <t>CHOANOKE PUBLIC TRANSPORTATION AUTHORITY</t>
  </si>
  <si>
    <t>ELIZABETH CITY-PASQUOTANK CO AIRPORT AUTHORITY</t>
  </si>
  <si>
    <t>HERTFORD HOUSING AUTHORITY</t>
  </si>
  <si>
    <t>THE NEW REIDSVILLE HOUSING AUTHORITY</t>
  </si>
  <si>
    <t>HOUSING AUTHORITY OF THE CTY OF SALISBURY</t>
  </si>
  <si>
    <t>EASTERN CAROLINA REG'L HOUSING AUTHORITY</t>
  </si>
  <si>
    <t>WILSON COUNTY TOURISM DEVELOPMENT AUTHORITY</t>
  </si>
  <si>
    <t>NEW EDENTON HOUSING AUTHORITY</t>
  </si>
  <si>
    <t>NEW REIDSVILLE HOUSING AUTHORITY</t>
  </si>
  <si>
    <t>BESSEMER CITY ABC BOARD</t>
  </si>
  <si>
    <t>BRUNSWICK COUNTY DEPT OF SOCIAL SERVICES</t>
  </si>
  <si>
    <t>BRUNSWICK COUNTY HEALTH DEPT</t>
  </si>
  <si>
    <t>BURKE COUNTY DEPT OF SOCIAL SERVICES</t>
  </si>
  <si>
    <t>BURKE COUNTY HEALTH DEPT</t>
  </si>
  <si>
    <t>CABARRUS COUNTY PUBLIC HEALTH AUTHORITY</t>
  </si>
  <si>
    <t>CASWELL COUNTY DEPT OF SOCIAL SERVICES</t>
  </si>
  <si>
    <t>CHATHAM COUNTY HOUSING AUTHORITY</t>
  </si>
  <si>
    <t>YANCEY SOIL &amp; WATER CONSERVATION DISTRICT</t>
  </si>
  <si>
    <t>WOODFIN SANITARY WATER AND SEWER DISTRICT</t>
  </si>
  <si>
    <t>WESTERN PIEDMONT COUNCIL OF GOVERNMENTS</t>
  </si>
  <si>
    <t>WATER &amp; SEWER AUTHORITY OF CABARRUS COUNTY</t>
  </si>
  <si>
    <t>VANCE COUNTY ABC BOARD</t>
  </si>
  <si>
    <t>TYRRELL COUNTY ABC BOARD</t>
  </si>
  <si>
    <t>SAINT PAUL'S BOARD OF ALCOHOLIC CONTROL</t>
  </si>
  <si>
    <t>RUTHERFORDTON ABC BOARD</t>
  </si>
  <si>
    <t>RUTHERFORD POLK MCDOWELL DIST BOARD OF HEALTH</t>
  </si>
  <si>
    <t>ROWAN CO SOIL &amp; WATER CONV DISTRICT</t>
  </si>
  <si>
    <t>FAYETTEVILLE PUBLIC WORKS COMMISSION</t>
  </si>
  <si>
    <t>PITT-GREENVILLE CONVENTION &amp; VISTORS BUREAU</t>
  </si>
  <si>
    <t>PERSON CO ABC BOARD</t>
  </si>
  <si>
    <t>OCRACOKE SANITARY DISTRICT</t>
  </si>
  <si>
    <t>OAK ISLAND ABC BOARD</t>
  </si>
  <si>
    <t>NORWOOD ABC BOARD</t>
  </si>
  <si>
    <t>MITCHELL SOIL &amp; WATER CONSERVATION DISTRICT</t>
  </si>
  <si>
    <t>MECKLENBURG EMERGENCY MEDICAL SVCS AGCY</t>
  </si>
  <si>
    <t>MARTIN-TYRRELL-WASHINGTON DISTRICT HEALTH DEPT</t>
  </si>
  <si>
    <t>MAGGIE VALLEY SANITARY DISTRICT</t>
  </si>
  <si>
    <t>LUMBERTON AIRPORT COMMISSION</t>
  </si>
  <si>
    <t>LENOIR ABC BOARD</t>
  </si>
  <si>
    <t>KINSTON-LENOIR CO PUBLIC LIBRARY</t>
  </si>
  <si>
    <t>KERR-TAR REGIONAL COUNCIL OF GOVERNMENTS</t>
  </si>
  <si>
    <t>J C HOLIDAY MEMORIAL LIBRARY</t>
  </si>
  <si>
    <t xml:space="preserve">SALISBURY HOUSING AUTHORITY </t>
  </si>
  <si>
    <t xml:space="preserve">GOLDSBORO HOUSING AUTHORITY </t>
  </si>
  <si>
    <t xml:space="preserve">KINSTON HOUSING AUTHORITY </t>
  </si>
  <si>
    <t>HIGH POINT ABC BOARD</t>
  </si>
  <si>
    <t>HENDERSONVILLE ABC BOARD</t>
  </si>
  <si>
    <t>GREENSBORO ABC BOARD</t>
  </si>
  <si>
    <t>GRANVILLE CO ABC BOARD</t>
  </si>
  <si>
    <t>Measurement date 6/30/2016</t>
  </si>
  <si>
    <t>Recognition period - 4.86 years</t>
  </si>
  <si>
    <t>source : LGERS GASB 68 FYE2017 - Client</t>
  </si>
  <si>
    <t>`</t>
  </si>
  <si>
    <t>Contributions - July 1, 2015 through June 30, 2016</t>
  </si>
  <si>
    <t>Net Pension Liability - Beginning of the Year</t>
  </si>
  <si>
    <t>Net Pension Liability - End of Year</t>
  </si>
  <si>
    <r>
      <t xml:space="preserve">Net DO/DI for Difference Between Projected and Actual Investment Earnings on Plan Investements </t>
    </r>
    <r>
      <rPr>
        <b/>
        <sz val="11"/>
        <color rgb="FFFF0000"/>
        <rFont val="Calibri"/>
        <family val="2"/>
        <scheme val="minor"/>
      </rPr>
      <t>(added by LGC)</t>
    </r>
  </si>
  <si>
    <t>TOTAL</t>
  </si>
  <si>
    <t>Aberdeen, Town Of</t>
  </si>
  <si>
    <t>Ahoskie, Town Of</t>
  </si>
  <si>
    <t>Alamance Community Fire Dist.,Inc</t>
  </si>
  <si>
    <t>Alamance, Village Of</t>
  </si>
  <si>
    <t>Albemarle A.B.C. Board</t>
  </si>
  <si>
    <t>Albemarle Regional Plan. &amp; Develop. Com</t>
  </si>
  <si>
    <t>Albemarle, City Of</t>
  </si>
  <si>
    <t>Alexander County Health Department</t>
  </si>
  <si>
    <t>Alexander County Library</t>
  </si>
  <si>
    <t>Alexander County Welfare Department</t>
  </si>
  <si>
    <t>Alliance Behavioral Healthcare</t>
  </si>
  <si>
    <t>Andrews, Town Of</t>
  </si>
  <si>
    <t>Angier A.B.C. Board</t>
  </si>
  <si>
    <t>Angier, Town Of</t>
  </si>
  <si>
    <t>Ansonville, Town Of</t>
  </si>
  <si>
    <t>Apex, Town Of</t>
  </si>
  <si>
    <t>Appalachian District Health Department</t>
  </si>
  <si>
    <t>Archdale, City Of</t>
  </si>
  <si>
    <t>Archer Lodge, Town Of</t>
  </si>
  <si>
    <t>Asheboro A.B.C. Board</t>
  </si>
  <si>
    <t>Asheboro Housing Authority</t>
  </si>
  <si>
    <t>Asheboro, City Of</t>
  </si>
  <si>
    <t>Asheville A.B.C. Board</t>
  </si>
  <si>
    <t>Asheville, City Of</t>
  </si>
  <si>
    <t>Atlantic Beach, Town Of</t>
  </si>
  <si>
    <t>Aulander, Town Of</t>
  </si>
  <si>
    <t>Aurora, Town Of</t>
  </si>
  <si>
    <t>Autryville, Town Of</t>
  </si>
  <si>
    <t>Avery-Mitchell-Yancey Dist. Library</t>
  </si>
  <si>
    <t>Ayden, Town Of</t>
  </si>
  <si>
    <t>B.H.M. Regional Library</t>
  </si>
  <si>
    <t>Badin, Town Of</t>
  </si>
  <si>
    <t>Bailey, Town Of</t>
  </si>
  <si>
    <t>Bakersville, Town Of</t>
  </si>
  <si>
    <t>Bald Head Island, Village Of</t>
  </si>
  <si>
    <t>Banner Elk, Town Of</t>
  </si>
  <si>
    <t>Bayboro, Town Of</t>
  </si>
  <si>
    <t>Beaufort County A.B.C. Board</t>
  </si>
  <si>
    <t>Beaufort Housing Authority</t>
  </si>
  <si>
    <t>Beaufort, Town Of</t>
  </si>
  <si>
    <t>Beech Mountain, Town Of</t>
  </si>
  <si>
    <t>Belhaven, Town Of</t>
  </si>
  <si>
    <t>Belmont, City Of</t>
  </si>
  <si>
    <t>Belville, Town Of</t>
  </si>
  <si>
    <t>Benson, Town Of</t>
  </si>
  <si>
    <t>Bermuda Run, Town Of</t>
  </si>
  <si>
    <t>Bertie County A.B.C. Board</t>
  </si>
  <si>
    <t>Bessemer City, City Of</t>
  </si>
  <si>
    <t>Bethel, Town Of</t>
  </si>
  <si>
    <t>Beulaville, Town Of</t>
  </si>
  <si>
    <t>Biltmore Forest, Town Of</t>
  </si>
  <si>
    <t>Biscoe, Town Of</t>
  </si>
  <si>
    <t>Black Creek, Town Of</t>
  </si>
  <si>
    <t>Black Mountain A.B.C. Board</t>
  </si>
  <si>
    <t>Black Mountain, Town Of</t>
  </si>
  <si>
    <t>Bladenboro, Town Of</t>
  </si>
  <si>
    <t>Blowing Rock A.B.C. Board</t>
  </si>
  <si>
    <t>Blowing Rock, Town Of</t>
  </si>
  <si>
    <t>Boiling Spring Lakes A.B.C. Board</t>
  </si>
  <si>
    <t>Boiling Spring Lakes, City Of</t>
  </si>
  <si>
    <t>Boiling Springs, Town Of</t>
  </si>
  <si>
    <t>Boone, Town Of</t>
  </si>
  <si>
    <t>Boonville, Town Of</t>
  </si>
  <si>
    <t>Brevard A.B.C. Board</t>
  </si>
  <si>
    <t>Brevard, City Of</t>
  </si>
  <si>
    <t>Bridgeton, Town Of</t>
  </si>
  <si>
    <t>Broadway, Town Of</t>
  </si>
  <si>
    <t>Brookford, Town Of</t>
  </si>
  <si>
    <t>Brunswick County A.B.C. Board</t>
  </si>
  <si>
    <t>Brunswick County Dept of Social Services</t>
  </si>
  <si>
    <t>Brunswick County Health Department</t>
  </si>
  <si>
    <t>Brunswick County Tourism Develop. Authority</t>
  </si>
  <si>
    <t>Brunswick Regional Water and Sewer H2GO</t>
  </si>
  <si>
    <t>Brunswick, Town Of</t>
  </si>
  <si>
    <t>Bryson City A.B.C. Board</t>
  </si>
  <si>
    <t>Bryson City, Town Of</t>
  </si>
  <si>
    <t>Bunn A.B.C. Board</t>
  </si>
  <si>
    <t>Bunn, Town Of</t>
  </si>
  <si>
    <t>Burgaw, Town Of</t>
  </si>
  <si>
    <t>Burke County Dept of Social Services</t>
  </si>
  <si>
    <t>Burke County Health Department</t>
  </si>
  <si>
    <t xml:space="preserve">Burke County Tourism Development Authority </t>
  </si>
  <si>
    <t>Burke-Catawba Dist. Confinement Fa</t>
  </si>
  <si>
    <t>Burlington, City Of</t>
  </si>
  <si>
    <t>Burnsville, Town Of</t>
  </si>
  <si>
    <t>Butner, Town Of</t>
  </si>
  <si>
    <t>Cabarrus Co. Public Health Auth</t>
  </si>
  <si>
    <t>Cabarrus Co. Tourism Auth</t>
  </si>
  <si>
    <t>Cajah's Mountain, Town Of</t>
  </si>
  <si>
    <t>Calabash A.B.C. Board</t>
  </si>
  <si>
    <t>Calabash, Town Of</t>
  </si>
  <si>
    <t>Calypso, Town Of</t>
  </si>
  <si>
    <t>Camden County A.B.C. Board</t>
  </si>
  <si>
    <t>Cameron, Town Of</t>
  </si>
  <si>
    <t>Candor, Town Of</t>
  </si>
  <si>
    <t>Canton A.B.C. Board</t>
  </si>
  <si>
    <t>Canton, Town Of</t>
  </si>
  <si>
    <t>Cape Carteret, Town Of</t>
  </si>
  <si>
    <t>Carolina Beach, Town Of</t>
  </si>
  <si>
    <t>Carolina Shores, Town of</t>
  </si>
  <si>
    <t>Carrboro, Town Of</t>
  </si>
  <si>
    <t>Carteret County A.B.C. Board</t>
  </si>
  <si>
    <t>Carthage, Town Of</t>
  </si>
  <si>
    <t>Cary, Town Of</t>
  </si>
  <si>
    <t>Caswell Beach, Town Of</t>
  </si>
  <si>
    <t>Caswell County A.B.C. Board</t>
  </si>
  <si>
    <t>Caswell County Dept of Social Services</t>
  </si>
  <si>
    <t>Catawba County A.B.C. Board</t>
  </si>
  <si>
    <t>Catawba, Town Of</t>
  </si>
  <si>
    <t>Cedar Point, Town Of</t>
  </si>
  <si>
    <t>Centennial Authority, The</t>
  </si>
  <si>
    <t>Chadbourn, Town Of</t>
  </si>
  <si>
    <t>Chapel Hill, Town Of</t>
  </si>
  <si>
    <t>Charlott Housing Authority</t>
  </si>
  <si>
    <t>Charlotte Fire Ret Sys Board of Trust</t>
  </si>
  <si>
    <t>Charlotte, City Of</t>
  </si>
  <si>
    <t>Charlotte-Mecklenburg Public Libra</t>
  </si>
  <si>
    <t>Chatham County A.B.C. Board</t>
  </si>
  <si>
    <t>Chatham County Housing Authority</t>
  </si>
  <si>
    <t>Cherryville A.B.C. Board</t>
  </si>
  <si>
    <t>Cherryville, City Of</t>
  </si>
  <si>
    <t>China Grove, Town Of</t>
  </si>
  <si>
    <t>Choanoke Public Transportation Authority</t>
  </si>
  <si>
    <t>Chocowinity, Town Of</t>
  </si>
  <si>
    <t>Chowan County A.B.C. Board</t>
  </si>
  <si>
    <t>City of Wilson Cemetery Commission</t>
  </si>
  <si>
    <t>Claremont, Town Of</t>
  </si>
  <si>
    <t>Clarkton, Town Of</t>
  </si>
  <si>
    <t>Clayton, Town Of</t>
  </si>
  <si>
    <t>Clemmons,  Village Of</t>
  </si>
  <si>
    <t>Cleveland County Sanitary District</t>
  </si>
  <si>
    <t>Cleveland, Town Of</t>
  </si>
  <si>
    <t>Clinton A.B.C. Board</t>
  </si>
  <si>
    <t>Clinton, City Of</t>
  </si>
  <si>
    <t>Coastal Care</t>
  </si>
  <si>
    <t>Coastal Regional Waste Management Authority</t>
  </si>
  <si>
    <t>Coats, Town Of</t>
  </si>
  <si>
    <t>Cofield, Town Of</t>
  </si>
  <si>
    <t>Colerain, Town Of</t>
  </si>
  <si>
    <t>Columbia, Town Of</t>
  </si>
  <si>
    <t>Columbus, Town Of</t>
  </si>
  <si>
    <t>Concord A.B.C. Board</t>
  </si>
  <si>
    <t>Concord, City Of</t>
  </si>
  <si>
    <t>Connelly Springs, Town Of</t>
  </si>
  <si>
    <t>Conover, Town Of</t>
  </si>
  <si>
    <t>Contennea Metro Sewer District</t>
  </si>
  <si>
    <t>Conway, Town Of</t>
  </si>
  <si>
    <t>Cooleemee A.B.C. Board</t>
  </si>
  <si>
    <t>Cooleemee, Town Of</t>
  </si>
  <si>
    <t>Cornelius, Town Of</t>
  </si>
  <si>
    <t>Cove City, Town Of</t>
  </si>
  <si>
    <t>Cramerton, Town Of</t>
  </si>
  <si>
    <t>Craven County A.B.C. Board</t>
  </si>
  <si>
    <t>Craven County Airport Authority</t>
  </si>
  <si>
    <t>Creedmoor, City Of</t>
  </si>
  <si>
    <t>Creswell, Town Of</t>
  </si>
  <si>
    <t>Cumberland County A.B.C. Board</t>
  </si>
  <si>
    <t>Currituck County A.B.C. Board</t>
  </si>
  <si>
    <t>Dallas, Town Of</t>
  </si>
  <si>
    <t>Dare County A.B.C. Board</t>
  </si>
  <si>
    <t>Davidson, Town Of</t>
  </si>
  <si>
    <t>Davie Soil &amp; Water Conservation District</t>
  </si>
  <si>
    <t>Denton, Town Of</t>
  </si>
  <si>
    <t>Dobson A.B.C. Board</t>
  </si>
  <si>
    <t>Dobson, Town Of</t>
  </si>
  <si>
    <t>Drexel, Town Of</t>
  </si>
  <si>
    <t>Duck, Town Of</t>
  </si>
  <si>
    <t>Dunn A.B.C. Board</t>
  </si>
  <si>
    <t>Dunn, Town Of</t>
  </si>
  <si>
    <t>Durham Convention and Visitors Bureau</t>
  </si>
  <si>
    <t>Durham County A.B.C. Board</t>
  </si>
  <si>
    <t>Durham Highway Fire Protection Age</t>
  </si>
  <si>
    <t>Durham, City Of</t>
  </si>
  <si>
    <t>East Bend, Town Of</t>
  </si>
  <si>
    <t>East Carolina Behavorial Healthcare</t>
  </si>
  <si>
    <t>East Spencer, Town Of</t>
  </si>
  <si>
    <t>Eastern Carolina Reg. Housing Auth</t>
  </si>
  <si>
    <t>Eastern Wayne Sanitary District</t>
  </si>
  <si>
    <t>Eastover, Town Of</t>
  </si>
  <si>
    <t>Eden A.B.C. Board</t>
  </si>
  <si>
    <t>Eden, City Of</t>
  </si>
  <si>
    <t>Edenton, Town Of</t>
  </si>
  <si>
    <t>Edgecombe County A.B.C. Board</t>
  </si>
  <si>
    <t>Edgecombe-Nash Memorial Library</t>
  </si>
  <si>
    <t>Electricities Of N.C., Inc</t>
  </si>
  <si>
    <t>Elizabeth City - Pasquotank Co. Tourism Dev. Auth.</t>
  </si>
  <si>
    <t>Elizabeth-Pasquotank Co Airport Au</t>
  </si>
  <si>
    <t>Elizabeth-Pasquotank Co Ind Dev Co</t>
  </si>
  <si>
    <t>Elizabethtown A.B.C. Board</t>
  </si>
  <si>
    <t>Elizabethtown, Town Of</t>
  </si>
  <si>
    <t>Elk Park, Town Of</t>
  </si>
  <si>
    <t>Elkin A.B.C. Board</t>
  </si>
  <si>
    <t>Elkin, Town Of</t>
  </si>
  <si>
    <t>Ellenboro, Town Of</t>
  </si>
  <si>
    <t>Ellerbe, Town Of</t>
  </si>
  <si>
    <t>Elm City, Town Of</t>
  </si>
  <si>
    <t>Elon College, Town Of</t>
  </si>
  <si>
    <t>Emerald Isle, Town Of</t>
  </si>
  <si>
    <t>Enfield, Town Of</t>
  </si>
  <si>
    <t>Erwin, Town Of</t>
  </si>
  <si>
    <t>Fair Bluff, Town Of</t>
  </si>
  <si>
    <t>Fairmont, Town Of</t>
  </si>
  <si>
    <t>Faison, Town Of</t>
  </si>
  <si>
    <t>Faith, Town Of</t>
  </si>
  <si>
    <t>Falcon, Town Of</t>
  </si>
  <si>
    <t>Farmville, City Of</t>
  </si>
  <si>
    <t>Fayetteville Metro. Housing Authority</t>
  </si>
  <si>
    <t>Fayetteville Public Works Commission</t>
  </si>
  <si>
    <t>Fayetteville, City Of</t>
  </si>
  <si>
    <t>First Craven Sanitary District</t>
  </si>
  <si>
    <t>Flat Rock, Village Of</t>
  </si>
  <si>
    <t>Fletcher A.B.C. Board</t>
  </si>
  <si>
    <t>Fletcher, Town Of</t>
  </si>
  <si>
    <t>Forest City A.B.C. Board</t>
  </si>
  <si>
    <t>Fork Township Sanitary District</t>
  </si>
  <si>
    <t>Fountain, Town of</t>
  </si>
  <si>
    <t>Four Oaks, Town Of</t>
  </si>
  <si>
    <t>Franklin, Town Of</t>
  </si>
  <si>
    <t>Franklinton A.B.C. Board</t>
  </si>
  <si>
    <t>Franklinton, Town Of</t>
  </si>
  <si>
    <t>Fremont, Town Of</t>
  </si>
  <si>
    <t>Fuquay-Varina, Town Of</t>
  </si>
  <si>
    <t>Garland, Town Of</t>
  </si>
  <si>
    <t>Garner Fire Department</t>
  </si>
  <si>
    <t>Garner, Town Of</t>
  </si>
  <si>
    <t>Garysburg, Town Of</t>
  </si>
  <si>
    <t>Gaston Co. Economic Dev. Commission</t>
  </si>
  <si>
    <t>Gaston, Town Of</t>
  </si>
  <si>
    <t>Gastonia A.B.C. Board</t>
  </si>
  <si>
    <t>Gastonia, City Of</t>
  </si>
  <si>
    <t>Gates County A.B.C. Board</t>
  </si>
  <si>
    <t>Gibson, Town Of</t>
  </si>
  <si>
    <t>Gibsonville A.B.C. Board</t>
  </si>
  <si>
    <t>Gibsonville, Town Of</t>
  </si>
  <si>
    <t>Glen Alpine, Town Of</t>
  </si>
  <si>
    <t>Goldsboro Housing Authority</t>
  </si>
  <si>
    <t>Goldsboro, City Of</t>
  </si>
  <si>
    <t>Graham County Dept of Social Services</t>
  </si>
  <si>
    <t>Graham County Health Department</t>
  </si>
  <si>
    <t>Graham, City Of</t>
  </si>
  <si>
    <t>Granite Falls A.B.C. Board</t>
  </si>
  <si>
    <t>Granite Falls, Town Of</t>
  </si>
  <si>
    <t>Granite Quarry, Town Of</t>
  </si>
  <si>
    <t>Granville County A.B.C. Board</t>
  </si>
  <si>
    <t>Granville-Vance Health District</t>
  </si>
  <si>
    <t>Greater Statesville Development Co</t>
  </si>
  <si>
    <t>Green Level, Town Of</t>
  </si>
  <si>
    <t>Greene County A.B.C. Board</t>
  </si>
  <si>
    <t>Greensboro A.B.C. Board</t>
  </si>
  <si>
    <t>Greensboro, City Of</t>
  </si>
  <si>
    <t>Greenville, City Of</t>
  </si>
  <si>
    <t>Grifton, Town Of</t>
  </si>
  <si>
    <t>Grimesland, Town Of</t>
  </si>
  <si>
    <t>Grover, Town Of</t>
  </si>
  <si>
    <t>Guilford Fire District</t>
  </si>
  <si>
    <t>Guilford, County Of</t>
  </si>
  <si>
    <t>Halifax County A.B.C. Board</t>
  </si>
  <si>
    <t>Hamilton, Town Of</t>
  </si>
  <si>
    <t>Hamlet A.B.C. Board</t>
  </si>
  <si>
    <t>Hamlet, City Of</t>
  </si>
  <si>
    <t>Harrisburg, Town Of</t>
  </si>
  <si>
    <t>Havelock, City Of</t>
  </si>
  <si>
    <t>Haw River, Town Of</t>
  </si>
  <si>
    <t>Henderson County</t>
  </si>
  <si>
    <t>Henderson, City Of</t>
  </si>
  <si>
    <t>Hendersonville A.B.C. Board</t>
  </si>
  <si>
    <t>Hendersonville, City Of</t>
  </si>
  <si>
    <t>Hertford A.B.C. Board</t>
  </si>
  <si>
    <t>Hertford County A.B.C. Board</t>
  </si>
  <si>
    <t>Hertford Housing Authority</t>
  </si>
  <si>
    <t>Hertford, Town Of</t>
  </si>
  <si>
    <t>Hickory Housing Authority</t>
  </si>
  <si>
    <t>Hickory, City Of</t>
  </si>
  <si>
    <t>Hickory/Conover Tourism Dev. Authority</t>
  </si>
  <si>
    <t>High Country Municipal A.B.C. Board</t>
  </si>
  <si>
    <t>High Point A.B.C. Board</t>
  </si>
  <si>
    <t>High Point, City Of</t>
  </si>
  <si>
    <t>Highlands A.B.C. Board</t>
  </si>
  <si>
    <t>Highlands, Town Of</t>
  </si>
  <si>
    <t>Hildebrand, Town Of</t>
  </si>
  <si>
    <t>Hillsborough, Town Of</t>
  </si>
  <si>
    <t>Hobgood, Town Of</t>
  </si>
  <si>
    <t>Hoke County A.B.C. Board</t>
  </si>
  <si>
    <t>Holden Beach, Town Of</t>
  </si>
  <si>
    <t>Holly Ridge, Town Of</t>
  </si>
  <si>
    <t>Holly Springs, Town Of</t>
  </si>
  <si>
    <t>Hookerton, Town Of</t>
  </si>
  <si>
    <t>Hope Mills, Town Of</t>
  </si>
  <si>
    <t>Hudson, Town Of</t>
  </si>
  <si>
    <t>Huntersville, Town Of</t>
  </si>
  <si>
    <t>Hyde County A.B.C. Board</t>
  </si>
  <si>
    <t>Indian Beach, Town Of</t>
  </si>
  <si>
    <t>Indian Trail, Town Of</t>
  </si>
  <si>
    <t>Isothermal Planning &amp; Develop Comm</t>
  </si>
  <si>
    <t>J.C. Holliday Memorial Library</t>
  </si>
  <si>
    <t>Jackson, Town Of</t>
  </si>
  <si>
    <t>Jacksonville, City Of</t>
  </si>
  <si>
    <t>Jamestown, Town Of</t>
  </si>
  <si>
    <t>Jamesville, Town Of</t>
  </si>
  <si>
    <t>Jefferson, Town Of</t>
  </si>
  <si>
    <t>Johnston County A.B.C. Board</t>
  </si>
  <si>
    <t>Johnston County Public Library</t>
  </si>
  <si>
    <t>Jones County A.B.C. Board</t>
  </si>
  <si>
    <t>Jonesville, Town Of</t>
  </si>
  <si>
    <t>Kannapolis, Town Of</t>
  </si>
  <si>
    <t>Kenansville A.B.C. Board</t>
  </si>
  <si>
    <t>Kenansville, Town Of</t>
  </si>
  <si>
    <t>Kenly, Town Of</t>
  </si>
  <si>
    <t>Kernersville, Town Of</t>
  </si>
  <si>
    <t>Kerr-Area Transportation Authority</t>
  </si>
  <si>
    <t>Kerr-Tar Regional Council Of Governments</t>
  </si>
  <si>
    <t>Kill Devil Hills, Town Of</t>
  </si>
  <si>
    <t>King, Town Of</t>
  </si>
  <si>
    <t>Kings Mountain A.B.C. Board</t>
  </si>
  <si>
    <t>Kings Mountain, City Of</t>
  </si>
  <si>
    <t>Kinston Housing Authority</t>
  </si>
  <si>
    <t>Kinston, City Of</t>
  </si>
  <si>
    <t>Kinston-Lenoir County Library</t>
  </si>
  <si>
    <t>Kitty Hawk, Town Of</t>
  </si>
  <si>
    <t>Knightdale, Town Of</t>
  </si>
  <si>
    <t>Kure Beach, Town Of</t>
  </si>
  <si>
    <t>Lagrange, Town Of</t>
  </si>
  <si>
    <t>Lake Lure, Town Of</t>
  </si>
  <si>
    <t>Lake Waccamaw A.B.C. Board</t>
  </si>
  <si>
    <t>Lake Woccamaw, Town Of</t>
  </si>
  <si>
    <t>Landis, Town Of</t>
  </si>
  <si>
    <t>Laurel Park A.B.C. Board</t>
  </si>
  <si>
    <t>Laurel Park, Town Of</t>
  </si>
  <si>
    <t>Laurenburg Housing Authority</t>
  </si>
  <si>
    <t>Laurinburg, City Of</t>
  </si>
  <si>
    <t>Lawndale, Town Of</t>
  </si>
  <si>
    <t>Leland, Town Of</t>
  </si>
  <si>
    <t>Lenoir A.B.C. Board</t>
  </si>
  <si>
    <t>Lenoir County A.B.C. Board</t>
  </si>
  <si>
    <t>Lenoir, City Of</t>
  </si>
  <si>
    <t>Lewiston-Woodville, Town Of</t>
  </si>
  <si>
    <t>Lewisville, Town Of</t>
  </si>
  <si>
    <t>Lexington A.B.C. Board</t>
  </si>
  <si>
    <t>Lexington, City Of</t>
  </si>
  <si>
    <t>Liberty A.B.C. Board</t>
  </si>
  <si>
    <t>Liberty, Town Of</t>
  </si>
  <si>
    <t>Lilesville, Town Of</t>
  </si>
  <si>
    <t>Lillington, Town Of</t>
  </si>
  <si>
    <t>Lincoln County A.B.C. Board</t>
  </si>
  <si>
    <t>Lincolnton A.B.C. Board</t>
  </si>
  <si>
    <t>Lincolnton, City Of</t>
  </si>
  <si>
    <t>Linden, Town Of</t>
  </si>
  <si>
    <t>Littleton, Town Of</t>
  </si>
  <si>
    <t>Locust, City Of</t>
  </si>
  <si>
    <t>Long View, Town Of</t>
  </si>
  <si>
    <t>Louisburg A.B.C. Board</t>
  </si>
  <si>
    <t>Louisburg, Town Of</t>
  </si>
  <si>
    <t>Lowell, Town Of</t>
  </si>
  <si>
    <t>Lucama, Town Of</t>
  </si>
  <si>
    <t>Lumberton A.B.C. Board</t>
  </si>
  <si>
    <t>Lumberton Airport Commission</t>
  </si>
  <si>
    <t>Lumberton, City Of</t>
  </si>
  <si>
    <t>Macclesfield, Town Of</t>
  </si>
  <si>
    <t>Madison A.B.C. Board</t>
  </si>
  <si>
    <t>Madison, Town Of</t>
  </si>
  <si>
    <t>Maggie Valley A.B.C. Board</t>
  </si>
  <si>
    <t>Maggie Valley Sanitary District</t>
  </si>
  <si>
    <t>Maggie Valley, Town Of</t>
  </si>
  <si>
    <t>Magnolia, Town Of</t>
  </si>
  <si>
    <t>Maiden, Town Of</t>
  </si>
  <si>
    <t>Manteo, Town Of</t>
  </si>
  <si>
    <t>Marion A.B.C. Board</t>
  </si>
  <si>
    <t>Marion, Town Of</t>
  </si>
  <si>
    <t>Mars Hill, Town Of</t>
  </si>
  <si>
    <t>Marshall, Town Of</t>
  </si>
  <si>
    <t>Marshville, Town Of</t>
  </si>
  <si>
    <t>Martin County A B C Board</t>
  </si>
  <si>
    <t>Martin County Travel &amp; Tourism Authority</t>
  </si>
  <si>
    <t>Martin-Tyrell-Washington D.H.D</t>
  </si>
  <si>
    <t>Marvin, Village Of</t>
  </si>
  <si>
    <t>Matthews, Town Of</t>
  </si>
  <si>
    <t>Maxton A.B.C. Board</t>
  </si>
  <si>
    <t>Maxton, Town Of</t>
  </si>
  <si>
    <t>Mayodan, Town Of</t>
  </si>
  <si>
    <t>Maysville, Town Of</t>
  </si>
  <si>
    <t>Mcadenville, Town Of</t>
  </si>
  <si>
    <t>McDowell County</t>
  </si>
  <si>
    <t>Mebane, Town Of</t>
  </si>
  <si>
    <t>Mecklenburg County A.B.C. Board</t>
  </si>
  <si>
    <t>Mecklenburg County Ems Agency</t>
  </si>
  <si>
    <t>MI Connection Communications System</t>
  </si>
  <si>
    <t>Micro, Town of</t>
  </si>
  <si>
    <t>Mid-Carolina Council of Governments</t>
  </si>
  <si>
    <t>Middlesex, Town Of</t>
  </si>
  <si>
    <t>Midland, Town of</t>
  </si>
  <si>
    <t>Mills River, Town Of</t>
  </si>
  <si>
    <t>Mineral Springs, Town of</t>
  </si>
  <si>
    <t>Mint Hill, Town Of</t>
  </si>
  <si>
    <t>Misenheimer, Village Of</t>
  </si>
  <si>
    <t>Mitchell Soil &amp; Water Conserv. District</t>
  </si>
  <si>
    <t>Mocksville, Town Of</t>
  </si>
  <si>
    <t>Monroe A.B.C. Board</t>
  </si>
  <si>
    <t>Monroe Housing Authority</t>
  </si>
  <si>
    <t>Monroe, City Of</t>
  </si>
  <si>
    <t>Montgomery-Municipal A.B.C. Board</t>
  </si>
  <si>
    <t>Montreat, Town Of</t>
  </si>
  <si>
    <t>Moore County A.B.C. Board</t>
  </si>
  <si>
    <t>Moore County Tourism Develop. Auth.</t>
  </si>
  <si>
    <t>Mooresville A.B.C. Board</t>
  </si>
  <si>
    <t>Mooresville, City Of</t>
  </si>
  <si>
    <t>Morehead City, Town Of</t>
  </si>
  <si>
    <t>Morganton A.B.C. Board</t>
  </si>
  <si>
    <t>Morganton, City Of</t>
  </si>
  <si>
    <t>Morrisville, Town Of</t>
  </si>
  <si>
    <t>Morven, Town Of</t>
  </si>
  <si>
    <t>Mount Airy, Town Of</t>
  </si>
  <si>
    <t>Mount Gilead, Town Of</t>
  </si>
  <si>
    <t>Mount Olive Housing Authority</t>
  </si>
  <si>
    <t>Mount Olive, Town Of</t>
  </si>
  <si>
    <t>Mount Pleasant, Town Of</t>
  </si>
  <si>
    <t>Mt. Airy Alcoholic Board Of Control</t>
  </si>
  <si>
    <t>Mt. Holly, City Of</t>
  </si>
  <si>
    <t>Mt. Pleasant A.B.C. Board</t>
  </si>
  <si>
    <t>Murfreesboro, Town Of</t>
  </si>
  <si>
    <t>Murphy A.B.C. Board</t>
  </si>
  <si>
    <t>Murphy, Town Of</t>
  </si>
  <si>
    <t>N.C. Association Of County Comm</t>
  </si>
  <si>
    <t>N.C. League Of Municipalities</t>
  </si>
  <si>
    <t>Nags Head, Town Of</t>
  </si>
  <si>
    <t>Nash County A.B.C. Board</t>
  </si>
  <si>
    <t>Nashville, Town Of</t>
  </si>
  <si>
    <t>Neuse Regional Library - Greene County</t>
  </si>
  <si>
    <t>Neuse Regional Library - Jones County</t>
  </si>
  <si>
    <t>New Bern, City Of</t>
  </si>
  <si>
    <t>New Hanover Airport Authority</t>
  </si>
  <si>
    <t>New Hanover County A.B.C. Board</t>
  </si>
  <si>
    <t>New Reidsville Housing Authority</t>
  </si>
  <si>
    <t>Newland, Town Of</t>
  </si>
  <si>
    <t>Newport, Town Of</t>
  </si>
  <si>
    <t>Newton Grove, Town Of</t>
  </si>
  <si>
    <t>Newton, Town Of</t>
  </si>
  <si>
    <t>Norlina, Town Of</t>
  </si>
  <si>
    <t>North Topsail Beach, Town Of</t>
  </si>
  <si>
    <t>North Wilkesboro A.B.C. Board</t>
  </si>
  <si>
    <t>North Wilkesboro, Town Of</t>
  </si>
  <si>
    <t>Northampton County A.B.C. Board</t>
  </si>
  <si>
    <t>Northwest, City Of</t>
  </si>
  <si>
    <t>Norwood A.B.C. Board</t>
  </si>
  <si>
    <t>Norwood, Town Of</t>
  </si>
  <si>
    <t>Oak City, Town Of</t>
  </si>
  <si>
    <t>Oak Island A.B.C. Board</t>
  </si>
  <si>
    <t>Oak Island, Town Of</t>
  </si>
  <si>
    <t>Oak Ridge, Town Of</t>
  </si>
  <si>
    <t>Oakboro, Town Of</t>
  </si>
  <si>
    <t>Ocean Isle A.B.C. Board</t>
  </si>
  <si>
    <t>Ocean Isle Beach, Town Of</t>
  </si>
  <si>
    <t>Ocracoke Sanitary District</t>
  </si>
  <si>
    <t>Old Fort, Town Of</t>
  </si>
  <si>
    <t>Onslow County A.B.C. Board</t>
  </si>
  <si>
    <t>Onslow Water &amp; Sewage Authority</t>
  </si>
  <si>
    <t>Orange County A.B.C. Board</t>
  </si>
  <si>
    <t>Orange Water &amp; Sewer Authority</t>
  </si>
  <si>
    <t>Oriental, Town Of</t>
  </si>
  <si>
    <t>Oxford, City Of</t>
  </si>
  <si>
    <t>Parkton, Town of</t>
  </si>
  <si>
    <t>Pasquotank County A.B.C Board</t>
  </si>
  <si>
    <t>Peachland, Town Of</t>
  </si>
  <si>
    <t>Pembroke, Town Of</t>
  </si>
  <si>
    <t>Pender County A.B.C. Board</t>
  </si>
  <si>
    <t>Person County A.B.C. Board</t>
  </si>
  <si>
    <t>Piedmont Triad Regional Water Authority</t>
  </si>
  <si>
    <t>Pikeville, Town Of</t>
  </si>
  <si>
    <t>Pilot Mountain A.B.C. Board</t>
  </si>
  <si>
    <t>Pilot Mountain, Town Of</t>
  </si>
  <si>
    <t>Pine Knoll Shores, Town Of</t>
  </si>
  <si>
    <t>Pine Level, Town Of</t>
  </si>
  <si>
    <t>Pinebluff, Town Of</t>
  </si>
  <si>
    <t>Pinecroft-Sedgefield Fire District</t>
  </si>
  <si>
    <t>Pinehurst, Village Of</t>
  </si>
  <si>
    <t>Pinetops, Town Of</t>
  </si>
  <si>
    <t>Pineville, Town Of</t>
  </si>
  <si>
    <t>Pink Hill, Town Of</t>
  </si>
  <si>
    <t>Pitt County A.B.C. Board</t>
  </si>
  <si>
    <t>Pitt-Greenville Convention &amp; Visitors Authority</t>
  </si>
  <si>
    <t>Pittsboro, Town Of</t>
  </si>
  <si>
    <t>Pleasant Garden Fire Department</t>
  </si>
  <si>
    <t>Plymouth, Town Of</t>
  </si>
  <si>
    <t>Polkton, Town Of</t>
  </si>
  <si>
    <t>Pollocksville, Town Of</t>
  </si>
  <si>
    <t>Princeton, Town Of</t>
  </si>
  <si>
    <t>Princeville, Town Of</t>
  </si>
  <si>
    <t>Raeford, Town Of</t>
  </si>
  <si>
    <t>Raleigh Housing Authority</t>
  </si>
  <si>
    <t>Raleigh, City Of</t>
  </si>
  <si>
    <t>Ramseur, Town Of</t>
  </si>
  <si>
    <t>Randleman A.B.C. Board</t>
  </si>
  <si>
    <t>Randleman Housing Authority</t>
  </si>
  <si>
    <t>Randleman, City Of</t>
  </si>
  <si>
    <t>Ranlo, Town Of</t>
  </si>
  <si>
    <t>Red Springs A.B.C. Board</t>
  </si>
  <si>
    <t>Red Springs, Town of</t>
  </si>
  <si>
    <t>Reidsville A.B.C. Board</t>
  </si>
  <si>
    <t>Reidsville, Town Of</t>
  </si>
  <si>
    <t>Rich Square, Town Of</t>
  </si>
  <si>
    <t>Richlands, Town Of</t>
  </si>
  <si>
    <t>River Bend, Town Of</t>
  </si>
  <si>
    <t>Roanoke Rapids, City Of</t>
  </si>
  <si>
    <t>Robbins, Town Of</t>
  </si>
  <si>
    <t>Robbinsville, Town of</t>
  </si>
  <si>
    <t>Robersonville, Town Of</t>
  </si>
  <si>
    <t>Rockingham A.B.C. Board</t>
  </si>
  <si>
    <t>Rockingham, City Of</t>
  </si>
  <si>
    <t>Rockwell, Town Of</t>
  </si>
  <si>
    <t>Rocky Mount Housing Authority</t>
  </si>
  <si>
    <t>Rocky Mount, City Of</t>
  </si>
  <si>
    <t>Rolesville, Town Of</t>
  </si>
  <si>
    <t>Roper, Town Of</t>
  </si>
  <si>
    <t>Rose Hill, Town Of</t>
  </si>
  <si>
    <t>Roseboro A.B.C. Board</t>
  </si>
  <si>
    <t>Roseboro, Town Of</t>
  </si>
  <si>
    <t>Rowan Convention and Visitors Bureau</t>
  </si>
  <si>
    <t>Rowan County A.B.C. Board</t>
  </si>
  <si>
    <t>Rowan County Housing Authority</t>
  </si>
  <si>
    <t>Rowan Soil and Water Conservation. Dist</t>
  </si>
  <si>
    <t>Rowland, Town Of</t>
  </si>
  <si>
    <t>Roxboro, City Of</t>
  </si>
  <si>
    <t>Rural Hall, Town Of</t>
  </si>
  <si>
    <t>Rutherford College, Town of</t>
  </si>
  <si>
    <t>Rutherford-Polk-Mc Dowell D.H.D</t>
  </si>
  <si>
    <t>Rutherfordton A.B.C. Board</t>
  </si>
  <si>
    <t>Rutherfordton, Town Of</t>
  </si>
  <si>
    <t>Saint Paul's A.B.C. Board</t>
  </si>
  <si>
    <t>Salemburg, Town Of</t>
  </si>
  <si>
    <t>Salisbury Housing Authority</t>
  </si>
  <si>
    <t>Salisbury, City Of</t>
  </si>
  <si>
    <t>Saluda, Town Of</t>
  </si>
  <si>
    <t>Sanford A.B.C. Board</t>
  </si>
  <si>
    <t>Sanford, City Of</t>
  </si>
  <si>
    <t>Sawmills, Town Of</t>
  </si>
  <si>
    <t>Scotland County A.B.C. Board</t>
  </si>
  <si>
    <t>Scotland Neck, Town Of</t>
  </si>
  <si>
    <t>Seaboard, Town Of</t>
  </si>
  <si>
    <t>Selma, Town Of</t>
  </si>
  <si>
    <t>Seven Devils, Town Of</t>
  </si>
  <si>
    <t>Severn, Town Of</t>
  </si>
  <si>
    <t>Shallotte A.B.C. Board</t>
  </si>
  <si>
    <t>Shallotte, Town Of</t>
  </si>
  <si>
    <t>Sharpsburg, Town of</t>
  </si>
  <si>
    <t>Shelby A.B.C. Board</t>
  </si>
  <si>
    <t>Shelby, City Of</t>
  </si>
  <si>
    <t>Siler City A.B.C. Board</t>
  </si>
  <si>
    <t>Siler City, Town Of</t>
  </si>
  <si>
    <t>Simpson, Village Of</t>
  </si>
  <si>
    <t>Skyland Volunteer Fire Department</t>
  </si>
  <si>
    <t>Smithfield, Town Of</t>
  </si>
  <si>
    <t>Smoky Mountain Mental Health Center</t>
  </si>
  <si>
    <t>Snow Hill, Town Of</t>
  </si>
  <si>
    <t>South Granville Water and Sewer Authority</t>
  </si>
  <si>
    <t>Southeastern Economic Develop. Com</t>
  </si>
  <si>
    <t>Southern Pines, Town Of</t>
  </si>
  <si>
    <t>Southern Shores, Town Of</t>
  </si>
  <si>
    <t>Southport A.B.C. Board</t>
  </si>
  <si>
    <t>Southport, City Of</t>
  </si>
  <si>
    <t>Southwestern Plan. &amp; Econ. Dev. Co</t>
  </si>
  <si>
    <t>Sparta A.B.C. Board</t>
  </si>
  <si>
    <t>Sparta, Town Of</t>
  </si>
  <si>
    <t>Spencer, Town Of</t>
  </si>
  <si>
    <t>Spindale, Town Of</t>
  </si>
  <si>
    <t>Spring Hope, Town Of</t>
  </si>
  <si>
    <t>Spring Lake, Town Of</t>
  </si>
  <si>
    <t>Spruce Pine, Town Of</t>
  </si>
  <si>
    <t>St. James, Town Of</t>
  </si>
  <si>
    <t>St. Pauls, Town Of</t>
  </si>
  <si>
    <t>Stallings, Town Of</t>
  </si>
  <si>
    <t>Stanfield, Town Of</t>
  </si>
  <si>
    <t>Stanley, Town Of</t>
  </si>
  <si>
    <t>Stantonsburg, Town Of</t>
  </si>
  <si>
    <t>Star, Town Of</t>
  </si>
  <si>
    <t>Statesville A.B.C. Board</t>
  </si>
  <si>
    <t>Statesville, City Of</t>
  </si>
  <si>
    <t>Stedman, Town Of</t>
  </si>
  <si>
    <t>Stoneville, Town Of</t>
  </si>
  <si>
    <t>Stovall, Town Of</t>
  </si>
  <si>
    <t>Sugar Mountain, Town Of</t>
  </si>
  <si>
    <t>Summerfield, Town Of</t>
  </si>
  <si>
    <t>Sunset Beach A.B.C. Board</t>
  </si>
  <si>
    <t>Sunset Beach, Town Of</t>
  </si>
  <si>
    <t>Swansboro, Town Of</t>
  </si>
  <si>
    <t>Sylva, Town Of</t>
  </si>
  <si>
    <t>Tabor City, Town Of</t>
  </si>
  <si>
    <t>Tarboro, Town Of</t>
  </si>
  <si>
    <t>Taylorsville, Town Of</t>
  </si>
  <si>
    <t>Taylortown, Town Of</t>
  </si>
  <si>
    <t>Teachey, Town Of</t>
  </si>
  <si>
    <t>The New Edenton Housing Authority</t>
  </si>
  <si>
    <t>Thomasville, City Of</t>
  </si>
  <si>
    <t>Tobaccoville,  Village Of</t>
  </si>
  <si>
    <t xml:space="preserve">Toe River District Health Department </t>
  </si>
  <si>
    <t>Topsail Beach, Town Of</t>
  </si>
  <si>
    <t>Trent Woods, Town Of</t>
  </si>
  <si>
    <t>Trinity, City Of</t>
  </si>
  <si>
    <t>Troutman, Town Of</t>
  </si>
  <si>
    <t>Troy, Town Of</t>
  </si>
  <si>
    <t>Tryon, Town Of</t>
  </si>
  <si>
    <t>Tuckaseigee Water And Sewer Auth</t>
  </si>
  <si>
    <t>Turkey, Town Of</t>
  </si>
  <si>
    <t>Tyrrell County A.B.C. Board</t>
  </si>
  <si>
    <t>Unionville, Town of</t>
  </si>
  <si>
    <t>Upper Coastal Plain Council of Governments</t>
  </si>
  <si>
    <t>Valdese, Town Of</t>
  </si>
  <si>
    <t>Vance County A.B.C. Board</t>
  </si>
  <si>
    <t>Vanceboro, Town Of</t>
  </si>
  <si>
    <t>Vass, Town Of</t>
  </si>
  <si>
    <t>Wade, Town Of</t>
  </si>
  <si>
    <t>Wadesboro A.B.C. Board</t>
  </si>
  <si>
    <t>Wadesboro, Town Of</t>
  </si>
  <si>
    <t>Wagram, Town Of</t>
  </si>
  <si>
    <t>Wake County A.B.C. Board</t>
  </si>
  <si>
    <t>Wake Forest, Town Of</t>
  </si>
  <si>
    <t>Walkertown, Town Of</t>
  </si>
  <si>
    <t>Wallace A.B.C. Board</t>
  </si>
  <si>
    <t>Wallace, Town Of</t>
  </si>
  <si>
    <t>Walnut Cove A.B.C. Board</t>
  </si>
  <si>
    <t>Walnut Cove, Town Of</t>
  </si>
  <si>
    <t>Walnut Creek, Village Of</t>
  </si>
  <si>
    <t>Walstonburg, Town Of</t>
  </si>
  <si>
    <t>Warren County A.B.C. Board</t>
  </si>
  <si>
    <t>Warrenton, Town Of</t>
  </si>
  <si>
    <t>Warsaw A.B.C. Board</t>
  </si>
  <si>
    <t>Warsaw, Town Of</t>
  </si>
  <si>
    <t>Washington County A.B.C. Board</t>
  </si>
  <si>
    <t>Washington Park, Town Of</t>
  </si>
  <si>
    <t>Washington, City Of</t>
  </si>
  <si>
    <t>Watauga County Tourism Develop. Auth.</t>
  </si>
  <si>
    <t>Water &amp; Sewer Authority Of Cabarrus County</t>
  </si>
  <si>
    <t>Waxhaw A.B.C. Board</t>
  </si>
  <si>
    <t>Waxhaw, Town Of</t>
  </si>
  <si>
    <t>Wayne County A.B.C. Board</t>
  </si>
  <si>
    <t>Waynesville A.B.C. Board</t>
  </si>
  <si>
    <t>Waynesville, Town Of</t>
  </si>
  <si>
    <t>Weaverville A.B.C. Board</t>
  </si>
  <si>
    <t>Weaverville, Town Of</t>
  </si>
  <si>
    <t>Weddington, Town Of</t>
  </si>
  <si>
    <t>Weldon, Town Of</t>
  </si>
  <si>
    <t>Wendell, Town Of</t>
  </si>
  <si>
    <t>Wesley Chapel, Village Of</t>
  </si>
  <si>
    <t>West Buncombe Fire Department</t>
  </si>
  <si>
    <t>West Jefferson, Town Of</t>
  </si>
  <si>
    <t>Westarea Volunteer Fire Department</t>
  </si>
  <si>
    <t>Western Cartert Interlocal Agency</t>
  </si>
  <si>
    <t>Western NC Regional Air Pollution Control</t>
  </si>
  <si>
    <t>Western Piedmont Council of Governments</t>
  </si>
  <si>
    <t>Whispering Pines, Village Of</t>
  </si>
  <si>
    <t>Whitakers, Town Of</t>
  </si>
  <si>
    <t>White Lake, Town Of</t>
  </si>
  <si>
    <t>Whiteville A.B.C. Board</t>
  </si>
  <si>
    <t>Whiteville, City Of</t>
  </si>
  <si>
    <t>Wilkesboro A.B.C. Board</t>
  </si>
  <si>
    <t>Wilkesboro, Town Of</t>
  </si>
  <si>
    <t>Williamston, City Of</t>
  </si>
  <si>
    <t>Wilmington, City Of</t>
  </si>
  <si>
    <t>Wilson County A.B.C. Board</t>
  </si>
  <si>
    <t>Wilson County Tourism Develop. Authority</t>
  </si>
  <si>
    <t>Wilson Economic Development Council</t>
  </si>
  <si>
    <t>Wilson, City Of</t>
  </si>
  <si>
    <t>Wilson's Mills, Town Of</t>
  </si>
  <si>
    <t>Windsor, Town Of</t>
  </si>
  <si>
    <t>Winfall, Town Of</t>
  </si>
  <si>
    <t>Wingate, Town Of</t>
  </si>
  <si>
    <t>Winston-Salem, City Of</t>
  </si>
  <si>
    <t>Winterville, Town Of</t>
  </si>
  <si>
    <t>Winton, Town Of</t>
  </si>
  <si>
    <t>Woodfin Sanitary Water &amp; Sewer District</t>
  </si>
  <si>
    <t>Woodfin, Town Of</t>
  </si>
  <si>
    <t>Woodland, Town Of</t>
  </si>
  <si>
    <t>Wrightsville Beach, Town Of</t>
  </si>
  <si>
    <t>Yadkinville, Town Of</t>
  </si>
  <si>
    <t>Yancey Soil &amp; Water Conservation District</t>
  </si>
  <si>
    <t>Yanceyville, Town Of</t>
  </si>
  <si>
    <t>Youngsville, Town Of</t>
  </si>
  <si>
    <t>Zebulon, Town Of</t>
  </si>
  <si>
    <t>FY 2017 Total Contributions</t>
  </si>
  <si>
    <t>Totals:</t>
  </si>
  <si>
    <r>
      <t xml:space="preserve">Step 4 - In cells C29, C33, and, if applicable, C31, enter your employer contributions to LGERS made for the period indicated. </t>
    </r>
    <r>
      <rPr>
        <b/>
        <sz val="10"/>
        <color rgb="FFFF0000"/>
        <rFont val="Arial"/>
        <family val="2"/>
      </rPr>
      <t xml:space="preserve"> PLEASE NOTE - only enter your normal and accrued liability LGERS contributions related to the LGERS plan.  Do not include contributions for health plan, death plan, etc.</t>
    </r>
  </si>
  <si>
    <t>MOUNT OLIVE HOUSING AUTHORITY</t>
  </si>
  <si>
    <t>MOUNT PLEASANT ABC BOARD</t>
  </si>
  <si>
    <t>FOUNTAIN</t>
  </si>
  <si>
    <t xml:space="preserve">Following participants have been added for consistency - </t>
  </si>
  <si>
    <t xml:space="preserve">Following participants have been added by LGC for consistency - </t>
  </si>
  <si>
    <t>96519M</t>
  </si>
  <si>
    <t>92509M</t>
  </si>
  <si>
    <t>92513M</t>
  </si>
  <si>
    <t>TRILLIUM HEALTH RESOURCES (INCLUDES EAST CAROLINA BEHAVIORAL HEALTHCARE AND COASTALCARE)</t>
  </si>
  <si>
    <t>97461M</t>
  </si>
  <si>
    <t>97463M</t>
  </si>
  <si>
    <t>98414M</t>
  </si>
  <si>
    <t>71786M</t>
  </si>
  <si>
    <t>98604M</t>
  </si>
  <si>
    <t>98647M</t>
  </si>
  <si>
    <t>Check total</t>
  </si>
  <si>
    <t>ELKIN ABC BOARD (merged with Yadkin Valley ABC Board)</t>
  </si>
  <si>
    <t>YADKIN VALLEY ABC BOARD (includes Elkin ABC Board)</t>
  </si>
  <si>
    <t>TOTALS</t>
  </si>
  <si>
    <t>Tab</t>
  </si>
  <si>
    <t>Info</t>
  </si>
  <si>
    <t>A3</t>
  </si>
  <si>
    <t>C15</t>
  </si>
  <si>
    <t>D31</t>
  </si>
  <si>
    <t>HIDE CELLS IN YELLOW</t>
  </si>
  <si>
    <t>A50</t>
  </si>
  <si>
    <t>A51</t>
  </si>
  <si>
    <t>A52</t>
  </si>
  <si>
    <t>A53</t>
  </si>
  <si>
    <t>B50</t>
  </si>
  <si>
    <t>B51</t>
  </si>
  <si>
    <t>B52</t>
  </si>
  <si>
    <t>B53</t>
  </si>
  <si>
    <t>I52</t>
  </si>
  <si>
    <t>I49</t>
  </si>
  <si>
    <t>I50</t>
  </si>
  <si>
    <t>I51</t>
  </si>
  <si>
    <t>J49</t>
  </si>
  <si>
    <t>J50</t>
  </si>
  <si>
    <t>J51</t>
  </si>
  <si>
    <t>J52</t>
  </si>
  <si>
    <t>A58</t>
  </si>
  <si>
    <t>A59</t>
  </si>
  <si>
    <t>A60</t>
  </si>
  <si>
    <t>A61</t>
  </si>
  <si>
    <t>JE Template</t>
  </si>
  <si>
    <t>Tab Name</t>
  </si>
  <si>
    <t>update for current year</t>
  </si>
  <si>
    <t>B6</t>
  </si>
  <si>
    <t>B19</t>
  </si>
  <si>
    <t>B28</t>
  </si>
  <si>
    <t>F11 through F21</t>
  </si>
  <si>
    <t>F22 through F28</t>
  </si>
  <si>
    <t>Find FY 2019 and replace with FY__</t>
  </si>
  <si>
    <t>Find FY 2018 and replace with FY__</t>
  </si>
  <si>
    <t>Find 2019 and replace with 20__</t>
  </si>
  <si>
    <t>Find 2018 and replace with 20__</t>
  </si>
  <si>
    <t>G11 through G21</t>
  </si>
  <si>
    <t>G22 through G28</t>
  </si>
  <si>
    <t>H11 through V21</t>
  </si>
  <si>
    <t>Find 2017 and replace with 20__</t>
  </si>
  <si>
    <t>A33</t>
  </si>
  <si>
    <t>This should be the CY</t>
  </si>
  <si>
    <t>This should by CY</t>
  </si>
  <si>
    <t>This should be CY-1</t>
  </si>
  <si>
    <t>CYE</t>
  </si>
  <si>
    <t>CYE-3mo</t>
  </si>
  <si>
    <t>CYE- 6mo</t>
  </si>
  <si>
    <t>CYE-9mo</t>
  </si>
  <si>
    <t>PYE</t>
  </si>
  <si>
    <t>PYE-9mo</t>
  </si>
  <si>
    <t>PYE- 6mo</t>
  </si>
  <si>
    <t>PYE-3mo</t>
  </si>
  <si>
    <t>PY</t>
  </si>
  <si>
    <t>CY</t>
  </si>
  <si>
    <t>Add CY tab for Summary, PY tab for LGERS Contributions and replace Deferred Amort MD with PY info</t>
  </si>
  <si>
    <t>E58</t>
  </si>
  <si>
    <t>F58</t>
  </si>
  <si>
    <t>G58</t>
  </si>
  <si>
    <t>E59</t>
  </si>
  <si>
    <t>G59</t>
  </si>
  <si>
    <t>Current discount rate from the Actuary</t>
  </si>
  <si>
    <t>Current discount rate from the Actuary -1%</t>
  </si>
  <si>
    <t>Current discount rate from the Actuary+ 1%</t>
  </si>
  <si>
    <t>A1</t>
  </si>
  <si>
    <t>Measurement date 6/30/2019</t>
  </si>
  <si>
    <t>C2</t>
  </si>
  <si>
    <t>FY 2019 Total Contributions</t>
  </si>
  <si>
    <t>A2</t>
  </si>
  <si>
    <t>LGERS Contributions FY 2019</t>
  </si>
  <si>
    <t>This should be the PY</t>
  </si>
  <si>
    <t>This should by FY CY …ending June 30, PY</t>
  </si>
  <si>
    <t>Location</t>
  </si>
  <si>
    <t>NOTES</t>
  </si>
  <si>
    <t>Update/Task</t>
  </si>
  <si>
    <t>update name for prior year</t>
  </si>
  <si>
    <t>LGERS Contributions</t>
  </si>
  <si>
    <t>Copy the most recent sheet and name it the next year</t>
  </si>
  <si>
    <t>SUMMARY</t>
  </si>
  <si>
    <t>CY Summary</t>
  </si>
  <si>
    <r>
      <t>+VLOOKUP(A8,'</t>
    </r>
    <r>
      <rPr>
        <sz val="11"/>
        <color rgb="FFFF0000"/>
        <rFont val="Calibri"/>
        <family val="2"/>
        <scheme val="minor"/>
      </rPr>
      <t>20PY</t>
    </r>
    <r>
      <rPr>
        <sz val="11"/>
        <color theme="1"/>
        <rFont val="Calibri"/>
        <family val="2"/>
        <scheme val="minor"/>
      </rPr>
      <t xml:space="preserve"> summary'!$A$8:$T$927,4,FALSE)</t>
    </r>
  </si>
  <si>
    <t>D50-D53</t>
  </si>
  <si>
    <t>Change tab name to 20CY</t>
  </si>
  <si>
    <t>Unhide rows and columns</t>
  </si>
  <si>
    <t>manually key correct dates</t>
  </si>
  <si>
    <t>any cell formatted a shade of</t>
  </si>
  <si>
    <t>then the formula should refer to the current year</t>
  </si>
  <si>
    <t>then the formula should refer to the prior year</t>
  </si>
  <si>
    <t>then the formula should refer to the prior year 2 back</t>
  </si>
  <si>
    <t>then the formula should refer to the prior year 3 back</t>
  </si>
  <si>
    <t>TOWN OF RHODHISS</t>
  </si>
  <si>
    <t>MOCKSVILLE-COOLEEMEE ABC BOARD</t>
  </si>
  <si>
    <t>IREDELL ECONOMIC DEVELOPMENT</t>
  </si>
  <si>
    <t>ROXBORO HOUSING AUTHORITY</t>
  </si>
  <si>
    <t>name from FOD different</t>
  </si>
  <si>
    <t>on 2018 list but NOT on 2019 from FOD</t>
  </si>
  <si>
    <t>NOT on 2018 list but on 2019 from FOD</t>
  </si>
  <si>
    <t>Name different on FOD</t>
  </si>
  <si>
    <t>Data validation: C26, C28</t>
  </si>
  <si>
    <t>Data Validation for Info tab Chose Your Agency, Additional Agency, Agency Number: C20, C21,C23,C24</t>
  </si>
  <si>
    <t>C20</t>
  </si>
  <si>
    <t>ref s/b to CY Summary tab</t>
  </si>
  <si>
    <t>C21</t>
  </si>
  <si>
    <t>C23</t>
  </si>
  <si>
    <t>C24</t>
  </si>
  <si>
    <t>Data Validation for Info tab Chose Your Agency</t>
  </si>
  <si>
    <t>Data Validation for Info tab Additional Agency</t>
  </si>
  <si>
    <t>Data Validation for Info tab  Agency Number</t>
  </si>
  <si>
    <t>Data Validation for Info tab  Additional Agency Number</t>
  </si>
  <si>
    <t>refers to measurement date</t>
  </si>
  <si>
    <t>This should be the CY or CY+1?????</t>
  </si>
  <si>
    <t>May only be Data Validation for ROD Template</t>
  </si>
  <si>
    <t>Copy most recent sheet and rename it the CY, drop in numbers from OA when report available</t>
  </si>
  <si>
    <t>Comes from Section 8 of  actuarial valuation</t>
  </si>
  <si>
    <t>Comes from OSA</t>
  </si>
  <si>
    <t>YANCEY SOIL AND WATER CONSERVATION</t>
  </si>
  <si>
    <t>APPALACHIAN DISTRICT HEALTH DEPARTMENT</t>
  </si>
  <si>
    <t>ALEXANDER COUNTY HEALTH DEPARTMENT</t>
  </si>
  <si>
    <t>ALEXANDER COUNTY DEPT OF SOCIAL SERVICES</t>
  </si>
  <si>
    <t>AVERY-MITCHELL-YANCEY REGIONAL LIBRARY</t>
  </si>
  <si>
    <t>BERTIE-MARTIN REGIONAL JAIL COMMISSION</t>
  </si>
  <si>
    <t>SOUTH EASTERN ECONOMIC DEVELOPMENT COMMISSION</t>
  </si>
  <si>
    <t>BRUNSWICK COUNTY HEALTH DEPARTMENT</t>
  </si>
  <si>
    <t>BRUNSWICK COUNTY DEPARTMENT OF SOCIAL SERVICES</t>
  </si>
  <si>
    <t>CITY OF BOILING SPRING LAKES</t>
  </si>
  <si>
    <t>WESTERN NORTH CAROLINA REGIONAL AIR QUALITY</t>
  </si>
  <si>
    <t>METRO SEWERAGE DISTRICT OF BUNCOMBE COUNTY</t>
  </si>
  <si>
    <t xml:space="preserve">WEST BUNCOMBE FIRE DEPARTMENT </t>
  </si>
  <si>
    <t>SKYLAND VOLUNTEER FIRE DEPARTMENT</t>
  </si>
  <si>
    <t>BLACK MOUNTAIN ABC BOARD</t>
  </si>
  <si>
    <t>BURKE-CATAWBA DISTRICT CONFINEMENT</t>
  </si>
  <si>
    <t>BURKE COUNTY HEALTH DEPARTMENT</t>
  </si>
  <si>
    <t>BURKE COUNTY DEPTARTMENT OF SOCIAL SERVICES</t>
  </si>
  <si>
    <t>BURKE COUNTY TOURISM DEVELOPMENT AUTHORITY</t>
  </si>
  <si>
    <t>WATER AND SEWER AUTH OF CABARRUS COUNTY</t>
  </si>
  <si>
    <t>CITY OF LENOIR ABC BOARD</t>
  </si>
  <si>
    <t>CASWELL COUNTY DEPTARTMENT OF SOCIAL SERVICES</t>
  </si>
  <si>
    <t>HICKORY CONOVER TOURISM DEVELOPMENT AUTHORITY</t>
  </si>
  <si>
    <t>ALBEMARLE REGIONAL PLANNING AND DEV COMMISSION</t>
  </si>
  <si>
    <t>FIRST CRAVEN SANITARY DISTRICT</t>
  </si>
  <si>
    <t>CRAVEN COUNTY ABC BOARD</t>
  </si>
  <si>
    <t>COASTAL REGIONAL SOLID WASTE MANAGEMENT AUTH</t>
  </si>
  <si>
    <t>WESTAREA VOLUNTEER FIRE DEPARTMENT</t>
  </si>
  <si>
    <t>CUMBERLAND COUNTY ABC BOARD</t>
  </si>
  <si>
    <t>PUBLIC WORKS COMMISSION CITY OF FAYETTEVILLE</t>
  </si>
  <si>
    <t>CURRITUCK COUNTY ABC BOARD</t>
  </si>
  <si>
    <t>DAVIE SOIL AND WATER CONSERVATION DISTRICT</t>
  </si>
  <si>
    <t>WALLACE ABC BOARD</t>
  </si>
  <si>
    <t>DURHAM CONVENTION AND VISITORS BUREAU</t>
  </si>
  <si>
    <t>ROCKY MOUNT HOUSING AUTHORITY</t>
  </si>
  <si>
    <t>GASTON COUNTY ECONOMIC DEVELOPMENT COMMISSION</t>
  </si>
  <si>
    <t>GRAHAM COUNTY HEALTH DEPARTMENT</t>
  </si>
  <si>
    <t>GRAHAM COUNTY DEPARTMENT OF SOCIAL SERVICES</t>
  </si>
  <si>
    <t>GRANVILLE COUNTY ABC BOARD</t>
  </si>
  <si>
    <t>PINECROFT-SEDGEFIELD FIRE DISTRICT INC</t>
  </si>
  <si>
    <t>ALAMANCE COMMUNITY FIRE DISTRICT</t>
  </si>
  <si>
    <t>PIEDMONT TRIAD REGIONAL WATER AUTHORITY</t>
  </si>
  <si>
    <t>GREATER STATESVILLE DEVELOPMENT CORPORATION</t>
  </si>
  <si>
    <t>SOUTHWESTERN NC PLANNING &amp; ECONOMIC DEV COMM</t>
  </si>
  <si>
    <t>PUBLIC LIBRARY OF JOHNSTON COUNTY AND SMITHFIELD</t>
  </si>
  <si>
    <t>HOUSING AUTHORITY FOR THE CITY OF KINSTON</t>
  </si>
  <si>
    <t>KINSTON-LENOIR COUNTY PUBLIC LIBRARY</t>
  </si>
  <si>
    <t>MARTIN COUNTY TRAVEL AND TOURISM AUTHORITY</t>
  </si>
  <si>
    <t>PLEASANT GARDEN FIRE DEPARTMENT</t>
  </si>
  <si>
    <t>MECKLENBURG EMERGENCY MEDICAL SERVICES AGENCY</t>
  </si>
  <si>
    <t>CHARLOTTE FIREMEN'S RETIREMENT SYSTEM</t>
  </si>
  <si>
    <t>LOWER CAPE FEAR WATER AND SEWER AUTHORITY</t>
  </si>
  <si>
    <t>TOWN OF NORTH TOPSAIL BEACH</t>
  </si>
  <si>
    <t>PASQUOTANK COUNTY ABC BOARD</t>
  </si>
  <si>
    <t>ELIZABETH CITY-PASQUOTANK COUNTY AIRPORT AUTH</t>
  </si>
  <si>
    <t>ELIZABETH CITY-PASQUOTANK COUNTY IND DEV COMM</t>
  </si>
  <si>
    <t>PERSON COUNTY ABC BOARD</t>
  </si>
  <si>
    <t>PITT-GREENVILLE CONVENTION AND VISTORS</t>
  </si>
  <si>
    <t>CONTENNEA METROPOLITAN SEWERAGE DISTRICT</t>
  </si>
  <si>
    <t>ST PAUL'S BOARD OF ALCOHOLIC CONTROL</t>
  </si>
  <si>
    <t>MADISON-MAYODAN RECREATION COMMISSION</t>
  </si>
  <si>
    <t>ROWAN COUNTY HOUSING AUTHORITY</t>
  </si>
  <si>
    <t>ROWAN COUNTY SOIL &amp; WATER CONSERVATION DISTRICT</t>
  </si>
  <si>
    <t>HOUSING AUTHORITY OF THE CITY OF SALISBURY</t>
  </si>
  <si>
    <t>ISOTHERMAL PLANNING AND DEV COMMISSION</t>
  </si>
  <si>
    <t>DOBSON ABC BOARD</t>
  </si>
  <si>
    <t>ELECTRICITIES OF NORTH CAROLINA</t>
  </si>
  <si>
    <t>DURHAM HIGHWAY FIRE PROTECTION ASSOCIATION</t>
  </si>
  <si>
    <t>GARNER FIRE DEPARTMENT</t>
  </si>
  <si>
    <t>WATAUGA COUNTY DISTRICT U TOURISM DEV AUTH</t>
  </si>
  <si>
    <t>BLOWING ROCK ABC BOARD</t>
  </si>
  <si>
    <t>FORK TOWNSHIP SANITARY DISTRICT</t>
  </si>
  <si>
    <t>EASTERN CAROLINA REGIONAL HOUSING AUTHORITY</t>
  </si>
  <si>
    <t>EASTERN WAYNE SANITARY DISTRICT</t>
  </si>
  <si>
    <t>TOWN OF NORTH WILKESBORO</t>
  </si>
  <si>
    <t>TOWN OF NORTH WILKESBORO ABC BOARD</t>
  </si>
  <si>
    <t>WILSON ECONOMIC DEVELOPMENT COUNCIL</t>
  </si>
  <si>
    <t>NORTH CAROLINA ASSOC OF COUNTY COMMISSIONERS</t>
  </si>
  <si>
    <t>NORTH CAROLINA LEAGUE OF MUNICIPALITIES</t>
  </si>
  <si>
    <t>CUMBERLAND MEMORIAL AUDITORIUM COMMISSION</t>
  </si>
  <si>
    <t>GLOBAL TRANSPARK DEVELOPMENT COMMISSION</t>
  </si>
  <si>
    <t>TOWN OF FOUNTAIN</t>
  </si>
  <si>
    <t>VLOOKUP($A3,'[201-301 LGERS GASB 68 Tables for RSD_ORIGINAL FROM CMC.xlsx]App C Total'!$A$4:$I$97,5,FALSE)</t>
  </si>
  <si>
    <t>Def Amort</t>
  </si>
  <si>
    <t>zeros</t>
  </si>
  <si>
    <t>merged with another unit?</t>
  </si>
  <si>
    <t>JACKSON COUNTY TOURISM DEVELOPMENT AUTHORITY</t>
  </si>
  <si>
    <t>Measurement date 6/30/2021</t>
  </si>
  <si>
    <t>2021 Summary - CY</t>
  </si>
  <si>
    <t>FY 06/30/21</t>
  </si>
  <si>
    <t>ALLIANCE HEALTH</t>
  </si>
  <si>
    <t>INLIVIAN HOUSING</t>
  </si>
  <si>
    <t>CHARLOTTE REGIONAL VISITORS AUTH.</t>
  </si>
  <si>
    <t>FOOTHILLS HEALTH DISTRICT</t>
  </si>
  <si>
    <t>WAKE COUNTY GOVERMENT</t>
  </si>
  <si>
    <t>Deferred Amort MD 6-30-20</t>
  </si>
  <si>
    <t>Find 6-30-19 and replace with 6-30-20</t>
  </si>
  <si>
    <t>FY 2020 Total Contributions</t>
  </si>
  <si>
    <t>merged with another unit</t>
  </si>
  <si>
    <t>Note - If you are unable to see the 8 different tabs in this workbook :</t>
  </si>
  <si>
    <t>RHODHISS</t>
  </si>
  <si>
    <t>TRYON ABC BOARD</t>
  </si>
  <si>
    <t>Net Difference Between Projected And Actual Investment Earnings On a Plan Investments</t>
  </si>
  <si>
    <t>Employer Number</t>
  </si>
  <si>
    <t>Employer Name</t>
  </si>
  <si>
    <t>Total Contributions (Liability/Pension/Court Costs)</t>
  </si>
  <si>
    <t>WAKE COUNTY GOVERNMENT</t>
  </si>
  <si>
    <r>
      <t>Fiscal Year Ended June 30, 20</t>
    </r>
    <r>
      <rPr>
        <sz val="10"/>
        <color rgb="FFFF0000"/>
        <rFont val="Arial"/>
        <family val="2"/>
      </rPr>
      <t>22</t>
    </r>
  </si>
  <si>
    <r>
      <t>&lt;&lt; This will be blank if you have a 6/30/20</t>
    </r>
    <r>
      <rPr>
        <sz val="10"/>
        <color rgb="FFFF0000"/>
        <rFont val="Arial"/>
        <family val="2"/>
      </rPr>
      <t>22</t>
    </r>
    <r>
      <rPr>
        <sz val="10"/>
        <rFont val="Arial"/>
        <family val="2"/>
      </rPr>
      <t xml:space="preserve"> fiscal year end.   STEP 4</t>
    </r>
  </si>
  <si>
    <t>10/1/2020 through 6/30/2021</t>
  </si>
  <si>
    <t>7/1/2020 through 6/30/2021</t>
  </si>
  <si>
    <t>7/1/2020 through 3/31/2021</t>
  </si>
  <si>
    <t>7/1/2020 through 12/31/2020</t>
  </si>
  <si>
    <t>7/1/2020 through 9/30/2020</t>
  </si>
  <si>
    <t>4/1/2021 through 6/30/2021</t>
  </si>
  <si>
    <t>1/1/2021 through 6/30/2021</t>
  </si>
  <si>
    <t>Plan Total for 6/30/2021 Measurement Date</t>
  </si>
  <si>
    <t>Plan total for 6/30/2020 Measurement Date</t>
  </si>
  <si>
    <t>FY 2021 Total Contributions</t>
  </si>
  <si>
    <t>1% Decrease (5.50%)</t>
  </si>
  <si>
    <t>1% Increase    (7.50%)</t>
  </si>
  <si>
    <t>Current Discount Rate (6.50%)</t>
  </si>
  <si>
    <t xml:space="preserve"> &lt;&lt; Enter your fiscal year-end (i.e 9/30/2021, 12/31/2021, 3/31/2022, 6/30/2022). STEP 3</t>
  </si>
  <si>
    <r>
      <t>Info, JE Template, 2022 summary, 20</t>
    </r>
    <r>
      <rPr>
        <sz val="10"/>
        <color rgb="FFFF0000"/>
        <rFont val="Arial"/>
        <family val="2"/>
      </rPr>
      <t xml:space="preserve">21 </t>
    </r>
    <r>
      <rPr>
        <sz val="10"/>
        <rFont val="Arial"/>
        <family val="2"/>
      </rPr>
      <t>summary, 2020 summary, LGERS Contributions FY 2021, LGERS Contributions FY 20</t>
    </r>
    <r>
      <rPr>
        <sz val="10"/>
        <color rgb="FFFF0000"/>
        <rFont val="Arial"/>
        <family val="2"/>
      </rPr>
      <t>20</t>
    </r>
    <r>
      <rPr>
        <sz val="10"/>
        <rFont val="Arial"/>
        <family val="2"/>
      </rPr>
      <t>, and Deferred Amort MD 6-30-</t>
    </r>
    <r>
      <rPr>
        <sz val="10"/>
        <color rgb="FFFF0000"/>
        <rFont val="Arial"/>
        <family val="2"/>
      </rPr>
      <t>21</t>
    </r>
    <r>
      <rPr>
        <sz val="10"/>
        <rFont val="Arial"/>
        <family val="2"/>
      </rPr>
      <t xml:space="preserve"> then go to File, Options,</t>
    </r>
  </si>
  <si>
    <t>NO AGENCY SELECTED</t>
  </si>
  <si>
    <t>FY 06/30/22</t>
  </si>
  <si>
    <t>NPL 5.5% Sensitivity</t>
  </si>
  <si>
    <t>NPL 7.5% Sensitivity</t>
  </si>
  <si>
    <t>Plan measurement period used for FY22 is the twelve months ending June 30, 2021.</t>
  </si>
  <si>
    <t xml:space="preserve">Agency </t>
  </si>
  <si>
    <t>Current Proportionate Share</t>
  </si>
  <si>
    <t>Differences Between Expected and Actual Experience</t>
  </si>
  <si>
    <t>Paragraph 54 and 55  Outflows</t>
  </si>
  <si>
    <t>Paragraph 54 and 55  Inflows</t>
  </si>
  <si>
    <t>Measurement Date 6/30/21</t>
  </si>
  <si>
    <t>HENDERSON WATER COMMISSION</t>
  </si>
  <si>
    <t>EAST CAROLINA BEHAVIORAL HEALTHCARE</t>
  </si>
  <si>
    <t>CUMBERLAND MEMORIAL AUDITORIUM COMMISION</t>
  </si>
  <si>
    <t>NO AGENCY CHOSEN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</si>
</sst>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0000%"/>
    <numFmt numFmtId="170" formatCode="0.0000000%"/>
    <numFmt numFmtId="171" formatCode="0.0000%"/>
    <numFmt numFmtId="172" formatCode="0.00%;[Red]\(0.00%\);\ "/>
  </numFmts>
  <fonts count="5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color theme="1"/>
      <name val="Arial"/>
      <family val="2"/>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4"/>
      <color indexed="12"/>
      <name val="Arial"/>
      <family val="2"/>
    </font>
    <font>
      <sz val="12"/>
      <color indexed="18"/>
      <name val="Arial"/>
      <family val="2"/>
    </font>
    <font>
      <b/>
      <sz val="18"/>
      <color theme="1"/>
      <name val="Calibri"/>
      <family val="2"/>
      <scheme val="minor"/>
    </font>
    <font>
      <sz val="18"/>
      <color theme="1"/>
      <name val="Calibri"/>
      <family val="2"/>
      <scheme val="minor"/>
    </font>
  </fonts>
  <fills count="42">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bgColor indexed="64"/>
      </patternFill>
    </fill>
    <fill>
      <patternFill patternType="solid">
        <fgColor rgb="FFFF0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bgColor indexed="64"/>
      </patternFill>
    </fill>
    <fill>
      <patternFill patternType="solid">
        <fgColor theme="6" tint="-0.499984740745262"/>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8" tint="0.79998168889431442"/>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64"/>
      </bottom>
      <diagonal/>
    </border>
    <border>
      <left/>
      <right/>
      <top style="double">
        <color indexed="64"/>
      </top>
      <bottom style="medium">
        <color indexed="64"/>
      </bottom>
      <diagonal/>
    </border>
    <border>
      <left/>
      <right/>
      <top style="double">
        <color indexed="64"/>
      </top>
      <bottom/>
      <diagonal/>
    </border>
    <border>
      <left style="medium">
        <color indexed="9"/>
      </left>
      <right style="medium">
        <color indexed="9"/>
      </right>
      <top/>
      <bottom/>
      <diagonal/>
    </border>
    <border>
      <left/>
      <right/>
      <top style="double">
        <color indexed="64"/>
      </top>
      <bottom style="double">
        <color indexed="64"/>
      </bottom>
      <diagonal/>
    </border>
  </borders>
  <cellStyleXfs count="114">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43" fontId="1"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 fillId="0" borderId="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1" borderId="0" applyNumberFormat="0" applyBorder="0" applyAlignment="0" applyProtection="0"/>
    <xf numFmtId="0" fontId="29" fillId="24" borderId="0" applyNumberFormat="0" applyBorder="0" applyAlignment="0" applyProtection="0"/>
    <xf numFmtId="0" fontId="29" fillId="23" borderId="0" applyNumberFormat="0" applyBorder="0" applyAlignment="0" applyProtection="0"/>
    <xf numFmtId="0" fontId="29" fillId="25"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5"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2" fillId="34" borderId="22" applyNumberFormat="0" applyAlignment="0" applyProtection="0"/>
    <xf numFmtId="0" fontId="33" fillId="35" borderId="2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xf numFmtId="0" fontId="35" fillId="36"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26" borderId="22" applyNumberFormat="0" applyAlignment="0" applyProtection="0"/>
    <xf numFmtId="0" fontId="40" fillId="0" borderId="27" applyNumberFormat="0" applyFill="0" applyAlignment="0" applyProtection="0"/>
    <xf numFmtId="0" fontId="41" fillId="26" borderId="0" applyNumberFormat="0" applyBorder="0" applyAlignment="0" applyProtection="0"/>
    <xf numFmtId="0" fontId="5" fillId="0" borderId="0"/>
    <xf numFmtId="0" fontId="6" fillId="0" borderId="0"/>
    <xf numFmtId="0" fontId="6" fillId="23" borderId="28" applyNumberFormat="0" applyFont="0" applyAlignment="0" applyProtection="0"/>
    <xf numFmtId="0" fontId="42" fillId="34" borderId="29"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0" borderId="0"/>
    <xf numFmtId="0" fontId="47" fillId="0" borderId="0"/>
    <xf numFmtId="37" fontId="7" fillId="0" borderId="0"/>
    <xf numFmtId="37" fontId="7" fillId="0" borderId="0"/>
    <xf numFmtId="9" fontId="5"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39"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39" fontId="6" fillId="0" borderId="0"/>
    <xf numFmtId="43" fontId="47" fillId="0" borderId="0" applyFont="0" applyFill="0" applyBorder="0" applyAlignment="0" applyProtection="0"/>
    <xf numFmtId="0" fontId="48" fillId="0" borderId="0" applyFill="0" applyBorder="0" applyAlignment="0" applyProtection="0">
      <alignment horizontal="left"/>
    </xf>
    <xf numFmtId="0" fontId="49" fillId="38" borderId="0" applyNumberFormat="0" applyBorder="0">
      <alignment horizontal="centerContinuous"/>
    </xf>
    <xf numFmtId="0" fontId="50" fillId="38" borderId="32" applyNumberFormat="0" applyFont="0" applyBorder="0" applyAlignment="0" applyProtection="0">
      <alignment horizontal="center"/>
    </xf>
    <xf numFmtId="0" fontId="51" fillId="38" borderId="33" applyNumberFormat="0" applyBorder="0">
      <alignment horizontal="center"/>
    </xf>
    <xf numFmtId="38" fontId="52" fillId="0" borderId="0" applyBorder="0">
      <alignment horizontal="right"/>
    </xf>
    <xf numFmtId="10" fontId="52" fillId="0" borderId="0" applyBorder="0">
      <alignment horizontal="right"/>
    </xf>
    <xf numFmtId="171" fontId="53" fillId="0" borderId="0" applyBorder="0">
      <alignment horizontal="right"/>
    </xf>
    <xf numFmtId="38" fontId="54" fillId="37" borderId="34" applyBorder="0" applyAlignment="0">
      <protection locked="0"/>
    </xf>
    <xf numFmtId="172" fontId="54" fillId="37" borderId="0" applyBorder="0" applyAlignment="0">
      <protection locked="0"/>
    </xf>
    <xf numFmtId="0" fontId="48" fillId="39" borderId="0" applyBorder="0"/>
    <xf numFmtId="0" fontId="48" fillId="40" borderId="35" applyNumberFormat="0" applyFont="0" applyBorder="0" applyAlignment="0" applyProtection="0">
      <alignment horizontal="centerContinuous"/>
    </xf>
    <xf numFmtId="39" fontId="6" fillId="0" borderId="0"/>
    <xf numFmtId="43" fontId="47" fillId="0" borderId="0" applyFont="0" applyFill="0" applyBorder="0" applyAlignment="0" applyProtection="0"/>
    <xf numFmtId="0" fontId="47" fillId="0" borderId="0"/>
    <xf numFmtId="9" fontId="47" fillId="0" borderId="0" applyFont="0" applyFill="0" applyBorder="0" applyAlignment="0" applyProtection="0"/>
    <xf numFmtId="39" fontId="6" fillId="0" borderId="0"/>
  </cellStyleXfs>
  <cellXfs count="451">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0" fillId="0" borderId="0" xfId="0" applyFill="1" applyBorder="1"/>
    <xf numFmtId="0" fontId="15" fillId="5" borderId="0" xfId="0" applyFont="1" applyFill="1" applyAlignment="1" applyProtection="1">
      <alignment horizontal="center"/>
    </xf>
    <xf numFmtId="168" fontId="15" fillId="5" borderId="0" xfId="0" applyNumberFormat="1" applyFont="1" applyFill="1" applyProtection="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NumberFormat="1" applyFont="1" applyFill="1" applyAlignment="1" applyProtection="1">
      <alignment horizontal="left" vertical="top"/>
    </xf>
    <xf numFmtId="0" fontId="15" fillId="5" borderId="0" xfId="0" applyFont="1" applyFill="1" applyAlignment="1">
      <alignment vertical="top"/>
    </xf>
    <xf numFmtId="49" fontId="15" fillId="5" borderId="0" xfId="0" quotePrefix="1" applyNumberFormat="1" applyFont="1" applyFill="1" applyAlignment="1" applyProtection="1">
      <alignment horizontal="center" vertical="top"/>
    </xf>
    <xf numFmtId="49" fontId="15" fillId="5" borderId="0" xfId="0" quotePrefix="1" applyNumberFormat="1" applyFont="1" applyFill="1" applyAlignment="1">
      <alignment horizontal="center" vertical="top"/>
    </xf>
    <xf numFmtId="0" fontId="6" fillId="0" borderId="0" xfId="4"/>
    <xf numFmtId="0" fontId="2"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0" fontId="9" fillId="0" borderId="0" xfId="0" applyFont="1" applyFill="1" applyAlignment="1">
      <alignment horizontal="center"/>
    </xf>
    <xf numFmtId="167" fontId="0" fillId="0" borderId="0" xfId="9" applyNumberFormat="1" applyFont="1" applyFill="1"/>
    <xf numFmtId="164" fontId="0" fillId="0" borderId="0" xfId="0" applyNumberFormat="1" applyFill="1"/>
    <xf numFmtId="0" fontId="17" fillId="0" borderId="0" xfId="0" applyFont="1" applyFill="1" applyBorder="1" applyAlignment="1">
      <alignment horizontal="left"/>
    </xf>
    <xf numFmtId="0" fontId="0" fillId="3" borderId="7" xfId="0" applyFill="1" applyBorder="1"/>
    <xf numFmtId="0" fontId="0" fillId="3" borderId="1" xfId="0" applyFill="1" applyBorder="1"/>
    <xf numFmtId="0" fontId="0" fillId="3" borderId="0" xfId="0" quotePrefix="1" applyFill="1" applyBorder="1" applyAlignment="1">
      <alignment wrapText="1"/>
    </xf>
    <xf numFmtId="0" fontId="0" fillId="0" borderId="0" xfId="0" applyFill="1" applyAlignment="1">
      <alignment horizontal="right" wrapText="1"/>
    </xf>
    <xf numFmtId="0" fontId="6" fillId="0" borderId="0" xfId="4"/>
    <xf numFmtId="0" fontId="4" fillId="0" borderId="0" xfId="0" applyFont="1" applyFill="1" applyBorder="1" applyAlignment="1">
      <alignment horizontal="left" wrapText="1"/>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0" fontId="18" fillId="0" borderId="0" xfId="4" applyFont="1"/>
    <xf numFmtId="0" fontId="6" fillId="0" borderId="0" xfId="4"/>
    <xf numFmtId="0" fontId="20" fillId="0" borderId="0" xfId="4" applyFont="1"/>
    <xf numFmtId="43" fontId="0" fillId="0" borderId="0" xfId="0" applyNumberFormat="1"/>
    <xf numFmtId="166" fontId="0" fillId="0" borderId="0" xfId="0" applyNumberFormat="1"/>
    <xf numFmtId="0" fontId="8" fillId="0" borderId="0" xfId="0" applyFont="1"/>
    <xf numFmtId="0" fontId="6" fillId="0" borderId="0" xfId="4"/>
    <xf numFmtId="166" fontId="6" fillId="0" borderId="0" xfId="8" applyNumberFormat="1" applyFont="1" applyFill="1" applyBorder="1"/>
    <xf numFmtId="0" fontId="0" fillId="0" borderId="0" xfId="0" applyFill="1" applyAlignment="1">
      <alignment horizontal="left"/>
    </xf>
    <xf numFmtId="166" fontId="0" fillId="0" borderId="0" xfId="8" applyNumberFormat="1" applyFont="1" applyFill="1"/>
    <xf numFmtId="0" fontId="0" fillId="0" borderId="0" xfId="0" applyFill="1" applyAlignment="1">
      <alignment vertical="top"/>
    </xf>
    <xf numFmtId="0" fontId="0" fillId="0" borderId="0" xfId="0" applyFill="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5" borderId="0" xfId="0" applyFill="1" applyAlignment="1">
      <alignment vertical="center"/>
    </xf>
    <xf numFmtId="0" fontId="9" fillId="0" borderId="0" xfId="0" applyFont="1" applyFill="1"/>
    <xf numFmtId="0" fontId="17" fillId="0" borderId="1" xfId="0" applyFont="1" applyFill="1" applyBorder="1" applyAlignment="1">
      <alignment horizontal="centerContinuous"/>
    </xf>
    <xf numFmtId="0" fontId="17" fillId="2" borderId="1" xfId="0" applyFont="1" applyFill="1" applyBorder="1" applyAlignment="1">
      <alignment horizontal="centerContinuous"/>
    </xf>
    <xf numFmtId="0" fontId="17" fillId="0" borderId="0" xfId="0" applyFont="1" applyFill="1" applyBorder="1" applyAlignment="1">
      <alignment horizontal="center" wrapText="1"/>
    </xf>
    <xf numFmtId="0" fontId="17" fillId="2" borderId="0" xfId="0" applyFont="1" applyFill="1" applyBorder="1" applyAlignment="1">
      <alignment horizontal="center" wrapText="1"/>
    </xf>
    <xf numFmtId="167" fontId="9" fillId="0" borderId="0" xfId="9" applyNumberFormat="1" applyFont="1" applyFill="1"/>
    <xf numFmtId="165" fontId="9" fillId="2" borderId="0" xfId="0" applyNumberFormat="1" applyFont="1" applyFill="1"/>
    <xf numFmtId="0" fontId="9" fillId="2" borderId="0" xfId="0" applyFont="1" applyFill="1"/>
    <xf numFmtId="0" fontId="17" fillId="0" borderId="0" xfId="0" applyFont="1" applyFill="1" applyBorder="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applyFill="1"/>
    <xf numFmtId="165" fontId="17" fillId="2" borderId="0" xfId="0" applyNumberFormat="1" applyFont="1" applyFill="1"/>
    <xf numFmtId="0" fontId="17" fillId="0" borderId="0" xfId="0" applyFont="1" applyFill="1"/>
    <xf numFmtId="0" fontId="2" fillId="0" borderId="0" xfId="0" applyFont="1" applyFill="1" applyAlignment="1">
      <alignment horizontal="center"/>
    </xf>
    <xf numFmtId="0" fontId="21" fillId="0" borderId="10" xfId="0" applyFont="1" applyFill="1" applyBorder="1"/>
    <xf numFmtId="43" fontId="21" fillId="0" borderId="10" xfId="1" applyFont="1" applyFill="1" applyBorder="1"/>
    <xf numFmtId="0" fontId="22" fillId="0" borderId="0" xfId="0" applyFont="1" applyFill="1" applyBorder="1"/>
    <xf numFmtId="43" fontId="22" fillId="0" borderId="0" xfId="1" applyFont="1" applyFill="1" applyBorder="1"/>
    <xf numFmtId="0" fontId="21" fillId="0" borderId="0" xfId="0" applyFont="1" applyFill="1" applyBorder="1"/>
    <xf numFmtId="43" fontId="21" fillId="0" borderId="0" xfId="1" applyFont="1" applyFill="1" applyBorder="1"/>
    <xf numFmtId="0" fontId="23" fillId="0" borderId="0" xfId="0" applyFont="1" applyFill="1" applyBorder="1"/>
    <xf numFmtId="0" fontId="23" fillId="0" borderId="0" xfId="0" applyFont="1" applyFill="1" applyBorder="1" applyAlignment="1">
      <alignment horizontal="right"/>
    </xf>
    <xf numFmtId="166" fontId="0" fillId="0" borderId="0" xfId="0" applyNumberFormat="1" applyFill="1"/>
    <xf numFmtId="169" fontId="0" fillId="0" borderId="0" xfId="9" applyNumberFormat="1" applyFont="1"/>
    <xf numFmtId="0" fontId="0" fillId="0" borderId="0" xfId="0" applyFont="1" applyFill="1" applyAlignment="1">
      <alignment horizontal="right"/>
    </xf>
    <xf numFmtId="0" fontId="0" fillId="0" borderId="0"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2" fillId="0" borderId="0" xfId="1" applyFont="1" applyFill="1" applyBorder="1" applyAlignment="1">
      <alignment horizontal="center" wrapText="1"/>
    </xf>
    <xf numFmtId="0" fontId="0" fillId="0" borderId="0" xfId="0" applyFill="1" applyBorder="1" applyAlignment="1"/>
    <xf numFmtId="164" fontId="0" fillId="0" borderId="0" xfId="1" applyNumberFormat="1" applyFont="1" applyFill="1" applyBorder="1"/>
    <xf numFmtId="0" fontId="10" fillId="0" borderId="0" xfId="4" applyFont="1" applyFill="1" applyAlignment="1">
      <alignment horizontal="left"/>
    </xf>
    <xf numFmtId="0" fontId="6" fillId="0" borderId="10" xfId="4" applyFont="1" applyFill="1" applyBorder="1" applyAlignment="1" applyProtection="1">
      <alignment horizontal="center"/>
      <protection locked="0"/>
    </xf>
    <xf numFmtId="0" fontId="6" fillId="0" borderId="0" xfId="4" applyFill="1"/>
    <xf numFmtId="0" fontId="6" fillId="0" borderId="0" xfId="4" applyFill="1" applyBorder="1"/>
    <xf numFmtId="0" fontId="6" fillId="0" borderId="0" xfId="4" applyFill="1" applyAlignment="1">
      <alignment vertical="center"/>
    </xf>
    <xf numFmtId="14" fontId="6" fillId="0" borderId="0" xfId="4" applyNumberFormat="1" applyFill="1" applyBorder="1"/>
    <xf numFmtId="0" fontId="6" fillId="0" borderId="0" xfId="4" applyFill="1" applyAlignment="1">
      <alignment vertical="center" wrapText="1"/>
    </xf>
    <xf numFmtId="14" fontId="6" fillId="0" borderId="0" xfId="4" applyNumberFormat="1" applyFill="1" applyAlignment="1">
      <alignment horizontal="left" vertical="center"/>
    </xf>
    <xf numFmtId="166" fontId="6" fillId="0" borderId="10" xfId="8" applyNumberFormat="1" applyFont="1" applyFill="1" applyBorder="1" applyAlignment="1">
      <alignment vertical="center"/>
    </xf>
    <xf numFmtId="0" fontId="6" fillId="0" borderId="0" xfId="4" applyFill="1" applyAlignment="1">
      <alignment wrapText="1"/>
    </xf>
    <xf numFmtId="14" fontId="6" fillId="0" borderId="0" xfId="4" applyNumberFormat="1" applyFill="1" applyAlignment="1">
      <alignment horizontal="left"/>
    </xf>
    <xf numFmtId="14" fontId="6" fillId="0" borderId="0" xfId="4" applyNumberFormat="1" applyFill="1" applyAlignment="1">
      <alignment wrapText="1"/>
    </xf>
    <xf numFmtId="14" fontId="6" fillId="0" borderId="0" xfId="4" applyNumberFormat="1" applyFill="1" applyBorder="1" applyAlignment="1">
      <alignment horizontal="left"/>
    </xf>
    <xf numFmtId="166" fontId="6" fillId="0" borderId="10" xfId="8" applyNumberFormat="1" applyFont="1" applyFill="1" applyBorder="1"/>
    <xf numFmtId="0" fontId="6" fillId="0" borderId="0" xfId="4" applyFont="1" applyFill="1"/>
    <xf numFmtId="0" fontId="20" fillId="0" borderId="0" xfId="4" applyFont="1" applyFill="1"/>
    <xf numFmtId="0" fontId="18" fillId="0" borderId="0" xfId="4" applyFont="1" applyFill="1"/>
    <xf numFmtId="49" fontId="9" fillId="0" borderId="0" xfId="0" applyNumberFormat="1" applyFont="1" applyFill="1" applyBorder="1" applyAlignment="1">
      <alignment horizontal="left"/>
    </xf>
    <xf numFmtId="0" fontId="6" fillId="0" borderId="1" xfId="4" applyFill="1" applyBorder="1" applyAlignment="1">
      <alignment horizontal="right"/>
    </xf>
    <xf numFmtId="0" fontId="12" fillId="0" borderId="0" xfId="4" applyFont="1" applyFill="1" applyAlignment="1" applyProtection="1">
      <alignment horizontal="left" indent="2"/>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applyBorder="1"/>
    <xf numFmtId="0" fontId="0" fillId="3" borderId="5" xfId="0" applyFill="1" applyBorder="1" applyAlignment="1">
      <alignment horizontal="left"/>
    </xf>
    <xf numFmtId="0" fontId="0" fillId="3" borderId="0" xfId="0" applyFill="1" applyBorder="1" applyAlignment="1">
      <alignment horizontal="left"/>
    </xf>
    <xf numFmtId="166" fontId="0" fillId="3" borderId="6" xfId="8" applyNumberFormat="1" applyFont="1" applyFill="1" applyBorder="1"/>
    <xf numFmtId="41"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0" fillId="3" borderId="0" xfId="0" applyFont="1" applyFill="1" applyBorder="1"/>
    <xf numFmtId="0" fontId="2" fillId="3" borderId="1" xfId="0" applyFont="1" applyFill="1" applyBorder="1"/>
    <xf numFmtId="0" fontId="0" fillId="3" borderId="5" xfId="0" applyFill="1" applyBorder="1" applyAlignment="1"/>
    <xf numFmtId="0" fontId="0" fillId="3" borderId="7" xfId="0" applyFill="1" applyBorder="1" applyAlignment="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167" fontId="9" fillId="0" borderId="0" xfId="9" applyNumberFormat="1" applyFont="1" applyFill="1" applyBorder="1" applyAlignment="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9" applyNumberFormat="1" applyFont="1" applyFill="1" applyBorder="1" applyAlignment="1">
      <alignment horizontal="center"/>
    </xf>
    <xf numFmtId="165" fontId="9" fillId="2" borderId="0" xfId="0" applyNumberFormat="1" applyFont="1" applyFill="1"/>
    <xf numFmtId="164" fontId="9" fillId="0" borderId="0" xfId="1" applyNumberFormat="1" applyFont="1" applyFill="1"/>
    <xf numFmtId="0" fontId="9" fillId="0" borderId="0" xfId="0" applyFont="1" applyFill="1"/>
    <xf numFmtId="0" fontId="9" fillId="0" borderId="0" xfId="0" applyFont="1" applyFill="1" applyBorder="1" applyAlignment="1">
      <alignment horizontal="center"/>
    </xf>
    <xf numFmtId="0" fontId="22" fillId="0" borderId="0" xfId="0" applyFont="1" applyFill="1" applyBorder="1"/>
    <xf numFmtId="0" fontId="9"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5" fontId="9" fillId="0" borderId="0" xfId="0" applyNumberFormat="1" applyFont="1" applyFill="1"/>
    <xf numFmtId="164" fontId="9" fillId="0" borderId="0" xfId="0" applyNumberFormat="1" applyFont="1" applyFill="1"/>
    <xf numFmtId="167" fontId="9" fillId="0" borderId="0" xfId="9" applyNumberFormat="1" applyFont="1" applyFill="1" applyBorder="1" applyAlignment="1"/>
    <xf numFmtId="0" fontId="0" fillId="0" borderId="0" xfId="0" applyFill="1" applyAlignment="1">
      <alignment horizontal="center"/>
    </xf>
    <xf numFmtId="164" fontId="9" fillId="2" borderId="0" xfId="1" applyNumberFormat="1" applyFont="1" applyFill="1"/>
    <xf numFmtId="164" fontId="17" fillId="2" borderId="0" xfId="1" applyNumberFormat="1" applyFont="1" applyFill="1"/>
    <xf numFmtId="170" fontId="9" fillId="0" borderId="0" xfId="9" applyNumberFormat="1" applyFont="1" applyFill="1"/>
    <xf numFmtId="43" fontId="22" fillId="0" borderId="9" xfId="1" applyFont="1" applyFill="1" applyBorder="1"/>
    <xf numFmtId="43" fontId="23" fillId="0" borderId="0" xfId="1" applyFont="1" applyFill="1" applyBorder="1"/>
    <xf numFmtId="167" fontId="1" fillId="0" borderId="0" xfId="9" applyNumberFormat="1" applyFont="1" applyFill="1"/>
    <xf numFmtId="0" fontId="0" fillId="0" borderId="0" xfId="0" applyFont="1" applyFill="1"/>
    <xf numFmtId="165" fontId="0" fillId="0" borderId="0" xfId="0" applyNumberFormat="1" applyFill="1"/>
    <xf numFmtId="165" fontId="0" fillId="0" borderId="0" xfId="0" applyNumberFormat="1" applyFont="1" applyFill="1"/>
    <xf numFmtId="167" fontId="2" fillId="0" borderId="0" xfId="0" applyNumberFormat="1" applyFont="1" applyFill="1"/>
    <xf numFmtId="164" fontId="2" fillId="0" borderId="0" xfId="1" applyNumberFormat="1" applyFont="1" applyFill="1"/>
    <xf numFmtId="165" fontId="2" fillId="0" borderId="0" xfId="1" applyNumberFormat="1" applyFont="1" applyFill="1"/>
    <xf numFmtId="165" fontId="2" fillId="0" borderId="0" xfId="0" applyNumberFormat="1" applyFont="1" applyFill="1"/>
    <xf numFmtId="167" fontId="17" fillId="0" borderId="0" xfId="9" applyNumberFormat="1" applyFont="1" applyFill="1" applyBorder="1" applyAlignment="1"/>
    <xf numFmtId="164" fontId="17" fillId="0" borderId="0" xfId="1" applyNumberFormat="1" applyFont="1" applyFill="1" applyBorder="1" applyAlignment="1"/>
    <xf numFmtId="49" fontId="0" fillId="0" borderId="0" xfId="0" applyNumberFormat="1" applyFill="1"/>
    <xf numFmtId="49" fontId="9" fillId="0" borderId="0" xfId="0" applyNumberFormat="1" applyFont="1" applyFill="1"/>
    <xf numFmtId="167" fontId="17" fillId="0" borderId="0" xfId="9" applyNumberFormat="1" applyFont="1" applyFill="1" applyBorder="1" applyAlignment="1">
      <alignment horizontal="center"/>
    </xf>
    <xf numFmtId="49" fontId="22" fillId="0" borderId="0" xfId="0" applyNumberFormat="1" applyFont="1" applyFill="1" applyBorder="1" applyAlignment="1">
      <alignment horizontal="left"/>
    </xf>
    <xf numFmtId="49" fontId="0" fillId="0" borderId="0" xfId="0" applyNumberFormat="1" applyFill="1" applyAlignment="1">
      <alignment horizontal="left"/>
    </xf>
    <xf numFmtId="0" fontId="2" fillId="0" borderId="1" xfId="0" applyFont="1" applyFill="1" applyBorder="1" applyAlignment="1">
      <alignment horizontal="centerContinuous"/>
    </xf>
    <xf numFmtId="41" fontId="3" fillId="0" borderId="0" xfId="0" applyNumberFormat="1" applyFont="1" applyFill="1" applyBorder="1" applyAlignment="1">
      <alignment horizontal="center" wrapText="1"/>
    </xf>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Fill="1" applyAlignment="1">
      <alignment horizontal="right"/>
    </xf>
    <xf numFmtId="43" fontId="21" fillId="0" borderId="9" xfId="1" applyFont="1" applyFill="1" applyBorder="1"/>
    <xf numFmtId="0" fontId="9" fillId="6" borderId="0" xfId="0" applyFont="1" applyFill="1" applyBorder="1" applyAlignment="1">
      <alignment horizontal="center"/>
    </xf>
    <xf numFmtId="0" fontId="9" fillId="6" borderId="0" xfId="0" applyFont="1" applyFill="1" applyBorder="1" applyAlignment="1">
      <alignment horizontal="left"/>
    </xf>
    <xf numFmtId="167" fontId="9" fillId="6" borderId="0" xfId="9" applyNumberFormat="1" applyFont="1" applyFill="1"/>
    <xf numFmtId="164" fontId="9" fillId="6" borderId="0" xfId="1" applyNumberFormat="1" applyFont="1" applyFill="1"/>
    <xf numFmtId="165" fontId="9" fillId="6" borderId="0" xfId="0" applyNumberFormat="1" applyFont="1" applyFill="1"/>
    <xf numFmtId="164" fontId="9" fillId="6" borderId="0" xfId="0" applyNumberFormat="1" applyFont="1" applyFill="1"/>
    <xf numFmtId="0" fontId="9" fillId="6" borderId="0" xfId="0" applyFont="1" applyFill="1"/>
    <xf numFmtId="0" fontId="6" fillId="0" borderId="0" xfId="4" applyFill="1"/>
    <xf numFmtId="0" fontId="10" fillId="0" borderId="0" xfId="4" applyFont="1" applyFill="1"/>
    <xf numFmtId="164" fontId="0" fillId="3" borderId="0" xfId="1" applyNumberFormat="1" applyFont="1" applyFill="1" applyBorder="1" applyAlignment="1">
      <alignment vertical="center"/>
    </xf>
    <xf numFmtId="164" fontId="0" fillId="3" borderId="0" xfId="0" applyNumberFormat="1" applyFont="1" applyFill="1" applyBorder="1" applyAlignment="1">
      <alignment vertical="center" wrapText="1"/>
    </xf>
    <xf numFmtId="164" fontId="0" fillId="3" borderId="6" xfId="1" applyNumberFormat="1" applyFont="1" applyFill="1" applyBorder="1" applyAlignment="1">
      <alignment vertical="center"/>
    </xf>
    <xf numFmtId="0" fontId="2" fillId="3" borderId="0" xfId="0" applyFont="1" applyFill="1" applyBorder="1" applyAlignment="1">
      <alignment vertical="center" wrapText="1"/>
    </xf>
    <xf numFmtId="0" fontId="2" fillId="3" borderId="6" xfId="0" applyFont="1" applyFill="1" applyBorder="1" applyAlignment="1">
      <alignment vertical="center" wrapText="1"/>
    </xf>
    <xf numFmtId="164" fontId="2" fillId="3" borderId="1" xfId="0" applyNumberFormat="1" applyFont="1" applyFill="1" applyBorder="1" applyAlignment="1">
      <alignment vertical="center"/>
    </xf>
    <xf numFmtId="164" fontId="2" fillId="3" borderId="8" xfId="0" applyNumberFormat="1" applyFont="1" applyFill="1" applyBorder="1" applyAlignment="1">
      <alignment vertical="center"/>
    </xf>
    <xf numFmtId="0" fontId="6" fillId="0" borderId="0" xfId="4" applyFill="1"/>
    <xf numFmtId="0" fontId="22" fillId="6" borderId="0" xfId="0" applyFont="1" applyFill="1" applyBorder="1" applyAlignment="1">
      <alignment horizontal="right"/>
    </xf>
    <xf numFmtId="0" fontId="22" fillId="6" borderId="0" xfId="0" applyFont="1" applyFill="1" applyBorder="1"/>
    <xf numFmtId="43" fontId="22" fillId="6" borderId="0" xfId="1" applyFont="1" applyFill="1" applyBorder="1"/>
    <xf numFmtId="43" fontId="22" fillId="6" borderId="9" xfId="1" applyFont="1" applyFill="1" applyBorder="1"/>
    <xf numFmtId="0" fontId="6" fillId="6" borderId="0" xfId="4" applyFill="1"/>
    <xf numFmtId="0" fontId="6" fillId="6" borderId="0" xfId="4" applyFont="1" applyFill="1"/>
    <xf numFmtId="0" fontId="20" fillId="6" borderId="0" xfId="4" applyFont="1" applyFill="1"/>
    <xf numFmtId="0" fontId="18" fillId="6" borderId="0" xfId="4" applyFont="1" applyFill="1"/>
    <xf numFmtId="14" fontId="6" fillId="6" borderId="0" xfId="4" applyNumberFormat="1" applyFont="1" applyFill="1"/>
    <xf numFmtId="14" fontId="6" fillId="6" borderId="0" xfId="4" applyNumberFormat="1" applyFill="1"/>
    <xf numFmtId="14" fontId="6" fillId="6" borderId="0" xfId="4" quotePrefix="1" applyNumberFormat="1" applyFill="1"/>
    <xf numFmtId="0" fontId="6" fillId="6" borderId="0" xfId="4" applyFont="1" applyFill="1" applyAlignment="1">
      <alignment horizontal="center"/>
    </xf>
    <xf numFmtId="0" fontId="6" fillId="6" borderId="0" xfId="4" applyFill="1" applyAlignment="1">
      <alignment horizontal="right"/>
    </xf>
    <xf numFmtId="0" fontId="0" fillId="0" borderId="0" xfId="0" applyFont="1"/>
    <xf numFmtId="0" fontId="2" fillId="0" borderId="0" xfId="0" applyFont="1"/>
    <xf numFmtId="0" fontId="9" fillId="0" borderId="0" xfId="0" applyFont="1" applyFill="1" applyAlignment="1">
      <alignment horizontal="left"/>
    </xf>
    <xf numFmtId="14" fontId="9" fillId="0" borderId="0" xfId="0" applyNumberFormat="1" applyFont="1" applyFill="1" applyAlignment="1">
      <alignment horizontal="left"/>
    </xf>
    <xf numFmtId="43" fontId="9" fillId="0" borderId="0" xfId="1" applyFont="1" applyFill="1" applyAlignment="1">
      <alignment horizontal="left"/>
    </xf>
    <xf numFmtId="14" fontId="6" fillId="0" borderId="10" xfId="4" applyNumberFormat="1" applyFont="1" applyFill="1" applyBorder="1"/>
    <xf numFmtId="0" fontId="6" fillId="0" borderId="0" xfId="4" applyFont="1" applyFill="1" applyAlignment="1" applyProtection="1">
      <alignment horizontal="left" indent="1"/>
    </xf>
    <xf numFmtId="0" fontId="2" fillId="7" borderId="0" xfId="0" applyFont="1" applyFill="1"/>
    <xf numFmtId="0" fontId="9" fillId="0" borderId="0" xfId="0" applyFont="1"/>
    <xf numFmtId="0" fontId="0" fillId="0" borderId="0" xfId="0" quotePrefix="1" applyFill="1"/>
    <xf numFmtId="164" fontId="16" fillId="0" borderId="0" xfId="1" applyNumberFormat="1" applyFont="1" applyFill="1" applyBorder="1" applyAlignment="1"/>
    <xf numFmtId="167" fontId="0" fillId="6" borderId="0" xfId="9" applyNumberFormat="1" applyFont="1" applyFill="1"/>
    <xf numFmtId="0" fontId="0" fillId="6" borderId="0" xfId="0" applyFill="1"/>
    <xf numFmtId="0" fontId="0" fillId="9" borderId="0" xfId="0" applyFill="1"/>
    <xf numFmtId="0" fontId="0" fillId="10" borderId="0" xfId="0" applyFill="1"/>
    <xf numFmtId="0" fontId="0" fillId="11" borderId="0" xfId="0" applyFill="1"/>
    <xf numFmtId="0" fontId="0" fillId="13" borderId="0" xfId="0" applyFill="1"/>
    <xf numFmtId="0" fontId="0" fillId="14" borderId="0" xfId="0" applyFill="1"/>
    <xf numFmtId="0" fontId="0" fillId="15" borderId="0" xfId="0" applyFill="1"/>
    <xf numFmtId="0" fontId="0" fillId="0" borderId="0" xfId="0" applyAlignment="1">
      <alignment horizontal="left"/>
    </xf>
    <xf numFmtId="0" fontId="2" fillId="0" borderId="1" xfId="0" applyFont="1" applyBorder="1"/>
    <xf numFmtId="43" fontId="2" fillId="0" borderId="1" xfId="1" applyFont="1" applyBorder="1"/>
    <xf numFmtId="43" fontId="0" fillId="0" borderId="1" xfId="1" applyFont="1" applyBorder="1"/>
    <xf numFmtId="43" fontId="0" fillId="9" borderId="0" xfId="1" applyFont="1" applyFill="1"/>
    <xf numFmtId="0" fontId="22" fillId="9" borderId="0" xfId="0" applyFont="1" applyFill="1" applyBorder="1"/>
    <xf numFmtId="43" fontId="22" fillId="9" borderId="0" xfId="1" applyFont="1" applyFill="1" applyBorder="1"/>
    <xf numFmtId="0" fontId="22" fillId="13" borderId="0" xfId="0" applyFont="1" applyFill="1" applyBorder="1"/>
    <xf numFmtId="43" fontId="22" fillId="13" borderId="0" xfId="1" applyFont="1" applyFill="1" applyBorder="1"/>
    <xf numFmtId="43" fontId="0" fillId="6" borderId="0" xfId="1" applyFont="1" applyFill="1"/>
    <xf numFmtId="43" fontId="22" fillId="16" borderId="9" xfId="1" applyFont="1" applyFill="1" applyBorder="1"/>
    <xf numFmtId="0" fontId="22" fillId="16" borderId="0" xfId="0" applyFont="1" applyFill="1" applyBorder="1" applyAlignment="1">
      <alignment horizontal="right"/>
    </xf>
    <xf numFmtId="0" fontId="22" fillId="16" borderId="0" xfId="0" applyFont="1" applyFill="1" applyBorder="1"/>
    <xf numFmtId="43" fontId="22" fillId="16" borderId="0" xfId="1" applyFont="1" applyFill="1" applyBorder="1"/>
    <xf numFmtId="43" fontId="2" fillId="0" borderId="0" xfId="1" applyFont="1"/>
    <xf numFmtId="0" fontId="8" fillId="0" borderId="0" xfId="0" applyFont="1" applyFill="1"/>
    <xf numFmtId="0" fontId="6" fillId="16" borderId="0" xfId="4" applyNumberFormat="1" applyFill="1" applyBorder="1"/>
    <xf numFmtId="0" fontId="10" fillId="6" borderId="0" xfId="4" applyFont="1" applyFill="1" applyAlignment="1">
      <alignment horizontal="right"/>
    </xf>
    <xf numFmtId="0" fontId="6" fillId="2" borderId="14" xfId="4" applyFont="1" applyFill="1" applyBorder="1"/>
    <xf numFmtId="0" fontId="6" fillId="2" borderId="15" xfId="4" applyFont="1" applyFill="1" applyBorder="1"/>
    <xf numFmtId="0" fontId="18" fillId="2" borderId="15" xfId="4" applyFont="1" applyFill="1" applyBorder="1"/>
    <xf numFmtId="0" fontId="18" fillId="2" borderId="16" xfId="4" applyFont="1" applyFill="1" applyBorder="1"/>
    <xf numFmtId="0" fontId="6" fillId="2" borderId="17" xfId="4" applyFill="1" applyBorder="1"/>
    <xf numFmtId="0" fontId="6" fillId="2" borderId="0" xfId="4" applyFill="1" applyBorder="1"/>
    <xf numFmtId="0" fontId="18" fillId="2" borderId="18" xfId="4" applyFont="1" applyFill="1" applyBorder="1"/>
    <xf numFmtId="14" fontId="6" fillId="2" borderId="19" xfId="4" applyNumberFormat="1" applyFont="1" applyFill="1" applyBorder="1"/>
    <xf numFmtId="0" fontId="6" fillId="2" borderId="20" xfId="4" applyFont="1" applyFill="1" applyBorder="1"/>
    <xf numFmtId="0" fontId="18" fillId="2" borderId="20" xfId="4" applyFont="1" applyFill="1" applyBorder="1"/>
    <xf numFmtId="0" fontId="18" fillId="2" borderId="21" xfId="4" applyFont="1" applyFill="1" applyBorder="1"/>
    <xf numFmtId="0" fontId="0" fillId="0" borderId="0" xfId="0" applyFill="1" applyAlignment="1">
      <alignment horizontal="center"/>
    </xf>
    <xf numFmtId="167" fontId="0" fillId="0" borderId="0" xfId="0" applyNumberFormat="1"/>
    <xf numFmtId="164" fontId="23" fillId="0" borderId="0" xfId="1" applyNumberFormat="1" applyFont="1" applyFill="1" applyAlignment="1">
      <alignment horizontal="left" vertical="center" wrapText="1"/>
    </xf>
    <xf numFmtId="164" fontId="23" fillId="0" borderId="0" xfId="1" applyNumberFormat="1" applyFont="1" applyFill="1" applyAlignment="1">
      <alignment horizontal="right" vertical="center" wrapText="1"/>
    </xf>
    <xf numFmtId="0" fontId="6" fillId="18" borderId="0" xfId="0" applyFont="1" applyFill="1" applyAlignment="1">
      <alignment horizontal="center"/>
    </xf>
    <xf numFmtId="164" fontId="23" fillId="18" borderId="0" xfId="1" applyNumberFormat="1" applyFont="1" applyFill="1" applyAlignment="1">
      <alignment horizontal="left" vertical="center" wrapText="1"/>
    </xf>
    <xf numFmtId="167" fontId="9" fillId="18" borderId="0" xfId="9" applyNumberFormat="1" applyFont="1" applyFill="1" applyBorder="1" applyAlignment="1"/>
    <xf numFmtId="164" fontId="9" fillId="18" borderId="0" xfId="1" applyNumberFormat="1" applyFont="1" applyFill="1"/>
    <xf numFmtId="0" fontId="9" fillId="18" borderId="0" xfId="0" applyFont="1" applyFill="1"/>
    <xf numFmtId="0" fontId="24" fillId="0" borderId="0" xfId="0" applyFont="1" applyFill="1" applyAlignment="1">
      <alignment horizontal="center"/>
    </xf>
    <xf numFmtId="0" fontId="9" fillId="18" borderId="0" xfId="0" applyFont="1" applyFill="1" applyBorder="1" applyAlignment="1">
      <alignment horizontal="center"/>
    </xf>
    <xf numFmtId="0" fontId="9" fillId="18" borderId="0" xfId="0" applyFont="1" applyFill="1" applyBorder="1" applyAlignment="1">
      <alignment horizontal="left"/>
    </xf>
    <xf numFmtId="165" fontId="9" fillId="18" borderId="0" xfId="0" applyNumberFormat="1" applyFont="1" applyFill="1"/>
    <xf numFmtId="164" fontId="9" fillId="18" borderId="0" xfId="0" applyNumberFormat="1" applyFont="1" applyFill="1"/>
    <xf numFmtId="164" fontId="23" fillId="8" borderId="0" xfId="1" applyNumberFormat="1" applyFont="1" applyFill="1" applyAlignment="1">
      <alignment horizontal="left" vertical="center" wrapText="1"/>
    </xf>
    <xf numFmtId="0" fontId="9" fillId="8" borderId="0" xfId="0" applyFont="1" applyFill="1"/>
    <xf numFmtId="0" fontId="24" fillId="17" borderId="0" xfId="0" applyFont="1" applyFill="1" applyAlignment="1">
      <alignment horizontal="center"/>
    </xf>
    <xf numFmtId="164" fontId="23" fillId="17" borderId="0" xfId="1" applyNumberFormat="1" applyFont="1" applyFill="1" applyAlignment="1">
      <alignment horizontal="left" vertical="center" wrapText="1"/>
    </xf>
    <xf numFmtId="167" fontId="9" fillId="17" borderId="0" xfId="9" applyNumberFormat="1" applyFont="1" applyFill="1" applyBorder="1" applyAlignment="1"/>
    <xf numFmtId="0" fontId="9" fillId="17" borderId="0" xfId="0" applyFont="1" applyFill="1"/>
    <xf numFmtId="0" fontId="6" fillId="19" borderId="0" xfId="0" applyFont="1" applyFill="1" applyAlignment="1">
      <alignment horizontal="center"/>
    </xf>
    <xf numFmtId="164" fontId="23" fillId="19" borderId="0" xfId="1" applyNumberFormat="1" applyFont="1" applyFill="1" applyAlignment="1">
      <alignment horizontal="left" vertical="center" wrapText="1"/>
    </xf>
    <xf numFmtId="0" fontId="9" fillId="19" borderId="0" xfId="0" applyFont="1" applyFill="1"/>
    <xf numFmtId="164" fontId="0" fillId="0" borderId="0" xfId="0" quotePrefix="1" applyNumberFormat="1"/>
    <xf numFmtId="0" fontId="2" fillId="0" borderId="0" xfId="0" applyFont="1" applyAlignment="1">
      <alignment horizontal="center" wrapText="1"/>
    </xf>
    <xf numFmtId="164" fontId="0" fillId="0" borderId="0" xfId="0" quotePrefix="1" applyNumberFormat="1" applyAlignment="1">
      <alignment wrapText="1"/>
    </xf>
    <xf numFmtId="167" fontId="9" fillId="0" borderId="0" xfId="0" applyNumberFormat="1" applyFont="1" applyFill="1"/>
    <xf numFmtId="0" fontId="6" fillId="6" borderId="0" xfId="0" applyFont="1" applyFill="1" applyAlignment="1">
      <alignment horizontal="center"/>
    </xf>
    <xf numFmtId="0" fontId="24" fillId="6" borderId="0" xfId="0" applyFont="1" applyFill="1" applyAlignment="1">
      <alignment horizontal="center"/>
    </xf>
    <xf numFmtId="167" fontId="9" fillId="20" borderId="0" xfId="9" applyNumberFormat="1" applyFont="1" applyFill="1" applyBorder="1" applyAlignment="1"/>
    <xf numFmtId="0" fontId="28" fillId="20" borderId="0" xfId="0" applyFont="1" applyFill="1"/>
    <xf numFmtId="167" fontId="9" fillId="6" borderId="0" xfId="9" applyNumberFormat="1" applyFont="1" applyFill="1" applyBorder="1" applyAlignment="1">
      <alignment wrapText="1"/>
    </xf>
    <xf numFmtId="0" fontId="8" fillId="6" borderId="0" xfId="0" applyFont="1" applyFill="1"/>
    <xf numFmtId="0" fontId="12" fillId="0" borderId="0" xfId="4" applyFont="1" applyFill="1" applyAlignment="1" applyProtection="1">
      <alignment horizontal="left" indent="1"/>
    </xf>
    <xf numFmtId="0" fontId="0" fillId="0" borderId="0" xfId="0" applyFill="1" applyAlignment="1">
      <alignment horizontal="center"/>
    </xf>
    <xf numFmtId="0" fontId="2" fillId="0" borderId="0" xfId="0" applyFont="1" applyAlignment="1">
      <alignment horizontal="center"/>
    </xf>
    <xf numFmtId="167" fontId="0" fillId="0" borderId="0" xfId="0" applyNumberFormat="1" applyFill="1"/>
    <xf numFmtId="0" fontId="0" fillId="0" borderId="0" xfId="0" applyAlignment="1">
      <alignment horizontal="center"/>
    </xf>
    <xf numFmtId="167" fontId="0" fillId="0" borderId="0" xfId="9" applyNumberFormat="1" applyFont="1"/>
    <xf numFmtId="0" fontId="0" fillId="6" borderId="0" xfId="0" applyFill="1" applyAlignment="1">
      <alignment horizontal="center"/>
    </xf>
    <xf numFmtId="0" fontId="0" fillId="0" borderId="0" xfId="0" applyFill="1" applyAlignment="1">
      <alignment vertical="top" wrapText="1"/>
    </xf>
    <xf numFmtId="0" fontId="2" fillId="0" borderId="0" xfId="0" applyFont="1" applyFill="1" applyAlignment="1">
      <alignment horizontal="right"/>
    </xf>
    <xf numFmtId="167" fontId="9" fillId="12" borderId="0" xfId="9" applyNumberFormat="1" applyFont="1" applyFill="1" applyBorder="1" applyAlignment="1">
      <alignment wrapText="1"/>
    </xf>
    <xf numFmtId="164" fontId="6" fillId="0" borderId="1" xfId="1" applyNumberFormat="1" applyFont="1" applyFill="1" applyBorder="1" applyAlignment="1">
      <alignment horizontal="right"/>
    </xf>
    <xf numFmtId="165" fontId="17" fillId="0" borderId="0" xfId="0" applyNumberFormat="1" applyFont="1"/>
    <xf numFmtId="164" fontId="2" fillId="0" borderId="0" xfId="1" applyNumberFormat="1" applyFont="1" applyFill="1"/>
    <xf numFmtId="164" fontId="10" fillId="0" borderId="31" xfId="1" applyNumberFormat="1" applyFont="1" applyFill="1" applyBorder="1" applyAlignment="1">
      <alignment horizontal="center"/>
    </xf>
    <xf numFmtId="164" fontId="6" fillId="0" borderId="0" xfId="1" applyNumberFormat="1" applyFont="1" applyFill="1" applyAlignment="1">
      <alignment horizontal="right"/>
    </xf>
    <xf numFmtId="164" fontId="6" fillId="0" borderId="0" xfId="1" applyNumberFormat="1" applyFont="1" applyFill="1" applyBorder="1" applyAlignment="1">
      <alignment horizontal="right"/>
    </xf>
    <xf numFmtId="164" fontId="46" fillId="0" borderId="31" xfId="1" applyNumberFormat="1" applyFont="1" applyFill="1" applyBorder="1" applyAlignment="1">
      <alignment horizontal="right"/>
    </xf>
    <xf numFmtId="0" fontId="9" fillId="0" borderId="0" xfId="0" applyFont="1" applyAlignment="1">
      <alignment horizontal="center"/>
    </xf>
    <xf numFmtId="0" fontId="9" fillId="0" borderId="0" xfId="0" applyFont="1" applyAlignment="1">
      <alignment horizontal="left"/>
    </xf>
    <xf numFmtId="165" fontId="9" fillId="0" borderId="0" xfId="0" applyNumberFormat="1" applyFont="1"/>
    <xf numFmtId="0" fontId="24" fillId="0" borderId="0" xfId="0" applyFont="1" applyAlignment="1">
      <alignment horizontal="center"/>
    </xf>
    <xf numFmtId="0" fontId="24" fillId="0" borderId="0" xfId="0" applyFont="1"/>
    <xf numFmtId="0" fontId="22" fillId="0" borderId="0" xfId="0" applyFont="1"/>
    <xf numFmtId="164" fontId="9" fillId="0" borderId="0" xfId="0" applyNumberFormat="1" applyFont="1"/>
    <xf numFmtId="167" fontId="9" fillId="0" borderId="0" xfId="0" applyNumberFormat="1" applyFont="1"/>
    <xf numFmtId="0" fontId="17" fillId="0" borderId="0" xfId="0" applyFont="1" applyAlignment="1">
      <alignment horizontal="center"/>
    </xf>
    <xf numFmtId="0" fontId="17" fillId="0" borderId="0" xfId="0" applyFont="1" applyAlignment="1">
      <alignment horizontal="left"/>
    </xf>
    <xf numFmtId="0" fontId="17" fillId="0" borderId="0" xfId="0" applyFont="1"/>
    <xf numFmtId="0" fontId="17" fillId="0" borderId="1" xfId="0" applyFont="1" applyBorder="1" applyAlignment="1">
      <alignment horizontal="centerContinuous"/>
    </xf>
    <xf numFmtId="0" fontId="17"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horizontal="left" wrapText="1"/>
    </xf>
    <xf numFmtId="49" fontId="9" fillId="0" borderId="0" xfId="0" applyNumberFormat="1" applyFont="1" applyAlignment="1">
      <alignment horizontal="left"/>
    </xf>
    <xf numFmtId="49" fontId="0" fillId="0" borderId="0" xfId="0" applyNumberFormat="1"/>
    <xf numFmtId="49" fontId="22" fillId="0" borderId="0" xfId="0" applyNumberFormat="1" applyFont="1" applyAlignment="1">
      <alignment horizontal="left"/>
    </xf>
    <xf numFmtId="49" fontId="0" fillId="0" borderId="0" xfId="0" applyNumberFormat="1" applyAlignment="1">
      <alignment horizontal="left"/>
    </xf>
    <xf numFmtId="49" fontId="9" fillId="0" borderId="0" xfId="0" applyNumberFormat="1" applyFont="1"/>
    <xf numFmtId="0" fontId="55" fillId="0" borderId="1" xfId="0" applyFont="1" applyBorder="1" applyAlignment="1">
      <alignment horizontal="center" wrapText="1"/>
    </xf>
    <xf numFmtId="0" fontId="55" fillId="0" borderId="1" xfId="0" applyFont="1" applyBorder="1"/>
    <xf numFmtId="0" fontId="56" fillId="0" borderId="0" xfId="0" applyFont="1"/>
    <xf numFmtId="4" fontId="56" fillId="0" borderId="0" xfId="0" applyNumberFormat="1" applyFont="1"/>
    <xf numFmtId="0" fontId="56" fillId="0" borderId="0" xfId="0" applyFont="1" applyBorder="1"/>
    <xf numFmtId="4" fontId="56" fillId="0" borderId="0" xfId="0" applyNumberFormat="1" applyFont="1" applyBorder="1"/>
    <xf numFmtId="0" fontId="17" fillId="41" borderId="0" xfId="0" applyFont="1" applyFill="1" applyAlignment="1">
      <alignment horizontal="center" wrapText="1"/>
    </xf>
    <xf numFmtId="41" fontId="0" fillId="0" borderId="0" xfId="0" applyNumberFormat="1"/>
    <xf numFmtId="41" fontId="0" fillId="9" borderId="0" xfId="0" applyNumberFormat="1" applyFill="1"/>
    <xf numFmtId="171" fontId="0" fillId="0" borderId="0" xfId="9" applyNumberFormat="1" applyFont="1"/>
    <xf numFmtId="167" fontId="2" fillId="0" borderId="0" xfId="0" applyNumberFormat="1" applyFont="1"/>
    <xf numFmtId="44" fontId="2" fillId="0" borderId="0" xfId="8" applyFont="1"/>
    <xf numFmtId="0" fontId="6" fillId="6"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Border="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16" fillId="0" borderId="0" xfId="0" applyFont="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4" fillId="5" borderId="0" xfId="0" applyNumberFormat="1" applyFont="1" applyFill="1" applyAlignment="1" applyProtection="1">
      <alignment horizontal="left" vertical="center"/>
    </xf>
    <xf numFmtId="0" fontId="0" fillId="5" borderId="0" xfId="0" applyFill="1" applyAlignment="1">
      <alignment vertical="center"/>
    </xf>
  </cellXfs>
  <cellStyles count="114">
    <cellStyle name="20% - Accent1 2" xfId="20" xr:uid="{86703F62-BB56-4506-BAA7-F384CDD4C803}"/>
    <cellStyle name="20% - Accent2 2" xfId="21" xr:uid="{47530608-4EFD-4906-9905-0091600DF440}"/>
    <cellStyle name="20% - Accent3 2" xfId="22" xr:uid="{525EC93E-DEB2-482E-982D-777A1D3D9623}"/>
    <cellStyle name="20% - Accent4 2" xfId="23" xr:uid="{81CEA504-8FEB-4F8A-BFE4-AC0467DDE1DC}"/>
    <cellStyle name="20% - Accent5 2" xfId="24" xr:uid="{5C899083-33E1-48A7-8F63-F99DDA10FA07}"/>
    <cellStyle name="20% - Accent6 2" xfId="25" xr:uid="{313F2344-05C1-4963-9033-5FA1A9E48984}"/>
    <cellStyle name="40% - Accent1 2" xfId="26" xr:uid="{3A7A683C-3D17-4968-BD5D-172C916312D5}"/>
    <cellStyle name="40% - Accent2 2" xfId="27" xr:uid="{01103523-35D8-4308-9C53-82249C2BFB81}"/>
    <cellStyle name="40% - Accent3 2" xfId="28" xr:uid="{D24EA9CC-EB2C-44B7-8B15-9EDC90430B78}"/>
    <cellStyle name="40% - Accent4 2" xfId="29" xr:uid="{173E20B4-91C7-4C94-826E-B5284980EFEF}"/>
    <cellStyle name="40% - Accent5 2" xfId="30" xr:uid="{0D04A86B-D3FE-41B2-9E2D-004D4F08E104}"/>
    <cellStyle name="40% - Accent6 2" xfId="31" xr:uid="{70C23DC0-9B4D-4945-BC69-3214C64D120C}"/>
    <cellStyle name="60% - Accent1 2" xfId="32" xr:uid="{88666926-0BF7-4238-92BD-3758E6E07B3E}"/>
    <cellStyle name="60% - Accent2 2" xfId="33" xr:uid="{49830DE9-CF95-4128-A461-9B4D0C2E11DA}"/>
    <cellStyle name="60% - Accent3 2" xfId="34" xr:uid="{89310C69-2B42-4CC9-AC0E-018342791662}"/>
    <cellStyle name="60% - Accent4 2" xfId="35" xr:uid="{D2F55BDE-ED85-469D-A4E2-D417BEA75F0F}"/>
    <cellStyle name="60% - Accent5 2" xfId="36" xr:uid="{8F9EAEF7-4BCF-441D-AFD0-A7366A5F4AB5}"/>
    <cellStyle name="60% - Accent6 2" xfId="37" xr:uid="{C7CA1BAB-90DF-420B-A575-A3AAFFA7550A}"/>
    <cellStyle name="Accent1 2" xfId="38" xr:uid="{A1EBF223-0991-4943-AB77-D84DD2C6DE2A}"/>
    <cellStyle name="Accent2 2" xfId="39" xr:uid="{20326A64-06C1-439D-942C-95ECE5CAD6F6}"/>
    <cellStyle name="Accent3 2" xfId="40" xr:uid="{A58B5AA1-1740-4CD3-B96B-62D692733233}"/>
    <cellStyle name="Accent4 2" xfId="41" xr:uid="{85675F8B-3DF0-4A43-8CA8-153A68B03F61}"/>
    <cellStyle name="Accent5 2" xfId="42" xr:uid="{E1414E78-AD0C-4FA1-980B-70C45805F467}"/>
    <cellStyle name="Accent6 2" xfId="43" xr:uid="{CB6BFDBF-C22F-4120-8952-05CA13C66117}"/>
    <cellStyle name="Bad 2" xfId="44" xr:uid="{2E9D790F-23E0-47DD-9EF9-CFB58B68A1EC}"/>
    <cellStyle name="BigBorder" xfId="107" xr:uid="{224084F4-9DAA-483E-A038-2458876DD786}"/>
    <cellStyle name="BigTitle" xfId="99" xr:uid="{5D7B9C04-46C1-4505-BB3C-64BBD28D6554}"/>
    <cellStyle name="Blue%2" xfId="103" xr:uid="{07C7FEA2-2BDA-46E0-9A24-2BFBA7271B47}"/>
    <cellStyle name="Blue%4" xfId="104" xr:uid="{D09058E5-E1B3-4491-BA11-DCDC55EB97DB}"/>
    <cellStyle name="BlueInt" xfId="102" xr:uid="{F104B315-36C1-4EE4-B5D7-12704F698241}"/>
    <cellStyle name="Calculation 2" xfId="45" xr:uid="{344FA9A2-7767-4D2E-9FCB-5BB74828F9CA}"/>
    <cellStyle name="Check Cell 2" xfId="46" xr:uid="{A6A46461-32AA-43D5-84F8-5E44FF3E8F5F}"/>
    <cellStyle name="columnheader1" xfId="101" xr:uid="{D35B331C-3FA6-486A-8D8A-D81D4DB62A39}"/>
    <cellStyle name="Comma" xfId="1" builtinId="3"/>
    <cellStyle name="Comma 2" xfId="2" xr:uid="{00000000-0005-0000-0000-000001000000}"/>
    <cellStyle name="Comma 2 2" xfId="47" xr:uid="{7FE59CB9-23EA-4FDA-B489-92A4F70E2119}"/>
    <cellStyle name="Comma 2 2 2" xfId="79" xr:uid="{B96B668B-0C54-4A21-BAE7-852AB497CC6E}"/>
    <cellStyle name="Comma 2 3" xfId="110" xr:uid="{183B6708-0084-48AF-A68E-83FD6A92F429}"/>
    <cellStyle name="Comma 3" xfId="12" xr:uid="{A1973464-575D-4F58-8569-AC71FD85288D}"/>
    <cellStyle name="Comma 3 2" xfId="48" xr:uid="{3F2705DE-A843-449C-80A0-6496166264D2}"/>
    <cellStyle name="Comma 4" xfId="49" xr:uid="{633CD1D3-1595-4432-8CF6-7E9AD909A0E3}"/>
    <cellStyle name="Comma 4 2" xfId="80" xr:uid="{A3ABCAA9-79CE-4235-A582-FC687A3BC7DE}"/>
    <cellStyle name="Comma 5" xfId="50" xr:uid="{CDC5EE83-D094-439D-B256-28437AD5FE82}"/>
    <cellStyle name="Comma 5 2" xfId="51" xr:uid="{BABCD811-8C2A-4097-B30B-C1DDC6FAC2E8}"/>
    <cellStyle name="Comma 5 3" xfId="92" xr:uid="{34DCD6AD-BF3E-43AC-9F70-EA0E8F51C746}"/>
    <cellStyle name="Comma 6" xfId="97" xr:uid="{6AB9410A-BA46-4BC4-8F0E-6A43C93E8D9B}"/>
    <cellStyle name="Currency" xfId="8" builtinId="4"/>
    <cellStyle name="Currency 2" xfId="14" xr:uid="{0EE08CE7-C0F1-47C2-B914-261E98909C5D}"/>
    <cellStyle name="Currency 2 2" xfId="52" xr:uid="{CD3773FE-EAAC-497D-B1AB-FBEAAF21A41E}"/>
    <cellStyle name="Currency 2 3" xfId="81" xr:uid="{86FF1FCF-607A-48AF-BDA2-7739411DA910}"/>
    <cellStyle name="Currency 3" xfId="53" xr:uid="{618F86D0-59D8-43A4-BBEE-8F1B7BC913E5}"/>
    <cellStyle name="Currency 4" xfId="54" xr:uid="{CF4CF41A-D432-4440-B7F3-F25620F06A60}"/>
    <cellStyle name="Currency 5" xfId="55" xr:uid="{FD9FFB2E-5D3E-4368-A13B-DD8B6FE20792}"/>
    <cellStyle name="Currency 5 2" xfId="56" xr:uid="{2D187E7A-23EE-428E-8094-44BFC7C87EB2}"/>
    <cellStyle name="Currency 5 3" xfId="93" xr:uid="{E9929E01-0818-4727-9D64-A35C032E31B8}"/>
    <cellStyle name="Currency 6" xfId="57" xr:uid="{7087668B-103D-4D0B-82E4-5780857D8B44}"/>
    <cellStyle name="Explanatory Text 2" xfId="58" xr:uid="{2A3023E6-6EBD-4773-A3D2-D4F48047A925}"/>
    <cellStyle name="Good 2" xfId="59" xr:uid="{32BB6E9F-555E-48DF-A43D-0A28F7F4439C}"/>
    <cellStyle name="Heading 1 2" xfId="60" xr:uid="{8F6B608D-3C0E-4332-8168-3C73F8936414}"/>
    <cellStyle name="Heading 2 2" xfId="61" xr:uid="{C3F2D674-2352-4194-9894-9374768CB7DB}"/>
    <cellStyle name="Heading 3 2" xfId="62" xr:uid="{E2EAFCD7-F1A8-4225-9CC8-CD2992F8729A}"/>
    <cellStyle name="Heading 4 2" xfId="63" xr:uid="{A524B623-4943-4074-B634-AEAEB4AB7EEF}"/>
    <cellStyle name="Input 2" xfId="64" xr:uid="{DBAA01FF-A8E4-4B20-BD60-772A1006E096}"/>
    <cellStyle name="Input%2" xfId="106" xr:uid="{4F82F50B-3877-4E5E-81EA-69BA8DD7D5DA}"/>
    <cellStyle name="InputInt" xfId="105" xr:uid="{6FA21609-A27A-4A89-8542-D81DCB95C8B2}"/>
    <cellStyle name="Linked Cell 2" xfId="65" xr:uid="{32A9C810-F127-4CCF-BEA6-90970E1DE488}"/>
    <cellStyle name="Neutral 2" xfId="66" xr:uid="{BC8BCF5E-7BDE-4E12-A328-C881208CA2E9}"/>
    <cellStyle name="Normal" xfId="0" builtinId="0"/>
    <cellStyle name="Normal 2" xfId="3" xr:uid="{00000000-0005-0000-0000-000004000000}"/>
    <cellStyle name="Normal 2 2" xfId="15" xr:uid="{2DEBC7FA-5942-4433-8C6A-2094C6EA6803}"/>
    <cellStyle name="Normal 2 2 2" xfId="82" xr:uid="{185F8D6D-7EB4-41D7-BD8A-D43F93120F8A}"/>
    <cellStyle name="Normal 2 2 3" xfId="83" xr:uid="{B13159C6-F153-4C05-AEF5-0494CD9DECFF}"/>
    <cellStyle name="Normal 2 3" xfId="67" xr:uid="{A33537E3-9C65-49DB-8A2E-75E27573CA84}"/>
    <cellStyle name="Normal 2 4" xfId="98" xr:uid="{175E42C5-8AD6-41CB-AC8D-9ADEAED09FAD}"/>
    <cellStyle name="Normal 3" xfId="4" xr:uid="{00000000-0005-0000-0000-000005000000}"/>
    <cellStyle name="Normal 3 2" xfId="5" xr:uid="{00000000-0005-0000-0000-000006000000}"/>
    <cellStyle name="Normal 3 3" xfId="16" xr:uid="{764A6C26-CCB7-4605-9268-60FC268ECDDF}"/>
    <cellStyle name="Normal 3 4" xfId="11" xr:uid="{96BAD52D-75BE-4664-8ABE-A29E7F89AE92}"/>
    <cellStyle name="Normal 3 4 2" xfId="68" xr:uid="{D965FA73-D3EF-43D8-8767-2A3F2D11927E}"/>
    <cellStyle name="Normal 3 4 3" xfId="91" xr:uid="{A833C2B0-AB46-408B-95FD-7F51653A0101}"/>
    <cellStyle name="Normal 3 5" xfId="111" xr:uid="{07484E9A-D4CD-497B-9FAA-9273AC273AAE}"/>
    <cellStyle name="Normal 4" xfId="6" xr:uid="{00000000-0005-0000-0000-000007000000}"/>
    <cellStyle name="Normal 4 2" xfId="17" xr:uid="{A0B6EF88-A855-42E7-8C65-D93A1136D7F8}"/>
    <cellStyle name="Normal 4 3" xfId="18" xr:uid="{A9B83766-B5A8-4978-ADA7-B1259E2E637B}"/>
    <cellStyle name="Normal 4 3 2" xfId="84" xr:uid="{BDB35482-53BF-4D3E-89FC-3502CF79B784}"/>
    <cellStyle name="Normal 4 3 3" xfId="95" xr:uid="{09FD6500-0337-42B0-B8B5-BA2637F30AD5}"/>
    <cellStyle name="Normal 4 4" xfId="85" xr:uid="{C42F9759-DE81-4931-AC31-16E2DDB360A8}"/>
    <cellStyle name="Normal 5" xfId="10" xr:uid="{FD682A44-AD4D-4B47-898F-5EABBB3D1B3B}"/>
    <cellStyle name="Normal 5 2" xfId="19" xr:uid="{FC4AA2AB-C352-4E50-8C3B-7EBB3F607B73}"/>
    <cellStyle name="Normal 5 3" xfId="90" xr:uid="{AB3B3BB5-03C6-421F-9DF3-998083684ADD}"/>
    <cellStyle name="Normal 5 3 2" xfId="113" xr:uid="{D8EBFEB0-D092-4437-B094-8CFA85DC492B}"/>
    <cellStyle name="Normal 5 4" xfId="89" xr:uid="{7412C5C0-7A58-4845-85D7-ABBD08E705FD}"/>
    <cellStyle name="Normal 5 4 2" xfId="109" xr:uid="{EDA72F01-1A65-4424-A27F-53A5483DCE16}"/>
    <cellStyle name="Normal 5 5" xfId="88" xr:uid="{C5E83BD4-3F68-43C4-9E9D-F90639726087}"/>
    <cellStyle name="Normal 5 6" xfId="96" xr:uid="{9E7AC417-C498-4C38-988D-443C98F6E286}"/>
    <cellStyle name="Note 2" xfId="69" xr:uid="{C52573DF-110C-4BFC-B0BE-6CA251BD5ECB}"/>
    <cellStyle name="Output 2" xfId="70" xr:uid="{4E7D9BF7-F305-4404-9796-FB5C1A9836DE}"/>
    <cellStyle name="pageheader" xfId="108" xr:uid="{09B08442-89B6-4A6B-B5B9-CB19B259F834}"/>
    <cellStyle name="Percent" xfId="9" builtinId="5"/>
    <cellStyle name="Percent 2" xfId="7" xr:uid="{00000000-0005-0000-0000-000009000000}"/>
    <cellStyle name="Percent 2 2" xfId="71" xr:uid="{612BE71F-3252-4B85-90BD-B1E1A7A2F220}"/>
    <cellStyle name="Percent 2 2 2" xfId="86" xr:uid="{E10ACD11-1B5E-4475-BF3F-5306630F0FFF}"/>
    <cellStyle name="Percent 2 3" xfId="112" xr:uid="{17842072-F1A5-49BA-AE84-744EC36DCA72}"/>
    <cellStyle name="Percent 3" xfId="13" xr:uid="{D2F1819A-7F36-4735-81CA-F8B7C027C796}"/>
    <cellStyle name="Percent 4" xfId="72" xr:uid="{EB4FA63E-D471-490A-9F92-9411C6F9441E}"/>
    <cellStyle name="Percent 4 2" xfId="87" xr:uid="{78D5B3BB-4175-4682-9BDC-5B6FE0F55D71}"/>
    <cellStyle name="Percent 5" xfId="73" xr:uid="{EFAC1CC4-6C69-4FBB-967C-3AF0EAB0B88D}"/>
    <cellStyle name="Percent 5 2" xfId="74" xr:uid="{434E0232-2BC8-4AEE-8D74-D1657AB4FD40}"/>
    <cellStyle name="Percent 5 3" xfId="94" xr:uid="{6AA01A71-9910-4512-9911-80FB26D1F675}"/>
    <cellStyle name="Percent 6" xfId="75" xr:uid="{30406C10-4DB8-4012-8110-99F2B7843500}"/>
    <cellStyle name="sectionhead" xfId="100" xr:uid="{786E13FC-DE75-4C11-85AC-34811F894D7A}"/>
    <cellStyle name="Title 2" xfId="76" xr:uid="{828CED8A-FBC3-46AC-AFF6-6F1CCDF32C26}"/>
    <cellStyle name="Total 2" xfId="77" xr:uid="{101AB884-4458-43FD-838C-7E7E3A02B37C}"/>
    <cellStyle name="Warning Text 2" xfId="78" xr:uid="{4BD1FD70-E263-44CA-A383-C2385B1067AB}"/>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28577</xdr:colOff>
      <xdr:row>39</xdr:row>
      <xdr:rowOff>209550</xdr:rowOff>
    </xdr:from>
    <xdr:to>
      <xdr:col>6</xdr:col>
      <xdr:colOff>1714500</xdr:colOff>
      <xdr:row>39</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1449052" y="9591675"/>
          <a:ext cx="1685923" cy="762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ricFaust\Desktop\Illustrated%20Statements%20-%20Carolina%20County\JE%20Templates\2021\201-301%20LGERS%20GASB%2068%20Tables%20for%20RSD_ORIGINAL%20FROM%20CMC%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ing Service Lives"/>
      <sheetName val="Experience"/>
      <sheetName val="Assumptions"/>
      <sheetName val="Earnings"/>
      <sheetName val="Annual Pension Expense"/>
      <sheetName val="Appendix B"/>
      <sheetName val="App C Exp"/>
      <sheetName val="App C Inv"/>
      <sheetName val="App C Assum"/>
      <sheetName val="App C Share Outflows"/>
      <sheetName val="App C Share Inflows"/>
      <sheetName val="App C Total"/>
    </sheetNames>
    <sheetDataSet>
      <sheetData sheetId="0"/>
      <sheetData sheetId="1"/>
      <sheetData sheetId="2"/>
      <sheetData sheetId="3"/>
      <sheetData sheetId="4"/>
      <sheetData sheetId="5"/>
      <sheetData sheetId="6">
        <row r="4">
          <cell r="A4">
            <v>70505</v>
          </cell>
          <cell r="B4" t="str">
            <v>THE EASTERN BAND OF CHEROKEE INDIANS</v>
          </cell>
          <cell r="C4">
            <v>3.2890000000000003E-4</v>
          </cell>
          <cell r="D4"/>
          <cell r="E4">
            <v>49272</v>
          </cell>
          <cell r="F4">
            <v>46349</v>
          </cell>
          <cell r="G4">
            <v>41542</v>
          </cell>
          <cell r="H4">
            <v>16633</v>
          </cell>
          <cell r="I4">
            <v>0</v>
          </cell>
        </row>
        <row r="5">
          <cell r="A5">
            <v>71786</v>
          </cell>
          <cell r="B5" t="str">
            <v>VILLAGE OF MISENHEIMER</v>
          </cell>
          <cell r="C5">
            <v>0</v>
          </cell>
          <cell r="D5"/>
          <cell r="E5">
            <v>0</v>
          </cell>
          <cell r="F5">
            <v>0</v>
          </cell>
          <cell r="G5">
            <v>0</v>
          </cell>
          <cell r="H5">
            <v>0</v>
          </cell>
          <cell r="I5">
            <v>0</v>
          </cell>
        </row>
        <row r="6">
          <cell r="A6">
            <v>72265</v>
          </cell>
          <cell r="B6" t="str">
            <v>PIEDMONT TRIAD AIRPORT AUTHORITY</v>
          </cell>
          <cell r="C6">
            <v>1.44E-4</v>
          </cell>
          <cell r="D6"/>
          <cell r="E6">
            <v>21572</v>
          </cell>
          <cell r="F6">
            <v>20292</v>
          </cell>
          <cell r="G6">
            <v>18188</v>
          </cell>
          <cell r="H6">
            <v>7282</v>
          </cell>
          <cell r="I6">
            <v>0</v>
          </cell>
        </row>
        <row r="7">
          <cell r="A7">
            <v>72593</v>
          </cell>
          <cell r="B7" t="str">
            <v>TOWN OF SEAGROVE</v>
          </cell>
          <cell r="C7">
            <v>6.1E-6</v>
          </cell>
          <cell r="D7"/>
          <cell r="E7">
            <v>914</v>
          </cell>
          <cell r="F7">
            <v>860</v>
          </cell>
          <cell r="G7">
            <v>770</v>
          </cell>
          <cell r="H7">
            <v>308</v>
          </cell>
          <cell r="I7">
            <v>0</v>
          </cell>
        </row>
        <row r="8">
          <cell r="A8">
            <v>72657</v>
          </cell>
          <cell r="B8" t="str">
            <v>TOWN OF SPARTA</v>
          </cell>
          <cell r="C8">
            <v>3.7200000000000003E-5</v>
          </cell>
          <cell r="D8"/>
          <cell r="E8">
            <v>5573</v>
          </cell>
          <cell r="F8">
            <v>5242</v>
          </cell>
          <cell r="G8">
            <v>4699</v>
          </cell>
          <cell r="H8">
            <v>1881</v>
          </cell>
          <cell r="I8">
            <v>0</v>
          </cell>
        </row>
        <row r="9">
          <cell r="A9">
            <v>90001</v>
          </cell>
          <cell r="B9" t="str">
            <v>YANCEY COUNTY</v>
          </cell>
          <cell r="C9">
            <v>8.6050000000000005E-4</v>
          </cell>
          <cell r="D9"/>
          <cell r="E9">
            <v>128909</v>
          </cell>
          <cell r="F9">
            <v>121262</v>
          </cell>
          <cell r="G9">
            <v>108685</v>
          </cell>
          <cell r="H9">
            <v>43516</v>
          </cell>
          <cell r="I9">
            <v>0</v>
          </cell>
        </row>
        <row r="10">
          <cell r="A10">
            <v>90002</v>
          </cell>
          <cell r="B10" t="str">
            <v>YANCEY SOIL &amp; WATER CONS</v>
          </cell>
          <cell r="C10">
            <v>8.3999999999999992E-6</v>
          </cell>
          <cell r="D10"/>
          <cell r="E10">
            <v>1258</v>
          </cell>
          <cell r="F10">
            <v>1184</v>
          </cell>
          <cell r="G10">
            <v>1061</v>
          </cell>
          <cell r="H10">
            <v>425</v>
          </cell>
          <cell r="I10">
            <v>0</v>
          </cell>
        </row>
        <row r="11">
          <cell r="A11">
            <v>90011</v>
          </cell>
          <cell r="B11" t="str">
            <v>TOWN OF BURNSVILLE</v>
          </cell>
          <cell r="C11">
            <v>1.8009999999999999E-4</v>
          </cell>
          <cell r="D11"/>
          <cell r="E11">
            <v>26980</v>
          </cell>
          <cell r="F11">
            <v>25380</v>
          </cell>
          <cell r="G11">
            <v>22748</v>
          </cell>
          <cell r="H11">
            <v>9108</v>
          </cell>
          <cell r="I11">
            <v>0</v>
          </cell>
        </row>
        <row r="12">
          <cell r="A12">
            <v>90092</v>
          </cell>
          <cell r="B12" t="str">
            <v>MARTIN-TYRRELL-WASHINGTON DIST HEALTH DEPT</v>
          </cell>
          <cell r="C12">
            <v>3.9530000000000001E-4</v>
          </cell>
          <cell r="D12"/>
          <cell r="E12">
            <v>59219</v>
          </cell>
          <cell r="F12">
            <v>55706</v>
          </cell>
          <cell r="G12">
            <v>49928</v>
          </cell>
          <cell r="H12">
            <v>19991</v>
          </cell>
          <cell r="I12">
            <v>0</v>
          </cell>
        </row>
        <row r="13">
          <cell r="A13">
            <v>90096</v>
          </cell>
          <cell r="B13" t="str">
            <v>ALBEMARLE REGIONAL HEALTH SERVICES</v>
          </cell>
          <cell r="C13">
            <v>9.722E-4</v>
          </cell>
          <cell r="D13"/>
          <cell r="E13">
            <v>145642</v>
          </cell>
          <cell r="F13">
            <v>137002</v>
          </cell>
          <cell r="G13">
            <v>122794</v>
          </cell>
          <cell r="H13">
            <v>49165</v>
          </cell>
          <cell r="I13">
            <v>0</v>
          </cell>
        </row>
        <row r="14">
          <cell r="A14">
            <v>90098</v>
          </cell>
          <cell r="B14" t="str">
            <v>TOE RIVER HEALTH DISTRICT</v>
          </cell>
          <cell r="C14">
            <v>2.521E-4</v>
          </cell>
          <cell r="D14"/>
          <cell r="E14">
            <v>37766</v>
          </cell>
          <cell r="F14">
            <v>35526</v>
          </cell>
          <cell r="G14">
            <v>31841</v>
          </cell>
          <cell r="H14">
            <v>12749</v>
          </cell>
          <cell r="I14">
            <v>0</v>
          </cell>
        </row>
        <row r="15">
          <cell r="A15">
            <v>90099</v>
          </cell>
          <cell r="B15" t="str">
            <v>APPALACHIAN DISTRICT HEALTH DEPT</v>
          </cell>
          <cell r="C15">
            <v>6.7389999999999995E-4</v>
          </cell>
          <cell r="D15"/>
          <cell r="E15">
            <v>100955</v>
          </cell>
          <cell r="F15">
            <v>94966</v>
          </cell>
          <cell r="G15">
            <v>85117</v>
          </cell>
          <cell r="H15">
            <v>34080</v>
          </cell>
          <cell r="I15">
            <v>0</v>
          </cell>
        </row>
        <row r="16">
          <cell r="A16">
            <v>90101</v>
          </cell>
          <cell r="B16" t="str">
            <v>ALAMANCE COUNTY</v>
          </cell>
          <cell r="C16">
            <v>6.2302E-3</v>
          </cell>
          <cell r="D16"/>
          <cell r="E16">
            <v>933328</v>
          </cell>
          <cell r="F16">
            <v>877960</v>
          </cell>
          <cell r="G16">
            <v>786905</v>
          </cell>
          <cell r="H16">
            <v>315067</v>
          </cell>
          <cell r="I16">
            <v>0</v>
          </cell>
        </row>
        <row r="17">
          <cell r="A17">
            <v>90111</v>
          </cell>
          <cell r="B17" t="str">
            <v>CITY OF BURLINGTON</v>
          </cell>
          <cell r="C17">
            <v>4.9528000000000003E-3</v>
          </cell>
          <cell r="D17"/>
          <cell r="E17">
            <v>741964</v>
          </cell>
          <cell r="F17">
            <v>697949</v>
          </cell>
          <cell r="G17">
            <v>625563</v>
          </cell>
          <cell r="H17">
            <v>250468</v>
          </cell>
          <cell r="I17">
            <v>0</v>
          </cell>
        </row>
        <row r="18">
          <cell r="A18">
            <v>90114</v>
          </cell>
          <cell r="B18" t="str">
            <v>CITY OF MEBANE</v>
          </cell>
          <cell r="C18">
            <v>1.1188999999999999E-3</v>
          </cell>
          <cell r="D18"/>
          <cell r="E18">
            <v>167619</v>
          </cell>
          <cell r="F18">
            <v>157675</v>
          </cell>
          <cell r="G18">
            <v>141323</v>
          </cell>
          <cell r="H18">
            <v>56584</v>
          </cell>
          <cell r="I18">
            <v>0</v>
          </cell>
        </row>
        <row r="19">
          <cell r="A19">
            <v>90117</v>
          </cell>
          <cell r="B19" t="str">
            <v>ALAMANCE MUNICIPAL ABC BOARD</v>
          </cell>
          <cell r="C19">
            <v>1.3219999999999999E-4</v>
          </cell>
          <cell r="D19"/>
          <cell r="E19">
            <v>19804</v>
          </cell>
          <cell r="F19">
            <v>18630</v>
          </cell>
          <cell r="G19">
            <v>16698</v>
          </cell>
          <cell r="H19">
            <v>6685</v>
          </cell>
          <cell r="I19">
            <v>0</v>
          </cell>
        </row>
        <row r="20">
          <cell r="A20">
            <v>90121</v>
          </cell>
          <cell r="B20" t="str">
            <v>CITY OF GRAHAM</v>
          </cell>
          <cell r="C20">
            <v>1.1077999999999999E-3</v>
          </cell>
          <cell r="D20"/>
          <cell r="E20">
            <v>165956</v>
          </cell>
          <cell r="F20">
            <v>156111</v>
          </cell>
          <cell r="G20">
            <v>139921</v>
          </cell>
          <cell r="H20">
            <v>56023</v>
          </cell>
          <cell r="I20">
            <v>0</v>
          </cell>
        </row>
        <row r="21">
          <cell r="A21">
            <v>90131</v>
          </cell>
          <cell r="B21" t="str">
            <v>TOWN OF ELON</v>
          </cell>
          <cell r="C21">
            <v>4.9050000000000005E-4</v>
          </cell>
          <cell r="D21"/>
          <cell r="E21">
            <v>73480</v>
          </cell>
          <cell r="F21">
            <v>69121</v>
          </cell>
          <cell r="G21">
            <v>61953</v>
          </cell>
          <cell r="H21">
            <v>24805</v>
          </cell>
          <cell r="I21">
            <v>0</v>
          </cell>
        </row>
        <row r="22">
          <cell r="A22">
            <v>90141</v>
          </cell>
          <cell r="B22" t="str">
            <v>TOWN OF HAW RIVER</v>
          </cell>
          <cell r="C22">
            <v>1.4770000000000001E-4</v>
          </cell>
          <cell r="D22"/>
          <cell r="E22">
            <v>22126</v>
          </cell>
          <cell r="F22">
            <v>20814</v>
          </cell>
          <cell r="G22">
            <v>18655</v>
          </cell>
          <cell r="H22">
            <v>7469</v>
          </cell>
          <cell r="I22">
            <v>0</v>
          </cell>
        </row>
        <row r="23">
          <cell r="A23">
            <v>90151</v>
          </cell>
          <cell r="B23" t="str">
            <v>VILLAGE OF ALAMANCE</v>
          </cell>
          <cell r="C23">
            <v>9.3000000000000007E-6</v>
          </cell>
          <cell r="D23"/>
          <cell r="E23">
            <v>1393</v>
          </cell>
          <cell r="F23">
            <v>1311</v>
          </cell>
          <cell r="G23">
            <v>1175</v>
          </cell>
          <cell r="H23">
            <v>470</v>
          </cell>
          <cell r="I23">
            <v>0</v>
          </cell>
        </row>
        <row r="24">
          <cell r="A24">
            <v>90161</v>
          </cell>
          <cell r="B24" t="str">
            <v>TOWN OF GREEN LEVEL</v>
          </cell>
          <cell r="C24">
            <v>3.57E-5</v>
          </cell>
          <cell r="D24"/>
          <cell r="E24">
            <v>5348</v>
          </cell>
          <cell r="F24">
            <v>5031</v>
          </cell>
          <cell r="G24">
            <v>4509</v>
          </cell>
          <cell r="H24">
            <v>1805</v>
          </cell>
          <cell r="I24">
            <v>0</v>
          </cell>
        </row>
        <row r="25">
          <cell r="A25">
            <v>90201</v>
          </cell>
          <cell r="B25" t="str">
            <v>ALEXANDER COUNTY</v>
          </cell>
          <cell r="C25">
            <v>1.2569E-3</v>
          </cell>
          <cell r="D25"/>
          <cell r="E25">
            <v>188292</v>
          </cell>
          <cell r="F25">
            <v>177122</v>
          </cell>
          <cell r="G25">
            <v>158753</v>
          </cell>
          <cell r="H25">
            <v>63563</v>
          </cell>
          <cell r="I25">
            <v>0</v>
          </cell>
        </row>
        <row r="26">
          <cell r="A26">
            <v>90203</v>
          </cell>
          <cell r="B26" t="str">
            <v>ALEXANDER COUNTY HEALTH DEPT</v>
          </cell>
          <cell r="C26">
            <v>2.0019999999999999E-4</v>
          </cell>
          <cell r="D26"/>
          <cell r="E26">
            <v>29991</v>
          </cell>
          <cell r="F26">
            <v>28212</v>
          </cell>
          <cell r="G26">
            <v>25286</v>
          </cell>
          <cell r="H26">
            <v>10124</v>
          </cell>
          <cell r="I26">
            <v>0</v>
          </cell>
        </row>
        <row r="27">
          <cell r="A27">
            <v>90205</v>
          </cell>
          <cell r="B27" t="str">
            <v>ALEXANDER COUNTY PUBLIC LIBRARY</v>
          </cell>
          <cell r="C27">
            <v>3.04E-5</v>
          </cell>
          <cell r="D27"/>
          <cell r="E27">
            <v>4554</v>
          </cell>
          <cell r="F27">
            <v>4284</v>
          </cell>
          <cell r="G27">
            <v>3840</v>
          </cell>
          <cell r="H27">
            <v>1537</v>
          </cell>
          <cell r="I27">
            <v>0</v>
          </cell>
        </row>
        <row r="28">
          <cell r="A28">
            <v>90206</v>
          </cell>
          <cell r="B28" t="str">
            <v>ALEXANDER COUNTY DEPT OF S S</v>
          </cell>
          <cell r="C28">
            <v>3.6160000000000001E-4</v>
          </cell>
          <cell r="D28"/>
          <cell r="E28">
            <v>54170</v>
          </cell>
          <cell r="F28">
            <v>50957</v>
          </cell>
          <cell r="G28">
            <v>45672</v>
          </cell>
          <cell r="H28">
            <v>18286</v>
          </cell>
          <cell r="I28">
            <v>0</v>
          </cell>
        </row>
        <row r="29">
          <cell r="A29">
            <v>90211</v>
          </cell>
          <cell r="B29" t="str">
            <v>TOWN OF TAYLORSVILLE</v>
          </cell>
          <cell r="C29">
            <v>1.5799999999999999E-4</v>
          </cell>
          <cell r="D29"/>
          <cell r="E29">
            <v>23670</v>
          </cell>
          <cell r="F29">
            <v>22265</v>
          </cell>
          <cell r="G29">
            <v>19956</v>
          </cell>
          <cell r="H29">
            <v>7990</v>
          </cell>
          <cell r="I29">
            <v>0</v>
          </cell>
        </row>
        <row r="30">
          <cell r="A30">
            <v>90301</v>
          </cell>
          <cell r="B30" t="str">
            <v>ALLEGHANY COUNTY</v>
          </cell>
          <cell r="C30">
            <v>7.339E-4</v>
          </cell>
          <cell r="D30"/>
          <cell r="E30">
            <v>109943</v>
          </cell>
          <cell r="F30">
            <v>103421</v>
          </cell>
          <cell r="G30">
            <v>92695</v>
          </cell>
          <cell r="H30">
            <v>37114</v>
          </cell>
          <cell r="I30">
            <v>0</v>
          </cell>
        </row>
        <row r="31">
          <cell r="A31">
            <v>90305</v>
          </cell>
          <cell r="B31" t="str">
            <v>NORTHWESTERN REGIONAL LIBRARY</v>
          </cell>
          <cell r="C31">
            <v>1.404E-4</v>
          </cell>
          <cell r="D31"/>
          <cell r="E31">
            <v>21033</v>
          </cell>
          <cell r="F31">
            <v>19785</v>
          </cell>
          <cell r="G31">
            <v>17733</v>
          </cell>
          <cell r="H31">
            <v>7100</v>
          </cell>
          <cell r="I31">
            <v>0</v>
          </cell>
        </row>
        <row r="32">
          <cell r="A32">
            <v>90307</v>
          </cell>
          <cell r="B32" t="str">
            <v>TOWN OF SPARTA ABC BOARD</v>
          </cell>
          <cell r="C32">
            <v>5.8000000000000004E-6</v>
          </cell>
          <cell r="D32"/>
          <cell r="E32">
            <v>869</v>
          </cell>
          <cell r="F32">
            <v>817</v>
          </cell>
          <cell r="G32">
            <v>733</v>
          </cell>
          <cell r="H32">
            <v>293</v>
          </cell>
          <cell r="I32">
            <v>0</v>
          </cell>
        </row>
        <row r="33">
          <cell r="A33">
            <v>90401</v>
          </cell>
          <cell r="B33" t="str">
            <v>ANSON COUNTY</v>
          </cell>
          <cell r="C33">
            <v>1.2876000000000001E-3</v>
          </cell>
          <cell r="D33"/>
          <cell r="E33">
            <v>192891</v>
          </cell>
          <cell r="F33">
            <v>181449</v>
          </cell>
          <cell r="G33">
            <v>162630</v>
          </cell>
          <cell r="H33">
            <v>65115</v>
          </cell>
          <cell r="I33">
            <v>0</v>
          </cell>
        </row>
        <row r="34">
          <cell r="A34">
            <v>90411</v>
          </cell>
          <cell r="B34" t="str">
            <v>TOWN OF WADESBORO</v>
          </cell>
          <cell r="C34">
            <v>3.2929999999999998E-4</v>
          </cell>
          <cell r="D34"/>
          <cell r="E34">
            <v>49331</v>
          </cell>
          <cell r="F34">
            <v>46405</v>
          </cell>
          <cell r="G34">
            <v>41592</v>
          </cell>
          <cell r="H34">
            <v>16653</v>
          </cell>
          <cell r="I34">
            <v>0</v>
          </cell>
        </row>
        <row r="35">
          <cell r="A35">
            <v>90413</v>
          </cell>
          <cell r="B35" t="str">
            <v>WADESBORO HOUSING AUTHORITY</v>
          </cell>
          <cell r="C35">
            <v>3.4900000000000001E-5</v>
          </cell>
          <cell r="D35"/>
          <cell r="E35">
            <v>5228</v>
          </cell>
          <cell r="F35">
            <v>4918</v>
          </cell>
          <cell r="G35">
            <v>4408</v>
          </cell>
          <cell r="H35">
            <v>1765</v>
          </cell>
          <cell r="I35">
            <v>0</v>
          </cell>
        </row>
        <row r="36">
          <cell r="A36">
            <v>90417</v>
          </cell>
          <cell r="B36" t="str">
            <v>WADESBORO ABC BOARD</v>
          </cell>
          <cell r="C36">
            <v>1.06E-5</v>
          </cell>
          <cell r="D36"/>
          <cell r="E36">
            <v>1588</v>
          </cell>
          <cell r="F36">
            <v>1494</v>
          </cell>
          <cell r="G36">
            <v>1339</v>
          </cell>
          <cell r="H36">
            <v>536</v>
          </cell>
          <cell r="I36">
            <v>0</v>
          </cell>
        </row>
        <row r="37">
          <cell r="A37">
            <v>90421</v>
          </cell>
          <cell r="B37" t="str">
            <v>TOWN OF LILESVILLE</v>
          </cell>
          <cell r="C37">
            <v>1.98E-5</v>
          </cell>
          <cell r="D37"/>
          <cell r="E37">
            <v>2966</v>
          </cell>
          <cell r="F37">
            <v>2790</v>
          </cell>
          <cell r="G37">
            <v>2501</v>
          </cell>
          <cell r="H37">
            <v>1001</v>
          </cell>
          <cell r="I37">
            <v>0</v>
          </cell>
        </row>
        <row r="38">
          <cell r="A38">
            <v>90431</v>
          </cell>
          <cell r="B38" t="str">
            <v>TOWN OF POLKTON</v>
          </cell>
          <cell r="C38">
            <v>4.8099999999999997E-5</v>
          </cell>
          <cell r="D38"/>
          <cell r="E38">
            <v>7206</v>
          </cell>
          <cell r="F38">
            <v>6778</v>
          </cell>
          <cell r="G38">
            <v>6075</v>
          </cell>
          <cell r="H38">
            <v>2432</v>
          </cell>
          <cell r="I38">
            <v>0</v>
          </cell>
        </row>
        <row r="39">
          <cell r="A39">
            <v>90441</v>
          </cell>
          <cell r="B39" t="str">
            <v>TOWN OF PEACHLAND</v>
          </cell>
          <cell r="C39">
            <v>6.7000000000000002E-6</v>
          </cell>
          <cell r="D39"/>
          <cell r="E39">
            <v>1004</v>
          </cell>
          <cell r="F39">
            <v>944</v>
          </cell>
          <cell r="G39">
            <v>846</v>
          </cell>
          <cell r="H39">
            <v>339</v>
          </cell>
          <cell r="I39">
            <v>0</v>
          </cell>
        </row>
        <row r="40">
          <cell r="A40">
            <v>90451</v>
          </cell>
          <cell r="B40" t="str">
            <v>TOWN OF ANSONVILLE</v>
          </cell>
          <cell r="C40">
            <v>2.3099999999999999E-5</v>
          </cell>
          <cell r="D40"/>
          <cell r="E40">
            <v>3461</v>
          </cell>
          <cell r="F40">
            <v>3255</v>
          </cell>
          <cell r="G40">
            <v>2918</v>
          </cell>
          <cell r="H40">
            <v>1168</v>
          </cell>
          <cell r="I40">
            <v>0</v>
          </cell>
        </row>
        <row r="41">
          <cell r="A41">
            <v>90461</v>
          </cell>
          <cell r="B41" t="str">
            <v>TOWN OF MORVEN</v>
          </cell>
          <cell r="C41">
            <v>2.0999999999999998E-6</v>
          </cell>
          <cell r="D41"/>
          <cell r="E41">
            <v>315</v>
          </cell>
          <cell r="F41">
            <v>296</v>
          </cell>
          <cell r="G41">
            <v>265</v>
          </cell>
          <cell r="H41">
            <v>106</v>
          </cell>
          <cell r="I41">
            <v>0</v>
          </cell>
        </row>
        <row r="42">
          <cell r="A42">
            <v>90501</v>
          </cell>
          <cell r="B42" t="str">
            <v>ASHE COUNTY</v>
          </cell>
          <cell r="C42">
            <v>1.4587000000000001E-3</v>
          </cell>
          <cell r="D42"/>
          <cell r="E42">
            <v>218523</v>
          </cell>
          <cell r="F42">
            <v>205560</v>
          </cell>
          <cell r="G42">
            <v>184241</v>
          </cell>
          <cell r="H42">
            <v>73768</v>
          </cell>
          <cell r="I42">
            <v>0</v>
          </cell>
        </row>
        <row r="43">
          <cell r="A43">
            <v>90507</v>
          </cell>
          <cell r="B43" t="str">
            <v>WEST JEFFERSON ABC BOARD</v>
          </cell>
          <cell r="C43">
            <v>3.4000000000000001E-6</v>
          </cell>
          <cell r="D43"/>
          <cell r="E43">
            <v>509</v>
          </cell>
          <cell r="F43">
            <v>479</v>
          </cell>
          <cell r="G43">
            <v>429</v>
          </cell>
          <cell r="H43">
            <v>172</v>
          </cell>
          <cell r="I43">
            <v>0</v>
          </cell>
        </row>
        <row r="44">
          <cell r="A44">
            <v>90511</v>
          </cell>
          <cell r="B44" t="str">
            <v>TOWN OF JEFFERSON</v>
          </cell>
          <cell r="C44">
            <v>1.011E-4</v>
          </cell>
          <cell r="D44"/>
          <cell r="E44">
            <v>15145</v>
          </cell>
          <cell r="F44">
            <v>14247</v>
          </cell>
          <cell r="G44">
            <v>12769</v>
          </cell>
          <cell r="H44">
            <v>5113</v>
          </cell>
          <cell r="I44">
            <v>0</v>
          </cell>
        </row>
        <row r="45">
          <cell r="A45">
            <v>90521</v>
          </cell>
          <cell r="B45" t="str">
            <v>TOWN OF WEST JEFFERSON</v>
          </cell>
          <cell r="C45">
            <v>1.371E-4</v>
          </cell>
          <cell r="D45"/>
          <cell r="E45">
            <v>20539</v>
          </cell>
          <cell r="F45">
            <v>19320</v>
          </cell>
          <cell r="G45">
            <v>17316</v>
          </cell>
          <cell r="H45">
            <v>6933</v>
          </cell>
          <cell r="I45">
            <v>0</v>
          </cell>
        </row>
        <row r="46">
          <cell r="A46">
            <v>90601</v>
          </cell>
          <cell r="B46" t="str">
            <v>AVERY COUNTY</v>
          </cell>
          <cell r="C46">
            <v>1.1100999999999999E-3</v>
          </cell>
          <cell r="D46"/>
          <cell r="E46">
            <v>166301</v>
          </cell>
          <cell r="F46">
            <v>156435</v>
          </cell>
          <cell r="G46">
            <v>140211</v>
          </cell>
          <cell r="H46">
            <v>56139</v>
          </cell>
          <cell r="I46">
            <v>0</v>
          </cell>
        </row>
        <row r="47">
          <cell r="A47">
            <v>90602</v>
          </cell>
          <cell r="B47" t="str">
            <v>AVERY COUNTY FIRE COMMISSION</v>
          </cell>
          <cell r="C47">
            <v>9.2999999999999997E-5</v>
          </cell>
          <cell r="D47"/>
          <cell r="E47">
            <v>13932</v>
          </cell>
          <cell r="F47">
            <v>13106</v>
          </cell>
          <cell r="G47">
            <v>11746</v>
          </cell>
          <cell r="H47">
            <v>4703</v>
          </cell>
          <cell r="I47">
            <v>0</v>
          </cell>
        </row>
        <row r="48">
          <cell r="A48">
            <v>90605</v>
          </cell>
          <cell r="B48" t="str">
            <v>AVERY-MITCHELL-YANCEY REG LIBRARY</v>
          </cell>
          <cell r="C48">
            <v>4.9799999999999998E-5</v>
          </cell>
          <cell r="D48"/>
          <cell r="E48">
            <v>7460</v>
          </cell>
          <cell r="F48">
            <v>7018</v>
          </cell>
          <cell r="G48">
            <v>6290</v>
          </cell>
          <cell r="H48">
            <v>2518</v>
          </cell>
          <cell r="I48">
            <v>0</v>
          </cell>
        </row>
        <row r="49">
          <cell r="A49">
            <v>90611</v>
          </cell>
          <cell r="B49" t="str">
            <v>TOWN OF BANNER ELK</v>
          </cell>
          <cell r="C49">
            <v>1.526E-4</v>
          </cell>
          <cell r="D49"/>
          <cell r="E49">
            <v>22861</v>
          </cell>
          <cell r="F49">
            <v>21504</v>
          </cell>
          <cell r="G49">
            <v>19274</v>
          </cell>
          <cell r="H49">
            <v>7717</v>
          </cell>
          <cell r="I49">
            <v>0</v>
          </cell>
        </row>
        <row r="50">
          <cell r="A50">
            <v>90617</v>
          </cell>
          <cell r="B50" t="str">
            <v>HIGH COUNTRY ABC BOARD</v>
          </cell>
          <cell r="C50">
            <v>2.8600000000000001E-5</v>
          </cell>
          <cell r="D50"/>
          <cell r="E50">
            <v>4284</v>
          </cell>
          <cell r="F50">
            <v>4030</v>
          </cell>
          <cell r="G50">
            <v>3612</v>
          </cell>
          <cell r="H50">
            <v>1446</v>
          </cell>
          <cell r="I50">
            <v>0</v>
          </cell>
        </row>
        <row r="51">
          <cell r="A51">
            <v>90621</v>
          </cell>
          <cell r="B51" t="str">
            <v>TOWN OF NEWLAND</v>
          </cell>
          <cell r="C51">
            <v>6.97E-5</v>
          </cell>
          <cell r="D51"/>
          <cell r="E51">
            <v>10442</v>
          </cell>
          <cell r="F51">
            <v>9822</v>
          </cell>
          <cell r="G51">
            <v>8803</v>
          </cell>
          <cell r="H51">
            <v>3525</v>
          </cell>
          <cell r="I51">
            <v>0</v>
          </cell>
        </row>
        <row r="52">
          <cell r="A52">
            <v>90631</v>
          </cell>
          <cell r="B52" t="str">
            <v>TOWN OF BEECH MOUNTAIN</v>
          </cell>
          <cell r="C52">
            <v>3.6430000000000002E-4</v>
          </cell>
          <cell r="D52"/>
          <cell r="E52">
            <v>54575</v>
          </cell>
          <cell r="F52">
            <v>51337</v>
          </cell>
          <cell r="G52">
            <v>46013</v>
          </cell>
          <cell r="H52">
            <v>18423</v>
          </cell>
          <cell r="I52">
            <v>0</v>
          </cell>
        </row>
        <row r="53">
          <cell r="A53">
            <v>90641</v>
          </cell>
          <cell r="B53" t="str">
            <v>TOWN OF ELK PARK</v>
          </cell>
          <cell r="C53">
            <v>1.1800000000000001E-5</v>
          </cell>
          <cell r="D53"/>
          <cell r="E53">
            <v>1768</v>
          </cell>
          <cell r="F53">
            <v>1663</v>
          </cell>
          <cell r="G53">
            <v>1490</v>
          </cell>
          <cell r="H53">
            <v>597</v>
          </cell>
          <cell r="I53">
            <v>0</v>
          </cell>
        </row>
        <row r="54">
          <cell r="A54">
            <v>90651</v>
          </cell>
          <cell r="B54" t="str">
            <v>TOWN OF SUGAR MOUNTAIN</v>
          </cell>
          <cell r="C54">
            <v>1.031E-4</v>
          </cell>
          <cell r="D54"/>
          <cell r="E54">
            <v>15445</v>
          </cell>
          <cell r="F54">
            <v>14529</v>
          </cell>
          <cell r="G54">
            <v>13022</v>
          </cell>
          <cell r="H54">
            <v>5214</v>
          </cell>
          <cell r="I54">
            <v>0</v>
          </cell>
        </row>
        <row r="55">
          <cell r="A55">
            <v>90701</v>
          </cell>
          <cell r="B55" t="str">
            <v>COUNTY OF BEAUFORT</v>
          </cell>
          <cell r="C55">
            <v>2.6227999999999998E-3</v>
          </cell>
          <cell r="D55"/>
          <cell r="E55">
            <v>392914</v>
          </cell>
          <cell r="F55">
            <v>369605</v>
          </cell>
          <cell r="G55">
            <v>331273</v>
          </cell>
          <cell r="H55">
            <v>132638</v>
          </cell>
          <cell r="I55">
            <v>0</v>
          </cell>
        </row>
        <row r="56">
          <cell r="A56">
            <v>90704</v>
          </cell>
          <cell r="B56" t="str">
            <v>BEAUFORT COUNTY ABC BOARD</v>
          </cell>
          <cell r="C56">
            <v>4.4299999999999999E-5</v>
          </cell>
          <cell r="D56"/>
          <cell r="E56">
            <v>6636</v>
          </cell>
          <cell r="F56">
            <v>6243</v>
          </cell>
          <cell r="G56">
            <v>5595</v>
          </cell>
          <cell r="H56">
            <v>2240</v>
          </cell>
          <cell r="I56">
            <v>0</v>
          </cell>
        </row>
        <row r="57">
          <cell r="A57">
            <v>90705</v>
          </cell>
          <cell r="B57" t="str">
            <v>B H M REGIONAL LIBRARY</v>
          </cell>
          <cell r="C57">
            <v>4.1199999999999999E-5</v>
          </cell>
          <cell r="D57"/>
          <cell r="E57">
            <v>6172</v>
          </cell>
          <cell r="F57">
            <v>5806</v>
          </cell>
          <cell r="G57">
            <v>5204</v>
          </cell>
          <cell r="H57">
            <v>2084</v>
          </cell>
          <cell r="I57">
            <v>0</v>
          </cell>
        </row>
        <row r="58">
          <cell r="A58">
            <v>90709</v>
          </cell>
          <cell r="B58" t="str">
            <v>MIDEAST COMMISSION</v>
          </cell>
          <cell r="C58">
            <v>1.474E-4</v>
          </cell>
          <cell r="D58"/>
          <cell r="E58">
            <v>22082</v>
          </cell>
          <cell r="F58">
            <v>20772</v>
          </cell>
          <cell r="G58">
            <v>18617</v>
          </cell>
          <cell r="H58">
            <v>7454</v>
          </cell>
          <cell r="I58">
            <v>0</v>
          </cell>
        </row>
        <row r="59">
          <cell r="A59">
            <v>90711</v>
          </cell>
          <cell r="B59" t="str">
            <v>CITY OF WASHINGTON</v>
          </cell>
          <cell r="C59">
            <v>1.5481E-3</v>
          </cell>
          <cell r="D59"/>
          <cell r="E59">
            <v>231916</v>
          </cell>
          <cell r="F59">
            <v>218158</v>
          </cell>
          <cell r="G59">
            <v>195533</v>
          </cell>
          <cell r="H59">
            <v>78289</v>
          </cell>
          <cell r="I59">
            <v>0</v>
          </cell>
        </row>
        <row r="60">
          <cell r="A60">
            <v>90721</v>
          </cell>
          <cell r="B60" t="str">
            <v>TOWN OF AURORA</v>
          </cell>
          <cell r="C60">
            <v>2.1399999999999998E-5</v>
          </cell>
          <cell r="D60"/>
          <cell r="E60">
            <v>3206</v>
          </cell>
          <cell r="F60">
            <v>3016</v>
          </cell>
          <cell r="G60">
            <v>2703</v>
          </cell>
          <cell r="H60">
            <v>1082</v>
          </cell>
          <cell r="I60">
            <v>0</v>
          </cell>
        </row>
        <row r="61">
          <cell r="A61">
            <v>90731</v>
          </cell>
          <cell r="B61" t="str">
            <v>TOWN OF BELHAVEN</v>
          </cell>
          <cell r="C61">
            <v>1.384E-4</v>
          </cell>
          <cell r="D61"/>
          <cell r="E61">
            <v>20733</v>
          </cell>
          <cell r="F61">
            <v>19503</v>
          </cell>
          <cell r="G61">
            <v>17481</v>
          </cell>
          <cell r="H61">
            <v>6999</v>
          </cell>
          <cell r="I61">
            <v>0</v>
          </cell>
        </row>
        <row r="62">
          <cell r="A62">
            <v>90741</v>
          </cell>
          <cell r="B62" t="str">
            <v>TOWN OF WASHINGTON PARK</v>
          </cell>
          <cell r="C62">
            <v>1.38E-5</v>
          </cell>
          <cell r="D62"/>
          <cell r="E62">
            <v>2067</v>
          </cell>
          <cell r="F62">
            <v>1945</v>
          </cell>
          <cell r="G62">
            <v>1743</v>
          </cell>
          <cell r="H62">
            <v>698</v>
          </cell>
          <cell r="I62">
            <v>0</v>
          </cell>
        </row>
        <row r="63">
          <cell r="A63">
            <v>90751</v>
          </cell>
          <cell r="B63" t="str">
            <v>TOWN OF CHOCOWINITY</v>
          </cell>
          <cell r="C63">
            <v>6.3E-5</v>
          </cell>
          <cell r="D63"/>
          <cell r="E63">
            <v>9438</v>
          </cell>
          <cell r="F63">
            <v>8878</v>
          </cell>
          <cell r="G63">
            <v>7957</v>
          </cell>
          <cell r="H63">
            <v>3186</v>
          </cell>
          <cell r="I63">
            <v>0</v>
          </cell>
        </row>
        <row r="64">
          <cell r="A64">
            <v>90801</v>
          </cell>
          <cell r="B64" t="str">
            <v>BERTIE COUNTY</v>
          </cell>
          <cell r="C64">
            <v>1.2669999999999999E-3</v>
          </cell>
          <cell r="D64"/>
          <cell r="E64">
            <v>189805</v>
          </cell>
          <cell r="F64">
            <v>178546</v>
          </cell>
          <cell r="G64">
            <v>160028</v>
          </cell>
          <cell r="H64">
            <v>64073</v>
          </cell>
          <cell r="I64">
            <v>0</v>
          </cell>
        </row>
        <row r="65">
          <cell r="A65">
            <v>90804</v>
          </cell>
          <cell r="B65" t="str">
            <v>BERTIE COUNTY ABC BOARD</v>
          </cell>
          <cell r="C65">
            <v>5.5999999999999997E-6</v>
          </cell>
          <cell r="D65"/>
          <cell r="E65">
            <v>839</v>
          </cell>
          <cell r="F65">
            <v>789</v>
          </cell>
          <cell r="G65">
            <v>707</v>
          </cell>
          <cell r="H65">
            <v>283</v>
          </cell>
          <cell r="I65">
            <v>0</v>
          </cell>
        </row>
        <row r="66">
          <cell r="A66">
            <v>90805</v>
          </cell>
          <cell r="B66" t="str">
            <v>ALBEMARLE REGIONAL LIBRARY</v>
          </cell>
          <cell r="C66">
            <v>6.5900000000000003E-5</v>
          </cell>
          <cell r="D66"/>
          <cell r="E66">
            <v>9872</v>
          </cell>
          <cell r="F66">
            <v>9287</v>
          </cell>
          <cell r="G66">
            <v>8323</v>
          </cell>
          <cell r="H66">
            <v>3333</v>
          </cell>
          <cell r="I66">
            <v>0</v>
          </cell>
        </row>
        <row r="67">
          <cell r="A67">
            <v>90808</v>
          </cell>
          <cell r="B67" t="str">
            <v>BERTIE-MARTIN REGIONAL JAIL COMM</v>
          </cell>
          <cell r="C67">
            <v>1.395E-4</v>
          </cell>
          <cell r="D67"/>
          <cell r="E67">
            <v>20898</v>
          </cell>
          <cell r="F67">
            <v>19658</v>
          </cell>
          <cell r="G67">
            <v>17620</v>
          </cell>
          <cell r="H67">
            <v>7055</v>
          </cell>
          <cell r="I67">
            <v>0</v>
          </cell>
        </row>
        <row r="68">
          <cell r="A68">
            <v>90811</v>
          </cell>
          <cell r="B68" t="str">
            <v>TOWN OF AULANDER</v>
          </cell>
          <cell r="C68">
            <v>3.4900000000000001E-5</v>
          </cell>
          <cell r="D68"/>
          <cell r="E68">
            <v>5228</v>
          </cell>
          <cell r="F68">
            <v>4918</v>
          </cell>
          <cell r="G68">
            <v>4408</v>
          </cell>
          <cell r="H68">
            <v>1765</v>
          </cell>
          <cell r="I68">
            <v>0</v>
          </cell>
        </row>
        <row r="69">
          <cell r="A69">
            <v>90812</v>
          </cell>
          <cell r="B69" t="str">
            <v>TOWN OF WINDSOR</v>
          </cell>
          <cell r="C69">
            <v>2.2100000000000001E-4</v>
          </cell>
          <cell r="D69"/>
          <cell r="E69">
            <v>33107</v>
          </cell>
          <cell r="F69">
            <v>31143</v>
          </cell>
          <cell r="G69">
            <v>27913</v>
          </cell>
          <cell r="H69">
            <v>11176</v>
          </cell>
          <cell r="I69">
            <v>0</v>
          </cell>
        </row>
        <row r="70">
          <cell r="A70">
            <v>90813</v>
          </cell>
          <cell r="B70" t="str">
            <v>TOWN OF COLERAIN</v>
          </cell>
          <cell r="C70">
            <v>4.6E-6</v>
          </cell>
          <cell r="D70"/>
          <cell r="E70">
            <v>689</v>
          </cell>
          <cell r="F70">
            <v>648</v>
          </cell>
          <cell r="G70">
            <v>581</v>
          </cell>
          <cell r="H70">
            <v>233</v>
          </cell>
          <cell r="I70">
            <v>0</v>
          </cell>
        </row>
        <row r="71">
          <cell r="A71">
            <v>90861</v>
          </cell>
          <cell r="B71" t="str">
            <v>TOWN OF LEWISTON WOODVILLE</v>
          </cell>
          <cell r="C71">
            <v>8.4999999999999999E-6</v>
          </cell>
          <cell r="D71"/>
          <cell r="E71">
            <v>1273</v>
          </cell>
          <cell r="F71">
            <v>1198</v>
          </cell>
          <cell r="G71">
            <v>1074</v>
          </cell>
          <cell r="H71">
            <v>430</v>
          </cell>
          <cell r="I71">
            <v>0</v>
          </cell>
        </row>
        <row r="72">
          <cell r="A72">
            <v>90901</v>
          </cell>
          <cell r="B72" t="str">
            <v>BLADEN COUNTY</v>
          </cell>
          <cell r="C72">
            <v>2.274E-3</v>
          </cell>
          <cell r="D72"/>
          <cell r="E72">
            <v>340661</v>
          </cell>
          <cell r="F72">
            <v>320452</v>
          </cell>
          <cell r="G72">
            <v>287218</v>
          </cell>
          <cell r="H72">
            <v>114998</v>
          </cell>
          <cell r="I72">
            <v>0</v>
          </cell>
        </row>
        <row r="73">
          <cell r="A73">
            <v>90911</v>
          </cell>
          <cell r="B73" t="str">
            <v>TOWN OF ELIZABETHTOWN</v>
          </cell>
          <cell r="C73">
            <v>3.8539999999999999E-4</v>
          </cell>
          <cell r="D73"/>
          <cell r="E73">
            <v>57736</v>
          </cell>
          <cell r="F73">
            <v>54311</v>
          </cell>
          <cell r="G73">
            <v>48678</v>
          </cell>
          <cell r="H73">
            <v>19490</v>
          </cell>
          <cell r="I73">
            <v>0</v>
          </cell>
        </row>
        <row r="74">
          <cell r="A74">
            <v>90917</v>
          </cell>
          <cell r="B74" t="str">
            <v>ELIZABETHTOWN ABC BOARD</v>
          </cell>
          <cell r="C74">
            <v>8.1000000000000004E-6</v>
          </cell>
          <cell r="D74"/>
          <cell r="E74">
            <v>1213</v>
          </cell>
          <cell r="F74">
            <v>1141</v>
          </cell>
          <cell r="G74">
            <v>1023</v>
          </cell>
          <cell r="H74">
            <v>410</v>
          </cell>
          <cell r="I74">
            <v>0</v>
          </cell>
        </row>
        <row r="75">
          <cell r="A75">
            <v>90918</v>
          </cell>
          <cell r="B75" t="str">
            <v>SOUTH EASTERN ECONOMIC DEVELOPMENT COMM</v>
          </cell>
          <cell r="C75">
            <v>1.06E-5</v>
          </cell>
          <cell r="D75"/>
          <cell r="E75">
            <v>1588</v>
          </cell>
          <cell r="F75">
            <v>1494</v>
          </cell>
          <cell r="G75">
            <v>1339</v>
          </cell>
          <cell r="H75">
            <v>536</v>
          </cell>
          <cell r="I75">
            <v>0</v>
          </cell>
        </row>
        <row r="76">
          <cell r="A76">
            <v>90921</v>
          </cell>
          <cell r="B76" t="str">
            <v>TOWN OF WHITE LAKE</v>
          </cell>
          <cell r="C76">
            <v>1.2129999999999999E-4</v>
          </cell>
          <cell r="D76"/>
          <cell r="E76">
            <v>18172</v>
          </cell>
          <cell r="F76">
            <v>17094</v>
          </cell>
          <cell r="G76">
            <v>15321</v>
          </cell>
          <cell r="H76">
            <v>6134</v>
          </cell>
          <cell r="I76">
            <v>0</v>
          </cell>
        </row>
        <row r="77">
          <cell r="A77">
            <v>90931</v>
          </cell>
          <cell r="B77" t="str">
            <v>TOWN OF CLARKTON</v>
          </cell>
          <cell r="C77">
            <v>3.7299999999999999E-5</v>
          </cell>
          <cell r="D77"/>
          <cell r="E77">
            <v>5588</v>
          </cell>
          <cell r="F77">
            <v>5256</v>
          </cell>
          <cell r="G77">
            <v>4711</v>
          </cell>
          <cell r="H77">
            <v>1886</v>
          </cell>
          <cell r="I77">
            <v>0</v>
          </cell>
        </row>
        <row r="78">
          <cell r="A78">
            <v>90941</v>
          </cell>
          <cell r="B78" t="str">
            <v>TOWN OF BLADENBORO</v>
          </cell>
          <cell r="C78">
            <v>8.5400000000000002E-5</v>
          </cell>
          <cell r="D78"/>
          <cell r="E78">
            <v>12794</v>
          </cell>
          <cell r="F78">
            <v>12035</v>
          </cell>
          <cell r="G78">
            <v>10786</v>
          </cell>
          <cell r="H78">
            <v>4319</v>
          </cell>
          <cell r="I78">
            <v>0</v>
          </cell>
        </row>
        <row r="79">
          <cell r="A79">
            <v>91001</v>
          </cell>
          <cell r="B79" t="str">
            <v>BRUNSWICK COUNTY</v>
          </cell>
          <cell r="C79">
            <v>7.2779999999999997E-3</v>
          </cell>
          <cell r="D79"/>
          <cell r="E79">
            <v>1090295</v>
          </cell>
          <cell r="F79">
            <v>1025616</v>
          </cell>
          <cell r="G79">
            <v>919248</v>
          </cell>
          <cell r="H79">
            <v>368056</v>
          </cell>
          <cell r="I79">
            <v>0</v>
          </cell>
        </row>
        <row r="80">
          <cell r="A80">
            <v>91002</v>
          </cell>
          <cell r="B80" t="str">
            <v>TOWN OF LELAND</v>
          </cell>
          <cell r="C80">
            <v>1.2939E-3</v>
          </cell>
          <cell r="D80"/>
          <cell r="E80">
            <v>193835</v>
          </cell>
          <cell r="F80">
            <v>182336</v>
          </cell>
          <cell r="G80">
            <v>163426</v>
          </cell>
          <cell r="H80">
            <v>65434</v>
          </cell>
          <cell r="I80">
            <v>0</v>
          </cell>
        </row>
        <row r="81">
          <cell r="A81">
            <v>91003</v>
          </cell>
          <cell r="B81" t="str">
            <v>BRUNSWICK CO HEALTH DEPT</v>
          </cell>
          <cell r="C81">
            <v>5.9570000000000001E-4</v>
          </cell>
          <cell r="D81"/>
          <cell r="E81">
            <v>89240</v>
          </cell>
          <cell r="F81">
            <v>83946</v>
          </cell>
          <cell r="G81">
            <v>75240</v>
          </cell>
          <cell r="H81">
            <v>30125</v>
          </cell>
          <cell r="I81">
            <v>0</v>
          </cell>
        </row>
        <row r="82">
          <cell r="A82">
            <v>91004</v>
          </cell>
          <cell r="B82" t="str">
            <v>BRUNSWICK COUNTY ABC BOARD</v>
          </cell>
          <cell r="C82">
            <v>3.3300000000000003E-5</v>
          </cell>
          <cell r="D82"/>
          <cell r="E82">
            <v>4989</v>
          </cell>
          <cell r="F82">
            <v>4693</v>
          </cell>
          <cell r="G82">
            <v>4206</v>
          </cell>
          <cell r="H82">
            <v>1684</v>
          </cell>
          <cell r="I82">
            <v>0</v>
          </cell>
        </row>
        <row r="83">
          <cell r="A83">
            <v>91006</v>
          </cell>
          <cell r="B83" t="str">
            <v>BRUNSWICK CO DEPT OF SOCIAL SERVICES</v>
          </cell>
          <cell r="C83">
            <v>1.0489E-3</v>
          </cell>
          <cell r="D83"/>
          <cell r="E83">
            <v>157133</v>
          </cell>
          <cell r="F83">
            <v>147811</v>
          </cell>
          <cell r="G83">
            <v>132481</v>
          </cell>
          <cell r="H83">
            <v>53044</v>
          </cell>
          <cell r="I83">
            <v>0</v>
          </cell>
        </row>
        <row r="84">
          <cell r="A84">
            <v>91007</v>
          </cell>
          <cell r="B84" t="str">
            <v>CALABASH ABC BOARD</v>
          </cell>
          <cell r="C84">
            <v>1.0900000000000001E-5</v>
          </cell>
          <cell r="D84"/>
          <cell r="E84">
            <v>1633</v>
          </cell>
          <cell r="F84">
            <v>1536</v>
          </cell>
          <cell r="G84">
            <v>1377</v>
          </cell>
          <cell r="H84">
            <v>551</v>
          </cell>
          <cell r="I84">
            <v>0</v>
          </cell>
        </row>
        <row r="85">
          <cell r="A85">
            <v>91008</v>
          </cell>
          <cell r="B85" t="str">
            <v>CAPE FEAR COUNCIL OF GOVERNMENTS</v>
          </cell>
          <cell r="C85">
            <v>1.474E-4</v>
          </cell>
          <cell r="D85"/>
          <cell r="E85">
            <v>22082</v>
          </cell>
          <cell r="F85">
            <v>20772</v>
          </cell>
          <cell r="G85">
            <v>18617</v>
          </cell>
          <cell r="H85">
            <v>7454</v>
          </cell>
          <cell r="I85">
            <v>0</v>
          </cell>
        </row>
        <row r="86">
          <cell r="A86">
            <v>91009</v>
          </cell>
          <cell r="B86" t="str">
            <v>BRUNSWICK COUNTY TOURISM AUTHORITY</v>
          </cell>
          <cell r="C86">
            <v>8.3000000000000002E-6</v>
          </cell>
          <cell r="D86"/>
          <cell r="E86">
            <v>1243</v>
          </cell>
          <cell r="F86">
            <v>1170</v>
          </cell>
          <cell r="G86">
            <v>1048</v>
          </cell>
          <cell r="H86">
            <v>420</v>
          </cell>
          <cell r="I86">
            <v>0</v>
          </cell>
        </row>
        <row r="87">
          <cell r="A87">
            <v>91010</v>
          </cell>
          <cell r="B87" t="str">
            <v>TOWN OF CALABASH</v>
          </cell>
          <cell r="C87">
            <v>5.1E-5</v>
          </cell>
          <cell r="D87"/>
          <cell r="E87">
            <v>7640</v>
          </cell>
          <cell r="F87">
            <v>7187</v>
          </cell>
          <cell r="G87">
            <v>6442</v>
          </cell>
          <cell r="H87">
            <v>2579</v>
          </cell>
          <cell r="I87">
            <v>0</v>
          </cell>
        </row>
        <row r="88">
          <cell r="A88">
            <v>91011</v>
          </cell>
          <cell r="B88" t="str">
            <v>CITY OF SOUTHPORT</v>
          </cell>
          <cell r="C88">
            <v>3.2009999999999997E-4</v>
          </cell>
          <cell r="D88"/>
          <cell r="E88">
            <v>47953</v>
          </cell>
          <cell r="F88">
            <v>45108</v>
          </cell>
          <cell r="G88">
            <v>40430</v>
          </cell>
          <cell r="H88">
            <v>16188</v>
          </cell>
          <cell r="I88">
            <v>0</v>
          </cell>
        </row>
        <row r="89">
          <cell r="A89">
            <v>91012</v>
          </cell>
          <cell r="B89" t="str">
            <v>CITY OF NORTHWEST</v>
          </cell>
          <cell r="C89">
            <v>1.4600000000000001E-5</v>
          </cell>
          <cell r="D89"/>
          <cell r="E89">
            <v>2187</v>
          </cell>
          <cell r="F89">
            <v>2057</v>
          </cell>
          <cell r="G89">
            <v>1844</v>
          </cell>
          <cell r="H89">
            <v>738</v>
          </cell>
          <cell r="I89">
            <v>0</v>
          </cell>
        </row>
        <row r="90">
          <cell r="A90">
            <v>91013</v>
          </cell>
          <cell r="B90" t="str">
            <v>SOUTHEAST BRUNSWICK SANITARY DISTRICT</v>
          </cell>
          <cell r="C90">
            <v>3.4999999999999997E-5</v>
          </cell>
          <cell r="D90"/>
          <cell r="E90">
            <v>5243</v>
          </cell>
          <cell r="F90">
            <v>4932</v>
          </cell>
          <cell r="G90">
            <v>4421</v>
          </cell>
          <cell r="H90">
            <v>1770</v>
          </cell>
          <cell r="I90">
            <v>0</v>
          </cell>
        </row>
        <row r="91">
          <cell r="A91">
            <v>91014</v>
          </cell>
          <cell r="B91" t="str">
            <v>TOWN OF HOLDEN BEACH</v>
          </cell>
          <cell r="C91">
            <v>1.7640000000000001E-4</v>
          </cell>
          <cell r="D91"/>
          <cell r="E91">
            <v>26426</v>
          </cell>
          <cell r="F91">
            <v>24858</v>
          </cell>
          <cell r="G91">
            <v>22280</v>
          </cell>
          <cell r="H91">
            <v>8921</v>
          </cell>
          <cell r="I91">
            <v>0</v>
          </cell>
        </row>
        <row r="92">
          <cell r="A92">
            <v>91015</v>
          </cell>
          <cell r="B92" t="str">
            <v>CAPE FEAR REGIONAL JETPORT</v>
          </cell>
          <cell r="C92">
            <v>1.8499999999999999E-5</v>
          </cell>
          <cell r="D92"/>
          <cell r="E92">
            <v>2771</v>
          </cell>
          <cell r="F92">
            <v>2607</v>
          </cell>
          <cell r="G92">
            <v>2337</v>
          </cell>
          <cell r="H92">
            <v>936</v>
          </cell>
          <cell r="I92">
            <v>0</v>
          </cell>
        </row>
        <row r="93">
          <cell r="A93">
            <v>91017</v>
          </cell>
          <cell r="B93" t="str">
            <v>CITY OF SOUTHPORT ABC BOARD</v>
          </cell>
          <cell r="C93">
            <v>2.4700000000000001E-5</v>
          </cell>
          <cell r="D93"/>
          <cell r="E93">
            <v>3700</v>
          </cell>
          <cell r="F93">
            <v>3481</v>
          </cell>
          <cell r="G93">
            <v>3120</v>
          </cell>
          <cell r="H93">
            <v>1249</v>
          </cell>
          <cell r="I93">
            <v>0</v>
          </cell>
        </row>
        <row r="94">
          <cell r="A94">
            <v>91020</v>
          </cell>
          <cell r="B94" t="str">
            <v>TOWN OF BELVILLE</v>
          </cell>
          <cell r="C94">
            <v>2.2900000000000001E-5</v>
          </cell>
          <cell r="D94"/>
          <cell r="E94">
            <v>3431</v>
          </cell>
          <cell r="F94">
            <v>3227</v>
          </cell>
          <cell r="G94">
            <v>2892</v>
          </cell>
          <cell r="H94">
            <v>1158</v>
          </cell>
          <cell r="I94">
            <v>0</v>
          </cell>
        </row>
        <row r="95">
          <cell r="A95">
            <v>91021</v>
          </cell>
          <cell r="B95" t="str">
            <v>TOWN OF OAK ISLAND</v>
          </cell>
          <cell r="C95">
            <v>9.2460000000000003E-4</v>
          </cell>
          <cell r="D95"/>
          <cell r="E95">
            <v>138512</v>
          </cell>
          <cell r="F95">
            <v>130295</v>
          </cell>
          <cell r="G95">
            <v>116782</v>
          </cell>
          <cell r="H95">
            <v>46758</v>
          </cell>
          <cell r="I95">
            <v>0</v>
          </cell>
        </row>
        <row r="96">
          <cell r="A96">
            <v>91024</v>
          </cell>
          <cell r="B96" t="str">
            <v>TOWN OF CAROLINA SHORES</v>
          </cell>
          <cell r="C96">
            <v>9.3599999999999998E-5</v>
          </cell>
          <cell r="D96"/>
          <cell r="E96">
            <v>14022</v>
          </cell>
          <cell r="F96">
            <v>13190</v>
          </cell>
          <cell r="G96">
            <v>11822</v>
          </cell>
          <cell r="H96">
            <v>4733</v>
          </cell>
          <cell r="I96">
            <v>0</v>
          </cell>
        </row>
        <row r="97">
          <cell r="A97">
            <v>91026</v>
          </cell>
          <cell r="B97" t="str">
            <v>TOWN OF NAVASSA</v>
          </cell>
          <cell r="C97">
            <v>3.1099999999999997E-5</v>
          </cell>
          <cell r="D97"/>
          <cell r="E97">
            <v>4659</v>
          </cell>
          <cell r="F97">
            <v>4383</v>
          </cell>
          <cell r="G97">
            <v>3928</v>
          </cell>
          <cell r="H97">
            <v>1573</v>
          </cell>
          <cell r="I97">
            <v>0</v>
          </cell>
        </row>
        <row r="98">
          <cell r="A98">
            <v>91027</v>
          </cell>
          <cell r="B98" t="str">
            <v>OAK ISLAND ABC BD</v>
          </cell>
          <cell r="C98">
            <v>1.7E-5</v>
          </cell>
          <cell r="D98"/>
          <cell r="E98">
            <v>2547</v>
          </cell>
          <cell r="F98">
            <v>2396</v>
          </cell>
          <cell r="G98">
            <v>2147</v>
          </cell>
          <cell r="H98">
            <v>860</v>
          </cell>
          <cell r="I98">
            <v>0</v>
          </cell>
        </row>
        <row r="99">
          <cell r="A99">
            <v>91032</v>
          </cell>
          <cell r="B99" t="str">
            <v>TOWN OF ST JAMES</v>
          </cell>
          <cell r="C99">
            <v>1.66E-5</v>
          </cell>
          <cell r="D99"/>
          <cell r="E99">
            <v>2487</v>
          </cell>
          <cell r="F99">
            <v>2339</v>
          </cell>
          <cell r="G99">
            <v>2097</v>
          </cell>
          <cell r="H99">
            <v>839</v>
          </cell>
          <cell r="I99">
            <v>0</v>
          </cell>
        </row>
        <row r="100">
          <cell r="A100">
            <v>91041</v>
          </cell>
          <cell r="B100" t="str">
            <v>TOWN OF SUNSET BEACH</v>
          </cell>
          <cell r="C100">
            <v>4.3379999999999997E-4</v>
          </cell>
          <cell r="D100"/>
          <cell r="E100">
            <v>64986</v>
          </cell>
          <cell r="F100">
            <v>61131</v>
          </cell>
          <cell r="G100">
            <v>54791</v>
          </cell>
          <cell r="H100">
            <v>21938</v>
          </cell>
          <cell r="I100">
            <v>0</v>
          </cell>
        </row>
        <row r="101">
          <cell r="A101">
            <v>91042</v>
          </cell>
          <cell r="B101" t="str">
            <v>BRUNSWICK REGIONAL WATER AND SEWER H2GO</v>
          </cell>
          <cell r="C101">
            <v>2.6259999999999999E-4</v>
          </cell>
          <cell r="D101"/>
          <cell r="E101">
            <v>39339</v>
          </cell>
          <cell r="F101">
            <v>37006</v>
          </cell>
          <cell r="G101">
            <v>33168</v>
          </cell>
          <cell r="H101">
            <v>13280</v>
          </cell>
          <cell r="I101">
            <v>0</v>
          </cell>
        </row>
        <row r="102">
          <cell r="A102">
            <v>91047</v>
          </cell>
          <cell r="B102" t="str">
            <v>TOWN OF SUNSET BEACH ABC BOARD</v>
          </cell>
          <cell r="C102">
            <v>1.15E-5</v>
          </cell>
          <cell r="D102"/>
          <cell r="E102">
            <v>1723</v>
          </cell>
          <cell r="F102">
            <v>1621</v>
          </cell>
          <cell r="G102">
            <v>1453</v>
          </cell>
          <cell r="H102">
            <v>582</v>
          </cell>
          <cell r="I102">
            <v>0</v>
          </cell>
        </row>
        <row r="103">
          <cell r="A103">
            <v>91051</v>
          </cell>
          <cell r="B103" t="str">
            <v>TOWN OF CASWELL BEACH</v>
          </cell>
          <cell r="C103">
            <v>6.2799999999999995E-5</v>
          </cell>
          <cell r="D103"/>
          <cell r="E103">
            <v>9408</v>
          </cell>
          <cell r="F103">
            <v>8850</v>
          </cell>
          <cell r="G103">
            <v>7932</v>
          </cell>
          <cell r="H103">
            <v>3176</v>
          </cell>
          <cell r="I103">
            <v>0</v>
          </cell>
        </row>
        <row r="104">
          <cell r="A104">
            <v>91057</v>
          </cell>
          <cell r="B104" t="str">
            <v>SHALLOTTE ABC BOARD</v>
          </cell>
          <cell r="C104">
            <v>1.5699999999999999E-5</v>
          </cell>
          <cell r="D104"/>
          <cell r="E104">
            <v>2352</v>
          </cell>
          <cell r="F104">
            <v>2212</v>
          </cell>
          <cell r="G104">
            <v>1983</v>
          </cell>
          <cell r="H104">
            <v>794</v>
          </cell>
          <cell r="I104">
            <v>0</v>
          </cell>
        </row>
        <row r="105">
          <cell r="A105">
            <v>91061</v>
          </cell>
          <cell r="B105" t="str">
            <v>TOWN OF OCEAN ISLE BEACH</v>
          </cell>
          <cell r="C105">
            <v>3.8039999999999998E-4</v>
          </cell>
          <cell r="D105"/>
          <cell r="E105">
            <v>56987</v>
          </cell>
          <cell r="F105">
            <v>53606</v>
          </cell>
          <cell r="G105">
            <v>48046</v>
          </cell>
          <cell r="H105">
            <v>19237</v>
          </cell>
          <cell r="I105">
            <v>0</v>
          </cell>
        </row>
        <row r="106">
          <cell r="A106">
            <v>91067</v>
          </cell>
          <cell r="B106" t="str">
            <v>OCEAN ISLE BEACH ABC BOARD</v>
          </cell>
          <cell r="C106">
            <v>1.6200000000000001E-5</v>
          </cell>
          <cell r="D106"/>
          <cell r="E106">
            <v>2427</v>
          </cell>
          <cell r="F106">
            <v>2283</v>
          </cell>
          <cell r="G106">
            <v>2046</v>
          </cell>
          <cell r="H106">
            <v>819</v>
          </cell>
          <cell r="I106">
            <v>0</v>
          </cell>
        </row>
        <row r="107">
          <cell r="A107">
            <v>91071</v>
          </cell>
          <cell r="B107" t="str">
            <v>CITY OF BOILING SPRG LAKES</v>
          </cell>
          <cell r="C107">
            <v>2.4489999999999999E-4</v>
          </cell>
          <cell r="D107"/>
          <cell r="E107">
            <v>36688</v>
          </cell>
          <cell r="F107">
            <v>34511</v>
          </cell>
          <cell r="G107">
            <v>30932</v>
          </cell>
          <cell r="H107">
            <v>12385</v>
          </cell>
          <cell r="I107">
            <v>0</v>
          </cell>
        </row>
        <row r="108">
          <cell r="A108">
            <v>91077</v>
          </cell>
          <cell r="B108" t="str">
            <v>BOILING SPRING LAKES ABC BOARD</v>
          </cell>
          <cell r="C108">
            <v>5.9000000000000003E-6</v>
          </cell>
          <cell r="D108"/>
          <cell r="E108">
            <v>884</v>
          </cell>
          <cell r="F108">
            <v>831</v>
          </cell>
          <cell r="G108">
            <v>745</v>
          </cell>
          <cell r="H108">
            <v>298</v>
          </cell>
          <cell r="I108">
            <v>0</v>
          </cell>
        </row>
        <row r="109">
          <cell r="A109">
            <v>91081</v>
          </cell>
          <cell r="B109" t="str">
            <v>TOWN OF SHALLOTTE</v>
          </cell>
          <cell r="C109">
            <v>4.2739999999999998E-4</v>
          </cell>
          <cell r="D109"/>
          <cell r="E109">
            <v>64028</v>
          </cell>
          <cell r="F109">
            <v>60229</v>
          </cell>
          <cell r="G109">
            <v>53983</v>
          </cell>
          <cell r="H109">
            <v>21614</v>
          </cell>
          <cell r="I109">
            <v>0</v>
          </cell>
        </row>
        <row r="110">
          <cell r="A110">
            <v>91091</v>
          </cell>
          <cell r="B110" t="str">
            <v>VILLAGE OF BALD HEAD ISLAND</v>
          </cell>
          <cell r="C110">
            <v>5.4540000000000003E-4</v>
          </cell>
          <cell r="D110"/>
          <cell r="E110">
            <v>81705</v>
          </cell>
          <cell r="F110">
            <v>76858</v>
          </cell>
          <cell r="G110">
            <v>68887</v>
          </cell>
          <cell r="H110">
            <v>27581</v>
          </cell>
          <cell r="I110">
            <v>0</v>
          </cell>
        </row>
        <row r="111">
          <cell r="A111">
            <v>91101</v>
          </cell>
          <cell r="B111" t="str">
            <v>BUNCOMBE COUNTY</v>
          </cell>
          <cell r="C111">
            <v>1.32874E-2</v>
          </cell>
          <cell r="D111"/>
          <cell r="E111">
            <v>1990546</v>
          </cell>
          <cell r="F111">
            <v>1872460</v>
          </cell>
          <cell r="G111">
            <v>1678265</v>
          </cell>
          <cell r="H111">
            <v>671957</v>
          </cell>
          <cell r="I111">
            <v>0</v>
          </cell>
        </row>
        <row r="112">
          <cell r="A112">
            <v>91102</v>
          </cell>
          <cell r="B112" t="str">
            <v>LAND-OF-SKY REGIONAL COUNCIL</v>
          </cell>
          <cell r="C112">
            <v>3.279E-4</v>
          </cell>
          <cell r="D112"/>
          <cell r="E112">
            <v>49122</v>
          </cell>
          <cell r="F112">
            <v>46208</v>
          </cell>
          <cell r="G112">
            <v>41415</v>
          </cell>
          <cell r="H112">
            <v>16582</v>
          </cell>
          <cell r="I112">
            <v>0</v>
          </cell>
        </row>
        <row r="113">
          <cell r="A113">
            <v>91104</v>
          </cell>
          <cell r="B113" t="str">
            <v>WOODFIN ABC COMMISSION</v>
          </cell>
          <cell r="C113">
            <v>1.66E-5</v>
          </cell>
          <cell r="D113"/>
          <cell r="E113">
            <v>2487</v>
          </cell>
          <cell r="F113">
            <v>2339</v>
          </cell>
          <cell r="G113">
            <v>2097</v>
          </cell>
          <cell r="H113">
            <v>839</v>
          </cell>
          <cell r="I113">
            <v>0</v>
          </cell>
        </row>
        <row r="114">
          <cell r="A114">
            <v>91107</v>
          </cell>
          <cell r="B114" t="str">
            <v>WESTERN AIR POLLUTION CTL</v>
          </cell>
          <cell r="C114">
            <v>5.4500000000000003E-5</v>
          </cell>
          <cell r="D114"/>
          <cell r="E114">
            <v>8164</v>
          </cell>
          <cell r="F114">
            <v>7680</v>
          </cell>
          <cell r="G114">
            <v>6884</v>
          </cell>
          <cell r="H114">
            <v>2756</v>
          </cell>
          <cell r="I114">
            <v>0</v>
          </cell>
        </row>
        <row r="115">
          <cell r="A115">
            <v>91108</v>
          </cell>
          <cell r="B115" t="str">
            <v>METRO SEWERAGE DIST OF BUNCOMBE COUNTY</v>
          </cell>
          <cell r="C115">
            <v>1.1929E-3</v>
          </cell>
          <cell r="D115"/>
          <cell r="E115">
            <v>178705</v>
          </cell>
          <cell r="F115">
            <v>168103</v>
          </cell>
          <cell r="G115">
            <v>150669</v>
          </cell>
          <cell r="H115">
            <v>60326</v>
          </cell>
          <cell r="I115">
            <v>0</v>
          </cell>
        </row>
        <row r="116">
          <cell r="A116">
            <v>91109</v>
          </cell>
          <cell r="B116" t="str">
            <v>WOODFIN SANITARY WATER AND SEWER DIST</v>
          </cell>
          <cell r="C116">
            <v>9.8300000000000004E-5</v>
          </cell>
          <cell r="D116"/>
          <cell r="E116">
            <v>14726</v>
          </cell>
          <cell r="F116">
            <v>13852</v>
          </cell>
          <cell r="G116">
            <v>12416</v>
          </cell>
          <cell r="H116">
            <v>4971</v>
          </cell>
          <cell r="I116">
            <v>0</v>
          </cell>
        </row>
        <row r="117">
          <cell r="A117">
            <v>91111</v>
          </cell>
          <cell r="B117" t="str">
            <v>TOWN OF BILTMORE FOREST</v>
          </cell>
          <cell r="C117">
            <v>1.973E-4</v>
          </cell>
          <cell r="D117"/>
          <cell r="E117">
            <v>29557</v>
          </cell>
          <cell r="F117">
            <v>27804</v>
          </cell>
          <cell r="G117">
            <v>24920</v>
          </cell>
          <cell r="H117">
            <v>9978</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27070</v>
          </cell>
          <cell r="F119">
            <v>25464</v>
          </cell>
          <cell r="G119">
            <v>22823</v>
          </cell>
          <cell r="H119">
            <v>9138</v>
          </cell>
          <cell r="I119">
            <v>0</v>
          </cell>
        </row>
        <row r="120">
          <cell r="A120">
            <v>91121</v>
          </cell>
          <cell r="B120" t="str">
            <v>CITY OF ASHEVILLE</v>
          </cell>
          <cell r="C120">
            <v>1.03844E-2</v>
          </cell>
          <cell r="D120"/>
          <cell r="E120">
            <v>1555656</v>
          </cell>
          <cell r="F120">
            <v>1463370</v>
          </cell>
          <cell r="G120">
            <v>1311602</v>
          </cell>
          <cell r="H120">
            <v>525149</v>
          </cell>
          <cell r="I120">
            <v>0</v>
          </cell>
        </row>
        <row r="121">
          <cell r="A121">
            <v>91127</v>
          </cell>
          <cell r="B121" t="str">
            <v>ASHEVILLE ABC BOARD</v>
          </cell>
          <cell r="C121">
            <v>2.7989999999999997E-4</v>
          </cell>
          <cell r="D121"/>
          <cell r="E121">
            <v>41931</v>
          </cell>
          <cell r="F121">
            <v>39444</v>
          </cell>
          <cell r="G121">
            <v>35353</v>
          </cell>
          <cell r="H121">
            <v>14155</v>
          </cell>
          <cell r="I121">
            <v>0</v>
          </cell>
        </row>
        <row r="122">
          <cell r="A122">
            <v>91128</v>
          </cell>
          <cell r="B122" t="str">
            <v>ASHEVILLE REGIONAL AIRPORT AUTHORITY</v>
          </cell>
          <cell r="C122">
            <v>4.6710000000000002E-4</v>
          </cell>
          <cell r="D122"/>
          <cell r="E122">
            <v>69975</v>
          </cell>
          <cell r="F122">
            <v>65824</v>
          </cell>
          <cell r="G122">
            <v>58997</v>
          </cell>
          <cell r="H122">
            <v>23622</v>
          </cell>
          <cell r="I122">
            <v>0</v>
          </cell>
        </row>
        <row r="123">
          <cell r="A123">
            <v>91138</v>
          </cell>
          <cell r="B123" t="str">
            <v>SKYLAND VOL FIRE DEPT</v>
          </cell>
          <cell r="C123">
            <v>4.8010000000000001E-4</v>
          </cell>
          <cell r="D123"/>
          <cell r="E123">
            <v>71922</v>
          </cell>
          <cell r="F123">
            <v>67656</v>
          </cell>
          <cell r="G123">
            <v>60639</v>
          </cell>
          <cell r="H123">
            <v>24279</v>
          </cell>
          <cell r="I123">
            <v>0</v>
          </cell>
        </row>
        <row r="124">
          <cell r="A124">
            <v>91141</v>
          </cell>
          <cell r="B124" t="str">
            <v>TOWN OF WEAVERVILLE</v>
          </cell>
          <cell r="C124">
            <v>6.3610000000000001E-4</v>
          </cell>
          <cell r="D124"/>
          <cell r="E124">
            <v>95292</v>
          </cell>
          <cell r="F124">
            <v>89639</v>
          </cell>
          <cell r="G124">
            <v>80343</v>
          </cell>
          <cell r="H124">
            <v>32168</v>
          </cell>
          <cell r="I124">
            <v>0</v>
          </cell>
        </row>
        <row r="125">
          <cell r="A125">
            <v>91147</v>
          </cell>
          <cell r="B125" t="str">
            <v>WEAVERVILLE ABC BOARD</v>
          </cell>
          <cell r="C125">
            <v>2.5400000000000001E-5</v>
          </cell>
          <cell r="D125"/>
          <cell r="E125">
            <v>3805</v>
          </cell>
          <cell r="F125">
            <v>3579</v>
          </cell>
          <cell r="G125">
            <v>3208</v>
          </cell>
          <cell r="H125">
            <v>1285</v>
          </cell>
          <cell r="I125">
            <v>0</v>
          </cell>
        </row>
        <row r="126">
          <cell r="A126">
            <v>91151</v>
          </cell>
          <cell r="B126" t="str">
            <v>TOWN OF BLACK MOUNTAIN</v>
          </cell>
          <cell r="C126">
            <v>5.8460000000000001E-4</v>
          </cell>
          <cell r="D126"/>
          <cell r="E126">
            <v>87577</v>
          </cell>
          <cell r="F126">
            <v>82382</v>
          </cell>
          <cell r="G126">
            <v>73838</v>
          </cell>
          <cell r="H126">
            <v>29564</v>
          </cell>
          <cell r="I126">
            <v>0</v>
          </cell>
        </row>
        <row r="127">
          <cell r="A127">
            <v>91154</v>
          </cell>
          <cell r="B127" t="str">
            <v>BLACK MTN ABC BOARD</v>
          </cell>
          <cell r="C127">
            <v>2.0999999999999999E-5</v>
          </cell>
          <cell r="D127"/>
          <cell r="E127">
            <v>3146</v>
          </cell>
          <cell r="F127">
            <v>2959</v>
          </cell>
          <cell r="G127">
            <v>2652</v>
          </cell>
          <cell r="H127">
            <v>1062</v>
          </cell>
          <cell r="I127">
            <v>0</v>
          </cell>
        </row>
        <row r="128">
          <cell r="A128">
            <v>91161</v>
          </cell>
          <cell r="B128" t="str">
            <v>TOWN OF MONTREAT</v>
          </cell>
          <cell r="C128">
            <v>1.0509999999999999E-4</v>
          </cell>
          <cell r="D128"/>
          <cell r="E128">
            <v>15745</v>
          </cell>
          <cell r="F128">
            <v>14811</v>
          </cell>
          <cell r="G128">
            <v>13275</v>
          </cell>
          <cell r="H128">
            <v>5315</v>
          </cell>
          <cell r="I128">
            <v>0</v>
          </cell>
        </row>
        <row r="129">
          <cell r="A129">
            <v>91171</v>
          </cell>
          <cell r="B129" t="str">
            <v>TOWN OF WOODFIN</v>
          </cell>
          <cell r="C129">
            <v>2.6820000000000001E-4</v>
          </cell>
          <cell r="D129"/>
          <cell r="E129">
            <v>40178</v>
          </cell>
          <cell r="F129">
            <v>37795</v>
          </cell>
          <cell r="G129">
            <v>33875</v>
          </cell>
          <cell r="H129">
            <v>13563</v>
          </cell>
          <cell r="I129">
            <v>0</v>
          </cell>
        </row>
        <row r="130">
          <cell r="A130">
            <v>91201</v>
          </cell>
          <cell r="B130" t="str">
            <v>BURKE COUNTY</v>
          </cell>
          <cell r="C130">
            <v>2.2897999999999998E-3</v>
          </cell>
          <cell r="D130"/>
          <cell r="E130">
            <v>343028</v>
          </cell>
          <cell r="F130">
            <v>322679</v>
          </cell>
          <cell r="G130">
            <v>289213</v>
          </cell>
          <cell r="H130">
            <v>115797</v>
          </cell>
          <cell r="I130">
            <v>0</v>
          </cell>
        </row>
        <row r="131">
          <cell r="A131">
            <v>91202</v>
          </cell>
          <cell r="B131" t="str">
            <v>BURKE-CATAWBA DIST CONFINEMENT</v>
          </cell>
          <cell r="C131">
            <v>1.752E-4</v>
          </cell>
          <cell r="D131"/>
          <cell r="E131">
            <v>26246</v>
          </cell>
          <cell r="F131">
            <v>24689</v>
          </cell>
          <cell r="G131">
            <v>22129</v>
          </cell>
          <cell r="H131">
            <v>8860</v>
          </cell>
          <cell r="I131">
            <v>0</v>
          </cell>
        </row>
        <row r="132">
          <cell r="A132">
            <v>91203</v>
          </cell>
          <cell r="B132" t="str">
            <v>BURKE CO HEALTH DEPT</v>
          </cell>
          <cell r="C132">
            <v>2.2670000000000001E-4</v>
          </cell>
          <cell r="D132"/>
          <cell r="E132">
            <v>33961</v>
          </cell>
          <cell r="F132">
            <v>31947</v>
          </cell>
          <cell r="G132">
            <v>28633</v>
          </cell>
          <cell r="H132">
            <v>11464</v>
          </cell>
          <cell r="I132">
            <v>0</v>
          </cell>
        </row>
        <row r="133">
          <cell r="A133">
            <v>91206</v>
          </cell>
          <cell r="B133" t="str">
            <v>BURKE CO DEPT OF SOCIAL SERVICES</v>
          </cell>
          <cell r="C133">
            <v>9.525E-4</v>
          </cell>
          <cell r="D133"/>
          <cell r="E133">
            <v>142691</v>
          </cell>
          <cell r="F133">
            <v>134226</v>
          </cell>
          <cell r="G133">
            <v>120306</v>
          </cell>
          <cell r="H133">
            <v>48169</v>
          </cell>
          <cell r="I133">
            <v>0</v>
          </cell>
        </row>
        <row r="134">
          <cell r="A134">
            <v>91208</v>
          </cell>
          <cell r="B134" t="str">
            <v>BURKE COUNTY TOURISM DEV. AUTHORITY</v>
          </cell>
          <cell r="C134">
            <v>1.9000000000000001E-5</v>
          </cell>
          <cell r="D134"/>
          <cell r="E134">
            <v>2846</v>
          </cell>
          <cell r="F134">
            <v>2677</v>
          </cell>
          <cell r="G134">
            <v>2400</v>
          </cell>
          <cell r="H134">
            <v>961</v>
          </cell>
          <cell r="I134">
            <v>0</v>
          </cell>
        </row>
        <row r="135">
          <cell r="A135">
            <v>91211</v>
          </cell>
          <cell r="B135" t="str">
            <v>TOWN OF VALDESE</v>
          </cell>
          <cell r="C135">
            <v>4.4870000000000001E-4</v>
          </cell>
          <cell r="D135"/>
          <cell r="E135">
            <v>67218</v>
          </cell>
          <cell r="F135">
            <v>63231</v>
          </cell>
          <cell r="G135">
            <v>56673</v>
          </cell>
          <cell r="H135">
            <v>22691</v>
          </cell>
          <cell r="I135">
            <v>0</v>
          </cell>
        </row>
        <row r="136">
          <cell r="A136">
            <v>91213</v>
          </cell>
          <cell r="B136" t="str">
            <v>VALDESE HOUSING AUTHORITY</v>
          </cell>
          <cell r="C136">
            <v>2.9200000000000002E-5</v>
          </cell>
          <cell r="D136"/>
          <cell r="E136">
            <v>4374</v>
          </cell>
          <cell r="F136">
            <v>4115</v>
          </cell>
          <cell r="G136">
            <v>3688</v>
          </cell>
          <cell r="H136">
            <v>1477</v>
          </cell>
          <cell r="I136">
            <v>0</v>
          </cell>
        </row>
        <row r="137">
          <cell r="A137">
            <v>91214</v>
          </cell>
          <cell r="B137" t="str">
            <v>TOWN OF RUTHERFORD COLLEGE</v>
          </cell>
          <cell r="C137">
            <v>3.5800000000000003E-5</v>
          </cell>
          <cell r="D137"/>
          <cell r="E137">
            <v>5363</v>
          </cell>
          <cell r="F137">
            <v>5045</v>
          </cell>
          <cell r="G137">
            <v>4522</v>
          </cell>
          <cell r="H137">
            <v>1810</v>
          </cell>
          <cell r="I137">
            <v>0</v>
          </cell>
        </row>
        <row r="138">
          <cell r="A138">
            <v>91217</v>
          </cell>
          <cell r="B138" t="str">
            <v>MORGANTON ABC BOARD</v>
          </cell>
          <cell r="C138">
            <v>2.0400000000000001E-5</v>
          </cell>
          <cell r="D138"/>
          <cell r="E138">
            <v>3056</v>
          </cell>
          <cell r="F138">
            <v>2875</v>
          </cell>
          <cell r="G138">
            <v>2577</v>
          </cell>
          <cell r="H138">
            <v>1032</v>
          </cell>
          <cell r="I138">
            <v>0</v>
          </cell>
        </row>
        <row r="139">
          <cell r="A139">
            <v>91221</v>
          </cell>
          <cell r="B139" t="str">
            <v>TOWN OF DREXEL</v>
          </cell>
          <cell r="C139">
            <v>1.099E-4</v>
          </cell>
          <cell r="D139"/>
          <cell r="E139">
            <v>16464</v>
          </cell>
          <cell r="F139">
            <v>15487</v>
          </cell>
          <cell r="G139">
            <v>13881</v>
          </cell>
          <cell r="H139">
            <v>5558</v>
          </cell>
          <cell r="I139">
            <v>0</v>
          </cell>
        </row>
        <row r="140">
          <cell r="A140">
            <v>91231</v>
          </cell>
          <cell r="B140" t="str">
            <v>CITY OF MORGANTON</v>
          </cell>
          <cell r="C140">
            <v>1.8722999999999999E-3</v>
          </cell>
          <cell r="D140"/>
          <cell r="E140">
            <v>280484</v>
          </cell>
          <cell r="F140">
            <v>263845</v>
          </cell>
          <cell r="G140">
            <v>236481</v>
          </cell>
          <cell r="H140">
            <v>94684</v>
          </cell>
          <cell r="I140">
            <v>0</v>
          </cell>
        </row>
        <row r="141">
          <cell r="A141">
            <v>91233</v>
          </cell>
          <cell r="B141" t="str">
            <v>MORGANTON HOUSING AUTHORITY</v>
          </cell>
          <cell r="C141">
            <v>6.1699999999999995E-5</v>
          </cell>
          <cell r="D141"/>
          <cell r="E141">
            <v>9243</v>
          </cell>
          <cell r="F141">
            <v>8695</v>
          </cell>
          <cell r="G141">
            <v>7793</v>
          </cell>
          <cell r="H141">
            <v>3120</v>
          </cell>
          <cell r="I141">
            <v>0</v>
          </cell>
        </row>
        <row r="142">
          <cell r="A142">
            <v>91241</v>
          </cell>
          <cell r="B142" t="str">
            <v>TOWN OF GLEN ALPINE</v>
          </cell>
          <cell r="C142">
            <v>5.3499999999999999E-5</v>
          </cell>
          <cell r="D142"/>
          <cell r="E142">
            <v>8015</v>
          </cell>
          <cell r="F142">
            <v>7539</v>
          </cell>
          <cell r="G142">
            <v>6757</v>
          </cell>
          <cell r="H142">
            <v>2706</v>
          </cell>
          <cell r="I142">
            <v>0</v>
          </cell>
        </row>
        <row r="143">
          <cell r="A143">
            <v>91251</v>
          </cell>
          <cell r="B143" t="str">
            <v>TOWN OF HILDEBRAN</v>
          </cell>
          <cell r="C143">
            <v>2.0000000000000002E-5</v>
          </cell>
          <cell r="D143"/>
          <cell r="E143">
            <v>2996</v>
          </cell>
          <cell r="F143">
            <v>2818</v>
          </cell>
          <cell r="G143">
            <v>2526</v>
          </cell>
          <cell r="H143">
            <v>1011</v>
          </cell>
          <cell r="I143">
            <v>0</v>
          </cell>
        </row>
        <row r="144">
          <cell r="A144">
            <v>91261</v>
          </cell>
          <cell r="B144" t="str">
            <v>TOWN OF CONNELLY SPRINGS</v>
          </cell>
          <cell r="C144">
            <v>9.7000000000000003E-6</v>
          </cell>
          <cell r="D144"/>
          <cell r="E144">
            <v>1453</v>
          </cell>
          <cell r="F144">
            <v>1367</v>
          </cell>
          <cell r="G144">
            <v>1225</v>
          </cell>
          <cell r="H144">
            <v>491</v>
          </cell>
          <cell r="I144">
            <v>0</v>
          </cell>
        </row>
        <row r="145">
          <cell r="A145">
            <v>91301</v>
          </cell>
          <cell r="B145" t="str">
            <v>CABARRUS COUNTY</v>
          </cell>
          <cell r="C145">
            <v>7.9497999999999999E-3</v>
          </cell>
          <cell r="D145"/>
          <cell r="E145">
            <v>1190936</v>
          </cell>
          <cell r="F145">
            <v>1120286</v>
          </cell>
          <cell r="G145">
            <v>1004099</v>
          </cell>
          <cell r="H145">
            <v>402029</v>
          </cell>
          <cell r="I145">
            <v>0</v>
          </cell>
        </row>
        <row r="146">
          <cell r="A146">
            <v>91302</v>
          </cell>
          <cell r="B146" t="str">
            <v>WATER &amp; SEWER AUTH CABARRUS CNTY</v>
          </cell>
          <cell r="C146">
            <v>5.354E-4</v>
          </cell>
          <cell r="D146"/>
          <cell r="E146">
            <v>80207</v>
          </cell>
          <cell r="F146">
            <v>75449</v>
          </cell>
          <cell r="G146">
            <v>67624</v>
          </cell>
          <cell r="H146">
            <v>27076</v>
          </cell>
          <cell r="I146">
            <v>0</v>
          </cell>
        </row>
        <row r="147">
          <cell r="A147">
            <v>91306</v>
          </cell>
          <cell r="B147" t="str">
            <v>CABARRUS CO PUBLIC HEALTH AUTH</v>
          </cell>
          <cell r="C147">
            <v>1.8244999999999999E-3</v>
          </cell>
          <cell r="D147"/>
          <cell r="E147">
            <v>273323</v>
          </cell>
          <cell r="F147">
            <v>257109</v>
          </cell>
          <cell r="G147">
            <v>230443</v>
          </cell>
          <cell r="H147">
            <v>92267</v>
          </cell>
          <cell r="I147">
            <v>0</v>
          </cell>
        </row>
        <row r="148">
          <cell r="A148">
            <v>91308</v>
          </cell>
          <cell r="B148" t="str">
            <v>CABARRUS COUNTY TOURISM AUTHORITY</v>
          </cell>
          <cell r="C148">
            <v>1.7009999999999999E-4</v>
          </cell>
          <cell r="D148"/>
          <cell r="E148">
            <v>25482</v>
          </cell>
          <cell r="F148">
            <v>23970</v>
          </cell>
          <cell r="G148">
            <v>21484</v>
          </cell>
          <cell r="H148">
            <v>8602</v>
          </cell>
          <cell r="I148">
            <v>0</v>
          </cell>
        </row>
        <row r="149">
          <cell r="A149">
            <v>91311</v>
          </cell>
          <cell r="B149" t="str">
            <v>CITY OF CONCORD</v>
          </cell>
          <cell r="C149">
            <v>7.9030000000000003E-3</v>
          </cell>
          <cell r="D149"/>
          <cell r="E149">
            <v>1183925</v>
          </cell>
          <cell r="F149">
            <v>1113691</v>
          </cell>
          <cell r="G149">
            <v>998188</v>
          </cell>
          <cell r="H149">
            <v>399663</v>
          </cell>
          <cell r="I149">
            <v>0</v>
          </cell>
        </row>
        <row r="150">
          <cell r="A150">
            <v>91317</v>
          </cell>
          <cell r="B150" t="str">
            <v>CONCORD ABC BOARD</v>
          </cell>
          <cell r="C150">
            <v>1.015E-4</v>
          </cell>
          <cell r="D150"/>
          <cell r="E150">
            <v>15205</v>
          </cell>
          <cell r="F150">
            <v>14303</v>
          </cell>
          <cell r="G150">
            <v>12820</v>
          </cell>
          <cell r="H150">
            <v>5133</v>
          </cell>
          <cell r="I150">
            <v>0</v>
          </cell>
        </row>
        <row r="151">
          <cell r="A151">
            <v>91321</v>
          </cell>
          <cell r="B151" t="str">
            <v>TOWN OF MOUNT PLEASANT</v>
          </cell>
          <cell r="C151">
            <v>5.3600000000000002E-5</v>
          </cell>
          <cell r="D151"/>
          <cell r="E151">
            <v>8030</v>
          </cell>
          <cell r="F151">
            <v>7553</v>
          </cell>
          <cell r="G151">
            <v>6770</v>
          </cell>
          <cell r="H151">
            <v>2711</v>
          </cell>
          <cell r="I151">
            <v>0</v>
          </cell>
        </row>
        <row r="152">
          <cell r="A152">
            <v>91327</v>
          </cell>
          <cell r="B152" t="str">
            <v>MT PLEASANT ABC BOARD</v>
          </cell>
          <cell r="C152">
            <v>1.0900000000000001E-5</v>
          </cell>
          <cell r="D152"/>
          <cell r="E152">
            <v>1633</v>
          </cell>
          <cell r="F152">
            <v>1536</v>
          </cell>
          <cell r="G152">
            <v>1377</v>
          </cell>
          <cell r="H152">
            <v>551</v>
          </cell>
          <cell r="I152">
            <v>0</v>
          </cell>
        </row>
        <row r="153">
          <cell r="A153">
            <v>91331</v>
          </cell>
          <cell r="B153" t="str">
            <v>CITY OF KANNAPOLIS</v>
          </cell>
          <cell r="C153">
            <v>2.9286E-3</v>
          </cell>
          <cell r="D153"/>
          <cell r="E153">
            <v>438725</v>
          </cell>
          <cell r="F153">
            <v>412698</v>
          </cell>
          <cell r="G153">
            <v>369897</v>
          </cell>
          <cell r="H153">
            <v>148102</v>
          </cell>
          <cell r="I153">
            <v>0</v>
          </cell>
        </row>
        <row r="154">
          <cell r="A154">
            <v>91341</v>
          </cell>
          <cell r="B154" t="str">
            <v>TOWN OF MIDLAND</v>
          </cell>
          <cell r="C154">
            <v>3.79E-5</v>
          </cell>
          <cell r="D154"/>
          <cell r="E154">
            <v>5678</v>
          </cell>
          <cell r="F154">
            <v>5341</v>
          </cell>
          <cell r="G154">
            <v>4787</v>
          </cell>
          <cell r="H154">
            <v>1917</v>
          </cell>
          <cell r="I154">
            <v>0</v>
          </cell>
        </row>
        <row r="155">
          <cell r="A155">
            <v>91401</v>
          </cell>
          <cell r="B155" t="str">
            <v>CALDWELL COUNTY</v>
          </cell>
          <cell r="C155">
            <v>3.3915999999999998E-3</v>
          </cell>
          <cell r="D155"/>
          <cell r="E155">
            <v>508085</v>
          </cell>
          <cell r="F155">
            <v>477944</v>
          </cell>
          <cell r="G155">
            <v>428376</v>
          </cell>
          <cell r="H155">
            <v>171517</v>
          </cell>
          <cell r="I155">
            <v>0</v>
          </cell>
        </row>
        <row r="156">
          <cell r="A156">
            <v>91411</v>
          </cell>
          <cell r="B156" t="str">
            <v>TOWN OF GRANITE FALLS</v>
          </cell>
          <cell r="C156">
            <v>3.9639999999999999E-4</v>
          </cell>
          <cell r="D156"/>
          <cell r="E156">
            <v>59383</v>
          </cell>
          <cell r="F156">
            <v>55861</v>
          </cell>
          <cell r="G156">
            <v>50067</v>
          </cell>
          <cell r="H156">
            <v>20046</v>
          </cell>
          <cell r="I156">
            <v>0</v>
          </cell>
        </row>
        <row r="157">
          <cell r="A157">
            <v>91414</v>
          </cell>
          <cell r="B157" t="str">
            <v>TOWN OF RHODHISS</v>
          </cell>
          <cell r="C157">
            <v>2.2200000000000001E-5</v>
          </cell>
          <cell r="D157"/>
          <cell r="E157">
            <v>3326</v>
          </cell>
          <cell r="F157">
            <v>3128</v>
          </cell>
          <cell r="G157">
            <v>2804</v>
          </cell>
          <cell r="H157">
            <v>1123</v>
          </cell>
          <cell r="I157">
            <v>0</v>
          </cell>
        </row>
        <row r="158">
          <cell r="A158">
            <v>91417</v>
          </cell>
          <cell r="B158" t="str">
            <v>GRANITE FALLS ABC BOARD</v>
          </cell>
          <cell r="C158">
            <v>7.3000000000000004E-6</v>
          </cell>
          <cell r="D158"/>
          <cell r="E158">
            <v>1094</v>
          </cell>
          <cell r="F158">
            <v>1029</v>
          </cell>
          <cell r="G158">
            <v>922</v>
          </cell>
          <cell r="H158">
            <v>369</v>
          </cell>
          <cell r="I158">
            <v>0</v>
          </cell>
        </row>
        <row r="159">
          <cell r="A159">
            <v>91421</v>
          </cell>
          <cell r="B159" t="str">
            <v>TOWN OF SAWMILLS</v>
          </cell>
          <cell r="C159">
            <v>6.69E-5</v>
          </cell>
          <cell r="D159"/>
          <cell r="E159">
            <v>10022</v>
          </cell>
          <cell r="F159">
            <v>9428</v>
          </cell>
          <cell r="G159">
            <v>8450</v>
          </cell>
          <cell r="H159">
            <v>3383</v>
          </cell>
          <cell r="I159">
            <v>0</v>
          </cell>
        </row>
        <row r="160">
          <cell r="A160">
            <v>91423</v>
          </cell>
          <cell r="B160" t="str">
            <v>LENOIR HOUSING AUTHORITY</v>
          </cell>
          <cell r="C160">
            <v>5.2899999999999998E-5</v>
          </cell>
          <cell r="D160"/>
          <cell r="E160">
            <v>7925</v>
          </cell>
          <cell r="F160">
            <v>7455</v>
          </cell>
          <cell r="G160">
            <v>6682</v>
          </cell>
          <cell r="H160">
            <v>2675</v>
          </cell>
          <cell r="I160">
            <v>0</v>
          </cell>
        </row>
        <row r="161">
          <cell r="A161">
            <v>91431</v>
          </cell>
          <cell r="B161" t="str">
            <v>TOWN OF HUDSON</v>
          </cell>
          <cell r="C161">
            <v>1.819E-4</v>
          </cell>
          <cell r="D161"/>
          <cell r="E161">
            <v>27250</v>
          </cell>
          <cell r="F161">
            <v>25633</v>
          </cell>
          <cell r="G161">
            <v>22975</v>
          </cell>
          <cell r="H161">
            <v>9199</v>
          </cell>
          <cell r="I161">
            <v>0</v>
          </cell>
        </row>
        <row r="162">
          <cell r="A162">
            <v>91441</v>
          </cell>
          <cell r="B162" t="str">
            <v>TOWN OF HARRISBURG</v>
          </cell>
          <cell r="C162">
            <v>9.8020000000000008E-4</v>
          </cell>
          <cell r="D162"/>
          <cell r="E162">
            <v>146841</v>
          </cell>
          <cell r="F162">
            <v>138130</v>
          </cell>
          <cell r="G162">
            <v>123804</v>
          </cell>
          <cell r="H162">
            <v>49570</v>
          </cell>
          <cell r="I162">
            <v>0</v>
          </cell>
        </row>
        <row r="163">
          <cell r="A163">
            <v>91451</v>
          </cell>
          <cell r="B163" t="str">
            <v>CITY OF LENOIR</v>
          </cell>
          <cell r="C163">
            <v>1.5533999999999999E-3</v>
          </cell>
          <cell r="D163"/>
          <cell r="E163">
            <v>232710</v>
          </cell>
          <cell r="F163">
            <v>218905</v>
          </cell>
          <cell r="G163">
            <v>196202</v>
          </cell>
          <cell r="H163">
            <v>78557</v>
          </cell>
          <cell r="I163">
            <v>0</v>
          </cell>
        </row>
        <row r="164">
          <cell r="A164">
            <v>91457</v>
          </cell>
          <cell r="B164" t="str">
            <v>CITY OF LENOIR ABC BRD</v>
          </cell>
          <cell r="C164">
            <v>1.5500000000000001E-5</v>
          </cell>
          <cell r="D164"/>
          <cell r="E164">
            <v>2322</v>
          </cell>
          <cell r="F164">
            <v>2184</v>
          </cell>
          <cell r="G164">
            <v>1958</v>
          </cell>
          <cell r="H164">
            <v>784</v>
          </cell>
          <cell r="I164">
            <v>0</v>
          </cell>
        </row>
        <row r="165">
          <cell r="A165">
            <v>91461</v>
          </cell>
          <cell r="B165" t="str">
            <v>TOWN OF CAJAH'S MOUNTAIN</v>
          </cell>
          <cell r="C165">
            <v>9.5000000000000005E-6</v>
          </cell>
          <cell r="D165"/>
          <cell r="E165">
            <v>1423</v>
          </cell>
          <cell r="F165">
            <v>1339</v>
          </cell>
          <cell r="G165">
            <v>1200</v>
          </cell>
          <cell r="H165">
            <v>480</v>
          </cell>
          <cell r="I165">
            <v>0</v>
          </cell>
        </row>
        <row r="166">
          <cell r="A166">
            <v>91501</v>
          </cell>
          <cell r="B166" t="str">
            <v>CAMDEN COUNTY</v>
          </cell>
          <cell r="C166">
            <v>5.1179999999999997E-4</v>
          </cell>
          <cell r="D166"/>
          <cell r="E166">
            <v>76671</v>
          </cell>
          <cell r="F166">
            <v>72123</v>
          </cell>
          <cell r="G166">
            <v>64643</v>
          </cell>
          <cell r="H166">
            <v>25882</v>
          </cell>
          <cell r="I166">
            <v>0</v>
          </cell>
        </row>
        <row r="167">
          <cell r="A167">
            <v>91504</v>
          </cell>
          <cell r="B167" t="str">
            <v>CAMDEN COUNTY ABC BOARD</v>
          </cell>
          <cell r="C167">
            <v>8.3999999999999992E-6</v>
          </cell>
          <cell r="D167"/>
          <cell r="E167">
            <v>1258</v>
          </cell>
          <cell r="F167">
            <v>1184</v>
          </cell>
          <cell r="G167">
            <v>1061</v>
          </cell>
          <cell r="H167">
            <v>425</v>
          </cell>
          <cell r="I167">
            <v>0</v>
          </cell>
        </row>
        <row r="168">
          <cell r="A168">
            <v>91601</v>
          </cell>
          <cell r="B168" t="str">
            <v>CARTERET COUNTY</v>
          </cell>
          <cell r="C168">
            <v>3.0071E-3</v>
          </cell>
          <cell r="D168"/>
          <cell r="E168">
            <v>450485</v>
          </cell>
          <cell r="F168">
            <v>423761</v>
          </cell>
          <cell r="G168">
            <v>379812</v>
          </cell>
          <cell r="H168">
            <v>152072</v>
          </cell>
          <cell r="I168">
            <v>0</v>
          </cell>
        </row>
        <row r="169">
          <cell r="A169">
            <v>91604</v>
          </cell>
          <cell r="B169" t="str">
            <v>CARTERET COUNTY ABC BOARD</v>
          </cell>
          <cell r="C169">
            <v>8.5599999999999994E-5</v>
          </cell>
          <cell r="D169"/>
          <cell r="E169">
            <v>12823</v>
          </cell>
          <cell r="F169">
            <v>12063</v>
          </cell>
          <cell r="G169">
            <v>10812</v>
          </cell>
          <cell r="H169">
            <v>4329</v>
          </cell>
          <cell r="I169">
            <v>0</v>
          </cell>
        </row>
        <row r="170">
          <cell r="A170">
            <v>91608</v>
          </cell>
          <cell r="B170" t="str">
            <v>WESTERN CARTERET INTERLOCAL COOPERATION AGENCY</v>
          </cell>
          <cell r="C170">
            <v>1.5420000000000001E-4</v>
          </cell>
          <cell r="D170"/>
          <cell r="E170">
            <v>23100</v>
          </cell>
          <cell r="F170">
            <v>21730</v>
          </cell>
          <cell r="G170">
            <v>19476</v>
          </cell>
          <cell r="H170">
            <v>7798</v>
          </cell>
          <cell r="I170">
            <v>0</v>
          </cell>
        </row>
        <row r="171">
          <cell r="A171">
            <v>91611</v>
          </cell>
          <cell r="B171" t="str">
            <v>TOWN OF MOREHEAD CITY</v>
          </cell>
          <cell r="C171">
            <v>1.4658E-3</v>
          </cell>
          <cell r="D171"/>
          <cell r="E171">
            <v>219587</v>
          </cell>
          <cell r="F171">
            <v>206561</v>
          </cell>
          <cell r="G171">
            <v>185138</v>
          </cell>
          <cell r="H171">
            <v>74127</v>
          </cell>
          <cell r="I171">
            <v>0</v>
          </cell>
        </row>
        <row r="172">
          <cell r="A172">
            <v>91621</v>
          </cell>
          <cell r="B172" t="str">
            <v>TOWN OF NEWPORT</v>
          </cell>
          <cell r="C172">
            <v>2.418E-4</v>
          </cell>
          <cell r="D172"/>
          <cell r="E172">
            <v>36223</v>
          </cell>
          <cell r="F172">
            <v>34074</v>
          </cell>
          <cell r="G172">
            <v>30541</v>
          </cell>
          <cell r="H172">
            <v>12228</v>
          </cell>
          <cell r="I172">
            <v>0</v>
          </cell>
        </row>
        <row r="173">
          <cell r="A173">
            <v>91631</v>
          </cell>
          <cell r="B173" t="str">
            <v>TOWN OF BEAUFORT</v>
          </cell>
          <cell r="C173">
            <v>5.9349999999999995E-4</v>
          </cell>
          <cell r="D173"/>
          <cell r="E173">
            <v>88910</v>
          </cell>
          <cell r="F173">
            <v>83636</v>
          </cell>
          <cell r="G173">
            <v>74962</v>
          </cell>
          <cell r="H173">
            <v>30014</v>
          </cell>
          <cell r="I173">
            <v>0</v>
          </cell>
        </row>
        <row r="174">
          <cell r="A174">
            <v>91633</v>
          </cell>
          <cell r="B174" t="str">
            <v>BEAUFORT HOUSING AUTH</v>
          </cell>
          <cell r="C174">
            <v>3.15E-5</v>
          </cell>
          <cell r="D174"/>
          <cell r="E174">
            <v>4719</v>
          </cell>
          <cell r="F174">
            <v>4439</v>
          </cell>
          <cell r="G174">
            <v>3979</v>
          </cell>
          <cell r="H174">
            <v>1593</v>
          </cell>
          <cell r="I174">
            <v>0</v>
          </cell>
        </row>
        <row r="175">
          <cell r="A175">
            <v>91641</v>
          </cell>
          <cell r="B175" t="str">
            <v>TOWN OF PINE KNOLL SHORES</v>
          </cell>
          <cell r="C175">
            <v>2.8519999999999999E-4</v>
          </cell>
          <cell r="D175"/>
          <cell r="E175">
            <v>42725</v>
          </cell>
          <cell r="F175">
            <v>40190</v>
          </cell>
          <cell r="G175">
            <v>36022</v>
          </cell>
          <cell r="H175">
            <v>14423</v>
          </cell>
          <cell r="I175">
            <v>0</v>
          </cell>
        </row>
        <row r="176">
          <cell r="A176">
            <v>91651</v>
          </cell>
          <cell r="B176" t="str">
            <v>TOWN OF EMERALD ISLE</v>
          </cell>
          <cell r="C176">
            <v>5.4049999999999996E-4</v>
          </cell>
          <cell r="D176"/>
          <cell r="E176">
            <v>80971</v>
          </cell>
          <cell r="F176">
            <v>76167</v>
          </cell>
          <cell r="G176">
            <v>68268</v>
          </cell>
          <cell r="H176">
            <v>27334</v>
          </cell>
          <cell r="I176">
            <v>0</v>
          </cell>
        </row>
        <row r="177">
          <cell r="A177">
            <v>91661</v>
          </cell>
          <cell r="B177" t="str">
            <v>TOWN OF INDIAN BEACH</v>
          </cell>
          <cell r="C177">
            <v>1.8760000000000001E-4</v>
          </cell>
          <cell r="D177"/>
          <cell r="E177">
            <v>28104</v>
          </cell>
          <cell r="F177">
            <v>26437</v>
          </cell>
          <cell r="G177">
            <v>23695</v>
          </cell>
          <cell r="H177">
            <v>9487</v>
          </cell>
          <cell r="I177">
            <v>0</v>
          </cell>
        </row>
        <row r="178">
          <cell r="A178">
            <v>91671</v>
          </cell>
          <cell r="B178" t="str">
            <v>TOWN OF CAPE CARTERET</v>
          </cell>
          <cell r="C178">
            <v>1.076E-4</v>
          </cell>
          <cell r="D178"/>
          <cell r="E178">
            <v>16119</v>
          </cell>
          <cell r="F178">
            <v>15163</v>
          </cell>
          <cell r="G178">
            <v>13590</v>
          </cell>
          <cell r="H178">
            <v>5441</v>
          </cell>
          <cell r="I178">
            <v>0</v>
          </cell>
        </row>
        <row r="179">
          <cell r="A179">
            <v>91681</v>
          </cell>
          <cell r="B179" t="str">
            <v>TOWN OF ATLANTIC BEACH</v>
          </cell>
          <cell r="C179">
            <v>4.5909999999999999E-4</v>
          </cell>
          <cell r="D179"/>
          <cell r="E179">
            <v>68776</v>
          </cell>
          <cell r="F179">
            <v>64696</v>
          </cell>
          <cell r="G179">
            <v>57987</v>
          </cell>
          <cell r="H179">
            <v>23217</v>
          </cell>
          <cell r="I179">
            <v>0</v>
          </cell>
        </row>
        <row r="180">
          <cell r="A180">
            <v>91691</v>
          </cell>
          <cell r="B180" t="str">
            <v>TOWN OF CEDAR POINT</v>
          </cell>
          <cell r="C180">
            <v>2.2900000000000001E-5</v>
          </cell>
          <cell r="D180"/>
          <cell r="E180">
            <v>3431</v>
          </cell>
          <cell r="F180">
            <v>3227</v>
          </cell>
          <cell r="G180">
            <v>2892</v>
          </cell>
          <cell r="H180">
            <v>1158</v>
          </cell>
          <cell r="I180">
            <v>0</v>
          </cell>
        </row>
        <row r="181">
          <cell r="A181">
            <v>91701</v>
          </cell>
          <cell r="B181" t="str">
            <v>CASWELL COUNTY</v>
          </cell>
          <cell r="C181">
            <v>1.1343E-3</v>
          </cell>
          <cell r="D181"/>
          <cell r="E181">
            <v>169926</v>
          </cell>
          <cell r="F181">
            <v>159846</v>
          </cell>
          <cell r="G181">
            <v>143268</v>
          </cell>
          <cell r="H181">
            <v>57363</v>
          </cell>
          <cell r="I181">
            <v>0</v>
          </cell>
        </row>
        <row r="182">
          <cell r="A182">
            <v>91704</v>
          </cell>
          <cell r="B182" t="str">
            <v>CASWELL COUNTY ABC BOARD</v>
          </cell>
          <cell r="C182">
            <v>1.7600000000000001E-5</v>
          </cell>
          <cell r="D182"/>
          <cell r="E182">
            <v>2637</v>
          </cell>
          <cell r="F182">
            <v>2480</v>
          </cell>
          <cell r="G182">
            <v>2223</v>
          </cell>
          <cell r="H182">
            <v>890</v>
          </cell>
          <cell r="I182">
            <v>0</v>
          </cell>
        </row>
        <row r="183">
          <cell r="A183">
            <v>91706</v>
          </cell>
          <cell r="B183" t="str">
            <v>CASWELL CO DEPT OF SOCIAL SERVICES</v>
          </cell>
          <cell r="C183">
            <v>2.543E-4</v>
          </cell>
          <cell r="D183"/>
          <cell r="E183">
            <v>38096</v>
          </cell>
          <cell r="F183">
            <v>35836</v>
          </cell>
          <cell r="G183">
            <v>32119</v>
          </cell>
          <cell r="H183">
            <v>12860</v>
          </cell>
          <cell r="I183">
            <v>0</v>
          </cell>
        </row>
        <row r="184">
          <cell r="A184">
            <v>91719</v>
          </cell>
          <cell r="B184" t="str">
            <v>TOWN OF YANCEYVILLE</v>
          </cell>
          <cell r="C184">
            <v>5.6700000000000003E-5</v>
          </cell>
          <cell r="D184"/>
          <cell r="E184">
            <v>8494</v>
          </cell>
          <cell r="F184">
            <v>7990</v>
          </cell>
          <cell r="G184">
            <v>7161</v>
          </cell>
          <cell r="H184">
            <v>2867</v>
          </cell>
          <cell r="I184">
            <v>0</v>
          </cell>
        </row>
        <row r="185">
          <cell r="A185">
            <v>91801</v>
          </cell>
          <cell r="B185" t="str">
            <v>CATAWBA COUNTY</v>
          </cell>
          <cell r="C185">
            <v>7.5972000000000001E-3</v>
          </cell>
          <cell r="D185"/>
          <cell r="E185">
            <v>1138114</v>
          </cell>
          <cell r="F185">
            <v>1070597</v>
          </cell>
          <cell r="G185">
            <v>959564</v>
          </cell>
          <cell r="H185">
            <v>384198</v>
          </cell>
          <cell r="I185">
            <v>0</v>
          </cell>
        </row>
        <row r="186">
          <cell r="A186">
            <v>91804</v>
          </cell>
          <cell r="B186" t="str">
            <v>CATAWBA COUNTY ABC BOARD</v>
          </cell>
          <cell r="C186">
            <v>1.2459999999999999E-4</v>
          </cell>
          <cell r="D186"/>
          <cell r="E186">
            <v>18666</v>
          </cell>
          <cell r="F186">
            <v>17559</v>
          </cell>
          <cell r="G186">
            <v>15738</v>
          </cell>
          <cell r="H186">
            <v>6301</v>
          </cell>
          <cell r="I186">
            <v>0</v>
          </cell>
        </row>
        <row r="187">
          <cell r="A187">
            <v>91811</v>
          </cell>
          <cell r="B187" t="str">
            <v>CITY OF HICKORY</v>
          </cell>
          <cell r="C187">
            <v>4.2429E-3</v>
          </cell>
          <cell r="D187"/>
          <cell r="E187">
            <v>635616</v>
          </cell>
          <cell r="F187">
            <v>597909</v>
          </cell>
          <cell r="G187">
            <v>535899</v>
          </cell>
          <cell r="H187">
            <v>214568</v>
          </cell>
          <cell r="I187">
            <v>0</v>
          </cell>
        </row>
        <row r="188">
          <cell r="A188">
            <v>91812</v>
          </cell>
          <cell r="B188" t="str">
            <v>HICKORY CONOVER TOURISM DEV AUTH</v>
          </cell>
          <cell r="C188">
            <v>4.5599999999999997E-5</v>
          </cell>
          <cell r="D188"/>
          <cell r="E188">
            <v>6831</v>
          </cell>
          <cell r="F188">
            <v>6426</v>
          </cell>
          <cell r="G188">
            <v>5760</v>
          </cell>
          <cell r="H188">
            <v>2306</v>
          </cell>
          <cell r="I188">
            <v>0</v>
          </cell>
        </row>
        <row r="189">
          <cell r="A189">
            <v>91813</v>
          </cell>
          <cell r="B189" t="str">
            <v>HICKORY PUBLIC HOUSING AUTHORITY</v>
          </cell>
          <cell r="C189">
            <v>7.1500000000000003E-5</v>
          </cell>
          <cell r="D189"/>
          <cell r="E189">
            <v>10711</v>
          </cell>
          <cell r="F189">
            <v>10076</v>
          </cell>
          <cell r="G189">
            <v>9031</v>
          </cell>
          <cell r="H189">
            <v>3616</v>
          </cell>
          <cell r="I189">
            <v>0</v>
          </cell>
        </row>
        <row r="190">
          <cell r="A190">
            <v>91818</v>
          </cell>
          <cell r="B190" t="str">
            <v>WESTERN PIEDMONT COUNCIL OF GVMTS</v>
          </cell>
          <cell r="C190">
            <v>4.0620000000000001E-4</v>
          </cell>
          <cell r="D190"/>
          <cell r="E190">
            <v>60852</v>
          </cell>
          <cell r="F190">
            <v>57242</v>
          </cell>
          <cell r="G190">
            <v>51305</v>
          </cell>
          <cell r="H190">
            <v>20542</v>
          </cell>
          <cell r="I190">
            <v>0</v>
          </cell>
        </row>
        <row r="191">
          <cell r="A191">
            <v>91819</v>
          </cell>
          <cell r="B191" t="str">
            <v>WESTERN PIEDMONT REGIONAL TRANSIT AUTHORITY</v>
          </cell>
          <cell r="C191">
            <v>3.1260000000000001E-4</v>
          </cell>
          <cell r="D191"/>
          <cell r="E191">
            <v>46830</v>
          </cell>
          <cell r="F191">
            <v>44052</v>
          </cell>
          <cell r="G191">
            <v>39483</v>
          </cell>
          <cell r="H191">
            <v>15808</v>
          </cell>
          <cell r="I191">
            <v>0</v>
          </cell>
        </row>
        <row r="192">
          <cell r="A192">
            <v>91821</v>
          </cell>
          <cell r="B192" t="str">
            <v>CITY OF CLAREMONT</v>
          </cell>
          <cell r="C192">
            <v>1.6750000000000001E-4</v>
          </cell>
          <cell r="D192"/>
          <cell r="E192">
            <v>25093</v>
          </cell>
          <cell r="F192">
            <v>23604</v>
          </cell>
          <cell r="G192">
            <v>21156</v>
          </cell>
          <cell r="H192">
            <v>8471</v>
          </cell>
          <cell r="I192">
            <v>0</v>
          </cell>
        </row>
        <row r="193">
          <cell r="A193">
            <v>91831</v>
          </cell>
          <cell r="B193" t="str">
            <v>TOWN OF MAIDEN</v>
          </cell>
          <cell r="C193">
            <v>3.7990000000000002E-4</v>
          </cell>
          <cell r="D193"/>
          <cell r="E193">
            <v>56912</v>
          </cell>
          <cell r="F193">
            <v>53536</v>
          </cell>
          <cell r="G193">
            <v>47983</v>
          </cell>
          <cell r="H193">
            <v>19212</v>
          </cell>
          <cell r="I193">
            <v>0</v>
          </cell>
        </row>
        <row r="194">
          <cell r="A194">
            <v>91841</v>
          </cell>
          <cell r="B194" t="str">
            <v>THE TOWN OF LONGVIEW</v>
          </cell>
          <cell r="C194">
            <v>2.5090000000000003E-4</v>
          </cell>
          <cell r="D194"/>
          <cell r="E194">
            <v>37587</v>
          </cell>
          <cell r="F194">
            <v>35357</v>
          </cell>
          <cell r="G194">
            <v>31690</v>
          </cell>
          <cell r="H194">
            <v>12688</v>
          </cell>
          <cell r="I194">
            <v>0</v>
          </cell>
        </row>
        <row r="195">
          <cell r="A195">
            <v>91851</v>
          </cell>
          <cell r="B195" t="str">
            <v>TOWN OF CONOVER</v>
          </cell>
          <cell r="C195">
            <v>7.004E-4</v>
          </cell>
          <cell r="D195"/>
          <cell r="E195">
            <v>104925</v>
          </cell>
          <cell r="F195">
            <v>98700</v>
          </cell>
          <cell r="G195">
            <v>88464</v>
          </cell>
          <cell r="H195">
            <v>35420</v>
          </cell>
          <cell r="I195">
            <v>0</v>
          </cell>
        </row>
        <row r="196">
          <cell r="A196">
            <v>91861</v>
          </cell>
          <cell r="B196" t="str">
            <v>TOWN OF BROOKFORD</v>
          </cell>
          <cell r="C196">
            <v>7.7000000000000008E-6</v>
          </cell>
          <cell r="D196"/>
          <cell r="E196">
            <v>1154</v>
          </cell>
          <cell r="F196">
            <v>1085</v>
          </cell>
          <cell r="G196">
            <v>973</v>
          </cell>
          <cell r="H196">
            <v>389</v>
          </cell>
          <cell r="I196">
            <v>0</v>
          </cell>
        </row>
        <row r="197">
          <cell r="A197">
            <v>91871</v>
          </cell>
          <cell r="B197" t="str">
            <v>CITY OF NEWTON</v>
          </cell>
          <cell r="C197">
            <v>1.3121000000000001E-3</v>
          </cell>
          <cell r="D197"/>
          <cell r="E197">
            <v>196562</v>
          </cell>
          <cell r="F197">
            <v>184901</v>
          </cell>
          <cell r="G197">
            <v>165725</v>
          </cell>
          <cell r="H197">
            <v>66354</v>
          </cell>
          <cell r="I197">
            <v>0</v>
          </cell>
        </row>
        <row r="198">
          <cell r="A198">
            <v>91881</v>
          </cell>
          <cell r="B198" t="str">
            <v>TOWN OF CATAWBA</v>
          </cell>
          <cell r="C198">
            <v>2.1399999999999998E-5</v>
          </cell>
          <cell r="D198"/>
          <cell r="E198">
            <v>3206</v>
          </cell>
          <cell r="F198">
            <v>3016</v>
          </cell>
          <cell r="G198">
            <v>2703</v>
          </cell>
          <cell r="H198">
            <v>1082</v>
          </cell>
          <cell r="I198">
            <v>0</v>
          </cell>
        </row>
        <row r="199">
          <cell r="A199">
            <v>91901</v>
          </cell>
          <cell r="B199" t="str">
            <v>CHATHAM COUNTY</v>
          </cell>
          <cell r="C199">
            <v>3.6947999999999998E-3</v>
          </cell>
          <cell r="D199"/>
          <cell r="E199">
            <v>553507</v>
          </cell>
          <cell r="F199">
            <v>520671</v>
          </cell>
          <cell r="G199">
            <v>466672</v>
          </cell>
          <cell r="H199">
            <v>186850</v>
          </cell>
          <cell r="I199">
            <v>0</v>
          </cell>
        </row>
        <row r="200">
          <cell r="A200">
            <v>91903</v>
          </cell>
          <cell r="B200" t="str">
            <v>CHATHAM CO HOUSING AUTH</v>
          </cell>
          <cell r="C200">
            <v>7.1999999999999997E-6</v>
          </cell>
          <cell r="D200"/>
          <cell r="E200">
            <v>1079</v>
          </cell>
          <cell r="F200">
            <v>1015</v>
          </cell>
          <cell r="G200">
            <v>909</v>
          </cell>
          <cell r="H200">
            <v>364</v>
          </cell>
          <cell r="I200">
            <v>0</v>
          </cell>
        </row>
        <row r="201">
          <cell r="A201">
            <v>91904</v>
          </cell>
          <cell r="B201" t="str">
            <v>CHATHAM COUNTY ABC BOARD</v>
          </cell>
          <cell r="C201">
            <v>3.26E-5</v>
          </cell>
          <cell r="D201"/>
          <cell r="E201">
            <v>4884</v>
          </cell>
          <cell r="F201">
            <v>4594</v>
          </cell>
          <cell r="G201">
            <v>4118</v>
          </cell>
          <cell r="H201">
            <v>1649</v>
          </cell>
          <cell r="I201">
            <v>0</v>
          </cell>
        </row>
        <row r="202">
          <cell r="A202">
            <v>91908</v>
          </cell>
          <cell r="B202" t="str">
            <v>GOLDSTON-GULF SANITARY DISTRICT</v>
          </cell>
          <cell r="C202">
            <v>1.59E-5</v>
          </cell>
          <cell r="D202"/>
          <cell r="E202">
            <v>2382</v>
          </cell>
          <cell r="F202">
            <v>2241</v>
          </cell>
          <cell r="G202">
            <v>2008</v>
          </cell>
          <cell r="H202">
            <v>804</v>
          </cell>
          <cell r="I202">
            <v>0</v>
          </cell>
        </row>
        <row r="203">
          <cell r="A203">
            <v>91911</v>
          </cell>
          <cell r="B203" t="str">
            <v>TOWN OF SILER CITY</v>
          </cell>
          <cell r="C203">
            <v>4.46E-4</v>
          </cell>
          <cell r="D203"/>
          <cell r="E203">
            <v>66814</v>
          </cell>
          <cell r="F203">
            <v>62850</v>
          </cell>
          <cell r="G203">
            <v>56332</v>
          </cell>
          <cell r="H203">
            <v>22555</v>
          </cell>
          <cell r="I203">
            <v>0</v>
          </cell>
        </row>
        <row r="204">
          <cell r="A204">
            <v>91917</v>
          </cell>
          <cell r="B204" t="str">
            <v>SILER CITY ABC BOARD</v>
          </cell>
          <cell r="C204">
            <v>1.31E-5</v>
          </cell>
          <cell r="D204"/>
          <cell r="E204">
            <v>1962</v>
          </cell>
          <cell r="F204">
            <v>1846</v>
          </cell>
          <cell r="G204">
            <v>1655</v>
          </cell>
          <cell r="H204">
            <v>662</v>
          </cell>
          <cell r="I204">
            <v>0</v>
          </cell>
        </row>
        <row r="205">
          <cell r="A205">
            <v>91921</v>
          </cell>
          <cell r="B205" t="str">
            <v>TOWN OF PITTSBORO</v>
          </cell>
          <cell r="C205">
            <v>3.8479999999999997E-4</v>
          </cell>
          <cell r="D205"/>
          <cell r="E205">
            <v>57646</v>
          </cell>
          <cell r="F205">
            <v>54226</v>
          </cell>
          <cell r="G205">
            <v>48602</v>
          </cell>
          <cell r="H205">
            <v>19460</v>
          </cell>
          <cell r="I205">
            <v>0</v>
          </cell>
        </row>
        <row r="206">
          <cell r="A206">
            <v>92001</v>
          </cell>
          <cell r="B206" t="str">
            <v>CHEROKEE COUNTY</v>
          </cell>
          <cell r="C206">
            <v>1.7757000000000001E-3</v>
          </cell>
          <cell r="D206"/>
          <cell r="E206">
            <v>266012</v>
          </cell>
          <cell r="F206">
            <v>250232</v>
          </cell>
          <cell r="G206">
            <v>224280</v>
          </cell>
          <cell r="H206">
            <v>89799</v>
          </cell>
          <cell r="I206">
            <v>0</v>
          </cell>
        </row>
        <row r="207">
          <cell r="A207">
            <v>92005</v>
          </cell>
          <cell r="B207" t="str">
            <v>NANTAHALA REGIONAL LIBRARY</v>
          </cell>
          <cell r="C207">
            <v>3.5299999999999997E-5</v>
          </cell>
          <cell r="D207"/>
          <cell r="E207">
            <v>5288</v>
          </cell>
          <cell r="F207">
            <v>4974</v>
          </cell>
          <cell r="G207">
            <v>4459</v>
          </cell>
          <cell r="H207">
            <v>1785</v>
          </cell>
          <cell r="I207">
            <v>0</v>
          </cell>
        </row>
        <row r="208">
          <cell r="A208">
            <v>92011</v>
          </cell>
          <cell r="B208" t="str">
            <v>TOWN OF MURPHY</v>
          </cell>
          <cell r="C208">
            <v>1.9100000000000001E-4</v>
          </cell>
          <cell r="D208"/>
          <cell r="E208">
            <v>28613</v>
          </cell>
          <cell r="F208">
            <v>26916</v>
          </cell>
          <cell r="G208">
            <v>24124</v>
          </cell>
          <cell r="H208">
            <v>9659</v>
          </cell>
          <cell r="I208">
            <v>0</v>
          </cell>
        </row>
        <row r="209">
          <cell r="A209">
            <v>92017</v>
          </cell>
          <cell r="B209" t="str">
            <v>MURPHY ABC BOARD</v>
          </cell>
          <cell r="C209">
            <v>3.1900000000000003E-5</v>
          </cell>
          <cell r="D209"/>
          <cell r="E209">
            <v>4779</v>
          </cell>
          <cell r="F209">
            <v>4495</v>
          </cell>
          <cell r="G209">
            <v>4029</v>
          </cell>
          <cell r="H209">
            <v>1613</v>
          </cell>
          <cell r="I209">
            <v>0</v>
          </cell>
        </row>
        <row r="210">
          <cell r="A210">
            <v>92021</v>
          </cell>
          <cell r="B210" t="str">
            <v>TOWN OF ANDREWS</v>
          </cell>
          <cell r="C210">
            <v>1.054E-4</v>
          </cell>
          <cell r="D210"/>
          <cell r="E210">
            <v>15790</v>
          </cell>
          <cell r="F210">
            <v>14853</v>
          </cell>
          <cell r="G210">
            <v>13313</v>
          </cell>
          <cell r="H210">
            <v>5330</v>
          </cell>
          <cell r="I210">
            <v>0</v>
          </cell>
        </row>
        <row r="211">
          <cell r="A211">
            <v>92101</v>
          </cell>
          <cell r="B211" t="str">
            <v>CHOWAN COUNTY</v>
          </cell>
          <cell r="C211">
            <v>7.8700000000000005E-4</v>
          </cell>
          <cell r="D211"/>
          <cell r="E211">
            <v>117898</v>
          </cell>
          <cell r="F211">
            <v>110904</v>
          </cell>
          <cell r="G211">
            <v>99402</v>
          </cell>
          <cell r="H211">
            <v>39799</v>
          </cell>
          <cell r="I211">
            <v>0</v>
          </cell>
        </row>
        <row r="212">
          <cell r="A212">
            <v>92104</v>
          </cell>
          <cell r="B212" t="str">
            <v>CHOWAN COUNTY ABC BOARD</v>
          </cell>
          <cell r="C212">
            <v>7.0999999999999998E-6</v>
          </cell>
          <cell r="D212"/>
          <cell r="E212">
            <v>1064</v>
          </cell>
          <cell r="F212">
            <v>1001</v>
          </cell>
          <cell r="G212">
            <v>897</v>
          </cell>
          <cell r="H212">
            <v>359</v>
          </cell>
          <cell r="I212">
            <v>0</v>
          </cell>
        </row>
        <row r="213">
          <cell r="A213">
            <v>92109</v>
          </cell>
          <cell r="B213" t="str">
            <v>ALBEMARLE REGNL PLANNING &amp; DEVELOPMENT COMM</v>
          </cell>
          <cell r="C213">
            <v>1.6799999999999999E-4</v>
          </cell>
          <cell r="D213"/>
          <cell r="E213">
            <v>25168</v>
          </cell>
          <cell r="F213">
            <v>23675</v>
          </cell>
          <cell r="G213">
            <v>21219</v>
          </cell>
          <cell r="H213">
            <v>8496</v>
          </cell>
          <cell r="I213">
            <v>0</v>
          </cell>
        </row>
        <row r="214">
          <cell r="A214">
            <v>92111</v>
          </cell>
          <cell r="B214" t="str">
            <v>TOWN OF EDENTON</v>
          </cell>
          <cell r="C214">
            <v>4.9209999999999998E-4</v>
          </cell>
          <cell r="D214"/>
          <cell r="E214">
            <v>73720</v>
          </cell>
          <cell r="F214">
            <v>69347</v>
          </cell>
          <cell r="G214">
            <v>62155</v>
          </cell>
          <cell r="H214">
            <v>24886</v>
          </cell>
          <cell r="I214">
            <v>0</v>
          </cell>
        </row>
        <row r="215">
          <cell r="A215">
            <v>92113</v>
          </cell>
          <cell r="B215" t="str">
            <v>THE NEW EDENTON HOUSING AUTH</v>
          </cell>
          <cell r="C215">
            <v>1.7099999999999999E-5</v>
          </cell>
          <cell r="D215"/>
          <cell r="E215">
            <v>2562</v>
          </cell>
          <cell r="F215">
            <v>2410</v>
          </cell>
          <cell r="G215">
            <v>2160</v>
          </cell>
          <cell r="H215">
            <v>865</v>
          </cell>
          <cell r="I215">
            <v>0</v>
          </cell>
        </row>
        <row r="216">
          <cell r="A216">
            <v>92201</v>
          </cell>
          <cell r="B216" t="str">
            <v>CLAY COUNTY</v>
          </cell>
          <cell r="C216">
            <v>8.3589999999999999E-4</v>
          </cell>
          <cell r="D216"/>
          <cell r="E216">
            <v>125224</v>
          </cell>
          <cell r="F216">
            <v>117795</v>
          </cell>
          <cell r="G216">
            <v>105578</v>
          </cell>
          <cell r="H216">
            <v>42272</v>
          </cell>
          <cell r="I216">
            <v>0</v>
          </cell>
        </row>
        <row r="217">
          <cell r="A217">
            <v>92214</v>
          </cell>
          <cell r="B217" t="str">
            <v>CLAY COUNTY ABC BOARD</v>
          </cell>
          <cell r="C217">
            <v>2.02E-5</v>
          </cell>
          <cell r="D217"/>
          <cell r="E217">
            <v>3026</v>
          </cell>
          <cell r="F217">
            <v>2847</v>
          </cell>
          <cell r="G217">
            <v>2551</v>
          </cell>
          <cell r="H217">
            <v>1022</v>
          </cell>
          <cell r="I217">
            <v>0</v>
          </cell>
        </row>
        <row r="218">
          <cell r="A218">
            <v>92301</v>
          </cell>
          <cell r="B218" t="str">
            <v>CLEVELAND COUNTY</v>
          </cell>
          <cell r="C218">
            <v>5.6146E-3</v>
          </cell>
          <cell r="D218"/>
          <cell r="E218">
            <v>841106</v>
          </cell>
          <cell r="F218">
            <v>791209</v>
          </cell>
          <cell r="G218">
            <v>709152</v>
          </cell>
          <cell r="H218">
            <v>283936</v>
          </cell>
          <cell r="I218">
            <v>0</v>
          </cell>
        </row>
        <row r="219">
          <cell r="A219">
            <v>92302</v>
          </cell>
          <cell r="B219" t="str">
            <v>CLEVELAND CO SANITARY DIST</v>
          </cell>
          <cell r="C219">
            <v>3.0249999999999998E-4</v>
          </cell>
          <cell r="D219"/>
          <cell r="E219">
            <v>45317</v>
          </cell>
          <cell r="F219">
            <v>42628</v>
          </cell>
          <cell r="G219">
            <v>38207</v>
          </cell>
          <cell r="H219">
            <v>15298</v>
          </cell>
          <cell r="I219">
            <v>0</v>
          </cell>
        </row>
        <row r="220">
          <cell r="A220">
            <v>92311</v>
          </cell>
          <cell r="B220" t="str">
            <v>CITY OF SHELBY</v>
          </cell>
          <cell r="C220">
            <v>2.2645999999999999E-3</v>
          </cell>
          <cell r="D220"/>
          <cell r="E220">
            <v>339253</v>
          </cell>
          <cell r="F220">
            <v>319127</v>
          </cell>
          <cell r="G220">
            <v>286030</v>
          </cell>
          <cell r="H220">
            <v>114523</v>
          </cell>
          <cell r="I220">
            <v>0</v>
          </cell>
        </row>
        <row r="221">
          <cell r="A221">
            <v>92317</v>
          </cell>
          <cell r="B221" t="str">
            <v>SHELBY ABC BOARD</v>
          </cell>
          <cell r="C221">
            <v>2.97E-5</v>
          </cell>
          <cell r="D221"/>
          <cell r="E221">
            <v>4449</v>
          </cell>
          <cell r="F221">
            <v>4185</v>
          </cell>
          <cell r="G221">
            <v>3751</v>
          </cell>
          <cell r="H221">
            <v>1502</v>
          </cell>
          <cell r="I221">
            <v>0</v>
          </cell>
        </row>
        <row r="222">
          <cell r="A222">
            <v>92321</v>
          </cell>
          <cell r="B222" t="str">
            <v>CITY OF KINGS MOUNTAIN</v>
          </cell>
          <cell r="C222">
            <v>1.2122999999999999E-3</v>
          </cell>
          <cell r="D222"/>
          <cell r="E222">
            <v>181611</v>
          </cell>
          <cell r="F222">
            <v>170837</v>
          </cell>
          <cell r="G222">
            <v>153120</v>
          </cell>
          <cell r="H222">
            <v>61307</v>
          </cell>
          <cell r="I222">
            <v>0</v>
          </cell>
        </row>
        <row r="223">
          <cell r="A223">
            <v>92327</v>
          </cell>
          <cell r="B223" t="str">
            <v>KINGS MOUNTAIN ABC BOARD</v>
          </cell>
          <cell r="C223">
            <v>6.4999999999999996E-6</v>
          </cell>
          <cell r="D223"/>
          <cell r="E223">
            <v>974</v>
          </cell>
          <cell r="F223">
            <v>916</v>
          </cell>
          <cell r="G223">
            <v>821</v>
          </cell>
          <cell r="H223">
            <v>329</v>
          </cell>
          <cell r="I223">
            <v>0</v>
          </cell>
        </row>
        <row r="224">
          <cell r="A224">
            <v>92331</v>
          </cell>
          <cell r="B224" t="str">
            <v>TOWN OF BOILING SPRINGS</v>
          </cell>
          <cell r="C224">
            <v>1.351E-4</v>
          </cell>
          <cell r="D224"/>
          <cell r="E224">
            <v>20239</v>
          </cell>
          <cell r="F224">
            <v>19038</v>
          </cell>
          <cell r="G224">
            <v>17064</v>
          </cell>
          <cell r="H224">
            <v>6832</v>
          </cell>
          <cell r="I224">
            <v>0</v>
          </cell>
        </row>
        <row r="225">
          <cell r="A225">
            <v>92341</v>
          </cell>
          <cell r="B225" t="str">
            <v>TOWN OF LAWNDALE</v>
          </cell>
          <cell r="C225">
            <v>8.4999999999999999E-6</v>
          </cell>
          <cell r="D225"/>
          <cell r="E225">
            <v>1273</v>
          </cell>
          <cell r="F225">
            <v>1198</v>
          </cell>
          <cell r="G225">
            <v>1074</v>
          </cell>
          <cell r="H225">
            <v>430</v>
          </cell>
          <cell r="I225">
            <v>0</v>
          </cell>
        </row>
        <row r="226">
          <cell r="A226">
            <v>92351</v>
          </cell>
          <cell r="B226" t="str">
            <v>TOWN OF GROVER</v>
          </cell>
          <cell r="C226">
            <v>1.7499999999999998E-5</v>
          </cell>
          <cell r="D226"/>
          <cell r="E226">
            <v>2622</v>
          </cell>
          <cell r="F226">
            <v>2466</v>
          </cell>
          <cell r="G226">
            <v>2210</v>
          </cell>
          <cell r="H226">
            <v>885</v>
          </cell>
          <cell r="I226">
            <v>0</v>
          </cell>
        </row>
        <row r="227">
          <cell r="A227">
            <v>92401</v>
          </cell>
          <cell r="B227" t="str">
            <v>COLUMBUS COUNTY</v>
          </cell>
          <cell r="C227">
            <v>2.6340000000000001E-3</v>
          </cell>
          <cell r="D227"/>
          <cell r="E227">
            <v>394592</v>
          </cell>
          <cell r="F227">
            <v>371183</v>
          </cell>
          <cell r="G227">
            <v>332687</v>
          </cell>
          <cell r="H227">
            <v>133204</v>
          </cell>
          <cell r="I227">
            <v>0</v>
          </cell>
        </row>
        <row r="228">
          <cell r="A228">
            <v>92403</v>
          </cell>
          <cell r="B228" t="str">
            <v>WHITEVILLE HOUSING AUTHORITY</v>
          </cell>
          <cell r="C228">
            <v>9.0999999999999993E-6</v>
          </cell>
          <cell r="D228"/>
          <cell r="E228">
            <v>1363</v>
          </cell>
          <cell r="F228">
            <v>1282</v>
          </cell>
          <cell r="G228">
            <v>1149</v>
          </cell>
          <cell r="H228">
            <v>460</v>
          </cell>
          <cell r="I228">
            <v>0</v>
          </cell>
        </row>
        <row r="229">
          <cell r="A229">
            <v>92411</v>
          </cell>
          <cell r="B229" t="str">
            <v>CITY OF WHITEVILLE</v>
          </cell>
          <cell r="C229">
            <v>4.5199999999999998E-4</v>
          </cell>
          <cell r="D229"/>
          <cell r="E229">
            <v>67713</v>
          </cell>
          <cell r="F229">
            <v>63696</v>
          </cell>
          <cell r="G229">
            <v>57090</v>
          </cell>
          <cell r="H229">
            <v>22858</v>
          </cell>
          <cell r="I229">
            <v>0</v>
          </cell>
        </row>
        <row r="230">
          <cell r="A230">
            <v>92414</v>
          </cell>
          <cell r="B230" t="str">
            <v>TOWN OF BOLTON</v>
          </cell>
          <cell r="C230">
            <v>0</v>
          </cell>
          <cell r="D230"/>
          <cell r="E230">
            <v>0</v>
          </cell>
          <cell r="F230">
            <v>0</v>
          </cell>
          <cell r="G230">
            <v>0</v>
          </cell>
          <cell r="H230">
            <v>0</v>
          </cell>
          <cell r="I230">
            <v>0</v>
          </cell>
        </row>
        <row r="231">
          <cell r="A231">
            <v>92417</v>
          </cell>
          <cell r="B231" t="str">
            <v>WHITEVILLE ABC BOARD</v>
          </cell>
          <cell r="C231">
            <v>1.73E-5</v>
          </cell>
          <cell r="D231"/>
          <cell r="E231">
            <v>2592</v>
          </cell>
          <cell r="F231">
            <v>2438</v>
          </cell>
          <cell r="G231">
            <v>2185</v>
          </cell>
          <cell r="H231">
            <v>875</v>
          </cell>
          <cell r="I231">
            <v>0</v>
          </cell>
        </row>
        <row r="232">
          <cell r="A232">
            <v>92421</v>
          </cell>
          <cell r="B232" t="str">
            <v>TOWN OF BRUNSWICK</v>
          </cell>
          <cell r="C232">
            <v>1.6399999999999999E-5</v>
          </cell>
          <cell r="D232"/>
          <cell r="E232">
            <v>2457</v>
          </cell>
          <cell r="F232">
            <v>2311</v>
          </cell>
          <cell r="G232">
            <v>2071</v>
          </cell>
          <cell r="H232">
            <v>829</v>
          </cell>
          <cell r="I232">
            <v>0</v>
          </cell>
        </row>
        <row r="233">
          <cell r="A233">
            <v>92427</v>
          </cell>
          <cell r="B233" t="str">
            <v>LAKE WACCAMAW ABC BOARD</v>
          </cell>
          <cell r="C233">
            <v>1.9E-6</v>
          </cell>
          <cell r="D233"/>
          <cell r="E233">
            <v>285</v>
          </cell>
          <cell r="F233">
            <v>268</v>
          </cell>
          <cell r="G233">
            <v>240</v>
          </cell>
          <cell r="H233">
            <v>96</v>
          </cell>
          <cell r="I233">
            <v>0</v>
          </cell>
        </row>
        <row r="234">
          <cell r="A234">
            <v>92431</v>
          </cell>
          <cell r="B234" t="str">
            <v>TOWN OF FAIR BLUFF</v>
          </cell>
          <cell r="C234">
            <v>2.6999999999999999E-5</v>
          </cell>
          <cell r="D234"/>
          <cell r="E234">
            <v>4045</v>
          </cell>
          <cell r="F234">
            <v>3805</v>
          </cell>
          <cell r="G234">
            <v>3410</v>
          </cell>
          <cell r="H234">
            <v>1365</v>
          </cell>
          <cell r="I234">
            <v>0</v>
          </cell>
        </row>
        <row r="235">
          <cell r="A235">
            <v>92441</v>
          </cell>
          <cell r="B235" t="str">
            <v>TOWN OF CHADBOURN</v>
          </cell>
          <cell r="C235">
            <v>8.6500000000000002E-5</v>
          </cell>
          <cell r="D235"/>
          <cell r="E235">
            <v>12958</v>
          </cell>
          <cell r="F235">
            <v>12190</v>
          </cell>
          <cell r="G235">
            <v>10925</v>
          </cell>
          <cell r="H235">
            <v>4374</v>
          </cell>
          <cell r="I235">
            <v>0</v>
          </cell>
        </row>
        <row r="236">
          <cell r="A236">
            <v>92444</v>
          </cell>
          <cell r="B236" t="str">
            <v>WEST COLUMBUS ABC BOARD</v>
          </cell>
          <cell r="C236">
            <v>5.1000000000000003E-6</v>
          </cell>
          <cell r="D236"/>
          <cell r="E236">
            <v>764</v>
          </cell>
          <cell r="F236">
            <v>719</v>
          </cell>
          <cell r="G236">
            <v>644</v>
          </cell>
          <cell r="H236">
            <v>258</v>
          </cell>
          <cell r="I236">
            <v>0</v>
          </cell>
        </row>
        <row r="237">
          <cell r="A237">
            <v>92451</v>
          </cell>
          <cell r="B237" t="str">
            <v>TOWN OF TABOR CITY</v>
          </cell>
          <cell r="C237">
            <v>1.143E-4</v>
          </cell>
          <cell r="D237"/>
          <cell r="E237">
            <v>17123</v>
          </cell>
          <cell r="F237">
            <v>16107</v>
          </cell>
          <cell r="G237">
            <v>14437</v>
          </cell>
          <cell r="H237">
            <v>5780</v>
          </cell>
          <cell r="I237">
            <v>0</v>
          </cell>
        </row>
        <row r="238">
          <cell r="A238">
            <v>92461</v>
          </cell>
          <cell r="B238" t="str">
            <v>TOWN OF LAKE WACCAMAW</v>
          </cell>
          <cell r="C238">
            <v>5.8400000000000003E-5</v>
          </cell>
          <cell r="D238"/>
          <cell r="E238">
            <v>8749</v>
          </cell>
          <cell r="F238">
            <v>8230</v>
          </cell>
          <cell r="G238">
            <v>7376</v>
          </cell>
          <cell r="H238">
            <v>2953</v>
          </cell>
          <cell r="I238">
            <v>0</v>
          </cell>
        </row>
        <row r="239">
          <cell r="A239">
            <v>92501</v>
          </cell>
          <cell r="B239" t="str">
            <v>CRAVEN COUNTY</v>
          </cell>
          <cell r="C239">
            <v>3.7055999999999999E-3</v>
          </cell>
          <cell r="D239"/>
          <cell r="E239">
            <v>555125</v>
          </cell>
          <cell r="F239">
            <v>522193</v>
          </cell>
          <cell r="G239">
            <v>468036</v>
          </cell>
          <cell r="H239">
            <v>187396</v>
          </cell>
          <cell r="I239">
            <v>0</v>
          </cell>
        </row>
        <row r="240">
          <cell r="A240">
            <v>92502</v>
          </cell>
          <cell r="B240" t="str">
            <v>FIRST CRAVEN SANITARY DIST</v>
          </cell>
          <cell r="C240">
            <v>2.3600000000000001E-5</v>
          </cell>
          <cell r="D240"/>
          <cell r="E240">
            <v>3535</v>
          </cell>
          <cell r="F240">
            <v>3326</v>
          </cell>
          <cell r="G240">
            <v>2981</v>
          </cell>
          <cell r="H240">
            <v>1193</v>
          </cell>
          <cell r="I240">
            <v>0</v>
          </cell>
        </row>
        <row r="241">
          <cell r="A241">
            <v>92504</v>
          </cell>
          <cell r="B241" t="str">
            <v>CRAVEN CO ABC BD</v>
          </cell>
          <cell r="C241">
            <v>7.6299999999999998E-5</v>
          </cell>
          <cell r="D241"/>
          <cell r="E241">
            <v>11430</v>
          </cell>
          <cell r="F241">
            <v>10752</v>
          </cell>
          <cell r="G241">
            <v>9637</v>
          </cell>
          <cell r="H241">
            <v>3859</v>
          </cell>
          <cell r="I241">
            <v>0</v>
          </cell>
        </row>
        <row r="242">
          <cell r="A242">
            <v>92505</v>
          </cell>
          <cell r="B242" t="str">
            <v>CRAVEN-PAMLICO-CARTERET REGIONAL LIBRARY</v>
          </cell>
          <cell r="C242">
            <v>1.7090000000000001E-4</v>
          </cell>
          <cell r="D242"/>
          <cell r="E242">
            <v>25602</v>
          </cell>
          <cell r="F242">
            <v>24083</v>
          </cell>
          <cell r="G242">
            <v>21586</v>
          </cell>
          <cell r="H242">
            <v>8643</v>
          </cell>
          <cell r="I242">
            <v>0</v>
          </cell>
        </row>
        <row r="243">
          <cell r="A243">
            <v>92506</v>
          </cell>
          <cell r="B243" t="str">
            <v>COASTAL CAROLINA REGIONAL AIRPORT</v>
          </cell>
          <cell r="C243">
            <v>5.38E-5</v>
          </cell>
          <cell r="D243"/>
          <cell r="E243">
            <v>8060</v>
          </cell>
          <cell r="F243">
            <v>7581</v>
          </cell>
          <cell r="G243">
            <v>6795</v>
          </cell>
          <cell r="H243">
            <v>2721</v>
          </cell>
          <cell r="I243">
            <v>0</v>
          </cell>
        </row>
        <row r="244">
          <cell r="A244">
            <v>92507</v>
          </cell>
          <cell r="B244" t="str">
            <v>NEUSE RIVER COUNCIL OF GOVERNMENTS</v>
          </cell>
          <cell r="C244">
            <v>1.01E-4</v>
          </cell>
          <cell r="D244"/>
          <cell r="E244">
            <v>15131</v>
          </cell>
          <cell r="F244">
            <v>14233</v>
          </cell>
          <cell r="G244">
            <v>12757</v>
          </cell>
          <cell r="H244">
            <v>5108</v>
          </cell>
          <cell r="I244">
            <v>0</v>
          </cell>
        </row>
        <row r="245">
          <cell r="A245">
            <v>92508</v>
          </cell>
          <cell r="B245" t="str">
            <v>COASTAL REGIONAL SOLID WASTE MNGT AUTH</v>
          </cell>
          <cell r="C245">
            <v>3.102E-4</v>
          </cell>
          <cell r="D245"/>
          <cell r="E245">
            <v>46470</v>
          </cell>
          <cell r="F245">
            <v>43713</v>
          </cell>
          <cell r="G245">
            <v>39180</v>
          </cell>
          <cell r="H245">
            <v>15687</v>
          </cell>
          <cell r="I245">
            <v>0</v>
          </cell>
        </row>
        <row r="246">
          <cell r="A246">
            <v>92509</v>
          </cell>
          <cell r="B246" t="str">
            <v>EAST CAROLINA BEHAVORIAL HEALTHCARE</v>
          </cell>
          <cell r="C246">
            <v>0</v>
          </cell>
          <cell r="D246"/>
          <cell r="E246">
            <v>0</v>
          </cell>
          <cell r="F246">
            <v>0</v>
          </cell>
          <cell r="G246">
            <v>0</v>
          </cell>
          <cell r="H246">
            <v>0</v>
          </cell>
          <cell r="I246">
            <v>0</v>
          </cell>
        </row>
        <row r="247">
          <cell r="A247">
            <v>92511</v>
          </cell>
          <cell r="B247" t="str">
            <v>CITY OF NEW BERN</v>
          </cell>
          <cell r="C247">
            <v>3.5699999999999998E-3</v>
          </cell>
          <cell r="D247"/>
          <cell r="E247">
            <v>534811</v>
          </cell>
          <cell r="F247">
            <v>503084</v>
          </cell>
          <cell r="G247">
            <v>450909</v>
          </cell>
          <cell r="H247">
            <v>180538</v>
          </cell>
          <cell r="I247">
            <v>0</v>
          </cell>
        </row>
        <row r="248">
          <cell r="A248">
            <v>92513</v>
          </cell>
          <cell r="B248" t="str">
            <v>TRILLIUM HEALTH RESOURCES</v>
          </cell>
          <cell r="C248">
            <v>3.9484999999999998E-3</v>
          </cell>
          <cell r="D248"/>
          <cell r="E248">
            <v>591513</v>
          </cell>
          <cell r="F248">
            <v>556423</v>
          </cell>
          <cell r="G248">
            <v>498715</v>
          </cell>
          <cell r="H248">
            <v>199680</v>
          </cell>
          <cell r="I248">
            <v>0</v>
          </cell>
        </row>
        <row r="249">
          <cell r="A249">
            <v>92521</v>
          </cell>
          <cell r="B249" t="str">
            <v>TOWN OF TRENT WOODS</v>
          </cell>
          <cell r="C249">
            <v>7.7399999999999998E-5</v>
          </cell>
          <cell r="D249"/>
          <cell r="E249">
            <v>11595</v>
          </cell>
          <cell r="F249">
            <v>10907</v>
          </cell>
          <cell r="G249">
            <v>9776</v>
          </cell>
          <cell r="H249">
            <v>3914</v>
          </cell>
          <cell r="I249">
            <v>0</v>
          </cell>
        </row>
        <row r="250">
          <cell r="A250">
            <v>92531</v>
          </cell>
          <cell r="B250" t="str">
            <v>CITY OF HAVELOCK</v>
          </cell>
          <cell r="C250">
            <v>8.2580000000000001E-4</v>
          </cell>
          <cell r="D250"/>
          <cell r="E250">
            <v>123711</v>
          </cell>
          <cell r="F250">
            <v>116372</v>
          </cell>
          <cell r="G250">
            <v>104303</v>
          </cell>
          <cell r="H250">
            <v>41762</v>
          </cell>
          <cell r="I250">
            <v>0</v>
          </cell>
        </row>
        <row r="251">
          <cell r="A251">
            <v>92541</v>
          </cell>
          <cell r="B251" t="str">
            <v>TOWN OF RIVER BEND</v>
          </cell>
          <cell r="C251">
            <v>1.3740000000000001E-4</v>
          </cell>
          <cell r="D251"/>
          <cell r="E251">
            <v>20583</v>
          </cell>
          <cell r="F251">
            <v>19362</v>
          </cell>
          <cell r="G251">
            <v>17354</v>
          </cell>
          <cell r="H251">
            <v>6948</v>
          </cell>
          <cell r="I251">
            <v>0</v>
          </cell>
        </row>
        <row r="252">
          <cell r="A252">
            <v>92551</v>
          </cell>
          <cell r="B252" t="str">
            <v>TOWN OF VANCEBORO</v>
          </cell>
          <cell r="C252">
            <v>5.7099999999999999E-5</v>
          </cell>
          <cell r="D252"/>
          <cell r="E252">
            <v>8554</v>
          </cell>
          <cell r="F252">
            <v>8047</v>
          </cell>
          <cell r="G252">
            <v>7212</v>
          </cell>
          <cell r="H252">
            <v>2888</v>
          </cell>
          <cell r="I252">
            <v>0</v>
          </cell>
        </row>
        <row r="253">
          <cell r="A253">
            <v>92561</v>
          </cell>
          <cell r="B253" t="str">
            <v>TOWN OF BRIDGETON</v>
          </cell>
          <cell r="C253">
            <v>1.7900000000000001E-5</v>
          </cell>
          <cell r="D253"/>
          <cell r="E253">
            <v>2682</v>
          </cell>
          <cell r="F253">
            <v>2522</v>
          </cell>
          <cell r="G253">
            <v>2261</v>
          </cell>
          <cell r="H253">
            <v>905</v>
          </cell>
          <cell r="I253">
            <v>0</v>
          </cell>
        </row>
        <row r="254">
          <cell r="A254">
            <v>92571</v>
          </cell>
          <cell r="B254" t="str">
            <v>TOWN OF COVE CITY</v>
          </cell>
          <cell r="C254">
            <v>8.1999999999999994E-6</v>
          </cell>
          <cell r="D254"/>
          <cell r="E254">
            <v>1228</v>
          </cell>
          <cell r="F254">
            <v>1156</v>
          </cell>
          <cell r="G254">
            <v>1036</v>
          </cell>
          <cell r="H254">
            <v>415</v>
          </cell>
          <cell r="I254">
            <v>0</v>
          </cell>
        </row>
        <row r="255">
          <cell r="A255">
            <v>92601</v>
          </cell>
          <cell r="B255" t="str">
            <v>CUMBERLAND COUNTY</v>
          </cell>
          <cell r="C255">
            <v>1.32598E-2</v>
          </cell>
          <cell r="D255"/>
          <cell r="E255">
            <v>1986411</v>
          </cell>
          <cell r="F255">
            <v>1868571</v>
          </cell>
          <cell r="G255">
            <v>1674779</v>
          </cell>
          <cell r="H255">
            <v>670561</v>
          </cell>
          <cell r="I255">
            <v>0</v>
          </cell>
        </row>
        <row r="256">
          <cell r="A256">
            <v>92602</v>
          </cell>
          <cell r="B256" t="str">
            <v>WESTAREA VOLUNTEER FIRE DEPT</v>
          </cell>
          <cell r="C256">
            <v>4.8999999999999997E-6</v>
          </cell>
          <cell r="D256"/>
          <cell r="E256">
            <v>734</v>
          </cell>
          <cell r="F256">
            <v>691</v>
          </cell>
          <cell r="G256">
            <v>619</v>
          </cell>
          <cell r="H256">
            <v>248</v>
          </cell>
          <cell r="I256">
            <v>0</v>
          </cell>
        </row>
        <row r="257">
          <cell r="A257">
            <v>92604</v>
          </cell>
          <cell r="B257" t="str">
            <v>CUMBERLAND CO ABC BOARD</v>
          </cell>
          <cell r="C257">
            <v>3.501E-4</v>
          </cell>
          <cell r="D257"/>
          <cell r="E257">
            <v>52447</v>
          </cell>
          <cell r="F257">
            <v>49336</v>
          </cell>
          <cell r="G257">
            <v>44219</v>
          </cell>
          <cell r="H257">
            <v>17705</v>
          </cell>
          <cell r="I257">
            <v>0</v>
          </cell>
        </row>
        <row r="258">
          <cell r="A258">
            <v>92607</v>
          </cell>
          <cell r="B258" t="str">
            <v>MID-CAROLINA COUNCIL OF GOVERNMENTS</v>
          </cell>
          <cell r="C258">
            <v>5.6700000000000003E-5</v>
          </cell>
          <cell r="D258"/>
          <cell r="E258">
            <v>8494</v>
          </cell>
          <cell r="F258">
            <v>7990</v>
          </cell>
          <cell r="G258">
            <v>7161</v>
          </cell>
          <cell r="H258">
            <v>2867</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1828814</v>
          </cell>
          <cell r="F260">
            <v>1720323</v>
          </cell>
          <cell r="G260">
            <v>1541906</v>
          </cell>
          <cell r="H260">
            <v>617361</v>
          </cell>
          <cell r="I260">
            <v>0</v>
          </cell>
        </row>
        <row r="261">
          <cell r="A261">
            <v>92613</v>
          </cell>
          <cell r="B261" t="str">
            <v>FAYETTEVILLE METROPOLITAN HOUSING AUTH</v>
          </cell>
          <cell r="C261">
            <v>2.23E-4</v>
          </cell>
          <cell r="D261"/>
          <cell r="E261">
            <v>33407</v>
          </cell>
          <cell r="F261">
            <v>31425</v>
          </cell>
          <cell r="G261">
            <v>28166</v>
          </cell>
          <cell r="H261">
            <v>11277</v>
          </cell>
          <cell r="I261">
            <v>0</v>
          </cell>
        </row>
        <row r="262">
          <cell r="A262">
            <v>92614</v>
          </cell>
          <cell r="B262" t="str">
            <v>PUBLIC WORKS COMM CTY OF FAYETTEVILLE</v>
          </cell>
          <cell r="C262">
            <v>5.7201999999999999E-3</v>
          </cell>
          <cell r="D262"/>
          <cell r="E262">
            <v>856926</v>
          </cell>
          <cell r="F262">
            <v>806091</v>
          </cell>
          <cell r="G262">
            <v>722490</v>
          </cell>
          <cell r="H262">
            <v>289276</v>
          </cell>
          <cell r="I262">
            <v>0</v>
          </cell>
        </row>
        <row r="263">
          <cell r="A263">
            <v>92621</v>
          </cell>
          <cell r="B263" t="str">
            <v>TOWN OF STEDMAN</v>
          </cell>
          <cell r="C263">
            <v>2.8900000000000001E-5</v>
          </cell>
          <cell r="D263"/>
          <cell r="E263">
            <v>4329</v>
          </cell>
          <cell r="F263">
            <v>4073</v>
          </cell>
          <cell r="G263">
            <v>3650</v>
          </cell>
          <cell r="H263">
            <v>1462</v>
          </cell>
          <cell r="I263">
            <v>0</v>
          </cell>
        </row>
        <row r="264">
          <cell r="A264">
            <v>92631</v>
          </cell>
          <cell r="B264" t="str">
            <v>TOWN OF HOPE MILLS</v>
          </cell>
          <cell r="C264">
            <v>9.3329999999999997E-4</v>
          </cell>
          <cell r="D264"/>
          <cell r="E264">
            <v>139815</v>
          </cell>
          <cell r="F264">
            <v>131521</v>
          </cell>
          <cell r="G264">
            <v>117880</v>
          </cell>
          <cell r="H264">
            <v>47198</v>
          </cell>
          <cell r="I264">
            <v>0</v>
          </cell>
        </row>
        <row r="265">
          <cell r="A265">
            <v>92641</v>
          </cell>
          <cell r="B265" t="str">
            <v>TOWN OF WADE</v>
          </cell>
          <cell r="C265">
            <v>1.11E-5</v>
          </cell>
          <cell r="D265"/>
          <cell r="E265">
            <v>1663</v>
          </cell>
          <cell r="F265">
            <v>1564</v>
          </cell>
          <cell r="G265">
            <v>1402</v>
          </cell>
          <cell r="H265">
            <v>561</v>
          </cell>
          <cell r="I265">
            <v>0</v>
          </cell>
        </row>
        <row r="266">
          <cell r="A266">
            <v>92651</v>
          </cell>
          <cell r="B266" t="str">
            <v>TOWN OF LINDEN</v>
          </cell>
          <cell r="C266">
            <v>4.3000000000000003E-6</v>
          </cell>
          <cell r="D266"/>
          <cell r="E266">
            <v>644</v>
          </cell>
          <cell r="F266">
            <v>606</v>
          </cell>
          <cell r="G266">
            <v>543</v>
          </cell>
          <cell r="H266">
            <v>217</v>
          </cell>
          <cell r="I266">
            <v>0</v>
          </cell>
        </row>
        <row r="267">
          <cell r="A267">
            <v>92661</v>
          </cell>
          <cell r="B267" t="str">
            <v>TOWN OF SPRING LAKE</v>
          </cell>
          <cell r="C267">
            <v>6.2509999999999996E-4</v>
          </cell>
          <cell r="D267"/>
          <cell r="E267">
            <v>93644</v>
          </cell>
          <cell r="F267">
            <v>88089</v>
          </cell>
          <cell r="G267">
            <v>78953</v>
          </cell>
          <cell r="H267">
            <v>31612</v>
          </cell>
          <cell r="I267">
            <v>0</v>
          </cell>
        </row>
        <row r="268">
          <cell r="A268">
            <v>92671</v>
          </cell>
          <cell r="B268" t="str">
            <v>TOWN OF FALCON</v>
          </cell>
          <cell r="C268">
            <v>2.0999999999999998E-6</v>
          </cell>
          <cell r="D268"/>
          <cell r="E268">
            <v>315</v>
          </cell>
          <cell r="F268">
            <v>296</v>
          </cell>
          <cell r="G268">
            <v>265</v>
          </cell>
          <cell r="H268">
            <v>106</v>
          </cell>
          <cell r="I268">
            <v>0</v>
          </cell>
        </row>
        <row r="269">
          <cell r="A269">
            <v>92681</v>
          </cell>
          <cell r="B269" t="str">
            <v>TOWN OF EASTOVER</v>
          </cell>
          <cell r="C269">
            <v>1.1800000000000001E-5</v>
          </cell>
          <cell r="D269"/>
          <cell r="E269">
            <v>1768</v>
          </cell>
          <cell r="F269">
            <v>1663</v>
          </cell>
          <cell r="G269">
            <v>1490</v>
          </cell>
          <cell r="H269">
            <v>597</v>
          </cell>
          <cell r="I269">
            <v>0</v>
          </cell>
        </row>
        <row r="270">
          <cell r="A270">
            <v>92701</v>
          </cell>
          <cell r="B270" t="str">
            <v>CURRITUCK COUNTY</v>
          </cell>
          <cell r="C270">
            <v>3.0688999999999998E-3</v>
          </cell>
          <cell r="D270"/>
          <cell r="E270">
            <v>459743</v>
          </cell>
          <cell r="F270">
            <v>432469</v>
          </cell>
          <cell r="G270">
            <v>387617</v>
          </cell>
          <cell r="H270">
            <v>155197</v>
          </cell>
          <cell r="I270">
            <v>0</v>
          </cell>
        </row>
        <row r="271">
          <cell r="A271">
            <v>92704</v>
          </cell>
          <cell r="B271" t="str">
            <v>CURRITUCK CO ABC BOARD</v>
          </cell>
          <cell r="C271">
            <v>3.6900000000000002E-5</v>
          </cell>
          <cell r="D271"/>
          <cell r="E271">
            <v>5528</v>
          </cell>
          <cell r="F271">
            <v>5200</v>
          </cell>
          <cell r="G271">
            <v>4661</v>
          </cell>
          <cell r="H271">
            <v>1866</v>
          </cell>
          <cell r="I271">
            <v>0</v>
          </cell>
        </row>
        <row r="272">
          <cell r="A272">
            <v>92801</v>
          </cell>
          <cell r="B272" t="str">
            <v>DARE COUNTY</v>
          </cell>
          <cell r="C272">
            <v>5.4352999999999997E-3</v>
          </cell>
          <cell r="D272"/>
          <cell r="E272">
            <v>814246</v>
          </cell>
          <cell r="F272">
            <v>765942</v>
          </cell>
          <cell r="G272">
            <v>686506</v>
          </cell>
          <cell r="H272">
            <v>274869</v>
          </cell>
          <cell r="I272">
            <v>0</v>
          </cell>
        </row>
        <row r="273">
          <cell r="A273">
            <v>92802</v>
          </cell>
          <cell r="B273" t="str">
            <v>DARE COUNTY TOURISM BOARD</v>
          </cell>
          <cell r="C273">
            <v>1.198E-4</v>
          </cell>
          <cell r="D273"/>
          <cell r="E273">
            <v>17947</v>
          </cell>
          <cell r="F273">
            <v>16882</v>
          </cell>
          <cell r="G273">
            <v>15131</v>
          </cell>
          <cell r="H273">
            <v>6058</v>
          </cell>
          <cell r="I273">
            <v>0</v>
          </cell>
        </row>
        <row r="274">
          <cell r="A274">
            <v>92804</v>
          </cell>
          <cell r="B274" t="str">
            <v>DARE COUNTY ABC BOARD</v>
          </cell>
          <cell r="C274">
            <v>1.427E-4</v>
          </cell>
          <cell r="D274"/>
          <cell r="E274">
            <v>21377</v>
          </cell>
          <cell r="F274">
            <v>20109</v>
          </cell>
          <cell r="G274">
            <v>18024</v>
          </cell>
          <cell r="H274">
            <v>7216</v>
          </cell>
          <cell r="I274">
            <v>0</v>
          </cell>
        </row>
        <row r="275">
          <cell r="A275">
            <v>92811</v>
          </cell>
          <cell r="B275" t="str">
            <v>TOWN OF NAGS HEAD</v>
          </cell>
          <cell r="C275">
            <v>9.1160000000000004E-4</v>
          </cell>
          <cell r="D275"/>
          <cell r="E275">
            <v>136564</v>
          </cell>
          <cell r="F275">
            <v>128463</v>
          </cell>
          <cell r="G275">
            <v>115140</v>
          </cell>
          <cell r="H275">
            <v>46101</v>
          </cell>
          <cell r="I275">
            <v>0</v>
          </cell>
        </row>
        <row r="276">
          <cell r="A276">
            <v>92821</v>
          </cell>
          <cell r="B276" t="str">
            <v>TOWN OF KILL DEVIL HILLS</v>
          </cell>
          <cell r="C276">
            <v>9.8409999999999991E-4</v>
          </cell>
          <cell r="D276"/>
          <cell r="E276">
            <v>147425</v>
          </cell>
          <cell r="F276">
            <v>138679</v>
          </cell>
          <cell r="G276">
            <v>124297</v>
          </cell>
          <cell r="H276">
            <v>49767</v>
          </cell>
          <cell r="I276">
            <v>0</v>
          </cell>
        </row>
        <row r="277">
          <cell r="A277">
            <v>92831</v>
          </cell>
          <cell r="B277" t="str">
            <v>TOWN OF MANTEO</v>
          </cell>
          <cell r="C277">
            <v>2.5230000000000001E-4</v>
          </cell>
          <cell r="D277"/>
          <cell r="E277">
            <v>37796</v>
          </cell>
          <cell r="F277">
            <v>35554</v>
          </cell>
          <cell r="G277">
            <v>31867</v>
          </cell>
          <cell r="H277">
            <v>12759</v>
          </cell>
          <cell r="I277">
            <v>0</v>
          </cell>
        </row>
        <row r="278">
          <cell r="A278">
            <v>92841</v>
          </cell>
          <cell r="B278" t="str">
            <v>TOWN OF SOUTHERN SHORES</v>
          </cell>
          <cell r="C278">
            <v>2.4340000000000001E-4</v>
          </cell>
          <cell r="D278"/>
          <cell r="E278">
            <v>36463</v>
          </cell>
          <cell r="F278">
            <v>34300</v>
          </cell>
          <cell r="G278">
            <v>30743</v>
          </cell>
          <cell r="H278">
            <v>12309</v>
          </cell>
          <cell r="I278">
            <v>0</v>
          </cell>
        </row>
        <row r="279">
          <cell r="A279">
            <v>92851</v>
          </cell>
          <cell r="B279" t="str">
            <v>TOWN OF KITTY HAWK</v>
          </cell>
          <cell r="C279">
            <v>4.2850000000000001E-4</v>
          </cell>
          <cell r="D279"/>
          <cell r="E279">
            <v>64192</v>
          </cell>
          <cell r="F279">
            <v>60384</v>
          </cell>
          <cell r="G279">
            <v>54122</v>
          </cell>
          <cell r="H279">
            <v>21670</v>
          </cell>
          <cell r="I279">
            <v>0</v>
          </cell>
        </row>
        <row r="280">
          <cell r="A280">
            <v>92861</v>
          </cell>
          <cell r="B280" t="str">
            <v>TOWN OF DUCK</v>
          </cell>
          <cell r="C280">
            <v>3.6309999999999999E-4</v>
          </cell>
          <cell r="D280"/>
          <cell r="E280">
            <v>54395</v>
          </cell>
          <cell r="F280">
            <v>51168</v>
          </cell>
          <cell r="G280">
            <v>45861</v>
          </cell>
          <cell r="H280">
            <v>18362</v>
          </cell>
          <cell r="I280">
            <v>0</v>
          </cell>
        </row>
        <row r="281">
          <cell r="A281">
            <v>92901</v>
          </cell>
          <cell r="B281" t="str">
            <v>DAVIDSON COUNTY</v>
          </cell>
          <cell r="C281">
            <v>5.4326000000000001E-3</v>
          </cell>
          <cell r="D281"/>
          <cell r="E281">
            <v>813842</v>
          </cell>
          <cell r="F281">
            <v>765562</v>
          </cell>
          <cell r="G281">
            <v>686165</v>
          </cell>
          <cell r="H281">
            <v>274732</v>
          </cell>
          <cell r="I281">
            <v>0</v>
          </cell>
        </row>
        <row r="282">
          <cell r="A282">
            <v>92911</v>
          </cell>
          <cell r="B282" t="str">
            <v>CITY OF THOMASVILLE</v>
          </cell>
          <cell r="C282">
            <v>1.9161E-3</v>
          </cell>
          <cell r="D282"/>
          <cell r="E282">
            <v>287045</v>
          </cell>
          <cell r="F282">
            <v>270017</v>
          </cell>
          <cell r="G282">
            <v>242013</v>
          </cell>
          <cell r="H282">
            <v>96899</v>
          </cell>
          <cell r="I282">
            <v>0</v>
          </cell>
        </row>
        <row r="283">
          <cell r="A283">
            <v>92913</v>
          </cell>
          <cell r="B283" t="str">
            <v>THOMASVILLE HOUSING AUTHORITY</v>
          </cell>
          <cell r="C283">
            <v>2.0400000000000001E-5</v>
          </cell>
          <cell r="D283"/>
          <cell r="E283">
            <v>3056</v>
          </cell>
          <cell r="F283">
            <v>2875</v>
          </cell>
          <cell r="G283">
            <v>2577</v>
          </cell>
          <cell r="H283">
            <v>1032</v>
          </cell>
          <cell r="I283">
            <v>0</v>
          </cell>
        </row>
        <row r="284">
          <cell r="A284">
            <v>92914</v>
          </cell>
          <cell r="B284" t="str">
            <v>THOMASVILLE ABC BOARD</v>
          </cell>
          <cell r="C284">
            <v>2.55E-5</v>
          </cell>
          <cell r="D284"/>
          <cell r="E284">
            <v>3820</v>
          </cell>
          <cell r="F284">
            <v>3593</v>
          </cell>
          <cell r="G284">
            <v>3221</v>
          </cell>
          <cell r="H284">
            <v>1290</v>
          </cell>
          <cell r="I284">
            <v>0</v>
          </cell>
        </row>
        <row r="285">
          <cell r="A285">
            <v>92917</v>
          </cell>
          <cell r="B285" t="str">
            <v>LEXINGTON ABC BOARD</v>
          </cell>
          <cell r="C285">
            <v>1.9199999999999999E-5</v>
          </cell>
          <cell r="D285"/>
          <cell r="E285">
            <v>2876</v>
          </cell>
          <cell r="F285">
            <v>2706</v>
          </cell>
          <cell r="G285">
            <v>2425</v>
          </cell>
          <cell r="H285">
            <v>971</v>
          </cell>
          <cell r="I285">
            <v>0</v>
          </cell>
        </row>
        <row r="286">
          <cell r="A286">
            <v>92921</v>
          </cell>
          <cell r="B286" t="str">
            <v>TOWN OF DENTON</v>
          </cell>
          <cell r="C286">
            <v>9.6600000000000003E-5</v>
          </cell>
          <cell r="D286"/>
          <cell r="E286">
            <v>14471</v>
          </cell>
          <cell r="F286">
            <v>13613</v>
          </cell>
          <cell r="G286">
            <v>12201</v>
          </cell>
          <cell r="H286">
            <v>4885</v>
          </cell>
          <cell r="I286">
            <v>0</v>
          </cell>
        </row>
        <row r="287">
          <cell r="A287">
            <v>92931</v>
          </cell>
          <cell r="B287" t="str">
            <v>CITY OF LEXINGTON</v>
          </cell>
          <cell r="C287">
            <v>2.2504999999999999E-3</v>
          </cell>
          <cell r="D287"/>
          <cell r="E287">
            <v>337141</v>
          </cell>
          <cell r="F287">
            <v>317140</v>
          </cell>
          <cell r="G287">
            <v>284249</v>
          </cell>
          <cell r="H287">
            <v>113810</v>
          </cell>
          <cell r="I287">
            <v>0</v>
          </cell>
        </row>
        <row r="288">
          <cell r="A288">
            <v>92941</v>
          </cell>
          <cell r="B288" t="str">
            <v>TOWN OF MIDWAY</v>
          </cell>
          <cell r="C288">
            <v>4.1999999999999996E-6</v>
          </cell>
          <cell r="D288"/>
          <cell r="E288">
            <v>629</v>
          </cell>
          <cell r="F288">
            <v>592</v>
          </cell>
          <cell r="G288">
            <v>530</v>
          </cell>
          <cell r="H288">
            <v>212</v>
          </cell>
          <cell r="I288">
            <v>0</v>
          </cell>
        </row>
        <row r="289">
          <cell r="A289">
            <v>93001</v>
          </cell>
          <cell r="B289" t="str">
            <v>DAVIE COUNTY</v>
          </cell>
          <cell r="C289">
            <v>2.2536000000000001E-3</v>
          </cell>
          <cell r="D289"/>
          <cell r="E289">
            <v>337605</v>
          </cell>
          <cell r="F289">
            <v>317577</v>
          </cell>
          <cell r="G289">
            <v>284641</v>
          </cell>
          <cell r="H289">
            <v>113967</v>
          </cell>
          <cell r="I289">
            <v>0</v>
          </cell>
        </row>
        <row r="290">
          <cell r="A290">
            <v>93009</v>
          </cell>
          <cell r="B290" t="str">
            <v>DAVIE SOIL AND WATER CONSERVATION DIST</v>
          </cell>
          <cell r="C290">
            <v>1.2799999999999999E-5</v>
          </cell>
          <cell r="D290"/>
          <cell r="E290">
            <v>1918</v>
          </cell>
          <cell r="F290">
            <v>1804</v>
          </cell>
          <cell r="G290">
            <v>1617</v>
          </cell>
          <cell r="H290">
            <v>647</v>
          </cell>
          <cell r="I290">
            <v>0</v>
          </cell>
        </row>
        <row r="291">
          <cell r="A291">
            <v>93011</v>
          </cell>
          <cell r="B291" t="str">
            <v>TOWN OF MOCKSVILLE</v>
          </cell>
          <cell r="C291">
            <v>3.0909999999999998E-4</v>
          </cell>
          <cell r="D291"/>
          <cell r="E291">
            <v>46305</v>
          </cell>
          <cell r="F291">
            <v>43558</v>
          </cell>
          <cell r="G291">
            <v>39041</v>
          </cell>
          <cell r="H291">
            <v>15631</v>
          </cell>
          <cell r="I291">
            <v>0</v>
          </cell>
        </row>
        <row r="292">
          <cell r="A292">
            <v>93021</v>
          </cell>
          <cell r="B292" t="str">
            <v>TOWN OF BERMUDA RUN</v>
          </cell>
          <cell r="C292">
            <v>3.0499999999999999E-5</v>
          </cell>
          <cell r="D292"/>
          <cell r="E292">
            <v>4569</v>
          </cell>
          <cell r="F292">
            <v>4298</v>
          </cell>
          <cell r="G292">
            <v>3852</v>
          </cell>
          <cell r="H292">
            <v>1542</v>
          </cell>
          <cell r="I292">
            <v>0</v>
          </cell>
        </row>
        <row r="293">
          <cell r="A293">
            <v>93027</v>
          </cell>
          <cell r="B293" t="str">
            <v>COOLEEMEE ABC BOARD</v>
          </cell>
          <cell r="C293">
            <v>0</v>
          </cell>
          <cell r="D293"/>
          <cell r="E293">
            <v>0</v>
          </cell>
          <cell r="F293">
            <v>0</v>
          </cell>
          <cell r="G293">
            <v>0</v>
          </cell>
          <cell r="H293">
            <v>0</v>
          </cell>
          <cell r="I293">
            <v>0</v>
          </cell>
        </row>
        <row r="294">
          <cell r="A294">
            <v>93028</v>
          </cell>
          <cell r="B294" t="str">
            <v>MOCKSVILLE-COOLEEMEE ABC BOARD</v>
          </cell>
          <cell r="C294">
            <v>0</v>
          </cell>
          <cell r="D294"/>
          <cell r="E294">
            <v>0</v>
          </cell>
          <cell r="F294">
            <v>0</v>
          </cell>
          <cell r="G294">
            <v>0</v>
          </cell>
          <cell r="H294">
            <v>0</v>
          </cell>
          <cell r="I294">
            <v>0</v>
          </cell>
        </row>
        <row r="295">
          <cell r="A295">
            <v>93031</v>
          </cell>
          <cell r="B295" t="str">
            <v>TOWN OF COOLEEMEE</v>
          </cell>
          <cell r="C295">
            <v>7.7000000000000008E-6</v>
          </cell>
          <cell r="D295"/>
          <cell r="E295">
            <v>1154</v>
          </cell>
          <cell r="F295">
            <v>1085</v>
          </cell>
          <cell r="G295">
            <v>973</v>
          </cell>
          <cell r="H295">
            <v>389</v>
          </cell>
          <cell r="I295">
            <v>0</v>
          </cell>
        </row>
        <row r="296">
          <cell r="A296">
            <v>93101</v>
          </cell>
          <cell r="B296" t="str">
            <v>DUPLIN COUNTY</v>
          </cell>
          <cell r="C296">
            <v>3.1914999999999999E-3</v>
          </cell>
          <cell r="D296"/>
          <cell r="E296">
            <v>478109</v>
          </cell>
          <cell r="F296">
            <v>449746</v>
          </cell>
          <cell r="G296">
            <v>403102</v>
          </cell>
          <cell r="H296">
            <v>161397</v>
          </cell>
          <cell r="I296">
            <v>0</v>
          </cell>
        </row>
        <row r="297">
          <cell r="A297">
            <v>93103</v>
          </cell>
          <cell r="B297" t="str">
            <v>DUPLIN COUNTY TOURISM DEVELOPMENT AUTHORITY</v>
          </cell>
          <cell r="C297">
            <v>1.56E-5</v>
          </cell>
          <cell r="D297"/>
          <cell r="E297">
            <v>2337</v>
          </cell>
          <cell r="F297">
            <v>2198</v>
          </cell>
          <cell r="G297">
            <v>1970</v>
          </cell>
          <cell r="H297">
            <v>789</v>
          </cell>
          <cell r="I297">
            <v>0</v>
          </cell>
        </row>
        <row r="298">
          <cell r="A298">
            <v>93108</v>
          </cell>
          <cell r="B298" t="str">
            <v>EASTPOINTE HUMAN SERVICES</v>
          </cell>
          <cell r="C298">
            <v>2.2694E-3</v>
          </cell>
          <cell r="D298"/>
          <cell r="E298">
            <v>339972</v>
          </cell>
          <cell r="F298">
            <v>319804</v>
          </cell>
          <cell r="G298">
            <v>286637</v>
          </cell>
          <cell r="H298">
            <v>114766</v>
          </cell>
          <cell r="I298">
            <v>0</v>
          </cell>
        </row>
        <row r="299">
          <cell r="A299">
            <v>93111</v>
          </cell>
          <cell r="B299" t="str">
            <v>TOWN OF BEULAVILLE</v>
          </cell>
          <cell r="C299">
            <v>5.8199999999999998E-5</v>
          </cell>
          <cell r="D299"/>
          <cell r="E299">
            <v>8719</v>
          </cell>
          <cell r="F299">
            <v>8202</v>
          </cell>
          <cell r="G299">
            <v>7351</v>
          </cell>
          <cell r="H299">
            <v>2943</v>
          </cell>
          <cell r="I299">
            <v>0</v>
          </cell>
        </row>
        <row r="300">
          <cell r="A300">
            <v>93121</v>
          </cell>
          <cell r="B300" t="str">
            <v>TOWN OF KENANSVILLE</v>
          </cell>
          <cell r="C300">
            <v>6.2199999999999994E-5</v>
          </cell>
          <cell r="D300"/>
          <cell r="E300">
            <v>9318</v>
          </cell>
          <cell r="F300">
            <v>8765</v>
          </cell>
          <cell r="G300">
            <v>7856</v>
          </cell>
          <cell r="H300">
            <v>3146</v>
          </cell>
          <cell r="I300">
            <v>0</v>
          </cell>
        </row>
        <row r="301">
          <cell r="A301">
            <v>93127</v>
          </cell>
          <cell r="B301" t="str">
            <v>KENANSVILLE ABC BOARD</v>
          </cell>
          <cell r="C301">
            <v>5.9000000000000003E-6</v>
          </cell>
          <cell r="D301"/>
          <cell r="E301">
            <v>884</v>
          </cell>
          <cell r="F301">
            <v>831</v>
          </cell>
          <cell r="G301">
            <v>745</v>
          </cell>
          <cell r="H301">
            <v>298</v>
          </cell>
          <cell r="I301">
            <v>0</v>
          </cell>
        </row>
        <row r="302">
          <cell r="A302">
            <v>93131</v>
          </cell>
          <cell r="B302" t="str">
            <v>TOWN OF WARSAW</v>
          </cell>
          <cell r="C302">
            <v>1.7799999999999999E-4</v>
          </cell>
          <cell r="D302"/>
          <cell r="E302">
            <v>26666</v>
          </cell>
          <cell r="F302">
            <v>25084</v>
          </cell>
          <cell r="G302">
            <v>22482</v>
          </cell>
          <cell r="H302">
            <v>9002</v>
          </cell>
          <cell r="I302">
            <v>0</v>
          </cell>
        </row>
        <row r="303">
          <cell r="A303">
            <v>93137</v>
          </cell>
          <cell r="B303" t="str">
            <v>WARSAW ABC BOARD</v>
          </cell>
          <cell r="C303">
            <v>4.7999999999999998E-6</v>
          </cell>
          <cell r="D303"/>
          <cell r="E303">
            <v>719</v>
          </cell>
          <cell r="F303">
            <v>676</v>
          </cell>
          <cell r="G303">
            <v>606</v>
          </cell>
          <cell r="H303">
            <v>243</v>
          </cell>
          <cell r="I303">
            <v>0</v>
          </cell>
        </row>
        <row r="304">
          <cell r="A304">
            <v>93141</v>
          </cell>
          <cell r="B304" t="str">
            <v>TOWN OF FAISON</v>
          </cell>
          <cell r="C304">
            <v>3.2499999999999997E-5</v>
          </cell>
          <cell r="D304"/>
          <cell r="E304">
            <v>4869</v>
          </cell>
          <cell r="F304">
            <v>4580</v>
          </cell>
          <cell r="G304">
            <v>4105</v>
          </cell>
          <cell r="H304">
            <v>1644</v>
          </cell>
          <cell r="I304">
            <v>0</v>
          </cell>
        </row>
        <row r="305">
          <cell r="A305">
            <v>93151</v>
          </cell>
          <cell r="B305" t="str">
            <v>TOWN OF WALLACE</v>
          </cell>
          <cell r="C305">
            <v>3.7100000000000002E-4</v>
          </cell>
          <cell r="D305"/>
          <cell r="E305">
            <v>55578</v>
          </cell>
          <cell r="F305">
            <v>52281</v>
          </cell>
          <cell r="G305">
            <v>46859</v>
          </cell>
          <cell r="H305">
            <v>18762</v>
          </cell>
          <cell r="I305">
            <v>0</v>
          </cell>
        </row>
        <row r="306">
          <cell r="A306">
            <v>93157</v>
          </cell>
          <cell r="B306" t="str">
            <v>WALLACE ABC BD</v>
          </cell>
          <cell r="C306">
            <v>7.9000000000000006E-6</v>
          </cell>
          <cell r="D306"/>
          <cell r="E306">
            <v>1183</v>
          </cell>
          <cell r="F306">
            <v>1113</v>
          </cell>
          <cell r="G306">
            <v>998</v>
          </cell>
          <cell r="H306">
            <v>400</v>
          </cell>
          <cell r="I306">
            <v>0</v>
          </cell>
        </row>
        <row r="307">
          <cell r="A307">
            <v>93161</v>
          </cell>
          <cell r="B307" t="str">
            <v>TOWN OF ROSE HILL</v>
          </cell>
          <cell r="C307">
            <v>1.2180000000000001E-4</v>
          </cell>
          <cell r="D307"/>
          <cell r="E307">
            <v>18246</v>
          </cell>
          <cell r="F307">
            <v>17164</v>
          </cell>
          <cell r="G307">
            <v>15384</v>
          </cell>
          <cell r="H307">
            <v>6160</v>
          </cell>
          <cell r="I307">
            <v>0</v>
          </cell>
        </row>
        <row r="308">
          <cell r="A308">
            <v>93171</v>
          </cell>
          <cell r="B308" t="str">
            <v>TOWN OF CALYPSO</v>
          </cell>
          <cell r="C308">
            <v>5.3000000000000001E-6</v>
          </cell>
          <cell r="D308"/>
          <cell r="E308">
            <v>794</v>
          </cell>
          <cell r="F308">
            <v>747</v>
          </cell>
          <cell r="G308">
            <v>669</v>
          </cell>
          <cell r="H308">
            <v>268</v>
          </cell>
          <cell r="I308">
            <v>0</v>
          </cell>
        </row>
        <row r="309">
          <cell r="A309">
            <v>93181</v>
          </cell>
          <cell r="B309" t="str">
            <v>TOWN OF TEACHEY</v>
          </cell>
          <cell r="C309">
            <v>1.04E-5</v>
          </cell>
          <cell r="D309"/>
          <cell r="E309">
            <v>1558</v>
          </cell>
          <cell r="F309">
            <v>1466</v>
          </cell>
          <cell r="G309">
            <v>1314</v>
          </cell>
          <cell r="H309">
            <v>526</v>
          </cell>
          <cell r="I309">
            <v>0</v>
          </cell>
        </row>
        <row r="310">
          <cell r="A310">
            <v>93191</v>
          </cell>
          <cell r="B310" t="str">
            <v>TOWN OF MAGNOLIA</v>
          </cell>
          <cell r="C310">
            <v>2.34E-5</v>
          </cell>
          <cell r="D310"/>
          <cell r="E310">
            <v>3505</v>
          </cell>
          <cell r="F310">
            <v>3298</v>
          </cell>
          <cell r="G310">
            <v>2956</v>
          </cell>
          <cell r="H310">
            <v>1183</v>
          </cell>
          <cell r="I310">
            <v>0</v>
          </cell>
        </row>
        <row r="311">
          <cell r="A311">
            <v>93201</v>
          </cell>
          <cell r="B311" t="str">
            <v>DURHAM COUNTY</v>
          </cell>
          <cell r="C311">
            <v>1.5197799999999999E-2</v>
          </cell>
          <cell r="D311"/>
          <cell r="E311">
            <v>2276737</v>
          </cell>
          <cell r="F311">
            <v>2141674</v>
          </cell>
          <cell r="G311">
            <v>1919558</v>
          </cell>
          <cell r="H311">
            <v>768568</v>
          </cell>
          <cell r="I311">
            <v>0</v>
          </cell>
        </row>
        <row r="312">
          <cell r="A312">
            <v>93202</v>
          </cell>
          <cell r="B312" t="str">
            <v>PARKWOOD FIRE DEPARTMENT</v>
          </cell>
          <cell r="C312">
            <v>0</v>
          </cell>
          <cell r="D312"/>
          <cell r="E312">
            <v>0</v>
          </cell>
          <cell r="F312">
            <v>0</v>
          </cell>
          <cell r="G312">
            <v>0</v>
          </cell>
          <cell r="H312">
            <v>0</v>
          </cell>
          <cell r="I312">
            <v>0</v>
          </cell>
        </row>
        <row r="313">
          <cell r="A313">
            <v>93204</v>
          </cell>
          <cell r="B313" t="str">
            <v>DURHAM COUNTY ABC BOARD</v>
          </cell>
          <cell r="C313">
            <v>2.9710000000000001E-4</v>
          </cell>
          <cell r="D313"/>
          <cell r="E313">
            <v>44508</v>
          </cell>
          <cell r="F313">
            <v>41867</v>
          </cell>
          <cell r="G313">
            <v>37525</v>
          </cell>
          <cell r="H313">
            <v>15025</v>
          </cell>
          <cell r="I313">
            <v>0</v>
          </cell>
        </row>
        <row r="314">
          <cell r="A314">
            <v>93209</v>
          </cell>
          <cell r="B314" t="str">
            <v>ALLIANCE BEHAVIORAL HEALTHCRE</v>
          </cell>
          <cell r="C314">
            <v>5.5938000000000003E-3</v>
          </cell>
          <cell r="D314"/>
          <cell r="E314">
            <v>837990</v>
          </cell>
          <cell r="F314">
            <v>788278</v>
          </cell>
          <cell r="G314">
            <v>706525</v>
          </cell>
          <cell r="H314">
            <v>282884</v>
          </cell>
          <cell r="I314">
            <v>0</v>
          </cell>
        </row>
        <row r="315">
          <cell r="A315">
            <v>93211</v>
          </cell>
          <cell r="B315" t="str">
            <v>CITY OF DURHAM</v>
          </cell>
          <cell r="C315">
            <v>2.16165E-2</v>
          </cell>
          <cell r="D315"/>
          <cell r="E315">
            <v>3238303</v>
          </cell>
          <cell r="F315">
            <v>3046197</v>
          </cell>
          <cell r="G315">
            <v>2730272</v>
          </cell>
          <cell r="H315">
            <v>1093168</v>
          </cell>
          <cell r="I315">
            <v>0</v>
          </cell>
        </row>
        <row r="316">
          <cell r="A316">
            <v>93212</v>
          </cell>
          <cell r="B316" t="str">
            <v>DURHAM CONVENTION &amp; VISITORS BUREAU</v>
          </cell>
          <cell r="C316">
            <v>2.3910000000000001E-4</v>
          </cell>
          <cell r="D316"/>
          <cell r="E316">
            <v>35819</v>
          </cell>
          <cell r="F316">
            <v>33694</v>
          </cell>
          <cell r="G316">
            <v>30200</v>
          </cell>
          <cell r="H316">
            <v>12092</v>
          </cell>
          <cell r="I316">
            <v>0</v>
          </cell>
        </row>
        <row r="317">
          <cell r="A317">
            <v>93219</v>
          </cell>
          <cell r="B317" t="str">
            <v>TRIANGLE J COUNCIL OF GOVERNMENTS</v>
          </cell>
          <cell r="C317">
            <v>2.6229999999999998E-4</v>
          </cell>
          <cell r="D317"/>
          <cell r="E317">
            <v>39294</v>
          </cell>
          <cell r="F317">
            <v>36963</v>
          </cell>
          <cell r="G317">
            <v>33130</v>
          </cell>
          <cell r="H317">
            <v>13265</v>
          </cell>
          <cell r="I317">
            <v>0</v>
          </cell>
        </row>
        <row r="318">
          <cell r="A318">
            <v>93301</v>
          </cell>
          <cell r="B318" t="str">
            <v>EDGECOMBE COUNTY</v>
          </cell>
          <cell r="C318">
            <v>2.2057999999999999E-3</v>
          </cell>
          <cell r="D318"/>
          <cell r="E318">
            <v>330444</v>
          </cell>
          <cell r="F318">
            <v>310841</v>
          </cell>
          <cell r="G318">
            <v>278604</v>
          </cell>
          <cell r="H318">
            <v>111550</v>
          </cell>
          <cell r="I318">
            <v>0</v>
          </cell>
        </row>
        <row r="319">
          <cell r="A319">
            <v>93304</v>
          </cell>
          <cell r="B319" t="str">
            <v>EDGECOMBE COUNTY ABC BOARD</v>
          </cell>
          <cell r="C319">
            <v>3.9400000000000002E-5</v>
          </cell>
          <cell r="D319"/>
          <cell r="E319">
            <v>5902</v>
          </cell>
          <cell r="F319">
            <v>5552</v>
          </cell>
          <cell r="G319">
            <v>4976</v>
          </cell>
          <cell r="H319">
            <v>1992</v>
          </cell>
          <cell r="I319">
            <v>0</v>
          </cell>
        </row>
        <row r="320">
          <cell r="A320">
            <v>93305</v>
          </cell>
          <cell r="B320" t="str">
            <v>EDGECOMBE COUNTY MEMORIAL LIBRARY</v>
          </cell>
          <cell r="C320">
            <v>4.0299999999999997E-5</v>
          </cell>
          <cell r="D320"/>
          <cell r="E320">
            <v>6037</v>
          </cell>
          <cell r="F320">
            <v>5679</v>
          </cell>
          <cell r="G320">
            <v>5090</v>
          </cell>
          <cell r="H320">
            <v>2038</v>
          </cell>
          <cell r="I320">
            <v>0</v>
          </cell>
        </row>
        <row r="321">
          <cell r="A321">
            <v>93309</v>
          </cell>
          <cell r="B321" t="str">
            <v>UPPER COASTAL PLAIN COUNCIL OF GOVERNMENTS</v>
          </cell>
          <cell r="C321">
            <v>1.6239999999999999E-4</v>
          </cell>
          <cell r="D321"/>
          <cell r="E321">
            <v>24329</v>
          </cell>
          <cell r="F321">
            <v>22885</v>
          </cell>
          <cell r="G321">
            <v>20512</v>
          </cell>
          <cell r="H321">
            <v>8213</v>
          </cell>
          <cell r="I321">
            <v>0</v>
          </cell>
        </row>
        <row r="322">
          <cell r="A322">
            <v>93311</v>
          </cell>
          <cell r="B322" t="str">
            <v>TOWN OF TARBORO</v>
          </cell>
          <cell r="C322">
            <v>1.2413999999999999E-3</v>
          </cell>
          <cell r="D322"/>
          <cell r="E322">
            <v>185970</v>
          </cell>
          <cell r="F322">
            <v>174938</v>
          </cell>
          <cell r="G322">
            <v>156795</v>
          </cell>
          <cell r="H322">
            <v>62779</v>
          </cell>
          <cell r="I322">
            <v>0</v>
          </cell>
        </row>
        <row r="323">
          <cell r="A323">
            <v>93317</v>
          </cell>
          <cell r="B323" t="str">
            <v>TARBORO REDEVELOPMENT COMMISSION</v>
          </cell>
          <cell r="C323">
            <v>4.1199999999999999E-5</v>
          </cell>
          <cell r="D323"/>
          <cell r="E323">
            <v>6172</v>
          </cell>
          <cell r="F323">
            <v>5806</v>
          </cell>
          <cell r="G323">
            <v>5204</v>
          </cell>
          <cell r="H323">
            <v>2084</v>
          </cell>
          <cell r="I323">
            <v>0</v>
          </cell>
        </row>
        <row r="324">
          <cell r="A324">
            <v>93321</v>
          </cell>
          <cell r="B324" t="str">
            <v>CITY OF ROCKY MOUNT</v>
          </cell>
          <cell r="C324">
            <v>6.7971999999999998E-3</v>
          </cell>
          <cell r="D324"/>
          <cell r="E324">
            <v>1018268</v>
          </cell>
          <cell r="F324">
            <v>957861</v>
          </cell>
          <cell r="G324">
            <v>858520</v>
          </cell>
          <cell r="H324">
            <v>343741</v>
          </cell>
          <cell r="I324">
            <v>0</v>
          </cell>
        </row>
        <row r="325">
          <cell r="A325">
            <v>93323</v>
          </cell>
          <cell r="B325" t="str">
            <v>ROCKY MOUNT-WILSON AIRPORT AUTHORITY</v>
          </cell>
          <cell r="C325">
            <v>2.0100000000000001E-5</v>
          </cell>
          <cell r="D325"/>
          <cell r="E325">
            <v>3011</v>
          </cell>
          <cell r="F325">
            <v>2832</v>
          </cell>
          <cell r="G325">
            <v>2539</v>
          </cell>
          <cell r="H325">
            <v>1016</v>
          </cell>
          <cell r="I325">
            <v>0</v>
          </cell>
        </row>
        <row r="326">
          <cell r="A326">
            <v>93331</v>
          </cell>
          <cell r="B326" t="str">
            <v>TOWN OF PINETOPS</v>
          </cell>
          <cell r="C326">
            <v>1.161E-4</v>
          </cell>
          <cell r="D326"/>
          <cell r="E326">
            <v>17393</v>
          </cell>
          <cell r="F326">
            <v>16361</v>
          </cell>
          <cell r="G326">
            <v>14664</v>
          </cell>
          <cell r="H326">
            <v>5871</v>
          </cell>
          <cell r="I326">
            <v>0</v>
          </cell>
        </row>
        <row r="327">
          <cell r="A327">
            <v>93333</v>
          </cell>
          <cell r="B327" t="str">
            <v>ROCKY MT HOUSING AUTHORITY</v>
          </cell>
          <cell r="C327">
            <v>1.6660000000000001E-4</v>
          </cell>
          <cell r="D327"/>
          <cell r="E327">
            <v>24958</v>
          </cell>
          <cell r="F327">
            <v>23477</v>
          </cell>
          <cell r="G327">
            <v>21042</v>
          </cell>
          <cell r="H327">
            <v>8425</v>
          </cell>
          <cell r="I327">
            <v>0</v>
          </cell>
        </row>
        <row r="328">
          <cell r="A328">
            <v>93341</v>
          </cell>
          <cell r="B328" t="str">
            <v>TOWN OF MACCLESFIELD</v>
          </cell>
          <cell r="C328">
            <v>2.9300000000000001E-5</v>
          </cell>
          <cell r="D328"/>
          <cell r="E328">
            <v>4389</v>
          </cell>
          <cell r="F328">
            <v>4129</v>
          </cell>
          <cell r="G328">
            <v>3701</v>
          </cell>
          <cell r="H328">
            <v>1482</v>
          </cell>
          <cell r="I328">
            <v>0</v>
          </cell>
        </row>
        <row r="329">
          <cell r="A329">
            <v>93351</v>
          </cell>
          <cell r="B329" t="str">
            <v>TOWN OF PRINCEVILLE</v>
          </cell>
          <cell r="C329">
            <v>3.1600000000000002E-5</v>
          </cell>
          <cell r="D329"/>
          <cell r="E329">
            <v>4734</v>
          </cell>
          <cell r="F329">
            <v>4453</v>
          </cell>
          <cell r="G329">
            <v>3991</v>
          </cell>
          <cell r="H329">
            <v>1598</v>
          </cell>
          <cell r="I329">
            <v>0</v>
          </cell>
        </row>
        <row r="330">
          <cell r="A330">
            <v>93401</v>
          </cell>
          <cell r="B330" t="str">
            <v>FORSYTH COUNTY</v>
          </cell>
          <cell r="C330">
            <v>1.3690799999999999E-2</v>
          </cell>
          <cell r="D330"/>
          <cell r="E330">
            <v>2050978</v>
          </cell>
          <cell r="F330">
            <v>1929308</v>
          </cell>
          <cell r="G330">
            <v>1729216</v>
          </cell>
          <cell r="H330">
            <v>692357</v>
          </cell>
          <cell r="I330">
            <v>0</v>
          </cell>
        </row>
        <row r="331">
          <cell r="A331">
            <v>93402</v>
          </cell>
          <cell r="B331" t="str">
            <v>AIRPORT COMMISSION OF FORSYTH COUNTY</v>
          </cell>
          <cell r="C331">
            <v>0</v>
          </cell>
          <cell r="D331"/>
          <cell r="E331">
            <v>0</v>
          </cell>
          <cell r="F331">
            <v>0</v>
          </cell>
          <cell r="G331">
            <v>0</v>
          </cell>
          <cell r="H331">
            <v>0</v>
          </cell>
          <cell r="I331">
            <v>0</v>
          </cell>
        </row>
        <row r="332">
          <cell r="A332">
            <v>93406</v>
          </cell>
          <cell r="B332" t="str">
            <v>PIEDMONT TRIAD REGIONAL COUNCIL</v>
          </cell>
          <cell r="C332">
            <v>4.9350000000000002E-4</v>
          </cell>
          <cell r="D332"/>
          <cell r="E332">
            <v>73930</v>
          </cell>
          <cell r="F332">
            <v>69544</v>
          </cell>
          <cell r="G332">
            <v>62332</v>
          </cell>
          <cell r="H332">
            <v>24957</v>
          </cell>
          <cell r="I332">
            <v>0</v>
          </cell>
        </row>
        <row r="333">
          <cell r="A333">
            <v>93408</v>
          </cell>
          <cell r="B333" t="str">
            <v>CENTERPOINT HUMAN SERVICES</v>
          </cell>
          <cell r="C333">
            <v>0</v>
          </cell>
          <cell r="D333"/>
          <cell r="E333">
            <v>0</v>
          </cell>
          <cell r="F333">
            <v>0</v>
          </cell>
          <cell r="G333">
            <v>0</v>
          </cell>
          <cell r="H333">
            <v>0</v>
          </cell>
          <cell r="I333">
            <v>0</v>
          </cell>
        </row>
        <row r="334">
          <cell r="A334">
            <v>93411</v>
          </cell>
          <cell r="B334" t="str">
            <v>CITY OF WINSTON-SALEM</v>
          </cell>
          <cell r="C334">
            <v>1.77345E-2</v>
          </cell>
          <cell r="D334"/>
          <cell r="E334">
            <v>2656752</v>
          </cell>
          <cell r="F334">
            <v>2499146</v>
          </cell>
          <cell r="G334">
            <v>2239956</v>
          </cell>
          <cell r="H334">
            <v>896851</v>
          </cell>
          <cell r="I334">
            <v>0</v>
          </cell>
        </row>
        <row r="335">
          <cell r="A335">
            <v>93413</v>
          </cell>
          <cell r="B335" t="str">
            <v>WINSTON-SALEM HOUSING AUTHORITY</v>
          </cell>
          <cell r="C335">
            <v>6.9559999999999999E-4</v>
          </cell>
          <cell r="D335"/>
          <cell r="E335">
            <v>104206</v>
          </cell>
          <cell r="F335">
            <v>98024</v>
          </cell>
          <cell r="G335">
            <v>87858</v>
          </cell>
          <cell r="H335">
            <v>35177</v>
          </cell>
          <cell r="I335">
            <v>0</v>
          </cell>
        </row>
        <row r="336">
          <cell r="A336">
            <v>93417</v>
          </cell>
          <cell r="B336" t="str">
            <v>TRIAD MUNICIPAL ABC BOARD</v>
          </cell>
          <cell r="C336">
            <v>2.8659999999999997E-4</v>
          </cell>
          <cell r="D336"/>
          <cell r="E336">
            <v>42935</v>
          </cell>
          <cell r="F336">
            <v>40388</v>
          </cell>
          <cell r="G336">
            <v>36199</v>
          </cell>
          <cell r="H336">
            <v>14494</v>
          </cell>
          <cell r="I336">
            <v>0</v>
          </cell>
        </row>
        <row r="337">
          <cell r="A337">
            <v>93421</v>
          </cell>
          <cell r="B337" t="str">
            <v>TOWN OF KERNERSVILLE</v>
          </cell>
          <cell r="C337">
            <v>2.0569E-3</v>
          </cell>
          <cell r="D337"/>
          <cell r="E337">
            <v>308138</v>
          </cell>
          <cell r="F337">
            <v>289858</v>
          </cell>
          <cell r="G337">
            <v>259797</v>
          </cell>
          <cell r="H337">
            <v>104019</v>
          </cell>
          <cell r="I337">
            <v>0</v>
          </cell>
        </row>
        <row r="338">
          <cell r="A338">
            <v>93431</v>
          </cell>
          <cell r="B338" t="str">
            <v>TOWN OF RURAL HALL</v>
          </cell>
          <cell r="C338">
            <v>1.381E-4</v>
          </cell>
          <cell r="D338"/>
          <cell r="E338">
            <v>20688</v>
          </cell>
          <cell r="F338">
            <v>19461</v>
          </cell>
          <cell r="G338">
            <v>17443</v>
          </cell>
          <cell r="H338">
            <v>6984</v>
          </cell>
          <cell r="I338">
            <v>0</v>
          </cell>
        </row>
        <row r="339">
          <cell r="A339">
            <v>93441</v>
          </cell>
          <cell r="B339" t="str">
            <v>VILLAGE OF CLEMMONS</v>
          </cell>
          <cell r="C339">
            <v>1.6559999999999999E-4</v>
          </cell>
          <cell r="D339"/>
          <cell r="E339">
            <v>24808</v>
          </cell>
          <cell r="F339">
            <v>23336</v>
          </cell>
          <cell r="G339">
            <v>20916</v>
          </cell>
          <cell r="H339">
            <v>8375</v>
          </cell>
          <cell r="I339">
            <v>0</v>
          </cell>
        </row>
        <row r="340">
          <cell r="A340">
            <v>93442</v>
          </cell>
          <cell r="B340" t="str">
            <v>CLEMMONS FIRE DEPARTMENT</v>
          </cell>
          <cell r="C340">
            <v>1.561E-4</v>
          </cell>
          <cell r="D340"/>
          <cell r="E340">
            <v>23385</v>
          </cell>
          <cell r="F340">
            <v>21998</v>
          </cell>
          <cell r="G340">
            <v>19716</v>
          </cell>
          <cell r="H340">
            <v>7894</v>
          </cell>
          <cell r="I340">
            <v>0</v>
          </cell>
        </row>
        <row r="341">
          <cell r="A341">
            <v>93451</v>
          </cell>
          <cell r="B341" t="str">
            <v>TOWN OF LEWISVILLE</v>
          </cell>
          <cell r="C341">
            <v>6.6600000000000006E-5</v>
          </cell>
          <cell r="D341"/>
          <cell r="E341">
            <v>9977</v>
          </cell>
          <cell r="F341">
            <v>9385</v>
          </cell>
          <cell r="G341">
            <v>8412</v>
          </cell>
          <cell r="H341">
            <v>3368</v>
          </cell>
          <cell r="I341">
            <v>0</v>
          </cell>
        </row>
        <row r="342">
          <cell r="A342">
            <v>93461</v>
          </cell>
          <cell r="B342" t="str">
            <v>TOWN OF WALKERTOWN</v>
          </cell>
          <cell r="C342">
            <v>1.5500000000000001E-5</v>
          </cell>
          <cell r="D342"/>
          <cell r="E342">
            <v>2322</v>
          </cell>
          <cell r="F342">
            <v>2184</v>
          </cell>
          <cell r="G342">
            <v>1958</v>
          </cell>
          <cell r="H342">
            <v>784</v>
          </cell>
          <cell r="I342">
            <v>0</v>
          </cell>
        </row>
        <row r="343">
          <cell r="A343">
            <v>93471</v>
          </cell>
          <cell r="B343" t="str">
            <v>VILLAGE OF TOBACCOVILLE</v>
          </cell>
          <cell r="C343">
            <v>1.1399999999999999E-5</v>
          </cell>
          <cell r="D343"/>
          <cell r="E343">
            <v>1708</v>
          </cell>
          <cell r="F343">
            <v>1606</v>
          </cell>
          <cell r="G343">
            <v>1440</v>
          </cell>
          <cell r="H343">
            <v>577</v>
          </cell>
          <cell r="I343">
            <v>0</v>
          </cell>
        </row>
        <row r="344">
          <cell r="A344">
            <v>93501</v>
          </cell>
          <cell r="B344" t="str">
            <v>FRANKLIN COUNTY</v>
          </cell>
          <cell r="C344">
            <v>3.8463999999999998E-3</v>
          </cell>
          <cell r="D344"/>
          <cell r="E344">
            <v>576218</v>
          </cell>
          <cell r="F344">
            <v>542035</v>
          </cell>
          <cell r="G344">
            <v>485820</v>
          </cell>
          <cell r="H344">
            <v>194516</v>
          </cell>
          <cell r="I344">
            <v>0</v>
          </cell>
        </row>
        <row r="345">
          <cell r="A345">
            <v>93511</v>
          </cell>
          <cell r="B345" t="str">
            <v>TOWN OF FRANKLINTON</v>
          </cell>
          <cell r="C345">
            <v>8.7899999999999995E-5</v>
          </cell>
          <cell r="D345"/>
          <cell r="E345">
            <v>13168</v>
          </cell>
          <cell r="F345">
            <v>12387</v>
          </cell>
          <cell r="G345">
            <v>11102</v>
          </cell>
          <cell r="H345">
            <v>4445</v>
          </cell>
          <cell r="I345">
            <v>0</v>
          </cell>
        </row>
        <row r="346">
          <cell r="A346">
            <v>93517</v>
          </cell>
          <cell r="B346" t="str">
            <v>FRANKLINTON ABC BOARD</v>
          </cell>
          <cell r="C346">
            <v>4.3000000000000003E-6</v>
          </cell>
          <cell r="D346"/>
          <cell r="E346">
            <v>644</v>
          </cell>
          <cell r="F346">
            <v>606</v>
          </cell>
          <cell r="G346">
            <v>543</v>
          </cell>
          <cell r="H346">
            <v>217</v>
          </cell>
          <cell r="I346">
            <v>0</v>
          </cell>
        </row>
        <row r="347">
          <cell r="A347">
            <v>93521</v>
          </cell>
          <cell r="B347" t="str">
            <v>TOWN OF LOUISBURG</v>
          </cell>
          <cell r="C347">
            <v>4.7340000000000001E-4</v>
          </cell>
          <cell r="D347"/>
          <cell r="E347">
            <v>70919</v>
          </cell>
          <cell r="F347">
            <v>66712</v>
          </cell>
          <cell r="G347">
            <v>59793</v>
          </cell>
          <cell r="H347">
            <v>23940</v>
          </cell>
          <cell r="I347">
            <v>0</v>
          </cell>
        </row>
        <row r="348">
          <cell r="A348">
            <v>93527</v>
          </cell>
          <cell r="B348" t="str">
            <v>LOUISBURG ABC BOARD</v>
          </cell>
          <cell r="C348">
            <v>9.5999999999999996E-6</v>
          </cell>
          <cell r="D348"/>
          <cell r="E348">
            <v>1438</v>
          </cell>
          <cell r="F348">
            <v>1353</v>
          </cell>
          <cell r="G348">
            <v>1213</v>
          </cell>
          <cell r="H348">
            <v>485</v>
          </cell>
          <cell r="I348">
            <v>0</v>
          </cell>
        </row>
        <row r="349">
          <cell r="A349">
            <v>93531</v>
          </cell>
          <cell r="B349" t="str">
            <v>TOWN OF BUNN</v>
          </cell>
          <cell r="C349">
            <v>2.23E-5</v>
          </cell>
          <cell r="D349"/>
          <cell r="E349">
            <v>3341</v>
          </cell>
          <cell r="F349">
            <v>3143</v>
          </cell>
          <cell r="G349">
            <v>2817</v>
          </cell>
          <cell r="H349">
            <v>1128</v>
          </cell>
          <cell r="I349">
            <v>0</v>
          </cell>
        </row>
        <row r="350">
          <cell r="A350">
            <v>93537</v>
          </cell>
          <cell r="B350" t="str">
            <v>ABC BOARD - TOWN OF BUNN</v>
          </cell>
          <cell r="C350">
            <v>1.08E-5</v>
          </cell>
          <cell r="D350"/>
          <cell r="E350">
            <v>1618</v>
          </cell>
          <cell r="F350">
            <v>1522</v>
          </cell>
          <cell r="G350">
            <v>1364</v>
          </cell>
          <cell r="H350">
            <v>546</v>
          </cell>
          <cell r="I350">
            <v>0</v>
          </cell>
        </row>
        <row r="351">
          <cell r="A351">
            <v>93541</v>
          </cell>
          <cell r="B351" t="str">
            <v>TOWN OF YOUNGSVILLE</v>
          </cell>
          <cell r="C351">
            <v>9.9699999999999998E-5</v>
          </cell>
          <cell r="D351"/>
          <cell r="E351">
            <v>14936</v>
          </cell>
          <cell r="F351">
            <v>14050</v>
          </cell>
          <cell r="G351">
            <v>12593</v>
          </cell>
          <cell r="H351">
            <v>5042</v>
          </cell>
          <cell r="I351">
            <v>0</v>
          </cell>
        </row>
        <row r="352">
          <cell r="A352">
            <v>93601</v>
          </cell>
          <cell r="B352" t="str">
            <v>GASTON COUNTY</v>
          </cell>
          <cell r="C352">
            <v>1.1220300000000001E-2</v>
          </cell>
          <cell r="D352"/>
          <cell r="E352">
            <v>1680879</v>
          </cell>
          <cell r="F352">
            <v>1581165</v>
          </cell>
          <cell r="G352">
            <v>1417180</v>
          </cell>
          <cell r="H352">
            <v>567422</v>
          </cell>
          <cell r="I352">
            <v>0</v>
          </cell>
        </row>
        <row r="353">
          <cell r="A353">
            <v>93602</v>
          </cell>
          <cell r="B353" t="str">
            <v>TOWN OF STANLEY</v>
          </cell>
          <cell r="C353">
            <v>1.918E-4</v>
          </cell>
          <cell r="D353"/>
          <cell r="E353">
            <v>28733</v>
          </cell>
          <cell r="F353">
            <v>27028</v>
          </cell>
          <cell r="G353">
            <v>24225</v>
          </cell>
          <cell r="H353">
            <v>9700</v>
          </cell>
          <cell r="I353">
            <v>0</v>
          </cell>
        </row>
        <row r="354">
          <cell r="A354">
            <v>93604</v>
          </cell>
          <cell r="B354" t="str">
            <v>CRAMERTON ABC BOARD</v>
          </cell>
          <cell r="C354">
            <v>2.6400000000000001E-5</v>
          </cell>
          <cell r="D354"/>
          <cell r="E354">
            <v>3955</v>
          </cell>
          <cell r="F354">
            <v>3720</v>
          </cell>
          <cell r="G354">
            <v>3334</v>
          </cell>
          <cell r="H354">
            <v>1335</v>
          </cell>
          <cell r="I354">
            <v>0</v>
          </cell>
        </row>
        <row r="355">
          <cell r="A355">
            <v>93609</v>
          </cell>
          <cell r="B355" t="str">
            <v>PARTNERS BEHAVIORAL HEALTH MANAGEMENT</v>
          </cell>
          <cell r="C355">
            <v>3.7919E-3</v>
          </cell>
          <cell r="D355"/>
          <cell r="E355">
            <v>568053</v>
          </cell>
          <cell r="F355">
            <v>534355</v>
          </cell>
          <cell r="G355">
            <v>478936</v>
          </cell>
          <cell r="H355">
            <v>191760</v>
          </cell>
          <cell r="I355">
            <v>0</v>
          </cell>
        </row>
        <row r="356">
          <cell r="A356">
            <v>93610</v>
          </cell>
          <cell r="B356" t="str">
            <v>TOWN OF MCADENVILLE</v>
          </cell>
          <cell r="C356">
            <v>1.63E-5</v>
          </cell>
          <cell r="D356"/>
          <cell r="E356">
            <v>2442</v>
          </cell>
          <cell r="F356">
            <v>2297</v>
          </cell>
          <cell r="G356">
            <v>2059</v>
          </cell>
          <cell r="H356">
            <v>824</v>
          </cell>
          <cell r="I356">
            <v>0</v>
          </cell>
        </row>
        <row r="357">
          <cell r="A357">
            <v>93611</v>
          </cell>
          <cell r="B357" t="str">
            <v>CITY OF GASTONIA</v>
          </cell>
          <cell r="C357">
            <v>6.9186999999999999E-3</v>
          </cell>
          <cell r="D357"/>
          <cell r="E357">
            <v>1036470</v>
          </cell>
          <cell r="F357">
            <v>974983</v>
          </cell>
          <cell r="G357">
            <v>873866</v>
          </cell>
          <cell r="H357">
            <v>349886</v>
          </cell>
          <cell r="I357">
            <v>0</v>
          </cell>
        </row>
        <row r="358">
          <cell r="A358">
            <v>93617</v>
          </cell>
          <cell r="B358" t="str">
            <v>GASTONIA ABC BOARD</v>
          </cell>
          <cell r="C358">
            <v>7.8899999999999993E-5</v>
          </cell>
          <cell r="D358"/>
          <cell r="E358">
            <v>11820</v>
          </cell>
          <cell r="F358">
            <v>11119</v>
          </cell>
          <cell r="G358">
            <v>9965</v>
          </cell>
          <cell r="H358">
            <v>3990</v>
          </cell>
          <cell r="I358">
            <v>0</v>
          </cell>
        </row>
        <row r="359">
          <cell r="A359">
            <v>93618</v>
          </cell>
          <cell r="B359" t="str">
            <v>GASTON COUNTY ECONOMIC DEV. COMMISSION</v>
          </cell>
          <cell r="C359">
            <v>9.5000000000000005E-6</v>
          </cell>
          <cell r="D359"/>
          <cell r="E359">
            <v>1423</v>
          </cell>
          <cell r="F359">
            <v>1339</v>
          </cell>
          <cell r="G359">
            <v>1200</v>
          </cell>
          <cell r="H359">
            <v>480</v>
          </cell>
          <cell r="I359">
            <v>0</v>
          </cell>
        </row>
        <row r="360">
          <cell r="A360">
            <v>93621</v>
          </cell>
          <cell r="B360" t="str">
            <v>CITY OF BELMONT</v>
          </cell>
          <cell r="C360">
            <v>1.0563E-3</v>
          </cell>
          <cell r="D360"/>
          <cell r="E360">
            <v>158241</v>
          </cell>
          <cell r="F360">
            <v>148854</v>
          </cell>
          <cell r="G360">
            <v>133416</v>
          </cell>
          <cell r="H360">
            <v>53418</v>
          </cell>
          <cell r="I360">
            <v>0</v>
          </cell>
        </row>
        <row r="361">
          <cell r="A361">
            <v>93623</v>
          </cell>
          <cell r="B361" t="str">
            <v>BELMONT HOUSING AUTHORITY</v>
          </cell>
          <cell r="C361">
            <v>1.1E-5</v>
          </cell>
          <cell r="D361"/>
          <cell r="E361">
            <v>1648</v>
          </cell>
          <cell r="F361">
            <v>1550</v>
          </cell>
          <cell r="G361">
            <v>1389</v>
          </cell>
          <cell r="H361">
            <v>556</v>
          </cell>
          <cell r="I361">
            <v>0</v>
          </cell>
        </row>
        <row r="362">
          <cell r="A362">
            <v>93631</v>
          </cell>
          <cell r="B362" t="str">
            <v>TOWN OF CRAMERTON</v>
          </cell>
          <cell r="C362">
            <v>2.4130000000000001E-4</v>
          </cell>
          <cell r="D362"/>
          <cell r="E362">
            <v>36148</v>
          </cell>
          <cell r="F362">
            <v>34004</v>
          </cell>
          <cell r="G362">
            <v>30477</v>
          </cell>
          <cell r="H362">
            <v>12203</v>
          </cell>
          <cell r="I362">
            <v>0</v>
          </cell>
        </row>
        <row r="363">
          <cell r="A363">
            <v>93641</v>
          </cell>
          <cell r="B363" t="str">
            <v>CITY OF CHERRYVILLE</v>
          </cell>
          <cell r="C363">
            <v>3.7300000000000001E-4</v>
          </cell>
          <cell r="D363"/>
          <cell r="E363">
            <v>55878</v>
          </cell>
          <cell r="F363">
            <v>52563</v>
          </cell>
          <cell r="G363">
            <v>47112</v>
          </cell>
          <cell r="H363">
            <v>18863</v>
          </cell>
          <cell r="I363">
            <v>0</v>
          </cell>
        </row>
        <row r="364">
          <cell r="A364">
            <v>93647</v>
          </cell>
          <cell r="B364" t="str">
            <v>CHERRYVILLE ABC BOARD</v>
          </cell>
          <cell r="C364">
            <v>5.2000000000000002E-6</v>
          </cell>
          <cell r="D364"/>
          <cell r="E364">
            <v>779</v>
          </cell>
          <cell r="F364">
            <v>733</v>
          </cell>
          <cell r="G364">
            <v>657</v>
          </cell>
          <cell r="H364">
            <v>263</v>
          </cell>
          <cell r="I364">
            <v>0</v>
          </cell>
        </row>
        <row r="365">
          <cell r="A365">
            <v>93651</v>
          </cell>
          <cell r="B365" t="str">
            <v>TOWN OF DALLAS</v>
          </cell>
          <cell r="C365">
            <v>4.3790000000000002E-4</v>
          </cell>
          <cell r="D365"/>
          <cell r="E365">
            <v>65600</v>
          </cell>
          <cell r="F365">
            <v>61709</v>
          </cell>
          <cell r="G365">
            <v>55309</v>
          </cell>
          <cell r="H365">
            <v>22145</v>
          </cell>
          <cell r="I365">
            <v>0</v>
          </cell>
        </row>
        <row r="366">
          <cell r="A366">
            <v>93661</v>
          </cell>
          <cell r="B366" t="str">
            <v>CITY OF LOWELL</v>
          </cell>
          <cell r="C366">
            <v>1.2850000000000001E-4</v>
          </cell>
          <cell r="D366"/>
          <cell r="E366">
            <v>19250</v>
          </cell>
          <cell r="F366">
            <v>18108</v>
          </cell>
          <cell r="G366">
            <v>16230</v>
          </cell>
          <cell r="H366">
            <v>6498</v>
          </cell>
          <cell r="I366">
            <v>0</v>
          </cell>
        </row>
        <row r="367">
          <cell r="A367">
            <v>93671</v>
          </cell>
          <cell r="B367" t="str">
            <v>BESSEMER CITY</v>
          </cell>
          <cell r="C367">
            <v>3.4840000000000001E-4</v>
          </cell>
          <cell r="D367"/>
          <cell r="E367">
            <v>52193</v>
          </cell>
          <cell r="F367">
            <v>49097</v>
          </cell>
          <cell r="G367">
            <v>44005</v>
          </cell>
          <cell r="H367">
            <v>17619</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19235</v>
          </cell>
          <cell r="F369">
            <v>18094</v>
          </cell>
          <cell r="G369">
            <v>16218</v>
          </cell>
          <cell r="H369">
            <v>6493</v>
          </cell>
          <cell r="I369">
            <v>0</v>
          </cell>
        </row>
        <row r="370">
          <cell r="A370">
            <v>93691</v>
          </cell>
          <cell r="B370" t="str">
            <v>CITY OF MOUNT HOLLY</v>
          </cell>
          <cell r="C370">
            <v>1.0889999999999999E-3</v>
          </cell>
          <cell r="D370"/>
          <cell r="E370">
            <v>163140</v>
          </cell>
          <cell r="F370">
            <v>153462</v>
          </cell>
          <cell r="G370">
            <v>137546</v>
          </cell>
          <cell r="H370">
            <v>55072</v>
          </cell>
          <cell r="I370">
            <v>0</v>
          </cell>
        </row>
        <row r="371">
          <cell r="A371">
            <v>93701</v>
          </cell>
          <cell r="B371" t="str">
            <v>COUNTY OF GATES</v>
          </cell>
          <cell r="C371">
            <v>4.3600000000000003E-4</v>
          </cell>
          <cell r="D371"/>
          <cell r="E371">
            <v>65316</v>
          </cell>
          <cell r="F371">
            <v>61441</v>
          </cell>
          <cell r="G371">
            <v>55069</v>
          </cell>
          <cell r="H371">
            <v>22049</v>
          </cell>
          <cell r="I371">
            <v>0</v>
          </cell>
        </row>
        <row r="372">
          <cell r="A372">
            <v>93704</v>
          </cell>
          <cell r="B372" t="str">
            <v>GATES COUNTY ABC BOARD</v>
          </cell>
          <cell r="C372">
            <v>2.2000000000000001E-6</v>
          </cell>
          <cell r="D372"/>
          <cell r="E372">
            <v>330</v>
          </cell>
          <cell r="F372">
            <v>310</v>
          </cell>
          <cell r="G372">
            <v>278</v>
          </cell>
          <cell r="H372">
            <v>111</v>
          </cell>
          <cell r="I372">
            <v>0</v>
          </cell>
        </row>
        <row r="373">
          <cell r="A373">
            <v>93801</v>
          </cell>
          <cell r="B373" t="str">
            <v>GRAHAM COUNTY</v>
          </cell>
          <cell r="C373">
            <v>4.191E-4</v>
          </cell>
          <cell r="D373"/>
          <cell r="E373">
            <v>62784</v>
          </cell>
          <cell r="F373">
            <v>59060</v>
          </cell>
          <cell r="G373">
            <v>52934</v>
          </cell>
          <cell r="H373">
            <v>21194</v>
          </cell>
          <cell r="I373">
            <v>0</v>
          </cell>
        </row>
        <row r="374">
          <cell r="A374">
            <v>93803</v>
          </cell>
          <cell r="B374" t="str">
            <v>GRAHAM CO HEALTH DEPT</v>
          </cell>
          <cell r="C374">
            <v>9.0799999999999998E-5</v>
          </cell>
          <cell r="D374"/>
          <cell r="E374">
            <v>13602</v>
          </cell>
          <cell r="F374">
            <v>12796</v>
          </cell>
          <cell r="G374">
            <v>11468</v>
          </cell>
          <cell r="H374">
            <v>4592</v>
          </cell>
          <cell r="I374">
            <v>0</v>
          </cell>
        </row>
        <row r="375">
          <cell r="A375">
            <v>93806</v>
          </cell>
          <cell r="B375" t="str">
            <v>GRAHAM COUNTY DEPT OF S S</v>
          </cell>
          <cell r="C375">
            <v>7.9599999999999997E-5</v>
          </cell>
          <cell r="D375"/>
          <cell r="E375">
            <v>11925</v>
          </cell>
          <cell r="F375">
            <v>11217</v>
          </cell>
          <cell r="G375">
            <v>10054</v>
          </cell>
          <cell r="H375">
            <v>4025</v>
          </cell>
          <cell r="I375">
            <v>0</v>
          </cell>
        </row>
        <row r="376">
          <cell r="A376">
            <v>93821</v>
          </cell>
          <cell r="B376" t="str">
            <v>TOWN OF ROBBINSVILLE</v>
          </cell>
          <cell r="C376">
            <v>6.9200000000000002E-5</v>
          </cell>
          <cell r="D376"/>
          <cell r="E376">
            <v>10367</v>
          </cell>
          <cell r="F376">
            <v>9752</v>
          </cell>
          <cell r="G376">
            <v>8740</v>
          </cell>
          <cell r="H376">
            <v>3500</v>
          </cell>
          <cell r="I376">
            <v>0</v>
          </cell>
        </row>
        <row r="377">
          <cell r="A377">
            <v>93901</v>
          </cell>
          <cell r="B377" t="str">
            <v>GRANVILLE COUNTY</v>
          </cell>
          <cell r="C377">
            <v>1.7884999999999999E-3</v>
          </cell>
          <cell r="D377"/>
          <cell r="E377">
            <v>267930</v>
          </cell>
          <cell r="F377">
            <v>252035</v>
          </cell>
          <cell r="G377">
            <v>225896</v>
          </cell>
          <cell r="H377">
            <v>90446</v>
          </cell>
          <cell r="I377">
            <v>0</v>
          </cell>
        </row>
        <row r="378">
          <cell r="A378">
            <v>93904</v>
          </cell>
          <cell r="B378" t="str">
            <v>GRANVILLE CO ABC BD</v>
          </cell>
          <cell r="C378">
            <v>3.18E-5</v>
          </cell>
          <cell r="D378"/>
          <cell r="E378">
            <v>4764</v>
          </cell>
          <cell r="F378">
            <v>4481</v>
          </cell>
          <cell r="G378">
            <v>4016</v>
          </cell>
          <cell r="H378">
            <v>1608</v>
          </cell>
          <cell r="I378">
            <v>0</v>
          </cell>
        </row>
        <row r="379">
          <cell r="A379">
            <v>93906</v>
          </cell>
          <cell r="B379" t="str">
            <v>GRANVILLE COUNTY HOSPITAL</v>
          </cell>
          <cell r="C379">
            <v>3.1308E-3</v>
          </cell>
          <cell r="D379"/>
          <cell r="E379">
            <v>469016</v>
          </cell>
          <cell r="F379">
            <v>441192</v>
          </cell>
          <cell r="G379">
            <v>395436</v>
          </cell>
          <cell r="H379">
            <v>158328</v>
          </cell>
          <cell r="I379">
            <v>0</v>
          </cell>
        </row>
        <row r="380">
          <cell r="A380">
            <v>93908</v>
          </cell>
          <cell r="B380" t="str">
            <v>GRANVILLE-VANCE HEALTH DIST</v>
          </cell>
          <cell r="C380">
            <v>4.9540000000000001E-4</v>
          </cell>
          <cell r="D380"/>
          <cell r="E380">
            <v>74214</v>
          </cell>
          <cell r="F380">
            <v>69812</v>
          </cell>
          <cell r="G380">
            <v>62571</v>
          </cell>
          <cell r="H380">
            <v>25053</v>
          </cell>
          <cell r="I380">
            <v>0</v>
          </cell>
        </row>
        <row r="381">
          <cell r="A381">
            <v>93910</v>
          </cell>
          <cell r="B381" t="str">
            <v>SOUTH GRANVILLE WATER AND SEWER AUTHORITY</v>
          </cell>
          <cell r="C381">
            <v>2.285E-4</v>
          </cell>
          <cell r="D381"/>
          <cell r="E381">
            <v>34231</v>
          </cell>
          <cell r="F381">
            <v>32200</v>
          </cell>
          <cell r="G381">
            <v>28861</v>
          </cell>
          <cell r="H381">
            <v>11555</v>
          </cell>
          <cell r="I381">
            <v>0</v>
          </cell>
        </row>
        <row r="382">
          <cell r="A382">
            <v>93911</v>
          </cell>
          <cell r="B382" t="str">
            <v>CITY OF OXFORD</v>
          </cell>
          <cell r="C382">
            <v>6.4320000000000002E-4</v>
          </cell>
          <cell r="D382"/>
          <cell r="E382">
            <v>96356</v>
          </cell>
          <cell r="F382">
            <v>90640</v>
          </cell>
          <cell r="G382">
            <v>81239</v>
          </cell>
          <cell r="H382">
            <v>32527</v>
          </cell>
          <cell r="I382">
            <v>0</v>
          </cell>
        </row>
        <row r="383">
          <cell r="A383">
            <v>93913</v>
          </cell>
          <cell r="B383" t="str">
            <v>OXFORD HOUSING AUTHORITY</v>
          </cell>
          <cell r="C383">
            <v>4.9799999999999998E-5</v>
          </cell>
          <cell r="D383"/>
          <cell r="E383">
            <v>7460</v>
          </cell>
          <cell r="F383">
            <v>7018</v>
          </cell>
          <cell r="G383">
            <v>6290</v>
          </cell>
          <cell r="H383">
            <v>2518</v>
          </cell>
          <cell r="I383">
            <v>0</v>
          </cell>
        </row>
        <row r="384">
          <cell r="A384">
            <v>93914</v>
          </cell>
          <cell r="B384" t="str">
            <v>TOWN OF STOVALL</v>
          </cell>
          <cell r="C384">
            <v>6.1E-6</v>
          </cell>
          <cell r="D384"/>
          <cell r="E384">
            <v>914</v>
          </cell>
          <cell r="F384">
            <v>860</v>
          </cell>
          <cell r="G384">
            <v>770</v>
          </cell>
          <cell r="H384">
            <v>308</v>
          </cell>
          <cell r="I384">
            <v>0</v>
          </cell>
        </row>
        <row r="385">
          <cell r="A385">
            <v>93921</v>
          </cell>
          <cell r="B385" t="str">
            <v>CITY OF CREEDMOOR</v>
          </cell>
          <cell r="C385">
            <v>2.251E-4</v>
          </cell>
          <cell r="D385"/>
          <cell r="E385">
            <v>33722</v>
          </cell>
          <cell r="F385">
            <v>31721</v>
          </cell>
          <cell r="G385">
            <v>28431</v>
          </cell>
          <cell r="H385">
            <v>11384</v>
          </cell>
          <cell r="I385">
            <v>0</v>
          </cell>
        </row>
        <row r="386">
          <cell r="A386">
            <v>93931</v>
          </cell>
          <cell r="B386" t="str">
            <v>TOWN OF BUTNER</v>
          </cell>
          <cell r="C386">
            <v>5.1590000000000002E-4</v>
          </cell>
          <cell r="D386"/>
          <cell r="E386">
            <v>77285</v>
          </cell>
          <cell r="F386">
            <v>72701</v>
          </cell>
          <cell r="G386">
            <v>65161</v>
          </cell>
          <cell r="H386">
            <v>26090</v>
          </cell>
          <cell r="I386">
            <v>0</v>
          </cell>
        </row>
        <row r="387">
          <cell r="A387">
            <v>94001</v>
          </cell>
          <cell r="B387" t="str">
            <v>GREENE COUNTY</v>
          </cell>
          <cell r="C387">
            <v>9.3720000000000001E-4</v>
          </cell>
          <cell r="D387"/>
          <cell r="E387">
            <v>140399</v>
          </cell>
          <cell r="F387">
            <v>132070</v>
          </cell>
          <cell r="G387">
            <v>118373</v>
          </cell>
          <cell r="H387">
            <v>47395</v>
          </cell>
          <cell r="I387">
            <v>0</v>
          </cell>
        </row>
        <row r="388">
          <cell r="A388">
            <v>94002</v>
          </cell>
          <cell r="B388" t="str">
            <v>MAURY SANITARY LAND DISTRICT</v>
          </cell>
          <cell r="C388">
            <v>5.2000000000000002E-6</v>
          </cell>
          <cell r="D388"/>
          <cell r="E388">
            <v>779</v>
          </cell>
          <cell r="F388">
            <v>733</v>
          </cell>
          <cell r="G388">
            <v>657</v>
          </cell>
          <cell r="H388">
            <v>263</v>
          </cell>
          <cell r="I388">
            <v>0</v>
          </cell>
        </row>
        <row r="389">
          <cell r="A389">
            <v>94004</v>
          </cell>
          <cell r="B389" t="str">
            <v>GREENE COUNTY ABC BOARD</v>
          </cell>
          <cell r="C389">
            <v>7.4000000000000003E-6</v>
          </cell>
          <cell r="D389"/>
          <cell r="E389">
            <v>1109</v>
          </cell>
          <cell r="F389">
            <v>1043</v>
          </cell>
          <cell r="G389">
            <v>935</v>
          </cell>
          <cell r="H389">
            <v>374</v>
          </cell>
          <cell r="I389">
            <v>0</v>
          </cell>
        </row>
        <row r="390">
          <cell r="A390">
            <v>94005</v>
          </cell>
          <cell r="B390" t="str">
            <v>NEUSE REGIONAL LIBRARY-GREENE COUNTY</v>
          </cell>
          <cell r="C390">
            <v>1.9E-6</v>
          </cell>
          <cell r="D390"/>
          <cell r="E390">
            <v>285</v>
          </cell>
          <cell r="F390">
            <v>268</v>
          </cell>
          <cell r="G390">
            <v>240</v>
          </cell>
          <cell r="H390">
            <v>96</v>
          </cell>
          <cell r="I390">
            <v>0</v>
          </cell>
        </row>
        <row r="391">
          <cell r="A391">
            <v>94011</v>
          </cell>
          <cell r="B391" t="str">
            <v>TOWN OF HOOKERTON</v>
          </cell>
          <cell r="C391">
            <v>2.6699999999999998E-5</v>
          </cell>
          <cell r="D391"/>
          <cell r="E391">
            <v>4000</v>
          </cell>
          <cell r="F391">
            <v>3763</v>
          </cell>
          <cell r="G391">
            <v>3372</v>
          </cell>
          <cell r="H391">
            <v>1350</v>
          </cell>
          <cell r="I391">
            <v>0</v>
          </cell>
        </row>
        <row r="392">
          <cell r="A392">
            <v>94021</v>
          </cell>
          <cell r="B392" t="str">
            <v>TOWN OF SNOW HILL</v>
          </cell>
          <cell r="C392">
            <v>8.3300000000000005E-5</v>
          </cell>
          <cell r="D392"/>
          <cell r="E392">
            <v>12479</v>
          </cell>
          <cell r="F392">
            <v>11739</v>
          </cell>
          <cell r="G392">
            <v>10521</v>
          </cell>
          <cell r="H392">
            <v>4213</v>
          </cell>
          <cell r="I392">
            <v>0</v>
          </cell>
        </row>
        <row r="393">
          <cell r="A393">
            <v>94031</v>
          </cell>
          <cell r="B393" t="str">
            <v>TOWN OF WALSTONBURG</v>
          </cell>
          <cell r="C393">
            <v>4.6E-6</v>
          </cell>
          <cell r="D393"/>
          <cell r="E393">
            <v>689</v>
          </cell>
          <cell r="F393">
            <v>648</v>
          </cell>
          <cell r="G393">
            <v>581</v>
          </cell>
          <cell r="H393">
            <v>233</v>
          </cell>
          <cell r="I393">
            <v>0</v>
          </cell>
        </row>
        <row r="394">
          <cell r="A394">
            <v>94101</v>
          </cell>
          <cell r="B394" t="str">
            <v>GUILFORD COUNTY</v>
          </cell>
          <cell r="C394">
            <v>1.7750700000000001E-2</v>
          </cell>
          <cell r="D394"/>
          <cell r="E394">
            <v>2659179</v>
          </cell>
          <cell r="F394">
            <v>2501429</v>
          </cell>
          <cell r="G394">
            <v>2242002</v>
          </cell>
          <cell r="H394">
            <v>897671</v>
          </cell>
          <cell r="I394">
            <v>0</v>
          </cell>
        </row>
        <row r="395">
          <cell r="A395">
            <v>94102</v>
          </cell>
          <cell r="B395" t="str">
            <v>GUIL-RAND FIRE DEPARTMENT</v>
          </cell>
          <cell r="C395">
            <v>3.3849999999999999E-4</v>
          </cell>
          <cell r="D395"/>
          <cell r="E395">
            <v>50710</v>
          </cell>
          <cell r="F395">
            <v>47701</v>
          </cell>
          <cell r="G395">
            <v>42754</v>
          </cell>
          <cell r="H395">
            <v>17118</v>
          </cell>
          <cell r="I395">
            <v>0</v>
          </cell>
        </row>
        <row r="396">
          <cell r="A396">
            <v>94108</v>
          </cell>
          <cell r="B396" t="str">
            <v>PINECROFT-SEDGEFIELD FIRE DIST INC</v>
          </cell>
          <cell r="C396">
            <v>3.8289999999999998E-4</v>
          </cell>
          <cell r="D396"/>
          <cell r="E396">
            <v>57361</v>
          </cell>
          <cell r="F396">
            <v>53958</v>
          </cell>
          <cell r="G396">
            <v>48362</v>
          </cell>
          <cell r="H396">
            <v>19364</v>
          </cell>
          <cell r="I396">
            <v>0</v>
          </cell>
        </row>
        <row r="397">
          <cell r="A397">
            <v>94109</v>
          </cell>
          <cell r="B397" t="str">
            <v>ALAMANCE COMM FIRE DIST</v>
          </cell>
          <cell r="C397">
            <v>1.048E-4</v>
          </cell>
          <cell r="D397"/>
          <cell r="E397">
            <v>15700</v>
          </cell>
          <cell r="F397">
            <v>14768</v>
          </cell>
          <cell r="G397">
            <v>13237</v>
          </cell>
          <cell r="H397">
            <v>5300</v>
          </cell>
          <cell r="I397">
            <v>0</v>
          </cell>
        </row>
        <row r="398">
          <cell r="A398">
            <v>94111</v>
          </cell>
          <cell r="B398" t="str">
            <v>CITY OF GREENSBORO</v>
          </cell>
          <cell r="C398">
            <v>2.50095E-2</v>
          </cell>
          <cell r="D398"/>
          <cell r="E398">
            <v>3746598</v>
          </cell>
          <cell r="F398">
            <v>3524339</v>
          </cell>
          <cell r="G398">
            <v>3158825</v>
          </cell>
          <cell r="H398">
            <v>1264755</v>
          </cell>
          <cell r="I398">
            <v>0</v>
          </cell>
        </row>
        <row r="399">
          <cell r="A399">
            <v>94112</v>
          </cell>
          <cell r="B399" t="str">
            <v>PIEDMONT TRIAD REG WATER AUTH</v>
          </cell>
          <cell r="C399">
            <v>1.6870000000000001E-4</v>
          </cell>
          <cell r="D399"/>
          <cell r="E399">
            <v>25272</v>
          </cell>
          <cell r="F399">
            <v>23773</v>
          </cell>
          <cell r="G399">
            <v>21308</v>
          </cell>
          <cell r="H399">
            <v>8531</v>
          </cell>
          <cell r="I399">
            <v>0</v>
          </cell>
        </row>
        <row r="400">
          <cell r="A400">
            <v>94117</v>
          </cell>
          <cell r="B400" t="str">
            <v>GREENSBORO ABC BD</v>
          </cell>
          <cell r="C400">
            <v>3.232E-4</v>
          </cell>
          <cell r="D400"/>
          <cell r="E400">
            <v>48418</v>
          </cell>
          <cell r="F400">
            <v>45545</v>
          </cell>
          <cell r="G400">
            <v>40822</v>
          </cell>
          <cell r="H400">
            <v>16345</v>
          </cell>
          <cell r="I400">
            <v>0</v>
          </cell>
        </row>
        <row r="401">
          <cell r="A401">
            <v>94118</v>
          </cell>
          <cell r="B401" t="str">
            <v>GUILFORD FIRE DISTRICT # 13 INC</v>
          </cell>
          <cell r="C401">
            <v>1.6009999999999999E-4</v>
          </cell>
          <cell r="D401"/>
          <cell r="E401">
            <v>23984</v>
          </cell>
          <cell r="F401">
            <v>22561</v>
          </cell>
          <cell r="G401">
            <v>20221</v>
          </cell>
          <cell r="H401">
            <v>8096</v>
          </cell>
          <cell r="I401">
            <v>0</v>
          </cell>
        </row>
        <row r="402">
          <cell r="A402">
            <v>94121</v>
          </cell>
          <cell r="B402" t="str">
            <v>CITY OF HIGH POINT</v>
          </cell>
          <cell r="C402">
            <v>1.1113E-2</v>
          </cell>
          <cell r="D402"/>
          <cell r="E402">
            <v>1664805</v>
          </cell>
          <cell r="F402">
            <v>1566044</v>
          </cell>
          <cell r="G402">
            <v>1403627</v>
          </cell>
          <cell r="H402">
            <v>561996</v>
          </cell>
          <cell r="I402">
            <v>0</v>
          </cell>
        </row>
        <row r="403">
          <cell r="A403">
            <v>94127</v>
          </cell>
          <cell r="B403" t="str">
            <v>HIGH POINT ABC BD</v>
          </cell>
          <cell r="C403">
            <v>1.4310000000000001E-4</v>
          </cell>
          <cell r="D403"/>
          <cell r="E403">
            <v>21437</v>
          </cell>
          <cell r="F403">
            <v>20166</v>
          </cell>
          <cell r="G403">
            <v>18074</v>
          </cell>
          <cell r="H403">
            <v>7237</v>
          </cell>
          <cell r="I403">
            <v>0</v>
          </cell>
        </row>
        <row r="404">
          <cell r="A404">
            <v>94131</v>
          </cell>
          <cell r="B404" t="str">
            <v>TOWN OF JAMESTOWN</v>
          </cell>
          <cell r="C404">
            <v>2.1029999999999999E-4</v>
          </cell>
          <cell r="D404"/>
          <cell r="E404">
            <v>31504</v>
          </cell>
          <cell r="F404">
            <v>29635</v>
          </cell>
          <cell r="G404">
            <v>26562</v>
          </cell>
          <cell r="H404">
            <v>10635</v>
          </cell>
          <cell r="I404">
            <v>0</v>
          </cell>
        </row>
        <row r="405">
          <cell r="A405">
            <v>94151</v>
          </cell>
          <cell r="B405" t="str">
            <v>TOWN OF GIBSONVILLE</v>
          </cell>
          <cell r="C405">
            <v>4.6660000000000001E-4</v>
          </cell>
          <cell r="D405"/>
          <cell r="E405">
            <v>69900</v>
          </cell>
          <cell r="F405">
            <v>65753</v>
          </cell>
          <cell r="G405">
            <v>58934</v>
          </cell>
          <cell r="H405">
            <v>23596</v>
          </cell>
          <cell r="I405">
            <v>0</v>
          </cell>
        </row>
        <row r="406">
          <cell r="A406">
            <v>94157</v>
          </cell>
          <cell r="B406" t="str">
            <v>GIBSONVILLE ABC BOARD</v>
          </cell>
          <cell r="C406">
            <v>8.6000000000000007E-6</v>
          </cell>
          <cell r="D406"/>
          <cell r="E406">
            <v>1288</v>
          </cell>
          <cell r="F406">
            <v>1212</v>
          </cell>
          <cell r="G406">
            <v>1086</v>
          </cell>
          <cell r="H406">
            <v>435</v>
          </cell>
          <cell r="I406">
            <v>0</v>
          </cell>
        </row>
        <row r="407">
          <cell r="A407">
            <v>94161</v>
          </cell>
          <cell r="B407" t="str">
            <v>TOWN OF OAK RIDGE</v>
          </cell>
          <cell r="C407">
            <v>4.8600000000000002E-5</v>
          </cell>
          <cell r="D407"/>
          <cell r="E407">
            <v>7281</v>
          </cell>
          <cell r="F407">
            <v>6849</v>
          </cell>
          <cell r="G407">
            <v>6138</v>
          </cell>
          <cell r="H407">
            <v>2458</v>
          </cell>
          <cell r="I407">
            <v>0</v>
          </cell>
        </row>
        <row r="408">
          <cell r="A408">
            <v>94168</v>
          </cell>
          <cell r="B408" t="str">
            <v>COLFAX VOLUNTEER FIRE DEPARTMENT</v>
          </cell>
          <cell r="C408">
            <v>5.5099999999999998E-5</v>
          </cell>
          <cell r="D408"/>
          <cell r="E408">
            <v>8254</v>
          </cell>
          <cell r="F408">
            <v>7765</v>
          </cell>
          <cell r="G408">
            <v>6959</v>
          </cell>
          <cell r="H408">
            <v>2786</v>
          </cell>
          <cell r="I408">
            <v>0</v>
          </cell>
        </row>
        <row r="409">
          <cell r="A409">
            <v>94171</v>
          </cell>
          <cell r="B409" t="str">
            <v>TOWN OF SUMMERFIELD</v>
          </cell>
          <cell r="C409">
            <v>6.1799999999999998E-5</v>
          </cell>
          <cell r="D409"/>
          <cell r="E409">
            <v>9258</v>
          </cell>
          <cell r="F409">
            <v>8709</v>
          </cell>
          <cell r="G409">
            <v>7806</v>
          </cell>
          <cell r="H409">
            <v>3125</v>
          </cell>
          <cell r="I409">
            <v>0</v>
          </cell>
        </row>
        <row r="410">
          <cell r="A410">
            <v>94172</v>
          </cell>
          <cell r="B410" t="str">
            <v>SUMMERFIELD FIRE DISTRICT</v>
          </cell>
          <cell r="C410">
            <v>2.8210000000000003E-4</v>
          </cell>
          <cell r="D410"/>
          <cell r="E410">
            <v>42261</v>
          </cell>
          <cell r="F410">
            <v>39754</v>
          </cell>
          <cell r="G410">
            <v>35631</v>
          </cell>
          <cell r="H410">
            <v>14266</v>
          </cell>
          <cell r="I410">
            <v>0</v>
          </cell>
        </row>
        <row r="411">
          <cell r="A411">
            <v>94201</v>
          </cell>
          <cell r="B411" t="str">
            <v>HALIFAX COUNTY</v>
          </cell>
          <cell r="C411">
            <v>3.2504999999999999E-3</v>
          </cell>
          <cell r="D411"/>
          <cell r="E411">
            <v>486948</v>
          </cell>
          <cell r="F411">
            <v>458060</v>
          </cell>
          <cell r="G411">
            <v>410554</v>
          </cell>
          <cell r="H411">
            <v>164381</v>
          </cell>
          <cell r="I411">
            <v>0</v>
          </cell>
        </row>
        <row r="412">
          <cell r="A412">
            <v>94204</v>
          </cell>
          <cell r="B412" t="str">
            <v>HALIFAX COUNTY ABC BOARD</v>
          </cell>
          <cell r="C412">
            <v>2.97E-5</v>
          </cell>
          <cell r="D412"/>
          <cell r="E412">
            <v>4449</v>
          </cell>
          <cell r="F412">
            <v>4185</v>
          </cell>
          <cell r="G412">
            <v>3751</v>
          </cell>
          <cell r="H412">
            <v>1502</v>
          </cell>
          <cell r="I412">
            <v>0</v>
          </cell>
        </row>
        <row r="413">
          <cell r="A413">
            <v>94205</v>
          </cell>
          <cell r="B413" t="str">
            <v>HALIFAX COUNTY TOURISM DEVELOPMENT AUTHORITY</v>
          </cell>
          <cell r="C413">
            <v>1.6200000000000001E-5</v>
          </cell>
          <cell r="D413"/>
          <cell r="E413">
            <v>2427</v>
          </cell>
          <cell r="F413">
            <v>2283</v>
          </cell>
          <cell r="G413">
            <v>2046</v>
          </cell>
          <cell r="H413">
            <v>819</v>
          </cell>
          <cell r="I413">
            <v>0</v>
          </cell>
        </row>
        <row r="414">
          <cell r="A414">
            <v>94209</v>
          </cell>
          <cell r="B414" t="str">
            <v>ROANOKE RAPIDS SANITARY DISTRICT</v>
          </cell>
          <cell r="C414">
            <v>3.2519999999999999E-4</v>
          </cell>
          <cell r="D414"/>
          <cell r="E414">
            <v>48717</v>
          </cell>
          <cell r="F414">
            <v>45827</v>
          </cell>
          <cell r="G414">
            <v>41074</v>
          </cell>
          <cell r="H414">
            <v>16446</v>
          </cell>
          <cell r="I414">
            <v>0</v>
          </cell>
        </row>
        <row r="415">
          <cell r="A415">
            <v>94211</v>
          </cell>
          <cell r="B415" t="str">
            <v>TOWN OF ENFIELD</v>
          </cell>
          <cell r="C415">
            <v>1.5359999999999999E-4</v>
          </cell>
          <cell r="D415"/>
          <cell r="E415">
            <v>23010</v>
          </cell>
          <cell r="F415">
            <v>21645</v>
          </cell>
          <cell r="G415">
            <v>19400</v>
          </cell>
          <cell r="H415">
            <v>7768</v>
          </cell>
          <cell r="I415">
            <v>0</v>
          </cell>
        </row>
        <row r="416">
          <cell r="A416">
            <v>94221</v>
          </cell>
          <cell r="B416" t="str">
            <v>CITY OF ROANOKE RAPIDS</v>
          </cell>
          <cell r="C416">
            <v>9.8189999999999996E-4</v>
          </cell>
          <cell r="D416"/>
          <cell r="E416">
            <v>147095</v>
          </cell>
          <cell r="F416">
            <v>138369</v>
          </cell>
          <cell r="G416">
            <v>124019</v>
          </cell>
          <cell r="H416">
            <v>49656</v>
          </cell>
          <cell r="I416">
            <v>0</v>
          </cell>
        </row>
        <row r="417">
          <cell r="A417">
            <v>94231</v>
          </cell>
          <cell r="B417" t="str">
            <v>TOWN OF WELDON</v>
          </cell>
          <cell r="C417">
            <v>1.485E-4</v>
          </cell>
          <cell r="D417"/>
          <cell r="E417">
            <v>22246</v>
          </cell>
          <cell r="F417">
            <v>20927</v>
          </cell>
          <cell r="G417">
            <v>18756</v>
          </cell>
          <cell r="H417">
            <v>7510</v>
          </cell>
          <cell r="I417">
            <v>0</v>
          </cell>
        </row>
        <row r="418">
          <cell r="A418">
            <v>94241</v>
          </cell>
          <cell r="B418" t="str">
            <v>TOWN OF SCOTLAND NECK</v>
          </cell>
          <cell r="C418">
            <v>1.106E-4</v>
          </cell>
          <cell r="D418"/>
          <cell r="E418">
            <v>16569</v>
          </cell>
          <cell r="F418">
            <v>15586</v>
          </cell>
          <cell r="G418">
            <v>13969</v>
          </cell>
          <cell r="H418">
            <v>5593</v>
          </cell>
          <cell r="I418">
            <v>0</v>
          </cell>
        </row>
        <row r="419">
          <cell r="A419">
            <v>94251</v>
          </cell>
          <cell r="B419" t="str">
            <v>TOWN OF HOBGOOD</v>
          </cell>
          <cell r="C419">
            <v>1.7799999999999999E-5</v>
          </cell>
          <cell r="D419"/>
          <cell r="E419">
            <v>2667</v>
          </cell>
          <cell r="F419">
            <v>2508</v>
          </cell>
          <cell r="G419">
            <v>2248</v>
          </cell>
          <cell r="H419">
            <v>900</v>
          </cell>
          <cell r="I419">
            <v>0</v>
          </cell>
        </row>
        <row r="420">
          <cell r="A420">
            <v>94261</v>
          </cell>
          <cell r="B420" t="str">
            <v>TOWN OF LITTLETON</v>
          </cell>
          <cell r="C420">
            <v>4.6600000000000001E-5</v>
          </cell>
          <cell r="D420"/>
          <cell r="E420">
            <v>6981</v>
          </cell>
          <cell r="F420">
            <v>6567</v>
          </cell>
          <cell r="G420">
            <v>5886</v>
          </cell>
          <cell r="H420">
            <v>2357</v>
          </cell>
          <cell r="I420">
            <v>0</v>
          </cell>
        </row>
        <row r="421">
          <cell r="A421">
            <v>94301</v>
          </cell>
          <cell r="B421" t="str">
            <v>HARNETT COUNTY</v>
          </cell>
          <cell r="C421">
            <v>6.3099000000000002E-3</v>
          </cell>
          <cell r="D421"/>
          <cell r="E421">
            <v>945267</v>
          </cell>
          <cell r="F421">
            <v>889191</v>
          </cell>
          <cell r="G421">
            <v>796972</v>
          </cell>
          <cell r="H421">
            <v>319098</v>
          </cell>
          <cell r="I421">
            <v>0</v>
          </cell>
        </row>
        <row r="422">
          <cell r="A422">
            <v>94311</v>
          </cell>
          <cell r="B422" t="str">
            <v>CITY OF DUNN</v>
          </cell>
          <cell r="C422">
            <v>7.7700000000000002E-4</v>
          </cell>
          <cell r="D422"/>
          <cell r="E422">
            <v>116400</v>
          </cell>
          <cell r="F422">
            <v>109495</v>
          </cell>
          <cell r="G422">
            <v>98139</v>
          </cell>
          <cell r="H422">
            <v>39294</v>
          </cell>
          <cell r="I422">
            <v>0</v>
          </cell>
        </row>
        <row r="423">
          <cell r="A423">
            <v>94313</v>
          </cell>
          <cell r="B423" t="str">
            <v>DUNN HOUSING AUTHORITY</v>
          </cell>
          <cell r="C423">
            <v>1.4399999999999999E-5</v>
          </cell>
          <cell r="D423"/>
          <cell r="E423">
            <v>2157</v>
          </cell>
          <cell r="F423">
            <v>2029</v>
          </cell>
          <cell r="G423">
            <v>1819</v>
          </cell>
          <cell r="H423">
            <v>728</v>
          </cell>
          <cell r="I423">
            <v>0</v>
          </cell>
        </row>
        <row r="424">
          <cell r="A424">
            <v>94317</v>
          </cell>
          <cell r="B424" t="str">
            <v>DUNN ABC BOARD</v>
          </cell>
          <cell r="C424">
            <v>1.0699999999999999E-5</v>
          </cell>
          <cell r="D424"/>
          <cell r="E424">
            <v>1603</v>
          </cell>
          <cell r="F424">
            <v>1508</v>
          </cell>
          <cell r="G424">
            <v>1351</v>
          </cell>
          <cell r="H424">
            <v>541</v>
          </cell>
          <cell r="I424">
            <v>0</v>
          </cell>
        </row>
        <row r="425">
          <cell r="A425">
            <v>94321</v>
          </cell>
          <cell r="B425" t="str">
            <v>TOWN OF LILLINGTON</v>
          </cell>
          <cell r="C425">
            <v>2.8079999999999999E-4</v>
          </cell>
          <cell r="D425"/>
          <cell r="E425">
            <v>42066</v>
          </cell>
          <cell r="F425">
            <v>39570</v>
          </cell>
          <cell r="G425">
            <v>35466</v>
          </cell>
          <cell r="H425">
            <v>14200</v>
          </cell>
          <cell r="I425">
            <v>0</v>
          </cell>
        </row>
        <row r="426">
          <cell r="A426">
            <v>94331</v>
          </cell>
          <cell r="B426" t="str">
            <v>TOWN OF ERWIN</v>
          </cell>
          <cell r="C426">
            <v>1.5190000000000001E-4</v>
          </cell>
          <cell r="D426"/>
          <cell r="E426">
            <v>22756</v>
          </cell>
          <cell r="F426">
            <v>21406</v>
          </cell>
          <cell r="G426">
            <v>19186</v>
          </cell>
          <cell r="H426">
            <v>7682</v>
          </cell>
          <cell r="I426">
            <v>0</v>
          </cell>
        </row>
        <row r="427">
          <cell r="A427">
            <v>94341</v>
          </cell>
          <cell r="B427" t="str">
            <v>TOWN OF COATS</v>
          </cell>
          <cell r="C427">
            <v>9.8800000000000003E-5</v>
          </cell>
          <cell r="D427"/>
          <cell r="E427">
            <v>14801</v>
          </cell>
          <cell r="F427">
            <v>13923</v>
          </cell>
          <cell r="G427">
            <v>12479</v>
          </cell>
          <cell r="H427">
            <v>4996</v>
          </cell>
          <cell r="I427">
            <v>0</v>
          </cell>
        </row>
        <row r="428">
          <cell r="A428">
            <v>94347</v>
          </cell>
          <cell r="B428" t="str">
            <v>TOWN OF ANGIER ABC BOARD</v>
          </cell>
          <cell r="C428">
            <v>1.17E-5</v>
          </cell>
          <cell r="D428"/>
          <cell r="E428">
            <v>1753</v>
          </cell>
          <cell r="F428">
            <v>1649</v>
          </cell>
          <cell r="G428">
            <v>1478</v>
          </cell>
          <cell r="H428">
            <v>592</v>
          </cell>
          <cell r="I428">
            <v>0</v>
          </cell>
        </row>
        <row r="429">
          <cell r="A429">
            <v>94351</v>
          </cell>
          <cell r="B429" t="str">
            <v>TOWN OF ANGIER</v>
          </cell>
          <cell r="C429">
            <v>2.2680000000000001E-4</v>
          </cell>
          <cell r="D429"/>
          <cell r="E429">
            <v>33976</v>
          </cell>
          <cell r="F429">
            <v>31961</v>
          </cell>
          <cell r="G429">
            <v>28646</v>
          </cell>
          <cell r="H429">
            <v>11470</v>
          </cell>
          <cell r="I429">
            <v>0</v>
          </cell>
        </row>
        <row r="430">
          <cell r="A430">
            <v>94401</v>
          </cell>
          <cell r="B430" t="str">
            <v>HAYWOOD CO</v>
          </cell>
          <cell r="C430">
            <v>3.4440999999999999E-3</v>
          </cell>
          <cell r="D430"/>
          <cell r="E430">
            <v>515950</v>
          </cell>
          <cell r="F430">
            <v>485343</v>
          </cell>
          <cell r="G430">
            <v>435007</v>
          </cell>
          <cell r="H430">
            <v>174172</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5603</v>
          </cell>
          <cell r="F432">
            <v>5270</v>
          </cell>
          <cell r="G432">
            <v>4724</v>
          </cell>
          <cell r="H432">
            <v>1891</v>
          </cell>
          <cell r="I432">
            <v>0</v>
          </cell>
        </row>
        <row r="433">
          <cell r="A433">
            <v>94408</v>
          </cell>
          <cell r="B433" t="str">
            <v>JUNALUSKA SANITARY DISTRICT</v>
          </cell>
          <cell r="C433">
            <v>6.2000000000000003E-5</v>
          </cell>
          <cell r="D433"/>
          <cell r="E433">
            <v>9288</v>
          </cell>
          <cell r="F433">
            <v>8737</v>
          </cell>
          <cell r="G433">
            <v>7831</v>
          </cell>
          <cell r="H433">
            <v>3135</v>
          </cell>
          <cell r="I433">
            <v>0</v>
          </cell>
        </row>
        <row r="434">
          <cell r="A434">
            <v>94411</v>
          </cell>
          <cell r="B434" t="str">
            <v>TOWN OF WAYNESVILLE</v>
          </cell>
          <cell r="C434">
            <v>1.2472E-3</v>
          </cell>
          <cell r="D434"/>
          <cell r="E434">
            <v>186839</v>
          </cell>
          <cell r="F434">
            <v>175755</v>
          </cell>
          <cell r="G434">
            <v>157528</v>
          </cell>
          <cell r="H434">
            <v>63072</v>
          </cell>
          <cell r="I434">
            <v>0</v>
          </cell>
        </row>
        <row r="435">
          <cell r="A435">
            <v>94412</v>
          </cell>
          <cell r="B435" t="str">
            <v>WAYNESVILLE ABC BOARD</v>
          </cell>
          <cell r="C435">
            <v>1.7E-5</v>
          </cell>
          <cell r="D435"/>
          <cell r="E435">
            <v>2547</v>
          </cell>
          <cell r="F435">
            <v>2396</v>
          </cell>
          <cell r="G435">
            <v>2147</v>
          </cell>
          <cell r="H435">
            <v>860</v>
          </cell>
          <cell r="I435">
            <v>0</v>
          </cell>
        </row>
        <row r="436">
          <cell r="A436">
            <v>94421</v>
          </cell>
          <cell r="B436" t="str">
            <v>TOWN OF MAGGIE VALLEY</v>
          </cell>
          <cell r="C436">
            <v>1.4880000000000001E-4</v>
          </cell>
          <cell r="D436"/>
          <cell r="E436">
            <v>22291</v>
          </cell>
          <cell r="F436">
            <v>20969</v>
          </cell>
          <cell r="G436">
            <v>18794</v>
          </cell>
          <cell r="H436">
            <v>7525</v>
          </cell>
          <cell r="I436">
            <v>0</v>
          </cell>
        </row>
        <row r="437">
          <cell r="A437">
            <v>94427</v>
          </cell>
          <cell r="B437" t="str">
            <v>MAGGIE VALLEY ABC BOARD</v>
          </cell>
          <cell r="C437">
            <v>2.7500000000000001E-5</v>
          </cell>
          <cell r="D437"/>
          <cell r="E437">
            <v>4120</v>
          </cell>
          <cell r="F437">
            <v>3875</v>
          </cell>
          <cell r="G437">
            <v>3473</v>
          </cell>
          <cell r="H437">
            <v>1391</v>
          </cell>
          <cell r="I437">
            <v>0</v>
          </cell>
        </row>
        <row r="438">
          <cell r="A438">
            <v>94428</v>
          </cell>
          <cell r="B438" t="str">
            <v>MAGGIE VALLEY SANITARY DIST</v>
          </cell>
          <cell r="C438">
            <v>7.1400000000000001E-5</v>
          </cell>
          <cell r="D438"/>
          <cell r="E438">
            <v>10696</v>
          </cell>
          <cell r="F438">
            <v>10062</v>
          </cell>
          <cell r="G438">
            <v>9018</v>
          </cell>
          <cell r="H438">
            <v>3611</v>
          </cell>
          <cell r="I438">
            <v>0</v>
          </cell>
        </row>
        <row r="439">
          <cell r="A439">
            <v>94431</v>
          </cell>
          <cell r="B439" t="str">
            <v>TOWN OF CANTON</v>
          </cell>
          <cell r="C439">
            <v>4.1829999999999998E-4</v>
          </cell>
          <cell r="D439"/>
          <cell r="E439">
            <v>62664</v>
          </cell>
          <cell r="F439">
            <v>58947</v>
          </cell>
          <cell r="G439">
            <v>52833</v>
          </cell>
          <cell r="H439">
            <v>21154</v>
          </cell>
          <cell r="I439">
            <v>0</v>
          </cell>
        </row>
        <row r="440">
          <cell r="A440">
            <v>94437</v>
          </cell>
          <cell r="B440" t="str">
            <v>CANTON ABC BOARD</v>
          </cell>
          <cell r="C440">
            <v>1.49E-5</v>
          </cell>
          <cell r="D440"/>
          <cell r="E440">
            <v>2232</v>
          </cell>
          <cell r="F440">
            <v>2100</v>
          </cell>
          <cell r="G440">
            <v>1882</v>
          </cell>
          <cell r="H440">
            <v>754</v>
          </cell>
          <cell r="I440">
            <v>0</v>
          </cell>
        </row>
        <row r="441">
          <cell r="A441">
            <v>94501</v>
          </cell>
          <cell r="B441" t="str">
            <v>COUNTY OF HENDERSON</v>
          </cell>
          <cell r="C441">
            <v>5.9772999999999996E-3</v>
          </cell>
          <cell r="D441"/>
          <cell r="E441">
            <v>895441</v>
          </cell>
          <cell r="F441">
            <v>842321</v>
          </cell>
          <cell r="G441">
            <v>754963</v>
          </cell>
          <cell r="H441">
            <v>302278</v>
          </cell>
          <cell r="I441">
            <v>0</v>
          </cell>
        </row>
        <row r="442">
          <cell r="A442">
            <v>94511</v>
          </cell>
          <cell r="B442" t="str">
            <v>CITY OF HENDERSONVILLE</v>
          </cell>
          <cell r="C442">
            <v>2.0183000000000002E-3</v>
          </cell>
          <cell r="D442"/>
          <cell r="E442">
            <v>302355</v>
          </cell>
          <cell r="F442">
            <v>284419</v>
          </cell>
          <cell r="G442">
            <v>254921</v>
          </cell>
          <cell r="H442">
            <v>102067</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8209</v>
          </cell>
          <cell r="F444">
            <v>7722</v>
          </cell>
          <cell r="G444">
            <v>6922</v>
          </cell>
          <cell r="H444">
            <v>2771</v>
          </cell>
          <cell r="I444">
            <v>0</v>
          </cell>
        </row>
        <row r="445">
          <cell r="A445">
            <v>94521</v>
          </cell>
          <cell r="B445" t="str">
            <v>TOWN OF LAUREL PARK</v>
          </cell>
          <cell r="C445">
            <v>1.4990000000000001E-4</v>
          </cell>
          <cell r="D445"/>
          <cell r="E445">
            <v>22456</v>
          </cell>
          <cell r="F445">
            <v>21124</v>
          </cell>
          <cell r="G445">
            <v>18933</v>
          </cell>
          <cell r="H445">
            <v>7581</v>
          </cell>
          <cell r="I445">
            <v>0</v>
          </cell>
        </row>
        <row r="446">
          <cell r="A446">
            <v>94527</v>
          </cell>
          <cell r="B446" t="str">
            <v>LAUREL PARK ABC BOARD</v>
          </cell>
          <cell r="C446">
            <v>6.8000000000000001E-6</v>
          </cell>
          <cell r="D446"/>
          <cell r="E446">
            <v>1019</v>
          </cell>
          <cell r="F446">
            <v>958</v>
          </cell>
          <cell r="G446">
            <v>859</v>
          </cell>
          <cell r="H446">
            <v>344</v>
          </cell>
          <cell r="I446">
            <v>0</v>
          </cell>
        </row>
        <row r="447">
          <cell r="A447">
            <v>94531</v>
          </cell>
          <cell r="B447" t="str">
            <v>THE VILLAGE OF FLAT ROCK</v>
          </cell>
          <cell r="C447">
            <v>2.3099999999999999E-5</v>
          </cell>
          <cell r="D447"/>
          <cell r="E447">
            <v>3461</v>
          </cell>
          <cell r="F447">
            <v>3255</v>
          </cell>
          <cell r="G447">
            <v>2918</v>
          </cell>
          <cell r="H447">
            <v>1168</v>
          </cell>
          <cell r="I447">
            <v>0</v>
          </cell>
        </row>
        <row r="448">
          <cell r="A448">
            <v>94532</v>
          </cell>
          <cell r="B448" t="str">
            <v>BLUE RIDGE FIRE DEPARTMENT</v>
          </cell>
          <cell r="C448">
            <v>1.0060000000000001E-4</v>
          </cell>
          <cell r="D448"/>
          <cell r="E448">
            <v>15071</v>
          </cell>
          <cell r="F448">
            <v>14177</v>
          </cell>
          <cell r="G448">
            <v>12706</v>
          </cell>
          <cell r="H448">
            <v>5087</v>
          </cell>
          <cell r="I448">
            <v>0</v>
          </cell>
        </row>
        <row r="449">
          <cell r="A449">
            <v>94541</v>
          </cell>
          <cell r="B449" t="str">
            <v>TOWN OF FLETCHER</v>
          </cell>
          <cell r="C449">
            <v>2.7750000000000002E-4</v>
          </cell>
          <cell r="D449"/>
          <cell r="E449">
            <v>41571</v>
          </cell>
          <cell r="F449">
            <v>39105</v>
          </cell>
          <cell r="G449">
            <v>35050</v>
          </cell>
          <cell r="H449">
            <v>14033</v>
          </cell>
          <cell r="I449">
            <v>0</v>
          </cell>
        </row>
        <row r="450">
          <cell r="A450">
            <v>94547</v>
          </cell>
          <cell r="B450" t="str">
            <v>FLETCHER ABC BOARD</v>
          </cell>
          <cell r="C450">
            <v>1.1E-5</v>
          </cell>
          <cell r="D450"/>
          <cell r="E450">
            <v>1648</v>
          </cell>
          <cell r="F450">
            <v>1550</v>
          </cell>
          <cell r="G450">
            <v>1389</v>
          </cell>
          <cell r="H450">
            <v>556</v>
          </cell>
          <cell r="I450">
            <v>0</v>
          </cell>
        </row>
        <row r="451">
          <cell r="A451">
            <v>94551</v>
          </cell>
          <cell r="B451" t="str">
            <v>TOWN OF MILLS RIVER</v>
          </cell>
          <cell r="C451">
            <v>5.3000000000000001E-5</v>
          </cell>
          <cell r="D451"/>
          <cell r="E451">
            <v>7940</v>
          </cell>
          <cell r="F451">
            <v>7469</v>
          </cell>
          <cell r="G451">
            <v>6694</v>
          </cell>
          <cell r="H451">
            <v>2680</v>
          </cell>
          <cell r="I451">
            <v>0</v>
          </cell>
        </row>
        <row r="452">
          <cell r="A452">
            <v>94601</v>
          </cell>
          <cell r="B452" t="str">
            <v>HERTFORD COUNTY</v>
          </cell>
          <cell r="C452">
            <v>9.1859999999999999E-4</v>
          </cell>
          <cell r="D452"/>
          <cell r="E452">
            <v>137613</v>
          </cell>
          <cell r="F452">
            <v>129449</v>
          </cell>
          <cell r="G452">
            <v>116024</v>
          </cell>
          <cell r="H452">
            <v>46455</v>
          </cell>
          <cell r="I452">
            <v>0</v>
          </cell>
        </row>
        <row r="453">
          <cell r="A453">
            <v>94604</v>
          </cell>
          <cell r="B453" t="str">
            <v>HERTFORD COUNTY ABC BOARD</v>
          </cell>
          <cell r="C453">
            <v>2.6100000000000001E-5</v>
          </cell>
          <cell r="D453"/>
          <cell r="E453">
            <v>3910</v>
          </cell>
          <cell r="F453">
            <v>3678</v>
          </cell>
          <cell r="G453">
            <v>3297</v>
          </cell>
          <cell r="H453">
            <v>1320</v>
          </cell>
          <cell r="I453">
            <v>0</v>
          </cell>
        </row>
        <row r="454">
          <cell r="A454">
            <v>94606</v>
          </cell>
          <cell r="B454" t="str">
            <v>HERTFORD COUNTY PUBLIC HEALTH AUTHORITY</v>
          </cell>
          <cell r="C454">
            <v>0</v>
          </cell>
          <cell r="D454"/>
          <cell r="E454">
            <v>0</v>
          </cell>
          <cell r="F454">
            <v>0</v>
          </cell>
          <cell r="G454">
            <v>0</v>
          </cell>
          <cell r="H454">
            <v>0</v>
          </cell>
          <cell r="I454">
            <v>0</v>
          </cell>
        </row>
        <row r="455">
          <cell r="A455">
            <v>94611</v>
          </cell>
          <cell r="B455" t="str">
            <v>TOWN OF AHOSKIE</v>
          </cell>
          <cell r="C455">
            <v>3.4459999999999997E-4</v>
          </cell>
          <cell r="D455"/>
          <cell r="E455">
            <v>51623</v>
          </cell>
          <cell r="F455">
            <v>48561</v>
          </cell>
          <cell r="G455">
            <v>43525</v>
          </cell>
          <cell r="H455">
            <v>17427</v>
          </cell>
          <cell r="I455">
            <v>0</v>
          </cell>
        </row>
        <row r="456">
          <cell r="A456">
            <v>94621</v>
          </cell>
          <cell r="B456" t="str">
            <v>TOWN OF MURFREESBORO</v>
          </cell>
          <cell r="C456">
            <v>1.3320000000000001E-4</v>
          </cell>
          <cell r="D456"/>
          <cell r="E456">
            <v>19954</v>
          </cell>
          <cell r="F456">
            <v>18771</v>
          </cell>
          <cell r="G456">
            <v>16824</v>
          </cell>
          <cell r="H456">
            <v>6736</v>
          </cell>
          <cell r="I456">
            <v>0</v>
          </cell>
        </row>
        <row r="457">
          <cell r="A457">
            <v>94631</v>
          </cell>
          <cell r="B457" t="str">
            <v>TOWN OF WINTON</v>
          </cell>
          <cell r="C457">
            <v>4.2599999999999999E-5</v>
          </cell>
          <cell r="D457"/>
          <cell r="E457">
            <v>6382</v>
          </cell>
          <cell r="F457">
            <v>6003</v>
          </cell>
          <cell r="G457">
            <v>5381</v>
          </cell>
          <cell r="H457">
            <v>2154</v>
          </cell>
          <cell r="I457">
            <v>0</v>
          </cell>
        </row>
        <row r="458">
          <cell r="A458">
            <v>94641</v>
          </cell>
          <cell r="B458" t="str">
            <v>TOWN OF COFIELD</v>
          </cell>
          <cell r="C458">
            <v>1.04E-5</v>
          </cell>
          <cell r="D458"/>
          <cell r="E458">
            <v>1558</v>
          </cell>
          <cell r="F458">
            <v>1466</v>
          </cell>
          <cell r="G458">
            <v>1314</v>
          </cell>
          <cell r="H458">
            <v>526</v>
          </cell>
          <cell r="I458">
            <v>0</v>
          </cell>
        </row>
        <row r="459">
          <cell r="A459">
            <v>94701</v>
          </cell>
          <cell r="B459" t="str">
            <v>HOKE COUNTY</v>
          </cell>
          <cell r="C459">
            <v>2.4202999999999998E-3</v>
          </cell>
          <cell r="D459"/>
          <cell r="E459">
            <v>362578</v>
          </cell>
          <cell r="F459">
            <v>341069</v>
          </cell>
          <cell r="G459">
            <v>305696</v>
          </cell>
          <cell r="H459">
            <v>122397</v>
          </cell>
          <cell r="I459">
            <v>0</v>
          </cell>
        </row>
        <row r="460">
          <cell r="A460">
            <v>94704</v>
          </cell>
          <cell r="B460" t="str">
            <v>HOKE COUNTY ABC BOARD</v>
          </cell>
          <cell r="C460">
            <v>1.5299999999999999E-5</v>
          </cell>
          <cell r="D460"/>
          <cell r="E460">
            <v>2292</v>
          </cell>
          <cell r="F460">
            <v>2156</v>
          </cell>
          <cell r="G460">
            <v>1932</v>
          </cell>
          <cell r="H460">
            <v>774</v>
          </cell>
          <cell r="I460">
            <v>0</v>
          </cell>
        </row>
        <row r="461">
          <cell r="A461">
            <v>94711</v>
          </cell>
          <cell r="B461" t="str">
            <v>TOWN OF RAEFORD</v>
          </cell>
          <cell r="C461">
            <v>3.3819999999999998E-4</v>
          </cell>
          <cell r="D461"/>
          <cell r="E461">
            <v>50665</v>
          </cell>
          <cell r="F461">
            <v>47659</v>
          </cell>
          <cell r="G461">
            <v>42716</v>
          </cell>
          <cell r="H461">
            <v>17103</v>
          </cell>
          <cell r="I461">
            <v>0</v>
          </cell>
        </row>
        <row r="462">
          <cell r="A462">
            <v>94801</v>
          </cell>
          <cell r="B462" t="str">
            <v>HYDE COUNTY</v>
          </cell>
          <cell r="C462">
            <v>6.8429999999999999E-4</v>
          </cell>
          <cell r="D462"/>
          <cell r="E462">
            <v>102513</v>
          </cell>
          <cell r="F462">
            <v>96432</v>
          </cell>
          <cell r="G462">
            <v>86431</v>
          </cell>
          <cell r="H462">
            <v>34606</v>
          </cell>
          <cell r="I462">
            <v>0</v>
          </cell>
        </row>
        <row r="463">
          <cell r="A463">
            <v>94804</v>
          </cell>
          <cell r="B463" t="str">
            <v>HYDE COUNTY ABC BOARD</v>
          </cell>
          <cell r="C463">
            <v>2.7999999999999999E-6</v>
          </cell>
          <cell r="D463"/>
          <cell r="E463">
            <v>419</v>
          </cell>
          <cell r="F463">
            <v>395</v>
          </cell>
          <cell r="G463">
            <v>354</v>
          </cell>
          <cell r="H463">
            <v>142</v>
          </cell>
          <cell r="I463">
            <v>0</v>
          </cell>
        </row>
        <row r="464">
          <cell r="A464">
            <v>94812</v>
          </cell>
          <cell r="B464" t="str">
            <v>OCRACOKE SANITARY DIST</v>
          </cell>
          <cell r="C464">
            <v>3.0000000000000001E-5</v>
          </cell>
          <cell r="D464"/>
          <cell r="E464">
            <v>4494</v>
          </cell>
          <cell r="F464">
            <v>4228</v>
          </cell>
          <cell r="G464">
            <v>3789</v>
          </cell>
          <cell r="H464">
            <v>1517</v>
          </cell>
          <cell r="I464">
            <v>0</v>
          </cell>
        </row>
        <row r="465">
          <cell r="A465">
            <v>94901</v>
          </cell>
          <cell r="B465" t="str">
            <v>IREDELL COUNTY</v>
          </cell>
          <cell r="C465">
            <v>7.2372000000000001E-3</v>
          </cell>
          <cell r="D465"/>
          <cell r="E465">
            <v>1084183</v>
          </cell>
          <cell r="F465">
            <v>1019866</v>
          </cell>
          <cell r="G465">
            <v>914095</v>
          </cell>
          <cell r="H465">
            <v>365992</v>
          </cell>
          <cell r="I465">
            <v>0</v>
          </cell>
        </row>
        <row r="466">
          <cell r="A466">
            <v>94908</v>
          </cell>
          <cell r="B466" t="str">
            <v>GREATER STATESVILLE DEVELOPMENT CORP</v>
          </cell>
          <cell r="C466">
            <v>5.9000000000000003E-6</v>
          </cell>
          <cell r="D466"/>
          <cell r="E466">
            <v>884</v>
          </cell>
          <cell r="F466">
            <v>831</v>
          </cell>
          <cell r="G466">
            <v>745</v>
          </cell>
          <cell r="H466">
            <v>298</v>
          </cell>
          <cell r="I466">
            <v>0</v>
          </cell>
        </row>
        <row r="467">
          <cell r="A467">
            <v>94911</v>
          </cell>
          <cell r="B467" t="str">
            <v>CITY OF STATESVILLE</v>
          </cell>
          <cell r="C467">
            <v>2.8782E-3</v>
          </cell>
          <cell r="D467"/>
          <cell r="E467">
            <v>431175</v>
          </cell>
          <cell r="F467">
            <v>405596</v>
          </cell>
          <cell r="G467">
            <v>363531</v>
          </cell>
          <cell r="H467">
            <v>145553</v>
          </cell>
          <cell r="I467">
            <v>0</v>
          </cell>
        </row>
        <row r="468">
          <cell r="A468">
            <v>94917</v>
          </cell>
          <cell r="B468" t="str">
            <v>STATESVILLE ABC BOARD</v>
          </cell>
          <cell r="C468">
            <v>3.0700000000000001E-5</v>
          </cell>
          <cell r="D468"/>
          <cell r="E468">
            <v>4599</v>
          </cell>
          <cell r="F468">
            <v>4326</v>
          </cell>
          <cell r="G468">
            <v>3878</v>
          </cell>
          <cell r="H468">
            <v>1553</v>
          </cell>
          <cell r="I468">
            <v>0</v>
          </cell>
        </row>
        <row r="469">
          <cell r="A469">
            <v>94921</v>
          </cell>
          <cell r="B469" t="str">
            <v>CITY OF MOORESVILLE</v>
          </cell>
          <cell r="C469">
            <v>3.8489000000000002E-3</v>
          </cell>
          <cell r="D469"/>
          <cell r="E469">
            <v>576592</v>
          </cell>
          <cell r="F469">
            <v>542387</v>
          </cell>
          <cell r="G469">
            <v>486135</v>
          </cell>
          <cell r="H469">
            <v>194643</v>
          </cell>
          <cell r="I469">
            <v>0</v>
          </cell>
        </row>
        <row r="470">
          <cell r="A470">
            <v>94923</v>
          </cell>
          <cell r="B470" t="str">
            <v>MOORESVILLE HOUSING AUTHORITY</v>
          </cell>
          <cell r="C470">
            <v>2.7800000000000001E-5</v>
          </cell>
          <cell r="D470"/>
          <cell r="E470">
            <v>4165</v>
          </cell>
          <cell r="F470">
            <v>3918</v>
          </cell>
          <cell r="G470">
            <v>3511</v>
          </cell>
          <cell r="H470">
            <v>1406</v>
          </cell>
          <cell r="I470">
            <v>0</v>
          </cell>
        </row>
        <row r="471">
          <cell r="A471">
            <v>94927</v>
          </cell>
          <cell r="B471" t="str">
            <v>MOORESVILLE ABC BOARD</v>
          </cell>
          <cell r="C471">
            <v>2.5299999999999998E-5</v>
          </cell>
          <cell r="D471"/>
          <cell r="E471">
            <v>3790</v>
          </cell>
          <cell r="F471">
            <v>3565</v>
          </cell>
          <cell r="G471">
            <v>3196</v>
          </cell>
          <cell r="H471">
            <v>1279</v>
          </cell>
          <cell r="I471">
            <v>0</v>
          </cell>
        </row>
        <row r="472">
          <cell r="A472">
            <v>94931</v>
          </cell>
          <cell r="B472" t="str">
            <v>TOWN OF TROUTMAN</v>
          </cell>
          <cell r="C472">
            <v>2.142E-4</v>
          </cell>
          <cell r="D472"/>
          <cell r="E472">
            <v>32089</v>
          </cell>
          <cell r="F472">
            <v>30185</v>
          </cell>
          <cell r="G472">
            <v>27055</v>
          </cell>
          <cell r="H472">
            <v>10832</v>
          </cell>
          <cell r="I472">
            <v>0</v>
          </cell>
        </row>
        <row r="473">
          <cell r="A473">
            <v>94937</v>
          </cell>
          <cell r="B473" t="str">
            <v>TOWN OF TROUTMAN ABC BOARD</v>
          </cell>
          <cell r="C473">
            <v>6.9E-6</v>
          </cell>
          <cell r="D473"/>
          <cell r="E473">
            <v>1034</v>
          </cell>
          <cell r="F473">
            <v>972</v>
          </cell>
          <cell r="G473">
            <v>872</v>
          </cell>
          <cell r="H473">
            <v>349</v>
          </cell>
          <cell r="I473">
            <v>0</v>
          </cell>
        </row>
        <row r="474">
          <cell r="A474">
            <v>94941</v>
          </cell>
          <cell r="B474" t="str">
            <v>MI CONNECTION COMMUNICATIONS SYSTEM</v>
          </cell>
          <cell r="C474">
            <v>5.865E-4</v>
          </cell>
          <cell r="D474"/>
          <cell r="E474">
            <v>87862</v>
          </cell>
          <cell r="F474">
            <v>82650</v>
          </cell>
          <cell r="G474">
            <v>74078</v>
          </cell>
          <cell r="H474">
            <v>29660</v>
          </cell>
          <cell r="I474">
            <v>0</v>
          </cell>
        </row>
        <row r="475">
          <cell r="A475">
            <v>94947</v>
          </cell>
          <cell r="B475" t="str">
            <v>VALDESE ABC BOARD</v>
          </cell>
          <cell r="C475">
            <v>5.9000000000000003E-6</v>
          </cell>
          <cell r="D475"/>
          <cell r="E475">
            <v>884</v>
          </cell>
          <cell r="F475">
            <v>831</v>
          </cell>
          <cell r="G475">
            <v>745</v>
          </cell>
          <cell r="H475">
            <v>298</v>
          </cell>
          <cell r="I475">
            <v>0</v>
          </cell>
        </row>
        <row r="476">
          <cell r="A476">
            <v>95001</v>
          </cell>
          <cell r="B476" t="str">
            <v>JACKSON COUNTY</v>
          </cell>
          <cell r="C476">
            <v>2.2818999999999999E-3</v>
          </cell>
          <cell r="D476"/>
          <cell r="E476">
            <v>341845</v>
          </cell>
          <cell r="F476">
            <v>321565</v>
          </cell>
          <cell r="G476">
            <v>288215</v>
          </cell>
          <cell r="H476">
            <v>115398</v>
          </cell>
          <cell r="I476">
            <v>0</v>
          </cell>
        </row>
        <row r="477">
          <cell r="A477">
            <v>95002</v>
          </cell>
          <cell r="B477" t="str">
            <v>TUCKASEIGEE WATER AUTHORITY</v>
          </cell>
          <cell r="C477">
            <v>1.805E-4</v>
          </cell>
          <cell r="D477"/>
          <cell r="E477">
            <v>27040</v>
          </cell>
          <cell r="F477">
            <v>25436</v>
          </cell>
          <cell r="G477">
            <v>22798</v>
          </cell>
          <cell r="H477">
            <v>9128</v>
          </cell>
          <cell r="I477">
            <v>0</v>
          </cell>
        </row>
        <row r="478">
          <cell r="A478">
            <v>95005</v>
          </cell>
          <cell r="B478" t="str">
            <v>FONTANA REGIONAL LIBRARY</v>
          </cell>
          <cell r="C478">
            <v>1.8819999999999999E-4</v>
          </cell>
          <cell r="D478"/>
          <cell r="E478">
            <v>28194</v>
          </cell>
          <cell r="F478">
            <v>26521</v>
          </cell>
          <cell r="G478">
            <v>23771</v>
          </cell>
          <cell r="H478">
            <v>9517</v>
          </cell>
          <cell r="I478">
            <v>0</v>
          </cell>
        </row>
        <row r="479">
          <cell r="A479">
            <v>95008</v>
          </cell>
          <cell r="B479" t="str">
            <v>SOUTHWESTERN NC PLANNING &amp; ECON.DEV.COMMIS.</v>
          </cell>
          <cell r="C479">
            <v>1.193E-4</v>
          </cell>
          <cell r="D479"/>
          <cell r="E479">
            <v>17872</v>
          </cell>
          <cell r="F479">
            <v>16812</v>
          </cell>
          <cell r="G479">
            <v>15068</v>
          </cell>
          <cell r="H479">
            <v>6033</v>
          </cell>
          <cell r="I479">
            <v>0</v>
          </cell>
        </row>
        <row r="480">
          <cell r="A480">
            <v>95009</v>
          </cell>
          <cell r="B480" t="str">
            <v>SMOKY MOUNTAIN M H C</v>
          </cell>
          <cell r="C480">
            <v>4.0723000000000001E-3</v>
          </cell>
          <cell r="D480"/>
          <cell r="E480">
            <v>610059</v>
          </cell>
          <cell r="F480">
            <v>573869</v>
          </cell>
          <cell r="G480">
            <v>514352</v>
          </cell>
          <cell r="H480">
            <v>205940</v>
          </cell>
          <cell r="I480">
            <v>0</v>
          </cell>
        </row>
        <row r="481">
          <cell r="A481">
            <v>95011</v>
          </cell>
          <cell r="B481" t="str">
            <v>TOWN OF SYLVA</v>
          </cell>
          <cell r="C481">
            <v>1.9230000000000001E-4</v>
          </cell>
          <cell r="D481"/>
          <cell r="E481">
            <v>28808</v>
          </cell>
          <cell r="F481">
            <v>27099</v>
          </cell>
          <cell r="G481">
            <v>24288</v>
          </cell>
          <cell r="H481">
            <v>9725</v>
          </cell>
          <cell r="I481">
            <v>0</v>
          </cell>
        </row>
        <row r="482">
          <cell r="A482">
            <v>95017</v>
          </cell>
          <cell r="B482" t="str">
            <v>JACKSON COUNTY ABC BOARD</v>
          </cell>
          <cell r="C482">
            <v>5.1E-5</v>
          </cell>
          <cell r="D482"/>
          <cell r="E482">
            <v>7640</v>
          </cell>
          <cell r="F482">
            <v>7187</v>
          </cell>
          <cell r="G482">
            <v>6442</v>
          </cell>
          <cell r="H482">
            <v>2579</v>
          </cell>
          <cell r="I482">
            <v>0</v>
          </cell>
        </row>
        <row r="483">
          <cell r="A483">
            <v>95101</v>
          </cell>
          <cell r="B483" t="str">
            <v>JOHNSTON COUNTY</v>
          </cell>
          <cell r="C483">
            <v>8.8515E-3</v>
          </cell>
          <cell r="D483"/>
          <cell r="E483">
            <v>1326017</v>
          </cell>
          <cell r="F483">
            <v>1247353</v>
          </cell>
          <cell r="G483">
            <v>1117989</v>
          </cell>
          <cell r="H483">
            <v>447629</v>
          </cell>
          <cell r="I483">
            <v>0</v>
          </cell>
        </row>
        <row r="484">
          <cell r="A484">
            <v>95103</v>
          </cell>
          <cell r="B484" t="str">
            <v>BENSON HOUSING AUTHORITY</v>
          </cell>
          <cell r="C484">
            <v>5.0599999999999997E-5</v>
          </cell>
          <cell r="D484"/>
          <cell r="E484">
            <v>7580</v>
          </cell>
          <cell r="F484">
            <v>7131</v>
          </cell>
          <cell r="G484">
            <v>6391</v>
          </cell>
          <cell r="H484">
            <v>2559</v>
          </cell>
          <cell r="I484">
            <v>0</v>
          </cell>
        </row>
        <row r="485">
          <cell r="A485">
            <v>95104</v>
          </cell>
          <cell r="B485" t="str">
            <v>JOHNSTON COUNTY ABC BOARD</v>
          </cell>
          <cell r="C485">
            <v>1.149E-4</v>
          </cell>
          <cell r="D485"/>
          <cell r="E485">
            <v>17213</v>
          </cell>
          <cell r="F485">
            <v>16192</v>
          </cell>
          <cell r="G485">
            <v>14512</v>
          </cell>
          <cell r="H485">
            <v>5811</v>
          </cell>
          <cell r="I485">
            <v>0</v>
          </cell>
        </row>
        <row r="486">
          <cell r="A486">
            <v>95105</v>
          </cell>
          <cell r="B486" t="str">
            <v>PUBLIC LIBRARY OF JOHNSTON CO AND SMITHFIELD</v>
          </cell>
          <cell r="C486">
            <v>7.1500000000000003E-5</v>
          </cell>
          <cell r="D486"/>
          <cell r="E486">
            <v>10711</v>
          </cell>
          <cell r="F486">
            <v>10076</v>
          </cell>
          <cell r="G486">
            <v>9031</v>
          </cell>
          <cell r="H486">
            <v>3616</v>
          </cell>
          <cell r="I486">
            <v>0</v>
          </cell>
        </row>
        <row r="487">
          <cell r="A487">
            <v>95106</v>
          </cell>
          <cell r="B487" t="str">
            <v>TOWN OF ARCHER LODGE</v>
          </cell>
          <cell r="C487">
            <v>1.29E-5</v>
          </cell>
          <cell r="D487"/>
          <cell r="E487">
            <v>1933</v>
          </cell>
          <cell r="F487">
            <v>1818</v>
          </cell>
          <cell r="G487">
            <v>1629</v>
          </cell>
          <cell r="H487">
            <v>652</v>
          </cell>
          <cell r="I487">
            <v>0</v>
          </cell>
        </row>
        <row r="488">
          <cell r="A488">
            <v>95110</v>
          </cell>
          <cell r="B488" t="str">
            <v>JOHNSTON HEALTH CENTER</v>
          </cell>
          <cell r="C488">
            <v>3.1538E-3</v>
          </cell>
          <cell r="D488"/>
          <cell r="E488">
            <v>472461</v>
          </cell>
          <cell r="F488">
            <v>444433</v>
          </cell>
          <cell r="G488">
            <v>398341</v>
          </cell>
          <cell r="H488">
            <v>159491</v>
          </cell>
          <cell r="I488">
            <v>0</v>
          </cell>
        </row>
        <row r="489">
          <cell r="A489">
            <v>95111</v>
          </cell>
          <cell r="B489" t="str">
            <v>TOWN OF SMITHFIELD</v>
          </cell>
          <cell r="C489">
            <v>1.0529000000000001E-3</v>
          </cell>
          <cell r="D489"/>
          <cell r="E489">
            <v>157732</v>
          </cell>
          <cell r="F489">
            <v>148375</v>
          </cell>
          <cell r="G489">
            <v>132987</v>
          </cell>
          <cell r="H489">
            <v>53246</v>
          </cell>
          <cell r="I489">
            <v>0</v>
          </cell>
        </row>
        <row r="490">
          <cell r="A490">
            <v>95113</v>
          </cell>
          <cell r="B490" t="str">
            <v>SMITHFIELD HOUSING AUTHORITY</v>
          </cell>
          <cell r="C490">
            <v>4.5300000000000003E-5</v>
          </cell>
          <cell r="D490"/>
          <cell r="E490">
            <v>6786</v>
          </cell>
          <cell r="F490">
            <v>6384</v>
          </cell>
          <cell r="G490">
            <v>5722</v>
          </cell>
          <cell r="H490">
            <v>2291</v>
          </cell>
          <cell r="I490">
            <v>0</v>
          </cell>
        </row>
        <row r="491">
          <cell r="A491">
            <v>95121</v>
          </cell>
          <cell r="B491" t="str">
            <v>TOWN OF SELMA</v>
          </cell>
          <cell r="C491">
            <v>4.6769999999999998E-4</v>
          </cell>
          <cell r="D491"/>
          <cell r="E491">
            <v>70065</v>
          </cell>
          <cell r="F491">
            <v>65908</v>
          </cell>
          <cell r="G491">
            <v>59073</v>
          </cell>
          <cell r="H491">
            <v>23652</v>
          </cell>
          <cell r="I491">
            <v>0</v>
          </cell>
        </row>
        <row r="492">
          <cell r="A492">
            <v>95122</v>
          </cell>
          <cell r="B492" t="str">
            <v>TOWN OF MICRO</v>
          </cell>
          <cell r="C492">
            <v>1.5400000000000002E-5</v>
          </cell>
          <cell r="D492"/>
          <cell r="E492">
            <v>2307</v>
          </cell>
          <cell r="F492">
            <v>2170</v>
          </cell>
          <cell r="G492">
            <v>1945</v>
          </cell>
          <cell r="H492">
            <v>779</v>
          </cell>
          <cell r="I492">
            <v>0</v>
          </cell>
        </row>
        <row r="493">
          <cell r="A493">
            <v>95123</v>
          </cell>
          <cell r="B493" t="str">
            <v>SELMA HOUSING AUTHORITY</v>
          </cell>
          <cell r="C493">
            <v>4.8999999999999998E-5</v>
          </cell>
          <cell r="D493"/>
          <cell r="E493">
            <v>7341</v>
          </cell>
          <cell r="F493">
            <v>6905</v>
          </cell>
          <cell r="G493">
            <v>6189</v>
          </cell>
          <cell r="H493">
            <v>2478</v>
          </cell>
          <cell r="I493">
            <v>0</v>
          </cell>
        </row>
        <row r="494">
          <cell r="A494">
            <v>95131</v>
          </cell>
          <cell r="B494" t="str">
            <v>TOWN OF CLAYTON</v>
          </cell>
          <cell r="C494">
            <v>1.7905E-3</v>
          </cell>
          <cell r="D494"/>
          <cell r="E494">
            <v>268229</v>
          </cell>
          <cell r="F494">
            <v>252317</v>
          </cell>
          <cell r="G494">
            <v>226149</v>
          </cell>
          <cell r="H494">
            <v>90547</v>
          </cell>
          <cell r="I494">
            <v>0</v>
          </cell>
        </row>
        <row r="495">
          <cell r="A495">
            <v>95141</v>
          </cell>
          <cell r="B495" t="str">
            <v>TOWN OF BENSON</v>
          </cell>
          <cell r="C495">
            <v>3.6099999999999999E-4</v>
          </cell>
          <cell r="D495"/>
          <cell r="E495">
            <v>54080</v>
          </cell>
          <cell r="F495">
            <v>50872</v>
          </cell>
          <cell r="G495">
            <v>45596</v>
          </cell>
          <cell r="H495">
            <v>18256</v>
          </cell>
          <cell r="I495">
            <v>0</v>
          </cell>
        </row>
        <row r="496">
          <cell r="A496">
            <v>95151</v>
          </cell>
          <cell r="B496" t="str">
            <v>TOWN OF FOUR OAKS</v>
          </cell>
          <cell r="C496">
            <v>1.1010000000000001E-4</v>
          </cell>
          <cell r="D496"/>
          <cell r="E496">
            <v>16494</v>
          </cell>
          <cell r="F496">
            <v>15515</v>
          </cell>
          <cell r="G496">
            <v>13906</v>
          </cell>
          <cell r="H496">
            <v>5568</v>
          </cell>
          <cell r="I496">
            <v>0</v>
          </cell>
        </row>
        <row r="497">
          <cell r="A497">
            <v>95161</v>
          </cell>
          <cell r="B497" t="str">
            <v>TOWN OF PINE LEVEL</v>
          </cell>
          <cell r="C497">
            <v>7.1199999999999996E-5</v>
          </cell>
          <cell r="D497"/>
          <cell r="E497">
            <v>10666</v>
          </cell>
          <cell r="F497">
            <v>10034</v>
          </cell>
          <cell r="G497">
            <v>8993</v>
          </cell>
          <cell r="H497">
            <v>3601</v>
          </cell>
          <cell r="I497">
            <v>0</v>
          </cell>
        </row>
        <row r="498">
          <cell r="A498">
            <v>95171</v>
          </cell>
          <cell r="B498" t="str">
            <v>TOWN OF KENLY</v>
          </cell>
          <cell r="C498">
            <v>1.089E-4</v>
          </cell>
          <cell r="D498"/>
          <cell r="E498">
            <v>16314</v>
          </cell>
          <cell r="F498">
            <v>15346</v>
          </cell>
          <cell r="G498">
            <v>13755</v>
          </cell>
          <cell r="H498">
            <v>5507</v>
          </cell>
          <cell r="I498">
            <v>0</v>
          </cell>
        </row>
        <row r="499">
          <cell r="A499">
            <v>95181</v>
          </cell>
          <cell r="B499" t="str">
            <v>TOWN OF PRINCETON</v>
          </cell>
          <cell r="C499">
            <v>5.9700000000000001E-5</v>
          </cell>
          <cell r="D499"/>
          <cell r="E499">
            <v>8943</v>
          </cell>
          <cell r="F499">
            <v>8413</v>
          </cell>
          <cell r="G499">
            <v>7540</v>
          </cell>
          <cell r="H499">
            <v>3019</v>
          </cell>
          <cell r="I499">
            <v>0</v>
          </cell>
        </row>
        <row r="500">
          <cell r="A500">
            <v>95191</v>
          </cell>
          <cell r="B500" t="str">
            <v>TOWN OF WILSON'S MILLS</v>
          </cell>
          <cell r="C500">
            <v>7.3800000000000005E-5</v>
          </cell>
          <cell r="D500"/>
          <cell r="E500">
            <v>11056</v>
          </cell>
          <cell r="F500">
            <v>10400</v>
          </cell>
          <cell r="G500">
            <v>9321</v>
          </cell>
          <cell r="H500">
            <v>3732</v>
          </cell>
          <cell r="I500">
            <v>0</v>
          </cell>
        </row>
        <row r="501">
          <cell r="A501">
            <v>95201</v>
          </cell>
          <cell r="B501" t="str">
            <v>JONES COUNTY</v>
          </cell>
          <cell r="C501">
            <v>6.5070000000000004E-4</v>
          </cell>
          <cell r="D501"/>
          <cell r="E501">
            <v>97479</v>
          </cell>
          <cell r="F501">
            <v>91697</v>
          </cell>
          <cell r="G501">
            <v>82187</v>
          </cell>
          <cell r="H501">
            <v>32907</v>
          </cell>
          <cell r="I501">
            <v>0</v>
          </cell>
        </row>
        <row r="502">
          <cell r="A502">
            <v>95204</v>
          </cell>
          <cell r="B502" t="str">
            <v>JONES COUNTY ABC BOARD</v>
          </cell>
          <cell r="C502">
            <v>5.6999999999999996E-6</v>
          </cell>
          <cell r="D502"/>
          <cell r="E502">
            <v>854</v>
          </cell>
          <cell r="F502">
            <v>803</v>
          </cell>
          <cell r="G502">
            <v>720</v>
          </cell>
          <cell r="H502">
            <v>288</v>
          </cell>
          <cell r="I502">
            <v>0</v>
          </cell>
        </row>
        <row r="503">
          <cell r="A503">
            <v>95205</v>
          </cell>
          <cell r="B503" t="str">
            <v>NEUSE REGIONAL LIBRARY-JONES COUNTY</v>
          </cell>
          <cell r="C503">
            <v>2.7E-6</v>
          </cell>
          <cell r="D503"/>
          <cell r="E503">
            <v>404</v>
          </cell>
          <cell r="F503">
            <v>380</v>
          </cell>
          <cell r="G503">
            <v>341</v>
          </cell>
          <cell r="H503">
            <v>137</v>
          </cell>
          <cell r="I503">
            <v>0</v>
          </cell>
        </row>
        <row r="504">
          <cell r="A504">
            <v>95211</v>
          </cell>
          <cell r="B504" t="str">
            <v>TOWN OF POLLOCKSVILLE</v>
          </cell>
          <cell r="C504">
            <v>5.1000000000000003E-6</v>
          </cell>
          <cell r="D504"/>
          <cell r="E504">
            <v>764</v>
          </cell>
          <cell r="F504">
            <v>719</v>
          </cell>
          <cell r="G504">
            <v>644</v>
          </cell>
          <cell r="H504">
            <v>258</v>
          </cell>
          <cell r="I504">
            <v>0</v>
          </cell>
        </row>
        <row r="505">
          <cell r="A505">
            <v>95221</v>
          </cell>
          <cell r="B505" t="str">
            <v>TOWN OF MAYSVILLE</v>
          </cell>
          <cell r="C505">
            <v>5.4400000000000001E-5</v>
          </cell>
          <cell r="D505"/>
          <cell r="E505">
            <v>8150</v>
          </cell>
          <cell r="F505">
            <v>7666</v>
          </cell>
          <cell r="G505">
            <v>6871</v>
          </cell>
          <cell r="H505">
            <v>2751</v>
          </cell>
          <cell r="I505">
            <v>0</v>
          </cell>
        </row>
        <row r="506">
          <cell r="A506">
            <v>95301</v>
          </cell>
          <cell r="B506" t="str">
            <v>LEE COUNTY</v>
          </cell>
          <cell r="C506">
            <v>2.1561000000000002E-3</v>
          </cell>
          <cell r="D506"/>
          <cell r="E506">
            <v>322999</v>
          </cell>
          <cell r="F506">
            <v>303838</v>
          </cell>
          <cell r="G506">
            <v>272326</v>
          </cell>
          <cell r="H506">
            <v>109036</v>
          </cell>
          <cell r="I506">
            <v>0</v>
          </cell>
        </row>
        <row r="507">
          <cell r="A507">
            <v>95311</v>
          </cell>
          <cell r="B507" t="str">
            <v>CITY OF SANFORD</v>
          </cell>
          <cell r="C507">
            <v>2.578E-3</v>
          </cell>
          <cell r="D507"/>
          <cell r="E507">
            <v>386202</v>
          </cell>
          <cell r="F507">
            <v>363292</v>
          </cell>
          <cell r="G507">
            <v>325614</v>
          </cell>
          <cell r="H507">
            <v>130372</v>
          </cell>
          <cell r="I507">
            <v>0</v>
          </cell>
        </row>
        <row r="508">
          <cell r="A508">
            <v>95317</v>
          </cell>
          <cell r="B508" t="str">
            <v>SANFORD ABC BOARD</v>
          </cell>
          <cell r="C508">
            <v>4.1999999999999998E-5</v>
          </cell>
          <cell r="D508"/>
          <cell r="E508">
            <v>6292</v>
          </cell>
          <cell r="F508">
            <v>5919</v>
          </cell>
          <cell r="G508">
            <v>5305</v>
          </cell>
          <cell r="H508">
            <v>2124</v>
          </cell>
          <cell r="I508">
            <v>0</v>
          </cell>
        </row>
        <row r="509">
          <cell r="A509">
            <v>95321</v>
          </cell>
          <cell r="B509" t="str">
            <v>TOWN OF BROADWAY</v>
          </cell>
          <cell r="C509">
            <v>4.85E-5</v>
          </cell>
          <cell r="D509"/>
          <cell r="E509">
            <v>7266</v>
          </cell>
          <cell r="F509">
            <v>6835</v>
          </cell>
          <cell r="G509">
            <v>6126</v>
          </cell>
          <cell r="H509">
            <v>2453</v>
          </cell>
          <cell r="I509">
            <v>0</v>
          </cell>
        </row>
        <row r="510">
          <cell r="A510">
            <v>95401</v>
          </cell>
          <cell r="B510" t="str">
            <v>LENOIR COUNTY</v>
          </cell>
          <cell r="C510">
            <v>2.9023E-3</v>
          </cell>
          <cell r="D510"/>
          <cell r="E510">
            <v>434785</v>
          </cell>
          <cell r="F510">
            <v>408992</v>
          </cell>
          <cell r="G510">
            <v>366575</v>
          </cell>
          <cell r="H510">
            <v>146772</v>
          </cell>
          <cell r="I510">
            <v>0</v>
          </cell>
        </row>
        <row r="511">
          <cell r="A511">
            <v>95404</v>
          </cell>
          <cell r="B511" t="str">
            <v>LENOIR COUNTY ABC BOARD</v>
          </cell>
          <cell r="C511">
            <v>4.4799999999999998E-5</v>
          </cell>
          <cell r="D511"/>
          <cell r="E511">
            <v>6711</v>
          </cell>
          <cell r="F511">
            <v>6313</v>
          </cell>
          <cell r="G511">
            <v>5658</v>
          </cell>
          <cell r="H511">
            <v>2266</v>
          </cell>
          <cell r="I511">
            <v>0</v>
          </cell>
        </row>
        <row r="512">
          <cell r="A512">
            <v>95405</v>
          </cell>
          <cell r="B512" t="str">
            <v>NEUSE REGIONAL LIBRARY</v>
          </cell>
          <cell r="C512">
            <v>3.3399999999999999E-5</v>
          </cell>
          <cell r="D512"/>
          <cell r="E512">
            <v>5004</v>
          </cell>
          <cell r="F512">
            <v>4707</v>
          </cell>
          <cell r="G512">
            <v>4219</v>
          </cell>
          <cell r="H512">
            <v>1689</v>
          </cell>
          <cell r="I512">
            <v>0</v>
          </cell>
        </row>
        <row r="513">
          <cell r="A513">
            <v>95411</v>
          </cell>
          <cell r="B513" t="str">
            <v>CITY OF KINSTON</v>
          </cell>
          <cell r="C513">
            <v>2.0365000000000001E-3</v>
          </cell>
          <cell r="D513"/>
          <cell r="E513">
            <v>305082</v>
          </cell>
          <cell r="F513">
            <v>286984</v>
          </cell>
          <cell r="G513">
            <v>257220</v>
          </cell>
          <cell r="H513">
            <v>102988</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36868</v>
          </cell>
          <cell r="F515">
            <v>34680</v>
          </cell>
          <cell r="G515">
            <v>31084</v>
          </cell>
          <cell r="H515">
            <v>12446</v>
          </cell>
          <cell r="I515">
            <v>0</v>
          </cell>
        </row>
        <row r="516">
          <cell r="A516">
            <v>95415</v>
          </cell>
          <cell r="B516" t="str">
            <v>KINSTON-LENOIR CO PUB LIBRARY</v>
          </cell>
          <cell r="C516">
            <v>5.7599999999999997E-5</v>
          </cell>
          <cell r="D516"/>
          <cell r="E516">
            <v>8629</v>
          </cell>
          <cell r="F516">
            <v>8117</v>
          </cell>
          <cell r="G516">
            <v>7275</v>
          </cell>
          <cell r="H516">
            <v>2913</v>
          </cell>
          <cell r="I516">
            <v>0</v>
          </cell>
        </row>
        <row r="517">
          <cell r="A517">
            <v>95421</v>
          </cell>
          <cell r="B517" t="str">
            <v>TOWN OF PINK HILL</v>
          </cell>
          <cell r="C517">
            <v>3.6699999999999998E-5</v>
          </cell>
          <cell r="D517"/>
          <cell r="E517">
            <v>5498</v>
          </cell>
          <cell r="F517">
            <v>5172</v>
          </cell>
          <cell r="G517">
            <v>4635</v>
          </cell>
          <cell r="H517">
            <v>1856</v>
          </cell>
          <cell r="I517">
            <v>0</v>
          </cell>
        </row>
        <row r="518">
          <cell r="A518">
            <v>95431</v>
          </cell>
          <cell r="B518" t="str">
            <v>TOWN OF LAGRANGE</v>
          </cell>
          <cell r="C518">
            <v>1.3689999999999999E-4</v>
          </cell>
          <cell r="D518"/>
          <cell r="E518">
            <v>20509</v>
          </cell>
          <cell r="F518">
            <v>19292</v>
          </cell>
          <cell r="G518">
            <v>17291</v>
          </cell>
          <cell r="H518">
            <v>6923</v>
          </cell>
          <cell r="I518">
            <v>0</v>
          </cell>
        </row>
        <row r="519">
          <cell r="A519">
            <v>95501</v>
          </cell>
          <cell r="B519" t="str">
            <v>LINCOLN COUNTY</v>
          </cell>
          <cell r="C519">
            <v>5.0283999999999997E-3</v>
          </cell>
          <cell r="D519"/>
          <cell r="E519">
            <v>753290</v>
          </cell>
          <cell r="F519">
            <v>708602</v>
          </cell>
          <cell r="G519">
            <v>635112</v>
          </cell>
          <cell r="H519">
            <v>254291</v>
          </cell>
          <cell r="I519">
            <v>0</v>
          </cell>
        </row>
        <row r="520">
          <cell r="A520">
            <v>95504</v>
          </cell>
          <cell r="B520" t="str">
            <v>LINCOLN COUNTY ABC BOARD</v>
          </cell>
          <cell r="C520">
            <v>1.49E-5</v>
          </cell>
          <cell r="D520"/>
          <cell r="E520">
            <v>2232</v>
          </cell>
          <cell r="F520">
            <v>2100</v>
          </cell>
          <cell r="G520">
            <v>1882</v>
          </cell>
          <cell r="H520">
            <v>754</v>
          </cell>
          <cell r="I520">
            <v>0</v>
          </cell>
        </row>
        <row r="521">
          <cell r="A521">
            <v>95511</v>
          </cell>
          <cell r="B521" t="str">
            <v>CITY OF LINCOLNTON</v>
          </cell>
          <cell r="C521">
            <v>9.4910000000000003E-4</v>
          </cell>
          <cell r="D521"/>
          <cell r="E521">
            <v>142182</v>
          </cell>
          <cell r="F521">
            <v>133747</v>
          </cell>
          <cell r="G521">
            <v>119876</v>
          </cell>
          <cell r="H521">
            <v>47997</v>
          </cell>
          <cell r="I521">
            <v>0</v>
          </cell>
        </row>
        <row r="522">
          <cell r="A522">
            <v>95513</v>
          </cell>
          <cell r="B522" t="str">
            <v>LINCOLNTON HOUSING AUTHORITY</v>
          </cell>
          <cell r="C522">
            <v>3.9700000000000003E-5</v>
          </cell>
          <cell r="D522"/>
          <cell r="E522">
            <v>5947</v>
          </cell>
          <cell r="F522">
            <v>5595</v>
          </cell>
          <cell r="G522">
            <v>5014</v>
          </cell>
          <cell r="H522">
            <v>2008</v>
          </cell>
          <cell r="I522">
            <v>0</v>
          </cell>
        </row>
        <row r="523">
          <cell r="A523">
            <v>95517</v>
          </cell>
          <cell r="B523" t="str">
            <v>TOWN OF LINCOLNTON ABC BOARD</v>
          </cell>
          <cell r="C523">
            <v>1.84E-5</v>
          </cell>
          <cell r="D523"/>
          <cell r="E523">
            <v>2756</v>
          </cell>
          <cell r="F523">
            <v>2593</v>
          </cell>
          <cell r="G523">
            <v>2324</v>
          </cell>
          <cell r="H523">
            <v>931</v>
          </cell>
          <cell r="I523">
            <v>0</v>
          </cell>
        </row>
        <row r="524">
          <cell r="A524">
            <v>95601</v>
          </cell>
          <cell r="B524" t="str">
            <v>MACON COUNTY</v>
          </cell>
          <cell r="C524">
            <v>2.4459999999999998E-3</v>
          </cell>
          <cell r="D524"/>
          <cell r="E524">
            <v>366428</v>
          </cell>
          <cell r="F524">
            <v>344690</v>
          </cell>
          <cell r="G524">
            <v>308942</v>
          </cell>
          <cell r="H524">
            <v>123697</v>
          </cell>
          <cell r="I524">
            <v>0</v>
          </cell>
        </row>
        <row r="525">
          <cell r="A525">
            <v>95611</v>
          </cell>
          <cell r="B525" t="str">
            <v>TOWN OF FRANKLIN</v>
          </cell>
          <cell r="C525">
            <v>3.7889999999999999E-4</v>
          </cell>
          <cell r="D525"/>
          <cell r="E525">
            <v>56762</v>
          </cell>
          <cell r="F525">
            <v>53395</v>
          </cell>
          <cell r="G525">
            <v>47857</v>
          </cell>
          <cell r="H525">
            <v>19161</v>
          </cell>
          <cell r="I525">
            <v>0</v>
          </cell>
        </row>
        <row r="526">
          <cell r="A526">
            <v>95617</v>
          </cell>
          <cell r="B526" t="str">
            <v>HIGHLANDS ABC BOARD</v>
          </cell>
          <cell r="C526">
            <v>1.49E-5</v>
          </cell>
          <cell r="D526"/>
          <cell r="E526">
            <v>2232</v>
          </cell>
          <cell r="F526">
            <v>2100</v>
          </cell>
          <cell r="G526">
            <v>1882</v>
          </cell>
          <cell r="H526">
            <v>754</v>
          </cell>
          <cell r="I526">
            <v>0</v>
          </cell>
        </row>
        <row r="527">
          <cell r="A527">
            <v>95621</v>
          </cell>
          <cell r="B527" t="str">
            <v>TOWN OF HIGHLANDS</v>
          </cell>
          <cell r="C527">
            <v>4.5750000000000001E-4</v>
          </cell>
          <cell r="D527"/>
          <cell r="E527">
            <v>68537</v>
          </cell>
          <cell r="F527">
            <v>64471</v>
          </cell>
          <cell r="G527">
            <v>57785</v>
          </cell>
          <cell r="H527">
            <v>23136</v>
          </cell>
          <cell r="I527">
            <v>0</v>
          </cell>
        </row>
        <row r="528">
          <cell r="A528">
            <v>95701</v>
          </cell>
          <cell r="B528" t="str">
            <v>MADISON COUNTY</v>
          </cell>
          <cell r="C528">
            <v>1.2156000000000001E-3</v>
          </cell>
          <cell r="D528"/>
          <cell r="E528">
            <v>182105</v>
          </cell>
          <cell r="F528">
            <v>171302</v>
          </cell>
          <cell r="G528">
            <v>153536</v>
          </cell>
          <cell r="H528">
            <v>61474</v>
          </cell>
          <cell r="I528">
            <v>0</v>
          </cell>
        </row>
        <row r="529">
          <cell r="A529">
            <v>95711</v>
          </cell>
          <cell r="B529" t="str">
            <v>TOWN OF MARS HILL</v>
          </cell>
          <cell r="C529">
            <v>1.4320000000000001E-4</v>
          </cell>
          <cell r="D529"/>
          <cell r="E529">
            <v>21452</v>
          </cell>
          <cell r="F529">
            <v>20180</v>
          </cell>
          <cell r="G529">
            <v>18087</v>
          </cell>
          <cell r="H529">
            <v>7242</v>
          </cell>
          <cell r="I529">
            <v>0</v>
          </cell>
        </row>
        <row r="530">
          <cell r="A530">
            <v>95721</v>
          </cell>
          <cell r="B530" t="str">
            <v>TOWN OF MARSHALL</v>
          </cell>
          <cell r="C530">
            <v>6.58E-5</v>
          </cell>
          <cell r="D530"/>
          <cell r="E530">
            <v>9857</v>
          </cell>
          <cell r="F530">
            <v>9273</v>
          </cell>
          <cell r="G530">
            <v>8311</v>
          </cell>
          <cell r="H530">
            <v>3328</v>
          </cell>
          <cell r="I530">
            <v>0</v>
          </cell>
        </row>
        <row r="531">
          <cell r="A531">
            <v>95733</v>
          </cell>
          <cell r="B531" t="str">
            <v>HOT SPRINGS HOUSING AUTHORITY</v>
          </cell>
          <cell r="C531">
            <v>1.43E-5</v>
          </cell>
          <cell r="D531"/>
          <cell r="E531">
            <v>2142</v>
          </cell>
          <cell r="F531">
            <v>2015</v>
          </cell>
          <cell r="G531">
            <v>1806</v>
          </cell>
          <cell r="H531">
            <v>723</v>
          </cell>
          <cell r="I531">
            <v>0</v>
          </cell>
        </row>
        <row r="532">
          <cell r="A532">
            <v>95801</v>
          </cell>
          <cell r="B532" t="str">
            <v>MARTIN COUNTY</v>
          </cell>
          <cell r="C532">
            <v>9.5739999999999996E-4</v>
          </cell>
          <cell r="D532"/>
          <cell r="E532">
            <v>143425</v>
          </cell>
          <cell r="F532">
            <v>134917</v>
          </cell>
          <cell r="G532">
            <v>120924</v>
          </cell>
          <cell r="H532">
            <v>48417</v>
          </cell>
          <cell r="I532">
            <v>0</v>
          </cell>
        </row>
        <row r="533">
          <cell r="A533">
            <v>95802</v>
          </cell>
          <cell r="B533" t="str">
            <v>MARTIN CO TRAVEL &amp; TOURISM AUTH</v>
          </cell>
          <cell r="C533">
            <v>4.5000000000000001E-6</v>
          </cell>
          <cell r="D533"/>
          <cell r="E533">
            <v>674</v>
          </cell>
          <cell r="F533">
            <v>634</v>
          </cell>
          <cell r="G533">
            <v>568</v>
          </cell>
          <cell r="H533">
            <v>228</v>
          </cell>
          <cell r="I533">
            <v>0</v>
          </cell>
        </row>
        <row r="534">
          <cell r="A534">
            <v>95804</v>
          </cell>
          <cell r="B534" t="str">
            <v>MARTIN COUNTY ABC BOARD</v>
          </cell>
          <cell r="C534">
            <v>2.5999999999999998E-5</v>
          </cell>
          <cell r="D534"/>
          <cell r="E534">
            <v>3895</v>
          </cell>
          <cell r="F534">
            <v>3664</v>
          </cell>
          <cell r="G534">
            <v>3284</v>
          </cell>
          <cell r="H534">
            <v>1315</v>
          </cell>
          <cell r="I534">
            <v>0</v>
          </cell>
        </row>
        <row r="535">
          <cell r="A535">
            <v>95811</v>
          </cell>
          <cell r="B535" t="str">
            <v>TOWN OF WILLIAMSTON</v>
          </cell>
          <cell r="C535">
            <v>5.287E-4</v>
          </cell>
          <cell r="D535"/>
          <cell r="E535">
            <v>79203</v>
          </cell>
          <cell r="F535">
            <v>74504</v>
          </cell>
          <cell r="G535">
            <v>66777</v>
          </cell>
          <cell r="H535">
            <v>26737</v>
          </cell>
          <cell r="I535">
            <v>0</v>
          </cell>
        </row>
        <row r="536">
          <cell r="A536">
            <v>95813</v>
          </cell>
          <cell r="B536" t="str">
            <v>WILLIAMSTON HOUSING AUTHORITY</v>
          </cell>
          <cell r="C536">
            <v>4.4100000000000001E-5</v>
          </cell>
          <cell r="D536"/>
          <cell r="E536">
            <v>6606</v>
          </cell>
          <cell r="F536">
            <v>6215</v>
          </cell>
          <cell r="G536">
            <v>5570</v>
          </cell>
          <cell r="H536">
            <v>2230</v>
          </cell>
          <cell r="I536">
            <v>0</v>
          </cell>
        </row>
        <row r="537">
          <cell r="A537">
            <v>95821</v>
          </cell>
          <cell r="B537" t="str">
            <v>TOWN OF OAK CITY</v>
          </cell>
          <cell r="C537">
            <v>6.3999999999999997E-6</v>
          </cell>
          <cell r="D537"/>
          <cell r="E537">
            <v>959</v>
          </cell>
          <cell r="F537">
            <v>902</v>
          </cell>
          <cell r="G537">
            <v>808</v>
          </cell>
          <cell r="H537">
            <v>324</v>
          </cell>
          <cell r="I537">
            <v>0</v>
          </cell>
        </row>
        <row r="538">
          <cell r="A538">
            <v>95831</v>
          </cell>
          <cell r="B538" t="str">
            <v>TOWN OF HAMILTON</v>
          </cell>
          <cell r="C538">
            <v>1.9899999999999999E-5</v>
          </cell>
          <cell r="D538"/>
          <cell r="E538">
            <v>2981</v>
          </cell>
          <cell r="F538">
            <v>2804</v>
          </cell>
          <cell r="G538">
            <v>2513</v>
          </cell>
          <cell r="H538">
            <v>1006</v>
          </cell>
          <cell r="I538">
            <v>0</v>
          </cell>
        </row>
        <row r="539">
          <cell r="A539">
            <v>95841</v>
          </cell>
          <cell r="B539" t="str">
            <v>TOWN OF JAMESVILLE</v>
          </cell>
          <cell r="C539">
            <v>2.58E-5</v>
          </cell>
          <cell r="D539"/>
          <cell r="E539">
            <v>3865</v>
          </cell>
          <cell r="F539">
            <v>3636</v>
          </cell>
          <cell r="G539">
            <v>3259</v>
          </cell>
          <cell r="H539">
            <v>1305</v>
          </cell>
          <cell r="I539">
            <v>0</v>
          </cell>
        </row>
        <row r="540">
          <cell r="A540">
            <v>95851</v>
          </cell>
          <cell r="B540" t="str">
            <v>TOWN OF ROBERSONVILLE</v>
          </cell>
          <cell r="C540">
            <v>1.26E-4</v>
          </cell>
          <cell r="D540"/>
          <cell r="E540">
            <v>18876</v>
          </cell>
          <cell r="F540">
            <v>17756</v>
          </cell>
          <cell r="G540">
            <v>15914</v>
          </cell>
          <cell r="H540">
            <v>6372</v>
          </cell>
          <cell r="I540">
            <v>0</v>
          </cell>
        </row>
        <row r="541">
          <cell r="A541">
            <v>95853</v>
          </cell>
          <cell r="B541" t="str">
            <v>ROBERSONVILLE HOUSING AUTHORITY</v>
          </cell>
          <cell r="C541">
            <v>3.0300000000000001E-5</v>
          </cell>
          <cell r="D541"/>
          <cell r="E541">
            <v>4539</v>
          </cell>
          <cell r="F541">
            <v>4270</v>
          </cell>
          <cell r="G541">
            <v>3827</v>
          </cell>
          <cell r="H541">
            <v>1532</v>
          </cell>
          <cell r="I541">
            <v>0</v>
          </cell>
        </row>
        <row r="542">
          <cell r="A542">
            <v>95901</v>
          </cell>
          <cell r="B542" t="str">
            <v>MCDOWELL COUNTY</v>
          </cell>
          <cell r="C542">
            <v>1.9935E-3</v>
          </cell>
          <cell r="D542"/>
          <cell r="E542">
            <v>298640</v>
          </cell>
          <cell r="F542">
            <v>280924</v>
          </cell>
          <cell r="G542">
            <v>251789</v>
          </cell>
          <cell r="H542">
            <v>100813</v>
          </cell>
          <cell r="I542">
            <v>0</v>
          </cell>
        </row>
        <row r="543">
          <cell r="A543">
            <v>95908</v>
          </cell>
          <cell r="B543" t="str">
            <v>PLEASANT GARDEN FIRE DEPT</v>
          </cell>
          <cell r="C543">
            <v>7.1500000000000003E-5</v>
          </cell>
          <cell r="D543"/>
          <cell r="E543">
            <v>10711</v>
          </cell>
          <cell r="F543">
            <v>10076</v>
          </cell>
          <cell r="G543">
            <v>9031</v>
          </cell>
          <cell r="H543">
            <v>3616</v>
          </cell>
          <cell r="I543">
            <v>0</v>
          </cell>
        </row>
        <row r="544">
          <cell r="A544">
            <v>95911</v>
          </cell>
          <cell r="B544" t="str">
            <v>TOWN OF MARION</v>
          </cell>
          <cell r="C544">
            <v>5.6829999999999999E-4</v>
          </cell>
          <cell r="D544"/>
          <cell r="E544">
            <v>85135</v>
          </cell>
          <cell r="F544">
            <v>80085</v>
          </cell>
          <cell r="G544">
            <v>71779</v>
          </cell>
          <cell r="H544">
            <v>28739</v>
          </cell>
          <cell r="I544">
            <v>0</v>
          </cell>
        </row>
        <row r="545">
          <cell r="A545">
            <v>95917</v>
          </cell>
          <cell r="B545" t="str">
            <v>MARION ABC BOARD</v>
          </cell>
          <cell r="C545">
            <v>1.8600000000000001E-5</v>
          </cell>
          <cell r="D545"/>
          <cell r="E545">
            <v>2786</v>
          </cell>
          <cell r="F545">
            <v>2621</v>
          </cell>
          <cell r="G545">
            <v>2349</v>
          </cell>
          <cell r="H545">
            <v>941</v>
          </cell>
          <cell r="I545">
            <v>0</v>
          </cell>
        </row>
        <row r="546">
          <cell r="A546">
            <v>95921</v>
          </cell>
          <cell r="B546" t="str">
            <v>TOWN OF OLD FORT</v>
          </cell>
          <cell r="C546">
            <v>5.4200000000000003E-5</v>
          </cell>
          <cell r="D546"/>
          <cell r="E546">
            <v>8120</v>
          </cell>
          <cell r="F546">
            <v>7638</v>
          </cell>
          <cell r="G546">
            <v>6846</v>
          </cell>
          <cell r="H546">
            <v>2741</v>
          </cell>
          <cell r="I546">
            <v>0</v>
          </cell>
        </row>
        <row r="547">
          <cell r="A547">
            <v>96001</v>
          </cell>
          <cell r="B547" t="str">
            <v>MECKLENBURG COUNTY</v>
          </cell>
          <cell r="C547">
            <v>4.3367500000000003E-2</v>
          </cell>
          <cell r="D547"/>
          <cell r="E547">
            <v>6496755</v>
          </cell>
          <cell r="F547">
            <v>6111348</v>
          </cell>
          <cell r="G547">
            <v>5477532</v>
          </cell>
          <cell r="H547">
            <v>2193138</v>
          </cell>
          <cell r="I547">
            <v>0</v>
          </cell>
        </row>
        <row r="548">
          <cell r="A548">
            <v>96003</v>
          </cell>
          <cell r="B548" t="str">
            <v>CHARLOTTE HOUSING AUTHORITY</v>
          </cell>
          <cell r="C548">
            <v>1.6620000000000001E-3</v>
          </cell>
          <cell r="D548"/>
          <cell r="E548">
            <v>248979</v>
          </cell>
          <cell r="F548">
            <v>234209</v>
          </cell>
          <cell r="G548">
            <v>209919</v>
          </cell>
          <cell r="H548">
            <v>84049</v>
          </cell>
          <cell r="I548">
            <v>0</v>
          </cell>
        </row>
        <row r="549">
          <cell r="A549">
            <v>96004</v>
          </cell>
          <cell r="B549" t="str">
            <v>MECKLENBURG COUNTY ABC BOARD</v>
          </cell>
          <cell r="C549">
            <v>9.3959999999999996E-4</v>
          </cell>
          <cell r="D549"/>
          <cell r="E549">
            <v>140759</v>
          </cell>
          <cell r="F549">
            <v>132408</v>
          </cell>
          <cell r="G549">
            <v>118676</v>
          </cell>
          <cell r="H549">
            <v>47517</v>
          </cell>
          <cell r="I549">
            <v>0</v>
          </cell>
        </row>
        <row r="550">
          <cell r="A550">
            <v>96005</v>
          </cell>
          <cell r="B550" t="str">
            <v>CHARLOTTE MECKLENBURG PUBLIC LIBRARY</v>
          </cell>
          <cell r="C550">
            <v>2.4467E-3</v>
          </cell>
          <cell r="D550"/>
          <cell r="E550">
            <v>366533</v>
          </cell>
          <cell r="F550">
            <v>344789</v>
          </cell>
          <cell r="G550">
            <v>309030</v>
          </cell>
          <cell r="H550">
            <v>123732</v>
          </cell>
          <cell r="I550">
            <v>0</v>
          </cell>
        </row>
        <row r="551">
          <cell r="A551">
            <v>96008</v>
          </cell>
          <cell r="B551" t="str">
            <v>MECKLENBURG EMER MED SVCS AGCY</v>
          </cell>
          <cell r="C551">
            <v>6.1741000000000001E-3</v>
          </cell>
          <cell r="D551"/>
          <cell r="E551">
            <v>924923</v>
          </cell>
          <cell r="F551">
            <v>870054</v>
          </cell>
          <cell r="G551">
            <v>779820</v>
          </cell>
          <cell r="H551">
            <v>312230</v>
          </cell>
          <cell r="I551">
            <v>0</v>
          </cell>
        </row>
        <row r="552">
          <cell r="A552">
            <v>96009</v>
          </cell>
          <cell r="B552" t="str">
            <v>CENTRALINA COUNCIL OF GOVERNMENTS</v>
          </cell>
          <cell r="C552">
            <v>3.5409999999999999E-4</v>
          </cell>
          <cell r="D552"/>
          <cell r="E552">
            <v>53047</v>
          </cell>
          <cell r="F552">
            <v>49900</v>
          </cell>
          <cell r="G552">
            <v>44725</v>
          </cell>
          <cell r="H552">
            <v>17907</v>
          </cell>
          <cell r="I552">
            <v>0</v>
          </cell>
        </row>
        <row r="553">
          <cell r="A553">
            <v>96011</v>
          </cell>
          <cell r="B553" t="str">
            <v>CITY OF CHARLOTTE</v>
          </cell>
          <cell r="C553">
            <v>6.3204399999999994E-2</v>
          </cell>
          <cell r="D553"/>
          <cell r="E553">
            <v>9468462</v>
          </cell>
          <cell r="F553">
            <v>8906764</v>
          </cell>
          <cell r="G553">
            <v>7983032</v>
          </cell>
          <cell r="H553">
            <v>3196310</v>
          </cell>
          <cell r="I553">
            <v>0</v>
          </cell>
        </row>
        <row r="554">
          <cell r="A554">
            <v>96012</v>
          </cell>
          <cell r="B554" t="str">
            <v>CHARLOTTE REGIONAL VISITORS AUTHORITY</v>
          </cell>
          <cell r="C554">
            <v>2.5593E-3</v>
          </cell>
          <cell r="D554"/>
          <cell r="E554">
            <v>383401</v>
          </cell>
          <cell r="F554">
            <v>360657</v>
          </cell>
          <cell r="G554">
            <v>323252</v>
          </cell>
          <cell r="H554">
            <v>129426</v>
          </cell>
          <cell r="I554">
            <v>0</v>
          </cell>
        </row>
        <row r="555">
          <cell r="A555">
            <v>96018</v>
          </cell>
          <cell r="B555" t="str">
            <v>CHARLOTTE FIREMEN'S RET SYS</v>
          </cell>
          <cell r="C555">
            <v>3.4199999999999998E-5</v>
          </cell>
          <cell r="D555"/>
          <cell r="E555">
            <v>5123</v>
          </cell>
          <cell r="F555">
            <v>4819</v>
          </cell>
          <cell r="G555">
            <v>4320</v>
          </cell>
          <cell r="H555">
            <v>1730</v>
          </cell>
          <cell r="I555">
            <v>0</v>
          </cell>
        </row>
        <row r="556">
          <cell r="A556">
            <v>96021</v>
          </cell>
          <cell r="B556" t="str">
            <v>TOWN OF PINEVILLE</v>
          </cell>
          <cell r="C556">
            <v>7.7490000000000002E-4</v>
          </cell>
          <cell r="D556"/>
          <cell r="E556">
            <v>116085</v>
          </cell>
          <cell r="F556">
            <v>109199</v>
          </cell>
          <cell r="G556">
            <v>97874</v>
          </cell>
          <cell r="H556">
            <v>39187</v>
          </cell>
          <cell r="I556">
            <v>0</v>
          </cell>
        </row>
        <row r="557">
          <cell r="A557">
            <v>96031</v>
          </cell>
          <cell r="B557" t="str">
            <v>TOWN OF MINT HILL</v>
          </cell>
          <cell r="C557">
            <v>8.3790000000000004E-4</v>
          </cell>
          <cell r="D557"/>
          <cell r="E557">
            <v>125523</v>
          </cell>
          <cell r="F557">
            <v>118077</v>
          </cell>
          <cell r="G557">
            <v>105831</v>
          </cell>
          <cell r="H557">
            <v>42373</v>
          </cell>
          <cell r="I557">
            <v>0</v>
          </cell>
        </row>
        <row r="558">
          <cell r="A558">
            <v>96041</v>
          </cell>
          <cell r="B558" t="str">
            <v>TOWN OF HUNTERSVILLE</v>
          </cell>
          <cell r="C558">
            <v>1.7466000000000001E-3</v>
          </cell>
          <cell r="D558"/>
          <cell r="E558">
            <v>261653</v>
          </cell>
          <cell r="F558">
            <v>246131</v>
          </cell>
          <cell r="G558">
            <v>220604</v>
          </cell>
          <cell r="H558">
            <v>88327</v>
          </cell>
          <cell r="I558">
            <v>0</v>
          </cell>
        </row>
        <row r="559">
          <cell r="A559">
            <v>96051</v>
          </cell>
          <cell r="B559" t="str">
            <v>TOWN OF CORNELIUS</v>
          </cell>
          <cell r="C559">
            <v>9.6909999999999997E-4</v>
          </cell>
          <cell r="D559"/>
          <cell r="E559">
            <v>145178</v>
          </cell>
          <cell r="F559">
            <v>136566</v>
          </cell>
          <cell r="G559">
            <v>122402</v>
          </cell>
          <cell r="H559">
            <v>49008</v>
          </cell>
          <cell r="I559">
            <v>0</v>
          </cell>
        </row>
        <row r="560">
          <cell r="A560">
            <v>96061</v>
          </cell>
          <cell r="B560" t="str">
            <v>TOWN OF STALLINGS</v>
          </cell>
          <cell r="C560">
            <v>3.4220000000000002E-4</v>
          </cell>
          <cell r="D560"/>
          <cell r="E560">
            <v>51264</v>
          </cell>
          <cell r="F560">
            <v>48223</v>
          </cell>
          <cell r="G560">
            <v>43222</v>
          </cell>
          <cell r="H560">
            <v>17305</v>
          </cell>
          <cell r="I560">
            <v>0</v>
          </cell>
        </row>
        <row r="561">
          <cell r="A561">
            <v>96071</v>
          </cell>
          <cell r="B561" t="str">
            <v>TOWN OF MATTHEWS</v>
          </cell>
          <cell r="C561">
            <v>1.3016E-3</v>
          </cell>
          <cell r="D561"/>
          <cell r="E561">
            <v>194989</v>
          </cell>
          <cell r="F561">
            <v>183421</v>
          </cell>
          <cell r="G561">
            <v>164399</v>
          </cell>
          <cell r="H561">
            <v>65823</v>
          </cell>
          <cell r="I561">
            <v>0</v>
          </cell>
        </row>
        <row r="562">
          <cell r="A562">
            <v>96081</v>
          </cell>
          <cell r="B562" t="str">
            <v>TOWN OF DAVIDSON</v>
          </cell>
          <cell r="C562">
            <v>5.419E-4</v>
          </cell>
          <cell r="D562"/>
          <cell r="E562">
            <v>81180</v>
          </cell>
          <cell r="F562">
            <v>76365</v>
          </cell>
          <cell r="G562">
            <v>68445</v>
          </cell>
          <cell r="H562">
            <v>27404</v>
          </cell>
          <cell r="I562">
            <v>0</v>
          </cell>
        </row>
        <row r="563">
          <cell r="A563">
            <v>96101</v>
          </cell>
          <cell r="B563" t="str">
            <v>MITCHELL COUNTY</v>
          </cell>
          <cell r="C563">
            <v>6.4729999999999996E-4</v>
          </cell>
          <cell r="D563"/>
          <cell r="E563">
            <v>96970</v>
          </cell>
          <cell r="F563">
            <v>91218</v>
          </cell>
          <cell r="G563">
            <v>81757</v>
          </cell>
          <cell r="H563">
            <v>32735</v>
          </cell>
          <cell r="I563">
            <v>0</v>
          </cell>
        </row>
        <row r="564">
          <cell r="A564">
            <v>96102</v>
          </cell>
          <cell r="B564" t="str">
            <v>MITCHELL SOIL &amp; WATER CONSERVATION DIST</v>
          </cell>
          <cell r="C564">
            <v>1.1600000000000001E-5</v>
          </cell>
          <cell r="D564"/>
          <cell r="E564">
            <v>1738</v>
          </cell>
          <cell r="F564">
            <v>1635</v>
          </cell>
          <cell r="G564">
            <v>1465</v>
          </cell>
          <cell r="H564">
            <v>587</v>
          </cell>
          <cell r="I564">
            <v>0</v>
          </cell>
        </row>
        <row r="565">
          <cell r="A565">
            <v>96111</v>
          </cell>
          <cell r="B565" t="str">
            <v>TOWN OF SPRUCE PINE</v>
          </cell>
          <cell r="C565">
            <v>1.5809999999999999E-4</v>
          </cell>
          <cell r="D565"/>
          <cell r="E565">
            <v>23684</v>
          </cell>
          <cell r="F565">
            <v>22279</v>
          </cell>
          <cell r="G565">
            <v>19969</v>
          </cell>
          <cell r="H565">
            <v>7995</v>
          </cell>
          <cell r="I565">
            <v>0</v>
          </cell>
        </row>
        <row r="566">
          <cell r="A566">
            <v>96121</v>
          </cell>
          <cell r="B566" t="str">
            <v>TOWN OF BAKERSVILLE</v>
          </cell>
          <cell r="C566">
            <v>2.4300000000000001E-5</v>
          </cell>
          <cell r="D566"/>
          <cell r="E566">
            <v>3640</v>
          </cell>
          <cell r="F566">
            <v>3424</v>
          </cell>
          <cell r="G566">
            <v>3069</v>
          </cell>
          <cell r="H566">
            <v>1229</v>
          </cell>
          <cell r="I566">
            <v>0</v>
          </cell>
        </row>
        <row r="567">
          <cell r="A567">
            <v>96201</v>
          </cell>
          <cell r="B567" t="str">
            <v>MONTGOMERY COUNTY</v>
          </cell>
          <cell r="C567">
            <v>1.0575000000000001E-3</v>
          </cell>
          <cell r="D567"/>
          <cell r="E567">
            <v>158421</v>
          </cell>
          <cell r="F567">
            <v>149023</v>
          </cell>
          <cell r="G567">
            <v>133568</v>
          </cell>
          <cell r="H567">
            <v>53479</v>
          </cell>
          <cell r="I567">
            <v>0</v>
          </cell>
        </row>
        <row r="568">
          <cell r="A568">
            <v>96204</v>
          </cell>
          <cell r="B568" t="str">
            <v>MONTGOMERY-MUNICIPAL ABC BOARD</v>
          </cell>
          <cell r="C568">
            <v>1.42E-5</v>
          </cell>
          <cell r="D568"/>
          <cell r="E568">
            <v>2127</v>
          </cell>
          <cell r="F568">
            <v>2001</v>
          </cell>
          <cell r="G568">
            <v>1794</v>
          </cell>
          <cell r="H568">
            <v>718</v>
          </cell>
          <cell r="I568">
            <v>0</v>
          </cell>
        </row>
        <row r="569">
          <cell r="A569">
            <v>96211</v>
          </cell>
          <cell r="B569" t="str">
            <v>TOWN OF STAR</v>
          </cell>
          <cell r="C569">
            <v>2.4000000000000001E-5</v>
          </cell>
          <cell r="D569"/>
          <cell r="E569">
            <v>3595</v>
          </cell>
          <cell r="F569">
            <v>3382</v>
          </cell>
          <cell r="G569">
            <v>3031</v>
          </cell>
          <cell r="H569">
            <v>1214</v>
          </cell>
          <cell r="I569">
            <v>0</v>
          </cell>
        </row>
        <row r="570">
          <cell r="A570">
            <v>96221</v>
          </cell>
          <cell r="B570" t="str">
            <v>TOWN OF TROY</v>
          </cell>
          <cell r="C570">
            <v>2.141E-4</v>
          </cell>
          <cell r="D570"/>
          <cell r="E570">
            <v>32074</v>
          </cell>
          <cell r="F570">
            <v>30171</v>
          </cell>
          <cell r="G570">
            <v>27042</v>
          </cell>
          <cell r="H570">
            <v>10827</v>
          </cell>
          <cell r="I570">
            <v>0</v>
          </cell>
        </row>
        <row r="571">
          <cell r="A571">
            <v>96231</v>
          </cell>
          <cell r="B571" t="str">
            <v>TOWN OF BISCOE</v>
          </cell>
          <cell r="C571">
            <v>1.2349999999999999E-4</v>
          </cell>
          <cell r="D571"/>
          <cell r="E571">
            <v>18501</v>
          </cell>
          <cell r="F571">
            <v>17404</v>
          </cell>
          <cell r="G571">
            <v>15599</v>
          </cell>
          <cell r="H571">
            <v>6246</v>
          </cell>
          <cell r="I571">
            <v>0</v>
          </cell>
        </row>
        <row r="572">
          <cell r="A572">
            <v>96241</v>
          </cell>
          <cell r="B572" t="str">
            <v>TOWN OF CANDOR</v>
          </cell>
          <cell r="C572">
            <v>6.4499999999999996E-5</v>
          </cell>
          <cell r="D572"/>
          <cell r="E572">
            <v>9663</v>
          </cell>
          <cell r="F572">
            <v>9089</v>
          </cell>
          <cell r="G572">
            <v>8147</v>
          </cell>
          <cell r="H572">
            <v>3262</v>
          </cell>
          <cell r="I572">
            <v>0</v>
          </cell>
        </row>
        <row r="573">
          <cell r="A573">
            <v>96251</v>
          </cell>
          <cell r="B573" t="str">
            <v>TOWN OF MOUNT GILEAD</v>
          </cell>
          <cell r="C573">
            <v>1.004E-4</v>
          </cell>
          <cell r="D573"/>
          <cell r="E573">
            <v>15041</v>
          </cell>
          <cell r="F573">
            <v>14148</v>
          </cell>
          <cell r="G573">
            <v>12681</v>
          </cell>
          <cell r="H573">
            <v>5077</v>
          </cell>
          <cell r="I573">
            <v>0</v>
          </cell>
        </row>
        <row r="574">
          <cell r="A574">
            <v>96301</v>
          </cell>
          <cell r="B574" t="str">
            <v>MOORE COUNTY</v>
          </cell>
          <cell r="C574">
            <v>4.6904E-3</v>
          </cell>
          <cell r="D574"/>
          <cell r="E574">
            <v>702655</v>
          </cell>
          <cell r="F574">
            <v>660971</v>
          </cell>
          <cell r="G574">
            <v>592421</v>
          </cell>
          <cell r="H574">
            <v>237198</v>
          </cell>
          <cell r="I574">
            <v>0</v>
          </cell>
        </row>
        <row r="575">
          <cell r="A575">
            <v>96302</v>
          </cell>
          <cell r="B575" t="str">
            <v>TOWN OF TAYLORTOWN</v>
          </cell>
          <cell r="C575">
            <v>2.3600000000000001E-5</v>
          </cell>
          <cell r="D575"/>
          <cell r="E575">
            <v>3535</v>
          </cell>
          <cell r="F575">
            <v>3326</v>
          </cell>
          <cell r="G575">
            <v>2981</v>
          </cell>
          <cell r="H575">
            <v>1193</v>
          </cell>
          <cell r="I575">
            <v>0</v>
          </cell>
        </row>
        <row r="576">
          <cell r="A576">
            <v>96304</v>
          </cell>
          <cell r="B576" t="str">
            <v>MOORE COUNTY ABC BOARD</v>
          </cell>
          <cell r="C576">
            <v>4.3900000000000003E-5</v>
          </cell>
          <cell r="D576"/>
          <cell r="E576">
            <v>6577</v>
          </cell>
          <cell r="F576">
            <v>6186</v>
          </cell>
          <cell r="G576">
            <v>5545</v>
          </cell>
          <cell r="H576">
            <v>2220</v>
          </cell>
          <cell r="I576">
            <v>0</v>
          </cell>
        </row>
        <row r="577">
          <cell r="A577">
            <v>96305</v>
          </cell>
          <cell r="B577" t="str">
            <v>MOORE COUNTY TOURISM DEVELOPMENT AUTHORITY</v>
          </cell>
          <cell r="C577">
            <v>4.1199999999999999E-5</v>
          </cell>
          <cell r="D577"/>
          <cell r="E577">
            <v>6172</v>
          </cell>
          <cell r="F577">
            <v>5806</v>
          </cell>
          <cell r="G577">
            <v>5204</v>
          </cell>
          <cell r="H577">
            <v>2084</v>
          </cell>
          <cell r="I577">
            <v>0</v>
          </cell>
        </row>
        <row r="578">
          <cell r="A578">
            <v>96310</v>
          </cell>
          <cell r="B578" t="str">
            <v>MOORE COUNTY AIRPORT AUTHORITY</v>
          </cell>
          <cell r="C578">
            <v>4.49E-5</v>
          </cell>
          <cell r="D578"/>
          <cell r="E578">
            <v>6726</v>
          </cell>
          <cell r="F578">
            <v>6327</v>
          </cell>
          <cell r="G578">
            <v>5671</v>
          </cell>
          <cell r="H578">
            <v>2271</v>
          </cell>
          <cell r="I578">
            <v>0</v>
          </cell>
        </row>
        <row r="579">
          <cell r="A579">
            <v>96311</v>
          </cell>
          <cell r="B579" t="str">
            <v>TOWN OF SOUTHERN PINES</v>
          </cell>
          <cell r="C579">
            <v>1.3112E-3</v>
          </cell>
          <cell r="D579"/>
          <cell r="E579">
            <v>196427</v>
          </cell>
          <cell r="F579">
            <v>184774</v>
          </cell>
          <cell r="G579">
            <v>165611</v>
          </cell>
          <cell r="H579">
            <v>66309</v>
          </cell>
          <cell r="I579">
            <v>0</v>
          </cell>
        </row>
        <row r="580">
          <cell r="A580">
            <v>96312</v>
          </cell>
          <cell r="B580" t="str">
            <v>TOWN OF CAMERON</v>
          </cell>
          <cell r="C580">
            <v>5.8000000000000004E-6</v>
          </cell>
          <cell r="D580"/>
          <cell r="E580">
            <v>869</v>
          </cell>
          <cell r="F580">
            <v>817</v>
          </cell>
          <cell r="G580">
            <v>733</v>
          </cell>
          <cell r="H580">
            <v>293</v>
          </cell>
          <cell r="I580">
            <v>0</v>
          </cell>
        </row>
        <row r="581">
          <cell r="A581">
            <v>96318</v>
          </cell>
          <cell r="B581" t="str">
            <v>SANDHILLS CENTER</v>
          </cell>
          <cell r="C581">
            <v>2.2319000000000002E-3</v>
          </cell>
          <cell r="D581"/>
          <cell r="E581">
            <v>334354</v>
          </cell>
          <cell r="F581">
            <v>314519</v>
          </cell>
          <cell r="G581">
            <v>281900</v>
          </cell>
          <cell r="H581">
            <v>112869</v>
          </cell>
          <cell r="I581">
            <v>0</v>
          </cell>
        </row>
        <row r="582">
          <cell r="A582">
            <v>96321</v>
          </cell>
          <cell r="B582" t="str">
            <v>TOWN OF VASS</v>
          </cell>
          <cell r="C582">
            <v>3.65E-5</v>
          </cell>
          <cell r="D582"/>
          <cell r="E582">
            <v>5468</v>
          </cell>
          <cell r="F582">
            <v>5144</v>
          </cell>
          <cell r="G582">
            <v>4610</v>
          </cell>
          <cell r="H582">
            <v>1846</v>
          </cell>
          <cell r="I582">
            <v>0</v>
          </cell>
        </row>
        <row r="583">
          <cell r="A583">
            <v>96331</v>
          </cell>
          <cell r="B583" t="str">
            <v>TOWN OF ABERDEEN</v>
          </cell>
          <cell r="C583">
            <v>7.4430000000000004E-4</v>
          </cell>
          <cell r="D583"/>
          <cell r="E583">
            <v>111501</v>
          </cell>
          <cell r="F583">
            <v>104887</v>
          </cell>
          <cell r="G583">
            <v>94009</v>
          </cell>
          <cell r="H583">
            <v>37640</v>
          </cell>
          <cell r="I583">
            <v>0</v>
          </cell>
        </row>
        <row r="584">
          <cell r="A584">
            <v>96341</v>
          </cell>
          <cell r="B584" t="str">
            <v>TOWN OF ROBBINS</v>
          </cell>
          <cell r="C584">
            <v>7.8200000000000003E-5</v>
          </cell>
          <cell r="D584"/>
          <cell r="E584">
            <v>11715</v>
          </cell>
          <cell r="F584">
            <v>11020</v>
          </cell>
          <cell r="G584">
            <v>9877</v>
          </cell>
          <cell r="H584">
            <v>3955</v>
          </cell>
          <cell r="I584">
            <v>0</v>
          </cell>
        </row>
        <row r="585">
          <cell r="A585">
            <v>96351</v>
          </cell>
          <cell r="B585" t="str">
            <v>VILLAGE OF PINEHURST</v>
          </cell>
          <cell r="C585">
            <v>1.0093000000000001E-3</v>
          </cell>
          <cell r="D585"/>
          <cell r="E585">
            <v>151200</v>
          </cell>
          <cell r="F585">
            <v>142231</v>
          </cell>
          <cell r="G585">
            <v>127480</v>
          </cell>
          <cell r="H585">
            <v>51041</v>
          </cell>
          <cell r="I585">
            <v>0</v>
          </cell>
        </row>
        <row r="586">
          <cell r="A586">
            <v>96361</v>
          </cell>
          <cell r="B586" t="str">
            <v>TOWN OF PINEBLUFF</v>
          </cell>
          <cell r="C586">
            <v>4.1100000000000003E-5</v>
          </cell>
          <cell r="D586"/>
          <cell r="E586">
            <v>6157</v>
          </cell>
          <cell r="F586">
            <v>5792</v>
          </cell>
          <cell r="G586">
            <v>5191</v>
          </cell>
          <cell r="H586">
            <v>2078</v>
          </cell>
          <cell r="I586">
            <v>0</v>
          </cell>
        </row>
        <row r="587">
          <cell r="A587">
            <v>96371</v>
          </cell>
          <cell r="B587" t="str">
            <v>VILLAGE OF WHISPERING PINES</v>
          </cell>
          <cell r="C587">
            <v>1.5100000000000001E-4</v>
          </cell>
          <cell r="D587"/>
          <cell r="E587">
            <v>22621</v>
          </cell>
          <cell r="F587">
            <v>21279</v>
          </cell>
          <cell r="G587">
            <v>19072</v>
          </cell>
          <cell r="H587">
            <v>7636</v>
          </cell>
          <cell r="I587">
            <v>0</v>
          </cell>
        </row>
        <row r="588">
          <cell r="A588">
            <v>96381</v>
          </cell>
          <cell r="B588" t="str">
            <v>FOXFIRE VILLAGE</v>
          </cell>
          <cell r="C588">
            <v>3.2799999999999998E-5</v>
          </cell>
          <cell r="D588"/>
          <cell r="E588">
            <v>4914</v>
          </cell>
          <cell r="F588">
            <v>4622</v>
          </cell>
          <cell r="G588">
            <v>4143</v>
          </cell>
          <cell r="H588">
            <v>1659</v>
          </cell>
          <cell r="I588">
            <v>0</v>
          </cell>
        </row>
        <row r="589">
          <cell r="A589">
            <v>96391</v>
          </cell>
          <cell r="B589" t="str">
            <v>TOWN OF CARTHAGE</v>
          </cell>
          <cell r="C589">
            <v>2.0560000000000001E-4</v>
          </cell>
          <cell r="D589"/>
          <cell r="E589">
            <v>30800</v>
          </cell>
          <cell r="F589">
            <v>28973</v>
          </cell>
          <cell r="G589">
            <v>25968</v>
          </cell>
          <cell r="H589">
            <v>10397</v>
          </cell>
          <cell r="I589">
            <v>0</v>
          </cell>
        </row>
        <row r="590">
          <cell r="A590">
            <v>96401</v>
          </cell>
          <cell r="B590" t="str">
            <v>NASH COUNTY</v>
          </cell>
          <cell r="C590">
            <v>4.3956000000000004E-3</v>
          </cell>
          <cell r="D590"/>
          <cell r="E590">
            <v>658492</v>
          </cell>
          <cell r="F590">
            <v>619428</v>
          </cell>
          <cell r="G590">
            <v>555186</v>
          </cell>
          <cell r="H590">
            <v>222290</v>
          </cell>
          <cell r="I590">
            <v>0</v>
          </cell>
        </row>
        <row r="591">
          <cell r="A591">
            <v>96404</v>
          </cell>
          <cell r="B591" t="str">
            <v>NASH COUNTY ABC BOARD</v>
          </cell>
          <cell r="C591">
            <v>9.8300000000000004E-5</v>
          </cell>
          <cell r="D591"/>
          <cell r="E591">
            <v>14726</v>
          </cell>
          <cell r="F591">
            <v>13852</v>
          </cell>
          <cell r="G591">
            <v>12416</v>
          </cell>
          <cell r="H591">
            <v>4971</v>
          </cell>
          <cell r="I591">
            <v>0</v>
          </cell>
        </row>
        <row r="592">
          <cell r="A592">
            <v>96405</v>
          </cell>
          <cell r="B592" t="str">
            <v>BRASWELL MEMORIAL LIBRARY</v>
          </cell>
          <cell r="C592">
            <v>1.4569999999999999E-4</v>
          </cell>
          <cell r="D592"/>
          <cell r="E592">
            <v>21827</v>
          </cell>
          <cell r="F592">
            <v>20532</v>
          </cell>
          <cell r="G592">
            <v>18403</v>
          </cell>
          <cell r="H592">
            <v>7368</v>
          </cell>
          <cell r="I592">
            <v>0</v>
          </cell>
        </row>
        <row r="593">
          <cell r="A593">
            <v>96411</v>
          </cell>
          <cell r="B593" t="str">
            <v>TOWN OF SPRING HOPE</v>
          </cell>
          <cell r="C593">
            <v>7.0900000000000002E-5</v>
          </cell>
          <cell r="D593"/>
          <cell r="E593">
            <v>10621</v>
          </cell>
          <cell r="F593">
            <v>9991</v>
          </cell>
          <cell r="G593">
            <v>8955</v>
          </cell>
          <cell r="H593">
            <v>3585</v>
          </cell>
          <cell r="I593">
            <v>0</v>
          </cell>
        </row>
        <row r="594">
          <cell r="A594">
            <v>96421</v>
          </cell>
          <cell r="B594" t="str">
            <v>TOWN OF NASHVILLE</v>
          </cell>
          <cell r="C594">
            <v>3.8010000000000002E-4</v>
          </cell>
          <cell r="D594"/>
          <cell r="E594">
            <v>56942</v>
          </cell>
          <cell r="F594">
            <v>53564</v>
          </cell>
          <cell r="G594">
            <v>48009</v>
          </cell>
          <cell r="H594">
            <v>19222</v>
          </cell>
          <cell r="I594">
            <v>0</v>
          </cell>
        </row>
        <row r="595">
          <cell r="A595">
            <v>96431</v>
          </cell>
          <cell r="B595" t="str">
            <v>TOWN OF MIDDLESEX</v>
          </cell>
          <cell r="C595">
            <v>3.3599999999999997E-5</v>
          </cell>
          <cell r="D595"/>
          <cell r="E595">
            <v>5034</v>
          </cell>
          <cell r="F595">
            <v>4735</v>
          </cell>
          <cell r="G595">
            <v>4244</v>
          </cell>
          <cell r="H595">
            <v>1699</v>
          </cell>
          <cell r="I595">
            <v>0</v>
          </cell>
        </row>
        <row r="596">
          <cell r="A596">
            <v>96441</v>
          </cell>
          <cell r="B596" t="str">
            <v>TOWN OF WHITAKERS</v>
          </cell>
          <cell r="C596">
            <v>1.8499999999999999E-5</v>
          </cell>
          <cell r="D596"/>
          <cell r="E596">
            <v>2771</v>
          </cell>
          <cell r="F596">
            <v>2607</v>
          </cell>
          <cell r="G596">
            <v>2337</v>
          </cell>
          <cell r="H596">
            <v>936</v>
          </cell>
          <cell r="I596">
            <v>0</v>
          </cell>
        </row>
        <row r="597">
          <cell r="A597">
            <v>96451</v>
          </cell>
          <cell r="B597" t="str">
            <v>TOWN OF BAILEY</v>
          </cell>
          <cell r="C597">
            <v>7.4000000000000003E-6</v>
          </cell>
          <cell r="D597"/>
          <cell r="E597">
            <v>1109</v>
          </cell>
          <cell r="F597">
            <v>1043</v>
          </cell>
          <cell r="G597">
            <v>935</v>
          </cell>
          <cell r="H597">
            <v>374</v>
          </cell>
          <cell r="I597">
            <v>0</v>
          </cell>
        </row>
        <row r="598">
          <cell r="A598">
            <v>96461</v>
          </cell>
          <cell r="B598" t="str">
            <v>TOWN OF SHARPSBURG</v>
          </cell>
          <cell r="C598">
            <v>1.361E-4</v>
          </cell>
          <cell r="D598"/>
          <cell r="E598">
            <v>20389</v>
          </cell>
          <cell r="F598">
            <v>19179</v>
          </cell>
          <cell r="G598">
            <v>17190</v>
          </cell>
          <cell r="H598">
            <v>6883</v>
          </cell>
          <cell r="I598">
            <v>0</v>
          </cell>
        </row>
        <row r="599">
          <cell r="A599">
            <v>96501</v>
          </cell>
          <cell r="B599" t="str">
            <v>NEW HANOVER COUNTY</v>
          </cell>
          <cell r="C599">
            <v>1.46477E-2</v>
          </cell>
          <cell r="D599"/>
          <cell r="E599">
            <v>2194328</v>
          </cell>
          <cell r="F599">
            <v>2064154</v>
          </cell>
          <cell r="G599">
            <v>1850078</v>
          </cell>
          <cell r="H599">
            <v>740749</v>
          </cell>
          <cell r="I599">
            <v>0</v>
          </cell>
        </row>
        <row r="600">
          <cell r="A600">
            <v>96502</v>
          </cell>
          <cell r="B600" t="str">
            <v>NEW HANOVER AIRPORT AUTH</v>
          </cell>
          <cell r="C600">
            <v>4.082E-4</v>
          </cell>
          <cell r="D600"/>
          <cell r="E600">
            <v>61151</v>
          </cell>
          <cell r="F600">
            <v>57524</v>
          </cell>
          <cell r="G600">
            <v>51558</v>
          </cell>
          <cell r="H600">
            <v>20643</v>
          </cell>
          <cell r="I600">
            <v>0</v>
          </cell>
        </row>
        <row r="601">
          <cell r="A601">
            <v>96503</v>
          </cell>
          <cell r="B601" t="str">
            <v>HOUSING AUTH OF THE CITY OF WILMINGTON</v>
          </cell>
          <cell r="C601">
            <v>3.1940000000000001E-4</v>
          </cell>
          <cell r="D601"/>
          <cell r="E601">
            <v>47848</v>
          </cell>
          <cell r="F601">
            <v>45010</v>
          </cell>
          <cell r="G601">
            <v>40342</v>
          </cell>
          <cell r="H601">
            <v>16152</v>
          </cell>
          <cell r="I601">
            <v>0</v>
          </cell>
        </row>
        <row r="602">
          <cell r="A602">
            <v>96504</v>
          </cell>
          <cell r="B602" t="str">
            <v>NEW HANOVER COUNTY ABC BOARD</v>
          </cell>
          <cell r="C602">
            <v>4.3649999999999998E-4</v>
          </cell>
          <cell r="D602"/>
          <cell r="E602">
            <v>65391</v>
          </cell>
          <cell r="F602">
            <v>61512</v>
          </cell>
          <cell r="G602">
            <v>55132</v>
          </cell>
          <cell r="H602">
            <v>22074</v>
          </cell>
          <cell r="I602">
            <v>0</v>
          </cell>
        </row>
        <row r="603">
          <cell r="A603">
            <v>96507</v>
          </cell>
          <cell r="B603" t="str">
            <v>CAPE FEAR PUBLIC UTILITY AUTHORITY</v>
          </cell>
          <cell r="C603">
            <v>2.3281999999999999E-3</v>
          </cell>
          <cell r="D603"/>
          <cell r="E603">
            <v>348781</v>
          </cell>
          <cell r="F603">
            <v>328090</v>
          </cell>
          <cell r="G603">
            <v>294063</v>
          </cell>
          <cell r="H603">
            <v>117739</v>
          </cell>
          <cell r="I603">
            <v>0</v>
          </cell>
        </row>
        <row r="604">
          <cell r="A604">
            <v>96508</v>
          </cell>
          <cell r="B604" t="str">
            <v>LOWER CAPE FEAR WATER &amp; SEWER AUTH</v>
          </cell>
          <cell r="C604">
            <v>5.9000000000000003E-6</v>
          </cell>
          <cell r="D604"/>
          <cell r="E604">
            <v>884</v>
          </cell>
          <cell r="F604">
            <v>831</v>
          </cell>
          <cell r="G604">
            <v>745</v>
          </cell>
          <cell r="H604">
            <v>298</v>
          </cell>
          <cell r="I604">
            <v>0</v>
          </cell>
        </row>
        <row r="605">
          <cell r="A605">
            <v>96511</v>
          </cell>
          <cell r="B605" t="str">
            <v>TOWN OF WRIGHTSVILLE BEACH</v>
          </cell>
          <cell r="C605">
            <v>6.0519999999999997E-4</v>
          </cell>
          <cell r="D605"/>
          <cell r="E605">
            <v>90663</v>
          </cell>
          <cell r="F605">
            <v>85285</v>
          </cell>
          <cell r="G605">
            <v>76440</v>
          </cell>
          <cell r="H605">
            <v>30606</v>
          </cell>
          <cell r="I605">
            <v>0</v>
          </cell>
        </row>
        <row r="606">
          <cell r="A606">
            <v>96512</v>
          </cell>
          <cell r="B606" t="str">
            <v>CAPE FEAR PUBLIC TRANSPORTATION AUTHORITY</v>
          </cell>
          <cell r="C606">
            <v>1.528E-4</v>
          </cell>
          <cell r="D606"/>
          <cell r="E606">
            <v>22891</v>
          </cell>
          <cell r="F606">
            <v>21533</v>
          </cell>
          <cell r="G606">
            <v>19299</v>
          </cell>
          <cell r="H606">
            <v>7727</v>
          </cell>
          <cell r="I606">
            <v>0</v>
          </cell>
        </row>
        <row r="607">
          <cell r="A607">
            <v>96519</v>
          </cell>
          <cell r="B607" t="str">
            <v>COASTALCARE</v>
          </cell>
          <cell r="C607">
            <v>0</v>
          </cell>
          <cell r="D607"/>
          <cell r="E607">
            <v>0</v>
          </cell>
          <cell r="F607">
            <v>0</v>
          </cell>
          <cell r="G607">
            <v>0</v>
          </cell>
          <cell r="H607">
            <v>0</v>
          </cell>
          <cell r="I607">
            <v>0</v>
          </cell>
        </row>
        <row r="608">
          <cell r="A608">
            <v>96521</v>
          </cell>
          <cell r="B608" t="str">
            <v>TOWN OF CAROLINA BEACH</v>
          </cell>
          <cell r="C608">
            <v>9.3479999999999995E-4</v>
          </cell>
          <cell r="D608"/>
          <cell r="E608">
            <v>140040</v>
          </cell>
          <cell r="F608">
            <v>131732</v>
          </cell>
          <cell r="G608">
            <v>118070</v>
          </cell>
          <cell r="H608">
            <v>47274</v>
          </cell>
          <cell r="I608">
            <v>0</v>
          </cell>
        </row>
        <row r="609">
          <cell r="A609">
            <v>96531</v>
          </cell>
          <cell r="B609" t="str">
            <v>CITY OF WILMINGTON</v>
          </cell>
          <cell r="C609">
            <v>8.6105999999999995E-3</v>
          </cell>
          <cell r="D609"/>
          <cell r="E609">
            <v>1289928</v>
          </cell>
          <cell r="F609">
            <v>1213406</v>
          </cell>
          <cell r="G609">
            <v>1087562</v>
          </cell>
          <cell r="H609">
            <v>435447</v>
          </cell>
          <cell r="I609">
            <v>0</v>
          </cell>
        </row>
        <row r="610">
          <cell r="A610">
            <v>96541</v>
          </cell>
          <cell r="B610" t="str">
            <v>TOWN OF KURE BEACH</v>
          </cell>
          <cell r="C610">
            <v>3.8709999999999998E-4</v>
          </cell>
          <cell r="D610"/>
          <cell r="E610">
            <v>57990</v>
          </cell>
          <cell r="F610">
            <v>54550</v>
          </cell>
          <cell r="G610">
            <v>48893</v>
          </cell>
          <cell r="H610">
            <v>19576</v>
          </cell>
          <cell r="I610">
            <v>0</v>
          </cell>
        </row>
        <row r="611">
          <cell r="A611">
            <v>96601</v>
          </cell>
          <cell r="B611" t="str">
            <v>NORTHAMPTON COUNTY</v>
          </cell>
          <cell r="C611">
            <v>1.7417999999999999E-3</v>
          </cell>
          <cell r="D611"/>
          <cell r="E611">
            <v>260934</v>
          </cell>
          <cell r="F611">
            <v>245454</v>
          </cell>
          <cell r="G611">
            <v>219998</v>
          </cell>
          <cell r="H611">
            <v>88085</v>
          </cell>
          <cell r="I611">
            <v>0</v>
          </cell>
        </row>
        <row r="612">
          <cell r="A612">
            <v>96604</v>
          </cell>
          <cell r="B612" t="str">
            <v>NORTHAMPTON COUNTY ABC BOARD</v>
          </cell>
          <cell r="C612">
            <v>5.3000000000000001E-6</v>
          </cell>
          <cell r="D612"/>
          <cell r="E612">
            <v>794</v>
          </cell>
          <cell r="F612">
            <v>747</v>
          </cell>
          <cell r="G612">
            <v>669</v>
          </cell>
          <cell r="H612">
            <v>268</v>
          </cell>
          <cell r="I612">
            <v>0</v>
          </cell>
        </row>
        <row r="613">
          <cell r="A613">
            <v>96611</v>
          </cell>
          <cell r="B613" t="str">
            <v>TOWN OF RICH SQUARE</v>
          </cell>
          <cell r="C613">
            <v>1.3900000000000001E-5</v>
          </cell>
          <cell r="D613"/>
          <cell r="E613">
            <v>2082</v>
          </cell>
          <cell r="F613">
            <v>1959</v>
          </cell>
          <cell r="G613">
            <v>1756</v>
          </cell>
          <cell r="H613">
            <v>703</v>
          </cell>
          <cell r="I613">
            <v>0</v>
          </cell>
        </row>
        <row r="614">
          <cell r="A614">
            <v>96612</v>
          </cell>
          <cell r="B614" t="str">
            <v>CHOANOKE PUBLIC TRANSPORTATION AUTH</v>
          </cell>
          <cell r="C614">
            <v>5.5099999999999998E-5</v>
          </cell>
          <cell r="D614"/>
          <cell r="E614">
            <v>8254</v>
          </cell>
          <cell r="F614">
            <v>7765</v>
          </cell>
          <cell r="G614">
            <v>6959</v>
          </cell>
          <cell r="H614">
            <v>2786</v>
          </cell>
          <cell r="I614">
            <v>0</v>
          </cell>
        </row>
        <row r="615">
          <cell r="A615">
            <v>96621</v>
          </cell>
          <cell r="B615" t="str">
            <v>TOWN OF WOODLAND</v>
          </cell>
          <cell r="C615">
            <v>2.09E-5</v>
          </cell>
          <cell r="D615"/>
          <cell r="E615">
            <v>3131</v>
          </cell>
          <cell r="F615">
            <v>2945</v>
          </cell>
          <cell r="G615">
            <v>2640</v>
          </cell>
          <cell r="H615">
            <v>1057</v>
          </cell>
          <cell r="I615">
            <v>0</v>
          </cell>
        </row>
        <row r="616">
          <cell r="A616">
            <v>96631</v>
          </cell>
          <cell r="B616" t="str">
            <v>TOWN OF GARYSBURG</v>
          </cell>
          <cell r="C616">
            <v>2.1800000000000001E-5</v>
          </cell>
          <cell r="D616"/>
          <cell r="E616">
            <v>3266</v>
          </cell>
          <cell r="F616">
            <v>3072</v>
          </cell>
          <cell r="G616">
            <v>2753</v>
          </cell>
          <cell r="H616">
            <v>1102</v>
          </cell>
          <cell r="I616">
            <v>0</v>
          </cell>
        </row>
        <row r="617">
          <cell r="A617">
            <v>96641</v>
          </cell>
          <cell r="B617" t="str">
            <v>TOWN OF CONWAY</v>
          </cell>
          <cell r="C617">
            <v>3.3800000000000002E-5</v>
          </cell>
          <cell r="D617"/>
          <cell r="E617">
            <v>5063</v>
          </cell>
          <cell r="F617">
            <v>4763</v>
          </cell>
          <cell r="G617">
            <v>4269</v>
          </cell>
          <cell r="H617">
            <v>1709</v>
          </cell>
          <cell r="I617">
            <v>0</v>
          </cell>
        </row>
        <row r="618">
          <cell r="A618">
            <v>96651</v>
          </cell>
          <cell r="B618" t="str">
            <v>TOWN OF GASTON</v>
          </cell>
          <cell r="C618">
            <v>1.8499999999999999E-5</v>
          </cell>
          <cell r="D618"/>
          <cell r="E618">
            <v>2771</v>
          </cell>
          <cell r="F618">
            <v>2607</v>
          </cell>
          <cell r="G618">
            <v>2337</v>
          </cell>
          <cell r="H618">
            <v>936</v>
          </cell>
          <cell r="I618">
            <v>0</v>
          </cell>
        </row>
        <row r="619">
          <cell r="A619">
            <v>96661</v>
          </cell>
          <cell r="B619" t="str">
            <v>TOWN OF JACKSON</v>
          </cell>
          <cell r="C619">
            <v>1.8099999999999999E-5</v>
          </cell>
          <cell r="D619"/>
          <cell r="E619">
            <v>2712</v>
          </cell>
          <cell r="F619">
            <v>2551</v>
          </cell>
          <cell r="G619">
            <v>2286</v>
          </cell>
          <cell r="H619">
            <v>915</v>
          </cell>
          <cell r="I619">
            <v>0</v>
          </cell>
        </row>
        <row r="620">
          <cell r="A620">
            <v>96671</v>
          </cell>
          <cell r="B620" t="str">
            <v>TOWN OF SEVERN</v>
          </cell>
          <cell r="C620">
            <v>1.26E-5</v>
          </cell>
          <cell r="D620"/>
          <cell r="E620">
            <v>1888</v>
          </cell>
          <cell r="F620">
            <v>1776</v>
          </cell>
          <cell r="G620">
            <v>1591</v>
          </cell>
          <cell r="H620">
            <v>637</v>
          </cell>
          <cell r="I620">
            <v>0</v>
          </cell>
        </row>
        <row r="621">
          <cell r="A621">
            <v>96681</v>
          </cell>
          <cell r="B621" t="str">
            <v>TOWN OF SEABOARD</v>
          </cell>
          <cell r="C621">
            <v>2.2399999999999999E-5</v>
          </cell>
          <cell r="D621"/>
          <cell r="E621">
            <v>3356</v>
          </cell>
          <cell r="F621">
            <v>3157</v>
          </cell>
          <cell r="G621">
            <v>2829</v>
          </cell>
          <cell r="H621">
            <v>1133</v>
          </cell>
          <cell r="I621">
            <v>0</v>
          </cell>
        </row>
        <row r="622">
          <cell r="A622">
            <v>96701</v>
          </cell>
          <cell r="B622" t="str">
            <v>ONSLOW COUNTY</v>
          </cell>
          <cell r="C622">
            <v>8.4864999999999993E-3</v>
          </cell>
          <cell r="D622"/>
          <cell r="E622">
            <v>1271337</v>
          </cell>
          <cell r="F622">
            <v>1195918</v>
          </cell>
          <cell r="G622">
            <v>1071887</v>
          </cell>
          <cell r="H622">
            <v>429171</v>
          </cell>
          <cell r="I622">
            <v>0</v>
          </cell>
        </row>
        <row r="623">
          <cell r="A623">
            <v>96704</v>
          </cell>
          <cell r="B623" t="str">
            <v>ONSLOW COUNTY ABC BOARD</v>
          </cell>
          <cell r="C623">
            <v>1.873E-4</v>
          </cell>
          <cell r="D623"/>
          <cell r="E623">
            <v>28059</v>
          </cell>
          <cell r="F623">
            <v>26394</v>
          </cell>
          <cell r="G623">
            <v>23657</v>
          </cell>
          <cell r="H623">
            <v>9472</v>
          </cell>
          <cell r="I623">
            <v>0</v>
          </cell>
        </row>
        <row r="624">
          <cell r="A624">
            <v>96708</v>
          </cell>
          <cell r="B624" t="str">
            <v>ONSLOW WATER &amp; SEWER AUTHORITY</v>
          </cell>
          <cell r="C624">
            <v>8.7410000000000005E-4</v>
          </cell>
          <cell r="D624"/>
          <cell r="E624">
            <v>130946</v>
          </cell>
          <cell r="F624">
            <v>123178</v>
          </cell>
          <cell r="G624">
            <v>110403</v>
          </cell>
          <cell r="H624">
            <v>44204</v>
          </cell>
          <cell r="I624">
            <v>0</v>
          </cell>
        </row>
        <row r="625">
          <cell r="A625">
            <v>96711</v>
          </cell>
          <cell r="B625" t="str">
            <v>CITY OF JACKSONVILLE</v>
          </cell>
          <cell r="C625">
            <v>3.7919E-3</v>
          </cell>
          <cell r="D625"/>
          <cell r="E625">
            <v>568053</v>
          </cell>
          <cell r="F625">
            <v>534355</v>
          </cell>
          <cell r="G625">
            <v>478936</v>
          </cell>
          <cell r="H625">
            <v>191760</v>
          </cell>
          <cell r="I625">
            <v>0</v>
          </cell>
        </row>
        <row r="626">
          <cell r="A626">
            <v>96721</v>
          </cell>
          <cell r="B626" t="str">
            <v>TOWN OF SWANSBORO</v>
          </cell>
          <cell r="C626">
            <v>2.1719999999999999E-4</v>
          </cell>
          <cell r="D626"/>
          <cell r="E626">
            <v>32538</v>
          </cell>
          <cell r="F626">
            <v>30608</v>
          </cell>
          <cell r="G626">
            <v>27433</v>
          </cell>
          <cell r="H626">
            <v>10984</v>
          </cell>
          <cell r="I626">
            <v>0</v>
          </cell>
        </row>
        <row r="627">
          <cell r="A627">
            <v>96731</v>
          </cell>
          <cell r="B627" t="str">
            <v>TOWN OF HOLLY RIDGE</v>
          </cell>
          <cell r="C627">
            <v>1.763E-4</v>
          </cell>
          <cell r="D627"/>
          <cell r="E627">
            <v>26411</v>
          </cell>
          <cell r="F627">
            <v>24844</v>
          </cell>
          <cell r="G627">
            <v>22268</v>
          </cell>
          <cell r="H627">
            <v>8916</v>
          </cell>
          <cell r="I627">
            <v>0</v>
          </cell>
        </row>
        <row r="628">
          <cell r="A628">
            <v>96733</v>
          </cell>
          <cell r="B628" t="str">
            <v>HOLLY RIDGE HOUSING AUTHORITY</v>
          </cell>
          <cell r="C628">
            <v>6.4999999999999996E-6</v>
          </cell>
          <cell r="D628"/>
          <cell r="E628">
            <v>974</v>
          </cell>
          <cell r="F628">
            <v>916</v>
          </cell>
          <cell r="G628">
            <v>821</v>
          </cell>
          <cell r="H628">
            <v>329</v>
          </cell>
          <cell r="I628">
            <v>0</v>
          </cell>
        </row>
        <row r="629">
          <cell r="A629">
            <v>96741</v>
          </cell>
          <cell r="B629" t="str">
            <v>TOWN OF RICHLANDS</v>
          </cell>
          <cell r="C629">
            <v>9.6799999999999995E-5</v>
          </cell>
          <cell r="D629"/>
          <cell r="E629">
            <v>14501</v>
          </cell>
          <cell r="F629">
            <v>13641</v>
          </cell>
          <cell r="G629">
            <v>12226</v>
          </cell>
          <cell r="H629">
            <v>4895</v>
          </cell>
          <cell r="I629">
            <v>0</v>
          </cell>
        </row>
        <row r="630">
          <cell r="A630">
            <v>96751</v>
          </cell>
          <cell r="B630" t="str">
            <v>TOWN OF N TOPSAIL BEACH</v>
          </cell>
          <cell r="C630">
            <v>3.054E-4</v>
          </cell>
          <cell r="D630"/>
          <cell r="E630">
            <v>45751</v>
          </cell>
          <cell r="F630">
            <v>43037</v>
          </cell>
          <cell r="G630">
            <v>38574</v>
          </cell>
          <cell r="H630">
            <v>15444</v>
          </cell>
          <cell r="I630">
            <v>0</v>
          </cell>
        </row>
        <row r="631">
          <cell r="A631">
            <v>96801</v>
          </cell>
          <cell r="B631" t="str">
            <v>ORANGE COUNTY</v>
          </cell>
          <cell r="C631">
            <v>7.6207000000000002E-3</v>
          </cell>
          <cell r="D631"/>
          <cell r="E631">
            <v>1141634</v>
          </cell>
          <cell r="F631">
            <v>1073909</v>
          </cell>
          <cell r="G631">
            <v>962533</v>
          </cell>
          <cell r="H631">
            <v>385386</v>
          </cell>
          <cell r="I631">
            <v>0</v>
          </cell>
        </row>
        <row r="632">
          <cell r="A632">
            <v>96804</v>
          </cell>
          <cell r="B632" t="str">
            <v>ORANGE COUNTY ABC BOARD</v>
          </cell>
          <cell r="C632">
            <v>2.4230000000000001E-4</v>
          </cell>
          <cell r="D632"/>
          <cell r="E632">
            <v>36298</v>
          </cell>
          <cell r="F632">
            <v>34145</v>
          </cell>
          <cell r="G632">
            <v>30604</v>
          </cell>
          <cell r="H632">
            <v>12253</v>
          </cell>
          <cell r="I632">
            <v>0</v>
          </cell>
        </row>
        <row r="633">
          <cell r="A633">
            <v>96808</v>
          </cell>
          <cell r="B633" t="str">
            <v>ORANGE WATER AND SEWER AUTHORITY</v>
          </cell>
          <cell r="C633">
            <v>1.2175E-3</v>
          </cell>
          <cell r="D633"/>
          <cell r="E633">
            <v>182390</v>
          </cell>
          <cell r="F633">
            <v>171570</v>
          </cell>
          <cell r="G633">
            <v>153776</v>
          </cell>
          <cell r="H633">
            <v>61570</v>
          </cell>
          <cell r="I633">
            <v>0</v>
          </cell>
        </row>
        <row r="634">
          <cell r="A634">
            <v>96811</v>
          </cell>
          <cell r="B634" t="str">
            <v>TOWN OF CHAPEL HILL</v>
          </cell>
          <cell r="C634">
            <v>5.8506000000000001E-3</v>
          </cell>
          <cell r="D634"/>
          <cell r="E634">
            <v>876461</v>
          </cell>
          <cell r="F634">
            <v>824467</v>
          </cell>
          <cell r="G634">
            <v>738960</v>
          </cell>
          <cell r="H634">
            <v>295871</v>
          </cell>
          <cell r="I634">
            <v>0</v>
          </cell>
        </row>
        <row r="635">
          <cell r="A635">
            <v>96821</v>
          </cell>
          <cell r="B635" t="str">
            <v>TOWN OF CARRBORO</v>
          </cell>
          <cell r="C635">
            <v>1.2505999999999999E-3</v>
          </cell>
          <cell r="D635"/>
          <cell r="E635">
            <v>187349</v>
          </cell>
          <cell r="F635">
            <v>176235</v>
          </cell>
          <cell r="G635">
            <v>157957</v>
          </cell>
          <cell r="H635">
            <v>63244</v>
          </cell>
          <cell r="I635">
            <v>0</v>
          </cell>
        </row>
        <row r="636">
          <cell r="A636">
            <v>96831</v>
          </cell>
          <cell r="B636" t="str">
            <v>TOWN OF HILLSBOROUGH</v>
          </cell>
          <cell r="C636">
            <v>9.0549999999999995E-4</v>
          </cell>
          <cell r="D636"/>
          <cell r="E636">
            <v>135650</v>
          </cell>
          <cell r="F636">
            <v>127603</v>
          </cell>
          <cell r="G636">
            <v>114369</v>
          </cell>
          <cell r="H636">
            <v>45792</v>
          </cell>
          <cell r="I636">
            <v>0</v>
          </cell>
        </row>
        <row r="637">
          <cell r="A637">
            <v>96901</v>
          </cell>
          <cell r="B637" t="str">
            <v>PAMLICO COUNTY</v>
          </cell>
          <cell r="C637">
            <v>9.5589999999999998E-4</v>
          </cell>
          <cell r="D637"/>
          <cell r="E637">
            <v>143201</v>
          </cell>
          <cell r="F637">
            <v>134705</v>
          </cell>
          <cell r="G637">
            <v>120735</v>
          </cell>
          <cell r="H637">
            <v>48341</v>
          </cell>
          <cell r="I637">
            <v>0</v>
          </cell>
        </row>
        <row r="638">
          <cell r="A638">
            <v>96911</v>
          </cell>
          <cell r="B638" t="str">
            <v>TOWN OF BAYBORO</v>
          </cell>
          <cell r="C638">
            <v>2.3E-6</v>
          </cell>
          <cell r="D638"/>
          <cell r="E638">
            <v>345</v>
          </cell>
          <cell r="F638">
            <v>324</v>
          </cell>
          <cell r="G638">
            <v>291</v>
          </cell>
          <cell r="H638">
            <v>116</v>
          </cell>
          <cell r="I638">
            <v>0</v>
          </cell>
        </row>
        <row r="639">
          <cell r="A639">
            <v>96912</v>
          </cell>
          <cell r="B639" t="str">
            <v>TOWN OF ORIENTAL</v>
          </cell>
          <cell r="C639">
            <v>7.2000000000000002E-5</v>
          </cell>
          <cell r="D639"/>
          <cell r="E639">
            <v>10786</v>
          </cell>
          <cell r="F639">
            <v>10146</v>
          </cell>
          <cell r="G639">
            <v>9094</v>
          </cell>
          <cell r="H639">
            <v>3641</v>
          </cell>
          <cell r="I639">
            <v>0</v>
          </cell>
        </row>
        <row r="640">
          <cell r="A640">
            <v>96918</v>
          </cell>
          <cell r="B640" t="str">
            <v>BAY RIVER METRO SEWERAGE DISTRICT</v>
          </cell>
          <cell r="C640">
            <v>2.9799999999999999E-5</v>
          </cell>
          <cell r="D640"/>
          <cell r="E640">
            <v>4464</v>
          </cell>
          <cell r="F640">
            <v>4199</v>
          </cell>
          <cell r="G640">
            <v>3764</v>
          </cell>
          <cell r="H640">
            <v>1507</v>
          </cell>
          <cell r="I640">
            <v>0</v>
          </cell>
        </row>
        <row r="641">
          <cell r="A641">
            <v>97001</v>
          </cell>
          <cell r="B641" t="str">
            <v>PASQUOTANK COUNTY</v>
          </cell>
          <cell r="C641">
            <v>1.3541E-3</v>
          </cell>
          <cell r="D641"/>
          <cell r="E641">
            <v>202854</v>
          </cell>
          <cell r="F641">
            <v>190820</v>
          </cell>
          <cell r="G641">
            <v>171030</v>
          </cell>
          <cell r="H641">
            <v>68478</v>
          </cell>
          <cell r="I641">
            <v>0</v>
          </cell>
        </row>
        <row r="642">
          <cell r="A642">
            <v>97002</v>
          </cell>
          <cell r="B642" t="str">
            <v>PASQUOTANK-CAMDEN AMBULANCE SERVICE</v>
          </cell>
          <cell r="C642">
            <v>5.04E-4</v>
          </cell>
          <cell r="D642"/>
          <cell r="E642">
            <v>75503</v>
          </cell>
          <cell r="F642">
            <v>71024</v>
          </cell>
          <cell r="G642">
            <v>63658</v>
          </cell>
          <cell r="H642">
            <v>25488</v>
          </cell>
          <cell r="I642">
            <v>0</v>
          </cell>
        </row>
        <row r="643">
          <cell r="A643">
            <v>97004</v>
          </cell>
          <cell r="B643" t="str">
            <v>PASQUOTANK CO ABC BOARD</v>
          </cell>
          <cell r="C643">
            <v>1.5400000000000002E-5</v>
          </cell>
          <cell r="D643"/>
          <cell r="E643">
            <v>2307</v>
          </cell>
          <cell r="F643">
            <v>2170</v>
          </cell>
          <cell r="G643">
            <v>1945</v>
          </cell>
          <cell r="H643">
            <v>779</v>
          </cell>
          <cell r="I643">
            <v>0</v>
          </cell>
        </row>
        <row r="644">
          <cell r="A644">
            <v>97005</v>
          </cell>
          <cell r="B644" t="str">
            <v>EAST ALBEMARLE REGIONAL LIBRARY</v>
          </cell>
          <cell r="C644">
            <v>2.0100000000000001E-5</v>
          </cell>
          <cell r="D644"/>
          <cell r="E644">
            <v>3011</v>
          </cell>
          <cell r="F644">
            <v>2832</v>
          </cell>
          <cell r="G644">
            <v>2539</v>
          </cell>
          <cell r="H644">
            <v>1016</v>
          </cell>
          <cell r="I644">
            <v>0</v>
          </cell>
        </row>
        <row r="645">
          <cell r="A645">
            <v>97008</v>
          </cell>
          <cell r="B645" t="str">
            <v>ALBEMARLE DISTRICT JAIL COMMISSION</v>
          </cell>
          <cell r="C645">
            <v>2.8699999999999998E-4</v>
          </cell>
          <cell r="D645"/>
          <cell r="E645">
            <v>42995</v>
          </cell>
          <cell r="F645">
            <v>40444</v>
          </cell>
          <cell r="G645">
            <v>36250</v>
          </cell>
          <cell r="H645">
            <v>14514</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275091</v>
          </cell>
          <cell r="F647">
            <v>258771</v>
          </cell>
          <cell r="G647">
            <v>231934</v>
          </cell>
          <cell r="H647">
            <v>92864</v>
          </cell>
          <cell r="I647">
            <v>0</v>
          </cell>
        </row>
        <row r="648">
          <cell r="A648">
            <v>97012</v>
          </cell>
          <cell r="B648" t="str">
            <v>ELIZABETH CITY-PASQUOTANK CO AIRPORT AUTH</v>
          </cell>
          <cell r="C648">
            <v>2.97E-5</v>
          </cell>
          <cell r="D648"/>
          <cell r="E648">
            <v>4449</v>
          </cell>
          <cell r="F648">
            <v>4185</v>
          </cell>
          <cell r="G648">
            <v>3751</v>
          </cell>
          <cell r="H648">
            <v>1502</v>
          </cell>
          <cell r="I648">
            <v>0</v>
          </cell>
        </row>
        <row r="649">
          <cell r="A649">
            <v>97013</v>
          </cell>
          <cell r="B649" t="str">
            <v>ELIZABETH CITY PASQUOTANK COUNTY TDA</v>
          </cell>
          <cell r="C649">
            <v>9.0000000000000002E-6</v>
          </cell>
          <cell r="D649"/>
          <cell r="E649">
            <v>1348</v>
          </cell>
          <cell r="F649">
            <v>1268</v>
          </cell>
          <cell r="G649">
            <v>1137</v>
          </cell>
          <cell r="H649">
            <v>455</v>
          </cell>
          <cell r="I649">
            <v>0</v>
          </cell>
        </row>
        <row r="650">
          <cell r="A650">
            <v>97015</v>
          </cell>
          <cell r="B650" t="str">
            <v>PASQUOTANK-CAMDEN LIBRARY</v>
          </cell>
          <cell r="C650">
            <v>4.3900000000000003E-5</v>
          </cell>
          <cell r="D650"/>
          <cell r="E650">
            <v>6577</v>
          </cell>
          <cell r="F650">
            <v>6186</v>
          </cell>
          <cell r="G650">
            <v>5545</v>
          </cell>
          <cell r="H650">
            <v>2220</v>
          </cell>
          <cell r="I650">
            <v>0</v>
          </cell>
        </row>
        <row r="651">
          <cell r="A651">
            <v>97018</v>
          </cell>
          <cell r="B651" t="str">
            <v>ELIZABETH CTY-PASQUOTANK CO INDUSTRL DEVELOPMENT C</v>
          </cell>
          <cell r="C651">
            <v>1.6399999999999999E-5</v>
          </cell>
          <cell r="D651"/>
          <cell r="E651">
            <v>2457</v>
          </cell>
          <cell r="F651">
            <v>2311</v>
          </cell>
          <cell r="G651">
            <v>2071</v>
          </cell>
          <cell r="H651">
            <v>829</v>
          </cell>
          <cell r="I651">
            <v>0</v>
          </cell>
        </row>
        <row r="652">
          <cell r="A652">
            <v>97101</v>
          </cell>
          <cell r="B652" t="str">
            <v>PENDER COUNTY</v>
          </cell>
          <cell r="C652">
            <v>2.7334E-3</v>
          </cell>
          <cell r="D652"/>
          <cell r="E652">
            <v>409482</v>
          </cell>
          <cell r="F652">
            <v>385191</v>
          </cell>
          <cell r="G652">
            <v>345242</v>
          </cell>
          <cell r="H652">
            <v>138231</v>
          </cell>
          <cell r="I652">
            <v>0</v>
          </cell>
        </row>
        <row r="653">
          <cell r="A653">
            <v>97104</v>
          </cell>
          <cell r="B653" t="str">
            <v>PENDER COUNTY ABC BOARD</v>
          </cell>
          <cell r="C653">
            <v>5.41E-5</v>
          </cell>
          <cell r="D653"/>
          <cell r="E653">
            <v>8105</v>
          </cell>
          <cell r="F653">
            <v>7624</v>
          </cell>
          <cell r="G653">
            <v>6833</v>
          </cell>
          <cell r="H653">
            <v>2736</v>
          </cell>
          <cell r="I653">
            <v>0</v>
          </cell>
        </row>
        <row r="654">
          <cell r="A654">
            <v>97111</v>
          </cell>
          <cell r="B654" t="str">
            <v>TOWN OF BURGAW</v>
          </cell>
          <cell r="C654">
            <v>2.8489999999999999E-4</v>
          </cell>
          <cell r="D654"/>
          <cell r="E654">
            <v>42680</v>
          </cell>
          <cell r="F654">
            <v>40148</v>
          </cell>
          <cell r="G654">
            <v>35984</v>
          </cell>
          <cell r="H654">
            <v>14408</v>
          </cell>
          <cell r="I654">
            <v>0</v>
          </cell>
        </row>
        <row r="655">
          <cell r="A655">
            <v>97121</v>
          </cell>
          <cell r="B655" t="str">
            <v>TOWN OF TOPSAIL BEACH</v>
          </cell>
          <cell r="C655">
            <v>1.493E-4</v>
          </cell>
          <cell r="D655"/>
          <cell r="E655">
            <v>22366</v>
          </cell>
          <cell r="F655">
            <v>21039</v>
          </cell>
          <cell r="G655">
            <v>18857</v>
          </cell>
          <cell r="H655">
            <v>7550</v>
          </cell>
          <cell r="I655">
            <v>0</v>
          </cell>
        </row>
        <row r="656">
          <cell r="A656">
            <v>97131</v>
          </cell>
          <cell r="B656" t="str">
            <v>TOWN OF SURF CITY</v>
          </cell>
          <cell r="C656">
            <v>6.5379999999999995E-4</v>
          </cell>
          <cell r="D656"/>
          <cell r="E656">
            <v>97944</v>
          </cell>
          <cell r="F656">
            <v>92133</v>
          </cell>
          <cell r="G656">
            <v>82578</v>
          </cell>
          <cell r="H656">
            <v>33063</v>
          </cell>
          <cell r="I656">
            <v>0</v>
          </cell>
        </row>
        <row r="657">
          <cell r="A657">
            <v>97201</v>
          </cell>
          <cell r="B657" t="str">
            <v>PERQUIMANS COUNTY</v>
          </cell>
          <cell r="C657">
            <v>5.8529999999999997E-4</v>
          </cell>
          <cell r="D657"/>
          <cell r="E657">
            <v>87682</v>
          </cell>
          <cell r="F657">
            <v>82480</v>
          </cell>
          <cell r="G657">
            <v>73926</v>
          </cell>
          <cell r="H657">
            <v>29599</v>
          </cell>
          <cell r="I657">
            <v>0</v>
          </cell>
        </row>
        <row r="658">
          <cell r="A658">
            <v>97211</v>
          </cell>
          <cell r="B658" t="str">
            <v>TOWN OF HERTFORD</v>
          </cell>
          <cell r="C658">
            <v>8.14E-5</v>
          </cell>
          <cell r="D658"/>
          <cell r="E658">
            <v>12194</v>
          </cell>
          <cell r="F658">
            <v>11471</v>
          </cell>
          <cell r="G658">
            <v>10281</v>
          </cell>
          <cell r="H658">
            <v>4116</v>
          </cell>
          <cell r="I658">
            <v>0</v>
          </cell>
        </row>
        <row r="659">
          <cell r="A659">
            <v>97213</v>
          </cell>
          <cell r="B659" t="str">
            <v>HERTFORD HOUSING AUTH</v>
          </cell>
          <cell r="C659">
            <v>3.5500000000000002E-5</v>
          </cell>
          <cell r="D659"/>
          <cell r="E659">
            <v>5318</v>
          </cell>
          <cell r="F659">
            <v>5003</v>
          </cell>
          <cell r="G659">
            <v>4484</v>
          </cell>
          <cell r="H659">
            <v>1795</v>
          </cell>
          <cell r="I659">
            <v>0</v>
          </cell>
        </row>
        <row r="660">
          <cell r="A660">
            <v>97217</v>
          </cell>
          <cell r="B660" t="str">
            <v>TOWN OF HERTFORD ABC BOARD</v>
          </cell>
          <cell r="C660">
            <v>5.5999999999999997E-6</v>
          </cell>
          <cell r="D660"/>
          <cell r="E660">
            <v>839</v>
          </cell>
          <cell r="F660">
            <v>789</v>
          </cell>
          <cell r="G660">
            <v>707</v>
          </cell>
          <cell r="H660">
            <v>283</v>
          </cell>
          <cell r="I660">
            <v>0</v>
          </cell>
        </row>
        <row r="661">
          <cell r="A661">
            <v>97221</v>
          </cell>
          <cell r="B661" t="str">
            <v>TOWN OF WINFALL</v>
          </cell>
          <cell r="C661">
            <v>1.24E-5</v>
          </cell>
          <cell r="D661"/>
          <cell r="E661">
            <v>1858</v>
          </cell>
          <cell r="F661">
            <v>1747</v>
          </cell>
          <cell r="G661">
            <v>1566</v>
          </cell>
          <cell r="H661">
            <v>627</v>
          </cell>
          <cell r="I661">
            <v>0</v>
          </cell>
        </row>
        <row r="662">
          <cell r="A662">
            <v>97301</v>
          </cell>
          <cell r="B662" t="str">
            <v>PERSON COUNTY</v>
          </cell>
          <cell r="C662">
            <v>2.3942E-3</v>
          </cell>
          <cell r="D662"/>
          <cell r="E662">
            <v>358668</v>
          </cell>
          <cell r="F662">
            <v>337391</v>
          </cell>
          <cell r="G662">
            <v>302399</v>
          </cell>
          <cell r="H662">
            <v>121077</v>
          </cell>
          <cell r="I662">
            <v>0</v>
          </cell>
        </row>
        <row r="663">
          <cell r="A663">
            <v>97302</v>
          </cell>
          <cell r="B663" t="str">
            <v>ROXBORO HOUSING AUTHORITY</v>
          </cell>
          <cell r="C663">
            <v>0</v>
          </cell>
          <cell r="D663"/>
          <cell r="E663">
            <v>0</v>
          </cell>
          <cell r="F663">
            <v>0</v>
          </cell>
          <cell r="G663">
            <v>0</v>
          </cell>
          <cell r="H663">
            <v>0</v>
          </cell>
          <cell r="I663">
            <v>0</v>
          </cell>
        </row>
        <row r="664">
          <cell r="A664">
            <v>97304</v>
          </cell>
          <cell r="B664" t="str">
            <v>PERSON CO ABC BD</v>
          </cell>
          <cell r="C664">
            <v>1.4399999999999999E-5</v>
          </cell>
          <cell r="D664"/>
          <cell r="E664">
            <v>2157</v>
          </cell>
          <cell r="F664">
            <v>2029</v>
          </cell>
          <cell r="G664">
            <v>1819</v>
          </cell>
          <cell r="H664">
            <v>728</v>
          </cell>
          <cell r="I664">
            <v>0</v>
          </cell>
        </row>
        <row r="665">
          <cell r="A665">
            <v>97311</v>
          </cell>
          <cell r="B665" t="str">
            <v>CITY OF ROXBORO</v>
          </cell>
          <cell r="C665">
            <v>9.0109999999999995E-4</v>
          </cell>
          <cell r="D665"/>
          <cell r="E665">
            <v>134991</v>
          </cell>
          <cell r="F665">
            <v>126983</v>
          </cell>
          <cell r="G665">
            <v>113813</v>
          </cell>
          <cell r="H665">
            <v>45570</v>
          </cell>
          <cell r="I665">
            <v>0</v>
          </cell>
        </row>
        <row r="666">
          <cell r="A666">
            <v>97401</v>
          </cell>
          <cell r="B666" t="str">
            <v>PITT COUNTY</v>
          </cell>
          <cell r="C666">
            <v>7.0562999999999997E-3</v>
          </cell>
          <cell r="D666"/>
          <cell r="E666">
            <v>1057083</v>
          </cell>
          <cell r="F666">
            <v>994374</v>
          </cell>
          <cell r="G666">
            <v>891246</v>
          </cell>
          <cell r="H666">
            <v>356844</v>
          </cell>
          <cell r="I666">
            <v>0</v>
          </cell>
        </row>
        <row r="667">
          <cell r="A667">
            <v>97402</v>
          </cell>
          <cell r="B667" t="str">
            <v>PITT-GREENVILLE CONV &amp; VISTORS</v>
          </cell>
          <cell r="C667">
            <v>4.1999999999999998E-5</v>
          </cell>
          <cell r="D667"/>
          <cell r="E667">
            <v>6292</v>
          </cell>
          <cell r="F667">
            <v>5919</v>
          </cell>
          <cell r="G667">
            <v>5305</v>
          </cell>
          <cell r="H667">
            <v>2124</v>
          </cell>
          <cell r="I667">
            <v>0</v>
          </cell>
        </row>
        <row r="668">
          <cell r="A668">
            <v>97404</v>
          </cell>
          <cell r="B668" t="str">
            <v>PITT COUNTY ABC BOARD</v>
          </cell>
          <cell r="C668">
            <v>2.1240000000000001E-4</v>
          </cell>
          <cell r="D668"/>
          <cell r="E668">
            <v>31819</v>
          </cell>
          <cell r="F668">
            <v>29931</v>
          </cell>
          <cell r="G668">
            <v>26827</v>
          </cell>
          <cell r="H668">
            <v>10741</v>
          </cell>
          <cell r="I668">
            <v>0</v>
          </cell>
        </row>
        <row r="669">
          <cell r="A669">
            <v>97405</v>
          </cell>
          <cell r="B669" t="str">
            <v>SHEPPARD MEMORIAL LIBRARY</v>
          </cell>
          <cell r="C669">
            <v>1.106E-4</v>
          </cell>
          <cell r="D669"/>
          <cell r="E669">
            <v>16569</v>
          </cell>
          <cell r="F669">
            <v>15586</v>
          </cell>
          <cell r="G669">
            <v>13969</v>
          </cell>
          <cell r="H669">
            <v>5593</v>
          </cell>
          <cell r="I669">
            <v>0</v>
          </cell>
        </row>
        <row r="670">
          <cell r="A670">
            <v>97408</v>
          </cell>
          <cell r="B670" t="str">
            <v>CONTENNEA METROPOLITAN SEWERAGE DIST</v>
          </cell>
          <cell r="C670">
            <v>3.8999999999999999E-5</v>
          </cell>
          <cell r="D670"/>
          <cell r="E670">
            <v>5842</v>
          </cell>
          <cell r="F670">
            <v>5496</v>
          </cell>
          <cell r="G670">
            <v>4926</v>
          </cell>
          <cell r="H670">
            <v>1972</v>
          </cell>
          <cell r="I670">
            <v>0</v>
          </cell>
        </row>
        <row r="671">
          <cell r="A671">
            <v>97411</v>
          </cell>
          <cell r="B671" t="str">
            <v>CITY OF GREENVILLE</v>
          </cell>
          <cell r="C671">
            <v>6.3997999999999998E-3</v>
          </cell>
          <cell r="D671"/>
          <cell r="E671">
            <v>958735</v>
          </cell>
          <cell r="F671">
            <v>901860</v>
          </cell>
          <cell r="G671">
            <v>808327</v>
          </cell>
          <cell r="H671">
            <v>323644</v>
          </cell>
          <cell r="I671">
            <v>0</v>
          </cell>
        </row>
        <row r="672">
          <cell r="A672">
            <v>97412</v>
          </cell>
          <cell r="B672" t="str">
            <v>GREENVILLE UTILITIES COMMISSION</v>
          </cell>
          <cell r="C672">
            <v>4.4903E-3</v>
          </cell>
          <cell r="D672"/>
          <cell r="E672">
            <v>672678</v>
          </cell>
          <cell r="F672">
            <v>632773</v>
          </cell>
          <cell r="G672">
            <v>567147</v>
          </cell>
          <cell r="H672">
            <v>227079</v>
          </cell>
          <cell r="I672">
            <v>0</v>
          </cell>
        </row>
        <row r="673">
          <cell r="A673">
            <v>97413</v>
          </cell>
          <cell r="B673" t="str">
            <v>GREENVILLE HOUSING AUTHORITY</v>
          </cell>
          <cell r="C673">
            <v>2.812E-4</v>
          </cell>
          <cell r="D673"/>
          <cell r="E673">
            <v>42126</v>
          </cell>
          <cell r="F673">
            <v>39627</v>
          </cell>
          <cell r="G673">
            <v>35517</v>
          </cell>
          <cell r="H673">
            <v>14221</v>
          </cell>
          <cell r="I673">
            <v>0</v>
          </cell>
        </row>
        <row r="674">
          <cell r="A674">
            <v>97421</v>
          </cell>
          <cell r="B674" t="str">
            <v>TOWN OF FARMVILLE</v>
          </cell>
          <cell r="C674">
            <v>4.3120000000000002E-4</v>
          </cell>
          <cell r="D674"/>
          <cell r="E674">
            <v>64597</v>
          </cell>
          <cell r="F674">
            <v>60765</v>
          </cell>
          <cell r="G674">
            <v>54463</v>
          </cell>
          <cell r="H674">
            <v>21806</v>
          </cell>
          <cell r="I674">
            <v>0</v>
          </cell>
        </row>
        <row r="675">
          <cell r="A675">
            <v>97423</v>
          </cell>
          <cell r="B675" t="str">
            <v>FARMVILLE HOUSING AUTHORITY</v>
          </cell>
          <cell r="C675">
            <v>4.3000000000000002E-5</v>
          </cell>
          <cell r="D675"/>
          <cell r="E675">
            <v>6442</v>
          </cell>
          <cell r="F675">
            <v>6060</v>
          </cell>
          <cell r="G675">
            <v>5431</v>
          </cell>
          <cell r="H675">
            <v>2175</v>
          </cell>
          <cell r="I675">
            <v>0</v>
          </cell>
        </row>
        <row r="676">
          <cell r="A676">
            <v>97431</v>
          </cell>
          <cell r="B676" t="str">
            <v>TOWN OF GRIFTON</v>
          </cell>
          <cell r="C676">
            <v>8.92E-5</v>
          </cell>
          <cell r="D676"/>
          <cell r="E676">
            <v>13363</v>
          </cell>
          <cell r="F676">
            <v>12570</v>
          </cell>
          <cell r="G676">
            <v>11266</v>
          </cell>
          <cell r="H676">
            <v>4511</v>
          </cell>
          <cell r="I676">
            <v>0</v>
          </cell>
        </row>
        <row r="677">
          <cell r="A677">
            <v>97441</v>
          </cell>
          <cell r="B677" t="str">
            <v>TOWN OF BETHEL</v>
          </cell>
          <cell r="C677">
            <v>5.7899999999999998E-5</v>
          </cell>
          <cell r="D677"/>
          <cell r="E677">
            <v>8674</v>
          </cell>
          <cell r="F677">
            <v>8159</v>
          </cell>
          <cell r="G677">
            <v>7313</v>
          </cell>
          <cell r="H677">
            <v>2928</v>
          </cell>
          <cell r="I677">
            <v>0</v>
          </cell>
        </row>
        <row r="678">
          <cell r="A678">
            <v>97451</v>
          </cell>
          <cell r="B678" t="str">
            <v>TOWN OF WINTERVILLE</v>
          </cell>
          <cell r="C678">
            <v>6.6290000000000001E-4</v>
          </cell>
          <cell r="D678"/>
          <cell r="E678">
            <v>99307</v>
          </cell>
          <cell r="F678">
            <v>93416</v>
          </cell>
          <cell r="G678">
            <v>83728</v>
          </cell>
          <cell r="H678">
            <v>33524</v>
          </cell>
          <cell r="I678">
            <v>0</v>
          </cell>
        </row>
        <row r="679">
          <cell r="A679">
            <v>97461</v>
          </cell>
          <cell r="B679" t="str">
            <v>TOWN OF AYDEN</v>
          </cell>
          <cell r="C679">
            <v>5.7600000000000001E-4</v>
          </cell>
          <cell r="D679"/>
          <cell r="E679">
            <v>86289</v>
          </cell>
          <cell r="F679">
            <v>81170</v>
          </cell>
          <cell r="G679">
            <v>72752</v>
          </cell>
          <cell r="H679">
            <v>29129</v>
          </cell>
          <cell r="I679">
            <v>0</v>
          </cell>
        </row>
        <row r="680">
          <cell r="A680">
            <v>97463</v>
          </cell>
          <cell r="B680" t="str">
            <v>AYDEN HOUSING AUTHORITY</v>
          </cell>
          <cell r="C680">
            <v>0</v>
          </cell>
          <cell r="D680"/>
          <cell r="E680">
            <v>0</v>
          </cell>
          <cell r="F680">
            <v>0</v>
          </cell>
          <cell r="G680">
            <v>0</v>
          </cell>
          <cell r="H680">
            <v>0</v>
          </cell>
          <cell r="I680">
            <v>0</v>
          </cell>
        </row>
        <row r="681">
          <cell r="A681">
            <v>97471</v>
          </cell>
          <cell r="B681" t="str">
            <v>TOWN OF GRIMESLAND</v>
          </cell>
          <cell r="C681">
            <v>1.6399999999999999E-5</v>
          </cell>
          <cell r="D681"/>
          <cell r="E681">
            <v>2457</v>
          </cell>
          <cell r="F681">
            <v>2311</v>
          </cell>
          <cell r="G681">
            <v>2071</v>
          </cell>
          <cell r="H681">
            <v>829</v>
          </cell>
          <cell r="I681">
            <v>0</v>
          </cell>
        </row>
        <row r="682">
          <cell r="A682">
            <v>97481</v>
          </cell>
          <cell r="B682" t="str">
            <v>VILLAGE OF SIMPSON</v>
          </cell>
          <cell r="C682">
            <v>8.9999999999999996E-7</v>
          </cell>
          <cell r="D682"/>
          <cell r="E682">
            <v>135</v>
          </cell>
          <cell r="F682">
            <v>127</v>
          </cell>
          <cell r="G682">
            <v>114</v>
          </cell>
          <cell r="H682">
            <v>46</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177027</v>
          </cell>
          <cell r="F684">
            <v>166525</v>
          </cell>
          <cell r="G684">
            <v>149255</v>
          </cell>
          <cell r="H684">
            <v>59760</v>
          </cell>
          <cell r="I684">
            <v>0</v>
          </cell>
        </row>
        <row r="685">
          <cell r="A685">
            <v>97511</v>
          </cell>
          <cell r="B685" t="str">
            <v>TOWN OF TRYON</v>
          </cell>
          <cell r="C685">
            <v>1.9120000000000001E-4</v>
          </cell>
          <cell r="D685"/>
          <cell r="E685">
            <v>28643</v>
          </cell>
          <cell r="F685">
            <v>26944</v>
          </cell>
          <cell r="G685">
            <v>24150</v>
          </cell>
          <cell r="H685">
            <v>9669</v>
          </cell>
          <cell r="I685">
            <v>0</v>
          </cell>
        </row>
        <row r="686">
          <cell r="A686">
            <v>97521</v>
          </cell>
          <cell r="B686" t="str">
            <v>TOWN OF COLUMBUS</v>
          </cell>
          <cell r="C686">
            <v>1.139E-4</v>
          </cell>
          <cell r="D686"/>
          <cell r="E686">
            <v>17063</v>
          </cell>
          <cell r="F686">
            <v>16051</v>
          </cell>
          <cell r="G686">
            <v>14386</v>
          </cell>
          <cell r="H686">
            <v>5760</v>
          </cell>
          <cell r="I686">
            <v>0</v>
          </cell>
        </row>
        <row r="687">
          <cell r="A687">
            <v>97527</v>
          </cell>
          <cell r="B687" t="str">
            <v>COLUMBUS ABC BOARD</v>
          </cell>
          <cell r="C687">
            <v>1.7E-5</v>
          </cell>
          <cell r="D687"/>
          <cell r="E687">
            <v>2547</v>
          </cell>
          <cell r="F687">
            <v>2396</v>
          </cell>
          <cell r="G687">
            <v>2147</v>
          </cell>
          <cell r="H687">
            <v>860</v>
          </cell>
          <cell r="I687">
            <v>0</v>
          </cell>
        </row>
        <row r="688">
          <cell r="A688">
            <v>97531</v>
          </cell>
          <cell r="B688" t="str">
            <v>CITY OF SALUDA</v>
          </cell>
          <cell r="C688">
            <v>8.1299999999999997E-5</v>
          </cell>
          <cell r="D688"/>
          <cell r="E688">
            <v>12179</v>
          </cell>
          <cell r="F688">
            <v>11457</v>
          </cell>
          <cell r="G688">
            <v>10269</v>
          </cell>
          <cell r="H688">
            <v>4111</v>
          </cell>
          <cell r="I688">
            <v>0</v>
          </cell>
        </row>
        <row r="689">
          <cell r="A689">
            <v>97601</v>
          </cell>
          <cell r="B689" t="str">
            <v>RANDOLPH COUNTY</v>
          </cell>
          <cell r="C689">
            <v>5.2946E-3</v>
          </cell>
          <cell r="D689"/>
          <cell r="E689">
            <v>793168</v>
          </cell>
          <cell r="F689">
            <v>746115</v>
          </cell>
          <cell r="G689">
            <v>668734</v>
          </cell>
          <cell r="H689">
            <v>267753</v>
          </cell>
          <cell r="I689">
            <v>0</v>
          </cell>
        </row>
        <row r="690">
          <cell r="A690">
            <v>97607</v>
          </cell>
          <cell r="B690" t="str">
            <v>ASHEBORO ABC BOARD</v>
          </cell>
          <cell r="C690">
            <v>2.0699999999999998E-5</v>
          </cell>
          <cell r="D690"/>
          <cell r="E690">
            <v>3101</v>
          </cell>
          <cell r="F690">
            <v>2917</v>
          </cell>
          <cell r="G690">
            <v>2615</v>
          </cell>
          <cell r="H690">
            <v>1047</v>
          </cell>
          <cell r="I690">
            <v>0</v>
          </cell>
        </row>
        <row r="691">
          <cell r="A691">
            <v>97611</v>
          </cell>
          <cell r="B691" t="str">
            <v>CITY OF ASHEBORO</v>
          </cell>
          <cell r="C691">
            <v>2.3218000000000002E-3</v>
          </cell>
          <cell r="D691"/>
          <cell r="E691">
            <v>347822</v>
          </cell>
          <cell r="F691">
            <v>327188</v>
          </cell>
          <cell r="G691">
            <v>293255</v>
          </cell>
          <cell r="H691">
            <v>117416</v>
          </cell>
          <cell r="I691">
            <v>0</v>
          </cell>
        </row>
        <row r="692">
          <cell r="A692">
            <v>97613</v>
          </cell>
          <cell r="B692" t="str">
            <v>ASHEBORO HOUSING AUTH</v>
          </cell>
          <cell r="C692">
            <v>8.8599999999999999E-5</v>
          </cell>
          <cell r="D692"/>
          <cell r="E692">
            <v>13273</v>
          </cell>
          <cell r="F692">
            <v>12486</v>
          </cell>
          <cell r="G692">
            <v>11191</v>
          </cell>
          <cell r="H692">
            <v>4481</v>
          </cell>
          <cell r="I692">
            <v>0</v>
          </cell>
        </row>
        <row r="693">
          <cell r="A693">
            <v>97621</v>
          </cell>
          <cell r="B693" t="str">
            <v>CITY OF RANDLEMAN</v>
          </cell>
          <cell r="C693">
            <v>4.3960000000000001E-4</v>
          </cell>
          <cell r="D693"/>
          <cell r="E693">
            <v>65855</v>
          </cell>
          <cell r="F693">
            <v>61948</v>
          </cell>
          <cell r="G693">
            <v>55524</v>
          </cell>
          <cell r="H693">
            <v>22231</v>
          </cell>
          <cell r="I693">
            <v>0</v>
          </cell>
        </row>
        <row r="694">
          <cell r="A694">
            <v>97623</v>
          </cell>
          <cell r="B694" t="str">
            <v>CITY OF RANDLEMAN HOUSING AUTHORITY</v>
          </cell>
          <cell r="C694">
            <v>2.5400000000000001E-5</v>
          </cell>
          <cell r="D694"/>
          <cell r="E694">
            <v>3805</v>
          </cell>
          <cell r="F694">
            <v>3579</v>
          </cell>
          <cell r="G694">
            <v>3208</v>
          </cell>
          <cell r="H694">
            <v>1285</v>
          </cell>
          <cell r="I694">
            <v>0</v>
          </cell>
        </row>
        <row r="695">
          <cell r="A695">
            <v>97627</v>
          </cell>
          <cell r="B695" t="str">
            <v>CITY OF RANDLEMAN ABC BOARD</v>
          </cell>
          <cell r="C695">
            <v>9.3000000000000007E-6</v>
          </cell>
          <cell r="D695"/>
          <cell r="E695">
            <v>1393</v>
          </cell>
          <cell r="F695">
            <v>1311</v>
          </cell>
          <cell r="G695">
            <v>1175</v>
          </cell>
          <cell r="H695">
            <v>470</v>
          </cell>
          <cell r="I695">
            <v>0</v>
          </cell>
        </row>
        <row r="696">
          <cell r="A696">
            <v>97631</v>
          </cell>
          <cell r="B696" t="str">
            <v>TOWN OF LIBERTY</v>
          </cell>
          <cell r="C696">
            <v>1.972E-4</v>
          </cell>
          <cell r="D696"/>
          <cell r="E696">
            <v>29542</v>
          </cell>
          <cell r="F696">
            <v>27789</v>
          </cell>
          <cell r="G696">
            <v>24907</v>
          </cell>
          <cell r="H696">
            <v>9973</v>
          </cell>
          <cell r="I696">
            <v>0</v>
          </cell>
        </row>
        <row r="697">
          <cell r="A697">
            <v>97637</v>
          </cell>
          <cell r="B697" t="str">
            <v>LIBERTY ABC BOARD</v>
          </cell>
          <cell r="C697">
            <v>3.1999999999999999E-6</v>
          </cell>
          <cell r="D697"/>
          <cell r="E697">
            <v>479</v>
          </cell>
          <cell r="F697">
            <v>451</v>
          </cell>
          <cell r="G697">
            <v>404</v>
          </cell>
          <cell r="H697">
            <v>162</v>
          </cell>
          <cell r="I697">
            <v>0</v>
          </cell>
        </row>
        <row r="698">
          <cell r="A698">
            <v>97641</v>
          </cell>
          <cell r="B698" t="str">
            <v>TOWN OF RAMSEUR</v>
          </cell>
          <cell r="C698">
            <v>4.5399999999999999E-5</v>
          </cell>
          <cell r="D698"/>
          <cell r="E698">
            <v>6801</v>
          </cell>
          <cell r="F698">
            <v>6398</v>
          </cell>
          <cell r="G698">
            <v>5734</v>
          </cell>
          <cell r="H698">
            <v>2296</v>
          </cell>
          <cell r="I698">
            <v>0</v>
          </cell>
        </row>
        <row r="699">
          <cell r="A699">
            <v>97651</v>
          </cell>
          <cell r="B699" t="str">
            <v>CITY OF ARCHDALE</v>
          </cell>
          <cell r="C699">
            <v>5.2329999999999998E-4</v>
          </cell>
          <cell r="D699"/>
          <cell r="E699">
            <v>78394</v>
          </cell>
          <cell r="F699">
            <v>73743</v>
          </cell>
          <cell r="G699">
            <v>66095</v>
          </cell>
          <cell r="H699">
            <v>26464</v>
          </cell>
          <cell r="I699">
            <v>0</v>
          </cell>
        </row>
        <row r="700">
          <cell r="A700">
            <v>97661</v>
          </cell>
          <cell r="B700" t="str">
            <v>CITY OF TRINITY</v>
          </cell>
          <cell r="C700">
            <v>5.3300000000000001E-5</v>
          </cell>
          <cell r="D700"/>
          <cell r="E700">
            <v>7985</v>
          </cell>
          <cell r="F700">
            <v>7511</v>
          </cell>
          <cell r="G700">
            <v>6732</v>
          </cell>
          <cell r="H700">
            <v>2695</v>
          </cell>
          <cell r="I700">
            <v>0</v>
          </cell>
        </row>
        <row r="701">
          <cell r="A701">
            <v>97701</v>
          </cell>
          <cell r="B701" t="str">
            <v>RICHMOND COUNTY</v>
          </cell>
          <cell r="C701">
            <v>2.4578E-3</v>
          </cell>
          <cell r="D701"/>
          <cell r="E701">
            <v>368196</v>
          </cell>
          <cell r="F701">
            <v>346353</v>
          </cell>
          <cell r="G701">
            <v>310432</v>
          </cell>
          <cell r="H701">
            <v>124293</v>
          </cell>
          <cell r="I701">
            <v>0</v>
          </cell>
        </row>
        <row r="702">
          <cell r="A702">
            <v>97705</v>
          </cell>
          <cell r="B702" t="str">
            <v>SANDHILL REGIONAL LIBRARY</v>
          </cell>
          <cell r="C702">
            <v>3.1699999999999998E-5</v>
          </cell>
          <cell r="D702"/>
          <cell r="E702">
            <v>4749</v>
          </cell>
          <cell r="F702">
            <v>4467</v>
          </cell>
          <cell r="G702">
            <v>4004</v>
          </cell>
          <cell r="H702">
            <v>1603</v>
          </cell>
          <cell r="I702">
            <v>0</v>
          </cell>
        </row>
        <row r="703">
          <cell r="A703">
            <v>97711</v>
          </cell>
          <cell r="B703" t="str">
            <v>CITY OF ROCKINGHAM</v>
          </cell>
          <cell r="C703">
            <v>8.5930000000000002E-4</v>
          </cell>
          <cell r="D703"/>
          <cell r="E703">
            <v>128729</v>
          </cell>
          <cell r="F703">
            <v>121093</v>
          </cell>
          <cell r="G703">
            <v>108534</v>
          </cell>
          <cell r="H703">
            <v>43456</v>
          </cell>
          <cell r="I703">
            <v>0</v>
          </cell>
        </row>
        <row r="704">
          <cell r="A704">
            <v>97713</v>
          </cell>
          <cell r="B704" t="str">
            <v>ROCKINGHAM HOUSING AUTHORITY</v>
          </cell>
          <cell r="C704">
            <v>5.0399999999999999E-5</v>
          </cell>
          <cell r="D704"/>
          <cell r="E704">
            <v>7550</v>
          </cell>
          <cell r="F704">
            <v>7102</v>
          </cell>
          <cell r="G704">
            <v>6366</v>
          </cell>
          <cell r="H704">
            <v>2549</v>
          </cell>
          <cell r="I704">
            <v>0</v>
          </cell>
        </row>
        <row r="705">
          <cell r="A705">
            <v>97717</v>
          </cell>
          <cell r="B705" t="str">
            <v>HAMLET ABC BOARD</v>
          </cell>
          <cell r="C705">
            <v>5.4E-6</v>
          </cell>
          <cell r="D705"/>
          <cell r="E705">
            <v>809</v>
          </cell>
          <cell r="F705">
            <v>761</v>
          </cell>
          <cell r="G705">
            <v>682</v>
          </cell>
          <cell r="H705">
            <v>273</v>
          </cell>
          <cell r="I705">
            <v>0</v>
          </cell>
        </row>
        <row r="706">
          <cell r="A706">
            <v>97721</v>
          </cell>
          <cell r="B706" t="str">
            <v>CITY OF HAMLET</v>
          </cell>
          <cell r="C706">
            <v>5.5699999999999999E-4</v>
          </cell>
          <cell r="D706"/>
          <cell r="E706">
            <v>83442</v>
          </cell>
          <cell r="F706">
            <v>78492</v>
          </cell>
          <cell r="G706">
            <v>70352</v>
          </cell>
          <cell r="H706">
            <v>28168</v>
          </cell>
          <cell r="I706">
            <v>0</v>
          </cell>
        </row>
        <row r="707">
          <cell r="A707">
            <v>97727</v>
          </cell>
          <cell r="B707" t="str">
            <v>CITY OF ROCKINGHAM ABC BOARD</v>
          </cell>
          <cell r="C707">
            <v>1.8600000000000001E-5</v>
          </cell>
          <cell r="D707"/>
          <cell r="E707">
            <v>2786</v>
          </cell>
          <cell r="F707">
            <v>2621</v>
          </cell>
          <cell r="G707">
            <v>2349</v>
          </cell>
          <cell r="H707">
            <v>941</v>
          </cell>
          <cell r="I707">
            <v>0</v>
          </cell>
        </row>
        <row r="708">
          <cell r="A708">
            <v>97731</v>
          </cell>
          <cell r="B708" t="str">
            <v>TOWN OF ELLERBE</v>
          </cell>
          <cell r="C708">
            <v>3.82E-5</v>
          </cell>
          <cell r="D708"/>
          <cell r="E708">
            <v>5723</v>
          </cell>
          <cell r="F708">
            <v>5383</v>
          </cell>
          <cell r="G708">
            <v>4825</v>
          </cell>
          <cell r="H708">
            <v>1932</v>
          </cell>
          <cell r="I708">
            <v>0</v>
          </cell>
        </row>
        <row r="709">
          <cell r="A709">
            <v>97801</v>
          </cell>
          <cell r="B709" t="str">
            <v>COUNTY OF ROBESON</v>
          </cell>
          <cell r="C709">
            <v>6.0489000000000003E-3</v>
          </cell>
          <cell r="D709"/>
          <cell r="E709">
            <v>906168</v>
          </cell>
          <cell r="F709">
            <v>852411</v>
          </cell>
          <cell r="G709">
            <v>764006</v>
          </cell>
          <cell r="H709">
            <v>305899</v>
          </cell>
          <cell r="I709">
            <v>0</v>
          </cell>
        </row>
        <row r="710">
          <cell r="A710">
            <v>97802</v>
          </cell>
          <cell r="B710" t="str">
            <v>LUMBER RIVER COUNCIL OF GOVERNMENTS</v>
          </cell>
          <cell r="C710">
            <v>1.9029999999999999E-4</v>
          </cell>
          <cell r="D710"/>
          <cell r="E710">
            <v>28508</v>
          </cell>
          <cell r="F710">
            <v>26817</v>
          </cell>
          <cell r="G710">
            <v>24036</v>
          </cell>
          <cell r="H710">
            <v>9624</v>
          </cell>
          <cell r="I710">
            <v>0</v>
          </cell>
        </row>
        <row r="711">
          <cell r="A711">
            <v>97803</v>
          </cell>
          <cell r="B711" t="str">
            <v>ROBESON COUNTY HOUSING AUTHORITY</v>
          </cell>
          <cell r="C711">
            <v>7.7899999999999996E-5</v>
          </cell>
          <cell r="D711"/>
          <cell r="E711">
            <v>11670</v>
          </cell>
          <cell r="F711">
            <v>10978</v>
          </cell>
          <cell r="G711">
            <v>9839</v>
          </cell>
          <cell r="H711">
            <v>3939</v>
          </cell>
          <cell r="I711">
            <v>0</v>
          </cell>
        </row>
        <row r="712">
          <cell r="A712">
            <v>97805</v>
          </cell>
          <cell r="B712" t="str">
            <v>ROBESON COUNTY PUBLIC LIBRARY</v>
          </cell>
          <cell r="C712">
            <v>8.6500000000000002E-5</v>
          </cell>
          <cell r="D712"/>
          <cell r="E712">
            <v>12958</v>
          </cell>
          <cell r="F712">
            <v>12190</v>
          </cell>
          <cell r="G712">
            <v>10925</v>
          </cell>
          <cell r="H712">
            <v>4374</v>
          </cell>
          <cell r="I712">
            <v>0</v>
          </cell>
        </row>
        <row r="713">
          <cell r="A713">
            <v>97811</v>
          </cell>
          <cell r="B713" t="str">
            <v>CITY OF LUMBERTON</v>
          </cell>
          <cell r="C713">
            <v>2.4080999999999998E-3</v>
          </cell>
          <cell r="D713"/>
          <cell r="E713">
            <v>360750</v>
          </cell>
          <cell r="F713">
            <v>339349</v>
          </cell>
          <cell r="G713">
            <v>304155</v>
          </cell>
          <cell r="H713">
            <v>121780</v>
          </cell>
          <cell r="I713">
            <v>0</v>
          </cell>
        </row>
        <row r="714">
          <cell r="A714">
            <v>97817</v>
          </cell>
          <cell r="B714" t="str">
            <v>LUMBERTON ABC BOARD</v>
          </cell>
          <cell r="C714">
            <v>1.7499999999999998E-5</v>
          </cell>
          <cell r="D714"/>
          <cell r="E714">
            <v>2622</v>
          </cell>
          <cell r="F714">
            <v>2466</v>
          </cell>
          <cell r="G714">
            <v>2210</v>
          </cell>
          <cell r="H714">
            <v>885</v>
          </cell>
          <cell r="I714">
            <v>0</v>
          </cell>
        </row>
        <row r="715">
          <cell r="A715">
            <v>97818</v>
          </cell>
          <cell r="B715" t="str">
            <v>LUMBERTON AIRPORT COMM</v>
          </cell>
          <cell r="C715">
            <v>2.4899999999999999E-5</v>
          </cell>
          <cell r="D715"/>
          <cell r="E715">
            <v>3730</v>
          </cell>
          <cell r="F715">
            <v>3509</v>
          </cell>
          <cell r="G715">
            <v>3145</v>
          </cell>
          <cell r="H715">
            <v>1259</v>
          </cell>
          <cell r="I715">
            <v>0</v>
          </cell>
        </row>
        <row r="716">
          <cell r="A716">
            <v>97821</v>
          </cell>
          <cell r="B716" t="str">
            <v>TOWN OF FAIRMONT</v>
          </cell>
          <cell r="C716">
            <v>1.329E-4</v>
          </cell>
          <cell r="D716"/>
          <cell r="E716">
            <v>19909</v>
          </cell>
          <cell r="F716">
            <v>18728</v>
          </cell>
          <cell r="G716">
            <v>16786</v>
          </cell>
          <cell r="H716">
            <v>6721</v>
          </cell>
          <cell r="I716">
            <v>0</v>
          </cell>
        </row>
        <row r="717">
          <cell r="A717">
            <v>97823</v>
          </cell>
          <cell r="B717" t="str">
            <v>FAIRMONT HOUSING AUTHORITY</v>
          </cell>
          <cell r="C717">
            <v>1.5400000000000002E-5</v>
          </cell>
          <cell r="D717"/>
          <cell r="E717">
            <v>2307</v>
          </cell>
          <cell r="F717">
            <v>2170</v>
          </cell>
          <cell r="G717">
            <v>1945</v>
          </cell>
          <cell r="H717">
            <v>779</v>
          </cell>
          <cell r="I717">
            <v>0</v>
          </cell>
        </row>
        <row r="718">
          <cell r="A718">
            <v>97831</v>
          </cell>
          <cell r="B718" t="str">
            <v>TOWN OF ST PAULS</v>
          </cell>
          <cell r="C718">
            <v>1.6359999999999999E-4</v>
          </cell>
          <cell r="D718"/>
          <cell r="E718">
            <v>24508</v>
          </cell>
          <cell r="F718">
            <v>23055</v>
          </cell>
          <cell r="G718">
            <v>20663</v>
          </cell>
          <cell r="H718">
            <v>8273</v>
          </cell>
          <cell r="I718">
            <v>0</v>
          </cell>
        </row>
        <row r="719">
          <cell r="A719">
            <v>97837</v>
          </cell>
          <cell r="B719" t="str">
            <v>ST PAUL'S BRD OF ALCOHOLIC CTL</v>
          </cell>
          <cell r="C719">
            <v>1.0000000000000001E-5</v>
          </cell>
          <cell r="D719"/>
          <cell r="E719">
            <v>1498</v>
          </cell>
          <cell r="F719">
            <v>1409</v>
          </cell>
          <cell r="G719">
            <v>1263</v>
          </cell>
          <cell r="H719">
            <v>506</v>
          </cell>
          <cell r="I719">
            <v>0</v>
          </cell>
        </row>
        <row r="720">
          <cell r="A720">
            <v>97840</v>
          </cell>
          <cell r="B720" t="str">
            <v>TOWN OF MAXTON</v>
          </cell>
          <cell r="C720">
            <v>1.0560000000000001E-4</v>
          </cell>
          <cell r="D720"/>
          <cell r="E720">
            <v>15820</v>
          </cell>
          <cell r="F720">
            <v>14881</v>
          </cell>
          <cell r="G720">
            <v>13338</v>
          </cell>
          <cell r="H720">
            <v>5340</v>
          </cell>
          <cell r="I720">
            <v>0</v>
          </cell>
        </row>
        <row r="721">
          <cell r="A721">
            <v>97841</v>
          </cell>
          <cell r="B721" t="str">
            <v>TOWN OF PARKTON</v>
          </cell>
          <cell r="C721">
            <v>1.2099999999999999E-5</v>
          </cell>
          <cell r="D721"/>
          <cell r="E721">
            <v>1813</v>
          </cell>
          <cell r="F721">
            <v>1705</v>
          </cell>
          <cell r="G721">
            <v>1528</v>
          </cell>
          <cell r="H721">
            <v>612</v>
          </cell>
          <cell r="I721">
            <v>0</v>
          </cell>
        </row>
        <row r="722">
          <cell r="A722">
            <v>97847</v>
          </cell>
          <cell r="B722" t="str">
            <v>MAXTON ABC BOARD</v>
          </cell>
          <cell r="C722">
            <v>1.7E-6</v>
          </cell>
          <cell r="D722"/>
          <cell r="E722">
            <v>255</v>
          </cell>
          <cell r="F722">
            <v>240</v>
          </cell>
          <cell r="G722">
            <v>215</v>
          </cell>
          <cell r="H722">
            <v>86</v>
          </cell>
          <cell r="I722">
            <v>0</v>
          </cell>
        </row>
        <row r="723">
          <cell r="A723">
            <v>97851</v>
          </cell>
          <cell r="B723" t="str">
            <v>TOWN OF PEMBROKE</v>
          </cell>
          <cell r="C723">
            <v>2.7540000000000003E-4</v>
          </cell>
          <cell r="D723"/>
          <cell r="E723">
            <v>41257</v>
          </cell>
          <cell r="F723">
            <v>38809</v>
          </cell>
          <cell r="G723">
            <v>34784</v>
          </cell>
          <cell r="H723">
            <v>13927</v>
          </cell>
          <cell r="I723">
            <v>0</v>
          </cell>
        </row>
        <row r="724">
          <cell r="A724">
            <v>97853</v>
          </cell>
          <cell r="B724" t="str">
            <v>PEMBROKE HOUSING AUTHORITY</v>
          </cell>
          <cell r="C724">
            <v>7.9900000000000004E-5</v>
          </cell>
          <cell r="D724"/>
          <cell r="E724">
            <v>11970</v>
          </cell>
          <cell r="F724">
            <v>11260</v>
          </cell>
          <cell r="G724">
            <v>10092</v>
          </cell>
          <cell r="H724">
            <v>4041</v>
          </cell>
          <cell r="I724">
            <v>0</v>
          </cell>
        </row>
        <row r="725">
          <cell r="A725">
            <v>97861</v>
          </cell>
          <cell r="B725" t="str">
            <v>TOWN OF ROWLAND</v>
          </cell>
          <cell r="C725">
            <v>4.5500000000000001E-5</v>
          </cell>
          <cell r="D725"/>
          <cell r="E725">
            <v>6816</v>
          </cell>
          <cell r="F725">
            <v>6412</v>
          </cell>
          <cell r="G725">
            <v>5747</v>
          </cell>
          <cell r="H725">
            <v>2301</v>
          </cell>
          <cell r="I725">
            <v>0</v>
          </cell>
        </row>
        <row r="726">
          <cell r="A726">
            <v>97871</v>
          </cell>
          <cell r="B726" t="str">
            <v>TOWN OF RED SPRINGS</v>
          </cell>
          <cell r="C726">
            <v>3.0079999999999999E-4</v>
          </cell>
          <cell r="D726"/>
          <cell r="E726">
            <v>45062</v>
          </cell>
          <cell r="F726">
            <v>42389</v>
          </cell>
          <cell r="G726">
            <v>37993</v>
          </cell>
          <cell r="H726">
            <v>15212</v>
          </cell>
          <cell r="I726">
            <v>0</v>
          </cell>
        </row>
        <row r="727">
          <cell r="A727">
            <v>97877</v>
          </cell>
          <cell r="B727" t="str">
            <v>RED SPRINGS ABC BOARD</v>
          </cell>
          <cell r="C727">
            <v>7.6000000000000001E-6</v>
          </cell>
          <cell r="D727"/>
          <cell r="E727">
            <v>1139</v>
          </cell>
          <cell r="F727">
            <v>1071</v>
          </cell>
          <cell r="G727">
            <v>960</v>
          </cell>
          <cell r="H727">
            <v>384</v>
          </cell>
          <cell r="I727">
            <v>0</v>
          </cell>
        </row>
        <row r="728">
          <cell r="A728">
            <v>97901</v>
          </cell>
          <cell r="B728" t="str">
            <v>ROCKINGHAM COUNTY</v>
          </cell>
          <cell r="C728">
            <v>4.0067999999999996E-3</v>
          </cell>
          <cell r="D728"/>
          <cell r="E728">
            <v>600247</v>
          </cell>
          <cell r="F728">
            <v>564638</v>
          </cell>
          <cell r="G728">
            <v>506079</v>
          </cell>
          <cell r="H728">
            <v>202628</v>
          </cell>
          <cell r="I728">
            <v>0</v>
          </cell>
        </row>
        <row r="729">
          <cell r="A729">
            <v>97911</v>
          </cell>
          <cell r="B729" t="str">
            <v>CITY OF REIDSVILLE</v>
          </cell>
          <cell r="C729">
            <v>1.2121E-3</v>
          </cell>
          <cell r="D729"/>
          <cell r="E729">
            <v>181581</v>
          </cell>
          <cell r="F729">
            <v>170809</v>
          </cell>
          <cell r="G729">
            <v>153094</v>
          </cell>
          <cell r="H729">
            <v>61297</v>
          </cell>
          <cell r="I729">
            <v>0</v>
          </cell>
        </row>
        <row r="730">
          <cell r="A730">
            <v>97913</v>
          </cell>
          <cell r="B730" t="str">
            <v>THE NEW REIDSVILLE HOUSING AUTH</v>
          </cell>
          <cell r="C730">
            <v>2.8600000000000001E-5</v>
          </cell>
          <cell r="D730"/>
          <cell r="E730">
            <v>4284</v>
          </cell>
          <cell r="F730">
            <v>4030</v>
          </cell>
          <cell r="G730">
            <v>3612</v>
          </cell>
          <cell r="H730">
            <v>1446</v>
          </cell>
          <cell r="I730">
            <v>0</v>
          </cell>
        </row>
        <row r="731">
          <cell r="A731">
            <v>97917</v>
          </cell>
          <cell r="B731" t="str">
            <v>REIDSVILLE ABC BOARD</v>
          </cell>
          <cell r="C731">
            <v>1.84E-5</v>
          </cell>
          <cell r="D731"/>
          <cell r="E731">
            <v>2756</v>
          </cell>
          <cell r="F731">
            <v>2593</v>
          </cell>
          <cell r="G731">
            <v>2324</v>
          </cell>
          <cell r="H731">
            <v>931</v>
          </cell>
          <cell r="I731">
            <v>0</v>
          </cell>
        </row>
        <row r="732">
          <cell r="A732">
            <v>97921</v>
          </cell>
          <cell r="B732" t="str">
            <v>TOWN OF MAYODAN</v>
          </cell>
          <cell r="C732">
            <v>2.073E-4</v>
          </cell>
          <cell r="D732"/>
          <cell r="E732">
            <v>31055</v>
          </cell>
          <cell r="F732">
            <v>29213</v>
          </cell>
          <cell r="G732">
            <v>26183</v>
          </cell>
          <cell r="H732">
            <v>10483</v>
          </cell>
          <cell r="I732">
            <v>0</v>
          </cell>
        </row>
        <row r="733">
          <cell r="A733">
            <v>97931</v>
          </cell>
          <cell r="B733" t="str">
            <v>TOWN OF STONEVILLE</v>
          </cell>
          <cell r="C733">
            <v>6.6699999999999995E-5</v>
          </cell>
          <cell r="D733"/>
          <cell r="E733">
            <v>9992</v>
          </cell>
          <cell r="F733">
            <v>9399</v>
          </cell>
          <cell r="G733">
            <v>8425</v>
          </cell>
          <cell r="H733">
            <v>3373</v>
          </cell>
          <cell r="I733">
            <v>0</v>
          </cell>
        </row>
        <row r="734">
          <cell r="A734">
            <v>97941</v>
          </cell>
          <cell r="B734" t="str">
            <v>TOWN OF MADISON</v>
          </cell>
          <cell r="C734">
            <v>2.143E-4</v>
          </cell>
          <cell r="D734"/>
          <cell r="E734">
            <v>32104</v>
          </cell>
          <cell r="F734">
            <v>30199</v>
          </cell>
          <cell r="G734">
            <v>27067</v>
          </cell>
          <cell r="H734">
            <v>10837</v>
          </cell>
          <cell r="I734">
            <v>0</v>
          </cell>
        </row>
        <row r="735">
          <cell r="A735">
            <v>97947</v>
          </cell>
          <cell r="B735" t="str">
            <v>MADISON ABC BOARD</v>
          </cell>
          <cell r="C735">
            <v>1.52E-5</v>
          </cell>
          <cell r="D735"/>
          <cell r="E735">
            <v>2277</v>
          </cell>
          <cell r="F735">
            <v>2142</v>
          </cell>
          <cell r="G735">
            <v>1920</v>
          </cell>
          <cell r="H735">
            <v>769</v>
          </cell>
          <cell r="I735">
            <v>0</v>
          </cell>
        </row>
        <row r="736">
          <cell r="A736">
            <v>97948</v>
          </cell>
          <cell r="B736" t="str">
            <v>MADISON-MAYODAN RECREATION COMM</v>
          </cell>
          <cell r="C736">
            <v>2.6100000000000001E-5</v>
          </cell>
          <cell r="D736"/>
          <cell r="E736">
            <v>3910</v>
          </cell>
          <cell r="F736">
            <v>3678</v>
          </cell>
          <cell r="G736">
            <v>3297</v>
          </cell>
          <cell r="H736">
            <v>1320</v>
          </cell>
          <cell r="I736">
            <v>0</v>
          </cell>
        </row>
        <row r="737">
          <cell r="A737">
            <v>97951</v>
          </cell>
          <cell r="B737" t="str">
            <v>CITY OF EDEN</v>
          </cell>
          <cell r="C737">
            <v>1.1746E-3</v>
          </cell>
          <cell r="D737"/>
          <cell r="E737">
            <v>175963</v>
          </cell>
          <cell r="F737">
            <v>165525</v>
          </cell>
          <cell r="G737">
            <v>148358</v>
          </cell>
          <cell r="H737">
            <v>59401</v>
          </cell>
          <cell r="I737">
            <v>0</v>
          </cell>
        </row>
        <row r="738">
          <cell r="A738">
            <v>97957</v>
          </cell>
          <cell r="B738" t="str">
            <v>EDEN ABC BOARD</v>
          </cell>
          <cell r="C738">
            <v>1.49E-5</v>
          </cell>
          <cell r="D738"/>
          <cell r="E738">
            <v>2232</v>
          </cell>
          <cell r="F738">
            <v>2100</v>
          </cell>
          <cell r="G738">
            <v>1882</v>
          </cell>
          <cell r="H738">
            <v>754</v>
          </cell>
          <cell r="I738">
            <v>0</v>
          </cell>
        </row>
        <row r="739">
          <cell r="A739">
            <v>98001</v>
          </cell>
          <cell r="B739" t="str">
            <v>ROWAN COUNTY</v>
          </cell>
          <cell r="C739">
            <v>5.3171E-3</v>
          </cell>
          <cell r="D739"/>
          <cell r="E739">
            <v>796539</v>
          </cell>
          <cell r="F739">
            <v>749286</v>
          </cell>
          <cell r="G739">
            <v>671576</v>
          </cell>
          <cell r="H739">
            <v>268891</v>
          </cell>
          <cell r="I739">
            <v>0</v>
          </cell>
        </row>
        <row r="740">
          <cell r="A740">
            <v>98002</v>
          </cell>
          <cell r="B740" t="str">
            <v>ROWAN CONVENTION &amp; VISTORS BUREAU</v>
          </cell>
          <cell r="C740">
            <v>6.1999999999999999E-6</v>
          </cell>
          <cell r="D740"/>
          <cell r="E740">
            <v>929</v>
          </cell>
          <cell r="F740">
            <v>874</v>
          </cell>
          <cell r="G740">
            <v>783</v>
          </cell>
          <cell r="H740">
            <v>314</v>
          </cell>
          <cell r="I740">
            <v>0</v>
          </cell>
        </row>
        <row r="741">
          <cell r="A741">
            <v>98003</v>
          </cell>
          <cell r="B741" t="str">
            <v>ROWAN CO HOUSING AUTHORITY</v>
          </cell>
          <cell r="C741">
            <v>6.9499999999999995E-5</v>
          </cell>
          <cell r="D741"/>
          <cell r="E741">
            <v>10412</v>
          </cell>
          <cell r="F741">
            <v>9794</v>
          </cell>
          <cell r="G741">
            <v>8778</v>
          </cell>
          <cell r="H741">
            <v>3515</v>
          </cell>
          <cell r="I741">
            <v>0</v>
          </cell>
        </row>
        <row r="742">
          <cell r="A742">
            <v>98004</v>
          </cell>
          <cell r="B742" t="str">
            <v>ROWAN COUNTY ABC BOARD</v>
          </cell>
          <cell r="C742">
            <v>1.2530000000000001E-4</v>
          </cell>
          <cell r="D742"/>
          <cell r="E742">
            <v>18771</v>
          </cell>
          <cell r="F742">
            <v>17657</v>
          </cell>
          <cell r="G742">
            <v>15826</v>
          </cell>
          <cell r="H742">
            <v>6337</v>
          </cell>
          <cell r="I742">
            <v>0</v>
          </cell>
        </row>
        <row r="743">
          <cell r="A743">
            <v>98008</v>
          </cell>
          <cell r="B743" t="str">
            <v>ROWAN CO SOIL &amp; WATER CONV DIST</v>
          </cell>
          <cell r="C743">
            <v>7.1999999999999997E-6</v>
          </cell>
          <cell r="D743"/>
          <cell r="E743">
            <v>1079</v>
          </cell>
          <cell r="F743">
            <v>1015</v>
          </cell>
          <cell r="G743">
            <v>909</v>
          </cell>
          <cell r="H743">
            <v>364</v>
          </cell>
          <cell r="I743">
            <v>0</v>
          </cell>
        </row>
        <row r="744">
          <cell r="A744">
            <v>98011</v>
          </cell>
          <cell r="B744" t="str">
            <v>CITY OF SALISBURY</v>
          </cell>
          <cell r="C744">
            <v>3.4512000000000002E-3</v>
          </cell>
          <cell r="D744"/>
          <cell r="E744">
            <v>517014</v>
          </cell>
          <cell r="F744">
            <v>486343</v>
          </cell>
          <cell r="G744">
            <v>435904</v>
          </cell>
          <cell r="H744">
            <v>174531</v>
          </cell>
          <cell r="I744">
            <v>0</v>
          </cell>
        </row>
        <row r="745">
          <cell r="A745">
            <v>98013</v>
          </cell>
          <cell r="B745" t="str">
            <v>HOUSING AUTH OF THE CTY OF SALISBURY</v>
          </cell>
          <cell r="C745">
            <v>1.3990000000000001E-4</v>
          </cell>
          <cell r="D745"/>
          <cell r="E745">
            <v>20958</v>
          </cell>
          <cell r="F745">
            <v>19715</v>
          </cell>
          <cell r="G745">
            <v>17670</v>
          </cell>
          <cell r="H745">
            <v>7075</v>
          </cell>
          <cell r="I745">
            <v>0</v>
          </cell>
        </row>
        <row r="746">
          <cell r="A746">
            <v>98021</v>
          </cell>
          <cell r="B746" t="str">
            <v>TOWN OF EAST SPENCER</v>
          </cell>
          <cell r="C746">
            <v>4.2400000000000001E-5</v>
          </cell>
          <cell r="D746"/>
          <cell r="E746">
            <v>6352</v>
          </cell>
          <cell r="F746">
            <v>5975</v>
          </cell>
          <cell r="G746">
            <v>5355</v>
          </cell>
          <cell r="H746">
            <v>2144</v>
          </cell>
          <cell r="I746">
            <v>0</v>
          </cell>
        </row>
        <row r="747">
          <cell r="A747">
            <v>98023</v>
          </cell>
          <cell r="B747" t="str">
            <v>EAST SPENCER HOUSING AUTHORITY</v>
          </cell>
          <cell r="C747">
            <v>8.8000000000000004E-6</v>
          </cell>
          <cell r="D747"/>
          <cell r="E747">
            <v>1318</v>
          </cell>
          <cell r="F747">
            <v>1240</v>
          </cell>
          <cell r="G747">
            <v>1111</v>
          </cell>
          <cell r="H747">
            <v>445</v>
          </cell>
          <cell r="I747">
            <v>0</v>
          </cell>
        </row>
        <row r="748">
          <cell r="A748">
            <v>98031</v>
          </cell>
          <cell r="B748" t="str">
            <v>TOWN OF SPENCER</v>
          </cell>
          <cell r="C748">
            <v>1.5410000000000001E-4</v>
          </cell>
          <cell r="D748"/>
          <cell r="E748">
            <v>23085</v>
          </cell>
          <cell r="F748">
            <v>21716</v>
          </cell>
          <cell r="G748">
            <v>19464</v>
          </cell>
          <cell r="H748">
            <v>7793</v>
          </cell>
          <cell r="I748">
            <v>0</v>
          </cell>
        </row>
        <row r="749">
          <cell r="A749">
            <v>98041</v>
          </cell>
          <cell r="B749" t="str">
            <v>TOWN OF CHINA GROVE</v>
          </cell>
          <cell r="C749">
            <v>2.3560000000000001E-4</v>
          </cell>
          <cell r="D749"/>
          <cell r="E749">
            <v>35295</v>
          </cell>
          <cell r="F749">
            <v>33201</v>
          </cell>
          <cell r="G749">
            <v>29757</v>
          </cell>
          <cell r="H749">
            <v>11915</v>
          </cell>
          <cell r="I749">
            <v>0</v>
          </cell>
        </row>
        <row r="750">
          <cell r="A750">
            <v>98051</v>
          </cell>
          <cell r="B750" t="str">
            <v>TOWN OF LANDIS</v>
          </cell>
          <cell r="C750">
            <v>2.9750000000000002E-4</v>
          </cell>
          <cell r="D750"/>
          <cell r="E750">
            <v>44568</v>
          </cell>
          <cell r="F750">
            <v>41924</v>
          </cell>
          <cell r="G750">
            <v>37576</v>
          </cell>
          <cell r="H750">
            <v>15045</v>
          </cell>
          <cell r="I750">
            <v>0</v>
          </cell>
        </row>
        <row r="751">
          <cell r="A751">
            <v>98061</v>
          </cell>
          <cell r="B751" t="str">
            <v>TOWN OF GRANITE QUARRY</v>
          </cell>
          <cell r="C751">
            <v>1.208E-4</v>
          </cell>
          <cell r="D751"/>
          <cell r="E751">
            <v>18097</v>
          </cell>
          <cell r="F751">
            <v>17023</v>
          </cell>
          <cell r="G751">
            <v>15258</v>
          </cell>
          <cell r="H751">
            <v>6109</v>
          </cell>
          <cell r="I751">
            <v>0</v>
          </cell>
        </row>
        <row r="752">
          <cell r="A752">
            <v>98071</v>
          </cell>
          <cell r="B752" t="str">
            <v>TOWN OF ROCKWELL</v>
          </cell>
          <cell r="C752">
            <v>4.74E-5</v>
          </cell>
          <cell r="D752"/>
          <cell r="E752">
            <v>7101</v>
          </cell>
          <cell r="F752">
            <v>6680</v>
          </cell>
          <cell r="G752">
            <v>5987</v>
          </cell>
          <cell r="H752">
            <v>2397</v>
          </cell>
          <cell r="I752">
            <v>0</v>
          </cell>
        </row>
        <row r="753">
          <cell r="A753">
            <v>98081</v>
          </cell>
          <cell r="B753" t="str">
            <v>TOWN OF FAITH</v>
          </cell>
          <cell r="C753">
            <v>1.5800000000000001E-5</v>
          </cell>
          <cell r="D753"/>
          <cell r="E753">
            <v>2367</v>
          </cell>
          <cell r="F753">
            <v>2227</v>
          </cell>
          <cell r="G753">
            <v>1996</v>
          </cell>
          <cell r="H753">
            <v>799</v>
          </cell>
          <cell r="I753">
            <v>0</v>
          </cell>
        </row>
        <row r="754">
          <cell r="A754">
            <v>98091</v>
          </cell>
          <cell r="B754" t="str">
            <v>TOWN OF CLEVELAND</v>
          </cell>
          <cell r="C754">
            <v>6.7000000000000002E-5</v>
          </cell>
          <cell r="D754"/>
          <cell r="E754">
            <v>10037</v>
          </cell>
          <cell r="F754">
            <v>9442</v>
          </cell>
          <cell r="G754">
            <v>8462</v>
          </cell>
          <cell r="H754">
            <v>3388</v>
          </cell>
          <cell r="I754">
            <v>0</v>
          </cell>
        </row>
        <row r="755">
          <cell r="A755">
            <v>98101</v>
          </cell>
          <cell r="B755" t="str">
            <v>RUTHERFORD COUNTY</v>
          </cell>
          <cell r="C755">
            <v>2.6901E-3</v>
          </cell>
          <cell r="D755"/>
          <cell r="E755">
            <v>402996</v>
          </cell>
          <cell r="F755">
            <v>379089</v>
          </cell>
          <cell r="G755">
            <v>339773</v>
          </cell>
          <cell r="H755">
            <v>136041</v>
          </cell>
          <cell r="I755">
            <v>0</v>
          </cell>
        </row>
        <row r="756">
          <cell r="A756">
            <v>98102</v>
          </cell>
          <cell r="B756" t="str">
            <v>BROAD RIVER WATER AUTHORITY</v>
          </cell>
          <cell r="C756">
            <v>1.573E-4</v>
          </cell>
          <cell r="D756"/>
          <cell r="E756">
            <v>23565</v>
          </cell>
          <cell r="F756">
            <v>22167</v>
          </cell>
          <cell r="G756">
            <v>19868</v>
          </cell>
          <cell r="H756">
            <v>7955</v>
          </cell>
          <cell r="I756">
            <v>0</v>
          </cell>
        </row>
        <row r="757">
          <cell r="A757">
            <v>98103</v>
          </cell>
          <cell r="B757" t="str">
            <v>RUTHERFORD POLK MCDOWELL DIST BRD OF HEALTH</v>
          </cell>
          <cell r="C757">
            <v>5.04E-4</v>
          </cell>
          <cell r="D757"/>
          <cell r="E757">
            <v>75503</v>
          </cell>
          <cell r="F757">
            <v>71024</v>
          </cell>
          <cell r="G757">
            <v>63658</v>
          </cell>
          <cell r="H757">
            <v>25488</v>
          </cell>
          <cell r="I757">
            <v>0</v>
          </cell>
        </row>
        <row r="758">
          <cell r="A758">
            <v>98107</v>
          </cell>
          <cell r="B758" t="str">
            <v>FOREST CITY ABC BOARD 168</v>
          </cell>
          <cell r="C758">
            <v>9.3999999999999998E-6</v>
          </cell>
          <cell r="D758"/>
          <cell r="E758">
            <v>1408</v>
          </cell>
          <cell r="F758">
            <v>1325</v>
          </cell>
          <cell r="G758">
            <v>1187</v>
          </cell>
          <cell r="H758">
            <v>475</v>
          </cell>
          <cell r="I758">
            <v>0</v>
          </cell>
        </row>
        <row r="759">
          <cell r="A759">
            <v>98109</v>
          </cell>
          <cell r="B759" t="str">
            <v>ISOTHERMAL PLANNING AND DEV COMM</v>
          </cell>
          <cell r="C759">
            <v>1.595E-4</v>
          </cell>
          <cell r="D759"/>
          <cell r="E759">
            <v>23894</v>
          </cell>
          <cell r="F759">
            <v>22477</v>
          </cell>
          <cell r="G759">
            <v>20146</v>
          </cell>
          <cell r="H759">
            <v>8066</v>
          </cell>
          <cell r="I759">
            <v>0</v>
          </cell>
        </row>
        <row r="760">
          <cell r="A760">
            <v>98111</v>
          </cell>
          <cell r="B760" t="str">
            <v>TOWN OF FOREST CITY</v>
          </cell>
          <cell r="C760">
            <v>1.0231999999999999E-3</v>
          </cell>
          <cell r="D760"/>
          <cell r="E760">
            <v>153283</v>
          </cell>
          <cell r="F760">
            <v>144189</v>
          </cell>
          <cell r="G760">
            <v>129235</v>
          </cell>
          <cell r="H760">
            <v>51744</v>
          </cell>
          <cell r="I760">
            <v>0</v>
          </cell>
        </row>
        <row r="761">
          <cell r="A761">
            <v>98113</v>
          </cell>
          <cell r="B761" t="str">
            <v>FOREST CITY HOUSING AUTHORITY</v>
          </cell>
          <cell r="C761">
            <v>3.3899999999999997E-5</v>
          </cell>
          <cell r="D761"/>
          <cell r="E761">
            <v>5078</v>
          </cell>
          <cell r="F761">
            <v>4777</v>
          </cell>
          <cell r="G761">
            <v>4282</v>
          </cell>
          <cell r="H761">
            <v>1714</v>
          </cell>
          <cell r="I761">
            <v>0</v>
          </cell>
        </row>
        <row r="762">
          <cell r="A762">
            <v>98121</v>
          </cell>
          <cell r="B762" t="str">
            <v>TOWN OF SPINDALE</v>
          </cell>
          <cell r="C762">
            <v>2.1259999999999999E-4</v>
          </cell>
          <cell r="D762"/>
          <cell r="E762">
            <v>31849</v>
          </cell>
          <cell r="F762">
            <v>29960</v>
          </cell>
          <cell r="G762">
            <v>26852</v>
          </cell>
          <cell r="H762">
            <v>10751</v>
          </cell>
          <cell r="I762">
            <v>0</v>
          </cell>
        </row>
        <row r="763">
          <cell r="A763">
            <v>98131</v>
          </cell>
          <cell r="B763" t="str">
            <v>TOWN OF LAKE LURE</v>
          </cell>
          <cell r="C763">
            <v>2.519E-4</v>
          </cell>
          <cell r="D763"/>
          <cell r="E763">
            <v>37736</v>
          </cell>
          <cell r="F763">
            <v>35498</v>
          </cell>
          <cell r="G763">
            <v>31816</v>
          </cell>
          <cell r="H763">
            <v>12739</v>
          </cell>
          <cell r="I763">
            <v>0</v>
          </cell>
        </row>
        <row r="764">
          <cell r="A764">
            <v>98141</v>
          </cell>
          <cell r="B764" t="str">
            <v>TOWN OF RUTHERFORDTON</v>
          </cell>
          <cell r="C764">
            <v>2.8699999999999998E-4</v>
          </cell>
          <cell r="D764"/>
          <cell r="E764">
            <v>42995</v>
          </cell>
          <cell r="F764">
            <v>40444</v>
          </cell>
          <cell r="G764">
            <v>36250</v>
          </cell>
          <cell r="H764">
            <v>14514</v>
          </cell>
          <cell r="I764">
            <v>0</v>
          </cell>
        </row>
        <row r="765">
          <cell r="A765">
            <v>98147</v>
          </cell>
          <cell r="B765" t="str">
            <v>TOWN OF RUTHERFORDTON ABC BRD</v>
          </cell>
          <cell r="C765">
            <v>1.0699999999999999E-5</v>
          </cell>
          <cell r="D765"/>
          <cell r="E765">
            <v>1603</v>
          </cell>
          <cell r="F765">
            <v>1508</v>
          </cell>
          <cell r="G765">
            <v>1351</v>
          </cell>
          <cell r="H765">
            <v>541</v>
          </cell>
          <cell r="I765">
            <v>0</v>
          </cell>
        </row>
        <row r="766">
          <cell r="A766">
            <v>98161</v>
          </cell>
          <cell r="B766" t="str">
            <v>TOWN OF ELLENBORO</v>
          </cell>
          <cell r="C766">
            <v>6.1999999999999999E-6</v>
          </cell>
          <cell r="D766"/>
          <cell r="E766">
            <v>929</v>
          </cell>
          <cell r="F766">
            <v>874</v>
          </cell>
          <cell r="G766">
            <v>783</v>
          </cell>
          <cell r="H766">
            <v>314</v>
          </cell>
          <cell r="I766">
            <v>0</v>
          </cell>
        </row>
        <row r="767">
          <cell r="A767">
            <v>98201</v>
          </cell>
          <cell r="B767" t="str">
            <v>SAMPSON COUNTY</v>
          </cell>
          <cell r="C767">
            <v>3.3482999999999998E-3</v>
          </cell>
          <cell r="D767"/>
          <cell r="E767">
            <v>501599</v>
          </cell>
          <cell r="F767">
            <v>471842</v>
          </cell>
          <cell r="G767">
            <v>422907</v>
          </cell>
          <cell r="H767">
            <v>169327</v>
          </cell>
          <cell r="I767">
            <v>0</v>
          </cell>
        </row>
        <row r="768">
          <cell r="A768">
            <v>98205</v>
          </cell>
          <cell r="B768" t="str">
            <v>J C HOLIDAY MEM LIBRARY</v>
          </cell>
          <cell r="C768">
            <v>4.0899999999999998E-5</v>
          </cell>
          <cell r="D768"/>
          <cell r="E768">
            <v>6127</v>
          </cell>
          <cell r="F768">
            <v>5764</v>
          </cell>
          <cell r="G768">
            <v>5166</v>
          </cell>
          <cell r="H768">
            <v>2068</v>
          </cell>
          <cell r="I768">
            <v>0</v>
          </cell>
        </row>
        <row r="769">
          <cell r="A769">
            <v>98211</v>
          </cell>
          <cell r="B769" t="str">
            <v>CITY OF CLINTON</v>
          </cell>
          <cell r="C769">
            <v>9.0399999999999996E-4</v>
          </cell>
          <cell r="D769"/>
          <cell r="E769">
            <v>135426</v>
          </cell>
          <cell r="F769">
            <v>127392</v>
          </cell>
          <cell r="G769">
            <v>114180</v>
          </cell>
          <cell r="H769">
            <v>45716</v>
          </cell>
          <cell r="I769">
            <v>0</v>
          </cell>
        </row>
        <row r="770">
          <cell r="A770">
            <v>98218</v>
          </cell>
          <cell r="B770" t="str">
            <v>CLINTON ABC BOARD</v>
          </cell>
          <cell r="C770">
            <v>1.8099999999999999E-5</v>
          </cell>
          <cell r="D770"/>
          <cell r="E770">
            <v>2712</v>
          </cell>
          <cell r="F770">
            <v>2551</v>
          </cell>
          <cell r="G770">
            <v>2286</v>
          </cell>
          <cell r="H770">
            <v>915</v>
          </cell>
          <cell r="I770">
            <v>0</v>
          </cell>
        </row>
        <row r="771">
          <cell r="A771">
            <v>98221</v>
          </cell>
          <cell r="B771" t="str">
            <v>TOWN OF SALEMBURG</v>
          </cell>
          <cell r="C771">
            <v>2.72E-5</v>
          </cell>
          <cell r="D771"/>
          <cell r="E771">
            <v>4075</v>
          </cell>
          <cell r="F771">
            <v>3833</v>
          </cell>
          <cell r="G771">
            <v>3435</v>
          </cell>
          <cell r="H771">
            <v>1376</v>
          </cell>
          <cell r="I771">
            <v>0</v>
          </cell>
        </row>
        <row r="772">
          <cell r="A772">
            <v>98231</v>
          </cell>
          <cell r="B772" t="str">
            <v>TOWN OF NEWTON GROVE</v>
          </cell>
          <cell r="C772">
            <v>3.1699999999999998E-5</v>
          </cell>
          <cell r="D772"/>
          <cell r="E772">
            <v>4749</v>
          </cell>
          <cell r="F772">
            <v>4467</v>
          </cell>
          <cell r="G772">
            <v>4004</v>
          </cell>
          <cell r="H772">
            <v>1603</v>
          </cell>
          <cell r="I772">
            <v>0</v>
          </cell>
        </row>
        <row r="773">
          <cell r="A773">
            <v>98237</v>
          </cell>
          <cell r="B773" t="str">
            <v>ROSEBORO ABC BOARD</v>
          </cell>
          <cell r="C773">
            <v>6.7000000000000002E-6</v>
          </cell>
          <cell r="D773"/>
          <cell r="E773">
            <v>1004</v>
          </cell>
          <cell r="F773">
            <v>944</v>
          </cell>
          <cell r="G773">
            <v>846</v>
          </cell>
          <cell r="H773">
            <v>339</v>
          </cell>
          <cell r="I773">
            <v>0</v>
          </cell>
        </row>
        <row r="774">
          <cell r="A774">
            <v>98241</v>
          </cell>
          <cell r="B774" t="str">
            <v>TOWN OF GARLAND</v>
          </cell>
          <cell r="C774">
            <v>1.7799999999999999E-5</v>
          </cell>
          <cell r="D774"/>
          <cell r="E774">
            <v>2667</v>
          </cell>
          <cell r="F774">
            <v>2508</v>
          </cell>
          <cell r="G774">
            <v>2248</v>
          </cell>
          <cell r="H774">
            <v>900</v>
          </cell>
          <cell r="I774">
            <v>0</v>
          </cell>
        </row>
        <row r="775">
          <cell r="A775">
            <v>98251</v>
          </cell>
          <cell r="B775" t="str">
            <v>TOWN OF TURKEY</v>
          </cell>
          <cell r="C775">
            <v>2.5000000000000002E-6</v>
          </cell>
          <cell r="D775"/>
          <cell r="E775">
            <v>375</v>
          </cell>
          <cell r="F775">
            <v>352</v>
          </cell>
          <cell r="G775">
            <v>316</v>
          </cell>
          <cell r="H775">
            <v>126</v>
          </cell>
          <cell r="I775">
            <v>0</v>
          </cell>
        </row>
        <row r="776">
          <cell r="A776">
            <v>98261</v>
          </cell>
          <cell r="B776" t="str">
            <v>TOWN OF ROSEBORO</v>
          </cell>
          <cell r="C776">
            <v>3.3699999999999999E-5</v>
          </cell>
          <cell r="D776"/>
          <cell r="E776">
            <v>5048</v>
          </cell>
          <cell r="F776">
            <v>4749</v>
          </cell>
          <cell r="G776">
            <v>4256</v>
          </cell>
          <cell r="H776">
            <v>1704</v>
          </cell>
          <cell r="I776">
            <v>0</v>
          </cell>
        </row>
        <row r="777">
          <cell r="A777">
            <v>98271</v>
          </cell>
          <cell r="B777" t="str">
            <v>TOWN OF AUTRYVILLE</v>
          </cell>
          <cell r="C777">
            <v>5.2000000000000002E-6</v>
          </cell>
          <cell r="D777"/>
          <cell r="E777">
            <v>779</v>
          </cell>
          <cell r="F777">
            <v>733</v>
          </cell>
          <cell r="G777">
            <v>657</v>
          </cell>
          <cell r="H777">
            <v>263</v>
          </cell>
          <cell r="I777">
            <v>0</v>
          </cell>
        </row>
        <row r="778">
          <cell r="A778">
            <v>98301</v>
          </cell>
          <cell r="B778" t="str">
            <v>SCOTLAND COUNTY</v>
          </cell>
          <cell r="C778">
            <v>1.7742000000000001E-3</v>
          </cell>
          <cell r="D778"/>
          <cell r="E778">
            <v>265788</v>
          </cell>
          <cell r="F778">
            <v>250020</v>
          </cell>
          <cell r="G778">
            <v>224090</v>
          </cell>
          <cell r="H778">
            <v>89723</v>
          </cell>
          <cell r="I778">
            <v>0</v>
          </cell>
        </row>
        <row r="779">
          <cell r="A779">
            <v>98304</v>
          </cell>
          <cell r="B779" t="str">
            <v>SCOTLAND COUNTY ABC BOARD</v>
          </cell>
          <cell r="C779">
            <v>2.0699999999999998E-5</v>
          </cell>
          <cell r="D779"/>
          <cell r="E779">
            <v>3101</v>
          </cell>
          <cell r="F779">
            <v>2917</v>
          </cell>
          <cell r="G779">
            <v>2615</v>
          </cell>
          <cell r="H779">
            <v>1047</v>
          </cell>
          <cell r="I779">
            <v>0</v>
          </cell>
        </row>
        <row r="780">
          <cell r="A780">
            <v>98308</v>
          </cell>
          <cell r="B780" t="str">
            <v>LAURINBURG-MAXTON AIRPORT COMMISSION</v>
          </cell>
          <cell r="C780">
            <v>1.6099999999999998E-5</v>
          </cell>
          <cell r="D780"/>
          <cell r="E780">
            <v>2412</v>
          </cell>
          <cell r="F780">
            <v>2269</v>
          </cell>
          <cell r="G780">
            <v>2034</v>
          </cell>
          <cell r="H780">
            <v>814</v>
          </cell>
          <cell r="I780">
            <v>0</v>
          </cell>
        </row>
        <row r="781">
          <cell r="A781">
            <v>98311</v>
          </cell>
          <cell r="B781" t="str">
            <v>CITY OF LAURINBURG</v>
          </cell>
          <cell r="C781">
            <v>1.1073999999999999E-3</v>
          </cell>
          <cell r="D781"/>
          <cell r="E781">
            <v>165896</v>
          </cell>
          <cell r="F781">
            <v>156055</v>
          </cell>
          <cell r="G781">
            <v>139870</v>
          </cell>
          <cell r="H781">
            <v>56002</v>
          </cell>
          <cell r="I781">
            <v>0</v>
          </cell>
        </row>
        <row r="782">
          <cell r="A782">
            <v>98313</v>
          </cell>
          <cell r="B782" t="str">
            <v>LAURINBURG HOUSING AUTHORITY</v>
          </cell>
          <cell r="C782">
            <v>2.1000000000000001E-4</v>
          </cell>
          <cell r="D782"/>
          <cell r="E782">
            <v>31459</v>
          </cell>
          <cell r="F782">
            <v>29593</v>
          </cell>
          <cell r="G782">
            <v>26524</v>
          </cell>
          <cell r="H782">
            <v>10620</v>
          </cell>
          <cell r="I782">
            <v>0</v>
          </cell>
        </row>
        <row r="783">
          <cell r="A783">
            <v>98321</v>
          </cell>
          <cell r="B783" t="str">
            <v>TOWN OF WAGRAM</v>
          </cell>
          <cell r="C783">
            <v>1.6900000000000001E-5</v>
          </cell>
          <cell r="D783"/>
          <cell r="E783">
            <v>2532</v>
          </cell>
          <cell r="F783">
            <v>2382</v>
          </cell>
          <cell r="G783">
            <v>2135</v>
          </cell>
          <cell r="H783">
            <v>855</v>
          </cell>
          <cell r="I783">
            <v>0</v>
          </cell>
        </row>
        <row r="784">
          <cell r="A784">
            <v>98331</v>
          </cell>
          <cell r="B784" t="str">
            <v>TOWN OF GIBSON</v>
          </cell>
          <cell r="C784">
            <v>8.3999999999999992E-6</v>
          </cell>
          <cell r="D784"/>
          <cell r="E784">
            <v>1258</v>
          </cell>
          <cell r="F784">
            <v>1184</v>
          </cell>
          <cell r="G784">
            <v>1061</v>
          </cell>
          <cell r="H784">
            <v>425</v>
          </cell>
          <cell r="I784">
            <v>0</v>
          </cell>
        </row>
        <row r="785">
          <cell r="A785">
            <v>98401</v>
          </cell>
          <cell r="B785" t="str">
            <v>STANLY COUNTY</v>
          </cell>
          <cell r="C785">
            <v>2.9618000000000001E-3</v>
          </cell>
          <cell r="D785"/>
          <cell r="E785">
            <v>443698</v>
          </cell>
          <cell r="F785">
            <v>417377</v>
          </cell>
          <cell r="G785">
            <v>374090</v>
          </cell>
          <cell r="H785">
            <v>149781</v>
          </cell>
          <cell r="I785">
            <v>0</v>
          </cell>
        </row>
        <row r="786">
          <cell r="A786">
            <v>98404</v>
          </cell>
          <cell r="B786" t="str">
            <v>LOCUST ABC BOARD</v>
          </cell>
          <cell r="C786">
            <v>1.43E-5</v>
          </cell>
          <cell r="D786"/>
          <cell r="E786">
            <v>2142</v>
          </cell>
          <cell r="F786">
            <v>2015</v>
          </cell>
          <cell r="G786">
            <v>1806</v>
          </cell>
          <cell r="H786">
            <v>723</v>
          </cell>
          <cell r="I786">
            <v>0</v>
          </cell>
        </row>
        <row r="787">
          <cell r="A787">
            <v>98411</v>
          </cell>
          <cell r="B787" t="str">
            <v>CITY OF ALBEMARLE</v>
          </cell>
          <cell r="C787">
            <v>1.9082000000000001E-3</v>
          </cell>
          <cell r="D787"/>
          <cell r="E787">
            <v>285862</v>
          </cell>
          <cell r="F787">
            <v>268904</v>
          </cell>
          <cell r="G787">
            <v>241015</v>
          </cell>
          <cell r="H787">
            <v>96500</v>
          </cell>
          <cell r="I787">
            <v>0</v>
          </cell>
        </row>
        <row r="788">
          <cell r="A788">
            <v>98414</v>
          </cell>
          <cell r="B788" t="str">
            <v>VILLAGE OF MISENHEIMER</v>
          </cell>
          <cell r="C788">
            <v>3.01E-5</v>
          </cell>
          <cell r="D788"/>
          <cell r="E788">
            <v>4509</v>
          </cell>
          <cell r="F788">
            <v>4242</v>
          </cell>
          <cell r="G788">
            <v>3802</v>
          </cell>
          <cell r="H788">
            <v>1522</v>
          </cell>
          <cell r="I788">
            <v>0</v>
          </cell>
        </row>
        <row r="789">
          <cell r="A789">
            <v>98417</v>
          </cell>
          <cell r="B789" t="str">
            <v>ALBEMARLE ABC BOARD</v>
          </cell>
          <cell r="C789">
            <v>2.23E-5</v>
          </cell>
          <cell r="D789"/>
          <cell r="E789">
            <v>3341</v>
          </cell>
          <cell r="F789">
            <v>3143</v>
          </cell>
          <cell r="G789">
            <v>2817</v>
          </cell>
          <cell r="H789">
            <v>1128</v>
          </cell>
          <cell r="I789">
            <v>0</v>
          </cell>
        </row>
        <row r="790">
          <cell r="A790">
            <v>98421</v>
          </cell>
          <cell r="B790" t="str">
            <v>TOWN OF NORWOOD</v>
          </cell>
          <cell r="C790">
            <v>1.121E-4</v>
          </cell>
          <cell r="D790"/>
          <cell r="E790">
            <v>16793</v>
          </cell>
          <cell r="F790">
            <v>15797</v>
          </cell>
          <cell r="G790">
            <v>14159</v>
          </cell>
          <cell r="H790">
            <v>5669</v>
          </cell>
          <cell r="I790">
            <v>0</v>
          </cell>
        </row>
        <row r="791">
          <cell r="A791">
            <v>98427</v>
          </cell>
          <cell r="B791" t="str">
            <v>NORWOOD ABC BD</v>
          </cell>
          <cell r="C791">
            <v>3.1E-6</v>
          </cell>
          <cell r="D791"/>
          <cell r="E791">
            <v>464</v>
          </cell>
          <cell r="F791">
            <v>437</v>
          </cell>
          <cell r="G791">
            <v>392</v>
          </cell>
          <cell r="H791">
            <v>157</v>
          </cell>
          <cell r="I791">
            <v>0</v>
          </cell>
        </row>
        <row r="792">
          <cell r="A792">
            <v>98431</v>
          </cell>
          <cell r="B792" t="str">
            <v>CITY OF LOCUST</v>
          </cell>
          <cell r="C792">
            <v>1.997E-4</v>
          </cell>
          <cell r="D792"/>
          <cell r="E792">
            <v>29916</v>
          </cell>
          <cell r="F792">
            <v>28142</v>
          </cell>
          <cell r="G792">
            <v>25223</v>
          </cell>
          <cell r="H792">
            <v>10099</v>
          </cell>
          <cell r="I792">
            <v>0</v>
          </cell>
        </row>
        <row r="793">
          <cell r="A793">
            <v>98441</v>
          </cell>
          <cell r="B793" t="str">
            <v>TOWN OF OAKBORO</v>
          </cell>
          <cell r="C793">
            <v>1.0230000000000001E-4</v>
          </cell>
          <cell r="D793"/>
          <cell r="E793">
            <v>15325</v>
          </cell>
          <cell r="F793">
            <v>14416</v>
          </cell>
          <cell r="G793">
            <v>12921</v>
          </cell>
          <cell r="H793">
            <v>5173</v>
          </cell>
          <cell r="I793">
            <v>0</v>
          </cell>
        </row>
        <row r="794">
          <cell r="A794">
            <v>98451</v>
          </cell>
          <cell r="B794" t="str">
            <v>TOWN OF BADIN</v>
          </cell>
          <cell r="C794">
            <v>4.6100000000000002E-5</v>
          </cell>
          <cell r="D794"/>
          <cell r="E794">
            <v>6906</v>
          </cell>
          <cell r="F794">
            <v>6496</v>
          </cell>
          <cell r="G794">
            <v>5823</v>
          </cell>
          <cell r="H794">
            <v>2331</v>
          </cell>
          <cell r="I794">
            <v>0</v>
          </cell>
        </row>
        <row r="795">
          <cell r="A795">
            <v>98471</v>
          </cell>
          <cell r="B795" t="str">
            <v>TOWN OF NEW LONDON</v>
          </cell>
          <cell r="C795">
            <v>6.3999999999999997E-6</v>
          </cell>
          <cell r="D795"/>
          <cell r="E795">
            <v>959</v>
          </cell>
          <cell r="F795">
            <v>902</v>
          </cell>
          <cell r="G795">
            <v>808</v>
          </cell>
          <cell r="H795">
            <v>324</v>
          </cell>
          <cell r="I795">
            <v>0</v>
          </cell>
        </row>
        <row r="796">
          <cell r="A796">
            <v>98481</v>
          </cell>
          <cell r="B796" t="str">
            <v>TOWN OF STANFIELD</v>
          </cell>
          <cell r="C796">
            <v>6.1600000000000007E-5</v>
          </cell>
          <cell r="D796"/>
          <cell r="E796">
            <v>9228</v>
          </cell>
          <cell r="F796">
            <v>8681</v>
          </cell>
          <cell r="G796">
            <v>7780</v>
          </cell>
          <cell r="H796">
            <v>3115</v>
          </cell>
          <cell r="I796">
            <v>0</v>
          </cell>
        </row>
        <row r="797">
          <cell r="A797">
            <v>98501</v>
          </cell>
          <cell r="B797" t="str">
            <v>STOKES COUNTY</v>
          </cell>
          <cell r="C797">
            <v>1.655E-3</v>
          </cell>
          <cell r="D797"/>
          <cell r="E797">
            <v>247931</v>
          </cell>
          <cell r="F797">
            <v>233223</v>
          </cell>
          <cell r="G797">
            <v>209035</v>
          </cell>
          <cell r="H797">
            <v>83695</v>
          </cell>
          <cell r="I797">
            <v>0</v>
          </cell>
        </row>
        <row r="798">
          <cell r="A798">
            <v>98511</v>
          </cell>
          <cell r="B798" t="str">
            <v>TOWN OF WALNUT COVE</v>
          </cell>
          <cell r="C798">
            <v>4.9400000000000001E-5</v>
          </cell>
          <cell r="D798"/>
          <cell r="E798">
            <v>7400</v>
          </cell>
          <cell r="F798">
            <v>6961</v>
          </cell>
          <cell r="G798">
            <v>6239</v>
          </cell>
          <cell r="H798">
            <v>2498</v>
          </cell>
          <cell r="I798">
            <v>0</v>
          </cell>
        </row>
        <row r="799">
          <cell r="A799">
            <v>98517</v>
          </cell>
          <cell r="B799" t="str">
            <v>WALNUT COVE ABC BOARD</v>
          </cell>
          <cell r="C799">
            <v>2.3999999999999999E-6</v>
          </cell>
          <cell r="D799"/>
          <cell r="E799">
            <v>360</v>
          </cell>
          <cell r="F799">
            <v>338</v>
          </cell>
          <cell r="G799">
            <v>303</v>
          </cell>
          <cell r="H799">
            <v>121</v>
          </cell>
          <cell r="I799">
            <v>0</v>
          </cell>
        </row>
        <row r="800">
          <cell r="A800">
            <v>98521</v>
          </cell>
          <cell r="B800" t="str">
            <v>CITY OF KING</v>
          </cell>
          <cell r="C800">
            <v>6.3349999999999995E-4</v>
          </cell>
          <cell r="D800"/>
          <cell r="E800">
            <v>94903</v>
          </cell>
          <cell r="F800">
            <v>89273</v>
          </cell>
          <cell r="G800">
            <v>80014</v>
          </cell>
          <cell r="H800">
            <v>32037</v>
          </cell>
          <cell r="I800">
            <v>0</v>
          </cell>
        </row>
        <row r="801">
          <cell r="A801">
            <v>98601</v>
          </cell>
          <cell r="B801" t="str">
            <v>SURRY COUNTY</v>
          </cell>
          <cell r="C801">
            <v>3.5866000000000001E-3</v>
          </cell>
          <cell r="D801"/>
          <cell r="E801">
            <v>537298</v>
          </cell>
          <cell r="F801">
            <v>505424</v>
          </cell>
          <cell r="G801">
            <v>453006</v>
          </cell>
          <cell r="H801">
            <v>181378</v>
          </cell>
          <cell r="I801">
            <v>0</v>
          </cell>
        </row>
        <row r="802">
          <cell r="A802">
            <v>98604</v>
          </cell>
          <cell r="B802" t="str">
            <v>YADKIN VALLEY ABC BOARD</v>
          </cell>
          <cell r="C802">
            <v>1.2099999999999999E-5</v>
          </cell>
          <cell r="D802"/>
          <cell r="E802">
            <v>1813</v>
          </cell>
          <cell r="F802">
            <v>1705</v>
          </cell>
          <cell r="G802">
            <v>1528</v>
          </cell>
          <cell r="H802">
            <v>612</v>
          </cell>
          <cell r="I802">
            <v>0</v>
          </cell>
        </row>
        <row r="803">
          <cell r="A803">
            <v>98607</v>
          </cell>
          <cell r="B803" t="str">
            <v>PILOT MOUNTAIN ABC BOARD</v>
          </cell>
          <cell r="C803">
            <v>5.4E-6</v>
          </cell>
          <cell r="D803"/>
          <cell r="E803">
            <v>809</v>
          </cell>
          <cell r="F803">
            <v>761</v>
          </cell>
          <cell r="G803">
            <v>682</v>
          </cell>
          <cell r="H803">
            <v>273</v>
          </cell>
          <cell r="I803">
            <v>0</v>
          </cell>
        </row>
        <row r="804">
          <cell r="A804">
            <v>98608</v>
          </cell>
          <cell r="B804" t="str">
            <v>YADKIN VALLEY SEWER AUTHORITY</v>
          </cell>
          <cell r="C804">
            <v>5.1799999999999999E-5</v>
          </cell>
          <cell r="D804"/>
          <cell r="E804">
            <v>7760</v>
          </cell>
          <cell r="F804">
            <v>7300</v>
          </cell>
          <cell r="G804">
            <v>6543</v>
          </cell>
          <cell r="H804">
            <v>2620</v>
          </cell>
          <cell r="I804">
            <v>0</v>
          </cell>
        </row>
        <row r="805">
          <cell r="A805">
            <v>98611</v>
          </cell>
          <cell r="B805" t="str">
            <v>TOWN OF PILOT MOUNTAIN</v>
          </cell>
          <cell r="C805">
            <v>1.1959999999999999E-4</v>
          </cell>
          <cell r="D805"/>
          <cell r="E805">
            <v>17917</v>
          </cell>
          <cell r="F805">
            <v>16854</v>
          </cell>
          <cell r="G805">
            <v>15106</v>
          </cell>
          <cell r="H805">
            <v>6048</v>
          </cell>
          <cell r="I805">
            <v>0</v>
          </cell>
        </row>
        <row r="806">
          <cell r="A806">
            <v>98621</v>
          </cell>
          <cell r="B806" t="str">
            <v>TOWN OF DOBSON</v>
          </cell>
          <cell r="C806">
            <v>1.2899999999999999E-4</v>
          </cell>
          <cell r="D806"/>
          <cell r="E806">
            <v>19325</v>
          </cell>
          <cell r="F806">
            <v>18179</v>
          </cell>
          <cell r="G806">
            <v>16293</v>
          </cell>
          <cell r="H806">
            <v>6524</v>
          </cell>
          <cell r="I806">
            <v>0</v>
          </cell>
        </row>
        <row r="807">
          <cell r="A807">
            <v>98627</v>
          </cell>
          <cell r="B807" t="str">
            <v>DOBSON ABC BD</v>
          </cell>
          <cell r="C807">
            <v>7.7999999999999999E-6</v>
          </cell>
          <cell r="D807"/>
          <cell r="E807">
            <v>1168</v>
          </cell>
          <cell r="F807">
            <v>1099</v>
          </cell>
          <cell r="G807">
            <v>985</v>
          </cell>
          <cell r="H807">
            <v>394</v>
          </cell>
          <cell r="I807">
            <v>0</v>
          </cell>
        </row>
        <row r="808">
          <cell r="A808">
            <v>98631</v>
          </cell>
          <cell r="B808" t="str">
            <v>CITY OF MOUNT AIRY</v>
          </cell>
          <cell r="C808">
            <v>1.0042E-3</v>
          </cell>
          <cell r="D808"/>
          <cell r="E808">
            <v>150436</v>
          </cell>
          <cell r="F808">
            <v>141512</v>
          </cell>
          <cell r="G808">
            <v>126835</v>
          </cell>
          <cell r="H808">
            <v>50783</v>
          </cell>
          <cell r="I808">
            <v>0</v>
          </cell>
        </row>
        <row r="809">
          <cell r="A809">
            <v>98637</v>
          </cell>
          <cell r="B809" t="str">
            <v>MOUNT AIRY ALCOHOLIC BOARD OF CONTROL</v>
          </cell>
          <cell r="C809">
            <v>1.5800000000000001E-5</v>
          </cell>
          <cell r="D809"/>
          <cell r="E809">
            <v>2367</v>
          </cell>
          <cell r="F809">
            <v>2227</v>
          </cell>
          <cell r="G809">
            <v>1996</v>
          </cell>
          <cell r="H809">
            <v>799</v>
          </cell>
          <cell r="I809">
            <v>0</v>
          </cell>
        </row>
        <row r="810">
          <cell r="A810">
            <v>98641</v>
          </cell>
          <cell r="B810" t="str">
            <v>TOWN OF ELKIN</v>
          </cell>
          <cell r="C810">
            <v>2.7090000000000003E-4</v>
          </cell>
          <cell r="D810"/>
          <cell r="E810">
            <v>40583</v>
          </cell>
          <cell r="F810">
            <v>38175</v>
          </cell>
          <cell r="G810">
            <v>34216</v>
          </cell>
          <cell r="H810">
            <v>13700</v>
          </cell>
          <cell r="I810">
            <v>0</v>
          </cell>
        </row>
        <row r="811">
          <cell r="A811">
            <v>98647</v>
          </cell>
          <cell r="B811" t="str">
            <v>ELKIN ABC BOARD</v>
          </cell>
          <cell r="C811">
            <v>0</v>
          </cell>
          <cell r="D811"/>
          <cell r="E811">
            <v>0</v>
          </cell>
          <cell r="F811">
            <v>0</v>
          </cell>
          <cell r="G811">
            <v>0</v>
          </cell>
          <cell r="H811">
            <v>0</v>
          </cell>
          <cell r="I811">
            <v>0</v>
          </cell>
        </row>
        <row r="812">
          <cell r="A812">
            <v>98701</v>
          </cell>
          <cell r="B812" t="str">
            <v>SWAIN COUNTY</v>
          </cell>
          <cell r="C812">
            <v>9.7790000000000008E-4</v>
          </cell>
          <cell r="D812"/>
          <cell r="E812">
            <v>146496</v>
          </cell>
          <cell r="F812">
            <v>137806</v>
          </cell>
          <cell r="G812">
            <v>123514</v>
          </cell>
          <cell r="H812">
            <v>49453</v>
          </cell>
          <cell r="I812">
            <v>0</v>
          </cell>
        </row>
        <row r="813">
          <cell r="A813">
            <v>98711</v>
          </cell>
          <cell r="B813" t="str">
            <v>TOWN OF BRYSON CITY</v>
          </cell>
          <cell r="C813">
            <v>1.671E-4</v>
          </cell>
          <cell r="D813"/>
          <cell r="E813">
            <v>25033</v>
          </cell>
          <cell r="F813">
            <v>23548</v>
          </cell>
          <cell r="G813">
            <v>21106</v>
          </cell>
          <cell r="H813">
            <v>8450</v>
          </cell>
          <cell r="I813">
            <v>0</v>
          </cell>
        </row>
        <row r="814">
          <cell r="A814">
            <v>98717</v>
          </cell>
          <cell r="B814" t="str">
            <v>BRYSON CITY ABC BOARD</v>
          </cell>
          <cell r="C814">
            <v>2.2399999999999999E-5</v>
          </cell>
          <cell r="D814"/>
          <cell r="E814">
            <v>3356</v>
          </cell>
          <cell r="F814">
            <v>3157</v>
          </cell>
          <cell r="G814">
            <v>2829</v>
          </cell>
          <cell r="H814">
            <v>1133</v>
          </cell>
          <cell r="I814">
            <v>0</v>
          </cell>
        </row>
        <row r="815">
          <cell r="A815">
            <v>98801</v>
          </cell>
          <cell r="B815" t="str">
            <v>TRANSYLVANIA COUNTY</v>
          </cell>
          <cell r="C815">
            <v>2.1632999999999999E-3</v>
          </cell>
          <cell r="D815"/>
          <cell r="E815">
            <v>324077</v>
          </cell>
          <cell r="F815">
            <v>304852</v>
          </cell>
          <cell r="G815">
            <v>273236</v>
          </cell>
          <cell r="H815">
            <v>109400</v>
          </cell>
          <cell r="I815">
            <v>0</v>
          </cell>
        </row>
        <row r="816">
          <cell r="A816">
            <v>98811</v>
          </cell>
          <cell r="B816" t="str">
            <v>CITY OF BREVARD</v>
          </cell>
          <cell r="C816">
            <v>6.8610000000000003E-4</v>
          </cell>
          <cell r="D816"/>
          <cell r="E816">
            <v>102783</v>
          </cell>
          <cell r="F816">
            <v>96685</v>
          </cell>
          <cell r="G816">
            <v>86658</v>
          </cell>
          <cell r="H816">
            <v>34697</v>
          </cell>
          <cell r="I816">
            <v>0</v>
          </cell>
        </row>
        <row r="817">
          <cell r="A817">
            <v>98817</v>
          </cell>
          <cell r="B817" t="str">
            <v>BREVARD ABC BOARD</v>
          </cell>
          <cell r="C817">
            <v>1.7E-5</v>
          </cell>
          <cell r="D817"/>
          <cell r="E817">
            <v>2547</v>
          </cell>
          <cell r="F817">
            <v>2396</v>
          </cell>
          <cell r="G817">
            <v>2147</v>
          </cell>
          <cell r="H817">
            <v>860</v>
          </cell>
          <cell r="I817">
            <v>0</v>
          </cell>
        </row>
        <row r="818">
          <cell r="A818">
            <v>98901</v>
          </cell>
          <cell r="B818" t="str">
            <v>TYRRELL COUNTY</v>
          </cell>
          <cell r="C818">
            <v>2.8390000000000002E-4</v>
          </cell>
          <cell r="D818"/>
          <cell r="E818">
            <v>42530</v>
          </cell>
          <cell r="F818">
            <v>40007</v>
          </cell>
          <cell r="G818">
            <v>35858</v>
          </cell>
          <cell r="H818">
            <v>14357</v>
          </cell>
          <cell r="I818">
            <v>0</v>
          </cell>
        </row>
        <row r="819">
          <cell r="A819">
            <v>98904</v>
          </cell>
          <cell r="B819" t="str">
            <v>TYRRELL CO ABC BOARD</v>
          </cell>
          <cell r="C819">
            <v>3.9999999999999998E-6</v>
          </cell>
          <cell r="D819"/>
          <cell r="E819">
            <v>599</v>
          </cell>
          <cell r="F819">
            <v>564</v>
          </cell>
          <cell r="G819">
            <v>505</v>
          </cell>
          <cell r="H819">
            <v>202</v>
          </cell>
          <cell r="I819">
            <v>0</v>
          </cell>
        </row>
        <row r="820">
          <cell r="A820">
            <v>98911</v>
          </cell>
          <cell r="B820" t="str">
            <v>TOWN OF COLUMBIA</v>
          </cell>
          <cell r="C820">
            <v>1.59E-5</v>
          </cell>
          <cell r="D820"/>
          <cell r="E820">
            <v>2382</v>
          </cell>
          <cell r="F820">
            <v>2241</v>
          </cell>
          <cell r="G820">
            <v>2008</v>
          </cell>
          <cell r="H820">
            <v>804</v>
          </cell>
          <cell r="I820">
            <v>0</v>
          </cell>
        </row>
        <row r="821">
          <cell r="A821">
            <v>99001</v>
          </cell>
          <cell r="B821" t="str">
            <v>UNION COUNTY</v>
          </cell>
          <cell r="C821">
            <v>8.8266000000000004E-3</v>
          </cell>
          <cell r="D821"/>
          <cell r="E821">
            <v>1322286</v>
          </cell>
          <cell r="F821">
            <v>1243844</v>
          </cell>
          <cell r="G821">
            <v>1114844</v>
          </cell>
          <cell r="H821">
            <v>446370</v>
          </cell>
          <cell r="I821">
            <v>0</v>
          </cell>
        </row>
        <row r="822">
          <cell r="A822">
            <v>99011</v>
          </cell>
          <cell r="B822" t="str">
            <v>CITY OF MONROE</v>
          </cell>
          <cell r="C822">
            <v>3.8520999999999998E-3</v>
          </cell>
          <cell r="D822"/>
          <cell r="E822">
            <v>577072</v>
          </cell>
          <cell r="F822">
            <v>542838</v>
          </cell>
          <cell r="G822">
            <v>486539</v>
          </cell>
          <cell r="H822">
            <v>194805</v>
          </cell>
          <cell r="I822">
            <v>0</v>
          </cell>
        </row>
        <row r="823">
          <cell r="A823">
            <v>99013</v>
          </cell>
          <cell r="B823" t="str">
            <v>CITY OF MONROE HOUSING AUTHORITY</v>
          </cell>
          <cell r="C823">
            <v>4.7599999999999998E-5</v>
          </cell>
          <cell r="D823"/>
          <cell r="E823">
            <v>7131</v>
          </cell>
          <cell r="F823">
            <v>6708</v>
          </cell>
          <cell r="G823">
            <v>6012</v>
          </cell>
          <cell r="H823">
            <v>2407</v>
          </cell>
          <cell r="I823">
            <v>0</v>
          </cell>
        </row>
        <row r="824">
          <cell r="A824">
            <v>99014</v>
          </cell>
          <cell r="B824" t="str">
            <v>INDIAN TRAIL ABC BOARD</v>
          </cell>
          <cell r="C824">
            <v>2.1299999999999999E-5</v>
          </cell>
          <cell r="D824"/>
          <cell r="E824">
            <v>3191</v>
          </cell>
          <cell r="F824">
            <v>3002</v>
          </cell>
          <cell r="G824">
            <v>2690</v>
          </cell>
          <cell r="H824">
            <v>1077</v>
          </cell>
          <cell r="I824">
            <v>0</v>
          </cell>
        </row>
        <row r="825">
          <cell r="A825">
            <v>99017</v>
          </cell>
          <cell r="B825" t="str">
            <v>MONROE ABC BOARD</v>
          </cell>
          <cell r="C825">
            <v>4.8600000000000002E-5</v>
          </cell>
          <cell r="D825"/>
          <cell r="E825">
            <v>7281</v>
          </cell>
          <cell r="F825">
            <v>6849</v>
          </cell>
          <cell r="G825">
            <v>6138</v>
          </cell>
          <cell r="H825">
            <v>2458</v>
          </cell>
          <cell r="I825">
            <v>0</v>
          </cell>
        </row>
        <row r="826">
          <cell r="A826">
            <v>99021</v>
          </cell>
          <cell r="B826" t="str">
            <v>TOWN OF MARSHVILLE</v>
          </cell>
          <cell r="C826">
            <v>1.405E-4</v>
          </cell>
          <cell r="D826"/>
          <cell r="E826">
            <v>21048</v>
          </cell>
          <cell r="F826">
            <v>19799</v>
          </cell>
          <cell r="G826">
            <v>17746</v>
          </cell>
          <cell r="H826">
            <v>7105</v>
          </cell>
          <cell r="I826">
            <v>0</v>
          </cell>
        </row>
        <row r="827">
          <cell r="A827">
            <v>99022</v>
          </cell>
          <cell r="B827" t="str">
            <v>TOWN OF MINERAL SPRINGS</v>
          </cell>
          <cell r="C827">
            <v>8.8000000000000004E-6</v>
          </cell>
          <cell r="D827"/>
          <cell r="E827">
            <v>1318</v>
          </cell>
          <cell r="F827">
            <v>1240</v>
          </cell>
          <cell r="G827">
            <v>1111</v>
          </cell>
          <cell r="H827">
            <v>445</v>
          </cell>
          <cell r="I827">
            <v>0</v>
          </cell>
        </row>
        <row r="828">
          <cell r="A828">
            <v>99031</v>
          </cell>
          <cell r="B828" t="str">
            <v>TOWN OF WINGATE</v>
          </cell>
          <cell r="C828">
            <v>1.208E-4</v>
          </cell>
          <cell r="D828"/>
          <cell r="E828">
            <v>18097</v>
          </cell>
          <cell r="F828">
            <v>17023</v>
          </cell>
          <cell r="G828">
            <v>15258</v>
          </cell>
          <cell r="H828">
            <v>6109</v>
          </cell>
          <cell r="I828">
            <v>0</v>
          </cell>
        </row>
        <row r="829">
          <cell r="A829">
            <v>99041</v>
          </cell>
          <cell r="B829" t="str">
            <v>TOWN OF WAXHAW</v>
          </cell>
          <cell r="C829">
            <v>6.3840000000000001E-4</v>
          </cell>
          <cell r="D829"/>
          <cell r="E829">
            <v>95637</v>
          </cell>
          <cell r="F829">
            <v>89963</v>
          </cell>
          <cell r="G829">
            <v>80633</v>
          </cell>
          <cell r="H829">
            <v>32285</v>
          </cell>
          <cell r="I829">
            <v>0</v>
          </cell>
        </row>
        <row r="830">
          <cell r="A830">
            <v>99047</v>
          </cell>
          <cell r="B830" t="str">
            <v>WAXHAW ABC BOARD</v>
          </cell>
          <cell r="C830">
            <v>1.33E-5</v>
          </cell>
          <cell r="D830"/>
          <cell r="E830">
            <v>1992</v>
          </cell>
          <cell r="F830">
            <v>1874</v>
          </cell>
          <cell r="G830">
            <v>1680</v>
          </cell>
          <cell r="H830">
            <v>673</v>
          </cell>
          <cell r="I830">
            <v>0</v>
          </cell>
        </row>
        <row r="831">
          <cell r="A831">
            <v>99051</v>
          </cell>
          <cell r="B831" t="str">
            <v>TOWN OF INDIAN TRAIL</v>
          </cell>
          <cell r="C831">
            <v>3.4049999999999998E-4</v>
          </cell>
          <cell r="D831"/>
          <cell r="E831">
            <v>51009</v>
          </cell>
          <cell r="F831">
            <v>47983</v>
          </cell>
          <cell r="G831">
            <v>43007</v>
          </cell>
          <cell r="H831">
            <v>17219</v>
          </cell>
          <cell r="I831">
            <v>0</v>
          </cell>
        </row>
        <row r="832">
          <cell r="A832">
            <v>99061</v>
          </cell>
          <cell r="B832" t="str">
            <v>TOWN OF UNIONVILLE</v>
          </cell>
          <cell r="C832">
            <v>6.1E-6</v>
          </cell>
          <cell r="D832"/>
          <cell r="E832">
            <v>914</v>
          </cell>
          <cell r="F832">
            <v>860</v>
          </cell>
          <cell r="G832">
            <v>770</v>
          </cell>
          <cell r="H832">
            <v>308</v>
          </cell>
          <cell r="I832">
            <v>0</v>
          </cell>
        </row>
        <row r="833">
          <cell r="A833">
            <v>99071</v>
          </cell>
          <cell r="B833" t="str">
            <v>TOWN OF WEDDINGTON</v>
          </cell>
          <cell r="C833">
            <v>2.4499999999999999E-5</v>
          </cell>
          <cell r="D833"/>
          <cell r="E833">
            <v>3670</v>
          </cell>
          <cell r="F833">
            <v>3453</v>
          </cell>
          <cell r="G833">
            <v>3094</v>
          </cell>
          <cell r="H833">
            <v>1239</v>
          </cell>
          <cell r="I833">
            <v>0</v>
          </cell>
        </row>
        <row r="834">
          <cell r="A834">
            <v>99081</v>
          </cell>
          <cell r="B834" t="str">
            <v>VILLAGE OF MARVIN</v>
          </cell>
          <cell r="C834">
            <v>3.65E-5</v>
          </cell>
          <cell r="D834"/>
          <cell r="E834">
            <v>5468</v>
          </cell>
          <cell r="F834">
            <v>5144</v>
          </cell>
          <cell r="G834">
            <v>4610</v>
          </cell>
          <cell r="H834">
            <v>1846</v>
          </cell>
          <cell r="I834">
            <v>0</v>
          </cell>
        </row>
        <row r="835">
          <cell r="A835">
            <v>99091</v>
          </cell>
          <cell r="B835" t="str">
            <v>VILLAGE OF WESLEY CHAPEL</v>
          </cell>
          <cell r="C835">
            <v>5.4E-6</v>
          </cell>
          <cell r="D835"/>
          <cell r="E835">
            <v>809</v>
          </cell>
          <cell r="F835">
            <v>761</v>
          </cell>
          <cell r="G835">
            <v>682</v>
          </cell>
          <cell r="H835">
            <v>273</v>
          </cell>
          <cell r="I835">
            <v>0</v>
          </cell>
        </row>
        <row r="836">
          <cell r="A836">
            <v>99101</v>
          </cell>
          <cell r="B836" t="str">
            <v>VANCE COUNTY</v>
          </cell>
          <cell r="C836">
            <v>2.1218000000000001E-3</v>
          </cell>
          <cell r="D836"/>
          <cell r="E836">
            <v>317860</v>
          </cell>
          <cell r="F836">
            <v>299004</v>
          </cell>
          <cell r="G836">
            <v>267994</v>
          </cell>
          <cell r="H836">
            <v>107302</v>
          </cell>
          <cell r="I836">
            <v>0</v>
          </cell>
        </row>
        <row r="837">
          <cell r="A837">
            <v>99104</v>
          </cell>
          <cell r="B837" t="str">
            <v>VANCE COUNTY ABC BD</v>
          </cell>
          <cell r="C837">
            <v>3.2700000000000002E-5</v>
          </cell>
          <cell r="D837"/>
          <cell r="E837">
            <v>4899</v>
          </cell>
          <cell r="F837">
            <v>4608</v>
          </cell>
          <cell r="G837">
            <v>4130</v>
          </cell>
          <cell r="H837">
            <v>1654</v>
          </cell>
          <cell r="I837">
            <v>0</v>
          </cell>
        </row>
        <row r="838">
          <cell r="A838">
            <v>99109</v>
          </cell>
          <cell r="B838" t="str">
            <v>KERR-TAR REGIONAL COUNCIL OF GOVTS</v>
          </cell>
          <cell r="C838">
            <v>1.169E-4</v>
          </cell>
          <cell r="D838"/>
          <cell r="E838">
            <v>17512</v>
          </cell>
          <cell r="F838">
            <v>16474</v>
          </cell>
          <cell r="G838">
            <v>14765</v>
          </cell>
          <cell r="H838">
            <v>5912</v>
          </cell>
          <cell r="I838">
            <v>0</v>
          </cell>
        </row>
        <row r="839">
          <cell r="A839">
            <v>99110</v>
          </cell>
          <cell r="B839" t="str">
            <v>KERR AREA TRANSPORTATION AUTHORITY</v>
          </cell>
          <cell r="C839">
            <v>1.437E-4</v>
          </cell>
          <cell r="D839"/>
          <cell r="E839">
            <v>21527</v>
          </cell>
          <cell r="F839">
            <v>20250</v>
          </cell>
          <cell r="G839">
            <v>18150</v>
          </cell>
          <cell r="H839">
            <v>7267</v>
          </cell>
          <cell r="I839">
            <v>0</v>
          </cell>
        </row>
        <row r="840">
          <cell r="A840">
            <v>99111</v>
          </cell>
          <cell r="B840" t="str">
            <v>CITY OF HENDERSON</v>
          </cell>
          <cell r="C840">
            <v>1.3064999999999999E-3</v>
          </cell>
          <cell r="D840"/>
          <cell r="E840">
            <v>195723</v>
          </cell>
          <cell r="F840">
            <v>184112</v>
          </cell>
          <cell r="G840">
            <v>165017</v>
          </cell>
          <cell r="H840">
            <v>66071</v>
          </cell>
          <cell r="I840">
            <v>0</v>
          </cell>
        </row>
        <row r="841">
          <cell r="A841">
            <v>99201</v>
          </cell>
          <cell r="B841" t="str">
            <v>WAKE COUNTY</v>
          </cell>
          <cell r="C841">
            <v>3.5284299999999998E-2</v>
          </cell>
          <cell r="D841"/>
          <cell r="E841">
            <v>5285835</v>
          </cell>
          <cell r="F841">
            <v>4972264</v>
          </cell>
          <cell r="G841">
            <v>4456584</v>
          </cell>
          <cell r="H841">
            <v>1784362</v>
          </cell>
          <cell r="I841">
            <v>0</v>
          </cell>
        </row>
        <row r="842">
          <cell r="A842">
            <v>99202</v>
          </cell>
          <cell r="B842" t="str">
            <v>TOWN OF HOLLY SPRINGS</v>
          </cell>
          <cell r="C842">
            <v>2.8322E-3</v>
          </cell>
          <cell r="D842"/>
          <cell r="E842">
            <v>424283</v>
          </cell>
          <cell r="F842">
            <v>399114</v>
          </cell>
          <cell r="G842">
            <v>357721</v>
          </cell>
          <cell r="H842">
            <v>143227</v>
          </cell>
          <cell r="I842">
            <v>0</v>
          </cell>
        </row>
        <row r="843">
          <cell r="A843">
            <v>99203</v>
          </cell>
          <cell r="B843" t="str">
            <v>TOWN OF ROLESVILLE</v>
          </cell>
          <cell r="C843">
            <v>3.5179999999999999E-4</v>
          </cell>
          <cell r="D843"/>
          <cell r="E843">
            <v>52702</v>
          </cell>
          <cell r="F843">
            <v>49576</v>
          </cell>
          <cell r="G843">
            <v>44434</v>
          </cell>
          <cell r="H843">
            <v>17791</v>
          </cell>
          <cell r="I843">
            <v>0</v>
          </cell>
        </row>
        <row r="844">
          <cell r="A844">
            <v>99204</v>
          </cell>
          <cell r="B844" t="str">
            <v>WAKE COUNTY ABC BOARD</v>
          </cell>
          <cell r="C844">
            <v>9.4149999999999995E-4</v>
          </cell>
          <cell r="D844"/>
          <cell r="E844">
            <v>141043</v>
          </cell>
          <cell r="F844">
            <v>132676</v>
          </cell>
          <cell r="G844">
            <v>118916</v>
          </cell>
          <cell r="H844">
            <v>47613</v>
          </cell>
          <cell r="I844">
            <v>0</v>
          </cell>
        </row>
        <row r="845">
          <cell r="A845">
            <v>99206</v>
          </cell>
          <cell r="B845" t="str">
            <v>TOWN OF MORRISVILLE</v>
          </cell>
          <cell r="C845">
            <v>1.6375999999999999E-3</v>
          </cell>
          <cell r="D845"/>
          <cell r="E845">
            <v>245324</v>
          </cell>
          <cell r="F845">
            <v>230771</v>
          </cell>
          <cell r="G845">
            <v>206837</v>
          </cell>
          <cell r="H845">
            <v>82815</v>
          </cell>
          <cell r="I845">
            <v>0</v>
          </cell>
        </row>
        <row r="846">
          <cell r="A846">
            <v>99207</v>
          </cell>
          <cell r="B846" t="str">
            <v>HOUSING AUTHORITY OF THE COUNTY OF WAKE</v>
          </cell>
          <cell r="C846">
            <v>1.206E-4</v>
          </cell>
          <cell r="D846"/>
          <cell r="E846">
            <v>18067</v>
          </cell>
          <cell r="F846">
            <v>16995</v>
          </cell>
          <cell r="G846">
            <v>15232</v>
          </cell>
          <cell r="H846">
            <v>6099</v>
          </cell>
          <cell r="I846">
            <v>0</v>
          </cell>
        </row>
        <row r="847">
          <cell r="A847">
            <v>99208</v>
          </cell>
          <cell r="B847" t="str">
            <v>BAYLEAF FIRE DEPARTMENT</v>
          </cell>
          <cell r="C847">
            <v>3.0939999999999999E-4</v>
          </cell>
          <cell r="D847"/>
          <cell r="E847">
            <v>46350</v>
          </cell>
          <cell r="F847">
            <v>43601</v>
          </cell>
          <cell r="G847">
            <v>39079</v>
          </cell>
          <cell r="H847">
            <v>15647</v>
          </cell>
          <cell r="I847">
            <v>0</v>
          </cell>
        </row>
        <row r="848">
          <cell r="A848">
            <v>99210</v>
          </cell>
          <cell r="B848" t="str">
            <v>ELECTRICITIES OF NC</v>
          </cell>
          <cell r="C848">
            <v>1.7913E-3</v>
          </cell>
          <cell r="D848"/>
          <cell r="E848">
            <v>268349</v>
          </cell>
          <cell r="F848">
            <v>252430</v>
          </cell>
          <cell r="G848">
            <v>226250</v>
          </cell>
          <cell r="H848">
            <v>90588</v>
          </cell>
          <cell r="I848">
            <v>0</v>
          </cell>
        </row>
        <row r="849">
          <cell r="A849">
            <v>99211</v>
          </cell>
          <cell r="B849" t="str">
            <v>CITY OF RALEIGH</v>
          </cell>
          <cell r="C849">
            <v>3.8786099999999997E-2</v>
          </cell>
          <cell r="D849"/>
          <cell r="E849">
            <v>5810429</v>
          </cell>
          <cell r="F849">
            <v>5465737</v>
          </cell>
          <cell r="G849">
            <v>4898878</v>
          </cell>
          <cell r="H849">
            <v>1961452</v>
          </cell>
          <cell r="I849">
            <v>0</v>
          </cell>
        </row>
        <row r="850">
          <cell r="A850">
            <v>99212</v>
          </cell>
          <cell r="B850" t="str">
            <v>DURHAM HWY FIRE PROTECTION ASSOC</v>
          </cell>
          <cell r="C850">
            <v>6.7999999999999999E-5</v>
          </cell>
          <cell r="D850"/>
          <cell r="E850">
            <v>10187</v>
          </cell>
          <cell r="F850">
            <v>9583</v>
          </cell>
          <cell r="G850">
            <v>8589</v>
          </cell>
          <cell r="H850">
            <v>3439</v>
          </cell>
          <cell r="I850">
            <v>0</v>
          </cell>
        </row>
        <row r="851">
          <cell r="A851">
            <v>99213</v>
          </cell>
          <cell r="B851" t="str">
            <v>CITY OF RALEIGH HOUSING AUTHORITY</v>
          </cell>
          <cell r="C851">
            <v>6.7770000000000005E-4</v>
          </cell>
          <cell r="D851"/>
          <cell r="E851">
            <v>101524</v>
          </cell>
          <cell r="F851">
            <v>95501</v>
          </cell>
          <cell r="G851">
            <v>85597</v>
          </cell>
          <cell r="H851">
            <v>34272</v>
          </cell>
          <cell r="I851">
            <v>0</v>
          </cell>
        </row>
        <row r="852">
          <cell r="A852">
            <v>99218</v>
          </cell>
          <cell r="B852" t="str">
            <v>RALEIGH-DURHAM AIRPORT AUTHORITY</v>
          </cell>
          <cell r="C852">
            <v>3.4424E-3</v>
          </cell>
          <cell r="D852"/>
          <cell r="E852">
            <v>515696</v>
          </cell>
          <cell r="F852">
            <v>485103</v>
          </cell>
          <cell r="G852">
            <v>434792</v>
          </cell>
          <cell r="H852">
            <v>174086</v>
          </cell>
          <cell r="I852">
            <v>0</v>
          </cell>
        </row>
        <row r="853">
          <cell r="A853">
            <v>99221</v>
          </cell>
          <cell r="B853" t="str">
            <v>TOWN OF CARY</v>
          </cell>
          <cell r="C853">
            <v>1.26739E-2</v>
          </cell>
          <cell r="D853"/>
          <cell r="E853">
            <v>1898639</v>
          </cell>
          <cell r="F853">
            <v>1786006</v>
          </cell>
          <cell r="G853">
            <v>1600777</v>
          </cell>
          <cell r="H853">
            <v>640932</v>
          </cell>
          <cell r="I853">
            <v>0</v>
          </cell>
        </row>
        <row r="854">
          <cell r="A854">
            <v>99222</v>
          </cell>
          <cell r="B854" t="str">
            <v>CENTENNIAL AUTHORITY</v>
          </cell>
          <cell r="C854">
            <v>3.5599999999999998E-5</v>
          </cell>
          <cell r="D854"/>
          <cell r="E854">
            <v>5333</v>
          </cell>
          <cell r="F854">
            <v>5017</v>
          </cell>
          <cell r="G854">
            <v>4496</v>
          </cell>
          <cell r="H854">
            <v>1800</v>
          </cell>
          <cell r="I854">
            <v>0</v>
          </cell>
        </row>
        <row r="855">
          <cell r="A855">
            <v>99231</v>
          </cell>
          <cell r="B855" t="str">
            <v>TOWN OF WENDELL</v>
          </cell>
          <cell r="C855">
            <v>3.5159999999999998E-4</v>
          </cell>
          <cell r="D855"/>
          <cell r="E855">
            <v>52672</v>
          </cell>
          <cell r="F855">
            <v>49547</v>
          </cell>
          <cell r="G855">
            <v>44409</v>
          </cell>
          <cell r="H855">
            <v>17781</v>
          </cell>
          <cell r="I855">
            <v>0</v>
          </cell>
        </row>
        <row r="856">
          <cell r="A856">
            <v>99241</v>
          </cell>
          <cell r="B856" t="str">
            <v>TOWN OF ZEBULON</v>
          </cell>
          <cell r="C856">
            <v>5.6070000000000002E-4</v>
          </cell>
          <cell r="D856"/>
          <cell r="E856">
            <v>83997</v>
          </cell>
          <cell r="F856">
            <v>79014</v>
          </cell>
          <cell r="G856">
            <v>70819</v>
          </cell>
          <cell r="H856">
            <v>28355</v>
          </cell>
          <cell r="I856">
            <v>0</v>
          </cell>
        </row>
        <row r="857">
          <cell r="A857">
            <v>99251</v>
          </cell>
          <cell r="B857" t="str">
            <v>TOWN OF GARNER</v>
          </cell>
          <cell r="C857">
            <v>1.6358E-3</v>
          </cell>
          <cell r="D857"/>
          <cell r="E857">
            <v>245054</v>
          </cell>
          <cell r="F857">
            <v>230517</v>
          </cell>
          <cell r="G857">
            <v>206610</v>
          </cell>
          <cell r="H857">
            <v>82724</v>
          </cell>
          <cell r="I857">
            <v>0</v>
          </cell>
        </row>
        <row r="858">
          <cell r="A858">
            <v>99252</v>
          </cell>
          <cell r="B858" t="str">
            <v>GARNER FIRE DEPT</v>
          </cell>
          <cell r="C858">
            <v>6.6200000000000005E-4</v>
          </cell>
          <cell r="D858"/>
          <cell r="E858">
            <v>99172</v>
          </cell>
          <cell r="F858">
            <v>93289</v>
          </cell>
          <cell r="G858">
            <v>83614</v>
          </cell>
          <cell r="H858">
            <v>33478</v>
          </cell>
          <cell r="I858">
            <v>0</v>
          </cell>
        </row>
        <row r="859">
          <cell r="A859">
            <v>99261</v>
          </cell>
          <cell r="B859" t="str">
            <v>TOWN OF FUQUAY-VARINA</v>
          </cell>
          <cell r="C859">
            <v>2.2407E-3</v>
          </cell>
          <cell r="D859"/>
          <cell r="E859">
            <v>335673</v>
          </cell>
          <cell r="F859">
            <v>315759</v>
          </cell>
          <cell r="G859">
            <v>283012</v>
          </cell>
          <cell r="H859">
            <v>113314</v>
          </cell>
          <cell r="I859">
            <v>0</v>
          </cell>
        </row>
        <row r="860">
          <cell r="A860">
            <v>99271</v>
          </cell>
          <cell r="B860" t="str">
            <v>TOWN OF APEX</v>
          </cell>
          <cell r="C860">
            <v>4.2773000000000004E-3</v>
          </cell>
          <cell r="D860"/>
          <cell r="E860">
            <v>640769</v>
          </cell>
          <cell r="F860">
            <v>602757</v>
          </cell>
          <cell r="G860">
            <v>540244</v>
          </cell>
          <cell r="H860">
            <v>216307</v>
          </cell>
          <cell r="I860">
            <v>0</v>
          </cell>
        </row>
        <row r="861">
          <cell r="A861">
            <v>99281</v>
          </cell>
          <cell r="B861" t="str">
            <v>TOWN OF WAKE FOREST</v>
          </cell>
          <cell r="C861">
            <v>2.4237E-3</v>
          </cell>
          <cell r="D861"/>
          <cell r="E861">
            <v>363087</v>
          </cell>
          <cell r="F861">
            <v>341548</v>
          </cell>
          <cell r="G861">
            <v>306125</v>
          </cell>
          <cell r="H861">
            <v>122569</v>
          </cell>
          <cell r="I861">
            <v>0</v>
          </cell>
        </row>
        <row r="862">
          <cell r="A862">
            <v>99291</v>
          </cell>
          <cell r="B862" t="str">
            <v>TOWN OF KNIGHTDALE</v>
          </cell>
          <cell r="C862">
            <v>8.4909999999999998E-4</v>
          </cell>
          <cell r="D862"/>
          <cell r="E862">
            <v>127201</v>
          </cell>
          <cell r="F862">
            <v>119655</v>
          </cell>
          <cell r="G862">
            <v>107246</v>
          </cell>
          <cell r="H862">
            <v>42940</v>
          </cell>
          <cell r="I862">
            <v>0</v>
          </cell>
        </row>
        <row r="863">
          <cell r="A863">
            <v>99301</v>
          </cell>
          <cell r="B863" t="str">
            <v>WARREN COUNTY</v>
          </cell>
          <cell r="C863">
            <v>1.6092999999999999E-3</v>
          </cell>
          <cell r="D863"/>
          <cell r="E863">
            <v>241084</v>
          </cell>
          <cell r="F863">
            <v>226783</v>
          </cell>
          <cell r="G863">
            <v>203263</v>
          </cell>
          <cell r="H863">
            <v>81384</v>
          </cell>
          <cell r="I863">
            <v>0</v>
          </cell>
        </row>
        <row r="864">
          <cell r="A864">
            <v>99304</v>
          </cell>
          <cell r="B864" t="str">
            <v>WARREN COUNTY ABC BOARD</v>
          </cell>
          <cell r="C864">
            <v>7.6000000000000001E-6</v>
          </cell>
          <cell r="D864"/>
          <cell r="E864">
            <v>1139</v>
          </cell>
          <cell r="F864">
            <v>1071</v>
          </cell>
          <cell r="G864">
            <v>960</v>
          </cell>
          <cell r="H864">
            <v>384</v>
          </cell>
          <cell r="I864">
            <v>0</v>
          </cell>
        </row>
        <row r="865">
          <cell r="A865">
            <v>99311</v>
          </cell>
          <cell r="B865" t="str">
            <v>TOWN OF NORLINA</v>
          </cell>
          <cell r="C865">
            <v>5.9700000000000001E-5</v>
          </cell>
          <cell r="D865"/>
          <cell r="E865">
            <v>8943</v>
          </cell>
          <cell r="F865">
            <v>8413</v>
          </cell>
          <cell r="G865">
            <v>7540</v>
          </cell>
          <cell r="H865">
            <v>3019</v>
          </cell>
          <cell r="I865">
            <v>0</v>
          </cell>
        </row>
        <row r="866">
          <cell r="A866">
            <v>99321</v>
          </cell>
          <cell r="B866" t="str">
            <v>TOWN OF WARRENTON</v>
          </cell>
          <cell r="C866">
            <v>8.6399999999999999E-5</v>
          </cell>
          <cell r="D866"/>
          <cell r="E866">
            <v>12943</v>
          </cell>
          <cell r="F866">
            <v>12175</v>
          </cell>
          <cell r="G866">
            <v>10913</v>
          </cell>
          <cell r="H866">
            <v>4369</v>
          </cell>
          <cell r="I866">
            <v>0</v>
          </cell>
        </row>
        <row r="867">
          <cell r="A867">
            <v>99401</v>
          </cell>
          <cell r="B867" t="str">
            <v>WASHINGTON COUNTY</v>
          </cell>
          <cell r="C867">
            <v>7.7590000000000005E-4</v>
          </cell>
          <cell r="D867"/>
          <cell r="E867">
            <v>116235</v>
          </cell>
          <cell r="F867">
            <v>109340</v>
          </cell>
          <cell r="G867">
            <v>98000</v>
          </cell>
          <cell r="H867">
            <v>39238</v>
          </cell>
          <cell r="I867">
            <v>0</v>
          </cell>
        </row>
        <row r="868">
          <cell r="A868">
            <v>99404</v>
          </cell>
          <cell r="B868" t="str">
            <v>WASHINGTON COUNTY ABC BOARD</v>
          </cell>
          <cell r="C868">
            <v>8.4999999999999999E-6</v>
          </cell>
          <cell r="D868"/>
          <cell r="E868">
            <v>1273</v>
          </cell>
          <cell r="F868">
            <v>1198</v>
          </cell>
          <cell r="G868">
            <v>1074</v>
          </cell>
          <cell r="H868">
            <v>430</v>
          </cell>
          <cell r="I868">
            <v>0</v>
          </cell>
        </row>
        <row r="869">
          <cell r="A869">
            <v>99405</v>
          </cell>
          <cell r="B869" t="str">
            <v>PETTIGREW REGIONAL LIBRARY</v>
          </cell>
          <cell r="C869">
            <v>5.9799999999999997E-5</v>
          </cell>
          <cell r="D869"/>
          <cell r="E869">
            <v>8958</v>
          </cell>
          <cell r="F869">
            <v>8427</v>
          </cell>
          <cell r="G869">
            <v>7553</v>
          </cell>
          <cell r="H869">
            <v>3024</v>
          </cell>
          <cell r="I869">
            <v>0</v>
          </cell>
        </row>
        <row r="870">
          <cell r="A870">
            <v>99411</v>
          </cell>
          <cell r="B870" t="str">
            <v>TOWN OF PLYMOUTH</v>
          </cell>
          <cell r="C870">
            <v>1.7139999999999999E-4</v>
          </cell>
          <cell r="D870"/>
          <cell r="E870">
            <v>25677</v>
          </cell>
          <cell r="F870">
            <v>24154</v>
          </cell>
          <cell r="G870">
            <v>21649</v>
          </cell>
          <cell r="H870">
            <v>8668</v>
          </cell>
          <cell r="I870">
            <v>0</v>
          </cell>
        </row>
        <row r="871">
          <cell r="A871">
            <v>99413</v>
          </cell>
          <cell r="B871" t="str">
            <v>PLYMOUTH HOUSING AUTHORITY</v>
          </cell>
          <cell r="C871">
            <v>2.0400000000000001E-5</v>
          </cell>
          <cell r="D871"/>
          <cell r="E871">
            <v>3056</v>
          </cell>
          <cell r="F871">
            <v>2875</v>
          </cell>
          <cell r="G871">
            <v>2577</v>
          </cell>
          <cell r="H871">
            <v>1032</v>
          </cell>
          <cell r="I871">
            <v>0</v>
          </cell>
        </row>
        <row r="872">
          <cell r="A872">
            <v>99421</v>
          </cell>
          <cell r="B872" t="str">
            <v>TOWN OF ROPER</v>
          </cell>
          <cell r="C872">
            <v>1.3499999999999999E-5</v>
          </cell>
          <cell r="D872"/>
          <cell r="E872">
            <v>2022</v>
          </cell>
          <cell r="F872">
            <v>1902</v>
          </cell>
          <cell r="G872">
            <v>1705</v>
          </cell>
          <cell r="H872">
            <v>683</v>
          </cell>
          <cell r="I872">
            <v>0</v>
          </cell>
        </row>
        <row r="873">
          <cell r="A873">
            <v>99431</v>
          </cell>
          <cell r="B873" t="str">
            <v>TOWN OF CRESWELL</v>
          </cell>
          <cell r="C873">
            <v>1.4800000000000001E-5</v>
          </cell>
          <cell r="D873"/>
          <cell r="E873">
            <v>2217</v>
          </cell>
          <cell r="F873">
            <v>2086</v>
          </cell>
          <cell r="G873">
            <v>1869</v>
          </cell>
          <cell r="H873">
            <v>748</v>
          </cell>
          <cell r="I873">
            <v>0</v>
          </cell>
        </row>
        <row r="874">
          <cell r="A874">
            <v>99501</v>
          </cell>
          <cell r="B874" t="str">
            <v>WATAUGA COUNTY</v>
          </cell>
          <cell r="C874">
            <v>1.6478E-3</v>
          </cell>
          <cell r="D874"/>
          <cell r="E874">
            <v>246852</v>
          </cell>
          <cell r="F874">
            <v>232208</v>
          </cell>
          <cell r="G874">
            <v>208125</v>
          </cell>
          <cell r="H874">
            <v>83331</v>
          </cell>
          <cell r="I874">
            <v>0</v>
          </cell>
        </row>
        <row r="875">
          <cell r="A875">
            <v>99502</v>
          </cell>
          <cell r="B875" t="str">
            <v>REGION D COUNCIL OF GOVERNMENTS</v>
          </cell>
          <cell r="C875">
            <v>1.4459999999999999E-4</v>
          </cell>
          <cell r="D875"/>
          <cell r="E875">
            <v>21662</v>
          </cell>
          <cell r="F875">
            <v>20377</v>
          </cell>
          <cell r="G875">
            <v>18264</v>
          </cell>
          <cell r="H875">
            <v>7313</v>
          </cell>
          <cell r="I875">
            <v>0</v>
          </cell>
        </row>
        <row r="876">
          <cell r="A876">
            <v>99508</v>
          </cell>
          <cell r="B876" t="str">
            <v>BLOWING ROCK TOURISM DEVELOPMENT AUTHORITY</v>
          </cell>
          <cell r="C876">
            <v>2.0999999999999999E-5</v>
          </cell>
          <cell r="D876"/>
          <cell r="E876">
            <v>3146</v>
          </cell>
          <cell r="F876">
            <v>2959</v>
          </cell>
          <cell r="G876">
            <v>2652</v>
          </cell>
          <cell r="H876">
            <v>1062</v>
          </cell>
          <cell r="I876">
            <v>0</v>
          </cell>
        </row>
        <row r="877">
          <cell r="A877">
            <v>99509</v>
          </cell>
          <cell r="B877" t="str">
            <v>WATAUGA COUNTY DISTRICT U TDA</v>
          </cell>
          <cell r="C877">
            <v>2.5199999999999999E-5</v>
          </cell>
          <cell r="D877"/>
          <cell r="E877">
            <v>3775</v>
          </cell>
          <cell r="F877">
            <v>3551</v>
          </cell>
          <cell r="G877">
            <v>3183</v>
          </cell>
          <cell r="H877">
            <v>1274</v>
          </cell>
          <cell r="I877">
            <v>0</v>
          </cell>
        </row>
        <row r="878">
          <cell r="A878">
            <v>99511</v>
          </cell>
          <cell r="B878" t="str">
            <v>TOWN OF BOONE</v>
          </cell>
          <cell r="C878">
            <v>1.3293999999999999E-3</v>
          </cell>
          <cell r="D878"/>
          <cell r="E878">
            <v>199153</v>
          </cell>
          <cell r="F878">
            <v>187339</v>
          </cell>
          <cell r="G878">
            <v>167910</v>
          </cell>
          <cell r="H878">
            <v>67229</v>
          </cell>
          <cell r="I878">
            <v>0</v>
          </cell>
        </row>
        <row r="879">
          <cell r="A879">
            <v>99521</v>
          </cell>
          <cell r="B879" t="str">
            <v>TOWN OF BLOWING ROCK</v>
          </cell>
          <cell r="C879">
            <v>4.8200000000000001E-4</v>
          </cell>
          <cell r="D879"/>
          <cell r="E879">
            <v>72207</v>
          </cell>
          <cell r="F879">
            <v>67923</v>
          </cell>
          <cell r="G879">
            <v>60879</v>
          </cell>
          <cell r="H879">
            <v>24375</v>
          </cell>
          <cell r="I879">
            <v>0</v>
          </cell>
        </row>
        <row r="880">
          <cell r="A880">
            <v>99527</v>
          </cell>
          <cell r="B880" t="str">
            <v>BLOWING ROCK ABC BD</v>
          </cell>
          <cell r="C880">
            <v>1.1E-5</v>
          </cell>
          <cell r="D880"/>
          <cell r="E880">
            <v>1648</v>
          </cell>
          <cell r="F880">
            <v>1550</v>
          </cell>
          <cell r="G880">
            <v>1389</v>
          </cell>
          <cell r="H880">
            <v>556</v>
          </cell>
          <cell r="I880">
            <v>0</v>
          </cell>
        </row>
        <row r="881">
          <cell r="A881">
            <v>99531</v>
          </cell>
          <cell r="B881" t="str">
            <v>TOWN OF SEVEN DEVILS</v>
          </cell>
          <cell r="C881">
            <v>8.6299999999999997E-5</v>
          </cell>
          <cell r="D881"/>
          <cell r="E881">
            <v>12928</v>
          </cell>
          <cell r="F881">
            <v>12161</v>
          </cell>
          <cell r="G881">
            <v>10900</v>
          </cell>
          <cell r="H881">
            <v>4364</v>
          </cell>
          <cell r="I881">
            <v>0</v>
          </cell>
        </row>
        <row r="882">
          <cell r="A882">
            <v>99601</v>
          </cell>
          <cell r="B882" t="str">
            <v>WAYNE COUNTY</v>
          </cell>
          <cell r="C882">
            <v>5.9021999999999998E-3</v>
          </cell>
          <cell r="D882"/>
          <cell r="E882">
            <v>884191</v>
          </cell>
          <cell r="F882">
            <v>831738</v>
          </cell>
          <cell r="G882">
            <v>745477</v>
          </cell>
          <cell r="H882">
            <v>298480</v>
          </cell>
          <cell r="I882">
            <v>0</v>
          </cell>
        </row>
        <row r="883">
          <cell r="A883">
            <v>99602</v>
          </cell>
          <cell r="B883" t="str">
            <v>FORK TOWNSHIP SANITARY DIST</v>
          </cell>
          <cell r="C883">
            <v>6.1500000000000004E-5</v>
          </cell>
          <cell r="D883"/>
          <cell r="E883">
            <v>9213</v>
          </cell>
          <cell r="F883">
            <v>8667</v>
          </cell>
          <cell r="G883">
            <v>7768</v>
          </cell>
          <cell r="H883">
            <v>3110</v>
          </cell>
          <cell r="I883">
            <v>0</v>
          </cell>
        </row>
        <row r="884">
          <cell r="A884">
            <v>99603</v>
          </cell>
          <cell r="B884" t="str">
            <v>EASTERN CAROLINA REG'L HOUSING AUTH</v>
          </cell>
          <cell r="C884">
            <v>1.5540000000000001E-4</v>
          </cell>
          <cell r="D884"/>
          <cell r="E884">
            <v>23280</v>
          </cell>
          <cell r="F884">
            <v>21899</v>
          </cell>
          <cell r="G884">
            <v>19628</v>
          </cell>
          <cell r="H884">
            <v>7859</v>
          </cell>
          <cell r="I884">
            <v>0</v>
          </cell>
        </row>
        <row r="885">
          <cell r="A885">
            <v>99604</v>
          </cell>
          <cell r="B885" t="str">
            <v>WAYNE COUNTY ABC BOARD</v>
          </cell>
          <cell r="C885">
            <v>9.1100000000000005E-5</v>
          </cell>
          <cell r="D885"/>
          <cell r="E885">
            <v>13647</v>
          </cell>
          <cell r="F885">
            <v>12838</v>
          </cell>
          <cell r="G885">
            <v>11506</v>
          </cell>
          <cell r="H885">
            <v>4607</v>
          </cell>
          <cell r="I885">
            <v>0</v>
          </cell>
        </row>
        <row r="886">
          <cell r="A886">
            <v>99609</v>
          </cell>
          <cell r="B886" t="str">
            <v>SOUTHERN WAYNE SANITARY DISTRICT</v>
          </cell>
          <cell r="C886">
            <v>2.8799999999999999E-5</v>
          </cell>
          <cell r="D886"/>
          <cell r="E886">
            <v>4314</v>
          </cell>
          <cell r="F886">
            <v>4058</v>
          </cell>
          <cell r="G886">
            <v>3638</v>
          </cell>
          <cell r="H886">
            <v>1456</v>
          </cell>
          <cell r="I886">
            <v>0</v>
          </cell>
        </row>
        <row r="887">
          <cell r="A887">
            <v>99610</v>
          </cell>
          <cell r="B887" t="str">
            <v>EASTERN WAYNE SANITARY DIST</v>
          </cell>
          <cell r="C887">
            <v>1.683E-4</v>
          </cell>
          <cell r="D887"/>
          <cell r="E887">
            <v>25213</v>
          </cell>
          <cell r="F887">
            <v>23717</v>
          </cell>
          <cell r="G887">
            <v>21257</v>
          </cell>
          <cell r="H887">
            <v>8511</v>
          </cell>
          <cell r="I887">
            <v>0</v>
          </cell>
        </row>
        <row r="888">
          <cell r="A888">
            <v>99611</v>
          </cell>
          <cell r="B888" t="str">
            <v>CITY OF GOLDSBORO</v>
          </cell>
          <cell r="C888">
            <v>3.2022000000000001E-3</v>
          </cell>
          <cell r="D888"/>
          <cell r="E888">
            <v>479712</v>
          </cell>
          <cell r="F888">
            <v>451254</v>
          </cell>
          <cell r="G888">
            <v>404454</v>
          </cell>
          <cell r="H888">
            <v>161938</v>
          </cell>
          <cell r="I888">
            <v>0</v>
          </cell>
        </row>
        <row r="889">
          <cell r="A889">
            <v>99613</v>
          </cell>
          <cell r="B889" t="str">
            <v>HOUSING AUTHORITY OF GOLDSBORO</v>
          </cell>
          <cell r="C889">
            <v>3.3720000000000001E-4</v>
          </cell>
          <cell r="D889"/>
          <cell r="E889">
            <v>50515</v>
          </cell>
          <cell r="F889">
            <v>47518</v>
          </cell>
          <cell r="G889">
            <v>42590</v>
          </cell>
          <cell r="H889">
            <v>17053</v>
          </cell>
          <cell r="I889">
            <v>0</v>
          </cell>
        </row>
        <row r="890">
          <cell r="A890">
            <v>99621</v>
          </cell>
          <cell r="B890" t="str">
            <v>TOWN OF MOUNT OLIVE</v>
          </cell>
          <cell r="C890">
            <v>3.5530000000000002E-4</v>
          </cell>
          <cell r="D890"/>
          <cell r="E890">
            <v>53226</v>
          </cell>
          <cell r="F890">
            <v>50069</v>
          </cell>
          <cell r="G890">
            <v>44876</v>
          </cell>
          <cell r="H890">
            <v>17968</v>
          </cell>
          <cell r="I890">
            <v>0</v>
          </cell>
        </row>
        <row r="891">
          <cell r="A891">
            <v>99623</v>
          </cell>
          <cell r="B891" t="str">
            <v>MT OLIVE HOUSING AUTHORITY</v>
          </cell>
          <cell r="C891">
            <v>1.08E-5</v>
          </cell>
          <cell r="D891"/>
          <cell r="E891">
            <v>1618</v>
          </cell>
          <cell r="F891">
            <v>1522</v>
          </cell>
          <cell r="G891">
            <v>1364</v>
          </cell>
          <cell r="H891">
            <v>546</v>
          </cell>
          <cell r="I891">
            <v>0</v>
          </cell>
        </row>
        <row r="892">
          <cell r="A892">
            <v>99631</v>
          </cell>
          <cell r="B892" t="str">
            <v>TOWN OF FREMONT</v>
          </cell>
          <cell r="C892">
            <v>1.078E-4</v>
          </cell>
          <cell r="D892"/>
          <cell r="E892">
            <v>16149</v>
          </cell>
          <cell r="F892">
            <v>15191</v>
          </cell>
          <cell r="G892">
            <v>13616</v>
          </cell>
          <cell r="H892">
            <v>5452</v>
          </cell>
          <cell r="I892">
            <v>0</v>
          </cell>
        </row>
        <row r="893">
          <cell r="A893">
            <v>99651</v>
          </cell>
          <cell r="B893" t="str">
            <v>TOWN OF PIKEVILLE</v>
          </cell>
          <cell r="C893">
            <v>6.5300000000000002E-5</v>
          </cell>
          <cell r="D893"/>
          <cell r="E893">
            <v>9782</v>
          </cell>
          <cell r="F893">
            <v>9202</v>
          </cell>
          <cell r="G893">
            <v>8248</v>
          </cell>
          <cell r="H893">
            <v>3302</v>
          </cell>
          <cell r="I893">
            <v>0</v>
          </cell>
        </row>
        <row r="894">
          <cell r="A894">
            <v>99661</v>
          </cell>
          <cell r="B894" t="str">
            <v>VILLAGE OF WALNUT CREEK</v>
          </cell>
          <cell r="C894">
            <v>3.4799999999999999E-5</v>
          </cell>
          <cell r="D894"/>
          <cell r="E894">
            <v>5213</v>
          </cell>
          <cell r="F894">
            <v>4904</v>
          </cell>
          <cell r="G894">
            <v>4395</v>
          </cell>
          <cell r="H894">
            <v>1760</v>
          </cell>
          <cell r="I894">
            <v>0</v>
          </cell>
        </row>
        <row r="895">
          <cell r="A895">
            <v>99701</v>
          </cell>
          <cell r="B895" t="str">
            <v>WILKES COUNTY</v>
          </cell>
          <cell r="C895">
            <v>2.9930999999999998E-3</v>
          </cell>
          <cell r="D895"/>
          <cell r="E895">
            <v>448387</v>
          </cell>
          <cell r="F895">
            <v>421788</v>
          </cell>
          <cell r="G895">
            <v>378043</v>
          </cell>
          <cell r="H895">
            <v>151364</v>
          </cell>
          <cell r="I895">
            <v>0</v>
          </cell>
        </row>
        <row r="896">
          <cell r="A896">
            <v>99705</v>
          </cell>
          <cell r="B896" t="str">
            <v>APPALACHIAN REGIONAL LIBRARY</v>
          </cell>
          <cell r="C896">
            <v>1.5530000000000001E-4</v>
          </cell>
          <cell r="D896"/>
          <cell r="E896">
            <v>23265</v>
          </cell>
          <cell r="F896">
            <v>21885</v>
          </cell>
          <cell r="G896">
            <v>19615</v>
          </cell>
          <cell r="H896">
            <v>7854</v>
          </cell>
          <cell r="I896">
            <v>0</v>
          </cell>
        </row>
        <row r="897">
          <cell r="A897">
            <v>99711</v>
          </cell>
          <cell r="B897" t="str">
            <v>TOWN OF N WILKESBORO</v>
          </cell>
          <cell r="C897">
            <v>4.2489999999999997E-4</v>
          </cell>
          <cell r="D897"/>
          <cell r="E897">
            <v>63653</v>
          </cell>
          <cell r="F897">
            <v>59877</v>
          </cell>
          <cell r="G897">
            <v>53667</v>
          </cell>
          <cell r="H897">
            <v>21488</v>
          </cell>
          <cell r="I897">
            <v>0</v>
          </cell>
        </row>
        <row r="898">
          <cell r="A898">
            <v>99717</v>
          </cell>
          <cell r="B898" t="str">
            <v>TOWN OF N WILKESBORO ABC BOARD</v>
          </cell>
          <cell r="C898">
            <v>2.6599999999999999E-5</v>
          </cell>
          <cell r="D898"/>
          <cell r="E898">
            <v>3985</v>
          </cell>
          <cell r="F898">
            <v>3748</v>
          </cell>
          <cell r="G898">
            <v>3360</v>
          </cell>
          <cell r="H898">
            <v>1345</v>
          </cell>
          <cell r="I898">
            <v>0</v>
          </cell>
        </row>
        <row r="899">
          <cell r="A899">
            <v>99721</v>
          </cell>
          <cell r="B899" t="str">
            <v>TOWN OF WILKESBORO</v>
          </cell>
          <cell r="C899">
            <v>6.1160000000000001E-4</v>
          </cell>
          <cell r="D899"/>
          <cell r="E899">
            <v>91622</v>
          </cell>
          <cell r="F899">
            <v>86187</v>
          </cell>
          <cell r="G899">
            <v>77248</v>
          </cell>
          <cell r="H899">
            <v>30929</v>
          </cell>
          <cell r="I899">
            <v>0</v>
          </cell>
        </row>
        <row r="900">
          <cell r="A900">
            <v>99727</v>
          </cell>
          <cell r="B900" t="str">
            <v>WILKESBORO ABC BOARD</v>
          </cell>
          <cell r="C900">
            <v>1.98E-5</v>
          </cell>
          <cell r="D900"/>
          <cell r="E900">
            <v>2966</v>
          </cell>
          <cell r="F900">
            <v>2790</v>
          </cell>
          <cell r="G900">
            <v>2501</v>
          </cell>
          <cell r="H900">
            <v>1001</v>
          </cell>
          <cell r="I900">
            <v>0</v>
          </cell>
        </row>
        <row r="901">
          <cell r="A901">
            <v>99801</v>
          </cell>
          <cell r="B901" t="str">
            <v>WILSON COUNTY</v>
          </cell>
          <cell r="C901">
            <v>4.7737999999999999E-3</v>
          </cell>
          <cell r="D901"/>
          <cell r="E901">
            <v>715149</v>
          </cell>
          <cell r="F901">
            <v>672724</v>
          </cell>
          <cell r="G901">
            <v>602955</v>
          </cell>
          <cell r="H901">
            <v>241416</v>
          </cell>
          <cell r="I901">
            <v>0</v>
          </cell>
        </row>
        <row r="902">
          <cell r="A902">
            <v>99802</v>
          </cell>
          <cell r="B902" t="str">
            <v>WILSON COUNTY TOURISM DEVELOPMENT AUTH</v>
          </cell>
          <cell r="C902">
            <v>1.1600000000000001E-5</v>
          </cell>
          <cell r="D902"/>
          <cell r="E902">
            <v>1738</v>
          </cell>
          <cell r="F902">
            <v>1635</v>
          </cell>
          <cell r="G902">
            <v>1465</v>
          </cell>
          <cell r="H902">
            <v>587</v>
          </cell>
          <cell r="I902">
            <v>0</v>
          </cell>
        </row>
        <row r="903">
          <cell r="A903">
            <v>99804</v>
          </cell>
          <cell r="B903" t="str">
            <v>WILSON COUNTY ABC BOARD</v>
          </cell>
          <cell r="C903">
            <v>7.2200000000000007E-5</v>
          </cell>
          <cell r="D903"/>
          <cell r="E903">
            <v>10816</v>
          </cell>
          <cell r="F903">
            <v>10174</v>
          </cell>
          <cell r="G903">
            <v>9119</v>
          </cell>
          <cell r="H903">
            <v>3651</v>
          </cell>
          <cell r="I903">
            <v>0</v>
          </cell>
        </row>
        <row r="904">
          <cell r="A904">
            <v>99811</v>
          </cell>
          <cell r="B904" t="str">
            <v>CITY OF WILSON</v>
          </cell>
          <cell r="C904">
            <v>6.4218000000000001E-3</v>
          </cell>
          <cell r="D904"/>
          <cell r="E904">
            <v>962031</v>
          </cell>
          <cell r="F904">
            <v>904960</v>
          </cell>
          <cell r="G904">
            <v>811105</v>
          </cell>
          <cell r="H904">
            <v>324757</v>
          </cell>
          <cell r="I904">
            <v>0</v>
          </cell>
        </row>
        <row r="905">
          <cell r="A905">
            <v>99812</v>
          </cell>
          <cell r="B905" t="str">
            <v>WILSON ECONOMIC DEV COUNCIL</v>
          </cell>
          <cell r="C905">
            <v>1.88E-5</v>
          </cell>
          <cell r="D905"/>
          <cell r="E905">
            <v>2816</v>
          </cell>
          <cell r="F905">
            <v>2649</v>
          </cell>
          <cell r="G905">
            <v>2375</v>
          </cell>
          <cell r="H905">
            <v>951</v>
          </cell>
          <cell r="I905">
            <v>0</v>
          </cell>
        </row>
        <row r="906">
          <cell r="A906">
            <v>99818</v>
          </cell>
          <cell r="B906" t="str">
            <v>CITY OF WILSON CEMETERY COMMISSION</v>
          </cell>
          <cell r="C906">
            <v>3.5599999999999998E-5</v>
          </cell>
          <cell r="D906"/>
          <cell r="E906">
            <v>5333</v>
          </cell>
          <cell r="F906">
            <v>5017</v>
          </cell>
          <cell r="G906">
            <v>4496</v>
          </cell>
          <cell r="H906">
            <v>1800</v>
          </cell>
          <cell r="I906">
            <v>0</v>
          </cell>
        </row>
        <row r="907">
          <cell r="A907">
            <v>99821</v>
          </cell>
          <cell r="B907" t="str">
            <v>TOWN OF STANTONSBURG</v>
          </cell>
          <cell r="C907">
            <v>9.8200000000000002E-5</v>
          </cell>
          <cell r="D907"/>
          <cell r="E907">
            <v>14711</v>
          </cell>
          <cell r="F907">
            <v>13838</v>
          </cell>
          <cell r="G907">
            <v>12403</v>
          </cell>
          <cell r="H907">
            <v>4966</v>
          </cell>
          <cell r="I907">
            <v>0</v>
          </cell>
        </row>
        <row r="908">
          <cell r="A908">
            <v>99831</v>
          </cell>
          <cell r="B908" t="str">
            <v>TOWN OF BLACK CREEK</v>
          </cell>
          <cell r="C908">
            <v>5.5399999999999998E-5</v>
          </cell>
          <cell r="D908"/>
          <cell r="E908">
            <v>8299</v>
          </cell>
          <cell r="F908">
            <v>7807</v>
          </cell>
          <cell r="G908">
            <v>6997</v>
          </cell>
          <cell r="H908">
            <v>2802</v>
          </cell>
          <cell r="I908">
            <v>0</v>
          </cell>
        </row>
        <row r="909">
          <cell r="A909">
            <v>99841</v>
          </cell>
          <cell r="B909" t="str">
            <v>TOWN OF LUCAMA</v>
          </cell>
          <cell r="C909">
            <v>1.59E-5</v>
          </cell>
          <cell r="D909"/>
          <cell r="E909">
            <v>2382</v>
          </cell>
          <cell r="F909">
            <v>2241</v>
          </cell>
          <cell r="G909">
            <v>2008</v>
          </cell>
          <cell r="H909">
            <v>804</v>
          </cell>
          <cell r="I909">
            <v>0</v>
          </cell>
        </row>
        <row r="910">
          <cell r="A910">
            <v>99851</v>
          </cell>
          <cell r="B910" t="str">
            <v>TOWN OF ELM CITY</v>
          </cell>
          <cell r="C910">
            <v>7.9000000000000006E-6</v>
          </cell>
          <cell r="D910"/>
          <cell r="E910">
            <v>1183</v>
          </cell>
          <cell r="F910">
            <v>1113</v>
          </cell>
          <cell r="G910">
            <v>998</v>
          </cell>
          <cell r="H910">
            <v>400</v>
          </cell>
          <cell r="I910">
            <v>0</v>
          </cell>
        </row>
        <row r="911">
          <cell r="A911">
            <v>99901</v>
          </cell>
          <cell r="B911" t="str">
            <v>YADKIN COUNTY</v>
          </cell>
          <cell r="C911">
            <v>1.5942E-3</v>
          </cell>
          <cell r="D911"/>
          <cell r="E911">
            <v>238822</v>
          </cell>
          <cell r="F911">
            <v>224655</v>
          </cell>
          <cell r="G911">
            <v>201355</v>
          </cell>
          <cell r="H911">
            <v>80620</v>
          </cell>
          <cell r="I911">
            <v>0</v>
          </cell>
        </row>
        <row r="912">
          <cell r="A912">
            <v>99911</v>
          </cell>
          <cell r="B912" t="str">
            <v>TOWN OF YADKINVILLE</v>
          </cell>
          <cell r="C912">
            <v>2.219E-4</v>
          </cell>
          <cell r="D912"/>
          <cell r="E912">
            <v>33242</v>
          </cell>
          <cell r="F912">
            <v>31270</v>
          </cell>
          <cell r="G912">
            <v>28027</v>
          </cell>
          <cell r="H912">
            <v>11222</v>
          </cell>
          <cell r="I912">
            <v>0</v>
          </cell>
        </row>
        <row r="913">
          <cell r="A913">
            <v>99921</v>
          </cell>
          <cell r="B913" t="str">
            <v>TOWN OF JONESVILLE</v>
          </cell>
          <cell r="C913">
            <v>1.315E-4</v>
          </cell>
          <cell r="D913"/>
          <cell r="E913">
            <v>19700</v>
          </cell>
          <cell r="F913">
            <v>18531</v>
          </cell>
          <cell r="G913">
            <v>16609</v>
          </cell>
          <cell r="H913">
            <v>6650</v>
          </cell>
          <cell r="I913">
            <v>0</v>
          </cell>
        </row>
        <row r="914">
          <cell r="A914">
            <v>99931</v>
          </cell>
          <cell r="B914" t="str">
            <v>TOWN OF EAST BEND</v>
          </cell>
          <cell r="C914">
            <v>2.1699999999999999E-5</v>
          </cell>
          <cell r="D914"/>
          <cell r="E914">
            <v>3251</v>
          </cell>
          <cell r="F914">
            <v>3058</v>
          </cell>
          <cell r="G914">
            <v>2741</v>
          </cell>
          <cell r="H914">
            <v>1097</v>
          </cell>
          <cell r="I914">
            <v>0</v>
          </cell>
        </row>
        <row r="915">
          <cell r="A915">
            <v>99941</v>
          </cell>
          <cell r="B915" t="str">
            <v>TOWN OF BOONVILLE</v>
          </cell>
          <cell r="C915">
            <v>7.7399999999999998E-5</v>
          </cell>
          <cell r="D915"/>
          <cell r="E915">
            <v>11595</v>
          </cell>
          <cell r="F915">
            <v>10907</v>
          </cell>
          <cell r="G915">
            <v>9776</v>
          </cell>
          <cell r="H915">
            <v>3914</v>
          </cell>
          <cell r="I915">
            <v>0</v>
          </cell>
        </row>
        <row r="916">
          <cell r="A916">
            <v>99991</v>
          </cell>
          <cell r="B916" t="str">
            <v>N C ASSOC OF CO COMMISSIONERS</v>
          </cell>
          <cell r="C916">
            <v>5.0869999999999995E-4</v>
          </cell>
          <cell r="D916"/>
          <cell r="E916">
            <v>76207</v>
          </cell>
          <cell r="F916">
            <v>71686</v>
          </cell>
          <cell r="G916">
            <v>64251</v>
          </cell>
          <cell r="H916">
            <v>25725</v>
          </cell>
          <cell r="I916">
            <v>0</v>
          </cell>
        </row>
        <row r="917">
          <cell r="A917">
            <v>99999</v>
          </cell>
          <cell r="B917" t="str">
            <v>N C LEAGUE OF MUNICIPALITIES</v>
          </cell>
          <cell r="C917">
            <v>1.0093000000000001E-3</v>
          </cell>
          <cell r="D917"/>
          <cell r="E917">
            <v>151200</v>
          </cell>
          <cell r="F917">
            <v>142231</v>
          </cell>
          <cell r="G917">
            <v>127480</v>
          </cell>
          <cell r="H917">
            <v>51041</v>
          </cell>
          <cell r="I917">
            <v>0</v>
          </cell>
        </row>
      </sheetData>
      <sheetData sheetId="7">
        <row r="4">
          <cell r="A4">
            <v>70505</v>
          </cell>
          <cell r="B4" t="str">
            <v>THE EASTERN BAND OF CHEROKEE INDIANS</v>
          </cell>
          <cell r="C4">
            <v>3.2890000000000003E-4</v>
          </cell>
          <cell r="D4"/>
          <cell r="E4">
            <v>52309</v>
          </cell>
          <cell r="F4">
            <v>-44995</v>
          </cell>
          <cell r="G4">
            <v>6342</v>
          </cell>
          <cell r="H4">
            <v>8253</v>
          </cell>
          <cell r="I4">
            <v>0</v>
          </cell>
        </row>
        <row r="5">
          <cell r="A5">
            <v>71786</v>
          </cell>
          <cell r="B5" t="str">
            <v>VILLAGE OF MISENHEIMER</v>
          </cell>
          <cell r="C5">
            <v>0</v>
          </cell>
          <cell r="D5"/>
          <cell r="E5">
            <v>0</v>
          </cell>
          <cell r="F5">
            <v>0</v>
          </cell>
          <cell r="G5">
            <v>0</v>
          </cell>
          <cell r="H5">
            <v>0</v>
          </cell>
          <cell r="I5">
            <v>0</v>
          </cell>
        </row>
        <row r="6">
          <cell r="A6">
            <v>72265</v>
          </cell>
          <cell r="B6" t="str">
            <v>PIEDMONT TRIAD AIRPORT AUTHORITY</v>
          </cell>
          <cell r="C6">
            <v>1.44E-4</v>
          </cell>
          <cell r="D6"/>
          <cell r="E6">
            <v>22902</v>
          </cell>
          <cell r="F6">
            <v>-19700</v>
          </cell>
          <cell r="G6">
            <v>2776</v>
          </cell>
          <cell r="H6">
            <v>3614</v>
          </cell>
          <cell r="I6">
            <v>0</v>
          </cell>
        </row>
        <row r="7">
          <cell r="A7">
            <v>72593</v>
          </cell>
          <cell r="B7" t="str">
            <v>TOWN OF SEAGROVE</v>
          </cell>
          <cell r="C7">
            <v>6.1E-6</v>
          </cell>
          <cell r="D7"/>
          <cell r="E7">
            <v>970</v>
          </cell>
          <cell r="F7">
            <v>-835</v>
          </cell>
          <cell r="G7">
            <v>118</v>
          </cell>
          <cell r="H7">
            <v>153</v>
          </cell>
          <cell r="I7">
            <v>0</v>
          </cell>
        </row>
        <row r="8">
          <cell r="A8">
            <v>72657</v>
          </cell>
          <cell r="B8" t="str">
            <v>TOWN OF SPARTA</v>
          </cell>
          <cell r="C8">
            <v>3.7200000000000003E-5</v>
          </cell>
          <cell r="D8"/>
          <cell r="E8">
            <v>5916</v>
          </cell>
          <cell r="F8">
            <v>-5089</v>
          </cell>
          <cell r="G8">
            <v>717</v>
          </cell>
          <cell r="H8">
            <v>933</v>
          </cell>
          <cell r="I8">
            <v>0</v>
          </cell>
        </row>
        <row r="9">
          <cell r="A9">
            <v>90001</v>
          </cell>
          <cell r="B9" t="str">
            <v>YANCEY COUNTY</v>
          </cell>
          <cell r="C9">
            <v>8.6050000000000005E-4</v>
          </cell>
          <cell r="D9"/>
          <cell r="E9">
            <v>136855</v>
          </cell>
          <cell r="F9">
            <v>-117721</v>
          </cell>
          <cell r="G9">
            <v>16591</v>
          </cell>
          <cell r="H9">
            <v>21593</v>
          </cell>
          <cell r="I9">
            <v>0</v>
          </cell>
        </row>
        <row r="10">
          <cell r="A10">
            <v>90002</v>
          </cell>
          <cell r="B10" t="str">
            <v>YANCEY SOIL &amp; WATER CONS</v>
          </cell>
          <cell r="C10">
            <v>8.3999999999999992E-6</v>
          </cell>
          <cell r="D10"/>
          <cell r="E10">
            <v>1336</v>
          </cell>
          <cell r="F10">
            <v>-1149</v>
          </cell>
          <cell r="G10">
            <v>162</v>
          </cell>
          <cell r="H10">
            <v>211</v>
          </cell>
          <cell r="I10">
            <v>0</v>
          </cell>
        </row>
        <row r="11">
          <cell r="A11">
            <v>90011</v>
          </cell>
          <cell r="B11" t="str">
            <v>TOWN OF BURNSVILLE</v>
          </cell>
          <cell r="C11">
            <v>1.8009999999999999E-4</v>
          </cell>
          <cell r="D11"/>
          <cell r="E11">
            <v>28643</v>
          </cell>
          <cell r="F11">
            <v>-24639</v>
          </cell>
          <cell r="G11">
            <v>3473</v>
          </cell>
          <cell r="H11">
            <v>4519</v>
          </cell>
          <cell r="I11">
            <v>0</v>
          </cell>
        </row>
        <row r="12">
          <cell r="A12">
            <v>90092</v>
          </cell>
          <cell r="B12" t="str">
            <v>MARTIN-TYRRELL-WASHINGTON DIST HEALTH DEPT</v>
          </cell>
          <cell r="C12">
            <v>3.9530000000000001E-4</v>
          </cell>
          <cell r="D12"/>
          <cell r="E12">
            <v>62869</v>
          </cell>
          <cell r="F12">
            <v>-54079</v>
          </cell>
          <cell r="G12">
            <v>7622</v>
          </cell>
          <cell r="H12">
            <v>9920</v>
          </cell>
          <cell r="I12">
            <v>0</v>
          </cell>
        </row>
        <row r="13">
          <cell r="A13">
            <v>90096</v>
          </cell>
          <cell r="B13" t="str">
            <v>ALBEMARLE REGIONAL HEALTH SERVICES</v>
          </cell>
          <cell r="C13">
            <v>9.722E-4</v>
          </cell>
          <cell r="D13"/>
          <cell r="E13">
            <v>154620</v>
          </cell>
          <cell r="F13">
            <v>-133002</v>
          </cell>
          <cell r="G13">
            <v>18745</v>
          </cell>
          <cell r="H13">
            <v>24396</v>
          </cell>
          <cell r="I13">
            <v>0</v>
          </cell>
        </row>
        <row r="14">
          <cell r="A14">
            <v>90098</v>
          </cell>
          <cell r="B14" t="str">
            <v>TOE RIVER HEALTH DISTRICT</v>
          </cell>
          <cell r="C14">
            <v>2.521E-4</v>
          </cell>
          <cell r="D14"/>
          <cell r="E14">
            <v>40094</v>
          </cell>
          <cell r="F14">
            <v>-34489</v>
          </cell>
          <cell r="G14">
            <v>4861</v>
          </cell>
          <cell r="H14">
            <v>6326</v>
          </cell>
          <cell r="I14">
            <v>0</v>
          </cell>
        </row>
        <row r="15">
          <cell r="A15">
            <v>90099</v>
          </cell>
          <cell r="B15" t="str">
            <v>APPALACHIAN DISTRICT HEALTH DEPT</v>
          </cell>
          <cell r="C15">
            <v>6.7389999999999995E-4</v>
          </cell>
          <cell r="D15"/>
          <cell r="E15">
            <v>107178</v>
          </cell>
          <cell r="F15">
            <v>-92193</v>
          </cell>
          <cell r="G15">
            <v>12993</v>
          </cell>
          <cell r="H15">
            <v>16911</v>
          </cell>
          <cell r="I15">
            <v>0</v>
          </cell>
        </row>
        <row r="16">
          <cell r="A16">
            <v>90101</v>
          </cell>
          <cell r="B16" t="str">
            <v>ALAMANCE COUNTY</v>
          </cell>
          <cell r="C16">
            <v>6.2302E-3</v>
          </cell>
          <cell r="D16"/>
          <cell r="E16">
            <v>990857</v>
          </cell>
          <cell r="F16">
            <v>-852323</v>
          </cell>
          <cell r="G16">
            <v>120124</v>
          </cell>
          <cell r="H16">
            <v>156341</v>
          </cell>
          <cell r="I16">
            <v>0</v>
          </cell>
        </row>
        <row r="17">
          <cell r="A17">
            <v>90111</v>
          </cell>
          <cell r="B17" t="str">
            <v>CITY OF BURLINGTON</v>
          </cell>
          <cell r="C17">
            <v>4.9528000000000003E-3</v>
          </cell>
          <cell r="D17"/>
          <cell r="E17">
            <v>787698</v>
          </cell>
          <cell r="F17">
            <v>-677568</v>
          </cell>
          <cell r="G17">
            <v>95495</v>
          </cell>
          <cell r="H17">
            <v>124286</v>
          </cell>
          <cell r="I17">
            <v>0</v>
          </cell>
        </row>
        <row r="18">
          <cell r="A18">
            <v>90114</v>
          </cell>
          <cell r="B18" t="str">
            <v>CITY OF MEBANE</v>
          </cell>
          <cell r="C18">
            <v>1.1188999999999999E-3</v>
          </cell>
          <cell r="D18"/>
          <cell r="E18">
            <v>177951</v>
          </cell>
          <cell r="F18">
            <v>-153071</v>
          </cell>
          <cell r="G18">
            <v>21574</v>
          </cell>
          <cell r="H18">
            <v>28078</v>
          </cell>
          <cell r="I18">
            <v>0</v>
          </cell>
        </row>
        <row r="19">
          <cell r="A19">
            <v>90117</v>
          </cell>
          <cell r="B19" t="str">
            <v>ALAMANCE MUNICIPAL ABC BOARD</v>
          </cell>
          <cell r="C19">
            <v>1.3219999999999999E-4</v>
          </cell>
          <cell r="D19"/>
          <cell r="E19">
            <v>21025</v>
          </cell>
          <cell r="F19">
            <v>-18086</v>
          </cell>
          <cell r="G19">
            <v>2549</v>
          </cell>
          <cell r="H19">
            <v>3317</v>
          </cell>
          <cell r="I19">
            <v>0</v>
          </cell>
        </row>
        <row r="20">
          <cell r="A20">
            <v>90121</v>
          </cell>
          <cell r="B20" t="str">
            <v>CITY OF GRAHAM</v>
          </cell>
          <cell r="C20">
            <v>1.1077999999999999E-3</v>
          </cell>
          <cell r="D20"/>
          <cell r="E20">
            <v>176186</v>
          </cell>
          <cell r="F20">
            <v>-151553</v>
          </cell>
          <cell r="G20">
            <v>21359</v>
          </cell>
          <cell r="H20">
            <v>27799</v>
          </cell>
          <cell r="I20">
            <v>0</v>
          </cell>
        </row>
        <row r="21">
          <cell r="A21">
            <v>90131</v>
          </cell>
          <cell r="B21" t="str">
            <v>TOWN OF ELON</v>
          </cell>
          <cell r="C21">
            <v>4.9050000000000005E-4</v>
          </cell>
          <cell r="D21"/>
          <cell r="E21">
            <v>78010</v>
          </cell>
          <cell r="F21">
            <v>-67103</v>
          </cell>
          <cell r="G21">
            <v>9457</v>
          </cell>
          <cell r="H21">
            <v>12309</v>
          </cell>
          <cell r="I21">
            <v>0</v>
          </cell>
        </row>
        <row r="22">
          <cell r="A22">
            <v>90141</v>
          </cell>
          <cell r="B22" t="str">
            <v>TOWN OF HAW RIVER</v>
          </cell>
          <cell r="C22">
            <v>1.4770000000000001E-4</v>
          </cell>
          <cell r="D22"/>
          <cell r="E22">
            <v>23490</v>
          </cell>
          <cell r="F22">
            <v>-20206</v>
          </cell>
          <cell r="G22">
            <v>2848</v>
          </cell>
          <cell r="H22">
            <v>3706</v>
          </cell>
          <cell r="I22">
            <v>0</v>
          </cell>
        </row>
        <row r="23">
          <cell r="A23">
            <v>90151</v>
          </cell>
          <cell r="B23" t="str">
            <v>VILLAGE OF ALAMANCE</v>
          </cell>
          <cell r="C23">
            <v>9.3000000000000007E-6</v>
          </cell>
          <cell r="D23"/>
          <cell r="E23">
            <v>1479</v>
          </cell>
          <cell r="F23">
            <v>-1272</v>
          </cell>
          <cell r="G23">
            <v>179</v>
          </cell>
          <cell r="H23">
            <v>233</v>
          </cell>
          <cell r="I23">
            <v>0</v>
          </cell>
        </row>
        <row r="24">
          <cell r="A24">
            <v>90161</v>
          </cell>
          <cell r="B24" t="str">
            <v>TOWN OF GREEN LEVEL</v>
          </cell>
          <cell r="C24">
            <v>3.57E-5</v>
          </cell>
          <cell r="D24"/>
          <cell r="E24">
            <v>5678</v>
          </cell>
          <cell r="F24">
            <v>-4884</v>
          </cell>
          <cell r="G24">
            <v>688</v>
          </cell>
          <cell r="H24">
            <v>896</v>
          </cell>
          <cell r="I24">
            <v>0</v>
          </cell>
        </row>
        <row r="25">
          <cell r="A25">
            <v>90201</v>
          </cell>
          <cell r="B25" t="str">
            <v>ALEXANDER COUNTY</v>
          </cell>
          <cell r="C25">
            <v>1.2569E-3</v>
          </cell>
          <cell r="D25"/>
          <cell r="E25">
            <v>199899</v>
          </cell>
          <cell r="F25">
            <v>-171950</v>
          </cell>
          <cell r="G25">
            <v>24234</v>
          </cell>
          <cell r="H25">
            <v>31541</v>
          </cell>
          <cell r="I25">
            <v>0</v>
          </cell>
        </row>
        <row r="26">
          <cell r="A26">
            <v>90203</v>
          </cell>
          <cell r="B26" t="str">
            <v>ALEXANDER COUNTY HEALTH DEPT</v>
          </cell>
          <cell r="C26">
            <v>2.0019999999999999E-4</v>
          </cell>
          <cell r="D26"/>
          <cell r="E26">
            <v>31840</v>
          </cell>
          <cell r="F26">
            <v>-27388</v>
          </cell>
          <cell r="G26">
            <v>3860</v>
          </cell>
          <cell r="H26">
            <v>5024</v>
          </cell>
          <cell r="I26">
            <v>0</v>
          </cell>
        </row>
        <row r="27">
          <cell r="A27">
            <v>90205</v>
          </cell>
          <cell r="B27" t="str">
            <v>ALEXANDER COUNTY PUBLIC LIBRARY</v>
          </cell>
          <cell r="C27">
            <v>3.04E-5</v>
          </cell>
          <cell r="D27"/>
          <cell r="E27">
            <v>4835</v>
          </cell>
          <cell r="F27">
            <v>-4159</v>
          </cell>
          <cell r="G27">
            <v>586</v>
          </cell>
          <cell r="H27">
            <v>763</v>
          </cell>
          <cell r="I27">
            <v>0</v>
          </cell>
        </row>
        <row r="28">
          <cell r="A28">
            <v>90206</v>
          </cell>
          <cell r="B28" t="str">
            <v>ALEXANDER COUNTY DEPT OF S S</v>
          </cell>
          <cell r="C28">
            <v>3.6160000000000001E-4</v>
          </cell>
          <cell r="D28"/>
          <cell r="E28">
            <v>57509</v>
          </cell>
          <cell r="F28">
            <v>-49469</v>
          </cell>
          <cell r="G28">
            <v>6972</v>
          </cell>
          <cell r="H28">
            <v>9074</v>
          </cell>
          <cell r="I28">
            <v>0</v>
          </cell>
        </row>
        <row r="29">
          <cell r="A29">
            <v>90211</v>
          </cell>
          <cell r="B29" t="str">
            <v>TOWN OF TAYLORSVILLE</v>
          </cell>
          <cell r="C29">
            <v>1.5799999999999999E-4</v>
          </cell>
          <cell r="D29"/>
          <cell r="E29">
            <v>25128</v>
          </cell>
          <cell r="F29">
            <v>-21615</v>
          </cell>
          <cell r="G29">
            <v>3046</v>
          </cell>
          <cell r="H29">
            <v>3965</v>
          </cell>
          <cell r="I29">
            <v>0</v>
          </cell>
        </row>
        <row r="30">
          <cell r="A30">
            <v>90301</v>
          </cell>
          <cell r="B30" t="str">
            <v>ALLEGHANY COUNTY</v>
          </cell>
          <cell r="C30">
            <v>7.339E-4</v>
          </cell>
          <cell r="D30"/>
          <cell r="E30">
            <v>116720</v>
          </cell>
          <cell r="F30">
            <v>-100401</v>
          </cell>
          <cell r="G30">
            <v>14150</v>
          </cell>
          <cell r="H30">
            <v>18416</v>
          </cell>
          <cell r="I30">
            <v>0</v>
          </cell>
        </row>
        <row r="31">
          <cell r="A31">
            <v>90305</v>
          </cell>
          <cell r="B31" t="str">
            <v>NORTHWESTERN REGIONAL LIBRARY</v>
          </cell>
          <cell r="C31">
            <v>1.404E-4</v>
          </cell>
          <cell r="D31"/>
          <cell r="E31">
            <v>22329</v>
          </cell>
          <cell r="F31">
            <v>-19207</v>
          </cell>
          <cell r="G31">
            <v>2707</v>
          </cell>
          <cell r="H31">
            <v>3523</v>
          </cell>
          <cell r="I31">
            <v>0</v>
          </cell>
        </row>
        <row r="32">
          <cell r="A32">
            <v>90307</v>
          </cell>
          <cell r="B32" t="str">
            <v>TOWN OF SPARTA ABC BOARD</v>
          </cell>
          <cell r="C32">
            <v>5.8000000000000004E-6</v>
          </cell>
          <cell r="D32"/>
          <cell r="E32">
            <v>922</v>
          </cell>
          <cell r="F32">
            <v>-793</v>
          </cell>
          <cell r="G32">
            <v>112</v>
          </cell>
          <cell r="H32">
            <v>146</v>
          </cell>
          <cell r="I32">
            <v>0</v>
          </cell>
        </row>
        <row r="33">
          <cell r="A33">
            <v>90401</v>
          </cell>
          <cell r="B33" t="str">
            <v>ANSON COUNTY</v>
          </cell>
          <cell r="C33">
            <v>1.2876000000000001E-3</v>
          </cell>
          <cell r="D33"/>
          <cell r="E33">
            <v>204781</v>
          </cell>
          <cell r="F33">
            <v>-176150</v>
          </cell>
          <cell r="G33">
            <v>24826</v>
          </cell>
          <cell r="H33">
            <v>32311</v>
          </cell>
          <cell r="I33">
            <v>0</v>
          </cell>
        </row>
        <row r="34">
          <cell r="A34">
            <v>90411</v>
          </cell>
          <cell r="B34" t="str">
            <v>TOWN OF WADESBORO</v>
          </cell>
          <cell r="C34">
            <v>3.2929999999999998E-4</v>
          </cell>
          <cell r="D34"/>
          <cell r="E34">
            <v>52372</v>
          </cell>
          <cell r="F34">
            <v>-45050</v>
          </cell>
          <cell r="G34">
            <v>6349</v>
          </cell>
          <cell r="H34">
            <v>8263</v>
          </cell>
          <cell r="I34">
            <v>0</v>
          </cell>
        </row>
        <row r="35">
          <cell r="A35">
            <v>90413</v>
          </cell>
          <cell r="B35" t="str">
            <v>WADESBORO HOUSING AUTHORITY</v>
          </cell>
          <cell r="C35">
            <v>3.4900000000000001E-5</v>
          </cell>
          <cell r="D35"/>
          <cell r="E35">
            <v>5551</v>
          </cell>
          <cell r="F35">
            <v>-4774</v>
          </cell>
          <cell r="G35">
            <v>673</v>
          </cell>
          <cell r="H35">
            <v>876</v>
          </cell>
          <cell r="I35">
            <v>0</v>
          </cell>
        </row>
        <row r="36">
          <cell r="A36">
            <v>90417</v>
          </cell>
          <cell r="B36" t="str">
            <v>WADESBORO ABC BOARD</v>
          </cell>
          <cell r="C36">
            <v>1.06E-5</v>
          </cell>
          <cell r="D36"/>
          <cell r="E36">
            <v>1686</v>
          </cell>
          <cell r="F36">
            <v>-1450</v>
          </cell>
          <cell r="G36">
            <v>204</v>
          </cell>
          <cell r="H36">
            <v>266</v>
          </cell>
          <cell r="I36">
            <v>0</v>
          </cell>
        </row>
        <row r="37">
          <cell r="A37">
            <v>90421</v>
          </cell>
          <cell r="B37" t="str">
            <v>TOWN OF LILESVILLE</v>
          </cell>
          <cell r="C37">
            <v>1.98E-5</v>
          </cell>
          <cell r="D37"/>
          <cell r="E37">
            <v>3149</v>
          </cell>
          <cell r="F37">
            <v>-2709</v>
          </cell>
          <cell r="G37">
            <v>382</v>
          </cell>
          <cell r="H37">
            <v>497</v>
          </cell>
          <cell r="I37">
            <v>0</v>
          </cell>
        </row>
        <row r="38">
          <cell r="A38">
            <v>90431</v>
          </cell>
          <cell r="B38" t="str">
            <v>TOWN OF POLKTON</v>
          </cell>
          <cell r="C38">
            <v>4.8099999999999997E-5</v>
          </cell>
          <cell r="D38"/>
          <cell r="E38">
            <v>7650</v>
          </cell>
          <cell r="F38">
            <v>-6580</v>
          </cell>
          <cell r="G38">
            <v>927</v>
          </cell>
          <cell r="H38">
            <v>1207</v>
          </cell>
          <cell r="I38">
            <v>0</v>
          </cell>
        </row>
        <row r="39">
          <cell r="A39">
            <v>90441</v>
          </cell>
          <cell r="B39" t="str">
            <v>TOWN OF PEACHLAND</v>
          </cell>
          <cell r="C39">
            <v>6.7000000000000002E-6</v>
          </cell>
          <cell r="D39"/>
          <cell r="E39">
            <v>1066</v>
          </cell>
          <cell r="F39">
            <v>-917</v>
          </cell>
          <cell r="G39">
            <v>129</v>
          </cell>
          <cell r="H39">
            <v>168</v>
          </cell>
          <cell r="I39">
            <v>0</v>
          </cell>
        </row>
        <row r="40">
          <cell r="A40">
            <v>90451</v>
          </cell>
          <cell r="B40" t="str">
            <v>TOWN OF ANSONVILLE</v>
          </cell>
          <cell r="C40">
            <v>2.3099999999999999E-5</v>
          </cell>
          <cell r="D40"/>
          <cell r="E40">
            <v>3674</v>
          </cell>
          <cell r="F40">
            <v>-3160</v>
          </cell>
          <cell r="G40">
            <v>445</v>
          </cell>
          <cell r="H40">
            <v>580</v>
          </cell>
          <cell r="I40">
            <v>0</v>
          </cell>
        </row>
        <row r="41">
          <cell r="A41">
            <v>90461</v>
          </cell>
          <cell r="B41" t="str">
            <v>TOWN OF MORVEN</v>
          </cell>
          <cell r="C41">
            <v>2.0999999999999998E-6</v>
          </cell>
          <cell r="D41"/>
          <cell r="E41">
            <v>334</v>
          </cell>
          <cell r="F41">
            <v>-287</v>
          </cell>
          <cell r="G41">
            <v>40</v>
          </cell>
          <cell r="H41">
            <v>53</v>
          </cell>
          <cell r="I41">
            <v>0</v>
          </cell>
        </row>
        <row r="42">
          <cell r="A42">
            <v>90501</v>
          </cell>
          <cell r="B42" t="str">
            <v>ASHE COUNTY</v>
          </cell>
          <cell r="C42">
            <v>1.4587000000000001E-3</v>
          </cell>
          <cell r="D42"/>
          <cell r="E42">
            <v>231993</v>
          </cell>
          <cell r="F42">
            <v>-199557</v>
          </cell>
          <cell r="G42">
            <v>28125</v>
          </cell>
          <cell r="H42">
            <v>36605</v>
          </cell>
          <cell r="I42">
            <v>0</v>
          </cell>
        </row>
        <row r="43">
          <cell r="A43">
            <v>90507</v>
          </cell>
          <cell r="B43" t="str">
            <v>WEST JEFFERSON ABC BOARD</v>
          </cell>
          <cell r="C43">
            <v>3.4000000000000001E-6</v>
          </cell>
          <cell r="D43"/>
          <cell r="E43">
            <v>541</v>
          </cell>
          <cell r="F43">
            <v>-465</v>
          </cell>
          <cell r="G43">
            <v>66</v>
          </cell>
          <cell r="H43">
            <v>85</v>
          </cell>
          <cell r="I43">
            <v>0</v>
          </cell>
        </row>
        <row r="44">
          <cell r="A44">
            <v>90511</v>
          </cell>
          <cell r="B44" t="str">
            <v>TOWN OF JEFFERSON</v>
          </cell>
          <cell r="C44">
            <v>1.011E-4</v>
          </cell>
          <cell r="D44"/>
          <cell r="E44">
            <v>16079</v>
          </cell>
          <cell r="F44">
            <v>-13831</v>
          </cell>
          <cell r="G44">
            <v>1949</v>
          </cell>
          <cell r="H44">
            <v>2537</v>
          </cell>
          <cell r="I44">
            <v>0</v>
          </cell>
        </row>
        <row r="45">
          <cell r="A45">
            <v>90521</v>
          </cell>
          <cell r="B45" t="str">
            <v>TOWN OF WEST JEFFERSON</v>
          </cell>
          <cell r="C45">
            <v>1.371E-4</v>
          </cell>
          <cell r="D45"/>
          <cell r="E45">
            <v>21805</v>
          </cell>
          <cell r="F45">
            <v>-18756</v>
          </cell>
          <cell r="G45">
            <v>2643</v>
          </cell>
          <cell r="H45">
            <v>3440</v>
          </cell>
          <cell r="I45">
            <v>0</v>
          </cell>
        </row>
        <row r="46">
          <cell r="A46">
            <v>90601</v>
          </cell>
          <cell r="B46" t="str">
            <v>AVERY COUNTY</v>
          </cell>
          <cell r="C46">
            <v>1.1100999999999999E-3</v>
          </cell>
          <cell r="D46"/>
          <cell r="E46">
            <v>176551</v>
          </cell>
          <cell r="F46">
            <v>-151867</v>
          </cell>
          <cell r="G46">
            <v>21404</v>
          </cell>
          <cell r="H46">
            <v>27857</v>
          </cell>
          <cell r="I46">
            <v>0</v>
          </cell>
        </row>
        <row r="47">
          <cell r="A47">
            <v>90602</v>
          </cell>
          <cell r="B47" t="str">
            <v>AVERY COUNTY FIRE COMMISSION</v>
          </cell>
          <cell r="C47">
            <v>9.2999999999999997E-5</v>
          </cell>
          <cell r="D47"/>
          <cell r="E47">
            <v>14791</v>
          </cell>
          <cell r="F47">
            <v>-12723</v>
          </cell>
          <cell r="G47">
            <v>1793</v>
          </cell>
          <cell r="H47">
            <v>2334</v>
          </cell>
          <cell r="I47">
            <v>0</v>
          </cell>
        </row>
        <row r="48">
          <cell r="A48">
            <v>90605</v>
          </cell>
          <cell r="B48" t="str">
            <v>AVERY-MITCHELL-YANCEY REG LIBRARY</v>
          </cell>
          <cell r="C48">
            <v>4.9799999999999998E-5</v>
          </cell>
          <cell r="D48"/>
          <cell r="E48">
            <v>7920</v>
          </cell>
          <cell r="F48">
            <v>-6813</v>
          </cell>
          <cell r="G48">
            <v>960</v>
          </cell>
          <cell r="H48">
            <v>1250</v>
          </cell>
          <cell r="I48">
            <v>0</v>
          </cell>
        </row>
        <row r="49">
          <cell r="A49">
            <v>90611</v>
          </cell>
          <cell r="B49" t="str">
            <v>TOWN OF BANNER ELK</v>
          </cell>
          <cell r="C49">
            <v>1.526E-4</v>
          </cell>
          <cell r="D49"/>
          <cell r="E49">
            <v>24270</v>
          </cell>
          <cell r="F49">
            <v>-20876</v>
          </cell>
          <cell r="G49">
            <v>2942</v>
          </cell>
          <cell r="H49">
            <v>3829</v>
          </cell>
          <cell r="I49">
            <v>0</v>
          </cell>
        </row>
        <row r="50">
          <cell r="A50">
            <v>90617</v>
          </cell>
          <cell r="B50" t="str">
            <v>HIGH COUNTRY ABC BOARD</v>
          </cell>
          <cell r="C50">
            <v>2.8600000000000001E-5</v>
          </cell>
          <cell r="D50"/>
          <cell r="E50">
            <v>4549</v>
          </cell>
          <cell r="F50">
            <v>-3913</v>
          </cell>
          <cell r="G50">
            <v>551</v>
          </cell>
          <cell r="H50">
            <v>718</v>
          </cell>
          <cell r="I50">
            <v>0</v>
          </cell>
        </row>
        <row r="51">
          <cell r="A51">
            <v>90621</v>
          </cell>
          <cell r="B51" t="str">
            <v>TOWN OF NEWLAND</v>
          </cell>
          <cell r="C51">
            <v>6.97E-5</v>
          </cell>
          <cell r="D51"/>
          <cell r="E51">
            <v>11085</v>
          </cell>
          <cell r="F51">
            <v>-9535</v>
          </cell>
          <cell r="G51">
            <v>1344</v>
          </cell>
          <cell r="H51">
            <v>1749</v>
          </cell>
          <cell r="I51">
            <v>0</v>
          </cell>
        </row>
        <row r="52">
          <cell r="A52">
            <v>90631</v>
          </cell>
          <cell r="B52" t="str">
            <v>TOWN OF BEECH MOUNTAIN</v>
          </cell>
          <cell r="C52">
            <v>3.6430000000000002E-4</v>
          </cell>
          <cell r="D52"/>
          <cell r="E52">
            <v>57939</v>
          </cell>
          <cell r="F52">
            <v>-49838</v>
          </cell>
          <cell r="G52">
            <v>7024</v>
          </cell>
          <cell r="H52">
            <v>9142</v>
          </cell>
          <cell r="I52">
            <v>0</v>
          </cell>
        </row>
        <row r="53">
          <cell r="A53">
            <v>90641</v>
          </cell>
          <cell r="B53" t="str">
            <v>TOWN OF ELK PARK</v>
          </cell>
          <cell r="C53">
            <v>1.1800000000000001E-5</v>
          </cell>
          <cell r="D53"/>
          <cell r="E53">
            <v>1877</v>
          </cell>
          <cell r="F53">
            <v>-1614</v>
          </cell>
          <cell r="G53">
            <v>228</v>
          </cell>
          <cell r="H53">
            <v>296</v>
          </cell>
          <cell r="I53">
            <v>0</v>
          </cell>
        </row>
        <row r="54">
          <cell r="A54">
            <v>90651</v>
          </cell>
          <cell r="B54" t="str">
            <v>TOWN OF SUGAR MOUNTAIN</v>
          </cell>
          <cell r="C54">
            <v>1.031E-4</v>
          </cell>
          <cell r="D54"/>
          <cell r="E54">
            <v>16397</v>
          </cell>
          <cell r="F54">
            <v>-14105</v>
          </cell>
          <cell r="G54">
            <v>1988</v>
          </cell>
          <cell r="H54">
            <v>2587</v>
          </cell>
          <cell r="I54">
            <v>0</v>
          </cell>
        </row>
        <row r="55">
          <cell r="A55">
            <v>90701</v>
          </cell>
          <cell r="B55" t="str">
            <v>COUNTY OF BEAUFORT</v>
          </cell>
          <cell r="C55">
            <v>2.6227999999999998E-3</v>
          </cell>
          <cell r="D55"/>
          <cell r="E55">
            <v>417133</v>
          </cell>
          <cell r="F55">
            <v>-358812</v>
          </cell>
          <cell r="G55">
            <v>50570</v>
          </cell>
          <cell r="H55">
            <v>65817</v>
          </cell>
          <cell r="I55">
            <v>0</v>
          </cell>
        </row>
        <row r="56">
          <cell r="A56">
            <v>90704</v>
          </cell>
          <cell r="B56" t="str">
            <v>BEAUFORT COUNTY ABC BOARD</v>
          </cell>
          <cell r="C56">
            <v>4.4299999999999999E-5</v>
          </cell>
          <cell r="D56"/>
          <cell r="E56">
            <v>7046</v>
          </cell>
          <cell r="F56">
            <v>-6060</v>
          </cell>
          <cell r="G56">
            <v>854</v>
          </cell>
          <cell r="H56">
            <v>1112</v>
          </cell>
          <cell r="I56">
            <v>0</v>
          </cell>
        </row>
        <row r="57">
          <cell r="A57">
            <v>90705</v>
          </cell>
          <cell r="B57" t="str">
            <v>B H M REGIONAL LIBRARY</v>
          </cell>
          <cell r="C57">
            <v>4.1199999999999999E-5</v>
          </cell>
          <cell r="D57"/>
          <cell r="E57">
            <v>6552</v>
          </cell>
          <cell r="F57">
            <v>-5636</v>
          </cell>
          <cell r="G57">
            <v>794</v>
          </cell>
          <cell r="H57">
            <v>1034</v>
          </cell>
          <cell r="I57">
            <v>0</v>
          </cell>
        </row>
        <row r="58">
          <cell r="A58">
            <v>90709</v>
          </cell>
          <cell r="B58" t="str">
            <v>MIDEAST COMMISSION</v>
          </cell>
          <cell r="C58">
            <v>1.474E-4</v>
          </cell>
          <cell r="D58"/>
          <cell r="E58">
            <v>23443</v>
          </cell>
          <cell r="F58">
            <v>-20165</v>
          </cell>
          <cell r="G58">
            <v>2842</v>
          </cell>
          <cell r="H58">
            <v>3699</v>
          </cell>
          <cell r="I58">
            <v>0</v>
          </cell>
        </row>
        <row r="59">
          <cell r="A59">
            <v>90711</v>
          </cell>
          <cell r="B59" t="str">
            <v>CITY OF WASHINGTON</v>
          </cell>
          <cell r="C59">
            <v>1.5481E-3</v>
          </cell>
          <cell r="D59"/>
          <cell r="E59">
            <v>246211</v>
          </cell>
          <cell r="F59">
            <v>-211788</v>
          </cell>
          <cell r="G59">
            <v>29849</v>
          </cell>
          <cell r="H59">
            <v>38848</v>
          </cell>
          <cell r="I59">
            <v>0</v>
          </cell>
        </row>
        <row r="60">
          <cell r="A60">
            <v>90721</v>
          </cell>
          <cell r="B60" t="str">
            <v>TOWN OF AURORA</v>
          </cell>
          <cell r="C60">
            <v>2.1399999999999998E-5</v>
          </cell>
          <cell r="D60"/>
          <cell r="E60">
            <v>3403</v>
          </cell>
          <cell r="F60">
            <v>-2928</v>
          </cell>
          <cell r="G60">
            <v>413</v>
          </cell>
          <cell r="H60">
            <v>537</v>
          </cell>
          <cell r="I60">
            <v>0</v>
          </cell>
        </row>
        <row r="61">
          <cell r="A61">
            <v>90731</v>
          </cell>
          <cell r="B61" t="str">
            <v>TOWN OF BELHAVEN</v>
          </cell>
          <cell r="C61">
            <v>1.384E-4</v>
          </cell>
          <cell r="D61"/>
          <cell r="E61">
            <v>22011</v>
          </cell>
          <cell r="F61">
            <v>-18934</v>
          </cell>
          <cell r="G61">
            <v>2668</v>
          </cell>
          <cell r="H61">
            <v>3473</v>
          </cell>
          <cell r="I61">
            <v>0</v>
          </cell>
        </row>
        <row r="62">
          <cell r="A62">
            <v>90741</v>
          </cell>
          <cell r="B62" t="str">
            <v>TOWN OF WASHINGTON PARK</v>
          </cell>
          <cell r="C62">
            <v>1.38E-5</v>
          </cell>
          <cell r="D62"/>
          <cell r="E62">
            <v>2195</v>
          </cell>
          <cell r="F62">
            <v>-1888</v>
          </cell>
          <cell r="G62">
            <v>266</v>
          </cell>
          <cell r="H62">
            <v>346</v>
          </cell>
          <cell r="I62">
            <v>0</v>
          </cell>
        </row>
        <row r="63">
          <cell r="A63">
            <v>90751</v>
          </cell>
          <cell r="B63" t="str">
            <v>TOWN OF CHOCOWINITY</v>
          </cell>
          <cell r="C63">
            <v>6.3E-5</v>
          </cell>
          <cell r="D63"/>
          <cell r="E63">
            <v>10020</v>
          </cell>
          <cell r="F63">
            <v>-8619</v>
          </cell>
          <cell r="G63">
            <v>1215</v>
          </cell>
          <cell r="H63">
            <v>1581</v>
          </cell>
          <cell r="I63">
            <v>0</v>
          </cell>
        </row>
        <row r="64">
          <cell r="A64">
            <v>90801</v>
          </cell>
          <cell r="B64" t="str">
            <v>BERTIE COUNTY</v>
          </cell>
          <cell r="C64">
            <v>1.2669999999999999E-3</v>
          </cell>
          <cell r="D64"/>
          <cell r="E64">
            <v>201505</v>
          </cell>
          <cell r="F64">
            <v>-173332</v>
          </cell>
          <cell r="G64">
            <v>24429</v>
          </cell>
          <cell r="H64">
            <v>31794</v>
          </cell>
          <cell r="I64">
            <v>0</v>
          </cell>
        </row>
        <row r="65">
          <cell r="A65">
            <v>90804</v>
          </cell>
          <cell r="B65" t="str">
            <v>BERTIE COUNTY ABC BOARD</v>
          </cell>
          <cell r="C65">
            <v>5.5999999999999997E-6</v>
          </cell>
          <cell r="D65"/>
          <cell r="E65">
            <v>891</v>
          </cell>
          <cell r="F65">
            <v>-766</v>
          </cell>
          <cell r="G65">
            <v>108</v>
          </cell>
          <cell r="H65">
            <v>141</v>
          </cell>
          <cell r="I65">
            <v>0</v>
          </cell>
        </row>
        <row r="66">
          <cell r="A66">
            <v>90805</v>
          </cell>
          <cell r="B66" t="str">
            <v>ALBEMARLE REGIONAL LIBRARY</v>
          </cell>
          <cell r="C66">
            <v>6.5900000000000003E-5</v>
          </cell>
          <cell r="D66"/>
          <cell r="E66">
            <v>10481</v>
          </cell>
          <cell r="F66">
            <v>-9015</v>
          </cell>
          <cell r="G66">
            <v>1271</v>
          </cell>
          <cell r="H66">
            <v>1654</v>
          </cell>
          <cell r="I66">
            <v>0</v>
          </cell>
        </row>
        <row r="67">
          <cell r="A67">
            <v>90808</v>
          </cell>
          <cell r="B67" t="str">
            <v>BERTIE-MARTIN REGIONAL JAIL COMM</v>
          </cell>
          <cell r="C67">
            <v>1.395E-4</v>
          </cell>
          <cell r="D67"/>
          <cell r="E67">
            <v>22186</v>
          </cell>
          <cell r="F67">
            <v>-19084</v>
          </cell>
          <cell r="G67">
            <v>2690</v>
          </cell>
          <cell r="H67">
            <v>3501</v>
          </cell>
          <cell r="I67">
            <v>0</v>
          </cell>
        </row>
        <row r="68">
          <cell r="A68">
            <v>90811</v>
          </cell>
          <cell r="B68" t="str">
            <v>TOWN OF AULANDER</v>
          </cell>
          <cell r="C68">
            <v>3.4900000000000001E-5</v>
          </cell>
          <cell r="D68"/>
          <cell r="E68">
            <v>5551</v>
          </cell>
          <cell r="F68">
            <v>-4774</v>
          </cell>
          <cell r="G68">
            <v>673</v>
          </cell>
          <cell r="H68">
            <v>876</v>
          </cell>
          <cell r="I68">
            <v>0</v>
          </cell>
        </row>
        <row r="69">
          <cell r="A69">
            <v>90812</v>
          </cell>
          <cell r="B69" t="str">
            <v>TOWN OF WINDSOR</v>
          </cell>
          <cell r="C69">
            <v>2.2100000000000001E-4</v>
          </cell>
          <cell r="D69"/>
          <cell r="E69">
            <v>35148</v>
          </cell>
          <cell r="F69">
            <v>-30234</v>
          </cell>
          <cell r="G69">
            <v>4261</v>
          </cell>
          <cell r="H69">
            <v>5546</v>
          </cell>
          <cell r="I69">
            <v>0</v>
          </cell>
        </row>
        <row r="70">
          <cell r="A70">
            <v>90813</v>
          </cell>
          <cell r="B70" t="str">
            <v>TOWN OF COLERAIN</v>
          </cell>
          <cell r="C70">
            <v>4.6E-6</v>
          </cell>
          <cell r="D70"/>
          <cell r="E70">
            <v>732</v>
          </cell>
          <cell r="F70">
            <v>-629</v>
          </cell>
          <cell r="G70">
            <v>89</v>
          </cell>
          <cell r="H70">
            <v>115</v>
          </cell>
          <cell r="I70">
            <v>0</v>
          </cell>
        </row>
        <row r="71">
          <cell r="A71">
            <v>90861</v>
          </cell>
          <cell r="B71" t="str">
            <v>TOWN OF LEWISTON WOODVILLE</v>
          </cell>
          <cell r="C71">
            <v>8.4999999999999999E-6</v>
          </cell>
          <cell r="D71"/>
          <cell r="E71">
            <v>1352</v>
          </cell>
          <cell r="F71">
            <v>-1163</v>
          </cell>
          <cell r="G71">
            <v>164</v>
          </cell>
          <cell r="H71">
            <v>213</v>
          </cell>
          <cell r="I71">
            <v>0</v>
          </cell>
        </row>
        <row r="72">
          <cell r="A72">
            <v>90901</v>
          </cell>
          <cell r="B72" t="str">
            <v>BLADEN COUNTY</v>
          </cell>
          <cell r="C72">
            <v>2.274E-3</v>
          </cell>
          <cell r="D72"/>
          <cell r="E72">
            <v>361659</v>
          </cell>
          <cell r="F72">
            <v>-311095</v>
          </cell>
          <cell r="G72">
            <v>43845</v>
          </cell>
          <cell r="H72">
            <v>57064</v>
          </cell>
          <cell r="I72">
            <v>0</v>
          </cell>
        </row>
        <row r="73">
          <cell r="A73">
            <v>90911</v>
          </cell>
          <cell r="B73" t="str">
            <v>TOWN OF ELIZABETHTOWN</v>
          </cell>
          <cell r="C73">
            <v>3.8539999999999999E-4</v>
          </cell>
          <cell r="D73"/>
          <cell r="E73">
            <v>61294</v>
          </cell>
          <cell r="F73">
            <v>-52725</v>
          </cell>
          <cell r="G73">
            <v>7431</v>
          </cell>
          <cell r="H73">
            <v>9671</v>
          </cell>
          <cell r="I73">
            <v>0</v>
          </cell>
        </row>
        <row r="74">
          <cell r="A74">
            <v>90917</v>
          </cell>
          <cell r="B74" t="str">
            <v>ELIZABETHTOWN ABC BOARD</v>
          </cell>
          <cell r="C74">
            <v>8.1000000000000004E-6</v>
          </cell>
          <cell r="D74"/>
          <cell r="E74">
            <v>1288</v>
          </cell>
          <cell r="F74">
            <v>-1108</v>
          </cell>
          <cell r="G74">
            <v>156</v>
          </cell>
          <cell r="H74">
            <v>203</v>
          </cell>
          <cell r="I74">
            <v>0</v>
          </cell>
        </row>
        <row r="75">
          <cell r="A75">
            <v>90918</v>
          </cell>
          <cell r="B75" t="str">
            <v>SOUTH EASTERN ECONOMIC DEVELOPMENT COMM</v>
          </cell>
          <cell r="C75">
            <v>1.06E-5</v>
          </cell>
          <cell r="D75"/>
          <cell r="E75">
            <v>1686</v>
          </cell>
          <cell r="F75">
            <v>-1450</v>
          </cell>
          <cell r="G75">
            <v>204</v>
          </cell>
          <cell r="H75">
            <v>266</v>
          </cell>
          <cell r="I75">
            <v>0</v>
          </cell>
        </row>
        <row r="76">
          <cell r="A76">
            <v>90921</v>
          </cell>
          <cell r="B76" t="str">
            <v>TOWN OF WHITE LAKE</v>
          </cell>
          <cell r="C76">
            <v>1.2129999999999999E-4</v>
          </cell>
          <cell r="D76"/>
          <cell r="E76">
            <v>19292</v>
          </cell>
          <cell r="F76">
            <v>-16594</v>
          </cell>
          <cell r="G76">
            <v>2339</v>
          </cell>
          <cell r="H76">
            <v>3044</v>
          </cell>
          <cell r="I76">
            <v>0</v>
          </cell>
        </row>
        <row r="77">
          <cell r="A77">
            <v>90931</v>
          </cell>
          <cell r="B77" t="str">
            <v>TOWN OF CLARKTON</v>
          </cell>
          <cell r="C77">
            <v>3.7299999999999999E-5</v>
          </cell>
          <cell r="D77"/>
          <cell r="E77">
            <v>5932</v>
          </cell>
          <cell r="F77">
            <v>-5103</v>
          </cell>
          <cell r="G77">
            <v>719</v>
          </cell>
          <cell r="H77">
            <v>936</v>
          </cell>
          <cell r="I77">
            <v>0</v>
          </cell>
        </row>
        <row r="78">
          <cell r="A78">
            <v>90941</v>
          </cell>
          <cell r="B78" t="str">
            <v>TOWN OF BLADENBORO</v>
          </cell>
          <cell r="C78">
            <v>8.5400000000000002E-5</v>
          </cell>
          <cell r="D78"/>
          <cell r="E78">
            <v>13582</v>
          </cell>
          <cell r="F78">
            <v>-11683</v>
          </cell>
          <cell r="G78">
            <v>1647</v>
          </cell>
          <cell r="H78">
            <v>2143</v>
          </cell>
          <cell r="I78">
            <v>0</v>
          </cell>
        </row>
        <row r="79">
          <cell r="A79">
            <v>91001</v>
          </cell>
          <cell r="B79" t="str">
            <v>BRUNSWICK COUNTY</v>
          </cell>
          <cell r="C79">
            <v>7.2779999999999997E-3</v>
          </cell>
          <cell r="D79"/>
          <cell r="E79">
            <v>1157500</v>
          </cell>
          <cell r="F79">
            <v>-995667</v>
          </cell>
          <cell r="G79">
            <v>140327</v>
          </cell>
          <cell r="H79">
            <v>182634</v>
          </cell>
          <cell r="I79">
            <v>0</v>
          </cell>
        </row>
        <row r="80">
          <cell r="A80">
            <v>91002</v>
          </cell>
          <cell r="B80" t="str">
            <v>TOWN OF LELAND</v>
          </cell>
          <cell r="C80">
            <v>1.2939E-3</v>
          </cell>
          <cell r="D80"/>
          <cell r="E80">
            <v>205783</v>
          </cell>
          <cell r="F80">
            <v>-177012</v>
          </cell>
          <cell r="G80">
            <v>24948</v>
          </cell>
          <cell r="H80">
            <v>32469</v>
          </cell>
          <cell r="I80">
            <v>0</v>
          </cell>
        </row>
        <row r="81">
          <cell r="A81">
            <v>91003</v>
          </cell>
          <cell r="B81" t="str">
            <v>BRUNSWICK CO HEALTH DEPT</v>
          </cell>
          <cell r="C81">
            <v>5.9570000000000001E-4</v>
          </cell>
          <cell r="D81"/>
          <cell r="E81">
            <v>94741</v>
          </cell>
          <cell r="F81">
            <v>-81495</v>
          </cell>
          <cell r="G81">
            <v>11486</v>
          </cell>
          <cell r="H81">
            <v>14948</v>
          </cell>
          <cell r="I81">
            <v>0</v>
          </cell>
        </row>
        <row r="82">
          <cell r="A82">
            <v>91004</v>
          </cell>
          <cell r="B82" t="str">
            <v>BRUNSWICK COUNTY ABC BOARD</v>
          </cell>
          <cell r="C82">
            <v>3.3300000000000003E-5</v>
          </cell>
          <cell r="D82"/>
          <cell r="E82">
            <v>5296</v>
          </cell>
          <cell r="F82">
            <v>-4556</v>
          </cell>
          <cell r="G82">
            <v>642</v>
          </cell>
          <cell r="H82">
            <v>836</v>
          </cell>
          <cell r="I82">
            <v>0</v>
          </cell>
        </row>
        <row r="83">
          <cell r="A83">
            <v>91006</v>
          </cell>
          <cell r="B83" t="str">
            <v>BRUNSWICK CO DEPT OF SOCIAL SERVICES</v>
          </cell>
          <cell r="C83">
            <v>1.0489E-3</v>
          </cell>
          <cell r="D83"/>
          <cell r="E83">
            <v>166818</v>
          </cell>
          <cell r="F83">
            <v>-143495</v>
          </cell>
          <cell r="G83">
            <v>20224</v>
          </cell>
          <cell r="H83">
            <v>26321</v>
          </cell>
          <cell r="I83">
            <v>0</v>
          </cell>
        </row>
        <row r="84">
          <cell r="A84">
            <v>91007</v>
          </cell>
          <cell r="B84" t="str">
            <v>CALABASH ABC BOARD</v>
          </cell>
          <cell r="C84">
            <v>1.0900000000000001E-5</v>
          </cell>
          <cell r="D84"/>
          <cell r="E84">
            <v>1734</v>
          </cell>
          <cell r="F84">
            <v>-1491</v>
          </cell>
          <cell r="G84">
            <v>210</v>
          </cell>
          <cell r="H84">
            <v>274</v>
          </cell>
          <cell r="I84">
            <v>0</v>
          </cell>
        </row>
        <row r="85">
          <cell r="A85">
            <v>91008</v>
          </cell>
          <cell r="B85" t="str">
            <v>CAPE FEAR COUNCIL OF GOVERNMENTS</v>
          </cell>
          <cell r="C85">
            <v>1.474E-4</v>
          </cell>
          <cell r="D85"/>
          <cell r="E85">
            <v>23443</v>
          </cell>
          <cell r="F85">
            <v>-20165</v>
          </cell>
          <cell r="G85">
            <v>2842</v>
          </cell>
          <cell r="H85">
            <v>3699</v>
          </cell>
          <cell r="I85">
            <v>0</v>
          </cell>
        </row>
        <row r="86">
          <cell r="A86">
            <v>91009</v>
          </cell>
          <cell r="B86" t="str">
            <v>BRUNSWICK COUNTY TOURISM AUTHORITY</v>
          </cell>
          <cell r="C86">
            <v>8.3000000000000002E-6</v>
          </cell>
          <cell r="D86"/>
          <cell r="E86">
            <v>1320</v>
          </cell>
          <cell r="F86">
            <v>-1135</v>
          </cell>
          <cell r="G86">
            <v>160</v>
          </cell>
          <cell r="H86">
            <v>208</v>
          </cell>
          <cell r="I86">
            <v>0</v>
          </cell>
        </row>
        <row r="87">
          <cell r="A87">
            <v>91010</v>
          </cell>
          <cell r="B87" t="str">
            <v>TOWN OF CALABASH</v>
          </cell>
          <cell r="C87">
            <v>5.1E-5</v>
          </cell>
          <cell r="D87"/>
          <cell r="E87">
            <v>8111</v>
          </cell>
          <cell r="F87">
            <v>-6977</v>
          </cell>
          <cell r="G87">
            <v>983</v>
          </cell>
          <cell r="H87">
            <v>1280</v>
          </cell>
          <cell r="I87">
            <v>0</v>
          </cell>
        </row>
        <row r="88">
          <cell r="A88">
            <v>91011</v>
          </cell>
          <cell r="B88" t="str">
            <v>CITY OF SOUTHPORT</v>
          </cell>
          <cell r="C88">
            <v>3.2009999999999997E-4</v>
          </cell>
          <cell r="D88"/>
          <cell r="E88">
            <v>50909</v>
          </cell>
          <cell r="F88">
            <v>-43791</v>
          </cell>
          <cell r="G88">
            <v>6172</v>
          </cell>
          <cell r="H88">
            <v>8033</v>
          </cell>
          <cell r="I88">
            <v>0</v>
          </cell>
        </row>
        <row r="89">
          <cell r="A89">
            <v>91012</v>
          </cell>
          <cell r="B89" t="str">
            <v>CITY OF NORTHWEST</v>
          </cell>
          <cell r="C89">
            <v>1.4600000000000001E-5</v>
          </cell>
          <cell r="D89"/>
          <cell r="E89">
            <v>2322</v>
          </cell>
          <cell r="F89">
            <v>-1997</v>
          </cell>
          <cell r="G89">
            <v>282</v>
          </cell>
          <cell r="H89">
            <v>366</v>
          </cell>
          <cell r="I89">
            <v>0</v>
          </cell>
        </row>
        <row r="90">
          <cell r="A90">
            <v>91013</v>
          </cell>
          <cell r="B90" t="str">
            <v>SOUTHEAST BRUNSWICK SANITARY DISTRICT</v>
          </cell>
          <cell r="C90">
            <v>3.4999999999999997E-5</v>
          </cell>
          <cell r="D90"/>
          <cell r="E90">
            <v>5566</v>
          </cell>
          <cell r="F90">
            <v>-4788</v>
          </cell>
          <cell r="G90">
            <v>675</v>
          </cell>
          <cell r="H90">
            <v>878</v>
          </cell>
          <cell r="I90">
            <v>0</v>
          </cell>
        </row>
        <row r="91">
          <cell r="A91">
            <v>91014</v>
          </cell>
          <cell r="B91" t="str">
            <v>TOWN OF HOLDEN BEACH</v>
          </cell>
          <cell r="C91">
            <v>1.7640000000000001E-4</v>
          </cell>
          <cell r="D91"/>
          <cell r="E91">
            <v>28055</v>
          </cell>
          <cell r="F91">
            <v>-24132</v>
          </cell>
          <cell r="G91">
            <v>3401</v>
          </cell>
          <cell r="H91">
            <v>4427</v>
          </cell>
          <cell r="I91">
            <v>0</v>
          </cell>
        </row>
        <row r="92">
          <cell r="A92">
            <v>91015</v>
          </cell>
          <cell r="B92" t="str">
            <v>CAPE FEAR REGIONAL JETPORT</v>
          </cell>
          <cell r="C92">
            <v>1.8499999999999999E-5</v>
          </cell>
          <cell r="D92"/>
          <cell r="E92">
            <v>2942</v>
          </cell>
          <cell r="F92">
            <v>-2531</v>
          </cell>
          <cell r="G92">
            <v>357</v>
          </cell>
          <cell r="H92">
            <v>464</v>
          </cell>
          <cell r="I92">
            <v>0</v>
          </cell>
        </row>
        <row r="93">
          <cell r="A93">
            <v>91017</v>
          </cell>
          <cell r="B93" t="str">
            <v>CITY OF SOUTHPORT ABC BOARD</v>
          </cell>
          <cell r="C93">
            <v>2.4700000000000001E-5</v>
          </cell>
          <cell r="D93"/>
          <cell r="E93">
            <v>3928</v>
          </cell>
          <cell r="F93">
            <v>-3379</v>
          </cell>
          <cell r="G93">
            <v>476</v>
          </cell>
          <cell r="H93">
            <v>620</v>
          </cell>
          <cell r="I93">
            <v>0</v>
          </cell>
        </row>
        <row r="94">
          <cell r="A94">
            <v>91020</v>
          </cell>
          <cell r="B94" t="str">
            <v>TOWN OF BELVILLE</v>
          </cell>
          <cell r="C94">
            <v>2.2900000000000001E-5</v>
          </cell>
          <cell r="D94"/>
          <cell r="E94">
            <v>3642</v>
          </cell>
          <cell r="F94">
            <v>-3133</v>
          </cell>
          <cell r="G94">
            <v>442</v>
          </cell>
          <cell r="H94">
            <v>575</v>
          </cell>
          <cell r="I94">
            <v>0</v>
          </cell>
        </row>
        <row r="95">
          <cell r="A95">
            <v>91021</v>
          </cell>
          <cell r="B95" t="str">
            <v>TOWN OF OAK ISLAND</v>
          </cell>
          <cell r="C95">
            <v>9.2460000000000003E-4</v>
          </cell>
          <cell r="D95"/>
          <cell r="E95">
            <v>147049</v>
          </cell>
          <cell r="F95">
            <v>-126490</v>
          </cell>
          <cell r="G95">
            <v>17827</v>
          </cell>
          <cell r="H95">
            <v>23202</v>
          </cell>
          <cell r="I95">
            <v>0</v>
          </cell>
        </row>
        <row r="96">
          <cell r="A96">
            <v>91024</v>
          </cell>
          <cell r="B96" t="str">
            <v>TOWN OF CAROLINA SHORES</v>
          </cell>
          <cell r="C96">
            <v>9.3599999999999998E-5</v>
          </cell>
          <cell r="D96"/>
          <cell r="E96">
            <v>14886</v>
          </cell>
          <cell r="F96">
            <v>-12805</v>
          </cell>
          <cell r="G96">
            <v>1805</v>
          </cell>
          <cell r="H96">
            <v>2349</v>
          </cell>
          <cell r="I96">
            <v>0</v>
          </cell>
        </row>
        <row r="97">
          <cell r="A97">
            <v>91026</v>
          </cell>
          <cell r="B97" t="str">
            <v>TOWN OF NAVASSA</v>
          </cell>
          <cell r="C97">
            <v>3.1099999999999997E-5</v>
          </cell>
          <cell r="D97"/>
          <cell r="E97">
            <v>4946</v>
          </cell>
          <cell r="F97">
            <v>-4255</v>
          </cell>
          <cell r="G97">
            <v>600</v>
          </cell>
          <cell r="H97">
            <v>780</v>
          </cell>
          <cell r="I97">
            <v>0</v>
          </cell>
        </row>
        <row r="98">
          <cell r="A98">
            <v>91027</v>
          </cell>
          <cell r="B98" t="str">
            <v>OAK ISLAND ABC BD</v>
          </cell>
          <cell r="C98">
            <v>1.7E-5</v>
          </cell>
          <cell r="D98"/>
          <cell r="E98">
            <v>2704</v>
          </cell>
          <cell r="F98">
            <v>-2326</v>
          </cell>
          <cell r="G98">
            <v>328</v>
          </cell>
          <cell r="H98">
            <v>427</v>
          </cell>
          <cell r="I98">
            <v>0</v>
          </cell>
        </row>
        <row r="99">
          <cell r="A99">
            <v>91032</v>
          </cell>
          <cell r="B99" t="str">
            <v>TOWN OF ST JAMES</v>
          </cell>
          <cell r="C99">
            <v>1.66E-5</v>
          </cell>
          <cell r="D99"/>
          <cell r="E99">
            <v>2640</v>
          </cell>
          <cell r="F99">
            <v>-2271</v>
          </cell>
          <cell r="G99">
            <v>320</v>
          </cell>
          <cell r="H99">
            <v>417</v>
          </cell>
          <cell r="I99">
            <v>0</v>
          </cell>
        </row>
        <row r="100">
          <cell r="A100">
            <v>91041</v>
          </cell>
          <cell r="B100" t="str">
            <v>TOWN OF SUNSET BEACH</v>
          </cell>
          <cell r="C100">
            <v>4.3379999999999997E-4</v>
          </cell>
          <cell r="D100"/>
          <cell r="E100">
            <v>68992</v>
          </cell>
          <cell r="F100">
            <v>-59346</v>
          </cell>
          <cell r="G100">
            <v>8364</v>
          </cell>
          <cell r="H100">
            <v>10886</v>
          </cell>
          <cell r="I100">
            <v>0</v>
          </cell>
        </row>
        <row r="101">
          <cell r="A101">
            <v>91042</v>
          </cell>
          <cell r="B101" t="str">
            <v>BRUNSWICK REGIONAL WATER AND SEWER H2GO</v>
          </cell>
          <cell r="C101">
            <v>2.6259999999999999E-4</v>
          </cell>
          <cell r="D101"/>
          <cell r="E101">
            <v>41764</v>
          </cell>
          <cell r="F101">
            <v>-35925</v>
          </cell>
          <cell r="G101">
            <v>5063</v>
          </cell>
          <cell r="H101">
            <v>6590</v>
          </cell>
          <cell r="I101">
            <v>0</v>
          </cell>
        </row>
        <row r="102">
          <cell r="A102">
            <v>91047</v>
          </cell>
          <cell r="B102" t="str">
            <v>TOWN OF SUNSET BEACH ABC BOARD</v>
          </cell>
          <cell r="C102">
            <v>1.15E-5</v>
          </cell>
          <cell r="D102"/>
          <cell r="E102">
            <v>1829</v>
          </cell>
          <cell r="F102">
            <v>-1573</v>
          </cell>
          <cell r="G102">
            <v>222</v>
          </cell>
          <cell r="H102">
            <v>289</v>
          </cell>
          <cell r="I102">
            <v>0</v>
          </cell>
        </row>
        <row r="103">
          <cell r="A103">
            <v>91051</v>
          </cell>
          <cell r="B103" t="str">
            <v>TOWN OF CASWELL BEACH</v>
          </cell>
          <cell r="C103">
            <v>6.2799999999999995E-5</v>
          </cell>
          <cell r="D103"/>
          <cell r="E103">
            <v>9988</v>
          </cell>
          <cell r="F103">
            <v>-8591</v>
          </cell>
          <cell r="G103">
            <v>1211</v>
          </cell>
          <cell r="H103">
            <v>1576</v>
          </cell>
          <cell r="I103">
            <v>0</v>
          </cell>
        </row>
        <row r="104">
          <cell r="A104">
            <v>91057</v>
          </cell>
          <cell r="B104" t="str">
            <v>SHALLOTTE ABC BOARD</v>
          </cell>
          <cell r="C104">
            <v>1.5699999999999999E-5</v>
          </cell>
          <cell r="D104"/>
          <cell r="E104">
            <v>2497</v>
          </cell>
          <cell r="F104">
            <v>-2148</v>
          </cell>
          <cell r="G104">
            <v>303</v>
          </cell>
          <cell r="H104">
            <v>394</v>
          </cell>
          <cell r="I104">
            <v>0</v>
          </cell>
        </row>
        <row r="105">
          <cell r="A105">
            <v>91061</v>
          </cell>
          <cell r="B105" t="str">
            <v>TOWN OF OCEAN ISLE BEACH</v>
          </cell>
          <cell r="C105">
            <v>3.8039999999999998E-4</v>
          </cell>
          <cell r="D105"/>
          <cell r="E105">
            <v>60499</v>
          </cell>
          <cell r="F105">
            <v>-52041</v>
          </cell>
          <cell r="G105">
            <v>7334</v>
          </cell>
          <cell r="H105">
            <v>9546</v>
          </cell>
          <cell r="I105">
            <v>0</v>
          </cell>
        </row>
        <row r="106">
          <cell r="A106">
            <v>91067</v>
          </cell>
          <cell r="B106" t="str">
            <v>OCEAN ISLE BEACH ABC BOARD</v>
          </cell>
          <cell r="C106">
            <v>1.6200000000000001E-5</v>
          </cell>
          <cell r="D106"/>
          <cell r="E106">
            <v>2576</v>
          </cell>
          <cell r="F106">
            <v>-2216</v>
          </cell>
          <cell r="G106">
            <v>312</v>
          </cell>
          <cell r="H106">
            <v>407</v>
          </cell>
          <cell r="I106">
            <v>0</v>
          </cell>
        </row>
        <row r="107">
          <cell r="A107">
            <v>91071</v>
          </cell>
          <cell r="B107" t="str">
            <v>CITY OF BOILING SPRG LAKES</v>
          </cell>
          <cell r="C107">
            <v>2.4489999999999999E-4</v>
          </cell>
          <cell r="D107"/>
          <cell r="E107">
            <v>38949</v>
          </cell>
          <cell r="F107">
            <v>-33504</v>
          </cell>
          <cell r="G107">
            <v>4722</v>
          </cell>
          <cell r="H107">
            <v>6146</v>
          </cell>
          <cell r="I107">
            <v>0</v>
          </cell>
        </row>
        <row r="108">
          <cell r="A108">
            <v>91077</v>
          </cell>
          <cell r="B108" t="str">
            <v>BOILING SPRING LAKES ABC BOARD</v>
          </cell>
          <cell r="C108">
            <v>5.9000000000000003E-6</v>
          </cell>
          <cell r="D108"/>
          <cell r="E108">
            <v>938</v>
          </cell>
          <cell r="F108">
            <v>-807</v>
          </cell>
          <cell r="G108">
            <v>114</v>
          </cell>
          <cell r="H108">
            <v>148</v>
          </cell>
          <cell r="I108">
            <v>0</v>
          </cell>
        </row>
        <row r="109">
          <cell r="A109">
            <v>91081</v>
          </cell>
          <cell r="B109" t="str">
            <v>TOWN OF SHALLOTTE</v>
          </cell>
          <cell r="C109">
            <v>4.2739999999999998E-4</v>
          </cell>
          <cell r="D109"/>
          <cell r="E109">
            <v>67974</v>
          </cell>
          <cell r="F109">
            <v>-58470</v>
          </cell>
          <cell r="G109">
            <v>8241</v>
          </cell>
          <cell r="H109">
            <v>10725</v>
          </cell>
          <cell r="I109">
            <v>0</v>
          </cell>
        </row>
        <row r="110">
          <cell r="A110">
            <v>91091</v>
          </cell>
          <cell r="B110" t="str">
            <v>VILLAGE OF BALD HEAD ISLAND</v>
          </cell>
          <cell r="C110">
            <v>5.4540000000000003E-4</v>
          </cell>
          <cell r="D110"/>
          <cell r="E110">
            <v>86741</v>
          </cell>
          <cell r="F110">
            <v>-74613</v>
          </cell>
          <cell r="G110">
            <v>10516</v>
          </cell>
          <cell r="H110">
            <v>13686</v>
          </cell>
          <cell r="I110">
            <v>0</v>
          </cell>
        </row>
        <row r="111">
          <cell r="A111">
            <v>91101</v>
          </cell>
          <cell r="B111" t="str">
            <v>BUNCOMBE COUNTY</v>
          </cell>
          <cell r="C111">
            <v>1.32874E-2</v>
          </cell>
          <cell r="D111"/>
          <cell r="E111">
            <v>2113241</v>
          </cell>
          <cell r="F111">
            <v>-1817783</v>
          </cell>
          <cell r="G111">
            <v>256194</v>
          </cell>
          <cell r="H111">
            <v>333434</v>
          </cell>
          <cell r="I111">
            <v>0</v>
          </cell>
        </row>
        <row r="112">
          <cell r="A112">
            <v>91102</v>
          </cell>
          <cell r="B112" t="str">
            <v>LAND-OF-SKY REGIONAL COUNCIL</v>
          </cell>
          <cell r="C112">
            <v>3.279E-4</v>
          </cell>
          <cell r="D112"/>
          <cell r="E112">
            <v>52150</v>
          </cell>
          <cell r="F112">
            <v>-44858</v>
          </cell>
          <cell r="G112">
            <v>6322</v>
          </cell>
          <cell r="H112">
            <v>8228</v>
          </cell>
          <cell r="I112">
            <v>0</v>
          </cell>
        </row>
        <row r="113">
          <cell r="A113">
            <v>91104</v>
          </cell>
          <cell r="B113" t="str">
            <v>WOODFIN ABC COMMISSION</v>
          </cell>
          <cell r="C113">
            <v>1.66E-5</v>
          </cell>
          <cell r="D113"/>
          <cell r="E113">
            <v>2640</v>
          </cell>
          <cell r="F113">
            <v>-2271</v>
          </cell>
          <cell r="G113">
            <v>320</v>
          </cell>
          <cell r="H113">
            <v>417</v>
          </cell>
          <cell r="I113">
            <v>0</v>
          </cell>
        </row>
        <row r="114">
          <cell r="A114">
            <v>91107</v>
          </cell>
          <cell r="B114" t="str">
            <v>WESTERN AIR POLLUTION CTL</v>
          </cell>
          <cell r="C114">
            <v>5.4500000000000003E-5</v>
          </cell>
          <cell r="D114"/>
          <cell r="E114">
            <v>8668</v>
          </cell>
          <cell r="F114">
            <v>-7456</v>
          </cell>
          <cell r="G114">
            <v>1051</v>
          </cell>
          <cell r="H114">
            <v>1368</v>
          </cell>
          <cell r="I114">
            <v>0</v>
          </cell>
        </row>
        <row r="115">
          <cell r="A115">
            <v>91108</v>
          </cell>
          <cell r="B115" t="str">
            <v>METRO SEWERAGE DIST OF BUNCOMBE COUNTY</v>
          </cell>
          <cell r="C115">
            <v>1.1929E-3</v>
          </cell>
          <cell r="D115"/>
          <cell r="E115">
            <v>189720</v>
          </cell>
          <cell r="F115">
            <v>-163195</v>
          </cell>
          <cell r="G115">
            <v>23000</v>
          </cell>
          <cell r="H115">
            <v>29935</v>
          </cell>
          <cell r="I115">
            <v>0</v>
          </cell>
        </row>
        <row r="116">
          <cell r="A116">
            <v>91109</v>
          </cell>
          <cell r="B116" t="str">
            <v>WOODFIN SANITARY WATER AND SEWER DIST</v>
          </cell>
          <cell r="C116">
            <v>9.8300000000000004E-5</v>
          </cell>
          <cell r="D116"/>
          <cell r="E116">
            <v>15634</v>
          </cell>
          <cell r="F116">
            <v>-13448</v>
          </cell>
          <cell r="G116">
            <v>1895</v>
          </cell>
          <cell r="H116">
            <v>2467</v>
          </cell>
          <cell r="I116">
            <v>0</v>
          </cell>
        </row>
        <row r="117">
          <cell r="A117">
            <v>91111</v>
          </cell>
          <cell r="B117" t="str">
            <v>TOWN OF BILTMORE FOREST</v>
          </cell>
          <cell r="C117">
            <v>1.973E-4</v>
          </cell>
          <cell r="D117"/>
          <cell r="E117">
            <v>31379</v>
          </cell>
          <cell r="F117">
            <v>-26992</v>
          </cell>
          <cell r="G117">
            <v>3804</v>
          </cell>
          <cell r="H117">
            <v>4951</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28739</v>
          </cell>
          <cell r="F119">
            <v>-24721</v>
          </cell>
          <cell r="G119">
            <v>3484</v>
          </cell>
          <cell r="H119">
            <v>4534</v>
          </cell>
          <cell r="I119">
            <v>0</v>
          </cell>
        </row>
        <row r="120">
          <cell r="A120">
            <v>91121</v>
          </cell>
          <cell r="B120" t="str">
            <v>CITY OF ASHEVILLE</v>
          </cell>
          <cell r="C120">
            <v>1.03844E-2</v>
          </cell>
          <cell r="D120"/>
          <cell r="E120">
            <v>1651545</v>
          </cell>
          <cell r="F120">
            <v>-1420638</v>
          </cell>
          <cell r="G120">
            <v>200222</v>
          </cell>
          <cell r="H120">
            <v>260586</v>
          </cell>
          <cell r="I120">
            <v>0</v>
          </cell>
        </row>
        <row r="121">
          <cell r="A121">
            <v>91127</v>
          </cell>
          <cell r="B121" t="str">
            <v>ASHEVILLE ABC BOARD</v>
          </cell>
          <cell r="C121">
            <v>2.7989999999999997E-4</v>
          </cell>
          <cell r="D121"/>
          <cell r="E121">
            <v>44516</v>
          </cell>
          <cell r="F121">
            <v>-38292</v>
          </cell>
          <cell r="G121">
            <v>5397</v>
          </cell>
          <cell r="H121">
            <v>7024</v>
          </cell>
          <cell r="I121">
            <v>0</v>
          </cell>
        </row>
        <row r="122">
          <cell r="A122">
            <v>91128</v>
          </cell>
          <cell r="B122" t="str">
            <v>ASHEVILLE REGIONAL AIRPORT AUTHORITY</v>
          </cell>
          <cell r="C122">
            <v>4.6710000000000002E-4</v>
          </cell>
          <cell r="D122"/>
          <cell r="E122">
            <v>74288</v>
          </cell>
          <cell r="F122">
            <v>-63902</v>
          </cell>
          <cell r="G122">
            <v>9006</v>
          </cell>
          <cell r="H122">
            <v>11721</v>
          </cell>
          <cell r="I122">
            <v>0</v>
          </cell>
        </row>
        <row r="123">
          <cell r="A123">
            <v>91138</v>
          </cell>
          <cell r="B123" t="str">
            <v>SKYLAND VOL FIRE DEPT</v>
          </cell>
          <cell r="C123">
            <v>4.8010000000000001E-4</v>
          </cell>
          <cell r="D123"/>
          <cell r="E123">
            <v>76356</v>
          </cell>
          <cell r="F123">
            <v>-65680</v>
          </cell>
          <cell r="G123">
            <v>9257</v>
          </cell>
          <cell r="H123">
            <v>12048</v>
          </cell>
          <cell r="I123">
            <v>0</v>
          </cell>
        </row>
        <row r="124">
          <cell r="A124">
            <v>91141</v>
          </cell>
          <cell r="B124" t="str">
            <v>TOWN OF WEAVERVILLE</v>
          </cell>
          <cell r="C124">
            <v>6.3610000000000001E-4</v>
          </cell>
          <cell r="D124"/>
          <cell r="E124">
            <v>101166</v>
          </cell>
          <cell r="F124">
            <v>-87022</v>
          </cell>
          <cell r="G124">
            <v>12265</v>
          </cell>
          <cell r="H124">
            <v>15962</v>
          </cell>
          <cell r="I124">
            <v>0</v>
          </cell>
        </row>
        <row r="125">
          <cell r="A125">
            <v>91147</v>
          </cell>
          <cell r="B125" t="str">
            <v>WEAVERVILLE ABC BOARD</v>
          </cell>
          <cell r="C125">
            <v>2.5400000000000001E-5</v>
          </cell>
          <cell r="D125"/>
          <cell r="E125">
            <v>4040</v>
          </cell>
          <cell r="F125">
            <v>-3475</v>
          </cell>
          <cell r="G125">
            <v>490</v>
          </cell>
          <cell r="H125">
            <v>637</v>
          </cell>
          <cell r="I125">
            <v>0</v>
          </cell>
        </row>
        <row r="126">
          <cell r="A126">
            <v>91151</v>
          </cell>
          <cell r="B126" t="str">
            <v>TOWN OF BLACK MOUNTAIN</v>
          </cell>
          <cell r="C126">
            <v>5.8460000000000001E-4</v>
          </cell>
          <cell r="D126"/>
          <cell r="E126">
            <v>92975</v>
          </cell>
          <cell r="F126">
            <v>-79976</v>
          </cell>
          <cell r="G126">
            <v>11272</v>
          </cell>
          <cell r="H126">
            <v>14670</v>
          </cell>
          <cell r="I126">
            <v>0</v>
          </cell>
        </row>
        <row r="127">
          <cell r="A127">
            <v>91154</v>
          </cell>
          <cell r="B127" t="str">
            <v>BLACK MTN ABC BOARD</v>
          </cell>
          <cell r="C127">
            <v>2.0999999999999999E-5</v>
          </cell>
          <cell r="D127"/>
          <cell r="E127">
            <v>3340</v>
          </cell>
          <cell r="F127">
            <v>-2873</v>
          </cell>
          <cell r="G127">
            <v>405</v>
          </cell>
          <cell r="H127">
            <v>527</v>
          </cell>
          <cell r="I127">
            <v>0</v>
          </cell>
        </row>
        <row r="128">
          <cell r="A128">
            <v>91161</v>
          </cell>
          <cell r="B128" t="str">
            <v>TOWN OF MONTREAT</v>
          </cell>
          <cell r="C128">
            <v>1.0509999999999999E-4</v>
          </cell>
          <cell r="D128"/>
          <cell r="E128">
            <v>16715</v>
          </cell>
          <cell r="F128">
            <v>-14378</v>
          </cell>
          <cell r="G128">
            <v>2026</v>
          </cell>
          <cell r="H128">
            <v>2637</v>
          </cell>
          <cell r="I128">
            <v>0</v>
          </cell>
        </row>
        <row r="129">
          <cell r="A129">
            <v>91171</v>
          </cell>
          <cell r="B129" t="str">
            <v>TOWN OF WOODFIN</v>
          </cell>
          <cell r="C129">
            <v>2.6820000000000001E-4</v>
          </cell>
          <cell r="D129"/>
          <cell r="E129">
            <v>42655</v>
          </cell>
          <cell r="F129">
            <v>-36691</v>
          </cell>
          <cell r="G129">
            <v>5171</v>
          </cell>
          <cell r="H129">
            <v>6730</v>
          </cell>
          <cell r="I129">
            <v>0</v>
          </cell>
        </row>
        <row r="130">
          <cell r="A130">
            <v>91201</v>
          </cell>
          <cell r="B130" t="str">
            <v>BURKE COUNTY</v>
          </cell>
          <cell r="C130">
            <v>2.2897999999999998E-3</v>
          </cell>
          <cell r="D130"/>
          <cell r="E130">
            <v>364172</v>
          </cell>
          <cell r="F130">
            <v>-313256</v>
          </cell>
          <cell r="G130">
            <v>44150</v>
          </cell>
          <cell r="H130">
            <v>57460</v>
          </cell>
          <cell r="I130">
            <v>0</v>
          </cell>
        </row>
        <row r="131">
          <cell r="A131">
            <v>91202</v>
          </cell>
          <cell r="B131" t="str">
            <v>BURKE-CATAWBA DIST CONFINEMENT</v>
          </cell>
          <cell r="C131">
            <v>1.752E-4</v>
          </cell>
          <cell r="D131"/>
          <cell r="E131">
            <v>27864</v>
          </cell>
          <cell r="F131">
            <v>-23968</v>
          </cell>
          <cell r="G131">
            <v>3378</v>
          </cell>
          <cell r="H131">
            <v>4396</v>
          </cell>
          <cell r="I131">
            <v>0</v>
          </cell>
        </row>
        <row r="132">
          <cell r="A132">
            <v>91203</v>
          </cell>
          <cell r="B132" t="str">
            <v>BURKE CO HEALTH DEPT</v>
          </cell>
          <cell r="C132">
            <v>2.2670000000000001E-4</v>
          </cell>
          <cell r="D132"/>
          <cell r="E132">
            <v>36055</v>
          </cell>
          <cell r="F132">
            <v>-31014</v>
          </cell>
          <cell r="G132">
            <v>4371</v>
          </cell>
          <cell r="H132">
            <v>5689</v>
          </cell>
          <cell r="I132">
            <v>0</v>
          </cell>
        </row>
        <row r="133">
          <cell r="A133">
            <v>91206</v>
          </cell>
          <cell r="B133" t="str">
            <v>BURKE CO DEPT OF SOCIAL SERVICES</v>
          </cell>
          <cell r="C133">
            <v>9.525E-4</v>
          </cell>
          <cell r="D133"/>
          <cell r="E133">
            <v>151487</v>
          </cell>
          <cell r="F133">
            <v>-130307</v>
          </cell>
          <cell r="G133">
            <v>18365</v>
          </cell>
          <cell r="H133">
            <v>23902</v>
          </cell>
          <cell r="I133">
            <v>0</v>
          </cell>
        </row>
        <row r="134">
          <cell r="A134">
            <v>91208</v>
          </cell>
          <cell r="B134" t="str">
            <v>BURKE COUNTY TOURISM DEV. AUTHORITY</v>
          </cell>
          <cell r="C134">
            <v>1.9000000000000001E-5</v>
          </cell>
          <cell r="D134"/>
          <cell r="E134">
            <v>3022</v>
          </cell>
          <cell r="F134">
            <v>-2599</v>
          </cell>
          <cell r="G134">
            <v>366</v>
          </cell>
          <cell r="H134">
            <v>477</v>
          </cell>
          <cell r="I134">
            <v>0</v>
          </cell>
        </row>
        <row r="135">
          <cell r="A135">
            <v>91211</v>
          </cell>
          <cell r="B135" t="str">
            <v>TOWN OF VALDESE</v>
          </cell>
          <cell r="C135">
            <v>4.4870000000000001E-4</v>
          </cell>
          <cell r="D135"/>
          <cell r="E135">
            <v>71362</v>
          </cell>
          <cell r="F135">
            <v>-61384</v>
          </cell>
          <cell r="G135">
            <v>8651</v>
          </cell>
          <cell r="H135">
            <v>11260</v>
          </cell>
          <cell r="I135">
            <v>0</v>
          </cell>
        </row>
        <row r="136">
          <cell r="A136">
            <v>91213</v>
          </cell>
          <cell r="B136" t="str">
            <v>VALDESE HOUSING AUTHORITY</v>
          </cell>
          <cell r="C136">
            <v>2.9200000000000002E-5</v>
          </cell>
          <cell r="D136"/>
          <cell r="E136">
            <v>4644</v>
          </cell>
          <cell r="F136">
            <v>-3995</v>
          </cell>
          <cell r="G136">
            <v>563</v>
          </cell>
          <cell r="H136">
            <v>733</v>
          </cell>
          <cell r="I136">
            <v>0</v>
          </cell>
        </row>
        <row r="137">
          <cell r="A137">
            <v>91214</v>
          </cell>
          <cell r="B137" t="str">
            <v>TOWN OF RUTHERFORD COLLEGE</v>
          </cell>
          <cell r="C137">
            <v>3.5800000000000003E-5</v>
          </cell>
          <cell r="D137"/>
          <cell r="E137">
            <v>5694</v>
          </cell>
          <cell r="F137">
            <v>-4898</v>
          </cell>
          <cell r="G137">
            <v>690</v>
          </cell>
          <cell r="H137">
            <v>898</v>
          </cell>
          <cell r="I137">
            <v>0</v>
          </cell>
        </row>
        <row r="138">
          <cell r="A138">
            <v>91217</v>
          </cell>
          <cell r="B138" t="str">
            <v>MORGANTON ABC BOARD</v>
          </cell>
          <cell r="C138">
            <v>2.0400000000000001E-5</v>
          </cell>
          <cell r="D138"/>
          <cell r="E138">
            <v>3244</v>
          </cell>
          <cell r="F138">
            <v>-2791</v>
          </cell>
          <cell r="G138">
            <v>393</v>
          </cell>
          <cell r="H138">
            <v>512</v>
          </cell>
          <cell r="I138">
            <v>0</v>
          </cell>
        </row>
        <row r="139">
          <cell r="A139">
            <v>91221</v>
          </cell>
          <cell r="B139" t="str">
            <v>TOWN OF DREXEL</v>
          </cell>
          <cell r="C139">
            <v>1.099E-4</v>
          </cell>
          <cell r="D139"/>
          <cell r="E139">
            <v>17479</v>
          </cell>
          <cell r="F139">
            <v>-15035</v>
          </cell>
          <cell r="G139">
            <v>2119</v>
          </cell>
          <cell r="H139">
            <v>2758</v>
          </cell>
          <cell r="I139">
            <v>0</v>
          </cell>
        </row>
        <row r="140">
          <cell r="A140">
            <v>91231</v>
          </cell>
          <cell r="B140" t="str">
            <v>CITY OF MORGANTON</v>
          </cell>
          <cell r="C140">
            <v>1.8722999999999999E-3</v>
          </cell>
          <cell r="D140"/>
          <cell r="E140">
            <v>297772</v>
          </cell>
          <cell r="F140">
            <v>-256140</v>
          </cell>
          <cell r="G140">
            <v>36100</v>
          </cell>
          <cell r="H140">
            <v>46983</v>
          </cell>
          <cell r="I140">
            <v>0</v>
          </cell>
        </row>
        <row r="141">
          <cell r="A141">
            <v>91233</v>
          </cell>
          <cell r="B141" t="str">
            <v>MORGANTON HOUSING AUTHORITY</v>
          </cell>
          <cell r="C141">
            <v>6.1699999999999995E-5</v>
          </cell>
          <cell r="D141"/>
          <cell r="E141">
            <v>9813</v>
          </cell>
          <cell r="F141">
            <v>-8441</v>
          </cell>
          <cell r="G141">
            <v>1190</v>
          </cell>
          <cell r="H141">
            <v>1548</v>
          </cell>
          <cell r="I141">
            <v>0</v>
          </cell>
        </row>
        <row r="142">
          <cell r="A142">
            <v>91241</v>
          </cell>
          <cell r="B142" t="str">
            <v>TOWN OF GLEN ALPINE</v>
          </cell>
          <cell r="C142">
            <v>5.3499999999999999E-5</v>
          </cell>
          <cell r="D142"/>
          <cell r="E142">
            <v>8509</v>
          </cell>
          <cell r="F142">
            <v>-7319</v>
          </cell>
          <cell r="G142">
            <v>1032</v>
          </cell>
          <cell r="H142">
            <v>1343</v>
          </cell>
          <cell r="I142">
            <v>0</v>
          </cell>
        </row>
        <row r="143">
          <cell r="A143">
            <v>91251</v>
          </cell>
          <cell r="B143" t="str">
            <v>TOWN OF HILDEBRAN</v>
          </cell>
          <cell r="C143">
            <v>2.0000000000000002E-5</v>
          </cell>
          <cell r="D143"/>
          <cell r="E143">
            <v>3181</v>
          </cell>
          <cell r="F143">
            <v>-2736</v>
          </cell>
          <cell r="G143">
            <v>386</v>
          </cell>
          <cell r="H143">
            <v>502</v>
          </cell>
          <cell r="I143">
            <v>0</v>
          </cell>
        </row>
        <row r="144">
          <cell r="A144">
            <v>91261</v>
          </cell>
          <cell r="B144" t="str">
            <v>TOWN OF CONNELLY SPRINGS</v>
          </cell>
          <cell r="C144">
            <v>9.7000000000000003E-6</v>
          </cell>
          <cell r="D144"/>
          <cell r="E144">
            <v>1543</v>
          </cell>
          <cell r="F144">
            <v>-1327</v>
          </cell>
          <cell r="G144">
            <v>187</v>
          </cell>
          <cell r="H144">
            <v>243</v>
          </cell>
          <cell r="I144">
            <v>0</v>
          </cell>
        </row>
        <row r="145">
          <cell r="A145">
            <v>91301</v>
          </cell>
          <cell r="B145" t="str">
            <v>CABARRUS COUNTY</v>
          </cell>
          <cell r="C145">
            <v>7.9497999999999999E-3</v>
          </cell>
          <cell r="D145"/>
          <cell r="E145">
            <v>1264344</v>
          </cell>
          <cell r="F145">
            <v>-1087572</v>
          </cell>
          <cell r="G145">
            <v>153280</v>
          </cell>
          <cell r="H145">
            <v>199492</v>
          </cell>
          <cell r="I145">
            <v>0</v>
          </cell>
        </row>
        <row r="146">
          <cell r="A146">
            <v>91302</v>
          </cell>
          <cell r="B146" t="str">
            <v>WATER &amp; SEWER AUTH CABARRUS CNTY</v>
          </cell>
          <cell r="C146">
            <v>5.354E-4</v>
          </cell>
          <cell r="D146"/>
          <cell r="E146">
            <v>85151</v>
          </cell>
          <cell r="F146">
            <v>-73245</v>
          </cell>
          <cell r="G146">
            <v>10323</v>
          </cell>
          <cell r="H146">
            <v>13435</v>
          </cell>
          <cell r="I146">
            <v>0</v>
          </cell>
        </row>
        <row r="147">
          <cell r="A147">
            <v>91306</v>
          </cell>
          <cell r="B147" t="str">
            <v>CABARRUS CO PUBLIC HEALTH AUTH</v>
          </cell>
          <cell r="C147">
            <v>1.8244999999999999E-3</v>
          </cell>
          <cell r="D147"/>
          <cell r="E147">
            <v>290170</v>
          </cell>
          <cell r="F147">
            <v>-249601</v>
          </cell>
          <cell r="G147">
            <v>35178</v>
          </cell>
          <cell r="H147">
            <v>45784</v>
          </cell>
          <cell r="I147">
            <v>0</v>
          </cell>
        </row>
        <row r="148">
          <cell r="A148">
            <v>91308</v>
          </cell>
          <cell r="B148" t="str">
            <v>CABARRUS COUNTY TOURISM AUTHORITY</v>
          </cell>
          <cell r="C148">
            <v>1.7009999999999999E-4</v>
          </cell>
          <cell r="D148"/>
          <cell r="E148">
            <v>27053</v>
          </cell>
          <cell r="F148">
            <v>-23271</v>
          </cell>
          <cell r="G148">
            <v>3280</v>
          </cell>
          <cell r="H148">
            <v>4268</v>
          </cell>
          <cell r="I148">
            <v>0</v>
          </cell>
        </row>
        <row r="149">
          <cell r="A149">
            <v>91311</v>
          </cell>
          <cell r="B149" t="str">
            <v>CITY OF CONCORD</v>
          </cell>
          <cell r="C149">
            <v>7.9030000000000003E-3</v>
          </cell>
          <cell r="D149"/>
          <cell r="E149">
            <v>1256901</v>
          </cell>
          <cell r="F149">
            <v>-1081170</v>
          </cell>
          <cell r="G149">
            <v>152378</v>
          </cell>
          <cell r="H149">
            <v>198318</v>
          </cell>
          <cell r="I149">
            <v>0</v>
          </cell>
        </row>
        <row r="150">
          <cell r="A150">
            <v>91317</v>
          </cell>
          <cell r="B150" t="str">
            <v>CONCORD ABC BOARD</v>
          </cell>
          <cell r="C150">
            <v>1.015E-4</v>
          </cell>
          <cell r="D150"/>
          <cell r="E150">
            <v>16143</v>
          </cell>
          <cell r="F150">
            <v>-13886</v>
          </cell>
          <cell r="G150">
            <v>1957</v>
          </cell>
          <cell r="H150">
            <v>2547</v>
          </cell>
          <cell r="I150">
            <v>0</v>
          </cell>
        </row>
        <row r="151">
          <cell r="A151">
            <v>91321</v>
          </cell>
          <cell r="B151" t="str">
            <v>TOWN OF MOUNT PLEASANT</v>
          </cell>
          <cell r="C151">
            <v>5.3600000000000002E-5</v>
          </cell>
          <cell r="D151"/>
          <cell r="E151">
            <v>8525</v>
          </cell>
          <cell r="F151">
            <v>-7333</v>
          </cell>
          <cell r="G151">
            <v>1033</v>
          </cell>
          <cell r="H151">
            <v>1345</v>
          </cell>
          <cell r="I151">
            <v>0</v>
          </cell>
        </row>
        <row r="152">
          <cell r="A152">
            <v>91327</v>
          </cell>
          <cell r="B152" t="str">
            <v>MT PLEASANT ABC BOARD</v>
          </cell>
          <cell r="C152">
            <v>1.0900000000000001E-5</v>
          </cell>
          <cell r="D152"/>
          <cell r="E152">
            <v>1734</v>
          </cell>
          <cell r="F152">
            <v>-1491</v>
          </cell>
          <cell r="G152">
            <v>210</v>
          </cell>
          <cell r="H152">
            <v>274</v>
          </cell>
          <cell r="I152">
            <v>0</v>
          </cell>
        </row>
        <row r="153">
          <cell r="A153">
            <v>91331</v>
          </cell>
          <cell r="B153" t="str">
            <v>CITY OF KANNAPOLIS</v>
          </cell>
          <cell r="C153">
            <v>2.9286E-3</v>
          </cell>
          <cell r="D153"/>
          <cell r="E153">
            <v>465767</v>
          </cell>
          <cell r="F153">
            <v>-400647</v>
          </cell>
          <cell r="G153">
            <v>56466</v>
          </cell>
          <cell r="H153">
            <v>73490</v>
          </cell>
          <cell r="I153">
            <v>0</v>
          </cell>
        </row>
        <row r="154">
          <cell r="A154">
            <v>91341</v>
          </cell>
          <cell r="B154" t="str">
            <v>TOWN OF MIDLAND</v>
          </cell>
          <cell r="C154">
            <v>3.79E-5</v>
          </cell>
          <cell r="D154"/>
          <cell r="E154">
            <v>6028</v>
          </cell>
          <cell r="F154">
            <v>-5185</v>
          </cell>
          <cell r="G154">
            <v>731</v>
          </cell>
          <cell r="H154">
            <v>951</v>
          </cell>
          <cell r="I154">
            <v>0</v>
          </cell>
        </row>
        <row r="155">
          <cell r="A155">
            <v>91401</v>
          </cell>
          <cell r="B155" t="str">
            <v>CALDWELL COUNTY</v>
          </cell>
          <cell r="C155">
            <v>3.3915999999999998E-3</v>
          </cell>
          <cell r="D155"/>
          <cell r="E155">
            <v>539403</v>
          </cell>
          <cell r="F155">
            <v>-463988</v>
          </cell>
          <cell r="G155">
            <v>65393</v>
          </cell>
          <cell r="H155">
            <v>85109</v>
          </cell>
          <cell r="I155">
            <v>0</v>
          </cell>
        </row>
        <row r="156">
          <cell r="A156">
            <v>91411</v>
          </cell>
          <cell r="B156" t="str">
            <v>TOWN OF GRANITE FALLS</v>
          </cell>
          <cell r="C156">
            <v>3.9639999999999999E-4</v>
          </cell>
          <cell r="D156"/>
          <cell r="E156">
            <v>63044</v>
          </cell>
          <cell r="F156">
            <v>-54230</v>
          </cell>
          <cell r="G156">
            <v>7643</v>
          </cell>
          <cell r="H156">
            <v>9947</v>
          </cell>
          <cell r="I156">
            <v>0</v>
          </cell>
        </row>
        <row r="157">
          <cell r="A157">
            <v>91414</v>
          </cell>
          <cell r="B157" t="str">
            <v>TOWN OF RHODHISS</v>
          </cell>
          <cell r="C157">
            <v>2.2200000000000001E-5</v>
          </cell>
          <cell r="D157"/>
          <cell r="E157">
            <v>3531</v>
          </cell>
          <cell r="F157">
            <v>-3037</v>
          </cell>
          <cell r="G157">
            <v>428</v>
          </cell>
          <cell r="H157">
            <v>557</v>
          </cell>
          <cell r="I157">
            <v>0</v>
          </cell>
        </row>
        <row r="158">
          <cell r="A158">
            <v>91417</v>
          </cell>
          <cell r="B158" t="str">
            <v>GRANITE FALLS ABC BOARD</v>
          </cell>
          <cell r="C158">
            <v>7.3000000000000004E-6</v>
          </cell>
          <cell r="D158"/>
          <cell r="E158">
            <v>1161</v>
          </cell>
          <cell r="F158">
            <v>-999</v>
          </cell>
          <cell r="G158">
            <v>141</v>
          </cell>
          <cell r="H158">
            <v>183</v>
          </cell>
          <cell r="I158">
            <v>0</v>
          </cell>
        </row>
        <row r="159">
          <cell r="A159">
            <v>91421</v>
          </cell>
          <cell r="B159" t="str">
            <v>TOWN OF SAWMILLS</v>
          </cell>
          <cell r="C159">
            <v>6.69E-5</v>
          </cell>
          <cell r="D159"/>
          <cell r="E159">
            <v>10640</v>
          </cell>
          <cell r="F159">
            <v>-9152</v>
          </cell>
          <cell r="G159">
            <v>1290</v>
          </cell>
          <cell r="H159">
            <v>1679</v>
          </cell>
          <cell r="I159">
            <v>0</v>
          </cell>
        </row>
        <row r="160">
          <cell r="A160">
            <v>91423</v>
          </cell>
          <cell r="B160" t="str">
            <v>LENOIR HOUSING AUTHORITY</v>
          </cell>
          <cell r="C160">
            <v>5.2899999999999998E-5</v>
          </cell>
          <cell r="D160"/>
          <cell r="E160">
            <v>8413</v>
          </cell>
          <cell r="F160">
            <v>-7237</v>
          </cell>
          <cell r="G160">
            <v>1020</v>
          </cell>
          <cell r="H160">
            <v>1327</v>
          </cell>
          <cell r="I160">
            <v>0</v>
          </cell>
        </row>
        <row r="161">
          <cell r="A161">
            <v>91431</v>
          </cell>
          <cell r="B161" t="str">
            <v>TOWN OF HUDSON</v>
          </cell>
          <cell r="C161">
            <v>1.819E-4</v>
          </cell>
          <cell r="D161"/>
          <cell r="E161">
            <v>28930</v>
          </cell>
          <cell r="F161">
            <v>-24885</v>
          </cell>
          <cell r="G161">
            <v>3507</v>
          </cell>
          <cell r="H161">
            <v>4565</v>
          </cell>
          <cell r="I161">
            <v>0</v>
          </cell>
        </row>
        <row r="162">
          <cell r="A162">
            <v>91441</v>
          </cell>
          <cell r="B162" t="str">
            <v>TOWN OF HARRISBURG</v>
          </cell>
          <cell r="C162">
            <v>9.8020000000000008E-4</v>
          </cell>
          <cell r="D162"/>
          <cell r="E162">
            <v>155892</v>
          </cell>
          <cell r="F162">
            <v>-134096</v>
          </cell>
          <cell r="G162">
            <v>18899</v>
          </cell>
          <cell r="H162">
            <v>24597</v>
          </cell>
          <cell r="I162">
            <v>0</v>
          </cell>
        </row>
        <row r="163">
          <cell r="A163">
            <v>91451</v>
          </cell>
          <cell r="B163" t="str">
            <v>CITY OF LENOIR</v>
          </cell>
          <cell r="C163">
            <v>1.5533999999999999E-3</v>
          </cell>
          <cell r="D163"/>
          <cell r="E163">
            <v>247054</v>
          </cell>
          <cell r="F163">
            <v>-212513</v>
          </cell>
          <cell r="G163">
            <v>29951</v>
          </cell>
          <cell r="H163">
            <v>38981</v>
          </cell>
          <cell r="I163">
            <v>0</v>
          </cell>
        </row>
        <row r="164">
          <cell r="A164">
            <v>91457</v>
          </cell>
          <cell r="B164" t="str">
            <v>CITY OF LENOIR ABC BRD</v>
          </cell>
          <cell r="C164">
            <v>1.5500000000000001E-5</v>
          </cell>
          <cell r="D164"/>
          <cell r="E164">
            <v>2465</v>
          </cell>
          <cell r="F164">
            <v>-2120</v>
          </cell>
          <cell r="G164">
            <v>299</v>
          </cell>
          <cell r="H164">
            <v>389</v>
          </cell>
          <cell r="I164">
            <v>0</v>
          </cell>
        </row>
        <row r="165">
          <cell r="A165">
            <v>91461</v>
          </cell>
          <cell r="B165" t="str">
            <v>TOWN OF CAJAH'S MOUNTAIN</v>
          </cell>
          <cell r="C165">
            <v>9.5000000000000005E-6</v>
          </cell>
          <cell r="D165"/>
          <cell r="E165">
            <v>1511</v>
          </cell>
          <cell r="F165">
            <v>-1300</v>
          </cell>
          <cell r="G165">
            <v>183</v>
          </cell>
          <cell r="H165">
            <v>238</v>
          </cell>
          <cell r="I165">
            <v>0</v>
          </cell>
        </row>
        <row r="166">
          <cell r="A166">
            <v>91501</v>
          </cell>
          <cell r="B166" t="str">
            <v>CAMDEN COUNTY</v>
          </cell>
          <cell r="C166">
            <v>5.1179999999999997E-4</v>
          </cell>
          <cell r="D166"/>
          <cell r="E166">
            <v>81397</v>
          </cell>
          <cell r="F166">
            <v>-70017</v>
          </cell>
          <cell r="G166">
            <v>9868</v>
          </cell>
          <cell r="H166">
            <v>12843</v>
          </cell>
          <cell r="I166">
            <v>0</v>
          </cell>
        </row>
        <row r="167">
          <cell r="A167">
            <v>91504</v>
          </cell>
          <cell r="B167" t="str">
            <v>CAMDEN COUNTY ABC BOARD</v>
          </cell>
          <cell r="C167">
            <v>8.3999999999999992E-6</v>
          </cell>
          <cell r="D167"/>
          <cell r="E167">
            <v>1336</v>
          </cell>
          <cell r="F167">
            <v>-1149</v>
          </cell>
          <cell r="G167">
            <v>162</v>
          </cell>
          <cell r="H167">
            <v>211</v>
          </cell>
          <cell r="I167">
            <v>0</v>
          </cell>
        </row>
        <row r="168">
          <cell r="A168">
            <v>91601</v>
          </cell>
          <cell r="B168" t="str">
            <v>CARTERET COUNTY</v>
          </cell>
          <cell r="C168">
            <v>3.0071E-3</v>
          </cell>
          <cell r="D168"/>
          <cell r="E168">
            <v>478252</v>
          </cell>
          <cell r="F168">
            <v>-411386</v>
          </cell>
          <cell r="G168">
            <v>57980</v>
          </cell>
          <cell r="H168">
            <v>75460</v>
          </cell>
          <cell r="I168">
            <v>0</v>
          </cell>
        </row>
        <row r="169">
          <cell r="A169">
            <v>91604</v>
          </cell>
          <cell r="B169" t="str">
            <v>CARTERET COUNTY ABC BOARD</v>
          </cell>
          <cell r="C169">
            <v>8.5599999999999994E-5</v>
          </cell>
          <cell r="D169"/>
          <cell r="E169">
            <v>13614</v>
          </cell>
          <cell r="F169">
            <v>-11711</v>
          </cell>
          <cell r="G169">
            <v>1650</v>
          </cell>
          <cell r="H169">
            <v>2148</v>
          </cell>
          <cell r="I169">
            <v>0</v>
          </cell>
        </row>
        <row r="170">
          <cell r="A170">
            <v>91608</v>
          </cell>
          <cell r="B170" t="str">
            <v>WESTERN CARTERET INTERLOCAL COOPERATION AGENCY</v>
          </cell>
          <cell r="C170">
            <v>1.5420000000000001E-4</v>
          </cell>
          <cell r="D170"/>
          <cell r="E170">
            <v>24524</v>
          </cell>
          <cell r="F170">
            <v>-21095</v>
          </cell>
          <cell r="G170">
            <v>2973</v>
          </cell>
          <cell r="H170">
            <v>3869</v>
          </cell>
          <cell r="I170">
            <v>0</v>
          </cell>
        </row>
        <row r="171">
          <cell r="A171">
            <v>91611</v>
          </cell>
          <cell r="B171" t="str">
            <v>TOWN OF MOREHEAD CITY</v>
          </cell>
          <cell r="C171">
            <v>1.4658E-3</v>
          </cell>
          <cell r="D171"/>
          <cell r="E171">
            <v>233122</v>
          </cell>
          <cell r="F171">
            <v>-200529</v>
          </cell>
          <cell r="G171">
            <v>28262</v>
          </cell>
          <cell r="H171">
            <v>36783</v>
          </cell>
          <cell r="I171">
            <v>0</v>
          </cell>
        </row>
        <row r="172">
          <cell r="A172">
            <v>91621</v>
          </cell>
          <cell r="B172" t="str">
            <v>TOWN OF NEWPORT</v>
          </cell>
          <cell r="C172">
            <v>2.418E-4</v>
          </cell>
          <cell r="D172"/>
          <cell r="E172">
            <v>38456</v>
          </cell>
          <cell r="F172">
            <v>-33079</v>
          </cell>
          <cell r="G172">
            <v>4662</v>
          </cell>
          <cell r="H172">
            <v>6068</v>
          </cell>
          <cell r="I172">
            <v>0</v>
          </cell>
        </row>
        <row r="173">
          <cell r="A173">
            <v>91631</v>
          </cell>
          <cell r="B173" t="str">
            <v>TOWN OF BEAUFORT</v>
          </cell>
          <cell r="C173">
            <v>5.9349999999999995E-4</v>
          </cell>
          <cell r="D173"/>
          <cell r="E173">
            <v>94391</v>
          </cell>
          <cell r="F173">
            <v>-81194</v>
          </cell>
          <cell r="G173">
            <v>11443</v>
          </cell>
          <cell r="H173">
            <v>14893</v>
          </cell>
          <cell r="I173">
            <v>0</v>
          </cell>
        </row>
        <row r="174">
          <cell r="A174">
            <v>91633</v>
          </cell>
          <cell r="B174" t="str">
            <v>BEAUFORT HOUSING AUTH</v>
          </cell>
          <cell r="C174">
            <v>3.15E-5</v>
          </cell>
          <cell r="D174"/>
          <cell r="E174">
            <v>5010</v>
          </cell>
          <cell r="F174">
            <v>-4309</v>
          </cell>
          <cell r="G174">
            <v>607</v>
          </cell>
          <cell r="H174">
            <v>790</v>
          </cell>
          <cell r="I174">
            <v>0</v>
          </cell>
        </row>
        <row r="175">
          <cell r="A175">
            <v>91641</v>
          </cell>
          <cell r="B175" t="str">
            <v>TOWN OF PINE KNOLL SHORES</v>
          </cell>
          <cell r="C175">
            <v>2.8519999999999999E-4</v>
          </cell>
          <cell r="D175"/>
          <cell r="E175">
            <v>45358</v>
          </cell>
          <cell r="F175">
            <v>-39017</v>
          </cell>
          <cell r="G175">
            <v>5499</v>
          </cell>
          <cell r="H175">
            <v>7157</v>
          </cell>
          <cell r="I175">
            <v>0</v>
          </cell>
        </row>
        <row r="176">
          <cell r="A176">
            <v>91651</v>
          </cell>
          <cell r="B176" t="str">
            <v>TOWN OF EMERALD ISLE</v>
          </cell>
          <cell r="C176">
            <v>5.4049999999999996E-4</v>
          </cell>
          <cell r="D176"/>
          <cell r="E176">
            <v>85962</v>
          </cell>
          <cell r="F176">
            <v>-73943</v>
          </cell>
          <cell r="G176">
            <v>10421</v>
          </cell>
          <cell r="H176">
            <v>13563</v>
          </cell>
          <cell r="I176">
            <v>0</v>
          </cell>
        </row>
        <row r="177">
          <cell r="A177">
            <v>91661</v>
          </cell>
          <cell r="B177" t="str">
            <v>TOWN OF INDIAN BEACH</v>
          </cell>
          <cell r="C177">
            <v>1.8760000000000001E-4</v>
          </cell>
          <cell r="D177"/>
          <cell r="E177">
            <v>29836</v>
          </cell>
          <cell r="F177">
            <v>-25665</v>
          </cell>
          <cell r="G177">
            <v>3617</v>
          </cell>
          <cell r="H177">
            <v>4708</v>
          </cell>
          <cell r="I177">
            <v>0</v>
          </cell>
        </row>
        <row r="178">
          <cell r="A178">
            <v>91671</v>
          </cell>
          <cell r="B178" t="str">
            <v>TOWN OF CAPE CARTERET</v>
          </cell>
          <cell r="C178">
            <v>1.076E-4</v>
          </cell>
          <cell r="D178"/>
          <cell r="E178">
            <v>17113</v>
          </cell>
          <cell r="F178">
            <v>-14720</v>
          </cell>
          <cell r="G178">
            <v>2075</v>
          </cell>
          <cell r="H178">
            <v>2700</v>
          </cell>
          <cell r="I178">
            <v>0</v>
          </cell>
        </row>
        <row r="179">
          <cell r="A179">
            <v>91681</v>
          </cell>
          <cell r="B179" t="str">
            <v>TOWN OF ATLANTIC BEACH</v>
          </cell>
          <cell r="C179">
            <v>4.5909999999999999E-4</v>
          </cell>
          <cell r="D179"/>
          <cell r="E179">
            <v>73016</v>
          </cell>
          <cell r="F179">
            <v>-62807</v>
          </cell>
          <cell r="G179">
            <v>8852</v>
          </cell>
          <cell r="H179">
            <v>11521</v>
          </cell>
          <cell r="I179">
            <v>0</v>
          </cell>
        </row>
        <row r="180">
          <cell r="A180">
            <v>91691</v>
          </cell>
          <cell r="B180" t="str">
            <v>TOWN OF CEDAR POINT</v>
          </cell>
          <cell r="C180">
            <v>2.2900000000000001E-5</v>
          </cell>
          <cell r="D180"/>
          <cell r="E180">
            <v>3642</v>
          </cell>
          <cell r="F180">
            <v>-3133</v>
          </cell>
          <cell r="G180">
            <v>442</v>
          </cell>
          <cell r="H180">
            <v>575</v>
          </cell>
          <cell r="I180">
            <v>0</v>
          </cell>
        </row>
        <row r="181">
          <cell r="A181">
            <v>91701</v>
          </cell>
          <cell r="B181" t="str">
            <v>CASWELL COUNTY</v>
          </cell>
          <cell r="C181">
            <v>1.1343E-3</v>
          </cell>
          <cell r="D181"/>
          <cell r="E181">
            <v>180400</v>
          </cell>
          <cell r="F181">
            <v>-155178</v>
          </cell>
          <cell r="G181">
            <v>21870</v>
          </cell>
          <cell r="H181">
            <v>28464</v>
          </cell>
          <cell r="I181">
            <v>0</v>
          </cell>
        </row>
        <row r="182">
          <cell r="A182">
            <v>91704</v>
          </cell>
          <cell r="B182" t="str">
            <v>CASWELL COUNTY ABC BOARD</v>
          </cell>
          <cell r="C182">
            <v>1.7600000000000001E-5</v>
          </cell>
          <cell r="D182"/>
          <cell r="E182">
            <v>2799</v>
          </cell>
          <cell r="F182">
            <v>-2408</v>
          </cell>
          <cell r="G182">
            <v>339</v>
          </cell>
          <cell r="H182">
            <v>442</v>
          </cell>
          <cell r="I182">
            <v>0</v>
          </cell>
        </row>
        <row r="183">
          <cell r="A183">
            <v>91706</v>
          </cell>
          <cell r="B183" t="str">
            <v>CASWELL CO DEPT OF SOCIAL SERVICES</v>
          </cell>
          <cell r="C183">
            <v>2.543E-4</v>
          </cell>
          <cell r="D183"/>
          <cell r="E183">
            <v>40444</v>
          </cell>
          <cell r="F183">
            <v>-34790</v>
          </cell>
          <cell r="G183">
            <v>4903</v>
          </cell>
          <cell r="H183">
            <v>6381</v>
          </cell>
          <cell r="I183">
            <v>0</v>
          </cell>
        </row>
        <row r="184">
          <cell r="A184">
            <v>91719</v>
          </cell>
          <cell r="B184" t="str">
            <v>TOWN OF YANCEYVILLE</v>
          </cell>
          <cell r="C184">
            <v>5.6700000000000003E-5</v>
          </cell>
          <cell r="D184"/>
          <cell r="E184">
            <v>9018</v>
          </cell>
          <cell r="F184">
            <v>-7757</v>
          </cell>
          <cell r="G184">
            <v>1093</v>
          </cell>
          <cell r="H184">
            <v>1423</v>
          </cell>
          <cell r="I184">
            <v>0</v>
          </cell>
        </row>
        <row r="185">
          <cell r="A185">
            <v>91801</v>
          </cell>
          <cell r="B185" t="str">
            <v>CATAWBA COUNTY</v>
          </cell>
          <cell r="C185">
            <v>7.5972000000000001E-3</v>
          </cell>
          <cell r="D185"/>
          <cell r="E185">
            <v>1208266</v>
          </cell>
          <cell r="F185">
            <v>-1039335</v>
          </cell>
          <cell r="G185">
            <v>146482</v>
          </cell>
          <cell r="H185">
            <v>190644</v>
          </cell>
          <cell r="I185">
            <v>0</v>
          </cell>
        </row>
        <row r="186">
          <cell r="A186">
            <v>91804</v>
          </cell>
          <cell r="B186" t="str">
            <v>CATAWBA COUNTY ABC BOARD</v>
          </cell>
          <cell r="C186">
            <v>1.2459999999999999E-4</v>
          </cell>
          <cell r="D186"/>
          <cell r="E186">
            <v>19817</v>
          </cell>
          <cell r="F186">
            <v>-17046</v>
          </cell>
          <cell r="G186">
            <v>2402</v>
          </cell>
          <cell r="H186">
            <v>3127</v>
          </cell>
          <cell r="I186">
            <v>0</v>
          </cell>
        </row>
        <row r="187">
          <cell r="A187">
            <v>91811</v>
          </cell>
          <cell r="B187" t="str">
            <v>CITY OF HICKORY</v>
          </cell>
          <cell r="C187">
            <v>4.2429E-3</v>
          </cell>
          <cell r="D187"/>
          <cell r="E187">
            <v>674795</v>
          </cell>
          <cell r="F187">
            <v>-580450</v>
          </cell>
          <cell r="G187">
            <v>81807</v>
          </cell>
          <cell r="H187">
            <v>106471</v>
          </cell>
          <cell r="I187">
            <v>0</v>
          </cell>
        </row>
        <row r="188">
          <cell r="A188">
            <v>91812</v>
          </cell>
          <cell r="B188" t="str">
            <v>HICKORY CONOVER TOURISM DEV AUTH</v>
          </cell>
          <cell r="C188">
            <v>4.5599999999999997E-5</v>
          </cell>
          <cell r="D188"/>
          <cell r="E188">
            <v>7252</v>
          </cell>
          <cell r="F188">
            <v>-6238</v>
          </cell>
          <cell r="G188">
            <v>879</v>
          </cell>
          <cell r="H188">
            <v>1144</v>
          </cell>
          <cell r="I188">
            <v>0</v>
          </cell>
        </row>
        <row r="189">
          <cell r="A189">
            <v>91813</v>
          </cell>
          <cell r="B189" t="str">
            <v>HICKORY PUBLIC HOUSING AUTHORITY</v>
          </cell>
          <cell r="C189">
            <v>7.1500000000000003E-5</v>
          </cell>
          <cell r="D189"/>
          <cell r="E189">
            <v>11371</v>
          </cell>
          <cell r="F189">
            <v>-9782</v>
          </cell>
          <cell r="G189">
            <v>1379</v>
          </cell>
          <cell r="H189">
            <v>1794</v>
          </cell>
          <cell r="I189">
            <v>0</v>
          </cell>
        </row>
        <row r="190">
          <cell r="A190">
            <v>91818</v>
          </cell>
          <cell r="B190" t="str">
            <v>WESTERN PIEDMONT COUNCIL OF GVMTS</v>
          </cell>
          <cell r="C190">
            <v>4.0620000000000001E-4</v>
          </cell>
          <cell r="D190"/>
          <cell r="E190">
            <v>64602</v>
          </cell>
          <cell r="F190">
            <v>-55570</v>
          </cell>
          <cell r="G190">
            <v>7832</v>
          </cell>
          <cell r="H190">
            <v>10193</v>
          </cell>
          <cell r="I190">
            <v>0</v>
          </cell>
        </row>
        <row r="191">
          <cell r="A191">
            <v>91819</v>
          </cell>
          <cell r="B191" t="str">
            <v>WESTERN PIEDMONT REGIONAL TRANSIT AUTHORITY</v>
          </cell>
          <cell r="C191">
            <v>3.1260000000000001E-4</v>
          </cell>
          <cell r="D191"/>
          <cell r="E191">
            <v>49716</v>
          </cell>
          <cell r="F191">
            <v>-42765</v>
          </cell>
          <cell r="G191">
            <v>6027</v>
          </cell>
          <cell r="H191">
            <v>7844</v>
          </cell>
          <cell r="I191">
            <v>0</v>
          </cell>
        </row>
        <row r="192">
          <cell r="A192">
            <v>91821</v>
          </cell>
          <cell r="B192" t="str">
            <v>CITY OF CLAREMONT</v>
          </cell>
          <cell r="C192">
            <v>1.6750000000000001E-4</v>
          </cell>
          <cell r="D192"/>
          <cell r="E192">
            <v>26639</v>
          </cell>
          <cell r="F192">
            <v>-22915</v>
          </cell>
          <cell r="G192">
            <v>3230</v>
          </cell>
          <cell r="H192">
            <v>4203</v>
          </cell>
          <cell r="I192">
            <v>0</v>
          </cell>
        </row>
        <row r="193">
          <cell r="A193">
            <v>91831</v>
          </cell>
          <cell r="B193" t="str">
            <v>TOWN OF MAIDEN</v>
          </cell>
          <cell r="C193">
            <v>3.7990000000000002E-4</v>
          </cell>
          <cell r="D193"/>
          <cell r="E193">
            <v>60420</v>
          </cell>
          <cell r="F193">
            <v>-51972</v>
          </cell>
          <cell r="G193">
            <v>7325</v>
          </cell>
          <cell r="H193">
            <v>9533</v>
          </cell>
          <cell r="I193">
            <v>0</v>
          </cell>
        </row>
        <row r="194">
          <cell r="A194">
            <v>91841</v>
          </cell>
          <cell r="B194" t="str">
            <v>THE TOWN OF LONGVIEW</v>
          </cell>
          <cell r="C194">
            <v>2.5090000000000003E-4</v>
          </cell>
          <cell r="D194"/>
          <cell r="E194">
            <v>39903</v>
          </cell>
          <cell r="F194">
            <v>-34324</v>
          </cell>
          <cell r="G194">
            <v>4838</v>
          </cell>
          <cell r="H194">
            <v>6296</v>
          </cell>
          <cell r="I194">
            <v>0</v>
          </cell>
        </row>
        <row r="195">
          <cell r="A195">
            <v>91851</v>
          </cell>
          <cell r="B195" t="str">
            <v>TOWN OF CONOVER</v>
          </cell>
          <cell r="C195">
            <v>7.004E-4</v>
          </cell>
          <cell r="D195"/>
          <cell r="E195">
            <v>111392</v>
          </cell>
          <cell r="F195">
            <v>-95818</v>
          </cell>
          <cell r="G195">
            <v>13504</v>
          </cell>
          <cell r="H195">
            <v>17576</v>
          </cell>
          <cell r="I195">
            <v>0</v>
          </cell>
        </row>
        <row r="196">
          <cell r="A196">
            <v>91861</v>
          </cell>
          <cell r="B196" t="str">
            <v>TOWN OF BROOKFORD</v>
          </cell>
          <cell r="C196">
            <v>7.7000000000000008E-6</v>
          </cell>
          <cell r="D196"/>
          <cell r="E196">
            <v>1225</v>
          </cell>
          <cell r="F196">
            <v>-1053</v>
          </cell>
          <cell r="G196">
            <v>148</v>
          </cell>
          <cell r="H196">
            <v>193</v>
          </cell>
          <cell r="I196">
            <v>0</v>
          </cell>
        </row>
        <row r="197">
          <cell r="A197">
            <v>91871</v>
          </cell>
          <cell r="B197" t="str">
            <v>CITY OF NEWTON</v>
          </cell>
          <cell r="C197">
            <v>1.3121000000000001E-3</v>
          </cell>
          <cell r="D197"/>
          <cell r="E197">
            <v>208678</v>
          </cell>
          <cell r="F197">
            <v>-179502</v>
          </cell>
          <cell r="G197">
            <v>25299</v>
          </cell>
          <cell r="H197">
            <v>32926</v>
          </cell>
          <cell r="I197">
            <v>0</v>
          </cell>
        </row>
        <row r="198">
          <cell r="A198">
            <v>91881</v>
          </cell>
          <cell r="B198" t="str">
            <v>TOWN OF CATAWBA</v>
          </cell>
          <cell r="C198">
            <v>2.1399999999999998E-5</v>
          </cell>
          <cell r="D198"/>
          <cell r="E198">
            <v>3403</v>
          </cell>
          <cell r="F198">
            <v>-2928</v>
          </cell>
          <cell r="G198">
            <v>413</v>
          </cell>
          <cell r="H198">
            <v>537</v>
          </cell>
          <cell r="I198">
            <v>0</v>
          </cell>
        </row>
        <row r="199">
          <cell r="A199">
            <v>91901</v>
          </cell>
          <cell r="B199" t="str">
            <v>CHATHAM COUNTY</v>
          </cell>
          <cell r="C199">
            <v>3.6947999999999998E-3</v>
          </cell>
          <cell r="D199"/>
          <cell r="E199">
            <v>587625</v>
          </cell>
          <cell r="F199">
            <v>-505467</v>
          </cell>
          <cell r="G199">
            <v>71239</v>
          </cell>
          <cell r="H199">
            <v>92717</v>
          </cell>
          <cell r="I199">
            <v>0</v>
          </cell>
        </row>
        <row r="200">
          <cell r="A200">
            <v>91903</v>
          </cell>
          <cell r="B200" t="str">
            <v>CHATHAM CO HOUSING AUTH</v>
          </cell>
          <cell r="C200">
            <v>7.1999999999999997E-6</v>
          </cell>
          <cell r="D200"/>
          <cell r="E200">
            <v>1145</v>
          </cell>
          <cell r="F200">
            <v>-985</v>
          </cell>
          <cell r="G200">
            <v>139</v>
          </cell>
          <cell r="H200">
            <v>181</v>
          </cell>
          <cell r="I200">
            <v>0</v>
          </cell>
        </row>
        <row r="201">
          <cell r="A201">
            <v>91904</v>
          </cell>
          <cell r="B201" t="str">
            <v>CHATHAM COUNTY ABC BOARD</v>
          </cell>
          <cell r="C201">
            <v>3.26E-5</v>
          </cell>
          <cell r="D201"/>
          <cell r="E201">
            <v>5185</v>
          </cell>
          <cell r="F201">
            <v>-4460</v>
          </cell>
          <cell r="G201">
            <v>629</v>
          </cell>
          <cell r="H201">
            <v>818</v>
          </cell>
          <cell r="I201">
            <v>0</v>
          </cell>
        </row>
        <row r="202">
          <cell r="A202">
            <v>91908</v>
          </cell>
          <cell r="B202" t="str">
            <v>GOLDSTON-GULF SANITARY DISTRICT</v>
          </cell>
          <cell r="C202">
            <v>1.59E-5</v>
          </cell>
          <cell r="D202"/>
          <cell r="E202">
            <v>2529</v>
          </cell>
          <cell r="F202">
            <v>-2175</v>
          </cell>
          <cell r="G202">
            <v>307</v>
          </cell>
          <cell r="H202">
            <v>399</v>
          </cell>
          <cell r="I202">
            <v>0</v>
          </cell>
        </row>
        <row r="203">
          <cell r="A203">
            <v>91911</v>
          </cell>
          <cell r="B203" t="str">
            <v>TOWN OF SILER CITY</v>
          </cell>
          <cell r="C203">
            <v>4.46E-4</v>
          </cell>
          <cell r="D203"/>
          <cell r="E203">
            <v>70932</v>
          </cell>
          <cell r="F203">
            <v>-61015</v>
          </cell>
          <cell r="G203">
            <v>8599</v>
          </cell>
          <cell r="H203">
            <v>11192</v>
          </cell>
          <cell r="I203">
            <v>0</v>
          </cell>
        </row>
        <row r="204">
          <cell r="A204">
            <v>91917</v>
          </cell>
          <cell r="B204" t="str">
            <v>SILER CITY ABC BOARD</v>
          </cell>
          <cell r="C204">
            <v>1.31E-5</v>
          </cell>
          <cell r="D204"/>
          <cell r="E204">
            <v>2083</v>
          </cell>
          <cell r="F204">
            <v>-1792</v>
          </cell>
          <cell r="G204">
            <v>253</v>
          </cell>
          <cell r="H204">
            <v>329</v>
          </cell>
          <cell r="I204">
            <v>0</v>
          </cell>
        </row>
        <row r="205">
          <cell r="A205">
            <v>91921</v>
          </cell>
          <cell r="B205" t="str">
            <v>TOWN OF PITTSBORO</v>
          </cell>
          <cell r="C205">
            <v>3.8479999999999997E-4</v>
          </cell>
          <cell r="D205"/>
          <cell r="E205">
            <v>61199</v>
          </cell>
          <cell r="F205">
            <v>-52643</v>
          </cell>
          <cell r="G205">
            <v>7419</v>
          </cell>
          <cell r="H205">
            <v>9656</v>
          </cell>
          <cell r="I205">
            <v>0</v>
          </cell>
        </row>
        <row r="206">
          <cell r="A206">
            <v>92001</v>
          </cell>
          <cell r="B206" t="str">
            <v>CHEROKEE COUNTY</v>
          </cell>
          <cell r="C206">
            <v>1.7757000000000001E-3</v>
          </cell>
          <cell r="D206"/>
          <cell r="E206">
            <v>282409</v>
          </cell>
          <cell r="F206">
            <v>-242925</v>
          </cell>
          <cell r="G206">
            <v>34237</v>
          </cell>
          <cell r="H206">
            <v>44559</v>
          </cell>
          <cell r="I206">
            <v>0</v>
          </cell>
        </row>
        <row r="207">
          <cell r="A207">
            <v>92005</v>
          </cell>
          <cell r="B207" t="str">
            <v>NANTAHALA REGIONAL LIBRARY</v>
          </cell>
          <cell r="C207">
            <v>3.5299999999999997E-5</v>
          </cell>
          <cell r="D207"/>
          <cell r="E207">
            <v>5614</v>
          </cell>
          <cell r="F207">
            <v>-4829</v>
          </cell>
          <cell r="G207">
            <v>681</v>
          </cell>
          <cell r="H207">
            <v>886</v>
          </cell>
          <cell r="I207">
            <v>0</v>
          </cell>
        </row>
        <row r="208">
          <cell r="A208">
            <v>92011</v>
          </cell>
          <cell r="B208" t="str">
            <v>TOWN OF MURPHY</v>
          </cell>
          <cell r="C208">
            <v>1.9100000000000001E-4</v>
          </cell>
          <cell r="D208"/>
          <cell r="E208">
            <v>30377</v>
          </cell>
          <cell r="F208">
            <v>-26130</v>
          </cell>
          <cell r="G208">
            <v>3683</v>
          </cell>
          <cell r="H208">
            <v>4793</v>
          </cell>
          <cell r="I208">
            <v>0</v>
          </cell>
        </row>
        <row r="209">
          <cell r="A209">
            <v>92017</v>
          </cell>
          <cell r="B209" t="str">
            <v>MURPHY ABC BOARD</v>
          </cell>
          <cell r="C209">
            <v>3.1900000000000003E-5</v>
          </cell>
          <cell r="D209"/>
          <cell r="E209">
            <v>5073</v>
          </cell>
          <cell r="F209">
            <v>-4364</v>
          </cell>
          <cell r="G209">
            <v>615</v>
          </cell>
          <cell r="H209">
            <v>800</v>
          </cell>
          <cell r="I209">
            <v>0</v>
          </cell>
        </row>
        <row r="210">
          <cell r="A210">
            <v>92021</v>
          </cell>
          <cell r="B210" t="str">
            <v>TOWN OF ANDREWS</v>
          </cell>
          <cell r="C210">
            <v>1.054E-4</v>
          </cell>
          <cell r="D210"/>
          <cell r="E210">
            <v>16763</v>
          </cell>
          <cell r="F210">
            <v>-14419</v>
          </cell>
          <cell r="G210">
            <v>2032</v>
          </cell>
          <cell r="H210">
            <v>2645</v>
          </cell>
          <cell r="I210">
            <v>0</v>
          </cell>
        </row>
        <row r="211">
          <cell r="A211">
            <v>92101</v>
          </cell>
          <cell r="B211" t="str">
            <v>CHOWAN COUNTY</v>
          </cell>
          <cell r="C211">
            <v>7.8700000000000005E-4</v>
          </cell>
          <cell r="D211"/>
          <cell r="E211">
            <v>125165</v>
          </cell>
          <cell r="F211">
            <v>-107666</v>
          </cell>
          <cell r="G211">
            <v>15174</v>
          </cell>
          <cell r="H211">
            <v>19749</v>
          </cell>
          <cell r="I211">
            <v>0</v>
          </cell>
        </row>
        <row r="212">
          <cell r="A212">
            <v>92104</v>
          </cell>
          <cell r="B212" t="str">
            <v>CHOWAN COUNTY ABC BOARD</v>
          </cell>
          <cell r="C212">
            <v>7.0999999999999998E-6</v>
          </cell>
          <cell r="D212"/>
          <cell r="E212">
            <v>1129</v>
          </cell>
          <cell r="F212">
            <v>-971</v>
          </cell>
          <cell r="G212">
            <v>137</v>
          </cell>
          <cell r="H212">
            <v>178</v>
          </cell>
          <cell r="I212">
            <v>0</v>
          </cell>
        </row>
        <row r="213">
          <cell r="A213">
            <v>92109</v>
          </cell>
          <cell r="B213" t="str">
            <v>ALBEMARLE REGNL PLANNING &amp; DEVELOPMENT COMM</v>
          </cell>
          <cell r="C213">
            <v>1.6799999999999999E-4</v>
          </cell>
          <cell r="D213"/>
          <cell r="E213">
            <v>26719</v>
          </cell>
          <cell r="F213">
            <v>-22983</v>
          </cell>
          <cell r="G213">
            <v>3239</v>
          </cell>
          <cell r="H213">
            <v>4216</v>
          </cell>
          <cell r="I213">
            <v>0</v>
          </cell>
        </row>
        <row r="214">
          <cell r="A214">
            <v>92111</v>
          </cell>
          <cell r="B214" t="str">
            <v>TOWN OF EDENTON</v>
          </cell>
          <cell r="C214">
            <v>4.9209999999999998E-4</v>
          </cell>
          <cell r="D214"/>
          <cell r="E214">
            <v>78264</v>
          </cell>
          <cell r="F214">
            <v>-67322</v>
          </cell>
          <cell r="G214">
            <v>9488</v>
          </cell>
          <cell r="H214">
            <v>12349</v>
          </cell>
          <cell r="I214">
            <v>0</v>
          </cell>
        </row>
        <row r="215">
          <cell r="A215">
            <v>92113</v>
          </cell>
          <cell r="B215" t="str">
            <v>THE NEW EDENTON HOUSING AUTH</v>
          </cell>
          <cell r="C215">
            <v>1.7099999999999999E-5</v>
          </cell>
          <cell r="D215"/>
          <cell r="E215">
            <v>2720</v>
          </cell>
          <cell r="F215">
            <v>-2339</v>
          </cell>
          <cell r="G215">
            <v>330</v>
          </cell>
          <cell r="H215">
            <v>429</v>
          </cell>
          <cell r="I215">
            <v>0</v>
          </cell>
        </row>
        <row r="216">
          <cell r="A216">
            <v>92201</v>
          </cell>
          <cell r="B216" t="str">
            <v>CLAY COUNTY</v>
          </cell>
          <cell r="C216">
            <v>8.3589999999999999E-4</v>
          </cell>
          <cell r="D216"/>
          <cell r="E216">
            <v>132942</v>
          </cell>
          <cell r="F216">
            <v>-114355</v>
          </cell>
          <cell r="G216">
            <v>16117</v>
          </cell>
          <cell r="H216">
            <v>20976</v>
          </cell>
          <cell r="I216">
            <v>0</v>
          </cell>
        </row>
        <row r="217">
          <cell r="A217">
            <v>92214</v>
          </cell>
          <cell r="B217" t="str">
            <v>CLAY COUNTY ABC BOARD</v>
          </cell>
          <cell r="C217">
            <v>2.02E-5</v>
          </cell>
          <cell r="D217"/>
          <cell r="E217">
            <v>3213</v>
          </cell>
          <cell r="F217">
            <v>-2763</v>
          </cell>
          <cell r="G217">
            <v>389</v>
          </cell>
          <cell r="H217">
            <v>507</v>
          </cell>
          <cell r="I217">
            <v>0</v>
          </cell>
        </row>
        <row r="218">
          <cell r="A218">
            <v>92301</v>
          </cell>
          <cell r="B218" t="str">
            <v>CLEVELAND COUNTY</v>
          </cell>
          <cell r="C218">
            <v>5.6146E-3</v>
          </cell>
          <cell r="D218"/>
          <cell r="E218">
            <v>892952</v>
          </cell>
          <cell r="F218">
            <v>-768105</v>
          </cell>
          <cell r="G218">
            <v>108255</v>
          </cell>
          <cell r="H218">
            <v>140893</v>
          </cell>
          <cell r="I218">
            <v>0</v>
          </cell>
        </row>
        <row r="219">
          <cell r="A219">
            <v>92302</v>
          </cell>
          <cell r="B219" t="str">
            <v>CLEVELAND CO SANITARY DIST</v>
          </cell>
          <cell r="C219">
            <v>3.0249999999999998E-4</v>
          </cell>
          <cell r="D219"/>
          <cell r="E219">
            <v>48110</v>
          </cell>
          <cell r="F219">
            <v>-41384</v>
          </cell>
          <cell r="G219">
            <v>5833</v>
          </cell>
          <cell r="H219">
            <v>7591</v>
          </cell>
          <cell r="I219">
            <v>0</v>
          </cell>
        </row>
        <row r="220">
          <cell r="A220">
            <v>92311</v>
          </cell>
          <cell r="B220" t="str">
            <v>CITY OF SHELBY</v>
          </cell>
          <cell r="C220">
            <v>2.2645999999999999E-3</v>
          </cell>
          <cell r="D220"/>
          <cell r="E220">
            <v>360164</v>
          </cell>
          <cell r="F220">
            <v>-309809</v>
          </cell>
          <cell r="G220">
            <v>43664</v>
          </cell>
          <cell r="H220">
            <v>56828</v>
          </cell>
          <cell r="I220">
            <v>0</v>
          </cell>
        </row>
        <row r="221">
          <cell r="A221">
            <v>92317</v>
          </cell>
          <cell r="B221" t="str">
            <v>SHELBY ABC BOARD</v>
          </cell>
          <cell r="C221">
            <v>2.97E-5</v>
          </cell>
          <cell r="D221"/>
          <cell r="E221">
            <v>4724</v>
          </cell>
          <cell r="F221">
            <v>-4063</v>
          </cell>
          <cell r="G221">
            <v>573</v>
          </cell>
          <cell r="H221">
            <v>745</v>
          </cell>
          <cell r="I221">
            <v>0</v>
          </cell>
        </row>
        <row r="222">
          <cell r="A222">
            <v>92321</v>
          </cell>
          <cell r="B222" t="str">
            <v>CITY OF KINGS MOUNTAIN</v>
          </cell>
          <cell r="C222">
            <v>1.2122999999999999E-3</v>
          </cell>
          <cell r="D222"/>
          <cell r="E222">
            <v>192805</v>
          </cell>
          <cell r="F222">
            <v>-165849</v>
          </cell>
          <cell r="G222">
            <v>23374</v>
          </cell>
          <cell r="H222">
            <v>30421</v>
          </cell>
          <cell r="I222">
            <v>0</v>
          </cell>
        </row>
        <row r="223">
          <cell r="A223">
            <v>92327</v>
          </cell>
          <cell r="B223" t="str">
            <v>KINGS MOUNTAIN ABC BOARD</v>
          </cell>
          <cell r="C223">
            <v>6.4999999999999996E-6</v>
          </cell>
          <cell r="D223"/>
          <cell r="E223">
            <v>1034</v>
          </cell>
          <cell r="F223">
            <v>-889</v>
          </cell>
          <cell r="G223">
            <v>125</v>
          </cell>
          <cell r="H223">
            <v>163</v>
          </cell>
          <cell r="I223">
            <v>0</v>
          </cell>
        </row>
        <row r="224">
          <cell r="A224">
            <v>92331</v>
          </cell>
          <cell r="B224" t="str">
            <v>TOWN OF BOILING SPRINGS</v>
          </cell>
          <cell r="C224">
            <v>1.351E-4</v>
          </cell>
          <cell r="D224"/>
          <cell r="E224">
            <v>21486</v>
          </cell>
          <cell r="F224">
            <v>-18482</v>
          </cell>
          <cell r="G224">
            <v>2605</v>
          </cell>
          <cell r="H224">
            <v>3390</v>
          </cell>
          <cell r="I224">
            <v>0</v>
          </cell>
        </row>
        <row r="225">
          <cell r="A225">
            <v>92341</v>
          </cell>
          <cell r="B225" t="str">
            <v>TOWN OF LAWNDALE</v>
          </cell>
          <cell r="C225">
            <v>8.4999999999999999E-6</v>
          </cell>
          <cell r="D225"/>
          <cell r="E225">
            <v>1352</v>
          </cell>
          <cell r="F225">
            <v>-1163</v>
          </cell>
          <cell r="G225">
            <v>164</v>
          </cell>
          <cell r="H225">
            <v>213</v>
          </cell>
          <cell r="I225">
            <v>0</v>
          </cell>
        </row>
        <row r="226">
          <cell r="A226">
            <v>92351</v>
          </cell>
          <cell r="B226" t="str">
            <v>TOWN OF GROVER</v>
          </cell>
          <cell r="C226">
            <v>1.7499999999999998E-5</v>
          </cell>
          <cell r="D226"/>
          <cell r="E226">
            <v>2783</v>
          </cell>
          <cell r="F226">
            <v>-2394</v>
          </cell>
          <cell r="G226">
            <v>337</v>
          </cell>
          <cell r="H226">
            <v>439</v>
          </cell>
          <cell r="I226">
            <v>0</v>
          </cell>
        </row>
        <row r="227">
          <cell r="A227">
            <v>92401</v>
          </cell>
          <cell r="B227" t="str">
            <v>COLUMBUS COUNTY</v>
          </cell>
          <cell r="C227">
            <v>2.6340000000000001E-3</v>
          </cell>
          <cell r="D227"/>
          <cell r="E227">
            <v>418914</v>
          </cell>
          <cell r="F227">
            <v>-360344</v>
          </cell>
          <cell r="G227">
            <v>50786</v>
          </cell>
          <cell r="H227">
            <v>66098</v>
          </cell>
          <cell r="I227">
            <v>0</v>
          </cell>
        </row>
        <row r="228">
          <cell r="A228">
            <v>92403</v>
          </cell>
          <cell r="B228" t="str">
            <v>WHITEVILLE HOUSING AUTHORITY</v>
          </cell>
          <cell r="C228">
            <v>9.0999999999999993E-6</v>
          </cell>
          <cell r="D228"/>
          <cell r="E228">
            <v>1447</v>
          </cell>
          <cell r="F228">
            <v>-1245</v>
          </cell>
          <cell r="G228">
            <v>175</v>
          </cell>
          <cell r="H228">
            <v>228</v>
          </cell>
          <cell r="I228">
            <v>0</v>
          </cell>
        </row>
        <row r="229">
          <cell r="A229">
            <v>92411</v>
          </cell>
          <cell r="B229" t="str">
            <v>CITY OF WHITEVILLE</v>
          </cell>
          <cell r="C229">
            <v>4.5199999999999998E-4</v>
          </cell>
          <cell r="D229"/>
          <cell r="E229">
            <v>71887</v>
          </cell>
          <cell r="F229">
            <v>-61836</v>
          </cell>
          <cell r="G229">
            <v>8715</v>
          </cell>
          <cell r="H229">
            <v>11342</v>
          </cell>
          <cell r="I229">
            <v>0</v>
          </cell>
        </row>
        <row r="230">
          <cell r="A230">
            <v>92414</v>
          </cell>
          <cell r="B230" t="str">
            <v>TOWN OF BOLTON</v>
          </cell>
          <cell r="C230">
            <v>0</v>
          </cell>
          <cell r="D230"/>
          <cell r="E230">
            <v>0</v>
          </cell>
          <cell r="F230">
            <v>0</v>
          </cell>
          <cell r="G230">
            <v>0</v>
          </cell>
          <cell r="H230">
            <v>0</v>
          </cell>
          <cell r="I230">
            <v>0</v>
          </cell>
        </row>
        <row r="231">
          <cell r="A231">
            <v>92417</v>
          </cell>
          <cell r="B231" t="str">
            <v>WHITEVILLE ABC BOARD</v>
          </cell>
          <cell r="C231">
            <v>1.73E-5</v>
          </cell>
          <cell r="D231"/>
          <cell r="E231">
            <v>2751</v>
          </cell>
          <cell r="F231">
            <v>-2367</v>
          </cell>
          <cell r="G231">
            <v>334</v>
          </cell>
          <cell r="H231">
            <v>434</v>
          </cell>
          <cell r="I231">
            <v>0</v>
          </cell>
        </row>
        <row r="232">
          <cell r="A232">
            <v>92421</v>
          </cell>
          <cell r="B232" t="str">
            <v>TOWN OF BRUNSWICK</v>
          </cell>
          <cell r="C232">
            <v>1.6399999999999999E-5</v>
          </cell>
          <cell r="D232"/>
          <cell r="E232">
            <v>2608</v>
          </cell>
          <cell r="F232">
            <v>-2244</v>
          </cell>
          <cell r="G232">
            <v>316</v>
          </cell>
          <cell r="H232">
            <v>412</v>
          </cell>
          <cell r="I232">
            <v>0</v>
          </cell>
        </row>
        <row r="233">
          <cell r="A233">
            <v>92427</v>
          </cell>
          <cell r="B233" t="str">
            <v>LAKE WACCAMAW ABC BOARD</v>
          </cell>
          <cell r="C233">
            <v>1.9E-6</v>
          </cell>
          <cell r="D233"/>
          <cell r="E233">
            <v>302</v>
          </cell>
          <cell r="F233">
            <v>-260</v>
          </cell>
          <cell r="G233">
            <v>37</v>
          </cell>
          <cell r="H233">
            <v>48</v>
          </cell>
          <cell r="I233">
            <v>0</v>
          </cell>
        </row>
        <row r="234">
          <cell r="A234">
            <v>92431</v>
          </cell>
          <cell r="B234" t="str">
            <v>TOWN OF FAIR BLUFF</v>
          </cell>
          <cell r="C234">
            <v>2.6999999999999999E-5</v>
          </cell>
          <cell r="D234"/>
          <cell r="E234">
            <v>4294</v>
          </cell>
          <cell r="F234">
            <v>-3694</v>
          </cell>
          <cell r="G234">
            <v>521</v>
          </cell>
          <cell r="H234">
            <v>678</v>
          </cell>
          <cell r="I234">
            <v>0</v>
          </cell>
        </row>
        <row r="235">
          <cell r="A235">
            <v>92441</v>
          </cell>
          <cell r="B235" t="str">
            <v>TOWN OF CHADBOURN</v>
          </cell>
          <cell r="C235">
            <v>8.6500000000000002E-5</v>
          </cell>
          <cell r="D235"/>
          <cell r="E235">
            <v>13757</v>
          </cell>
          <cell r="F235">
            <v>-11834</v>
          </cell>
          <cell r="G235">
            <v>1668</v>
          </cell>
          <cell r="H235">
            <v>2171</v>
          </cell>
          <cell r="I235">
            <v>0</v>
          </cell>
        </row>
        <row r="236">
          <cell r="A236">
            <v>92444</v>
          </cell>
          <cell r="B236" t="str">
            <v>WEST COLUMBUS ABC BOARD</v>
          </cell>
          <cell r="C236">
            <v>5.1000000000000003E-6</v>
          </cell>
          <cell r="D236"/>
          <cell r="E236">
            <v>811</v>
          </cell>
          <cell r="F236">
            <v>-698</v>
          </cell>
          <cell r="G236">
            <v>98</v>
          </cell>
          <cell r="H236">
            <v>128</v>
          </cell>
          <cell r="I236">
            <v>0</v>
          </cell>
        </row>
        <row r="237">
          <cell r="A237">
            <v>92451</v>
          </cell>
          <cell r="B237" t="str">
            <v>TOWN OF TABOR CITY</v>
          </cell>
          <cell r="C237">
            <v>1.143E-4</v>
          </cell>
          <cell r="D237"/>
          <cell r="E237">
            <v>18178</v>
          </cell>
          <cell r="F237">
            <v>-15637</v>
          </cell>
          <cell r="G237">
            <v>2204</v>
          </cell>
          <cell r="H237">
            <v>2868</v>
          </cell>
          <cell r="I237">
            <v>0</v>
          </cell>
        </row>
        <row r="238">
          <cell r="A238">
            <v>92461</v>
          </cell>
          <cell r="B238" t="str">
            <v>TOWN OF LAKE WACCAMAW</v>
          </cell>
          <cell r="C238">
            <v>5.8400000000000003E-5</v>
          </cell>
          <cell r="D238"/>
          <cell r="E238">
            <v>9288</v>
          </cell>
          <cell r="F238">
            <v>-7989</v>
          </cell>
          <cell r="G238">
            <v>1126</v>
          </cell>
          <cell r="H238">
            <v>1465</v>
          </cell>
          <cell r="I238">
            <v>0</v>
          </cell>
        </row>
        <row r="239">
          <cell r="A239">
            <v>92501</v>
          </cell>
          <cell r="B239" t="str">
            <v>CRAVEN COUNTY</v>
          </cell>
          <cell r="C239">
            <v>3.7055999999999999E-3</v>
          </cell>
          <cell r="D239"/>
          <cell r="E239">
            <v>589342</v>
          </cell>
          <cell r="F239">
            <v>-506945</v>
          </cell>
          <cell r="G239">
            <v>71448</v>
          </cell>
          <cell r="H239">
            <v>92988</v>
          </cell>
          <cell r="I239">
            <v>0</v>
          </cell>
        </row>
        <row r="240">
          <cell r="A240">
            <v>92502</v>
          </cell>
          <cell r="B240" t="str">
            <v>FIRST CRAVEN SANITARY DIST</v>
          </cell>
          <cell r="C240">
            <v>2.3600000000000001E-5</v>
          </cell>
          <cell r="D240"/>
          <cell r="E240">
            <v>3753</v>
          </cell>
          <cell r="F240">
            <v>-3229</v>
          </cell>
          <cell r="G240">
            <v>455</v>
          </cell>
          <cell r="H240">
            <v>592</v>
          </cell>
          <cell r="I240">
            <v>0</v>
          </cell>
        </row>
        <row r="241">
          <cell r="A241">
            <v>92504</v>
          </cell>
          <cell r="B241" t="str">
            <v>CRAVEN CO ABC BD</v>
          </cell>
          <cell r="C241">
            <v>7.6299999999999998E-5</v>
          </cell>
          <cell r="D241"/>
          <cell r="E241">
            <v>12135</v>
          </cell>
          <cell r="F241">
            <v>-10438</v>
          </cell>
          <cell r="G241">
            <v>1471</v>
          </cell>
          <cell r="H241">
            <v>1915</v>
          </cell>
          <cell r="I241">
            <v>0</v>
          </cell>
        </row>
        <row r="242">
          <cell r="A242">
            <v>92505</v>
          </cell>
          <cell r="B242" t="str">
            <v>CRAVEN-PAMLICO-CARTERET REGIONAL LIBRARY</v>
          </cell>
          <cell r="C242">
            <v>1.7090000000000001E-4</v>
          </cell>
          <cell r="D242"/>
          <cell r="E242">
            <v>27180</v>
          </cell>
          <cell r="F242">
            <v>-23380</v>
          </cell>
          <cell r="G242">
            <v>3295</v>
          </cell>
          <cell r="H242">
            <v>4289</v>
          </cell>
          <cell r="I242">
            <v>0</v>
          </cell>
        </row>
        <row r="243">
          <cell r="A243">
            <v>92506</v>
          </cell>
          <cell r="B243" t="str">
            <v>COASTAL CAROLINA REGIONAL AIRPORT</v>
          </cell>
          <cell r="C243">
            <v>5.38E-5</v>
          </cell>
          <cell r="D243"/>
          <cell r="E243">
            <v>8556</v>
          </cell>
          <cell r="F243">
            <v>-7360</v>
          </cell>
          <cell r="G243">
            <v>1037</v>
          </cell>
          <cell r="H243">
            <v>1350</v>
          </cell>
          <cell r="I243">
            <v>0</v>
          </cell>
        </row>
        <row r="244">
          <cell r="A244">
            <v>92507</v>
          </cell>
          <cell r="B244" t="str">
            <v>NEUSE RIVER COUNCIL OF GOVERNMENTS</v>
          </cell>
          <cell r="C244">
            <v>1.01E-4</v>
          </cell>
          <cell r="D244"/>
          <cell r="E244">
            <v>16063</v>
          </cell>
          <cell r="F244">
            <v>-13817</v>
          </cell>
          <cell r="G244">
            <v>1947</v>
          </cell>
          <cell r="H244">
            <v>2534</v>
          </cell>
          <cell r="I244">
            <v>0</v>
          </cell>
        </row>
        <row r="245">
          <cell r="A245">
            <v>92508</v>
          </cell>
          <cell r="B245" t="str">
            <v>COASTAL REGIONAL SOLID WASTE MNGT AUTH</v>
          </cell>
          <cell r="C245">
            <v>3.102E-4</v>
          </cell>
          <cell r="D245"/>
          <cell r="E245">
            <v>49335</v>
          </cell>
          <cell r="F245">
            <v>-42437</v>
          </cell>
          <cell r="G245">
            <v>5981</v>
          </cell>
          <cell r="H245">
            <v>7784</v>
          </cell>
          <cell r="I245">
            <v>0</v>
          </cell>
        </row>
        <row r="246">
          <cell r="A246">
            <v>92509</v>
          </cell>
          <cell r="B246" t="str">
            <v>EAST CAROLINA BEHAVORIAL HEALTHCARE</v>
          </cell>
          <cell r="C246">
            <v>0</v>
          </cell>
          <cell r="D246"/>
          <cell r="E246">
            <v>0</v>
          </cell>
          <cell r="F246">
            <v>0</v>
          </cell>
          <cell r="G246">
            <v>0</v>
          </cell>
          <cell r="H246">
            <v>0</v>
          </cell>
          <cell r="I246">
            <v>0</v>
          </cell>
        </row>
        <row r="247">
          <cell r="A247">
            <v>92511</v>
          </cell>
          <cell r="B247" t="str">
            <v>CITY OF NEW BERN</v>
          </cell>
          <cell r="C247">
            <v>3.5699999999999998E-3</v>
          </cell>
          <cell r="D247"/>
          <cell r="E247">
            <v>567776</v>
          </cell>
          <cell r="F247">
            <v>-488394</v>
          </cell>
          <cell r="G247">
            <v>68833</v>
          </cell>
          <cell r="H247">
            <v>89586</v>
          </cell>
          <cell r="I247">
            <v>0</v>
          </cell>
        </row>
        <row r="248">
          <cell r="A248">
            <v>92513</v>
          </cell>
          <cell r="B248" t="str">
            <v>TRILLIUM HEALTH RESOURCES</v>
          </cell>
          <cell r="C248">
            <v>3.9484999999999998E-3</v>
          </cell>
          <cell r="D248"/>
          <cell r="E248">
            <v>627973</v>
          </cell>
          <cell r="F248">
            <v>-540175</v>
          </cell>
          <cell r="G248">
            <v>76131</v>
          </cell>
          <cell r="H248">
            <v>99084</v>
          </cell>
          <cell r="I248">
            <v>0</v>
          </cell>
        </row>
        <row r="249">
          <cell r="A249">
            <v>92521</v>
          </cell>
          <cell r="B249" t="str">
            <v>TOWN OF TRENT WOODS</v>
          </cell>
          <cell r="C249">
            <v>7.7399999999999998E-5</v>
          </cell>
          <cell r="D249"/>
          <cell r="E249">
            <v>12310</v>
          </cell>
          <cell r="F249">
            <v>-10589</v>
          </cell>
          <cell r="G249">
            <v>1492</v>
          </cell>
          <cell r="H249">
            <v>1942</v>
          </cell>
          <cell r="I249">
            <v>0</v>
          </cell>
        </row>
        <row r="250">
          <cell r="A250">
            <v>92531</v>
          </cell>
          <cell r="B250" t="str">
            <v>CITY OF HAVELOCK</v>
          </cell>
          <cell r="C250">
            <v>8.2580000000000001E-4</v>
          </cell>
          <cell r="D250"/>
          <cell r="E250">
            <v>131336</v>
          </cell>
          <cell r="F250">
            <v>-112974</v>
          </cell>
          <cell r="G250">
            <v>15922</v>
          </cell>
          <cell r="H250">
            <v>20723</v>
          </cell>
          <cell r="I250">
            <v>0</v>
          </cell>
        </row>
        <row r="251">
          <cell r="A251">
            <v>92541</v>
          </cell>
          <cell r="B251" t="str">
            <v>TOWN OF RIVER BEND</v>
          </cell>
          <cell r="C251">
            <v>1.3740000000000001E-4</v>
          </cell>
          <cell r="D251"/>
          <cell r="E251">
            <v>21852</v>
          </cell>
          <cell r="F251">
            <v>-18797</v>
          </cell>
          <cell r="G251">
            <v>2649</v>
          </cell>
          <cell r="H251">
            <v>3448</v>
          </cell>
          <cell r="I251">
            <v>0</v>
          </cell>
        </row>
        <row r="252">
          <cell r="A252">
            <v>92551</v>
          </cell>
          <cell r="B252" t="str">
            <v>TOWN OF VANCEBORO</v>
          </cell>
          <cell r="C252">
            <v>5.7099999999999999E-5</v>
          </cell>
          <cell r="D252"/>
          <cell r="E252">
            <v>9081</v>
          </cell>
          <cell r="F252">
            <v>-7812</v>
          </cell>
          <cell r="G252">
            <v>1101</v>
          </cell>
          <cell r="H252">
            <v>1433</v>
          </cell>
          <cell r="I252">
            <v>0</v>
          </cell>
        </row>
        <row r="253">
          <cell r="A253">
            <v>92561</v>
          </cell>
          <cell r="B253" t="str">
            <v>TOWN OF BRIDGETON</v>
          </cell>
          <cell r="C253">
            <v>1.7900000000000001E-5</v>
          </cell>
          <cell r="D253"/>
          <cell r="E253">
            <v>2847</v>
          </cell>
          <cell r="F253">
            <v>-2449</v>
          </cell>
          <cell r="G253">
            <v>345</v>
          </cell>
          <cell r="H253">
            <v>449</v>
          </cell>
          <cell r="I253">
            <v>0</v>
          </cell>
        </row>
        <row r="254">
          <cell r="A254">
            <v>92571</v>
          </cell>
          <cell r="B254" t="str">
            <v>TOWN OF COVE CITY</v>
          </cell>
          <cell r="C254">
            <v>8.1999999999999994E-6</v>
          </cell>
          <cell r="D254"/>
          <cell r="E254">
            <v>1304</v>
          </cell>
          <cell r="F254">
            <v>-1122</v>
          </cell>
          <cell r="G254">
            <v>158</v>
          </cell>
          <cell r="H254">
            <v>206</v>
          </cell>
          <cell r="I254">
            <v>0</v>
          </cell>
        </row>
        <row r="255">
          <cell r="A255">
            <v>92601</v>
          </cell>
          <cell r="B255" t="str">
            <v>CUMBERLAND COUNTY</v>
          </cell>
          <cell r="C255">
            <v>1.32598E-2</v>
          </cell>
          <cell r="D255"/>
          <cell r="E255">
            <v>2108852</v>
          </cell>
          <cell r="F255">
            <v>-1814007</v>
          </cell>
          <cell r="G255">
            <v>255662</v>
          </cell>
          <cell r="H255">
            <v>332741</v>
          </cell>
          <cell r="I255">
            <v>0</v>
          </cell>
        </row>
        <row r="256">
          <cell r="A256">
            <v>92602</v>
          </cell>
          <cell r="B256" t="str">
            <v>WESTAREA VOLUNTEER FIRE DEPT</v>
          </cell>
          <cell r="C256">
            <v>4.8999999999999997E-6</v>
          </cell>
          <cell r="D256"/>
          <cell r="E256">
            <v>779</v>
          </cell>
          <cell r="F256">
            <v>-670</v>
          </cell>
          <cell r="G256">
            <v>94</v>
          </cell>
          <cell r="H256">
            <v>123</v>
          </cell>
          <cell r="I256">
            <v>0</v>
          </cell>
        </row>
        <row r="257">
          <cell r="A257">
            <v>92604</v>
          </cell>
          <cell r="B257" t="str">
            <v>CUMBERLAND CO ABC BOARD</v>
          </cell>
          <cell r="C257">
            <v>3.501E-4</v>
          </cell>
          <cell r="D257"/>
          <cell r="E257">
            <v>55680</v>
          </cell>
          <cell r="F257">
            <v>-47895</v>
          </cell>
          <cell r="G257">
            <v>6750</v>
          </cell>
          <cell r="H257">
            <v>8785</v>
          </cell>
          <cell r="I257">
            <v>0</v>
          </cell>
        </row>
        <row r="258">
          <cell r="A258">
            <v>92607</v>
          </cell>
          <cell r="B258" t="str">
            <v>MID-CAROLINA COUNCIL OF GOVERNMENTS</v>
          </cell>
          <cell r="C258">
            <v>5.6700000000000003E-5</v>
          </cell>
          <cell r="D258"/>
          <cell r="E258">
            <v>9018</v>
          </cell>
          <cell r="F258">
            <v>-7757</v>
          </cell>
          <cell r="G258">
            <v>1093</v>
          </cell>
          <cell r="H258">
            <v>1423</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1941541</v>
          </cell>
          <cell r="F260">
            <v>-1670088</v>
          </cell>
          <cell r="G260">
            <v>235379</v>
          </cell>
          <cell r="H260">
            <v>306343</v>
          </cell>
          <cell r="I260">
            <v>0</v>
          </cell>
        </row>
        <row r="261">
          <cell r="A261">
            <v>92613</v>
          </cell>
          <cell r="B261" t="str">
            <v>FAYETTEVILLE METROPOLITAN HOUSING AUTH</v>
          </cell>
          <cell r="C261">
            <v>2.23E-4</v>
          </cell>
          <cell r="D261"/>
          <cell r="E261">
            <v>35466</v>
          </cell>
          <cell r="F261">
            <v>-30508</v>
          </cell>
          <cell r="G261">
            <v>4300</v>
          </cell>
          <cell r="H261">
            <v>5596</v>
          </cell>
          <cell r="I261">
            <v>0</v>
          </cell>
        </row>
        <row r="262">
          <cell r="A262">
            <v>92614</v>
          </cell>
          <cell r="B262" t="str">
            <v>PUBLIC WORKS COMM CTY OF FAYETTEVILLE</v>
          </cell>
          <cell r="C262">
            <v>5.7201999999999999E-3</v>
          </cell>
          <cell r="D262"/>
          <cell r="E262">
            <v>909746</v>
          </cell>
          <cell r="F262">
            <v>-782552</v>
          </cell>
          <cell r="G262">
            <v>110291</v>
          </cell>
          <cell r="H262">
            <v>143543</v>
          </cell>
          <cell r="I262">
            <v>0</v>
          </cell>
        </row>
        <row r="263">
          <cell r="A263">
            <v>92621</v>
          </cell>
          <cell r="B263" t="str">
            <v>TOWN OF STEDMAN</v>
          </cell>
          <cell r="C263">
            <v>2.8900000000000001E-5</v>
          </cell>
          <cell r="D263"/>
          <cell r="E263">
            <v>4596</v>
          </cell>
          <cell r="F263">
            <v>-3954</v>
          </cell>
          <cell r="G263">
            <v>557</v>
          </cell>
          <cell r="H263">
            <v>725</v>
          </cell>
          <cell r="I263">
            <v>0</v>
          </cell>
        </row>
        <row r="264">
          <cell r="A264">
            <v>92631</v>
          </cell>
          <cell r="B264" t="str">
            <v>TOWN OF HOPE MILLS</v>
          </cell>
          <cell r="C264">
            <v>9.3329999999999997E-4</v>
          </cell>
          <cell r="D264"/>
          <cell r="E264">
            <v>148433</v>
          </cell>
          <cell r="F264">
            <v>-127680</v>
          </cell>
          <cell r="G264">
            <v>17995</v>
          </cell>
          <cell r="H264">
            <v>23420</v>
          </cell>
          <cell r="I264">
            <v>0</v>
          </cell>
        </row>
        <row r="265">
          <cell r="A265">
            <v>92641</v>
          </cell>
          <cell r="B265" t="str">
            <v>TOWN OF WADE</v>
          </cell>
          <cell r="C265">
            <v>1.11E-5</v>
          </cell>
          <cell r="D265"/>
          <cell r="E265">
            <v>1765</v>
          </cell>
          <cell r="F265">
            <v>-1519</v>
          </cell>
          <cell r="G265">
            <v>214</v>
          </cell>
          <cell r="H265">
            <v>279</v>
          </cell>
          <cell r="I265">
            <v>0</v>
          </cell>
        </row>
        <row r="266">
          <cell r="A266">
            <v>92651</v>
          </cell>
          <cell r="B266" t="str">
            <v>TOWN OF LINDEN</v>
          </cell>
          <cell r="C266">
            <v>4.3000000000000003E-6</v>
          </cell>
          <cell r="D266"/>
          <cell r="E266">
            <v>684</v>
          </cell>
          <cell r="F266">
            <v>-588</v>
          </cell>
          <cell r="G266">
            <v>83</v>
          </cell>
          <cell r="H266">
            <v>108</v>
          </cell>
          <cell r="I266">
            <v>0</v>
          </cell>
        </row>
        <row r="267">
          <cell r="A267">
            <v>92661</v>
          </cell>
          <cell r="B267" t="str">
            <v>TOWN OF SPRING LAKE</v>
          </cell>
          <cell r="C267">
            <v>6.2509999999999996E-4</v>
          </cell>
          <cell r="D267"/>
          <cell r="E267">
            <v>99417</v>
          </cell>
          <cell r="F267">
            <v>-85517</v>
          </cell>
          <cell r="G267">
            <v>12053</v>
          </cell>
          <cell r="H267">
            <v>15686</v>
          </cell>
          <cell r="I267">
            <v>0</v>
          </cell>
        </row>
        <row r="268">
          <cell r="A268">
            <v>92671</v>
          </cell>
          <cell r="B268" t="str">
            <v>TOWN OF FALCON</v>
          </cell>
          <cell r="C268">
            <v>2.0999999999999998E-6</v>
          </cell>
          <cell r="D268"/>
          <cell r="E268">
            <v>334</v>
          </cell>
          <cell r="F268">
            <v>-287</v>
          </cell>
          <cell r="G268">
            <v>40</v>
          </cell>
          <cell r="H268">
            <v>53</v>
          </cell>
          <cell r="I268">
            <v>0</v>
          </cell>
        </row>
        <row r="269">
          <cell r="A269">
            <v>92681</v>
          </cell>
          <cell r="B269" t="str">
            <v>TOWN OF EASTOVER</v>
          </cell>
          <cell r="C269">
            <v>1.1800000000000001E-5</v>
          </cell>
          <cell r="D269"/>
          <cell r="E269">
            <v>1877</v>
          </cell>
          <cell r="F269">
            <v>-1614</v>
          </cell>
          <cell r="G269">
            <v>228</v>
          </cell>
          <cell r="H269">
            <v>296</v>
          </cell>
          <cell r="I269">
            <v>0</v>
          </cell>
        </row>
        <row r="270">
          <cell r="A270">
            <v>92701</v>
          </cell>
          <cell r="B270" t="str">
            <v>CURRITUCK COUNTY</v>
          </cell>
          <cell r="C270">
            <v>3.0688999999999998E-3</v>
          </cell>
          <cell r="D270"/>
          <cell r="E270">
            <v>488081</v>
          </cell>
          <cell r="F270">
            <v>-419841</v>
          </cell>
          <cell r="G270">
            <v>59171</v>
          </cell>
          <cell r="H270">
            <v>77011</v>
          </cell>
          <cell r="I270">
            <v>0</v>
          </cell>
        </row>
        <row r="271">
          <cell r="A271">
            <v>92704</v>
          </cell>
          <cell r="B271" t="str">
            <v>CURRITUCK CO ABC BOARD</v>
          </cell>
          <cell r="C271">
            <v>3.6900000000000002E-5</v>
          </cell>
          <cell r="D271"/>
          <cell r="E271">
            <v>5869</v>
          </cell>
          <cell r="F271">
            <v>-5048</v>
          </cell>
          <cell r="G271">
            <v>711</v>
          </cell>
          <cell r="H271">
            <v>926</v>
          </cell>
          <cell r="I271">
            <v>0</v>
          </cell>
        </row>
        <row r="272">
          <cell r="A272">
            <v>92801</v>
          </cell>
          <cell r="B272" t="str">
            <v>DARE COUNTY</v>
          </cell>
          <cell r="C272">
            <v>5.4352999999999997E-3</v>
          </cell>
          <cell r="D272"/>
          <cell r="E272">
            <v>864436</v>
          </cell>
          <cell r="F272">
            <v>-743576</v>
          </cell>
          <cell r="G272">
            <v>104798</v>
          </cell>
          <cell r="H272">
            <v>136393</v>
          </cell>
          <cell r="I272">
            <v>0</v>
          </cell>
        </row>
        <row r="273">
          <cell r="A273">
            <v>92802</v>
          </cell>
          <cell r="B273" t="str">
            <v>DARE COUNTY TOURISM BOARD</v>
          </cell>
          <cell r="C273">
            <v>1.198E-4</v>
          </cell>
          <cell r="D273"/>
          <cell r="E273">
            <v>19053</v>
          </cell>
          <cell r="F273">
            <v>-16389</v>
          </cell>
          <cell r="G273">
            <v>2310</v>
          </cell>
          <cell r="H273">
            <v>3006</v>
          </cell>
          <cell r="I273">
            <v>0</v>
          </cell>
        </row>
        <row r="274">
          <cell r="A274">
            <v>92804</v>
          </cell>
          <cell r="B274" t="str">
            <v>DARE COUNTY ABC BOARD</v>
          </cell>
          <cell r="C274">
            <v>1.427E-4</v>
          </cell>
          <cell r="D274"/>
          <cell r="E274">
            <v>22695</v>
          </cell>
          <cell r="F274">
            <v>-19522</v>
          </cell>
          <cell r="G274">
            <v>2751</v>
          </cell>
          <cell r="H274">
            <v>3581</v>
          </cell>
          <cell r="I274">
            <v>0</v>
          </cell>
        </row>
        <row r="275">
          <cell r="A275">
            <v>92811</v>
          </cell>
          <cell r="B275" t="str">
            <v>TOWN OF NAGS HEAD</v>
          </cell>
          <cell r="C275">
            <v>9.1160000000000004E-4</v>
          </cell>
          <cell r="D275"/>
          <cell r="E275">
            <v>144982</v>
          </cell>
          <cell r="F275">
            <v>-124711</v>
          </cell>
          <cell r="G275">
            <v>17577</v>
          </cell>
          <cell r="H275">
            <v>22876</v>
          </cell>
          <cell r="I275">
            <v>0</v>
          </cell>
        </row>
        <row r="276">
          <cell r="A276">
            <v>92821</v>
          </cell>
          <cell r="B276" t="str">
            <v>TOWN OF KILL DEVIL HILLS</v>
          </cell>
          <cell r="C276">
            <v>9.8409999999999991E-4</v>
          </cell>
          <cell r="D276"/>
          <cell r="E276">
            <v>156512</v>
          </cell>
          <cell r="F276">
            <v>-134630</v>
          </cell>
          <cell r="G276">
            <v>18974</v>
          </cell>
          <cell r="H276">
            <v>24695</v>
          </cell>
          <cell r="I276">
            <v>0</v>
          </cell>
        </row>
        <row r="277">
          <cell r="A277">
            <v>92831</v>
          </cell>
          <cell r="B277" t="str">
            <v>TOWN OF MANTEO</v>
          </cell>
          <cell r="C277">
            <v>2.5230000000000001E-4</v>
          </cell>
          <cell r="D277"/>
          <cell r="E277">
            <v>40126</v>
          </cell>
          <cell r="F277">
            <v>-34516</v>
          </cell>
          <cell r="G277">
            <v>4865</v>
          </cell>
          <cell r="H277">
            <v>6331</v>
          </cell>
          <cell r="I277">
            <v>0</v>
          </cell>
        </row>
        <row r="278">
          <cell r="A278">
            <v>92841</v>
          </cell>
          <cell r="B278" t="str">
            <v>TOWN OF SOUTHERN SHORES</v>
          </cell>
          <cell r="C278">
            <v>2.4340000000000001E-4</v>
          </cell>
          <cell r="D278"/>
          <cell r="E278">
            <v>38711</v>
          </cell>
          <cell r="F278">
            <v>-33298</v>
          </cell>
          <cell r="G278">
            <v>4693</v>
          </cell>
          <cell r="H278">
            <v>6108</v>
          </cell>
          <cell r="I278">
            <v>0</v>
          </cell>
        </row>
        <row r="279">
          <cell r="A279">
            <v>92851</v>
          </cell>
          <cell r="B279" t="str">
            <v>TOWN OF KITTY HAWK</v>
          </cell>
          <cell r="C279">
            <v>4.2850000000000001E-4</v>
          </cell>
          <cell r="D279"/>
          <cell r="E279">
            <v>68149</v>
          </cell>
          <cell r="F279">
            <v>-58621</v>
          </cell>
          <cell r="G279">
            <v>8262</v>
          </cell>
          <cell r="H279">
            <v>10753</v>
          </cell>
          <cell r="I279">
            <v>0</v>
          </cell>
        </row>
        <row r="280">
          <cell r="A280">
            <v>92861</v>
          </cell>
          <cell r="B280" t="str">
            <v>TOWN OF DUCK</v>
          </cell>
          <cell r="C280">
            <v>3.6309999999999999E-4</v>
          </cell>
          <cell r="D280"/>
          <cell r="E280">
            <v>57748</v>
          </cell>
          <cell r="F280">
            <v>-49674</v>
          </cell>
          <cell r="G280">
            <v>7001</v>
          </cell>
          <cell r="H280">
            <v>9112</v>
          </cell>
          <cell r="I280">
            <v>0</v>
          </cell>
        </row>
        <row r="281">
          <cell r="A281">
            <v>92901</v>
          </cell>
          <cell r="B281" t="str">
            <v>DAVIDSON COUNTY</v>
          </cell>
          <cell r="C281">
            <v>5.4326000000000001E-3</v>
          </cell>
          <cell r="D281"/>
          <cell r="E281">
            <v>864006</v>
          </cell>
          <cell r="F281">
            <v>-743207</v>
          </cell>
          <cell r="G281">
            <v>104746</v>
          </cell>
          <cell r="H281">
            <v>136326</v>
          </cell>
          <cell r="I281">
            <v>0</v>
          </cell>
        </row>
        <row r="282">
          <cell r="A282">
            <v>92911</v>
          </cell>
          <cell r="B282" t="str">
            <v>CITY OF THOMASVILLE</v>
          </cell>
          <cell r="C282">
            <v>1.9161E-3</v>
          </cell>
          <cell r="D282"/>
          <cell r="E282">
            <v>304738</v>
          </cell>
          <cell r="F282">
            <v>-262132</v>
          </cell>
          <cell r="G282">
            <v>36944</v>
          </cell>
          <cell r="H282">
            <v>48083</v>
          </cell>
          <cell r="I282">
            <v>0</v>
          </cell>
        </row>
        <row r="283">
          <cell r="A283">
            <v>92913</v>
          </cell>
          <cell r="B283" t="str">
            <v>THOMASVILLE HOUSING AUTHORITY</v>
          </cell>
          <cell r="C283">
            <v>2.0400000000000001E-5</v>
          </cell>
          <cell r="D283"/>
          <cell r="E283">
            <v>3244</v>
          </cell>
          <cell r="F283">
            <v>-2791</v>
          </cell>
          <cell r="G283">
            <v>393</v>
          </cell>
          <cell r="H283">
            <v>512</v>
          </cell>
          <cell r="I283">
            <v>0</v>
          </cell>
        </row>
        <row r="284">
          <cell r="A284">
            <v>92914</v>
          </cell>
          <cell r="B284" t="str">
            <v>THOMASVILLE ABC BOARD</v>
          </cell>
          <cell r="C284">
            <v>2.55E-5</v>
          </cell>
          <cell r="D284"/>
          <cell r="E284">
            <v>4056</v>
          </cell>
          <cell r="F284">
            <v>-3489</v>
          </cell>
          <cell r="G284">
            <v>492</v>
          </cell>
          <cell r="H284">
            <v>640</v>
          </cell>
          <cell r="I284">
            <v>0</v>
          </cell>
        </row>
        <row r="285">
          <cell r="A285">
            <v>92917</v>
          </cell>
          <cell r="B285" t="str">
            <v>LEXINGTON ABC BOARD</v>
          </cell>
          <cell r="C285">
            <v>1.9199999999999999E-5</v>
          </cell>
          <cell r="D285"/>
          <cell r="E285">
            <v>3054</v>
          </cell>
          <cell r="F285">
            <v>-2627</v>
          </cell>
          <cell r="G285">
            <v>370</v>
          </cell>
          <cell r="H285">
            <v>482</v>
          </cell>
          <cell r="I285">
            <v>0</v>
          </cell>
        </row>
        <row r="286">
          <cell r="A286">
            <v>92921</v>
          </cell>
          <cell r="B286" t="str">
            <v>TOWN OF DENTON</v>
          </cell>
          <cell r="C286">
            <v>9.6600000000000003E-5</v>
          </cell>
          <cell r="D286"/>
          <cell r="E286">
            <v>15363</v>
          </cell>
          <cell r="F286">
            <v>-13215</v>
          </cell>
          <cell r="G286">
            <v>1863</v>
          </cell>
          <cell r="H286">
            <v>2424</v>
          </cell>
          <cell r="I286">
            <v>0</v>
          </cell>
        </row>
        <row r="287">
          <cell r="A287">
            <v>92931</v>
          </cell>
          <cell r="B287" t="str">
            <v>CITY OF LEXINGTON</v>
          </cell>
          <cell r="C287">
            <v>2.2504999999999999E-3</v>
          </cell>
          <cell r="D287"/>
          <cell r="E287">
            <v>357922</v>
          </cell>
          <cell r="F287">
            <v>-307880</v>
          </cell>
          <cell r="G287">
            <v>43392</v>
          </cell>
          <cell r="H287">
            <v>56474</v>
          </cell>
          <cell r="I287">
            <v>0</v>
          </cell>
        </row>
        <row r="288">
          <cell r="A288">
            <v>92941</v>
          </cell>
          <cell r="B288" t="str">
            <v>TOWN OF MIDWAY</v>
          </cell>
          <cell r="C288">
            <v>4.1999999999999996E-6</v>
          </cell>
          <cell r="D288"/>
          <cell r="E288">
            <v>668</v>
          </cell>
          <cell r="F288">
            <v>-575</v>
          </cell>
          <cell r="G288">
            <v>81</v>
          </cell>
          <cell r="H288">
            <v>105</v>
          </cell>
          <cell r="I288">
            <v>0</v>
          </cell>
        </row>
        <row r="289">
          <cell r="A289">
            <v>93001</v>
          </cell>
          <cell r="B289" t="str">
            <v>DAVIE COUNTY</v>
          </cell>
          <cell r="C289">
            <v>2.2536000000000001E-3</v>
          </cell>
          <cell r="D289"/>
          <cell r="E289">
            <v>358415</v>
          </cell>
          <cell r="F289">
            <v>-308304</v>
          </cell>
          <cell r="G289">
            <v>43452</v>
          </cell>
          <cell r="H289">
            <v>56552</v>
          </cell>
          <cell r="I289">
            <v>0</v>
          </cell>
        </row>
        <row r="290">
          <cell r="A290">
            <v>93009</v>
          </cell>
          <cell r="B290" t="str">
            <v>DAVIE SOIL AND WATER CONSERVATION DIST</v>
          </cell>
          <cell r="C290">
            <v>1.2799999999999999E-5</v>
          </cell>
          <cell r="D290"/>
          <cell r="E290">
            <v>2036</v>
          </cell>
          <cell r="F290">
            <v>-1751</v>
          </cell>
          <cell r="G290">
            <v>247</v>
          </cell>
          <cell r="H290">
            <v>321</v>
          </cell>
          <cell r="I290">
            <v>0</v>
          </cell>
        </row>
        <row r="291">
          <cell r="A291">
            <v>93011</v>
          </cell>
          <cell r="B291" t="str">
            <v>TOWN OF MOCKSVILLE</v>
          </cell>
          <cell r="C291">
            <v>3.0909999999999998E-4</v>
          </cell>
          <cell r="D291"/>
          <cell r="E291">
            <v>49160</v>
          </cell>
          <cell r="F291">
            <v>-42286</v>
          </cell>
          <cell r="G291">
            <v>5960</v>
          </cell>
          <cell r="H291">
            <v>7757</v>
          </cell>
          <cell r="I291">
            <v>0</v>
          </cell>
        </row>
        <row r="292">
          <cell r="A292">
            <v>93021</v>
          </cell>
          <cell r="B292" t="str">
            <v>TOWN OF BERMUDA RUN</v>
          </cell>
          <cell r="C292">
            <v>3.0499999999999999E-5</v>
          </cell>
          <cell r="D292"/>
          <cell r="E292">
            <v>4851</v>
          </cell>
          <cell r="F292">
            <v>-4173</v>
          </cell>
          <cell r="G292">
            <v>588</v>
          </cell>
          <cell r="H292">
            <v>765</v>
          </cell>
          <cell r="I292">
            <v>0</v>
          </cell>
        </row>
        <row r="293">
          <cell r="A293">
            <v>93027</v>
          </cell>
          <cell r="B293" t="str">
            <v>COOLEEMEE ABC BOARD</v>
          </cell>
          <cell r="C293">
            <v>0</v>
          </cell>
          <cell r="D293"/>
          <cell r="E293">
            <v>0</v>
          </cell>
          <cell r="F293">
            <v>0</v>
          </cell>
          <cell r="G293">
            <v>0</v>
          </cell>
          <cell r="H293">
            <v>0</v>
          </cell>
          <cell r="I293">
            <v>0</v>
          </cell>
        </row>
        <row r="294">
          <cell r="A294">
            <v>93028</v>
          </cell>
          <cell r="B294" t="str">
            <v>MOCKSVILLE-COOLEEMEE ABC BOARD</v>
          </cell>
          <cell r="C294">
            <v>0</v>
          </cell>
          <cell r="D294"/>
          <cell r="E294">
            <v>0</v>
          </cell>
          <cell r="F294">
            <v>0</v>
          </cell>
          <cell r="G294">
            <v>0</v>
          </cell>
          <cell r="H294">
            <v>0</v>
          </cell>
          <cell r="I294">
            <v>0</v>
          </cell>
        </row>
        <row r="295">
          <cell r="A295">
            <v>93031</v>
          </cell>
          <cell r="B295" t="str">
            <v>TOWN OF COOLEEMEE</v>
          </cell>
          <cell r="C295">
            <v>7.7000000000000008E-6</v>
          </cell>
          <cell r="D295"/>
          <cell r="E295">
            <v>1225</v>
          </cell>
          <cell r="F295">
            <v>-1053</v>
          </cell>
          <cell r="G295">
            <v>148</v>
          </cell>
          <cell r="H295">
            <v>193</v>
          </cell>
          <cell r="I295">
            <v>0</v>
          </cell>
        </row>
        <row r="296">
          <cell r="A296">
            <v>93101</v>
          </cell>
          <cell r="B296" t="str">
            <v>DUPLIN COUNTY</v>
          </cell>
          <cell r="C296">
            <v>3.1914999999999999E-3</v>
          </cell>
          <cell r="D296"/>
          <cell r="E296">
            <v>507579</v>
          </cell>
          <cell r="F296">
            <v>-436613</v>
          </cell>
          <cell r="G296">
            <v>61535</v>
          </cell>
          <cell r="H296">
            <v>80088</v>
          </cell>
          <cell r="I296">
            <v>0</v>
          </cell>
        </row>
        <row r="297">
          <cell r="A297">
            <v>93103</v>
          </cell>
          <cell r="B297" t="str">
            <v>DUPLIN COUNTY TOURISM DEVELOPMENT AUTHORITY</v>
          </cell>
          <cell r="C297">
            <v>1.56E-5</v>
          </cell>
          <cell r="D297"/>
          <cell r="E297">
            <v>2481</v>
          </cell>
          <cell r="F297">
            <v>-2134</v>
          </cell>
          <cell r="G297">
            <v>301</v>
          </cell>
          <cell r="H297">
            <v>391</v>
          </cell>
          <cell r="I297">
            <v>0</v>
          </cell>
        </row>
        <row r="298">
          <cell r="A298">
            <v>93108</v>
          </cell>
          <cell r="B298" t="str">
            <v>EASTPOINTE HUMAN SERVICES</v>
          </cell>
          <cell r="C298">
            <v>2.2694E-3</v>
          </cell>
          <cell r="D298"/>
          <cell r="E298">
            <v>360928</v>
          </cell>
          <cell r="F298">
            <v>-310465</v>
          </cell>
          <cell r="G298">
            <v>43756</v>
          </cell>
          <cell r="H298">
            <v>56948</v>
          </cell>
          <cell r="I298">
            <v>0</v>
          </cell>
        </row>
        <row r="299">
          <cell r="A299">
            <v>93111</v>
          </cell>
          <cell r="B299" t="str">
            <v>TOWN OF BEULAVILLE</v>
          </cell>
          <cell r="C299">
            <v>5.8199999999999998E-5</v>
          </cell>
          <cell r="D299"/>
          <cell r="E299">
            <v>9256</v>
          </cell>
          <cell r="F299">
            <v>-7962</v>
          </cell>
          <cell r="G299">
            <v>1122</v>
          </cell>
          <cell r="H299">
            <v>1460</v>
          </cell>
          <cell r="I299">
            <v>0</v>
          </cell>
        </row>
        <row r="300">
          <cell r="A300">
            <v>93121</v>
          </cell>
          <cell r="B300" t="str">
            <v>TOWN OF KENANSVILLE</v>
          </cell>
          <cell r="C300">
            <v>6.2199999999999994E-5</v>
          </cell>
          <cell r="D300"/>
          <cell r="E300">
            <v>9892</v>
          </cell>
          <cell r="F300">
            <v>-8509</v>
          </cell>
          <cell r="G300">
            <v>1199</v>
          </cell>
          <cell r="H300">
            <v>1561</v>
          </cell>
          <cell r="I300">
            <v>0</v>
          </cell>
        </row>
        <row r="301">
          <cell r="A301">
            <v>93127</v>
          </cell>
          <cell r="B301" t="str">
            <v>KENANSVILLE ABC BOARD</v>
          </cell>
          <cell r="C301">
            <v>5.9000000000000003E-6</v>
          </cell>
          <cell r="D301"/>
          <cell r="E301">
            <v>938</v>
          </cell>
          <cell r="F301">
            <v>-807</v>
          </cell>
          <cell r="G301">
            <v>114</v>
          </cell>
          <cell r="H301">
            <v>148</v>
          </cell>
          <cell r="I301">
            <v>0</v>
          </cell>
        </row>
        <row r="302">
          <cell r="A302">
            <v>93131</v>
          </cell>
          <cell r="B302" t="str">
            <v>TOWN OF WARSAW</v>
          </cell>
          <cell r="C302">
            <v>1.7799999999999999E-4</v>
          </cell>
          <cell r="D302"/>
          <cell r="E302">
            <v>28309</v>
          </cell>
          <cell r="F302">
            <v>-24351</v>
          </cell>
          <cell r="G302">
            <v>3432</v>
          </cell>
          <cell r="H302">
            <v>4467</v>
          </cell>
          <cell r="I302">
            <v>0</v>
          </cell>
        </row>
        <row r="303">
          <cell r="A303">
            <v>93137</v>
          </cell>
          <cell r="B303" t="str">
            <v>WARSAW ABC BOARD</v>
          </cell>
          <cell r="C303">
            <v>4.7999999999999998E-6</v>
          </cell>
          <cell r="D303"/>
          <cell r="E303">
            <v>763</v>
          </cell>
          <cell r="F303">
            <v>-657</v>
          </cell>
          <cell r="G303">
            <v>93</v>
          </cell>
          <cell r="H303">
            <v>120</v>
          </cell>
          <cell r="I303">
            <v>0</v>
          </cell>
        </row>
        <row r="304">
          <cell r="A304">
            <v>93141</v>
          </cell>
          <cell r="B304" t="str">
            <v>TOWN OF FAISON</v>
          </cell>
          <cell r="C304">
            <v>3.2499999999999997E-5</v>
          </cell>
          <cell r="D304"/>
          <cell r="E304">
            <v>5169</v>
          </cell>
          <cell r="F304">
            <v>-4446</v>
          </cell>
          <cell r="G304">
            <v>627</v>
          </cell>
          <cell r="H304">
            <v>816</v>
          </cell>
          <cell r="I304">
            <v>0</v>
          </cell>
        </row>
        <row r="305">
          <cell r="A305">
            <v>93151</v>
          </cell>
          <cell r="B305" t="str">
            <v>TOWN OF WALLACE</v>
          </cell>
          <cell r="C305">
            <v>3.7100000000000002E-4</v>
          </cell>
          <cell r="D305"/>
          <cell r="E305">
            <v>59004</v>
          </cell>
          <cell r="F305">
            <v>-50755</v>
          </cell>
          <cell r="G305">
            <v>7153</v>
          </cell>
          <cell r="H305">
            <v>9310</v>
          </cell>
          <cell r="I305">
            <v>0</v>
          </cell>
        </row>
        <row r="306">
          <cell r="A306">
            <v>93157</v>
          </cell>
          <cell r="B306" t="str">
            <v>WALLACE ABC BD</v>
          </cell>
          <cell r="C306">
            <v>7.9000000000000006E-6</v>
          </cell>
          <cell r="D306"/>
          <cell r="E306">
            <v>1256</v>
          </cell>
          <cell r="F306">
            <v>-1081</v>
          </cell>
          <cell r="G306">
            <v>152</v>
          </cell>
          <cell r="H306">
            <v>198</v>
          </cell>
          <cell r="I306">
            <v>0</v>
          </cell>
        </row>
        <row r="307">
          <cell r="A307">
            <v>93161</v>
          </cell>
          <cell r="B307" t="str">
            <v>TOWN OF ROSE HILL</v>
          </cell>
          <cell r="C307">
            <v>1.2180000000000001E-4</v>
          </cell>
          <cell r="D307"/>
          <cell r="E307">
            <v>19371</v>
          </cell>
          <cell r="F307">
            <v>-16663</v>
          </cell>
          <cell r="G307">
            <v>2348</v>
          </cell>
          <cell r="H307">
            <v>3056</v>
          </cell>
          <cell r="I307">
            <v>0</v>
          </cell>
        </row>
        <row r="308">
          <cell r="A308">
            <v>93171</v>
          </cell>
          <cell r="B308" t="str">
            <v>TOWN OF CALYPSO</v>
          </cell>
          <cell r="C308">
            <v>5.3000000000000001E-6</v>
          </cell>
          <cell r="D308"/>
          <cell r="E308">
            <v>843</v>
          </cell>
          <cell r="F308">
            <v>-725</v>
          </cell>
          <cell r="G308">
            <v>102</v>
          </cell>
          <cell r="H308">
            <v>133</v>
          </cell>
          <cell r="I308">
            <v>0</v>
          </cell>
        </row>
        <row r="309">
          <cell r="A309">
            <v>93181</v>
          </cell>
          <cell r="B309" t="str">
            <v>TOWN OF TEACHEY</v>
          </cell>
          <cell r="C309">
            <v>1.04E-5</v>
          </cell>
          <cell r="D309"/>
          <cell r="E309">
            <v>1654</v>
          </cell>
          <cell r="F309">
            <v>-1423</v>
          </cell>
          <cell r="G309">
            <v>201</v>
          </cell>
          <cell r="H309">
            <v>261</v>
          </cell>
          <cell r="I309">
            <v>0</v>
          </cell>
        </row>
        <row r="310">
          <cell r="A310">
            <v>93191</v>
          </cell>
          <cell r="B310" t="str">
            <v>TOWN OF MAGNOLIA</v>
          </cell>
          <cell r="C310">
            <v>2.34E-5</v>
          </cell>
          <cell r="D310"/>
          <cell r="E310">
            <v>3722</v>
          </cell>
          <cell r="F310">
            <v>-3201</v>
          </cell>
          <cell r="G310">
            <v>451</v>
          </cell>
          <cell r="H310">
            <v>587</v>
          </cell>
          <cell r="I310">
            <v>0</v>
          </cell>
        </row>
        <row r="311">
          <cell r="A311">
            <v>93201</v>
          </cell>
          <cell r="B311" t="str">
            <v>DURHAM COUNTY</v>
          </cell>
          <cell r="C311">
            <v>1.5197799999999999E-2</v>
          </cell>
          <cell r="D311"/>
          <cell r="E311">
            <v>2417073</v>
          </cell>
          <cell r="F311">
            <v>-2079135</v>
          </cell>
          <cell r="G311">
            <v>293029</v>
          </cell>
          <cell r="H311">
            <v>381374</v>
          </cell>
          <cell r="I311">
            <v>0</v>
          </cell>
        </row>
        <row r="312">
          <cell r="A312">
            <v>93202</v>
          </cell>
          <cell r="B312" t="str">
            <v>PARKWOOD FIRE DEPARTMENT</v>
          </cell>
          <cell r="C312">
            <v>0</v>
          </cell>
          <cell r="D312"/>
          <cell r="E312">
            <v>0</v>
          </cell>
          <cell r="F312">
            <v>0</v>
          </cell>
          <cell r="G312">
            <v>0</v>
          </cell>
          <cell r="H312">
            <v>0</v>
          </cell>
          <cell r="I312">
            <v>0</v>
          </cell>
        </row>
        <row r="313">
          <cell r="A313">
            <v>93204</v>
          </cell>
          <cell r="B313" t="str">
            <v>DURHAM COUNTY ABC BOARD</v>
          </cell>
          <cell r="C313">
            <v>2.9710000000000001E-4</v>
          </cell>
          <cell r="D313"/>
          <cell r="E313">
            <v>47251</v>
          </cell>
          <cell r="F313">
            <v>-40645</v>
          </cell>
          <cell r="G313">
            <v>5728</v>
          </cell>
          <cell r="H313">
            <v>7455</v>
          </cell>
          <cell r="I313">
            <v>0</v>
          </cell>
        </row>
        <row r="314">
          <cell r="A314">
            <v>93209</v>
          </cell>
          <cell r="B314" t="str">
            <v>ALLIANCE BEHAVIORAL HEALTHCRE</v>
          </cell>
          <cell r="C314">
            <v>5.5938000000000003E-3</v>
          </cell>
          <cell r="D314"/>
          <cell r="E314">
            <v>889644</v>
          </cell>
          <cell r="F314">
            <v>-765260</v>
          </cell>
          <cell r="G314">
            <v>107854</v>
          </cell>
          <cell r="H314">
            <v>140371</v>
          </cell>
          <cell r="I314">
            <v>0</v>
          </cell>
        </row>
        <row r="315">
          <cell r="A315">
            <v>93211</v>
          </cell>
          <cell r="B315" t="str">
            <v>CITY OF DURHAM</v>
          </cell>
          <cell r="C315">
            <v>2.16165E-2</v>
          </cell>
          <cell r="D315"/>
          <cell r="E315">
            <v>3437910</v>
          </cell>
          <cell r="F315">
            <v>-2957245</v>
          </cell>
          <cell r="G315">
            <v>416788</v>
          </cell>
          <cell r="H315">
            <v>542444</v>
          </cell>
          <cell r="I315">
            <v>0</v>
          </cell>
        </row>
        <row r="316">
          <cell r="A316">
            <v>93212</v>
          </cell>
          <cell r="B316" t="str">
            <v>DURHAM CONVENTION &amp; VISITORS BUREAU</v>
          </cell>
          <cell r="C316">
            <v>2.3910000000000001E-4</v>
          </cell>
          <cell r="D316"/>
          <cell r="E316">
            <v>38027</v>
          </cell>
          <cell r="F316">
            <v>-32710</v>
          </cell>
          <cell r="G316">
            <v>4610</v>
          </cell>
          <cell r="H316">
            <v>6000</v>
          </cell>
          <cell r="I316">
            <v>0</v>
          </cell>
        </row>
        <row r="317">
          <cell r="A317">
            <v>93219</v>
          </cell>
          <cell r="B317" t="str">
            <v>TRIANGLE J COUNCIL OF GOVERNMENTS</v>
          </cell>
          <cell r="C317">
            <v>2.6229999999999998E-4</v>
          </cell>
          <cell r="D317"/>
          <cell r="E317">
            <v>41716</v>
          </cell>
          <cell r="F317">
            <v>-35884</v>
          </cell>
          <cell r="G317">
            <v>5057</v>
          </cell>
          <cell r="H317">
            <v>6582</v>
          </cell>
          <cell r="I317">
            <v>0</v>
          </cell>
        </row>
        <row r="318">
          <cell r="A318">
            <v>93301</v>
          </cell>
          <cell r="B318" t="str">
            <v>EDGECOMBE COUNTY</v>
          </cell>
          <cell r="C318">
            <v>2.2057999999999999E-3</v>
          </cell>
          <cell r="D318"/>
          <cell r="E318">
            <v>350813</v>
          </cell>
          <cell r="F318">
            <v>-301764</v>
          </cell>
          <cell r="G318">
            <v>42530</v>
          </cell>
          <cell r="H318">
            <v>55352</v>
          </cell>
          <cell r="I318">
            <v>0</v>
          </cell>
        </row>
        <row r="319">
          <cell r="A319">
            <v>93304</v>
          </cell>
          <cell r="B319" t="str">
            <v>EDGECOMBE COUNTY ABC BOARD</v>
          </cell>
          <cell r="C319">
            <v>3.9400000000000002E-5</v>
          </cell>
          <cell r="D319"/>
          <cell r="E319">
            <v>6266</v>
          </cell>
          <cell r="F319">
            <v>-5390</v>
          </cell>
          <cell r="G319">
            <v>760</v>
          </cell>
          <cell r="H319">
            <v>989</v>
          </cell>
          <cell r="I319">
            <v>0</v>
          </cell>
        </row>
        <row r="320">
          <cell r="A320">
            <v>93305</v>
          </cell>
          <cell r="B320" t="str">
            <v>EDGECOMBE COUNTY MEMORIAL LIBRARY</v>
          </cell>
          <cell r="C320">
            <v>4.0299999999999997E-5</v>
          </cell>
          <cell r="D320"/>
          <cell r="E320">
            <v>6409</v>
          </cell>
          <cell r="F320">
            <v>-5513</v>
          </cell>
          <cell r="G320">
            <v>777</v>
          </cell>
          <cell r="H320">
            <v>1011</v>
          </cell>
          <cell r="I320">
            <v>0</v>
          </cell>
        </row>
        <row r="321">
          <cell r="A321">
            <v>93309</v>
          </cell>
          <cell r="B321" t="str">
            <v>UPPER COASTAL PLAIN COUNCIL OF GOVERNMENTS</v>
          </cell>
          <cell r="C321">
            <v>1.6239999999999999E-4</v>
          </cell>
          <cell r="D321"/>
          <cell r="E321">
            <v>25828</v>
          </cell>
          <cell r="F321">
            <v>-22217</v>
          </cell>
          <cell r="G321">
            <v>3131</v>
          </cell>
          <cell r="H321">
            <v>4075</v>
          </cell>
          <cell r="I321">
            <v>0</v>
          </cell>
        </row>
        <row r="322">
          <cell r="A322">
            <v>93311</v>
          </cell>
          <cell r="B322" t="str">
            <v>TOWN OF TARBORO</v>
          </cell>
          <cell r="C322">
            <v>1.2413999999999999E-3</v>
          </cell>
          <cell r="D322"/>
          <cell r="E322">
            <v>197433</v>
          </cell>
          <cell r="F322">
            <v>-169830</v>
          </cell>
          <cell r="G322">
            <v>23935</v>
          </cell>
          <cell r="H322">
            <v>31152</v>
          </cell>
          <cell r="I322">
            <v>0</v>
          </cell>
        </row>
        <row r="323">
          <cell r="A323">
            <v>93317</v>
          </cell>
          <cell r="B323" t="str">
            <v>TARBORO REDEVELOPMENT COMMISSION</v>
          </cell>
          <cell r="C323">
            <v>4.1199999999999999E-5</v>
          </cell>
          <cell r="D323"/>
          <cell r="E323">
            <v>6552</v>
          </cell>
          <cell r="F323">
            <v>-5636</v>
          </cell>
          <cell r="G323">
            <v>794</v>
          </cell>
          <cell r="H323">
            <v>1034</v>
          </cell>
          <cell r="I323">
            <v>0</v>
          </cell>
        </row>
        <row r="324">
          <cell r="A324">
            <v>93321</v>
          </cell>
          <cell r="B324" t="str">
            <v>CITY OF ROCKY MOUNT</v>
          </cell>
          <cell r="C324">
            <v>6.7971999999999998E-3</v>
          </cell>
          <cell r="D324"/>
          <cell r="E324">
            <v>1081033</v>
          </cell>
          <cell r="F324">
            <v>-929891</v>
          </cell>
          <cell r="G324">
            <v>131057</v>
          </cell>
          <cell r="H324">
            <v>170569</v>
          </cell>
          <cell r="I324">
            <v>0</v>
          </cell>
        </row>
        <row r="325">
          <cell r="A325">
            <v>93323</v>
          </cell>
          <cell r="B325" t="str">
            <v>ROCKY MOUNT-WILSON AIRPORT AUTHORITY</v>
          </cell>
          <cell r="C325">
            <v>2.0100000000000001E-5</v>
          </cell>
          <cell r="D325"/>
          <cell r="E325">
            <v>3197</v>
          </cell>
          <cell r="F325">
            <v>-2750</v>
          </cell>
          <cell r="G325">
            <v>388</v>
          </cell>
          <cell r="H325">
            <v>504</v>
          </cell>
          <cell r="I325">
            <v>0</v>
          </cell>
        </row>
        <row r="326">
          <cell r="A326">
            <v>93331</v>
          </cell>
          <cell r="B326" t="str">
            <v>TOWN OF PINETOPS</v>
          </cell>
          <cell r="C326">
            <v>1.161E-4</v>
          </cell>
          <cell r="D326"/>
          <cell r="E326">
            <v>18465</v>
          </cell>
          <cell r="F326">
            <v>-15883</v>
          </cell>
          <cell r="G326">
            <v>2239</v>
          </cell>
          <cell r="H326">
            <v>2913</v>
          </cell>
          <cell r="I326">
            <v>0</v>
          </cell>
        </row>
        <row r="327">
          <cell r="A327">
            <v>93333</v>
          </cell>
          <cell r="B327" t="str">
            <v>ROCKY MT HOUSING AUTHORITY</v>
          </cell>
          <cell r="C327">
            <v>1.6660000000000001E-4</v>
          </cell>
          <cell r="D327"/>
          <cell r="E327">
            <v>26496</v>
          </cell>
          <cell r="F327">
            <v>-22792</v>
          </cell>
          <cell r="G327">
            <v>3212</v>
          </cell>
          <cell r="H327">
            <v>4181</v>
          </cell>
          <cell r="I327">
            <v>0</v>
          </cell>
        </row>
        <row r="328">
          <cell r="A328">
            <v>93341</v>
          </cell>
          <cell r="B328" t="str">
            <v>TOWN OF MACCLESFIELD</v>
          </cell>
          <cell r="C328">
            <v>2.9300000000000001E-5</v>
          </cell>
          <cell r="D328"/>
          <cell r="E328">
            <v>4660</v>
          </cell>
          <cell r="F328">
            <v>-4008</v>
          </cell>
          <cell r="G328">
            <v>565</v>
          </cell>
          <cell r="H328">
            <v>735</v>
          </cell>
          <cell r="I328">
            <v>0</v>
          </cell>
        </row>
        <row r="329">
          <cell r="A329">
            <v>93351</v>
          </cell>
          <cell r="B329" t="str">
            <v>TOWN OF PRINCEVILLE</v>
          </cell>
          <cell r="C329">
            <v>3.1600000000000002E-5</v>
          </cell>
          <cell r="D329"/>
          <cell r="E329">
            <v>5026</v>
          </cell>
          <cell r="F329">
            <v>-4323</v>
          </cell>
          <cell r="G329">
            <v>609</v>
          </cell>
          <cell r="H329">
            <v>793</v>
          </cell>
          <cell r="I329">
            <v>0</v>
          </cell>
        </row>
        <row r="330">
          <cell r="A330">
            <v>93401</v>
          </cell>
          <cell r="B330" t="str">
            <v>FORSYTH COUNTY</v>
          </cell>
          <cell r="C330">
            <v>1.3690799999999999E-2</v>
          </cell>
          <cell r="D330"/>
          <cell r="E330">
            <v>2177399</v>
          </cell>
          <cell r="F330">
            <v>-1872970</v>
          </cell>
          <cell r="G330">
            <v>263972</v>
          </cell>
          <cell r="H330">
            <v>343557</v>
          </cell>
          <cell r="I330">
            <v>0</v>
          </cell>
        </row>
        <row r="331">
          <cell r="A331">
            <v>93402</v>
          </cell>
          <cell r="B331" t="str">
            <v>AIRPORT COMMISSION OF FORSYTH COUNTY</v>
          </cell>
          <cell r="C331">
            <v>0</v>
          </cell>
          <cell r="D331"/>
          <cell r="E331">
            <v>0</v>
          </cell>
          <cell r="F331">
            <v>0</v>
          </cell>
          <cell r="G331">
            <v>0</v>
          </cell>
          <cell r="H331">
            <v>0</v>
          </cell>
          <cell r="I331">
            <v>0</v>
          </cell>
        </row>
        <row r="332">
          <cell r="A332">
            <v>93406</v>
          </cell>
          <cell r="B332" t="str">
            <v>PIEDMONT TRIAD REGIONAL COUNCIL</v>
          </cell>
          <cell r="C332">
            <v>4.9350000000000002E-4</v>
          </cell>
          <cell r="D332"/>
          <cell r="E332">
            <v>78487</v>
          </cell>
          <cell r="F332">
            <v>-67513</v>
          </cell>
          <cell r="G332">
            <v>9515</v>
          </cell>
          <cell r="H332">
            <v>12384</v>
          </cell>
          <cell r="I332">
            <v>0</v>
          </cell>
        </row>
        <row r="333">
          <cell r="A333">
            <v>93408</v>
          </cell>
          <cell r="B333" t="str">
            <v>CENTERPOINT HUMAN SERVICES</v>
          </cell>
          <cell r="C333">
            <v>0</v>
          </cell>
          <cell r="D333"/>
          <cell r="E333">
            <v>0</v>
          </cell>
          <cell r="F333">
            <v>0</v>
          </cell>
          <cell r="G333">
            <v>0</v>
          </cell>
          <cell r="H333">
            <v>0</v>
          </cell>
          <cell r="I333">
            <v>0</v>
          </cell>
        </row>
        <row r="334">
          <cell r="A334">
            <v>93411</v>
          </cell>
          <cell r="B334" t="str">
            <v>CITY OF WINSTON-SALEM</v>
          </cell>
          <cell r="C334">
            <v>1.77345E-2</v>
          </cell>
          <cell r="D334"/>
          <cell r="E334">
            <v>2820513</v>
          </cell>
          <cell r="F334">
            <v>-2426168</v>
          </cell>
          <cell r="G334">
            <v>341939</v>
          </cell>
          <cell r="H334">
            <v>445030</v>
          </cell>
          <cell r="I334">
            <v>0</v>
          </cell>
        </row>
        <row r="335">
          <cell r="A335">
            <v>93413</v>
          </cell>
          <cell r="B335" t="str">
            <v>WINSTON-SALEM HOUSING AUTHORITY</v>
          </cell>
          <cell r="C335">
            <v>6.9559999999999999E-4</v>
          </cell>
          <cell r="D335"/>
          <cell r="E335">
            <v>110629</v>
          </cell>
          <cell r="F335">
            <v>-95162</v>
          </cell>
          <cell r="G335">
            <v>13412</v>
          </cell>
          <cell r="H335">
            <v>17455</v>
          </cell>
          <cell r="I335">
            <v>0</v>
          </cell>
        </row>
        <row r="336">
          <cell r="A336">
            <v>93417</v>
          </cell>
          <cell r="B336" t="str">
            <v>TRIAD MUNICIPAL ABC BOARD</v>
          </cell>
          <cell r="C336">
            <v>2.8659999999999997E-4</v>
          </cell>
          <cell r="D336"/>
          <cell r="E336">
            <v>45581</v>
          </cell>
          <cell r="F336">
            <v>-39208</v>
          </cell>
          <cell r="G336">
            <v>5526</v>
          </cell>
          <cell r="H336">
            <v>7192</v>
          </cell>
          <cell r="I336">
            <v>0</v>
          </cell>
        </row>
        <row r="337">
          <cell r="A337">
            <v>93421</v>
          </cell>
          <cell r="B337" t="str">
            <v>TOWN OF KERNERSVILLE</v>
          </cell>
          <cell r="C337">
            <v>2.0569E-3</v>
          </cell>
          <cell r="D337"/>
          <cell r="E337">
            <v>327131</v>
          </cell>
          <cell r="F337">
            <v>-281394</v>
          </cell>
          <cell r="G337">
            <v>39659</v>
          </cell>
          <cell r="H337">
            <v>51616</v>
          </cell>
          <cell r="I337">
            <v>0</v>
          </cell>
        </row>
        <row r="338">
          <cell r="A338">
            <v>93431</v>
          </cell>
          <cell r="B338" t="str">
            <v>TOWN OF RURAL HALL</v>
          </cell>
          <cell r="C338">
            <v>1.381E-4</v>
          </cell>
          <cell r="D338"/>
          <cell r="E338">
            <v>21964</v>
          </cell>
          <cell r="F338">
            <v>-18893</v>
          </cell>
          <cell r="G338">
            <v>2663</v>
          </cell>
          <cell r="H338">
            <v>3465</v>
          </cell>
          <cell r="I338">
            <v>0</v>
          </cell>
        </row>
        <row r="339">
          <cell r="A339">
            <v>93441</v>
          </cell>
          <cell r="B339" t="str">
            <v>VILLAGE OF CLEMMONS</v>
          </cell>
          <cell r="C339">
            <v>1.6559999999999999E-4</v>
          </cell>
          <cell r="D339"/>
          <cell r="E339">
            <v>26337</v>
          </cell>
          <cell r="F339">
            <v>-22655</v>
          </cell>
          <cell r="G339">
            <v>3193</v>
          </cell>
          <cell r="H339">
            <v>4156</v>
          </cell>
          <cell r="I339">
            <v>0</v>
          </cell>
        </row>
        <row r="340">
          <cell r="A340">
            <v>93442</v>
          </cell>
          <cell r="B340" t="str">
            <v>CLEMMONS FIRE DEPARTMENT</v>
          </cell>
          <cell r="C340">
            <v>1.561E-4</v>
          </cell>
          <cell r="D340"/>
          <cell r="E340">
            <v>24826</v>
          </cell>
          <cell r="F340">
            <v>-21355</v>
          </cell>
          <cell r="G340">
            <v>3010</v>
          </cell>
          <cell r="H340">
            <v>3917</v>
          </cell>
          <cell r="I340">
            <v>0</v>
          </cell>
        </row>
        <row r="341">
          <cell r="A341">
            <v>93451</v>
          </cell>
          <cell r="B341" t="str">
            <v>TOWN OF LEWISVILLE</v>
          </cell>
          <cell r="C341">
            <v>6.6600000000000006E-5</v>
          </cell>
          <cell r="D341"/>
          <cell r="E341">
            <v>10592</v>
          </cell>
          <cell r="F341">
            <v>-9111</v>
          </cell>
          <cell r="G341">
            <v>1284</v>
          </cell>
          <cell r="H341">
            <v>1671</v>
          </cell>
          <cell r="I341">
            <v>0</v>
          </cell>
        </row>
        <row r="342">
          <cell r="A342">
            <v>93461</v>
          </cell>
          <cell r="B342" t="str">
            <v>TOWN OF WALKERTOWN</v>
          </cell>
          <cell r="C342">
            <v>1.5500000000000001E-5</v>
          </cell>
          <cell r="D342"/>
          <cell r="E342">
            <v>2465</v>
          </cell>
          <cell r="F342">
            <v>-2120</v>
          </cell>
          <cell r="G342">
            <v>299</v>
          </cell>
          <cell r="H342">
            <v>389</v>
          </cell>
          <cell r="I342">
            <v>0</v>
          </cell>
        </row>
        <row r="343">
          <cell r="A343">
            <v>93471</v>
          </cell>
          <cell r="B343" t="str">
            <v>VILLAGE OF TOBACCOVILLE</v>
          </cell>
          <cell r="C343">
            <v>1.1399999999999999E-5</v>
          </cell>
          <cell r="D343"/>
          <cell r="E343">
            <v>1813</v>
          </cell>
          <cell r="F343">
            <v>-1560</v>
          </cell>
          <cell r="G343">
            <v>220</v>
          </cell>
          <cell r="H343">
            <v>286</v>
          </cell>
          <cell r="I343">
            <v>0</v>
          </cell>
        </row>
        <row r="344">
          <cell r="A344">
            <v>93501</v>
          </cell>
          <cell r="B344" t="str">
            <v>FRANKLIN COUNTY</v>
          </cell>
          <cell r="C344">
            <v>3.8463999999999998E-3</v>
          </cell>
          <cell r="D344"/>
          <cell r="E344">
            <v>611735</v>
          </cell>
          <cell r="F344">
            <v>-526207</v>
          </cell>
          <cell r="G344">
            <v>74162</v>
          </cell>
          <cell r="H344">
            <v>96522</v>
          </cell>
          <cell r="I344">
            <v>0</v>
          </cell>
        </row>
        <row r="345">
          <cell r="A345">
            <v>93511</v>
          </cell>
          <cell r="B345" t="str">
            <v>TOWN OF FRANKLINTON</v>
          </cell>
          <cell r="C345">
            <v>8.7899999999999995E-5</v>
          </cell>
          <cell r="D345"/>
          <cell r="E345">
            <v>13980</v>
          </cell>
          <cell r="F345">
            <v>-12025</v>
          </cell>
          <cell r="G345">
            <v>1695</v>
          </cell>
          <cell r="H345">
            <v>2206</v>
          </cell>
          <cell r="I345">
            <v>0</v>
          </cell>
        </row>
        <row r="346">
          <cell r="A346">
            <v>93517</v>
          </cell>
          <cell r="B346" t="str">
            <v>FRANKLINTON ABC BOARD</v>
          </cell>
          <cell r="C346">
            <v>4.3000000000000003E-6</v>
          </cell>
          <cell r="D346"/>
          <cell r="E346">
            <v>684</v>
          </cell>
          <cell r="F346">
            <v>-588</v>
          </cell>
          <cell r="G346">
            <v>83</v>
          </cell>
          <cell r="H346">
            <v>108</v>
          </cell>
          <cell r="I346">
            <v>0</v>
          </cell>
        </row>
        <row r="347">
          <cell r="A347">
            <v>93521</v>
          </cell>
          <cell r="B347" t="str">
            <v>TOWN OF LOUISBURG</v>
          </cell>
          <cell r="C347">
            <v>4.7340000000000001E-4</v>
          </cell>
          <cell r="D347"/>
          <cell r="E347">
            <v>75290</v>
          </cell>
          <cell r="F347">
            <v>-64763</v>
          </cell>
          <cell r="G347">
            <v>9128</v>
          </cell>
          <cell r="H347">
            <v>11879</v>
          </cell>
          <cell r="I347">
            <v>0</v>
          </cell>
        </row>
        <row r="348">
          <cell r="A348">
            <v>93527</v>
          </cell>
          <cell r="B348" t="str">
            <v>LOUISBURG ABC BOARD</v>
          </cell>
          <cell r="C348">
            <v>9.5999999999999996E-6</v>
          </cell>
          <cell r="D348"/>
          <cell r="E348">
            <v>1527</v>
          </cell>
          <cell r="F348">
            <v>-1313</v>
          </cell>
          <cell r="G348">
            <v>185</v>
          </cell>
          <cell r="H348">
            <v>241</v>
          </cell>
          <cell r="I348">
            <v>0</v>
          </cell>
        </row>
        <row r="349">
          <cell r="A349">
            <v>93531</v>
          </cell>
          <cell r="B349" t="str">
            <v>TOWN OF BUNN</v>
          </cell>
          <cell r="C349">
            <v>2.23E-5</v>
          </cell>
          <cell r="D349"/>
          <cell r="E349">
            <v>3547</v>
          </cell>
          <cell r="F349">
            <v>-3051</v>
          </cell>
          <cell r="G349">
            <v>430</v>
          </cell>
          <cell r="H349">
            <v>560</v>
          </cell>
          <cell r="I349">
            <v>0</v>
          </cell>
        </row>
        <row r="350">
          <cell r="A350">
            <v>93537</v>
          </cell>
          <cell r="B350" t="str">
            <v>ABC BOARD - TOWN OF BUNN</v>
          </cell>
          <cell r="C350">
            <v>1.08E-5</v>
          </cell>
          <cell r="D350"/>
          <cell r="E350">
            <v>1718</v>
          </cell>
          <cell r="F350">
            <v>-1477</v>
          </cell>
          <cell r="G350">
            <v>208</v>
          </cell>
          <cell r="H350">
            <v>271</v>
          </cell>
          <cell r="I350">
            <v>0</v>
          </cell>
        </row>
        <row r="351">
          <cell r="A351">
            <v>93541</v>
          </cell>
          <cell r="B351" t="str">
            <v>TOWN OF YOUNGSVILLE</v>
          </cell>
          <cell r="C351">
            <v>9.9699999999999998E-5</v>
          </cell>
          <cell r="D351"/>
          <cell r="E351">
            <v>15856</v>
          </cell>
          <cell r="F351">
            <v>-13639</v>
          </cell>
          <cell r="G351">
            <v>1922</v>
          </cell>
          <cell r="H351">
            <v>2502</v>
          </cell>
          <cell r="I351">
            <v>0</v>
          </cell>
        </row>
        <row r="352">
          <cell r="A352">
            <v>93601</v>
          </cell>
          <cell r="B352" t="str">
            <v>GASTON COUNTY</v>
          </cell>
          <cell r="C352">
            <v>1.1220300000000001E-2</v>
          </cell>
          <cell r="D352"/>
          <cell r="E352">
            <v>1784488</v>
          </cell>
          <cell r="F352">
            <v>-1534993</v>
          </cell>
          <cell r="G352">
            <v>216339</v>
          </cell>
          <cell r="H352">
            <v>281562</v>
          </cell>
          <cell r="I352">
            <v>0</v>
          </cell>
        </row>
        <row r="353">
          <cell r="A353">
            <v>93602</v>
          </cell>
          <cell r="B353" t="str">
            <v>TOWN OF STANLEY</v>
          </cell>
          <cell r="C353">
            <v>1.918E-4</v>
          </cell>
          <cell r="D353"/>
          <cell r="E353">
            <v>30504</v>
          </cell>
          <cell r="F353">
            <v>-26239</v>
          </cell>
          <cell r="G353">
            <v>3698</v>
          </cell>
          <cell r="H353">
            <v>4813</v>
          </cell>
          <cell r="I353">
            <v>0</v>
          </cell>
        </row>
        <row r="354">
          <cell r="A354">
            <v>93604</v>
          </cell>
          <cell r="B354" t="str">
            <v>CRAMERTON ABC BOARD</v>
          </cell>
          <cell r="C354">
            <v>2.6400000000000001E-5</v>
          </cell>
          <cell r="D354"/>
          <cell r="E354">
            <v>4199</v>
          </cell>
          <cell r="F354">
            <v>-3612</v>
          </cell>
          <cell r="G354">
            <v>509</v>
          </cell>
          <cell r="H354">
            <v>662</v>
          </cell>
          <cell r="I354">
            <v>0</v>
          </cell>
        </row>
        <row r="355">
          <cell r="A355">
            <v>93609</v>
          </cell>
          <cell r="B355" t="str">
            <v>PARTNERS BEHAVIORAL HEALTH MANAGEMENT</v>
          </cell>
          <cell r="C355">
            <v>3.7919E-3</v>
          </cell>
          <cell r="D355"/>
          <cell r="E355">
            <v>603068</v>
          </cell>
          <cell r="F355">
            <v>-518751</v>
          </cell>
          <cell r="G355">
            <v>73112</v>
          </cell>
          <cell r="H355">
            <v>95154</v>
          </cell>
          <cell r="I355">
            <v>0</v>
          </cell>
        </row>
        <row r="356">
          <cell r="A356">
            <v>93610</v>
          </cell>
          <cell r="B356" t="str">
            <v>TOWN OF MCADENVILLE</v>
          </cell>
          <cell r="C356">
            <v>1.63E-5</v>
          </cell>
          <cell r="D356"/>
          <cell r="E356">
            <v>2592</v>
          </cell>
          <cell r="F356">
            <v>-2230</v>
          </cell>
          <cell r="G356">
            <v>314</v>
          </cell>
          <cell r="H356">
            <v>409</v>
          </cell>
          <cell r="I356">
            <v>0</v>
          </cell>
        </row>
        <row r="357">
          <cell r="A357">
            <v>93611</v>
          </cell>
          <cell r="B357" t="str">
            <v>CITY OF GASTONIA</v>
          </cell>
          <cell r="C357">
            <v>6.9186999999999999E-3</v>
          </cell>
          <cell r="D357"/>
          <cell r="E357">
            <v>1100357</v>
          </cell>
          <cell r="F357">
            <v>-946513</v>
          </cell>
          <cell r="G357">
            <v>133399</v>
          </cell>
          <cell r="H357">
            <v>173618</v>
          </cell>
          <cell r="I357">
            <v>0</v>
          </cell>
        </row>
        <row r="358">
          <cell r="A358">
            <v>93617</v>
          </cell>
          <cell r="B358" t="str">
            <v>GASTONIA ABC BOARD</v>
          </cell>
          <cell r="C358">
            <v>7.8899999999999993E-5</v>
          </cell>
          <cell r="D358"/>
          <cell r="E358">
            <v>12548</v>
          </cell>
          <cell r="F358">
            <v>-10794</v>
          </cell>
          <cell r="G358">
            <v>1521</v>
          </cell>
          <cell r="H358">
            <v>1980</v>
          </cell>
          <cell r="I358">
            <v>0</v>
          </cell>
        </row>
        <row r="359">
          <cell r="A359">
            <v>93618</v>
          </cell>
          <cell r="B359" t="str">
            <v>GASTON COUNTY ECONOMIC DEV. COMMISSION</v>
          </cell>
          <cell r="C359">
            <v>9.5000000000000005E-6</v>
          </cell>
          <cell r="D359"/>
          <cell r="E359">
            <v>1511</v>
          </cell>
          <cell r="F359">
            <v>-1300</v>
          </cell>
          <cell r="G359">
            <v>183</v>
          </cell>
          <cell r="H359">
            <v>238</v>
          </cell>
          <cell r="I359">
            <v>0</v>
          </cell>
        </row>
        <row r="360">
          <cell r="A360">
            <v>93621</v>
          </cell>
          <cell r="B360" t="str">
            <v>CITY OF BELMONT</v>
          </cell>
          <cell r="C360">
            <v>1.0563E-3</v>
          </cell>
          <cell r="D360"/>
          <cell r="E360">
            <v>167995</v>
          </cell>
          <cell r="F360">
            <v>-144507</v>
          </cell>
          <cell r="G360">
            <v>20367</v>
          </cell>
          <cell r="H360">
            <v>26507</v>
          </cell>
          <cell r="I360">
            <v>0</v>
          </cell>
        </row>
        <row r="361">
          <cell r="A361">
            <v>93623</v>
          </cell>
          <cell r="B361" t="str">
            <v>BELMONT HOUSING AUTHORITY</v>
          </cell>
          <cell r="C361">
            <v>1.1E-5</v>
          </cell>
          <cell r="D361"/>
          <cell r="E361">
            <v>1749</v>
          </cell>
          <cell r="F361">
            <v>-1505</v>
          </cell>
          <cell r="G361">
            <v>212</v>
          </cell>
          <cell r="H361">
            <v>276</v>
          </cell>
          <cell r="I361">
            <v>0</v>
          </cell>
        </row>
        <row r="362">
          <cell r="A362">
            <v>93631</v>
          </cell>
          <cell r="B362" t="str">
            <v>TOWN OF CRAMERTON</v>
          </cell>
          <cell r="C362">
            <v>2.4130000000000001E-4</v>
          </cell>
          <cell r="D362"/>
          <cell r="E362">
            <v>38377</v>
          </cell>
          <cell r="F362">
            <v>-33011</v>
          </cell>
          <cell r="G362">
            <v>4653</v>
          </cell>
          <cell r="H362">
            <v>6055</v>
          </cell>
          <cell r="I362">
            <v>0</v>
          </cell>
        </row>
        <row r="363">
          <cell r="A363">
            <v>93641</v>
          </cell>
          <cell r="B363" t="str">
            <v>CITY OF CHERRYVILLE</v>
          </cell>
          <cell r="C363">
            <v>3.7300000000000001E-4</v>
          </cell>
          <cell r="D363"/>
          <cell r="E363">
            <v>59322</v>
          </cell>
          <cell r="F363">
            <v>-51028</v>
          </cell>
          <cell r="G363">
            <v>7192</v>
          </cell>
          <cell r="H363">
            <v>9360</v>
          </cell>
          <cell r="I363">
            <v>0</v>
          </cell>
        </row>
        <row r="364">
          <cell r="A364">
            <v>93647</v>
          </cell>
          <cell r="B364" t="str">
            <v>CHERRYVILLE ABC BOARD</v>
          </cell>
          <cell r="C364">
            <v>5.2000000000000002E-6</v>
          </cell>
          <cell r="D364"/>
          <cell r="E364">
            <v>827</v>
          </cell>
          <cell r="F364">
            <v>-711</v>
          </cell>
          <cell r="G364">
            <v>100</v>
          </cell>
          <cell r="H364">
            <v>130</v>
          </cell>
          <cell r="I364">
            <v>0</v>
          </cell>
        </row>
        <row r="365">
          <cell r="A365">
            <v>93651</v>
          </cell>
          <cell r="B365" t="str">
            <v>TOWN OF DALLAS</v>
          </cell>
          <cell r="C365">
            <v>4.3790000000000002E-4</v>
          </cell>
          <cell r="D365"/>
          <cell r="E365">
            <v>69644</v>
          </cell>
          <cell r="F365">
            <v>-59907</v>
          </cell>
          <cell r="G365">
            <v>8443</v>
          </cell>
          <cell r="H365">
            <v>10989</v>
          </cell>
          <cell r="I365">
            <v>0</v>
          </cell>
        </row>
        <row r="366">
          <cell r="A366">
            <v>93661</v>
          </cell>
          <cell r="B366" t="str">
            <v>CITY OF LOWELL</v>
          </cell>
          <cell r="C366">
            <v>1.2850000000000001E-4</v>
          </cell>
          <cell r="D366"/>
          <cell r="E366">
            <v>20437</v>
          </cell>
          <cell r="F366">
            <v>-17579</v>
          </cell>
          <cell r="G366">
            <v>2478</v>
          </cell>
          <cell r="H366">
            <v>3225</v>
          </cell>
          <cell r="I366">
            <v>0</v>
          </cell>
        </row>
        <row r="367">
          <cell r="A367">
            <v>93671</v>
          </cell>
          <cell r="B367" t="str">
            <v>BESSEMER CITY</v>
          </cell>
          <cell r="C367">
            <v>3.4840000000000001E-4</v>
          </cell>
          <cell r="D367"/>
          <cell r="E367">
            <v>55410</v>
          </cell>
          <cell r="F367">
            <v>-47663</v>
          </cell>
          <cell r="G367">
            <v>6718</v>
          </cell>
          <cell r="H367">
            <v>8743</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20421</v>
          </cell>
          <cell r="F369">
            <v>-17566</v>
          </cell>
          <cell r="G369">
            <v>2476</v>
          </cell>
          <cell r="H369">
            <v>3222</v>
          </cell>
          <cell r="I369">
            <v>0</v>
          </cell>
        </row>
        <row r="370">
          <cell r="A370">
            <v>93691</v>
          </cell>
          <cell r="B370" t="str">
            <v>CITY OF MOUNT HOLLY</v>
          </cell>
          <cell r="C370">
            <v>1.0889999999999999E-3</v>
          </cell>
          <cell r="D370"/>
          <cell r="E370">
            <v>173196</v>
          </cell>
          <cell r="F370">
            <v>-148981</v>
          </cell>
          <cell r="G370">
            <v>20997</v>
          </cell>
          <cell r="H370">
            <v>27327</v>
          </cell>
          <cell r="I370">
            <v>0</v>
          </cell>
        </row>
        <row r="371">
          <cell r="A371">
            <v>93701</v>
          </cell>
          <cell r="B371" t="str">
            <v>COUNTY OF GATES</v>
          </cell>
          <cell r="C371">
            <v>4.3600000000000003E-4</v>
          </cell>
          <cell r="D371"/>
          <cell r="E371">
            <v>69342</v>
          </cell>
          <cell r="F371">
            <v>-59647</v>
          </cell>
          <cell r="G371">
            <v>8407</v>
          </cell>
          <cell r="H371">
            <v>10941</v>
          </cell>
          <cell r="I371">
            <v>0</v>
          </cell>
        </row>
        <row r="372">
          <cell r="A372">
            <v>93704</v>
          </cell>
          <cell r="B372" t="str">
            <v>GATES COUNTY ABC BOARD</v>
          </cell>
          <cell r="C372">
            <v>2.2000000000000001E-6</v>
          </cell>
          <cell r="D372"/>
          <cell r="E372">
            <v>350</v>
          </cell>
          <cell r="F372">
            <v>-301</v>
          </cell>
          <cell r="G372">
            <v>42</v>
          </cell>
          <cell r="H372">
            <v>55</v>
          </cell>
          <cell r="I372">
            <v>0</v>
          </cell>
        </row>
        <row r="373">
          <cell r="A373">
            <v>93801</v>
          </cell>
          <cell r="B373" t="str">
            <v>GRAHAM COUNTY</v>
          </cell>
          <cell r="C373">
            <v>4.191E-4</v>
          </cell>
          <cell r="D373"/>
          <cell r="E373">
            <v>66654</v>
          </cell>
          <cell r="F373">
            <v>-57335</v>
          </cell>
          <cell r="G373">
            <v>8081</v>
          </cell>
          <cell r="H373">
            <v>10517</v>
          </cell>
          <cell r="I373">
            <v>0</v>
          </cell>
        </row>
        <row r="374">
          <cell r="A374">
            <v>93803</v>
          </cell>
          <cell r="B374" t="str">
            <v>GRAHAM CO HEALTH DEPT</v>
          </cell>
          <cell r="C374">
            <v>9.0799999999999998E-5</v>
          </cell>
          <cell r="D374"/>
          <cell r="E374">
            <v>14441</v>
          </cell>
          <cell r="F374">
            <v>-12422</v>
          </cell>
          <cell r="G374">
            <v>1751</v>
          </cell>
          <cell r="H374">
            <v>2279</v>
          </cell>
          <cell r="I374">
            <v>0</v>
          </cell>
        </row>
        <row r="375">
          <cell r="A375">
            <v>93806</v>
          </cell>
          <cell r="B375" t="str">
            <v>GRAHAM COUNTY DEPT OF S S</v>
          </cell>
          <cell r="C375">
            <v>7.9599999999999997E-5</v>
          </cell>
          <cell r="D375"/>
          <cell r="E375">
            <v>12660</v>
          </cell>
          <cell r="F375">
            <v>-10890</v>
          </cell>
          <cell r="G375">
            <v>1535</v>
          </cell>
          <cell r="H375">
            <v>1997</v>
          </cell>
          <cell r="I375">
            <v>0</v>
          </cell>
        </row>
        <row r="376">
          <cell r="A376">
            <v>93821</v>
          </cell>
          <cell r="B376" t="str">
            <v>TOWN OF ROBBINSVILLE</v>
          </cell>
          <cell r="C376">
            <v>6.9200000000000002E-5</v>
          </cell>
          <cell r="D376"/>
          <cell r="E376">
            <v>11006</v>
          </cell>
          <cell r="F376">
            <v>-9467</v>
          </cell>
          <cell r="G376">
            <v>1334</v>
          </cell>
          <cell r="H376">
            <v>1737</v>
          </cell>
          <cell r="I376">
            <v>0</v>
          </cell>
        </row>
        <row r="377">
          <cell r="A377">
            <v>93901</v>
          </cell>
          <cell r="B377" t="str">
            <v>GRANVILLE COUNTY</v>
          </cell>
          <cell r="C377">
            <v>1.7884999999999999E-3</v>
          </cell>
          <cell r="D377"/>
          <cell r="E377">
            <v>284445</v>
          </cell>
          <cell r="F377">
            <v>-244676</v>
          </cell>
          <cell r="G377">
            <v>34484</v>
          </cell>
          <cell r="H377">
            <v>44881</v>
          </cell>
          <cell r="I377">
            <v>0</v>
          </cell>
        </row>
        <row r="378">
          <cell r="A378">
            <v>93904</v>
          </cell>
          <cell r="B378" t="str">
            <v>GRANVILLE CO ABC BD</v>
          </cell>
          <cell r="C378">
            <v>3.18E-5</v>
          </cell>
          <cell r="D378"/>
          <cell r="E378">
            <v>5058</v>
          </cell>
          <cell r="F378">
            <v>-4350</v>
          </cell>
          <cell r="G378">
            <v>613</v>
          </cell>
          <cell r="H378">
            <v>798</v>
          </cell>
          <cell r="I378">
            <v>0</v>
          </cell>
        </row>
        <row r="379">
          <cell r="A379">
            <v>93906</v>
          </cell>
          <cell r="B379" t="str">
            <v>GRANVILLE COUNTY HOSPITAL</v>
          </cell>
          <cell r="C379">
            <v>3.1308E-3</v>
          </cell>
          <cell r="D379"/>
          <cell r="E379">
            <v>497926</v>
          </cell>
          <cell r="F379">
            <v>-428309</v>
          </cell>
          <cell r="G379">
            <v>60365</v>
          </cell>
          <cell r="H379">
            <v>78564</v>
          </cell>
          <cell r="I379">
            <v>0</v>
          </cell>
        </row>
        <row r="380">
          <cell r="A380">
            <v>93908</v>
          </cell>
          <cell r="B380" t="str">
            <v>GRANVILLE-VANCE HEALTH DIST</v>
          </cell>
          <cell r="C380">
            <v>4.9540000000000001E-4</v>
          </cell>
          <cell r="D380"/>
          <cell r="E380">
            <v>78789</v>
          </cell>
          <cell r="F380">
            <v>-67773</v>
          </cell>
          <cell r="G380">
            <v>9552</v>
          </cell>
          <cell r="H380">
            <v>12432</v>
          </cell>
          <cell r="I380">
            <v>0</v>
          </cell>
        </row>
        <row r="381">
          <cell r="A381">
            <v>93910</v>
          </cell>
          <cell r="B381" t="str">
            <v>SOUTH GRANVILLE WATER AND SEWER AUTHORITY</v>
          </cell>
          <cell r="C381">
            <v>2.285E-4</v>
          </cell>
          <cell r="D381"/>
          <cell r="E381">
            <v>36341</v>
          </cell>
          <cell r="F381">
            <v>-31260</v>
          </cell>
          <cell r="G381">
            <v>4406</v>
          </cell>
          <cell r="H381">
            <v>5734</v>
          </cell>
          <cell r="I381">
            <v>0</v>
          </cell>
        </row>
        <row r="382">
          <cell r="A382">
            <v>93911</v>
          </cell>
          <cell r="B382" t="str">
            <v>CITY OF OXFORD</v>
          </cell>
          <cell r="C382">
            <v>6.4320000000000002E-4</v>
          </cell>
          <cell r="D382"/>
          <cell r="E382">
            <v>102295</v>
          </cell>
          <cell r="F382">
            <v>-87993</v>
          </cell>
          <cell r="G382">
            <v>12402</v>
          </cell>
          <cell r="H382">
            <v>16140</v>
          </cell>
          <cell r="I382">
            <v>0</v>
          </cell>
        </row>
        <row r="383">
          <cell r="A383">
            <v>93913</v>
          </cell>
          <cell r="B383" t="str">
            <v>OXFORD HOUSING AUTHORITY</v>
          </cell>
          <cell r="C383">
            <v>4.9799999999999998E-5</v>
          </cell>
          <cell r="D383"/>
          <cell r="E383">
            <v>7920</v>
          </cell>
          <cell r="F383">
            <v>-6813</v>
          </cell>
          <cell r="G383">
            <v>960</v>
          </cell>
          <cell r="H383">
            <v>1250</v>
          </cell>
          <cell r="I383">
            <v>0</v>
          </cell>
        </row>
        <row r="384">
          <cell r="A384">
            <v>93914</v>
          </cell>
          <cell r="B384" t="str">
            <v>TOWN OF STOVALL</v>
          </cell>
          <cell r="C384">
            <v>6.1E-6</v>
          </cell>
          <cell r="D384"/>
          <cell r="E384">
            <v>970</v>
          </cell>
          <cell r="F384">
            <v>-835</v>
          </cell>
          <cell r="G384">
            <v>118</v>
          </cell>
          <cell r="H384">
            <v>153</v>
          </cell>
          <cell r="I384">
            <v>0</v>
          </cell>
        </row>
        <row r="385">
          <cell r="A385">
            <v>93921</v>
          </cell>
          <cell r="B385" t="str">
            <v>CITY OF CREEDMOOR</v>
          </cell>
          <cell r="C385">
            <v>2.251E-4</v>
          </cell>
          <cell r="D385"/>
          <cell r="E385">
            <v>35800</v>
          </cell>
          <cell r="F385">
            <v>-30795</v>
          </cell>
          <cell r="G385">
            <v>4340</v>
          </cell>
          <cell r="H385">
            <v>5649</v>
          </cell>
          <cell r="I385">
            <v>0</v>
          </cell>
        </row>
        <row r="386">
          <cell r="A386">
            <v>93931</v>
          </cell>
          <cell r="B386" t="str">
            <v>TOWN OF BUTNER</v>
          </cell>
          <cell r="C386">
            <v>5.1590000000000002E-4</v>
          </cell>
          <cell r="D386"/>
          <cell r="E386">
            <v>82049</v>
          </cell>
          <cell r="F386">
            <v>-70578</v>
          </cell>
          <cell r="G386">
            <v>9947</v>
          </cell>
          <cell r="H386">
            <v>12946</v>
          </cell>
          <cell r="I386">
            <v>0</v>
          </cell>
        </row>
        <row r="387">
          <cell r="A387">
            <v>94001</v>
          </cell>
          <cell r="B387" t="str">
            <v>GREENE COUNTY</v>
          </cell>
          <cell r="C387">
            <v>9.3720000000000001E-4</v>
          </cell>
          <cell r="D387"/>
          <cell r="E387">
            <v>149053</v>
          </cell>
          <cell r="F387">
            <v>-128214</v>
          </cell>
          <cell r="G387">
            <v>18070</v>
          </cell>
          <cell r="H387">
            <v>23518</v>
          </cell>
          <cell r="I387">
            <v>0</v>
          </cell>
        </row>
        <row r="388">
          <cell r="A388">
            <v>94002</v>
          </cell>
          <cell r="B388" t="str">
            <v>MAURY SANITARY LAND DISTRICT</v>
          </cell>
          <cell r="C388">
            <v>5.2000000000000002E-6</v>
          </cell>
          <cell r="D388"/>
          <cell r="E388">
            <v>827</v>
          </cell>
          <cell r="F388">
            <v>-711</v>
          </cell>
          <cell r="G388">
            <v>100</v>
          </cell>
          <cell r="H388">
            <v>130</v>
          </cell>
          <cell r="I388">
            <v>0</v>
          </cell>
        </row>
        <row r="389">
          <cell r="A389">
            <v>94004</v>
          </cell>
          <cell r="B389" t="str">
            <v>GREENE COUNTY ABC BOARD</v>
          </cell>
          <cell r="C389">
            <v>7.4000000000000003E-6</v>
          </cell>
          <cell r="D389"/>
          <cell r="E389">
            <v>1177</v>
          </cell>
          <cell r="F389">
            <v>-1012</v>
          </cell>
          <cell r="G389">
            <v>143</v>
          </cell>
          <cell r="H389">
            <v>186</v>
          </cell>
          <cell r="I389">
            <v>0</v>
          </cell>
        </row>
        <row r="390">
          <cell r="A390">
            <v>94005</v>
          </cell>
          <cell r="B390" t="str">
            <v>NEUSE REGIONAL LIBRARY-GREENE COUNTY</v>
          </cell>
          <cell r="C390">
            <v>1.9E-6</v>
          </cell>
          <cell r="D390"/>
          <cell r="E390">
            <v>302</v>
          </cell>
          <cell r="F390">
            <v>-260</v>
          </cell>
          <cell r="G390">
            <v>37</v>
          </cell>
          <cell r="H390">
            <v>48</v>
          </cell>
          <cell r="I390">
            <v>0</v>
          </cell>
        </row>
        <row r="391">
          <cell r="A391">
            <v>94011</v>
          </cell>
          <cell r="B391" t="str">
            <v>TOWN OF HOOKERTON</v>
          </cell>
          <cell r="C391">
            <v>2.6699999999999998E-5</v>
          </cell>
          <cell r="D391"/>
          <cell r="E391">
            <v>4246</v>
          </cell>
          <cell r="F391">
            <v>-3653</v>
          </cell>
          <cell r="G391">
            <v>515</v>
          </cell>
          <cell r="H391">
            <v>670</v>
          </cell>
          <cell r="I391">
            <v>0</v>
          </cell>
        </row>
        <row r="392">
          <cell r="A392">
            <v>94021</v>
          </cell>
          <cell r="B392" t="str">
            <v>TOWN OF SNOW HILL</v>
          </cell>
          <cell r="C392">
            <v>8.3300000000000005E-5</v>
          </cell>
          <cell r="D392"/>
          <cell r="E392">
            <v>13248</v>
          </cell>
          <cell r="F392">
            <v>-11396</v>
          </cell>
          <cell r="G392">
            <v>1606</v>
          </cell>
          <cell r="H392">
            <v>2090</v>
          </cell>
          <cell r="I392">
            <v>0</v>
          </cell>
        </row>
        <row r="393">
          <cell r="A393">
            <v>94031</v>
          </cell>
          <cell r="B393" t="str">
            <v>TOWN OF WALSTONBURG</v>
          </cell>
          <cell r="C393">
            <v>4.6E-6</v>
          </cell>
          <cell r="D393"/>
          <cell r="E393">
            <v>732</v>
          </cell>
          <cell r="F393">
            <v>-629</v>
          </cell>
          <cell r="G393">
            <v>89</v>
          </cell>
          <cell r="H393">
            <v>115</v>
          </cell>
          <cell r="I393">
            <v>0</v>
          </cell>
        </row>
        <row r="394">
          <cell r="A394">
            <v>94101</v>
          </cell>
          <cell r="B394" t="str">
            <v>GUILFORD COUNTY</v>
          </cell>
          <cell r="C394">
            <v>1.7750700000000001E-2</v>
          </cell>
          <cell r="D394"/>
          <cell r="E394">
            <v>2823089</v>
          </cell>
          <cell r="F394">
            <v>-2428385</v>
          </cell>
          <cell r="G394">
            <v>342251</v>
          </cell>
          <cell r="H394">
            <v>445436</v>
          </cell>
          <cell r="I394">
            <v>0</v>
          </cell>
        </row>
        <row r="395">
          <cell r="A395">
            <v>94102</v>
          </cell>
          <cell r="B395" t="str">
            <v>GUIL-RAND FIRE DEPARTMENT</v>
          </cell>
          <cell r="C395">
            <v>3.3849999999999999E-4</v>
          </cell>
          <cell r="D395"/>
          <cell r="E395">
            <v>53835</v>
          </cell>
          <cell r="F395">
            <v>-46308</v>
          </cell>
          <cell r="G395">
            <v>6527</v>
          </cell>
          <cell r="H395">
            <v>8494</v>
          </cell>
          <cell r="I395">
            <v>0</v>
          </cell>
        </row>
        <row r="396">
          <cell r="A396">
            <v>94108</v>
          </cell>
          <cell r="B396" t="str">
            <v>PINECROFT-SEDGEFIELD FIRE DIST INC</v>
          </cell>
          <cell r="C396">
            <v>3.8289999999999998E-4</v>
          </cell>
          <cell r="D396"/>
          <cell r="E396">
            <v>60897</v>
          </cell>
          <cell r="F396">
            <v>-52383</v>
          </cell>
          <cell r="G396">
            <v>7383</v>
          </cell>
          <cell r="H396">
            <v>9608</v>
          </cell>
          <cell r="I396">
            <v>0</v>
          </cell>
        </row>
        <row r="397">
          <cell r="A397">
            <v>94109</v>
          </cell>
          <cell r="B397" t="str">
            <v>ALAMANCE COMM FIRE DIST</v>
          </cell>
          <cell r="C397">
            <v>1.048E-4</v>
          </cell>
          <cell r="D397"/>
          <cell r="E397">
            <v>16667</v>
          </cell>
          <cell r="F397">
            <v>-14337</v>
          </cell>
          <cell r="G397">
            <v>2021</v>
          </cell>
          <cell r="H397">
            <v>2630</v>
          </cell>
          <cell r="I397">
            <v>0</v>
          </cell>
        </row>
        <row r="398">
          <cell r="A398">
            <v>94111</v>
          </cell>
          <cell r="B398" t="str">
            <v>CITY OF GREENSBORO</v>
          </cell>
          <cell r="C398">
            <v>2.50095E-2</v>
          </cell>
          <cell r="D398"/>
          <cell r="E398">
            <v>3977536</v>
          </cell>
          <cell r="F398">
            <v>-3421425</v>
          </cell>
          <cell r="G398">
            <v>482208</v>
          </cell>
          <cell r="H398">
            <v>627588</v>
          </cell>
          <cell r="I398">
            <v>0</v>
          </cell>
        </row>
        <row r="399">
          <cell r="A399">
            <v>94112</v>
          </cell>
          <cell r="B399" t="str">
            <v>PIEDMONT TRIAD REG WATER AUTH</v>
          </cell>
          <cell r="C399">
            <v>1.6870000000000001E-4</v>
          </cell>
          <cell r="D399"/>
          <cell r="E399">
            <v>26830</v>
          </cell>
          <cell r="F399">
            <v>-23079</v>
          </cell>
          <cell r="G399">
            <v>3253</v>
          </cell>
          <cell r="H399">
            <v>4233</v>
          </cell>
          <cell r="I399">
            <v>0</v>
          </cell>
        </row>
        <row r="400">
          <cell r="A400">
            <v>94117</v>
          </cell>
          <cell r="B400" t="str">
            <v>GREENSBORO ABC BD</v>
          </cell>
          <cell r="C400">
            <v>3.232E-4</v>
          </cell>
          <cell r="D400"/>
          <cell r="E400">
            <v>51402</v>
          </cell>
          <cell r="F400">
            <v>-44215</v>
          </cell>
          <cell r="G400">
            <v>6232</v>
          </cell>
          <cell r="H400">
            <v>8110</v>
          </cell>
          <cell r="I400">
            <v>0</v>
          </cell>
        </row>
        <row r="401">
          <cell r="A401">
            <v>94118</v>
          </cell>
          <cell r="B401" t="str">
            <v>GUILFORD FIRE DISTRICT # 13 INC</v>
          </cell>
          <cell r="C401">
            <v>1.6009999999999999E-4</v>
          </cell>
          <cell r="D401"/>
          <cell r="E401">
            <v>25462</v>
          </cell>
          <cell r="F401">
            <v>-21902</v>
          </cell>
          <cell r="G401">
            <v>3087</v>
          </cell>
          <cell r="H401">
            <v>4018</v>
          </cell>
          <cell r="I401">
            <v>0</v>
          </cell>
        </row>
        <row r="402">
          <cell r="A402">
            <v>94121</v>
          </cell>
          <cell r="B402" t="str">
            <v>CITY OF HIGH POINT</v>
          </cell>
          <cell r="C402">
            <v>1.1113E-2</v>
          </cell>
          <cell r="D402"/>
          <cell r="E402">
            <v>1767423</v>
          </cell>
          <cell r="F402">
            <v>-1520314</v>
          </cell>
          <cell r="G402">
            <v>214270</v>
          </cell>
          <cell r="H402">
            <v>278870</v>
          </cell>
          <cell r="I402">
            <v>0</v>
          </cell>
        </row>
        <row r="403">
          <cell r="A403">
            <v>94127</v>
          </cell>
          <cell r="B403" t="str">
            <v>HIGH POINT ABC BD</v>
          </cell>
          <cell r="C403">
            <v>1.4310000000000001E-4</v>
          </cell>
          <cell r="D403"/>
          <cell r="E403">
            <v>22759</v>
          </cell>
          <cell r="F403">
            <v>-19577</v>
          </cell>
          <cell r="G403">
            <v>2759</v>
          </cell>
          <cell r="H403">
            <v>3591</v>
          </cell>
          <cell r="I403">
            <v>0</v>
          </cell>
        </row>
        <row r="404">
          <cell r="A404">
            <v>94131</v>
          </cell>
          <cell r="B404" t="str">
            <v>TOWN OF JAMESTOWN</v>
          </cell>
          <cell r="C404">
            <v>2.1029999999999999E-4</v>
          </cell>
          <cell r="D404"/>
          <cell r="E404">
            <v>33446</v>
          </cell>
          <cell r="F404">
            <v>-28770</v>
          </cell>
          <cell r="G404">
            <v>4055</v>
          </cell>
          <cell r="H404">
            <v>5277</v>
          </cell>
          <cell r="I404">
            <v>0</v>
          </cell>
        </row>
        <row r="405">
          <cell r="A405">
            <v>94151</v>
          </cell>
          <cell r="B405" t="str">
            <v>TOWN OF GIBSONVILLE</v>
          </cell>
          <cell r="C405">
            <v>4.6660000000000001E-4</v>
          </cell>
          <cell r="D405"/>
          <cell r="E405">
            <v>74209</v>
          </cell>
          <cell r="F405">
            <v>-63833</v>
          </cell>
          <cell r="G405">
            <v>8997</v>
          </cell>
          <cell r="H405">
            <v>11709</v>
          </cell>
          <cell r="I405">
            <v>0</v>
          </cell>
        </row>
        <row r="406">
          <cell r="A406">
            <v>94157</v>
          </cell>
          <cell r="B406" t="str">
            <v>GIBSONVILLE ABC BOARD</v>
          </cell>
          <cell r="C406">
            <v>8.6000000000000007E-6</v>
          </cell>
          <cell r="D406"/>
          <cell r="E406">
            <v>1368</v>
          </cell>
          <cell r="F406">
            <v>-1177</v>
          </cell>
          <cell r="G406">
            <v>166</v>
          </cell>
          <cell r="H406">
            <v>216</v>
          </cell>
          <cell r="I406">
            <v>0</v>
          </cell>
        </row>
        <row r="407">
          <cell r="A407">
            <v>94161</v>
          </cell>
          <cell r="B407" t="str">
            <v>TOWN OF OAK RIDGE</v>
          </cell>
          <cell r="C407">
            <v>4.8600000000000002E-5</v>
          </cell>
          <cell r="D407"/>
          <cell r="E407">
            <v>7729</v>
          </cell>
          <cell r="F407">
            <v>-6649</v>
          </cell>
          <cell r="G407">
            <v>937</v>
          </cell>
          <cell r="H407">
            <v>1220</v>
          </cell>
          <cell r="I407">
            <v>0</v>
          </cell>
        </row>
        <row r="408">
          <cell r="A408">
            <v>94168</v>
          </cell>
          <cell r="B408" t="str">
            <v>COLFAX VOLUNTEER FIRE DEPARTMENT</v>
          </cell>
          <cell r="C408">
            <v>5.5099999999999998E-5</v>
          </cell>
          <cell r="D408"/>
          <cell r="E408">
            <v>8763</v>
          </cell>
          <cell r="F408">
            <v>-7538</v>
          </cell>
          <cell r="G408">
            <v>1062</v>
          </cell>
          <cell r="H408">
            <v>1383</v>
          </cell>
          <cell r="I408">
            <v>0</v>
          </cell>
        </row>
        <row r="409">
          <cell r="A409">
            <v>94171</v>
          </cell>
          <cell r="B409" t="str">
            <v>TOWN OF SUMMERFIELD</v>
          </cell>
          <cell r="C409">
            <v>6.1799999999999998E-5</v>
          </cell>
          <cell r="D409"/>
          <cell r="E409">
            <v>9829</v>
          </cell>
          <cell r="F409">
            <v>-8455</v>
          </cell>
          <cell r="G409">
            <v>1192</v>
          </cell>
          <cell r="H409">
            <v>1551</v>
          </cell>
          <cell r="I409">
            <v>0</v>
          </cell>
        </row>
        <row r="410">
          <cell r="A410">
            <v>94172</v>
          </cell>
          <cell r="B410" t="str">
            <v>SUMMERFIELD FIRE DISTRICT</v>
          </cell>
          <cell r="C410">
            <v>2.8210000000000003E-4</v>
          </cell>
          <cell r="D410"/>
          <cell r="E410">
            <v>44865</v>
          </cell>
          <cell r="F410">
            <v>-38593</v>
          </cell>
          <cell r="G410">
            <v>5439</v>
          </cell>
          <cell r="H410">
            <v>7079</v>
          </cell>
          <cell r="I410">
            <v>0</v>
          </cell>
        </row>
        <row r="411">
          <cell r="A411">
            <v>94201</v>
          </cell>
          <cell r="B411" t="str">
            <v>HALIFAX COUNTY</v>
          </cell>
          <cell r="C411">
            <v>3.2504999999999999E-3</v>
          </cell>
          <cell r="D411"/>
          <cell r="E411">
            <v>516963</v>
          </cell>
          <cell r="F411">
            <v>-444685</v>
          </cell>
          <cell r="G411">
            <v>62673</v>
          </cell>
          <cell r="H411">
            <v>81568</v>
          </cell>
          <cell r="I411">
            <v>0</v>
          </cell>
        </row>
        <row r="412">
          <cell r="A412">
            <v>94204</v>
          </cell>
          <cell r="B412" t="str">
            <v>HALIFAX COUNTY ABC BOARD</v>
          </cell>
          <cell r="C412">
            <v>2.97E-5</v>
          </cell>
          <cell r="D412"/>
          <cell r="E412">
            <v>4724</v>
          </cell>
          <cell r="F412">
            <v>-4063</v>
          </cell>
          <cell r="G412">
            <v>573</v>
          </cell>
          <cell r="H412">
            <v>745</v>
          </cell>
          <cell r="I412">
            <v>0</v>
          </cell>
        </row>
        <row r="413">
          <cell r="A413">
            <v>94205</v>
          </cell>
          <cell r="B413" t="str">
            <v>HALIFAX COUNTY TOURISM DEVELOPMENT AUTHORITY</v>
          </cell>
          <cell r="C413">
            <v>1.6200000000000001E-5</v>
          </cell>
          <cell r="D413"/>
          <cell r="E413">
            <v>2576</v>
          </cell>
          <cell r="F413">
            <v>-2216</v>
          </cell>
          <cell r="G413">
            <v>312</v>
          </cell>
          <cell r="H413">
            <v>407</v>
          </cell>
          <cell r="I413">
            <v>0</v>
          </cell>
        </row>
        <row r="414">
          <cell r="A414">
            <v>94209</v>
          </cell>
          <cell r="B414" t="str">
            <v>ROANOKE RAPIDS SANITARY DISTRICT</v>
          </cell>
          <cell r="C414">
            <v>3.2519999999999999E-4</v>
          </cell>
          <cell r="D414"/>
          <cell r="E414">
            <v>51720</v>
          </cell>
          <cell r="F414">
            <v>-44489</v>
          </cell>
          <cell r="G414">
            <v>6270</v>
          </cell>
          <cell r="H414">
            <v>8161</v>
          </cell>
          <cell r="I414">
            <v>0</v>
          </cell>
        </row>
        <row r="415">
          <cell r="A415">
            <v>94211</v>
          </cell>
          <cell r="B415" t="str">
            <v>TOWN OF ENFIELD</v>
          </cell>
          <cell r="C415">
            <v>1.5359999999999999E-4</v>
          </cell>
          <cell r="D415"/>
          <cell r="E415">
            <v>24429</v>
          </cell>
          <cell r="F415">
            <v>-21013</v>
          </cell>
          <cell r="G415">
            <v>2962</v>
          </cell>
          <cell r="H415">
            <v>3854</v>
          </cell>
          <cell r="I415">
            <v>0</v>
          </cell>
        </row>
        <row r="416">
          <cell r="A416">
            <v>94221</v>
          </cell>
          <cell r="B416" t="str">
            <v>CITY OF ROANOKE RAPIDS</v>
          </cell>
          <cell r="C416">
            <v>9.8189999999999996E-4</v>
          </cell>
          <cell r="D416"/>
          <cell r="E416">
            <v>156162</v>
          </cell>
          <cell r="F416">
            <v>-134329</v>
          </cell>
          <cell r="G416">
            <v>18932</v>
          </cell>
          <cell r="H416">
            <v>24640</v>
          </cell>
          <cell r="I416">
            <v>0</v>
          </cell>
        </row>
        <row r="417">
          <cell r="A417">
            <v>94231</v>
          </cell>
          <cell r="B417" t="str">
            <v>TOWN OF WELDON</v>
          </cell>
          <cell r="C417">
            <v>1.485E-4</v>
          </cell>
          <cell r="D417"/>
          <cell r="E417">
            <v>23618</v>
          </cell>
          <cell r="F417">
            <v>-20316</v>
          </cell>
          <cell r="G417">
            <v>2863</v>
          </cell>
          <cell r="H417">
            <v>3726</v>
          </cell>
          <cell r="I417">
            <v>0</v>
          </cell>
        </row>
        <row r="418">
          <cell r="A418">
            <v>94241</v>
          </cell>
          <cell r="B418" t="str">
            <v>TOWN OF SCOTLAND NECK</v>
          </cell>
          <cell r="C418">
            <v>1.106E-4</v>
          </cell>
          <cell r="D418"/>
          <cell r="E418">
            <v>17590</v>
          </cell>
          <cell r="F418">
            <v>-15131</v>
          </cell>
          <cell r="G418">
            <v>2132</v>
          </cell>
          <cell r="H418">
            <v>2775</v>
          </cell>
          <cell r="I418">
            <v>0</v>
          </cell>
        </row>
        <row r="419">
          <cell r="A419">
            <v>94251</v>
          </cell>
          <cell r="B419" t="str">
            <v>TOWN OF HOBGOOD</v>
          </cell>
          <cell r="C419">
            <v>1.7799999999999999E-5</v>
          </cell>
          <cell r="D419"/>
          <cell r="E419">
            <v>2831</v>
          </cell>
          <cell r="F419">
            <v>-2435</v>
          </cell>
          <cell r="G419">
            <v>343</v>
          </cell>
          <cell r="H419">
            <v>447</v>
          </cell>
          <cell r="I419">
            <v>0</v>
          </cell>
        </row>
        <row r="420">
          <cell r="A420">
            <v>94261</v>
          </cell>
          <cell r="B420" t="str">
            <v>TOWN OF LITTLETON</v>
          </cell>
          <cell r="C420">
            <v>4.6600000000000001E-5</v>
          </cell>
          <cell r="D420"/>
          <cell r="E420">
            <v>7411</v>
          </cell>
          <cell r="F420">
            <v>-6375</v>
          </cell>
          <cell r="G420">
            <v>898</v>
          </cell>
          <cell r="H420">
            <v>1169</v>
          </cell>
          <cell r="I420">
            <v>0</v>
          </cell>
        </row>
        <row r="421">
          <cell r="A421">
            <v>94301</v>
          </cell>
          <cell r="B421" t="str">
            <v>HARNETT COUNTY</v>
          </cell>
          <cell r="C421">
            <v>6.3099000000000002E-3</v>
          </cell>
          <cell r="D421"/>
          <cell r="E421">
            <v>1003533</v>
          </cell>
          <cell r="F421">
            <v>-863226</v>
          </cell>
          <cell r="G421">
            <v>121661</v>
          </cell>
          <cell r="H421">
            <v>158341</v>
          </cell>
          <cell r="I421">
            <v>0</v>
          </cell>
        </row>
        <row r="422">
          <cell r="A422">
            <v>94311</v>
          </cell>
          <cell r="B422" t="str">
            <v>CITY OF DUNN</v>
          </cell>
          <cell r="C422">
            <v>7.7700000000000002E-4</v>
          </cell>
          <cell r="D422"/>
          <cell r="E422">
            <v>123575</v>
          </cell>
          <cell r="F422">
            <v>-106297</v>
          </cell>
          <cell r="G422">
            <v>14981</v>
          </cell>
          <cell r="H422">
            <v>19498</v>
          </cell>
          <cell r="I422">
            <v>0</v>
          </cell>
        </row>
        <row r="423">
          <cell r="A423">
            <v>94313</v>
          </cell>
          <cell r="B423" t="str">
            <v>DUNN HOUSING AUTHORITY</v>
          </cell>
          <cell r="C423">
            <v>1.4399999999999999E-5</v>
          </cell>
          <cell r="D423"/>
          <cell r="E423">
            <v>2290</v>
          </cell>
          <cell r="F423">
            <v>-1970</v>
          </cell>
          <cell r="G423">
            <v>278</v>
          </cell>
          <cell r="H423">
            <v>361</v>
          </cell>
          <cell r="I423">
            <v>0</v>
          </cell>
        </row>
        <row r="424">
          <cell r="A424">
            <v>94317</v>
          </cell>
          <cell r="B424" t="str">
            <v>DUNN ABC BOARD</v>
          </cell>
          <cell r="C424">
            <v>1.0699999999999999E-5</v>
          </cell>
          <cell r="D424"/>
          <cell r="E424">
            <v>1702</v>
          </cell>
          <cell r="F424">
            <v>-1464</v>
          </cell>
          <cell r="G424">
            <v>206</v>
          </cell>
          <cell r="H424">
            <v>269</v>
          </cell>
          <cell r="I424">
            <v>0</v>
          </cell>
        </row>
        <row r="425">
          <cell r="A425">
            <v>94321</v>
          </cell>
          <cell r="B425" t="str">
            <v>TOWN OF LILLINGTON</v>
          </cell>
          <cell r="C425">
            <v>2.8079999999999999E-4</v>
          </cell>
          <cell r="D425"/>
          <cell r="E425">
            <v>44659</v>
          </cell>
          <cell r="F425">
            <v>-38415</v>
          </cell>
          <cell r="G425">
            <v>5414</v>
          </cell>
          <cell r="H425">
            <v>7046</v>
          </cell>
          <cell r="I425">
            <v>0</v>
          </cell>
        </row>
        <row r="426">
          <cell r="A426">
            <v>94331</v>
          </cell>
          <cell r="B426" t="str">
            <v>TOWN OF ERWIN</v>
          </cell>
          <cell r="C426">
            <v>1.5190000000000001E-4</v>
          </cell>
          <cell r="D426"/>
          <cell r="E426">
            <v>24158</v>
          </cell>
          <cell r="F426">
            <v>-20781</v>
          </cell>
          <cell r="G426">
            <v>2929</v>
          </cell>
          <cell r="H426">
            <v>3812</v>
          </cell>
          <cell r="I426">
            <v>0</v>
          </cell>
        </row>
        <row r="427">
          <cell r="A427">
            <v>94341</v>
          </cell>
          <cell r="B427" t="str">
            <v>TOWN OF COATS</v>
          </cell>
          <cell r="C427">
            <v>9.8800000000000003E-5</v>
          </cell>
          <cell r="D427"/>
          <cell r="E427">
            <v>15713</v>
          </cell>
          <cell r="F427">
            <v>-13516</v>
          </cell>
          <cell r="G427">
            <v>1905</v>
          </cell>
          <cell r="H427">
            <v>2479</v>
          </cell>
          <cell r="I427">
            <v>0</v>
          </cell>
        </row>
        <row r="428">
          <cell r="A428">
            <v>94347</v>
          </cell>
          <cell r="B428" t="str">
            <v>TOWN OF ANGIER ABC BOARD</v>
          </cell>
          <cell r="C428">
            <v>1.17E-5</v>
          </cell>
          <cell r="D428"/>
          <cell r="E428">
            <v>1861</v>
          </cell>
          <cell r="F428">
            <v>-1601</v>
          </cell>
          <cell r="G428">
            <v>226</v>
          </cell>
          <cell r="H428">
            <v>294</v>
          </cell>
          <cell r="I428">
            <v>0</v>
          </cell>
        </row>
        <row r="429">
          <cell r="A429">
            <v>94351</v>
          </cell>
          <cell r="B429" t="str">
            <v>TOWN OF ANGIER</v>
          </cell>
          <cell r="C429">
            <v>2.2680000000000001E-4</v>
          </cell>
          <cell r="D429"/>
          <cell r="E429">
            <v>36070</v>
          </cell>
          <cell r="F429">
            <v>-31027</v>
          </cell>
          <cell r="G429">
            <v>4373</v>
          </cell>
          <cell r="H429">
            <v>5691</v>
          </cell>
          <cell r="I429">
            <v>0</v>
          </cell>
        </row>
        <row r="430">
          <cell r="A430">
            <v>94401</v>
          </cell>
          <cell r="B430" t="str">
            <v>HAYWOOD CO</v>
          </cell>
          <cell r="C430">
            <v>3.4440999999999999E-3</v>
          </cell>
          <cell r="D430"/>
          <cell r="E430">
            <v>547753</v>
          </cell>
          <cell r="F430">
            <v>-471170</v>
          </cell>
          <cell r="G430">
            <v>66406</v>
          </cell>
          <cell r="H430">
            <v>86426</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5948</v>
          </cell>
          <cell r="F432">
            <v>-5117</v>
          </cell>
          <cell r="G432">
            <v>721</v>
          </cell>
          <cell r="H432">
            <v>939</v>
          </cell>
          <cell r="I432">
            <v>0</v>
          </cell>
        </row>
        <row r="433">
          <cell r="A433">
            <v>94408</v>
          </cell>
          <cell r="B433" t="str">
            <v>JUNALUSKA SANITARY DISTRICT</v>
          </cell>
          <cell r="C433">
            <v>6.2000000000000003E-5</v>
          </cell>
          <cell r="D433"/>
          <cell r="E433">
            <v>9861</v>
          </cell>
          <cell r="F433">
            <v>-8482</v>
          </cell>
          <cell r="G433">
            <v>1195</v>
          </cell>
          <cell r="H433">
            <v>1556</v>
          </cell>
          <cell r="I433">
            <v>0</v>
          </cell>
        </row>
        <row r="434">
          <cell r="A434">
            <v>94411</v>
          </cell>
          <cell r="B434" t="str">
            <v>TOWN OF WAYNESVILLE</v>
          </cell>
          <cell r="C434">
            <v>1.2472E-3</v>
          </cell>
          <cell r="D434"/>
          <cell r="E434">
            <v>198356</v>
          </cell>
          <cell r="F434">
            <v>-170623</v>
          </cell>
          <cell r="G434">
            <v>24047</v>
          </cell>
          <cell r="H434">
            <v>31297</v>
          </cell>
          <cell r="I434">
            <v>0</v>
          </cell>
        </row>
        <row r="435">
          <cell r="A435">
            <v>94412</v>
          </cell>
          <cell r="B435" t="str">
            <v>WAYNESVILLE ABC BOARD</v>
          </cell>
          <cell r="C435">
            <v>1.7E-5</v>
          </cell>
          <cell r="D435"/>
          <cell r="E435">
            <v>2704</v>
          </cell>
          <cell r="F435">
            <v>-2326</v>
          </cell>
          <cell r="G435">
            <v>328</v>
          </cell>
          <cell r="H435">
            <v>427</v>
          </cell>
          <cell r="I435">
            <v>0</v>
          </cell>
        </row>
        <row r="436">
          <cell r="A436">
            <v>94421</v>
          </cell>
          <cell r="B436" t="str">
            <v>TOWN OF MAGGIE VALLEY</v>
          </cell>
          <cell r="C436">
            <v>1.4880000000000001E-4</v>
          </cell>
          <cell r="D436"/>
          <cell r="E436">
            <v>23665</v>
          </cell>
          <cell r="F436">
            <v>-20357</v>
          </cell>
          <cell r="G436">
            <v>2869</v>
          </cell>
          <cell r="H436">
            <v>3734</v>
          </cell>
          <cell r="I436">
            <v>0</v>
          </cell>
        </row>
        <row r="437">
          <cell r="A437">
            <v>94427</v>
          </cell>
          <cell r="B437" t="str">
            <v>MAGGIE VALLEY ABC BOARD</v>
          </cell>
          <cell r="C437">
            <v>2.7500000000000001E-5</v>
          </cell>
          <cell r="D437"/>
          <cell r="E437">
            <v>4374</v>
          </cell>
          <cell r="F437">
            <v>-3762</v>
          </cell>
          <cell r="G437">
            <v>530</v>
          </cell>
          <cell r="H437">
            <v>690</v>
          </cell>
          <cell r="I437">
            <v>0</v>
          </cell>
        </row>
        <row r="438">
          <cell r="A438">
            <v>94428</v>
          </cell>
          <cell r="B438" t="str">
            <v>MAGGIE VALLEY SANITARY DIST</v>
          </cell>
          <cell r="C438">
            <v>7.1400000000000001E-5</v>
          </cell>
          <cell r="D438"/>
          <cell r="E438">
            <v>11356</v>
          </cell>
          <cell r="F438">
            <v>-9768</v>
          </cell>
          <cell r="G438">
            <v>1377</v>
          </cell>
          <cell r="H438">
            <v>1792</v>
          </cell>
          <cell r="I438">
            <v>0</v>
          </cell>
        </row>
        <row r="439">
          <cell r="A439">
            <v>94431</v>
          </cell>
          <cell r="B439" t="str">
            <v>TOWN OF CANTON</v>
          </cell>
          <cell r="C439">
            <v>4.1829999999999998E-4</v>
          </cell>
          <cell r="D439"/>
          <cell r="E439">
            <v>66527</v>
          </cell>
          <cell r="F439">
            <v>-57226</v>
          </cell>
          <cell r="G439">
            <v>8065</v>
          </cell>
          <cell r="H439">
            <v>10497</v>
          </cell>
          <cell r="I439">
            <v>0</v>
          </cell>
        </row>
        <row r="440">
          <cell r="A440">
            <v>94437</v>
          </cell>
          <cell r="B440" t="str">
            <v>CANTON ABC BOARD</v>
          </cell>
          <cell r="C440">
            <v>1.49E-5</v>
          </cell>
          <cell r="D440"/>
          <cell r="E440">
            <v>2370</v>
          </cell>
          <cell r="F440">
            <v>-2038</v>
          </cell>
          <cell r="G440">
            <v>287</v>
          </cell>
          <cell r="H440">
            <v>374</v>
          </cell>
          <cell r="I440">
            <v>0</v>
          </cell>
        </row>
        <row r="441">
          <cell r="A441">
            <v>94501</v>
          </cell>
          <cell r="B441" t="str">
            <v>COUNTY OF HENDERSON</v>
          </cell>
          <cell r="C441">
            <v>5.9772999999999996E-3</v>
          </cell>
          <cell r="D441"/>
          <cell r="E441">
            <v>950636</v>
          </cell>
          <cell r="F441">
            <v>-817725</v>
          </cell>
          <cell r="G441">
            <v>115248</v>
          </cell>
          <cell r="H441">
            <v>149994</v>
          </cell>
          <cell r="I441">
            <v>0</v>
          </cell>
        </row>
        <row r="442">
          <cell r="A442">
            <v>94511</v>
          </cell>
          <cell r="B442" t="str">
            <v>CITY OF HENDERSONVILLE</v>
          </cell>
          <cell r="C442">
            <v>2.0183000000000002E-3</v>
          </cell>
          <cell r="D442"/>
          <cell r="E442">
            <v>320992</v>
          </cell>
          <cell r="F442">
            <v>-276114</v>
          </cell>
          <cell r="G442">
            <v>38915</v>
          </cell>
          <cell r="H442">
            <v>50647</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8715</v>
          </cell>
          <cell r="F444">
            <v>-7497</v>
          </cell>
          <cell r="G444">
            <v>1057</v>
          </cell>
          <cell r="H444">
            <v>1375</v>
          </cell>
          <cell r="I444">
            <v>0</v>
          </cell>
        </row>
        <row r="445">
          <cell r="A445">
            <v>94521</v>
          </cell>
          <cell r="B445" t="str">
            <v>TOWN OF LAUREL PARK</v>
          </cell>
          <cell r="C445">
            <v>1.4990000000000001E-4</v>
          </cell>
          <cell r="D445"/>
          <cell r="E445">
            <v>23840</v>
          </cell>
          <cell r="F445">
            <v>-20507</v>
          </cell>
          <cell r="G445">
            <v>2890</v>
          </cell>
          <cell r="H445">
            <v>3762</v>
          </cell>
          <cell r="I445">
            <v>0</v>
          </cell>
        </row>
        <row r="446">
          <cell r="A446">
            <v>94527</v>
          </cell>
          <cell r="B446" t="str">
            <v>LAUREL PARK ABC BOARD</v>
          </cell>
          <cell r="C446">
            <v>6.8000000000000001E-6</v>
          </cell>
          <cell r="D446"/>
          <cell r="E446">
            <v>1081</v>
          </cell>
          <cell r="F446">
            <v>-930</v>
          </cell>
          <cell r="G446">
            <v>131</v>
          </cell>
          <cell r="H446">
            <v>171</v>
          </cell>
          <cell r="I446">
            <v>0</v>
          </cell>
        </row>
        <row r="447">
          <cell r="A447">
            <v>94531</v>
          </cell>
          <cell r="B447" t="str">
            <v>THE VILLAGE OF FLAT ROCK</v>
          </cell>
          <cell r="C447">
            <v>2.3099999999999999E-5</v>
          </cell>
          <cell r="D447"/>
          <cell r="E447">
            <v>3674</v>
          </cell>
          <cell r="F447">
            <v>-3160</v>
          </cell>
          <cell r="G447">
            <v>445</v>
          </cell>
          <cell r="H447">
            <v>580</v>
          </cell>
          <cell r="I447">
            <v>0</v>
          </cell>
        </row>
        <row r="448">
          <cell r="A448">
            <v>94532</v>
          </cell>
          <cell r="B448" t="str">
            <v>BLUE RIDGE FIRE DEPARTMENT</v>
          </cell>
          <cell r="C448">
            <v>1.0060000000000001E-4</v>
          </cell>
          <cell r="D448"/>
          <cell r="E448">
            <v>16000</v>
          </cell>
          <cell r="F448">
            <v>-13763</v>
          </cell>
          <cell r="G448">
            <v>1940</v>
          </cell>
          <cell r="H448">
            <v>2524</v>
          </cell>
          <cell r="I448">
            <v>0</v>
          </cell>
        </row>
        <row r="449">
          <cell r="A449">
            <v>94541</v>
          </cell>
          <cell r="B449" t="str">
            <v>TOWN OF FLETCHER</v>
          </cell>
          <cell r="C449">
            <v>2.7750000000000002E-4</v>
          </cell>
          <cell r="D449"/>
          <cell r="E449">
            <v>44134</v>
          </cell>
          <cell r="F449">
            <v>-37963</v>
          </cell>
          <cell r="G449">
            <v>5350</v>
          </cell>
          <cell r="H449">
            <v>6964</v>
          </cell>
          <cell r="I449">
            <v>0</v>
          </cell>
        </row>
        <row r="450">
          <cell r="A450">
            <v>94547</v>
          </cell>
          <cell r="B450" t="str">
            <v>FLETCHER ABC BOARD</v>
          </cell>
          <cell r="C450">
            <v>1.1E-5</v>
          </cell>
          <cell r="D450"/>
          <cell r="E450">
            <v>1749</v>
          </cell>
          <cell r="F450">
            <v>-1505</v>
          </cell>
          <cell r="G450">
            <v>212</v>
          </cell>
          <cell r="H450">
            <v>276</v>
          </cell>
          <cell r="I450">
            <v>0</v>
          </cell>
        </row>
        <row r="451">
          <cell r="A451">
            <v>94551</v>
          </cell>
          <cell r="B451" t="str">
            <v>TOWN OF MILLS RIVER</v>
          </cell>
          <cell r="C451">
            <v>5.3000000000000001E-5</v>
          </cell>
          <cell r="D451"/>
          <cell r="E451">
            <v>8429</v>
          </cell>
          <cell r="F451">
            <v>-7251</v>
          </cell>
          <cell r="G451">
            <v>1022</v>
          </cell>
          <cell r="H451">
            <v>1330</v>
          </cell>
          <cell r="I451">
            <v>0</v>
          </cell>
        </row>
        <row r="452">
          <cell r="A452">
            <v>94601</v>
          </cell>
          <cell r="B452" t="str">
            <v>HERTFORD COUNTY</v>
          </cell>
          <cell r="C452">
            <v>9.1859999999999999E-4</v>
          </cell>
          <cell r="D452"/>
          <cell r="E452">
            <v>146095</v>
          </cell>
          <cell r="F452">
            <v>-125669</v>
          </cell>
          <cell r="G452">
            <v>17712</v>
          </cell>
          <cell r="H452">
            <v>23051</v>
          </cell>
          <cell r="I452">
            <v>0</v>
          </cell>
        </row>
        <row r="453">
          <cell r="A453">
            <v>94604</v>
          </cell>
          <cell r="B453" t="str">
            <v>HERTFORD COUNTY ABC BOARD</v>
          </cell>
          <cell r="C453">
            <v>2.6100000000000001E-5</v>
          </cell>
          <cell r="D453"/>
          <cell r="E453">
            <v>4151</v>
          </cell>
          <cell r="F453">
            <v>-3571</v>
          </cell>
          <cell r="G453">
            <v>503</v>
          </cell>
          <cell r="H453">
            <v>655</v>
          </cell>
          <cell r="I453">
            <v>0</v>
          </cell>
        </row>
        <row r="454">
          <cell r="A454">
            <v>94606</v>
          </cell>
          <cell r="B454" t="str">
            <v>HERTFORD COUNTY PUBLIC HEALTH AUTHORITY</v>
          </cell>
          <cell r="C454">
            <v>0</v>
          </cell>
          <cell r="D454"/>
          <cell r="E454">
            <v>0</v>
          </cell>
          <cell r="F454">
            <v>0</v>
          </cell>
          <cell r="G454">
            <v>0</v>
          </cell>
          <cell r="H454">
            <v>0</v>
          </cell>
          <cell r="I454">
            <v>0</v>
          </cell>
        </row>
        <row r="455">
          <cell r="A455">
            <v>94611</v>
          </cell>
          <cell r="B455" t="str">
            <v>TOWN OF AHOSKIE</v>
          </cell>
          <cell r="C455">
            <v>3.4459999999999997E-4</v>
          </cell>
          <cell r="D455"/>
          <cell r="E455">
            <v>54806</v>
          </cell>
          <cell r="F455">
            <v>-47143</v>
          </cell>
          <cell r="G455">
            <v>6644</v>
          </cell>
          <cell r="H455">
            <v>8647</v>
          </cell>
          <cell r="I455">
            <v>0</v>
          </cell>
        </row>
        <row r="456">
          <cell r="A456">
            <v>94621</v>
          </cell>
          <cell r="B456" t="str">
            <v>TOWN OF MURFREESBORO</v>
          </cell>
          <cell r="C456">
            <v>1.3320000000000001E-4</v>
          </cell>
          <cell r="D456"/>
          <cell r="E456">
            <v>21184</v>
          </cell>
          <cell r="F456">
            <v>-18222</v>
          </cell>
          <cell r="G456">
            <v>2568</v>
          </cell>
          <cell r="H456">
            <v>3343</v>
          </cell>
          <cell r="I456">
            <v>0</v>
          </cell>
        </row>
        <row r="457">
          <cell r="A457">
            <v>94631</v>
          </cell>
          <cell r="B457" t="str">
            <v>TOWN OF WINTON</v>
          </cell>
          <cell r="C457">
            <v>4.2599999999999999E-5</v>
          </cell>
          <cell r="D457"/>
          <cell r="E457">
            <v>6775</v>
          </cell>
          <cell r="F457">
            <v>-5828</v>
          </cell>
          <cell r="G457">
            <v>821</v>
          </cell>
          <cell r="H457">
            <v>1069</v>
          </cell>
          <cell r="I457">
            <v>0</v>
          </cell>
        </row>
        <row r="458">
          <cell r="A458">
            <v>94641</v>
          </cell>
          <cell r="B458" t="str">
            <v>TOWN OF COFIELD</v>
          </cell>
          <cell r="C458">
            <v>1.04E-5</v>
          </cell>
          <cell r="D458"/>
          <cell r="E458">
            <v>1654</v>
          </cell>
          <cell r="F458">
            <v>-1423</v>
          </cell>
          <cell r="G458">
            <v>201</v>
          </cell>
          <cell r="H458">
            <v>261</v>
          </cell>
          <cell r="I458">
            <v>0</v>
          </cell>
        </row>
        <row r="459">
          <cell r="A459">
            <v>94701</v>
          </cell>
          <cell r="B459" t="str">
            <v>HOKE COUNTY</v>
          </cell>
          <cell r="C459">
            <v>2.4202999999999998E-3</v>
          </cell>
          <cell r="D459"/>
          <cell r="E459">
            <v>384927</v>
          </cell>
          <cell r="F459">
            <v>-331109</v>
          </cell>
          <cell r="G459">
            <v>46666</v>
          </cell>
          <cell r="H459">
            <v>60735</v>
          </cell>
          <cell r="I459">
            <v>0</v>
          </cell>
        </row>
        <row r="460">
          <cell r="A460">
            <v>94704</v>
          </cell>
          <cell r="B460" t="str">
            <v>HOKE COUNTY ABC BOARD</v>
          </cell>
          <cell r="C460">
            <v>1.5299999999999999E-5</v>
          </cell>
          <cell r="D460"/>
          <cell r="E460">
            <v>2433</v>
          </cell>
          <cell r="F460">
            <v>-2093</v>
          </cell>
          <cell r="G460">
            <v>295</v>
          </cell>
          <cell r="H460">
            <v>384</v>
          </cell>
          <cell r="I460">
            <v>0</v>
          </cell>
        </row>
        <row r="461">
          <cell r="A461">
            <v>94711</v>
          </cell>
          <cell r="B461" t="str">
            <v>TOWN OF RAEFORD</v>
          </cell>
          <cell r="C461">
            <v>3.3819999999999998E-4</v>
          </cell>
          <cell r="D461"/>
          <cell r="E461">
            <v>53788</v>
          </cell>
          <cell r="F461">
            <v>-46267</v>
          </cell>
          <cell r="G461">
            <v>6521</v>
          </cell>
          <cell r="H461">
            <v>8487</v>
          </cell>
          <cell r="I461">
            <v>0</v>
          </cell>
        </row>
        <row r="462">
          <cell r="A462">
            <v>94801</v>
          </cell>
          <cell r="B462" t="str">
            <v>HYDE COUNTY</v>
          </cell>
          <cell r="C462">
            <v>6.8429999999999999E-4</v>
          </cell>
          <cell r="D462"/>
          <cell r="E462">
            <v>108832</v>
          </cell>
          <cell r="F462">
            <v>-93616</v>
          </cell>
          <cell r="G462">
            <v>13194</v>
          </cell>
          <cell r="H462">
            <v>17172</v>
          </cell>
          <cell r="I462">
            <v>0</v>
          </cell>
        </row>
        <row r="463">
          <cell r="A463">
            <v>94804</v>
          </cell>
          <cell r="B463" t="str">
            <v>HYDE COUNTY ABC BOARD</v>
          </cell>
          <cell r="C463">
            <v>2.7999999999999999E-6</v>
          </cell>
          <cell r="D463"/>
          <cell r="E463">
            <v>445</v>
          </cell>
          <cell r="F463">
            <v>-383</v>
          </cell>
          <cell r="G463">
            <v>54</v>
          </cell>
          <cell r="H463">
            <v>70</v>
          </cell>
          <cell r="I463">
            <v>0</v>
          </cell>
        </row>
        <row r="464">
          <cell r="A464">
            <v>94812</v>
          </cell>
          <cell r="B464" t="str">
            <v>OCRACOKE SANITARY DIST</v>
          </cell>
          <cell r="C464">
            <v>3.0000000000000001E-5</v>
          </cell>
          <cell r="D464"/>
          <cell r="E464">
            <v>4771</v>
          </cell>
          <cell r="F464">
            <v>-4104</v>
          </cell>
          <cell r="G464">
            <v>578</v>
          </cell>
          <cell r="H464">
            <v>753</v>
          </cell>
          <cell r="I464">
            <v>0</v>
          </cell>
        </row>
        <row r="465">
          <cell r="A465">
            <v>94901</v>
          </cell>
          <cell r="B465" t="str">
            <v>IREDELL COUNTY</v>
          </cell>
          <cell r="C465">
            <v>7.2372000000000001E-3</v>
          </cell>
          <cell r="D465"/>
          <cell r="E465">
            <v>1151012</v>
          </cell>
          <cell r="F465">
            <v>-990085</v>
          </cell>
          <cell r="G465">
            <v>139540</v>
          </cell>
          <cell r="H465">
            <v>181610</v>
          </cell>
          <cell r="I465">
            <v>0</v>
          </cell>
        </row>
        <row r="466">
          <cell r="A466">
            <v>94908</v>
          </cell>
          <cell r="B466" t="str">
            <v>GREATER STATESVILLE DEVELOPMENT CORP</v>
          </cell>
          <cell r="C466">
            <v>5.9000000000000003E-6</v>
          </cell>
          <cell r="D466"/>
          <cell r="E466">
            <v>938</v>
          </cell>
          <cell r="F466">
            <v>-807</v>
          </cell>
          <cell r="G466">
            <v>114</v>
          </cell>
          <cell r="H466">
            <v>148</v>
          </cell>
          <cell r="I466">
            <v>0</v>
          </cell>
        </row>
        <row r="467">
          <cell r="A467">
            <v>94911</v>
          </cell>
          <cell r="B467" t="str">
            <v>CITY OF STATESVILLE</v>
          </cell>
          <cell r="C467">
            <v>2.8782E-3</v>
          </cell>
          <cell r="D467"/>
          <cell r="E467">
            <v>457752</v>
          </cell>
          <cell r="F467">
            <v>-393752</v>
          </cell>
          <cell r="G467">
            <v>55495</v>
          </cell>
          <cell r="H467">
            <v>72226</v>
          </cell>
          <cell r="I467">
            <v>0</v>
          </cell>
        </row>
        <row r="468">
          <cell r="A468">
            <v>94917</v>
          </cell>
          <cell r="B468" t="str">
            <v>STATESVILLE ABC BOARD</v>
          </cell>
          <cell r="C468">
            <v>3.0700000000000001E-5</v>
          </cell>
          <cell r="D468"/>
          <cell r="E468">
            <v>4883</v>
          </cell>
          <cell r="F468">
            <v>-4200</v>
          </cell>
          <cell r="G468">
            <v>592</v>
          </cell>
          <cell r="H468">
            <v>770</v>
          </cell>
          <cell r="I468">
            <v>0</v>
          </cell>
        </row>
        <row r="469">
          <cell r="A469">
            <v>94921</v>
          </cell>
          <cell r="B469" t="str">
            <v>CITY OF MOORESVILLE</v>
          </cell>
          <cell r="C469">
            <v>3.8489000000000002E-3</v>
          </cell>
          <cell r="D469"/>
          <cell r="E469">
            <v>612133</v>
          </cell>
          <cell r="F469">
            <v>-526549</v>
          </cell>
          <cell r="G469">
            <v>74211</v>
          </cell>
          <cell r="H469">
            <v>96584</v>
          </cell>
          <cell r="I469">
            <v>0</v>
          </cell>
        </row>
        <row r="470">
          <cell r="A470">
            <v>94923</v>
          </cell>
          <cell r="B470" t="str">
            <v>MOORESVILLE HOUSING AUTHORITY</v>
          </cell>
          <cell r="C470">
            <v>2.7800000000000001E-5</v>
          </cell>
          <cell r="D470"/>
          <cell r="E470">
            <v>4421</v>
          </cell>
          <cell r="F470">
            <v>-3803</v>
          </cell>
          <cell r="G470">
            <v>536</v>
          </cell>
          <cell r="H470">
            <v>698</v>
          </cell>
          <cell r="I470">
            <v>0</v>
          </cell>
        </row>
        <row r="471">
          <cell r="A471">
            <v>94927</v>
          </cell>
          <cell r="B471" t="str">
            <v>MOORESVILLE ABC BOARD</v>
          </cell>
          <cell r="C471">
            <v>2.5299999999999998E-5</v>
          </cell>
          <cell r="D471"/>
          <cell r="E471">
            <v>4024</v>
          </cell>
          <cell r="F471">
            <v>-3461</v>
          </cell>
          <cell r="G471">
            <v>488</v>
          </cell>
          <cell r="H471">
            <v>635</v>
          </cell>
          <cell r="I471">
            <v>0</v>
          </cell>
        </row>
        <row r="472">
          <cell r="A472">
            <v>94931</v>
          </cell>
          <cell r="B472" t="str">
            <v>TOWN OF TROUTMAN</v>
          </cell>
          <cell r="C472">
            <v>2.142E-4</v>
          </cell>
          <cell r="D472"/>
          <cell r="E472">
            <v>34067</v>
          </cell>
          <cell r="F472">
            <v>-29304</v>
          </cell>
          <cell r="G472">
            <v>4130</v>
          </cell>
          <cell r="H472">
            <v>5375</v>
          </cell>
          <cell r="I472">
            <v>0</v>
          </cell>
        </row>
        <row r="473">
          <cell r="A473">
            <v>94937</v>
          </cell>
          <cell r="B473" t="str">
            <v>TOWN OF TROUTMAN ABC BOARD</v>
          </cell>
          <cell r="C473">
            <v>6.9E-6</v>
          </cell>
          <cell r="D473"/>
          <cell r="E473">
            <v>1097</v>
          </cell>
          <cell r="F473">
            <v>-944</v>
          </cell>
          <cell r="G473">
            <v>133</v>
          </cell>
          <cell r="H473">
            <v>173</v>
          </cell>
          <cell r="I473">
            <v>0</v>
          </cell>
        </row>
        <row r="474">
          <cell r="A474">
            <v>94941</v>
          </cell>
          <cell r="B474" t="str">
            <v>MI CONNECTION COMMUNICATIONS SYSTEM</v>
          </cell>
          <cell r="C474">
            <v>5.865E-4</v>
          </cell>
          <cell r="D474"/>
          <cell r="E474">
            <v>93278</v>
          </cell>
          <cell r="F474">
            <v>-80236</v>
          </cell>
          <cell r="G474">
            <v>11308</v>
          </cell>
          <cell r="H474">
            <v>14718</v>
          </cell>
          <cell r="I474">
            <v>0</v>
          </cell>
        </row>
        <row r="475">
          <cell r="A475">
            <v>94947</v>
          </cell>
          <cell r="B475" t="str">
            <v>VALDESE ABC BOARD</v>
          </cell>
          <cell r="C475">
            <v>5.9000000000000003E-6</v>
          </cell>
          <cell r="D475"/>
          <cell r="E475">
            <v>938</v>
          </cell>
          <cell r="F475">
            <v>-807</v>
          </cell>
          <cell r="G475">
            <v>114</v>
          </cell>
          <cell r="H475">
            <v>148</v>
          </cell>
          <cell r="I475">
            <v>0</v>
          </cell>
        </row>
        <row r="476">
          <cell r="A476">
            <v>95001</v>
          </cell>
          <cell r="B476" t="str">
            <v>JACKSON COUNTY</v>
          </cell>
          <cell r="C476">
            <v>2.2818999999999999E-3</v>
          </cell>
          <cell r="D476"/>
          <cell r="E476">
            <v>362916</v>
          </cell>
          <cell r="F476">
            <v>-312175</v>
          </cell>
          <cell r="G476">
            <v>43997</v>
          </cell>
          <cell r="H476">
            <v>57262</v>
          </cell>
          <cell r="I476">
            <v>0</v>
          </cell>
        </row>
        <row r="477">
          <cell r="A477">
            <v>95002</v>
          </cell>
          <cell r="B477" t="str">
            <v>TUCKASEIGEE WATER AUTHORITY</v>
          </cell>
          <cell r="C477">
            <v>1.805E-4</v>
          </cell>
          <cell r="D477"/>
          <cell r="E477">
            <v>28707</v>
          </cell>
          <cell r="F477">
            <v>-24693</v>
          </cell>
          <cell r="G477">
            <v>3480</v>
          </cell>
          <cell r="H477">
            <v>4529</v>
          </cell>
          <cell r="I477">
            <v>0</v>
          </cell>
        </row>
        <row r="478">
          <cell r="A478">
            <v>95005</v>
          </cell>
          <cell r="B478" t="str">
            <v>FONTANA REGIONAL LIBRARY</v>
          </cell>
          <cell r="C478">
            <v>1.8819999999999999E-4</v>
          </cell>
          <cell r="D478"/>
          <cell r="E478">
            <v>29932</v>
          </cell>
          <cell r="F478">
            <v>-25747</v>
          </cell>
          <cell r="G478">
            <v>3629</v>
          </cell>
          <cell r="H478">
            <v>4723</v>
          </cell>
          <cell r="I478">
            <v>0</v>
          </cell>
        </row>
        <row r="479">
          <cell r="A479">
            <v>95008</v>
          </cell>
          <cell r="B479" t="str">
            <v>SOUTHWESTERN NC PLANNING &amp; ECON.DEV.COMMIS.</v>
          </cell>
          <cell r="C479">
            <v>1.193E-4</v>
          </cell>
          <cell r="D479"/>
          <cell r="E479">
            <v>18974</v>
          </cell>
          <cell r="F479">
            <v>-16321</v>
          </cell>
          <cell r="G479">
            <v>2300</v>
          </cell>
          <cell r="H479">
            <v>2994</v>
          </cell>
          <cell r="I479">
            <v>0</v>
          </cell>
        </row>
        <row r="480">
          <cell r="A480">
            <v>95009</v>
          </cell>
          <cell r="B480" t="str">
            <v>SMOKY MOUNTAIN M H C</v>
          </cell>
          <cell r="C480">
            <v>4.0723000000000001E-3</v>
          </cell>
          <cell r="D480"/>
          <cell r="E480">
            <v>647663</v>
          </cell>
          <cell r="F480">
            <v>-557111</v>
          </cell>
          <cell r="G480">
            <v>78518</v>
          </cell>
          <cell r="H480">
            <v>102190</v>
          </cell>
          <cell r="I480">
            <v>0</v>
          </cell>
        </row>
        <row r="481">
          <cell r="A481">
            <v>95011</v>
          </cell>
          <cell r="B481" t="str">
            <v>TOWN OF SYLVA</v>
          </cell>
          <cell r="C481">
            <v>1.9230000000000001E-4</v>
          </cell>
          <cell r="D481"/>
          <cell r="E481">
            <v>30584</v>
          </cell>
          <cell r="F481">
            <v>-26308</v>
          </cell>
          <cell r="G481">
            <v>3708</v>
          </cell>
          <cell r="H481">
            <v>4826</v>
          </cell>
          <cell r="I481">
            <v>0</v>
          </cell>
        </row>
        <row r="482">
          <cell r="A482">
            <v>95017</v>
          </cell>
          <cell r="B482" t="str">
            <v>JACKSON COUNTY ABC BOARD</v>
          </cell>
          <cell r="C482">
            <v>5.1E-5</v>
          </cell>
          <cell r="D482"/>
          <cell r="E482">
            <v>8111</v>
          </cell>
          <cell r="F482">
            <v>-6977</v>
          </cell>
          <cell r="G482">
            <v>983</v>
          </cell>
          <cell r="H482">
            <v>1280</v>
          </cell>
          <cell r="I482">
            <v>0</v>
          </cell>
        </row>
        <row r="483">
          <cell r="A483">
            <v>95101</v>
          </cell>
          <cell r="B483" t="str">
            <v>JOHNSTON COUNTY</v>
          </cell>
          <cell r="C483">
            <v>8.8515E-3</v>
          </cell>
          <cell r="D483"/>
          <cell r="E483">
            <v>1407751</v>
          </cell>
          <cell r="F483">
            <v>-1210929</v>
          </cell>
          <cell r="G483">
            <v>170666</v>
          </cell>
          <cell r="H483">
            <v>222120</v>
          </cell>
          <cell r="I483">
            <v>0</v>
          </cell>
        </row>
        <row r="484">
          <cell r="A484">
            <v>95103</v>
          </cell>
          <cell r="B484" t="str">
            <v>BENSON HOUSING AUTHORITY</v>
          </cell>
          <cell r="C484">
            <v>5.0599999999999997E-5</v>
          </cell>
          <cell r="D484"/>
          <cell r="E484">
            <v>8047</v>
          </cell>
          <cell r="F484">
            <v>-6922</v>
          </cell>
          <cell r="G484">
            <v>976</v>
          </cell>
          <cell r="H484">
            <v>1270</v>
          </cell>
          <cell r="I484">
            <v>0</v>
          </cell>
        </row>
        <row r="485">
          <cell r="A485">
            <v>95104</v>
          </cell>
          <cell r="B485" t="str">
            <v>JOHNSTON COUNTY ABC BOARD</v>
          </cell>
          <cell r="C485">
            <v>1.149E-4</v>
          </cell>
          <cell r="D485"/>
          <cell r="E485">
            <v>18274</v>
          </cell>
          <cell r="F485">
            <v>-15719</v>
          </cell>
          <cell r="G485">
            <v>2215</v>
          </cell>
          <cell r="H485">
            <v>2883</v>
          </cell>
          <cell r="I485">
            <v>0</v>
          </cell>
        </row>
        <row r="486">
          <cell r="A486">
            <v>95105</v>
          </cell>
          <cell r="B486" t="str">
            <v>PUBLIC LIBRARY OF JOHNSTON CO AND SMITHFIELD</v>
          </cell>
          <cell r="C486">
            <v>7.1500000000000003E-5</v>
          </cell>
          <cell r="D486"/>
          <cell r="E486">
            <v>11371</v>
          </cell>
          <cell r="F486">
            <v>-9782</v>
          </cell>
          <cell r="G486">
            <v>1379</v>
          </cell>
          <cell r="H486">
            <v>1794</v>
          </cell>
          <cell r="I486">
            <v>0</v>
          </cell>
        </row>
        <row r="487">
          <cell r="A487">
            <v>95106</v>
          </cell>
          <cell r="B487" t="str">
            <v>TOWN OF ARCHER LODGE</v>
          </cell>
          <cell r="C487">
            <v>1.29E-5</v>
          </cell>
          <cell r="D487"/>
          <cell r="E487">
            <v>2052</v>
          </cell>
          <cell r="F487">
            <v>-1765</v>
          </cell>
          <cell r="G487">
            <v>249</v>
          </cell>
          <cell r="H487">
            <v>324</v>
          </cell>
          <cell r="I487">
            <v>0</v>
          </cell>
        </row>
        <row r="488">
          <cell r="A488">
            <v>95110</v>
          </cell>
          <cell r="B488" t="str">
            <v>JOHNSTON HEALTH CENTER</v>
          </cell>
          <cell r="C488">
            <v>3.1538E-3</v>
          </cell>
          <cell r="D488"/>
          <cell r="E488">
            <v>501584</v>
          </cell>
          <cell r="F488">
            <v>-431456</v>
          </cell>
          <cell r="G488">
            <v>60808</v>
          </cell>
          <cell r="H488">
            <v>79141</v>
          </cell>
          <cell r="I488">
            <v>0</v>
          </cell>
        </row>
        <row r="489">
          <cell r="A489">
            <v>95111</v>
          </cell>
          <cell r="B489" t="str">
            <v>TOWN OF SMITHFIELD</v>
          </cell>
          <cell r="C489">
            <v>1.0529000000000001E-3</v>
          </cell>
          <cell r="D489"/>
          <cell r="E489">
            <v>167454</v>
          </cell>
          <cell r="F489">
            <v>-144042</v>
          </cell>
          <cell r="G489">
            <v>20301</v>
          </cell>
          <cell r="H489">
            <v>26421</v>
          </cell>
          <cell r="I489">
            <v>0</v>
          </cell>
        </row>
        <row r="490">
          <cell r="A490">
            <v>95113</v>
          </cell>
          <cell r="B490" t="str">
            <v>SMITHFIELD HOUSING AUTHORITY</v>
          </cell>
          <cell r="C490">
            <v>4.5300000000000003E-5</v>
          </cell>
          <cell r="D490"/>
          <cell r="E490">
            <v>7205</v>
          </cell>
          <cell r="F490">
            <v>-6197</v>
          </cell>
          <cell r="G490">
            <v>873</v>
          </cell>
          <cell r="H490">
            <v>1137</v>
          </cell>
          <cell r="I490">
            <v>0</v>
          </cell>
        </row>
        <row r="491">
          <cell r="A491">
            <v>95121</v>
          </cell>
          <cell r="B491" t="str">
            <v>TOWN OF SELMA</v>
          </cell>
          <cell r="C491">
            <v>4.6769999999999998E-4</v>
          </cell>
          <cell r="D491"/>
          <cell r="E491">
            <v>74383</v>
          </cell>
          <cell r="F491">
            <v>-63984</v>
          </cell>
          <cell r="G491">
            <v>9018</v>
          </cell>
          <cell r="H491">
            <v>11736</v>
          </cell>
          <cell r="I491">
            <v>0</v>
          </cell>
        </row>
        <row r="492">
          <cell r="A492">
            <v>95122</v>
          </cell>
          <cell r="B492" t="str">
            <v>TOWN OF MICRO</v>
          </cell>
          <cell r="C492">
            <v>1.5400000000000002E-5</v>
          </cell>
          <cell r="D492"/>
          <cell r="E492">
            <v>2449</v>
          </cell>
          <cell r="F492">
            <v>-2107</v>
          </cell>
          <cell r="G492">
            <v>297</v>
          </cell>
          <cell r="H492">
            <v>386</v>
          </cell>
          <cell r="I492">
            <v>0</v>
          </cell>
        </row>
        <row r="493">
          <cell r="A493">
            <v>95123</v>
          </cell>
          <cell r="B493" t="str">
            <v>SELMA HOUSING AUTHORITY</v>
          </cell>
          <cell r="C493">
            <v>4.8999999999999998E-5</v>
          </cell>
          <cell r="D493"/>
          <cell r="E493">
            <v>7793</v>
          </cell>
          <cell r="F493">
            <v>-6703</v>
          </cell>
          <cell r="G493">
            <v>945</v>
          </cell>
          <cell r="H493">
            <v>1230</v>
          </cell>
          <cell r="I493">
            <v>0</v>
          </cell>
        </row>
        <row r="494">
          <cell r="A494">
            <v>95131</v>
          </cell>
          <cell r="B494" t="str">
            <v>TOWN OF CLAYTON</v>
          </cell>
          <cell r="C494">
            <v>1.7905E-3</v>
          </cell>
          <cell r="D494"/>
          <cell r="E494">
            <v>284763</v>
          </cell>
          <cell r="F494">
            <v>-244949</v>
          </cell>
          <cell r="G494">
            <v>34523</v>
          </cell>
          <cell r="H494">
            <v>44931</v>
          </cell>
          <cell r="I494">
            <v>0</v>
          </cell>
        </row>
        <row r="495">
          <cell r="A495">
            <v>95141</v>
          </cell>
          <cell r="B495" t="str">
            <v>TOWN OF BENSON</v>
          </cell>
          <cell r="C495">
            <v>3.6099999999999999E-4</v>
          </cell>
          <cell r="D495"/>
          <cell r="E495">
            <v>57414</v>
          </cell>
          <cell r="F495">
            <v>-49387</v>
          </cell>
          <cell r="G495">
            <v>6960</v>
          </cell>
          <cell r="H495">
            <v>9059</v>
          </cell>
          <cell r="I495">
            <v>0</v>
          </cell>
        </row>
        <row r="496">
          <cell r="A496">
            <v>95151</v>
          </cell>
          <cell r="B496" t="str">
            <v>TOWN OF FOUR OAKS</v>
          </cell>
          <cell r="C496">
            <v>1.1010000000000001E-4</v>
          </cell>
          <cell r="D496"/>
          <cell r="E496">
            <v>17510</v>
          </cell>
          <cell r="F496">
            <v>-15062</v>
          </cell>
          <cell r="G496">
            <v>2123</v>
          </cell>
          <cell r="H496">
            <v>2763</v>
          </cell>
          <cell r="I496">
            <v>0</v>
          </cell>
        </row>
        <row r="497">
          <cell r="A497">
            <v>95161</v>
          </cell>
          <cell r="B497" t="str">
            <v>TOWN OF PINE LEVEL</v>
          </cell>
          <cell r="C497">
            <v>7.1199999999999996E-5</v>
          </cell>
          <cell r="D497"/>
          <cell r="E497">
            <v>11324</v>
          </cell>
          <cell r="F497">
            <v>-9741</v>
          </cell>
          <cell r="G497">
            <v>1373</v>
          </cell>
          <cell r="H497">
            <v>1787</v>
          </cell>
          <cell r="I497">
            <v>0</v>
          </cell>
        </row>
        <row r="498">
          <cell r="A498">
            <v>95171</v>
          </cell>
          <cell r="B498" t="str">
            <v>TOWN OF KENLY</v>
          </cell>
          <cell r="C498">
            <v>1.089E-4</v>
          </cell>
          <cell r="D498"/>
          <cell r="E498">
            <v>17320</v>
          </cell>
          <cell r="F498">
            <v>-14898</v>
          </cell>
          <cell r="G498">
            <v>2100</v>
          </cell>
          <cell r="H498">
            <v>2733</v>
          </cell>
          <cell r="I498">
            <v>0</v>
          </cell>
        </row>
        <row r="499">
          <cell r="A499">
            <v>95181</v>
          </cell>
          <cell r="B499" t="str">
            <v>TOWN OF PRINCETON</v>
          </cell>
          <cell r="C499">
            <v>5.9700000000000001E-5</v>
          </cell>
          <cell r="D499"/>
          <cell r="E499">
            <v>9495</v>
          </cell>
          <cell r="F499">
            <v>-8167</v>
          </cell>
          <cell r="G499">
            <v>1151</v>
          </cell>
          <cell r="H499">
            <v>1498</v>
          </cell>
          <cell r="I499">
            <v>0</v>
          </cell>
        </row>
        <row r="500">
          <cell r="A500">
            <v>95191</v>
          </cell>
          <cell r="B500" t="str">
            <v>TOWN OF WILSON'S MILLS</v>
          </cell>
          <cell r="C500">
            <v>7.3800000000000005E-5</v>
          </cell>
          <cell r="D500"/>
          <cell r="E500">
            <v>11737</v>
          </cell>
          <cell r="F500">
            <v>-10096</v>
          </cell>
          <cell r="G500">
            <v>1423</v>
          </cell>
          <cell r="H500">
            <v>1852</v>
          </cell>
          <cell r="I500">
            <v>0</v>
          </cell>
        </row>
        <row r="501">
          <cell r="A501">
            <v>95201</v>
          </cell>
          <cell r="B501" t="str">
            <v>JONES COUNTY</v>
          </cell>
          <cell r="C501">
            <v>6.5070000000000004E-4</v>
          </cell>
          <cell r="D501"/>
          <cell r="E501">
            <v>103488</v>
          </cell>
          <cell r="F501">
            <v>-89019</v>
          </cell>
          <cell r="G501">
            <v>12546</v>
          </cell>
          <cell r="H501">
            <v>16329</v>
          </cell>
          <cell r="I501">
            <v>0</v>
          </cell>
        </row>
        <row r="502">
          <cell r="A502">
            <v>95204</v>
          </cell>
          <cell r="B502" t="str">
            <v>JONES COUNTY ABC BOARD</v>
          </cell>
          <cell r="C502">
            <v>5.6999999999999996E-6</v>
          </cell>
          <cell r="D502"/>
          <cell r="E502">
            <v>907</v>
          </cell>
          <cell r="F502">
            <v>-780</v>
          </cell>
          <cell r="G502">
            <v>110</v>
          </cell>
          <cell r="H502">
            <v>143</v>
          </cell>
          <cell r="I502">
            <v>0</v>
          </cell>
        </row>
        <row r="503">
          <cell r="A503">
            <v>95205</v>
          </cell>
          <cell r="B503" t="str">
            <v>NEUSE REGIONAL LIBRARY-JONES COUNTY</v>
          </cell>
          <cell r="C503">
            <v>2.7E-6</v>
          </cell>
          <cell r="D503"/>
          <cell r="E503">
            <v>429</v>
          </cell>
          <cell r="F503">
            <v>-369</v>
          </cell>
          <cell r="G503">
            <v>52</v>
          </cell>
          <cell r="H503">
            <v>68</v>
          </cell>
          <cell r="I503">
            <v>0</v>
          </cell>
        </row>
        <row r="504">
          <cell r="A504">
            <v>95211</v>
          </cell>
          <cell r="B504" t="str">
            <v>TOWN OF POLLOCKSVILLE</v>
          </cell>
          <cell r="C504">
            <v>5.1000000000000003E-6</v>
          </cell>
          <cell r="D504"/>
          <cell r="E504">
            <v>811</v>
          </cell>
          <cell r="F504">
            <v>-698</v>
          </cell>
          <cell r="G504">
            <v>98</v>
          </cell>
          <cell r="H504">
            <v>128</v>
          </cell>
          <cell r="I504">
            <v>0</v>
          </cell>
        </row>
        <row r="505">
          <cell r="A505">
            <v>95221</v>
          </cell>
          <cell r="B505" t="str">
            <v>TOWN OF MAYSVILLE</v>
          </cell>
          <cell r="C505">
            <v>5.4400000000000001E-5</v>
          </cell>
          <cell r="D505"/>
          <cell r="E505">
            <v>8652</v>
          </cell>
          <cell r="F505">
            <v>-7442</v>
          </cell>
          <cell r="G505">
            <v>1049</v>
          </cell>
          <cell r="H505">
            <v>1365</v>
          </cell>
          <cell r="I505">
            <v>0</v>
          </cell>
        </row>
        <row r="506">
          <cell r="A506">
            <v>95301</v>
          </cell>
          <cell r="B506" t="str">
            <v>LEE COUNTY</v>
          </cell>
          <cell r="C506">
            <v>2.1561000000000002E-3</v>
          </cell>
          <cell r="D506"/>
          <cell r="E506">
            <v>342908</v>
          </cell>
          <cell r="F506">
            <v>-294965</v>
          </cell>
          <cell r="G506">
            <v>41572</v>
          </cell>
          <cell r="H506">
            <v>54105</v>
          </cell>
          <cell r="I506">
            <v>0</v>
          </cell>
        </row>
        <row r="507">
          <cell r="A507">
            <v>95311</v>
          </cell>
          <cell r="B507" t="str">
            <v>CITY OF SANFORD</v>
          </cell>
          <cell r="C507">
            <v>2.578E-3</v>
          </cell>
          <cell r="D507"/>
          <cell r="E507">
            <v>410008</v>
          </cell>
          <cell r="F507">
            <v>-352683</v>
          </cell>
          <cell r="G507">
            <v>49706</v>
          </cell>
          <cell r="H507">
            <v>64692</v>
          </cell>
          <cell r="I507">
            <v>0</v>
          </cell>
        </row>
        <row r="508">
          <cell r="A508">
            <v>95317</v>
          </cell>
          <cell r="B508" t="str">
            <v>SANFORD ABC BOARD</v>
          </cell>
          <cell r="C508">
            <v>4.1999999999999998E-5</v>
          </cell>
          <cell r="D508"/>
          <cell r="E508">
            <v>6680</v>
          </cell>
          <cell r="F508">
            <v>-5746</v>
          </cell>
          <cell r="G508">
            <v>810</v>
          </cell>
          <cell r="H508">
            <v>1054</v>
          </cell>
          <cell r="I508">
            <v>0</v>
          </cell>
        </row>
        <row r="509">
          <cell r="A509">
            <v>95321</v>
          </cell>
          <cell r="B509" t="str">
            <v>TOWN OF BROADWAY</v>
          </cell>
          <cell r="C509">
            <v>4.85E-5</v>
          </cell>
          <cell r="D509"/>
          <cell r="E509">
            <v>7713</v>
          </cell>
          <cell r="F509">
            <v>-6635</v>
          </cell>
          <cell r="G509">
            <v>935</v>
          </cell>
          <cell r="H509">
            <v>1217</v>
          </cell>
          <cell r="I509">
            <v>0</v>
          </cell>
        </row>
        <row r="510">
          <cell r="A510">
            <v>95401</v>
          </cell>
          <cell r="B510" t="str">
            <v>LENOIR COUNTY</v>
          </cell>
          <cell r="C510">
            <v>2.9023E-3</v>
          </cell>
          <cell r="D510"/>
          <cell r="E510">
            <v>461585</v>
          </cell>
          <cell r="F510">
            <v>-397049</v>
          </cell>
          <cell r="G510">
            <v>55959</v>
          </cell>
          <cell r="H510">
            <v>72830</v>
          </cell>
          <cell r="I510">
            <v>0</v>
          </cell>
        </row>
        <row r="511">
          <cell r="A511">
            <v>95404</v>
          </cell>
          <cell r="B511" t="str">
            <v>LENOIR COUNTY ABC BOARD</v>
          </cell>
          <cell r="C511">
            <v>4.4799999999999998E-5</v>
          </cell>
          <cell r="D511"/>
          <cell r="E511">
            <v>7125</v>
          </cell>
          <cell r="F511">
            <v>-6129</v>
          </cell>
          <cell r="G511">
            <v>864</v>
          </cell>
          <cell r="H511">
            <v>1124</v>
          </cell>
          <cell r="I511">
            <v>0</v>
          </cell>
        </row>
        <row r="512">
          <cell r="A512">
            <v>95405</v>
          </cell>
          <cell r="B512" t="str">
            <v>NEUSE REGIONAL LIBRARY</v>
          </cell>
          <cell r="C512">
            <v>3.3399999999999999E-5</v>
          </cell>
          <cell r="D512"/>
          <cell r="E512">
            <v>5312</v>
          </cell>
          <cell r="F512">
            <v>-4569</v>
          </cell>
          <cell r="G512">
            <v>644</v>
          </cell>
          <cell r="H512">
            <v>838</v>
          </cell>
          <cell r="I512">
            <v>0</v>
          </cell>
        </row>
        <row r="513">
          <cell r="A513">
            <v>95411</v>
          </cell>
          <cell r="B513" t="str">
            <v>CITY OF KINSTON</v>
          </cell>
          <cell r="C513">
            <v>2.0365000000000001E-3</v>
          </cell>
          <cell r="D513"/>
          <cell r="E513">
            <v>323887</v>
          </cell>
          <cell r="F513">
            <v>-278603</v>
          </cell>
          <cell r="G513">
            <v>39266</v>
          </cell>
          <cell r="H513">
            <v>51104</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39140</v>
          </cell>
          <cell r="F515">
            <v>-33668</v>
          </cell>
          <cell r="G515">
            <v>4745</v>
          </cell>
          <cell r="H515">
            <v>6176</v>
          </cell>
          <cell r="I515">
            <v>0</v>
          </cell>
        </row>
        <row r="516">
          <cell r="A516">
            <v>95415</v>
          </cell>
          <cell r="B516" t="str">
            <v>KINSTON-LENOIR CO PUB LIBRARY</v>
          </cell>
          <cell r="C516">
            <v>5.7599999999999997E-5</v>
          </cell>
          <cell r="D516"/>
          <cell r="E516">
            <v>9161</v>
          </cell>
          <cell r="F516">
            <v>-7880</v>
          </cell>
          <cell r="G516">
            <v>1111</v>
          </cell>
          <cell r="H516">
            <v>1445</v>
          </cell>
          <cell r="I516">
            <v>0</v>
          </cell>
        </row>
        <row r="517">
          <cell r="A517">
            <v>95421</v>
          </cell>
          <cell r="B517" t="str">
            <v>TOWN OF PINK HILL</v>
          </cell>
          <cell r="C517">
            <v>3.6699999999999998E-5</v>
          </cell>
          <cell r="D517"/>
          <cell r="E517">
            <v>5837</v>
          </cell>
          <cell r="F517">
            <v>-5021</v>
          </cell>
          <cell r="G517">
            <v>708</v>
          </cell>
          <cell r="H517">
            <v>921</v>
          </cell>
          <cell r="I517">
            <v>0</v>
          </cell>
        </row>
        <row r="518">
          <cell r="A518">
            <v>95431</v>
          </cell>
          <cell r="B518" t="str">
            <v>TOWN OF LAGRANGE</v>
          </cell>
          <cell r="C518">
            <v>1.3689999999999999E-4</v>
          </cell>
          <cell r="D518"/>
          <cell r="E518">
            <v>21773</v>
          </cell>
          <cell r="F518">
            <v>-18729</v>
          </cell>
          <cell r="G518">
            <v>2640</v>
          </cell>
          <cell r="H518">
            <v>3435</v>
          </cell>
          <cell r="I518">
            <v>0</v>
          </cell>
        </row>
        <row r="519">
          <cell r="A519">
            <v>95501</v>
          </cell>
          <cell r="B519" t="str">
            <v>LINCOLN COUNTY</v>
          </cell>
          <cell r="C519">
            <v>5.0283999999999997E-3</v>
          </cell>
          <cell r="D519"/>
          <cell r="E519">
            <v>799722</v>
          </cell>
          <cell r="F519">
            <v>-687910</v>
          </cell>
          <cell r="G519">
            <v>96953</v>
          </cell>
          <cell r="H519">
            <v>126183</v>
          </cell>
          <cell r="I519">
            <v>0</v>
          </cell>
        </row>
        <row r="520">
          <cell r="A520">
            <v>95504</v>
          </cell>
          <cell r="B520" t="str">
            <v>LINCOLN COUNTY ABC BOARD</v>
          </cell>
          <cell r="C520">
            <v>1.49E-5</v>
          </cell>
          <cell r="D520"/>
          <cell r="E520">
            <v>2370</v>
          </cell>
          <cell r="F520">
            <v>-2038</v>
          </cell>
          <cell r="G520">
            <v>287</v>
          </cell>
          <cell r="H520">
            <v>374</v>
          </cell>
          <cell r="I520">
            <v>0</v>
          </cell>
        </row>
        <row r="521">
          <cell r="A521">
            <v>95511</v>
          </cell>
          <cell r="B521" t="str">
            <v>CITY OF LINCOLNTON</v>
          </cell>
          <cell r="C521">
            <v>9.4910000000000003E-4</v>
          </cell>
          <cell r="D521"/>
          <cell r="E521">
            <v>150946</v>
          </cell>
          <cell r="F521">
            <v>-129842</v>
          </cell>
          <cell r="G521">
            <v>18300</v>
          </cell>
          <cell r="H521">
            <v>23817</v>
          </cell>
          <cell r="I521">
            <v>0</v>
          </cell>
        </row>
        <row r="522">
          <cell r="A522">
            <v>95513</v>
          </cell>
          <cell r="B522" t="str">
            <v>LINCOLNTON HOUSING AUTHORITY</v>
          </cell>
          <cell r="C522">
            <v>3.9700000000000003E-5</v>
          </cell>
          <cell r="D522"/>
          <cell r="E522">
            <v>6314</v>
          </cell>
          <cell r="F522">
            <v>-5431</v>
          </cell>
          <cell r="G522">
            <v>765</v>
          </cell>
          <cell r="H522">
            <v>996</v>
          </cell>
          <cell r="I522">
            <v>0</v>
          </cell>
        </row>
        <row r="523">
          <cell r="A523">
            <v>95517</v>
          </cell>
          <cell r="B523" t="str">
            <v>TOWN OF LINCOLNTON ABC BOARD</v>
          </cell>
          <cell r="C523">
            <v>1.84E-5</v>
          </cell>
          <cell r="D523"/>
          <cell r="E523">
            <v>2926</v>
          </cell>
          <cell r="F523">
            <v>-2517</v>
          </cell>
          <cell r="G523">
            <v>355</v>
          </cell>
          <cell r="H523">
            <v>462</v>
          </cell>
          <cell r="I523">
            <v>0</v>
          </cell>
        </row>
        <row r="524">
          <cell r="A524">
            <v>95601</v>
          </cell>
          <cell r="B524" t="str">
            <v>MACON COUNTY</v>
          </cell>
          <cell r="C524">
            <v>2.4459999999999998E-3</v>
          </cell>
          <cell r="D524"/>
          <cell r="E524">
            <v>389014</v>
          </cell>
          <cell r="F524">
            <v>-334625</v>
          </cell>
          <cell r="G524">
            <v>47161</v>
          </cell>
          <cell r="H524">
            <v>61380</v>
          </cell>
          <cell r="I524">
            <v>0</v>
          </cell>
        </row>
        <row r="525">
          <cell r="A525">
            <v>95611</v>
          </cell>
          <cell r="B525" t="str">
            <v>TOWN OF FRANKLIN</v>
          </cell>
          <cell r="C525">
            <v>3.7889999999999999E-4</v>
          </cell>
          <cell r="D525"/>
          <cell r="E525">
            <v>60261</v>
          </cell>
          <cell r="F525">
            <v>-51835</v>
          </cell>
          <cell r="G525">
            <v>7306</v>
          </cell>
          <cell r="H525">
            <v>9508</v>
          </cell>
          <cell r="I525">
            <v>0</v>
          </cell>
        </row>
        <row r="526">
          <cell r="A526">
            <v>95617</v>
          </cell>
          <cell r="B526" t="str">
            <v>HIGHLANDS ABC BOARD</v>
          </cell>
          <cell r="C526">
            <v>1.49E-5</v>
          </cell>
          <cell r="D526"/>
          <cell r="E526">
            <v>2370</v>
          </cell>
          <cell r="F526">
            <v>-2038</v>
          </cell>
          <cell r="G526">
            <v>287</v>
          </cell>
          <cell r="H526">
            <v>374</v>
          </cell>
          <cell r="I526">
            <v>0</v>
          </cell>
        </row>
        <row r="527">
          <cell r="A527">
            <v>95621</v>
          </cell>
          <cell r="B527" t="str">
            <v>TOWN OF HIGHLANDS</v>
          </cell>
          <cell r="C527">
            <v>4.5750000000000001E-4</v>
          </cell>
          <cell r="D527"/>
          <cell r="E527">
            <v>72761</v>
          </cell>
          <cell r="F527">
            <v>-62588</v>
          </cell>
          <cell r="G527">
            <v>8821</v>
          </cell>
          <cell r="H527">
            <v>11481</v>
          </cell>
          <cell r="I527">
            <v>0</v>
          </cell>
        </row>
        <row r="528">
          <cell r="A528">
            <v>95701</v>
          </cell>
          <cell r="B528" t="str">
            <v>MADISON COUNTY</v>
          </cell>
          <cell r="C528">
            <v>1.2156000000000001E-3</v>
          </cell>
          <cell r="D528"/>
          <cell r="E528">
            <v>193330</v>
          </cell>
          <cell r="F528">
            <v>-166300</v>
          </cell>
          <cell r="G528">
            <v>23438</v>
          </cell>
          <cell r="H528">
            <v>30504</v>
          </cell>
          <cell r="I528">
            <v>0</v>
          </cell>
        </row>
        <row r="529">
          <cell r="A529">
            <v>95711</v>
          </cell>
          <cell r="B529" t="str">
            <v>TOWN OF MARS HILL</v>
          </cell>
          <cell r="C529">
            <v>1.4320000000000001E-4</v>
          </cell>
          <cell r="D529"/>
          <cell r="E529">
            <v>22775</v>
          </cell>
          <cell r="F529">
            <v>-19590</v>
          </cell>
          <cell r="G529">
            <v>2761</v>
          </cell>
          <cell r="H529">
            <v>3593</v>
          </cell>
          <cell r="I529">
            <v>0</v>
          </cell>
        </row>
        <row r="530">
          <cell r="A530">
            <v>95721</v>
          </cell>
          <cell r="B530" t="str">
            <v>TOWN OF MARSHALL</v>
          </cell>
          <cell r="C530">
            <v>6.58E-5</v>
          </cell>
          <cell r="D530"/>
          <cell r="E530">
            <v>10465</v>
          </cell>
          <cell r="F530">
            <v>-9002</v>
          </cell>
          <cell r="G530">
            <v>1269</v>
          </cell>
          <cell r="H530">
            <v>1651</v>
          </cell>
          <cell r="I530">
            <v>0</v>
          </cell>
        </row>
        <row r="531">
          <cell r="A531">
            <v>95733</v>
          </cell>
          <cell r="B531" t="str">
            <v>HOT SPRINGS HOUSING AUTHORITY</v>
          </cell>
          <cell r="C531">
            <v>1.43E-5</v>
          </cell>
          <cell r="D531"/>
          <cell r="E531">
            <v>2274</v>
          </cell>
          <cell r="F531">
            <v>-1956</v>
          </cell>
          <cell r="G531">
            <v>276</v>
          </cell>
          <cell r="H531">
            <v>359</v>
          </cell>
          <cell r="I531">
            <v>0</v>
          </cell>
        </row>
        <row r="532">
          <cell r="A532">
            <v>95801</v>
          </cell>
          <cell r="B532" t="str">
            <v>MARTIN COUNTY</v>
          </cell>
          <cell r="C532">
            <v>9.5739999999999996E-4</v>
          </cell>
          <cell r="D532"/>
          <cell r="E532">
            <v>152266</v>
          </cell>
          <cell r="F532">
            <v>-130977</v>
          </cell>
          <cell r="G532">
            <v>18460</v>
          </cell>
          <cell r="H532">
            <v>24025</v>
          </cell>
          <cell r="I532">
            <v>0</v>
          </cell>
        </row>
        <row r="533">
          <cell r="A533">
            <v>95802</v>
          </cell>
          <cell r="B533" t="str">
            <v>MARTIN CO TRAVEL &amp; TOURISM AUTH</v>
          </cell>
          <cell r="C533">
            <v>4.5000000000000001E-6</v>
          </cell>
          <cell r="D533"/>
          <cell r="E533">
            <v>716</v>
          </cell>
          <cell r="F533">
            <v>-616</v>
          </cell>
          <cell r="G533">
            <v>87</v>
          </cell>
          <cell r="H533">
            <v>113</v>
          </cell>
          <cell r="I533">
            <v>0</v>
          </cell>
        </row>
        <row r="534">
          <cell r="A534">
            <v>95804</v>
          </cell>
          <cell r="B534" t="str">
            <v>MARTIN COUNTY ABC BOARD</v>
          </cell>
          <cell r="C534">
            <v>2.5999999999999998E-5</v>
          </cell>
          <cell r="D534"/>
          <cell r="E534">
            <v>4135</v>
          </cell>
          <cell r="F534">
            <v>-3557</v>
          </cell>
          <cell r="G534">
            <v>501</v>
          </cell>
          <cell r="H534">
            <v>652</v>
          </cell>
          <cell r="I534">
            <v>0</v>
          </cell>
        </row>
        <row r="535">
          <cell r="A535">
            <v>95811</v>
          </cell>
          <cell r="B535" t="str">
            <v>TOWN OF WILLIAMSTON</v>
          </cell>
          <cell r="C535">
            <v>5.287E-4</v>
          </cell>
          <cell r="D535"/>
          <cell r="E535">
            <v>84085</v>
          </cell>
          <cell r="F535">
            <v>-72329</v>
          </cell>
          <cell r="G535">
            <v>10194</v>
          </cell>
          <cell r="H535">
            <v>13267</v>
          </cell>
          <cell r="I535">
            <v>0</v>
          </cell>
        </row>
        <row r="536">
          <cell r="A536">
            <v>95813</v>
          </cell>
          <cell r="B536" t="str">
            <v>WILLIAMSTON HOUSING AUTHORITY</v>
          </cell>
          <cell r="C536">
            <v>4.4100000000000001E-5</v>
          </cell>
          <cell r="D536"/>
          <cell r="E536">
            <v>7014</v>
          </cell>
          <cell r="F536">
            <v>-6033</v>
          </cell>
          <cell r="G536">
            <v>850</v>
          </cell>
          <cell r="H536">
            <v>1107</v>
          </cell>
          <cell r="I536">
            <v>0</v>
          </cell>
        </row>
        <row r="537">
          <cell r="A537">
            <v>95821</v>
          </cell>
          <cell r="B537" t="str">
            <v>TOWN OF OAK CITY</v>
          </cell>
          <cell r="C537">
            <v>6.3999999999999997E-6</v>
          </cell>
          <cell r="D537"/>
          <cell r="E537">
            <v>1018</v>
          </cell>
          <cell r="F537">
            <v>-876</v>
          </cell>
          <cell r="G537">
            <v>123</v>
          </cell>
          <cell r="H537">
            <v>161</v>
          </cell>
          <cell r="I537">
            <v>0</v>
          </cell>
        </row>
        <row r="538">
          <cell r="A538">
            <v>95831</v>
          </cell>
          <cell r="B538" t="str">
            <v>TOWN OF HAMILTON</v>
          </cell>
          <cell r="C538">
            <v>1.9899999999999999E-5</v>
          </cell>
          <cell r="D538"/>
          <cell r="E538">
            <v>3165</v>
          </cell>
          <cell r="F538">
            <v>-2722</v>
          </cell>
          <cell r="G538">
            <v>384</v>
          </cell>
          <cell r="H538">
            <v>499</v>
          </cell>
          <cell r="I538">
            <v>0</v>
          </cell>
        </row>
        <row r="539">
          <cell r="A539">
            <v>95841</v>
          </cell>
          <cell r="B539" t="str">
            <v>TOWN OF JAMESVILLE</v>
          </cell>
          <cell r="C539">
            <v>2.58E-5</v>
          </cell>
          <cell r="D539"/>
          <cell r="E539">
            <v>4103</v>
          </cell>
          <cell r="F539">
            <v>-3530</v>
          </cell>
          <cell r="G539">
            <v>497</v>
          </cell>
          <cell r="H539">
            <v>647</v>
          </cell>
          <cell r="I539">
            <v>0</v>
          </cell>
        </row>
        <row r="540">
          <cell r="A540">
            <v>95851</v>
          </cell>
          <cell r="B540" t="str">
            <v>TOWN OF ROBERSONVILLE</v>
          </cell>
          <cell r="C540">
            <v>1.26E-4</v>
          </cell>
          <cell r="D540"/>
          <cell r="E540">
            <v>20039</v>
          </cell>
          <cell r="F540">
            <v>-17237</v>
          </cell>
          <cell r="G540">
            <v>2429</v>
          </cell>
          <cell r="H540">
            <v>3162</v>
          </cell>
          <cell r="I540">
            <v>0</v>
          </cell>
        </row>
        <row r="541">
          <cell r="A541">
            <v>95853</v>
          </cell>
          <cell r="B541" t="str">
            <v>ROBERSONVILLE HOUSING AUTHORITY</v>
          </cell>
          <cell r="C541">
            <v>3.0300000000000001E-5</v>
          </cell>
          <cell r="D541"/>
          <cell r="E541">
            <v>4819</v>
          </cell>
          <cell r="F541">
            <v>-4145</v>
          </cell>
          <cell r="G541">
            <v>584</v>
          </cell>
          <cell r="H541">
            <v>760</v>
          </cell>
          <cell r="I541">
            <v>0</v>
          </cell>
        </row>
        <row r="542">
          <cell r="A542">
            <v>95901</v>
          </cell>
          <cell r="B542" t="str">
            <v>MCDOWELL COUNTY</v>
          </cell>
          <cell r="C542">
            <v>1.9935E-3</v>
          </cell>
          <cell r="D542"/>
          <cell r="E542">
            <v>317048</v>
          </cell>
          <cell r="F542">
            <v>-272721</v>
          </cell>
          <cell r="G542">
            <v>38437</v>
          </cell>
          <cell r="H542">
            <v>50025</v>
          </cell>
          <cell r="I542">
            <v>0</v>
          </cell>
        </row>
        <row r="543">
          <cell r="A543">
            <v>95908</v>
          </cell>
          <cell r="B543" t="str">
            <v>PLEASANT GARDEN FIRE DEPT</v>
          </cell>
          <cell r="C543">
            <v>7.1500000000000003E-5</v>
          </cell>
          <cell r="D543"/>
          <cell r="E543">
            <v>11371</v>
          </cell>
          <cell r="F543">
            <v>-9782</v>
          </cell>
          <cell r="G543">
            <v>1379</v>
          </cell>
          <cell r="H543">
            <v>1794</v>
          </cell>
          <cell r="I543">
            <v>0</v>
          </cell>
        </row>
        <row r="544">
          <cell r="A544">
            <v>95911</v>
          </cell>
          <cell r="B544" t="str">
            <v>TOWN OF MARION</v>
          </cell>
          <cell r="C544">
            <v>5.6829999999999999E-4</v>
          </cell>
          <cell r="D544"/>
          <cell r="E544">
            <v>90383</v>
          </cell>
          <cell r="F544">
            <v>-77746</v>
          </cell>
          <cell r="G544">
            <v>10957</v>
          </cell>
          <cell r="H544">
            <v>14261</v>
          </cell>
          <cell r="I544">
            <v>0</v>
          </cell>
        </row>
        <row r="545">
          <cell r="A545">
            <v>95917</v>
          </cell>
          <cell r="B545" t="str">
            <v>MARION ABC BOARD</v>
          </cell>
          <cell r="C545">
            <v>1.8600000000000001E-5</v>
          </cell>
          <cell r="D545"/>
          <cell r="E545">
            <v>2958</v>
          </cell>
          <cell r="F545">
            <v>-2545</v>
          </cell>
          <cell r="G545">
            <v>359</v>
          </cell>
          <cell r="H545">
            <v>467</v>
          </cell>
          <cell r="I545">
            <v>0</v>
          </cell>
        </row>
        <row r="546">
          <cell r="A546">
            <v>95921</v>
          </cell>
          <cell r="B546" t="str">
            <v>TOWN OF OLD FORT</v>
          </cell>
          <cell r="C546">
            <v>5.4200000000000003E-5</v>
          </cell>
          <cell r="D546"/>
          <cell r="E546">
            <v>8620</v>
          </cell>
          <cell r="F546">
            <v>-7415</v>
          </cell>
          <cell r="G546">
            <v>1045</v>
          </cell>
          <cell r="H546">
            <v>1360</v>
          </cell>
          <cell r="I546">
            <v>0</v>
          </cell>
        </row>
        <row r="547">
          <cell r="A547">
            <v>96001</v>
          </cell>
          <cell r="B547" t="str">
            <v>MECKLENBURG COUNTY</v>
          </cell>
          <cell r="C547">
            <v>4.3367500000000003E-2</v>
          </cell>
          <cell r="D547"/>
          <cell r="E547">
            <v>6897211</v>
          </cell>
          <cell r="F547">
            <v>-5932891</v>
          </cell>
          <cell r="G547">
            <v>836169</v>
          </cell>
          <cell r="H547">
            <v>1088264</v>
          </cell>
          <cell r="I547">
            <v>0</v>
          </cell>
        </row>
        <row r="548">
          <cell r="A548">
            <v>96003</v>
          </cell>
          <cell r="B548" t="str">
            <v>CHARLOTTE HOUSING AUTHORITY</v>
          </cell>
          <cell r="C548">
            <v>1.6620000000000001E-3</v>
          </cell>
          <cell r="D548"/>
          <cell r="E548">
            <v>264326</v>
          </cell>
          <cell r="F548">
            <v>-227370</v>
          </cell>
          <cell r="G548">
            <v>32045</v>
          </cell>
          <cell r="H548">
            <v>41706</v>
          </cell>
          <cell r="I548">
            <v>0</v>
          </cell>
        </row>
        <row r="549">
          <cell r="A549">
            <v>96004</v>
          </cell>
          <cell r="B549" t="str">
            <v>MECKLENBURG COUNTY ABC BOARD</v>
          </cell>
          <cell r="C549">
            <v>9.3959999999999996E-4</v>
          </cell>
          <cell r="D549"/>
          <cell r="E549">
            <v>149435</v>
          </cell>
          <cell r="F549">
            <v>-128542</v>
          </cell>
          <cell r="G549">
            <v>18116</v>
          </cell>
          <cell r="H549">
            <v>23578</v>
          </cell>
          <cell r="I549">
            <v>0</v>
          </cell>
        </row>
        <row r="550">
          <cell r="A550">
            <v>96005</v>
          </cell>
          <cell r="B550" t="str">
            <v>CHARLOTTE MECKLENBURG PUBLIC LIBRARY</v>
          </cell>
          <cell r="C550">
            <v>2.4467E-3</v>
          </cell>
          <cell r="D550"/>
          <cell r="E550">
            <v>389126</v>
          </cell>
          <cell r="F550">
            <v>-334721</v>
          </cell>
          <cell r="G550">
            <v>47175</v>
          </cell>
          <cell r="H550">
            <v>61397</v>
          </cell>
          <cell r="I550">
            <v>0</v>
          </cell>
        </row>
        <row r="551">
          <cell r="A551">
            <v>96008</v>
          </cell>
          <cell r="B551" t="str">
            <v>MECKLENBURG EMER MED SVCS AGCY</v>
          </cell>
          <cell r="C551">
            <v>6.1741000000000001E-3</v>
          </cell>
          <cell r="D551"/>
          <cell r="E551">
            <v>981935</v>
          </cell>
          <cell r="F551">
            <v>-844648</v>
          </cell>
          <cell r="G551">
            <v>119043</v>
          </cell>
          <cell r="H551">
            <v>154933</v>
          </cell>
          <cell r="I551">
            <v>0</v>
          </cell>
        </row>
        <row r="552">
          <cell r="A552">
            <v>96009</v>
          </cell>
          <cell r="B552" t="str">
            <v>CENTRALINA COUNCIL OF GOVERNMENTS</v>
          </cell>
          <cell r="C552">
            <v>3.5409999999999999E-4</v>
          </cell>
          <cell r="D552"/>
          <cell r="E552">
            <v>56316</v>
          </cell>
          <cell r="F552">
            <v>-48443</v>
          </cell>
          <cell r="G552">
            <v>6827</v>
          </cell>
          <cell r="H552">
            <v>8886</v>
          </cell>
          <cell r="I552">
            <v>0</v>
          </cell>
        </row>
        <row r="553">
          <cell r="A553">
            <v>96011</v>
          </cell>
          <cell r="B553" t="str">
            <v>CITY OF CHARLOTTE</v>
          </cell>
          <cell r="C553">
            <v>6.3204399999999994E-2</v>
          </cell>
          <cell r="D553"/>
          <cell r="E553">
            <v>10052091</v>
          </cell>
          <cell r="F553">
            <v>-8646678</v>
          </cell>
          <cell r="G553">
            <v>1218644</v>
          </cell>
          <cell r="H553">
            <v>1586051</v>
          </cell>
          <cell r="I553">
            <v>0</v>
          </cell>
        </row>
        <row r="554">
          <cell r="A554">
            <v>96012</v>
          </cell>
          <cell r="B554" t="str">
            <v>CHARLOTTE REGIONAL VISITORS AUTHORITY</v>
          </cell>
          <cell r="C554">
            <v>2.5593E-3</v>
          </cell>
          <cell r="D554"/>
          <cell r="E554">
            <v>407034</v>
          </cell>
          <cell r="F554">
            <v>-350125</v>
          </cell>
          <cell r="G554">
            <v>49346</v>
          </cell>
          <cell r="H554">
            <v>64223</v>
          </cell>
          <cell r="I554">
            <v>0</v>
          </cell>
        </row>
        <row r="555">
          <cell r="A555">
            <v>96018</v>
          </cell>
          <cell r="B555" t="str">
            <v>CHARLOTTE FIREMEN'S RET SYS</v>
          </cell>
          <cell r="C555">
            <v>3.4199999999999998E-5</v>
          </cell>
          <cell r="D555"/>
          <cell r="E555">
            <v>5439</v>
          </cell>
          <cell r="F555">
            <v>-4679</v>
          </cell>
          <cell r="G555">
            <v>659</v>
          </cell>
          <cell r="H555">
            <v>858</v>
          </cell>
          <cell r="I555">
            <v>0</v>
          </cell>
        </row>
        <row r="556">
          <cell r="A556">
            <v>96021</v>
          </cell>
          <cell r="B556" t="str">
            <v>TOWN OF PINEVILLE</v>
          </cell>
          <cell r="C556">
            <v>7.7490000000000002E-4</v>
          </cell>
          <cell r="D556"/>
          <cell r="E556">
            <v>123241</v>
          </cell>
          <cell r="F556">
            <v>-106010</v>
          </cell>
          <cell r="G556">
            <v>14941</v>
          </cell>
          <cell r="H556">
            <v>19445</v>
          </cell>
          <cell r="I556">
            <v>0</v>
          </cell>
        </row>
        <row r="557">
          <cell r="A557">
            <v>96031</v>
          </cell>
          <cell r="B557" t="str">
            <v>TOWN OF MINT HILL</v>
          </cell>
          <cell r="C557">
            <v>8.3790000000000004E-4</v>
          </cell>
          <cell r="D557"/>
          <cell r="E557">
            <v>133260</v>
          </cell>
          <cell r="F557">
            <v>-114629</v>
          </cell>
          <cell r="G557">
            <v>16156</v>
          </cell>
          <cell r="H557">
            <v>21026</v>
          </cell>
          <cell r="I557">
            <v>0</v>
          </cell>
        </row>
        <row r="558">
          <cell r="A558">
            <v>96041</v>
          </cell>
          <cell r="B558" t="str">
            <v>TOWN OF HUNTERSVILLE</v>
          </cell>
          <cell r="C558">
            <v>1.7466000000000001E-3</v>
          </cell>
          <cell r="D558"/>
          <cell r="E558">
            <v>277781</v>
          </cell>
          <cell r="F558">
            <v>-238944</v>
          </cell>
          <cell r="G558">
            <v>33676</v>
          </cell>
          <cell r="H558">
            <v>43829</v>
          </cell>
          <cell r="I558">
            <v>0</v>
          </cell>
        </row>
        <row r="559">
          <cell r="A559">
            <v>96051</v>
          </cell>
          <cell r="B559" t="str">
            <v>TOWN OF CORNELIUS</v>
          </cell>
          <cell r="C559">
            <v>9.6909999999999997E-4</v>
          </cell>
          <cell r="D559"/>
          <cell r="E559">
            <v>154127</v>
          </cell>
          <cell r="F559">
            <v>-132578</v>
          </cell>
          <cell r="G559">
            <v>18685</v>
          </cell>
          <cell r="H559">
            <v>24319</v>
          </cell>
          <cell r="I559">
            <v>0</v>
          </cell>
        </row>
        <row r="560">
          <cell r="A560">
            <v>96061</v>
          </cell>
          <cell r="B560" t="str">
            <v>TOWN OF STALLINGS</v>
          </cell>
          <cell r="C560">
            <v>3.4220000000000002E-4</v>
          </cell>
          <cell r="D560"/>
          <cell r="E560">
            <v>54424</v>
          </cell>
          <cell r="F560">
            <v>-46815</v>
          </cell>
          <cell r="G560">
            <v>6598</v>
          </cell>
          <cell r="H560">
            <v>8587</v>
          </cell>
          <cell r="I560">
            <v>0</v>
          </cell>
        </row>
        <row r="561">
          <cell r="A561">
            <v>96071</v>
          </cell>
          <cell r="B561" t="str">
            <v>TOWN OF MATTHEWS</v>
          </cell>
          <cell r="C561">
            <v>1.3016E-3</v>
          </cell>
          <cell r="D561"/>
          <cell r="E561">
            <v>207008</v>
          </cell>
          <cell r="F561">
            <v>-178065</v>
          </cell>
          <cell r="G561">
            <v>25096</v>
          </cell>
          <cell r="H561">
            <v>32662</v>
          </cell>
          <cell r="I561">
            <v>0</v>
          </cell>
        </row>
        <row r="562">
          <cell r="A562">
            <v>96081</v>
          </cell>
          <cell r="B562" t="str">
            <v>TOWN OF DAVIDSON</v>
          </cell>
          <cell r="C562">
            <v>5.419E-4</v>
          </cell>
          <cell r="D562"/>
          <cell r="E562">
            <v>86184</v>
          </cell>
          <cell r="F562">
            <v>-74135</v>
          </cell>
          <cell r="G562">
            <v>10448</v>
          </cell>
          <cell r="H562">
            <v>13598</v>
          </cell>
          <cell r="I562">
            <v>0</v>
          </cell>
        </row>
        <row r="563">
          <cell r="A563">
            <v>96101</v>
          </cell>
          <cell r="B563" t="str">
            <v>MITCHELL COUNTY</v>
          </cell>
          <cell r="C563">
            <v>6.4729999999999996E-4</v>
          </cell>
          <cell r="D563"/>
          <cell r="E563">
            <v>102947</v>
          </cell>
          <cell r="F563">
            <v>-88554</v>
          </cell>
          <cell r="G563">
            <v>12481</v>
          </cell>
          <cell r="H563">
            <v>16243</v>
          </cell>
          <cell r="I563">
            <v>0</v>
          </cell>
        </row>
        <row r="564">
          <cell r="A564">
            <v>96102</v>
          </cell>
          <cell r="B564" t="str">
            <v>MITCHELL SOIL &amp; WATER CONSERVATION DIST</v>
          </cell>
          <cell r="C564">
            <v>1.1600000000000001E-5</v>
          </cell>
          <cell r="D564"/>
          <cell r="E564">
            <v>1845</v>
          </cell>
          <cell r="F564">
            <v>-1587</v>
          </cell>
          <cell r="G564">
            <v>224</v>
          </cell>
          <cell r="H564">
            <v>291</v>
          </cell>
          <cell r="I564">
            <v>0</v>
          </cell>
        </row>
        <row r="565">
          <cell r="A565">
            <v>96111</v>
          </cell>
          <cell r="B565" t="str">
            <v>TOWN OF SPRUCE PINE</v>
          </cell>
          <cell r="C565">
            <v>1.5809999999999999E-4</v>
          </cell>
          <cell r="D565"/>
          <cell r="E565">
            <v>25144</v>
          </cell>
          <cell r="F565">
            <v>-21629</v>
          </cell>
          <cell r="G565">
            <v>3048</v>
          </cell>
          <cell r="H565">
            <v>3967</v>
          </cell>
          <cell r="I565">
            <v>0</v>
          </cell>
        </row>
        <row r="566">
          <cell r="A566">
            <v>96121</v>
          </cell>
          <cell r="B566" t="str">
            <v>TOWN OF BAKERSVILLE</v>
          </cell>
          <cell r="C566">
            <v>2.4300000000000001E-5</v>
          </cell>
          <cell r="D566"/>
          <cell r="E566">
            <v>3865</v>
          </cell>
          <cell r="F566">
            <v>-3324</v>
          </cell>
          <cell r="G566">
            <v>469</v>
          </cell>
          <cell r="H566">
            <v>610</v>
          </cell>
          <cell r="I566">
            <v>0</v>
          </cell>
        </row>
        <row r="567">
          <cell r="A567">
            <v>96201</v>
          </cell>
          <cell r="B567" t="str">
            <v>MONTGOMERY COUNTY</v>
          </cell>
          <cell r="C567">
            <v>1.0575000000000001E-3</v>
          </cell>
          <cell r="D567"/>
          <cell r="E567">
            <v>168186</v>
          </cell>
          <cell r="F567">
            <v>-144671</v>
          </cell>
          <cell r="G567">
            <v>20390</v>
          </cell>
          <cell r="H567">
            <v>26537</v>
          </cell>
          <cell r="I567">
            <v>0</v>
          </cell>
        </row>
        <row r="568">
          <cell r="A568">
            <v>96204</v>
          </cell>
          <cell r="B568" t="str">
            <v>MONTGOMERY-MUNICIPAL ABC BOARD</v>
          </cell>
          <cell r="C568">
            <v>1.42E-5</v>
          </cell>
          <cell r="D568"/>
          <cell r="E568">
            <v>2258</v>
          </cell>
          <cell r="F568">
            <v>-1943</v>
          </cell>
          <cell r="G568">
            <v>274</v>
          </cell>
          <cell r="H568">
            <v>356</v>
          </cell>
          <cell r="I568">
            <v>0</v>
          </cell>
        </row>
        <row r="569">
          <cell r="A569">
            <v>96211</v>
          </cell>
          <cell r="B569" t="str">
            <v>TOWN OF STAR</v>
          </cell>
          <cell r="C569">
            <v>2.4000000000000001E-5</v>
          </cell>
          <cell r="D569"/>
          <cell r="E569">
            <v>3817</v>
          </cell>
          <cell r="F569">
            <v>-3283</v>
          </cell>
          <cell r="G569">
            <v>463</v>
          </cell>
          <cell r="H569">
            <v>602</v>
          </cell>
          <cell r="I569">
            <v>0</v>
          </cell>
        </row>
        <row r="570">
          <cell r="A570">
            <v>96221</v>
          </cell>
          <cell r="B570" t="str">
            <v>TOWN OF TROY</v>
          </cell>
          <cell r="C570">
            <v>2.141E-4</v>
          </cell>
          <cell r="D570"/>
          <cell r="E570">
            <v>34051</v>
          </cell>
          <cell r="F570">
            <v>-29290</v>
          </cell>
          <cell r="G570">
            <v>4128</v>
          </cell>
          <cell r="H570">
            <v>5373</v>
          </cell>
          <cell r="I570">
            <v>0</v>
          </cell>
        </row>
        <row r="571">
          <cell r="A571">
            <v>96231</v>
          </cell>
          <cell r="B571" t="str">
            <v>TOWN OF BISCOE</v>
          </cell>
          <cell r="C571">
            <v>1.2349999999999999E-4</v>
          </cell>
          <cell r="D571"/>
          <cell r="E571">
            <v>19642</v>
          </cell>
          <cell r="F571">
            <v>-16895</v>
          </cell>
          <cell r="G571">
            <v>2381</v>
          </cell>
          <cell r="H571">
            <v>3099</v>
          </cell>
          <cell r="I571">
            <v>0</v>
          </cell>
        </row>
        <row r="572">
          <cell r="A572">
            <v>96241</v>
          </cell>
          <cell r="B572" t="str">
            <v>TOWN OF CANDOR</v>
          </cell>
          <cell r="C572">
            <v>6.4499999999999996E-5</v>
          </cell>
          <cell r="D572"/>
          <cell r="E572">
            <v>10258</v>
          </cell>
          <cell r="F572">
            <v>-8824</v>
          </cell>
          <cell r="G572">
            <v>1244</v>
          </cell>
          <cell r="H572">
            <v>1619</v>
          </cell>
          <cell r="I572">
            <v>0</v>
          </cell>
        </row>
        <row r="573">
          <cell r="A573">
            <v>96251</v>
          </cell>
          <cell r="B573" t="str">
            <v>TOWN OF MOUNT GILEAD</v>
          </cell>
          <cell r="C573">
            <v>1.004E-4</v>
          </cell>
          <cell r="D573"/>
          <cell r="E573">
            <v>15968</v>
          </cell>
          <cell r="F573">
            <v>-13735</v>
          </cell>
          <cell r="G573">
            <v>1936</v>
          </cell>
          <cell r="H573">
            <v>2519</v>
          </cell>
          <cell r="I573">
            <v>0</v>
          </cell>
        </row>
        <row r="574">
          <cell r="A574">
            <v>96301</v>
          </cell>
          <cell r="B574" t="str">
            <v>MOORE COUNTY</v>
          </cell>
          <cell r="C574">
            <v>4.6904E-3</v>
          </cell>
          <cell r="D574"/>
          <cell r="E574">
            <v>745966</v>
          </cell>
          <cell r="F574">
            <v>-641670</v>
          </cell>
          <cell r="G574">
            <v>90436</v>
          </cell>
          <cell r="H574">
            <v>117701</v>
          </cell>
          <cell r="I574">
            <v>0</v>
          </cell>
        </row>
        <row r="575">
          <cell r="A575">
            <v>96302</v>
          </cell>
          <cell r="B575" t="str">
            <v>TOWN OF TAYLORTOWN</v>
          </cell>
          <cell r="C575">
            <v>2.3600000000000001E-5</v>
          </cell>
          <cell r="D575"/>
          <cell r="E575">
            <v>3753</v>
          </cell>
          <cell r="F575">
            <v>-3229</v>
          </cell>
          <cell r="G575">
            <v>455</v>
          </cell>
          <cell r="H575">
            <v>592</v>
          </cell>
          <cell r="I575">
            <v>0</v>
          </cell>
        </row>
        <row r="576">
          <cell r="A576">
            <v>96304</v>
          </cell>
          <cell r="B576" t="str">
            <v>MOORE COUNTY ABC BOARD</v>
          </cell>
          <cell r="C576">
            <v>4.3900000000000003E-5</v>
          </cell>
          <cell r="D576"/>
          <cell r="E576">
            <v>6982</v>
          </cell>
          <cell r="F576">
            <v>-6006</v>
          </cell>
          <cell r="G576">
            <v>846</v>
          </cell>
          <cell r="H576">
            <v>1102</v>
          </cell>
          <cell r="I576">
            <v>0</v>
          </cell>
        </row>
        <row r="577">
          <cell r="A577">
            <v>96305</v>
          </cell>
          <cell r="B577" t="str">
            <v>MOORE COUNTY TOURISM DEVELOPMENT AUTHORITY</v>
          </cell>
          <cell r="C577">
            <v>4.1199999999999999E-5</v>
          </cell>
          <cell r="D577"/>
          <cell r="E577">
            <v>6552</v>
          </cell>
          <cell r="F577">
            <v>-5636</v>
          </cell>
          <cell r="G577">
            <v>794</v>
          </cell>
          <cell r="H577">
            <v>1034</v>
          </cell>
          <cell r="I577">
            <v>0</v>
          </cell>
        </row>
        <row r="578">
          <cell r="A578">
            <v>96310</v>
          </cell>
          <cell r="B578" t="str">
            <v>MOORE COUNTY AIRPORT AUTHORITY</v>
          </cell>
          <cell r="C578">
            <v>4.49E-5</v>
          </cell>
          <cell r="D578"/>
          <cell r="E578">
            <v>7141</v>
          </cell>
          <cell r="F578">
            <v>-6143</v>
          </cell>
          <cell r="G578">
            <v>866</v>
          </cell>
          <cell r="H578">
            <v>1127</v>
          </cell>
          <cell r="I578">
            <v>0</v>
          </cell>
        </row>
        <row r="579">
          <cell r="A579">
            <v>96311</v>
          </cell>
          <cell r="B579" t="str">
            <v>TOWN OF SOUTHERN PINES</v>
          </cell>
          <cell r="C579">
            <v>1.3112E-3</v>
          </cell>
          <cell r="D579"/>
          <cell r="E579">
            <v>208535</v>
          </cell>
          <cell r="F579">
            <v>-179379</v>
          </cell>
          <cell r="G579">
            <v>25281</v>
          </cell>
          <cell r="H579">
            <v>32903</v>
          </cell>
          <cell r="I579">
            <v>0</v>
          </cell>
        </row>
        <row r="580">
          <cell r="A580">
            <v>96312</v>
          </cell>
          <cell r="B580" t="str">
            <v>TOWN OF CAMERON</v>
          </cell>
          <cell r="C580">
            <v>5.8000000000000004E-6</v>
          </cell>
          <cell r="D580"/>
          <cell r="E580">
            <v>922</v>
          </cell>
          <cell r="F580">
            <v>-793</v>
          </cell>
          <cell r="G580">
            <v>112</v>
          </cell>
          <cell r="H580">
            <v>146</v>
          </cell>
          <cell r="I580">
            <v>0</v>
          </cell>
        </row>
        <row r="581">
          <cell r="A581">
            <v>96318</v>
          </cell>
          <cell r="B581" t="str">
            <v>SANDHILLS CENTER</v>
          </cell>
          <cell r="C581">
            <v>2.2319000000000002E-3</v>
          </cell>
          <cell r="D581"/>
          <cell r="E581">
            <v>354964</v>
          </cell>
          <cell r="F581">
            <v>-305335</v>
          </cell>
          <cell r="G581">
            <v>43033</v>
          </cell>
          <cell r="H581">
            <v>56007</v>
          </cell>
          <cell r="I581">
            <v>0</v>
          </cell>
        </row>
        <row r="582">
          <cell r="A582">
            <v>96321</v>
          </cell>
          <cell r="B582" t="str">
            <v>TOWN OF VASS</v>
          </cell>
          <cell r="C582">
            <v>3.65E-5</v>
          </cell>
          <cell r="D582"/>
          <cell r="E582">
            <v>5805</v>
          </cell>
          <cell r="F582">
            <v>-4993</v>
          </cell>
          <cell r="G582">
            <v>704</v>
          </cell>
          <cell r="H582">
            <v>916</v>
          </cell>
          <cell r="I582">
            <v>0</v>
          </cell>
        </row>
        <row r="583">
          <cell r="A583">
            <v>96331</v>
          </cell>
          <cell r="B583" t="str">
            <v>TOWN OF ABERDEEN</v>
          </cell>
          <cell r="C583">
            <v>7.4430000000000004E-4</v>
          </cell>
          <cell r="D583"/>
          <cell r="E583">
            <v>118374</v>
          </cell>
          <cell r="F583">
            <v>-101824</v>
          </cell>
          <cell r="G583">
            <v>14351</v>
          </cell>
          <cell r="H583">
            <v>18677</v>
          </cell>
          <cell r="I583">
            <v>0</v>
          </cell>
        </row>
        <row r="584">
          <cell r="A584">
            <v>96341</v>
          </cell>
          <cell r="B584" t="str">
            <v>TOWN OF ROBBINS</v>
          </cell>
          <cell r="C584">
            <v>7.8200000000000003E-5</v>
          </cell>
          <cell r="D584"/>
          <cell r="E584">
            <v>12437</v>
          </cell>
          <cell r="F584">
            <v>-10698</v>
          </cell>
          <cell r="G584">
            <v>1508</v>
          </cell>
          <cell r="H584">
            <v>1962</v>
          </cell>
          <cell r="I584">
            <v>0</v>
          </cell>
        </row>
        <row r="585">
          <cell r="A585">
            <v>96351</v>
          </cell>
          <cell r="B585" t="str">
            <v>VILLAGE OF PINEHURST</v>
          </cell>
          <cell r="C585">
            <v>1.0093000000000001E-3</v>
          </cell>
          <cell r="D585"/>
          <cell r="E585">
            <v>160520</v>
          </cell>
          <cell r="F585">
            <v>-138077</v>
          </cell>
          <cell r="G585">
            <v>19460</v>
          </cell>
          <cell r="H585">
            <v>25327</v>
          </cell>
          <cell r="I585">
            <v>0</v>
          </cell>
        </row>
        <row r="586">
          <cell r="A586">
            <v>96361</v>
          </cell>
          <cell r="B586" t="str">
            <v>TOWN OF PINEBLUFF</v>
          </cell>
          <cell r="C586">
            <v>4.1100000000000003E-5</v>
          </cell>
          <cell r="D586"/>
          <cell r="E586">
            <v>6537</v>
          </cell>
          <cell r="F586">
            <v>-5623</v>
          </cell>
          <cell r="G586">
            <v>792</v>
          </cell>
          <cell r="H586">
            <v>1031</v>
          </cell>
          <cell r="I586">
            <v>0</v>
          </cell>
        </row>
        <row r="587">
          <cell r="A587">
            <v>96371</v>
          </cell>
          <cell r="B587" t="str">
            <v>VILLAGE OF WHISPERING PINES</v>
          </cell>
          <cell r="C587">
            <v>1.5100000000000001E-4</v>
          </cell>
          <cell r="D587"/>
          <cell r="E587">
            <v>24015</v>
          </cell>
          <cell r="F587">
            <v>-20658</v>
          </cell>
          <cell r="G587">
            <v>2911</v>
          </cell>
          <cell r="H587">
            <v>3789</v>
          </cell>
          <cell r="I587">
            <v>0</v>
          </cell>
        </row>
        <row r="588">
          <cell r="A588">
            <v>96381</v>
          </cell>
          <cell r="B588" t="str">
            <v>FOXFIRE VILLAGE</v>
          </cell>
          <cell r="C588">
            <v>3.2799999999999998E-5</v>
          </cell>
          <cell r="D588"/>
          <cell r="E588">
            <v>5217</v>
          </cell>
          <cell r="F588">
            <v>-4487</v>
          </cell>
          <cell r="G588">
            <v>632</v>
          </cell>
          <cell r="H588">
            <v>823</v>
          </cell>
          <cell r="I588">
            <v>0</v>
          </cell>
        </row>
        <row r="589">
          <cell r="A589">
            <v>96391</v>
          </cell>
          <cell r="B589" t="str">
            <v>TOWN OF CARTHAGE</v>
          </cell>
          <cell r="C589">
            <v>2.0560000000000001E-4</v>
          </cell>
          <cell r="D589"/>
          <cell r="E589">
            <v>32699</v>
          </cell>
          <cell r="F589">
            <v>-28127</v>
          </cell>
          <cell r="G589">
            <v>3964</v>
          </cell>
          <cell r="H589">
            <v>5159</v>
          </cell>
          <cell r="I589">
            <v>0</v>
          </cell>
        </row>
        <row r="590">
          <cell r="A590">
            <v>96401</v>
          </cell>
          <cell r="B590" t="str">
            <v>NASH COUNTY</v>
          </cell>
          <cell r="C590">
            <v>4.3956000000000004E-3</v>
          </cell>
          <cell r="D590"/>
          <cell r="E590">
            <v>699081</v>
          </cell>
          <cell r="F590">
            <v>-601340</v>
          </cell>
          <cell r="G590">
            <v>84752</v>
          </cell>
          <cell r="H590">
            <v>110303</v>
          </cell>
          <cell r="I590">
            <v>0</v>
          </cell>
        </row>
        <row r="591">
          <cell r="A591">
            <v>96404</v>
          </cell>
          <cell r="B591" t="str">
            <v>NASH COUNTY ABC BOARD</v>
          </cell>
          <cell r="C591">
            <v>9.8300000000000004E-5</v>
          </cell>
          <cell r="D591"/>
          <cell r="E591">
            <v>15634</v>
          </cell>
          <cell r="F591">
            <v>-13448</v>
          </cell>
          <cell r="G591">
            <v>1895</v>
          </cell>
          <cell r="H591">
            <v>2467</v>
          </cell>
          <cell r="I591">
            <v>0</v>
          </cell>
        </row>
        <row r="592">
          <cell r="A592">
            <v>96405</v>
          </cell>
          <cell r="B592" t="str">
            <v>BRASWELL MEMORIAL LIBRARY</v>
          </cell>
          <cell r="C592">
            <v>1.4569999999999999E-4</v>
          </cell>
          <cell r="D592"/>
          <cell r="E592">
            <v>23172</v>
          </cell>
          <cell r="F592">
            <v>-19932</v>
          </cell>
          <cell r="G592">
            <v>2809</v>
          </cell>
          <cell r="H592">
            <v>3656</v>
          </cell>
          <cell r="I592">
            <v>0</v>
          </cell>
        </row>
        <row r="593">
          <cell r="A593">
            <v>96411</v>
          </cell>
          <cell r="B593" t="str">
            <v>TOWN OF SPRING HOPE</v>
          </cell>
          <cell r="C593">
            <v>7.0900000000000002E-5</v>
          </cell>
          <cell r="D593"/>
          <cell r="E593">
            <v>11276</v>
          </cell>
          <cell r="F593">
            <v>-9699</v>
          </cell>
          <cell r="G593">
            <v>1367</v>
          </cell>
          <cell r="H593">
            <v>1779</v>
          </cell>
          <cell r="I593">
            <v>0</v>
          </cell>
        </row>
        <row r="594">
          <cell r="A594">
            <v>96421</v>
          </cell>
          <cell r="B594" t="str">
            <v>TOWN OF NASHVILLE</v>
          </cell>
          <cell r="C594">
            <v>3.8010000000000002E-4</v>
          </cell>
          <cell r="D594"/>
          <cell r="E594">
            <v>60451</v>
          </cell>
          <cell r="F594">
            <v>-52000</v>
          </cell>
          <cell r="G594">
            <v>7329</v>
          </cell>
          <cell r="H594">
            <v>9538</v>
          </cell>
          <cell r="I594">
            <v>0</v>
          </cell>
        </row>
        <row r="595">
          <cell r="A595">
            <v>96431</v>
          </cell>
          <cell r="B595" t="str">
            <v>TOWN OF MIDDLESEX</v>
          </cell>
          <cell r="C595">
            <v>3.3599999999999997E-5</v>
          </cell>
          <cell r="D595"/>
          <cell r="E595">
            <v>5344</v>
          </cell>
          <cell r="F595">
            <v>-4597</v>
          </cell>
          <cell r="G595">
            <v>648</v>
          </cell>
          <cell r="H595">
            <v>843</v>
          </cell>
          <cell r="I595">
            <v>0</v>
          </cell>
        </row>
        <row r="596">
          <cell r="A596">
            <v>96441</v>
          </cell>
          <cell r="B596" t="str">
            <v>TOWN OF WHITAKERS</v>
          </cell>
          <cell r="C596">
            <v>1.8499999999999999E-5</v>
          </cell>
          <cell r="D596"/>
          <cell r="E596">
            <v>2942</v>
          </cell>
          <cell r="F596">
            <v>-2531</v>
          </cell>
          <cell r="G596">
            <v>357</v>
          </cell>
          <cell r="H596">
            <v>464</v>
          </cell>
          <cell r="I596">
            <v>0</v>
          </cell>
        </row>
        <row r="597">
          <cell r="A597">
            <v>96451</v>
          </cell>
          <cell r="B597" t="str">
            <v>TOWN OF BAILEY</v>
          </cell>
          <cell r="C597">
            <v>7.4000000000000003E-6</v>
          </cell>
          <cell r="D597"/>
          <cell r="E597">
            <v>1177</v>
          </cell>
          <cell r="F597">
            <v>-1012</v>
          </cell>
          <cell r="G597">
            <v>143</v>
          </cell>
          <cell r="H597">
            <v>186</v>
          </cell>
          <cell r="I597">
            <v>0</v>
          </cell>
        </row>
        <row r="598">
          <cell r="A598">
            <v>96461</v>
          </cell>
          <cell r="B598" t="str">
            <v>TOWN OF SHARPSBURG</v>
          </cell>
          <cell r="C598">
            <v>1.361E-4</v>
          </cell>
          <cell r="D598"/>
          <cell r="E598">
            <v>21645</v>
          </cell>
          <cell r="F598">
            <v>-18619</v>
          </cell>
          <cell r="G598">
            <v>2624</v>
          </cell>
          <cell r="H598">
            <v>3415</v>
          </cell>
          <cell r="I598">
            <v>0</v>
          </cell>
        </row>
        <row r="599">
          <cell r="A599">
            <v>96501</v>
          </cell>
          <cell r="B599" t="str">
            <v>NEW HANOVER COUNTY</v>
          </cell>
          <cell r="C599">
            <v>1.46477E-2</v>
          </cell>
          <cell r="D599"/>
          <cell r="E599">
            <v>2329585</v>
          </cell>
          <cell r="F599">
            <v>-2003879</v>
          </cell>
          <cell r="G599">
            <v>282422</v>
          </cell>
          <cell r="H599">
            <v>367569</v>
          </cell>
          <cell r="I599">
            <v>0</v>
          </cell>
        </row>
        <row r="600">
          <cell r="A600">
            <v>96502</v>
          </cell>
          <cell r="B600" t="str">
            <v>NEW HANOVER AIRPORT AUTH</v>
          </cell>
          <cell r="C600">
            <v>4.082E-4</v>
          </cell>
          <cell r="D600"/>
          <cell r="E600">
            <v>64921</v>
          </cell>
          <cell r="F600">
            <v>-55844</v>
          </cell>
          <cell r="G600">
            <v>7871</v>
          </cell>
          <cell r="H600">
            <v>10243</v>
          </cell>
          <cell r="I600">
            <v>0</v>
          </cell>
        </row>
        <row r="601">
          <cell r="A601">
            <v>96503</v>
          </cell>
          <cell r="B601" t="str">
            <v>HOUSING AUTH OF THE CITY OF WILMINGTON</v>
          </cell>
          <cell r="C601">
            <v>3.1940000000000001E-4</v>
          </cell>
          <cell r="D601"/>
          <cell r="E601">
            <v>50798</v>
          </cell>
          <cell r="F601">
            <v>-43696</v>
          </cell>
          <cell r="G601">
            <v>6158</v>
          </cell>
          <cell r="H601">
            <v>8015</v>
          </cell>
          <cell r="I601">
            <v>0</v>
          </cell>
        </row>
        <row r="602">
          <cell r="A602">
            <v>96504</v>
          </cell>
          <cell r="B602" t="str">
            <v>NEW HANOVER COUNTY ABC BOARD</v>
          </cell>
          <cell r="C602">
            <v>4.3649999999999998E-4</v>
          </cell>
          <cell r="D602"/>
          <cell r="E602">
            <v>69421</v>
          </cell>
          <cell r="F602">
            <v>-59715</v>
          </cell>
          <cell r="G602">
            <v>8416</v>
          </cell>
          <cell r="H602">
            <v>10954</v>
          </cell>
          <cell r="I602">
            <v>0</v>
          </cell>
        </row>
        <row r="603">
          <cell r="A603">
            <v>96507</v>
          </cell>
          <cell r="B603" t="str">
            <v>CAPE FEAR PUBLIC UTILITY AUTHORITY</v>
          </cell>
          <cell r="C603">
            <v>2.3281999999999999E-3</v>
          </cell>
          <cell r="D603"/>
          <cell r="E603">
            <v>370279</v>
          </cell>
          <cell r="F603">
            <v>-318509</v>
          </cell>
          <cell r="G603">
            <v>44890</v>
          </cell>
          <cell r="H603">
            <v>58424</v>
          </cell>
          <cell r="I603">
            <v>0</v>
          </cell>
        </row>
        <row r="604">
          <cell r="A604">
            <v>96508</v>
          </cell>
          <cell r="B604" t="str">
            <v>LOWER CAPE FEAR WATER &amp; SEWER AUTH</v>
          </cell>
          <cell r="C604">
            <v>5.9000000000000003E-6</v>
          </cell>
          <cell r="D604"/>
          <cell r="E604">
            <v>938</v>
          </cell>
          <cell r="F604">
            <v>-807</v>
          </cell>
          <cell r="G604">
            <v>114</v>
          </cell>
          <cell r="H604">
            <v>148</v>
          </cell>
          <cell r="I604">
            <v>0</v>
          </cell>
        </row>
        <row r="605">
          <cell r="A605">
            <v>96511</v>
          </cell>
          <cell r="B605" t="str">
            <v>TOWN OF WRIGHTSVILLE BEACH</v>
          </cell>
          <cell r="C605">
            <v>6.0519999999999997E-4</v>
          </cell>
          <cell r="D605"/>
          <cell r="E605">
            <v>96252</v>
          </cell>
          <cell r="F605">
            <v>-82794</v>
          </cell>
          <cell r="G605">
            <v>11669</v>
          </cell>
          <cell r="H605">
            <v>15187</v>
          </cell>
          <cell r="I605">
            <v>0</v>
          </cell>
        </row>
        <row r="606">
          <cell r="A606">
            <v>96512</v>
          </cell>
          <cell r="B606" t="str">
            <v>CAPE FEAR PUBLIC TRANSPORTATION AUTHORITY</v>
          </cell>
          <cell r="C606">
            <v>1.528E-4</v>
          </cell>
          <cell r="D606"/>
          <cell r="E606">
            <v>24301</v>
          </cell>
          <cell r="F606">
            <v>-20904</v>
          </cell>
          <cell r="G606">
            <v>2946</v>
          </cell>
          <cell r="H606">
            <v>3834</v>
          </cell>
          <cell r="I606">
            <v>0</v>
          </cell>
        </row>
        <row r="607">
          <cell r="A607">
            <v>96519</v>
          </cell>
          <cell r="B607" t="str">
            <v>COASTALCARE</v>
          </cell>
          <cell r="C607">
            <v>0</v>
          </cell>
          <cell r="D607"/>
          <cell r="E607">
            <v>0</v>
          </cell>
          <cell r="F607">
            <v>0</v>
          </cell>
          <cell r="G607">
            <v>0</v>
          </cell>
          <cell r="H607">
            <v>0</v>
          </cell>
          <cell r="I607">
            <v>0</v>
          </cell>
        </row>
        <row r="608">
          <cell r="A608">
            <v>96521</v>
          </cell>
          <cell r="B608" t="str">
            <v>TOWN OF CAROLINA BEACH</v>
          </cell>
          <cell r="C608">
            <v>9.3479999999999995E-4</v>
          </cell>
          <cell r="D608"/>
          <cell r="E608">
            <v>148672</v>
          </cell>
          <cell r="F608">
            <v>-127885</v>
          </cell>
          <cell r="G608">
            <v>18024</v>
          </cell>
          <cell r="H608">
            <v>23458</v>
          </cell>
          <cell r="I608">
            <v>0</v>
          </cell>
        </row>
        <row r="609">
          <cell r="A609">
            <v>96531</v>
          </cell>
          <cell r="B609" t="str">
            <v>CITY OF WILMINGTON</v>
          </cell>
          <cell r="C609">
            <v>8.6105999999999995E-3</v>
          </cell>
          <cell r="D609"/>
          <cell r="E609">
            <v>1369438</v>
          </cell>
          <cell r="F609">
            <v>-1177973</v>
          </cell>
          <cell r="G609">
            <v>166021</v>
          </cell>
          <cell r="H609">
            <v>216074</v>
          </cell>
          <cell r="I609">
            <v>0</v>
          </cell>
        </row>
        <row r="610">
          <cell r="A610">
            <v>96541</v>
          </cell>
          <cell r="B610" t="str">
            <v>TOWN OF KURE BEACH</v>
          </cell>
          <cell r="C610">
            <v>3.8709999999999998E-4</v>
          </cell>
          <cell r="D610"/>
          <cell r="E610">
            <v>61565</v>
          </cell>
          <cell r="F610">
            <v>-52957</v>
          </cell>
          <cell r="G610">
            <v>7464</v>
          </cell>
          <cell r="H610">
            <v>9714</v>
          </cell>
          <cell r="I610">
            <v>0</v>
          </cell>
        </row>
        <row r="611">
          <cell r="A611">
            <v>96601</v>
          </cell>
          <cell r="B611" t="str">
            <v>NORTHAMPTON COUNTY</v>
          </cell>
          <cell r="C611">
            <v>1.7417999999999999E-3</v>
          </cell>
          <cell r="D611"/>
          <cell r="E611">
            <v>277018</v>
          </cell>
          <cell r="F611">
            <v>-238287</v>
          </cell>
          <cell r="G611">
            <v>33584</v>
          </cell>
          <cell r="H611">
            <v>43709</v>
          </cell>
          <cell r="I611">
            <v>0</v>
          </cell>
        </row>
        <row r="612">
          <cell r="A612">
            <v>96604</v>
          </cell>
          <cell r="B612" t="str">
            <v>NORTHAMPTON COUNTY ABC BOARD</v>
          </cell>
          <cell r="C612">
            <v>5.3000000000000001E-6</v>
          </cell>
          <cell r="D612"/>
          <cell r="E612">
            <v>843</v>
          </cell>
          <cell r="F612">
            <v>-725</v>
          </cell>
          <cell r="G612">
            <v>102</v>
          </cell>
          <cell r="H612">
            <v>133</v>
          </cell>
          <cell r="I612">
            <v>0</v>
          </cell>
        </row>
        <row r="613">
          <cell r="A613">
            <v>96611</v>
          </cell>
          <cell r="B613" t="str">
            <v>TOWN OF RICH SQUARE</v>
          </cell>
          <cell r="C613">
            <v>1.3900000000000001E-5</v>
          </cell>
          <cell r="D613"/>
          <cell r="E613">
            <v>2211</v>
          </cell>
          <cell r="F613">
            <v>-1902</v>
          </cell>
          <cell r="G613">
            <v>268</v>
          </cell>
          <cell r="H613">
            <v>349</v>
          </cell>
          <cell r="I613">
            <v>0</v>
          </cell>
        </row>
        <row r="614">
          <cell r="A614">
            <v>96612</v>
          </cell>
          <cell r="B614" t="str">
            <v>CHOANOKE PUBLIC TRANSPORTATION AUTH</v>
          </cell>
          <cell r="C614">
            <v>5.5099999999999998E-5</v>
          </cell>
          <cell r="D614"/>
          <cell r="E614">
            <v>8763</v>
          </cell>
          <cell r="F614">
            <v>-7538</v>
          </cell>
          <cell r="G614">
            <v>1062</v>
          </cell>
          <cell r="H614">
            <v>1383</v>
          </cell>
          <cell r="I614">
            <v>0</v>
          </cell>
        </row>
        <row r="615">
          <cell r="A615">
            <v>96621</v>
          </cell>
          <cell r="B615" t="str">
            <v>TOWN OF WOODLAND</v>
          </cell>
          <cell r="C615">
            <v>2.09E-5</v>
          </cell>
          <cell r="D615"/>
          <cell r="E615">
            <v>3324</v>
          </cell>
          <cell r="F615">
            <v>-2859</v>
          </cell>
          <cell r="G615">
            <v>403</v>
          </cell>
          <cell r="H615">
            <v>524</v>
          </cell>
          <cell r="I615">
            <v>0</v>
          </cell>
        </row>
        <row r="616">
          <cell r="A616">
            <v>96631</v>
          </cell>
          <cell r="B616" t="str">
            <v>TOWN OF GARYSBURG</v>
          </cell>
          <cell r="C616">
            <v>2.1800000000000001E-5</v>
          </cell>
          <cell r="D616"/>
          <cell r="E616">
            <v>3467</v>
          </cell>
          <cell r="F616">
            <v>-2982</v>
          </cell>
          <cell r="G616">
            <v>420</v>
          </cell>
          <cell r="H616">
            <v>547</v>
          </cell>
          <cell r="I616">
            <v>0</v>
          </cell>
        </row>
        <row r="617">
          <cell r="A617">
            <v>96641</v>
          </cell>
          <cell r="B617" t="str">
            <v>TOWN OF CONWAY</v>
          </cell>
          <cell r="C617">
            <v>3.3800000000000002E-5</v>
          </cell>
          <cell r="D617"/>
          <cell r="E617">
            <v>5376</v>
          </cell>
          <cell r="F617">
            <v>-4624</v>
          </cell>
          <cell r="G617">
            <v>652</v>
          </cell>
          <cell r="H617">
            <v>848</v>
          </cell>
          <cell r="I617">
            <v>0</v>
          </cell>
        </row>
        <row r="618">
          <cell r="A618">
            <v>96651</v>
          </cell>
          <cell r="B618" t="str">
            <v>TOWN OF GASTON</v>
          </cell>
          <cell r="C618">
            <v>1.8499999999999999E-5</v>
          </cell>
          <cell r="D618"/>
          <cell r="E618">
            <v>2942</v>
          </cell>
          <cell r="F618">
            <v>-2531</v>
          </cell>
          <cell r="G618">
            <v>357</v>
          </cell>
          <cell r="H618">
            <v>464</v>
          </cell>
          <cell r="I618">
            <v>0</v>
          </cell>
        </row>
        <row r="619">
          <cell r="A619">
            <v>96661</v>
          </cell>
          <cell r="B619" t="str">
            <v>TOWN OF JACKSON</v>
          </cell>
          <cell r="C619">
            <v>1.8099999999999999E-5</v>
          </cell>
          <cell r="D619"/>
          <cell r="E619">
            <v>2879</v>
          </cell>
          <cell r="F619">
            <v>-2476</v>
          </cell>
          <cell r="G619">
            <v>349</v>
          </cell>
          <cell r="H619">
            <v>454</v>
          </cell>
          <cell r="I619">
            <v>0</v>
          </cell>
        </row>
        <row r="620">
          <cell r="A620">
            <v>96671</v>
          </cell>
          <cell r="B620" t="str">
            <v>TOWN OF SEVERN</v>
          </cell>
          <cell r="C620">
            <v>1.26E-5</v>
          </cell>
          <cell r="D620"/>
          <cell r="E620">
            <v>2004</v>
          </cell>
          <cell r="F620">
            <v>-1724</v>
          </cell>
          <cell r="G620">
            <v>243</v>
          </cell>
          <cell r="H620">
            <v>316</v>
          </cell>
          <cell r="I620">
            <v>0</v>
          </cell>
        </row>
        <row r="621">
          <cell r="A621">
            <v>96681</v>
          </cell>
          <cell r="B621" t="str">
            <v>TOWN OF SEABOARD</v>
          </cell>
          <cell r="C621">
            <v>2.2399999999999999E-5</v>
          </cell>
          <cell r="D621"/>
          <cell r="E621">
            <v>3563</v>
          </cell>
          <cell r="F621">
            <v>-3064</v>
          </cell>
          <cell r="G621">
            <v>432</v>
          </cell>
          <cell r="H621">
            <v>562</v>
          </cell>
          <cell r="I621">
            <v>0</v>
          </cell>
        </row>
        <row r="622">
          <cell r="A622">
            <v>96701</v>
          </cell>
          <cell r="B622" t="str">
            <v>ONSLOW COUNTY</v>
          </cell>
          <cell r="C622">
            <v>8.4864999999999993E-3</v>
          </cell>
          <cell r="D622"/>
          <cell r="E622">
            <v>1349701</v>
          </cell>
          <cell r="F622">
            <v>-1160996</v>
          </cell>
          <cell r="G622">
            <v>163628</v>
          </cell>
          <cell r="H622">
            <v>212960</v>
          </cell>
          <cell r="I622">
            <v>0</v>
          </cell>
        </row>
        <row r="623">
          <cell r="A623">
            <v>96704</v>
          </cell>
          <cell r="B623" t="str">
            <v>ONSLOW COUNTY ABC BOARD</v>
          </cell>
          <cell r="C623">
            <v>1.873E-4</v>
          </cell>
          <cell r="D623"/>
          <cell r="E623">
            <v>29788</v>
          </cell>
          <cell r="F623">
            <v>-25624</v>
          </cell>
          <cell r="G623">
            <v>3611</v>
          </cell>
          <cell r="H623">
            <v>4700</v>
          </cell>
          <cell r="I623">
            <v>0</v>
          </cell>
        </row>
        <row r="624">
          <cell r="A624">
            <v>96708</v>
          </cell>
          <cell r="B624" t="str">
            <v>ONSLOW WATER &amp; SEWER AUTHORITY</v>
          </cell>
          <cell r="C624">
            <v>8.7410000000000005E-4</v>
          </cell>
          <cell r="D624"/>
          <cell r="E624">
            <v>139018</v>
          </cell>
          <cell r="F624">
            <v>-119581</v>
          </cell>
          <cell r="G624">
            <v>16854</v>
          </cell>
          <cell r="H624">
            <v>21935</v>
          </cell>
          <cell r="I624">
            <v>0</v>
          </cell>
        </row>
        <row r="625">
          <cell r="A625">
            <v>96711</v>
          </cell>
          <cell r="B625" t="str">
            <v>CITY OF JACKSONVILLE</v>
          </cell>
          <cell r="C625">
            <v>3.7919E-3</v>
          </cell>
          <cell r="D625"/>
          <cell r="E625">
            <v>603068</v>
          </cell>
          <cell r="F625">
            <v>-518751</v>
          </cell>
          <cell r="G625">
            <v>73112</v>
          </cell>
          <cell r="H625">
            <v>95154</v>
          </cell>
          <cell r="I625">
            <v>0</v>
          </cell>
        </row>
        <row r="626">
          <cell r="A626">
            <v>96721</v>
          </cell>
          <cell r="B626" t="str">
            <v>TOWN OF SWANSBORO</v>
          </cell>
          <cell r="C626">
            <v>2.1719999999999999E-4</v>
          </cell>
          <cell r="D626"/>
          <cell r="E626">
            <v>34544</v>
          </cell>
          <cell r="F626">
            <v>-29714</v>
          </cell>
          <cell r="G626">
            <v>4188</v>
          </cell>
          <cell r="H626">
            <v>5450</v>
          </cell>
          <cell r="I626">
            <v>0</v>
          </cell>
        </row>
        <row r="627">
          <cell r="A627">
            <v>96731</v>
          </cell>
          <cell r="B627" t="str">
            <v>TOWN OF HOLLY RIDGE</v>
          </cell>
          <cell r="C627">
            <v>1.763E-4</v>
          </cell>
          <cell r="D627"/>
          <cell r="E627">
            <v>28039</v>
          </cell>
          <cell r="F627">
            <v>-24119</v>
          </cell>
          <cell r="G627">
            <v>3399</v>
          </cell>
          <cell r="H627">
            <v>4424</v>
          </cell>
          <cell r="I627">
            <v>0</v>
          </cell>
        </row>
        <row r="628">
          <cell r="A628">
            <v>96733</v>
          </cell>
          <cell r="B628" t="str">
            <v>HOLLY RIDGE HOUSING AUTHORITY</v>
          </cell>
          <cell r="C628">
            <v>6.4999999999999996E-6</v>
          </cell>
          <cell r="D628"/>
          <cell r="E628">
            <v>1034</v>
          </cell>
          <cell r="F628">
            <v>-889</v>
          </cell>
          <cell r="G628">
            <v>125</v>
          </cell>
          <cell r="H628">
            <v>163</v>
          </cell>
          <cell r="I628">
            <v>0</v>
          </cell>
        </row>
        <row r="629">
          <cell r="A629">
            <v>96741</v>
          </cell>
          <cell r="B629" t="str">
            <v>TOWN OF RICHLANDS</v>
          </cell>
          <cell r="C629">
            <v>9.6799999999999995E-5</v>
          </cell>
          <cell r="D629"/>
          <cell r="E629">
            <v>15395</v>
          </cell>
          <cell r="F629">
            <v>-13243</v>
          </cell>
          <cell r="G629">
            <v>1866</v>
          </cell>
          <cell r="H629">
            <v>2429</v>
          </cell>
          <cell r="I629">
            <v>0</v>
          </cell>
        </row>
        <row r="630">
          <cell r="A630">
            <v>96751</v>
          </cell>
          <cell r="B630" t="str">
            <v>TOWN OF N TOPSAIL BEACH</v>
          </cell>
          <cell r="C630">
            <v>3.054E-4</v>
          </cell>
          <cell r="D630"/>
          <cell r="E630">
            <v>48571</v>
          </cell>
          <cell r="F630">
            <v>-41780</v>
          </cell>
          <cell r="G630">
            <v>5888</v>
          </cell>
          <cell r="H630">
            <v>7664</v>
          </cell>
          <cell r="I630">
            <v>0</v>
          </cell>
        </row>
        <row r="631">
          <cell r="A631">
            <v>96801</v>
          </cell>
          <cell r="B631" t="str">
            <v>ORANGE COUNTY</v>
          </cell>
          <cell r="C631">
            <v>7.6207000000000002E-3</v>
          </cell>
          <cell r="D631"/>
          <cell r="E631">
            <v>1212004</v>
          </cell>
          <cell r="F631">
            <v>-1042550</v>
          </cell>
          <cell r="G631">
            <v>146935</v>
          </cell>
          <cell r="H631">
            <v>191234</v>
          </cell>
          <cell r="I631">
            <v>0</v>
          </cell>
        </row>
        <row r="632">
          <cell r="A632">
            <v>96804</v>
          </cell>
          <cell r="B632" t="str">
            <v>ORANGE COUNTY ABC BOARD</v>
          </cell>
          <cell r="C632">
            <v>2.4230000000000001E-4</v>
          </cell>
          <cell r="D632"/>
          <cell r="E632">
            <v>38536</v>
          </cell>
          <cell r="F632">
            <v>-33148</v>
          </cell>
          <cell r="G632">
            <v>4672</v>
          </cell>
          <cell r="H632">
            <v>6080</v>
          </cell>
          <cell r="I632">
            <v>0</v>
          </cell>
        </row>
        <row r="633">
          <cell r="A633">
            <v>96808</v>
          </cell>
          <cell r="B633" t="str">
            <v>ORANGE WATER AND SEWER AUTHORITY</v>
          </cell>
          <cell r="C633">
            <v>1.2175E-3</v>
          </cell>
          <cell r="D633"/>
          <cell r="E633">
            <v>193632</v>
          </cell>
          <cell r="F633">
            <v>-166560</v>
          </cell>
          <cell r="G633">
            <v>23475</v>
          </cell>
          <cell r="H633">
            <v>30552</v>
          </cell>
          <cell r="I633">
            <v>0</v>
          </cell>
        </row>
        <row r="634">
          <cell r="A634">
            <v>96811</v>
          </cell>
          <cell r="B634" t="str">
            <v>TOWN OF CHAPEL HILL</v>
          </cell>
          <cell r="C634">
            <v>5.8506000000000001E-3</v>
          </cell>
          <cell r="D634"/>
          <cell r="E634">
            <v>930485</v>
          </cell>
          <cell r="F634">
            <v>-800391</v>
          </cell>
          <cell r="G634">
            <v>112805</v>
          </cell>
          <cell r="H634">
            <v>146815</v>
          </cell>
          <cell r="I634">
            <v>0</v>
          </cell>
        </row>
        <row r="635">
          <cell r="A635">
            <v>96821</v>
          </cell>
          <cell r="B635" t="str">
            <v>TOWN OF CARRBORO</v>
          </cell>
          <cell r="C635">
            <v>1.2505999999999999E-3</v>
          </cell>
          <cell r="D635"/>
          <cell r="E635">
            <v>198897</v>
          </cell>
          <cell r="F635">
            <v>-171088</v>
          </cell>
          <cell r="G635">
            <v>24113</v>
          </cell>
          <cell r="H635">
            <v>31383</v>
          </cell>
          <cell r="I635">
            <v>0</v>
          </cell>
        </row>
        <row r="636">
          <cell r="A636">
            <v>96831</v>
          </cell>
          <cell r="B636" t="str">
            <v>TOWN OF HILLSBOROUGH</v>
          </cell>
          <cell r="C636">
            <v>9.0549999999999995E-4</v>
          </cell>
          <cell r="D636"/>
          <cell r="E636">
            <v>144012</v>
          </cell>
          <cell r="F636">
            <v>-123877</v>
          </cell>
          <cell r="G636">
            <v>17459</v>
          </cell>
          <cell r="H636">
            <v>22723</v>
          </cell>
          <cell r="I636">
            <v>0</v>
          </cell>
        </row>
        <row r="637">
          <cell r="A637">
            <v>96901</v>
          </cell>
          <cell r="B637" t="str">
            <v>PAMLICO COUNTY</v>
          </cell>
          <cell r="C637">
            <v>9.5589999999999998E-4</v>
          </cell>
          <cell r="D637"/>
          <cell r="E637">
            <v>152027</v>
          </cell>
          <cell r="F637">
            <v>-130772</v>
          </cell>
          <cell r="G637">
            <v>18431</v>
          </cell>
          <cell r="H637">
            <v>23987</v>
          </cell>
          <cell r="I637">
            <v>0</v>
          </cell>
        </row>
        <row r="638">
          <cell r="A638">
            <v>96911</v>
          </cell>
          <cell r="B638" t="str">
            <v>TOWN OF BAYBORO</v>
          </cell>
          <cell r="C638">
            <v>2.3E-6</v>
          </cell>
          <cell r="D638"/>
          <cell r="E638">
            <v>366</v>
          </cell>
          <cell r="F638">
            <v>-315</v>
          </cell>
          <cell r="G638">
            <v>44</v>
          </cell>
          <cell r="H638">
            <v>58</v>
          </cell>
          <cell r="I638">
            <v>0</v>
          </cell>
        </row>
        <row r="639">
          <cell r="A639">
            <v>96912</v>
          </cell>
          <cell r="B639" t="str">
            <v>TOWN OF ORIENTAL</v>
          </cell>
          <cell r="C639">
            <v>7.2000000000000002E-5</v>
          </cell>
          <cell r="D639"/>
          <cell r="E639">
            <v>11451</v>
          </cell>
          <cell r="F639">
            <v>-9850</v>
          </cell>
          <cell r="G639">
            <v>1388</v>
          </cell>
          <cell r="H639">
            <v>1807</v>
          </cell>
          <cell r="I639">
            <v>0</v>
          </cell>
        </row>
        <row r="640">
          <cell r="A640">
            <v>96918</v>
          </cell>
          <cell r="B640" t="str">
            <v>BAY RIVER METRO SEWERAGE DISTRICT</v>
          </cell>
          <cell r="C640">
            <v>2.9799999999999999E-5</v>
          </cell>
          <cell r="D640"/>
          <cell r="E640">
            <v>4739</v>
          </cell>
          <cell r="F640">
            <v>-4077</v>
          </cell>
          <cell r="G640">
            <v>575</v>
          </cell>
          <cell r="H640">
            <v>748</v>
          </cell>
          <cell r="I640">
            <v>0</v>
          </cell>
        </row>
        <row r="641">
          <cell r="A641">
            <v>97001</v>
          </cell>
          <cell r="B641" t="str">
            <v>PASQUOTANK COUNTY</v>
          </cell>
          <cell r="C641">
            <v>1.3541E-3</v>
          </cell>
          <cell r="D641"/>
          <cell r="E641">
            <v>215357</v>
          </cell>
          <cell r="F641">
            <v>-185248</v>
          </cell>
          <cell r="G641">
            <v>26108</v>
          </cell>
          <cell r="H641">
            <v>33980</v>
          </cell>
          <cell r="I641">
            <v>0</v>
          </cell>
        </row>
        <row r="642">
          <cell r="A642">
            <v>97002</v>
          </cell>
          <cell r="B642" t="str">
            <v>PASQUOTANK-CAMDEN AMBULANCE SERVICE</v>
          </cell>
          <cell r="C642">
            <v>5.04E-4</v>
          </cell>
          <cell r="D642"/>
          <cell r="E642">
            <v>80157</v>
          </cell>
          <cell r="F642">
            <v>-68950</v>
          </cell>
          <cell r="G642">
            <v>9718</v>
          </cell>
          <cell r="H642">
            <v>12647</v>
          </cell>
          <cell r="I642">
            <v>0</v>
          </cell>
        </row>
        <row r="643">
          <cell r="A643">
            <v>97004</v>
          </cell>
          <cell r="B643" t="str">
            <v>PASQUOTANK CO ABC BOARD</v>
          </cell>
          <cell r="C643">
            <v>1.5400000000000002E-5</v>
          </cell>
          <cell r="D643"/>
          <cell r="E643">
            <v>2449</v>
          </cell>
          <cell r="F643">
            <v>-2107</v>
          </cell>
          <cell r="G643">
            <v>297</v>
          </cell>
          <cell r="H643">
            <v>386</v>
          </cell>
          <cell r="I643">
            <v>0</v>
          </cell>
        </row>
        <row r="644">
          <cell r="A644">
            <v>97005</v>
          </cell>
          <cell r="B644" t="str">
            <v>EAST ALBEMARLE REGIONAL LIBRARY</v>
          </cell>
          <cell r="C644">
            <v>2.0100000000000001E-5</v>
          </cell>
          <cell r="D644"/>
          <cell r="E644">
            <v>3197</v>
          </cell>
          <cell r="F644">
            <v>-2750</v>
          </cell>
          <cell r="G644">
            <v>388</v>
          </cell>
          <cell r="H644">
            <v>504</v>
          </cell>
          <cell r="I644">
            <v>0</v>
          </cell>
        </row>
        <row r="645">
          <cell r="A645">
            <v>97008</v>
          </cell>
          <cell r="B645" t="str">
            <v>ALBEMARLE DISTRICT JAIL COMMISSION</v>
          </cell>
          <cell r="C645">
            <v>2.8699999999999998E-4</v>
          </cell>
          <cell r="D645"/>
          <cell r="E645">
            <v>45645</v>
          </cell>
          <cell r="F645">
            <v>-39263</v>
          </cell>
          <cell r="G645">
            <v>5534</v>
          </cell>
          <cell r="H645">
            <v>7202</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292047</v>
          </cell>
          <cell r="F647">
            <v>-251215</v>
          </cell>
          <cell r="G647">
            <v>35406</v>
          </cell>
          <cell r="H647">
            <v>46080</v>
          </cell>
          <cell r="I647">
            <v>0</v>
          </cell>
        </row>
        <row r="648">
          <cell r="A648">
            <v>97012</v>
          </cell>
          <cell r="B648" t="str">
            <v>ELIZABETH CITY-PASQUOTANK CO AIRPORT AUTH</v>
          </cell>
          <cell r="C648">
            <v>2.97E-5</v>
          </cell>
          <cell r="D648"/>
          <cell r="E648">
            <v>4724</v>
          </cell>
          <cell r="F648">
            <v>-4063</v>
          </cell>
          <cell r="G648">
            <v>573</v>
          </cell>
          <cell r="H648">
            <v>745</v>
          </cell>
          <cell r="I648">
            <v>0</v>
          </cell>
        </row>
        <row r="649">
          <cell r="A649">
            <v>97013</v>
          </cell>
          <cell r="B649" t="str">
            <v>ELIZABETH CITY PASQUOTANK COUNTY TDA</v>
          </cell>
          <cell r="C649">
            <v>9.0000000000000002E-6</v>
          </cell>
          <cell r="D649"/>
          <cell r="E649">
            <v>1431</v>
          </cell>
          <cell r="F649">
            <v>-1231</v>
          </cell>
          <cell r="G649">
            <v>174</v>
          </cell>
          <cell r="H649">
            <v>226</v>
          </cell>
          <cell r="I649">
            <v>0</v>
          </cell>
        </row>
        <row r="650">
          <cell r="A650">
            <v>97015</v>
          </cell>
          <cell r="B650" t="str">
            <v>PASQUOTANK-CAMDEN LIBRARY</v>
          </cell>
          <cell r="C650">
            <v>4.3900000000000003E-5</v>
          </cell>
          <cell r="D650"/>
          <cell r="E650">
            <v>6982</v>
          </cell>
          <cell r="F650">
            <v>-6006</v>
          </cell>
          <cell r="G650">
            <v>846</v>
          </cell>
          <cell r="H650">
            <v>1102</v>
          </cell>
          <cell r="I650">
            <v>0</v>
          </cell>
        </row>
        <row r="651">
          <cell r="A651">
            <v>97018</v>
          </cell>
          <cell r="B651" t="str">
            <v>ELIZABETH CTY-PASQUOTANK CO INDUSTRL DEVELOPMENT C</v>
          </cell>
          <cell r="C651">
            <v>1.6399999999999999E-5</v>
          </cell>
          <cell r="D651"/>
          <cell r="E651">
            <v>2608</v>
          </cell>
          <cell r="F651">
            <v>-2244</v>
          </cell>
          <cell r="G651">
            <v>316</v>
          </cell>
          <cell r="H651">
            <v>412</v>
          </cell>
          <cell r="I651">
            <v>0</v>
          </cell>
        </row>
        <row r="652">
          <cell r="A652">
            <v>97101</v>
          </cell>
          <cell r="B652" t="str">
            <v>PENDER COUNTY</v>
          </cell>
          <cell r="C652">
            <v>2.7334E-3</v>
          </cell>
          <cell r="D652"/>
          <cell r="E652">
            <v>434723</v>
          </cell>
          <cell r="F652">
            <v>-373943</v>
          </cell>
          <cell r="G652">
            <v>52703</v>
          </cell>
          <cell r="H652">
            <v>68592</v>
          </cell>
          <cell r="I652">
            <v>0</v>
          </cell>
        </row>
        <row r="653">
          <cell r="A653">
            <v>97104</v>
          </cell>
          <cell r="B653" t="str">
            <v>PENDER COUNTY ABC BOARD</v>
          </cell>
          <cell r="C653">
            <v>5.41E-5</v>
          </cell>
          <cell r="D653"/>
          <cell r="E653">
            <v>8604</v>
          </cell>
          <cell r="F653">
            <v>-7401</v>
          </cell>
          <cell r="G653">
            <v>1043</v>
          </cell>
          <cell r="H653">
            <v>1358</v>
          </cell>
          <cell r="I653">
            <v>0</v>
          </cell>
        </row>
        <row r="654">
          <cell r="A654">
            <v>97111</v>
          </cell>
          <cell r="B654" t="str">
            <v>TOWN OF BURGAW</v>
          </cell>
          <cell r="C654">
            <v>2.8489999999999999E-4</v>
          </cell>
          <cell r="D654"/>
          <cell r="E654">
            <v>45311</v>
          </cell>
          <cell r="F654">
            <v>-38976</v>
          </cell>
          <cell r="G654">
            <v>5493</v>
          </cell>
          <cell r="H654">
            <v>7149</v>
          </cell>
          <cell r="I654">
            <v>0</v>
          </cell>
        </row>
        <row r="655">
          <cell r="A655">
            <v>97121</v>
          </cell>
          <cell r="B655" t="str">
            <v>TOWN OF TOPSAIL BEACH</v>
          </cell>
          <cell r="C655">
            <v>1.493E-4</v>
          </cell>
          <cell r="D655"/>
          <cell r="E655">
            <v>23745</v>
          </cell>
          <cell r="F655">
            <v>-20425</v>
          </cell>
          <cell r="G655">
            <v>2879</v>
          </cell>
          <cell r="H655">
            <v>3747</v>
          </cell>
          <cell r="I655">
            <v>0</v>
          </cell>
        </row>
        <row r="656">
          <cell r="A656">
            <v>97131</v>
          </cell>
          <cell r="B656" t="str">
            <v>TOWN OF SURF CITY</v>
          </cell>
          <cell r="C656">
            <v>6.5379999999999995E-4</v>
          </cell>
          <cell r="D656"/>
          <cell r="E656">
            <v>103981</v>
          </cell>
          <cell r="F656">
            <v>-89443</v>
          </cell>
          <cell r="G656">
            <v>12606</v>
          </cell>
          <cell r="H656">
            <v>16406</v>
          </cell>
          <cell r="I656">
            <v>0</v>
          </cell>
        </row>
        <row r="657">
          <cell r="A657">
            <v>97201</v>
          </cell>
          <cell r="B657" t="str">
            <v>PERQUIMANS COUNTY</v>
          </cell>
          <cell r="C657">
            <v>5.8529999999999997E-4</v>
          </cell>
          <cell r="D657"/>
          <cell r="E657">
            <v>93087</v>
          </cell>
          <cell r="F657">
            <v>-80072</v>
          </cell>
          <cell r="G657">
            <v>11285</v>
          </cell>
          <cell r="H657">
            <v>14688</v>
          </cell>
          <cell r="I657">
            <v>0</v>
          </cell>
        </row>
        <row r="658">
          <cell r="A658">
            <v>97211</v>
          </cell>
          <cell r="B658" t="str">
            <v>TOWN OF HERTFORD</v>
          </cell>
          <cell r="C658">
            <v>8.14E-5</v>
          </cell>
          <cell r="D658"/>
          <cell r="E658">
            <v>12946</v>
          </cell>
          <cell r="F658">
            <v>-11136</v>
          </cell>
          <cell r="G658">
            <v>1569</v>
          </cell>
          <cell r="H658">
            <v>2043</v>
          </cell>
          <cell r="I658">
            <v>0</v>
          </cell>
        </row>
        <row r="659">
          <cell r="A659">
            <v>97213</v>
          </cell>
          <cell r="B659" t="str">
            <v>HERTFORD HOUSING AUTH</v>
          </cell>
          <cell r="C659">
            <v>3.5500000000000002E-5</v>
          </cell>
          <cell r="D659"/>
          <cell r="E659">
            <v>5646</v>
          </cell>
          <cell r="F659">
            <v>-4857</v>
          </cell>
          <cell r="G659">
            <v>684</v>
          </cell>
          <cell r="H659">
            <v>891</v>
          </cell>
          <cell r="I659">
            <v>0</v>
          </cell>
        </row>
        <row r="660">
          <cell r="A660">
            <v>97217</v>
          </cell>
          <cell r="B660" t="str">
            <v>TOWN OF HERTFORD ABC BOARD</v>
          </cell>
          <cell r="C660">
            <v>5.5999999999999997E-6</v>
          </cell>
          <cell r="D660"/>
          <cell r="E660">
            <v>891</v>
          </cell>
          <cell r="F660">
            <v>-766</v>
          </cell>
          <cell r="G660">
            <v>108</v>
          </cell>
          <cell r="H660">
            <v>141</v>
          </cell>
          <cell r="I660">
            <v>0</v>
          </cell>
        </row>
        <row r="661">
          <cell r="A661">
            <v>97221</v>
          </cell>
          <cell r="B661" t="str">
            <v>TOWN OF WINFALL</v>
          </cell>
          <cell r="C661">
            <v>1.24E-5</v>
          </cell>
          <cell r="D661"/>
          <cell r="E661">
            <v>1972</v>
          </cell>
          <cell r="F661">
            <v>-1696</v>
          </cell>
          <cell r="G661">
            <v>239</v>
          </cell>
          <cell r="H661">
            <v>311</v>
          </cell>
          <cell r="I661">
            <v>0</v>
          </cell>
        </row>
        <row r="662">
          <cell r="A662">
            <v>97301</v>
          </cell>
          <cell r="B662" t="str">
            <v>PERSON COUNTY</v>
          </cell>
          <cell r="C662">
            <v>2.3942E-3</v>
          </cell>
          <cell r="D662"/>
          <cell r="E662">
            <v>380776</v>
          </cell>
          <cell r="F662">
            <v>-327539</v>
          </cell>
          <cell r="G662">
            <v>46163</v>
          </cell>
          <cell r="H662">
            <v>60080</v>
          </cell>
          <cell r="I662">
            <v>0</v>
          </cell>
        </row>
        <row r="663">
          <cell r="A663">
            <v>97302</v>
          </cell>
          <cell r="B663" t="str">
            <v>ROXBORO HOUSING AUTHORITY</v>
          </cell>
          <cell r="C663">
            <v>0</v>
          </cell>
          <cell r="D663"/>
          <cell r="E663">
            <v>0</v>
          </cell>
          <cell r="F663">
            <v>0</v>
          </cell>
          <cell r="G663">
            <v>0</v>
          </cell>
          <cell r="H663">
            <v>0</v>
          </cell>
          <cell r="I663">
            <v>0</v>
          </cell>
        </row>
        <row r="664">
          <cell r="A664">
            <v>97304</v>
          </cell>
          <cell r="B664" t="str">
            <v>PERSON CO ABC BD</v>
          </cell>
          <cell r="C664">
            <v>1.4399999999999999E-5</v>
          </cell>
          <cell r="D664"/>
          <cell r="E664">
            <v>2290</v>
          </cell>
          <cell r="F664">
            <v>-1970</v>
          </cell>
          <cell r="G664">
            <v>278</v>
          </cell>
          <cell r="H664">
            <v>361</v>
          </cell>
          <cell r="I664">
            <v>0</v>
          </cell>
        </row>
        <row r="665">
          <cell r="A665">
            <v>97311</v>
          </cell>
          <cell r="B665" t="str">
            <v>CITY OF ROXBORO</v>
          </cell>
          <cell r="C665">
            <v>9.0109999999999995E-4</v>
          </cell>
          <cell r="D665"/>
          <cell r="E665">
            <v>143312</v>
          </cell>
          <cell r="F665">
            <v>-123275</v>
          </cell>
          <cell r="G665">
            <v>17374</v>
          </cell>
          <cell r="H665">
            <v>22612</v>
          </cell>
          <cell r="I665">
            <v>0</v>
          </cell>
        </row>
        <row r="666">
          <cell r="A666">
            <v>97401</v>
          </cell>
          <cell r="B666" t="str">
            <v>PITT COUNTY</v>
          </cell>
          <cell r="C666">
            <v>7.0562999999999997E-3</v>
          </cell>
          <cell r="D666"/>
          <cell r="E666">
            <v>1122241</v>
          </cell>
          <cell r="F666">
            <v>-965337</v>
          </cell>
          <cell r="G666">
            <v>136053</v>
          </cell>
          <cell r="H666">
            <v>177071</v>
          </cell>
          <cell r="I666">
            <v>0</v>
          </cell>
        </row>
        <row r="667">
          <cell r="A667">
            <v>97402</v>
          </cell>
          <cell r="B667" t="str">
            <v>PITT-GREENVILLE CONV &amp; VISTORS</v>
          </cell>
          <cell r="C667">
            <v>4.1999999999999998E-5</v>
          </cell>
          <cell r="D667"/>
          <cell r="E667">
            <v>6680</v>
          </cell>
          <cell r="F667">
            <v>-5746</v>
          </cell>
          <cell r="G667">
            <v>810</v>
          </cell>
          <cell r="H667">
            <v>1054</v>
          </cell>
          <cell r="I667">
            <v>0</v>
          </cell>
        </row>
        <row r="668">
          <cell r="A668">
            <v>97404</v>
          </cell>
          <cell r="B668" t="str">
            <v>PITT COUNTY ABC BOARD</v>
          </cell>
          <cell r="C668">
            <v>2.1240000000000001E-4</v>
          </cell>
          <cell r="D668"/>
          <cell r="E668">
            <v>33780</v>
          </cell>
          <cell r="F668">
            <v>-29057</v>
          </cell>
          <cell r="G668">
            <v>4095</v>
          </cell>
          <cell r="H668">
            <v>5330</v>
          </cell>
          <cell r="I668">
            <v>0</v>
          </cell>
        </row>
        <row r="669">
          <cell r="A669">
            <v>97405</v>
          </cell>
          <cell r="B669" t="str">
            <v>SHEPPARD MEMORIAL LIBRARY</v>
          </cell>
          <cell r="C669">
            <v>1.106E-4</v>
          </cell>
          <cell r="D669"/>
          <cell r="E669">
            <v>17590</v>
          </cell>
          <cell r="F669">
            <v>-15131</v>
          </cell>
          <cell r="G669">
            <v>2132</v>
          </cell>
          <cell r="H669">
            <v>2775</v>
          </cell>
          <cell r="I669">
            <v>0</v>
          </cell>
        </row>
        <row r="670">
          <cell r="A670">
            <v>97408</v>
          </cell>
          <cell r="B670" t="str">
            <v>CONTENNEA METROPOLITAN SEWERAGE DIST</v>
          </cell>
          <cell r="C670">
            <v>3.8999999999999999E-5</v>
          </cell>
          <cell r="D670"/>
          <cell r="E670">
            <v>6203</v>
          </cell>
          <cell r="F670">
            <v>-5335</v>
          </cell>
          <cell r="G670">
            <v>752</v>
          </cell>
          <cell r="H670">
            <v>979</v>
          </cell>
          <cell r="I670">
            <v>0</v>
          </cell>
        </row>
        <row r="671">
          <cell r="A671">
            <v>97411</v>
          </cell>
          <cell r="B671" t="str">
            <v>CITY OF GREENVILLE</v>
          </cell>
          <cell r="C671">
            <v>6.3997999999999998E-3</v>
          </cell>
          <cell r="D671"/>
          <cell r="E671">
            <v>1017831</v>
          </cell>
          <cell r="F671">
            <v>-875525</v>
          </cell>
          <cell r="G671">
            <v>123395</v>
          </cell>
          <cell r="H671">
            <v>160597</v>
          </cell>
          <cell r="I671">
            <v>0</v>
          </cell>
        </row>
        <row r="672">
          <cell r="A672">
            <v>97412</v>
          </cell>
          <cell r="B672" t="str">
            <v>GREENVILLE UTILITIES COMMISSION</v>
          </cell>
          <cell r="C672">
            <v>4.4903E-3</v>
          </cell>
          <cell r="D672"/>
          <cell r="E672">
            <v>714142</v>
          </cell>
          <cell r="F672">
            <v>-614295</v>
          </cell>
          <cell r="G672">
            <v>86577</v>
          </cell>
          <cell r="H672">
            <v>112680</v>
          </cell>
          <cell r="I672">
            <v>0</v>
          </cell>
        </row>
        <row r="673">
          <cell r="A673">
            <v>97413</v>
          </cell>
          <cell r="B673" t="str">
            <v>GREENVILLE HOUSING AUTHORITY</v>
          </cell>
          <cell r="C673">
            <v>2.812E-4</v>
          </cell>
          <cell r="D673"/>
          <cell r="E673">
            <v>44722</v>
          </cell>
          <cell r="F673">
            <v>-38470</v>
          </cell>
          <cell r="G673">
            <v>5422</v>
          </cell>
          <cell r="H673">
            <v>7056</v>
          </cell>
          <cell r="I673">
            <v>0</v>
          </cell>
        </row>
        <row r="674">
          <cell r="A674">
            <v>97421</v>
          </cell>
          <cell r="B674" t="str">
            <v>TOWN OF FARMVILLE</v>
          </cell>
          <cell r="C674">
            <v>4.3120000000000002E-4</v>
          </cell>
          <cell r="D674"/>
          <cell r="E674">
            <v>68578</v>
          </cell>
          <cell r="F674">
            <v>-58990</v>
          </cell>
          <cell r="G674">
            <v>8314</v>
          </cell>
          <cell r="H674">
            <v>10821</v>
          </cell>
          <cell r="I674">
            <v>0</v>
          </cell>
        </row>
        <row r="675">
          <cell r="A675">
            <v>97423</v>
          </cell>
          <cell r="B675" t="str">
            <v>FARMVILLE HOUSING AUTHORITY</v>
          </cell>
          <cell r="C675">
            <v>4.3000000000000002E-5</v>
          </cell>
          <cell r="D675"/>
          <cell r="E675">
            <v>6839</v>
          </cell>
          <cell r="F675">
            <v>-5883</v>
          </cell>
          <cell r="G675">
            <v>829</v>
          </cell>
          <cell r="H675">
            <v>1079</v>
          </cell>
          <cell r="I675">
            <v>0</v>
          </cell>
        </row>
        <row r="676">
          <cell r="A676">
            <v>97431</v>
          </cell>
          <cell r="B676" t="str">
            <v>TOWN OF GRIFTON</v>
          </cell>
          <cell r="C676">
            <v>8.92E-5</v>
          </cell>
          <cell r="D676"/>
          <cell r="E676">
            <v>14186</v>
          </cell>
          <cell r="F676">
            <v>-12203</v>
          </cell>
          <cell r="G676">
            <v>1720</v>
          </cell>
          <cell r="H676">
            <v>2238</v>
          </cell>
          <cell r="I676">
            <v>0</v>
          </cell>
        </row>
        <row r="677">
          <cell r="A677">
            <v>97441</v>
          </cell>
          <cell r="B677" t="str">
            <v>TOWN OF BETHEL</v>
          </cell>
          <cell r="C677">
            <v>5.7899999999999998E-5</v>
          </cell>
          <cell r="D677"/>
          <cell r="E677">
            <v>9208</v>
          </cell>
          <cell r="F677">
            <v>-7921</v>
          </cell>
          <cell r="G677">
            <v>1116</v>
          </cell>
          <cell r="H677">
            <v>1453</v>
          </cell>
          <cell r="I677">
            <v>0</v>
          </cell>
        </row>
        <row r="678">
          <cell r="A678">
            <v>97451</v>
          </cell>
          <cell r="B678" t="str">
            <v>TOWN OF WINTERVILLE</v>
          </cell>
          <cell r="C678">
            <v>6.6290000000000001E-4</v>
          </cell>
          <cell r="D678"/>
          <cell r="E678">
            <v>105428</v>
          </cell>
          <cell r="F678">
            <v>-90688</v>
          </cell>
          <cell r="G678">
            <v>12781</v>
          </cell>
          <cell r="H678">
            <v>16635</v>
          </cell>
          <cell r="I678">
            <v>0</v>
          </cell>
        </row>
        <row r="679">
          <cell r="A679">
            <v>97461</v>
          </cell>
          <cell r="B679" t="str">
            <v>TOWN OF AYDEN</v>
          </cell>
          <cell r="C679">
            <v>5.7600000000000001E-4</v>
          </cell>
          <cell r="D679"/>
          <cell r="E679">
            <v>91608</v>
          </cell>
          <cell r="F679">
            <v>-78800</v>
          </cell>
          <cell r="G679">
            <v>11106</v>
          </cell>
          <cell r="H679">
            <v>14454</v>
          </cell>
          <cell r="I679">
            <v>0</v>
          </cell>
        </row>
        <row r="680">
          <cell r="A680">
            <v>97463</v>
          </cell>
          <cell r="B680" t="str">
            <v>AYDEN HOUSING AUTHORITY</v>
          </cell>
          <cell r="C680">
            <v>0</v>
          </cell>
          <cell r="D680"/>
          <cell r="E680">
            <v>0</v>
          </cell>
          <cell r="F680">
            <v>0</v>
          </cell>
          <cell r="G680">
            <v>0</v>
          </cell>
          <cell r="H680">
            <v>0</v>
          </cell>
          <cell r="I680">
            <v>0</v>
          </cell>
        </row>
        <row r="681">
          <cell r="A681">
            <v>97471</v>
          </cell>
          <cell r="B681" t="str">
            <v>TOWN OF GRIMESLAND</v>
          </cell>
          <cell r="C681">
            <v>1.6399999999999999E-5</v>
          </cell>
          <cell r="D681"/>
          <cell r="E681">
            <v>2608</v>
          </cell>
          <cell r="F681">
            <v>-2244</v>
          </cell>
          <cell r="G681">
            <v>316</v>
          </cell>
          <cell r="H681">
            <v>412</v>
          </cell>
          <cell r="I681">
            <v>0</v>
          </cell>
        </row>
        <row r="682">
          <cell r="A682">
            <v>97481</v>
          </cell>
          <cell r="B682" t="str">
            <v>VILLAGE OF SIMPSON</v>
          </cell>
          <cell r="C682">
            <v>8.9999999999999996E-7</v>
          </cell>
          <cell r="D682"/>
          <cell r="E682">
            <v>143</v>
          </cell>
          <cell r="F682">
            <v>-123</v>
          </cell>
          <cell r="G682">
            <v>17</v>
          </cell>
          <cell r="H682">
            <v>23</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187939</v>
          </cell>
          <cell r="F684">
            <v>-161662</v>
          </cell>
          <cell r="G684">
            <v>22784</v>
          </cell>
          <cell r="H684">
            <v>29654</v>
          </cell>
          <cell r="I684">
            <v>0</v>
          </cell>
        </row>
        <row r="685">
          <cell r="A685">
            <v>97511</v>
          </cell>
          <cell r="B685" t="str">
            <v>TOWN OF TRYON</v>
          </cell>
          <cell r="C685">
            <v>1.9120000000000001E-4</v>
          </cell>
          <cell r="D685"/>
          <cell r="E685">
            <v>30409</v>
          </cell>
          <cell r="F685">
            <v>-26157</v>
          </cell>
          <cell r="G685">
            <v>3687</v>
          </cell>
          <cell r="H685">
            <v>4798</v>
          </cell>
          <cell r="I685">
            <v>0</v>
          </cell>
        </row>
        <row r="686">
          <cell r="A686">
            <v>97521</v>
          </cell>
          <cell r="B686" t="str">
            <v>TOWN OF COLUMBUS</v>
          </cell>
          <cell r="C686">
            <v>1.139E-4</v>
          </cell>
          <cell r="D686"/>
          <cell r="E686">
            <v>18115</v>
          </cell>
          <cell r="F686">
            <v>-15582</v>
          </cell>
          <cell r="G686">
            <v>2196</v>
          </cell>
          <cell r="H686">
            <v>2858</v>
          </cell>
          <cell r="I686">
            <v>0</v>
          </cell>
        </row>
        <row r="687">
          <cell r="A687">
            <v>97527</v>
          </cell>
          <cell r="B687" t="str">
            <v>COLUMBUS ABC BOARD</v>
          </cell>
          <cell r="C687">
            <v>1.7E-5</v>
          </cell>
          <cell r="D687"/>
          <cell r="E687">
            <v>2704</v>
          </cell>
          <cell r="F687">
            <v>-2326</v>
          </cell>
          <cell r="G687">
            <v>328</v>
          </cell>
          <cell r="H687">
            <v>427</v>
          </cell>
          <cell r="I687">
            <v>0</v>
          </cell>
        </row>
        <row r="688">
          <cell r="A688">
            <v>97531</v>
          </cell>
          <cell r="B688" t="str">
            <v>CITY OF SALUDA</v>
          </cell>
          <cell r="C688">
            <v>8.1299999999999997E-5</v>
          </cell>
          <cell r="D688"/>
          <cell r="E688">
            <v>12930</v>
          </cell>
          <cell r="F688">
            <v>-11122</v>
          </cell>
          <cell r="G688">
            <v>1568</v>
          </cell>
          <cell r="H688">
            <v>2040</v>
          </cell>
          <cell r="I688">
            <v>0</v>
          </cell>
        </row>
        <row r="689">
          <cell r="A689">
            <v>97601</v>
          </cell>
          <cell r="B689" t="str">
            <v>RANDOLPH COUNTY</v>
          </cell>
          <cell r="C689">
            <v>5.2946E-3</v>
          </cell>
          <cell r="D689"/>
          <cell r="E689">
            <v>842058</v>
          </cell>
          <cell r="F689">
            <v>-724328</v>
          </cell>
          <cell r="G689">
            <v>102085</v>
          </cell>
          <cell r="H689">
            <v>132863</v>
          </cell>
          <cell r="I689">
            <v>0</v>
          </cell>
        </row>
        <row r="690">
          <cell r="A690">
            <v>97607</v>
          </cell>
          <cell r="B690" t="str">
            <v>ASHEBORO ABC BOARD</v>
          </cell>
          <cell r="C690">
            <v>2.0699999999999998E-5</v>
          </cell>
          <cell r="D690"/>
          <cell r="E690">
            <v>3292</v>
          </cell>
          <cell r="F690">
            <v>-2832</v>
          </cell>
          <cell r="G690">
            <v>399</v>
          </cell>
          <cell r="H690">
            <v>519</v>
          </cell>
          <cell r="I690">
            <v>0</v>
          </cell>
        </row>
        <row r="691">
          <cell r="A691">
            <v>97611</v>
          </cell>
          <cell r="B691" t="str">
            <v>CITY OF ASHEBORO</v>
          </cell>
          <cell r="C691">
            <v>2.3218000000000002E-3</v>
          </cell>
          <cell r="D691"/>
          <cell r="E691">
            <v>369261</v>
          </cell>
          <cell r="F691">
            <v>-317634</v>
          </cell>
          <cell r="G691">
            <v>44767</v>
          </cell>
          <cell r="H691">
            <v>58263</v>
          </cell>
          <cell r="I691">
            <v>0</v>
          </cell>
        </row>
        <row r="692">
          <cell r="A692">
            <v>97613</v>
          </cell>
          <cell r="B692" t="str">
            <v>ASHEBORO HOUSING AUTH</v>
          </cell>
          <cell r="C692">
            <v>8.8599999999999999E-5</v>
          </cell>
          <cell r="D692"/>
          <cell r="E692">
            <v>14091</v>
          </cell>
          <cell r="F692">
            <v>-12121</v>
          </cell>
          <cell r="G692">
            <v>1708</v>
          </cell>
          <cell r="H692">
            <v>2223</v>
          </cell>
          <cell r="I692">
            <v>0</v>
          </cell>
        </row>
        <row r="693">
          <cell r="A693">
            <v>97621</v>
          </cell>
          <cell r="B693" t="str">
            <v>CITY OF RANDLEMAN</v>
          </cell>
          <cell r="C693">
            <v>4.3960000000000001E-4</v>
          </cell>
          <cell r="D693"/>
          <cell r="E693">
            <v>69914</v>
          </cell>
          <cell r="F693">
            <v>-60139</v>
          </cell>
          <cell r="G693">
            <v>8476</v>
          </cell>
          <cell r="H693">
            <v>11031</v>
          </cell>
          <cell r="I693">
            <v>0</v>
          </cell>
        </row>
        <row r="694">
          <cell r="A694">
            <v>97623</v>
          </cell>
          <cell r="B694" t="str">
            <v>CITY OF RANDLEMAN HOUSING AUTHORITY</v>
          </cell>
          <cell r="C694">
            <v>2.5400000000000001E-5</v>
          </cell>
          <cell r="D694"/>
          <cell r="E694">
            <v>4040</v>
          </cell>
          <cell r="F694">
            <v>-3475</v>
          </cell>
          <cell r="G694">
            <v>490</v>
          </cell>
          <cell r="H694">
            <v>637</v>
          </cell>
          <cell r="I694">
            <v>0</v>
          </cell>
        </row>
        <row r="695">
          <cell r="A695">
            <v>97627</v>
          </cell>
          <cell r="B695" t="str">
            <v>CITY OF RANDLEMAN ABC BOARD</v>
          </cell>
          <cell r="C695">
            <v>9.3000000000000007E-6</v>
          </cell>
          <cell r="D695"/>
          <cell r="E695">
            <v>1479</v>
          </cell>
          <cell r="F695">
            <v>-1272</v>
          </cell>
          <cell r="G695">
            <v>179</v>
          </cell>
          <cell r="H695">
            <v>233</v>
          </cell>
          <cell r="I695">
            <v>0</v>
          </cell>
        </row>
        <row r="696">
          <cell r="A696">
            <v>97631</v>
          </cell>
          <cell r="B696" t="str">
            <v>TOWN OF LIBERTY</v>
          </cell>
          <cell r="C696">
            <v>1.972E-4</v>
          </cell>
          <cell r="D696"/>
          <cell r="E696">
            <v>31363</v>
          </cell>
          <cell r="F696">
            <v>-26978</v>
          </cell>
          <cell r="G696">
            <v>3802</v>
          </cell>
          <cell r="H696">
            <v>4949</v>
          </cell>
          <cell r="I696">
            <v>0</v>
          </cell>
        </row>
        <row r="697">
          <cell r="A697">
            <v>97637</v>
          </cell>
          <cell r="B697" t="str">
            <v>LIBERTY ABC BOARD</v>
          </cell>
          <cell r="C697">
            <v>3.1999999999999999E-6</v>
          </cell>
          <cell r="D697"/>
          <cell r="E697">
            <v>509</v>
          </cell>
          <cell r="F697">
            <v>-438</v>
          </cell>
          <cell r="G697">
            <v>62</v>
          </cell>
          <cell r="H697">
            <v>80</v>
          </cell>
          <cell r="I697">
            <v>0</v>
          </cell>
        </row>
        <row r="698">
          <cell r="A698">
            <v>97641</v>
          </cell>
          <cell r="B698" t="str">
            <v>TOWN OF RAMSEUR</v>
          </cell>
          <cell r="C698">
            <v>4.5399999999999999E-5</v>
          </cell>
          <cell r="D698"/>
          <cell r="E698">
            <v>7220</v>
          </cell>
          <cell r="F698">
            <v>-6211</v>
          </cell>
          <cell r="G698">
            <v>875</v>
          </cell>
          <cell r="H698">
            <v>1139</v>
          </cell>
          <cell r="I698">
            <v>0</v>
          </cell>
        </row>
        <row r="699">
          <cell r="A699">
            <v>97651</v>
          </cell>
          <cell r="B699" t="str">
            <v>CITY OF ARCHDALE</v>
          </cell>
          <cell r="C699">
            <v>5.2329999999999998E-4</v>
          </cell>
          <cell r="D699"/>
          <cell r="E699">
            <v>83226</v>
          </cell>
          <cell r="F699">
            <v>-71590</v>
          </cell>
          <cell r="G699">
            <v>10090</v>
          </cell>
          <cell r="H699">
            <v>13132</v>
          </cell>
          <cell r="I699">
            <v>0</v>
          </cell>
        </row>
        <row r="700">
          <cell r="A700">
            <v>97661</v>
          </cell>
          <cell r="B700" t="str">
            <v>CITY OF TRINITY</v>
          </cell>
          <cell r="C700">
            <v>5.3300000000000001E-5</v>
          </cell>
          <cell r="D700"/>
          <cell r="E700">
            <v>8477</v>
          </cell>
          <cell r="F700">
            <v>-7292</v>
          </cell>
          <cell r="G700">
            <v>1028</v>
          </cell>
          <cell r="H700">
            <v>1338</v>
          </cell>
          <cell r="I700">
            <v>0</v>
          </cell>
        </row>
        <row r="701">
          <cell r="A701">
            <v>97701</v>
          </cell>
          <cell r="B701" t="str">
            <v>RICHMOND COUNTY</v>
          </cell>
          <cell r="C701">
            <v>2.4578E-3</v>
          </cell>
          <cell r="D701"/>
          <cell r="E701">
            <v>390891</v>
          </cell>
          <cell r="F701">
            <v>-336239</v>
          </cell>
          <cell r="G701">
            <v>47389</v>
          </cell>
          <cell r="H701">
            <v>61676</v>
          </cell>
          <cell r="I701">
            <v>0</v>
          </cell>
        </row>
        <row r="702">
          <cell r="A702">
            <v>97705</v>
          </cell>
          <cell r="B702" t="str">
            <v>SANDHILL REGIONAL LIBRARY</v>
          </cell>
          <cell r="C702">
            <v>3.1699999999999998E-5</v>
          </cell>
          <cell r="D702"/>
          <cell r="E702">
            <v>5042</v>
          </cell>
          <cell r="F702">
            <v>-4337</v>
          </cell>
          <cell r="G702">
            <v>611</v>
          </cell>
          <cell r="H702">
            <v>795</v>
          </cell>
          <cell r="I702">
            <v>0</v>
          </cell>
        </row>
        <row r="703">
          <cell r="A703">
            <v>97711</v>
          </cell>
          <cell r="B703" t="str">
            <v>CITY OF ROCKINGHAM</v>
          </cell>
          <cell r="C703">
            <v>8.5930000000000002E-4</v>
          </cell>
          <cell r="D703"/>
          <cell r="E703">
            <v>136664</v>
          </cell>
          <cell r="F703">
            <v>-117557</v>
          </cell>
          <cell r="G703">
            <v>16568</v>
          </cell>
          <cell r="H703">
            <v>21563</v>
          </cell>
          <cell r="I703">
            <v>0</v>
          </cell>
        </row>
        <row r="704">
          <cell r="A704">
            <v>97713</v>
          </cell>
          <cell r="B704" t="str">
            <v>ROCKINGHAM HOUSING AUTHORITY</v>
          </cell>
          <cell r="C704">
            <v>5.0399999999999999E-5</v>
          </cell>
          <cell r="D704"/>
          <cell r="E704">
            <v>8016</v>
          </cell>
          <cell r="F704">
            <v>-6895</v>
          </cell>
          <cell r="G704">
            <v>972</v>
          </cell>
          <cell r="H704">
            <v>1265</v>
          </cell>
          <cell r="I704">
            <v>0</v>
          </cell>
        </row>
        <row r="705">
          <cell r="A705">
            <v>97717</v>
          </cell>
          <cell r="B705" t="str">
            <v>HAMLET ABC BOARD</v>
          </cell>
          <cell r="C705">
            <v>5.4E-6</v>
          </cell>
          <cell r="D705"/>
          <cell r="E705">
            <v>859</v>
          </cell>
          <cell r="F705">
            <v>-739</v>
          </cell>
          <cell r="G705">
            <v>104</v>
          </cell>
          <cell r="H705">
            <v>136</v>
          </cell>
          <cell r="I705">
            <v>0</v>
          </cell>
        </row>
        <row r="706">
          <cell r="A706">
            <v>97721</v>
          </cell>
          <cell r="B706" t="str">
            <v>CITY OF HAMLET</v>
          </cell>
          <cell r="C706">
            <v>5.5699999999999999E-4</v>
          </cell>
          <cell r="D706"/>
          <cell r="E706">
            <v>88586</v>
          </cell>
          <cell r="F706">
            <v>-76200</v>
          </cell>
          <cell r="G706">
            <v>10740</v>
          </cell>
          <cell r="H706">
            <v>13977</v>
          </cell>
          <cell r="I706">
            <v>0</v>
          </cell>
        </row>
        <row r="707">
          <cell r="A707">
            <v>97727</v>
          </cell>
          <cell r="B707" t="str">
            <v>CITY OF ROCKINGHAM ABC BOARD</v>
          </cell>
          <cell r="C707">
            <v>1.8600000000000001E-5</v>
          </cell>
          <cell r="D707"/>
          <cell r="E707">
            <v>2958</v>
          </cell>
          <cell r="F707">
            <v>-2545</v>
          </cell>
          <cell r="G707">
            <v>359</v>
          </cell>
          <cell r="H707">
            <v>467</v>
          </cell>
          <cell r="I707">
            <v>0</v>
          </cell>
        </row>
        <row r="708">
          <cell r="A708">
            <v>97731</v>
          </cell>
          <cell r="B708" t="str">
            <v>TOWN OF ELLERBE</v>
          </cell>
          <cell r="C708">
            <v>3.82E-5</v>
          </cell>
          <cell r="D708"/>
          <cell r="E708">
            <v>6075</v>
          </cell>
          <cell r="F708">
            <v>-5226</v>
          </cell>
          <cell r="G708">
            <v>737</v>
          </cell>
          <cell r="H708">
            <v>959</v>
          </cell>
          <cell r="I708">
            <v>0</v>
          </cell>
        </row>
        <row r="709">
          <cell r="A709">
            <v>97801</v>
          </cell>
          <cell r="B709" t="str">
            <v>COUNTY OF ROBESON</v>
          </cell>
          <cell r="C709">
            <v>6.0489000000000003E-3</v>
          </cell>
          <cell r="D709"/>
          <cell r="E709">
            <v>962023</v>
          </cell>
          <cell r="F709">
            <v>-827520</v>
          </cell>
          <cell r="G709">
            <v>116629</v>
          </cell>
          <cell r="H709">
            <v>151791</v>
          </cell>
          <cell r="I709">
            <v>0</v>
          </cell>
        </row>
        <row r="710">
          <cell r="A710">
            <v>97802</v>
          </cell>
          <cell r="B710" t="str">
            <v>LUMBER RIVER COUNCIL OF GOVERNMENTS</v>
          </cell>
          <cell r="C710">
            <v>1.9029999999999999E-4</v>
          </cell>
          <cell r="D710"/>
          <cell r="E710">
            <v>30266</v>
          </cell>
          <cell r="F710">
            <v>-26034</v>
          </cell>
          <cell r="G710">
            <v>3669</v>
          </cell>
          <cell r="H710">
            <v>4775</v>
          </cell>
          <cell r="I710">
            <v>0</v>
          </cell>
        </row>
        <row r="711">
          <cell r="A711">
            <v>97803</v>
          </cell>
          <cell r="B711" t="str">
            <v>ROBESON COUNTY HOUSING AUTHORITY</v>
          </cell>
          <cell r="C711">
            <v>7.7899999999999996E-5</v>
          </cell>
          <cell r="D711"/>
          <cell r="E711">
            <v>12389</v>
          </cell>
          <cell r="F711">
            <v>-10657</v>
          </cell>
          <cell r="G711">
            <v>1502</v>
          </cell>
          <cell r="H711">
            <v>1955</v>
          </cell>
          <cell r="I711">
            <v>0</v>
          </cell>
        </row>
        <row r="712">
          <cell r="A712">
            <v>97805</v>
          </cell>
          <cell r="B712" t="str">
            <v>ROBESON COUNTY PUBLIC LIBRARY</v>
          </cell>
          <cell r="C712">
            <v>8.6500000000000002E-5</v>
          </cell>
          <cell r="D712"/>
          <cell r="E712">
            <v>13757</v>
          </cell>
          <cell r="F712">
            <v>-11834</v>
          </cell>
          <cell r="G712">
            <v>1668</v>
          </cell>
          <cell r="H712">
            <v>2171</v>
          </cell>
          <cell r="I712">
            <v>0</v>
          </cell>
        </row>
        <row r="713">
          <cell r="A713">
            <v>97811</v>
          </cell>
          <cell r="B713" t="str">
            <v>CITY OF LUMBERTON</v>
          </cell>
          <cell r="C713">
            <v>2.4080999999999998E-3</v>
          </cell>
          <cell r="D713"/>
          <cell r="E713">
            <v>382987</v>
          </cell>
          <cell r="F713">
            <v>-329440</v>
          </cell>
          <cell r="G713">
            <v>46431</v>
          </cell>
          <cell r="H713">
            <v>60429</v>
          </cell>
          <cell r="I713">
            <v>0</v>
          </cell>
        </row>
        <row r="714">
          <cell r="A714">
            <v>97817</v>
          </cell>
          <cell r="B714" t="str">
            <v>LUMBERTON ABC BOARD</v>
          </cell>
          <cell r="C714">
            <v>1.7499999999999998E-5</v>
          </cell>
          <cell r="D714"/>
          <cell r="E714">
            <v>2783</v>
          </cell>
          <cell r="F714">
            <v>-2394</v>
          </cell>
          <cell r="G714">
            <v>337</v>
          </cell>
          <cell r="H714">
            <v>439</v>
          </cell>
          <cell r="I714">
            <v>0</v>
          </cell>
        </row>
        <row r="715">
          <cell r="A715">
            <v>97818</v>
          </cell>
          <cell r="B715" t="str">
            <v>LUMBERTON AIRPORT COMM</v>
          </cell>
          <cell r="C715">
            <v>2.4899999999999999E-5</v>
          </cell>
          <cell r="D715"/>
          <cell r="E715">
            <v>3960</v>
          </cell>
          <cell r="F715">
            <v>-3406</v>
          </cell>
          <cell r="G715">
            <v>480</v>
          </cell>
          <cell r="H715">
            <v>625</v>
          </cell>
          <cell r="I715">
            <v>0</v>
          </cell>
        </row>
        <row r="716">
          <cell r="A716">
            <v>97821</v>
          </cell>
          <cell r="B716" t="str">
            <v>TOWN OF FAIRMONT</v>
          </cell>
          <cell r="C716">
            <v>1.329E-4</v>
          </cell>
          <cell r="D716"/>
          <cell r="E716">
            <v>21137</v>
          </cell>
          <cell r="F716">
            <v>-18181</v>
          </cell>
          <cell r="G716">
            <v>2562</v>
          </cell>
          <cell r="H716">
            <v>3335</v>
          </cell>
          <cell r="I716">
            <v>0</v>
          </cell>
        </row>
        <row r="717">
          <cell r="A717">
            <v>97823</v>
          </cell>
          <cell r="B717" t="str">
            <v>FAIRMONT HOUSING AUTHORITY</v>
          </cell>
          <cell r="C717">
            <v>1.5400000000000002E-5</v>
          </cell>
          <cell r="D717"/>
          <cell r="E717">
            <v>2449</v>
          </cell>
          <cell r="F717">
            <v>-2107</v>
          </cell>
          <cell r="G717">
            <v>297</v>
          </cell>
          <cell r="H717">
            <v>386</v>
          </cell>
          <cell r="I717">
            <v>0</v>
          </cell>
        </row>
        <row r="718">
          <cell r="A718">
            <v>97831</v>
          </cell>
          <cell r="B718" t="str">
            <v>TOWN OF ST PAULS</v>
          </cell>
          <cell r="C718">
            <v>1.6359999999999999E-4</v>
          </cell>
          <cell r="D718"/>
          <cell r="E718">
            <v>26019</v>
          </cell>
          <cell r="F718">
            <v>-22381</v>
          </cell>
          <cell r="G718">
            <v>3154</v>
          </cell>
          <cell r="H718">
            <v>4105</v>
          </cell>
          <cell r="I718">
            <v>0</v>
          </cell>
        </row>
        <row r="719">
          <cell r="A719">
            <v>97837</v>
          </cell>
          <cell r="B719" t="str">
            <v>ST PAUL'S BRD OF ALCOHOLIC CTL</v>
          </cell>
          <cell r="C719">
            <v>1.0000000000000001E-5</v>
          </cell>
          <cell r="D719"/>
          <cell r="E719">
            <v>1590</v>
          </cell>
          <cell r="F719">
            <v>-1368</v>
          </cell>
          <cell r="G719">
            <v>193</v>
          </cell>
          <cell r="H719">
            <v>251</v>
          </cell>
          <cell r="I719">
            <v>0</v>
          </cell>
        </row>
        <row r="720">
          <cell r="A720">
            <v>97840</v>
          </cell>
          <cell r="B720" t="str">
            <v>TOWN OF MAXTON</v>
          </cell>
          <cell r="C720">
            <v>1.0560000000000001E-4</v>
          </cell>
          <cell r="D720"/>
          <cell r="E720">
            <v>16795</v>
          </cell>
          <cell r="F720">
            <v>-14447</v>
          </cell>
          <cell r="G720">
            <v>2036</v>
          </cell>
          <cell r="H720">
            <v>2650</v>
          </cell>
          <cell r="I720">
            <v>0</v>
          </cell>
        </row>
        <row r="721">
          <cell r="A721">
            <v>97841</v>
          </cell>
          <cell r="B721" t="str">
            <v>TOWN OF PARKTON</v>
          </cell>
          <cell r="C721">
            <v>1.2099999999999999E-5</v>
          </cell>
          <cell r="D721"/>
          <cell r="E721">
            <v>1924</v>
          </cell>
          <cell r="F721">
            <v>-1655</v>
          </cell>
          <cell r="G721">
            <v>233</v>
          </cell>
          <cell r="H721">
            <v>304</v>
          </cell>
          <cell r="I721">
            <v>0</v>
          </cell>
        </row>
        <row r="722">
          <cell r="A722">
            <v>97847</v>
          </cell>
          <cell r="B722" t="str">
            <v>MAXTON ABC BOARD</v>
          </cell>
          <cell r="C722">
            <v>1.7E-6</v>
          </cell>
          <cell r="D722"/>
          <cell r="E722">
            <v>270</v>
          </cell>
          <cell r="F722">
            <v>-233</v>
          </cell>
          <cell r="G722">
            <v>33</v>
          </cell>
          <cell r="H722">
            <v>43</v>
          </cell>
          <cell r="I722">
            <v>0</v>
          </cell>
        </row>
        <row r="723">
          <cell r="A723">
            <v>97851</v>
          </cell>
          <cell r="B723" t="str">
            <v>TOWN OF PEMBROKE</v>
          </cell>
          <cell r="C723">
            <v>2.7540000000000003E-4</v>
          </cell>
          <cell r="D723"/>
          <cell r="E723">
            <v>43800</v>
          </cell>
          <cell r="F723">
            <v>-37676</v>
          </cell>
          <cell r="G723">
            <v>5310</v>
          </cell>
          <cell r="H723">
            <v>6911</v>
          </cell>
          <cell r="I723">
            <v>0</v>
          </cell>
        </row>
        <row r="724">
          <cell r="A724">
            <v>97853</v>
          </cell>
          <cell r="B724" t="str">
            <v>PEMBROKE HOUSING AUTHORITY</v>
          </cell>
          <cell r="C724">
            <v>7.9900000000000004E-5</v>
          </cell>
          <cell r="D724"/>
          <cell r="E724">
            <v>12707</v>
          </cell>
          <cell r="F724">
            <v>-10931</v>
          </cell>
          <cell r="G724">
            <v>1541</v>
          </cell>
          <cell r="H724">
            <v>2005</v>
          </cell>
          <cell r="I724">
            <v>0</v>
          </cell>
        </row>
        <row r="725">
          <cell r="A725">
            <v>97861</v>
          </cell>
          <cell r="B725" t="str">
            <v>TOWN OF ROWLAND</v>
          </cell>
          <cell r="C725">
            <v>4.5500000000000001E-5</v>
          </cell>
          <cell r="D725"/>
          <cell r="E725">
            <v>7236</v>
          </cell>
          <cell r="F725">
            <v>-6225</v>
          </cell>
          <cell r="G725">
            <v>877</v>
          </cell>
          <cell r="H725">
            <v>1142</v>
          </cell>
          <cell r="I725">
            <v>0</v>
          </cell>
        </row>
        <row r="726">
          <cell r="A726">
            <v>97871</v>
          </cell>
          <cell r="B726" t="str">
            <v>TOWN OF RED SPRINGS</v>
          </cell>
          <cell r="C726">
            <v>3.0079999999999999E-4</v>
          </cell>
          <cell r="D726"/>
          <cell r="E726">
            <v>47840</v>
          </cell>
          <cell r="F726">
            <v>-41151</v>
          </cell>
          <cell r="G726">
            <v>5800</v>
          </cell>
          <cell r="H726">
            <v>7548</v>
          </cell>
          <cell r="I726">
            <v>0</v>
          </cell>
        </row>
        <row r="727">
          <cell r="A727">
            <v>97877</v>
          </cell>
          <cell r="B727" t="str">
            <v>RED SPRINGS ABC BOARD</v>
          </cell>
          <cell r="C727">
            <v>7.6000000000000001E-6</v>
          </cell>
          <cell r="D727"/>
          <cell r="E727">
            <v>1209</v>
          </cell>
          <cell r="F727">
            <v>-1040</v>
          </cell>
          <cell r="G727">
            <v>147</v>
          </cell>
          <cell r="H727">
            <v>191</v>
          </cell>
          <cell r="I727">
            <v>0</v>
          </cell>
        </row>
        <row r="728">
          <cell r="A728">
            <v>97901</v>
          </cell>
          <cell r="B728" t="str">
            <v>ROCKINGHAM COUNTY</v>
          </cell>
          <cell r="C728">
            <v>4.0067999999999996E-3</v>
          </cell>
          <cell r="D728"/>
          <cell r="E728">
            <v>637245</v>
          </cell>
          <cell r="F728">
            <v>-548150</v>
          </cell>
          <cell r="G728">
            <v>77255</v>
          </cell>
          <cell r="H728">
            <v>100547</v>
          </cell>
          <cell r="I728">
            <v>0</v>
          </cell>
        </row>
        <row r="729">
          <cell r="A729">
            <v>97911</v>
          </cell>
          <cell r="B729" t="str">
            <v>CITY OF REIDSVILLE</v>
          </cell>
          <cell r="C729">
            <v>1.2121E-3</v>
          </cell>
          <cell r="D729"/>
          <cell r="E729">
            <v>192774</v>
          </cell>
          <cell r="F729">
            <v>-165821</v>
          </cell>
          <cell r="G729">
            <v>23371</v>
          </cell>
          <cell r="H729">
            <v>30416</v>
          </cell>
          <cell r="I729">
            <v>0</v>
          </cell>
        </row>
        <row r="730">
          <cell r="A730">
            <v>97913</v>
          </cell>
          <cell r="B730" t="str">
            <v>THE NEW REIDSVILLE HOUSING AUTH</v>
          </cell>
          <cell r="C730">
            <v>2.8600000000000001E-5</v>
          </cell>
          <cell r="D730"/>
          <cell r="E730">
            <v>4549</v>
          </cell>
          <cell r="F730">
            <v>-3913</v>
          </cell>
          <cell r="G730">
            <v>551</v>
          </cell>
          <cell r="H730">
            <v>718</v>
          </cell>
          <cell r="I730">
            <v>0</v>
          </cell>
        </row>
        <row r="731">
          <cell r="A731">
            <v>97917</v>
          </cell>
          <cell r="B731" t="str">
            <v>REIDSVILLE ABC BOARD</v>
          </cell>
          <cell r="C731">
            <v>1.84E-5</v>
          </cell>
          <cell r="D731"/>
          <cell r="E731">
            <v>2926</v>
          </cell>
          <cell r="F731">
            <v>-2517</v>
          </cell>
          <cell r="G731">
            <v>355</v>
          </cell>
          <cell r="H731">
            <v>462</v>
          </cell>
          <cell r="I731">
            <v>0</v>
          </cell>
        </row>
        <row r="732">
          <cell r="A732">
            <v>97921</v>
          </cell>
          <cell r="B732" t="str">
            <v>TOWN OF MAYODAN</v>
          </cell>
          <cell r="C732">
            <v>2.073E-4</v>
          </cell>
          <cell r="D732"/>
          <cell r="E732">
            <v>32969</v>
          </cell>
          <cell r="F732">
            <v>-28360</v>
          </cell>
          <cell r="G732">
            <v>3997</v>
          </cell>
          <cell r="H732">
            <v>5202</v>
          </cell>
          <cell r="I732">
            <v>0</v>
          </cell>
        </row>
        <row r="733">
          <cell r="A733">
            <v>97931</v>
          </cell>
          <cell r="B733" t="str">
            <v>TOWN OF STONEVILLE</v>
          </cell>
          <cell r="C733">
            <v>6.6699999999999995E-5</v>
          </cell>
          <cell r="D733"/>
          <cell r="E733">
            <v>10608</v>
          </cell>
          <cell r="F733">
            <v>-9125</v>
          </cell>
          <cell r="G733">
            <v>1286</v>
          </cell>
          <cell r="H733">
            <v>1674</v>
          </cell>
          <cell r="I733">
            <v>0</v>
          </cell>
        </row>
        <row r="734">
          <cell r="A734">
            <v>97941</v>
          </cell>
          <cell r="B734" t="str">
            <v>TOWN OF MADISON</v>
          </cell>
          <cell r="C734">
            <v>2.143E-4</v>
          </cell>
          <cell r="D734"/>
          <cell r="E734">
            <v>34082</v>
          </cell>
          <cell r="F734">
            <v>-29317</v>
          </cell>
          <cell r="G734">
            <v>4132</v>
          </cell>
          <cell r="H734">
            <v>5378</v>
          </cell>
          <cell r="I734">
            <v>0</v>
          </cell>
        </row>
        <row r="735">
          <cell r="A735">
            <v>97947</v>
          </cell>
          <cell r="B735" t="str">
            <v>MADISON ABC BOARD</v>
          </cell>
          <cell r="C735">
            <v>1.52E-5</v>
          </cell>
          <cell r="D735"/>
          <cell r="E735">
            <v>2417</v>
          </cell>
          <cell r="F735">
            <v>-2079</v>
          </cell>
          <cell r="G735">
            <v>293</v>
          </cell>
          <cell r="H735">
            <v>381</v>
          </cell>
          <cell r="I735">
            <v>0</v>
          </cell>
        </row>
        <row r="736">
          <cell r="A736">
            <v>97948</v>
          </cell>
          <cell r="B736" t="str">
            <v>MADISON-MAYODAN RECREATION COMM</v>
          </cell>
          <cell r="C736">
            <v>2.6100000000000001E-5</v>
          </cell>
          <cell r="D736"/>
          <cell r="E736">
            <v>4151</v>
          </cell>
          <cell r="F736">
            <v>-3571</v>
          </cell>
          <cell r="G736">
            <v>503</v>
          </cell>
          <cell r="H736">
            <v>655</v>
          </cell>
          <cell r="I736">
            <v>0</v>
          </cell>
        </row>
        <row r="737">
          <cell r="A737">
            <v>97951</v>
          </cell>
          <cell r="B737" t="str">
            <v>CITY OF EDEN</v>
          </cell>
          <cell r="C737">
            <v>1.1746E-3</v>
          </cell>
          <cell r="D737"/>
          <cell r="E737">
            <v>186810</v>
          </cell>
          <cell r="F737">
            <v>-160691</v>
          </cell>
          <cell r="G737">
            <v>22647</v>
          </cell>
          <cell r="H737">
            <v>29475</v>
          </cell>
          <cell r="I737">
            <v>0</v>
          </cell>
        </row>
        <row r="738">
          <cell r="A738">
            <v>97957</v>
          </cell>
          <cell r="B738" t="str">
            <v>EDEN ABC BOARD</v>
          </cell>
          <cell r="C738">
            <v>1.49E-5</v>
          </cell>
          <cell r="D738"/>
          <cell r="E738">
            <v>2370</v>
          </cell>
          <cell r="F738">
            <v>-2038</v>
          </cell>
          <cell r="G738">
            <v>287</v>
          </cell>
          <cell r="H738">
            <v>374</v>
          </cell>
          <cell r="I738">
            <v>0</v>
          </cell>
        </row>
        <row r="739">
          <cell r="A739">
            <v>98001</v>
          </cell>
          <cell r="B739" t="str">
            <v>ROWAN COUNTY</v>
          </cell>
          <cell r="C739">
            <v>5.3171E-3</v>
          </cell>
          <cell r="D739"/>
          <cell r="E739">
            <v>845637</v>
          </cell>
          <cell r="F739">
            <v>-727406</v>
          </cell>
          <cell r="G739">
            <v>102519</v>
          </cell>
          <cell r="H739">
            <v>133427</v>
          </cell>
          <cell r="I739">
            <v>0</v>
          </cell>
        </row>
        <row r="740">
          <cell r="A740">
            <v>98002</v>
          </cell>
          <cell r="B740" t="str">
            <v>ROWAN CONVENTION &amp; VISTORS BUREAU</v>
          </cell>
          <cell r="C740">
            <v>6.1999999999999999E-6</v>
          </cell>
          <cell r="D740"/>
          <cell r="E740">
            <v>986</v>
          </cell>
          <cell r="F740">
            <v>-848</v>
          </cell>
          <cell r="G740">
            <v>120</v>
          </cell>
          <cell r="H740">
            <v>156</v>
          </cell>
          <cell r="I740">
            <v>0</v>
          </cell>
        </row>
        <row r="741">
          <cell r="A741">
            <v>98003</v>
          </cell>
          <cell r="B741" t="str">
            <v>ROWAN CO HOUSING AUTHORITY</v>
          </cell>
          <cell r="C741">
            <v>6.9499999999999995E-5</v>
          </cell>
          <cell r="D741"/>
          <cell r="E741">
            <v>11053</v>
          </cell>
          <cell r="F741">
            <v>-9508</v>
          </cell>
          <cell r="G741">
            <v>1340</v>
          </cell>
          <cell r="H741">
            <v>1744</v>
          </cell>
          <cell r="I741">
            <v>0</v>
          </cell>
        </row>
        <row r="742">
          <cell r="A742">
            <v>98004</v>
          </cell>
          <cell r="B742" t="str">
            <v>ROWAN COUNTY ABC BOARD</v>
          </cell>
          <cell r="C742">
            <v>1.2530000000000001E-4</v>
          </cell>
          <cell r="D742"/>
          <cell r="E742">
            <v>19928</v>
          </cell>
          <cell r="F742">
            <v>-17142</v>
          </cell>
          <cell r="G742">
            <v>2416</v>
          </cell>
          <cell r="H742">
            <v>3144</v>
          </cell>
          <cell r="I742">
            <v>0</v>
          </cell>
        </row>
        <row r="743">
          <cell r="A743">
            <v>98008</v>
          </cell>
          <cell r="B743" t="str">
            <v>ROWAN CO SOIL &amp; WATER CONV DIST</v>
          </cell>
          <cell r="C743">
            <v>7.1999999999999997E-6</v>
          </cell>
          <cell r="D743"/>
          <cell r="E743">
            <v>1145</v>
          </cell>
          <cell r="F743">
            <v>-985</v>
          </cell>
          <cell r="G743">
            <v>139</v>
          </cell>
          <cell r="H743">
            <v>181</v>
          </cell>
          <cell r="I743">
            <v>0</v>
          </cell>
        </row>
        <row r="744">
          <cell r="A744">
            <v>98011</v>
          </cell>
          <cell r="B744" t="str">
            <v>CITY OF SALISBURY</v>
          </cell>
          <cell r="C744">
            <v>3.4512000000000002E-3</v>
          </cell>
          <cell r="D744"/>
          <cell r="E744">
            <v>548882</v>
          </cell>
          <cell r="F744">
            <v>-472141</v>
          </cell>
          <cell r="G744">
            <v>66543</v>
          </cell>
          <cell r="H744">
            <v>86604</v>
          </cell>
          <cell r="I744">
            <v>0</v>
          </cell>
        </row>
        <row r="745">
          <cell r="A745">
            <v>98013</v>
          </cell>
          <cell r="B745" t="str">
            <v>HOUSING AUTH OF THE CTY OF SALISBURY</v>
          </cell>
          <cell r="C745">
            <v>1.3990000000000001E-4</v>
          </cell>
          <cell r="D745"/>
          <cell r="E745">
            <v>22250</v>
          </cell>
          <cell r="F745">
            <v>-19139</v>
          </cell>
          <cell r="G745">
            <v>2697</v>
          </cell>
          <cell r="H745">
            <v>3511</v>
          </cell>
          <cell r="I745">
            <v>0</v>
          </cell>
        </row>
        <row r="746">
          <cell r="A746">
            <v>98021</v>
          </cell>
          <cell r="B746" t="str">
            <v>TOWN OF EAST SPENCER</v>
          </cell>
          <cell r="C746">
            <v>4.2400000000000001E-5</v>
          </cell>
          <cell r="D746"/>
          <cell r="E746">
            <v>6743</v>
          </cell>
          <cell r="F746">
            <v>-5801</v>
          </cell>
          <cell r="G746">
            <v>818</v>
          </cell>
          <cell r="H746">
            <v>1064</v>
          </cell>
          <cell r="I746">
            <v>0</v>
          </cell>
        </row>
        <row r="747">
          <cell r="A747">
            <v>98023</v>
          </cell>
          <cell r="B747" t="str">
            <v>EAST SPENCER HOUSING AUTHORITY</v>
          </cell>
          <cell r="C747">
            <v>8.8000000000000004E-6</v>
          </cell>
          <cell r="D747"/>
          <cell r="E747">
            <v>1400</v>
          </cell>
          <cell r="F747">
            <v>-1204</v>
          </cell>
          <cell r="G747">
            <v>170</v>
          </cell>
          <cell r="H747">
            <v>221</v>
          </cell>
          <cell r="I747">
            <v>0</v>
          </cell>
        </row>
        <row r="748">
          <cell r="A748">
            <v>98031</v>
          </cell>
          <cell r="B748" t="str">
            <v>TOWN OF SPENCER</v>
          </cell>
          <cell r="C748">
            <v>1.5410000000000001E-4</v>
          </cell>
          <cell r="D748"/>
          <cell r="E748">
            <v>24508</v>
          </cell>
          <cell r="F748">
            <v>-21082</v>
          </cell>
          <cell r="G748">
            <v>2971</v>
          </cell>
          <cell r="H748">
            <v>3867</v>
          </cell>
          <cell r="I748">
            <v>0</v>
          </cell>
        </row>
        <row r="749">
          <cell r="A749">
            <v>98041</v>
          </cell>
          <cell r="B749" t="str">
            <v>TOWN OF CHINA GROVE</v>
          </cell>
          <cell r="C749">
            <v>2.3560000000000001E-4</v>
          </cell>
          <cell r="D749"/>
          <cell r="E749">
            <v>37470</v>
          </cell>
          <cell r="F749">
            <v>-32231</v>
          </cell>
          <cell r="G749">
            <v>4543</v>
          </cell>
          <cell r="H749">
            <v>5912</v>
          </cell>
          <cell r="I749">
            <v>0</v>
          </cell>
        </row>
        <row r="750">
          <cell r="A750">
            <v>98051</v>
          </cell>
          <cell r="B750" t="str">
            <v>TOWN OF LANDIS</v>
          </cell>
          <cell r="C750">
            <v>2.9750000000000002E-4</v>
          </cell>
          <cell r="D750"/>
          <cell r="E750">
            <v>47315</v>
          </cell>
          <cell r="F750">
            <v>-40699</v>
          </cell>
          <cell r="G750">
            <v>5736</v>
          </cell>
          <cell r="H750">
            <v>7465</v>
          </cell>
          <cell r="I750">
            <v>0</v>
          </cell>
        </row>
        <row r="751">
          <cell r="A751">
            <v>98061</v>
          </cell>
          <cell r="B751" t="str">
            <v>TOWN OF GRANITE QUARRY</v>
          </cell>
          <cell r="C751">
            <v>1.208E-4</v>
          </cell>
          <cell r="D751"/>
          <cell r="E751">
            <v>19212</v>
          </cell>
          <cell r="F751">
            <v>-16526</v>
          </cell>
          <cell r="G751">
            <v>2329</v>
          </cell>
          <cell r="H751">
            <v>3031</v>
          </cell>
          <cell r="I751">
            <v>0</v>
          </cell>
        </row>
        <row r="752">
          <cell r="A752">
            <v>98071</v>
          </cell>
          <cell r="B752" t="str">
            <v>TOWN OF ROCKWELL</v>
          </cell>
          <cell r="C752">
            <v>4.74E-5</v>
          </cell>
          <cell r="D752"/>
          <cell r="E752">
            <v>7539</v>
          </cell>
          <cell r="F752">
            <v>-6485</v>
          </cell>
          <cell r="G752">
            <v>914</v>
          </cell>
          <cell r="H752">
            <v>1189</v>
          </cell>
          <cell r="I752">
            <v>0</v>
          </cell>
        </row>
        <row r="753">
          <cell r="A753">
            <v>98081</v>
          </cell>
          <cell r="B753" t="str">
            <v>TOWN OF FAITH</v>
          </cell>
          <cell r="C753">
            <v>1.5800000000000001E-5</v>
          </cell>
          <cell r="D753"/>
          <cell r="E753">
            <v>2513</v>
          </cell>
          <cell r="F753">
            <v>-2162</v>
          </cell>
          <cell r="G753">
            <v>305</v>
          </cell>
          <cell r="H753">
            <v>396</v>
          </cell>
          <cell r="I753">
            <v>0</v>
          </cell>
        </row>
        <row r="754">
          <cell r="A754">
            <v>98091</v>
          </cell>
          <cell r="B754" t="str">
            <v>TOWN OF CLEVELAND</v>
          </cell>
          <cell r="C754">
            <v>6.7000000000000002E-5</v>
          </cell>
          <cell r="D754"/>
          <cell r="E754">
            <v>10656</v>
          </cell>
          <cell r="F754">
            <v>-9166</v>
          </cell>
          <cell r="G754">
            <v>1292</v>
          </cell>
          <cell r="H754">
            <v>1681</v>
          </cell>
          <cell r="I754">
            <v>0</v>
          </cell>
        </row>
        <row r="755">
          <cell r="A755">
            <v>98101</v>
          </cell>
          <cell r="B755" t="str">
            <v>RUTHERFORD COUNTY</v>
          </cell>
          <cell r="C755">
            <v>2.6901E-3</v>
          </cell>
          <cell r="D755"/>
          <cell r="E755">
            <v>427836</v>
          </cell>
          <cell r="F755">
            <v>-368019</v>
          </cell>
          <cell r="G755">
            <v>51868</v>
          </cell>
          <cell r="H755">
            <v>67505</v>
          </cell>
          <cell r="I755">
            <v>0</v>
          </cell>
        </row>
        <row r="756">
          <cell r="A756">
            <v>98102</v>
          </cell>
          <cell r="B756" t="str">
            <v>BROAD RIVER WATER AUTHORITY</v>
          </cell>
          <cell r="C756">
            <v>1.573E-4</v>
          </cell>
          <cell r="D756"/>
          <cell r="E756">
            <v>25017</v>
          </cell>
          <cell r="F756">
            <v>-21519</v>
          </cell>
          <cell r="G756">
            <v>3033</v>
          </cell>
          <cell r="H756">
            <v>3947</v>
          </cell>
          <cell r="I756">
            <v>0</v>
          </cell>
        </row>
        <row r="757">
          <cell r="A757">
            <v>98103</v>
          </cell>
          <cell r="B757" t="str">
            <v>RUTHERFORD POLK MCDOWELL DIST BRD OF HEALTH</v>
          </cell>
          <cell r="C757">
            <v>5.04E-4</v>
          </cell>
          <cell r="D757"/>
          <cell r="E757">
            <v>80157</v>
          </cell>
          <cell r="F757">
            <v>-68950</v>
          </cell>
          <cell r="G757">
            <v>9718</v>
          </cell>
          <cell r="H757">
            <v>12647</v>
          </cell>
          <cell r="I757">
            <v>0</v>
          </cell>
        </row>
        <row r="758">
          <cell r="A758">
            <v>98107</v>
          </cell>
          <cell r="B758" t="str">
            <v>FOREST CITY ABC BOARD 168</v>
          </cell>
          <cell r="C758">
            <v>9.3999999999999998E-6</v>
          </cell>
          <cell r="D758"/>
          <cell r="E758">
            <v>1495</v>
          </cell>
          <cell r="F758">
            <v>-1286</v>
          </cell>
          <cell r="G758">
            <v>181</v>
          </cell>
          <cell r="H758">
            <v>236</v>
          </cell>
          <cell r="I758">
            <v>0</v>
          </cell>
        </row>
        <row r="759">
          <cell r="A759">
            <v>98109</v>
          </cell>
          <cell r="B759" t="str">
            <v>ISOTHERMAL PLANNING AND DEV COMM</v>
          </cell>
          <cell r="C759">
            <v>1.595E-4</v>
          </cell>
          <cell r="D759"/>
          <cell r="E759">
            <v>25367</v>
          </cell>
          <cell r="F759">
            <v>-21820</v>
          </cell>
          <cell r="G759">
            <v>3075</v>
          </cell>
          <cell r="H759">
            <v>4002</v>
          </cell>
          <cell r="I759">
            <v>0</v>
          </cell>
        </row>
        <row r="760">
          <cell r="A760">
            <v>98111</v>
          </cell>
          <cell r="B760" t="str">
            <v>TOWN OF FOREST CITY</v>
          </cell>
          <cell r="C760">
            <v>1.0231999999999999E-3</v>
          </cell>
          <cell r="D760"/>
          <cell r="E760">
            <v>162731</v>
          </cell>
          <cell r="F760">
            <v>-139979</v>
          </cell>
          <cell r="G760">
            <v>19728</v>
          </cell>
          <cell r="H760">
            <v>25676</v>
          </cell>
          <cell r="I760">
            <v>0</v>
          </cell>
        </row>
        <row r="761">
          <cell r="A761">
            <v>98113</v>
          </cell>
          <cell r="B761" t="str">
            <v>FOREST CITY HOUSING AUTHORITY</v>
          </cell>
          <cell r="C761">
            <v>3.3899999999999997E-5</v>
          </cell>
          <cell r="D761"/>
          <cell r="E761">
            <v>5391</v>
          </cell>
          <cell r="F761">
            <v>-4638</v>
          </cell>
          <cell r="G761">
            <v>654</v>
          </cell>
          <cell r="H761">
            <v>851</v>
          </cell>
          <cell r="I761">
            <v>0</v>
          </cell>
        </row>
        <row r="762">
          <cell r="A762">
            <v>98121</v>
          </cell>
          <cell r="B762" t="str">
            <v>TOWN OF SPINDALE</v>
          </cell>
          <cell r="C762">
            <v>2.1259999999999999E-4</v>
          </cell>
          <cell r="D762"/>
          <cell r="E762">
            <v>33812</v>
          </cell>
          <cell r="F762">
            <v>-29085</v>
          </cell>
          <cell r="G762">
            <v>4099</v>
          </cell>
          <cell r="H762">
            <v>5335</v>
          </cell>
          <cell r="I762">
            <v>0</v>
          </cell>
        </row>
        <row r="763">
          <cell r="A763">
            <v>98131</v>
          </cell>
          <cell r="B763" t="str">
            <v>TOWN OF LAKE LURE</v>
          </cell>
          <cell r="C763">
            <v>2.519E-4</v>
          </cell>
          <cell r="D763"/>
          <cell r="E763">
            <v>40062</v>
          </cell>
          <cell r="F763">
            <v>-34461</v>
          </cell>
          <cell r="G763">
            <v>4857</v>
          </cell>
          <cell r="H763">
            <v>6321</v>
          </cell>
          <cell r="I763">
            <v>0</v>
          </cell>
        </row>
        <row r="764">
          <cell r="A764">
            <v>98141</v>
          </cell>
          <cell r="B764" t="str">
            <v>TOWN OF RUTHERFORDTON</v>
          </cell>
          <cell r="C764">
            <v>2.8699999999999998E-4</v>
          </cell>
          <cell r="D764"/>
          <cell r="E764">
            <v>45645</v>
          </cell>
          <cell r="F764">
            <v>-39263</v>
          </cell>
          <cell r="G764">
            <v>5534</v>
          </cell>
          <cell r="H764">
            <v>7202</v>
          </cell>
          <cell r="I764">
            <v>0</v>
          </cell>
        </row>
        <row r="765">
          <cell r="A765">
            <v>98147</v>
          </cell>
          <cell r="B765" t="str">
            <v>TOWN OF RUTHERFORDTON ABC BRD</v>
          </cell>
          <cell r="C765">
            <v>1.0699999999999999E-5</v>
          </cell>
          <cell r="D765"/>
          <cell r="E765">
            <v>1702</v>
          </cell>
          <cell r="F765">
            <v>-1464</v>
          </cell>
          <cell r="G765">
            <v>206</v>
          </cell>
          <cell r="H765">
            <v>269</v>
          </cell>
          <cell r="I765">
            <v>0</v>
          </cell>
        </row>
        <row r="766">
          <cell r="A766">
            <v>98161</v>
          </cell>
          <cell r="B766" t="str">
            <v>TOWN OF ELLENBORO</v>
          </cell>
          <cell r="C766">
            <v>6.1999999999999999E-6</v>
          </cell>
          <cell r="D766"/>
          <cell r="E766">
            <v>986</v>
          </cell>
          <cell r="F766">
            <v>-848</v>
          </cell>
          <cell r="G766">
            <v>120</v>
          </cell>
          <cell r="H766">
            <v>156</v>
          </cell>
          <cell r="I766">
            <v>0</v>
          </cell>
        </row>
        <row r="767">
          <cell r="A767">
            <v>98201</v>
          </cell>
          <cell r="B767" t="str">
            <v>SAMPSON COUNTY</v>
          </cell>
          <cell r="C767">
            <v>3.3482999999999998E-3</v>
          </cell>
          <cell r="D767"/>
          <cell r="E767">
            <v>532517</v>
          </cell>
          <cell r="F767">
            <v>-458064</v>
          </cell>
          <cell r="G767">
            <v>64559</v>
          </cell>
          <cell r="H767">
            <v>84022</v>
          </cell>
          <cell r="I767">
            <v>0</v>
          </cell>
        </row>
        <row r="768">
          <cell r="A768">
            <v>98205</v>
          </cell>
          <cell r="B768" t="str">
            <v>J C HOLIDAY MEM LIBRARY</v>
          </cell>
          <cell r="C768">
            <v>4.0899999999999998E-5</v>
          </cell>
          <cell r="D768"/>
          <cell r="E768">
            <v>6505</v>
          </cell>
          <cell r="F768">
            <v>-5595</v>
          </cell>
          <cell r="G768">
            <v>789</v>
          </cell>
          <cell r="H768">
            <v>1026</v>
          </cell>
          <cell r="I768">
            <v>0</v>
          </cell>
        </row>
        <row r="769">
          <cell r="A769">
            <v>98211</v>
          </cell>
          <cell r="B769" t="str">
            <v>CITY OF CLINTON</v>
          </cell>
          <cell r="C769">
            <v>9.0399999999999996E-4</v>
          </cell>
          <cell r="D769"/>
          <cell r="E769">
            <v>143773</v>
          </cell>
          <cell r="F769">
            <v>-123672</v>
          </cell>
          <cell r="G769">
            <v>17430</v>
          </cell>
          <cell r="H769">
            <v>22685</v>
          </cell>
          <cell r="I769">
            <v>0</v>
          </cell>
        </row>
        <row r="770">
          <cell r="A770">
            <v>98218</v>
          </cell>
          <cell r="B770" t="str">
            <v>CLINTON ABC BOARD</v>
          </cell>
          <cell r="C770">
            <v>1.8099999999999999E-5</v>
          </cell>
          <cell r="D770"/>
          <cell r="E770">
            <v>2879</v>
          </cell>
          <cell r="F770">
            <v>-2476</v>
          </cell>
          <cell r="G770">
            <v>349</v>
          </cell>
          <cell r="H770">
            <v>454</v>
          </cell>
          <cell r="I770">
            <v>0</v>
          </cell>
        </row>
        <row r="771">
          <cell r="A771">
            <v>98221</v>
          </cell>
          <cell r="B771" t="str">
            <v>TOWN OF SALEMBURG</v>
          </cell>
          <cell r="C771">
            <v>2.72E-5</v>
          </cell>
          <cell r="D771"/>
          <cell r="E771">
            <v>4326</v>
          </cell>
          <cell r="F771">
            <v>-3721</v>
          </cell>
          <cell r="G771">
            <v>524</v>
          </cell>
          <cell r="H771">
            <v>683</v>
          </cell>
          <cell r="I771">
            <v>0</v>
          </cell>
        </row>
        <row r="772">
          <cell r="A772">
            <v>98231</v>
          </cell>
          <cell r="B772" t="str">
            <v>TOWN OF NEWTON GROVE</v>
          </cell>
          <cell r="C772">
            <v>3.1699999999999998E-5</v>
          </cell>
          <cell r="D772"/>
          <cell r="E772">
            <v>5042</v>
          </cell>
          <cell r="F772">
            <v>-4337</v>
          </cell>
          <cell r="G772">
            <v>611</v>
          </cell>
          <cell r="H772">
            <v>795</v>
          </cell>
          <cell r="I772">
            <v>0</v>
          </cell>
        </row>
        <row r="773">
          <cell r="A773">
            <v>98237</v>
          </cell>
          <cell r="B773" t="str">
            <v>ROSEBORO ABC BOARD</v>
          </cell>
          <cell r="C773">
            <v>6.7000000000000002E-6</v>
          </cell>
          <cell r="D773"/>
          <cell r="E773">
            <v>1066</v>
          </cell>
          <cell r="F773">
            <v>-917</v>
          </cell>
          <cell r="G773">
            <v>129</v>
          </cell>
          <cell r="H773">
            <v>168</v>
          </cell>
          <cell r="I773">
            <v>0</v>
          </cell>
        </row>
        <row r="774">
          <cell r="A774">
            <v>98241</v>
          </cell>
          <cell r="B774" t="str">
            <v>TOWN OF GARLAND</v>
          </cell>
          <cell r="C774">
            <v>1.7799999999999999E-5</v>
          </cell>
          <cell r="D774"/>
          <cell r="E774">
            <v>2831</v>
          </cell>
          <cell r="F774">
            <v>-2435</v>
          </cell>
          <cell r="G774">
            <v>343</v>
          </cell>
          <cell r="H774">
            <v>447</v>
          </cell>
          <cell r="I774">
            <v>0</v>
          </cell>
        </row>
        <row r="775">
          <cell r="A775">
            <v>98251</v>
          </cell>
          <cell r="B775" t="str">
            <v>TOWN OF TURKEY</v>
          </cell>
          <cell r="C775">
            <v>2.5000000000000002E-6</v>
          </cell>
          <cell r="D775"/>
          <cell r="E775">
            <v>398</v>
          </cell>
          <cell r="F775">
            <v>-342</v>
          </cell>
          <cell r="G775">
            <v>48</v>
          </cell>
          <cell r="H775">
            <v>63</v>
          </cell>
          <cell r="I775">
            <v>0</v>
          </cell>
        </row>
        <row r="776">
          <cell r="A776">
            <v>98261</v>
          </cell>
          <cell r="B776" t="str">
            <v>TOWN OF ROSEBORO</v>
          </cell>
          <cell r="C776">
            <v>3.3699999999999999E-5</v>
          </cell>
          <cell r="D776"/>
          <cell r="E776">
            <v>5360</v>
          </cell>
          <cell r="F776">
            <v>-4610</v>
          </cell>
          <cell r="G776">
            <v>650</v>
          </cell>
          <cell r="H776">
            <v>846</v>
          </cell>
          <cell r="I776">
            <v>0</v>
          </cell>
        </row>
        <row r="777">
          <cell r="A777">
            <v>98271</v>
          </cell>
          <cell r="B777" t="str">
            <v>TOWN OF AUTRYVILLE</v>
          </cell>
          <cell r="C777">
            <v>5.2000000000000002E-6</v>
          </cell>
          <cell r="D777"/>
          <cell r="E777">
            <v>827</v>
          </cell>
          <cell r="F777">
            <v>-711</v>
          </cell>
          <cell r="G777">
            <v>100</v>
          </cell>
          <cell r="H777">
            <v>130</v>
          </cell>
          <cell r="I777">
            <v>0</v>
          </cell>
        </row>
        <row r="778">
          <cell r="A778">
            <v>98301</v>
          </cell>
          <cell r="B778" t="str">
            <v>SCOTLAND COUNTY</v>
          </cell>
          <cell r="C778">
            <v>1.7742000000000001E-3</v>
          </cell>
          <cell r="D778"/>
          <cell r="E778">
            <v>282171</v>
          </cell>
          <cell r="F778">
            <v>-242719</v>
          </cell>
          <cell r="G778">
            <v>34208</v>
          </cell>
          <cell r="H778">
            <v>44522</v>
          </cell>
          <cell r="I778">
            <v>0</v>
          </cell>
        </row>
        <row r="779">
          <cell r="A779">
            <v>98304</v>
          </cell>
          <cell r="B779" t="str">
            <v>SCOTLAND COUNTY ABC BOARD</v>
          </cell>
          <cell r="C779">
            <v>2.0699999999999998E-5</v>
          </cell>
          <cell r="D779"/>
          <cell r="E779">
            <v>3292</v>
          </cell>
          <cell r="F779">
            <v>-2832</v>
          </cell>
          <cell r="G779">
            <v>399</v>
          </cell>
          <cell r="H779">
            <v>519</v>
          </cell>
          <cell r="I779">
            <v>0</v>
          </cell>
        </row>
        <row r="780">
          <cell r="A780">
            <v>98308</v>
          </cell>
          <cell r="B780" t="str">
            <v>LAURINBURG-MAXTON AIRPORT COMMISSION</v>
          </cell>
          <cell r="C780">
            <v>1.6099999999999998E-5</v>
          </cell>
          <cell r="D780"/>
          <cell r="E780">
            <v>2561</v>
          </cell>
          <cell r="F780">
            <v>-2203</v>
          </cell>
          <cell r="G780">
            <v>310</v>
          </cell>
          <cell r="H780">
            <v>404</v>
          </cell>
          <cell r="I780">
            <v>0</v>
          </cell>
        </row>
        <row r="781">
          <cell r="A781">
            <v>98311</v>
          </cell>
          <cell r="B781" t="str">
            <v>CITY OF LAURINBURG</v>
          </cell>
          <cell r="C781">
            <v>1.1073999999999999E-3</v>
          </cell>
          <cell r="D781"/>
          <cell r="E781">
            <v>176122</v>
          </cell>
          <cell r="F781">
            <v>-151498</v>
          </cell>
          <cell r="G781">
            <v>21352</v>
          </cell>
          <cell r="H781">
            <v>27789</v>
          </cell>
          <cell r="I781">
            <v>0</v>
          </cell>
        </row>
        <row r="782">
          <cell r="A782">
            <v>98313</v>
          </cell>
          <cell r="B782" t="str">
            <v>LAURINBURG HOUSING AUTHORITY</v>
          </cell>
          <cell r="C782">
            <v>2.1000000000000001E-4</v>
          </cell>
          <cell r="D782"/>
          <cell r="E782">
            <v>33399</v>
          </cell>
          <cell r="F782">
            <v>-28729</v>
          </cell>
          <cell r="G782">
            <v>4049</v>
          </cell>
          <cell r="H782">
            <v>5270</v>
          </cell>
          <cell r="I782">
            <v>0</v>
          </cell>
        </row>
        <row r="783">
          <cell r="A783">
            <v>98321</v>
          </cell>
          <cell r="B783" t="str">
            <v>TOWN OF WAGRAM</v>
          </cell>
          <cell r="C783">
            <v>1.6900000000000001E-5</v>
          </cell>
          <cell r="D783"/>
          <cell r="E783">
            <v>2688</v>
          </cell>
          <cell r="F783">
            <v>-2312</v>
          </cell>
          <cell r="G783">
            <v>326</v>
          </cell>
          <cell r="H783">
            <v>424</v>
          </cell>
          <cell r="I783">
            <v>0</v>
          </cell>
        </row>
        <row r="784">
          <cell r="A784">
            <v>98331</v>
          </cell>
          <cell r="B784" t="str">
            <v>TOWN OF GIBSON</v>
          </cell>
          <cell r="C784">
            <v>8.3999999999999992E-6</v>
          </cell>
          <cell r="D784"/>
          <cell r="E784">
            <v>1336</v>
          </cell>
          <cell r="F784">
            <v>-1149</v>
          </cell>
          <cell r="G784">
            <v>162</v>
          </cell>
          <cell r="H784">
            <v>211</v>
          </cell>
          <cell r="I784">
            <v>0</v>
          </cell>
        </row>
        <row r="785">
          <cell r="A785">
            <v>98401</v>
          </cell>
          <cell r="B785" t="str">
            <v>STANLY COUNTY</v>
          </cell>
          <cell r="C785">
            <v>2.9618000000000001E-3</v>
          </cell>
          <cell r="D785"/>
          <cell r="E785">
            <v>471048</v>
          </cell>
          <cell r="F785">
            <v>-405189</v>
          </cell>
          <cell r="G785">
            <v>57106</v>
          </cell>
          <cell r="H785">
            <v>74323</v>
          </cell>
          <cell r="I785">
            <v>0</v>
          </cell>
        </row>
        <row r="786">
          <cell r="A786">
            <v>98404</v>
          </cell>
          <cell r="B786" t="str">
            <v>LOCUST ABC BOARD</v>
          </cell>
          <cell r="C786">
            <v>1.43E-5</v>
          </cell>
          <cell r="D786"/>
          <cell r="E786">
            <v>2274</v>
          </cell>
          <cell r="F786">
            <v>-1956</v>
          </cell>
          <cell r="G786">
            <v>276</v>
          </cell>
          <cell r="H786">
            <v>359</v>
          </cell>
          <cell r="I786">
            <v>0</v>
          </cell>
        </row>
        <row r="787">
          <cell r="A787">
            <v>98411</v>
          </cell>
          <cell r="B787" t="str">
            <v>CITY OF ALBEMARLE</v>
          </cell>
          <cell r="C787">
            <v>1.9082000000000001E-3</v>
          </cell>
          <cell r="D787"/>
          <cell r="E787">
            <v>303482</v>
          </cell>
          <cell r="F787">
            <v>-261051</v>
          </cell>
          <cell r="G787">
            <v>36792</v>
          </cell>
          <cell r="H787">
            <v>47884</v>
          </cell>
          <cell r="I787">
            <v>0</v>
          </cell>
        </row>
        <row r="788">
          <cell r="A788">
            <v>98414</v>
          </cell>
          <cell r="B788" t="str">
            <v>VILLAGE OF MISENHEIMER</v>
          </cell>
          <cell r="C788">
            <v>3.01E-5</v>
          </cell>
          <cell r="D788"/>
          <cell r="E788">
            <v>4787</v>
          </cell>
          <cell r="F788">
            <v>-4118</v>
          </cell>
          <cell r="G788">
            <v>580</v>
          </cell>
          <cell r="H788">
            <v>755</v>
          </cell>
          <cell r="I788">
            <v>0</v>
          </cell>
        </row>
        <row r="789">
          <cell r="A789">
            <v>98417</v>
          </cell>
          <cell r="B789" t="str">
            <v>ALBEMARLE ABC BOARD</v>
          </cell>
          <cell r="C789">
            <v>2.23E-5</v>
          </cell>
          <cell r="D789"/>
          <cell r="E789">
            <v>3547</v>
          </cell>
          <cell r="F789">
            <v>-3051</v>
          </cell>
          <cell r="G789">
            <v>430</v>
          </cell>
          <cell r="H789">
            <v>560</v>
          </cell>
          <cell r="I789">
            <v>0</v>
          </cell>
        </row>
        <row r="790">
          <cell r="A790">
            <v>98421</v>
          </cell>
          <cell r="B790" t="str">
            <v>TOWN OF NORWOOD</v>
          </cell>
          <cell r="C790">
            <v>1.121E-4</v>
          </cell>
          <cell r="D790"/>
          <cell r="E790">
            <v>17828</v>
          </cell>
          <cell r="F790">
            <v>-15336</v>
          </cell>
          <cell r="G790">
            <v>2161</v>
          </cell>
          <cell r="H790">
            <v>2813</v>
          </cell>
          <cell r="I790">
            <v>0</v>
          </cell>
        </row>
        <row r="791">
          <cell r="A791">
            <v>98427</v>
          </cell>
          <cell r="B791" t="str">
            <v>NORWOOD ABC BD</v>
          </cell>
          <cell r="C791">
            <v>3.1E-6</v>
          </cell>
          <cell r="D791"/>
          <cell r="E791">
            <v>493</v>
          </cell>
          <cell r="F791">
            <v>-424</v>
          </cell>
          <cell r="G791">
            <v>60</v>
          </cell>
          <cell r="H791">
            <v>78</v>
          </cell>
          <cell r="I791">
            <v>0</v>
          </cell>
        </row>
        <row r="792">
          <cell r="A792">
            <v>98431</v>
          </cell>
          <cell r="B792" t="str">
            <v>CITY OF LOCUST</v>
          </cell>
          <cell r="C792">
            <v>1.997E-4</v>
          </cell>
          <cell r="D792"/>
          <cell r="E792">
            <v>31760</v>
          </cell>
          <cell r="F792">
            <v>-27320</v>
          </cell>
          <cell r="G792">
            <v>3850</v>
          </cell>
          <cell r="H792">
            <v>5011</v>
          </cell>
          <cell r="I792">
            <v>0</v>
          </cell>
        </row>
        <row r="793">
          <cell r="A793">
            <v>98441</v>
          </cell>
          <cell r="B793" t="str">
            <v>TOWN OF OAKBORO</v>
          </cell>
          <cell r="C793">
            <v>1.0230000000000001E-4</v>
          </cell>
          <cell r="D793"/>
          <cell r="E793">
            <v>16270</v>
          </cell>
          <cell r="F793">
            <v>-13995</v>
          </cell>
          <cell r="G793">
            <v>1972</v>
          </cell>
          <cell r="H793">
            <v>2567</v>
          </cell>
          <cell r="I793">
            <v>0</v>
          </cell>
        </row>
        <row r="794">
          <cell r="A794">
            <v>98451</v>
          </cell>
          <cell r="B794" t="str">
            <v>TOWN OF BADIN</v>
          </cell>
          <cell r="C794">
            <v>4.6100000000000002E-5</v>
          </cell>
          <cell r="D794"/>
          <cell r="E794">
            <v>7332</v>
          </cell>
          <cell r="F794">
            <v>-6307</v>
          </cell>
          <cell r="G794">
            <v>889</v>
          </cell>
          <cell r="H794">
            <v>1157</v>
          </cell>
          <cell r="I794">
            <v>0</v>
          </cell>
        </row>
        <row r="795">
          <cell r="A795">
            <v>98471</v>
          </cell>
          <cell r="B795" t="str">
            <v>TOWN OF NEW LONDON</v>
          </cell>
          <cell r="C795">
            <v>6.3999999999999997E-6</v>
          </cell>
          <cell r="D795"/>
          <cell r="E795">
            <v>1018</v>
          </cell>
          <cell r="F795">
            <v>-876</v>
          </cell>
          <cell r="G795">
            <v>123</v>
          </cell>
          <cell r="H795">
            <v>161</v>
          </cell>
          <cell r="I795">
            <v>0</v>
          </cell>
        </row>
        <row r="796">
          <cell r="A796">
            <v>98481</v>
          </cell>
          <cell r="B796" t="str">
            <v>TOWN OF STANFIELD</v>
          </cell>
          <cell r="C796">
            <v>6.1600000000000007E-5</v>
          </cell>
          <cell r="D796"/>
          <cell r="E796">
            <v>9797</v>
          </cell>
          <cell r="F796">
            <v>-8427</v>
          </cell>
          <cell r="G796">
            <v>1188</v>
          </cell>
          <cell r="H796">
            <v>1546</v>
          </cell>
          <cell r="I796">
            <v>0</v>
          </cell>
        </row>
        <row r="797">
          <cell r="A797">
            <v>98501</v>
          </cell>
          <cell r="B797" t="str">
            <v>STOKES COUNTY</v>
          </cell>
          <cell r="C797">
            <v>1.655E-3</v>
          </cell>
          <cell r="D797"/>
          <cell r="E797">
            <v>263213</v>
          </cell>
          <cell r="F797">
            <v>-226412</v>
          </cell>
          <cell r="G797">
            <v>31910</v>
          </cell>
          <cell r="H797">
            <v>41531</v>
          </cell>
          <cell r="I797">
            <v>0</v>
          </cell>
        </row>
        <row r="798">
          <cell r="A798">
            <v>98511</v>
          </cell>
          <cell r="B798" t="str">
            <v>TOWN OF WALNUT COVE</v>
          </cell>
          <cell r="C798">
            <v>4.9400000000000001E-5</v>
          </cell>
          <cell r="D798"/>
          <cell r="E798">
            <v>7857</v>
          </cell>
          <cell r="F798">
            <v>-6758</v>
          </cell>
          <cell r="G798">
            <v>952</v>
          </cell>
          <cell r="H798">
            <v>1240</v>
          </cell>
          <cell r="I798">
            <v>0</v>
          </cell>
        </row>
        <row r="799">
          <cell r="A799">
            <v>98517</v>
          </cell>
          <cell r="B799" t="str">
            <v>WALNUT COVE ABC BOARD</v>
          </cell>
          <cell r="C799">
            <v>2.3999999999999999E-6</v>
          </cell>
          <cell r="D799"/>
          <cell r="E799">
            <v>382</v>
          </cell>
          <cell r="F799">
            <v>-328</v>
          </cell>
          <cell r="G799">
            <v>46</v>
          </cell>
          <cell r="H799">
            <v>60</v>
          </cell>
          <cell r="I799">
            <v>0</v>
          </cell>
        </row>
        <row r="800">
          <cell r="A800">
            <v>98521</v>
          </cell>
          <cell r="B800" t="str">
            <v>CITY OF KING</v>
          </cell>
          <cell r="C800">
            <v>6.3349999999999995E-4</v>
          </cell>
          <cell r="D800"/>
          <cell r="E800">
            <v>100752</v>
          </cell>
          <cell r="F800">
            <v>-86666</v>
          </cell>
          <cell r="G800">
            <v>12215</v>
          </cell>
          <cell r="H800">
            <v>15897</v>
          </cell>
          <cell r="I800">
            <v>0</v>
          </cell>
        </row>
        <row r="801">
          <cell r="A801">
            <v>98601</v>
          </cell>
          <cell r="B801" t="str">
            <v>SURRY COUNTY</v>
          </cell>
          <cell r="C801">
            <v>3.5866000000000001E-3</v>
          </cell>
          <cell r="D801"/>
          <cell r="E801">
            <v>570416</v>
          </cell>
          <cell r="F801">
            <v>-490665</v>
          </cell>
          <cell r="G801">
            <v>69153</v>
          </cell>
          <cell r="H801">
            <v>90002</v>
          </cell>
          <cell r="I801">
            <v>0</v>
          </cell>
        </row>
        <row r="802">
          <cell r="A802">
            <v>98604</v>
          </cell>
          <cell r="B802" t="str">
            <v>YADKIN VALLEY ABC BOARD</v>
          </cell>
          <cell r="C802">
            <v>1.2099999999999999E-5</v>
          </cell>
          <cell r="D802"/>
          <cell r="E802">
            <v>1924</v>
          </cell>
          <cell r="F802">
            <v>-1655</v>
          </cell>
          <cell r="G802">
            <v>233</v>
          </cell>
          <cell r="H802">
            <v>304</v>
          </cell>
          <cell r="I802">
            <v>0</v>
          </cell>
        </row>
        <row r="803">
          <cell r="A803">
            <v>98607</v>
          </cell>
          <cell r="B803" t="str">
            <v>PILOT MOUNTAIN ABC BOARD</v>
          </cell>
          <cell r="C803">
            <v>5.4E-6</v>
          </cell>
          <cell r="D803"/>
          <cell r="E803">
            <v>859</v>
          </cell>
          <cell r="F803">
            <v>-739</v>
          </cell>
          <cell r="G803">
            <v>104</v>
          </cell>
          <cell r="H803">
            <v>136</v>
          </cell>
          <cell r="I803">
            <v>0</v>
          </cell>
        </row>
        <row r="804">
          <cell r="A804">
            <v>98608</v>
          </cell>
          <cell r="B804" t="str">
            <v>YADKIN VALLEY SEWER AUTHORITY</v>
          </cell>
          <cell r="C804">
            <v>5.1799999999999999E-5</v>
          </cell>
          <cell r="D804"/>
          <cell r="E804">
            <v>8238</v>
          </cell>
          <cell r="F804">
            <v>-7086</v>
          </cell>
          <cell r="G804">
            <v>999</v>
          </cell>
          <cell r="H804">
            <v>1300</v>
          </cell>
          <cell r="I804">
            <v>0</v>
          </cell>
        </row>
        <row r="805">
          <cell r="A805">
            <v>98611</v>
          </cell>
          <cell r="B805" t="str">
            <v>TOWN OF PILOT MOUNTAIN</v>
          </cell>
          <cell r="C805">
            <v>1.1959999999999999E-4</v>
          </cell>
          <cell r="D805"/>
          <cell r="E805">
            <v>19021</v>
          </cell>
          <cell r="F805">
            <v>-16362</v>
          </cell>
          <cell r="G805">
            <v>2306</v>
          </cell>
          <cell r="H805">
            <v>3001</v>
          </cell>
          <cell r="I805">
            <v>0</v>
          </cell>
        </row>
        <row r="806">
          <cell r="A806">
            <v>98621</v>
          </cell>
          <cell r="B806" t="str">
            <v>TOWN OF DOBSON</v>
          </cell>
          <cell r="C806">
            <v>1.2899999999999999E-4</v>
          </cell>
          <cell r="D806"/>
          <cell r="E806">
            <v>20516</v>
          </cell>
          <cell r="F806">
            <v>-17648</v>
          </cell>
          <cell r="G806">
            <v>2487</v>
          </cell>
          <cell r="H806">
            <v>3237</v>
          </cell>
          <cell r="I806">
            <v>0</v>
          </cell>
        </row>
        <row r="807">
          <cell r="A807">
            <v>98627</v>
          </cell>
          <cell r="B807" t="str">
            <v>DOBSON ABC BD</v>
          </cell>
          <cell r="C807">
            <v>7.7999999999999999E-6</v>
          </cell>
          <cell r="D807"/>
          <cell r="E807">
            <v>1241</v>
          </cell>
          <cell r="F807">
            <v>-1067</v>
          </cell>
          <cell r="G807">
            <v>150</v>
          </cell>
          <cell r="H807">
            <v>196</v>
          </cell>
          <cell r="I807">
            <v>0</v>
          </cell>
        </row>
        <row r="808">
          <cell r="A808">
            <v>98631</v>
          </cell>
          <cell r="B808" t="str">
            <v>CITY OF MOUNT AIRY</v>
          </cell>
          <cell r="C808">
            <v>1.0042E-3</v>
          </cell>
          <cell r="D808"/>
          <cell r="E808">
            <v>159709</v>
          </cell>
          <cell r="F808">
            <v>-137380</v>
          </cell>
          <cell r="G808">
            <v>19362</v>
          </cell>
          <cell r="H808">
            <v>25199</v>
          </cell>
          <cell r="I808">
            <v>0</v>
          </cell>
        </row>
        <row r="809">
          <cell r="A809">
            <v>98637</v>
          </cell>
          <cell r="B809" t="str">
            <v>MOUNT AIRY ALCOHOLIC BOARD OF CONTROL</v>
          </cell>
          <cell r="C809">
            <v>1.5800000000000001E-5</v>
          </cell>
          <cell r="D809"/>
          <cell r="E809">
            <v>2513</v>
          </cell>
          <cell r="F809">
            <v>-2162</v>
          </cell>
          <cell r="G809">
            <v>305</v>
          </cell>
          <cell r="H809">
            <v>396</v>
          </cell>
          <cell r="I809">
            <v>0</v>
          </cell>
        </row>
        <row r="810">
          <cell r="A810">
            <v>98641</v>
          </cell>
          <cell r="B810" t="str">
            <v>TOWN OF ELKIN</v>
          </cell>
          <cell r="C810">
            <v>2.7090000000000003E-4</v>
          </cell>
          <cell r="D810"/>
          <cell r="E810">
            <v>43084</v>
          </cell>
          <cell r="F810">
            <v>-37060</v>
          </cell>
          <cell r="G810">
            <v>5223</v>
          </cell>
          <cell r="H810">
            <v>6798</v>
          </cell>
          <cell r="I810">
            <v>0</v>
          </cell>
        </row>
        <row r="811">
          <cell r="A811">
            <v>98647</v>
          </cell>
          <cell r="B811" t="str">
            <v>ELKIN ABC BOARD</v>
          </cell>
          <cell r="C811">
            <v>0</v>
          </cell>
          <cell r="D811"/>
          <cell r="E811">
            <v>0</v>
          </cell>
          <cell r="F811">
            <v>0</v>
          </cell>
          <cell r="G811">
            <v>0</v>
          </cell>
          <cell r="H811">
            <v>0</v>
          </cell>
          <cell r="I811">
            <v>0</v>
          </cell>
        </row>
        <row r="812">
          <cell r="A812">
            <v>98701</v>
          </cell>
          <cell r="B812" t="str">
            <v>SWAIN COUNTY</v>
          </cell>
          <cell r="C812">
            <v>9.7790000000000008E-4</v>
          </cell>
          <cell r="D812"/>
          <cell r="E812">
            <v>155526</v>
          </cell>
          <cell r="F812">
            <v>-133782</v>
          </cell>
          <cell r="G812">
            <v>18855</v>
          </cell>
          <cell r="H812">
            <v>24539</v>
          </cell>
          <cell r="I812">
            <v>0</v>
          </cell>
        </row>
        <row r="813">
          <cell r="A813">
            <v>98711</v>
          </cell>
          <cell r="B813" t="str">
            <v>TOWN OF BRYSON CITY</v>
          </cell>
          <cell r="C813">
            <v>1.671E-4</v>
          </cell>
          <cell r="D813"/>
          <cell r="E813">
            <v>26576</v>
          </cell>
          <cell r="F813">
            <v>-22860</v>
          </cell>
          <cell r="G813">
            <v>3222</v>
          </cell>
          <cell r="H813">
            <v>4193</v>
          </cell>
          <cell r="I813">
            <v>0</v>
          </cell>
        </row>
        <row r="814">
          <cell r="A814">
            <v>98717</v>
          </cell>
          <cell r="B814" t="str">
            <v>BRYSON CITY ABC BOARD</v>
          </cell>
          <cell r="C814">
            <v>2.2399999999999999E-5</v>
          </cell>
          <cell r="D814"/>
          <cell r="E814">
            <v>3563</v>
          </cell>
          <cell r="F814">
            <v>-3064</v>
          </cell>
          <cell r="G814">
            <v>432</v>
          </cell>
          <cell r="H814">
            <v>562</v>
          </cell>
          <cell r="I814">
            <v>0</v>
          </cell>
        </row>
        <row r="815">
          <cell r="A815">
            <v>98801</v>
          </cell>
          <cell r="B815" t="str">
            <v>TRANSYLVANIA COUNTY</v>
          </cell>
          <cell r="C815">
            <v>2.1632999999999999E-3</v>
          </cell>
          <cell r="D815"/>
          <cell r="E815">
            <v>344053</v>
          </cell>
          <cell r="F815">
            <v>-295950</v>
          </cell>
          <cell r="G815">
            <v>41711</v>
          </cell>
          <cell r="H815">
            <v>54286</v>
          </cell>
          <cell r="I815">
            <v>0</v>
          </cell>
        </row>
        <row r="816">
          <cell r="A816">
            <v>98811</v>
          </cell>
          <cell r="B816" t="str">
            <v>CITY OF BREVARD</v>
          </cell>
          <cell r="C816">
            <v>6.8610000000000003E-4</v>
          </cell>
          <cell r="D816"/>
          <cell r="E816">
            <v>109118</v>
          </cell>
          <cell r="F816">
            <v>-93862</v>
          </cell>
          <cell r="G816">
            <v>13229</v>
          </cell>
          <cell r="H816">
            <v>17217</v>
          </cell>
          <cell r="I816">
            <v>0</v>
          </cell>
        </row>
        <row r="817">
          <cell r="A817">
            <v>98817</v>
          </cell>
          <cell r="B817" t="str">
            <v>BREVARD ABC BOARD</v>
          </cell>
          <cell r="C817">
            <v>1.7E-5</v>
          </cell>
          <cell r="D817"/>
          <cell r="E817">
            <v>2704</v>
          </cell>
          <cell r="F817">
            <v>-2326</v>
          </cell>
          <cell r="G817">
            <v>328</v>
          </cell>
          <cell r="H817">
            <v>427</v>
          </cell>
          <cell r="I817">
            <v>0</v>
          </cell>
        </row>
        <row r="818">
          <cell r="A818">
            <v>98901</v>
          </cell>
          <cell r="B818" t="str">
            <v>TYRRELL COUNTY</v>
          </cell>
          <cell r="C818">
            <v>2.8390000000000002E-4</v>
          </cell>
          <cell r="D818"/>
          <cell r="E818">
            <v>45152</v>
          </cell>
          <cell r="F818">
            <v>-38839</v>
          </cell>
          <cell r="G818">
            <v>5474</v>
          </cell>
          <cell r="H818">
            <v>7124</v>
          </cell>
          <cell r="I818">
            <v>0</v>
          </cell>
        </row>
        <row r="819">
          <cell r="A819">
            <v>98904</v>
          </cell>
          <cell r="B819" t="str">
            <v>TYRRELL CO ABC BOARD</v>
          </cell>
          <cell r="C819">
            <v>3.9999999999999998E-6</v>
          </cell>
          <cell r="D819"/>
          <cell r="E819">
            <v>636</v>
          </cell>
          <cell r="F819">
            <v>-547</v>
          </cell>
          <cell r="G819">
            <v>77</v>
          </cell>
          <cell r="H819">
            <v>100</v>
          </cell>
          <cell r="I819">
            <v>0</v>
          </cell>
        </row>
        <row r="820">
          <cell r="A820">
            <v>98911</v>
          </cell>
          <cell r="B820" t="str">
            <v>TOWN OF COLUMBIA</v>
          </cell>
          <cell r="C820">
            <v>1.59E-5</v>
          </cell>
          <cell r="D820"/>
          <cell r="E820">
            <v>2529</v>
          </cell>
          <cell r="F820">
            <v>-2175</v>
          </cell>
          <cell r="G820">
            <v>307</v>
          </cell>
          <cell r="H820">
            <v>399</v>
          </cell>
          <cell r="I820">
            <v>0</v>
          </cell>
        </row>
        <row r="821">
          <cell r="A821">
            <v>99001</v>
          </cell>
          <cell r="B821" t="str">
            <v>UNION COUNTY</v>
          </cell>
          <cell r="C821">
            <v>8.8266000000000004E-3</v>
          </cell>
          <cell r="D821"/>
          <cell r="E821">
            <v>1403791</v>
          </cell>
          <cell r="F821">
            <v>-1207523</v>
          </cell>
          <cell r="G821">
            <v>170186</v>
          </cell>
          <cell r="H821">
            <v>221495</v>
          </cell>
          <cell r="I821">
            <v>0</v>
          </cell>
        </row>
        <row r="822">
          <cell r="A822">
            <v>99011</v>
          </cell>
          <cell r="B822" t="str">
            <v>CITY OF MONROE</v>
          </cell>
          <cell r="C822">
            <v>3.8520999999999998E-3</v>
          </cell>
          <cell r="D822"/>
          <cell r="E822">
            <v>612642</v>
          </cell>
          <cell r="F822">
            <v>-526987</v>
          </cell>
          <cell r="G822">
            <v>74272</v>
          </cell>
          <cell r="H822">
            <v>96665</v>
          </cell>
          <cell r="I822">
            <v>0</v>
          </cell>
        </row>
        <row r="823">
          <cell r="A823">
            <v>99013</v>
          </cell>
          <cell r="B823" t="str">
            <v>CITY OF MONROE HOUSING AUTHORITY</v>
          </cell>
          <cell r="C823">
            <v>4.7599999999999998E-5</v>
          </cell>
          <cell r="D823"/>
          <cell r="E823">
            <v>7570</v>
          </cell>
          <cell r="F823">
            <v>-6512</v>
          </cell>
          <cell r="G823">
            <v>918</v>
          </cell>
          <cell r="H823">
            <v>1194</v>
          </cell>
          <cell r="I823">
            <v>0</v>
          </cell>
        </row>
        <row r="824">
          <cell r="A824">
            <v>99014</v>
          </cell>
          <cell r="B824" t="str">
            <v>INDIAN TRAIL ABC BOARD</v>
          </cell>
          <cell r="C824">
            <v>2.1299999999999999E-5</v>
          </cell>
          <cell r="D824"/>
          <cell r="E824">
            <v>3388</v>
          </cell>
          <cell r="F824">
            <v>-2914</v>
          </cell>
          <cell r="G824">
            <v>411</v>
          </cell>
          <cell r="H824">
            <v>535</v>
          </cell>
          <cell r="I824">
            <v>0</v>
          </cell>
        </row>
        <row r="825">
          <cell r="A825">
            <v>99017</v>
          </cell>
          <cell r="B825" t="str">
            <v>MONROE ABC BOARD</v>
          </cell>
          <cell r="C825">
            <v>4.8600000000000002E-5</v>
          </cell>
          <cell r="D825"/>
          <cell r="E825">
            <v>7729</v>
          </cell>
          <cell r="F825">
            <v>-6649</v>
          </cell>
          <cell r="G825">
            <v>937</v>
          </cell>
          <cell r="H825">
            <v>1220</v>
          </cell>
          <cell r="I825">
            <v>0</v>
          </cell>
        </row>
        <row r="826">
          <cell r="A826">
            <v>99021</v>
          </cell>
          <cell r="B826" t="str">
            <v>TOWN OF MARSHVILLE</v>
          </cell>
          <cell r="C826">
            <v>1.405E-4</v>
          </cell>
          <cell r="D826"/>
          <cell r="E826">
            <v>22345</v>
          </cell>
          <cell r="F826">
            <v>-19221</v>
          </cell>
          <cell r="G826">
            <v>2709</v>
          </cell>
          <cell r="H826">
            <v>3526</v>
          </cell>
          <cell r="I826">
            <v>0</v>
          </cell>
        </row>
        <row r="827">
          <cell r="A827">
            <v>99022</v>
          </cell>
          <cell r="B827" t="str">
            <v>TOWN OF MINERAL SPRINGS</v>
          </cell>
          <cell r="C827">
            <v>8.8000000000000004E-6</v>
          </cell>
          <cell r="D827"/>
          <cell r="E827">
            <v>1400</v>
          </cell>
          <cell r="F827">
            <v>-1204</v>
          </cell>
          <cell r="G827">
            <v>170</v>
          </cell>
          <cell r="H827">
            <v>221</v>
          </cell>
          <cell r="I827">
            <v>0</v>
          </cell>
        </row>
        <row r="828">
          <cell r="A828">
            <v>99031</v>
          </cell>
          <cell r="B828" t="str">
            <v>TOWN OF WINGATE</v>
          </cell>
          <cell r="C828">
            <v>1.208E-4</v>
          </cell>
          <cell r="D828"/>
          <cell r="E828">
            <v>19212</v>
          </cell>
          <cell r="F828">
            <v>-16526</v>
          </cell>
          <cell r="G828">
            <v>2329</v>
          </cell>
          <cell r="H828">
            <v>3031</v>
          </cell>
          <cell r="I828">
            <v>0</v>
          </cell>
        </row>
        <row r="829">
          <cell r="A829">
            <v>99041</v>
          </cell>
          <cell r="B829" t="str">
            <v>TOWN OF WAXHAW</v>
          </cell>
          <cell r="C829">
            <v>6.3840000000000001E-4</v>
          </cell>
          <cell r="D829"/>
          <cell r="E829">
            <v>101532</v>
          </cell>
          <cell r="F829">
            <v>-87336</v>
          </cell>
          <cell r="G829">
            <v>12309</v>
          </cell>
          <cell r="H829">
            <v>16020</v>
          </cell>
          <cell r="I829">
            <v>0</v>
          </cell>
        </row>
        <row r="830">
          <cell r="A830">
            <v>99047</v>
          </cell>
          <cell r="B830" t="str">
            <v>WAXHAW ABC BOARD</v>
          </cell>
          <cell r="C830">
            <v>1.33E-5</v>
          </cell>
          <cell r="D830"/>
          <cell r="E830">
            <v>2115</v>
          </cell>
          <cell r="F830">
            <v>-1820</v>
          </cell>
          <cell r="G830">
            <v>256</v>
          </cell>
          <cell r="H830">
            <v>334</v>
          </cell>
          <cell r="I830">
            <v>0</v>
          </cell>
        </row>
        <row r="831">
          <cell r="A831">
            <v>99051</v>
          </cell>
          <cell r="B831" t="str">
            <v>TOWN OF INDIAN TRAIL</v>
          </cell>
          <cell r="C831">
            <v>3.4049999999999998E-4</v>
          </cell>
          <cell r="D831"/>
          <cell r="E831">
            <v>54153</v>
          </cell>
          <cell r="F831">
            <v>-46582</v>
          </cell>
          <cell r="G831">
            <v>6565</v>
          </cell>
          <cell r="H831">
            <v>8545</v>
          </cell>
          <cell r="I831">
            <v>0</v>
          </cell>
        </row>
        <row r="832">
          <cell r="A832">
            <v>99061</v>
          </cell>
          <cell r="B832" t="str">
            <v>TOWN OF UNIONVILLE</v>
          </cell>
          <cell r="C832">
            <v>6.1E-6</v>
          </cell>
          <cell r="D832"/>
          <cell r="E832">
            <v>970</v>
          </cell>
          <cell r="F832">
            <v>-835</v>
          </cell>
          <cell r="G832">
            <v>118</v>
          </cell>
          <cell r="H832">
            <v>153</v>
          </cell>
          <cell r="I832">
            <v>0</v>
          </cell>
        </row>
        <row r="833">
          <cell r="A833">
            <v>99071</v>
          </cell>
          <cell r="B833" t="str">
            <v>TOWN OF WEDDINGTON</v>
          </cell>
          <cell r="C833">
            <v>2.4499999999999999E-5</v>
          </cell>
          <cell r="D833"/>
          <cell r="E833">
            <v>3897</v>
          </cell>
          <cell r="F833">
            <v>-3352</v>
          </cell>
          <cell r="G833">
            <v>472</v>
          </cell>
          <cell r="H833">
            <v>615</v>
          </cell>
          <cell r="I833">
            <v>0</v>
          </cell>
        </row>
        <row r="834">
          <cell r="A834">
            <v>99081</v>
          </cell>
          <cell r="B834" t="str">
            <v>VILLAGE OF MARVIN</v>
          </cell>
          <cell r="C834">
            <v>3.65E-5</v>
          </cell>
          <cell r="D834"/>
          <cell r="E834">
            <v>5805</v>
          </cell>
          <cell r="F834">
            <v>-4993</v>
          </cell>
          <cell r="G834">
            <v>704</v>
          </cell>
          <cell r="H834">
            <v>916</v>
          </cell>
          <cell r="I834">
            <v>0</v>
          </cell>
        </row>
        <row r="835">
          <cell r="A835">
            <v>99091</v>
          </cell>
          <cell r="B835" t="str">
            <v>VILLAGE OF WESLEY CHAPEL</v>
          </cell>
          <cell r="C835">
            <v>5.4E-6</v>
          </cell>
          <cell r="D835"/>
          <cell r="E835">
            <v>859</v>
          </cell>
          <cell r="F835">
            <v>-739</v>
          </cell>
          <cell r="G835">
            <v>104</v>
          </cell>
          <cell r="H835">
            <v>136</v>
          </cell>
          <cell r="I835">
            <v>0</v>
          </cell>
        </row>
        <row r="836">
          <cell r="A836">
            <v>99101</v>
          </cell>
          <cell r="B836" t="str">
            <v>VANCE COUNTY</v>
          </cell>
          <cell r="C836">
            <v>2.1218000000000001E-3</v>
          </cell>
          <cell r="D836"/>
          <cell r="E836">
            <v>337453</v>
          </cell>
          <cell r="F836">
            <v>-290273</v>
          </cell>
          <cell r="G836">
            <v>40910</v>
          </cell>
          <cell r="H836">
            <v>53244</v>
          </cell>
          <cell r="I836">
            <v>0</v>
          </cell>
        </row>
        <row r="837">
          <cell r="A837">
            <v>99104</v>
          </cell>
          <cell r="B837" t="str">
            <v>VANCE COUNTY ABC BD</v>
          </cell>
          <cell r="C837">
            <v>3.2700000000000002E-5</v>
          </cell>
          <cell r="D837"/>
          <cell r="E837">
            <v>5201</v>
          </cell>
          <cell r="F837">
            <v>-4474</v>
          </cell>
          <cell r="G837">
            <v>630</v>
          </cell>
          <cell r="H837">
            <v>821</v>
          </cell>
          <cell r="I837">
            <v>0</v>
          </cell>
        </row>
        <row r="838">
          <cell r="A838">
            <v>99109</v>
          </cell>
          <cell r="B838" t="str">
            <v>KERR-TAR REGIONAL COUNCIL OF GOVTS</v>
          </cell>
          <cell r="C838">
            <v>1.169E-4</v>
          </cell>
          <cell r="D838"/>
          <cell r="E838">
            <v>18592</v>
          </cell>
          <cell r="F838">
            <v>-15993</v>
          </cell>
          <cell r="G838">
            <v>2254</v>
          </cell>
          <cell r="H838">
            <v>2933</v>
          </cell>
          <cell r="I838">
            <v>0</v>
          </cell>
        </row>
        <row r="839">
          <cell r="A839">
            <v>99110</v>
          </cell>
          <cell r="B839" t="str">
            <v>KERR AREA TRANSPORTATION AUTHORITY</v>
          </cell>
          <cell r="C839">
            <v>1.437E-4</v>
          </cell>
          <cell r="D839"/>
          <cell r="E839">
            <v>22854</v>
          </cell>
          <cell r="F839">
            <v>-19659</v>
          </cell>
          <cell r="G839">
            <v>2771</v>
          </cell>
          <cell r="H839">
            <v>3606</v>
          </cell>
          <cell r="I839">
            <v>0</v>
          </cell>
        </row>
        <row r="840">
          <cell r="A840">
            <v>99111</v>
          </cell>
          <cell r="B840" t="str">
            <v>CITY OF HENDERSON</v>
          </cell>
          <cell r="C840">
            <v>1.3064999999999999E-3</v>
          </cell>
          <cell r="D840"/>
          <cell r="E840">
            <v>207787</v>
          </cell>
          <cell r="F840">
            <v>-178736</v>
          </cell>
          <cell r="G840">
            <v>25191</v>
          </cell>
          <cell r="H840">
            <v>32785</v>
          </cell>
          <cell r="I840">
            <v>0</v>
          </cell>
        </row>
        <row r="841">
          <cell r="A841">
            <v>99201</v>
          </cell>
          <cell r="B841" t="str">
            <v>WAKE COUNTY</v>
          </cell>
          <cell r="C841">
            <v>3.5284299999999998E-2</v>
          </cell>
          <cell r="D841"/>
          <cell r="E841">
            <v>5611650</v>
          </cell>
          <cell r="F841">
            <v>-4827069</v>
          </cell>
          <cell r="G841">
            <v>680317</v>
          </cell>
          <cell r="H841">
            <v>885424</v>
          </cell>
          <cell r="I841">
            <v>0</v>
          </cell>
        </row>
        <row r="842">
          <cell r="A842">
            <v>99202</v>
          </cell>
          <cell r="B842" t="str">
            <v>TOWN OF HOLLY SPRINGS</v>
          </cell>
          <cell r="C842">
            <v>2.8322E-3</v>
          </cell>
          <cell r="D842"/>
          <cell r="E842">
            <v>450436</v>
          </cell>
          <cell r="F842">
            <v>-387459</v>
          </cell>
          <cell r="G842">
            <v>54608</v>
          </cell>
          <cell r="H842">
            <v>71071</v>
          </cell>
          <cell r="I842">
            <v>0</v>
          </cell>
        </row>
        <row r="843">
          <cell r="A843">
            <v>99203</v>
          </cell>
          <cell r="B843" t="str">
            <v>TOWN OF ROLESVILLE</v>
          </cell>
          <cell r="C843">
            <v>3.5179999999999999E-4</v>
          </cell>
          <cell r="D843"/>
          <cell r="E843">
            <v>55951</v>
          </cell>
          <cell r="F843">
            <v>-48128</v>
          </cell>
          <cell r="G843">
            <v>6783</v>
          </cell>
          <cell r="H843">
            <v>8828</v>
          </cell>
          <cell r="I843">
            <v>0</v>
          </cell>
        </row>
        <row r="844">
          <cell r="A844">
            <v>99204</v>
          </cell>
          <cell r="B844" t="str">
            <v>WAKE COUNTY ABC BOARD</v>
          </cell>
          <cell r="C844">
            <v>9.4149999999999995E-4</v>
          </cell>
          <cell r="D844"/>
          <cell r="E844">
            <v>149737</v>
          </cell>
          <cell r="F844">
            <v>-128802</v>
          </cell>
          <cell r="G844">
            <v>18153</v>
          </cell>
          <cell r="H844">
            <v>23626</v>
          </cell>
          <cell r="I844">
            <v>0</v>
          </cell>
        </row>
        <row r="845">
          <cell r="A845">
            <v>99206</v>
          </cell>
          <cell r="B845" t="str">
            <v>TOWN OF MORRISVILLE</v>
          </cell>
          <cell r="C845">
            <v>1.6375999999999999E-3</v>
          </cell>
          <cell r="D845"/>
          <cell r="E845">
            <v>260446</v>
          </cell>
          <cell r="F845">
            <v>-224032</v>
          </cell>
          <cell r="G845">
            <v>31575</v>
          </cell>
          <cell r="H845">
            <v>41094</v>
          </cell>
          <cell r="I845">
            <v>0</v>
          </cell>
        </row>
        <row r="846">
          <cell r="A846">
            <v>99207</v>
          </cell>
          <cell r="B846" t="str">
            <v>HOUSING AUTHORITY OF THE COUNTY OF WAKE</v>
          </cell>
          <cell r="C846">
            <v>1.206E-4</v>
          </cell>
          <cell r="D846"/>
          <cell r="E846">
            <v>19180</v>
          </cell>
          <cell r="F846">
            <v>-16499</v>
          </cell>
          <cell r="G846">
            <v>2325</v>
          </cell>
          <cell r="H846">
            <v>3026</v>
          </cell>
          <cell r="I846">
            <v>0</v>
          </cell>
        </row>
        <row r="847">
          <cell r="A847">
            <v>99208</v>
          </cell>
          <cell r="B847" t="str">
            <v>BAYLEAF FIRE DEPARTMENT</v>
          </cell>
          <cell r="C847">
            <v>3.0939999999999999E-4</v>
          </cell>
          <cell r="D847"/>
          <cell r="E847">
            <v>49207</v>
          </cell>
          <cell r="F847">
            <v>-42327</v>
          </cell>
          <cell r="G847">
            <v>5966</v>
          </cell>
          <cell r="H847">
            <v>7764</v>
          </cell>
          <cell r="I847">
            <v>0</v>
          </cell>
        </row>
        <row r="848">
          <cell r="A848">
            <v>99210</v>
          </cell>
          <cell r="B848" t="str">
            <v>ELECTRICITIES OF NC</v>
          </cell>
          <cell r="C848">
            <v>1.7913E-3</v>
          </cell>
          <cell r="D848"/>
          <cell r="E848">
            <v>284890</v>
          </cell>
          <cell r="F848">
            <v>-245059</v>
          </cell>
          <cell r="G848">
            <v>34538</v>
          </cell>
          <cell r="H848">
            <v>44951</v>
          </cell>
          <cell r="I848">
            <v>0</v>
          </cell>
        </row>
        <row r="849">
          <cell r="A849">
            <v>99211</v>
          </cell>
          <cell r="B849" t="str">
            <v>CITY OF RALEIGH</v>
          </cell>
          <cell r="C849">
            <v>3.8786099999999997E-2</v>
          </cell>
          <cell r="D849"/>
          <cell r="E849">
            <v>6168580</v>
          </cell>
          <cell r="F849">
            <v>-5306132</v>
          </cell>
          <cell r="G849">
            <v>747835</v>
          </cell>
          <cell r="H849">
            <v>973298</v>
          </cell>
          <cell r="I849">
            <v>0</v>
          </cell>
        </row>
        <row r="850">
          <cell r="A850">
            <v>99212</v>
          </cell>
          <cell r="B850" t="str">
            <v>DURHAM HWY FIRE PROTECTION ASSOC</v>
          </cell>
          <cell r="C850">
            <v>6.7999999999999999E-5</v>
          </cell>
          <cell r="D850"/>
          <cell r="E850">
            <v>10815</v>
          </cell>
          <cell r="F850">
            <v>-9303</v>
          </cell>
          <cell r="G850">
            <v>1311</v>
          </cell>
          <cell r="H850">
            <v>1706</v>
          </cell>
          <cell r="I850">
            <v>0</v>
          </cell>
        </row>
        <row r="851">
          <cell r="A851">
            <v>99213</v>
          </cell>
          <cell r="B851" t="str">
            <v>CITY OF RALEIGH HOUSING AUTHORITY</v>
          </cell>
          <cell r="C851">
            <v>6.7770000000000005E-4</v>
          </cell>
          <cell r="D851"/>
          <cell r="E851">
            <v>107782</v>
          </cell>
          <cell r="F851">
            <v>-92713</v>
          </cell>
          <cell r="G851">
            <v>13067</v>
          </cell>
          <cell r="H851">
            <v>17006</v>
          </cell>
          <cell r="I851">
            <v>0</v>
          </cell>
        </row>
        <row r="852">
          <cell r="A852">
            <v>99218</v>
          </cell>
          <cell r="B852" t="str">
            <v>RALEIGH-DURHAM AIRPORT AUTHORITY</v>
          </cell>
          <cell r="C852">
            <v>3.4424E-3</v>
          </cell>
          <cell r="D852"/>
          <cell r="E852">
            <v>547483</v>
          </cell>
          <cell r="F852">
            <v>-470938</v>
          </cell>
          <cell r="G852">
            <v>66373</v>
          </cell>
          <cell r="H852">
            <v>86384</v>
          </cell>
          <cell r="I852">
            <v>0</v>
          </cell>
        </row>
        <row r="853">
          <cell r="A853">
            <v>99221</v>
          </cell>
          <cell r="B853" t="str">
            <v>TOWN OF CARY</v>
          </cell>
          <cell r="C853">
            <v>1.26739E-2</v>
          </cell>
          <cell r="D853"/>
          <cell r="E853">
            <v>2015670</v>
          </cell>
          <cell r="F853">
            <v>-1733853</v>
          </cell>
          <cell r="G853">
            <v>244365</v>
          </cell>
          <cell r="H853">
            <v>318039</v>
          </cell>
          <cell r="I853">
            <v>0</v>
          </cell>
        </row>
        <row r="854">
          <cell r="A854">
            <v>99222</v>
          </cell>
          <cell r="B854" t="str">
            <v>CENTENNIAL AUTHORITY</v>
          </cell>
          <cell r="C854">
            <v>3.5599999999999998E-5</v>
          </cell>
          <cell r="D854"/>
          <cell r="E854">
            <v>5662</v>
          </cell>
          <cell r="F854">
            <v>-4870</v>
          </cell>
          <cell r="G854">
            <v>686</v>
          </cell>
          <cell r="H854">
            <v>893</v>
          </cell>
          <cell r="I854">
            <v>0</v>
          </cell>
        </row>
        <row r="855">
          <cell r="A855">
            <v>99231</v>
          </cell>
          <cell r="B855" t="str">
            <v>TOWN OF WENDELL</v>
          </cell>
          <cell r="C855">
            <v>3.5159999999999998E-4</v>
          </cell>
          <cell r="D855"/>
          <cell r="E855">
            <v>55919</v>
          </cell>
          <cell r="F855">
            <v>-48101</v>
          </cell>
          <cell r="G855">
            <v>6779</v>
          </cell>
          <cell r="H855">
            <v>8823</v>
          </cell>
          <cell r="I855">
            <v>0</v>
          </cell>
        </row>
        <row r="856">
          <cell r="A856">
            <v>99241</v>
          </cell>
          <cell r="B856" t="str">
            <v>TOWN OF ZEBULON</v>
          </cell>
          <cell r="C856">
            <v>5.6070000000000002E-4</v>
          </cell>
          <cell r="D856"/>
          <cell r="E856">
            <v>89174</v>
          </cell>
          <cell r="F856">
            <v>-76707</v>
          </cell>
          <cell r="G856">
            <v>10811</v>
          </cell>
          <cell r="H856">
            <v>14070</v>
          </cell>
          <cell r="I856">
            <v>0</v>
          </cell>
        </row>
        <row r="857">
          <cell r="A857">
            <v>99251</v>
          </cell>
          <cell r="B857" t="str">
            <v>TOWN OF GARNER</v>
          </cell>
          <cell r="C857">
            <v>1.6358E-3</v>
          </cell>
          <cell r="D857"/>
          <cell r="E857">
            <v>260159</v>
          </cell>
          <cell r="F857">
            <v>-223786</v>
          </cell>
          <cell r="G857">
            <v>31540</v>
          </cell>
          <cell r="H857">
            <v>41049</v>
          </cell>
          <cell r="I857">
            <v>0</v>
          </cell>
        </row>
        <row r="858">
          <cell r="A858">
            <v>99252</v>
          </cell>
          <cell r="B858" t="str">
            <v>GARNER FIRE DEPT</v>
          </cell>
          <cell r="C858">
            <v>6.6200000000000005E-4</v>
          </cell>
          <cell r="D858"/>
          <cell r="E858">
            <v>105285</v>
          </cell>
          <cell r="F858">
            <v>-90565</v>
          </cell>
          <cell r="G858">
            <v>12764</v>
          </cell>
          <cell r="H858">
            <v>16612</v>
          </cell>
          <cell r="I858">
            <v>0</v>
          </cell>
        </row>
        <row r="859">
          <cell r="A859">
            <v>99261</v>
          </cell>
          <cell r="B859" t="str">
            <v>TOWN OF FUQUAY-VARINA</v>
          </cell>
          <cell r="C859">
            <v>2.2407E-3</v>
          </cell>
          <cell r="D859"/>
          <cell r="E859">
            <v>356363</v>
          </cell>
          <cell r="F859">
            <v>-306539</v>
          </cell>
          <cell r="G859">
            <v>43203</v>
          </cell>
          <cell r="H859">
            <v>56228</v>
          </cell>
          <cell r="I859">
            <v>0</v>
          </cell>
        </row>
        <row r="860">
          <cell r="A860">
            <v>99271</v>
          </cell>
          <cell r="B860" t="str">
            <v>TOWN OF APEX</v>
          </cell>
          <cell r="C860">
            <v>4.2773000000000004E-3</v>
          </cell>
          <cell r="D860"/>
          <cell r="E860">
            <v>680266</v>
          </cell>
          <cell r="F860">
            <v>-585156</v>
          </cell>
          <cell r="G860">
            <v>82471</v>
          </cell>
          <cell r="H860">
            <v>107335</v>
          </cell>
          <cell r="I860">
            <v>0</v>
          </cell>
        </row>
        <row r="861">
          <cell r="A861">
            <v>99281</v>
          </cell>
          <cell r="B861" t="str">
            <v>TOWN OF WAKE FOREST</v>
          </cell>
          <cell r="C861">
            <v>2.4237E-3</v>
          </cell>
          <cell r="D861"/>
          <cell r="E861">
            <v>385468</v>
          </cell>
          <cell r="F861">
            <v>-331574</v>
          </cell>
          <cell r="G861">
            <v>46731</v>
          </cell>
          <cell r="H861">
            <v>60820</v>
          </cell>
          <cell r="I861">
            <v>0</v>
          </cell>
        </row>
        <row r="862">
          <cell r="A862">
            <v>99291</v>
          </cell>
          <cell r="B862" t="str">
            <v>TOWN OF KNIGHTDALE</v>
          </cell>
          <cell r="C862">
            <v>8.4909999999999998E-4</v>
          </cell>
          <cell r="D862"/>
          <cell r="E862">
            <v>135042</v>
          </cell>
          <cell r="F862">
            <v>-116161</v>
          </cell>
          <cell r="G862">
            <v>16371</v>
          </cell>
          <cell r="H862">
            <v>21307</v>
          </cell>
          <cell r="I862">
            <v>0</v>
          </cell>
        </row>
        <row r="863">
          <cell r="A863">
            <v>99301</v>
          </cell>
          <cell r="B863" t="str">
            <v>WARREN COUNTY</v>
          </cell>
          <cell r="C863">
            <v>1.6092999999999999E-3</v>
          </cell>
          <cell r="D863"/>
          <cell r="E863">
            <v>255945</v>
          </cell>
          <cell r="F863">
            <v>-220160</v>
          </cell>
          <cell r="G863">
            <v>31029</v>
          </cell>
          <cell r="H863">
            <v>40384</v>
          </cell>
          <cell r="I863">
            <v>0</v>
          </cell>
        </row>
        <row r="864">
          <cell r="A864">
            <v>99304</v>
          </cell>
          <cell r="B864" t="str">
            <v>WARREN COUNTY ABC BOARD</v>
          </cell>
          <cell r="C864">
            <v>7.6000000000000001E-6</v>
          </cell>
          <cell r="D864"/>
          <cell r="E864">
            <v>1209</v>
          </cell>
          <cell r="F864">
            <v>-1040</v>
          </cell>
          <cell r="G864">
            <v>147</v>
          </cell>
          <cell r="H864">
            <v>191</v>
          </cell>
          <cell r="I864">
            <v>0</v>
          </cell>
        </row>
        <row r="865">
          <cell r="A865">
            <v>99311</v>
          </cell>
          <cell r="B865" t="str">
            <v>TOWN OF NORLINA</v>
          </cell>
          <cell r="C865">
            <v>5.9700000000000001E-5</v>
          </cell>
          <cell r="D865"/>
          <cell r="E865">
            <v>9495</v>
          </cell>
          <cell r="F865">
            <v>-8167</v>
          </cell>
          <cell r="G865">
            <v>1151</v>
          </cell>
          <cell r="H865">
            <v>1498</v>
          </cell>
          <cell r="I865">
            <v>0</v>
          </cell>
        </row>
        <row r="866">
          <cell r="A866">
            <v>99321</v>
          </cell>
          <cell r="B866" t="str">
            <v>TOWN OF WARRENTON</v>
          </cell>
          <cell r="C866">
            <v>8.6399999999999999E-5</v>
          </cell>
          <cell r="D866"/>
          <cell r="E866">
            <v>13741</v>
          </cell>
          <cell r="F866">
            <v>-11820</v>
          </cell>
          <cell r="G866">
            <v>1666</v>
          </cell>
          <cell r="H866">
            <v>2168</v>
          </cell>
          <cell r="I866">
            <v>0</v>
          </cell>
        </row>
        <row r="867">
          <cell r="A867">
            <v>99401</v>
          </cell>
          <cell r="B867" t="str">
            <v>WASHINGTON COUNTY</v>
          </cell>
          <cell r="C867">
            <v>7.7590000000000005E-4</v>
          </cell>
          <cell r="D867"/>
          <cell r="E867">
            <v>123400</v>
          </cell>
          <cell r="F867">
            <v>-106147</v>
          </cell>
          <cell r="G867">
            <v>14960</v>
          </cell>
          <cell r="H867">
            <v>19470</v>
          </cell>
          <cell r="I867">
            <v>0</v>
          </cell>
        </row>
        <row r="868">
          <cell r="A868">
            <v>99404</v>
          </cell>
          <cell r="B868" t="str">
            <v>WASHINGTON COUNTY ABC BOARD</v>
          </cell>
          <cell r="C868">
            <v>8.4999999999999999E-6</v>
          </cell>
          <cell r="D868"/>
          <cell r="E868">
            <v>1352</v>
          </cell>
          <cell r="F868">
            <v>-1163</v>
          </cell>
          <cell r="G868">
            <v>164</v>
          </cell>
          <cell r="H868">
            <v>213</v>
          </cell>
          <cell r="I868">
            <v>0</v>
          </cell>
        </row>
        <row r="869">
          <cell r="A869">
            <v>99405</v>
          </cell>
          <cell r="B869" t="str">
            <v>PETTIGREW REGIONAL LIBRARY</v>
          </cell>
          <cell r="C869">
            <v>5.9799999999999997E-5</v>
          </cell>
          <cell r="D869"/>
          <cell r="E869">
            <v>9511</v>
          </cell>
          <cell r="F869">
            <v>-8181</v>
          </cell>
          <cell r="G869">
            <v>1153</v>
          </cell>
          <cell r="H869">
            <v>1501</v>
          </cell>
          <cell r="I869">
            <v>0</v>
          </cell>
        </row>
        <row r="870">
          <cell r="A870">
            <v>99411</v>
          </cell>
          <cell r="B870" t="str">
            <v>TOWN OF PLYMOUTH</v>
          </cell>
          <cell r="C870">
            <v>1.7139999999999999E-4</v>
          </cell>
          <cell r="D870"/>
          <cell r="E870">
            <v>27260</v>
          </cell>
          <cell r="F870">
            <v>-23448</v>
          </cell>
          <cell r="G870">
            <v>3305</v>
          </cell>
          <cell r="H870">
            <v>4301</v>
          </cell>
          <cell r="I870">
            <v>0</v>
          </cell>
        </row>
        <row r="871">
          <cell r="A871">
            <v>99413</v>
          </cell>
          <cell r="B871" t="str">
            <v>PLYMOUTH HOUSING AUTHORITY</v>
          </cell>
          <cell r="C871">
            <v>2.0400000000000001E-5</v>
          </cell>
          <cell r="D871"/>
          <cell r="E871">
            <v>3244</v>
          </cell>
          <cell r="F871">
            <v>-2791</v>
          </cell>
          <cell r="G871">
            <v>393</v>
          </cell>
          <cell r="H871">
            <v>512</v>
          </cell>
          <cell r="I871">
            <v>0</v>
          </cell>
        </row>
        <row r="872">
          <cell r="A872">
            <v>99421</v>
          </cell>
          <cell r="B872" t="str">
            <v>TOWN OF ROPER</v>
          </cell>
          <cell r="C872">
            <v>1.3499999999999999E-5</v>
          </cell>
          <cell r="D872"/>
          <cell r="E872">
            <v>2147</v>
          </cell>
          <cell r="F872">
            <v>-1847</v>
          </cell>
          <cell r="G872">
            <v>260</v>
          </cell>
          <cell r="H872">
            <v>339</v>
          </cell>
          <cell r="I872">
            <v>0</v>
          </cell>
        </row>
        <row r="873">
          <cell r="A873">
            <v>99431</v>
          </cell>
          <cell r="B873" t="str">
            <v>TOWN OF CRESWELL</v>
          </cell>
          <cell r="C873">
            <v>1.4800000000000001E-5</v>
          </cell>
          <cell r="D873"/>
          <cell r="E873">
            <v>2354</v>
          </cell>
          <cell r="F873">
            <v>-2025</v>
          </cell>
          <cell r="G873">
            <v>285</v>
          </cell>
          <cell r="H873">
            <v>371</v>
          </cell>
          <cell r="I873">
            <v>0</v>
          </cell>
        </row>
        <row r="874">
          <cell r="A874">
            <v>99501</v>
          </cell>
          <cell r="B874" t="str">
            <v>WATAUGA COUNTY</v>
          </cell>
          <cell r="C874">
            <v>1.6478E-3</v>
          </cell>
          <cell r="D874"/>
          <cell r="E874">
            <v>262068</v>
          </cell>
          <cell r="F874">
            <v>-225427</v>
          </cell>
          <cell r="G874">
            <v>31771</v>
          </cell>
          <cell r="H874">
            <v>41350</v>
          </cell>
          <cell r="I874">
            <v>0</v>
          </cell>
        </row>
        <row r="875">
          <cell r="A875">
            <v>99502</v>
          </cell>
          <cell r="B875" t="str">
            <v>REGION D COUNCIL OF GOVERNMENTS</v>
          </cell>
          <cell r="C875">
            <v>1.4459999999999999E-4</v>
          </cell>
          <cell r="D875"/>
          <cell r="E875">
            <v>22997</v>
          </cell>
          <cell r="F875">
            <v>-19782</v>
          </cell>
          <cell r="G875">
            <v>2788</v>
          </cell>
          <cell r="H875">
            <v>3629</v>
          </cell>
          <cell r="I875">
            <v>0</v>
          </cell>
        </row>
        <row r="876">
          <cell r="A876">
            <v>99508</v>
          </cell>
          <cell r="B876" t="str">
            <v>BLOWING ROCK TOURISM DEVELOPMENT AUTHORITY</v>
          </cell>
          <cell r="C876">
            <v>2.0999999999999999E-5</v>
          </cell>
          <cell r="D876"/>
          <cell r="E876">
            <v>3340</v>
          </cell>
          <cell r="F876">
            <v>-2873</v>
          </cell>
          <cell r="G876">
            <v>405</v>
          </cell>
          <cell r="H876">
            <v>527</v>
          </cell>
          <cell r="I876">
            <v>0</v>
          </cell>
        </row>
        <row r="877">
          <cell r="A877">
            <v>99509</v>
          </cell>
          <cell r="B877" t="str">
            <v>WATAUGA COUNTY DISTRICT U TDA</v>
          </cell>
          <cell r="C877">
            <v>2.5199999999999999E-5</v>
          </cell>
          <cell r="D877"/>
          <cell r="E877">
            <v>4008</v>
          </cell>
          <cell r="F877">
            <v>-3447</v>
          </cell>
          <cell r="G877">
            <v>486</v>
          </cell>
          <cell r="H877">
            <v>632</v>
          </cell>
          <cell r="I877">
            <v>0</v>
          </cell>
        </row>
        <row r="878">
          <cell r="A878">
            <v>99511</v>
          </cell>
          <cell r="B878" t="str">
            <v>TOWN OF BOONE</v>
          </cell>
          <cell r="C878">
            <v>1.3293999999999999E-3</v>
          </cell>
          <cell r="D878"/>
          <cell r="E878">
            <v>211429</v>
          </cell>
          <cell r="F878">
            <v>-181869</v>
          </cell>
          <cell r="G878">
            <v>25632</v>
          </cell>
          <cell r="H878">
            <v>33360</v>
          </cell>
          <cell r="I878">
            <v>0</v>
          </cell>
        </row>
        <row r="879">
          <cell r="A879">
            <v>99521</v>
          </cell>
          <cell r="B879" t="str">
            <v>TOWN OF BLOWING ROCK</v>
          </cell>
          <cell r="C879">
            <v>4.8200000000000001E-4</v>
          </cell>
          <cell r="D879"/>
          <cell r="E879">
            <v>76658</v>
          </cell>
          <cell r="F879">
            <v>-65940</v>
          </cell>
          <cell r="G879">
            <v>9293</v>
          </cell>
          <cell r="H879">
            <v>12095</v>
          </cell>
          <cell r="I879">
            <v>0</v>
          </cell>
        </row>
        <row r="880">
          <cell r="A880">
            <v>99527</v>
          </cell>
          <cell r="B880" t="str">
            <v>BLOWING ROCK ABC BD</v>
          </cell>
          <cell r="C880">
            <v>1.1E-5</v>
          </cell>
          <cell r="D880"/>
          <cell r="E880">
            <v>1749</v>
          </cell>
          <cell r="F880">
            <v>-1505</v>
          </cell>
          <cell r="G880">
            <v>212</v>
          </cell>
          <cell r="H880">
            <v>276</v>
          </cell>
          <cell r="I880">
            <v>0</v>
          </cell>
        </row>
        <row r="881">
          <cell r="A881">
            <v>99531</v>
          </cell>
          <cell r="B881" t="str">
            <v>TOWN OF SEVEN DEVILS</v>
          </cell>
          <cell r="C881">
            <v>8.6299999999999997E-5</v>
          </cell>
          <cell r="D881"/>
          <cell r="E881">
            <v>13725</v>
          </cell>
          <cell r="F881">
            <v>-11806</v>
          </cell>
          <cell r="G881">
            <v>1664</v>
          </cell>
          <cell r="H881">
            <v>2166</v>
          </cell>
          <cell r="I881">
            <v>0</v>
          </cell>
        </row>
        <row r="882">
          <cell r="A882">
            <v>99601</v>
          </cell>
          <cell r="B882" t="str">
            <v>WAYNE COUNTY</v>
          </cell>
          <cell r="C882">
            <v>5.9021999999999998E-3</v>
          </cell>
          <cell r="D882"/>
          <cell r="E882">
            <v>938692</v>
          </cell>
          <cell r="F882">
            <v>-807450</v>
          </cell>
          <cell r="G882">
            <v>113800</v>
          </cell>
          <cell r="H882">
            <v>148110</v>
          </cell>
          <cell r="I882">
            <v>0</v>
          </cell>
        </row>
        <row r="883">
          <cell r="A883">
            <v>99602</v>
          </cell>
          <cell r="B883" t="str">
            <v>FORK TOWNSHIP SANITARY DIST</v>
          </cell>
          <cell r="C883">
            <v>6.1500000000000004E-5</v>
          </cell>
          <cell r="D883"/>
          <cell r="E883">
            <v>9781</v>
          </cell>
          <cell r="F883">
            <v>-8414</v>
          </cell>
          <cell r="G883">
            <v>1186</v>
          </cell>
          <cell r="H883">
            <v>1543</v>
          </cell>
          <cell r="I883">
            <v>0</v>
          </cell>
        </row>
        <row r="884">
          <cell r="A884">
            <v>99603</v>
          </cell>
          <cell r="B884" t="str">
            <v>EASTERN CAROLINA REG'L HOUSING AUTH</v>
          </cell>
          <cell r="C884">
            <v>1.5540000000000001E-4</v>
          </cell>
          <cell r="D884"/>
          <cell r="E884">
            <v>24715</v>
          </cell>
          <cell r="F884">
            <v>-21259</v>
          </cell>
          <cell r="G884">
            <v>2996</v>
          </cell>
          <cell r="H884">
            <v>3900</v>
          </cell>
          <cell r="I884">
            <v>0</v>
          </cell>
        </row>
        <row r="885">
          <cell r="A885">
            <v>99604</v>
          </cell>
          <cell r="B885" t="str">
            <v>WAYNE COUNTY ABC BOARD</v>
          </cell>
          <cell r="C885">
            <v>9.1100000000000005E-5</v>
          </cell>
          <cell r="D885"/>
          <cell r="E885">
            <v>14489</v>
          </cell>
          <cell r="F885">
            <v>-12463</v>
          </cell>
          <cell r="G885">
            <v>1756</v>
          </cell>
          <cell r="H885">
            <v>2286</v>
          </cell>
          <cell r="I885">
            <v>0</v>
          </cell>
        </row>
        <row r="886">
          <cell r="A886">
            <v>99609</v>
          </cell>
          <cell r="B886" t="str">
            <v>SOUTHERN WAYNE SANITARY DISTRICT</v>
          </cell>
          <cell r="C886">
            <v>2.8799999999999999E-5</v>
          </cell>
          <cell r="D886"/>
          <cell r="E886">
            <v>4580</v>
          </cell>
          <cell r="F886">
            <v>-3940</v>
          </cell>
          <cell r="G886">
            <v>555</v>
          </cell>
          <cell r="H886">
            <v>723</v>
          </cell>
          <cell r="I886">
            <v>0</v>
          </cell>
        </row>
        <row r="887">
          <cell r="A887">
            <v>99610</v>
          </cell>
          <cell r="B887" t="str">
            <v>EASTERN WAYNE SANITARY DIST</v>
          </cell>
          <cell r="C887">
            <v>1.683E-4</v>
          </cell>
          <cell r="D887"/>
          <cell r="E887">
            <v>26767</v>
          </cell>
          <cell r="F887">
            <v>-23024</v>
          </cell>
          <cell r="G887">
            <v>3245</v>
          </cell>
          <cell r="H887">
            <v>4223</v>
          </cell>
          <cell r="I887">
            <v>0</v>
          </cell>
        </row>
        <row r="888">
          <cell r="A888">
            <v>99611</v>
          </cell>
          <cell r="B888" t="str">
            <v>CITY OF GOLDSBORO</v>
          </cell>
          <cell r="C888">
            <v>3.2022000000000001E-3</v>
          </cell>
          <cell r="D888"/>
          <cell r="E888">
            <v>509281</v>
          </cell>
          <cell r="F888">
            <v>-438077</v>
          </cell>
          <cell r="G888">
            <v>61742</v>
          </cell>
          <cell r="H888">
            <v>80356</v>
          </cell>
          <cell r="I888">
            <v>0</v>
          </cell>
        </row>
        <row r="889">
          <cell r="A889">
            <v>99613</v>
          </cell>
          <cell r="B889" t="str">
            <v>HOUSING AUTHORITY OF GOLDSBORO</v>
          </cell>
          <cell r="C889">
            <v>3.3720000000000001E-4</v>
          </cell>
          <cell r="D889"/>
          <cell r="E889">
            <v>53629</v>
          </cell>
          <cell r="F889">
            <v>-46131</v>
          </cell>
          <cell r="G889">
            <v>6502</v>
          </cell>
          <cell r="H889">
            <v>8462</v>
          </cell>
          <cell r="I889">
            <v>0</v>
          </cell>
        </row>
        <row r="890">
          <cell r="A890">
            <v>99621</v>
          </cell>
          <cell r="B890" t="str">
            <v>TOWN OF MOUNT OLIVE</v>
          </cell>
          <cell r="C890">
            <v>3.5530000000000002E-4</v>
          </cell>
          <cell r="D890"/>
          <cell r="E890">
            <v>56507</v>
          </cell>
          <cell r="F890">
            <v>-48607</v>
          </cell>
          <cell r="G890">
            <v>6851</v>
          </cell>
          <cell r="H890">
            <v>8916</v>
          </cell>
          <cell r="I890">
            <v>0</v>
          </cell>
        </row>
        <row r="891">
          <cell r="A891">
            <v>99623</v>
          </cell>
          <cell r="B891" t="str">
            <v>MT OLIVE HOUSING AUTHORITY</v>
          </cell>
          <cell r="C891">
            <v>1.08E-5</v>
          </cell>
          <cell r="D891"/>
          <cell r="E891">
            <v>1718</v>
          </cell>
          <cell r="F891">
            <v>-1477</v>
          </cell>
          <cell r="G891">
            <v>208</v>
          </cell>
          <cell r="H891">
            <v>271</v>
          </cell>
          <cell r="I891">
            <v>0</v>
          </cell>
        </row>
        <row r="892">
          <cell r="A892">
            <v>99631</v>
          </cell>
          <cell r="B892" t="str">
            <v>TOWN OF FREMONT</v>
          </cell>
          <cell r="C892">
            <v>1.078E-4</v>
          </cell>
          <cell r="D892"/>
          <cell r="E892">
            <v>17145</v>
          </cell>
          <cell r="F892">
            <v>-14748</v>
          </cell>
          <cell r="G892">
            <v>2078</v>
          </cell>
          <cell r="H892">
            <v>2705</v>
          </cell>
          <cell r="I892">
            <v>0</v>
          </cell>
        </row>
        <row r="893">
          <cell r="A893">
            <v>99651</v>
          </cell>
          <cell r="B893" t="str">
            <v>TOWN OF PIKEVILLE</v>
          </cell>
          <cell r="C893">
            <v>6.5300000000000002E-5</v>
          </cell>
          <cell r="D893"/>
          <cell r="E893">
            <v>10385</v>
          </cell>
          <cell r="F893">
            <v>-8933</v>
          </cell>
          <cell r="G893">
            <v>1259</v>
          </cell>
          <cell r="H893">
            <v>1639</v>
          </cell>
          <cell r="I893">
            <v>0</v>
          </cell>
        </row>
        <row r="894">
          <cell r="A894">
            <v>99661</v>
          </cell>
          <cell r="B894" t="str">
            <v>VILLAGE OF WALNUT CREEK</v>
          </cell>
          <cell r="C894">
            <v>3.4799999999999999E-5</v>
          </cell>
          <cell r="D894"/>
          <cell r="E894">
            <v>5535</v>
          </cell>
          <cell r="F894">
            <v>-4761</v>
          </cell>
          <cell r="G894">
            <v>671</v>
          </cell>
          <cell r="H894">
            <v>873</v>
          </cell>
          <cell r="I894">
            <v>0</v>
          </cell>
        </row>
        <row r="895">
          <cell r="A895">
            <v>99701</v>
          </cell>
          <cell r="B895" t="str">
            <v>WILKES COUNTY</v>
          </cell>
          <cell r="C895">
            <v>2.9930999999999998E-3</v>
          </cell>
          <cell r="D895"/>
          <cell r="E895">
            <v>476026</v>
          </cell>
          <cell r="F895">
            <v>-409471</v>
          </cell>
          <cell r="G895">
            <v>57710</v>
          </cell>
          <cell r="H895">
            <v>75109</v>
          </cell>
          <cell r="I895">
            <v>0</v>
          </cell>
        </row>
        <row r="896">
          <cell r="A896">
            <v>99705</v>
          </cell>
          <cell r="B896" t="str">
            <v>APPALACHIAN REGIONAL LIBRARY</v>
          </cell>
          <cell r="C896">
            <v>1.5530000000000001E-4</v>
          </cell>
          <cell r="D896"/>
          <cell r="E896">
            <v>24699</v>
          </cell>
          <cell r="F896">
            <v>-21246</v>
          </cell>
          <cell r="G896">
            <v>2994</v>
          </cell>
          <cell r="H896">
            <v>3897</v>
          </cell>
          <cell r="I896">
            <v>0</v>
          </cell>
        </row>
        <row r="897">
          <cell r="A897">
            <v>99711</v>
          </cell>
          <cell r="B897" t="str">
            <v>TOWN OF N WILKESBORO</v>
          </cell>
          <cell r="C897">
            <v>4.2489999999999997E-4</v>
          </cell>
          <cell r="D897"/>
          <cell r="E897">
            <v>67577</v>
          </cell>
          <cell r="F897">
            <v>-58128</v>
          </cell>
          <cell r="G897">
            <v>8192</v>
          </cell>
          <cell r="H897">
            <v>10662</v>
          </cell>
          <cell r="I897">
            <v>0</v>
          </cell>
        </row>
        <row r="898">
          <cell r="A898">
            <v>99717</v>
          </cell>
          <cell r="B898" t="str">
            <v>TOWN OF N WILKESBORO ABC BOARD</v>
          </cell>
          <cell r="C898">
            <v>2.6599999999999999E-5</v>
          </cell>
          <cell r="D898"/>
          <cell r="E898">
            <v>4230</v>
          </cell>
          <cell r="F898">
            <v>-3639</v>
          </cell>
          <cell r="G898">
            <v>513</v>
          </cell>
          <cell r="H898">
            <v>668</v>
          </cell>
          <cell r="I898">
            <v>0</v>
          </cell>
        </row>
        <row r="899">
          <cell r="A899">
            <v>99721</v>
          </cell>
          <cell r="B899" t="str">
            <v>TOWN OF WILKESBORO</v>
          </cell>
          <cell r="C899">
            <v>6.1160000000000001E-4</v>
          </cell>
          <cell r="D899"/>
          <cell r="E899">
            <v>97269</v>
          </cell>
          <cell r="F899">
            <v>-83670</v>
          </cell>
          <cell r="G899">
            <v>11792</v>
          </cell>
          <cell r="H899">
            <v>15347</v>
          </cell>
          <cell r="I899">
            <v>0</v>
          </cell>
        </row>
        <row r="900">
          <cell r="A900">
            <v>99727</v>
          </cell>
          <cell r="B900" t="str">
            <v>WILKESBORO ABC BOARD</v>
          </cell>
          <cell r="C900">
            <v>1.98E-5</v>
          </cell>
          <cell r="D900"/>
          <cell r="E900">
            <v>3149</v>
          </cell>
          <cell r="F900">
            <v>-2709</v>
          </cell>
          <cell r="G900">
            <v>382</v>
          </cell>
          <cell r="H900">
            <v>497</v>
          </cell>
          <cell r="I900">
            <v>0</v>
          </cell>
        </row>
        <row r="901">
          <cell r="A901">
            <v>99801</v>
          </cell>
          <cell r="B901" t="str">
            <v>WILSON COUNTY</v>
          </cell>
          <cell r="C901">
            <v>4.7737999999999999E-3</v>
          </cell>
          <cell r="D901"/>
          <cell r="E901">
            <v>759230</v>
          </cell>
          <cell r="F901">
            <v>-653080</v>
          </cell>
          <cell r="G901">
            <v>92044</v>
          </cell>
          <cell r="H901">
            <v>119794</v>
          </cell>
          <cell r="I901">
            <v>0</v>
          </cell>
        </row>
        <row r="902">
          <cell r="A902">
            <v>99802</v>
          </cell>
          <cell r="B902" t="str">
            <v>WILSON COUNTY TOURISM DEVELOPMENT AUTH</v>
          </cell>
          <cell r="C902">
            <v>1.1600000000000001E-5</v>
          </cell>
          <cell r="D902"/>
          <cell r="E902">
            <v>1845</v>
          </cell>
          <cell r="F902">
            <v>-1587</v>
          </cell>
          <cell r="G902">
            <v>224</v>
          </cell>
          <cell r="H902">
            <v>291</v>
          </cell>
          <cell r="I902">
            <v>0</v>
          </cell>
        </row>
        <row r="903">
          <cell r="A903">
            <v>99804</v>
          </cell>
          <cell r="B903" t="str">
            <v>WILSON COUNTY ABC BOARD</v>
          </cell>
          <cell r="C903">
            <v>7.2200000000000007E-5</v>
          </cell>
          <cell r="D903"/>
          <cell r="E903">
            <v>11483</v>
          </cell>
          <cell r="F903">
            <v>-9877</v>
          </cell>
          <cell r="G903">
            <v>1392</v>
          </cell>
          <cell r="H903">
            <v>1812</v>
          </cell>
          <cell r="I903">
            <v>0</v>
          </cell>
        </row>
        <row r="904">
          <cell r="A904">
            <v>99811</v>
          </cell>
          <cell r="B904" t="str">
            <v>CITY OF WILSON</v>
          </cell>
          <cell r="C904">
            <v>6.4218000000000001E-3</v>
          </cell>
          <cell r="D904"/>
          <cell r="E904">
            <v>1021329</v>
          </cell>
          <cell r="F904">
            <v>-878534</v>
          </cell>
          <cell r="G904">
            <v>123819</v>
          </cell>
          <cell r="H904">
            <v>161149</v>
          </cell>
          <cell r="I904">
            <v>0</v>
          </cell>
        </row>
        <row r="905">
          <cell r="A905">
            <v>99812</v>
          </cell>
          <cell r="B905" t="str">
            <v>WILSON ECONOMIC DEV COUNCIL</v>
          </cell>
          <cell r="C905">
            <v>1.88E-5</v>
          </cell>
          <cell r="D905"/>
          <cell r="E905">
            <v>2990</v>
          </cell>
          <cell r="F905">
            <v>-2572</v>
          </cell>
          <cell r="G905">
            <v>362</v>
          </cell>
          <cell r="H905">
            <v>472</v>
          </cell>
          <cell r="I905">
            <v>0</v>
          </cell>
        </row>
        <row r="906">
          <cell r="A906">
            <v>99818</v>
          </cell>
          <cell r="B906" t="str">
            <v>CITY OF WILSON CEMETERY COMMISSION</v>
          </cell>
          <cell r="C906">
            <v>3.5599999999999998E-5</v>
          </cell>
          <cell r="D906"/>
          <cell r="E906">
            <v>5662</v>
          </cell>
          <cell r="F906">
            <v>-4870</v>
          </cell>
          <cell r="G906">
            <v>686</v>
          </cell>
          <cell r="H906">
            <v>893</v>
          </cell>
          <cell r="I906">
            <v>0</v>
          </cell>
        </row>
        <row r="907">
          <cell r="A907">
            <v>99821</v>
          </cell>
          <cell r="B907" t="str">
            <v>TOWN OF STANTONSBURG</v>
          </cell>
          <cell r="C907">
            <v>9.8200000000000002E-5</v>
          </cell>
          <cell r="D907"/>
          <cell r="E907">
            <v>15618</v>
          </cell>
          <cell r="F907">
            <v>-13434</v>
          </cell>
          <cell r="G907">
            <v>1893</v>
          </cell>
          <cell r="H907">
            <v>2464</v>
          </cell>
          <cell r="I907">
            <v>0</v>
          </cell>
        </row>
        <row r="908">
          <cell r="A908">
            <v>99831</v>
          </cell>
          <cell r="B908" t="str">
            <v>TOWN OF BLACK CREEK</v>
          </cell>
          <cell r="C908">
            <v>5.5399999999999998E-5</v>
          </cell>
          <cell r="D908"/>
          <cell r="E908">
            <v>8811</v>
          </cell>
          <cell r="F908">
            <v>-7579</v>
          </cell>
          <cell r="G908">
            <v>1068</v>
          </cell>
          <cell r="H908">
            <v>1390</v>
          </cell>
          <cell r="I908">
            <v>0</v>
          </cell>
        </row>
        <row r="909">
          <cell r="A909">
            <v>99841</v>
          </cell>
          <cell r="B909" t="str">
            <v>TOWN OF LUCAMA</v>
          </cell>
          <cell r="C909">
            <v>1.59E-5</v>
          </cell>
          <cell r="D909"/>
          <cell r="E909">
            <v>2529</v>
          </cell>
          <cell r="F909">
            <v>-2175</v>
          </cell>
          <cell r="G909">
            <v>307</v>
          </cell>
          <cell r="H909">
            <v>399</v>
          </cell>
          <cell r="I909">
            <v>0</v>
          </cell>
        </row>
        <row r="910">
          <cell r="A910">
            <v>99851</v>
          </cell>
          <cell r="B910" t="str">
            <v>TOWN OF ELM CITY</v>
          </cell>
          <cell r="C910">
            <v>7.9000000000000006E-6</v>
          </cell>
          <cell r="D910"/>
          <cell r="E910">
            <v>1256</v>
          </cell>
          <cell r="F910">
            <v>-1081</v>
          </cell>
          <cell r="G910">
            <v>152</v>
          </cell>
          <cell r="H910">
            <v>198</v>
          </cell>
          <cell r="I910">
            <v>0</v>
          </cell>
        </row>
        <row r="911">
          <cell r="A911">
            <v>99901</v>
          </cell>
          <cell r="B911" t="str">
            <v>YADKIN COUNTY</v>
          </cell>
          <cell r="C911">
            <v>1.5942E-3</v>
          </cell>
          <cell r="D911"/>
          <cell r="E911">
            <v>253543</v>
          </cell>
          <cell r="F911">
            <v>-218095</v>
          </cell>
          <cell r="G911">
            <v>30738</v>
          </cell>
          <cell r="H911">
            <v>40005</v>
          </cell>
          <cell r="I911">
            <v>0</v>
          </cell>
        </row>
        <row r="912">
          <cell r="A912">
            <v>99911</v>
          </cell>
          <cell r="B912" t="str">
            <v>TOWN OF YADKINVILLE</v>
          </cell>
          <cell r="C912">
            <v>2.219E-4</v>
          </cell>
          <cell r="D912"/>
          <cell r="E912">
            <v>35291</v>
          </cell>
          <cell r="F912">
            <v>-30357</v>
          </cell>
          <cell r="G912">
            <v>4278</v>
          </cell>
          <cell r="H912">
            <v>5568</v>
          </cell>
          <cell r="I912">
            <v>0</v>
          </cell>
        </row>
        <row r="913">
          <cell r="A913">
            <v>99921</v>
          </cell>
          <cell r="B913" t="str">
            <v>TOWN OF JONESVILLE</v>
          </cell>
          <cell r="C913">
            <v>1.315E-4</v>
          </cell>
          <cell r="D913"/>
          <cell r="E913">
            <v>20914</v>
          </cell>
          <cell r="F913">
            <v>-17990</v>
          </cell>
          <cell r="G913">
            <v>2535</v>
          </cell>
          <cell r="H913">
            <v>3300</v>
          </cell>
          <cell r="I913">
            <v>0</v>
          </cell>
        </row>
        <row r="914">
          <cell r="A914">
            <v>99931</v>
          </cell>
          <cell r="B914" t="str">
            <v>TOWN OF EAST BEND</v>
          </cell>
          <cell r="C914">
            <v>2.1699999999999999E-5</v>
          </cell>
          <cell r="D914"/>
          <cell r="E914">
            <v>3451</v>
          </cell>
          <cell r="F914">
            <v>-2969</v>
          </cell>
          <cell r="G914">
            <v>418</v>
          </cell>
          <cell r="H914">
            <v>545</v>
          </cell>
          <cell r="I914">
            <v>0</v>
          </cell>
        </row>
        <row r="915">
          <cell r="A915">
            <v>99941</v>
          </cell>
          <cell r="B915" t="str">
            <v>TOWN OF BOONVILLE</v>
          </cell>
          <cell r="C915">
            <v>7.7399999999999998E-5</v>
          </cell>
          <cell r="D915"/>
          <cell r="E915">
            <v>12310</v>
          </cell>
          <cell r="F915">
            <v>-10589</v>
          </cell>
          <cell r="G915">
            <v>1492</v>
          </cell>
          <cell r="H915">
            <v>1942</v>
          </cell>
          <cell r="I915">
            <v>0</v>
          </cell>
        </row>
        <row r="916">
          <cell r="A916">
            <v>99991</v>
          </cell>
          <cell r="B916" t="str">
            <v>N C ASSOC OF CO COMMISSIONERS</v>
          </cell>
          <cell r="C916">
            <v>5.0869999999999995E-4</v>
          </cell>
          <cell r="D916"/>
          <cell r="E916">
            <v>80904</v>
          </cell>
          <cell r="F916">
            <v>-69593</v>
          </cell>
          <cell r="G916">
            <v>9808</v>
          </cell>
          <cell r="H916">
            <v>12765</v>
          </cell>
          <cell r="I916">
            <v>0</v>
          </cell>
        </row>
        <row r="917">
          <cell r="A917">
            <v>99999</v>
          </cell>
          <cell r="B917" t="str">
            <v>N C LEAGUE OF MUNICIPALITIES</v>
          </cell>
          <cell r="C917">
            <v>1.0093000000000001E-3</v>
          </cell>
          <cell r="D917"/>
          <cell r="E917">
            <v>160520</v>
          </cell>
          <cell r="F917">
            <v>-138077</v>
          </cell>
          <cell r="G917">
            <v>19460</v>
          </cell>
          <cell r="H917">
            <v>25327</v>
          </cell>
          <cell r="I917">
            <v>0</v>
          </cell>
        </row>
      </sheetData>
      <sheetData sheetId="8">
        <row r="4">
          <cell r="A4">
            <v>70505</v>
          </cell>
          <cell r="B4" t="str">
            <v>THE EASTERN BAND OF CHEROKEE INDIANS</v>
          </cell>
          <cell r="C4">
            <v>3.2890000000000003E-4</v>
          </cell>
          <cell r="E4">
            <v>58926</v>
          </cell>
          <cell r="F4">
            <v>48275</v>
          </cell>
          <cell r="G4">
            <v>39191</v>
          </cell>
          <cell r="H4">
            <v>0</v>
          </cell>
          <cell r="I4">
            <v>0</v>
          </cell>
        </row>
        <row r="5">
          <cell r="A5">
            <v>71786</v>
          </cell>
          <cell r="B5" t="str">
            <v>VILLAGE OF MISENHEIMER</v>
          </cell>
          <cell r="C5">
            <v>0</v>
          </cell>
          <cell r="E5">
            <v>0</v>
          </cell>
          <cell r="F5">
            <v>0</v>
          </cell>
          <cell r="G5">
            <v>0</v>
          </cell>
          <cell r="H5">
            <v>0</v>
          </cell>
          <cell r="I5">
            <v>0</v>
          </cell>
        </row>
        <row r="6">
          <cell r="A6">
            <v>72265</v>
          </cell>
          <cell r="B6" t="str">
            <v>PIEDMONT TRIAD AIRPORT AUTHORITY</v>
          </cell>
          <cell r="C6">
            <v>1.44E-4</v>
          </cell>
          <cell r="E6">
            <v>25799</v>
          </cell>
          <cell r="F6">
            <v>21136</v>
          </cell>
          <cell r="G6">
            <v>17159</v>
          </cell>
          <cell r="H6">
            <v>0</v>
          </cell>
          <cell r="I6">
            <v>0</v>
          </cell>
        </row>
        <row r="7">
          <cell r="A7">
            <v>72593</v>
          </cell>
          <cell r="B7" t="str">
            <v>TOWN OF SEAGROVE</v>
          </cell>
          <cell r="C7">
            <v>6.1E-6</v>
          </cell>
          <cell r="E7">
            <v>1093</v>
          </cell>
          <cell r="F7">
            <v>895</v>
          </cell>
          <cell r="G7">
            <v>727</v>
          </cell>
          <cell r="H7">
            <v>0</v>
          </cell>
          <cell r="I7">
            <v>0</v>
          </cell>
        </row>
        <row r="8">
          <cell r="A8">
            <v>72657</v>
          </cell>
          <cell r="B8" t="str">
            <v>TOWN OF SPARTA</v>
          </cell>
          <cell r="C8">
            <v>3.7200000000000003E-5</v>
          </cell>
          <cell r="E8">
            <v>6665</v>
          </cell>
          <cell r="F8">
            <v>5460</v>
          </cell>
          <cell r="G8">
            <v>4433</v>
          </cell>
          <cell r="H8">
            <v>0</v>
          </cell>
          <cell r="I8">
            <v>0</v>
          </cell>
        </row>
        <row r="9">
          <cell r="A9">
            <v>90001</v>
          </cell>
          <cell r="B9" t="str">
            <v>YANCEY COUNTY</v>
          </cell>
          <cell r="C9">
            <v>8.6050000000000005E-4</v>
          </cell>
          <cell r="E9">
            <v>154169</v>
          </cell>
          <cell r="F9">
            <v>126301</v>
          </cell>
          <cell r="G9">
            <v>102535</v>
          </cell>
          <cell r="H9">
            <v>0</v>
          </cell>
          <cell r="I9">
            <v>0</v>
          </cell>
        </row>
        <row r="10">
          <cell r="A10">
            <v>90002</v>
          </cell>
          <cell r="B10" t="str">
            <v>YANCEY SOIL &amp; WATER CONS</v>
          </cell>
          <cell r="C10">
            <v>8.3999999999999992E-6</v>
          </cell>
          <cell r="E10">
            <v>1505</v>
          </cell>
          <cell r="F10">
            <v>1233</v>
          </cell>
          <cell r="G10">
            <v>1001</v>
          </cell>
          <cell r="H10">
            <v>0</v>
          </cell>
          <cell r="I10">
            <v>0</v>
          </cell>
        </row>
        <row r="11">
          <cell r="A11">
            <v>90011</v>
          </cell>
          <cell r="B11" t="str">
            <v>TOWN OF BURNSVILLE</v>
          </cell>
          <cell r="C11">
            <v>1.8009999999999999E-4</v>
          </cell>
          <cell r="E11">
            <v>32267</v>
          </cell>
          <cell r="F11">
            <v>26434</v>
          </cell>
          <cell r="G11">
            <v>21460</v>
          </cell>
          <cell r="H11">
            <v>0</v>
          </cell>
          <cell r="I11">
            <v>0</v>
          </cell>
        </row>
        <row r="12">
          <cell r="A12">
            <v>90092</v>
          </cell>
          <cell r="B12" t="str">
            <v>MARTIN-TYRRELL-WASHINGTON DIST HEALTH DEPT</v>
          </cell>
          <cell r="C12">
            <v>3.9530000000000001E-4</v>
          </cell>
          <cell r="E12">
            <v>70823</v>
          </cell>
          <cell r="F12">
            <v>58021</v>
          </cell>
          <cell r="G12">
            <v>47103</v>
          </cell>
          <cell r="H12">
            <v>0</v>
          </cell>
          <cell r="I12">
            <v>0</v>
          </cell>
        </row>
        <row r="13">
          <cell r="A13">
            <v>90096</v>
          </cell>
          <cell r="B13" t="str">
            <v>ALBEMARLE REGIONAL HEALTH SERVICES</v>
          </cell>
          <cell r="C13">
            <v>9.722E-4</v>
          </cell>
          <cell r="E13">
            <v>174181</v>
          </cell>
          <cell r="F13">
            <v>142696</v>
          </cell>
          <cell r="G13">
            <v>115844</v>
          </cell>
          <cell r="H13">
            <v>0</v>
          </cell>
          <cell r="I13">
            <v>0</v>
          </cell>
        </row>
        <row r="14">
          <cell r="A14">
            <v>90098</v>
          </cell>
          <cell r="B14" t="str">
            <v>TOE RIVER HEALTH DISTRICT</v>
          </cell>
          <cell r="C14">
            <v>2.521E-4</v>
          </cell>
          <cell r="E14">
            <v>45167</v>
          </cell>
          <cell r="F14">
            <v>37002</v>
          </cell>
          <cell r="G14">
            <v>30039</v>
          </cell>
          <cell r="H14">
            <v>0</v>
          </cell>
          <cell r="I14">
            <v>0</v>
          </cell>
        </row>
        <row r="15">
          <cell r="A15">
            <v>90099</v>
          </cell>
          <cell r="B15" t="str">
            <v>APPALACHIAN DISTRICT HEALTH DEPT</v>
          </cell>
          <cell r="C15">
            <v>6.7389999999999995E-4</v>
          </cell>
          <cell r="E15">
            <v>120737</v>
          </cell>
          <cell r="F15">
            <v>98912</v>
          </cell>
          <cell r="G15">
            <v>80300</v>
          </cell>
          <cell r="H15">
            <v>0</v>
          </cell>
          <cell r="I15">
            <v>0</v>
          </cell>
        </row>
        <row r="16">
          <cell r="A16">
            <v>90101</v>
          </cell>
          <cell r="B16" t="str">
            <v>ALAMANCE COUNTY</v>
          </cell>
          <cell r="C16">
            <v>6.2302E-3</v>
          </cell>
          <cell r="E16">
            <v>1116215</v>
          </cell>
          <cell r="F16">
            <v>914444</v>
          </cell>
          <cell r="G16">
            <v>742372</v>
          </cell>
          <cell r="H16">
            <v>0</v>
          </cell>
          <cell r="I16">
            <v>0</v>
          </cell>
        </row>
        <row r="17">
          <cell r="A17">
            <v>90111</v>
          </cell>
          <cell r="B17" t="str">
            <v>CITY OF BURLINGTON</v>
          </cell>
          <cell r="C17">
            <v>4.9528000000000003E-3</v>
          </cell>
          <cell r="E17">
            <v>887354</v>
          </cell>
          <cell r="F17">
            <v>726952</v>
          </cell>
          <cell r="G17">
            <v>590161</v>
          </cell>
          <cell r="H17">
            <v>0</v>
          </cell>
          <cell r="I17">
            <v>0</v>
          </cell>
        </row>
        <row r="18">
          <cell r="A18">
            <v>90114</v>
          </cell>
          <cell r="B18" t="str">
            <v>CITY OF MEBANE</v>
          </cell>
          <cell r="C18">
            <v>1.1188999999999999E-3</v>
          </cell>
          <cell r="E18">
            <v>200464</v>
          </cell>
          <cell r="F18">
            <v>164228</v>
          </cell>
          <cell r="G18">
            <v>133325</v>
          </cell>
          <cell r="H18">
            <v>0</v>
          </cell>
          <cell r="I18">
            <v>0</v>
          </cell>
        </row>
        <row r="19">
          <cell r="A19">
            <v>90117</v>
          </cell>
          <cell r="B19" t="str">
            <v>ALAMANCE MUNICIPAL ABC BOARD</v>
          </cell>
          <cell r="C19">
            <v>1.3219999999999999E-4</v>
          </cell>
          <cell r="E19">
            <v>23685</v>
          </cell>
          <cell r="F19">
            <v>19404</v>
          </cell>
          <cell r="G19">
            <v>15753</v>
          </cell>
          <cell r="H19">
            <v>0</v>
          </cell>
          <cell r="I19">
            <v>0</v>
          </cell>
        </row>
        <row r="20">
          <cell r="A20">
            <v>90121</v>
          </cell>
          <cell r="B20" t="str">
            <v>CITY OF GRAHAM</v>
          </cell>
          <cell r="C20">
            <v>1.1077999999999999E-3</v>
          </cell>
          <cell r="E20">
            <v>198476</v>
          </cell>
          <cell r="F20">
            <v>162598</v>
          </cell>
          <cell r="G20">
            <v>132002</v>
          </cell>
          <cell r="H20">
            <v>0</v>
          </cell>
          <cell r="I20">
            <v>0</v>
          </cell>
        </row>
        <row r="21">
          <cell r="A21">
            <v>90131</v>
          </cell>
          <cell r="B21" t="str">
            <v>TOWN OF ELON</v>
          </cell>
          <cell r="C21">
            <v>4.9050000000000005E-4</v>
          </cell>
          <cell r="E21">
            <v>87879</v>
          </cell>
          <cell r="F21">
            <v>71994</v>
          </cell>
          <cell r="G21">
            <v>58447</v>
          </cell>
          <cell r="H21">
            <v>0</v>
          </cell>
          <cell r="I21">
            <v>0</v>
          </cell>
        </row>
        <row r="22">
          <cell r="A22">
            <v>90141</v>
          </cell>
          <cell r="B22" t="str">
            <v>TOWN OF HAW RIVER</v>
          </cell>
          <cell r="C22">
            <v>1.4770000000000001E-4</v>
          </cell>
          <cell r="E22">
            <v>26462</v>
          </cell>
          <cell r="F22">
            <v>21679</v>
          </cell>
          <cell r="G22">
            <v>17599</v>
          </cell>
          <cell r="H22">
            <v>0</v>
          </cell>
          <cell r="I22">
            <v>0</v>
          </cell>
        </row>
        <row r="23">
          <cell r="A23">
            <v>90151</v>
          </cell>
          <cell r="B23" t="str">
            <v>VILLAGE OF ALAMANCE</v>
          </cell>
          <cell r="C23">
            <v>9.3000000000000007E-6</v>
          </cell>
          <cell r="E23">
            <v>1666</v>
          </cell>
          <cell r="F23">
            <v>1365</v>
          </cell>
          <cell r="G23">
            <v>1108</v>
          </cell>
          <cell r="H23">
            <v>0</v>
          </cell>
          <cell r="I23">
            <v>0</v>
          </cell>
        </row>
        <row r="24">
          <cell r="A24">
            <v>90161</v>
          </cell>
          <cell r="B24" t="str">
            <v>TOWN OF GREEN LEVEL</v>
          </cell>
          <cell r="C24">
            <v>3.57E-5</v>
          </cell>
          <cell r="E24">
            <v>6396</v>
          </cell>
          <cell r="F24">
            <v>5240</v>
          </cell>
          <cell r="G24">
            <v>4254</v>
          </cell>
          <cell r="H24">
            <v>0</v>
          </cell>
          <cell r="I24">
            <v>0</v>
          </cell>
        </row>
        <row r="25">
          <cell r="A25">
            <v>90201</v>
          </cell>
          <cell r="B25" t="str">
            <v>ALEXANDER COUNTY</v>
          </cell>
          <cell r="C25">
            <v>1.2569E-3</v>
          </cell>
          <cell r="E25">
            <v>225189</v>
          </cell>
          <cell r="F25">
            <v>184483</v>
          </cell>
          <cell r="G25">
            <v>149768</v>
          </cell>
          <cell r="H25">
            <v>0</v>
          </cell>
          <cell r="I25">
            <v>0</v>
          </cell>
        </row>
        <row r="26">
          <cell r="A26">
            <v>90203</v>
          </cell>
          <cell r="B26" t="str">
            <v>ALEXANDER COUNTY HEALTH DEPT</v>
          </cell>
          <cell r="C26">
            <v>2.0019999999999999E-4</v>
          </cell>
          <cell r="E26">
            <v>35868</v>
          </cell>
          <cell r="F26">
            <v>29385</v>
          </cell>
          <cell r="G26">
            <v>23855</v>
          </cell>
          <cell r="H26">
            <v>0</v>
          </cell>
          <cell r="I26">
            <v>0</v>
          </cell>
        </row>
        <row r="27">
          <cell r="A27">
            <v>90205</v>
          </cell>
          <cell r="B27" t="str">
            <v>ALEXANDER COUNTY PUBLIC LIBRARY</v>
          </cell>
          <cell r="C27">
            <v>3.04E-5</v>
          </cell>
          <cell r="E27">
            <v>5447</v>
          </cell>
          <cell r="F27">
            <v>4462</v>
          </cell>
          <cell r="G27">
            <v>3622</v>
          </cell>
          <cell r="H27">
            <v>0</v>
          </cell>
          <cell r="I27">
            <v>0</v>
          </cell>
        </row>
        <row r="28">
          <cell r="A28">
            <v>90206</v>
          </cell>
          <cell r="B28" t="str">
            <v>ALEXANDER COUNTY DEPT OF S S</v>
          </cell>
          <cell r="C28">
            <v>3.6160000000000001E-4</v>
          </cell>
          <cell r="E28">
            <v>64785</v>
          </cell>
          <cell r="F28">
            <v>53074</v>
          </cell>
          <cell r="G28">
            <v>43087</v>
          </cell>
          <cell r="H28">
            <v>0</v>
          </cell>
          <cell r="I28">
            <v>0</v>
          </cell>
        </row>
        <row r="29">
          <cell r="A29">
            <v>90211</v>
          </cell>
          <cell r="B29" t="str">
            <v>TOWN OF TAYLORSVILLE</v>
          </cell>
          <cell r="C29">
            <v>1.5799999999999999E-4</v>
          </cell>
          <cell r="E29">
            <v>28308</v>
          </cell>
          <cell r="F29">
            <v>23191</v>
          </cell>
          <cell r="G29">
            <v>18827</v>
          </cell>
          <cell r="H29">
            <v>0</v>
          </cell>
          <cell r="I29">
            <v>0</v>
          </cell>
        </row>
        <row r="30">
          <cell r="A30">
            <v>90301</v>
          </cell>
          <cell r="B30" t="str">
            <v>ALLEGHANY COUNTY</v>
          </cell>
          <cell r="C30">
            <v>7.339E-4</v>
          </cell>
          <cell r="E30">
            <v>131487</v>
          </cell>
          <cell r="F30">
            <v>107719</v>
          </cell>
          <cell r="G30">
            <v>87449</v>
          </cell>
          <cell r="H30">
            <v>0</v>
          </cell>
          <cell r="I30">
            <v>0</v>
          </cell>
        </row>
        <row r="31">
          <cell r="A31">
            <v>90305</v>
          </cell>
          <cell r="B31" t="str">
            <v>NORTHWESTERN REGIONAL LIBRARY</v>
          </cell>
          <cell r="C31">
            <v>1.404E-4</v>
          </cell>
          <cell r="E31">
            <v>25154</v>
          </cell>
          <cell r="F31">
            <v>20607</v>
          </cell>
          <cell r="G31">
            <v>16730</v>
          </cell>
          <cell r="H31">
            <v>0</v>
          </cell>
          <cell r="I31">
            <v>0</v>
          </cell>
        </row>
        <row r="32">
          <cell r="A32">
            <v>90307</v>
          </cell>
          <cell r="B32" t="str">
            <v>TOWN OF SPARTA ABC BOARD</v>
          </cell>
          <cell r="C32">
            <v>5.8000000000000004E-6</v>
          </cell>
          <cell r="E32">
            <v>1039</v>
          </cell>
          <cell r="F32">
            <v>851</v>
          </cell>
          <cell r="G32">
            <v>691</v>
          </cell>
          <cell r="H32">
            <v>0</v>
          </cell>
          <cell r="I32">
            <v>0</v>
          </cell>
        </row>
        <row r="33">
          <cell r="A33">
            <v>90401</v>
          </cell>
          <cell r="B33" t="str">
            <v>ANSON COUNTY</v>
          </cell>
          <cell r="C33">
            <v>1.2876000000000001E-3</v>
          </cell>
          <cell r="E33">
            <v>230689</v>
          </cell>
          <cell r="F33">
            <v>188989</v>
          </cell>
          <cell r="G33">
            <v>153427</v>
          </cell>
          <cell r="H33">
            <v>0</v>
          </cell>
          <cell r="I33">
            <v>0</v>
          </cell>
        </row>
        <row r="34">
          <cell r="A34">
            <v>90411</v>
          </cell>
          <cell r="B34" t="str">
            <v>TOWN OF WADESBORO</v>
          </cell>
          <cell r="C34">
            <v>3.2929999999999998E-4</v>
          </cell>
          <cell r="E34">
            <v>58998</v>
          </cell>
          <cell r="F34">
            <v>48333</v>
          </cell>
          <cell r="G34">
            <v>39238</v>
          </cell>
          <cell r="H34">
            <v>0</v>
          </cell>
          <cell r="I34">
            <v>0</v>
          </cell>
        </row>
        <row r="35">
          <cell r="A35">
            <v>90413</v>
          </cell>
          <cell r="B35" t="str">
            <v>WADESBORO HOUSING AUTHORITY</v>
          </cell>
          <cell r="C35">
            <v>3.4900000000000001E-5</v>
          </cell>
          <cell r="E35">
            <v>6253</v>
          </cell>
          <cell r="F35">
            <v>5122</v>
          </cell>
          <cell r="G35">
            <v>4159</v>
          </cell>
          <cell r="H35">
            <v>0</v>
          </cell>
          <cell r="I35">
            <v>0</v>
          </cell>
        </row>
        <row r="36">
          <cell r="A36">
            <v>90417</v>
          </cell>
          <cell r="B36" t="str">
            <v>WADESBORO ABC BOARD</v>
          </cell>
          <cell r="C36">
            <v>1.06E-5</v>
          </cell>
          <cell r="E36">
            <v>1899</v>
          </cell>
          <cell r="F36">
            <v>1556</v>
          </cell>
          <cell r="G36">
            <v>1263</v>
          </cell>
          <cell r="H36">
            <v>0</v>
          </cell>
          <cell r="I36">
            <v>0</v>
          </cell>
        </row>
        <row r="37">
          <cell r="A37">
            <v>90421</v>
          </cell>
          <cell r="B37" t="str">
            <v>TOWN OF LILESVILLE</v>
          </cell>
          <cell r="C37">
            <v>1.98E-5</v>
          </cell>
          <cell r="E37">
            <v>3547</v>
          </cell>
          <cell r="F37">
            <v>2906</v>
          </cell>
          <cell r="G37">
            <v>2359</v>
          </cell>
          <cell r="H37">
            <v>0</v>
          </cell>
          <cell r="I37">
            <v>0</v>
          </cell>
        </row>
        <row r="38">
          <cell r="A38">
            <v>90431</v>
          </cell>
          <cell r="B38" t="str">
            <v>TOWN OF POLKTON</v>
          </cell>
          <cell r="C38">
            <v>4.8099999999999997E-5</v>
          </cell>
          <cell r="E38">
            <v>8618</v>
          </cell>
          <cell r="F38">
            <v>7060</v>
          </cell>
          <cell r="G38">
            <v>5731</v>
          </cell>
          <cell r="H38">
            <v>0</v>
          </cell>
          <cell r="I38">
            <v>0</v>
          </cell>
        </row>
        <row r="39">
          <cell r="A39">
            <v>90441</v>
          </cell>
          <cell r="B39" t="str">
            <v>TOWN OF PEACHLAND</v>
          </cell>
          <cell r="C39">
            <v>6.7000000000000002E-6</v>
          </cell>
          <cell r="E39">
            <v>1200</v>
          </cell>
          <cell r="F39">
            <v>983</v>
          </cell>
          <cell r="G39">
            <v>798</v>
          </cell>
          <cell r="H39">
            <v>0</v>
          </cell>
          <cell r="I39">
            <v>0</v>
          </cell>
        </row>
        <row r="40">
          <cell r="A40">
            <v>90451</v>
          </cell>
          <cell r="B40" t="str">
            <v>TOWN OF ANSONVILLE</v>
          </cell>
          <cell r="C40">
            <v>2.3099999999999999E-5</v>
          </cell>
          <cell r="E40">
            <v>4139</v>
          </cell>
          <cell r="F40">
            <v>3391</v>
          </cell>
          <cell r="G40">
            <v>2753</v>
          </cell>
          <cell r="H40">
            <v>0</v>
          </cell>
          <cell r="I40">
            <v>0</v>
          </cell>
        </row>
        <row r="41">
          <cell r="A41">
            <v>90461</v>
          </cell>
          <cell r="B41" t="str">
            <v>TOWN OF MORVEN</v>
          </cell>
          <cell r="C41">
            <v>2.0999999999999998E-6</v>
          </cell>
          <cell r="E41">
            <v>376</v>
          </cell>
          <cell r="F41">
            <v>308</v>
          </cell>
          <cell r="G41">
            <v>250</v>
          </cell>
          <cell r="H41">
            <v>0</v>
          </cell>
          <cell r="I41">
            <v>0</v>
          </cell>
        </row>
        <row r="42">
          <cell r="A42">
            <v>90501</v>
          </cell>
          <cell r="B42" t="str">
            <v>ASHE COUNTY</v>
          </cell>
          <cell r="C42">
            <v>1.4587000000000001E-3</v>
          </cell>
          <cell r="E42">
            <v>261344</v>
          </cell>
          <cell r="F42">
            <v>214102</v>
          </cell>
          <cell r="G42">
            <v>173814</v>
          </cell>
          <cell r="H42">
            <v>0</v>
          </cell>
          <cell r="I42">
            <v>0</v>
          </cell>
        </row>
        <row r="43">
          <cell r="A43">
            <v>90507</v>
          </cell>
          <cell r="B43" t="str">
            <v>WEST JEFFERSON ABC BOARD</v>
          </cell>
          <cell r="C43">
            <v>3.4000000000000001E-6</v>
          </cell>
          <cell r="E43">
            <v>609</v>
          </cell>
          <cell r="F43">
            <v>499</v>
          </cell>
          <cell r="G43">
            <v>405</v>
          </cell>
          <cell r="H43">
            <v>0</v>
          </cell>
          <cell r="I43">
            <v>0</v>
          </cell>
        </row>
        <row r="44">
          <cell r="A44">
            <v>90511</v>
          </cell>
          <cell r="B44" t="str">
            <v>TOWN OF JEFFERSON</v>
          </cell>
          <cell r="C44">
            <v>1.011E-4</v>
          </cell>
          <cell r="E44">
            <v>18113</v>
          </cell>
          <cell r="F44">
            <v>14839</v>
          </cell>
          <cell r="G44">
            <v>12047</v>
          </cell>
          <cell r="H44">
            <v>0</v>
          </cell>
          <cell r="I44">
            <v>0</v>
          </cell>
        </row>
        <row r="45">
          <cell r="A45">
            <v>90521</v>
          </cell>
          <cell r="B45" t="str">
            <v>TOWN OF WEST JEFFERSON</v>
          </cell>
          <cell r="C45">
            <v>1.371E-4</v>
          </cell>
          <cell r="E45">
            <v>24563</v>
          </cell>
          <cell r="F45">
            <v>20123</v>
          </cell>
          <cell r="G45">
            <v>16336</v>
          </cell>
          <cell r="H45">
            <v>0</v>
          </cell>
          <cell r="I45">
            <v>0</v>
          </cell>
        </row>
        <row r="46">
          <cell r="A46">
            <v>90601</v>
          </cell>
          <cell r="B46" t="str">
            <v>AVERY COUNTY</v>
          </cell>
          <cell r="C46">
            <v>1.1100999999999999E-3</v>
          </cell>
          <cell r="E46">
            <v>198888</v>
          </cell>
          <cell r="F46">
            <v>162936</v>
          </cell>
          <cell r="G46">
            <v>132276</v>
          </cell>
          <cell r="H46">
            <v>0</v>
          </cell>
          <cell r="I46">
            <v>0</v>
          </cell>
        </row>
        <row r="47">
          <cell r="A47">
            <v>90602</v>
          </cell>
          <cell r="B47" t="str">
            <v>AVERY COUNTY FIRE COMMISSION</v>
          </cell>
          <cell r="C47">
            <v>9.2999999999999997E-5</v>
          </cell>
          <cell r="E47">
            <v>16662</v>
          </cell>
          <cell r="F47">
            <v>13650</v>
          </cell>
          <cell r="G47">
            <v>11082</v>
          </cell>
          <cell r="H47">
            <v>0</v>
          </cell>
          <cell r="I47">
            <v>0</v>
          </cell>
        </row>
        <row r="48">
          <cell r="A48">
            <v>90605</v>
          </cell>
          <cell r="B48" t="str">
            <v>AVERY-MITCHELL-YANCEY REG LIBRARY</v>
          </cell>
          <cell r="C48">
            <v>4.9799999999999998E-5</v>
          </cell>
          <cell r="E48">
            <v>8922</v>
          </cell>
          <cell r="F48">
            <v>7309</v>
          </cell>
          <cell r="G48">
            <v>5934</v>
          </cell>
          <cell r="H48">
            <v>0</v>
          </cell>
          <cell r="I48">
            <v>0</v>
          </cell>
        </row>
        <row r="49">
          <cell r="A49">
            <v>90611</v>
          </cell>
          <cell r="B49" t="str">
            <v>TOWN OF BANNER ELK</v>
          </cell>
          <cell r="C49">
            <v>1.526E-4</v>
          </cell>
          <cell r="E49">
            <v>27340</v>
          </cell>
          <cell r="F49">
            <v>22398</v>
          </cell>
          <cell r="G49">
            <v>18183</v>
          </cell>
          <cell r="H49">
            <v>0</v>
          </cell>
          <cell r="I49">
            <v>0</v>
          </cell>
        </row>
        <row r="50">
          <cell r="A50">
            <v>90617</v>
          </cell>
          <cell r="B50" t="str">
            <v>HIGH COUNTRY ABC BOARD</v>
          </cell>
          <cell r="C50">
            <v>2.8600000000000001E-5</v>
          </cell>
          <cell r="E50">
            <v>5124</v>
          </cell>
          <cell r="F50">
            <v>4198</v>
          </cell>
          <cell r="G50">
            <v>3408</v>
          </cell>
          <cell r="H50">
            <v>0</v>
          </cell>
          <cell r="I50">
            <v>0</v>
          </cell>
        </row>
        <row r="51">
          <cell r="A51">
            <v>90621</v>
          </cell>
          <cell r="B51" t="str">
            <v>TOWN OF NEWLAND</v>
          </cell>
          <cell r="C51">
            <v>6.97E-5</v>
          </cell>
          <cell r="E51">
            <v>12488</v>
          </cell>
          <cell r="F51">
            <v>10230</v>
          </cell>
          <cell r="G51">
            <v>8305</v>
          </cell>
          <cell r="H51">
            <v>0</v>
          </cell>
          <cell r="I51">
            <v>0</v>
          </cell>
        </row>
        <row r="52">
          <cell r="A52">
            <v>90631</v>
          </cell>
          <cell r="B52" t="str">
            <v>TOWN OF BEECH MOUNTAIN</v>
          </cell>
          <cell r="C52">
            <v>3.6430000000000002E-4</v>
          </cell>
          <cell r="E52">
            <v>65269</v>
          </cell>
          <cell r="F52">
            <v>53470</v>
          </cell>
          <cell r="G52">
            <v>43409</v>
          </cell>
          <cell r="H52">
            <v>0</v>
          </cell>
          <cell r="I52">
            <v>0</v>
          </cell>
        </row>
        <row r="53">
          <cell r="A53">
            <v>90641</v>
          </cell>
          <cell r="B53" t="str">
            <v>TOWN OF ELK PARK</v>
          </cell>
          <cell r="C53">
            <v>1.1800000000000001E-5</v>
          </cell>
          <cell r="E53">
            <v>2114</v>
          </cell>
          <cell r="F53">
            <v>1732</v>
          </cell>
          <cell r="G53">
            <v>1406</v>
          </cell>
          <cell r="H53">
            <v>0</v>
          </cell>
          <cell r="I53">
            <v>0</v>
          </cell>
        </row>
        <row r="54">
          <cell r="A54">
            <v>90651</v>
          </cell>
          <cell r="B54" t="str">
            <v>TOWN OF SUGAR MOUNTAIN</v>
          </cell>
          <cell r="C54">
            <v>1.031E-4</v>
          </cell>
          <cell r="E54">
            <v>18472</v>
          </cell>
          <cell r="F54">
            <v>15133</v>
          </cell>
          <cell r="G54">
            <v>12285</v>
          </cell>
          <cell r="H54">
            <v>0</v>
          </cell>
          <cell r="I54">
            <v>0</v>
          </cell>
        </row>
        <row r="55">
          <cell r="A55">
            <v>90701</v>
          </cell>
          <cell r="B55" t="str">
            <v>COUNTY OF BEAUFORT</v>
          </cell>
          <cell r="C55">
            <v>2.6227999999999998E-3</v>
          </cell>
          <cell r="E55">
            <v>469906</v>
          </cell>
          <cell r="F55">
            <v>384964</v>
          </cell>
          <cell r="G55">
            <v>312525</v>
          </cell>
          <cell r="H55">
            <v>0</v>
          </cell>
          <cell r="I55">
            <v>0</v>
          </cell>
        </row>
        <row r="56">
          <cell r="A56">
            <v>90704</v>
          </cell>
          <cell r="B56" t="str">
            <v>BEAUFORT COUNTY ABC BOARD</v>
          </cell>
          <cell r="C56">
            <v>4.4299999999999999E-5</v>
          </cell>
          <cell r="E56">
            <v>7937</v>
          </cell>
          <cell r="F56">
            <v>6502</v>
          </cell>
          <cell r="G56">
            <v>5279</v>
          </cell>
          <cell r="H56">
            <v>0</v>
          </cell>
          <cell r="I56">
            <v>0</v>
          </cell>
        </row>
        <row r="57">
          <cell r="A57">
            <v>90705</v>
          </cell>
          <cell r="B57" t="str">
            <v>B H M REGIONAL LIBRARY</v>
          </cell>
          <cell r="C57">
            <v>4.1199999999999999E-5</v>
          </cell>
          <cell r="E57">
            <v>7381</v>
          </cell>
          <cell r="F57">
            <v>6047</v>
          </cell>
          <cell r="G57">
            <v>4909</v>
          </cell>
          <cell r="H57">
            <v>0</v>
          </cell>
          <cell r="I57">
            <v>0</v>
          </cell>
        </row>
        <row r="58">
          <cell r="A58">
            <v>90709</v>
          </cell>
          <cell r="B58" t="str">
            <v>MIDEAST COMMISSION</v>
          </cell>
          <cell r="C58">
            <v>1.474E-4</v>
          </cell>
          <cell r="E58">
            <v>26408</v>
          </cell>
          <cell r="F58">
            <v>21635</v>
          </cell>
          <cell r="G58">
            <v>17564</v>
          </cell>
          <cell r="H58">
            <v>0</v>
          </cell>
          <cell r="I58">
            <v>0</v>
          </cell>
        </row>
        <row r="59">
          <cell r="A59">
            <v>90711</v>
          </cell>
          <cell r="B59" t="str">
            <v>CITY OF WASHINGTON</v>
          </cell>
          <cell r="C59">
            <v>1.5481E-3</v>
          </cell>
          <cell r="E59">
            <v>277361</v>
          </cell>
          <cell r="F59">
            <v>227224</v>
          </cell>
          <cell r="G59">
            <v>184467</v>
          </cell>
          <cell r="H59">
            <v>0</v>
          </cell>
          <cell r="I59">
            <v>0</v>
          </cell>
        </row>
        <row r="60">
          <cell r="A60">
            <v>90721</v>
          </cell>
          <cell r="B60" t="str">
            <v>TOWN OF AURORA</v>
          </cell>
          <cell r="C60">
            <v>2.1399999999999998E-5</v>
          </cell>
          <cell r="E60">
            <v>3834</v>
          </cell>
          <cell r="F60">
            <v>3141</v>
          </cell>
          <cell r="G60">
            <v>2550</v>
          </cell>
          <cell r="H60">
            <v>0</v>
          </cell>
          <cell r="I60">
            <v>0</v>
          </cell>
        </row>
        <row r="61">
          <cell r="A61">
            <v>90731</v>
          </cell>
          <cell r="B61" t="str">
            <v>TOWN OF BELHAVEN</v>
          </cell>
          <cell r="C61">
            <v>1.384E-4</v>
          </cell>
          <cell r="E61">
            <v>24796</v>
          </cell>
          <cell r="F61">
            <v>20314</v>
          </cell>
          <cell r="G61">
            <v>16491</v>
          </cell>
          <cell r="H61">
            <v>0</v>
          </cell>
          <cell r="I61">
            <v>0</v>
          </cell>
        </row>
        <row r="62">
          <cell r="A62">
            <v>90741</v>
          </cell>
          <cell r="B62" t="str">
            <v>TOWN OF WASHINGTON PARK</v>
          </cell>
          <cell r="C62">
            <v>1.38E-5</v>
          </cell>
          <cell r="E62">
            <v>2472</v>
          </cell>
          <cell r="F62">
            <v>2026</v>
          </cell>
          <cell r="G62">
            <v>1644</v>
          </cell>
          <cell r="H62">
            <v>0</v>
          </cell>
          <cell r="I62">
            <v>0</v>
          </cell>
        </row>
        <row r="63">
          <cell r="A63">
            <v>90751</v>
          </cell>
          <cell r="B63" t="str">
            <v>TOWN OF CHOCOWINITY</v>
          </cell>
          <cell r="C63">
            <v>6.3E-5</v>
          </cell>
          <cell r="E63">
            <v>11287</v>
          </cell>
          <cell r="F63">
            <v>9247</v>
          </cell>
          <cell r="G63">
            <v>7507</v>
          </cell>
          <cell r="H63">
            <v>0</v>
          </cell>
          <cell r="I63">
            <v>0</v>
          </cell>
        </row>
        <row r="64">
          <cell r="A64">
            <v>90801</v>
          </cell>
          <cell r="B64" t="str">
            <v>BERTIE COUNTY</v>
          </cell>
          <cell r="C64">
            <v>1.2669999999999999E-3</v>
          </cell>
          <cell r="E64">
            <v>226998</v>
          </cell>
          <cell r="F64">
            <v>185965</v>
          </cell>
          <cell r="G64">
            <v>150972</v>
          </cell>
          <cell r="H64">
            <v>0</v>
          </cell>
          <cell r="I64">
            <v>0</v>
          </cell>
        </row>
        <row r="65">
          <cell r="A65">
            <v>90804</v>
          </cell>
          <cell r="B65" t="str">
            <v>BERTIE COUNTY ABC BOARD</v>
          </cell>
          <cell r="C65">
            <v>5.5999999999999997E-6</v>
          </cell>
          <cell r="E65">
            <v>1003</v>
          </cell>
          <cell r="F65">
            <v>822</v>
          </cell>
          <cell r="G65">
            <v>667</v>
          </cell>
          <cell r="H65">
            <v>0</v>
          </cell>
          <cell r="I65">
            <v>0</v>
          </cell>
        </row>
        <row r="66">
          <cell r="A66">
            <v>90805</v>
          </cell>
          <cell r="B66" t="str">
            <v>ALBEMARLE REGIONAL LIBRARY</v>
          </cell>
          <cell r="C66">
            <v>6.5900000000000003E-5</v>
          </cell>
          <cell r="E66">
            <v>11807</v>
          </cell>
          <cell r="F66">
            <v>9673</v>
          </cell>
          <cell r="G66">
            <v>7852</v>
          </cell>
          <cell r="H66">
            <v>0</v>
          </cell>
          <cell r="I66">
            <v>0</v>
          </cell>
        </row>
        <row r="67">
          <cell r="A67">
            <v>90808</v>
          </cell>
          <cell r="B67" t="str">
            <v>BERTIE-MARTIN REGIONAL JAIL COMM</v>
          </cell>
          <cell r="C67">
            <v>1.395E-4</v>
          </cell>
          <cell r="E67">
            <v>24993</v>
          </cell>
          <cell r="F67">
            <v>20475</v>
          </cell>
          <cell r="G67">
            <v>16622</v>
          </cell>
          <cell r="H67">
            <v>0</v>
          </cell>
          <cell r="I67">
            <v>0</v>
          </cell>
        </row>
        <row r="68">
          <cell r="A68">
            <v>90811</v>
          </cell>
          <cell r="B68" t="str">
            <v>TOWN OF AULANDER</v>
          </cell>
          <cell r="C68">
            <v>3.4900000000000001E-5</v>
          </cell>
          <cell r="E68">
            <v>6253</v>
          </cell>
          <cell r="F68">
            <v>5122</v>
          </cell>
          <cell r="G68">
            <v>4159</v>
          </cell>
          <cell r="H68">
            <v>0</v>
          </cell>
          <cell r="I68">
            <v>0</v>
          </cell>
        </row>
        <row r="69">
          <cell r="A69">
            <v>90812</v>
          </cell>
          <cell r="B69" t="str">
            <v>TOWN OF WINDSOR</v>
          </cell>
          <cell r="C69">
            <v>2.2100000000000001E-4</v>
          </cell>
          <cell r="E69">
            <v>39595</v>
          </cell>
          <cell r="F69">
            <v>32437</v>
          </cell>
          <cell r="G69">
            <v>26334</v>
          </cell>
          <cell r="H69">
            <v>0</v>
          </cell>
          <cell r="I69">
            <v>0</v>
          </cell>
        </row>
        <row r="70">
          <cell r="A70">
            <v>90813</v>
          </cell>
          <cell r="B70" t="str">
            <v>TOWN OF COLERAIN</v>
          </cell>
          <cell r="C70">
            <v>4.6E-6</v>
          </cell>
          <cell r="E70">
            <v>824</v>
          </cell>
          <cell r="F70">
            <v>675</v>
          </cell>
          <cell r="G70">
            <v>548</v>
          </cell>
          <cell r="H70">
            <v>0</v>
          </cell>
          <cell r="I70">
            <v>0</v>
          </cell>
        </row>
        <row r="71">
          <cell r="A71">
            <v>90861</v>
          </cell>
          <cell r="B71" t="str">
            <v>TOWN OF LEWISTON WOODVILLE</v>
          </cell>
          <cell r="C71">
            <v>8.4999999999999999E-6</v>
          </cell>
          <cell r="E71">
            <v>1523</v>
          </cell>
          <cell r="F71">
            <v>1248</v>
          </cell>
          <cell r="G71">
            <v>1013</v>
          </cell>
          <cell r="H71">
            <v>0</v>
          </cell>
          <cell r="I71">
            <v>0</v>
          </cell>
        </row>
        <row r="72">
          <cell r="A72">
            <v>90901</v>
          </cell>
          <cell r="B72" t="str">
            <v>BLADEN COUNTY</v>
          </cell>
          <cell r="C72">
            <v>2.274E-3</v>
          </cell>
          <cell r="E72">
            <v>407414</v>
          </cell>
          <cell r="F72">
            <v>333769</v>
          </cell>
          <cell r="G72">
            <v>270963</v>
          </cell>
          <cell r="H72">
            <v>0</v>
          </cell>
          <cell r="I72">
            <v>0</v>
          </cell>
        </row>
        <row r="73">
          <cell r="A73">
            <v>90911</v>
          </cell>
          <cell r="B73" t="str">
            <v>TOWN OF ELIZABETHTOWN</v>
          </cell>
          <cell r="C73">
            <v>3.8539999999999999E-4</v>
          </cell>
          <cell r="E73">
            <v>69049</v>
          </cell>
          <cell r="F73">
            <v>56567</v>
          </cell>
          <cell r="G73">
            <v>45923</v>
          </cell>
          <cell r="H73">
            <v>0</v>
          </cell>
          <cell r="I73">
            <v>0</v>
          </cell>
        </row>
        <row r="74">
          <cell r="A74">
            <v>90917</v>
          </cell>
          <cell r="B74" t="str">
            <v>ELIZABETHTOWN ABC BOARD</v>
          </cell>
          <cell r="C74">
            <v>8.1000000000000004E-6</v>
          </cell>
          <cell r="E74">
            <v>1451</v>
          </cell>
          <cell r="F74">
            <v>1189</v>
          </cell>
          <cell r="G74">
            <v>965</v>
          </cell>
          <cell r="H74">
            <v>0</v>
          </cell>
          <cell r="I74">
            <v>0</v>
          </cell>
        </row>
        <row r="75">
          <cell r="A75">
            <v>90918</v>
          </cell>
          <cell r="B75" t="str">
            <v>SOUTH EASTERN ECONOMIC DEVELOPMENT COMM</v>
          </cell>
          <cell r="C75">
            <v>1.06E-5</v>
          </cell>
          <cell r="E75">
            <v>1899</v>
          </cell>
          <cell r="F75">
            <v>1556</v>
          </cell>
          <cell r="G75">
            <v>1263</v>
          </cell>
          <cell r="H75">
            <v>0</v>
          </cell>
          <cell r="I75">
            <v>0</v>
          </cell>
        </row>
        <row r="76">
          <cell r="A76">
            <v>90921</v>
          </cell>
          <cell r="B76" t="str">
            <v>TOWN OF WHITE LAKE</v>
          </cell>
          <cell r="C76">
            <v>1.2129999999999999E-4</v>
          </cell>
          <cell r="E76">
            <v>21732</v>
          </cell>
          <cell r="F76">
            <v>17804</v>
          </cell>
          <cell r="G76">
            <v>14454</v>
          </cell>
          <cell r="H76">
            <v>0</v>
          </cell>
          <cell r="I76">
            <v>0</v>
          </cell>
        </row>
        <row r="77">
          <cell r="A77">
            <v>90931</v>
          </cell>
          <cell r="B77" t="str">
            <v>TOWN OF CLARKTON</v>
          </cell>
          <cell r="C77">
            <v>3.7299999999999999E-5</v>
          </cell>
          <cell r="E77">
            <v>6683</v>
          </cell>
          <cell r="F77">
            <v>5475</v>
          </cell>
          <cell r="G77">
            <v>4445</v>
          </cell>
          <cell r="H77">
            <v>0</v>
          </cell>
          <cell r="I77">
            <v>0</v>
          </cell>
        </row>
        <row r="78">
          <cell r="A78">
            <v>90941</v>
          </cell>
          <cell r="B78" t="str">
            <v>TOWN OF BLADENBORO</v>
          </cell>
          <cell r="C78">
            <v>8.5400000000000002E-5</v>
          </cell>
          <cell r="E78">
            <v>15300</v>
          </cell>
          <cell r="F78">
            <v>12535</v>
          </cell>
          <cell r="G78">
            <v>10176</v>
          </cell>
          <cell r="H78">
            <v>0</v>
          </cell>
          <cell r="I78">
            <v>0</v>
          </cell>
        </row>
        <row r="79">
          <cell r="A79">
            <v>91001</v>
          </cell>
          <cell r="B79" t="str">
            <v>BRUNSWICK COUNTY</v>
          </cell>
          <cell r="C79">
            <v>7.2779999999999997E-3</v>
          </cell>
          <cell r="E79">
            <v>1303941</v>
          </cell>
          <cell r="F79">
            <v>1068236</v>
          </cell>
          <cell r="G79">
            <v>867225</v>
          </cell>
          <cell r="H79">
            <v>0</v>
          </cell>
          <cell r="I79">
            <v>0</v>
          </cell>
        </row>
        <row r="80">
          <cell r="A80">
            <v>91002</v>
          </cell>
          <cell r="B80" t="str">
            <v>TOWN OF LELAND</v>
          </cell>
          <cell r="C80">
            <v>1.2939E-3</v>
          </cell>
          <cell r="E80">
            <v>231818</v>
          </cell>
          <cell r="F80">
            <v>189913</v>
          </cell>
          <cell r="G80">
            <v>154177</v>
          </cell>
          <cell r="H80">
            <v>0</v>
          </cell>
          <cell r="I80">
            <v>0</v>
          </cell>
        </row>
        <row r="81">
          <cell r="A81">
            <v>91003</v>
          </cell>
          <cell r="B81" t="str">
            <v>BRUNSWICK CO HEALTH DEPT</v>
          </cell>
          <cell r="C81">
            <v>5.9570000000000001E-4</v>
          </cell>
          <cell r="E81">
            <v>106727</v>
          </cell>
          <cell r="F81">
            <v>87434</v>
          </cell>
          <cell r="G81">
            <v>70982</v>
          </cell>
          <cell r="H81">
            <v>0</v>
          </cell>
          <cell r="I81">
            <v>0</v>
          </cell>
        </row>
        <row r="82">
          <cell r="A82">
            <v>91004</v>
          </cell>
          <cell r="B82" t="str">
            <v>BRUNSWICK COUNTY ABC BOARD</v>
          </cell>
          <cell r="C82">
            <v>3.3300000000000003E-5</v>
          </cell>
          <cell r="E82">
            <v>5966</v>
          </cell>
          <cell r="F82">
            <v>4888</v>
          </cell>
          <cell r="G82">
            <v>3968</v>
          </cell>
          <cell r="H82">
            <v>0</v>
          </cell>
          <cell r="I82">
            <v>0</v>
          </cell>
        </row>
        <row r="83">
          <cell r="A83">
            <v>91006</v>
          </cell>
          <cell r="B83" t="str">
            <v>BRUNSWICK CO DEPT OF SOCIAL SERVICES</v>
          </cell>
          <cell r="C83">
            <v>1.0489E-3</v>
          </cell>
          <cell r="E83">
            <v>187923</v>
          </cell>
          <cell r="F83">
            <v>153953</v>
          </cell>
          <cell r="G83">
            <v>124984</v>
          </cell>
          <cell r="H83">
            <v>0</v>
          </cell>
          <cell r="I83">
            <v>0</v>
          </cell>
        </row>
        <row r="84">
          <cell r="A84">
            <v>91007</v>
          </cell>
          <cell r="B84" t="str">
            <v>CALABASH ABC BOARD</v>
          </cell>
          <cell r="C84">
            <v>1.0900000000000001E-5</v>
          </cell>
          <cell r="E84">
            <v>1953</v>
          </cell>
          <cell r="F84">
            <v>1600</v>
          </cell>
          <cell r="G84">
            <v>1299</v>
          </cell>
          <cell r="H84">
            <v>0</v>
          </cell>
          <cell r="I84">
            <v>0</v>
          </cell>
        </row>
        <row r="85">
          <cell r="A85">
            <v>91008</v>
          </cell>
          <cell r="B85" t="str">
            <v>CAPE FEAR COUNCIL OF GOVERNMENTS</v>
          </cell>
          <cell r="C85">
            <v>1.474E-4</v>
          </cell>
          <cell r="E85">
            <v>26408</v>
          </cell>
          <cell r="F85">
            <v>21635</v>
          </cell>
          <cell r="G85">
            <v>17564</v>
          </cell>
          <cell r="H85">
            <v>0</v>
          </cell>
          <cell r="I85">
            <v>0</v>
          </cell>
        </row>
        <row r="86">
          <cell r="A86">
            <v>91009</v>
          </cell>
          <cell r="B86" t="str">
            <v>BRUNSWICK COUNTY TOURISM AUTHORITY</v>
          </cell>
          <cell r="C86">
            <v>8.3000000000000002E-6</v>
          </cell>
          <cell r="E86">
            <v>1487</v>
          </cell>
          <cell r="F86">
            <v>1218</v>
          </cell>
          <cell r="G86">
            <v>989</v>
          </cell>
          <cell r="H86">
            <v>0</v>
          </cell>
          <cell r="I86">
            <v>0</v>
          </cell>
        </row>
        <row r="87">
          <cell r="A87">
            <v>91010</v>
          </cell>
          <cell r="B87" t="str">
            <v>TOWN OF CALABASH</v>
          </cell>
          <cell r="C87">
            <v>5.1E-5</v>
          </cell>
          <cell r="E87">
            <v>9137</v>
          </cell>
          <cell r="F87">
            <v>7486</v>
          </cell>
          <cell r="G87">
            <v>6077</v>
          </cell>
          <cell r="H87">
            <v>0</v>
          </cell>
          <cell r="I87">
            <v>0</v>
          </cell>
        </row>
        <row r="88">
          <cell r="A88">
            <v>91011</v>
          </cell>
          <cell r="B88" t="str">
            <v>CITY OF SOUTHPORT</v>
          </cell>
          <cell r="C88">
            <v>3.2009999999999997E-4</v>
          </cell>
          <cell r="E88">
            <v>57350</v>
          </cell>
          <cell r="F88">
            <v>46983</v>
          </cell>
          <cell r="G88">
            <v>38142</v>
          </cell>
          <cell r="H88">
            <v>0</v>
          </cell>
          <cell r="I88">
            <v>0</v>
          </cell>
        </row>
        <row r="89">
          <cell r="A89">
            <v>91012</v>
          </cell>
          <cell r="B89" t="str">
            <v>CITY OF NORTHWEST</v>
          </cell>
          <cell r="C89">
            <v>1.4600000000000001E-5</v>
          </cell>
          <cell r="E89">
            <v>2616</v>
          </cell>
          <cell r="F89">
            <v>2143</v>
          </cell>
          <cell r="G89">
            <v>1740</v>
          </cell>
          <cell r="H89">
            <v>0</v>
          </cell>
          <cell r="I89">
            <v>0</v>
          </cell>
        </row>
        <row r="90">
          <cell r="A90">
            <v>91013</v>
          </cell>
          <cell r="B90" t="str">
            <v>SOUTHEAST BRUNSWICK SANITARY DISTRICT</v>
          </cell>
          <cell r="C90">
            <v>3.4999999999999997E-5</v>
          </cell>
          <cell r="E90">
            <v>6271</v>
          </cell>
          <cell r="F90">
            <v>5137</v>
          </cell>
          <cell r="G90">
            <v>4170</v>
          </cell>
          <cell r="H90">
            <v>0</v>
          </cell>
          <cell r="I90">
            <v>0</v>
          </cell>
        </row>
        <row r="91">
          <cell r="A91">
            <v>91014</v>
          </cell>
          <cell r="B91" t="str">
            <v>TOWN OF HOLDEN BEACH</v>
          </cell>
          <cell r="C91">
            <v>1.7640000000000001E-4</v>
          </cell>
          <cell r="E91">
            <v>31604</v>
          </cell>
          <cell r="F91">
            <v>25891</v>
          </cell>
          <cell r="G91">
            <v>21019</v>
          </cell>
          <cell r="H91">
            <v>0</v>
          </cell>
          <cell r="I91">
            <v>0</v>
          </cell>
        </row>
        <row r="92">
          <cell r="A92">
            <v>91015</v>
          </cell>
          <cell r="B92" t="str">
            <v>CAPE FEAR REGIONAL JETPORT</v>
          </cell>
          <cell r="C92">
            <v>1.8499999999999999E-5</v>
          </cell>
          <cell r="E92">
            <v>3314</v>
          </cell>
          <cell r="F92">
            <v>2715</v>
          </cell>
          <cell r="G92">
            <v>2204</v>
          </cell>
          <cell r="H92">
            <v>0</v>
          </cell>
          <cell r="I92">
            <v>0</v>
          </cell>
        </row>
        <row r="93">
          <cell r="A93">
            <v>91017</v>
          </cell>
          <cell r="B93" t="str">
            <v>CITY OF SOUTHPORT ABC BOARD</v>
          </cell>
          <cell r="C93">
            <v>2.4700000000000001E-5</v>
          </cell>
          <cell r="E93">
            <v>4425</v>
          </cell>
          <cell r="F93">
            <v>3625</v>
          </cell>
          <cell r="G93">
            <v>2943</v>
          </cell>
          <cell r="H93">
            <v>0</v>
          </cell>
          <cell r="I93">
            <v>0</v>
          </cell>
        </row>
        <row r="94">
          <cell r="A94">
            <v>91020</v>
          </cell>
          <cell r="B94" t="str">
            <v>TOWN OF BELVILLE</v>
          </cell>
          <cell r="C94">
            <v>2.2900000000000001E-5</v>
          </cell>
          <cell r="E94">
            <v>4103</v>
          </cell>
          <cell r="F94">
            <v>3361</v>
          </cell>
          <cell r="G94">
            <v>2729</v>
          </cell>
          <cell r="H94">
            <v>0</v>
          </cell>
          <cell r="I94">
            <v>0</v>
          </cell>
        </row>
        <row r="95">
          <cell r="A95">
            <v>91021</v>
          </cell>
          <cell r="B95" t="str">
            <v>TOWN OF OAK ISLAND</v>
          </cell>
          <cell r="C95">
            <v>9.2460000000000003E-4</v>
          </cell>
          <cell r="E95">
            <v>165653</v>
          </cell>
          <cell r="F95">
            <v>135709</v>
          </cell>
          <cell r="G95">
            <v>110173</v>
          </cell>
          <cell r="H95">
            <v>0</v>
          </cell>
          <cell r="I95">
            <v>0</v>
          </cell>
        </row>
        <row r="96">
          <cell r="A96">
            <v>91024</v>
          </cell>
          <cell r="B96" t="str">
            <v>TOWN OF CAROLINA SHORES</v>
          </cell>
          <cell r="C96">
            <v>9.3599999999999998E-5</v>
          </cell>
          <cell r="E96">
            <v>16770</v>
          </cell>
          <cell r="F96">
            <v>13738</v>
          </cell>
          <cell r="G96">
            <v>11153</v>
          </cell>
          <cell r="H96">
            <v>0</v>
          </cell>
          <cell r="I96">
            <v>0</v>
          </cell>
        </row>
        <row r="97">
          <cell r="A97">
            <v>91026</v>
          </cell>
          <cell r="B97" t="str">
            <v>TOWN OF NAVASSA</v>
          </cell>
          <cell r="C97">
            <v>3.1099999999999997E-5</v>
          </cell>
          <cell r="E97">
            <v>5572</v>
          </cell>
          <cell r="F97">
            <v>4565</v>
          </cell>
          <cell r="G97">
            <v>3706</v>
          </cell>
          <cell r="H97">
            <v>0</v>
          </cell>
          <cell r="I97">
            <v>0</v>
          </cell>
        </row>
        <row r="98">
          <cell r="A98">
            <v>91027</v>
          </cell>
          <cell r="B98" t="str">
            <v>OAK ISLAND ABC BD</v>
          </cell>
          <cell r="C98">
            <v>1.7E-5</v>
          </cell>
          <cell r="E98">
            <v>3046</v>
          </cell>
          <cell r="F98">
            <v>2495</v>
          </cell>
          <cell r="G98">
            <v>2026</v>
          </cell>
          <cell r="H98">
            <v>0</v>
          </cell>
          <cell r="I98">
            <v>0</v>
          </cell>
        </row>
        <row r="99">
          <cell r="A99">
            <v>91032</v>
          </cell>
          <cell r="B99" t="str">
            <v>TOWN OF ST JAMES</v>
          </cell>
          <cell r="C99">
            <v>1.66E-5</v>
          </cell>
          <cell r="E99">
            <v>2974</v>
          </cell>
          <cell r="F99">
            <v>2436</v>
          </cell>
          <cell r="G99">
            <v>1978</v>
          </cell>
          <cell r="H99">
            <v>0</v>
          </cell>
          <cell r="I99">
            <v>0</v>
          </cell>
        </row>
        <row r="100">
          <cell r="A100">
            <v>91041</v>
          </cell>
          <cell r="B100" t="str">
            <v>TOWN OF SUNSET BEACH</v>
          </cell>
          <cell r="C100">
            <v>4.3379999999999997E-4</v>
          </cell>
          <cell r="E100">
            <v>77720</v>
          </cell>
          <cell r="F100">
            <v>63671</v>
          </cell>
          <cell r="G100">
            <v>51690</v>
          </cell>
          <cell r="H100">
            <v>0</v>
          </cell>
          <cell r="I100">
            <v>0</v>
          </cell>
        </row>
        <row r="101">
          <cell r="A101">
            <v>91042</v>
          </cell>
          <cell r="B101" t="str">
            <v>BRUNSWICK REGIONAL WATER AND SEWER H2GO</v>
          </cell>
          <cell r="C101">
            <v>2.6259999999999999E-4</v>
          </cell>
          <cell r="E101">
            <v>47048</v>
          </cell>
          <cell r="F101">
            <v>38543</v>
          </cell>
          <cell r="G101">
            <v>31291</v>
          </cell>
          <cell r="H101">
            <v>0</v>
          </cell>
          <cell r="I101">
            <v>0</v>
          </cell>
        </row>
        <row r="102">
          <cell r="A102">
            <v>91047</v>
          </cell>
          <cell r="B102" t="str">
            <v>TOWN OF SUNSET BEACH ABC BOARD</v>
          </cell>
          <cell r="C102">
            <v>1.15E-5</v>
          </cell>
          <cell r="E102">
            <v>2060</v>
          </cell>
          <cell r="F102">
            <v>1688</v>
          </cell>
          <cell r="G102">
            <v>1370</v>
          </cell>
          <cell r="H102">
            <v>0</v>
          </cell>
          <cell r="I102">
            <v>0</v>
          </cell>
        </row>
        <row r="103">
          <cell r="A103">
            <v>91051</v>
          </cell>
          <cell r="B103" t="str">
            <v>TOWN OF CASWELL BEACH</v>
          </cell>
          <cell r="C103">
            <v>6.2799999999999995E-5</v>
          </cell>
          <cell r="E103">
            <v>11251</v>
          </cell>
          <cell r="F103">
            <v>9218</v>
          </cell>
          <cell r="G103">
            <v>7483</v>
          </cell>
          <cell r="H103">
            <v>0</v>
          </cell>
          <cell r="I103">
            <v>0</v>
          </cell>
        </row>
        <row r="104">
          <cell r="A104">
            <v>91057</v>
          </cell>
          <cell r="B104" t="str">
            <v>SHALLOTTE ABC BOARD</v>
          </cell>
          <cell r="C104">
            <v>1.5699999999999999E-5</v>
          </cell>
          <cell r="E104">
            <v>2813</v>
          </cell>
          <cell r="F104">
            <v>2304</v>
          </cell>
          <cell r="G104">
            <v>1871</v>
          </cell>
          <cell r="H104">
            <v>0</v>
          </cell>
          <cell r="I104">
            <v>0</v>
          </cell>
        </row>
        <row r="105">
          <cell r="A105">
            <v>91061</v>
          </cell>
          <cell r="B105" t="str">
            <v>TOWN OF OCEAN ISLE BEACH</v>
          </cell>
          <cell r="C105">
            <v>3.8039999999999998E-4</v>
          </cell>
          <cell r="E105">
            <v>68153</v>
          </cell>
          <cell r="F105">
            <v>55834</v>
          </cell>
          <cell r="G105">
            <v>45327</v>
          </cell>
          <cell r="H105">
            <v>0</v>
          </cell>
          <cell r="I105">
            <v>0</v>
          </cell>
        </row>
        <row r="106">
          <cell r="A106">
            <v>91067</v>
          </cell>
          <cell r="B106" t="str">
            <v>OCEAN ISLE BEACH ABC BOARD</v>
          </cell>
          <cell r="C106">
            <v>1.6200000000000001E-5</v>
          </cell>
          <cell r="E106">
            <v>2902</v>
          </cell>
          <cell r="F106">
            <v>2378</v>
          </cell>
          <cell r="G106">
            <v>1930</v>
          </cell>
          <cell r="H106">
            <v>0</v>
          </cell>
          <cell r="I106">
            <v>0</v>
          </cell>
        </row>
        <row r="107">
          <cell r="A107">
            <v>91071</v>
          </cell>
          <cell r="B107" t="str">
            <v>CITY OF BOILING SPRG LAKES</v>
          </cell>
          <cell r="C107">
            <v>2.4489999999999999E-4</v>
          </cell>
          <cell r="E107">
            <v>43877</v>
          </cell>
          <cell r="F107">
            <v>35945</v>
          </cell>
          <cell r="G107">
            <v>29182</v>
          </cell>
          <cell r="H107">
            <v>0</v>
          </cell>
          <cell r="I107">
            <v>0</v>
          </cell>
        </row>
        <row r="108">
          <cell r="A108">
            <v>91077</v>
          </cell>
          <cell r="B108" t="str">
            <v>BOILING SPRING LAKES ABC BOARD</v>
          </cell>
          <cell r="C108">
            <v>5.9000000000000003E-6</v>
          </cell>
          <cell r="E108">
            <v>1057</v>
          </cell>
          <cell r="F108">
            <v>866</v>
          </cell>
          <cell r="G108">
            <v>703</v>
          </cell>
          <cell r="H108">
            <v>0</v>
          </cell>
          <cell r="I108">
            <v>0</v>
          </cell>
        </row>
        <row r="109">
          <cell r="A109">
            <v>91081</v>
          </cell>
          <cell r="B109" t="str">
            <v>TOWN OF SHALLOTTE</v>
          </cell>
          <cell r="C109">
            <v>4.2739999999999998E-4</v>
          </cell>
          <cell r="E109">
            <v>76574</v>
          </cell>
          <cell r="F109">
            <v>62732</v>
          </cell>
          <cell r="G109">
            <v>50928</v>
          </cell>
          <cell r="H109">
            <v>0</v>
          </cell>
          <cell r="I109">
            <v>0</v>
          </cell>
        </row>
        <row r="110">
          <cell r="A110">
            <v>91091</v>
          </cell>
          <cell r="B110" t="str">
            <v>VILLAGE OF BALD HEAD ISLAND</v>
          </cell>
          <cell r="C110">
            <v>5.4540000000000003E-4</v>
          </cell>
          <cell r="E110">
            <v>97715</v>
          </cell>
          <cell r="F110">
            <v>80052</v>
          </cell>
          <cell r="G110">
            <v>64988</v>
          </cell>
          <cell r="H110">
            <v>0</v>
          </cell>
          <cell r="I110">
            <v>0</v>
          </cell>
        </row>
        <row r="111">
          <cell r="A111">
            <v>91101</v>
          </cell>
          <cell r="B111" t="str">
            <v>BUNCOMBE COUNTY</v>
          </cell>
          <cell r="C111">
            <v>1.32874E-2</v>
          </cell>
          <cell r="E111">
            <v>2380597</v>
          </cell>
          <cell r="F111">
            <v>1950271</v>
          </cell>
          <cell r="G111">
            <v>1583287</v>
          </cell>
          <cell r="H111">
            <v>0</v>
          </cell>
          <cell r="I111">
            <v>0</v>
          </cell>
        </row>
        <row r="112">
          <cell r="A112">
            <v>91102</v>
          </cell>
          <cell r="B112" t="str">
            <v>LAND-OF-SKY REGIONAL COUNCIL</v>
          </cell>
          <cell r="C112">
            <v>3.279E-4</v>
          </cell>
          <cell r="E112">
            <v>58747</v>
          </cell>
          <cell r="F112">
            <v>48128</v>
          </cell>
          <cell r="G112">
            <v>39072</v>
          </cell>
          <cell r="H112">
            <v>0</v>
          </cell>
          <cell r="I112">
            <v>0</v>
          </cell>
        </row>
        <row r="113">
          <cell r="A113">
            <v>91104</v>
          </cell>
          <cell r="B113" t="str">
            <v>WOODFIN ABC COMMISSION</v>
          </cell>
          <cell r="C113">
            <v>1.66E-5</v>
          </cell>
          <cell r="E113">
            <v>2974</v>
          </cell>
          <cell r="F113">
            <v>2436</v>
          </cell>
          <cell r="G113">
            <v>1978</v>
          </cell>
          <cell r="H113">
            <v>0</v>
          </cell>
          <cell r="I113">
            <v>0</v>
          </cell>
        </row>
        <row r="114">
          <cell r="A114">
            <v>91107</v>
          </cell>
          <cell r="B114" t="str">
            <v>WESTERN AIR POLLUTION CTL</v>
          </cell>
          <cell r="C114">
            <v>5.4500000000000003E-5</v>
          </cell>
          <cell r="E114">
            <v>9764</v>
          </cell>
          <cell r="F114">
            <v>7999</v>
          </cell>
          <cell r="G114">
            <v>6494</v>
          </cell>
          <cell r="H114">
            <v>0</v>
          </cell>
          <cell r="I114">
            <v>0</v>
          </cell>
        </row>
        <row r="115">
          <cell r="A115">
            <v>91108</v>
          </cell>
          <cell r="B115" t="str">
            <v>METRO SEWERAGE DIST OF BUNCOMBE COUNTY</v>
          </cell>
          <cell r="C115">
            <v>1.1929E-3</v>
          </cell>
          <cell r="E115">
            <v>213722</v>
          </cell>
          <cell r="F115">
            <v>175089</v>
          </cell>
          <cell r="G115">
            <v>142142</v>
          </cell>
          <cell r="H115">
            <v>0</v>
          </cell>
          <cell r="I115">
            <v>0</v>
          </cell>
        </row>
        <row r="116">
          <cell r="A116">
            <v>91109</v>
          </cell>
          <cell r="B116" t="str">
            <v>WOODFIN SANITARY WATER AND SEWER DIST</v>
          </cell>
          <cell r="C116">
            <v>9.8300000000000004E-5</v>
          </cell>
          <cell r="E116">
            <v>17612</v>
          </cell>
          <cell r="F116">
            <v>14428</v>
          </cell>
          <cell r="G116">
            <v>11713</v>
          </cell>
          <cell r="H116">
            <v>0</v>
          </cell>
          <cell r="I116">
            <v>0</v>
          </cell>
        </row>
        <row r="117">
          <cell r="A117">
            <v>91111</v>
          </cell>
          <cell r="B117" t="str">
            <v>TOWN OF BILTMORE FOREST</v>
          </cell>
          <cell r="C117">
            <v>1.973E-4</v>
          </cell>
          <cell r="E117">
            <v>35349</v>
          </cell>
          <cell r="F117">
            <v>28959</v>
          </cell>
          <cell r="G117">
            <v>23510</v>
          </cell>
          <cell r="H117">
            <v>0</v>
          </cell>
          <cell r="I117">
            <v>0</v>
          </cell>
        </row>
        <row r="118">
          <cell r="A118">
            <v>91119</v>
          </cell>
          <cell r="B118" t="str">
            <v>WESTERN HIGHLAND AREA AUTHORITY</v>
          </cell>
          <cell r="C118">
            <v>0</v>
          </cell>
          <cell r="E118">
            <v>0</v>
          </cell>
          <cell r="F118">
            <v>0</v>
          </cell>
          <cell r="G118">
            <v>0</v>
          </cell>
          <cell r="H118">
            <v>0</v>
          </cell>
          <cell r="I118">
            <v>0</v>
          </cell>
        </row>
        <row r="119">
          <cell r="A119">
            <v>91120</v>
          </cell>
          <cell r="B119" t="str">
            <v>WEST BUNCOMBE FIRE DEPT</v>
          </cell>
          <cell r="C119">
            <v>1.807E-4</v>
          </cell>
          <cell r="E119">
            <v>32375</v>
          </cell>
          <cell r="F119">
            <v>26522</v>
          </cell>
          <cell r="G119">
            <v>21532</v>
          </cell>
          <cell r="H119">
            <v>0</v>
          </cell>
          <cell r="I119">
            <v>0</v>
          </cell>
        </row>
        <row r="120">
          <cell r="A120">
            <v>91121</v>
          </cell>
          <cell r="B120" t="str">
            <v>CITY OF ASHEVILLE</v>
          </cell>
          <cell r="C120">
            <v>1.03844E-2</v>
          </cell>
          <cell r="E120">
            <v>1860490</v>
          </cell>
          <cell r="F120">
            <v>1524181</v>
          </cell>
          <cell r="G120">
            <v>1237374</v>
          </cell>
          <cell r="H120">
            <v>0</v>
          </cell>
          <cell r="I120">
            <v>0</v>
          </cell>
        </row>
        <row r="121">
          <cell r="A121">
            <v>91127</v>
          </cell>
          <cell r="B121" t="str">
            <v>ASHEVILLE ABC BOARD</v>
          </cell>
          <cell r="C121">
            <v>2.7989999999999997E-4</v>
          </cell>
          <cell r="E121">
            <v>50147</v>
          </cell>
          <cell r="F121">
            <v>41083</v>
          </cell>
          <cell r="G121">
            <v>33352</v>
          </cell>
          <cell r="H121">
            <v>0</v>
          </cell>
          <cell r="I121">
            <v>0</v>
          </cell>
        </row>
        <row r="122">
          <cell r="A122">
            <v>91128</v>
          </cell>
          <cell r="B122" t="str">
            <v>ASHEVILLE REGIONAL AIRPORT AUTHORITY</v>
          </cell>
          <cell r="C122">
            <v>4.6710000000000002E-4</v>
          </cell>
          <cell r="E122">
            <v>83687</v>
          </cell>
          <cell r="F122">
            <v>68559</v>
          </cell>
          <cell r="G122">
            <v>55658</v>
          </cell>
          <cell r="H122">
            <v>0</v>
          </cell>
          <cell r="I122">
            <v>0</v>
          </cell>
        </row>
        <row r="123">
          <cell r="A123">
            <v>91138</v>
          </cell>
          <cell r="B123" t="str">
            <v>SKYLAND VOL FIRE DEPT</v>
          </cell>
          <cell r="C123">
            <v>4.8010000000000001E-4</v>
          </cell>
          <cell r="E123">
            <v>86016</v>
          </cell>
          <cell r="F123">
            <v>70467</v>
          </cell>
          <cell r="G123">
            <v>57207</v>
          </cell>
          <cell r="H123">
            <v>0</v>
          </cell>
          <cell r="I123">
            <v>0</v>
          </cell>
        </row>
        <row r="124">
          <cell r="A124">
            <v>91141</v>
          </cell>
          <cell r="B124" t="str">
            <v>TOWN OF WEAVERVILLE</v>
          </cell>
          <cell r="C124">
            <v>6.3610000000000001E-4</v>
          </cell>
          <cell r="E124">
            <v>113965</v>
          </cell>
          <cell r="F124">
            <v>93364</v>
          </cell>
          <cell r="G124">
            <v>75796</v>
          </cell>
          <cell r="H124">
            <v>0</v>
          </cell>
          <cell r="I124">
            <v>0</v>
          </cell>
        </row>
        <row r="125">
          <cell r="A125">
            <v>91147</v>
          </cell>
          <cell r="B125" t="str">
            <v>WEAVERVILLE ABC BOARD</v>
          </cell>
          <cell r="C125">
            <v>2.5400000000000001E-5</v>
          </cell>
          <cell r="E125">
            <v>4551</v>
          </cell>
          <cell r="F125">
            <v>3728</v>
          </cell>
          <cell r="G125">
            <v>3027</v>
          </cell>
          <cell r="H125">
            <v>0</v>
          </cell>
          <cell r="I125">
            <v>0</v>
          </cell>
        </row>
        <row r="126">
          <cell r="A126">
            <v>91151</v>
          </cell>
          <cell r="B126" t="str">
            <v>TOWN OF BLACK MOUNTAIN</v>
          </cell>
          <cell r="C126">
            <v>5.8460000000000001E-4</v>
          </cell>
          <cell r="E126">
            <v>104738</v>
          </cell>
          <cell r="F126">
            <v>85805</v>
          </cell>
          <cell r="G126">
            <v>69659</v>
          </cell>
          <cell r="H126">
            <v>0</v>
          </cell>
          <cell r="I126">
            <v>0</v>
          </cell>
        </row>
        <row r="127">
          <cell r="A127">
            <v>91154</v>
          </cell>
          <cell r="B127" t="str">
            <v>BLACK MTN ABC BOARD</v>
          </cell>
          <cell r="C127">
            <v>2.0999999999999999E-5</v>
          </cell>
          <cell r="E127">
            <v>3762</v>
          </cell>
          <cell r="F127">
            <v>3082</v>
          </cell>
          <cell r="G127">
            <v>2502</v>
          </cell>
          <cell r="H127">
            <v>0</v>
          </cell>
          <cell r="I127">
            <v>0</v>
          </cell>
        </row>
        <row r="128">
          <cell r="A128">
            <v>91161</v>
          </cell>
          <cell r="B128" t="str">
            <v>TOWN OF MONTREAT</v>
          </cell>
          <cell r="C128">
            <v>1.0509999999999999E-4</v>
          </cell>
          <cell r="E128">
            <v>18830</v>
          </cell>
          <cell r="F128">
            <v>15426</v>
          </cell>
          <cell r="G128">
            <v>12523</v>
          </cell>
          <cell r="H128">
            <v>0</v>
          </cell>
          <cell r="I128">
            <v>0</v>
          </cell>
        </row>
        <row r="129">
          <cell r="A129">
            <v>91171</v>
          </cell>
          <cell r="B129" t="str">
            <v>TOWN OF WOODFIN</v>
          </cell>
          <cell r="C129">
            <v>2.6820000000000001E-4</v>
          </cell>
          <cell r="E129">
            <v>48051</v>
          </cell>
          <cell r="F129">
            <v>39365</v>
          </cell>
          <cell r="G129">
            <v>31958</v>
          </cell>
          <cell r="H129">
            <v>0</v>
          </cell>
          <cell r="I129">
            <v>0</v>
          </cell>
        </row>
        <row r="130">
          <cell r="A130">
            <v>91201</v>
          </cell>
          <cell r="B130" t="str">
            <v>BURKE COUNTY</v>
          </cell>
          <cell r="C130">
            <v>2.2897999999999998E-3</v>
          </cell>
          <cell r="E130">
            <v>410245</v>
          </cell>
          <cell r="F130">
            <v>336088</v>
          </cell>
          <cell r="G130">
            <v>272846</v>
          </cell>
          <cell r="H130">
            <v>0</v>
          </cell>
          <cell r="I130">
            <v>0</v>
          </cell>
        </row>
        <row r="131">
          <cell r="A131">
            <v>91202</v>
          </cell>
          <cell r="B131" t="str">
            <v>BURKE-CATAWBA DIST CONFINEMENT</v>
          </cell>
          <cell r="C131">
            <v>1.752E-4</v>
          </cell>
          <cell r="E131">
            <v>31389</v>
          </cell>
          <cell r="F131">
            <v>25715</v>
          </cell>
          <cell r="G131">
            <v>20876</v>
          </cell>
          <cell r="H131">
            <v>0</v>
          </cell>
          <cell r="I131">
            <v>0</v>
          </cell>
        </row>
        <row r="132">
          <cell r="A132">
            <v>91203</v>
          </cell>
          <cell r="B132" t="str">
            <v>BURKE CO HEALTH DEPT</v>
          </cell>
          <cell r="C132">
            <v>2.2670000000000001E-4</v>
          </cell>
          <cell r="E132">
            <v>40616</v>
          </cell>
          <cell r="F132">
            <v>33274</v>
          </cell>
          <cell r="G132">
            <v>27013</v>
          </cell>
          <cell r="H132">
            <v>0</v>
          </cell>
          <cell r="I132">
            <v>0</v>
          </cell>
        </row>
        <row r="133">
          <cell r="A133">
            <v>91206</v>
          </cell>
          <cell r="B133" t="str">
            <v>BURKE CO DEPT OF SOCIAL SERVICES</v>
          </cell>
          <cell r="C133">
            <v>9.525E-4</v>
          </cell>
          <cell r="E133">
            <v>170652</v>
          </cell>
          <cell r="F133">
            <v>139804</v>
          </cell>
          <cell r="G133">
            <v>113497</v>
          </cell>
          <cell r="H133">
            <v>0</v>
          </cell>
          <cell r="I133">
            <v>0</v>
          </cell>
        </row>
        <row r="134">
          <cell r="A134">
            <v>91208</v>
          </cell>
          <cell r="B134" t="str">
            <v>BURKE COUNTY TOURISM DEV. AUTHORITY</v>
          </cell>
          <cell r="C134">
            <v>1.9000000000000001E-5</v>
          </cell>
          <cell r="E134">
            <v>3404</v>
          </cell>
          <cell r="F134">
            <v>2789</v>
          </cell>
          <cell r="G134">
            <v>2264</v>
          </cell>
          <cell r="H134">
            <v>0</v>
          </cell>
          <cell r="I134">
            <v>0</v>
          </cell>
        </row>
        <row r="135">
          <cell r="A135">
            <v>91211</v>
          </cell>
          <cell r="B135" t="str">
            <v>TOWN OF VALDESE</v>
          </cell>
          <cell r="C135">
            <v>4.4870000000000001E-4</v>
          </cell>
          <cell r="E135">
            <v>80390</v>
          </cell>
          <cell r="F135">
            <v>65858</v>
          </cell>
          <cell r="G135">
            <v>53466</v>
          </cell>
          <cell r="H135">
            <v>0</v>
          </cell>
          <cell r="I135">
            <v>0</v>
          </cell>
        </row>
        <row r="136">
          <cell r="A136">
            <v>91213</v>
          </cell>
          <cell r="B136" t="str">
            <v>VALDESE HOUSING AUTHORITY</v>
          </cell>
          <cell r="C136">
            <v>2.9200000000000002E-5</v>
          </cell>
          <cell r="E136">
            <v>5232</v>
          </cell>
          <cell r="F136">
            <v>4286</v>
          </cell>
          <cell r="G136">
            <v>3479</v>
          </cell>
          <cell r="H136">
            <v>0</v>
          </cell>
          <cell r="I136">
            <v>0</v>
          </cell>
        </row>
        <row r="137">
          <cell r="A137">
            <v>91214</v>
          </cell>
          <cell r="B137" t="str">
            <v>TOWN OF RUTHERFORD COLLEGE</v>
          </cell>
          <cell r="C137">
            <v>3.5800000000000003E-5</v>
          </cell>
          <cell r="E137">
            <v>6414</v>
          </cell>
          <cell r="F137">
            <v>5255</v>
          </cell>
          <cell r="G137">
            <v>4266</v>
          </cell>
          <cell r="H137">
            <v>0</v>
          </cell>
          <cell r="I137">
            <v>0</v>
          </cell>
        </row>
        <row r="138">
          <cell r="A138">
            <v>91217</v>
          </cell>
          <cell r="B138" t="str">
            <v>MORGANTON ABC BOARD</v>
          </cell>
          <cell r="C138">
            <v>2.0400000000000001E-5</v>
          </cell>
          <cell r="E138">
            <v>3655</v>
          </cell>
          <cell r="F138">
            <v>2994</v>
          </cell>
          <cell r="G138">
            <v>2431</v>
          </cell>
          <cell r="H138">
            <v>0</v>
          </cell>
          <cell r="I138">
            <v>0</v>
          </cell>
        </row>
        <row r="139">
          <cell r="A139">
            <v>91221</v>
          </cell>
          <cell r="B139" t="str">
            <v>TOWN OF DREXEL</v>
          </cell>
          <cell r="C139">
            <v>1.099E-4</v>
          </cell>
          <cell r="E139">
            <v>19690</v>
          </cell>
          <cell r="F139">
            <v>16131</v>
          </cell>
          <cell r="G139">
            <v>13095</v>
          </cell>
          <cell r="H139">
            <v>0</v>
          </cell>
          <cell r="I139">
            <v>0</v>
          </cell>
        </row>
        <row r="140">
          <cell r="A140">
            <v>91231</v>
          </cell>
          <cell r="B140" t="str">
            <v>CITY OF MORGANTON</v>
          </cell>
          <cell r="C140">
            <v>1.8722999999999999E-3</v>
          </cell>
          <cell r="E140">
            <v>335445</v>
          </cell>
          <cell r="F140">
            <v>274809</v>
          </cell>
          <cell r="G140">
            <v>223098</v>
          </cell>
          <cell r="H140">
            <v>0</v>
          </cell>
          <cell r="I140">
            <v>0</v>
          </cell>
        </row>
        <row r="141">
          <cell r="A141">
            <v>91233</v>
          </cell>
          <cell r="B141" t="str">
            <v>MORGANTON HOUSING AUTHORITY</v>
          </cell>
          <cell r="C141">
            <v>6.1699999999999995E-5</v>
          </cell>
          <cell r="E141">
            <v>11054</v>
          </cell>
          <cell r="F141">
            <v>9056</v>
          </cell>
          <cell r="G141">
            <v>7352</v>
          </cell>
          <cell r="H141">
            <v>0</v>
          </cell>
          <cell r="I141">
            <v>0</v>
          </cell>
        </row>
        <row r="142">
          <cell r="A142">
            <v>91241</v>
          </cell>
          <cell r="B142" t="str">
            <v>TOWN OF GLEN ALPINE</v>
          </cell>
          <cell r="C142">
            <v>5.3499999999999999E-5</v>
          </cell>
          <cell r="E142">
            <v>9585</v>
          </cell>
          <cell r="F142">
            <v>7853</v>
          </cell>
          <cell r="G142">
            <v>6375</v>
          </cell>
          <cell r="H142">
            <v>0</v>
          </cell>
          <cell r="I142">
            <v>0</v>
          </cell>
        </row>
        <row r="143">
          <cell r="A143">
            <v>91251</v>
          </cell>
          <cell r="B143" t="str">
            <v>TOWN OF HILDEBRAN</v>
          </cell>
          <cell r="C143">
            <v>2.0000000000000002E-5</v>
          </cell>
          <cell r="E143">
            <v>3583</v>
          </cell>
          <cell r="F143">
            <v>2936</v>
          </cell>
          <cell r="G143">
            <v>2383</v>
          </cell>
          <cell r="H143">
            <v>0</v>
          </cell>
          <cell r="I143">
            <v>0</v>
          </cell>
        </row>
        <row r="144">
          <cell r="A144">
            <v>91261</v>
          </cell>
          <cell r="B144" t="str">
            <v>TOWN OF CONNELLY SPRINGS</v>
          </cell>
          <cell r="C144">
            <v>9.7000000000000003E-6</v>
          </cell>
          <cell r="E144">
            <v>1738</v>
          </cell>
          <cell r="F144">
            <v>1424</v>
          </cell>
          <cell r="G144">
            <v>1156</v>
          </cell>
          <cell r="H144">
            <v>0</v>
          </cell>
          <cell r="I144">
            <v>0</v>
          </cell>
        </row>
        <row r="145">
          <cell r="A145">
            <v>91301</v>
          </cell>
          <cell r="B145" t="str">
            <v>CABARRUS COUNTY</v>
          </cell>
          <cell r="C145">
            <v>7.9497999999999999E-3</v>
          </cell>
          <cell r="E145">
            <v>1424302</v>
          </cell>
          <cell r="F145">
            <v>1166840</v>
          </cell>
          <cell r="G145">
            <v>947274</v>
          </cell>
          <cell r="H145">
            <v>0</v>
          </cell>
          <cell r="I145">
            <v>0</v>
          </cell>
        </row>
        <row r="146">
          <cell r="A146">
            <v>91302</v>
          </cell>
          <cell r="B146" t="str">
            <v>WATER &amp; SEWER AUTH CABARRUS CNTY</v>
          </cell>
          <cell r="C146">
            <v>5.354E-4</v>
          </cell>
          <cell r="E146">
            <v>95923</v>
          </cell>
          <cell r="F146">
            <v>78584</v>
          </cell>
          <cell r="G146">
            <v>63797</v>
          </cell>
          <cell r="H146">
            <v>0</v>
          </cell>
          <cell r="I146">
            <v>0</v>
          </cell>
        </row>
        <row r="147">
          <cell r="A147">
            <v>91306</v>
          </cell>
          <cell r="B147" t="str">
            <v>CABARRUS CO PUBLIC HEALTH AUTH</v>
          </cell>
          <cell r="C147">
            <v>1.8244999999999999E-3</v>
          </cell>
          <cell r="E147">
            <v>326881</v>
          </cell>
          <cell r="F147">
            <v>267793</v>
          </cell>
          <cell r="G147">
            <v>217402</v>
          </cell>
          <cell r="H147">
            <v>0</v>
          </cell>
          <cell r="I147">
            <v>0</v>
          </cell>
        </row>
        <row r="148">
          <cell r="A148">
            <v>91308</v>
          </cell>
          <cell r="B148" t="str">
            <v>CABARRUS COUNTY TOURISM AUTHORITY</v>
          </cell>
          <cell r="C148">
            <v>1.7009999999999999E-4</v>
          </cell>
          <cell r="E148">
            <v>30475</v>
          </cell>
          <cell r="F148">
            <v>24967</v>
          </cell>
          <cell r="G148">
            <v>20269</v>
          </cell>
          <cell r="H148">
            <v>0</v>
          </cell>
          <cell r="I148">
            <v>0</v>
          </cell>
        </row>
        <row r="149">
          <cell r="A149">
            <v>91311</v>
          </cell>
          <cell r="B149" t="str">
            <v>CITY OF CONCORD</v>
          </cell>
          <cell r="C149">
            <v>7.9030000000000003E-3</v>
          </cell>
          <cell r="E149">
            <v>1415917</v>
          </cell>
          <cell r="F149">
            <v>1159971</v>
          </cell>
          <cell r="G149">
            <v>941698</v>
          </cell>
          <cell r="H149">
            <v>0</v>
          </cell>
          <cell r="I149">
            <v>0</v>
          </cell>
        </row>
        <row r="150">
          <cell r="A150">
            <v>91317</v>
          </cell>
          <cell r="B150" t="str">
            <v>CONCORD ABC BOARD</v>
          </cell>
          <cell r="C150">
            <v>1.015E-4</v>
          </cell>
          <cell r="E150">
            <v>18185</v>
          </cell>
          <cell r="F150">
            <v>14898</v>
          </cell>
          <cell r="G150">
            <v>12094</v>
          </cell>
          <cell r="H150">
            <v>0</v>
          </cell>
          <cell r="I150">
            <v>0</v>
          </cell>
        </row>
        <row r="151">
          <cell r="A151">
            <v>91321</v>
          </cell>
          <cell r="B151" t="str">
            <v>TOWN OF MOUNT PLEASANT</v>
          </cell>
          <cell r="C151">
            <v>5.3600000000000002E-5</v>
          </cell>
          <cell r="E151">
            <v>9603</v>
          </cell>
          <cell r="F151">
            <v>7867</v>
          </cell>
          <cell r="G151">
            <v>6387</v>
          </cell>
          <cell r="H151">
            <v>0</v>
          </cell>
          <cell r="I151">
            <v>0</v>
          </cell>
        </row>
        <row r="152">
          <cell r="A152">
            <v>91327</v>
          </cell>
          <cell r="B152" t="str">
            <v>MT PLEASANT ABC BOARD</v>
          </cell>
          <cell r="C152">
            <v>1.0900000000000001E-5</v>
          </cell>
          <cell r="E152">
            <v>1953</v>
          </cell>
          <cell r="F152">
            <v>1600</v>
          </cell>
          <cell r="G152">
            <v>1299</v>
          </cell>
          <cell r="H152">
            <v>0</v>
          </cell>
          <cell r="I152">
            <v>0</v>
          </cell>
        </row>
        <row r="153">
          <cell r="A153">
            <v>91331</v>
          </cell>
          <cell r="B153" t="str">
            <v>CITY OF KANNAPOLIS</v>
          </cell>
          <cell r="C153">
            <v>2.9286E-3</v>
          </cell>
          <cell r="E153">
            <v>524694</v>
          </cell>
          <cell r="F153">
            <v>429848</v>
          </cell>
          <cell r="G153">
            <v>348963</v>
          </cell>
          <cell r="H153">
            <v>0</v>
          </cell>
          <cell r="I153">
            <v>0</v>
          </cell>
        </row>
        <row r="154">
          <cell r="A154">
            <v>91341</v>
          </cell>
          <cell r="B154" t="str">
            <v>TOWN OF MIDLAND</v>
          </cell>
          <cell r="C154">
            <v>3.79E-5</v>
          </cell>
          <cell r="E154">
            <v>6790</v>
          </cell>
          <cell r="F154">
            <v>5563</v>
          </cell>
          <cell r="G154">
            <v>4516</v>
          </cell>
          <cell r="H154">
            <v>0</v>
          </cell>
          <cell r="I154">
            <v>0</v>
          </cell>
        </row>
        <row r="155">
          <cell r="A155">
            <v>91401</v>
          </cell>
          <cell r="B155" t="str">
            <v>CALDWELL COUNTY</v>
          </cell>
          <cell r="C155">
            <v>3.3915999999999998E-3</v>
          </cell>
          <cell r="E155">
            <v>607646</v>
          </cell>
          <cell r="F155">
            <v>497805</v>
          </cell>
          <cell r="G155">
            <v>404133</v>
          </cell>
          <cell r="H155">
            <v>0</v>
          </cell>
          <cell r="I155">
            <v>0</v>
          </cell>
        </row>
        <row r="156">
          <cell r="A156">
            <v>91411</v>
          </cell>
          <cell r="B156" t="str">
            <v>TOWN OF GRANITE FALLS</v>
          </cell>
          <cell r="C156">
            <v>3.9639999999999999E-4</v>
          </cell>
          <cell r="E156">
            <v>71020</v>
          </cell>
          <cell r="F156">
            <v>58182</v>
          </cell>
          <cell r="G156">
            <v>47234</v>
          </cell>
          <cell r="H156">
            <v>0</v>
          </cell>
          <cell r="I156">
            <v>0</v>
          </cell>
        </row>
        <row r="157">
          <cell r="A157">
            <v>91414</v>
          </cell>
          <cell r="B157" t="str">
            <v>TOWN OF RHODHISS</v>
          </cell>
          <cell r="C157">
            <v>2.2200000000000001E-5</v>
          </cell>
          <cell r="E157">
            <v>3977</v>
          </cell>
          <cell r="F157">
            <v>3258</v>
          </cell>
          <cell r="G157">
            <v>2645</v>
          </cell>
          <cell r="H157">
            <v>0</v>
          </cell>
          <cell r="I157">
            <v>0</v>
          </cell>
        </row>
        <row r="158">
          <cell r="A158">
            <v>91417</v>
          </cell>
          <cell r="B158" t="str">
            <v>GRANITE FALLS ABC BOARD</v>
          </cell>
          <cell r="C158">
            <v>7.3000000000000004E-6</v>
          </cell>
          <cell r="E158">
            <v>1308</v>
          </cell>
          <cell r="F158">
            <v>1071</v>
          </cell>
          <cell r="G158">
            <v>870</v>
          </cell>
          <cell r="H158">
            <v>0</v>
          </cell>
          <cell r="I158">
            <v>0</v>
          </cell>
        </row>
        <row r="159">
          <cell r="A159">
            <v>91421</v>
          </cell>
          <cell r="B159" t="str">
            <v>TOWN OF SAWMILLS</v>
          </cell>
          <cell r="C159">
            <v>6.69E-5</v>
          </cell>
          <cell r="E159">
            <v>11986</v>
          </cell>
          <cell r="F159">
            <v>9819</v>
          </cell>
          <cell r="G159">
            <v>7972</v>
          </cell>
          <cell r="H159">
            <v>0</v>
          </cell>
          <cell r="I159">
            <v>0</v>
          </cell>
        </row>
        <row r="160">
          <cell r="A160">
            <v>91423</v>
          </cell>
          <cell r="B160" t="str">
            <v>LENOIR HOUSING AUTHORITY</v>
          </cell>
          <cell r="C160">
            <v>5.2899999999999998E-5</v>
          </cell>
          <cell r="E160">
            <v>9478</v>
          </cell>
          <cell r="F160">
            <v>7764</v>
          </cell>
          <cell r="G160">
            <v>6303</v>
          </cell>
          <cell r="H160">
            <v>0</v>
          </cell>
          <cell r="I160">
            <v>0</v>
          </cell>
        </row>
        <row r="161">
          <cell r="A161">
            <v>91431</v>
          </cell>
          <cell r="B161" t="str">
            <v>TOWN OF HUDSON</v>
          </cell>
          <cell r="C161">
            <v>1.819E-4</v>
          </cell>
          <cell r="E161">
            <v>32590</v>
          </cell>
          <cell r="F161">
            <v>26699</v>
          </cell>
          <cell r="G161">
            <v>21675</v>
          </cell>
          <cell r="H161">
            <v>0</v>
          </cell>
          <cell r="I161">
            <v>0</v>
          </cell>
        </row>
        <row r="162">
          <cell r="A162">
            <v>91441</v>
          </cell>
          <cell r="B162" t="str">
            <v>TOWN OF HARRISBURG</v>
          </cell>
          <cell r="C162">
            <v>9.8020000000000008E-4</v>
          </cell>
          <cell r="E162">
            <v>175615</v>
          </cell>
          <cell r="F162">
            <v>143870</v>
          </cell>
          <cell r="G162">
            <v>116798</v>
          </cell>
          <cell r="H162">
            <v>0</v>
          </cell>
          <cell r="I162">
            <v>0</v>
          </cell>
        </row>
        <row r="163">
          <cell r="A163">
            <v>91451</v>
          </cell>
          <cell r="B163" t="str">
            <v>CITY OF LENOIR</v>
          </cell>
          <cell r="C163">
            <v>1.5533999999999999E-3</v>
          </cell>
          <cell r="E163">
            <v>278310</v>
          </cell>
          <cell r="F163">
            <v>228002</v>
          </cell>
          <cell r="G163">
            <v>185098</v>
          </cell>
          <cell r="H163">
            <v>0</v>
          </cell>
          <cell r="I163">
            <v>0</v>
          </cell>
        </row>
        <row r="164">
          <cell r="A164">
            <v>91457</v>
          </cell>
          <cell r="B164" t="str">
            <v>CITY OF LENOIR ABC BRD</v>
          </cell>
          <cell r="C164">
            <v>1.5500000000000001E-5</v>
          </cell>
          <cell r="E164">
            <v>2777</v>
          </cell>
          <cell r="F164">
            <v>2275</v>
          </cell>
          <cell r="G164">
            <v>1847</v>
          </cell>
          <cell r="H164">
            <v>0</v>
          </cell>
          <cell r="I164">
            <v>0</v>
          </cell>
        </row>
        <row r="165">
          <cell r="A165">
            <v>91461</v>
          </cell>
          <cell r="B165" t="str">
            <v>TOWN OF CAJAH'S MOUNTAIN</v>
          </cell>
          <cell r="C165">
            <v>9.5000000000000005E-6</v>
          </cell>
          <cell r="E165">
            <v>1702</v>
          </cell>
          <cell r="F165">
            <v>1394</v>
          </cell>
          <cell r="G165">
            <v>1132</v>
          </cell>
          <cell r="H165">
            <v>0</v>
          </cell>
          <cell r="I165">
            <v>0</v>
          </cell>
        </row>
        <row r="166">
          <cell r="A166">
            <v>91501</v>
          </cell>
          <cell r="B166" t="str">
            <v>CAMDEN COUNTY</v>
          </cell>
          <cell r="C166">
            <v>5.1179999999999997E-4</v>
          </cell>
          <cell r="E166">
            <v>91695</v>
          </cell>
          <cell r="F166">
            <v>75120</v>
          </cell>
          <cell r="G166">
            <v>60985</v>
          </cell>
          <cell r="H166">
            <v>0</v>
          </cell>
          <cell r="I166">
            <v>0</v>
          </cell>
        </row>
        <row r="167">
          <cell r="A167">
            <v>91504</v>
          </cell>
          <cell r="B167" t="str">
            <v>CAMDEN COUNTY ABC BOARD</v>
          </cell>
          <cell r="C167">
            <v>8.3999999999999992E-6</v>
          </cell>
          <cell r="E167">
            <v>1505</v>
          </cell>
          <cell r="F167">
            <v>1233</v>
          </cell>
          <cell r="G167">
            <v>1001</v>
          </cell>
          <cell r="H167">
            <v>0</v>
          </cell>
          <cell r="I167">
            <v>0</v>
          </cell>
        </row>
        <row r="168">
          <cell r="A168">
            <v>91601</v>
          </cell>
          <cell r="B168" t="str">
            <v>CARTERET COUNTY</v>
          </cell>
          <cell r="C168">
            <v>3.0071E-3</v>
          </cell>
          <cell r="E168">
            <v>538758</v>
          </cell>
          <cell r="F168">
            <v>441370</v>
          </cell>
          <cell r="G168">
            <v>358317</v>
          </cell>
          <cell r="H168">
            <v>0</v>
          </cell>
          <cell r="I168">
            <v>0</v>
          </cell>
        </row>
        <row r="169">
          <cell r="A169">
            <v>91604</v>
          </cell>
          <cell r="B169" t="str">
            <v>CARTERET COUNTY ABC BOARD</v>
          </cell>
          <cell r="C169">
            <v>8.5599999999999994E-5</v>
          </cell>
          <cell r="E169">
            <v>15336</v>
          </cell>
          <cell r="F169">
            <v>12564</v>
          </cell>
          <cell r="G169">
            <v>10200</v>
          </cell>
          <cell r="H169">
            <v>0</v>
          </cell>
          <cell r="I169">
            <v>0</v>
          </cell>
        </row>
        <row r="170">
          <cell r="A170">
            <v>91608</v>
          </cell>
          <cell r="B170" t="str">
            <v>WESTERN CARTERET INTERLOCAL COOPERATION AGENCY</v>
          </cell>
          <cell r="C170">
            <v>1.5420000000000001E-4</v>
          </cell>
          <cell r="E170">
            <v>27627</v>
          </cell>
          <cell r="F170">
            <v>22633</v>
          </cell>
          <cell r="G170">
            <v>18374</v>
          </cell>
          <cell r="H170">
            <v>0</v>
          </cell>
          <cell r="I170">
            <v>0</v>
          </cell>
        </row>
        <row r="171">
          <cell r="A171">
            <v>91611</v>
          </cell>
          <cell r="B171" t="str">
            <v>TOWN OF MOREHEAD CITY</v>
          </cell>
          <cell r="C171">
            <v>1.4658E-3</v>
          </cell>
          <cell r="E171">
            <v>262616</v>
          </cell>
          <cell r="F171">
            <v>215144</v>
          </cell>
          <cell r="G171">
            <v>174660</v>
          </cell>
          <cell r="H171">
            <v>0</v>
          </cell>
          <cell r="I171">
            <v>0</v>
          </cell>
        </row>
        <row r="172">
          <cell r="A172">
            <v>91621</v>
          </cell>
          <cell r="B172" t="str">
            <v>TOWN OF NEWPORT</v>
          </cell>
          <cell r="C172">
            <v>2.418E-4</v>
          </cell>
          <cell r="E172">
            <v>43321</v>
          </cell>
          <cell r="F172">
            <v>35490</v>
          </cell>
          <cell r="G172">
            <v>28812</v>
          </cell>
          <cell r="H172">
            <v>0</v>
          </cell>
          <cell r="I172">
            <v>0</v>
          </cell>
        </row>
        <row r="173">
          <cell r="A173">
            <v>91631</v>
          </cell>
          <cell r="B173" t="str">
            <v>TOWN OF BEAUFORT</v>
          </cell>
          <cell r="C173">
            <v>5.9349999999999995E-4</v>
          </cell>
          <cell r="E173">
            <v>106333</v>
          </cell>
          <cell r="F173">
            <v>87112</v>
          </cell>
          <cell r="G173">
            <v>70720</v>
          </cell>
          <cell r="H173">
            <v>0</v>
          </cell>
          <cell r="I173">
            <v>0</v>
          </cell>
        </row>
        <row r="174">
          <cell r="A174">
            <v>91633</v>
          </cell>
          <cell r="B174" t="str">
            <v>BEAUFORT HOUSING AUTH</v>
          </cell>
          <cell r="C174">
            <v>3.15E-5</v>
          </cell>
          <cell r="E174">
            <v>5644</v>
          </cell>
          <cell r="F174">
            <v>4623</v>
          </cell>
          <cell r="G174">
            <v>3753</v>
          </cell>
          <cell r="H174">
            <v>0</v>
          </cell>
          <cell r="I174">
            <v>0</v>
          </cell>
        </row>
        <row r="175">
          <cell r="A175">
            <v>91641</v>
          </cell>
          <cell r="B175" t="str">
            <v>TOWN OF PINE KNOLL SHORES</v>
          </cell>
          <cell r="C175">
            <v>2.8519999999999999E-4</v>
          </cell>
          <cell r="E175">
            <v>51097</v>
          </cell>
          <cell r="F175">
            <v>41861</v>
          </cell>
          <cell r="G175">
            <v>33984</v>
          </cell>
          <cell r="H175">
            <v>0</v>
          </cell>
          <cell r="I175">
            <v>0</v>
          </cell>
        </row>
        <row r="176">
          <cell r="A176">
            <v>91651</v>
          </cell>
          <cell r="B176" t="str">
            <v>TOWN OF EMERALD ISLE</v>
          </cell>
          <cell r="C176">
            <v>5.4049999999999996E-4</v>
          </cell>
          <cell r="E176">
            <v>96837</v>
          </cell>
          <cell r="F176">
            <v>79332</v>
          </cell>
          <cell r="G176">
            <v>64404</v>
          </cell>
          <cell r="H176">
            <v>0</v>
          </cell>
          <cell r="I176">
            <v>0</v>
          </cell>
        </row>
        <row r="177">
          <cell r="A177">
            <v>91661</v>
          </cell>
          <cell r="B177" t="str">
            <v>TOWN OF INDIAN BEACH</v>
          </cell>
          <cell r="C177">
            <v>1.8760000000000001E-4</v>
          </cell>
          <cell r="E177">
            <v>33611</v>
          </cell>
          <cell r="F177">
            <v>27535</v>
          </cell>
          <cell r="G177">
            <v>22354</v>
          </cell>
          <cell r="H177">
            <v>0</v>
          </cell>
          <cell r="I177">
            <v>0</v>
          </cell>
        </row>
        <row r="178">
          <cell r="A178">
            <v>91671</v>
          </cell>
          <cell r="B178" t="str">
            <v>TOWN OF CAPE CARTERET</v>
          </cell>
          <cell r="C178">
            <v>1.076E-4</v>
          </cell>
          <cell r="E178">
            <v>19278</v>
          </cell>
          <cell r="F178">
            <v>15793</v>
          </cell>
          <cell r="G178">
            <v>12821</v>
          </cell>
          <cell r="H178">
            <v>0</v>
          </cell>
          <cell r="I178">
            <v>0</v>
          </cell>
        </row>
        <row r="179">
          <cell r="A179">
            <v>91681</v>
          </cell>
          <cell r="B179" t="str">
            <v>TOWN OF ATLANTIC BEACH</v>
          </cell>
          <cell r="C179">
            <v>4.5909999999999999E-4</v>
          </cell>
          <cell r="E179">
            <v>82253</v>
          </cell>
          <cell r="F179">
            <v>67385</v>
          </cell>
          <cell r="G179">
            <v>54705</v>
          </cell>
          <cell r="H179">
            <v>0</v>
          </cell>
          <cell r="I179">
            <v>0</v>
          </cell>
        </row>
        <row r="180">
          <cell r="A180">
            <v>91691</v>
          </cell>
          <cell r="B180" t="str">
            <v>TOWN OF CEDAR POINT</v>
          </cell>
          <cell r="C180">
            <v>2.2900000000000001E-5</v>
          </cell>
          <cell r="E180">
            <v>4103</v>
          </cell>
          <cell r="F180">
            <v>3361</v>
          </cell>
          <cell r="G180">
            <v>2729</v>
          </cell>
          <cell r="H180">
            <v>0</v>
          </cell>
          <cell r="I180">
            <v>0</v>
          </cell>
        </row>
        <row r="181">
          <cell r="A181">
            <v>91701</v>
          </cell>
          <cell r="B181" t="str">
            <v>CASWELL COUNTY</v>
          </cell>
          <cell r="C181">
            <v>1.1343E-3</v>
          </cell>
          <cell r="E181">
            <v>203223</v>
          </cell>
          <cell r="F181">
            <v>166488</v>
          </cell>
          <cell r="G181">
            <v>135160</v>
          </cell>
          <cell r="H181">
            <v>0</v>
          </cell>
          <cell r="I181">
            <v>0</v>
          </cell>
        </row>
        <row r="182">
          <cell r="A182">
            <v>91704</v>
          </cell>
          <cell r="B182" t="str">
            <v>CASWELL COUNTY ABC BOARD</v>
          </cell>
          <cell r="C182">
            <v>1.7600000000000001E-5</v>
          </cell>
          <cell r="E182">
            <v>3153</v>
          </cell>
          <cell r="F182">
            <v>2583</v>
          </cell>
          <cell r="G182">
            <v>2097</v>
          </cell>
          <cell r="H182">
            <v>0</v>
          </cell>
          <cell r="I182">
            <v>0</v>
          </cell>
        </row>
        <row r="183">
          <cell r="A183">
            <v>91706</v>
          </cell>
          <cell r="B183" t="str">
            <v>CASWELL CO DEPT OF SOCIAL SERVICES</v>
          </cell>
          <cell r="C183">
            <v>2.543E-4</v>
          </cell>
          <cell r="E183">
            <v>45561</v>
          </cell>
          <cell r="F183">
            <v>37325</v>
          </cell>
          <cell r="G183">
            <v>30302</v>
          </cell>
          <cell r="H183">
            <v>0</v>
          </cell>
          <cell r="I183">
            <v>0</v>
          </cell>
        </row>
        <row r="184">
          <cell r="A184">
            <v>91719</v>
          </cell>
          <cell r="B184" t="str">
            <v>TOWN OF YANCEYVILLE</v>
          </cell>
          <cell r="C184">
            <v>5.6700000000000003E-5</v>
          </cell>
          <cell r="E184">
            <v>10158</v>
          </cell>
          <cell r="F184">
            <v>8322</v>
          </cell>
          <cell r="G184">
            <v>6756</v>
          </cell>
          <cell r="H184">
            <v>0</v>
          </cell>
          <cell r="I184">
            <v>0</v>
          </cell>
        </row>
        <row r="185">
          <cell r="A185">
            <v>91801</v>
          </cell>
          <cell r="B185" t="str">
            <v>CATAWBA COUNTY</v>
          </cell>
          <cell r="C185">
            <v>7.5972000000000001E-3</v>
          </cell>
          <cell r="E185">
            <v>1361130</v>
          </cell>
          <cell r="F185">
            <v>1115087</v>
          </cell>
          <cell r="G185">
            <v>905260</v>
          </cell>
          <cell r="H185">
            <v>0</v>
          </cell>
          <cell r="I185">
            <v>0</v>
          </cell>
        </row>
        <row r="186">
          <cell r="A186">
            <v>91804</v>
          </cell>
          <cell r="B186" t="str">
            <v>CATAWBA COUNTY ABC BOARD</v>
          </cell>
          <cell r="C186">
            <v>1.2459999999999999E-4</v>
          </cell>
          <cell r="E186">
            <v>22324</v>
          </cell>
          <cell r="F186">
            <v>18288</v>
          </cell>
          <cell r="G186">
            <v>14847</v>
          </cell>
          <cell r="H186">
            <v>0</v>
          </cell>
          <cell r="I186">
            <v>0</v>
          </cell>
        </row>
        <row r="187">
          <cell r="A187">
            <v>91811</v>
          </cell>
          <cell r="B187" t="str">
            <v>CITY OF HICKORY</v>
          </cell>
          <cell r="C187">
            <v>4.2429E-3</v>
          </cell>
          <cell r="E187">
            <v>760166</v>
          </cell>
          <cell r="F187">
            <v>622756</v>
          </cell>
          <cell r="G187">
            <v>505571</v>
          </cell>
          <cell r="H187">
            <v>0</v>
          </cell>
          <cell r="I187">
            <v>0</v>
          </cell>
        </row>
        <row r="188">
          <cell r="A188">
            <v>91812</v>
          </cell>
          <cell r="B188" t="str">
            <v>HICKORY CONOVER TOURISM DEV AUTH</v>
          </cell>
          <cell r="C188">
            <v>4.5599999999999997E-5</v>
          </cell>
          <cell r="E188">
            <v>8170</v>
          </cell>
          <cell r="F188">
            <v>6693</v>
          </cell>
          <cell r="G188">
            <v>5434</v>
          </cell>
          <cell r="H188">
            <v>0</v>
          </cell>
          <cell r="I188">
            <v>0</v>
          </cell>
        </row>
        <row r="189">
          <cell r="A189">
            <v>91813</v>
          </cell>
          <cell r="B189" t="str">
            <v>HICKORY PUBLIC HOUSING AUTHORITY</v>
          </cell>
          <cell r="C189">
            <v>7.1500000000000003E-5</v>
          </cell>
          <cell r="E189">
            <v>12810</v>
          </cell>
          <cell r="F189">
            <v>10494</v>
          </cell>
          <cell r="G189">
            <v>8520</v>
          </cell>
          <cell r="H189">
            <v>0</v>
          </cell>
          <cell r="I189">
            <v>0</v>
          </cell>
        </row>
        <row r="190">
          <cell r="A190">
            <v>91818</v>
          </cell>
          <cell r="B190" t="str">
            <v>WESTERN PIEDMONT COUNCIL OF GVMTS</v>
          </cell>
          <cell r="C190">
            <v>4.0620000000000001E-4</v>
          </cell>
          <cell r="E190">
            <v>72776</v>
          </cell>
          <cell r="F190">
            <v>59620</v>
          </cell>
          <cell r="G190">
            <v>48402</v>
          </cell>
          <cell r="H190">
            <v>0</v>
          </cell>
          <cell r="I190">
            <v>0</v>
          </cell>
        </row>
        <row r="191">
          <cell r="A191">
            <v>91819</v>
          </cell>
          <cell r="B191" t="str">
            <v>WESTERN PIEDMONT REGIONAL TRANSIT AUTHORITY</v>
          </cell>
          <cell r="C191">
            <v>3.1260000000000001E-4</v>
          </cell>
          <cell r="E191">
            <v>56006</v>
          </cell>
          <cell r="F191">
            <v>45882</v>
          </cell>
          <cell r="G191">
            <v>37248</v>
          </cell>
          <cell r="H191">
            <v>0</v>
          </cell>
          <cell r="I191">
            <v>0</v>
          </cell>
        </row>
        <row r="192">
          <cell r="A192">
            <v>91821</v>
          </cell>
          <cell r="B192" t="str">
            <v>CITY OF CLAREMONT</v>
          </cell>
          <cell r="C192">
            <v>1.6750000000000001E-4</v>
          </cell>
          <cell r="E192">
            <v>30010</v>
          </cell>
          <cell r="F192">
            <v>24585</v>
          </cell>
          <cell r="G192">
            <v>19959</v>
          </cell>
          <cell r="H192">
            <v>0</v>
          </cell>
          <cell r="I192">
            <v>0</v>
          </cell>
        </row>
        <row r="193">
          <cell r="A193">
            <v>91831</v>
          </cell>
          <cell r="B193" t="str">
            <v>TOWN OF MAIDEN</v>
          </cell>
          <cell r="C193">
            <v>3.7990000000000002E-4</v>
          </cell>
          <cell r="E193">
            <v>68064</v>
          </cell>
          <cell r="F193">
            <v>55760</v>
          </cell>
          <cell r="G193">
            <v>45268</v>
          </cell>
          <cell r="H193">
            <v>0</v>
          </cell>
          <cell r="I193">
            <v>0</v>
          </cell>
        </row>
        <row r="194">
          <cell r="A194">
            <v>91841</v>
          </cell>
          <cell r="B194" t="str">
            <v>THE TOWN OF LONGVIEW</v>
          </cell>
          <cell r="C194">
            <v>2.5090000000000003E-4</v>
          </cell>
          <cell r="E194">
            <v>44952</v>
          </cell>
          <cell r="F194">
            <v>36826</v>
          </cell>
          <cell r="G194">
            <v>29896</v>
          </cell>
          <cell r="H194">
            <v>0</v>
          </cell>
          <cell r="I194">
            <v>0</v>
          </cell>
        </row>
        <row r="195">
          <cell r="A195">
            <v>91851</v>
          </cell>
          <cell r="B195" t="str">
            <v>TOWN OF CONOVER</v>
          </cell>
          <cell r="C195">
            <v>7.004E-4</v>
          </cell>
          <cell r="E195">
            <v>125485</v>
          </cell>
          <cell r="F195">
            <v>102802</v>
          </cell>
          <cell r="G195">
            <v>83458</v>
          </cell>
          <cell r="H195">
            <v>0</v>
          </cell>
          <cell r="I195">
            <v>0</v>
          </cell>
        </row>
        <row r="196">
          <cell r="A196">
            <v>91861</v>
          </cell>
          <cell r="B196" t="str">
            <v>TOWN OF BROOKFORD</v>
          </cell>
          <cell r="C196">
            <v>7.7000000000000008E-6</v>
          </cell>
          <cell r="E196">
            <v>1380</v>
          </cell>
          <cell r="F196">
            <v>1130</v>
          </cell>
          <cell r="G196">
            <v>918</v>
          </cell>
          <cell r="H196">
            <v>0</v>
          </cell>
          <cell r="I196">
            <v>0</v>
          </cell>
        </row>
        <row r="197">
          <cell r="A197">
            <v>91871</v>
          </cell>
          <cell r="B197" t="str">
            <v>CITY OF NEWTON</v>
          </cell>
          <cell r="C197">
            <v>1.3121000000000001E-3</v>
          </cell>
          <cell r="E197">
            <v>235078</v>
          </cell>
          <cell r="F197">
            <v>192585</v>
          </cell>
          <cell r="G197">
            <v>156346</v>
          </cell>
          <cell r="H197">
            <v>0</v>
          </cell>
          <cell r="I197">
            <v>0</v>
          </cell>
        </row>
        <row r="198">
          <cell r="A198">
            <v>91881</v>
          </cell>
          <cell r="B198" t="str">
            <v>TOWN OF CATAWBA</v>
          </cell>
          <cell r="C198">
            <v>2.1399999999999998E-5</v>
          </cell>
          <cell r="E198">
            <v>3834</v>
          </cell>
          <cell r="F198">
            <v>3141</v>
          </cell>
          <cell r="G198">
            <v>2550</v>
          </cell>
          <cell r="H198">
            <v>0</v>
          </cell>
          <cell r="I198">
            <v>0</v>
          </cell>
        </row>
        <row r="199">
          <cell r="A199">
            <v>91901</v>
          </cell>
          <cell r="B199" t="str">
            <v>CHATHAM COUNTY</v>
          </cell>
          <cell r="C199">
            <v>3.6947999999999998E-3</v>
          </cell>
          <cell r="E199">
            <v>661968</v>
          </cell>
          <cell r="F199">
            <v>542308</v>
          </cell>
          <cell r="G199">
            <v>440261</v>
          </cell>
          <cell r="H199">
            <v>0</v>
          </cell>
          <cell r="I199">
            <v>0</v>
          </cell>
        </row>
        <row r="200">
          <cell r="A200">
            <v>91903</v>
          </cell>
          <cell r="B200" t="str">
            <v>CHATHAM CO HOUSING AUTH</v>
          </cell>
          <cell r="C200">
            <v>7.1999999999999997E-6</v>
          </cell>
          <cell r="E200">
            <v>1290</v>
          </cell>
          <cell r="F200">
            <v>1057</v>
          </cell>
          <cell r="G200">
            <v>858</v>
          </cell>
          <cell r="H200">
            <v>0</v>
          </cell>
          <cell r="I200">
            <v>0</v>
          </cell>
        </row>
        <row r="201">
          <cell r="A201">
            <v>91904</v>
          </cell>
          <cell r="B201" t="str">
            <v>CHATHAM COUNTY ABC BOARD</v>
          </cell>
          <cell r="C201">
            <v>3.26E-5</v>
          </cell>
          <cell r="E201">
            <v>5841</v>
          </cell>
          <cell r="F201">
            <v>4785</v>
          </cell>
          <cell r="G201">
            <v>3885</v>
          </cell>
          <cell r="H201">
            <v>0</v>
          </cell>
          <cell r="I201">
            <v>0</v>
          </cell>
        </row>
        <row r="202">
          <cell r="A202">
            <v>91908</v>
          </cell>
          <cell r="B202" t="str">
            <v>GOLDSTON-GULF SANITARY DISTRICT</v>
          </cell>
          <cell r="C202">
            <v>1.59E-5</v>
          </cell>
          <cell r="E202">
            <v>2849</v>
          </cell>
          <cell r="F202">
            <v>2334</v>
          </cell>
          <cell r="G202">
            <v>1895</v>
          </cell>
          <cell r="H202">
            <v>0</v>
          </cell>
          <cell r="I202">
            <v>0</v>
          </cell>
        </row>
        <row r="203">
          <cell r="A203">
            <v>91911</v>
          </cell>
          <cell r="B203" t="str">
            <v>TOWN OF SILER CITY</v>
          </cell>
          <cell r="C203">
            <v>4.46E-4</v>
          </cell>
          <cell r="E203">
            <v>79906</v>
          </cell>
          <cell r="F203">
            <v>65462</v>
          </cell>
          <cell r="G203">
            <v>53144</v>
          </cell>
          <cell r="H203">
            <v>0</v>
          </cell>
          <cell r="I203">
            <v>0</v>
          </cell>
        </row>
        <row r="204">
          <cell r="A204">
            <v>91917</v>
          </cell>
          <cell r="B204" t="str">
            <v>SILER CITY ABC BOARD</v>
          </cell>
          <cell r="C204">
            <v>1.31E-5</v>
          </cell>
          <cell r="E204">
            <v>2347</v>
          </cell>
          <cell r="F204">
            <v>1923</v>
          </cell>
          <cell r="G204">
            <v>1561</v>
          </cell>
          <cell r="H204">
            <v>0</v>
          </cell>
          <cell r="I204">
            <v>0</v>
          </cell>
        </row>
        <row r="205">
          <cell r="A205">
            <v>91921</v>
          </cell>
          <cell r="B205" t="str">
            <v>TOWN OF PITTSBORO</v>
          </cell>
          <cell r="C205">
            <v>3.8479999999999997E-4</v>
          </cell>
          <cell r="E205">
            <v>68942</v>
          </cell>
          <cell r="F205">
            <v>56479</v>
          </cell>
          <cell r="G205">
            <v>45852</v>
          </cell>
          <cell r="H205">
            <v>0</v>
          </cell>
          <cell r="I205">
            <v>0</v>
          </cell>
        </row>
        <row r="206">
          <cell r="A206">
            <v>92001</v>
          </cell>
          <cell r="B206" t="str">
            <v>CHEROKEE COUNTY</v>
          </cell>
          <cell r="C206">
            <v>1.7757000000000001E-3</v>
          </cell>
          <cell r="E206">
            <v>318138</v>
          </cell>
          <cell r="F206">
            <v>260630</v>
          </cell>
          <cell r="G206">
            <v>211587</v>
          </cell>
          <cell r="H206">
            <v>0</v>
          </cell>
          <cell r="I206">
            <v>0</v>
          </cell>
        </row>
        <row r="207">
          <cell r="A207">
            <v>92005</v>
          </cell>
          <cell r="B207" t="str">
            <v>NANTAHALA REGIONAL LIBRARY</v>
          </cell>
          <cell r="C207">
            <v>3.5299999999999997E-5</v>
          </cell>
          <cell r="E207">
            <v>6324</v>
          </cell>
          <cell r="F207">
            <v>5181</v>
          </cell>
          <cell r="G207">
            <v>4206</v>
          </cell>
          <cell r="H207">
            <v>0</v>
          </cell>
          <cell r="I207">
            <v>0</v>
          </cell>
        </row>
        <row r="208">
          <cell r="A208">
            <v>92011</v>
          </cell>
          <cell r="B208" t="str">
            <v>TOWN OF MURPHY</v>
          </cell>
          <cell r="C208">
            <v>1.9100000000000001E-4</v>
          </cell>
          <cell r="E208">
            <v>34220</v>
          </cell>
          <cell r="F208">
            <v>28034</v>
          </cell>
          <cell r="G208">
            <v>22759</v>
          </cell>
          <cell r="H208">
            <v>0</v>
          </cell>
          <cell r="I208">
            <v>0</v>
          </cell>
        </row>
        <row r="209">
          <cell r="A209">
            <v>92017</v>
          </cell>
          <cell r="B209" t="str">
            <v>MURPHY ABC BOARD</v>
          </cell>
          <cell r="C209">
            <v>3.1900000000000003E-5</v>
          </cell>
          <cell r="E209">
            <v>5715</v>
          </cell>
          <cell r="F209">
            <v>4682</v>
          </cell>
          <cell r="G209">
            <v>3801</v>
          </cell>
          <cell r="H209">
            <v>0</v>
          </cell>
          <cell r="I209">
            <v>0</v>
          </cell>
        </row>
        <row r="210">
          <cell r="A210">
            <v>92021</v>
          </cell>
          <cell r="B210" t="str">
            <v>TOWN OF ANDREWS</v>
          </cell>
          <cell r="C210">
            <v>1.054E-4</v>
          </cell>
          <cell r="E210">
            <v>18884</v>
          </cell>
          <cell r="F210">
            <v>15470</v>
          </cell>
          <cell r="G210">
            <v>12559</v>
          </cell>
          <cell r="H210">
            <v>0</v>
          </cell>
          <cell r="I210">
            <v>0</v>
          </cell>
        </row>
        <row r="211">
          <cell r="A211">
            <v>92101</v>
          </cell>
          <cell r="B211" t="str">
            <v>CHOWAN COUNTY</v>
          </cell>
          <cell r="C211">
            <v>7.8700000000000005E-4</v>
          </cell>
          <cell r="E211">
            <v>141000</v>
          </cell>
          <cell r="F211">
            <v>115513</v>
          </cell>
          <cell r="G211">
            <v>93777</v>
          </cell>
          <cell r="H211">
            <v>0</v>
          </cell>
          <cell r="I211">
            <v>0</v>
          </cell>
        </row>
        <row r="212">
          <cell r="A212">
            <v>92104</v>
          </cell>
          <cell r="B212" t="str">
            <v>CHOWAN COUNTY ABC BOARD</v>
          </cell>
          <cell r="C212">
            <v>7.0999999999999998E-6</v>
          </cell>
          <cell r="E212">
            <v>1272</v>
          </cell>
          <cell r="F212">
            <v>1042</v>
          </cell>
          <cell r="G212">
            <v>846</v>
          </cell>
          <cell r="H212">
            <v>0</v>
          </cell>
          <cell r="I212">
            <v>0</v>
          </cell>
        </row>
        <row r="213">
          <cell r="A213">
            <v>92109</v>
          </cell>
          <cell r="B213" t="str">
            <v>ALBEMARLE REGNL PLANNING &amp; DEVELOPMENT COMM</v>
          </cell>
          <cell r="C213">
            <v>1.6799999999999999E-4</v>
          </cell>
          <cell r="E213">
            <v>30099</v>
          </cell>
          <cell r="F213">
            <v>24658</v>
          </cell>
          <cell r="G213">
            <v>20018</v>
          </cell>
          <cell r="H213">
            <v>0</v>
          </cell>
          <cell r="I213">
            <v>0</v>
          </cell>
        </row>
        <row r="214">
          <cell r="A214">
            <v>92111</v>
          </cell>
          <cell r="B214" t="str">
            <v>TOWN OF EDENTON</v>
          </cell>
          <cell r="C214">
            <v>4.9209999999999998E-4</v>
          </cell>
          <cell r="E214">
            <v>88166</v>
          </cell>
          <cell r="F214">
            <v>72228</v>
          </cell>
          <cell r="G214">
            <v>58637</v>
          </cell>
          <cell r="H214">
            <v>0</v>
          </cell>
          <cell r="I214">
            <v>0</v>
          </cell>
        </row>
        <row r="215">
          <cell r="A215">
            <v>92113</v>
          </cell>
          <cell r="B215" t="str">
            <v>THE NEW EDENTON HOUSING AUTH</v>
          </cell>
          <cell r="C215">
            <v>1.7099999999999999E-5</v>
          </cell>
          <cell r="E215">
            <v>3064</v>
          </cell>
          <cell r="F215">
            <v>2510</v>
          </cell>
          <cell r="G215">
            <v>2038</v>
          </cell>
          <cell r="H215">
            <v>0</v>
          </cell>
          <cell r="I215">
            <v>0</v>
          </cell>
        </row>
        <row r="216">
          <cell r="A216">
            <v>92201</v>
          </cell>
          <cell r="B216" t="str">
            <v>CLAY COUNTY</v>
          </cell>
          <cell r="C216">
            <v>8.3589999999999999E-4</v>
          </cell>
          <cell r="E216">
            <v>149762</v>
          </cell>
          <cell r="F216">
            <v>122690</v>
          </cell>
          <cell r="G216">
            <v>99603</v>
          </cell>
          <cell r="H216">
            <v>0</v>
          </cell>
          <cell r="I216">
            <v>0</v>
          </cell>
        </row>
        <row r="217">
          <cell r="A217">
            <v>92214</v>
          </cell>
          <cell r="B217" t="str">
            <v>CLAY COUNTY ABC BOARD</v>
          </cell>
          <cell r="C217">
            <v>2.02E-5</v>
          </cell>
          <cell r="E217">
            <v>3619</v>
          </cell>
          <cell r="F217">
            <v>2965</v>
          </cell>
          <cell r="G217">
            <v>2407</v>
          </cell>
          <cell r="H217">
            <v>0</v>
          </cell>
          <cell r="I217">
            <v>0</v>
          </cell>
        </row>
        <row r="218">
          <cell r="A218">
            <v>92301</v>
          </cell>
          <cell r="B218" t="str">
            <v>CLEVELAND COUNTY</v>
          </cell>
          <cell r="C218">
            <v>5.6146E-3</v>
          </cell>
          <cell r="E218">
            <v>1005923</v>
          </cell>
          <cell r="F218">
            <v>824089</v>
          </cell>
          <cell r="G218">
            <v>669019</v>
          </cell>
          <cell r="H218">
            <v>0</v>
          </cell>
          <cell r="I218">
            <v>0</v>
          </cell>
        </row>
        <row r="219">
          <cell r="A219">
            <v>92302</v>
          </cell>
          <cell r="B219" t="str">
            <v>CLEVELAND CO SANITARY DIST</v>
          </cell>
          <cell r="C219">
            <v>3.0249999999999998E-4</v>
          </cell>
          <cell r="E219">
            <v>54197</v>
          </cell>
          <cell r="F219">
            <v>44400</v>
          </cell>
          <cell r="G219">
            <v>36045</v>
          </cell>
          <cell r="H219">
            <v>0</v>
          </cell>
          <cell r="I219">
            <v>0</v>
          </cell>
        </row>
        <row r="220">
          <cell r="A220">
            <v>92311</v>
          </cell>
          <cell r="B220" t="str">
            <v>CITY OF SHELBY</v>
          </cell>
          <cell r="C220">
            <v>2.2645999999999999E-3</v>
          </cell>
          <cell r="E220">
            <v>405730</v>
          </cell>
          <cell r="F220">
            <v>332389</v>
          </cell>
          <cell r="G220">
            <v>269843</v>
          </cell>
          <cell r="H220">
            <v>0</v>
          </cell>
          <cell r="I220">
            <v>0</v>
          </cell>
        </row>
        <row r="221">
          <cell r="A221">
            <v>92317</v>
          </cell>
          <cell r="B221" t="str">
            <v>SHELBY ABC BOARD</v>
          </cell>
          <cell r="C221">
            <v>2.97E-5</v>
          </cell>
          <cell r="E221">
            <v>5321</v>
          </cell>
          <cell r="F221">
            <v>4359</v>
          </cell>
          <cell r="G221">
            <v>3539</v>
          </cell>
          <cell r="H221">
            <v>0</v>
          </cell>
          <cell r="I221">
            <v>0</v>
          </cell>
        </row>
        <row r="222">
          <cell r="A222">
            <v>92321</v>
          </cell>
          <cell r="B222" t="str">
            <v>CITY OF KINGS MOUNTAIN</v>
          </cell>
          <cell r="C222">
            <v>1.2122999999999999E-3</v>
          </cell>
          <cell r="E222">
            <v>217198</v>
          </cell>
          <cell r="F222">
            <v>177937</v>
          </cell>
          <cell r="G222">
            <v>144454</v>
          </cell>
          <cell r="H222">
            <v>0</v>
          </cell>
          <cell r="I222">
            <v>0</v>
          </cell>
        </row>
        <row r="223">
          <cell r="A223">
            <v>92327</v>
          </cell>
          <cell r="B223" t="str">
            <v>KINGS MOUNTAIN ABC BOARD</v>
          </cell>
          <cell r="C223">
            <v>6.4999999999999996E-6</v>
          </cell>
          <cell r="E223">
            <v>1165</v>
          </cell>
          <cell r="F223">
            <v>954</v>
          </cell>
          <cell r="G223">
            <v>775</v>
          </cell>
          <cell r="H223">
            <v>0</v>
          </cell>
          <cell r="I223">
            <v>0</v>
          </cell>
        </row>
        <row r="224">
          <cell r="A224">
            <v>92331</v>
          </cell>
          <cell r="B224" t="str">
            <v>TOWN OF BOILING SPRINGS</v>
          </cell>
          <cell r="C224">
            <v>1.351E-4</v>
          </cell>
          <cell r="E224">
            <v>24205</v>
          </cell>
          <cell r="F224">
            <v>19829</v>
          </cell>
          <cell r="G224">
            <v>16098</v>
          </cell>
          <cell r="H224">
            <v>0</v>
          </cell>
          <cell r="I224">
            <v>0</v>
          </cell>
        </row>
        <row r="225">
          <cell r="A225">
            <v>92341</v>
          </cell>
          <cell r="B225" t="str">
            <v>TOWN OF LAWNDALE</v>
          </cell>
          <cell r="C225">
            <v>8.4999999999999999E-6</v>
          </cell>
          <cell r="E225">
            <v>1523</v>
          </cell>
          <cell r="F225">
            <v>1248</v>
          </cell>
          <cell r="G225">
            <v>1013</v>
          </cell>
          <cell r="H225">
            <v>0</v>
          </cell>
          <cell r="I225">
            <v>0</v>
          </cell>
        </row>
        <row r="226">
          <cell r="A226">
            <v>92351</v>
          </cell>
          <cell r="B226" t="str">
            <v>TOWN OF GROVER</v>
          </cell>
          <cell r="C226">
            <v>1.7499999999999998E-5</v>
          </cell>
          <cell r="E226">
            <v>3135</v>
          </cell>
          <cell r="F226">
            <v>2569</v>
          </cell>
          <cell r="G226">
            <v>2085</v>
          </cell>
          <cell r="H226">
            <v>0</v>
          </cell>
          <cell r="I226">
            <v>0</v>
          </cell>
        </row>
        <row r="227">
          <cell r="A227">
            <v>92401</v>
          </cell>
          <cell r="B227" t="str">
            <v>COLUMBUS COUNTY</v>
          </cell>
          <cell r="C227">
            <v>2.6340000000000001E-3</v>
          </cell>
          <cell r="E227">
            <v>471913</v>
          </cell>
          <cell r="F227">
            <v>386608</v>
          </cell>
          <cell r="G227">
            <v>313860</v>
          </cell>
          <cell r="H227">
            <v>0</v>
          </cell>
          <cell r="I227">
            <v>0</v>
          </cell>
        </row>
        <row r="228">
          <cell r="A228">
            <v>92403</v>
          </cell>
          <cell r="B228" t="str">
            <v>WHITEVILLE HOUSING AUTHORITY</v>
          </cell>
          <cell r="C228">
            <v>9.0999999999999993E-6</v>
          </cell>
          <cell r="E228">
            <v>1630</v>
          </cell>
          <cell r="F228">
            <v>1336</v>
          </cell>
          <cell r="G228">
            <v>1084</v>
          </cell>
          <cell r="H228">
            <v>0</v>
          </cell>
          <cell r="I228">
            <v>0</v>
          </cell>
        </row>
        <row r="229">
          <cell r="A229">
            <v>92411</v>
          </cell>
          <cell r="B229" t="str">
            <v>CITY OF WHITEVILLE</v>
          </cell>
          <cell r="C229">
            <v>4.5199999999999998E-4</v>
          </cell>
          <cell r="E229">
            <v>80981</v>
          </cell>
          <cell r="F229">
            <v>66343</v>
          </cell>
          <cell r="G229">
            <v>53859</v>
          </cell>
          <cell r="H229">
            <v>0</v>
          </cell>
          <cell r="I229">
            <v>0</v>
          </cell>
        </row>
        <row r="230">
          <cell r="A230">
            <v>92414</v>
          </cell>
          <cell r="B230" t="str">
            <v>TOWN OF BOLTON</v>
          </cell>
          <cell r="C230">
            <v>0</v>
          </cell>
          <cell r="E230">
            <v>0</v>
          </cell>
          <cell r="F230">
            <v>0</v>
          </cell>
          <cell r="G230">
            <v>0</v>
          </cell>
          <cell r="H230">
            <v>0</v>
          </cell>
          <cell r="I230">
            <v>0</v>
          </cell>
        </row>
        <row r="231">
          <cell r="A231">
            <v>92417</v>
          </cell>
          <cell r="B231" t="str">
            <v>WHITEVILLE ABC BOARD</v>
          </cell>
          <cell r="C231">
            <v>1.73E-5</v>
          </cell>
          <cell r="E231">
            <v>3100</v>
          </cell>
          <cell r="F231">
            <v>2539</v>
          </cell>
          <cell r="G231">
            <v>2061</v>
          </cell>
          <cell r="H231">
            <v>0</v>
          </cell>
          <cell r="I231">
            <v>0</v>
          </cell>
        </row>
        <row r="232">
          <cell r="A232">
            <v>92421</v>
          </cell>
          <cell r="B232" t="str">
            <v>TOWN OF BRUNSWICK</v>
          </cell>
          <cell r="C232">
            <v>1.6399999999999999E-5</v>
          </cell>
          <cell r="E232">
            <v>2938</v>
          </cell>
          <cell r="F232">
            <v>2407</v>
          </cell>
          <cell r="G232">
            <v>1954</v>
          </cell>
          <cell r="H232">
            <v>0</v>
          </cell>
          <cell r="I232">
            <v>0</v>
          </cell>
        </row>
        <row r="233">
          <cell r="A233">
            <v>92427</v>
          </cell>
          <cell r="B233" t="str">
            <v>LAKE WACCAMAW ABC BOARD</v>
          </cell>
          <cell r="C233">
            <v>1.9E-6</v>
          </cell>
          <cell r="E233">
            <v>340</v>
          </cell>
          <cell r="F233">
            <v>279</v>
          </cell>
          <cell r="G233">
            <v>226</v>
          </cell>
          <cell r="H233">
            <v>0</v>
          </cell>
          <cell r="I233">
            <v>0</v>
          </cell>
        </row>
        <row r="234">
          <cell r="A234">
            <v>92431</v>
          </cell>
          <cell r="B234" t="str">
            <v>TOWN OF FAIR BLUFF</v>
          </cell>
          <cell r="C234">
            <v>2.6999999999999999E-5</v>
          </cell>
          <cell r="E234">
            <v>4837</v>
          </cell>
          <cell r="F234">
            <v>3963</v>
          </cell>
          <cell r="G234">
            <v>3217</v>
          </cell>
          <cell r="H234">
            <v>0</v>
          </cell>
          <cell r="I234">
            <v>0</v>
          </cell>
        </row>
        <row r="235">
          <cell r="A235">
            <v>92441</v>
          </cell>
          <cell r="B235" t="str">
            <v>TOWN OF CHADBOURN</v>
          </cell>
          <cell r="C235">
            <v>8.6500000000000002E-5</v>
          </cell>
          <cell r="E235">
            <v>15498</v>
          </cell>
          <cell r="F235">
            <v>12696</v>
          </cell>
          <cell r="G235">
            <v>10307</v>
          </cell>
          <cell r="H235">
            <v>0</v>
          </cell>
          <cell r="I235">
            <v>0</v>
          </cell>
        </row>
        <row r="236">
          <cell r="A236">
            <v>92444</v>
          </cell>
          <cell r="B236" t="str">
            <v>WEST COLUMBUS ABC BOARD</v>
          </cell>
          <cell r="C236">
            <v>5.1000000000000003E-6</v>
          </cell>
          <cell r="E236">
            <v>914</v>
          </cell>
          <cell r="F236">
            <v>749</v>
          </cell>
          <cell r="G236">
            <v>608</v>
          </cell>
          <cell r="H236">
            <v>0</v>
          </cell>
          <cell r="I236">
            <v>0</v>
          </cell>
        </row>
        <row r="237">
          <cell r="A237">
            <v>92451</v>
          </cell>
          <cell r="B237" t="str">
            <v>TOWN OF TABOR CITY</v>
          </cell>
          <cell r="C237">
            <v>1.143E-4</v>
          </cell>
          <cell r="E237">
            <v>20478</v>
          </cell>
          <cell r="F237">
            <v>16776</v>
          </cell>
          <cell r="G237">
            <v>13620</v>
          </cell>
          <cell r="H237">
            <v>0</v>
          </cell>
          <cell r="I237">
            <v>0</v>
          </cell>
        </row>
        <row r="238">
          <cell r="A238">
            <v>92461</v>
          </cell>
          <cell r="B238" t="str">
            <v>TOWN OF LAKE WACCAMAW</v>
          </cell>
          <cell r="C238">
            <v>5.8400000000000003E-5</v>
          </cell>
          <cell r="E238">
            <v>10463</v>
          </cell>
          <cell r="F238">
            <v>8572</v>
          </cell>
          <cell r="G238">
            <v>6959</v>
          </cell>
          <cell r="H238">
            <v>0</v>
          </cell>
          <cell r="I238">
            <v>0</v>
          </cell>
        </row>
        <row r="239">
          <cell r="A239">
            <v>92501</v>
          </cell>
          <cell r="B239" t="str">
            <v>CRAVEN COUNTY</v>
          </cell>
          <cell r="C239">
            <v>3.7055999999999999E-3</v>
          </cell>
          <cell r="E239">
            <v>663903</v>
          </cell>
          <cell r="F239">
            <v>543893</v>
          </cell>
          <cell r="G239">
            <v>441548</v>
          </cell>
          <cell r="H239">
            <v>0</v>
          </cell>
          <cell r="I239">
            <v>0</v>
          </cell>
        </row>
        <row r="240">
          <cell r="A240">
            <v>92502</v>
          </cell>
          <cell r="B240" t="str">
            <v>FIRST CRAVEN SANITARY DIST</v>
          </cell>
          <cell r="C240">
            <v>2.3600000000000001E-5</v>
          </cell>
          <cell r="E240">
            <v>4228</v>
          </cell>
          <cell r="F240">
            <v>3464</v>
          </cell>
          <cell r="G240">
            <v>2812</v>
          </cell>
          <cell r="H240">
            <v>0</v>
          </cell>
          <cell r="I240">
            <v>0</v>
          </cell>
        </row>
        <row r="241">
          <cell r="A241">
            <v>92504</v>
          </cell>
          <cell r="B241" t="str">
            <v>CRAVEN CO ABC BD</v>
          </cell>
          <cell r="C241">
            <v>7.6299999999999998E-5</v>
          </cell>
          <cell r="E241">
            <v>13670</v>
          </cell>
          <cell r="F241">
            <v>11199</v>
          </cell>
          <cell r="G241">
            <v>9092</v>
          </cell>
          <cell r="H241">
            <v>0</v>
          </cell>
          <cell r="I241">
            <v>0</v>
          </cell>
        </row>
        <row r="242">
          <cell r="A242">
            <v>92505</v>
          </cell>
          <cell r="B242" t="str">
            <v>CRAVEN-PAMLICO-CARTERET REGIONAL LIBRARY</v>
          </cell>
          <cell r="C242">
            <v>1.7090000000000001E-4</v>
          </cell>
          <cell r="E242">
            <v>30619</v>
          </cell>
          <cell r="F242">
            <v>25084</v>
          </cell>
          <cell r="G242">
            <v>20364</v>
          </cell>
          <cell r="H242">
            <v>0</v>
          </cell>
          <cell r="I242">
            <v>0</v>
          </cell>
        </row>
        <row r="243">
          <cell r="A243">
            <v>92506</v>
          </cell>
          <cell r="B243" t="str">
            <v>COASTAL CAROLINA REGIONAL AIRPORT</v>
          </cell>
          <cell r="C243">
            <v>5.38E-5</v>
          </cell>
          <cell r="E243">
            <v>9639</v>
          </cell>
          <cell r="F243">
            <v>7897</v>
          </cell>
          <cell r="G243">
            <v>6411</v>
          </cell>
          <cell r="H243">
            <v>0</v>
          </cell>
          <cell r="I243">
            <v>0</v>
          </cell>
        </row>
        <row r="244">
          <cell r="A244">
            <v>92507</v>
          </cell>
          <cell r="B244" t="str">
            <v>NEUSE RIVER COUNCIL OF GOVERNMENTS</v>
          </cell>
          <cell r="C244">
            <v>1.01E-4</v>
          </cell>
          <cell r="E244">
            <v>18095</v>
          </cell>
          <cell r="F244">
            <v>14824</v>
          </cell>
          <cell r="G244">
            <v>12035</v>
          </cell>
          <cell r="H244">
            <v>0</v>
          </cell>
          <cell r="I244">
            <v>0</v>
          </cell>
        </row>
        <row r="245">
          <cell r="A245">
            <v>92508</v>
          </cell>
          <cell r="B245" t="str">
            <v>COASTAL REGIONAL SOLID WASTE MNGT AUTH</v>
          </cell>
          <cell r="C245">
            <v>3.102E-4</v>
          </cell>
          <cell r="E245">
            <v>55576</v>
          </cell>
          <cell r="F245">
            <v>45530</v>
          </cell>
          <cell r="G245">
            <v>36963</v>
          </cell>
          <cell r="H245">
            <v>0</v>
          </cell>
          <cell r="I245">
            <v>0</v>
          </cell>
        </row>
        <row r="246">
          <cell r="A246">
            <v>92509</v>
          </cell>
          <cell r="B246" t="str">
            <v>EAST CAROLINA BEHAVORIAL HEALTHCARE</v>
          </cell>
          <cell r="C246">
            <v>0</v>
          </cell>
          <cell r="E246">
            <v>0</v>
          </cell>
          <cell r="F246">
            <v>0</v>
          </cell>
          <cell r="G246">
            <v>0</v>
          </cell>
          <cell r="H246">
            <v>0</v>
          </cell>
          <cell r="I246">
            <v>0</v>
          </cell>
        </row>
        <row r="247">
          <cell r="A247">
            <v>92511</v>
          </cell>
          <cell r="B247" t="str">
            <v>CITY OF NEW BERN</v>
          </cell>
          <cell r="C247">
            <v>3.5699999999999998E-3</v>
          </cell>
          <cell r="E247">
            <v>639608</v>
          </cell>
          <cell r="F247">
            <v>523990</v>
          </cell>
          <cell r="G247">
            <v>425390</v>
          </cell>
          <cell r="H247">
            <v>0</v>
          </cell>
          <cell r="I247">
            <v>0</v>
          </cell>
        </row>
        <row r="248">
          <cell r="A248">
            <v>92513</v>
          </cell>
          <cell r="B248" t="str">
            <v>TRILLIUM HEALTH RESOURCES</v>
          </cell>
          <cell r="C248">
            <v>3.9484999999999998E-3</v>
          </cell>
          <cell r="E248">
            <v>707421</v>
          </cell>
          <cell r="F248">
            <v>579545</v>
          </cell>
          <cell r="G248">
            <v>470491</v>
          </cell>
          <cell r="H248">
            <v>0</v>
          </cell>
          <cell r="I248">
            <v>0</v>
          </cell>
        </row>
        <row r="249">
          <cell r="A249">
            <v>92521</v>
          </cell>
          <cell r="B249" t="str">
            <v>TOWN OF TRENT WOODS</v>
          </cell>
          <cell r="C249">
            <v>7.7399999999999998E-5</v>
          </cell>
          <cell r="E249">
            <v>13867</v>
          </cell>
          <cell r="F249">
            <v>11360</v>
          </cell>
          <cell r="G249">
            <v>9223</v>
          </cell>
          <cell r="H249">
            <v>0</v>
          </cell>
          <cell r="I249">
            <v>0</v>
          </cell>
        </row>
        <row r="250">
          <cell r="A250">
            <v>92531</v>
          </cell>
          <cell r="B250" t="str">
            <v>CITY OF HAVELOCK</v>
          </cell>
          <cell r="C250">
            <v>8.2580000000000001E-4</v>
          </cell>
          <cell r="E250">
            <v>147952</v>
          </cell>
          <cell r="F250">
            <v>121208</v>
          </cell>
          <cell r="G250">
            <v>98400</v>
          </cell>
          <cell r="H250">
            <v>0</v>
          </cell>
          <cell r="I250">
            <v>0</v>
          </cell>
        </row>
        <row r="251">
          <cell r="A251">
            <v>92541</v>
          </cell>
          <cell r="B251" t="str">
            <v>TOWN OF RIVER BEND</v>
          </cell>
          <cell r="C251">
            <v>1.3740000000000001E-4</v>
          </cell>
          <cell r="E251">
            <v>24617</v>
          </cell>
          <cell r="F251">
            <v>20167</v>
          </cell>
          <cell r="G251">
            <v>16372</v>
          </cell>
          <cell r="H251">
            <v>0</v>
          </cell>
          <cell r="I251">
            <v>0</v>
          </cell>
        </row>
        <row r="252">
          <cell r="A252">
            <v>92551</v>
          </cell>
          <cell r="B252" t="str">
            <v>TOWN OF VANCEBORO</v>
          </cell>
          <cell r="C252">
            <v>5.7099999999999999E-5</v>
          </cell>
          <cell r="E252">
            <v>10230</v>
          </cell>
          <cell r="F252">
            <v>8381</v>
          </cell>
          <cell r="G252">
            <v>6804</v>
          </cell>
          <cell r="H252">
            <v>0</v>
          </cell>
          <cell r="I252">
            <v>0</v>
          </cell>
        </row>
        <row r="253">
          <cell r="A253">
            <v>92561</v>
          </cell>
          <cell r="B253" t="str">
            <v>TOWN OF BRIDGETON</v>
          </cell>
          <cell r="C253">
            <v>1.7900000000000001E-5</v>
          </cell>
          <cell r="E253">
            <v>3207</v>
          </cell>
          <cell r="F253">
            <v>2627</v>
          </cell>
          <cell r="G253">
            <v>2133</v>
          </cell>
          <cell r="H253">
            <v>0</v>
          </cell>
          <cell r="I253">
            <v>0</v>
          </cell>
        </row>
        <row r="254">
          <cell r="A254">
            <v>92571</v>
          </cell>
          <cell r="B254" t="str">
            <v>TOWN OF COVE CITY</v>
          </cell>
          <cell r="C254">
            <v>8.1999999999999994E-6</v>
          </cell>
          <cell r="E254">
            <v>1469</v>
          </cell>
          <cell r="F254">
            <v>1204</v>
          </cell>
          <cell r="G254">
            <v>977</v>
          </cell>
          <cell r="H254">
            <v>0</v>
          </cell>
          <cell r="I254">
            <v>0</v>
          </cell>
        </row>
        <row r="255">
          <cell r="A255">
            <v>92601</v>
          </cell>
          <cell r="B255" t="str">
            <v>CUMBERLAND COUNTY</v>
          </cell>
          <cell r="C255">
            <v>1.32598E-2</v>
          </cell>
          <cell r="E255">
            <v>2375652</v>
          </cell>
          <cell r="F255">
            <v>1946220</v>
          </cell>
          <cell r="G255">
            <v>1579998</v>
          </cell>
          <cell r="H255">
            <v>0</v>
          </cell>
          <cell r="I255">
            <v>0</v>
          </cell>
        </row>
        <row r="256">
          <cell r="A256">
            <v>92602</v>
          </cell>
          <cell r="B256" t="str">
            <v>WESTAREA VOLUNTEER FIRE DEPT</v>
          </cell>
          <cell r="C256">
            <v>4.8999999999999997E-6</v>
          </cell>
          <cell r="E256">
            <v>878</v>
          </cell>
          <cell r="F256">
            <v>719</v>
          </cell>
          <cell r="G256">
            <v>584</v>
          </cell>
          <cell r="H256">
            <v>0</v>
          </cell>
          <cell r="I256">
            <v>0</v>
          </cell>
        </row>
        <row r="257">
          <cell r="A257">
            <v>92604</v>
          </cell>
          <cell r="B257" t="str">
            <v>CUMBERLAND CO ABC BOARD</v>
          </cell>
          <cell r="C257">
            <v>3.501E-4</v>
          </cell>
          <cell r="E257">
            <v>62725</v>
          </cell>
          <cell r="F257">
            <v>51386</v>
          </cell>
          <cell r="G257">
            <v>41717</v>
          </cell>
          <cell r="H257">
            <v>0</v>
          </cell>
          <cell r="I257">
            <v>0</v>
          </cell>
        </row>
        <row r="258">
          <cell r="A258">
            <v>92607</v>
          </cell>
          <cell r="B258" t="str">
            <v>MID-CAROLINA COUNCIL OF GOVERNMENTS</v>
          </cell>
          <cell r="C258">
            <v>5.6700000000000003E-5</v>
          </cell>
          <cell r="E258">
            <v>10158</v>
          </cell>
          <cell r="F258">
            <v>8322</v>
          </cell>
          <cell r="G258">
            <v>6756</v>
          </cell>
          <cell r="H258">
            <v>0</v>
          </cell>
          <cell r="I258">
            <v>0</v>
          </cell>
        </row>
        <row r="259">
          <cell r="A259">
            <v>92608</v>
          </cell>
          <cell r="B259" t="str">
            <v>CUMBERLAND MEMORIAL AUDITORIUM COM</v>
          </cell>
          <cell r="C259">
            <v>0</v>
          </cell>
          <cell r="E259">
            <v>0</v>
          </cell>
          <cell r="F259">
            <v>0</v>
          </cell>
          <cell r="G259">
            <v>0</v>
          </cell>
          <cell r="H259">
            <v>0</v>
          </cell>
          <cell r="I259">
            <v>0</v>
          </cell>
        </row>
        <row r="260">
          <cell r="A260">
            <v>92611</v>
          </cell>
          <cell r="B260" t="str">
            <v>CITY OF FAYETTEVILLE</v>
          </cell>
          <cell r="C260">
            <v>1.22078E-2</v>
          </cell>
          <cell r="E260">
            <v>2187174</v>
          </cell>
          <cell r="F260">
            <v>1791812</v>
          </cell>
          <cell r="G260">
            <v>1454645</v>
          </cell>
          <cell r="H260">
            <v>0</v>
          </cell>
          <cell r="I260">
            <v>0</v>
          </cell>
        </row>
        <row r="261">
          <cell r="A261">
            <v>92613</v>
          </cell>
          <cell r="B261" t="str">
            <v>FAYETTEVILLE METROPOLITAN HOUSING AUTH</v>
          </cell>
          <cell r="C261">
            <v>2.23E-4</v>
          </cell>
          <cell r="E261">
            <v>39953</v>
          </cell>
          <cell r="F261">
            <v>32731</v>
          </cell>
          <cell r="G261">
            <v>26572</v>
          </cell>
          <cell r="H261">
            <v>0</v>
          </cell>
          <cell r="I261">
            <v>0</v>
          </cell>
        </row>
        <row r="262">
          <cell r="A262">
            <v>92614</v>
          </cell>
          <cell r="B262" t="str">
            <v>PUBLIC WORKS COMM CTY OF FAYETTEVILLE</v>
          </cell>
          <cell r="C262">
            <v>5.7201999999999999E-3</v>
          </cell>
          <cell r="E262">
            <v>1024842</v>
          </cell>
          <cell r="F262">
            <v>839588</v>
          </cell>
          <cell r="G262">
            <v>681602</v>
          </cell>
          <cell r="H262">
            <v>0</v>
          </cell>
          <cell r="I262">
            <v>0</v>
          </cell>
        </row>
        <row r="263">
          <cell r="A263">
            <v>92621</v>
          </cell>
          <cell r="B263" t="str">
            <v>TOWN OF STEDMAN</v>
          </cell>
          <cell r="C263">
            <v>2.8900000000000001E-5</v>
          </cell>
          <cell r="E263">
            <v>5178</v>
          </cell>
          <cell r="F263">
            <v>4242</v>
          </cell>
          <cell r="G263">
            <v>3444</v>
          </cell>
          <cell r="H263">
            <v>0</v>
          </cell>
          <cell r="I263">
            <v>0</v>
          </cell>
        </row>
        <row r="264">
          <cell r="A264">
            <v>92631</v>
          </cell>
          <cell r="B264" t="str">
            <v>TOWN OF HOPE MILLS</v>
          </cell>
          <cell r="C264">
            <v>9.3329999999999997E-4</v>
          </cell>
          <cell r="E264">
            <v>167212</v>
          </cell>
          <cell r="F264">
            <v>136986</v>
          </cell>
          <cell r="G264">
            <v>111209</v>
          </cell>
          <cell r="H264">
            <v>0</v>
          </cell>
          <cell r="I264">
            <v>0</v>
          </cell>
        </row>
        <row r="265">
          <cell r="A265">
            <v>92641</v>
          </cell>
          <cell r="B265" t="str">
            <v>TOWN OF WADE</v>
          </cell>
          <cell r="C265">
            <v>1.11E-5</v>
          </cell>
          <cell r="E265">
            <v>1989</v>
          </cell>
          <cell r="F265">
            <v>1629</v>
          </cell>
          <cell r="G265">
            <v>1323</v>
          </cell>
          <cell r="H265">
            <v>0</v>
          </cell>
          <cell r="I265">
            <v>0</v>
          </cell>
        </row>
        <row r="266">
          <cell r="A266">
            <v>92651</v>
          </cell>
          <cell r="B266" t="str">
            <v>TOWN OF LINDEN</v>
          </cell>
          <cell r="C266">
            <v>4.3000000000000003E-6</v>
          </cell>
          <cell r="E266">
            <v>770</v>
          </cell>
          <cell r="F266">
            <v>631</v>
          </cell>
          <cell r="G266">
            <v>512</v>
          </cell>
          <cell r="H266">
            <v>0</v>
          </cell>
          <cell r="I266">
            <v>0</v>
          </cell>
        </row>
        <row r="267">
          <cell r="A267">
            <v>92661</v>
          </cell>
          <cell r="B267" t="str">
            <v>TOWN OF SPRING LAKE</v>
          </cell>
          <cell r="C267">
            <v>6.2509999999999996E-4</v>
          </cell>
          <cell r="E267">
            <v>111994</v>
          </cell>
          <cell r="F267">
            <v>91750</v>
          </cell>
          <cell r="G267">
            <v>74485</v>
          </cell>
          <cell r="H267">
            <v>0</v>
          </cell>
          <cell r="I267">
            <v>0</v>
          </cell>
        </row>
        <row r="268">
          <cell r="A268">
            <v>92671</v>
          </cell>
          <cell r="B268" t="str">
            <v>TOWN OF FALCON</v>
          </cell>
          <cell r="C268">
            <v>2.0999999999999998E-6</v>
          </cell>
          <cell r="E268">
            <v>376</v>
          </cell>
          <cell r="F268">
            <v>308</v>
          </cell>
          <cell r="G268">
            <v>250</v>
          </cell>
          <cell r="H268">
            <v>0</v>
          </cell>
          <cell r="I268">
            <v>0</v>
          </cell>
        </row>
        <row r="269">
          <cell r="A269">
            <v>92681</v>
          </cell>
          <cell r="B269" t="str">
            <v>TOWN OF EASTOVER</v>
          </cell>
          <cell r="C269">
            <v>1.1800000000000001E-5</v>
          </cell>
          <cell r="E269">
            <v>2114</v>
          </cell>
          <cell r="F269">
            <v>1732</v>
          </cell>
          <cell r="G269">
            <v>1406</v>
          </cell>
          <cell r="H269">
            <v>0</v>
          </cell>
          <cell r="I269">
            <v>0</v>
          </cell>
        </row>
        <row r="270">
          <cell r="A270">
            <v>92701</v>
          </cell>
          <cell r="B270" t="str">
            <v>CURRITUCK COUNTY</v>
          </cell>
          <cell r="C270">
            <v>3.0688999999999998E-3</v>
          </cell>
          <cell r="E270">
            <v>549830</v>
          </cell>
          <cell r="F270">
            <v>450441</v>
          </cell>
          <cell r="G270">
            <v>365681</v>
          </cell>
          <cell r="H270">
            <v>0</v>
          </cell>
          <cell r="I270">
            <v>0</v>
          </cell>
        </row>
        <row r="271">
          <cell r="A271">
            <v>92704</v>
          </cell>
          <cell r="B271" t="str">
            <v>CURRITUCK CO ABC BOARD</v>
          </cell>
          <cell r="C271">
            <v>3.6900000000000002E-5</v>
          </cell>
          <cell r="E271">
            <v>6611</v>
          </cell>
          <cell r="F271">
            <v>5416</v>
          </cell>
          <cell r="G271">
            <v>4397</v>
          </cell>
          <cell r="H271">
            <v>0</v>
          </cell>
          <cell r="I271">
            <v>0</v>
          </cell>
        </row>
        <row r="272">
          <cell r="A272">
            <v>92801</v>
          </cell>
          <cell r="B272" t="str">
            <v>DARE COUNTY</v>
          </cell>
          <cell r="C272">
            <v>5.4352999999999997E-3</v>
          </cell>
          <cell r="E272">
            <v>973799</v>
          </cell>
          <cell r="F272">
            <v>797772</v>
          </cell>
          <cell r="G272">
            <v>647654</v>
          </cell>
          <cell r="H272">
            <v>0</v>
          </cell>
          <cell r="I272">
            <v>0</v>
          </cell>
        </row>
        <row r="273">
          <cell r="A273">
            <v>92802</v>
          </cell>
          <cell r="B273" t="str">
            <v>DARE COUNTY TOURISM BOARD</v>
          </cell>
          <cell r="C273">
            <v>1.198E-4</v>
          </cell>
          <cell r="E273">
            <v>21464</v>
          </cell>
          <cell r="F273">
            <v>17584</v>
          </cell>
          <cell r="G273">
            <v>14275</v>
          </cell>
          <cell r="H273">
            <v>0</v>
          </cell>
          <cell r="I273">
            <v>0</v>
          </cell>
        </row>
        <row r="274">
          <cell r="A274">
            <v>92804</v>
          </cell>
          <cell r="B274" t="str">
            <v>DARE COUNTY ABC BOARD</v>
          </cell>
          <cell r="C274">
            <v>1.427E-4</v>
          </cell>
          <cell r="E274">
            <v>25566</v>
          </cell>
          <cell r="F274">
            <v>20945</v>
          </cell>
          <cell r="G274">
            <v>17004</v>
          </cell>
          <cell r="H274">
            <v>0</v>
          </cell>
          <cell r="I274">
            <v>0</v>
          </cell>
        </row>
        <row r="275">
          <cell r="A275">
            <v>92811</v>
          </cell>
          <cell r="B275" t="str">
            <v>TOWN OF NAGS HEAD</v>
          </cell>
          <cell r="C275">
            <v>9.1160000000000004E-4</v>
          </cell>
          <cell r="E275">
            <v>163324</v>
          </cell>
          <cell r="F275">
            <v>133801</v>
          </cell>
          <cell r="G275">
            <v>108624</v>
          </cell>
          <cell r="H275">
            <v>0</v>
          </cell>
          <cell r="I275">
            <v>0</v>
          </cell>
        </row>
        <row r="276">
          <cell r="A276">
            <v>92821</v>
          </cell>
          <cell r="B276" t="str">
            <v>TOWN OF KILL DEVIL HILLS</v>
          </cell>
          <cell r="C276">
            <v>9.8409999999999991E-4</v>
          </cell>
          <cell r="E276">
            <v>176313</v>
          </cell>
          <cell r="F276">
            <v>144442</v>
          </cell>
          <cell r="G276">
            <v>117262</v>
          </cell>
          <cell r="H276">
            <v>0</v>
          </cell>
          <cell r="I276">
            <v>0</v>
          </cell>
        </row>
        <row r="277">
          <cell r="A277">
            <v>92831</v>
          </cell>
          <cell r="B277" t="str">
            <v>TOWN OF MANTEO</v>
          </cell>
          <cell r="C277">
            <v>2.5230000000000001E-4</v>
          </cell>
          <cell r="E277">
            <v>45203</v>
          </cell>
          <cell r="F277">
            <v>37032</v>
          </cell>
          <cell r="G277">
            <v>30063</v>
          </cell>
          <cell r="H277">
            <v>0</v>
          </cell>
          <cell r="I277">
            <v>0</v>
          </cell>
        </row>
        <row r="278">
          <cell r="A278">
            <v>92841</v>
          </cell>
          <cell r="B278" t="str">
            <v>TOWN OF SOUTHERN SHORES</v>
          </cell>
          <cell r="C278">
            <v>2.4340000000000001E-4</v>
          </cell>
          <cell r="E278">
            <v>43608</v>
          </cell>
          <cell r="F278">
            <v>35725</v>
          </cell>
          <cell r="G278">
            <v>29003</v>
          </cell>
          <cell r="H278">
            <v>0</v>
          </cell>
          <cell r="I278">
            <v>0</v>
          </cell>
        </row>
        <row r="279">
          <cell r="A279">
            <v>92851</v>
          </cell>
          <cell r="B279" t="str">
            <v>TOWN OF KITTY HAWK</v>
          </cell>
          <cell r="C279">
            <v>4.2850000000000001E-4</v>
          </cell>
          <cell r="E279">
            <v>76771</v>
          </cell>
          <cell r="F279">
            <v>62894</v>
          </cell>
          <cell r="G279">
            <v>51059</v>
          </cell>
          <cell r="H279">
            <v>0</v>
          </cell>
          <cell r="I279">
            <v>0</v>
          </cell>
        </row>
        <row r="280">
          <cell r="A280">
            <v>92861</v>
          </cell>
          <cell r="B280" t="str">
            <v>TOWN OF DUCK</v>
          </cell>
          <cell r="C280">
            <v>3.6309999999999999E-4</v>
          </cell>
          <cell r="E280">
            <v>65054</v>
          </cell>
          <cell r="F280">
            <v>53294</v>
          </cell>
          <cell r="G280">
            <v>43266</v>
          </cell>
          <cell r="H280">
            <v>0</v>
          </cell>
          <cell r="I280">
            <v>0</v>
          </cell>
        </row>
        <row r="281">
          <cell r="A281">
            <v>92901</v>
          </cell>
          <cell r="B281" t="str">
            <v>DAVIDSON COUNTY</v>
          </cell>
          <cell r="C281">
            <v>5.4326000000000001E-3</v>
          </cell>
          <cell r="E281">
            <v>973315</v>
          </cell>
          <cell r="F281">
            <v>797375</v>
          </cell>
          <cell r="G281">
            <v>647332</v>
          </cell>
          <cell r="H281">
            <v>0</v>
          </cell>
          <cell r="I281">
            <v>0</v>
          </cell>
        </row>
        <row r="282">
          <cell r="A282">
            <v>92911</v>
          </cell>
          <cell r="B282" t="str">
            <v>CITY OF THOMASVILLE</v>
          </cell>
          <cell r="C282">
            <v>1.9161E-3</v>
          </cell>
          <cell r="E282">
            <v>343292</v>
          </cell>
          <cell r="F282">
            <v>281237</v>
          </cell>
          <cell r="G282">
            <v>228317</v>
          </cell>
          <cell r="H282">
            <v>0</v>
          </cell>
          <cell r="I282">
            <v>0</v>
          </cell>
        </row>
        <row r="283">
          <cell r="A283">
            <v>92913</v>
          </cell>
          <cell r="B283" t="str">
            <v>THOMASVILLE HOUSING AUTHORITY</v>
          </cell>
          <cell r="C283">
            <v>2.0400000000000001E-5</v>
          </cell>
          <cell r="E283">
            <v>3655</v>
          </cell>
          <cell r="F283">
            <v>2994</v>
          </cell>
          <cell r="G283">
            <v>2431</v>
          </cell>
          <cell r="H283">
            <v>0</v>
          </cell>
          <cell r="I283">
            <v>0</v>
          </cell>
        </row>
        <row r="284">
          <cell r="A284">
            <v>92914</v>
          </cell>
          <cell r="B284" t="str">
            <v>THOMASVILLE ABC BOARD</v>
          </cell>
          <cell r="C284">
            <v>2.55E-5</v>
          </cell>
          <cell r="E284">
            <v>4569</v>
          </cell>
          <cell r="F284">
            <v>3743</v>
          </cell>
          <cell r="G284">
            <v>3039</v>
          </cell>
          <cell r="H284">
            <v>0</v>
          </cell>
          <cell r="I284">
            <v>0</v>
          </cell>
        </row>
        <row r="285">
          <cell r="A285">
            <v>92917</v>
          </cell>
          <cell r="B285" t="str">
            <v>LEXINGTON ABC BOARD</v>
          </cell>
          <cell r="C285">
            <v>1.9199999999999999E-5</v>
          </cell>
          <cell r="E285">
            <v>3440</v>
          </cell>
          <cell r="F285">
            <v>2818</v>
          </cell>
          <cell r="G285">
            <v>2288</v>
          </cell>
          <cell r="H285">
            <v>0</v>
          </cell>
          <cell r="I285">
            <v>0</v>
          </cell>
        </row>
        <row r="286">
          <cell r="A286">
            <v>92921</v>
          </cell>
          <cell r="B286" t="str">
            <v>TOWN OF DENTON</v>
          </cell>
          <cell r="C286">
            <v>9.6600000000000003E-5</v>
          </cell>
          <cell r="E286">
            <v>17307</v>
          </cell>
          <cell r="F286">
            <v>14179</v>
          </cell>
          <cell r="G286">
            <v>11511</v>
          </cell>
          <cell r="H286">
            <v>0</v>
          </cell>
          <cell r="I286">
            <v>0</v>
          </cell>
        </row>
        <row r="287">
          <cell r="A287">
            <v>92931</v>
          </cell>
          <cell r="B287" t="str">
            <v>CITY OF LEXINGTON</v>
          </cell>
          <cell r="C287">
            <v>2.2504999999999999E-3</v>
          </cell>
          <cell r="E287">
            <v>403204</v>
          </cell>
          <cell r="F287">
            <v>330319</v>
          </cell>
          <cell r="G287">
            <v>268163</v>
          </cell>
          <cell r="H287">
            <v>0</v>
          </cell>
          <cell r="I287">
            <v>0</v>
          </cell>
        </row>
        <row r="288">
          <cell r="A288">
            <v>92941</v>
          </cell>
          <cell r="B288" t="str">
            <v>TOWN OF MIDWAY</v>
          </cell>
          <cell r="C288">
            <v>4.1999999999999996E-6</v>
          </cell>
          <cell r="E288">
            <v>752</v>
          </cell>
          <cell r="F288">
            <v>616</v>
          </cell>
          <cell r="G288">
            <v>500</v>
          </cell>
          <cell r="H288">
            <v>0</v>
          </cell>
          <cell r="I288">
            <v>0</v>
          </cell>
        </row>
        <row r="289">
          <cell r="A289">
            <v>93001</v>
          </cell>
          <cell r="B289" t="str">
            <v>DAVIE COUNTY</v>
          </cell>
          <cell r="C289">
            <v>2.2536000000000001E-3</v>
          </cell>
          <cell r="E289">
            <v>403759</v>
          </cell>
          <cell r="F289">
            <v>330774</v>
          </cell>
          <cell r="G289">
            <v>268532</v>
          </cell>
          <cell r="H289">
            <v>0</v>
          </cell>
          <cell r="I289">
            <v>0</v>
          </cell>
        </row>
        <row r="290">
          <cell r="A290">
            <v>93009</v>
          </cell>
          <cell r="B290" t="str">
            <v>DAVIE SOIL AND WATER CONSERVATION DIST</v>
          </cell>
          <cell r="C290">
            <v>1.2799999999999999E-5</v>
          </cell>
          <cell r="E290">
            <v>2293</v>
          </cell>
          <cell r="F290">
            <v>1879</v>
          </cell>
          <cell r="G290">
            <v>1525</v>
          </cell>
          <cell r="H290">
            <v>0</v>
          </cell>
          <cell r="I290">
            <v>0</v>
          </cell>
        </row>
        <row r="291">
          <cell r="A291">
            <v>93011</v>
          </cell>
          <cell r="B291" t="str">
            <v>TOWN OF MOCKSVILLE</v>
          </cell>
          <cell r="C291">
            <v>3.0909999999999998E-4</v>
          </cell>
          <cell r="E291">
            <v>55379</v>
          </cell>
          <cell r="F291">
            <v>45368</v>
          </cell>
          <cell r="G291">
            <v>36831</v>
          </cell>
          <cell r="H291">
            <v>0</v>
          </cell>
          <cell r="I291">
            <v>0</v>
          </cell>
        </row>
        <row r="292">
          <cell r="A292">
            <v>93021</v>
          </cell>
          <cell r="B292" t="str">
            <v>TOWN OF BERMUDA RUN</v>
          </cell>
          <cell r="C292">
            <v>3.0499999999999999E-5</v>
          </cell>
          <cell r="E292">
            <v>5464</v>
          </cell>
          <cell r="F292">
            <v>4477</v>
          </cell>
          <cell r="G292">
            <v>3634</v>
          </cell>
          <cell r="H292">
            <v>0</v>
          </cell>
          <cell r="I292">
            <v>0</v>
          </cell>
        </row>
        <row r="293">
          <cell r="A293">
            <v>93027</v>
          </cell>
          <cell r="B293" t="str">
            <v>COOLEEMEE ABC BOARD</v>
          </cell>
          <cell r="C293">
            <v>0</v>
          </cell>
          <cell r="E293">
            <v>0</v>
          </cell>
          <cell r="F293">
            <v>0</v>
          </cell>
          <cell r="G293">
            <v>0</v>
          </cell>
          <cell r="H293">
            <v>0</v>
          </cell>
          <cell r="I293">
            <v>0</v>
          </cell>
        </row>
        <row r="294">
          <cell r="A294">
            <v>93028</v>
          </cell>
          <cell r="B294" t="str">
            <v>MOCKSVILLE-COOLEEMEE ABC BOARD</v>
          </cell>
          <cell r="C294">
            <v>0</v>
          </cell>
          <cell r="E294">
            <v>0</v>
          </cell>
          <cell r="F294">
            <v>0</v>
          </cell>
          <cell r="G294">
            <v>0</v>
          </cell>
          <cell r="H294">
            <v>0</v>
          </cell>
          <cell r="I294">
            <v>0</v>
          </cell>
        </row>
        <row r="295">
          <cell r="A295">
            <v>93031</v>
          </cell>
          <cell r="B295" t="str">
            <v>TOWN OF COOLEEMEE</v>
          </cell>
          <cell r="C295">
            <v>7.7000000000000008E-6</v>
          </cell>
          <cell r="E295">
            <v>1380</v>
          </cell>
          <cell r="F295">
            <v>1130</v>
          </cell>
          <cell r="G295">
            <v>918</v>
          </cell>
          <cell r="H295">
            <v>0</v>
          </cell>
          <cell r="I295">
            <v>0</v>
          </cell>
        </row>
        <row r="296">
          <cell r="A296">
            <v>93101</v>
          </cell>
          <cell r="B296" t="str">
            <v>DUPLIN COUNTY</v>
          </cell>
          <cell r="C296">
            <v>3.1914999999999999E-3</v>
          </cell>
          <cell r="E296">
            <v>571796</v>
          </cell>
          <cell r="F296">
            <v>468436</v>
          </cell>
          <cell r="G296">
            <v>380290</v>
          </cell>
          <cell r="H296">
            <v>0</v>
          </cell>
          <cell r="I296">
            <v>0</v>
          </cell>
        </row>
        <row r="297">
          <cell r="A297">
            <v>93103</v>
          </cell>
          <cell r="B297" t="str">
            <v>DUPLIN COUNTY TOURISM DEVELOPMENT AUTHORITY</v>
          </cell>
          <cell r="C297">
            <v>1.56E-5</v>
          </cell>
          <cell r="E297">
            <v>2795</v>
          </cell>
          <cell r="F297">
            <v>2290</v>
          </cell>
          <cell r="G297">
            <v>1859</v>
          </cell>
          <cell r="H297">
            <v>0</v>
          </cell>
          <cell r="I297">
            <v>0</v>
          </cell>
        </row>
        <row r="298">
          <cell r="A298">
            <v>93108</v>
          </cell>
          <cell r="B298" t="str">
            <v>EASTPOINTE HUMAN SERVICES</v>
          </cell>
          <cell r="C298">
            <v>2.2694E-3</v>
          </cell>
          <cell r="E298">
            <v>406590</v>
          </cell>
          <cell r="F298">
            <v>333093</v>
          </cell>
          <cell r="G298">
            <v>270415</v>
          </cell>
          <cell r="H298">
            <v>0</v>
          </cell>
          <cell r="I298">
            <v>0</v>
          </cell>
        </row>
        <row r="299">
          <cell r="A299">
            <v>93111</v>
          </cell>
          <cell r="B299" t="str">
            <v>TOWN OF BEULAVILLE</v>
          </cell>
          <cell r="C299">
            <v>5.8199999999999998E-5</v>
          </cell>
          <cell r="E299">
            <v>10427</v>
          </cell>
          <cell r="F299">
            <v>8542</v>
          </cell>
          <cell r="G299">
            <v>6935</v>
          </cell>
          <cell r="H299">
            <v>0</v>
          </cell>
          <cell r="I299">
            <v>0</v>
          </cell>
        </row>
        <row r="300">
          <cell r="A300">
            <v>93121</v>
          </cell>
          <cell r="B300" t="str">
            <v>TOWN OF KENANSVILLE</v>
          </cell>
          <cell r="C300">
            <v>6.2199999999999994E-5</v>
          </cell>
          <cell r="E300">
            <v>11144</v>
          </cell>
          <cell r="F300">
            <v>9129</v>
          </cell>
          <cell r="G300">
            <v>7412</v>
          </cell>
          <cell r="H300">
            <v>0</v>
          </cell>
          <cell r="I300">
            <v>0</v>
          </cell>
        </row>
        <row r="301">
          <cell r="A301">
            <v>93127</v>
          </cell>
          <cell r="B301" t="str">
            <v>KENANSVILLE ABC BOARD</v>
          </cell>
          <cell r="C301">
            <v>5.9000000000000003E-6</v>
          </cell>
          <cell r="E301">
            <v>1057</v>
          </cell>
          <cell r="F301">
            <v>866</v>
          </cell>
          <cell r="G301">
            <v>703</v>
          </cell>
          <cell r="H301">
            <v>0</v>
          </cell>
          <cell r="I301">
            <v>0</v>
          </cell>
        </row>
        <row r="302">
          <cell r="A302">
            <v>93131</v>
          </cell>
          <cell r="B302" t="str">
            <v>TOWN OF WARSAW</v>
          </cell>
          <cell r="C302">
            <v>1.7799999999999999E-4</v>
          </cell>
          <cell r="E302">
            <v>31891</v>
          </cell>
          <cell r="F302">
            <v>26126</v>
          </cell>
          <cell r="G302">
            <v>21210</v>
          </cell>
          <cell r="H302">
            <v>0</v>
          </cell>
          <cell r="I302">
            <v>0</v>
          </cell>
        </row>
        <row r="303">
          <cell r="A303">
            <v>93137</v>
          </cell>
          <cell r="B303" t="str">
            <v>WARSAW ABC BOARD</v>
          </cell>
          <cell r="C303">
            <v>4.7999999999999998E-6</v>
          </cell>
          <cell r="E303">
            <v>860</v>
          </cell>
          <cell r="F303">
            <v>705</v>
          </cell>
          <cell r="G303">
            <v>572</v>
          </cell>
          <cell r="H303">
            <v>0</v>
          </cell>
          <cell r="I303">
            <v>0</v>
          </cell>
        </row>
        <row r="304">
          <cell r="A304">
            <v>93141</v>
          </cell>
          <cell r="B304" t="str">
            <v>TOWN OF FAISON</v>
          </cell>
          <cell r="C304">
            <v>3.2499999999999997E-5</v>
          </cell>
          <cell r="E304">
            <v>5823</v>
          </cell>
          <cell r="F304">
            <v>4770</v>
          </cell>
          <cell r="G304">
            <v>3873</v>
          </cell>
          <cell r="H304">
            <v>0</v>
          </cell>
          <cell r="I304">
            <v>0</v>
          </cell>
        </row>
        <row r="305">
          <cell r="A305">
            <v>93151</v>
          </cell>
          <cell r="B305" t="str">
            <v>TOWN OF WALLACE</v>
          </cell>
          <cell r="C305">
            <v>3.7100000000000002E-4</v>
          </cell>
          <cell r="E305">
            <v>66469</v>
          </cell>
          <cell r="F305">
            <v>54454</v>
          </cell>
          <cell r="G305">
            <v>44207</v>
          </cell>
          <cell r="H305">
            <v>0</v>
          </cell>
          <cell r="I305">
            <v>0</v>
          </cell>
        </row>
        <row r="306">
          <cell r="A306">
            <v>93157</v>
          </cell>
          <cell r="B306" t="str">
            <v>WALLACE ABC BD</v>
          </cell>
          <cell r="C306">
            <v>7.9000000000000006E-6</v>
          </cell>
          <cell r="E306">
            <v>1415</v>
          </cell>
          <cell r="F306">
            <v>1160</v>
          </cell>
          <cell r="G306">
            <v>941</v>
          </cell>
          <cell r="H306">
            <v>0</v>
          </cell>
          <cell r="I306">
            <v>0</v>
          </cell>
        </row>
        <row r="307">
          <cell r="A307">
            <v>93161</v>
          </cell>
          <cell r="B307" t="str">
            <v>TOWN OF ROSE HILL</v>
          </cell>
          <cell r="C307">
            <v>1.2180000000000001E-4</v>
          </cell>
          <cell r="E307">
            <v>21822</v>
          </cell>
          <cell r="F307">
            <v>17877</v>
          </cell>
          <cell r="G307">
            <v>14513</v>
          </cell>
          <cell r="H307">
            <v>0</v>
          </cell>
          <cell r="I307">
            <v>0</v>
          </cell>
        </row>
        <row r="308">
          <cell r="A308">
            <v>93171</v>
          </cell>
          <cell r="B308" t="str">
            <v>TOWN OF CALYPSO</v>
          </cell>
          <cell r="C308">
            <v>5.3000000000000001E-6</v>
          </cell>
          <cell r="E308">
            <v>950</v>
          </cell>
          <cell r="F308">
            <v>778</v>
          </cell>
          <cell r="G308">
            <v>632</v>
          </cell>
          <cell r="H308">
            <v>0</v>
          </cell>
          <cell r="I308">
            <v>0</v>
          </cell>
        </row>
        <row r="309">
          <cell r="A309">
            <v>93181</v>
          </cell>
          <cell r="B309" t="str">
            <v>TOWN OF TEACHEY</v>
          </cell>
          <cell r="C309">
            <v>1.04E-5</v>
          </cell>
          <cell r="E309">
            <v>1863</v>
          </cell>
          <cell r="F309">
            <v>1526</v>
          </cell>
          <cell r="G309">
            <v>1239</v>
          </cell>
          <cell r="H309">
            <v>0</v>
          </cell>
          <cell r="I309">
            <v>0</v>
          </cell>
        </row>
        <row r="310">
          <cell r="A310">
            <v>93191</v>
          </cell>
          <cell r="B310" t="str">
            <v>TOWN OF MAGNOLIA</v>
          </cell>
          <cell r="C310">
            <v>2.34E-5</v>
          </cell>
          <cell r="E310">
            <v>4192</v>
          </cell>
          <cell r="F310">
            <v>3435</v>
          </cell>
          <cell r="G310">
            <v>2788</v>
          </cell>
          <cell r="H310">
            <v>0</v>
          </cell>
          <cell r="I310">
            <v>0</v>
          </cell>
        </row>
        <row r="311">
          <cell r="A311">
            <v>93201</v>
          </cell>
          <cell r="B311" t="str">
            <v>DURHAM COUNTY</v>
          </cell>
          <cell r="C311">
            <v>1.5197799999999999E-2</v>
          </cell>
          <cell r="E311">
            <v>2722868</v>
          </cell>
          <cell r="F311">
            <v>2230672</v>
          </cell>
          <cell r="G311">
            <v>1810924</v>
          </cell>
          <cell r="H311">
            <v>0</v>
          </cell>
          <cell r="I311">
            <v>0</v>
          </cell>
        </row>
        <row r="312">
          <cell r="A312">
            <v>93202</v>
          </cell>
          <cell r="B312" t="str">
            <v>PARKWOOD FIRE DEPARTMENT</v>
          </cell>
          <cell r="C312">
            <v>0</v>
          </cell>
          <cell r="E312">
            <v>0</v>
          </cell>
          <cell r="F312">
            <v>0</v>
          </cell>
          <cell r="G312">
            <v>0</v>
          </cell>
          <cell r="H312">
            <v>0</v>
          </cell>
          <cell r="I312">
            <v>0</v>
          </cell>
        </row>
        <row r="313">
          <cell r="A313">
            <v>93204</v>
          </cell>
          <cell r="B313" t="str">
            <v>DURHAM COUNTY ABC BOARD</v>
          </cell>
          <cell r="C313">
            <v>2.9710000000000001E-4</v>
          </cell>
          <cell r="E313">
            <v>53229</v>
          </cell>
          <cell r="F313">
            <v>43607</v>
          </cell>
          <cell r="G313">
            <v>35402</v>
          </cell>
          <cell r="H313">
            <v>0</v>
          </cell>
          <cell r="I313">
            <v>0</v>
          </cell>
        </row>
        <row r="314">
          <cell r="A314">
            <v>93209</v>
          </cell>
          <cell r="B314" t="str">
            <v>ALLIANCE BEHAVIORAL HEALTHCRE</v>
          </cell>
          <cell r="C314">
            <v>5.5938000000000003E-3</v>
          </cell>
          <cell r="E314">
            <v>1002196</v>
          </cell>
          <cell r="F314">
            <v>821036</v>
          </cell>
          <cell r="G314">
            <v>666540</v>
          </cell>
          <cell r="H314">
            <v>0</v>
          </cell>
          <cell r="I314">
            <v>0</v>
          </cell>
        </row>
        <row r="315">
          <cell r="A315">
            <v>93211</v>
          </cell>
          <cell r="B315" t="str">
            <v>CITY OF DURHAM</v>
          </cell>
          <cell r="C315">
            <v>2.16165E-2</v>
          </cell>
          <cell r="E315">
            <v>3872855</v>
          </cell>
          <cell r="F315">
            <v>3172783</v>
          </cell>
          <cell r="G315">
            <v>2575757</v>
          </cell>
          <cell r="H315">
            <v>0</v>
          </cell>
          <cell r="I315">
            <v>0</v>
          </cell>
        </row>
        <row r="316">
          <cell r="A316">
            <v>93212</v>
          </cell>
          <cell r="B316" t="str">
            <v>DURHAM CONVENTION &amp; VISITORS BUREAU</v>
          </cell>
          <cell r="C316">
            <v>2.3910000000000001E-4</v>
          </cell>
          <cell r="E316">
            <v>42838</v>
          </cell>
          <cell r="F316">
            <v>35094</v>
          </cell>
          <cell r="G316">
            <v>28490</v>
          </cell>
          <cell r="H316">
            <v>0</v>
          </cell>
          <cell r="I316">
            <v>0</v>
          </cell>
        </row>
        <row r="317">
          <cell r="A317">
            <v>93219</v>
          </cell>
          <cell r="B317" t="str">
            <v>TRIANGLE J COUNCIL OF GOVERNMENTS</v>
          </cell>
          <cell r="C317">
            <v>2.6229999999999998E-4</v>
          </cell>
          <cell r="E317">
            <v>46994</v>
          </cell>
          <cell r="F317">
            <v>38499</v>
          </cell>
          <cell r="G317">
            <v>31255</v>
          </cell>
          <cell r="H317">
            <v>0</v>
          </cell>
          <cell r="I317">
            <v>0</v>
          </cell>
        </row>
        <row r="318">
          <cell r="A318">
            <v>93301</v>
          </cell>
          <cell r="B318" t="str">
            <v>EDGECOMBE COUNTY</v>
          </cell>
          <cell r="C318">
            <v>2.2057999999999999E-3</v>
          </cell>
          <cell r="E318">
            <v>395196</v>
          </cell>
          <cell r="F318">
            <v>323759</v>
          </cell>
          <cell r="G318">
            <v>262837</v>
          </cell>
          <cell r="H318">
            <v>0</v>
          </cell>
          <cell r="I318">
            <v>0</v>
          </cell>
        </row>
        <row r="319">
          <cell r="A319">
            <v>93304</v>
          </cell>
          <cell r="B319" t="str">
            <v>EDGECOMBE COUNTY ABC BOARD</v>
          </cell>
          <cell r="C319">
            <v>3.9400000000000002E-5</v>
          </cell>
          <cell r="E319">
            <v>7059</v>
          </cell>
          <cell r="F319">
            <v>5783</v>
          </cell>
          <cell r="G319">
            <v>4695</v>
          </cell>
          <cell r="H319">
            <v>0</v>
          </cell>
          <cell r="I319">
            <v>0</v>
          </cell>
        </row>
        <row r="320">
          <cell r="A320">
            <v>93305</v>
          </cell>
          <cell r="B320" t="str">
            <v>EDGECOMBE COUNTY MEMORIAL LIBRARY</v>
          </cell>
          <cell r="C320">
            <v>4.0299999999999997E-5</v>
          </cell>
          <cell r="E320">
            <v>7220</v>
          </cell>
          <cell r="F320">
            <v>5915</v>
          </cell>
          <cell r="G320">
            <v>4802</v>
          </cell>
          <cell r="H320">
            <v>0</v>
          </cell>
          <cell r="I320">
            <v>0</v>
          </cell>
        </row>
        <row r="321">
          <cell r="A321">
            <v>93309</v>
          </cell>
          <cell r="B321" t="str">
            <v>UPPER COASTAL PLAIN COUNCIL OF GOVERNMENTS</v>
          </cell>
          <cell r="C321">
            <v>1.6239999999999999E-4</v>
          </cell>
          <cell r="E321">
            <v>29096</v>
          </cell>
          <cell r="F321">
            <v>23836</v>
          </cell>
          <cell r="G321">
            <v>19351</v>
          </cell>
          <cell r="H321">
            <v>0</v>
          </cell>
          <cell r="I321">
            <v>0</v>
          </cell>
        </row>
        <row r="322">
          <cell r="A322">
            <v>93311</v>
          </cell>
          <cell r="B322" t="str">
            <v>TOWN OF TARBORO</v>
          </cell>
          <cell r="C322">
            <v>1.2413999999999999E-3</v>
          </cell>
          <cell r="E322">
            <v>222412</v>
          </cell>
          <cell r="F322">
            <v>182208</v>
          </cell>
          <cell r="G322">
            <v>147921</v>
          </cell>
          <cell r="H322">
            <v>0</v>
          </cell>
          <cell r="I322">
            <v>0</v>
          </cell>
        </row>
        <row r="323">
          <cell r="A323">
            <v>93317</v>
          </cell>
          <cell r="B323" t="str">
            <v>TARBORO REDEVELOPMENT COMMISSION</v>
          </cell>
          <cell r="C323">
            <v>4.1199999999999999E-5</v>
          </cell>
          <cell r="E323">
            <v>7381</v>
          </cell>
          <cell r="F323">
            <v>6047</v>
          </cell>
          <cell r="G323">
            <v>4909</v>
          </cell>
          <cell r="H323">
            <v>0</v>
          </cell>
          <cell r="I323">
            <v>0</v>
          </cell>
        </row>
        <row r="324">
          <cell r="A324">
            <v>93321</v>
          </cell>
          <cell r="B324" t="str">
            <v>CITY OF ROCKY MOUNT</v>
          </cell>
          <cell r="C324">
            <v>6.7971999999999998E-3</v>
          </cell>
          <cell r="E324">
            <v>1217800</v>
          </cell>
          <cell r="F324">
            <v>997666</v>
          </cell>
          <cell r="G324">
            <v>809934</v>
          </cell>
          <cell r="H324">
            <v>0</v>
          </cell>
          <cell r="I324">
            <v>0</v>
          </cell>
        </row>
        <row r="325">
          <cell r="A325">
            <v>93323</v>
          </cell>
          <cell r="B325" t="str">
            <v>ROCKY MOUNT-WILSON AIRPORT AUTHORITY</v>
          </cell>
          <cell r="C325">
            <v>2.0100000000000001E-5</v>
          </cell>
          <cell r="E325">
            <v>3601</v>
          </cell>
          <cell r="F325">
            <v>2950</v>
          </cell>
          <cell r="G325">
            <v>2395</v>
          </cell>
          <cell r="H325">
            <v>0</v>
          </cell>
          <cell r="I325">
            <v>0</v>
          </cell>
        </row>
        <row r="326">
          <cell r="A326">
            <v>93331</v>
          </cell>
          <cell r="B326" t="str">
            <v>TOWN OF PINETOPS</v>
          </cell>
          <cell r="C326">
            <v>1.161E-4</v>
          </cell>
          <cell r="E326">
            <v>20801</v>
          </cell>
          <cell r="F326">
            <v>17041</v>
          </cell>
          <cell r="G326">
            <v>13834</v>
          </cell>
          <cell r="H326">
            <v>0</v>
          </cell>
          <cell r="I326">
            <v>0</v>
          </cell>
        </row>
        <row r="327">
          <cell r="A327">
            <v>93333</v>
          </cell>
          <cell r="B327" t="str">
            <v>ROCKY MT HOUSING AUTHORITY</v>
          </cell>
          <cell r="C327">
            <v>1.6660000000000001E-4</v>
          </cell>
          <cell r="E327">
            <v>29848</v>
          </cell>
          <cell r="F327">
            <v>24453</v>
          </cell>
          <cell r="G327">
            <v>19852</v>
          </cell>
          <cell r="H327">
            <v>0</v>
          </cell>
          <cell r="I327">
            <v>0</v>
          </cell>
        </row>
        <row r="328">
          <cell r="A328">
            <v>93341</v>
          </cell>
          <cell r="B328" t="str">
            <v>TOWN OF MACCLESFIELD</v>
          </cell>
          <cell r="C328">
            <v>2.9300000000000001E-5</v>
          </cell>
          <cell r="E328">
            <v>5249</v>
          </cell>
          <cell r="F328">
            <v>4301</v>
          </cell>
          <cell r="G328">
            <v>3491</v>
          </cell>
          <cell r="H328">
            <v>0</v>
          </cell>
          <cell r="I328">
            <v>0</v>
          </cell>
        </row>
        <row r="329">
          <cell r="A329">
            <v>93351</v>
          </cell>
          <cell r="B329" t="str">
            <v>TOWN OF PRINCEVILLE</v>
          </cell>
          <cell r="C329">
            <v>3.1600000000000002E-5</v>
          </cell>
          <cell r="E329">
            <v>5662</v>
          </cell>
          <cell r="F329">
            <v>4638</v>
          </cell>
          <cell r="G329">
            <v>3765</v>
          </cell>
          <cell r="H329">
            <v>0</v>
          </cell>
          <cell r="I329">
            <v>0</v>
          </cell>
        </row>
        <row r="330">
          <cell r="A330">
            <v>93401</v>
          </cell>
          <cell r="B330" t="str">
            <v>FORSYTH COUNTY</v>
          </cell>
          <cell r="C330">
            <v>1.3690799999999999E-2</v>
          </cell>
          <cell r="E330">
            <v>2452871</v>
          </cell>
          <cell r="F330">
            <v>2009481</v>
          </cell>
          <cell r="G330">
            <v>1631355</v>
          </cell>
          <cell r="H330">
            <v>0</v>
          </cell>
          <cell r="I330">
            <v>0</v>
          </cell>
        </row>
        <row r="331">
          <cell r="A331">
            <v>93402</v>
          </cell>
          <cell r="B331" t="str">
            <v>AIRPORT COMMISSION OF FORSYTH COUNTY</v>
          </cell>
          <cell r="C331">
            <v>0</v>
          </cell>
          <cell r="E331">
            <v>0</v>
          </cell>
          <cell r="F331">
            <v>0</v>
          </cell>
          <cell r="G331">
            <v>0</v>
          </cell>
          <cell r="H331">
            <v>0</v>
          </cell>
          <cell r="I331">
            <v>0</v>
          </cell>
        </row>
        <row r="332">
          <cell r="A332">
            <v>93406</v>
          </cell>
          <cell r="B332" t="str">
            <v>PIEDMONT TRIAD REGIONAL COUNCIL</v>
          </cell>
          <cell r="C332">
            <v>4.9350000000000002E-4</v>
          </cell>
          <cell r="E332">
            <v>88416</v>
          </cell>
          <cell r="F332">
            <v>72434</v>
          </cell>
          <cell r="G332">
            <v>58804</v>
          </cell>
          <cell r="H332">
            <v>0</v>
          </cell>
          <cell r="I332">
            <v>0</v>
          </cell>
        </row>
        <row r="333">
          <cell r="A333">
            <v>93408</v>
          </cell>
          <cell r="B333" t="str">
            <v>CENTERPOINT HUMAN SERVICES</v>
          </cell>
          <cell r="C333">
            <v>0</v>
          </cell>
          <cell r="E333">
            <v>0</v>
          </cell>
          <cell r="F333">
            <v>0</v>
          </cell>
          <cell r="G333">
            <v>0</v>
          </cell>
          <cell r="H333">
            <v>0</v>
          </cell>
          <cell r="I333">
            <v>0</v>
          </cell>
        </row>
        <row r="334">
          <cell r="A334">
            <v>93411</v>
          </cell>
          <cell r="B334" t="str">
            <v>CITY OF WINSTON-SALEM</v>
          </cell>
          <cell r="C334">
            <v>1.77345E-2</v>
          </cell>
          <cell r="E334">
            <v>3177348</v>
          </cell>
          <cell r="F334">
            <v>2602999</v>
          </cell>
          <cell r="G334">
            <v>2113190</v>
          </cell>
          <cell r="H334">
            <v>0</v>
          </cell>
          <cell r="I334">
            <v>0</v>
          </cell>
        </row>
        <row r="335">
          <cell r="A335">
            <v>93413</v>
          </cell>
          <cell r="B335" t="str">
            <v>WINSTON-SALEM HOUSING AUTHORITY</v>
          </cell>
          <cell r="C335">
            <v>6.9559999999999999E-4</v>
          </cell>
          <cell r="E335">
            <v>124625</v>
          </cell>
          <cell r="F335">
            <v>102097</v>
          </cell>
          <cell r="G335">
            <v>82886</v>
          </cell>
          <cell r="H335">
            <v>0</v>
          </cell>
          <cell r="I335">
            <v>0</v>
          </cell>
        </row>
        <row r="336">
          <cell r="A336">
            <v>93417</v>
          </cell>
          <cell r="B336" t="str">
            <v>TRIAD MUNICIPAL ABC BOARD</v>
          </cell>
          <cell r="C336">
            <v>2.8659999999999997E-4</v>
          </cell>
          <cell r="E336">
            <v>51348</v>
          </cell>
          <cell r="F336">
            <v>42066</v>
          </cell>
          <cell r="G336">
            <v>34150</v>
          </cell>
          <cell r="H336">
            <v>0</v>
          </cell>
          <cell r="I336">
            <v>0</v>
          </cell>
        </row>
        <row r="337">
          <cell r="A337">
            <v>93421</v>
          </cell>
          <cell r="B337" t="str">
            <v>TOWN OF KERNERSVILLE</v>
          </cell>
          <cell r="C337">
            <v>2.0569E-3</v>
          </cell>
          <cell r="E337">
            <v>368518</v>
          </cell>
          <cell r="F337">
            <v>301904</v>
          </cell>
          <cell r="G337">
            <v>245094</v>
          </cell>
          <cell r="H337">
            <v>0</v>
          </cell>
          <cell r="I337">
            <v>0</v>
          </cell>
        </row>
        <row r="338">
          <cell r="A338">
            <v>93431</v>
          </cell>
          <cell r="B338" t="str">
            <v>TOWN OF RURAL HALL</v>
          </cell>
          <cell r="C338">
            <v>1.381E-4</v>
          </cell>
          <cell r="E338">
            <v>24742</v>
          </cell>
          <cell r="F338">
            <v>20270</v>
          </cell>
          <cell r="G338">
            <v>16456</v>
          </cell>
          <cell r="H338">
            <v>0</v>
          </cell>
          <cell r="I338">
            <v>0</v>
          </cell>
        </row>
        <row r="339">
          <cell r="A339">
            <v>93441</v>
          </cell>
          <cell r="B339" t="str">
            <v>VILLAGE OF CLEMMONS</v>
          </cell>
          <cell r="C339">
            <v>1.6559999999999999E-4</v>
          </cell>
          <cell r="E339">
            <v>29669</v>
          </cell>
          <cell r="F339">
            <v>24306</v>
          </cell>
          <cell r="G339">
            <v>19732</v>
          </cell>
          <cell r="H339">
            <v>0</v>
          </cell>
          <cell r="I339">
            <v>0</v>
          </cell>
        </row>
        <row r="340">
          <cell r="A340">
            <v>93442</v>
          </cell>
          <cell r="B340" t="str">
            <v>CLEMMONS FIRE DEPARTMENT</v>
          </cell>
          <cell r="C340">
            <v>1.561E-4</v>
          </cell>
          <cell r="E340">
            <v>27967</v>
          </cell>
          <cell r="F340">
            <v>22912</v>
          </cell>
          <cell r="G340">
            <v>18600</v>
          </cell>
          <cell r="H340">
            <v>0</v>
          </cell>
          <cell r="I340">
            <v>0</v>
          </cell>
        </row>
        <row r="341">
          <cell r="A341">
            <v>93451</v>
          </cell>
          <cell r="B341" t="str">
            <v>TOWN OF LEWISVILLE</v>
          </cell>
          <cell r="C341">
            <v>6.6600000000000006E-5</v>
          </cell>
          <cell r="E341">
            <v>11932</v>
          </cell>
          <cell r="F341">
            <v>9775</v>
          </cell>
          <cell r="G341">
            <v>7936</v>
          </cell>
          <cell r="H341">
            <v>0</v>
          </cell>
          <cell r="I341">
            <v>0</v>
          </cell>
        </row>
        <row r="342">
          <cell r="A342">
            <v>93461</v>
          </cell>
          <cell r="B342" t="str">
            <v>TOWN OF WALKERTOWN</v>
          </cell>
          <cell r="C342">
            <v>1.5500000000000001E-5</v>
          </cell>
          <cell r="E342">
            <v>2777</v>
          </cell>
          <cell r="F342">
            <v>2275</v>
          </cell>
          <cell r="G342">
            <v>1847</v>
          </cell>
          <cell r="H342">
            <v>0</v>
          </cell>
          <cell r="I342">
            <v>0</v>
          </cell>
        </row>
        <row r="343">
          <cell r="A343">
            <v>93471</v>
          </cell>
          <cell r="B343" t="str">
            <v>VILLAGE OF TOBACCOVILLE</v>
          </cell>
          <cell r="C343">
            <v>1.1399999999999999E-5</v>
          </cell>
          <cell r="E343">
            <v>2042</v>
          </cell>
          <cell r="F343">
            <v>1673</v>
          </cell>
          <cell r="G343">
            <v>1358</v>
          </cell>
          <cell r="H343">
            <v>0</v>
          </cell>
          <cell r="I343">
            <v>0</v>
          </cell>
        </row>
        <row r="344">
          <cell r="A344">
            <v>93501</v>
          </cell>
          <cell r="B344" t="str">
            <v>FRANKLIN COUNTY</v>
          </cell>
          <cell r="C344">
            <v>3.8463999999999998E-3</v>
          </cell>
          <cell r="E344">
            <v>689129</v>
          </cell>
          <cell r="F344">
            <v>564559</v>
          </cell>
          <cell r="G344">
            <v>458325</v>
          </cell>
          <cell r="H344">
            <v>0</v>
          </cell>
          <cell r="I344">
            <v>0</v>
          </cell>
        </row>
        <row r="345">
          <cell r="A345">
            <v>93511</v>
          </cell>
          <cell r="B345" t="str">
            <v>TOWN OF FRANKLINTON</v>
          </cell>
          <cell r="C345">
            <v>8.7899999999999995E-5</v>
          </cell>
          <cell r="E345">
            <v>15748</v>
          </cell>
          <cell r="F345">
            <v>12902</v>
          </cell>
          <cell r="G345">
            <v>10474</v>
          </cell>
          <cell r="H345">
            <v>0</v>
          </cell>
          <cell r="I345">
            <v>0</v>
          </cell>
        </row>
        <row r="346">
          <cell r="A346">
            <v>93517</v>
          </cell>
          <cell r="B346" t="str">
            <v>FRANKLINTON ABC BOARD</v>
          </cell>
          <cell r="C346">
            <v>4.3000000000000003E-6</v>
          </cell>
          <cell r="E346">
            <v>770</v>
          </cell>
          <cell r="F346">
            <v>631</v>
          </cell>
          <cell r="G346">
            <v>512</v>
          </cell>
          <cell r="H346">
            <v>0</v>
          </cell>
          <cell r="I346">
            <v>0</v>
          </cell>
        </row>
        <row r="347">
          <cell r="A347">
            <v>93521</v>
          </cell>
          <cell r="B347" t="str">
            <v>TOWN OF LOUISBURG</v>
          </cell>
          <cell r="C347">
            <v>4.7340000000000001E-4</v>
          </cell>
          <cell r="E347">
            <v>84815</v>
          </cell>
          <cell r="F347">
            <v>69484</v>
          </cell>
          <cell r="G347">
            <v>56409</v>
          </cell>
          <cell r="H347">
            <v>0</v>
          </cell>
          <cell r="I347">
            <v>0</v>
          </cell>
        </row>
        <row r="348">
          <cell r="A348">
            <v>93527</v>
          </cell>
          <cell r="B348" t="str">
            <v>LOUISBURG ABC BOARD</v>
          </cell>
          <cell r="C348">
            <v>9.5999999999999996E-6</v>
          </cell>
          <cell r="E348">
            <v>1720</v>
          </cell>
          <cell r="F348">
            <v>1409</v>
          </cell>
          <cell r="G348">
            <v>1144</v>
          </cell>
          <cell r="H348">
            <v>0</v>
          </cell>
          <cell r="I348">
            <v>0</v>
          </cell>
        </row>
        <row r="349">
          <cell r="A349">
            <v>93531</v>
          </cell>
          <cell r="B349" t="str">
            <v>TOWN OF BUNN</v>
          </cell>
          <cell r="C349">
            <v>2.23E-5</v>
          </cell>
          <cell r="E349">
            <v>3995</v>
          </cell>
          <cell r="F349">
            <v>3273</v>
          </cell>
          <cell r="G349">
            <v>2657</v>
          </cell>
          <cell r="H349">
            <v>0</v>
          </cell>
          <cell r="I349">
            <v>0</v>
          </cell>
        </row>
        <row r="350">
          <cell r="A350">
            <v>93537</v>
          </cell>
          <cell r="B350" t="str">
            <v>ABC BOARD - TOWN OF BUNN</v>
          </cell>
          <cell r="C350">
            <v>1.08E-5</v>
          </cell>
          <cell r="E350">
            <v>1935</v>
          </cell>
          <cell r="F350">
            <v>1585</v>
          </cell>
          <cell r="G350">
            <v>1287</v>
          </cell>
          <cell r="H350">
            <v>0</v>
          </cell>
          <cell r="I350">
            <v>0</v>
          </cell>
        </row>
        <row r="351">
          <cell r="A351">
            <v>93541</v>
          </cell>
          <cell r="B351" t="str">
            <v>TOWN OF YOUNGSVILLE</v>
          </cell>
          <cell r="C351">
            <v>9.9699999999999998E-5</v>
          </cell>
          <cell r="E351">
            <v>17862</v>
          </cell>
          <cell r="F351">
            <v>14634</v>
          </cell>
          <cell r="G351">
            <v>11880</v>
          </cell>
          <cell r="H351">
            <v>0</v>
          </cell>
          <cell r="I351">
            <v>0</v>
          </cell>
        </row>
        <row r="352">
          <cell r="A352">
            <v>93601</v>
          </cell>
          <cell r="B352" t="str">
            <v>GASTON COUNTY</v>
          </cell>
          <cell r="C352">
            <v>1.1220300000000001E-2</v>
          </cell>
          <cell r="E352">
            <v>2010251</v>
          </cell>
          <cell r="F352">
            <v>1646871</v>
          </cell>
          <cell r="G352">
            <v>1336977</v>
          </cell>
          <cell r="H352">
            <v>0</v>
          </cell>
          <cell r="I352">
            <v>0</v>
          </cell>
        </row>
        <row r="353">
          <cell r="A353">
            <v>93602</v>
          </cell>
          <cell r="B353" t="str">
            <v>TOWN OF STANLEY</v>
          </cell>
          <cell r="C353">
            <v>1.918E-4</v>
          </cell>
          <cell r="E353">
            <v>34363</v>
          </cell>
          <cell r="F353">
            <v>28152</v>
          </cell>
          <cell r="G353">
            <v>22854</v>
          </cell>
          <cell r="H353">
            <v>0</v>
          </cell>
          <cell r="I353">
            <v>0</v>
          </cell>
        </row>
        <row r="354">
          <cell r="A354">
            <v>93604</v>
          </cell>
          <cell r="B354" t="str">
            <v>CRAMERTON ABC BOARD</v>
          </cell>
          <cell r="C354">
            <v>2.6400000000000001E-5</v>
          </cell>
          <cell r="E354">
            <v>4730</v>
          </cell>
          <cell r="F354">
            <v>3875</v>
          </cell>
          <cell r="G354">
            <v>3146</v>
          </cell>
          <cell r="H354">
            <v>0</v>
          </cell>
          <cell r="I354">
            <v>0</v>
          </cell>
        </row>
        <row r="355">
          <cell r="A355">
            <v>93609</v>
          </cell>
          <cell r="B355" t="str">
            <v>PARTNERS BEHAVIORAL HEALTH MANAGEMENT</v>
          </cell>
          <cell r="C355">
            <v>3.7919E-3</v>
          </cell>
          <cell r="E355">
            <v>679364</v>
          </cell>
          <cell r="F355">
            <v>556560</v>
          </cell>
          <cell r="G355">
            <v>451831</v>
          </cell>
          <cell r="H355">
            <v>0</v>
          </cell>
          <cell r="I355">
            <v>0</v>
          </cell>
        </row>
        <row r="356">
          <cell r="A356">
            <v>93610</v>
          </cell>
          <cell r="B356" t="str">
            <v>TOWN OF MCADENVILLE</v>
          </cell>
          <cell r="C356">
            <v>1.63E-5</v>
          </cell>
          <cell r="E356">
            <v>2920</v>
          </cell>
          <cell r="F356">
            <v>2392</v>
          </cell>
          <cell r="G356">
            <v>1942</v>
          </cell>
          <cell r="H356">
            <v>0</v>
          </cell>
          <cell r="I356">
            <v>0</v>
          </cell>
        </row>
        <row r="357">
          <cell r="A357">
            <v>93611</v>
          </cell>
          <cell r="B357" t="str">
            <v>CITY OF GASTONIA</v>
          </cell>
          <cell r="C357">
            <v>6.9186999999999999E-3</v>
          </cell>
          <cell r="E357">
            <v>1239568</v>
          </cell>
          <cell r="F357">
            <v>1015499</v>
          </cell>
          <cell r="G357">
            <v>824412</v>
          </cell>
          <cell r="H357">
            <v>0</v>
          </cell>
          <cell r="I357">
            <v>0</v>
          </cell>
        </row>
        <row r="358">
          <cell r="A358">
            <v>93617</v>
          </cell>
          <cell r="B358" t="str">
            <v>GASTONIA ABC BOARD</v>
          </cell>
          <cell r="C358">
            <v>7.8899999999999993E-5</v>
          </cell>
          <cell r="E358">
            <v>14136</v>
          </cell>
          <cell r="F358">
            <v>11581</v>
          </cell>
          <cell r="G358">
            <v>9401</v>
          </cell>
          <cell r="H358">
            <v>0</v>
          </cell>
          <cell r="I358">
            <v>0</v>
          </cell>
        </row>
        <row r="359">
          <cell r="A359">
            <v>93618</v>
          </cell>
          <cell r="B359" t="str">
            <v>GASTON COUNTY ECONOMIC DEV. COMMISSION</v>
          </cell>
          <cell r="C359">
            <v>9.5000000000000005E-6</v>
          </cell>
          <cell r="E359">
            <v>1702</v>
          </cell>
          <cell r="F359">
            <v>1394</v>
          </cell>
          <cell r="G359">
            <v>1132</v>
          </cell>
          <cell r="H359">
            <v>0</v>
          </cell>
          <cell r="I359">
            <v>0</v>
          </cell>
        </row>
        <row r="360">
          <cell r="A360">
            <v>93621</v>
          </cell>
          <cell r="B360" t="str">
            <v>CITY OF BELMONT</v>
          </cell>
          <cell r="C360">
            <v>1.0563E-3</v>
          </cell>
          <cell r="E360">
            <v>189249</v>
          </cell>
          <cell r="F360">
            <v>155039</v>
          </cell>
          <cell r="G360">
            <v>125866</v>
          </cell>
          <cell r="H360">
            <v>0</v>
          </cell>
          <cell r="I360">
            <v>0</v>
          </cell>
        </row>
        <row r="361">
          <cell r="A361">
            <v>93623</v>
          </cell>
          <cell r="B361" t="str">
            <v>BELMONT HOUSING AUTHORITY</v>
          </cell>
          <cell r="C361">
            <v>1.1E-5</v>
          </cell>
          <cell r="E361">
            <v>1971</v>
          </cell>
          <cell r="F361">
            <v>1615</v>
          </cell>
          <cell r="G361">
            <v>1311</v>
          </cell>
          <cell r="H361">
            <v>0</v>
          </cell>
          <cell r="I361">
            <v>0</v>
          </cell>
        </row>
        <row r="362">
          <cell r="A362">
            <v>93631</v>
          </cell>
          <cell r="B362" t="str">
            <v>TOWN OF CRAMERTON</v>
          </cell>
          <cell r="C362">
            <v>2.4130000000000001E-4</v>
          </cell>
          <cell r="E362">
            <v>43232</v>
          </cell>
          <cell r="F362">
            <v>35417</v>
          </cell>
          <cell r="G362">
            <v>28753</v>
          </cell>
          <cell r="H362">
            <v>0</v>
          </cell>
          <cell r="I362">
            <v>0</v>
          </cell>
        </row>
        <row r="363">
          <cell r="A363">
            <v>93641</v>
          </cell>
          <cell r="B363" t="str">
            <v>CITY OF CHERRYVILLE</v>
          </cell>
          <cell r="C363">
            <v>3.7300000000000001E-4</v>
          </cell>
          <cell r="E363">
            <v>66827</v>
          </cell>
          <cell r="F363">
            <v>54747</v>
          </cell>
          <cell r="G363">
            <v>44446</v>
          </cell>
          <cell r="H363">
            <v>0</v>
          </cell>
          <cell r="I363">
            <v>0</v>
          </cell>
        </row>
        <row r="364">
          <cell r="A364">
            <v>93647</v>
          </cell>
          <cell r="B364" t="str">
            <v>CHERRYVILLE ABC BOARD</v>
          </cell>
          <cell r="C364">
            <v>5.2000000000000002E-6</v>
          </cell>
          <cell r="E364">
            <v>932</v>
          </cell>
          <cell r="F364">
            <v>763</v>
          </cell>
          <cell r="G364">
            <v>620</v>
          </cell>
          <cell r="H364">
            <v>0</v>
          </cell>
          <cell r="I364">
            <v>0</v>
          </cell>
        </row>
        <row r="365">
          <cell r="A365">
            <v>93651</v>
          </cell>
          <cell r="B365" t="str">
            <v>TOWN OF DALLAS</v>
          </cell>
          <cell r="C365">
            <v>4.3790000000000002E-4</v>
          </cell>
          <cell r="E365">
            <v>78455</v>
          </cell>
          <cell r="F365">
            <v>64273</v>
          </cell>
          <cell r="G365">
            <v>52179</v>
          </cell>
          <cell r="H365">
            <v>0</v>
          </cell>
          <cell r="I365">
            <v>0</v>
          </cell>
        </row>
        <row r="366">
          <cell r="A366">
            <v>93661</v>
          </cell>
          <cell r="B366" t="str">
            <v>CITY OF LOWELL</v>
          </cell>
          <cell r="C366">
            <v>1.2850000000000001E-4</v>
          </cell>
          <cell r="E366">
            <v>23022</v>
          </cell>
          <cell r="F366">
            <v>18861</v>
          </cell>
          <cell r="G366">
            <v>15312</v>
          </cell>
          <cell r="H366">
            <v>0</v>
          </cell>
          <cell r="I366">
            <v>0</v>
          </cell>
        </row>
        <row r="367">
          <cell r="A367">
            <v>93671</v>
          </cell>
          <cell r="B367" t="str">
            <v>BESSEMER CITY</v>
          </cell>
          <cell r="C367">
            <v>3.4840000000000001E-4</v>
          </cell>
          <cell r="E367">
            <v>62420</v>
          </cell>
          <cell r="F367">
            <v>51137</v>
          </cell>
          <cell r="G367">
            <v>41514</v>
          </cell>
          <cell r="H367">
            <v>0</v>
          </cell>
          <cell r="I367">
            <v>0</v>
          </cell>
        </row>
        <row r="368">
          <cell r="A368">
            <v>93677</v>
          </cell>
          <cell r="B368" t="str">
            <v>BESSEMER CITY A.B.C. BOARD</v>
          </cell>
          <cell r="C368">
            <v>0</v>
          </cell>
          <cell r="E368">
            <v>0</v>
          </cell>
          <cell r="F368">
            <v>0</v>
          </cell>
          <cell r="G368">
            <v>0</v>
          </cell>
          <cell r="H368">
            <v>0</v>
          </cell>
          <cell r="I368">
            <v>0</v>
          </cell>
        </row>
        <row r="369">
          <cell r="A369">
            <v>93681</v>
          </cell>
          <cell r="B369" t="str">
            <v>TOWN OF RANLO</v>
          </cell>
          <cell r="C369">
            <v>1.284E-4</v>
          </cell>
          <cell r="E369">
            <v>23004</v>
          </cell>
          <cell r="F369">
            <v>18846</v>
          </cell>
          <cell r="G369">
            <v>15300</v>
          </cell>
          <cell r="H369">
            <v>0</v>
          </cell>
          <cell r="I369">
            <v>0</v>
          </cell>
        </row>
        <row r="370">
          <cell r="A370">
            <v>93691</v>
          </cell>
          <cell r="B370" t="str">
            <v>CITY OF MOUNT HOLLY</v>
          </cell>
          <cell r="C370">
            <v>1.0889999999999999E-3</v>
          </cell>
          <cell r="E370">
            <v>195107</v>
          </cell>
          <cell r="F370">
            <v>159839</v>
          </cell>
          <cell r="G370">
            <v>129762</v>
          </cell>
          <cell r="H370">
            <v>0</v>
          </cell>
          <cell r="I370">
            <v>0</v>
          </cell>
        </row>
        <row r="371">
          <cell r="A371">
            <v>93701</v>
          </cell>
          <cell r="B371" t="str">
            <v>COUNTY OF GATES</v>
          </cell>
          <cell r="C371">
            <v>4.3600000000000003E-4</v>
          </cell>
          <cell r="E371">
            <v>78115</v>
          </cell>
          <cell r="F371">
            <v>63994</v>
          </cell>
          <cell r="G371">
            <v>51952</v>
          </cell>
          <cell r="H371">
            <v>0</v>
          </cell>
          <cell r="I371">
            <v>0</v>
          </cell>
        </row>
        <row r="372">
          <cell r="A372">
            <v>93704</v>
          </cell>
          <cell r="B372" t="str">
            <v>GATES COUNTY ABC BOARD</v>
          </cell>
          <cell r="C372">
            <v>2.2000000000000001E-6</v>
          </cell>
          <cell r="E372">
            <v>394</v>
          </cell>
          <cell r="F372">
            <v>323</v>
          </cell>
          <cell r="G372">
            <v>262</v>
          </cell>
          <cell r="H372">
            <v>0</v>
          </cell>
          <cell r="I372">
            <v>0</v>
          </cell>
        </row>
        <row r="373">
          <cell r="A373">
            <v>93801</v>
          </cell>
          <cell r="B373" t="str">
            <v>GRAHAM COUNTY</v>
          </cell>
          <cell r="C373">
            <v>4.191E-4</v>
          </cell>
          <cell r="E373">
            <v>75087</v>
          </cell>
          <cell r="F373">
            <v>61514</v>
          </cell>
          <cell r="G373">
            <v>49939</v>
          </cell>
          <cell r="H373">
            <v>0</v>
          </cell>
          <cell r="I373">
            <v>0</v>
          </cell>
        </row>
        <row r="374">
          <cell r="A374">
            <v>93803</v>
          </cell>
          <cell r="B374" t="str">
            <v>GRAHAM CO HEALTH DEPT</v>
          </cell>
          <cell r="C374">
            <v>9.0799999999999998E-5</v>
          </cell>
          <cell r="E374">
            <v>16268</v>
          </cell>
          <cell r="F374">
            <v>13327</v>
          </cell>
          <cell r="G374">
            <v>10819</v>
          </cell>
          <cell r="H374">
            <v>0</v>
          </cell>
          <cell r="I374">
            <v>0</v>
          </cell>
        </row>
        <row r="375">
          <cell r="A375">
            <v>93806</v>
          </cell>
          <cell r="B375" t="str">
            <v>GRAHAM COUNTY DEPT OF S S</v>
          </cell>
          <cell r="C375">
            <v>7.9599999999999997E-5</v>
          </cell>
          <cell r="E375">
            <v>14261</v>
          </cell>
          <cell r="F375">
            <v>11683</v>
          </cell>
          <cell r="G375">
            <v>9485</v>
          </cell>
          <cell r="H375">
            <v>0</v>
          </cell>
          <cell r="I375">
            <v>0</v>
          </cell>
        </row>
        <row r="376">
          <cell r="A376">
            <v>93821</v>
          </cell>
          <cell r="B376" t="str">
            <v>TOWN OF ROBBINSVILLE</v>
          </cell>
          <cell r="C376">
            <v>6.9200000000000002E-5</v>
          </cell>
          <cell r="E376">
            <v>12398</v>
          </cell>
          <cell r="F376">
            <v>10157</v>
          </cell>
          <cell r="G376">
            <v>8246</v>
          </cell>
          <cell r="H376">
            <v>0</v>
          </cell>
          <cell r="I376">
            <v>0</v>
          </cell>
        </row>
        <row r="377">
          <cell r="A377">
            <v>93901</v>
          </cell>
          <cell r="B377" t="str">
            <v>GRANVILLE COUNTY</v>
          </cell>
          <cell r="C377">
            <v>1.7884999999999999E-3</v>
          </cell>
          <cell r="E377">
            <v>320431</v>
          </cell>
          <cell r="F377">
            <v>262509</v>
          </cell>
          <cell r="G377">
            <v>213112</v>
          </cell>
          <cell r="H377">
            <v>0</v>
          </cell>
          <cell r="I377">
            <v>0</v>
          </cell>
        </row>
        <row r="378">
          <cell r="A378">
            <v>93904</v>
          </cell>
          <cell r="B378" t="str">
            <v>GRANVILLE CO ABC BD</v>
          </cell>
          <cell r="C378">
            <v>3.18E-5</v>
          </cell>
          <cell r="E378">
            <v>5697</v>
          </cell>
          <cell r="F378">
            <v>4667</v>
          </cell>
          <cell r="G378">
            <v>3789</v>
          </cell>
          <cell r="H378">
            <v>0</v>
          </cell>
          <cell r="I378">
            <v>0</v>
          </cell>
        </row>
        <row r="379">
          <cell r="A379">
            <v>93906</v>
          </cell>
          <cell r="B379" t="str">
            <v>GRANVILLE COUNTY HOSPITAL</v>
          </cell>
          <cell r="C379">
            <v>3.1308E-3</v>
          </cell>
          <cell r="E379">
            <v>560920</v>
          </cell>
          <cell r="F379">
            <v>459526</v>
          </cell>
          <cell r="G379">
            <v>373057</v>
          </cell>
          <cell r="H379">
            <v>0</v>
          </cell>
          <cell r="I379">
            <v>0</v>
          </cell>
        </row>
        <row r="380">
          <cell r="A380">
            <v>93908</v>
          </cell>
          <cell r="B380" t="str">
            <v>GRANVILLE-VANCE HEALTH DIST</v>
          </cell>
          <cell r="C380">
            <v>4.9540000000000001E-4</v>
          </cell>
          <cell r="E380">
            <v>88757</v>
          </cell>
          <cell r="F380">
            <v>72713</v>
          </cell>
          <cell r="G380">
            <v>59030</v>
          </cell>
          <cell r="H380">
            <v>0</v>
          </cell>
          <cell r="I380">
            <v>0</v>
          </cell>
        </row>
        <row r="381">
          <cell r="A381">
            <v>93910</v>
          </cell>
          <cell r="B381" t="str">
            <v>SOUTH GRANVILLE WATER AND SEWER AUTHORITY</v>
          </cell>
          <cell r="C381">
            <v>2.285E-4</v>
          </cell>
          <cell r="E381">
            <v>40939</v>
          </cell>
          <cell r="F381">
            <v>33538</v>
          </cell>
          <cell r="G381">
            <v>27227</v>
          </cell>
          <cell r="H381">
            <v>0</v>
          </cell>
          <cell r="I381">
            <v>0</v>
          </cell>
        </row>
        <row r="382">
          <cell r="A382">
            <v>93911</v>
          </cell>
          <cell r="B382" t="str">
            <v>CITY OF OXFORD</v>
          </cell>
          <cell r="C382">
            <v>6.4320000000000002E-4</v>
          </cell>
          <cell r="E382">
            <v>115237</v>
          </cell>
          <cell r="F382">
            <v>94406</v>
          </cell>
          <cell r="G382">
            <v>76642</v>
          </cell>
          <cell r="H382">
            <v>0</v>
          </cell>
          <cell r="I382">
            <v>0</v>
          </cell>
        </row>
        <row r="383">
          <cell r="A383">
            <v>93913</v>
          </cell>
          <cell r="B383" t="str">
            <v>OXFORD HOUSING AUTHORITY</v>
          </cell>
          <cell r="C383">
            <v>4.9799999999999998E-5</v>
          </cell>
          <cell r="E383">
            <v>8922</v>
          </cell>
          <cell r="F383">
            <v>7309</v>
          </cell>
          <cell r="G383">
            <v>5934</v>
          </cell>
          <cell r="H383">
            <v>0</v>
          </cell>
          <cell r="I383">
            <v>0</v>
          </cell>
        </row>
        <row r="384">
          <cell r="A384">
            <v>93914</v>
          </cell>
          <cell r="B384" t="str">
            <v>TOWN OF STOVALL</v>
          </cell>
          <cell r="C384">
            <v>6.1E-6</v>
          </cell>
          <cell r="E384">
            <v>1093</v>
          </cell>
          <cell r="F384">
            <v>895</v>
          </cell>
          <cell r="G384">
            <v>727</v>
          </cell>
          <cell r="H384">
            <v>0</v>
          </cell>
          <cell r="I384">
            <v>0</v>
          </cell>
        </row>
        <row r="385">
          <cell r="A385">
            <v>93921</v>
          </cell>
          <cell r="B385" t="str">
            <v>CITY OF CREEDMOOR</v>
          </cell>
          <cell r="C385">
            <v>2.251E-4</v>
          </cell>
          <cell r="E385">
            <v>40329</v>
          </cell>
          <cell r="F385">
            <v>33039</v>
          </cell>
          <cell r="G385">
            <v>26822</v>
          </cell>
          <cell r="H385">
            <v>0</v>
          </cell>
          <cell r="I385">
            <v>0</v>
          </cell>
        </row>
        <row r="386">
          <cell r="A386">
            <v>93931</v>
          </cell>
          <cell r="B386" t="str">
            <v>TOWN OF BUTNER</v>
          </cell>
          <cell r="C386">
            <v>5.1590000000000002E-4</v>
          </cell>
          <cell r="E386">
            <v>92430</v>
          </cell>
          <cell r="F386">
            <v>75722</v>
          </cell>
          <cell r="G386">
            <v>61473</v>
          </cell>
          <cell r="H386">
            <v>0</v>
          </cell>
          <cell r="I386">
            <v>0</v>
          </cell>
        </row>
        <row r="387">
          <cell r="A387">
            <v>94001</v>
          </cell>
          <cell r="B387" t="str">
            <v>GREENE COUNTY</v>
          </cell>
          <cell r="C387">
            <v>9.3720000000000001E-4</v>
          </cell>
          <cell r="E387">
            <v>167911</v>
          </cell>
          <cell r="F387">
            <v>137558</v>
          </cell>
          <cell r="G387">
            <v>111674</v>
          </cell>
          <cell r="H387">
            <v>0</v>
          </cell>
          <cell r="I387">
            <v>0</v>
          </cell>
        </row>
        <row r="388">
          <cell r="A388">
            <v>94002</v>
          </cell>
          <cell r="B388" t="str">
            <v>MAURY SANITARY LAND DISTRICT</v>
          </cell>
          <cell r="C388">
            <v>5.2000000000000002E-6</v>
          </cell>
          <cell r="E388">
            <v>932</v>
          </cell>
          <cell r="F388">
            <v>763</v>
          </cell>
          <cell r="G388">
            <v>620</v>
          </cell>
          <cell r="H388">
            <v>0</v>
          </cell>
          <cell r="I388">
            <v>0</v>
          </cell>
        </row>
        <row r="389">
          <cell r="A389">
            <v>94004</v>
          </cell>
          <cell r="B389" t="str">
            <v>GREENE COUNTY ABC BOARD</v>
          </cell>
          <cell r="C389">
            <v>7.4000000000000003E-6</v>
          </cell>
          <cell r="E389">
            <v>1326</v>
          </cell>
          <cell r="F389">
            <v>1086</v>
          </cell>
          <cell r="G389">
            <v>882</v>
          </cell>
          <cell r="H389">
            <v>0</v>
          </cell>
          <cell r="I389">
            <v>0</v>
          </cell>
        </row>
        <row r="390">
          <cell r="A390">
            <v>94005</v>
          </cell>
          <cell r="B390" t="str">
            <v>NEUSE REGIONAL LIBRARY-GREENE COUNTY</v>
          </cell>
          <cell r="C390">
            <v>1.9E-6</v>
          </cell>
          <cell r="E390">
            <v>340</v>
          </cell>
          <cell r="F390">
            <v>279</v>
          </cell>
          <cell r="G390">
            <v>226</v>
          </cell>
          <cell r="H390">
            <v>0</v>
          </cell>
          <cell r="I390">
            <v>0</v>
          </cell>
        </row>
        <row r="391">
          <cell r="A391">
            <v>94011</v>
          </cell>
          <cell r="B391" t="str">
            <v>TOWN OF HOOKERTON</v>
          </cell>
          <cell r="C391">
            <v>2.6699999999999998E-5</v>
          </cell>
          <cell r="E391">
            <v>4784</v>
          </cell>
          <cell r="F391">
            <v>3919</v>
          </cell>
          <cell r="G391">
            <v>3181</v>
          </cell>
          <cell r="H391">
            <v>0</v>
          </cell>
          <cell r="I391">
            <v>0</v>
          </cell>
        </row>
        <row r="392">
          <cell r="A392">
            <v>94021</v>
          </cell>
          <cell r="B392" t="str">
            <v>TOWN OF SNOW HILL</v>
          </cell>
          <cell r="C392">
            <v>8.3300000000000005E-5</v>
          </cell>
          <cell r="E392">
            <v>14924</v>
          </cell>
          <cell r="F392">
            <v>12226</v>
          </cell>
          <cell r="G392">
            <v>9926</v>
          </cell>
          <cell r="H392">
            <v>0</v>
          </cell>
          <cell r="I392">
            <v>0</v>
          </cell>
        </row>
        <row r="393">
          <cell r="A393">
            <v>94031</v>
          </cell>
          <cell r="B393" t="str">
            <v>TOWN OF WALSTONBURG</v>
          </cell>
          <cell r="C393">
            <v>4.6E-6</v>
          </cell>
          <cell r="E393">
            <v>824</v>
          </cell>
          <cell r="F393">
            <v>675</v>
          </cell>
          <cell r="G393">
            <v>548</v>
          </cell>
          <cell r="H393">
            <v>0</v>
          </cell>
          <cell r="I393">
            <v>0</v>
          </cell>
        </row>
        <row r="394">
          <cell r="A394">
            <v>94101</v>
          </cell>
          <cell r="B394" t="str">
            <v>GUILFORD COUNTY</v>
          </cell>
          <cell r="C394">
            <v>1.7750700000000001E-2</v>
          </cell>
          <cell r="E394">
            <v>3180251</v>
          </cell>
          <cell r="F394">
            <v>2605377</v>
          </cell>
          <cell r="G394">
            <v>2115120</v>
          </cell>
          <cell r="H394">
            <v>0</v>
          </cell>
          <cell r="I394">
            <v>0</v>
          </cell>
        </row>
        <row r="395">
          <cell r="A395">
            <v>94102</v>
          </cell>
          <cell r="B395" t="str">
            <v>GUIL-RAND FIRE DEPARTMENT</v>
          </cell>
          <cell r="C395">
            <v>3.3849999999999999E-4</v>
          </cell>
          <cell r="E395">
            <v>60646</v>
          </cell>
          <cell r="F395">
            <v>49684</v>
          </cell>
          <cell r="G395">
            <v>40335</v>
          </cell>
          <cell r="H395">
            <v>0</v>
          </cell>
          <cell r="I395">
            <v>0</v>
          </cell>
        </row>
        <row r="396">
          <cell r="A396">
            <v>94108</v>
          </cell>
          <cell r="B396" t="str">
            <v>PINECROFT-SEDGEFIELD FIRE DIST INC</v>
          </cell>
          <cell r="C396">
            <v>3.8289999999999998E-4</v>
          </cell>
          <cell r="E396">
            <v>68601</v>
          </cell>
          <cell r="F396">
            <v>56201</v>
          </cell>
          <cell r="G396">
            <v>45625</v>
          </cell>
          <cell r="H396">
            <v>0</v>
          </cell>
          <cell r="I396">
            <v>0</v>
          </cell>
        </row>
        <row r="397">
          <cell r="A397">
            <v>94109</v>
          </cell>
          <cell r="B397" t="str">
            <v>ALAMANCE COMM FIRE DIST</v>
          </cell>
          <cell r="C397">
            <v>1.048E-4</v>
          </cell>
          <cell r="E397">
            <v>18776</v>
          </cell>
          <cell r="F397">
            <v>15382</v>
          </cell>
          <cell r="G397">
            <v>12488</v>
          </cell>
          <cell r="H397">
            <v>0</v>
          </cell>
          <cell r="I397">
            <v>0</v>
          </cell>
        </row>
        <row r="398">
          <cell r="A398">
            <v>94111</v>
          </cell>
          <cell r="B398" t="str">
            <v>CITY OF GREENSBORO</v>
          </cell>
          <cell r="C398">
            <v>2.50095E-2</v>
          </cell>
          <cell r="E398">
            <v>4480752</v>
          </cell>
          <cell r="F398">
            <v>3670794</v>
          </cell>
          <cell r="G398">
            <v>2980057</v>
          </cell>
          <cell r="H398">
            <v>0</v>
          </cell>
          <cell r="I398">
            <v>0</v>
          </cell>
        </row>
        <row r="399">
          <cell r="A399">
            <v>94112</v>
          </cell>
          <cell r="B399" t="str">
            <v>PIEDMONT TRIAD REG WATER AUTH</v>
          </cell>
          <cell r="C399">
            <v>1.6870000000000001E-4</v>
          </cell>
          <cell r="E399">
            <v>30225</v>
          </cell>
          <cell r="F399">
            <v>24761</v>
          </cell>
          <cell r="G399">
            <v>20102</v>
          </cell>
          <cell r="H399">
            <v>0</v>
          </cell>
          <cell r="I399">
            <v>0</v>
          </cell>
        </row>
        <row r="400">
          <cell r="A400">
            <v>94117</v>
          </cell>
          <cell r="B400" t="str">
            <v>GREENSBORO ABC BD</v>
          </cell>
          <cell r="C400">
            <v>3.232E-4</v>
          </cell>
          <cell r="E400">
            <v>57905</v>
          </cell>
          <cell r="F400">
            <v>47438</v>
          </cell>
          <cell r="G400">
            <v>38512</v>
          </cell>
          <cell r="H400">
            <v>0</v>
          </cell>
          <cell r="I400">
            <v>0</v>
          </cell>
        </row>
        <row r="401">
          <cell r="A401">
            <v>94118</v>
          </cell>
          <cell r="B401" t="str">
            <v>GUILFORD FIRE DISTRICT # 13 INC</v>
          </cell>
          <cell r="C401">
            <v>1.6009999999999999E-4</v>
          </cell>
          <cell r="E401">
            <v>28684</v>
          </cell>
          <cell r="F401">
            <v>23499</v>
          </cell>
          <cell r="G401">
            <v>19077</v>
          </cell>
          <cell r="H401">
            <v>0</v>
          </cell>
          <cell r="I401">
            <v>0</v>
          </cell>
        </row>
        <row r="402">
          <cell r="A402">
            <v>94121</v>
          </cell>
          <cell r="B402" t="str">
            <v>CITY OF HIGH POINT</v>
          </cell>
          <cell r="C402">
            <v>1.1113E-2</v>
          </cell>
          <cell r="E402">
            <v>1991027</v>
          </cell>
          <cell r="F402">
            <v>1631122</v>
          </cell>
          <cell r="G402">
            <v>1324192</v>
          </cell>
          <cell r="H402">
            <v>0</v>
          </cell>
          <cell r="I402">
            <v>0</v>
          </cell>
        </row>
        <row r="403">
          <cell r="A403">
            <v>94127</v>
          </cell>
          <cell r="B403" t="str">
            <v>HIGH POINT ABC BD</v>
          </cell>
          <cell r="C403">
            <v>1.4310000000000001E-4</v>
          </cell>
          <cell r="E403">
            <v>25638</v>
          </cell>
          <cell r="F403">
            <v>21004</v>
          </cell>
          <cell r="G403">
            <v>17051</v>
          </cell>
          <cell r="H403">
            <v>0</v>
          </cell>
          <cell r="I403">
            <v>0</v>
          </cell>
        </row>
        <row r="404">
          <cell r="A404">
            <v>94131</v>
          </cell>
          <cell r="B404" t="str">
            <v>TOWN OF JAMESTOWN</v>
          </cell>
          <cell r="C404">
            <v>2.1029999999999999E-4</v>
          </cell>
          <cell r="E404">
            <v>37678</v>
          </cell>
          <cell r="F404">
            <v>30867</v>
          </cell>
          <cell r="G404">
            <v>25059</v>
          </cell>
          <cell r="H404">
            <v>0</v>
          </cell>
          <cell r="I404">
            <v>0</v>
          </cell>
        </row>
        <row r="405">
          <cell r="A405">
            <v>94151</v>
          </cell>
          <cell r="B405" t="str">
            <v>TOWN OF GIBSONVILLE</v>
          </cell>
          <cell r="C405">
            <v>4.6660000000000001E-4</v>
          </cell>
          <cell r="E405">
            <v>83597</v>
          </cell>
          <cell r="F405">
            <v>68486</v>
          </cell>
          <cell r="G405">
            <v>55599</v>
          </cell>
          <cell r="H405">
            <v>0</v>
          </cell>
          <cell r="I405">
            <v>0</v>
          </cell>
        </row>
        <row r="406">
          <cell r="A406">
            <v>94157</v>
          </cell>
          <cell r="B406" t="str">
            <v>GIBSONVILLE ABC BOARD</v>
          </cell>
          <cell r="C406">
            <v>8.6000000000000007E-6</v>
          </cell>
          <cell r="E406">
            <v>1541</v>
          </cell>
          <cell r="F406">
            <v>1262</v>
          </cell>
          <cell r="G406">
            <v>1025</v>
          </cell>
          <cell r="H406">
            <v>0</v>
          </cell>
          <cell r="I406">
            <v>0</v>
          </cell>
        </row>
        <row r="407">
          <cell r="A407">
            <v>94161</v>
          </cell>
          <cell r="B407" t="str">
            <v>TOWN OF OAK RIDGE</v>
          </cell>
          <cell r="C407">
            <v>4.8600000000000002E-5</v>
          </cell>
          <cell r="E407">
            <v>8707</v>
          </cell>
          <cell r="F407">
            <v>7133</v>
          </cell>
          <cell r="G407">
            <v>5791</v>
          </cell>
          <cell r="H407">
            <v>0</v>
          </cell>
          <cell r="I407">
            <v>0</v>
          </cell>
        </row>
        <row r="408">
          <cell r="A408">
            <v>94168</v>
          </cell>
          <cell r="B408" t="str">
            <v>COLFAX VOLUNTEER FIRE DEPARTMENT</v>
          </cell>
          <cell r="C408">
            <v>5.5099999999999998E-5</v>
          </cell>
          <cell r="E408">
            <v>9872</v>
          </cell>
          <cell r="F408">
            <v>8087</v>
          </cell>
          <cell r="G408">
            <v>6566</v>
          </cell>
          <cell r="H408">
            <v>0</v>
          </cell>
          <cell r="I408">
            <v>0</v>
          </cell>
        </row>
        <row r="409">
          <cell r="A409">
            <v>94171</v>
          </cell>
          <cell r="B409" t="str">
            <v>TOWN OF SUMMERFIELD</v>
          </cell>
          <cell r="C409">
            <v>6.1799999999999998E-5</v>
          </cell>
          <cell r="E409">
            <v>11072</v>
          </cell>
          <cell r="F409">
            <v>9071</v>
          </cell>
          <cell r="G409">
            <v>7364</v>
          </cell>
          <cell r="H409">
            <v>0</v>
          </cell>
          <cell r="I409">
            <v>0</v>
          </cell>
        </row>
        <row r="410">
          <cell r="A410">
            <v>94172</v>
          </cell>
          <cell r="B410" t="str">
            <v>SUMMERFIELD FIRE DISTRICT</v>
          </cell>
          <cell r="C410">
            <v>2.8210000000000003E-4</v>
          </cell>
          <cell r="E410">
            <v>50542</v>
          </cell>
          <cell r="F410">
            <v>41406</v>
          </cell>
          <cell r="G410">
            <v>33614</v>
          </cell>
          <cell r="H410">
            <v>0</v>
          </cell>
          <cell r="I410">
            <v>0</v>
          </cell>
        </row>
        <row r="411">
          <cell r="A411">
            <v>94201</v>
          </cell>
          <cell r="B411" t="str">
            <v>HALIFAX COUNTY</v>
          </cell>
          <cell r="C411">
            <v>3.2504999999999999E-3</v>
          </cell>
          <cell r="E411">
            <v>582366</v>
          </cell>
          <cell r="F411">
            <v>477095</v>
          </cell>
          <cell r="G411">
            <v>387320</v>
          </cell>
          <cell r="H411">
            <v>0</v>
          </cell>
          <cell r="I411">
            <v>0</v>
          </cell>
        </row>
        <row r="412">
          <cell r="A412">
            <v>94204</v>
          </cell>
          <cell r="B412" t="str">
            <v>HALIFAX COUNTY ABC BOARD</v>
          </cell>
          <cell r="C412">
            <v>2.97E-5</v>
          </cell>
          <cell r="E412">
            <v>5321</v>
          </cell>
          <cell r="F412">
            <v>4359</v>
          </cell>
          <cell r="G412">
            <v>3539</v>
          </cell>
          <cell r="H412">
            <v>0</v>
          </cell>
          <cell r="I412">
            <v>0</v>
          </cell>
        </row>
        <row r="413">
          <cell r="A413">
            <v>94205</v>
          </cell>
          <cell r="B413" t="str">
            <v>HALIFAX COUNTY TOURISM DEVELOPMENT AUTHORITY</v>
          </cell>
          <cell r="C413">
            <v>1.6200000000000001E-5</v>
          </cell>
          <cell r="E413">
            <v>2902</v>
          </cell>
          <cell r="F413">
            <v>2378</v>
          </cell>
          <cell r="G413">
            <v>1930</v>
          </cell>
          <cell r="H413">
            <v>0</v>
          </cell>
          <cell r="I413">
            <v>0</v>
          </cell>
        </row>
        <row r="414">
          <cell r="A414">
            <v>94209</v>
          </cell>
          <cell r="B414" t="str">
            <v>ROANOKE RAPIDS SANITARY DISTRICT</v>
          </cell>
          <cell r="C414">
            <v>3.2519999999999999E-4</v>
          </cell>
          <cell r="E414">
            <v>58263</v>
          </cell>
          <cell r="F414">
            <v>47732</v>
          </cell>
          <cell r="G414">
            <v>38750</v>
          </cell>
          <cell r="H414">
            <v>0</v>
          </cell>
          <cell r="I414">
            <v>0</v>
          </cell>
        </row>
        <row r="415">
          <cell r="A415">
            <v>94211</v>
          </cell>
          <cell r="B415" t="str">
            <v>TOWN OF ENFIELD</v>
          </cell>
          <cell r="C415">
            <v>1.5359999999999999E-4</v>
          </cell>
          <cell r="E415">
            <v>27519</v>
          </cell>
          <cell r="F415">
            <v>22545</v>
          </cell>
          <cell r="G415">
            <v>18303</v>
          </cell>
          <cell r="H415">
            <v>0</v>
          </cell>
          <cell r="I415">
            <v>0</v>
          </cell>
        </row>
        <row r="416">
          <cell r="A416">
            <v>94221</v>
          </cell>
          <cell r="B416" t="str">
            <v>CITY OF ROANOKE RAPIDS</v>
          </cell>
          <cell r="C416">
            <v>9.8189999999999996E-4</v>
          </cell>
          <cell r="E416">
            <v>175919</v>
          </cell>
          <cell r="F416">
            <v>144119</v>
          </cell>
          <cell r="G416">
            <v>117000</v>
          </cell>
          <cell r="H416">
            <v>0</v>
          </cell>
          <cell r="I416">
            <v>0</v>
          </cell>
        </row>
        <row r="417">
          <cell r="A417">
            <v>94231</v>
          </cell>
          <cell r="B417" t="str">
            <v>TOWN OF WELDON</v>
          </cell>
          <cell r="C417">
            <v>1.485E-4</v>
          </cell>
          <cell r="E417">
            <v>26606</v>
          </cell>
          <cell r="F417">
            <v>21796</v>
          </cell>
          <cell r="G417">
            <v>17695</v>
          </cell>
          <cell r="H417">
            <v>0</v>
          </cell>
          <cell r="I417">
            <v>0</v>
          </cell>
        </row>
        <row r="418">
          <cell r="A418">
            <v>94241</v>
          </cell>
          <cell r="B418" t="str">
            <v>TOWN OF SCOTLAND NECK</v>
          </cell>
          <cell r="C418">
            <v>1.106E-4</v>
          </cell>
          <cell r="E418">
            <v>19815</v>
          </cell>
          <cell r="F418">
            <v>16233</v>
          </cell>
          <cell r="G418">
            <v>13179</v>
          </cell>
          <cell r="H418">
            <v>0</v>
          </cell>
          <cell r="I418">
            <v>0</v>
          </cell>
        </row>
        <row r="419">
          <cell r="A419">
            <v>94251</v>
          </cell>
          <cell r="B419" t="str">
            <v>TOWN OF HOBGOOD</v>
          </cell>
          <cell r="C419">
            <v>1.7799999999999999E-5</v>
          </cell>
          <cell r="E419">
            <v>3189</v>
          </cell>
          <cell r="F419">
            <v>2613</v>
          </cell>
          <cell r="G419">
            <v>2121</v>
          </cell>
          <cell r="H419">
            <v>0</v>
          </cell>
          <cell r="I419">
            <v>0</v>
          </cell>
        </row>
        <row r="420">
          <cell r="A420">
            <v>94261</v>
          </cell>
          <cell r="B420" t="str">
            <v>TOWN OF LITTLETON</v>
          </cell>
          <cell r="C420">
            <v>4.6600000000000001E-5</v>
          </cell>
          <cell r="E420">
            <v>8349</v>
          </cell>
          <cell r="F420">
            <v>6840</v>
          </cell>
          <cell r="G420">
            <v>5553</v>
          </cell>
          <cell r="H420">
            <v>0</v>
          </cell>
          <cell r="I420">
            <v>0</v>
          </cell>
        </row>
        <row r="421">
          <cell r="A421">
            <v>94301</v>
          </cell>
          <cell r="B421" t="str">
            <v>HARNETT COUNTY</v>
          </cell>
          <cell r="C421">
            <v>6.3099000000000002E-3</v>
          </cell>
          <cell r="E421">
            <v>1130494</v>
          </cell>
          <cell r="F421">
            <v>926142</v>
          </cell>
          <cell r="G421">
            <v>751869</v>
          </cell>
          <cell r="H421">
            <v>0</v>
          </cell>
          <cell r="I421">
            <v>0</v>
          </cell>
        </row>
        <row r="422">
          <cell r="A422">
            <v>94311</v>
          </cell>
          <cell r="B422" t="str">
            <v>CITY OF DUNN</v>
          </cell>
          <cell r="C422">
            <v>7.7700000000000002E-4</v>
          </cell>
          <cell r="E422">
            <v>139209</v>
          </cell>
          <cell r="F422">
            <v>114045</v>
          </cell>
          <cell r="G422">
            <v>92585</v>
          </cell>
          <cell r="H422">
            <v>0</v>
          </cell>
          <cell r="I422">
            <v>0</v>
          </cell>
        </row>
        <row r="423">
          <cell r="A423">
            <v>94313</v>
          </cell>
          <cell r="B423" t="str">
            <v>DUNN HOUSING AUTHORITY</v>
          </cell>
          <cell r="C423">
            <v>1.4399999999999999E-5</v>
          </cell>
          <cell r="E423">
            <v>2580</v>
          </cell>
          <cell r="F423">
            <v>2114</v>
          </cell>
          <cell r="G423">
            <v>1716</v>
          </cell>
          <cell r="H423">
            <v>0</v>
          </cell>
          <cell r="I423">
            <v>0</v>
          </cell>
        </row>
        <row r="424">
          <cell r="A424">
            <v>94317</v>
          </cell>
          <cell r="B424" t="str">
            <v>DUNN ABC BOARD</v>
          </cell>
          <cell r="C424">
            <v>1.0699999999999999E-5</v>
          </cell>
          <cell r="E424">
            <v>1917</v>
          </cell>
          <cell r="F424">
            <v>1571</v>
          </cell>
          <cell r="G424">
            <v>1275</v>
          </cell>
          <cell r="H424">
            <v>0</v>
          </cell>
          <cell r="I424">
            <v>0</v>
          </cell>
        </row>
        <row r="425">
          <cell r="A425">
            <v>94321</v>
          </cell>
          <cell r="B425" t="str">
            <v>TOWN OF LILLINGTON</v>
          </cell>
          <cell r="C425">
            <v>2.8079999999999999E-4</v>
          </cell>
          <cell r="E425">
            <v>50309</v>
          </cell>
          <cell r="F425">
            <v>41215</v>
          </cell>
          <cell r="G425">
            <v>33459</v>
          </cell>
          <cell r="H425">
            <v>0</v>
          </cell>
          <cell r="I425">
            <v>0</v>
          </cell>
        </row>
        <row r="426">
          <cell r="A426">
            <v>94331</v>
          </cell>
          <cell r="B426" t="str">
            <v>TOWN OF ERWIN</v>
          </cell>
          <cell r="C426">
            <v>1.5190000000000001E-4</v>
          </cell>
          <cell r="E426">
            <v>27215</v>
          </cell>
          <cell r="F426">
            <v>22295</v>
          </cell>
          <cell r="G426">
            <v>18100</v>
          </cell>
          <cell r="H426">
            <v>0</v>
          </cell>
          <cell r="I426">
            <v>0</v>
          </cell>
        </row>
        <row r="427">
          <cell r="A427">
            <v>94341</v>
          </cell>
          <cell r="B427" t="str">
            <v>TOWN OF COATS</v>
          </cell>
          <cell r="C427">
            <v>9.8800000000000003E-5</v>
          </cell>
          <cell r="E427">
            <v>17701</v>
          </cell>
          <cell r="F427">
            <v>14501</v>
          </cell>
          <cell r="G427">
            <v>11773</v>
          </cell>
          <cell r="H427">
            <v>0</v>
          </cell>
          <cell r="I427">
            <v>0</v>
          </cell>
        </row>
        <row r="428">
          <cell r="A428">
            <v>94347</v>
          </cell>
          <cell r="B428" t="str">
            <v>TOWN OF ANGIER ABC BOARD</v>
          </cell>
          <cell r="C428">
            <v>1.17E-5</v>
          </cell>
          <cell r="E428">
            <v>2096</v>
          </cell>
          <cell r="F428">
            <v>1717</v>
          </cell>
          <cell r="G428">
            <v>1394</v>
          </cell>
          <cell r="H428">
            <v>0</v>
          </cell>
          <cell r="I428">
            <v>0</v>
          </cell>
        </row>
        <row r="429">
          <cell r="A429">
            <v>94351</v>
          </cell>
          <cell r="B429" t="str">
            <v>TOWN OF ANGIER</v>
          </cell>
          <cell r="C429">
            <v>2.2680000000000001E-4</v>
          </cell>
          <cell r="E429">
            <v>40634</v>
          </cell>
          <cell r="F429">
            <v>33289</v>
          </cell>
          <cell r="G429">
            <v>27025</v>
          </cell>
          <cell r="H429">
            <v>0</v>
          </cell>
          <cell r="I429">
            <v>0</v>
          </cell>
        </row>
        <row r="430">
          <cell r="A430">
            <v>94401</v>
          </cell>
          <cell r="B430" t="str">
            <v>HAYWOOD CO</v>
          </cell>
          <cell r="C430">
            <v>3.4440999999999999E-3</v>
          </cell>
          <cell r="E430">
            <v>617052</v>
          </cell>
          <cell r="F430">
            <v>505511</v>
          </cell>
          <cell r="G430">
            <v>410389</v>
          </cell>
          <cell r="H430">
            <v>0</v>
          </cell>
          <cell r="I430">
            <v>0</v>
          </cell>
        </row>
        <row r="431">
          <cell r="A431">
            <v>94402</v>
          </cell>
          <cell r="B431" t="str">
            <v>HAYWOOD MEDICAL CENTER</v>
          </cell>
          <cell r="C431">
            <v>0</v>
          </cell>
          <cell r="E431">
            <v>0</v>
          </cell>
          <cell r="F431">
            <v>0</v>
          </cell>
          <cell r="G431">
            <v>0</v>
          </cell>
          <cell r="H431">
            <v>0</v>
          </cell>
          <cell r="I431">
            <v>0</v>
          </cell>
        </row>
        <row r="432">
          <cell r="A432">
            <v>94403</v>
          </cell>
          <cell r="B432" t="str">
            <v>HAYWOOD COUNTY TOURISM DEVELOPMENT AUTHORITY</v>
          </cell>
          <cell r="C432">
            <v>3.7400000000000001E-5</v>
          </cell>
          <cell r="E432">
            <v>6701</v>
          </cell>
          <cell r="F432">
            <v>5489</v>
          </cell>
          <cell r="G432">
            <v>4456</v>
          </cell>
          <cell r="H432">
            <v>0</v>
          </cell>
          <cell r="I432">
            <v>0</v>
          </cell>
        </row>
        <row r="433">
          <cell r="A433">
            <v>94408</v>
          </cell>
          <cell r="B433" t="str">
            <v>JUNALUSKA SANITARY DISTRICT</v>
          </cell>
          <cell r="C433">
            <v>6.2000000000000003E-5</v>
          </cell>
          <cell r="E433">
            <v>11108</v>
          </cell>
          <cell r="F433">
            <v>9100</v>
          </cell>
          <cell r="G433">
            <v>7388</v>
          </cell>
          <cell r="H433">
            <v>0</v>
          </cell>
          <cell r="I433">
            <v>0</v>
          </cell>
        </row>
        <row r="434">
          <cell r="A434">
            <v>94411</v>
          </cell>
          <cell r="B434" t="str">
            <v>TOWN OF WAYNESVILLE</v>
          </cell>
          <cell r="C434">
            <v>1.2472E-3</v>
          </cell>
          <cell r="E434">
            <v>223451</v>
          </cell>
          <cell r="F434">
            <v>183059</v>
          </cell>
          <cell r="G434">
            <v>148613</v>
          </cell>
          <cell r="H434">
            <v>0</v>
          </cell>
          <cell r="I434">
            <v>0</v>
          </cell>
        </row>
        <row r="435">
          <cell r="A435">
            <v>94412</v>
          </cell>
          <cell r="B435" t="str">
            <v>WAYNESVILLE ABC BOARD</v>
          </cell>
          <cell r="C435">
            <v>1.7E-5</v>
          </cell>
          <cell r="E435">
            <v>3046</v>
          </cell>
          <cell r="F435">
            <v>2495</v>
          </cell>
          <cell r="G435">
            <v>2026</v>
          </cell>
          <cell r="H435">
            <v>0</v>
          </cell>
          <cell r="I435">
            <v>0</v>
          </cell>
        </row>
        <row r="436">
          <cell r="A436">
            <v>94421</v>
          </cell>
          <cell r="B436" t="str">
            <v>TOWN OF MAGGIE VALLEY</v>
          </cell>
          <cell r="C436">
            <v>1.4880000000000001E-4</v>
          </cell>
          <cell r="E436">
            <v>26659</v>
          </cell>
          <cell r="F436">
            <v>21840</v>
          </cell>
          <cell r="G436">
            <v>17731</v>
          </cell>
          <cell r="H436">
            <v>0</v>
          </cell>
          <cell r="I436">
            <v>0</v>
          </cell>
        </row>
        <row r="437">
          <cell r="A437">
            <v>94427</v>
          </cell>
          <cell r="B437" t="str">
            <v>MAGGIE VALLEY ABC BOARD</v>
          </cell>
          <cell r="C437">
            <v>2.7500000000000001E-5</v>
          </cell>
          <cell r="E437">
            <v>4927</v>
          </cell>
          <cell r="F437">
            <v>4036</v>
          </cell>
          <cell r="G437">
            <v>3277</v>
          </cell>
          <cell r="H437">
            <v>0</v>
          </cell>
          <cell r="I437">
            <v>0</v>
          </cell>
        </row>
        <row r="438">
          <cell r="A438">
            <v>94428</v>
          </cell>
          <cell r="B438" t="str">
            <v>MAGGIE VALLEY SANITARY DIST</v>
          </cell>
          <cell r="C438">
            <v>7.1400000000000001E-5</v>
          </cell>
          <cell r="E438">
            <v>12792</v>
          </cell>
          <cell r="F438">
            <v>10480</v>
          </cell>
          <cell r="G438">
            <v>8508</v>
          </cell>
          <cell r="H438">
            <v>0</v>
          </cell>
          <cell r="I438">
            <v>0</v>
          </cell>
        </row>
        <row r="439">
          <cell r="A439">
            <v>94431</v>
          </cell>
          <cell r="B439" t="str">
            <v>TOWN OF CANTON</v>
          </cell>
          <cell r="C439">
            <v>4.1829999999999998E-4</v>
          </cell>
          <cell r="E439">
            <v>74943</v>
          </cell>
          <cell r="F439">
            <v>61396</v>
          </cell>
          <cell r="G439">
            <v>49843</v>
          </cell>
          <cell r="H439">
            <v>0</v>
          </cell>
          <cell r="I439">
            <v>0</v>
          </cell>
        </row>
        <row r="440">
          <cell r="A440">
            <v>94437</v>
          </cell>
          <cell r="B440" t="str">
            <v>CANTON ABC BOARD</v>
          </cell>
          <cell r="C440">
            <v>1.49E-5</v>
          </cell>
          <cell r="E440">
            <v>2670</v>
          </cell>
          <cell r="F440">
            <v>2187</v>
          </cell>
          <cell r="G440">
            <v>1775</v>
          </cell>
          <cell r="H440">
            <v>0</v>
          </cell>
          <cell r="I440">
            <v>0</v>
          </cell>
        </row>
        <row r="441">
          <cell r="A441">
            <v>94501</v>
          </cell>
          <cell r="B441" t="str">
            <v>COUNTY OF HENDERSON</v>
          </cell>
          <cell r="C441">
            <v>5.9772999999999996E-3</v>
          </cell>
          <cell r="E441">
            <v>1070905</v>
          </cell>
          <cell r="F441">
            <v>877324</v>
          </cell>
          <cell r="G441">
            <v>712237</v>
          </cell>
          <cell r="H441">
            <v>0</v>
          </cell>
          <cell r="I441">
            <v>0</v>
          </cell>
        </row>
        <row r="442">
          <cell r="A442">
            <v>94511</v>
          </cell>
          <cell r="B442" t="str">
            <v>CITY OF HENDERSONVILLE</v>
          </cell>
          <cell r="C442">
            <v>2.0183000000000002E-3</v>
          </cell>
          <cell r="E442">
            <v>361603</v>
          </cell>
          <cell r="F442">
            <v>296238</v>
          </cell>
          <cell r="G442">
            <v>240495</v>
          </cell>
          <cell r="H442">
            <v>0</v>
          </cell>
          <cell r="I442">
            <v>0</v>
          </cell>
        </row>
        <row r="443">
          <cell r="A443">
            <v>94512</v>
          </cell>
          <cell r="B443" t="str">
            <v>HENDERSONVILLE WATER COMMISSION</v>
          </cell>
          <cell r="C443">
            <v>0</v>
          </cell>
          <cell r="E443">
            <v>0</v>
          </cell>
          <cell r="F443">
            <v>0</v>
          </cell>
          <cell r="G443">
            <v>0</v>
          </cell>
          <cell r="H443">
            <v>0</v>
          </cell>
          <cell r="I443">
            <v>0</v>
          </cell>
        </row>
        <row r="444">
          <cell r="A444">
            <v>94517</v>
          </cell>
          <cell r="B444" t="str">
            <v>HENDERSONVILLE ABC BD</v>
          </cell>
          <cell r="C444">
            <v>5.4799999999999997E-5</v>
          </cell>
          <cell r="E444">
            <v>9818</v>
          </cell>
          <cell r="F444">
            <v>8043</v>
          </cell>
          <cell r="G444">
            <v>6530</v>
          </cell>
          <cell r="H444">
            <v>0</v>
          </cell>
          <cell r="I444">
            <v>0</v>
          </cell>
        </row>
        <row r="445">
          <cell r="A445">
            <v>94521</v>
          </cell>
          <cell r="B445" t="str">
            <v>TOWN OF LAUREL PARK</v>
          </cell>
          <cell r="C445">
            <v>1.4990000000000001E-4</v>
          </cell>
          <cell r="E445">
            <v>26856</v>
          </cell>
          <cell r="F445">
            <v>22002</v>
          </cell>
          <cell r="G445">
            <v>17862</v>
          </cell>
          <cell r="H445">
            <v>0</v>
          </cell>
          <cell r="I445">
            <v>0</v>
          </cell>
        </row>
        <row r="446">
          <cell r="A446">
            <v>94527</v>
          </cell>
          <cell r="B446" t="str">
            <v>LAUREL PARK ABC BOARD</v>
          </cell>
          <cell r="C446">
            <v>6.8000000000000001E-6</v>
          </cell>
          <cell r="E446">
            <v>1218</v>
          </cell>
          <cell r="F446">
            <v>998</v>
          </cell>
          <cell r="G446">
            <v>810</v>
          </cell>
          <cell r="H446">
            <v>0</v>
          </cell>
          <cell r="I446">
            <v>0</v>
          </cell>
        </row>
        <row r="447">
          <cell r="A447">
            <v>94531</v>
          </cell>
          <cell r="B447" t="str">
            <v>THE VILLAGE OF FLAT ROCK</v>
          </cell>
          <cell r="C447">
            <v>2.3099999999999999E-5</v>
          </cell>
          <cell r="E447">
            <v>4139</v>
          </cell>
          <cell r="F447">
            <v>3391</v>
          </cell>
          <cell r="G447">
            <v>2753</v>
          </cell>
          <cell r="H447">
            <v>0</v>
          </cell>
          <cell r="I447">
            <v>0</v>
          </cell>
        </row>
        <row r="448">
          <cell r="A448">
            <v>94532</v>
          </cell>
          <cell r="B448" t="str">
            <v>BLUE RIDGE FIRE DEPARTMENT</v>
          </cell>
          <cell r="C448">
            <v>1.0060000000000001E-4</v>
          </cell>
          <cell r="E448">
            <v>18024</v>
          </cell>
          <cell r="F448">
            <v>14766</v>
          </cell>
          <cell r="G448">
            <v>11987</v>
          </cell>
          <cell r="H448">
            <v>0</v>
          </cell>
          <cell r="I448">
            <v>0</v>
          </cell>
        </row>
        <row r="449">
          <cell r="A449">
            <v>94541</v>
          </cell>
          <cell r="B449" t="str">
            <v>TOWN OF FLETCHER</v>
          </cell>
          <cell r="C449">
            <v>2.7750000000000002E-4</v>
          </cell>
          <cell r="E449">
            <v>49717</v>
          </cell>
          <cell r="F449">
            <v>40730</v>
          </cell>
          <cell r="G449">
            <v>33066</v>
          </cell>
          <cell r="H449">
            <v>0</v>
          </cell>
          <cell r="I449">
            <v>0</v>
          </cell>
        </row>
        <row r="450">
          <cell r="A450">
            <v>94547</v>
          </cell>
          <cell r="B450" t="str">
            <v>FLETCHER ABC BOARD</v>
          </cell>
          <cell r="C450">
            <v>1.1E-5</v>
          </cell>
          <cell r="E450">
            <v>1971</v>
          </cell>
          <cell r="F450">
            <v>1615</v>
          </cell>
          <cell r="G450">
            <v>1311</v>
          </cell>
          <cell r="H450">
            <v>0</v>
          </cell>
          <cell r="I450">
            <v>0</v>
          </cell>
        </row>
        <row r="451">
          <cell r="A451">
            <v>94551</v>
          </cell>
          <cell r="B451" t="str">
            <v>TOWN OF MILLS RIVER</v>
          </cell>
          <cell r="C451">
            <v>5.3000000000000001E-5</v>
          </cell>
          <cell r="E451">
            <v>9496</v>
          </cell>
          <cell r="F451">
            <v>7779</v>
          </cell>
          <cell r="G451">
            <v>6315</v>
          </cell>
          <cell r="H451">
            <v>0</v>
          </cell>
          <cell r="I451">
            <v>0</v>
          </cell>
        </row>
        <row r="452">
          <cell r="A452">
            <v>94601</v>
          </cell>
          <cell r="B452" t="str">
            <v>HERTFORD COUNTY</v>
          </cell>
          <cell r="C452">
            <v>9.1859999999999999E-4</v>
          </cell>
          <cell r="E452">
            <v>164578</v>
          </cell>
          <cell r="F452">
            <v>134828</v>
          </cell>
          <cell r="G452">
            <v>109458</v>
          </cell>
          <cell r="H452">
            <v>0</v>
          </cell>
          <cell r="I452">
            <v>0</v>
          </cell>
        </row>
        <row r="453">
          <cell r="A453">
            <v>94604</v>
          </cell>
          <cell r="B453" t="str">
            <v>HERTFORD COUNTY ABC BOARD</v>
          </cell>
          <cell r="C453">
            <v>2.6100000000000001E-5</v>
          </cell>
          <cell r="E453">
            <v>4676</v>
          </cell>
          <cell r="F453">
            <v>3831</v>
          </cell>
          <cell r="G453">
            <v>3110</v>
          </cell>
          <cell r="H453">
            <v>0</v>
          </cell>
          <cell r="I453">
            <v>0</v>
          </cell>
        </row>
        <row r="454">
          <cell r="A454">
            <v>94606</v>
          </cell>
          <cell r="B454" t="str">
            <v>HERTFORD COUNTY PUBLIC HEALTH AUTHORITY</v>
          </cell>
          <cell r="C454">
            <v>0</v>
          </cell>
          <cell r="E454">
            <v>0</v>
          </cell>
          <cell r="F454">
            <v>0</v>
          </cell>
          <cell r="G454">
            <v>0</v>
          </cell>
          <cell r="H454">
            <v>0</v>
          </cell>
          <cell r="I454">
            <v>0</v>
          </cell>
        </row>
        <row r="455">
          <cell r="A455">
            <v>94611</v>
          </cell>
          <cell r="B455" t="str">
            <v>TOWN OF AHOSKIE</v>
          </cell>
          <cell r="C455">
            <v>3.4459999999999997E-4</v>
          </cell>
          <cell r="E455">
            <v>61739</v>
          </cell>
          <cell r="F455">
            <v>50579</v>
          </cell>
          <cell r="G455">
            <v>41062</v>
          </cell>
          <cell r="H455">
            <v>0</v>
          </cell>
          <cell r="I455">
            <v>0</v>
          </cell>
        </row>
        <row r="456">
          <cell r="A456">
            <v>94621</v>
          </cell>
          <cell r="B456" t="str">
            <v>TOWN OF MURFREESBORO</v>
          </cell>
          <cell r="C456">
            <v>1.3320000000000001E-4</v>
          </cell>
          <cell r="E456">
            <v>23864</v>
          </cell>
          <cell r="F456">
            <v>19551</v>
          </cell>
          <cell r="G456">
            <v>15872</v>
          </cell>
          <cell r="H456">
            <v>0</v>
          </cell>
          <cell r="I456">
            <v>0</v>
          </cell>
        </row>
        <row r="457">
          <cell r="A457">
            <v>94631</v>
          </cell>
          <cell r="B457" t="str">
            <v>TOWN OF WINTON</v>
          </cell>
          <cell r="C457">
            <v>4.2599999999999999E-5</v>
          </cell>
          <cell r="E457">
            <v>7632</v>
          </cell>
          <cell r="F457">
            <v>6253</v>
          </cell>
          <cell r="G457">
            <v>5076</v>
          </cell>
          <cell r="H457">
            <v>0</v>
          </cell>
          <cell r="I457">
            <v>0</v>
          </cell>
        </row>
        <row r="458">
          <cell r="A458">
            <v>94641</v>
          </cell>
          <cell r="B458" t="str">
            <v>TOWN OF COFIELD</v>
          </cell>
          <cell r="C458">
            <v>1.04E-5</v>
          </cell>
          <cell r="E458">
            <v>1863</v>
          </cell>
          <cell r="F458">
            <v>1526</v>
          </cell>
          <cell r="G458">
            <v>1239</v>
          </cell>
          <cell r="H458">
            <v>0</v>
          </cell>
          <cell r="I458">
            <v>0</v>
          </cell>
        </row>
        <row r="459">
          <cell r="A459">
            <v>94701</v>
          </cell>
          <cell r="B459" t="str">
            <v>HOKE COUNTY</v>
          </cell>
          <cell r="C459">
            <v>2.4202999999999998E-3</v>
          </cell>
          <cell r="E459">
            <v>433626</v>
          </cell>
          <cell r="F459">
            <v>355242</v>
          </cell>
          <cell r="G459">
            <v>288396</v>
          </cell>
          <cell r="H459">
            <v>0</v>
          </cell>
          <cell r="I459">
            <v>0</v>
          </cell>
        </row>
        <row r="460">
          <cell r="A460">
            <v>94704</v>
          </cell>
          <cell r="B460" t="str">
            <v>HOKE COUNTY ABC BOARD</v>
          </cell>
          <cell r="C460">
            <v>1.5299999999999999E-5</v>
          </cell>
          <cell r="E460">
            <v>2741</v>
          </cell>
          <cell r="F460">
            <v>2246</v>
          </cell>
          <cell r="G460">
            <v>1823</v>
          </cell>
          <cell r="H460">
            <v>0</v>
          </cell>
          <cell r="I460">
            <v>0</v>
          </cell>
        </row>
        <row r="461">
          <cell r="A461">
            <v>94711</v>
          </cell>
          <cell r="B461" t="str">
            <v>TOWN OF RAEFORD</v>
          </cell>
          <cell r="C461">
            <v>3.3819999999999998E-4</v>
          </cell>
          <cell r="E461">
            <v>60593</v>
          </cell>
          <cell r="F461">
            <v>49640</v>
          </cell>
          <cell r="G461">
            <v>40299</v>
          </cell>
          <cell r="H461">
            <v>0</v>
          </cell>
          <cell r="I461">
            <v>0</v>
          </cell>
        </row>
        <row r="462">
          <cell r="A462">
            <v>94801</v>
          </cell>
          <cell r="B462" t="str">
            <v>HYDE COUNTY</v>
          </cell>
          <cell r="C462">
            <v>6.8429999999999999E-4</v>
          </cell>
          <cell r="E462">
            <v>122601</v>
          </cell>
          <cell r="F462">
            <v>100439</v>
          </cell>
          <cell r="G462">
            <v>81539</v>
          </cell>
          <cell r="H462">
            <v>0</v>
          </cell>
          <cell r="I462">
            <v>0</v>
          </cell>
        </row>
        <row r="463">
          <cell r="A463">
            <v>94804</v>
          </cell>
          <cell r="B463" t="str">
            <v>HYDE COUNTY ABC BOARD</v>
          </cell>
          <cell r="C463">
            <v>2.7999999999999999E-6</v>
          </cell>
          <cell r="E463">
            <v>502</v>
          </cell>
          <cell r="F463">
            <v>411</v>
          </cell>
          <cell r="G463">
            <v>334</v>
          </cell>
          <cell r="H463">
            <v>0</v>
          </cell>
          <cell r="I463">
            <v>0</v>
          </cell>
        </row>
        <row r="464">
          <cell r="A464">
            <v>94812</v>
          </cell>
          <cell r="B464" t="str">
            <v>OCRACOKE SANITARY DIST</v>
          </cell>
          <cell r="C464">
            <v>3.0000000000000001E-5</v>
          </cell>
          <cell r="E464">
            <v>5375</v>
          </cell>
          <cell r="F464">
            <v>4403</v>
          </cell>
          <cell r="G464">
            <v>3575</v>
          </cell>
          <cell r="H464">
            <v>0</v>
          </cell>
          <cell r="I464">
            <v>0</v>
          </cell>
        </row>
        <row r="465">
          <cell r="A465">
            <v>94901</v>
          </cell>
          <cell r="B465" t="str">
            <v>IREDELL COUNTY</v>
          </cell>
          <cell r="C465">
            <v>7.2372000000000001E-3</v>
          </cell>
          <cell r="E465">
            <v>1296631</v>
          </cell>
          <cell r="F465">
            <v>1062247</v>
          </cell>
          <cell r="G465">
            <v>862363</v>
          </cell>
          <cell r="H465">
            <v>0</v>
          </cell>
          <cell r="I465">
            <v>0</v>
          </cell>
        </row>
        <row r="466">
          <cell r="A466">
            <v>94908</v>
          </cell>
          <cell r="B466" t="str">
            <v>GREATER STATESVILLE DEVELOPMENT CORP</v>
          </cell>
          <cell r="C466">
            <v>5.9000000000000003E-6</v>
          </cell>
          <cell r="E466">
            <v>1057</v>
          </cell>
          <cell r="F466">
            <v>866</v>
          </cell>
          <cell r="G466">
            <v>703</v>
          </cell>
          <cell r="H466">
            <v>0</v>
          </cell>
          <cell r="I466">
            <v>0</v>
          </cell>
        </row>
        <row r="467">
          <cell r="A467">
            <v>94911</v>
          </cell>
          <cell r="B467" t="str">
            <v>CITY OF STATESVILLE</v>
          </cell>
          <cell r="C467">
            <v>2.8782E-3</v>
          </cell>
          <cell r="E467">
            <v>515664</v>
          </cell>
          <cell r="F467">
            <v>422451</v>
          </cell>
          <cell r="G467">
            <v>342958</v>
          </cell>
          <cell r="H467">
            <v>0</v>
          </cell>
          <cell r="I467">
            <v>0</v>
          </cell>
        </row>
        <row r="468">
          <cell r="A468">
            <v>94917</v>
          </cell>
          <cell r="B468" t="str">
            <v>STATESVILLE ABC BOARD</v>
          </cell>
          <cell r="C468">
            <v>3.0700000000000001E-5</v>
          </cell>
          <cell r="E468">
            <v>5500</v>
          </cell>
          <cell r="F468">
            <v>4506</v>
          </cell>
          <cell r="G468">
            <v>3658</v>
          </cell>
          <cell r="H468">
            <v>0</v>
          </cell>
          <cell r="I468">
            <v>0</v>
          </cell>
        </row>
        <row r="469">
          <cell r="A469">
            <v>94921</v>
          </cell>
          <cell r="B469" t="str">
            <v>CITY OF MOORESVILLE</v>
          </cell>
          <cell r="C469">
            <v>3.8489000000000002E-3</v>
          </cell>
          <cell r="E469">
            <v>689577</v>
          </cell>
          <cell r="F469">
            <v>564926</v>
          </cell>
          <cell r="G469">
            <v>458623</v>
          </cell>
          <cell r="H469">
            <v>0</v>
          </cell>
          <cell r="I469">
            <v>0</v>
          </cell>
        </row>
        <row r="470">
          <cell r="A470">
            <v>94923</v>
          </cell>
          <cell r="B470" t="str">
            <v>MOORESVILLE HOUSING AUTHORITY</v>
          </cell>
          <cell r="C470">
            <v>2.7800000000000001E-5</v>
          </cell>
          <cell r="E470">
            <v>4981</v>
          </cell>
          <cell r="F470">
            <v>4080</v>
          </cell>
          <cell r="G470">
            <v>3313</v>
          </cell>
          <cell r="H470">
            <v>0</v>
          </cell>
          <cell r="I470">
            <v>0</v>
          </cell>
        </row>
        <row r="471">
          <cell r="A471">
            <v>94927</v>
          </cell>
          <cell r="B471" t="str">
            <v>MOORESVILLE ABC BOARD</v>
          </cell>
          <cell r="C471">
            <v>2.5299999999999998E-5</v>
          </cell>
          <cell r="E471">
            <v>4533</v>
          </cell>
          <cell r="F471">
            <v>3713</v>
          </cell>
          <cell r="G471">
            <v>3015</v>
          </cell>
          <cell r="H471">
            <v>0</v>
          </cell>
          <cell r="I471">
            <v>0</v>
          </cell>
        </row>
        <row r="472">
          <cell r="A472">
            <v>94931</v>
          </cell>
          <cell r="B472" t="str">
            <v>TOWN OF TROUTMAN</v>
          </cell>
          <cell r="C472">
            <v>2.142E-4</v>
          </cell>
          <cell r="E472">
            <v>38377</v>
          </cell>
          <cell r="F472">
            <v>31439</v>
          </cell>
          <cell r="G472">
            <v>25523</v>
          </cell>
          <cell r="H472">
            <v>0</v>
          </cell>
          <cell r="I472">
            <v>0</v>
          </cell>
        </row>
        <row r="473">
          <cell r="A473">
            <v>94937</v>
          </cell>
          <cell r="B473" t="str">
            <v>TOWN OF TROUTMAN ABC BOARD</v>
          </cell>
          <cell r="C473">
            <v>6.9E-6</v>
          </cell>
          <cell r="E473">
            <v>1236</v>
          </cell>
          <cell r="F473">
            <v>1013</v>
          </cell>
          <cell r="G473">
            <v>822</v>
          </cell>
          <cell r="H473">
            <v>0</v>
          </cell>
          <cell r="I473">
            <v>0</v>
          </cell>
        </row>
        <row r="474">
          <cell r="A474">
            <v>94941</v>
          </cell>
          <cell r="B474" t="str">
            <v>MI CONNECTION COMMUNICATIONS SYSTEM</v>
          </cell>
          <cell r="C474">
            <v>5.865E-4</v>
          </cell>
          <cell r="E474">
            <v>105079</v>
          </cell>
          <cell r="F474">
            <v>86084</v>
          </cell>
          <cell r="G474">
            <v>69886</v>
          </cell>
          <cell r="H474">
            <v>0</v>
          </cell>
          <cell r="I474">
            <v>0</v>
          </cell>
        </row>
        <row r="475">
          <cell r="A475">
            <v>94947</v>
          </cell>
          <cell r="B475" t="str">
            <v>VALDESE ABC BOARD</v>
          </cell>
          <cell r="C475">
            <v>5.9000000000000003E-6</v>
          </cell>
          <cell r="E475">
            <v>1057</v>
          </cell>
          <cell r="F475">
            <v>866</v>
          </cell>
          <cell r="G475">
            <v>703</v>
          </cell>
          <cell r="H475">
            <v>0</v>
          </cell>
          <cell r="I475">
            <v>0</v>
          </cell>
        </row>
        <row r="476">
          <cell r="A476">
            <v>95001</v>
          </cell>
          <cell r="B476" t="str">
            <v>JACKSON COUNTY</v>
          </cell>
          <cell r="C476">
            <v>2.2818999999999999E-3</v>
          </cell>
          <cell r="E476">
            <v>408830</v>
          </cell>
          <cell r="F476">
            <v>334928</v>
          </cell>
          <cell r="G476">
            <v>271904</v>
          </cell>
          <cell r="H476">
            <v>0</v>
          </cell>
          <cell r="I476">
            <v>0</v>
          </cell>
        </row>
        <row r="477">
          <cell r="A477">
            <v>95002</v>
          </cell>
          <cell r="B477" t="str">
            <v>TUCKASEIGEE WATER AUTHORITY</v>
          </cell>
          <cell r="C477">
            <v>1.805E-4</v>
          </cell>
          <cell r="E477">
            <v>32339</v>
          </cell>
          <cell r="F477">
            <v>26493</v>
          </cell>
          <cell r="G477">
            <v>21508</v>
          </cell>
          <cell r="H477">
            <v>0</v>
          </cell>
          <cell r="I477">
            <v>0</v>
          </cell>
        </row>
        <row r="478">
          <cell r="A478">
            <v>95005</v>
          </cell>
          <cell r="B478" t="str">
            <v>FONTANA REGIONAL LIBRARY</v>
          </cell>
          <cell r="C478">
            <v>1.8819999999999999E-4</v>
          </cell>
          <cell r="E478">
            <v>33718</v>
          </cell>
          <cell r="F478">
            <v>27623</v>
          </cell>
          <cell r="G478">
            <v>22425</v>
          </cell>
          <cell r="H478">
            <v>0</v>
          </cell>
          <cell r="I478">
            <v>0</v>
          </cell>
        </row>
        <row r="479">
          <cell r="A479">
            <v>95008</v>
          </cell>
          <cell r="B479" t="str">
            <v>SOUTHWESTERN NC PLANNING &amp; ECON.DEV.COMMIS.</v>
          </cell>
          <cell r="C479">
            <v>1.193E-4</v>
          </cell>
          <cell r="E479">
            <v>21374</v>
          </cell>
          <cell r="F479">
            <v>17510</v>
          </cell>
          <cell r="G479">
            <v>14215</v>
          </cell>
          <cell r="H479">
            <v>0</v>
          </cell>
          <cell r="I479">
            <v>0</v>
          </cell>
        </row>
        <row r="480">
          <cell r="A480">
            <v>95009</v>
          </cell>
          <cell r="B480" t="str">
            <v>SMOKY MOUNTAIN M H C</v>
          </cell>
          <cell r="C480">
            <v>4.0723000000000001E-3</v>
          </cell>
          <cell r="E480">
            <v>729601</v>
          </cell>
          <cell r="F480">
            <v>597716</v>
          </cell>
          <cell r="G480">
            <v>485243</v>
          </cell>
          <cell r="H480">
            <v>0</v>
          </cell>
          <cell r="I480">
            <v>0</v>
          </cell>
        </row>
        <row r="481">
          <cell r="A481">
            <v>95011</v>
          </cell>
          <cell r="B481" t="str">
            <v>TOWN OF SYLVA</v>
          </cell>
          <cell r="C481">
            <v>1.9230000000000001E-4</v>
          </cell>
          <cell r="E481">
            <v>34453</v>
          </cell>
          <cell r="F481">
            <v>28225</v>
          </cell>
          <cell r="G481">
            <v>22914</v>
          </cell>
          <cell r="H481">
            <v>0</v>
          </cell>
          <cell r="I481">
            <v>0</v>
          </cell>
        </row>
        <row r="482">
          <cell r="A482">
            <v>95017</v>
          </cell>
          <cell r="B482" t="str">
            <v>JACKSON COUNTY ABC BOARD</v>
          </cell>
          <cell r="C482">
            <v>5.1E-5</v>
          </cell>
          <cell r="E482">
            <v>9137</v>
          </cell>
          <cell r="F482">
            <v>7486</v>
          </cell>
          <cell r="G482">
            <v>6077</v>
          </cell>
          <cell r="H482">
            <v>0</v>
          </cell>
          <cell r="I482">
            <v>0</v>
          </cell>
        </row>
        <row r="483">
          <cell r="A483">
            <v>95101</v>
          </cell>
          <cell r="B483" t="str">
            <v>JOHNSTON COUNTY</v>
          </cell>
          <cell r="C483">
            <v>8.8515E-3</v>
          </cell>
          <cell r="E483">
            <v>1585852</v>
          </cell>
          <cell r="F483">
            <v>1299188</v>
          </cell>
          <cell r="G483">
            <v>1054718</v>
          </cell>
          <cell r="H483">
            <v>0</v>
          </cell>
          <cell r="I483">
            <v>0</v>
          </cell>
        </row>
        <row r="484">
          <cell r="A484">
            <v>95103</v>
          </cell>
          <cell r="B484" t="str">
            <v>BENSON HOUSING AUTHORITY</v>
          </cell>
          <cell r="C484">
            <v>5.0599999999999997E-5</v>
          </cell>
          <cell r="E484">
            <v>9066</v>
          </cell>
          <cell r="F484">
            <v>7427</v>
          </cell>
          <cell r="G484">
            <v>6029</v>
          </cell>
          <cell r="H484">
            <v>0</v>
          </cell>
          <cell r="I484">
            <v>0</v>
          </cell>
        </row>
        <row r="485">
          <cell r="A485">
            <v>95104</v>
          </cell>
          <cell r="B485" t="str">
            <v>JOHNSTON COUNTY ABC BOARD</v>
          </cell>
          <cell r="C485">
            <v>1.149E-4</v>
          </cell>
          <cell r="E485">
            <v>20586</v>
          </cell>
          <cell r="F485">
            <v>16865</v>
          </cell>
          <cell r="G485">
            <v>13691</v>
          </cell>
          <cell r="H485">
            <v>0</v>
          </cell>
          <cell r="I485">
            <v>0</v>
          </cell>
        </row>
        <row r="486">
          <cell r="A486">
            <v>95105</v>
          </cell>
          <cell r="B486" t="str">
            <v>PUBLIC LIBRARY OF JOHNSTON CO AND SMITHFIELD</v>
          </cell>
          <cell r="C486">
            <v>7.1500000000000003E-5</v>
          </cell>
          <cell r="E486">
            <v>12810</v>
          </cell>
          <cell r="F486">
            <v>10494</v>
          </cell>
          <cell r="G486">
            <v>8520</v>
          </cell>
          <cell r="H486">
            <v>0</v>
          </cell>
          <cell r="I486">
            <v>0</v>
          </cell>
        </row>
        <row r="487">
          <cell r="A487">
            <v>95106</v>
          </cell>
          <cell r="B487" t="str">
            <v>TOWN OF ARCHER LODGE</v>
          </cell>
          <cell r="C487">
            <v>1.29E-5</v>
          </cell>
          <cell r="E487">
            <v>2311</v>
          </cell>
          <cell r="F487">
            <v>1893</v>
          </cell>
          <cell r="G487">
            <v>1537</v>
          </cell>
          <cell r="H487">
            <v>0</v>
          </cell>
          <cell r="I487">
            <v>0</v>
          </cell>
        </row>
        <row r="488">
          <cell r="A488">
            <v>95110</v>
          </cell>
          <cell r="B488" t="str">
            <v>JOHNSTON HEALTH CENTER</v>
          </cell>
          <cell r="C488">
            <v>3.1538E-3</v>
          </cell>
          <cell r="E488">
            <v>565041</v>
          </cell>
          <cell r="F488">
            <v>462902</v>
          </cell>
          <cell r="G488">
            <v>375797</v>
          </cell>
          <cell r="H488">
            <v>0</v>
          </cell>
          <cell r="I488">
            <v>0</v>
          </cell>
        </row>
        <row r="489">
          <cell r="A489">
            <v>95111</v>
          </cell>
          <cell r="B489" t="str">
            <v>TOWN OF SMITHFIELD</v>
          </cell>
          <cell r="C489">
            <v>1.0529000000000001E-3</v>
          </cell>
          <cell r="E489">
            <v>188640</v>
          </cell>
          <cell r="F489">
            <v>154540</v>
          </cell>
          <cell r="G489">
            <v>125460</v>
          </cell>
          <cell r="H489">
            <v>0</v>
          </cell>
          <cell r="I489">
            <v>0</v>
          </cell>
        </row>
        <row r="490">
          <cell r="A490">
            <v>95113</v>
          </cell>
          <cell r="B490" t="str">
            <v>SMITHFIELD HOUSING AUTHORITY</v>
          </cell>
          <cell r="C490">
            <v>4.5300000000000003E-5</v>
          </cell>
          <cell r="E490">
            <v>8116</v>
          </cell>
          <cell r="F490">
            <v>6649</v>
          </cell>
          <cell r="G490">
            <v>5398</v>
          </cell>
          <cell r="H490">
            <v>0</v>
          </cell>
          <cell r="I490">
            <v>0</v>
          </cell>
        </row>
        <row r="491">
          <cell r="A491">
            <v>95121</v>
          </cell>
          <cell r="B491" t="str">
            <v>TOWN OF SELMA</v>
          </cell>
          <cell r="C491">
            <v>4.6769999999999998E-4</v>
          </cell>
          <cell r="E491">
            <v>83794</v>
          </cell>
          <cell r="F491">
            <v>68647</v>
          </cell>
          <cell r="G491">
            <v>55730</v>
          </cell>
          <cell r="H491">
            <v>0</v>
          </cell>
          <cell r="I491">
            <v>0</v>
          </cell>
        </row>
        <row r="492">
          <cell r="A492">
            <v>95122</v>
          </cell>
          <cell r="B492" t="str">
            <v>TOWN OF MICRO</v>
          </cell>
          <cell r="C492">
            <v>1.5400000000000002E-5</v>
          </cell>
          <cell r="E492">
            <v>2759</v>
          </cell>
          <cell r="F492">
            <v>2260</v>
          </cell>
          <cell r="G492">
            <v>1835</v>
          </cell>
          <cell r="H492">
            <v>0</v>
          </cell>
          <cell r="I492">
            <v>0</v>
          </cell>
        </row>
        <row r="493">
          <cell r="A493">
            <v>95123</v>
          </cell>
          <cell r="B493" t="str">
            <v>SELMA HOUSING AUTHORITY</v>
          </cell>
          <cell r="C493">
            <v>4.8999999999999998E-5</v>
          </cell>
          <cell r="E493">
            <v>8779</v>
          </cell>
          <cell r="F493">
            <v>7192</v>
          </cell>
          <cell r="G493">
            <v>5839</v>
          </cell>
          <cell r="H493">
            <v>0</v>
          </cell>
          <cell r="I493">
            <v>0</v>
          </cell>
        </row>
        <row r="494">
          <cell r="A494">
            <v>95131</v>
          </cell>
          <cell r="B494" t="str">
            <v>TOWN OF CLAYTON</v>
          </cell>
          <cell r="C494">
            <v>1.7905E-3</v>
          </cell>
          <cell r="E494">
            <v>320790</v>
          </cell>
          <cell r="F494">
            <v>262802</v>
          </cell>
          <cell r="G494">
            <v>213351</v>
          </cell>
          <cell r="H494">
            <v>0</v>
          </cell>
          <cell r="I494">
            <v>0</v>
          </cell>
        </row>
        <row r="495">
          <cell r="A495">
            <v>95141</v>
          </cell>
          <cell r="B495" t="str">
            <v>TOWN OF BENSON</v>
          </cell>
          <cell r="C495">
            <v>3.6099999999999999E-4</v>
          </cell>
          <cell r="E495">
            <v>64677</v>
          </cell>
          <cell r="F495">
            <v>52986</v>
          </cell>
          <cell r="G495">
            <v>43016</v>
          </cell>
          <cell r="H495">
            <v>0</v>
          </cell>
          <cell r="I495">
            <v>0</v>
          </cell>
        </row>
        <row r="496">
          <cell r="A496">
            <v>95151</v>
          </cell>
          <cell r="B496" t="str">
            <v>TOWN OF FOUR OAKS</v>
          </cell>
          <cell r="C496">
            <v>1.1010000000000001E-4</v>
          </cell>
          <cell r="E496">
            <v>19726</v>
          </cell>
          <cell r="F496">
            <v>16160</v>
          </cell>
          <cell r="G496">
            <v>13119</v>
          </cell>
          <cell r="H496">
            <v>0</v>
          </cell>
          <cell r="I496">
            <v>0</v>
          </cell>
        </row>
        <row r="497">
          <cell r="A497">
            <v>95161</v>
          </cell>
          <cell r="B497" t="str">
            <v>TOWN OF PINE LEVEL</v>
          </cell>
          <cell r="C497">
            <v>7.1199999999999996E-5</v>
          </cell>
          <cell r="E497">
            <v>12756</v>
          </cell>
          <cell r="F497">
            <v>10450</v>
          </cell>
          <cell r="G497">
            <v>8484</v>
          </cell>
          <cell r="H497">
            <v>0</v>
          </cell>
          <cell r="I497">
            <v>0</v>
          </cell>
        </row>
        <row r="498">
          <cell r="A498">
            <v>95171</v>
          </cell>
          <cell r="B498" t="str">
            <v>TOWN OF KENLY</v>
          </cell>
          <cell r="C498">
            <v>1.089E-4</v>
          </cell>
          <cell r="E498">
            <v>19511</v>
          </cell>
          <cell r="F498">
            <v>15984</v>
          </cell>
          <cell r="G498">
            <v>12976</v>
          </cell>
          <cell r="H498">
            <v>0</v>
          </cell>
          <cell r="I498">
            <v>0</v>
          </cell>
        </row>
        <row r="499">
          <cell r="A499">
            <v>95181</v>
          </cell>
          <cell r="B499" t="str">
            <v>TOWN OF PRINCETON</v>
          </cell>
          <cell r="C499">
            <v>5.9700000000000001E-5</v>
          </cell>
          <cell r="E499">
            <v>10696</v>
          </cell>
          <cell r="F499">
            <v>8763</v>
          </cell>
          <cell r="G499">
            <v>7114</v>
          </cell>
          <cell r="H499">
            <v>0</v>
          </cell>
          <cell r="I499">
            <v>0</v>
          </cell>
        </row>
        <row r="500">
          <cell r="A500">
            <v>95191</v>
          </cell>
          <cell r="B500" t="str">
            <v>TOWN OF WILSON'S MILLS</v>
          </cell>
          <cell r="C500">
            <v>7.3800000000000005E-5</v>
          </cell>
          <cell r="E500">
            <v>13222</v>
          </cell>
          <cell r="F500">
            <v>10832</v>
          </cell>
          <cell r="G500">
            <v>8794</v>
          </cell>
          <cell r="H500">
            <v>0</v>
          </cell>
          <cell r="I500">
            <v>0</v>
          </cell>
        </row>
        <row r="501">
          <cell r="A501">
            <v>95201</v>
          </cell>
          <cell r="B501" t="str">
            <v>JONES COUNTY</v>
          </cell>
          <cell r="C501">
            <v>6.5070000000000004E-4</v>
          </cell>
          <cell r="E501">
            <v>116581</v>
          </cell>
          <cell r="F501">
            <v>95507</v>
          </cell>
          <cell r="G501">
            <v>77535</v>
          </cell>
          <cell r="H501">
            <v>0</v>
          </cell>
          <cell r="I501">
            <v>0</v>
          </cell>
        </row>
        <row r="502">
          <cell r="A502">
            <v>95204</v>
          </cell>
          <cell r="B502" t="str">
            <v>JONES COUNTY ABC BOARD</v>
          </cell>
          <cell r="C502">
            <v>5.6999999999999996E-6</v>
          </cell>
          <cell r="E502">
            <v>1021</v>
          </cell>
          <cell r="F502">
            <v>837</v>
          </cell>
          <cell r="G502">
            <v>679</v>
          </cell>
          <cell r="H502">
            <v>0</v>
          </cell>
          <cell r="I502">
            <v>0</v>
          </cell>
        </row>
        <row r="503">
          <cell r="A503">
            <v>95205</v>
          </cell>
          <cell r="B503" t="str">
            <v>NEUSE REGIONAL LIBRARY-JONES COUNTY</v>
          </cell>
          <cell r="C503">
            <v>2.7E-6</v>
          </cell>
          <cell r="E503">
            <v>484</v>
          </cell>
          <cell r="F503">
            <v>396</v>
          </cell>
          <cell r="G503">
            <v>322</v>
          </cell>
          <cell r="H503">
            <v>0</v>
          </cell>
          <cell r="I503">
            <v>0</v>
          </cell>
        </row>
        <row r="504">
          <cell r="A504">
            <v>95211</v>
          </cell>
          <cell r="B504" t="str">
            <v>TOWN OF POLLOCKSVILLE</v>
          </cell>
          <cell r="C504">
            <v>5.1000000000000003E-6</v>
          </cell>
          <cell r="E504">
            <v>914</v>
          </cell>
          <cell r="F504">
            <v>749</v>
          </cell>
          <cell r="G504">
            <v>608</v>
          </cell>
          <cell r="H504">
            <v>0</v>
          </cell>
          <cell r="I504">
            <v>0</v>
          </cell>
        </row>
        <row r="505">
          <cell r="A505">
            <v>95221</v>
          </cell>
          <cell r="B505" t="str">
            <v>TOWN OF MAYSVILLE</v>
          </cell>
          <cell r="C505">
            <v>5.4400000000000001E-5</v>
          </cell>
          <cell r="E505">
            <v>9746</v>
          </cell>
          <cell r="F505">
            <v>7985</v>
          </cell>
          <cell r="G505">
            <v>6482</v>
          </cell>
          <cell r="H505">
            <v>0</v>
          </cell>
          <cell r="I505">
            <v>0</v>
          </cell>
        </row>
        <row r="506">
          <cell r="A506">
            <v>95301</v>
          </cell>
          <cell r="B506" t="str">
            <v>LEE COUNTY</v>
          </cell>
          <cell r="C506">
            <v>2.1561000000000002E-3</v>
          </cell>
          <cell r="E506">
            <v>386291</v>
          </cell>
          <cell r="F506">
            <v>316464</v>
          </cell>
          <cell r="G506">
            <v>256914</v>
          </cell>
          <cell r="H506">
            <v>0</v>
          </cell>
          <cell r="I506">
            <v>0</v>
          </cell>
        </row>
        <row r="507">
          <cell r="A507">
            <v>95311</v>
          </cell>
          <cell r="B507" t="str">
            <v>CITY OF SANFORD</v>
          </cell>
          <cell r="C507">
            <v>2.578E-3</v>
          </cell>
          <cell r="E507">
            <v>461880</v>
          </cell>
          <cell r="F507">
            <v>378389</v>
          </cell>
          <cell r="G507">
            <v>307187</v>
          </cell>
          <cell r="H507">
            <v>0</v>
          </cell>
          <cell r="I507">
            <v>0</v>
          </cell>
        </row>
        <row r="508">
          <cell r="A508">
            <v>95317</v>
          </cell>
          <cell r="B508" t="str">
            <v>SANFORD ABC BOARD</v>
          </cell>
          <cell r="C508">
            <v>4.1999999999999998E-5</v>
          </cell>
          <cell r="E508">
            <v>7525</v>
          </cell>
          <cell r="F508">
            <v>6165</v>
          </cell>
          <cell r="G508">
            <v>5005</v>
          </cell>
          <cell r="H508">
            <v>0</v>
          </cell>
          <cell r="I508">
            <v>0</v>
          </cell>
        </row>
        <row r="509">
          <cell r="A509">
            <v>95321</v>
          </cell>
          <cell r="B509" t="str">
            <v>TOWN OF BROADWAY</v>
          </cell>
          <cell r="C509">
            <v>4.85E-5</v>
          </cell>
          <cell r="E509">
            <v>8689</v>
          </cell>
          <cell r="F509">
            <v>7119</v>
          </cell>
          <cell r="G509">
            <v>5779</v>
          </cell>
          <cell r="H509">
            <v>0</v>
          </cell>
          <cell r="I509">
            <v>0</v>
          </cell>
        </row>
        <row r="510">
          <cell r="A510">
            <v>95401</v>
          </cell>
          <cell r="B510" t="str">
            <v>LENOIR COUNTY</v>
          </cell>
          <cell r="C510">
            <v>2.9023E-3</v>
          </cell>
          <cell r="E510">
            <v>519982</v>
          </cell>
          <cell r="F510">
            <v>425988</v>
          </cell>
          <cell r="G510">
            <v>345829</v>
          </cell>
          <cell r="H510">
            <v>0</v>
          </cell>
          <cell r="I510">
            <v>0</v>
          </cell>
        </row>
        <row r="511">
          <cell r="A511">
            <v>95404</v>
          </cell>
          <cell r="B511" t="str">
            <v>LENOIR COUNTY ABC BOARD</v>
          </cell>
          <cell r="C511">
            <v>4.4799999999999998E-5</v>
          </cell>
          <cell r="E511">
            <v>8026</v>
          </cell>
          <cell r="F511">
            <v>6576</v>
          </cell>
          <cell r="G511">
            <v>5338</v>
          </cell>
          <cell r="H511">
            <v>0</v>
          </cell>
          <cell r="I511">
            <v>0</v>
          </cell>
        </row>
        <row r="512">
          <cell r="A512">
            <v>95405</v>
          </cell>
          <cell r="B512" t="str">
            <v>NEUSE REGIONAL LIBRARY</v>
          </cell>
          <cell r="C512">
            <v>3.3399999999999999E-5</v>
          </cell>
          <cell r="E512">
            <v>5984</v>
          </cell>
          <cell r="F512">
            <v>4902</v>
          </cell>
          <cell r="G512">
            <v>3980</v>
          </cell>
          <cell r="H512">
            <v>0</v>
          </cell>
          <cell r="I512">
            <v>0</v>
          </cell>
        </row>
        <row r="513">
          <cell r="A513">
            <v>95411</v>
          </cell>
          <cell r="B513" t="str">
            <v>CITY OF KINSTON</v>
          </cell>
          <cell r="C513">
            <v>2.0365000000000001E-3</v>
          </cell>
          <cell r="E513">
            <v>364863</v>
          </cell>
          <cell r="F513">
            <v>298909</v>
          </cell>
          <cell r="G513">
            <v>242663</v>
          </cell>
          <cell r="H513">
            <v>0</v>
          </cell>
          <cell r="I513">
            <v>0</v>
          </cell>
        </row>
        <row r="514">
          <cell r="A514">
            <v>95412</v>
          </cell>
          <cell r="B514" t="str">
            <v>GLOBAL TRANSPARK DEVELOPMENT COMM</v>
          </cell>
          <cell r="C514">
            <v>0</v>
          </cell>
          <cell r="E514">
            <v>0</v>
          </cell>
          <cell r="F514">
            <v>0</v>
          </cell>
          <cell r="G514">
            <v>0</v>
          </cell>
          <cell r="H514">
            <v>0</v>
          </cell>
          <cell r="I514">
            <v>0</v>
          </cell>
        </row>
        <row r="515">
          <cell r="A515">
            <v>95413</v>
          </cell>
          <cell r="B515" t="str">
            <v>HOUSING AUTH FOR THE CTY OF KINSTON</v>
          </cell>
          <cell r="C515">
            <v>2.4610000000000002E-4</v>
          </cell>
          <cell r="E515">
            <v>44092</v>
          </cell>
          <cell r="F515">
            <v>36122</v>
          </cell>
          <cell r="G515">
            <v>29325</v>
          </cell>
          <cell r="H515">
            <v>0</v>
          </cell>
          <cell r="I515">
            <v>0</v>
          </cell>
        </row>
        <row r="516">
          <cell r="A516">
            <v>95415</v>
          </cell>
          <cell r="B516" t="str">
            <v>KINSTON-LENOIR CO PUB LIBRARY</v>
          </cell>
          <cell r="C516">
            <v>5.7599999999999997E-5</v>
          </cell>
          <cell r="E516">
            <v>10320</v>
          </cell>
          <cell r="F516">
            <v>8454</v>
          </cell>
          <cell r="G516">
            <v>6863</v>
          </cell>
          <cell r="H516">
            <v>0</v>
          </cell>
          <cell r="I516">
            <v>0</v>
          </cell>
        </row>
        <row r="517">
          <cell r="A517">
            <v>95421</v>
          </cell>
          <cell r="B517" t="str">
            <v>TOWN OF PINK HILL</v>
          </cell>
          <cell r="C517">
            <v>3.6699999999999998E-5</v>
          </cell>
          <cell r="E517">
            <v>6575</v>
          </cell>
          <cell r="F517">
            <v>5387</v>
          </cell>
          <cell r="G517">
            <v>4373</v>
          </cell>
          <cell r="H517">
            <v>0</v>
          </cell>
          <cell r="I517">
            <v>0</v>
          </cell>
        </row>
        <row r="518">
          <cell r="A518">
            <v>95431</v>
          </cell>
          <cell r="B518" t="str">
            <v>TOWN OF LAGRANGE</v>
          </cell>
          <cell r="C518">
            <v>1.3689999999999999E-4</v>
          </cell>
          <cell r="E518">
            <v>24527</v>
          </cell>
          <cell r="F518">
            <v>20094</v>
          </cell>
          <cell r="G518">
            <v>16313</v>
          </cell>
          <cell r="H518">
            <v>0</v>
          </cell>
          <cell r="I518">
            <v>0</v>
          </cell>
        </row>
        <row r="519">
          <cell r="A519">
            <v>95501</v>
          </cell>
          <cell r="B519" t="str">
            <v>LINCOLN COUNTY</v>
          </cell>
          <cell r="C519">
            <v>5.0283999999999997E-3</v>
          </cell>
          <cell r="E519">
            <v>900898</v>
          </cell>
          <cell r="F519">
            <v>738048</v>
          </cell>
          <cell r="G519">
            <v>599169</v>
          </cell>
          <cell r="H519">
            <v>0</v>
          </cell>
          <cell r="I519">
            <v>0</v>
          </cell>
        </row>
        <row r="520">
          <cell r="A520">
            <v>95504</v>
          </cell>
          <cell r="B520" t="str">
            <v>LINCOLN COUNTY ABC BOARD</v>
          </cell>
          <cell r="C520">
            <v>1.49E-5</v>
          </cell>
          <cell r="E520">
            <v>2670</v>
          </cell>
          <cell r="F520">
            <v>2187</v>
          </cell>
          <cell r="G520">
            <v>1775</v>
          </cell>
          <cell r="H520">
            <v>0</v>
          </cell>
          <cell r="I520">
            <v>0</v>
          </cell>
        </row>
        <row r="521">
          <cell r="A521">
            <v>95511</v>
          </cell>
          <cell r="B521" t="str">
            <v>CITY OF LINCOLNTON</v>
          </cell>
          <cell r="C521">
            <v>9.4910000000000003E-4</v>
          </cell>
          <cell r="E521">
            <v>170043</v>
          </cell>
          <cell r="F521">
            <v>139305</v>
          </cell>
          <cell r="G521">
            <v>113092</v>
          </cell>
          <cell r="H521">
            <v>0</v>
          </cell>
          <cell r="I521">
            <v>0</v>
          </cell>
        </row>
        <row r="522">
          <cell r="A522">
            <v>95513</v>
          </cell>
          <cell r="B522" t="str">
            <v>LINCOLNTON HOUSING AUTHORITY</v>
          </cell>
          <cell r="C522">
            <v>3.9700000000000003E-5</v>
          </cell>
          <cell r="E522">
            <v>7113</v>
          </cell>
          <cell r="F522">
            <v>5827</v>
          </cell>
          <cell r="G522">
            <v>4731</v>
          </cell>
          <cell r="H522">
            <v>0</v>
          </cell>
          <cell r="I522">
            <v>0</v>
          </cell>
        </row>
        <row r="523">
          <cell r="A523">
            <v>95517</v>
          </cell>
          <cell r="B523" t="str">
            <v>TOWN OF LINCOLNTON ABC BOARD</v>
          </cell>
          <cell r="C523">
            <v>1.84E-5</v>
          </cell>
          <cell r="E523">
            <v>3297</v>
          </cell>
          <cell r="F523">
            <v>2701</v>
          </cell>
          <cell r="G523">
            <v>2192</v>
          </cell>
          <cell r="H523">
            <v>0</v>
          </cell>
          <cell r="I523">
            <v>0</v>
          </cell>
        </row>
        <row r="524">
          <cell r="A524">
            <v>95601</v>
          </cell>
          <cell r="B524" t="str">
            <v>MACON COUNTY</v>
          </cell>
          <cell r="C524">
            <v>2.4459999999999998E-3</v>
          </cell>
          <cell r="E524">
            <v>438230</v>
          </cell>
          <cell r="F524">
            <v>359014</v>
          </cell>
          <cell r="G524">
            <v>291458</v>
          </cell>
          <cell r="H524">
            <v>0</v>
          </cell>
          <cell r="I524">
            <v>0</v>
          </cell>
        </row>
        <row r="525">
          <cell r="A525">
            <v>95611</v>
          </cell>
          <cell r="B525" t="str">
            <v>TOWN OF FRANKLIN</v>
          </cell>
          <cell r="C525">
            <v>3.7889999999999999E-4</v>
          </cell>
          <cell r="E525">
            <v>67884</v>
          </cell>
          <cell r="F525">
            <v>55613</v>
          </cell>
          <cell r="G525">
            <v>45149</v>
          </cell>
          <cell r="H525">
            <v>0</v>
          </cell>
          <cell r="I525">
            <v>0</v>
          </cell>
        </row>
        <row r="526">
          <cell r="A526">
            <v>95617</v>
          </cell>
          <cell r="B526" t="str">
            <v>HIGHLANDS ABC BOARD</v>
          </cell>
          <cell r="C526">
            <v>1.49E-5</v>
          </cell>
          <cell r="E526">
            <v>2670</v>
          </cell>
          <cell r="F526">
            <v>2187</v>
          </cell>
          <cell r="G526">
            <v>1775</v>
          </cell>
          <cell r="H526">
            <v>0</v>
          </cell>
          <cell r="I526">
            <v>0</v>
          </cell>
        </row>
        <row r="527">
          <cell r="A527">
            <v>95621</v>
          </cell>
          <cell r="B527" t="str">
            <v>TOWN OF HIGHLANDS</v>
          </cell>
          <cell r="C527">
            <v>4.5750000000000001E-4</v>
          </cell>
          <cell r="E527">
            <v>81967</v>
          </cell>
          <cell r="F527">
            <v>67150</v>
          </cell>
          <cell r="G527">
            <v>54514</v>
          </cell>
          <cell r="H527">
            <v>0</v>
          </cell>
          <cell r="I527">
            <v>0</v>
          </cell>
        </row>
        <row r="528">
          <cell r="A528">
            <v>95701</v>
          </cell>
          <cell r="B528" t="str">
            <v>MADISON COUNTY</v>
          </cell>
          <cell r="C528">
            <v>1.2156000000000001E-3</v>
          </cell>
          <cell r="E528">
            <v>217789</v>
          </cell>
          <cell r="F528">
            <v>178421</v>
          </cell>
          <cell r="G528">
            <v>144847</v>
          </cell>
          <cell r="H528">
            <v>0</v>
          </cell>
          <cell r="I528">
            <v>0</v>
          </cell>
        </row>
        <row r="529">
          <cell r="A529">
            <v>95711</v>
          </cell>
          <cell r="B529" t="str">
            <v>TOWN OF MARS HILL</v>
          </cell>
          <cell r="C529">
            <v>1.4320000000000001E-4</v>
          </cell>
          <cell r="E529">
            <v>25656</v>
          </cell>
          <cell r="F529">
            <v>21018</v>
          </cell>
          <cell r="G529">
            <v>17063</v>
          </cell>
          <cell r="H529">
            <v>0</v>
          </cell>
          <cell r="I529">
            <v>0</v>
          </cell>
        </row>
        <row r="530">
          <cell r="A530">
            <v>95721</v>
          </cell>
          <cell r="B530" t="str">
            <v>TOWN OF MARSHALL</v>
          </cell>
          <cell r="C530">
            <v>6.58E-5</v>
          </cell>
          <cell r="E530">
            <v>11789</v>
          </cell>
          <cell r="F530">
            <v>9658</v>
          </cell>
          <cell r="G530">
            <v>7841</v>
          </cell>
          <cell r="H530">
            <v>0</v>
          </cell>
          <cell r="I530">
            <v>0</v>
          </cell>
        </row>
        <row r="531">
          <cell r="A531">
            <v>95733</v>
          </cell>
          <cell r="B531" t="str">
            <v>HOT SPRINGS HOUSING AUTHORITY</v>
          </cell>
          <cell r="C531">
            <v>1.43E-5</v>
          </cell>
          <cell r="E531">
            <v>2562</v>
          </cell>
          <cell r="F531">
            <v>2099</v>
          </cell>
          <cell r="G531">
            <v>1704</v>
          </cell>
          <cell r="H531">
            <v>0</v>
          </cell>
          <cell r="I531">
            <v>0</v>
          </cell>
        </row>
        <row r="532">
          <cell r="A532">
            <v>95801</v>
          </cell>
          <cell r="B532" t="str">
            <v>MARTIN COUNTY</v>
          </cell>
          <cell r="C532">
            <v>9.5739999999999996E-4</v>
          </cell>
          <cell r="E532">
            <v>171530</v>
          </cell>
          <cell r="F532">
            <v>140523</v>
          </cell>
          <cell r="G532">
            <v>114081</v>
          </cell>
          <cell r="H532">
            <v>0</v>
          </cell>
          <cell r="I532">
            <v>0</v>
          </cell>
        </row>
        <row r="533">
          <cell r="A533">
            <v>95802</v>
          </cell>
          <cell r="B533" t="str">
            <v>MARTIN CO TRAVEL &amp; TOURISM AUTH</v>
          </cell>
          <cell r="C533">
            <v>4.5000000000000001E-6</v>
          </cell>
          <cell r="E533">
            <v>806</v>
          </cell>
          <cell r="F533">
            <v>660</v>
          </cell>
          <cell r="G533">
            <v>536</v>
          </cell>
          <cell r="H533">
            <v>0</v>
          </cell>
          <cell r="I533">
            <v>0</v>
          </cell>
        </row>
        <row r="534">
          <cell r="A534">
            <v>95804</v>
          </cell>
          <cell r="B534" t="str">
            <v>MARTIN COUNTY ABC BOARD</v>
          </cell>
          <cell r="C534">
            <v>2.5999999999999998E-5</v>
          </cell>
          <cell r="E534">
            <v>4658</v>
          </cell>
          <cell r="F534">
            <v>3816</v>
          </cell>
          <cell r="G534">
            <v>3098</v>
          </cell>
          <cell r="H534">
            <v>0</v>
          </cell>
          <cell r="I534">
            <v>0</v>
          </cell>
        </row>
        <row r="535">
          <cell r="A535">
            <v>95811</v>
          </cell>
          <cell r="B535" t="str">
            <v>TOWN OF WILLIAMSTON</v>
          </cell>
          <cell r="C535">
            <v>5.287E-4</v>
          </cell>
          <cell r="E535">
            <v>94723</v>
          </cell>
          <cell r="F535">
            <v>77600</v>
          </cell>
          <cell r="G535">
            <v>62998</v>
          </cell>
          <cell r="H535">
            <v>0</v>
          </cell>
          <cell r="I535">
            <v>0</v>
          </cell>
        </row>
        <row r="536">
          <cell r="A536">
            <v>95813</v>
          </cell>
          <cell r="B536" t="str">
            <v>WILLIAMSTON HOUSING AUTHORITY</v>
          </cell>
          <cell r="C536">
            <v>4.4100000000000001E-5</v>
          </cell>
          <cell r="E536">
            <v>7901</v>
          </cell>
          <cell r="F536">
            <v>6473</v>
          </cell>
          <cell r="G536">
            <v>5255</v>
          </cell>
          <cell r="H536">
            <v>0</v>
          </cell>
          <cell r="I536">
            <v>0</v>
          </cell>
        </row>
        <row r="537">
          <cell r="A537">
            <v>95821</v>
          </cell>
          <cell r="B537" t="str">
            <v>TOWN OF OAK CITY</v>
          </cell>
          <cell r="C537">
            <v>6.3999999999999997E-6</v>
          </cell>
          <cell r="E537">
            <v>1147</v>
          </cell>
          <cell r="F537">
            <v>939</v>
          </cell>
          <cell r="G537">
            <v>763</v>
          </cell>
          <cell r="H537">
            <v>0</v>
          </cell>
          <cell r="I537">
            <v>0</v>
          </cell>
        </row>
        <row r="538">
          <cell r="A538">
            <v>95831</v>
          </cell>
          <cell r="B538" t="str">
            <v>TOWN OF HAMILTON</v>
          </cell>
          <cell r="C538">
            <v>1.9899999999999999E-5</v>
          </cell>
          <cell r="E538">
            <v>3565</v>
          </cell>
          <cell r="F538">
            <v>2921</v>
          </cell>
          <cell r="G538">
            <v>2371</v>
          </cell>
          <cell r="H538">
            <v>0</v>
          </cell>
          <cell r="I538">
            <v>0</v>
          </cell>
        </row>
        <row r="539">
          <cell r="A539">
            <v>95841</v>
          </cell>
          <cell r="B539" t="str">
            <v>TOWN OF JAMESVILLE</v>
          </cell>
          <cell r="C539">
            <v>2.58E-5</v>
          </cell>
          <cell r="E539">
            <v>4622</v>
          </cell>
          <cell r="F539">
            <v>3787</v>
          </cell>
          <cell r="G539">
            <v>3074</v>
          </cell>
          <cell r="H539">
            <v>0</v>
          </cell>
          <cell r="I539">
            <v>0</v>
          </cell>
        </row>
        <row r="540">
          <cell r="A540">
            <v>95851</v>
          </cell>
          <cell r="B540" t="str">
            <v>TOWN OF ROBERSONVILLE</v>
          </cell>
          <cell r="C540">
            <v>1.26E-4</v>
          </cell>
          <cell r="E540">
            <v>22574</v>
          </cell>
          <cell r="F540">
            <v>18494</v>
          </cell>
          <cell r="G540">
            <v>15014</v>
          </cell>
          <cell r="H540">
            <v>0</v>
          </cell>
          <cell r="I540">
            <v>0</v>
          </cell>
        </row>
        <row r="541">
          <cell r="A541">
            <v>95853</v>
          </cell>
          <cell r="B541" t="str">
            <v>ROBERSONVILLE HOUSING AUTHORITY</v>
          </cell>
          <cell r="C541">
            <v>3.0300000000000001E-5</v>
          </cell>
          <cell r="E541">
            <v>5429</v>
          </cell>
          <cell r="F541">
            <v>4447</v>
          </cell>
          <cell r="G541">
            <v>3610</v>
          </cell>
          <cell r="H541">
            <v>0</v>
          </cell>
          <cell r="I541">
            <v>0</v>
          </cell>
        </row>
        <row r="542">
          <cell r="A542">
            <v>95901</v>
          </cell>
          <cell r="B542" t="str">
            <v>MCDOWELL COUNTY</v>
          </cell>
          <cell r="C542">
            <v>1.9935E-3</v>
          </cell>
          <cell r="E542">
            <v>357159</v>
          </cell>
          <cell r="F542">
            <v>292598</v>
          </cell>
          <cell r="G542">
            <v>237539</v>
          </cell>
          <cell r="H542">
            <v>0</v>
          </cell>
          <cell r="I542">
            <v>0</v>
          </cell>
        </row>
        <row r="543">
          <cell r="A543">
            <v>95908</v>
          </cell>
          <cell r="B543" t="str">
            <v>PLEASANT GARDEN FIRE DEPT</v>
          </cell>
          <cell r="C543">
            <v>7.1500000000000003E-5</v>
          </cell>
          <cell r="E543">
            <v>12810</v>
          </cell>
          <cell r="F543">
            <v>10494</v>
          </cell>
          <cell r="G543">
            <v>8520</v>
          </cell>
          <cell r="H543">
            <v>0</v>
          </cell>
          <cell r="I543">
            <v>0</v>
          </cell>
        </row>
        <row r="544">
          <cell r="A544">
            <v>95911</v>
          </cell>
          <cell r="B544" t="str">
            <v>TOWN OF MARION</v>
          </cell>
          <cell r="C544">
            <v>5.6829999999999999E-4</v>
          </cell>
          <cell r="E544">
            <v>101818</v>
          </cell>
          <cell r="F544">
            <v>83413</v>
          </cell>
          <cell r="G544">
            <v>67717</v>
          </cell>
          <cell r="H544">
            <v>0</v>
          </cell>
          <cell r="I544">
            <v>0</v>
          </cell>
        </row>
        <row r="545">
          <cell r="A545">
            <v>95917</v>
          </cell>
          <cell r="B545" t="str">
            <v>MARION ABC BOARD</v>
          </cell>
          <cell r="C545">
            <v>1.8600000000000001E-5</v>
          </cell>
          <cell r="E545">
            <v>3332</v>
          </cell>
          <cell r="F545">
            <v>2730</v>
          </cell>
          <cell r="G545">
            <v>2216</v>
          </cell>
          <cell r="H545">
            <v>0</v>
          </cell>
          <cell r="I545">
            <v>0</v>
          </cell>
        </row>
        <row r="546">
          <cell r="A546">
            <v>95921</v>
          </cell>
          <cell r="B546" t="str">
            <v>TOWN OF OLD FORT</v>
          </cell>
          <cell r="C546">
            <v>5.4200000000000003E-5</v>
          </cell>
          <cell r="E546">
            <v>9711</v>
          </cell>
          <cell r="F546">
            <v>7955</v>
          </cell>
          <cell r="G546">
            <v>6458</v>
          </cell>
          <cell r="H546">
            <v>0</v>
          </cell>
          <cell r="I546">
            <v>0</v>
          </cell>
        </row>
        <row r="547">
          <cell r="A547">
            <v>96001</v>
          </cell>
          <cell r="B547" t="str">
            <v>MECKLENBURG COUNTY</v>
          </cell>
          <cell r="C547">
            <v>4.3367500000000003E-2</v>
          </cell>
          <cell r="E547">
            <v>7769808</v>
          </cell>
          <cell r="F547">
            <v>6365308</v>
          </cell>
          <cell r="G547">
            <v>5167541</v>
          </cell>
          <cell r="H547">
            <v>0</v>
          </cell>
          <cell r="I547">
            <v>0</v>
          </cell>
        </row>
        <row r="548">
          <cell r="A548">
            <v>96003</v>
          </cell>
          <cell r="B548" t="str">
            <v>CHARLOTTE HOUSING AUTHORITY</v>
          </cell>
          <cell r="C548">
            <v>1.6620000000000001E-3</v>
          </cell>
          <cell r="E548">
            <v>297767</v>
          </cell>
          <cell r="F548">
            <v>243942</v>
          </cell>
          <cell r="G548">
            <v>198039</v>
          </cell>
          <cell r="H548">
            <v>0</v>
          </cell>
          <cell r="I548">
            <v>0</v>
          </cell>
        </row>
        <row r="549">
          <cell r="A549">
            <v>96004</v>
          </cell>
          <cell r="B549" t="str">
            <v>MECKLENBURG COUNTY ABC BOARD</v>
          </cell>
          <cell r="C549">
            <v>9.3959999999999996E-4</v>
          </cell>
          <cell r="E549">
            <v>168341</v>
          </cell>
          <cell r="F549">
            <v>137911</v>
          </cell>
          <cell r="G549">
            <v>111960</v>
          </cell>
          <cell r="H549">
            <v>0</v>
          </cell>
          <cell r="I549">
            <v>0</v>
          </cell>
        </row>
        <row r="550">
          <cell r="A550">
            <v>96005</v>
          </cell>
          <cell r="B550" t="str">
            <v>CHARLOTTE MECKLENBURG PUBLIC LIBRARY</v>
          </cell>
          <cell r="C550">
            <v>2.4467E-3</v>
          </cell>
          <cell r="E550">
            <v>438356</v>
          </cell>
          <cell r="F550">
            <v>359117</v>
          </cell>
          <cell r="G550">
            <v>291541</v>
          </cell>
          <cell r="H550">
            <v>0</v>
          </cell>
          <cell r="I550">
            <v>0</v>
          </cell>
        </row>
        <row r="551">
          <cell r="A551">
            <v>96008</v>
          </cell>
          <cell r="B551" t="str">
            <v>MECKLENBURG EMER MED SVCS AGCY</v>
          </cell>
          <cell r="C551">
            <v>6.1741000000000001E-3</v>
          </cell>
          <cell r="E551">
            <v>1106164</v>
          </cell>
          <cell r="F551">
            <v>906210</v>
          </cell>
          <cell r="G551">
            <v>735687</v>
          </cell>
          <cell r="H551">
            <v>0</v>
          </cell>
          <cell r="I551">
            <v>0</v>
          </cell>
        </row>
        <row r="552">
          <cell r="A552">
            <v>96009</v>
          </cell>
          <cell r="B552" t="str">
            <v>CENTRALINA COUNCIL OF GOVERNMENTS</v>
          </cell>
          <cell r="C552">
            <v>3.5409999999999999E-4</v>
          </cell>
          <cell r="E552">
            <v>63441</v>
          </cell>
          <cell r="F552">
            <v>51973</v>
          </cell>
          <cell r="G552">
            <v>42193</v>
          </cell>
          <cell r="H552">
            <v>0</v>
          </cell>
          <cell r="I552">
            <v>0</v>
          </cell>
        </row>
        <row r="553">
          <cell r="A553">
            <v>96011</v>
          </cell>
          <cell r="B553" t="str">
            <v>CITY OF CHARLOTTE</v>
          </cell>
          <cell r="C553">
            <v>6.3204399999999994E-2</v>
          </cell>
          <cell r="E553">
            <v>11323827</v>
          </cell>
          <cell r="F553">
            <v>9276889</v>
          </cell>
          <cell r="G553">
            <v>7531247</v>
          </cell>
          <cell r="H553">
            <v>0</v>
          </cell>
          <cell r="I553">
            <v>0</v>
          </cell>
        </row>
        <row r="554">
          <cell r="A554">
            <v>96012</v>
          </cell>
          <cell r="B554" t="str">
            <v>CHARLOTTE REGIONAL VISITORS AUTHORITY</v>
          </cell>
          <cell r="C554">
            <v>2.5593E-3</v>
          </cell>
          <cell r="E554">
            <v>458529</v>
          </cell>
          <cell r="F554">
            <v>375644</v>
          </cell>
          <cell r="G554">
            <v>304959</v>
          </cell>
          <cell r="H554">
            <v>0</v>
          </cell>
          <cell r="I554">
            <v>0</v>
          </cell>
        </row>
        <row r="555">
          <cell r="A555">
            <v>96018</v>
          </cell>
          <cell r="B555" t="str">
            <v>CHARLOTTE FIREMEN'S RET SYS</v>
          </cell>
          <cell r="C555">
            <v>3.4199999999999998E-5</v>
          </cell>
          <cell r="E555">
            <v>6127</v>
          </cell>
          <cell r="F555">
            <v>5020</v>
          </cell>
          <cell r="G555">
            <v>4075</v>
          </cell>
          <cell r="H555">
            <v>0</v>
          </cell>
          <cell r="I555">
            <v>0</v>
          </cell>
        </row>
        <row r="556">
          <cell r="A556">
            <v>96021</v>
          </cell>
          <cell r="B556" t="str">
            <v>TOWN OF PINEVILLE</v>
          </cell>
          <cell r="C556">
            <v>7.7490000000000002E-4</v>
          </cell>
          <cell r="E556">
            <v>138833</v>
          </cell>
          <cell r="F556">
            <v>113737</v>
          </cell>
          <cell r="G556">
            <v>92335</v>
          </cell>
          <cell r="H556">
            <v>0</v>
          </cell>
          <cell r="I556">
            <v>0</v>
          </cell>
        </row>
        <row r="557">
          <cell r="A557">
            <v>96031</v>
          </cell>
          <cell r="B557" t="str">
            <v>TOWN OF MINT HILL</v>
          </cell>
          <cell r="C557">
            <v>8.3790000000000004E-4</v>
          </cell>
          <cell r="E557">
            <v>150120</v>
          </cell>
          <cell r="F557">
            <v>122984</v>
          </cell>
          <cell r="G557">
            <v>99842</v>
          </cell>
          <cell r="H557">
            <v>0</v>
          </cell>
          <cell r="I557">
            <v>0</v>
          </cell>
        </row>
        <row r="558">
          <cell r="A558">
            <v>96041</v>
          </cell>
          <cell r="B558" t="str">
            <v>TOWN OF HUNTERSVILLE</v>
          </cell>
          <cell r="C558">
            <v>1.7466000000000001E-3</v>
          </cell>
          <cell r="E558">
            <v>312924</v>
          </cell>
          <cell r="F558">
            <v>256359</v>
          </cell>
          <cell r="G558">
            <v>208120</v>
          </cell>
          <cell r="H558">
            <v>0</v>
          </cell>
          <cell r="I558">
            <v>0</v>
          </cell>
        </row>
        <row r="559">
          <cell r="A559">
            <v>96051</v>
          </cell>
          <cell r="B559" t="str">
            <v>TOWN OF CORNELIUS</v>
          </cell>
          <cell r="C559">
            <v>9.6909999999999997E-4</v>
          </cell>
          <cell r="E559">
            <v>173626</v>
          </cell>
          <cell r="F559">
            <v>142241</v>
          </cell>
          <cell r="G559">
            <v>115475</v>
          </cell>
          <cell r="H559">
            <v>0</v>
          </cell>
          <cell r="I559">
            <v>0</v>
          </cell>
        </row>
        <row r="560">
          <cell r="A560">
            <v>96061</v>
          </cell>
          <cell r="B560" t="str">
            <v>TOWN OF STALLINGS</v>
          </cell>
          <cell r="C560">
            <v>3.4220000000000002E-4</v>
          </cell>
          <cell r="E560">
            <v>61309</v>
          </cell>
          <cell r="F560">
            <v>50227</v>
          </cell>
          <cell r="G560">
            <v>40776</v>
          </cell>
          <cell r="H560">
            <v>0</v>
          </cell>
          <cell r="I560">
            <v>0</v>
          </cell>
        </row>
        <row r="561">
          <cell r="A561">
            <v>96071</v>
          </cell>
          <cell r="B561" t="str">
            <v>TOWN OF MATTHEWS</v>
          </cell>
          <cell r="C561">
            <v>1.3016E-3</v>
          </cell>
          <cell r="E561">
            <v>233197</v>
          </cell>
          <cell r="F561">
            <v>191044</v>
          </cell>
          <cell r="G561">
            <v>155095</v>
          </cell>
          <cell r="H561">
            <v>0</v>
          </cell>
          <cell r="I561">
            <v>0</v>
          </cell>
        </row>
        <row r="562">
          <cell r="A562">
            <v>96081</v>
          </cell>
          <cell r="B562" t="str">
            <v>TOWN OF DAVIDSON</v>
          </cell>
          <cell r="C562">
            <v>5.419E-4</v>
          </cell>
          <cell r="E562">
            <v>97088</v>
          </cell>
          <cell r="F562">
            <v>79538</v>
          </cell>
          <cell r="G562">
            <v>64571</v>
          </cell>
          <cell r="H562">
            <v>0</v>
          </cell>
          <cell r="I562">
            <v>0</v>
          </cell>
        </row>
        <row r="563">
          <cell r="A563">
            <v>96101</v>
          </cell>
          <cell r="B563" t="str">
            <v>MITCHELL COUNTY</v>
          </cell>
          <cell r="C563">
            <v>6.4729999999999996E-4</v>
          </cell>
          <cell r="E563">
            <v>115972</v>
          </cell>
          <cell r="F563">
            <v>95008</v>
          </cell>
          <cell r="G563">
            <v>77130</v>
          </cell>
          <cell r="H563">
            <v>0</v>
          </cell>
          <cell r="I563">
            <v>0</v>
          </cell>
        </row>
        <row r="564">
          <cell r="A564">
            <v>96102</v>
          </cell>
          <cell r="B564" t="str">
            <v>MITCHELL SOIL &amp; WATER CONSERVATION DIST</v>
          </cell>
          <cell r="C564">
            <v>1.1600000000000001E-5</v>
          </cell>
          <cell r="E564">
            <v>2078</v>
          </cell>
          <cell r="F564">
            <v>1703</v>
          </cell>
          <cell r="G564">
            <v>1382</v>
          </cell>
          <cell r="H564">
            <v>0</v>
          </cell>
          <cell r="I564">
            <v>0</v>
          </cell>
        </row>
        <row r="565">
          <cell r="A565">
            <v>96111</v>
          </cell>
          <cell r="B565" t="str">
            <v>TOWN OF SPRUCE PINE</v>
          </cell>
          <cell r="C565">
            <v>1.5809999999999999E-4</v>
          </cell>
          <cell r="E565">
            <v>28326</v>
          </cell>
          <cell r="F565">
            <v>23205</v>
          </cell>
          <cell r="G565">
            <v>18839</v>
          </cell>
          <cell r="H565">
            <v>0</v>
          </cell>
          <cell r="I565">
            <v>0</v>
          </cell>
        </row>
        <row r="566">
          <cell r="A566">
            <v>96121</v>
          </cell>
          <cell r="B566" t="str">
            <v>TOWN OF BAKERSVILLE</v>
          </cell>
          <cell r="C566">
            <v>2.4300000000000001E-5</v>
          </cell>
          <cell r="E566">
            <v>4354</v>
          </cell>
          <cell r="F566">
            <v>3567</v>
          </cell>
          <cell r="G566">
            <v>2896</v>
          </cell>
          <cell r="H566">
            <v>0</v>
          </cell>
          <cell r="I566">
            <v>0</v>
          </cell>
        </row>
        <row r="567">
          <cell r="A567">
            <v>96201</v>
          </cell>
          <cell r="B567" t="str">
            <v>MONTGOMERY COUNTY</v>
          </cell>
          <cell r="C567">
            <v>1.0575000000000001E-3</v>
          </cell>
          <cell r="E567">
            <v>189464</v>
          </cell>
          <cell r="F567">
            <v>155216</v>
          </cell>
          <cell r="G567">
            <v>126009</v>
          </cell>
          <cell r="H567">
            <v>0</v>
          </cell>
          <cell r="I567">
            <v>0</v>
          </cell>
        </row>
        <row r="568">
          <cell r="A568">
            <v>96204</v>
          </cell>
          <cell r="B568" t="str">
            <v>MONTGOMERY-MUNICIPAL ABC BOARD</v>
          </cell>
          <cell r="C568">
            <v>1.42E-5</v>
          </cell>
          <cell r="E568">
            <v>2544</v>
          </cell>
          <cell r="F568">
            <v>2084</v>
          </cell>
          <cell r="G568">
            <v>1692</v>
          </cell>
          <cell r="H568">
            <v>0</v>
          </cell>
          <cell r="I568">
            <v>0</v>
          </cell>
        </row>
        <row r="569">
          <cell r="A569">
            <v>96211</v>
          </cell>
          <cell r="B569" t="str">
            <v>TOWN OF STAR</v>
          </cell>
          <cell r="C569">
            <v>2.4000000000000001E-5</v>
          </cell>
          <cell r="E569">
            <v>4300</v>
          </cell>
          <cell r="F569">
            <v>3523</v>
          </cell>
          <cell r="G569">
            <v>2860</v>
          </cell>
          <cell r="H569">
            <v>0</v>
          </cell>
          <cell r="I569">
            <v>0</v>
          </cell>
        </row>
        <row r="570">
          <cell r="A570">
            <v>96221</v>
          </cell>
          <cell r="B570" t="str">
            <v>TOWN OF TROY</v>
          </cell>
          <cell r="C570">
            <v>2.141E-4</v>
          </cell>
          <cell r="E570">
            <v>38359</v>
          </cell>
          <cell r="F570">
            <v>31425</v>
          </cell>
          <cell r="G570">
            <v>25512</v>
          </cell>
          <cell r="H570">
            <v>0</v>
          </cell>
          <cell r="I570">
            <v>0</v>
          </cell>
        </row>
        <row r="571">
          <cell r="A571">
            <v>96231</v>
          </cell>
          <cell r="B571" t="str">
            <v>TOWN OF BISCOE</v>
          </cell>
          <cell r="C571">
            <v>1.2349999999999999E-4</v>
          </cell>
          <cell r="E571">
            <v>22127</v>
          </cell>
          <cell r="F571">
            <v>18127</v>
          </cell>
          <cell r="G571">
            <v>14716</v>
          </cell>
          <cell r="H571">
            <v>0</v>
          </cell>
          <cell r="I571">
            <v>0</v>
          </cell>
        </row>
        <row r="572">
          <cell r="A572">
            <v>96241</v>
          </cell>
          <cell r="B572" t="str">
            <v>TOWN OF CANDOR</v>
          </cell>
          <cell r="C572">
            <v>6.4499999999999996E-5</v>
          </cell>
          <cell r="E572">
            <v>11556</v>
          </cell>
          <cell r="F572">
            <v>9467</v>
          </cell>
          <cell r="G572">
            <v>7686</v>
          </cell>
          <cell r="H572">
            <v>0</v>
          </cell>
          <cell r="I572">
            <v>0</v>
          </cell>
        </row>
        <row r="573">
          <cell r="A573">
            <v>96251</v>
          </cell>
          <cell r="B573" t="str">
            <v>TOWN OF MOUNT GILEAD</v>
          </cell>
          <cell r="C573">
            <v>1.004E-4</v>
          </cell>
          <cell r="E573">
            <v>17988</v>
          </cell>
          <cell r="F573">
            <v>14736</v>
          </cell>
          <cell r="G573">
            <v>11963</v>
          </cell>
          <cell r="H573">
            <v>0</v>
          </cell>
          <cell r="I573">
            <v>0</v>
          </cell>
        </row>
        <row r="574">
          <cell r="A574">
            <v>96301</v>
          </cell>
          <cell r="B574" t="str">
            <v>MOORE COUNTY</v>
          </cell>
          <cell r="C574">
            <v>4.6904E-3</v>
          </cell>
          <cell r="E574">
            <v>840341</v>
          </cell>
          <cell r="F574">
            <v>688438</v>
          </cell>
          <cell r="G574">
            <v>558894</v>
          </cell>
          <cell r="H574">
            <v>0</v>
          </cell>
          <cell r="I574">
            <v>0</v>
          </cell>
        </row>
        <row r="575">
          <cell r="A575">
            <v>96302</v>
          </cell>
          <cell r="B575" t="str">
            <v>TOWN OF TAYLORTOWN</v>
          </cell>
          <cell r="C575">
            <v>2.3600000000000001E-5</v>
          </cell>
          <cell r="E575">
            <v>4228</v>
          </cell>
          <cell r="F575">
            <v>3464</v>
          </cell>
          <cell r="G575">
            <v>2812</v>
          </cell>
          <cell r="H575">
            <v>0</v>
          </cell>
          <cell r="I575">
            <v>0</v>
          </cell>
        </row>
        <row r="576">
          <cell r="A576">
            <v>96304</v>
          </cell>
          <cell r="B576" t="str">
            <v>MOORE COUNTY ABC BOARD</v>
          </cell>
          <cell r="C576">
            <v>4.3900000000000003E-5</v>
          </cell>
          <cell r="E576">
            <v>7865</v>
          </cell>
          <cell r="F576">
            <v>6443</v>
          </cell>
          <cell r="G576">
            <v>5231</v>
          </cell>
          <cell r="H576">
            <v>0</v>
          </cell>
          <cell r="I576">
            <v>0</v>
          </cell>
        </row>
        <row r="577">
          <cell r="A577">
            <v>96305</v>
          </cell>
          <cell r="B577" t="str">
            <v>MOORE COUNTY TOURISM DEVELOPMENT AUTHORITY</v>
          </cell>
          <cell r="C577">
            <v>4.1199999999999999E-5</v>
          </cell>
          <cell r="E577">
            <v>7381</v>
          </cell>
          <cell r="F577">
            <v>6047</v>
          </cell>
          <cell r="G577">
            <v>4909</v>
          </cell>
          <cell r="H577">
            <v>0</v>
          </cell>
          <cell r="I577">
            <v>0</v>
          </cell>
        </row>
        <row r="578">
          <cell r="A578">
            <v>96310</v>
          </cell>
          <cell r="B578" t="str">
            <v>MOORE COUNTY AIRPORT AUTHORITY</v>
          </cell>
          <cell r="C578">
            <v>4.49E-5</v>
          </cell>
          <cell r="E578">
            <v>8044</v>
          </cell>
          <cell r="F578">
            <v>6590</v>
          </cell>
          <cell r="G578">
            <v>5350</v>
          </cell>
          <cell r="H578">
            <v>0</v>
          </cell>
          <cell r="I578">
            <v>0</v>
          </cell>
        </row>
        <row r="579">
          <cell r="A579">
            <v>96311</v>
          </cell>
          <cell r="B579" t="str">
            <v>TOWN OF SOUTHERN PINES</v>
          </cell>
          <cell r="C579">
            <v>1.3112E-3</v>
          </cell>
          <cell r="E579">
            <v>234917</v>
          </cell>
          <cell r="F579">
            <v>192453</v>
          </cell>
          <cell r="G579">
            <v>156239</v>
          </cell>
          <cell r="H579">
            <v>0</v>
          </cell>
          <cell r="I579">
            <v>0</v>
          </cell>
        </row>
        <row r="580">
          <cell r="A580">
            <v>96312</v>
          </cell>
          <cell r="B580" t="str">
            <v>TOWN OF CAMERON</v>
          </cell>
          <cell r="C580">
            <v>5.8000000000000004E-6</v>
          </cell>
          <cell r="E580">
            <v>1039</v>
          </cell>
          <cell r="F580">
            <v>851</v>
          </cell>
          <cell r="G580">
            <v>691</v>
          </cell>
          <cell r="H580">
            <v>0</v>
          </cell>
          <cell r="I580">
            <v>0</v>
          </cell>
        </row>
        <row r="581">
          <cell r="A581">
            <v>96318</v>
          </cell>
          <cell r="B581" t="str">
            <v>SANDHILLS CENTER</v>
          </cell>
          <cell r="C581">
            <v>2.2319000000000002E-3</v>
          </cell>
          <cell r="E581">
            <v>399872</v>
          </cell>
          <cell r="F581">
            <v>327589</v>
          </cell>
          <cell r="G581">
            <v>265947</v>
          </cell>
          <cell r="H581">
            <v>0</v>
          </cell>
          <cell r="I581">
            <v>0</v>
          </cell>
        </row>
        <row r="582">
          <cell r="A582">
            <v>96321</v>
          </cell>
          <cell r="B582" t="str">
            <v>TOWN OF VASS</v>
          </cell>
          <cell r="C582">
            <v>3.65E-5</v>
          </cell>
          <cell r="E582">
            <v>6539</v>
          </cell>
          <cell r="F582">
            <v>5357</v>
          </cell>
          <cell r="G582">
            <v>4349</v>
          </cell>
          <cell r="H582">
            <v>0</v>
          </cell>
          <cell r="I582">
            <v>0</v>
          </cell>
        </row>
        <row r="583">
          <cell r="A583">
            <v>96331</v>
          </cell>
          <cell r="B583" t="str">
            <v>TOWN OF ABERDEEN</v>
          </cell>
          <cell r="C583">
            <v>7.4430000000000004E-4</v>
          </cell>
          <cell r="E583">
            <v>133350</v>
          </cell>
          <cell r="F583">
            <v>109245</v>
          </cell>
          <cell r="G583">
            <v>88689</v>
          </cell>
          <cell r="H583">
            <v>0</v>
          </cell>
          <cell r="I583">
            <v>0</v>
          </cell>
        </row>
        <row r="584">
          <cell r="A584">
            <v>96341</v>
          </cell>
          <cell r="B584" t="str">
            <v>TOWN OF ROBBINS</v>
          </cell>
          <cell r="C584">
            <v>7.8200000000000003E-5</v>
          </cell>
          <cell r="E584">
            <v>14010</v>
          </cell>
          <cell r="F584">
            <v>11478</v>
          </cell>
          <cell r="G584">
            <v>9318</v>
          </cell>
          <cell r="H584">
            <v>0</v>
          </cell>
          <cell r="I584">
            <v>0</v>
          </cell>
        </row>
        <row r="585">
          <cell r="A585">
            <v>96351</v>
          </cell>
          <cell r="B585" t="str">
            <v>VILLAGE OF PINEHURST</v>
          </cell>
          <cell r="C585">
            <v>1.0093000000000001E-3</v>
          </cell>
          <cell r="E585">
            <v>180828</v>
          </cell>
          <cell r="F585">
            <v>148141</v>
          </cell>
          <cell r="G585">
            <v>120265</v>
          </cell>
          <cell r="H585">
            <v>0</v>
          </cell>
          <cell r="I585">
            <v>0</v>
          </cell>
        </row>
        <row r="586">
          <cell r="A586">
            <v>96361</v>
          </cell>
          <cell r="B586" t="str">
            <v>TOWN OF PINEBLUFF</v>
          </cell>
          <cell r="C586">
            <v>4.1100000000000003E-5</v>
          </cell>
          <cell r="E586">
            <v>7364</v>
          </cell>
          <cell r="F586">
            <v>6032</v>
          </cell>
          <cell r="G586">
            <v>4897</v>
          </cell>
          <cell r="H586">
            <v>0</v>
          </cell>
          <cell r="I586">
            <v>0</v>
          </cell>
        </row>
        <row r="587">
          <cell r="A587">
            <v>96371</v>
          </cell>
          <cell r="B587" t="str">
            <v>VILLAGE OF WHISPERING PINES</v>
          </cell>
          <cell r="C587">
            <v>1.5100000000000001E-4</v>
          </cell>
          <cell r="E587">
            <v>27053</v>
          </cell>
          <cell r="F587">
            <v>22163</v>
          </cell>
          <cell r="G587">
            <v>17993</v>
          </cell>
          <cell r="H587">
            <v>0</v>
          </cell>
          <cell r="I587">
            <v>0</v>
          </cell>
        </row>
        <row r="588">
          <cell r="A588">
            <v>96381</v>
          </cell>
          <cell r="B588" t="str">
            <v>FOXFIRE VILLAGE</v>
          </cell>
          <cell r="C588">
            <v>3.2799999999999998E-5</v>
          </cell>
          <cell r="E588">
            <v>5877</v>
          </cell>
          <cell r="F588">
            <v>4814</v>
          </cell>
          <cell r="G588">
            <v>3908</v>
          </cell>
          <cell r="H588">
            <v>0</v>
          </cell>
          <cell r="I588">
            <v>0</v>
          </cell>
        </row>
        <row r="589">
          <cell r="A589">
            <v>96391</v>
          </cell>
          <cell r="B589" t="str">
            <v>TOWN OF CARTHAGE</v>
          </cell>
          <cell r="C589">
            <v>2.0560000000000001E-4</v>
          </cell>
          <cell r="E589">
            <v>36836</v>
          </cell>
          <cell r="F589">
            <v>30177</v>
          </cell>
          <cell r="G589">
            <v>24499</v>
          </cell>
          <cell r="H589">
            <v>0</v>
          </cell>
          <cell r="I589">
            <v>0</v>
          </cell>
        </row>
        <row r="590">
          <cell r="A590">
            <v>96401</v>
          </cell>
          <cell r="B590" t="str">
            <v>NASH COUNTY</v>
          </cell>
          <cell r="C590">
            <v>4.3956000000000004E-3</v>
          </cell>
          <cell r="E590">
            <v>787524</v>
          </cell>
          <cell r="F590">
            <v>645169</v>
          </cell>
          <cell r="G590">
            <v>523767</v>
          </cell>
          <cell r="H590">
            <v>0</v>
          </cell>
          <cell r="I590">
            <v>0</v>
          </cell>
        </row>
        <row r="591">
          <cell r="A591">
            <v>96404</v>
          </cell>
          <cell r="B591" t="str">
            <v>NASH COUNTY ABC BOARD</v>
          </cell>
          <cell r="C591">
            <v>9.8300000000000004E-5</v>
          </cell>
          <cell r="E591">
            <v>17612</v>
          </cell>
          <cell r="F591">
            <v>14428</v>
          </cell>
          <cell r="G591">
            <v>11713</v>
          </cell>
          <cell r="H591">
            <v>0</v>
          </cell>
          <cell r="I591">
            <v>0</v>
          </cell>
        </row>
        <row r="592">
          <cell r="A592">
            <v>96405</v>
          </cell>
          <cell r="B592" t="str">
            <v>BRASWELL MEMORIAL LIBRARY</v>
          </cell>
          <cell r="C592">
            <v>1.4569999999999999E-4</v>
          </cell>
          <cell r="E592">
            <v>26104</v>
          </cell>
          <cell r="F592">
            <v>21385</v>
          </cell>
          <cell r="G592">
            <v>17361</v>
          </cell>
          <cell r="H592">
            <v>0</v>
          </cell>
          <cell r="I592">
            <v>0</v>
          </cell>
        </row>
        <row r="593">
          <cell r="A593">
            <v>96411</v>
          </cell>
          <cell r="B593" t="str">
            <v>TOWN OF SPRING HOPE</v>
          </cell>
          <cell r="C593">
            <v>7.0900000000000002E-5</v>
          </cell>
          <cell r="E593">
            <v>12703</v>
          </cell>
          <cell r="F593">
            <v>10406</v>
          </cell>
          <cell r="G593">
            <v>8448</v>
          </cell>
          <cell r="H593">
            <v>0</v>
          </cell>
          <cell r="I593">
            <v>0</v>
          </cell>
        </row>
        <row r="594">
          <cell r="A594">
            <v>96421</v>
          </cell>
          <cell r="B594" t="str">
            <v>TOWN OF NASHVILLE</v>
          </cell>
          <cell r="C594">
            <v>3.8010000000000002E-4</v>
          </cell>
          <cell r="E594">
            <v>68099</v>
          </cell>
          <cell r="F594">
            <v>55790</v>
          </cell>
          <cell r="G594">
            <v>45292</v>
          </cell>
          <cell r="H594">
            <v>0</v>
          </cell>
          <cell r="I594">
            <v>0</v>
          </cell>
        </row>
        <row r="595">
          <cell r="A595">
            <v>96431</v>
          </cell>
          <cell r="B595" t="str">
            <v>TOWN OF MIDDLESEX</v>
          </cell>
          <cell r="C595">
            <v>3.3599999999999997E-5</v>
          </cell>
          <cell r="E595">
            <v>6020</v>
          </cell>
          <cell r="F595">
            <v>4932</v>
          </cell>
          <cell r="G595">
            <v>4004</v>
          </cell>
          <cell r="H595">
            <v>0</v>
          </cell>
          <cell r="I595">
            <v>0</v>
          </cell>
        </row>
        <row r="596">
          <cell r="A596">
            <v>96441</v>
          </cell>
          <cell r="B596" t="str">
            <v>TOWN OF WHITAKERS</v>
          </cell>
          <cell r="C596">
            <v>1.8499999999999999E-5</v>
          </cell>
          <cell r="E596">
            <v>3314</v>
          </cell>
          <cell r="F596">
            <v>2715</v>
          </cell>
          <cell r="G596">
            <v>2204</v>
          </cell>
          <cell r="H596">
            <v>0</v>
          </cell>
          <cell r="I596">
            <v>0</v>
          </cell>
        </row>
        <row r="597">
          <cell r="A597">
            <v>96451</v>
          </cell>
          <cell r="B597" t="str">
            <v>TOWN OF BAILEY</v>
          </cell>
          <cell r="C597">
            <v>7.4000000000000003E-6</v>
          </cell>
          <cell r="E597">
            <v>1326</v>
          </cell>
          <cell r="F597">
            <v>1086</v>
          </cell>
          <cell r="G597">
            <v>882</v>
          </cell>
          <cell r="H597">
            <v>0</v>
          </cell>
          <cell r="I597">
            <v>0</v>
          </cell>
        </row>
        <row r="598">
          <cell r="A598">
            <v>96461</v>
          </cell>
          <cell r="B598" t="str">
            <v>TOWN OF SHARPSBURG</v>
          </cell>
          <cell r="C598">
            <v>1.361E-4</v>
          </cell>
          <cell r="E598">
            <v>24384</v>
          </cell>
          <cell r="F598">
            <v>19976</v>
          </cell>
          <cell r="G598">
            <v>16217</v>
          </cell>
          <cell r="H598">
            <v>0</v>
          </cell>
          <cell r="I598">
            <v>0</v>
          </cell>
        </row>
        <row r="599">
          <cell r="A599">
            <v>96501</v>
          </cell>
          <cell r="B599" t="str">
            <v>NEW HANOVER COUNTY</v>
          </cell>
          <cell r="C599">
            <v>1.46477E-2</v>
          </cell>
          <cell r="E599">
            <v>2624311</v>
          </cell>
          <cell r="F599">
            <v>2149931</v>
          </cell>
          <cell r="G599">
            <v>1745376</v>
          </cell>
          <cell r="H599">
            <v>0</v>
          </cell>
          <cell r="I599">
            <v>0</v>
          </cell>
        </row>
        <row r="600">
          <cell r="A600">
            <v>96502</v>
          </cell>
          <cell r="B600" t="str">
            <v>NEW HANOVER AIRPORT AUTH</v>
          </cell>
          <cell r="C600">
            <v>4.082E-4</v>
          </cell>
          <cell r="E600">
            <v>73134</v>
          </cell>
          <cell r="F600">
            <v>59914</v>
          </cell>
          <cell r="G600">
            <v>48640</v>
          </cell>
          <cell r="H600">
            <v>0</v>
          </cell>
          <cell r="I600">
            <v>0</v>
          </cell>
        </row>
        <row r="601">
          <cell r="A601">
            <v>96503</v>
          </cell>
          <cell r="B601" t="str">
            <v>HOUSING AUTH OF THE CITY OF WILMINGTON</v>
          </cell>
          <cell r="C601">
            <v>3.1940000000000001E-4</v>
          </cell>
          <cell r="E601">
            <v>57224</v>
          </cell>
          <cell r="F601">
            <v>46880</v>
          </cell>
          <cell r="G601">
            <v>38059</v>
          </cell>
          <cell r="H601">
            <v>0</v>
          </cell>
          <cell r="I601">
            <v>0</v>
          </cell>
        </row>
        <row r="602">
          <cell r="A602">
            <v>96504</v>
          </cell>
          <cell r="B602" t="str">
            <v>NEW HANOVER COUNTY ABC BOARD</v>
          </cell>
          <cell r="C602">
            <v>4.3649999999999998E-4</v>
          </cell>
          <cell r="E602">
            <v>78204</v>
          </cell>
          <cell r="F602">
            <v>64068</v>
          </cell>
          <cell r="G602">
            <v>52012</v>
          </cell>
          <cell r="H602">
            <v>0</v>
          </cell>
          <cell r="I602">
            <v>0</v>
          </cell>
        </row>
        <row r="603">
          <cell r="A603">
            <v>96507</v>
          </cell>
          <cell r="B603" t="str">
            <v>CAPE FEAR PUBLIC UTILITY AUTHORITY</v>
          </cell>
          <cell r="C603">
            <v>2.3281999999999999E-3</v>
          </cell>
          <cell r="E603">
            <v>417125</v>
          </cell>
          <cell r="F603">
            <v>341724</v>
          </cell>
          <cell r="G603">
            <v>277421</v>
          </cell>
          <cell r="H603">
            <v>0</v>
          </cell>
          <cell r="I603">
            <v>0</v>
          </cell>
        </row>
        <row r="604">
          <cell r="A604">
            <v>96508</v>
          </cell>
          <cell r="B604" t="str">
            <v>LOWER CAPE FEAR WATER &amp; SEWER AUTH</v>
          </cell>
          <cell r="C604">
            <v>5.9000000000000003E-6</v>
          </cell>
          <cell r="E604">
            <v>1057</v>
          </cell>
          <cell r="F604">
            <v>866</v>
          </cell>
          <cell r="G604">
            <v>703</v>
          </cell>
          <cell r="H604">
            <v>0</v>
          </cell>
          <cell r="I604">
            <v>0</v>
          </cell>
        </row>
        <row r="605">
          <cell r="A605">
            <v>96511</v>
          </cell>
          <cell r="B605" t="str">
            <v>TOWN OF WRIGHTSVILLE BEACH</v>
          </cell>
          <cell r="C605">
            <v>6.0519999999999997E-4</v>
          </cell>
          <cell r="E605">
            <v>108429</v>
          </cell>
          <cell r="F605">
            <v>88829</v>
          </cell>
          <cell r="G605">
            <v>72114</v>
          </cell>
          <cell r="H605">
            <v>0</v>
          </cell>
          <cell r="I605">
            <v>0</v>
          </cell>
        </row>
        <row r="606">
          <cell r="A606">
            <v>96512</v>
          </cell>
          <cell r="B606" t="str">
            <v>CAPE FEAR PUBLIC TRANSPORTATION AUTHORITY</v>
          </cell>
          <cell r="C606">
            <v>1.528E-4</v>
          </cell>
          <cell r="E606">
            <v>27376</v>
          </cell>
          <cell r="F606">
            <v>22427</v>
          </cell>
          <cell r="G606">
            <v>18207</v>
          </cell>
          <cell r="H606">
            <v>0</v>
          </cell>
          <cell r="I606">
            <v>0</v>
          </cell>
        </row>
        <row r="607">
          <cell r="A607">
            <v>96519</v>
          </cell>
          <cell r="B607" t="str">
            <v>COASTALCARE</v>
          </cell>
          <cell r="C607">
            <v>0</v>
          </cell>
          <cell r="E607">
            <v>0</v>
          </cell>
          <cell r="F607">
            <v>0</v>
          </cell>
          <cell r="G607">
            <v>0</v>
          </cell>
          <cell r="H607">
            <v>0</v>
          </cell>
          <cell r="I607">
            <v>0</v>
          </cell>
        </row>
        <row r="608">
          <cell r="A608">
            <v>96521</v>
          </cell>
          <cell r="B608" t="str">
            <v>TOWN OF CAROLINA BEACH</v>
          </cell>
          <cell r="C608">
            <v>9.3479999999999995E-4</v>
          </cell>
          <cell r="E608">
            <v>167481</v>
          </cell>
          <cell r="F608">
            <v>137206</v>
          </cell>
          <cell r="G608">
            <v>111388</v>
          </cell>
          <cell r="H608">
            <v>0</v>
          </cell>
          <cell r="I608">
            <v>0</v>
          </cell>
        </row>
        <row r="609">
          <cell r="A609">
            <v>96531</v>
          </cell>
          <cell r="B609" t="str">
            <v>CITY OF WILMINGTON</v>
          </cell>
          <cell r="C609">
            <v>8.6105999999999995E-3</v>
          </cell>
          <cell r="E609">
            <v>1542692</v>
          </cell>
          <cell r="F609">
            <v>1263829</v>
          </cell>
          <cell r="G609">
            <v>1026013</v>
          </cell>
          <cell r="H609">
            <v>0</v>
          </cell>
          <cell r="I609">
            <v>0</v>
          </cell>
        </row>
        <row r="610">
          <cell r="A610">
            <v>96541</v>
          </cell>
          <cell r="B610" t="str">
            <v>TOWN OF KURE BEACH</v>
          </cell>
          <cell r="C610">
            <v>3.8709999999999998E-4</v>
          </cell>
          <cell r="E610">
            <v>69354</v>
          </cell>
          <cell r="F610">
            <v>56817</v>
          </cell>
          <cell r="G610">
            <v>46126</v>
          </cell>
          <cell r="H610">
            <v>0</v>
          </cell>
          <cell r="I610">
            <v>0</v>
          </cell>
        </row>
        <row r="611">
          <cell r="A611">
            <v>96601</v>
          </cell>
          <cell r="B611" t="str">
            <v>NORTHAMPTON COUNTY</v>
          </cell>
          <cell r="C611">
            <v>1.7417999999999999E-3</v>
          </cell>
          <cell r="E611">
            <v>312064</v>
          </cell>
          <cell r="F611">
            <v>255654</v>
          </cell>
          <cell r="G611">
            <v>207548</v>
          </cell>
          <cell r="H611">
            <v>0</v>
          </cell>
          <cell r="I611">
            <v>0</v>
          </cell>
        </row>
        <row r="612">
          <cell r="A612">
            <v>96604</v>
          </cell>
          <cell r="B612" t="str">
            <v>NORTHAMPTON COUNTY ABC BOARD</v>
          </cell>
          <cell r="C612">
            <v>5.3000000000000001E-6</v>
          </cell>
          <cell r="E612">
            <v>950</v>
          </cell>
          <cell r="F612">
            <v>778</v>
          </cell>
          <cell r="G612">
            <v>632</v>
          </cell>
          <cell r="H612">
            <v>0</v>
          </cell>
          <cell r="I612">
            <v>0</v>
          </cell>
        </row>
        <row r="613">
          <cell r="A613">
            <v>96611</v>
          </cell>
          <cell r="B613" t="str">
            <v>TOWN OF RICH SQUARE</v>
          </cell>
          <cell r="C613">
            <v>1.3900000000000001E-5</v>
          </cell>
          <cell r="E613">
            <v>2490</v>
          </cell>
          <cell r="F613">
            <v>2040</v>
          </cell>
          <cell r="G613">
            <v>1656</v>
          </cell>
          <cell r="H613">
            <v>0</v>
          </cell>
          <cell r="I613">
            <v>0</v>
          </cell>
        </row>
        <row r="614">
          <cell r="A614">
            <v>96612</v>
          </cell>
          <cell r="B614" t="str">
            <v>CHOANOKE PUBLIC TRANSPORTATION AUTH</v>
          </cell>
          <cell r="C614">
            <v>5.5099999999999998E-5</v>
          </cell>
          <cell r="E614">
            <v>9872</v>
          </cell>
          <cell r="F614">
            <v>8087</v>
          </cell>
          <cell r="G614">
            <v>6566</v>
          </cell>
          <cell r="H614">
            <v>0</v>
          </cell>
          <cell r="I614">
            <v>0</v>
          </cell>
        </row>
        <row r="615">
          <cell r="A615">
            <v>96621</v>
          </cell>
          <cell r="B615" t="str">
            <v>TOWN OF WOODLAND</v>
          </cell>
          <cell r="C615">
            <v>2.09E-5</v>
          </cell>
          <cell r="E615">
            <v>3744</v>
          </cell>
          <cell r="F615">
            <v>3068</v>
          </cell>
          <cell r="G615">
            <v>2490</v>
          </cell>
          <cell r="H615">
            <v>0</v>
          </cell>
          <cell r="I615">
            <v>0</v>
          </cell>
        </row>
        <row r="616">
          <cell r="A616">
            <v>96631</v>
          </cell>
          <cell r="B616" t="str">
            <v>TOWN OF GARYSBURG</v>
          </cell>
          <cell r="C616">
            <v>2.1800000000000001E-5</v>
          </cell>
          <cell r="E616">
            <v>3906</v>
          </cell>
          <cell r="F616">
            <v>3200</v>
          </cell>
          <cell r="G616">
            <v>2598</v>
          </cell>
          <cell r="H616">
            <v>0</v>
          </cell>
          <cell r="I616">
            <v>0</v>
          </cell>
        </row>
        <row r="617">
          <cell r="A617">
            <v>96641</v>
          </cell>
          <cell r="B617" t="str">
            <v>TOWN OF CONWAY</v>
          </cell>
          <cell r="C617">
            <v>3.3800000000000002E-5</v>
          </cell>
          <cell r="E617">
            <v>6056</v>
          </cell>
          <cell r="F617">
            <v>4961</v>
          </cell>
          <cell r="G617">
            <v>4028</v>
          </cell>
          <cell r="H617">
            <v>0</v>
          </cell>
          <cell r="I617">
            <v>0</v>
          </cell>
        </row>
        <row r="618">
          <cell r="A618">
            <v>96651</v>
          </cell>
          <cell r="B618" t="str">
            <v>TOWN OF GASTON</v>
          </cell>
          <cell r="C618">
            <v>1.8499999999999999E-5</v>
          </cell>
          <cell r="E618">
            <v>3314</v>
          </cell>
          <cell r="F618">
            <v>2715</v>
          </cell>
          <cell r="G618">
            <v>2204</v>
          </cell>
          <cell r="H618">
            <v>0</v>
          </cell>
          <cell r="I618">
            <v>0</v>
          </cell>
        </row>
        <row r="619">
          <cell r="A619">
            <v>96661</v>
          </cell>
          <cell r="B619" t="str">
            <v>TOWN OF JACKSON</v>
          </cell>
          <cell r="C619">
            <v>1.8099999999999999E-5</v>
          </cell>
          <cell r="E619">
            <v>3243</v>
          </cell>
          <cell r="F619">
            <v>2657</v>
          </cell>
          <cell r="G619">
            <v>2157</v>
          </cell>
          <cell r="H619">
            <v>0</v>
          </cell>
          <cell r="I619">
            <v>0</v>
          </cell>
        </row>
        <row r="620">
          <cell r="A620">
            <v>96671</v>
          </cell>
          <cell r="B620" t="str">
            <v>TOWN OF SEVERN</v>
          </cell>
          <cell r="C620">
            <v>1.26E-5</v>
          </cell>
          <cell r="E620">
            <v>2257</v>
          </cell>
          <cell r="F620">
            <v>1849</v>
          </cell>
          <cell r="G620">
            <v>1501</v>
          </cell>
          <cell r="H620">
            <v>0</v>
          </cell>
          <cell r="I620">
            <v>0</v>
          </cell>
        </row>
        <row r="621">
          <cell r="A621">
            <v>96681</v>
          </cell>
          <cell r="B621" t="str">
            <v>TOWN OF SEABOARD</v>
          </cell>
          <cell r="C621">
            <v>2.2399999999999999E-5</v>
          </cell>
          <cell r="E621">
            <v>4013</v>
          </cell>
          <cell r="F621">
            <v>3288</v>
          </cell>
          <cell r="G621">
            <v>2669</v>
          </cell>
          <cell r="H621">
            <v>0</v>
          </cell>
          <cell r="I621">
            <v>0</v>
          </cell>
        </row>
        <row r="622">
          <cell r="A622">
            <v>96701</v>
          </cell>
          <cell r="B622" t="str">
            <v>ONSLOW COUNTY</v>
          </cell>
          <cell r="C622">
            <v>8.4864999999999993E-3</v>
          </cell>
          <cell r="E622">
            <v>1520458</v>
          </cell>
          <cell r="F622">
            <v>1245615</v>
          </cell>
          <cell r="G622">
            <v>1011226</v>
          </cell>
          <cell r="H622">
            <v>0</v>
          </cell>
          <cell r="I622">
            <v>0</v>
          </cell>
        </row>
        <row r="623">
          <cell r="A623">
            <v>96704</v>
          </cell>
          <cell r="B623" t="str">
            <v>ONSLOW COUNTY ABC BOARD</v>
          </cell>
          <cell r="C623">
            <v>1.873E-4</v>
          </cell>
          <cell r="E623">
            <v>33557</v>
          </cell>
          <cell r="F623">
            <v>27491</v>
          </cell>
          <cell r="G623">
            <v>22318</v>
          </cell>
          <cell r="H623">
            <v>0</v>
          </cell>
          <cell r="I623">
            <v>0</v>
          </cell>
        </row>
        <row r="624">
          <cell r="A624">
            <v>96708</v>
          </cell>
          <cell r="B624" t="str">
            <v>ONSLOW WATER &amp; SEWER AUTHORITY</v>
          </cell>
          <cell r="C624">
            <v>8.7410000000000005E-4</v>
          </cell>
          <cell r="E624">
            <v>156606</v>
          </cell>
          <cell r="F624">
            <v>128297</v>
          </cell>
          <cell r="G624">
            <v>104155</v>
          </cell>
          <cell r="H624">
            <v>0</v>
          </cell>
          <cell r="I624">
            <v>0</v>
          </cell>
        </row>
        <row r="625">
          <cell r="A625">
            <v>96711</v>
          </cell>
          <cell r="B625" t="str">
            <v>CITY OF JACKSONVILLE</v>
          </cell>
          <cell r="C625">
            <v>3.7919E-3</v>
          </cell>
          <cell r="E625">
            <v>679364</v>
          </cell>
          <cell r="F625">
            <v>556560</v>
          </cell>
          <cell r="G625">
            <v>451831</v>
          </cell>
          <cell r="H625">
            <v>0</v>
          </cell>
          <cell r="I625">
            <v>0</v>
          </cell>
        </row>
        <row r="626">
          <cell r="A626">
            <v>96721</v>
          </cell>
          <cell r="B626" t="str">
            <v>TOWN OF SWANSBORO</v>
          </cell>
          <cell r="C626">
            <v>2.1719999999999999E-4</v>
          </cell>
          <cell r="E626">
            <v>38914</v>
          </cell>
          <cell r="F626">
            <v>31880</v>
          </cell>
          <cell r="G626">
            <v>25881</v>
          </cell>
          <cell r="H626">
            <v>0</v>
          </cell>
          <cell r="I626">
            <v>0</v>
          </cell>
        </row>
        <row r="627">
          <cell r="A627">
            <v>96731</v>
          </cell>
          <cell r="B627" t="str">
            <v>TOWN OF HOLLY RIDGE</v>
          </cell>
          <cell r="C627">
            <v>1.763E-4</v>
          </cell>
          <cell r="E627">
            <v>31586</v>
          </cell>
          <cell r="F627">
            <v>25877</v>
          </cell>
          <cell r="G627">
            <v>21007</v>
          </cell>
          <cell r="H627">
            <v>0</v>
          </cell>
          <cell r="I627">
            <v>0</v>
          </cell>
        </row>
        <row r="628">
          <cell r="A628">
            <v>96733</v>
          </cell>
          <cell r="B628" t="str">
            <v>HOLLY RIDGE HOUSING AUTHORITY</v>
          </cell>
          <cell r="C628">
            <v>6.4999999999999996E-6</v>
          </cell>
          <cell r="E628">
            <v>1165</v>
          </cell>
          <cell r="F628">
            <v>954</v>
          </cell>
          <cell r="G628">
            <v>775</v>
          </cell>
          <cell r="H628">
            <v>0</v>
          </cell>
          <cell r="I628">
            <v>0</v>
          </cell>
        </row>
        <row r="629">
          <cell r="A629">
            <v>96741</v>
          </cell>
          <cell r="B629" t="str">
            <v>TOWN OF RICHLANDS</v>
          </cell>
          <cell r="C629">
            <v>9.6799999999999995E-5</v>
          </cell>
          <cell r="E629">
            <v>17343</v>
          </cell>
          <cell r="F629">
            <v>14208</v>
          </cell>
          <cell r="G629">
            <v>11534</v>
          </cell>
          <cell r="H629">
            <v>0</v>
          </cell>
          <cell r="I629">
            <v>0</v>
          </cell>
        </row>
        <row r="630">
          <cell r="A630">
            <v>96751</v>
          </cell>
          <cell r="B630" t="str">
            <v>TOWN OF N TOPSAIL BEACH</v>
          </cell>
          <cell r="C630">
            <v>3.054E-4</v>
          </cell>
          <cell r="E630">
            <v>54716</v>
          </cell>
          <cell r="F630">
            <v>44825</v>
          </cell>
          <cell r="G630">
            <v>36391</v>
          </cell>
          <cell r="H630">
            <v>0</v>
          </cell>
          <cell r="I630">
            <v>0</v>
          </cell>
        </row>
        <row r="631">
          <cell r="A631">
            <v>96801</v>
          </cell>
          <cell r="B631" t="str">
            <v>ORANGE COUNTY</v>
          </cell>
          <cell r="C631">
            <v>7.6207000000000002E-3</v>
          </cell>
          <cell r="E631">
            <v>1365340</v>
          </cell>
          <cell r="F631">
            <v>1118536</v>
          </cell>
          <cell r="G631">
            <v>908060</v>
          </cell>
          <cell r="H631">
            <v>0</v>
          </cell>
          <cell r="I631">
            <v>0</v>
          </cell>
        </row>
        <row r="632">
          <cell r="A632">
            <v>96804</v>
          </cell>
          <cell r="B632" t="str">
            <v>ORANGE COUNTY ABC BOARD</v>
          </cell>
          <cell r="C632">
            <v>2.4230000000000001E-4</v>
          </cell>
          <cell r="E632">
            <v>43411</v>
          </cell>
          <cell r="F632">
            <v>35564</v>
          </cell>
          <cell r="G632">
            <v>28872</v>
          </cell>
          <cell r="H632">
            <v>0</v>
          </cell>
          <cell r="I632">
            <v>0</v>
          </cell>
        </row>
        <row r="633">
          <cell r="A633">
            <v>96808</v>
          </cell>
          <cell r="B633" t="str">
            <v>ORANGE WATER AND SEWER AUTHORITY</v>
          </cell>
          <cell r="C633">
            <v>1.2175E-3</v>
          </cell>
          <cell r="E633">
            <v>218130</v>
          </cell>
          <cell r="F633">
            <v>178700</v>
          </cell>
          <cell r="G633">
            <v>145074</v>
          </cell>
          <cell r="H633">
            <v>0</v>
          </cell>
          <cell r="I633">
            <v>0</v>
          </cell>
        </row>
        <row r="634">
          <cell r="A634">
            <v>96811</v>
          </cell>
          <cell r="B634" t="str">
            <v>TOWN OF CHAPEL HILL</v>
          </cell>
          <cell r="C634">
            <v>5.8506000000000001E-3</v>
          </cell>
          <cell r="E634">
            <v>1048205</v>
          </cell>
          <cell r="F634">
            <v>858728</v>
          </cell>
          <cell r="G634">
            <v>697140</v>
          </cell>
          <cell r="H634">
            <v>0</v>
          </cell>
          <cell r="I634">
            <v>0</v>
          </cell>
        </row>
        <row r="635">
          <cell r="A635">
            <v>96821</v>
          </cell>
          <cell r="B635" t="str">
            <v>TOWN OF CARRBORO</v>
          </cell>
          <cell r="C635">
            <v>1.2505999999999999E-3</v>
          </cell>
          <cell r="E635">
            <v>224060</v>
          </cell>
          <cell r="F635">
            <v>183558</v>
          </cell>
          <cell r="G635">
            <v>149018</v>
          </cell>
          <cell r="H635">
            <v>0</v>
          </cell>
          <cell r="I635">
            <v>0</v>
          </cell>
        </row>
        <row r="636">
          <cell r="A636">
            <v>96831</v>
          </cell>
          <cell r="B636" t="str">
            <v>TOWN OF HILLSBOROUGH</v>
          </cell>
          <cell r="C636">
            <v>9.0549999999999995E-4</v>
          </cell>
          <cell r="E636">
            <v>162231</v>
          </cell>
          <cell r="F636">
            <v>132906</v>
          </cell>
          <cell r="G636">
            <v>107897</v>
          </cell>
          <cell r="H636">
            <v>0</v>
          </cell>
          <cell r="I636">
            <v>0</v>
          </cell>
        </row>
        <row r="637">
          <cell r="A637">
            <v>96901</v>
          </cell>
          <cell r="B637" t="str">
            <v>PAMLICO COUNTY</v>
          </cell>
          <cell r="C637">
            <v>9.5589999999999998E-4</v>
          </cell>
          <cell r="E637">
            <v>171261</v>
          </cell>
          <cell r="F637">
            <v>140303</v>
          </cell>
          <cell r="G637">
            <v>113902</v>
          </cell>
          <cell r="H637">
            <v>0</v>
          </cell>
          <cell r="I637">
            <v>0</v>
          </cell>
        </row>
        <row r="638">
          <cell r="A638">
            <v>96911</v>
          </cell>
          <cell r="B638" t="str">
            <v>TOWN OF BAYBORO</v>
          </cell>
          <cell r="C638">
            <v>2.3E-6</v>
          </cell>
          <cell r="E638">
            <v>412</v>
          </cell>
          <cell r="F638">
            <v>338</v>
          </cell>
          <cell r="G638">
            <v>274</v>
          </cell>
          <cell r="H638">
            <v>0</v>
          </cell>
          <cell r="I638">
            <v>0</v>
          </cell>
        </row>
        <row r="639">
          <cell r="A639">
            <v>96912</v>
          </cell>
          <cell r="B639" t="str">
            <v>TOWN OF ORIENTAL</v>
          </cell>
          <cell r="C639">
            <v>7.2000000000000002E-5</v>
          </cell>
          <cell r="E639">
            <v>12900</v>
          </cell>
          <cell r="F639">
            <v>10568</v>
          </cell>
          <cell r="G639">
            <v>8579</v>
          </cell>
          <cell r="H639">
            <v>0</v>
          </cell>
          <cell r="I639">
            <v>0</v>
          </cell>
        </row>
        <row r="640">
          <cell r="A640">
            <v>96918</v>
          </cell>
          <cell r="B640" t="str">
            <v>BAY RIVER METRO SEWERAGE DISTRICT</v>
          </cell>
          <cell r="C640">
            <v>2.9799999999999999E-5</v>
          </cell>
          <cell r="E640">
            <v>5339</v>
          </cell>
          <cell r="F640">
            <v>4374</v>
          </cell>
          <cell r="G640">
            <v>3551</v>
          </cell>
          <cell r="H640">
            <v>0</v>
          </cell>
          <cell r="I640">
            <v>0</v>
          </cell>
        </row>
        <row r="641">
          <cell r="A641">
            <v>97001</v>
          </cell>
          <cell r="B641" t="str">
            <v>PASQUOTANK COUNTY</v>
          </cell>
          <cell r="C641">
            <v>1.3541E-3</v>
          </cell>
          <cell r="E641">
            <v>242603</v>
          </cell>
          <cell r="F641">
            <v>198749</v>
          </cell>
          <cell r="G641">
            <v>161350</v>
          </cell>
          <cell r="H641">
            <v>0</v>
          </cell>
          <cell r="I641">
            <v>0</v>
          </cell>
        </row>
        <row r="642">
          <cell r="A642">
            <v>97002</v>
          </cell>
          <cell r="B642" t="str">
            <v>PASQUOTANK-CAMDEN AMBULANCE SERVICE</v>
          </cell>
          <cell r="C642">
            <v>5.04E-4</v>
          </cell>
          <cell r="E642">
            <v>90298</v>
          </cell>
          <cell r="F642">
            <v>73975</v>
          </cell>
          <cell r="G642">
            <v>60055</v>
          </cell>
          <cell r="H642">
            <v>0</v>
          </cell>
          <cell r="I642">
            <v>0</v>
          </cell>
        </row>
        <row r="643">
          <cell r="A643">
            <v>97004</v>
          </cell>
          <cell r="B643" t="str">
            <v>PASQUOTANK CO ABC BOARD</v>
          </cell>
          <cell r="C643">
            <v>1.5400000000000002E-5</v>
          </cell>
          <cell r="E643">
            <v>2759</v>
          </cell>
          <cell r="F643">
            <v>2260</v>
          </cell>
          <cell r="G643">
            <v>1835</v>
          </cell>
          <cell r="H643">
            <v>0</v>
          </cell>
          <cell r="I643">
            <v>0</v>
          </cell>
        </row>
        <row r="644">
          <cell r="A644">
            <v>97005</v>
          </cell>
          <cell r="B644" t="str">
            <v>EAST ALBEMARLE REGIONAL LIBRARY</v>
          </cell>
          <cell r="C644">
            <v>2.0100000000000001E-5</v>
          </cell>
          <cell r="E644">
            <v>3601</v>
          </cell>
          <cell r="F644">
            <v>2950</v>
          </cell>
          <cell r="G644">
            <v>2395</v>
          </cell>
          <cell r="H644">
            <v>0</v>
          </cell>
          <cell r="I644">
            <v>0</v>
          </cell>
        </row>
        <row r="645">
          <cell r="A645">
            <v>97008</v>
          </cell>
          <cell r="B645" t="str">
            <v>ALBEMARLE DISTRICT JAIL COMMISSION</v>
          </cell>
          <cell r="C645">
            <v>2.8699999999999998E-4</v>
          </cell>
          <cell r="E645">
            <v>51419</v>
          </cell>
          <cell r="F645">
            <v>42125</v>
          </cell>
          <cell r="G645">
            <v>34198</v>
          </cell>
          <cell r="H645">
            <v>0</v>
          </cell>
          <cell r="I645">
            <v>0</v>
          </cell>
        </row>
        <row r="646">
          <cell r="A646">
            <v>97010</v>
          </cell>
          <cell r="B646" t="str">
            <v>ALBEMARLE HOSPITAL AUTHORITY</v>
          </cell>
          <cell r="C646">
            <v>0</v>
          </cell>
          <cell r="E646">
            <v>0</v>
          </cell>
          <cell r="F646">
            <v>0</v>
          </cell>
          <cell r="G646">
            <v>0</v>
          </cell>
          <cell r="H646">
            <v>0</v>
          </cell>
          <cell r="I646">
            <v>0</v>
          </cell>
        </row>
        <row r="647">
          <cell r="A647">
            <v>97011</v>
          </cell>
          <cell r="B647" t="str">
            <v>ELIZABETH CITY</v>
          </cell>
          <cell r="C647">
            <v>1.8362999999999999E-3</v>
          </cell>
          <cell r="E647">
            <v>328995</v>
          </cell>
          <cell r="F647">
            <v>269525</v>
          </cell>
          <cell r="G647">
            <v>218808</v>
          </cell>
          <cell r="H647">
            <v>0</v>
          </cell>
          <cell r="I647">
            <v>0</v>
          </cell>
        </row>
        <row r="648">
          <cell r="A648">
            <v>97012</v>
          </cell>
          <cell r="B648" t="str">
            <v>ELIZABETH CITY-PASQUOTANK CO AIRPORT AUTH</v>
          </cell>
          <cell r="C648">
            <v>2.97E-5</v>
          </cell>
          <cell r="E648">
            <v>5321</v>
          </cell>
          <cell r="F648">
            <v>4359</v>
          </cell>
          <cell r="G648">
            <v>3539</v>
          </cell>
          <cell r="H648">
            <v>0</v>
          </cell>
          <cell r="I648">
            <v>0</v>
          </cell>
        </row>
        <row r="649">
          <cell r="A649">
            <v>97013</v>
          </cell>
          <cell r="B649" t="str">
            <v>ELIZABETH CITY PASQUOTANK COUNTY TDA</v>
          </cell>
          <cell r="C649">
            <v>9.0000000000000002E-6</v>
          </cell>
          <cell r="E649">
            <v>1612</v>
          </cell>
          <cell r="F649">
            <v>1321</v>
          </cell>
          <cell r="G649">
            <v>1072</v>
          </cell>
          <cell r="H649">
            <v>0</v>
          </cell>
          <cell r="I649">
            <v>0</v>
          </cell>
        </row>
        <row r="650">
          <cell r="A650">
            <v>97015</v>
          </cell>
          <cell r="B650" t="str">
            <v>PASQUOTANK-CAMDEN LIBRARY</v>
          </cell>
          <cell r="C650">
            <v>4.3900000000000003E-5</v>
          </cell>
          <cell r="E650">
            <v>7865</v>
          </cell>
          <cell r="F650">
            <v>6443</v>
          </cell>
          <cell r="G650">
            <v>5231</v>
          </cell>
          <cell r="H650">
            <v>0</v>
          </cell>
          <cell r="I650">
            <v>0</v>
          </cell>
        </row>
        <row r="651">
          <cell r="A651">
            <v>97018</v>
          </cell>
          <cell r="B651" t="str">
            <v>ELIZABETH CTY-PASQUOTANK CO INDUSTRL DEVELOPMENT C</v>
          </cell>
          <cell r="C651">
            <v>1.6399999999999999E-5</v>
          </cell>
          <cell r="E651">
            <v>2938</v>
          </cell>
          <cell r="F651">
            <v>2407</v>
          </cell>
          <cell r="G651">
            <v>1954</v>
          </cell>
          <cell r="H651">
            <v>0</v>
          </cell>
          <cell r="I651">
            <v>0</v>
          </cell>
        </row>
        <row r="652">
          <cell r="A652">
            <v>97101</v>
          </cell>
          <cell r="B652" t="str">
            <v>PENDER COUNTY</v>
          </cell>
          <cell r="C652">
            <v>2.7334E-3</v>
          </cell>
          <cell r="E652">
            <v>489721</v>
          </cell>
          <cell r="F652">
            <v>401198</v>
          </cell>
          <cell r="G652">
            <v>325704</v>
          </cell>
          <cell r="H652">
            <v>0</v>
          </cell>
          <cell r="I652">
            <v>0</v>
          </cell>
        </row>
        <row r="653">
          <cell r="A653">
            <v>97104</v>
          </cell>
          <cell r="B653" t="str">
            <v>PENDER COUNTY ABC BOARD</v>
          </cell>
          <cell r="C653">
            <v>5.41E-5</v>
          </cell>
          <cell r="E653">
            <v>9693</v>
          </cell>
          <cell r="F653">
            <v>7941</v>
          </cell>
          <cell r="G653">
            <v>6446</v>
          </cell>
          <cell r="H653">
            <v>0</v>
          </cell>
          <cell r="I653">
            <v>0</v>
          </cell>
        </row>
        <row r="654">
          <cell r="A654">
            <v>97111</v>
          </cell>
          <cell r="B654" t="str">
            <v>TOWN OF BURGAW</v>
          </cell>
          <cell r="C654">
            <v>2.8489999999999999E-4</v>
          </cell>
          <cell r="E654">
            <v>51043</v>
          </cell>
          <cell r="F654">
            <v>41816</v>
          </cell>
          <cell r="G654">
            <v>33948</v>
          </cell>
          <cell r="H654">
            <v>0</v>
          </cell>
          <cell r="I654">
            <v>0</v>
          </cell>
        </row>
        <row r="655">
          <cell r="A655">
            <v>97121</v>
          </cell>
          <cell r="B655" t="str">
            <v>TOWN OF TOPSAIL BEACH</v>
          </cell>
          <cell r="C655">
            <v>1.493E-4</v>
          </cell>
          <cell r="E655">
            <v>26749</v>
          </cell>
          <cell r="F655">
            <v>21914</v>
          </cell>
          <cell r="G655">
            <v>17790</v>
          </cell>
          <cell r="H655">
            <v>0</v>
          </cell>
          <cell r="I655">
            <v>0</v>
          </cell>
        </row>
        <row r="656">
          <cell r="A656">
            <v>97131</v>
          </cell>
          <cell r="B656" t="str">
            <v>TOWN OF SURF CITY</v>
          </cell>
          <cell r="C656">
            <v>6.5379999999999995E-4</v>
          </cell>
          <cell r="E656">
            <v>117136</v>
          </cell>
          <cell r="F656">
            <v>95962</v>
          </cell>
          <cell r="G656">
            <v>77905</v>
          </cell>
          <cell r="H656">
            <v>0</v>
          </cell>
          <cell r="I656">
            <v>0</v>
          </cell>
        </row>
        <row r="657">
          <cell r="A657">
            <v>97201</v>
          </cell>
          <cell r="B657" t="str">
            <v>PERQUIMANS COUNTY</v>
          </cell>
          <cell r="C657">
            <v>5.8529999999999997E-4</v>
          </cell>
          <cell r="E657">
            <v>104864</v>
          </cell>
          <cell r="F657">
            <v>85908</v>
          </cell>
          <cell r="G657">
            <v>69743</v>
          </cell>
          <cell r="H657">
            <v>0</v>
          </cell>
          <cell r="I657">
            <v>0</v>
          </cell>
        </row>
        <row r="658">
          <cell r="A658">
            <v>97211</v>
          </cell>
          <cell r="B658" t="str">
            <v>TOWN OF HERTFORD</v>
          </cell>
          <cell r="C658">
            <v>8.14E-5</v>
          </cell>
          <cell r="E658">
            <v>14584</v>
          </cell>
          <cell r="F658">
            <v>11948</v>
          </cell>
          <cell r="G658">
            <v>9699</v>
          </cell>
          <cell r="H658">
            <v>0</v>
          </cell>
          <cell r="I658">
            <v>0</v>
          </cell>
        </row>
        <row r="659">
          <cell r="A659">
            <v>97213</v>
          </cell>
          <cell r="B659" t="str">
            <v>HERTFORD HOUSING AUTH</v>
          </cell>
          <cell r="C659">
            <v>3.5500000000000002E-5</v>
          </cell>
          <cell r="E659">
            <v>6360</v>
          </cell>
          <cell r="F659">
            <v>5211</v>
          </cell>
          <cell r="G659">
            <v>4230</v>
          </cell>
          <cell r="H659">
            <v>0</v>
          </cell>
          <cell r="I659">
            <v>0</v>
          </cell>
        </row>
        <row r="660">
          <cell r="A660">
            <v>97217</v>
          </cell>
          <cell r="B660" t="str">
            <v>TOWN OF HERTFORD ABC BOARD</v>
          </cell>
          <cell r="C660">
            <v>5.5999999999999997E-6</v>
          </cell>
          <cell r="E660">
            <v>1003</v>
          </cell>
          <cell r="F660">
            <v>822</v>
          </cell>
          <cell r="G660">
            <v>667</v>
          </cell>
          <cell r="H660">
            <v>0</v>
          </cell>
          <cell r="I660">
            <v>0</v>
          </cell>
        </row>
        <row r="661">
          <cell r="A661">
            <v>97221</v>
          </cell>
          <cell r="B661" t="str">
            <v>TOWN OF WINFALL</v>
          </cell>
          <cell r="C661">
            <v>1.24E-5</v>
          </cell>
          <cell r="E661">
            <v>2222</v>
          </cell>
          <cell r="F661">
            <v>1820</v>
          </cell>
          <cell r="G661">
            <v>1478</v>
          </cell>
          <cell r="H661">
            <v>0</v>
          </cell>
          <cell r="I661">
            <v>0</v>
          </cell>
        </row>
        <row r="662">
          <cell r="A662">
            <v>97301</v>
          </cell>
          <cell r="B662" t="str">
            <v>PERSON COUNTY</v>
          </cell>
          <cell r="C662">
            <v>2.3942E-3</v>
          </cell>
          <cell r="E662">
            <v>428950</v>
          </cell>
          <cell r="F662">
            <v>351411</v>
          </cell>
          <cell r="G662">
            <v>285286</v>
          </cell>
          <cell r="H662">
            <v>0</v>
          </cell>
          <cell r="I662">
            <v>0</v>
          </cell>
        </row>
        <row r="663">
          <cell r="A663">
            <v>97302</v>
          </cell>
          <cell r="B663" t="str">
            <v>ROXBORO HOUSING AUTHORITY</v>
          </cell>
          <cell r="C663">
            <v>0</v>
          </cell>
          <cell r="E663">
            <v>0</v>
          </cell>
          <cell r="F663">
            <v>0</v>
          </cell>
          <cell r="G663">
            <v>0</v>
          </cell>
          <cell r="H663">
            <v>0</v>
          </cell>
          <cell r="I663">
            <v>0</v>
          </cell>
        </row>
        <row r="664">
          <cell r="A664">
            <v>97304</v>
          </cell>
          <cell r="B664" t="str">
            <v>PERSON CO ABC BD</v>
          </cell>
          <cell r="C664">
            <v>1.4399999999999999E-5</v>
          </cell>
          <cell r="E664">
            <v>2580</v>
          </cell>
          <cell r="F664">
            <v>2114</v>
          </cell>
          <cell r="G664">
            <v>1716</v>
          </cell>
          <cell r="H664">
            <v>0</v>
          </cell>
          <cell r="I664">
            <v>0</v>
          </cell>
        </row>
        <row r="665">
          <cell r="A665">
            <v>97311</v>
          </cell>
          <cell r="B665" t="str">
            <v>CITY OF ROXBORO</v>
          </cell>
          <cell r="C665">
            <v>9.0109999999999995E-4</v>
          </cell>
          <cell r="E665">
            <v>161443</v>
          </cell>
          <cell r="F665">
            <v>132260</v>
          </cell>
          <cell r="G665">
            <v>107372</v>
          </cell>
          <cell r="H665">
            <v>0</v>
          </cell>
          <cell r="I665">
            <v>0</v>
          </cell>
        </row>
        <row r="666">
          <cell r="A666">
            <v>97401</v>
          </cell>
          <cell r="B666" t="str">
            <v>PITT COUNTY</v>
          </cell>
          <cell r="C666">
            <v>7.0562999999999997E-3</v>
          </cell>
          <cell r="E666">
            <v>1264221</v>
          </cell>
          <cell r="F666">
            <v>1035695</v>
          </cell>
          <cell r="G666">
            <v>840808</v>
          </cell>
          <cell r="H666">
            <v>0</v>
          </cell>
          <cell r="I666">
            <v>0</v>
          </cell>
        </row>
        <row r="667">
          <cell r="A667">
            <v>97402</v>
          </cell>
          <cell r="B667" t="str">
            <v>PITT-GREENVILLE CONV &amp; VISTORS</v>
          </cell>
          <cell r="C667">
            <v>4.1999999999999998E-5</v>
          </cell>
          <cell r="E667">
            <v>7525</v>
          </cell>
          <cell r="F667">
            <v>6165</v>
          </cell>
          <cell r="G667">
            <v>5005</v>
          </cell>
          <cell r="H667">
            <v>0</v>
          </cell>
          <cell r="I667">
            <v>0</v>
          </cell>
        </row>
        <row r="668">
          <cell r="A668">
            <v>97404</v>
          </cell>
          <cell r="B668" t="str">
            <v>PITT COUNTY ABC BOARD</v>
          </cell>
          <cell r="C668">
            <v>2.1240000000000001E-4</v>
          </cell>
          <cell r="E668">
            <v>38054</v>
          </cell>
          <cell r="F668">
            <v>31175</v>
          </cell>
          <cell r="G668">
            <v>25309</v>
          </cell>
          <cell r="H668">
            <v>0</v>
          </cell>
          <cell r="I668">
            <v>0</v>
          </cell>
        </row>
        <row r="669">
          <cell r="A669">
            <v>97405</v>
          </cell>
          <cell r="B669" t="str">
            <v>SHEPPARD MEMORIAL LIBRARY</v>
          </cell>
          <cell r="C669">
            <v>1.106E-4</v>
          </cell>
          <cell r="E669">
            <v>19815</v>
          </cell>
          <cell r="F669">
            <v>16233</v>
          </cell>
          <cell r="G669">
            <v>13179</v>
          </cell>
          <cell r="H669">
            <v>0</v>
          </cell>
          <cell r="I669">
            <v>0</v>
          </cell>
        </row>
        <row r="670">
          <cell r="A670">
            <v>97408</v>
          </cell>
          <cell r="B670" t="str">
            <v>CONTENNEA METROPOLITAN SEWERAGE DIST</v>
          </cell>
          <cell r="C670">
            <v>3.8999999999999999E-5</v>
          </cell>
          <cell r="E670">
            <v>6987</v>
          </cell>
          <cell r="F670">
            <v>5724</v>
          </cell>
          <cell r="G670">
            <v>4647</v>
          </cell>
          <cell r="H670">
            <v>0</v>
          </cell>
          <cell r="I670">
            <v>0</v>
          </cell>
        </row>
        <row r="671">
          <cell r="A671">
            <v>97411</v>
          </cell>
          <cell r="B671" t="str">
            <v>CITY OF GREENVILLE</v>
          </cell>
          <cell r="C671">
            <v>6.3997999999999998E-3</v>
          </cell>
          <cell r="E671">
            <v>1146601</v>
          </cell>
          <cell r="F671">
            <v>939337</v>
          </cell>
          <cell r="G671">
            <v>762581</v>
          </cell>
          <cell r="H671">
            <v>0</v>
          </cell>
          <cell r="I671">
            <v>0</v>
          </cell>
        </row>
        <row r="672">
          <cell r="A672">
            <v>97412</v>
          </cell>
          <cell r="B672" t="str">
            <v>GREENVILLE UTILITIES COMMISSION</v>
          </cell>
          <cell r="C672">
            <v>4.4903E-3</v>
          </cell>
          <cell r="E672">
            <v>804491</v>
          </cell>
          <cell r="F672">
            <v>659068</v>
          </cell>
          <cell r="G672">
            <v>535051</v>
          </cell>
          <cell r="H672">
            <v>0</v>
          </cell>
          <cell r="I672">
            <v>0</v>
          </cell>
        </row>
        <row r="673">
          <cell r="A673">
            <v>97413</v>
          </cell>
          <cell r="B673" t="str">
            <v>GREENVILLE HOUSING AUTHORITY</v>
          </cell>
          <cell r="C673">
            <v>2.812E-4</v>
          </cell>
          <cell r="E673">
            <v>50380</v>
          </cell>
          <cell r="F673">
            <v>41273</v>
          </cell>
          <cell r="G673">
            <v>33507</v>
          </cell>
          <cell r="H673">
            <v>0</v>
          </cell>
          <cell r="I673">
            <v>0</v>
          </cell>
        </row>
        <row r="674">
          <cell r="A674">
            <v>97421</v>
          </cell>
          <cell r="B674" t="str">
            <v>TOWN OF FARMVILLE</v>
          </cell>
          <cell r="C674">
            <v>4.3120000000000002E-4</v>
          </cell>
          <cell r="E674">
            <v>77255</v>
          </cell>
          <cell r="F674">
            <v>63290</v>
          </cell>
          <cell r="G674">
            <v>51380</v>
          </cell>
          <cell r="H674">
            <v>0</v>
          </cell>
          <cell r="I674">
            <v>0</v>
          </cell>
        </row>
        <row r="675">
          <cell r="A675">
            <v>97423</v>
          </cell>
          <cell r="B675" t="str">
            <v>FARMVILLE HOUSING AUTHORITY</v>
          </cell>
          <cell r="C675">
            <v>4.3000000000000002E-5</v>
          </cell>
          <cell r="E675">
            <v>7704</v>
          </cell>
          <cell r="F675">
            <v>6311</v>
          </cell>
          <cell r="G675">
            <v>5124</v>
          </cell>
          <cell r="H675">
            <v>0</v>
          </cell>
          <cell r="I675">
            <v>0</v>
          </cell>
        </row>
        <row r="676">
          <cell r="A676">
            <v>97431</v>
          </cell>
          <cell r="B676" t="str">
            <v>TOWN OF GRIFTON</v>
          </cell>
          <cell r="C676">
            <v>8.92E-5</v>
          </cell>
          <cell r="E676">
            <v>15981</v>
          </cell>
          <cell r="F676">
            <v>13092</v>
          </cell>
          <cell r="G676">
            <v>10629</v>
          </cell>
          <cell r="H676">
            <v>0</v>
          </cell>
          <cell r="I676">
            <v>0</v>
          </cell>
        </row>
        <row r="677">
          <cell r="A677">
            <v>97441</v>
          </cell>
          <cell r="B677" t="str">
            <v>TOWN OF BETHEL</v>
          </cell>
          <cell r="C677">
            <v>5.7899999999999998E-5</v>
          </cell>
          <cell r="E677">
            <v>10373</v>
          </cell>
          <cell r="F677">
            <v>8498</v>
          </cell>
          <cell r="G677">
            <v>6899</v>
          </cell>
          <cell r="H677">
            <v>0</v>
          </cell>
          <cell r="I677">
            <v>0</v>
          </cell>
        </row>
        <row r="678">
          <cell r="A678">
            <v>97451</v>
          </cell>
          <cell r="B678" t="str">
            <v>TOWN OF WINTERVILLE</v>
          </cell>
          <cell r="C678">
            <v>6.6290000000000001E-4</v>
          </cell>
          <cell r="E678">
            <v>118766</v>
          </cell>
          <cell r="F678">
            <v>97298</v>
          </cell>
          <cell r="G678">
            <v>78989</v>
          </cell>
          <cell r="H678">
            <v>0</v>
          </cell>
          <cell r="I678">
            <v>0</v>
          </cell>
        </row>
        <row r="679">
          <cell r="A679">
            <v>97461</v>
          </cell>
          <cell r="B679" t="str">
            <v>TOWN OF AYDEN</v>
          </cell>
          <cell r="C679">
            <v>5.7600000000000001E-4</v>
          </cell>
          <cell r="E679">
            <v>103197</v>
          </cell>
          <cell r="F679">
            <v>84543</v>
          </cell>
          <cell r="G679">
            <v>68634</v>
          </cell>
          <cell r="H679">
            <v>0</v>
          </cell>
          <cell r="I679">
            <v>0</v>
          </cell>
        </row>
        <row r="680">
          <cell r="A680">
            <v>97463</v>
          </cell>
          <cell r="B680" t="str">
            <v>AYDEN HOUSING AUTHORITY</v>
          </cell>
          <cell r="C680">
            <v>0</v>
          </cell>
          <cell r="E680">
            <v>0</v>
          </cell>
          <cell r="F680">
            <v>0</v>
          </cell>
          <cell r="G680">
            <v>0</v>
          </cell>
          <cell r="H680">
            <v>0</v>
          </cell>
          <cell r="I680">
            <v>0</v>
          </cell>
        </row>
        <row r="681">
          <cell r="A681">
            <v>97471</v>
          </cell>
          <cell r="B681" t="str">
            <v>TOWN OF GRIMESLAND</v>
          </cell>
          <cell r="C681">
            <v>1.6399999999999999E-5</v>
          </cell>
          <cell r="E681">
            <v>2938</v>
          </cell>
          <cell r="F681">
            <v>2407</v>
          </cell>
          <cell r="G681">
            <v>1954</v>
          </cell>
          <cell r="H681">
            <v>0</v>
          </cell>
          <cell r="I681">
            <v>0</v>
          </cell>
        </row>
        <row r="682">
          <cell r="A682">
            <v>97481</v>
          </cell>
          <cell r="B682" t="str">
            <v>VILLAGE OF SIMPSON</v>
          </cell>
          <cell r="C682">
            <v>8.9999999999999996E-7</v>
          </cell>
          <cell r="E682">
            <v>161</v>
          </cell>
          <cell r="F682">
            <v>132</v>
          </cell>
          <cell r="G682">
            <v>107</v>
          </cell>
          <cell r="H682">
            <v>0</v>
          </cell>
          <cell r="I682">
            <v>0</v>
          </cell>
        </row>
        <row r="683">
          <cell r="A683">
            <v>97491</v>
          </cell>
          <cell r="B683" t="str">
            <v>FOUNTAIN, TOWN OF</v>
          </cell>
          <cell r="C683">
            <v>0</v>
          </cell>
          <cell r="E683">
            <v>0</v>
          </cell>
          <cell r="F683">
            <v>0</v>
          </cell>
          <cell r="G683">
            <v>0</v>
          </cell>
          <cell r="H683">
            <v>0</v>
          </cell>
          <cell r="I683">
            <v>0</v>
          </cell>
        </row>
        <row r="684">
          <cell r="A684">
            <v>97501</v>
          </cell>
          <cell r="B684" t="str">
            <v>POLK COUNTY</v>
          </cell>
          <cell r="C684">
            <v>1.1816999999999999E-3</v>
          </cell>
          <cell r="E684">
            <v>211716</v>
          </cell>
          <cell r="F684">
            <v>173445</v>
          </cell>
          <cell r="G684">
            <v>140808</v>
          </cell>
          <cell r="H684">
            <v>0</v>
          </cell>
          <cell r="I684">
            <v>0</v>
          </cell>
        </row>
        <row r="685">
          <cell r="A685">
            <v>97511</v>
          </cell>
          <cell r="B685" t="str">
            <v>TOWN OF TRYON</v>
          </cell>
          <cell r="C685">
            <v>1.9120000000000001E-4</v>
          </cell>
          <cell r="E685">
            <v>34256</v>
          </cell>
          <cell r="F685">
            <v>28064</v>
          </cell>
          <cell r="G685">
            <v>22783</v>
          </cell>
          <cell r="H685">
            <v>0</v>
          </cell>
          <cell r="I685">
            <v>0</v>
          </cell>
        </row>
        <row r="686">
          <cell r="A686">
            <v>97521</v>
          </cell>
          <cell r="B686" t="str">
            <v>TOWN OF COLUMBUS</v>
          </cell>
          <cell r="C686">
            <v>1.139E-4</v>
          </cell>
          <cell r="E686">
            <v>20407</v>
          </cell>
          <cell r="F686">
            <v>16718</v>
          </cell>
          <cell r="G686">
            <v>13572</v>
          </cell>
          <cell r="H686">
            <v>0</v>
          </cell>
          <cell r="I686">
            <v>0</v>
          </cell>
        </row>
        <row r="687">
          <cell r="A687">
            <v>97527</v>
          </cell>
          <cell r="B687" t="str">
            <v>COLUMBUS ABC BOARD</v>
          </cell>
          <cell r="C687">
            <v>1.7E-5</v>
          </cell>
          <cell r="E687">
            <v>3046</v>
          </cell>
          <cell r="F687">
            <v>2495</v>
          </cell>
          <cell r="G687">
            <v>2026</v>
          </cell>
          <cell r="H687">
            <v>0</v>
          </cell>
          <cell r="I687">
            <v>0</v>
          </cell>
        </row>
        <row r="688">
          <cell r="A688">
            <v>97531</v>
          </cell>
          <cell r="B688" t="str">
            <v>CITY OF SALUDA</v>
          </cell>
          <cell r="C688">
            <v>8.1299999999999997E-5</v>
          </cell>
          <cell r="E688">
            <v>14566</v>
          </cell>
          <cell r="F688">
            <v>11933</v>
          </cell>
          <cell r="G688">
            <v>9687</v>
          </cell>
          <cell r="H688">
            <v>0</v>
          </cell>
          <cell r="I688">
            <v>0</v>
          </cell>
        </row>
        <row r="689">
          <cell r="A689">
            <v>97601</v>
          </cell>
          <cell r="B689" t="str">
            <v>RANDOLPH COUNTY</v>
          </cell>
          <cell r="C689">
            <v>5.2946E-3</v>
          </cell>
          <cell r="E689">
            <v>948591</v>
          </cell>
          <cell r="F689">
            <v>777120</v>
          </cell>
          <cell r="G689">
            <v>630889</v>
          </cell>
          <cell r="H689">
            <v>0</v>
          </cell>
          <cell r="I689">
            <v>0</v>
          </cell>
        </row>
        <row r="690">
          <cell r="A690">
            <v>97607</v>
          </cell>
          <cell r="B690" t="str">
            <v>ASHEBORO ABC BOARD</v>
          </cell>
          <cell r="C690">
            <v>2.0699999999999998E-5</v>
          </cell>
          <cell r="E690">
            <v>3709</v>
          </cell>
          <cell r="F690">
            <v>3038</v>
          </cell>
          <cell r="G690">
            <v>2467</v>
          </cell>
          <cell r="H690">
            <v>0</v>
          </cell>
          <cell r="I690">
            <v>0</v>
          </cell>
        </row>
        <row r="691">
          <cell r="A691">
            <v>97611</v>
          </cell>
          <cell r="B691" t="str">
            <v>CITY OF ASHEBORO</v>
          </cell>
          <cell r="C691">
            <v>2.3218000000000002E-3</v>
          </cell>
          <cell r="E691">
            <v>415978</v>
          </cell>
          <cell r="F691">
            <v>340785</v>
          </cell>
          <cell r="G691">
            <v>276659</v>
          </cell>
          <cell r="H691">
            <v>0</v>
          </cell>
          <cell r="I691">
            <v>0</v>
          </cell>
        </row>
        <row r="692">
          <cell r="A692">
            <v>97613</v>
          </cell>
          <cell r="B692" t="str">
            <v>ASHEBORO HOUSING AUTH</v>
          </cell>
          <cell r="C692">
            <v>8.8599999999999999E-5</v>
          </cell>
          <cell r="E692">
            <v>15874</v>
          </cell>
          <cell r="F692">
            <v>13004</v>
          </cell>
          <cell r="G692">
            <v>10557</v>
          </cell>
          <cell r="H692">
            <v>0</v>
          </cell>
          <cell r="I692">
            <v>0</v>
          </cell>
        </row>
        <row r="693">
          <cell r="A693">
            <v>97621</v>
          </cell>
          <cell r="B693" t="str">
            <v>CITY OF RANDLEMAN</v>
          </cell>
          <cell r="C693">
            <v>4.3960000000000001E-4</v>
          </cell>
          <cell r="E693">
            <v>78760</v>
          </cell>
          <cell r="F693">
            <v>64523</v>
          </cell>
          <cell r="G693">
            <v>52381</v>
          </cell>
          <cell r="H693">
            <v>0</v>
          </cell>
          <cell r="I693">
            <v>0</v>
          </cell>
        </row>
        <row r="694">
          <cell r="A694">
            <v>97623</v>
          </cell>
          <cell r="B694" t="str">
            <v>CITY OF RANDLEMAN HOUSING AUTHORITY</v>
          </cell>
          <cell r="C694">
            <v>2.5400000000000001E-5</v>
          </cell>
          <cell r="E694">
            <v>4551</v>
          </cell>
          <cell r="F694">
            <v>3728</v>
          </cell>
          <cell r="G694">
            <v>3027</v>
          </cell>
          <cell r="H694">
            <v>0</v>
          </cell>
          <cell r="I694">
            <v>0</v>
          </cell>
        </row>
        <row r="695">
          <cell r="A695">
            <v>97627</v>
          </cell>
          <cell r="B695" t="str">
            <v>CITY OF RANDLEMAN ABC BOARD</v>
          </cell>
          <cell r="C695">
            <v>9.3000000000000007E-6</v>
          </cell>
          <cell r="E695">
            <v>1666</v>
          </cell>
          <cell r="F695">
            <v>1365</v>
          </cell>
          <cell r="G695">
            <v>1108</v>
          </cell>
          <cell r="H695">
            <v>0</v>
          </cell>
          <cell r="I695">
            <v>0</v>
          </cell>
        </row>
        <row r="696">
          <cell r="A696">
            <v>97631</v>
          </cell>
          <cell r="B696" t="str">
            <v>TOWN OF LIBERTY</v>
          </cell>
          <cell r="C696">
            <v>1.972E-4</v>
          </cell>
          <cell r="E696">
            <v>35331</v>
          </cell>
          <cell r="F696">
            <v>28944</v>
          </cell>
          <cell r="G696">
            <v>23498</v>
          </cell>
          <cell r="H696">
            <v>0</v>
          </cell>
          <cell r="I696">
            <v>0</v>
          </cell>
        </row>
        <row r="697">
          <cell r="A697">
            <v>97637</v>
          </cell>
          <cell r="B697" t="str">
            <v>LIBERTY ABC BOARD</v>
          </cell>
          <cell r="C697">
            <v>3.1999999999999999E-6</v>
          </cell>
          <cell r="E697">
            <v>573</v>
          </cell>
          <cell r="F697">
            <v>470</v>
          </cell>
          <cell r="G697">
            <v>381</v>
          </cell>
          <cell r="H697">
            <v>0</v>
          </cell>
          <cell r="I697">
            <v>0</v>
          </cell>
        </row>
        <row r="698">
          <cell r="A698">
            <v>97641</v>
          </cell>
          <cell r="B698" t="str">
            <v>TOWN OF RAMSEUR</v>
          </cell>
          <cell r="C698">
            <v>4.5399999999999999E-5</v>
          </cell>
          <cell r="E698">
            <v>8134</v>
          </cell>
          <cell r="F698">
            <v>6664</v>
          </cell>
          <cell r="G698">
            <v>5410</v>
          </cell>
          <cell r="H698">
            <v>0</v>
          </cell>
          <cell r="I698">
            <v>0</v>
          </cell>
        </row>
        <row r="699">
          <cell r="A699">
            <v>97651</v>
          </cell>
          <cell r="B699" t="str">
            <v>CITY OF ARCHDALE</v>
          </cell>
          <cell r="C699">
            <v>5.2329999999999998E-4</v>
          </cell>
          <cell r="E699">
            <v>93755</v>
          </cell>
          <cell r="F699">
            <v>76808</v>
          </cell>
          <cell r="G699">
            <v>62355</v>
          </cell>
          <cell r="H699">
            <v>0</v>
          </cell>
          <cell r="I699">
            <v>0</v>
          </cell>
        </row>
        <row r="700">
          <cell r="A700">
            <v>97661</v>
          </cell>
          <cell r="B700" t="str">
            <v>CITY OF TRINITY</v>
          </cell>
          <cell r="C700">
            <v>5.3300000000000001E-5</v>
          </cell>
          <cell r="E700">
            <v>9549</v>
          </cell>
          <cell r="F700">
            <v>7823</v>
          </cell>
          <cell r="G700">
            <v>6351</v>
          </cell>
          <cell r="H700">
            <v>0</v>
          </cell>
          <cell r="I700">
            <v>0</v>
          </cell>
        </row>
        <row r="701">
          <cell r="A701">
            <v>97701</v>
          </cell>
          <cell r="B701" t="str">
            <v>RICHMOND COUNTY</v>
          </cell>
          <cell r="C701">
            <v>2.4578E-3</v>
          </cell>
          <cell r="E701">
            <v>440344</v>
          </cell>
          <cell r="F701">
            <v>360746</v>
          </cell>
          <cell r="G701">
            <v>292864</v>
          </cell>
          <cell r="H701">
            <v>0</v>
          </cell>
          <cell r="I701">
            <v>0</v>
          </cell>
        </row>
        <row r="702">
          <cell r="A702">
            <v>97705</v>
          </cell>
          <cell r="B702" t="str">
            <v>SANDHILL REGIONAL LIBRARY</v>
          </cell>
          <cell r="C702">
            <v>3.1699999999999998E-5</v>
          </cell>
          <cell r="E702">
            <v>5679</v>
          </cell>
          <cell r="F702">
            <v>4653</v>
          </cell>
          <cell r="G702">
            <v>3777</v>
          </cell>
          <cell r="H702">
            <v>0</v>
          </cell>
          <cell r="I702">
            <v>0</v>
          </cell>
        </row>
        <row r="703">
          <cell r="A703">
            <v>97711</v>
          </cell>
          <cell r="B703" t="str">
            <v>CITY OF ROCKINGHAM</v>
          </cell>
          <cell r="C703">
            <v>8.5930000000000002E-4</v>
          </cell>
          <cell r="E703">
            <v>153954</v>
          </cell>
          <cell r="F703">
            <v>126125</v>
          </cell>
          <cell r="G703">
            <v>102392</v>
          </cell>
          <cell r="H703">
            <v>0</v>
          </cell>
          <cell r="I703">
            <v>0</v>
          </cell>
        </row>
        <row r="704">
          <cell r="A704">
            <v>97713</v>
          </cell>
          <cell r="B704" t="str">
            <v>ROCKINGHAM HOUSING AUTHORITY</v>
          </cell>
          <cell r="C704">
            <v>5.0399999999999999E-5</v>
          </cell>
          <cell r="E704">
            <v>9030</v>
          </cell>
          <cell r="F704">
            <v>7398</v>
          </cell>
          <cell r="G704">
            <v>6006</v>
          </cell>
          <cell r="H704">
            <v>0</v>
          </cell>
          <cell r="I704">
            <v>0</v>
          </cell>
        </row>
        <row r="705">
          <cell r="A705">
            <v>97717</v>
          </cell>
          <cell r="B705" t="str">
            <v>HAMLET ABC BOARD</v>
          </cell>
          <cell r="C705">
            <v>5.4E-6</v>
          </cell>
          <cell r="E705">
            <v>967</v>
          </cell>
          <cell r="F705">
            <v>793</v>
          </cell>
          <cell r="G705">
            <v>643</v>
          </cell>
          <cell r="H705">
            <v>0</v>
          </cell>
          <cell r="I705">
            <v>0</v>
          </cell>
        </row>
        <row r="706">
          <cell r="A706">
            <v>97721</v>
          </cell>
          <cell r="B706" t="str">
            <v>CITY OF HAMLET</v>
          </cell>
          <cell r="C706">
            <v>5.5699999999999999E-4</v>
          </cell>
          <cell r="E706">
            <v>99793</v>
          </cell>
          <cell r="F706">
            <v>81754</v>
          </cell>
          <cell r="G706">
            <v>66370</v>
          </cell>
          <cell r="H706">
            <v>0</v>
          </cell>
          <cell r="I706">
            <v>0</v>
          </cell>
        </row>
        <row r="707">
          <cell r="A707">
            <v>97727</v>
          </cell>
          <cell r="B707" t="str">
            <v>CITY OF ROCKINGHAM ABC BOARD</v>
          </cell>
          <cell r="C707">
            <v>1.8600000000000001E-5</v>
          </cell>
          <cell r="E707">
            <v>3332</v>
          </cell>
          <cell r="F707">
            <v>2730</v>
          </cell>
          <cell r="G707">
            <v>2216</v>
          </cell>
          <cell r="H707">
            <v>0</v>
          </cell>
          <cell r="I707">
            <v>0</v>
          </cell>
        </row>
        <row r="708">
          <cell r="A708">
            <v>97731</v>
          </cell>
          <cell r="B708" t="str">
            <v>TOWN OF ELLERBE</v>
          </cell>
          <cell r="C708">
            <v>3.82E-5</v>
          </cell>
          <cell r="E708">
            <v>6844</v>
          </cell>
          <cell r="F708">
            <v>5607</v>
          </cell>
          <cell r="G708">
            <v>4552</v>
          </cell>
          <cell r="H708">
            <v>0</v>
          </cell>
          <cell r="I708">
            <v>0</v>
          </cell>
        </row>
        <row r="709">
          <cell r="A709">
            <v>97801</v>
          </cell>
          <cell r="B709" t="str">
            <v>COUNTY OF ROBESON</v>
          </cell>
          <cell r="C709">
            <v>6.0489000000000003E-3</v>
          </cell>
          <cell r="E709">
            <v>1083733</v>
          </cell>
          <cell r="F709">
            <v>887833</v>
          </cell>
          <cell r="G709">
            <v>720769</v>
          </cell>
          <cell r="H709">
            <v>0</v>
          </cell>
          <cell r="I709">
            <v>0</v>
          </cell>
        </row>
        <row r="710">
          <cell r="A710">
            <v>97802</v>
          </cell>
          <cell r="B710" t="str">
            <v>LUMBER RIVER COUNCIL OF GOVERNMENTS</v>
          </cell>
          <cell r="C710">
            <v>1.9029999999999999E-4</v>
          </cell>
          <cell r="E710">
            <v>34095</v>
          </cell>
          <cell r="F710">
            <v>27931</v>
          </cell>
          <cell r="G710">
            <v>22676</v>
          </cell>
          <cell r="H710">
            <v>0</v>
          </cell>
          <cell r="I710">
            <v>0</v>
          </cell>
        </row>
        <row r="711">
          <cell r="A711">
            <v>97803</v>
          </cell>
          <cell r="B711" t="str">
            <v>ROBESON COUNTY HOUSING AUTHORITY</v>
          </cell>
          <cell r="C711">
            <v>7.7899999999999996E-5</v>
          </cell>
          <cell r="E711">
            <v>13957</v>
          </cell>
          <cell r="F711">
            <v>11434</v>
          </cell>
          <cell r="G711">
            <v>9282</v>
          </cell>
          <cell r="H711">
            <v>0</v>
          </cell>
          <cell r="I711">
            <v>0</v>
          </cell>
        </row>
        <row r="712">
          <cell r="A712">
            <v>97805</v>
          </cell>
          <cell r="B712" t="str">
            <v>ROBESON COUNTY PUBLIC LIBRARY</v>
          </cell>
          <cell r="C712">
            <v>8.6500000000000002E-5</v>
          </cell>
          <cell r="E712">
            <v>15498</v>
          </cell>
          <cell r="F712">
            <v>12696</v>
          </cell>
          <cell r="G712">
            <v>10307</v>
          </cell>
          <cell r="H712">
            <v>0</v>
          </cell>
          <cell r="I712">
            <v>0</v>
          </cell>
        </row>
        <row r="713">
          <cell r="A713">
            <v>97811</v>
          </cell>
          <cell r="B713" t="str">
            <v>CITY OF LUMBERTON</v>
          </cell>
          <cell r="C713">
            <v>2.4080999999999998E-3</v>
          </cell>
          <cell r="E713">
            <v>431440</v>
          </cell>
          <cell r="F713">
            <v>353451</v>
          </cell>
          <cell r="G713">
            <v>286942</v>
          </cell>
          <cell r="H713">
            <v>0</v>
          </cell>
          <cell r="I713">
            <v>0</v>
          </cell>
        </row>
        <row r="714">
          <cell r="A714">
            <v>97817</v>
          </cell>
          <cell r="B714" t="str">
            <v>LUMBERTON ABC BOARD</v>
          </cell>
          <cell r="C714">
            <v>1.7499999999999998E-5</v>
          </cell>
          <cell r="E714">
            <v>3135</v>
          </cell>
          <cell r="F714">
            <v>2569</v>
          </cell>
          <cell r="G714">
            <v>2085</v>
          </cell>
          <cell r="H714">
            <v>0</v>
          </cell>
          <cell r="I714">
            <v>0</v>
          </cell>
        </row>
        <row r="715">
          <cell r="A715">
            <v>97818</v>
          </cell>
          <cell r="B715" t="str">
            <v>LUMBERTON AIRPORT COMM</v>
          </cell>
          <cell r="C715">
            <v>2.4899999999999999E-5</v>
          </cell>
          <cell r="E715">
            <v>4461</v>
          </cell>
          <cell r="F715">
            <v>3655</v>
          </cell>
          <cell r="G715">
            <v>2967</v>
          </cell>
          <cell r="H715">
            <v>0</v>
          </cell>
          <cell r="I715">
            <v>0</v>
          </cell>
        </row>
        <row r="716">
          <cell r="A716">
            <v>97821</v>
          </cell>
          <cell r="B716" t="str">
            <v>TOWN OF FAIRMONT</v>
          </cell>
          <cell r="C716">
            <v>1.329E-4</v>
          </cell>
          <cell r="E716">
            <v>23811</v>
          </cell>
          <cell r="F716">
            <v>19507</v>
          </cell>
          <cell r="G716">
            <v>15836</v>
          </cell>
          <cell r="H716">
            <v>0</v>
          </cell>
          <cell r="I716">
            <v>0</v>
          </cell>
        </row>
        <row r="717">
          <cell r="A717">
            <v>97823</v>
          </cell>
          <cell r="B717" t="str">
            <v>FAIRMONT HOUSING AUTHORITY</v>
          </cell>
          <cell r="C717">
            <v>1.5400000000000002E-5</v>
          </cell>
          <cell r="E717">
            <v>2759</v>
          </cell>
          <cell r="F717">
            <v>2260</v>
          </cell>
          <cell r="G717">
            <v>1835</v>
          </cell>
          <cell r="H717">
            <v>0</v>
          </cell>
          <cell r="I717">
            <v>0</v>
          </cell>
        </row>
        <row r="718">
          <cell r="A718">
            <v>97831</v>
          </cell>
          <cell r="B718" t="str">
            <v>TOWN OF ST PAULS</v>
          </cell>
          <cell r="C718">
            <v>1.6359999999999999E-4</v>
          </cell>
          <cell r="E718">
            <v>29311</v>
          </cell>
          <cell r="F718">
            <v>24013</v>
          </cell>
          <cell r="G718">
            <v>19494</v>
          </cell>
          <cell r="H718">
            <v>0</v>
          </cell>
          <cell r="I718">
            <v>0</v>
          </cell>
        </row>
        <row r="719">
          <cell r="A719">
            <v>97837</v>
          </cell>
          <cell r="B719" t="str">
            <v>ST PAUL'S BRD OF ALCOHOLIC CTL</v>
          </cell>
          <cell r="C719">
            <v>1.0000000000000001E-5</v>
          </cell>
          <cell r="E719">
            <v>1792</v>
          </cell>
          <cell r="F719">
            <v>1468</v>
          </cell>
          <cell r="G719">
            <v>1192</v>
          </cell>
          <cell r="H719">
            <v>0</v>
          </cell>
          <cell r="I719">
            <v>0</v>
          </cell>
        </row>
        <row r="720">
          <cell r="A720">
            <v>97840</v>
          </cell>
          <cell r="B720" t="str">
            <v>TOWN OF MAXTON</v>
          </cell>
          <cell r="C720">
            <v>1.0560000000000001E-4</v>
          </cell>
          <cell r="E720">
            <v>18920</v>
          </cell>
          <cell r="F720">
            <v>15500</v>
          </cell>
          <cell r="G720">
            <v>12583</v>
          </cell>
          <cell r="H720">
            <v>0</v>
          </cell>
          <cell r="I720">
            <v>0</v>
          </cell>
        </row>
        <row r="721">
          <cell r="A721">
            <v>97841</v>
          </cell>
          <cell r="B721" t="str">
            <v>TOWN OF PARKTON</v>
          </cell>
          <cell r="C721">
            <v>1.2099999999999999E-5</v>
          </cell>
          <cell r="E721">
            <v>2168</v>
          </cell>
          <cell r="F721">
            <v>1776</v>
          </cell>
          <cell r="G721">
            <v>1442</v>
          </cell>
          <cell r="H721">
            <v>0</v>
          </cell>
          <cell r="I721">
            <v>0</v>
          </cell>
        </row>
        <row r="722">
          <cell r="A722">
            <v>97847</v>
          </cell>
          <cell r="B722" t="str">
            <v>MAXTON ABC BOARD</v>
          </cell>
          <cell r="C722">
            <v>1.7E-6</v>
          </cell>
          <cell r="E722">
            <v>305</v>
          </cell>
          <cell r="F722">
            <v>250</v>
          </cell>
          <cell r="G722">
            <v>203</v>
          </cell>
          <cell r="H722">
            <v>0</v>
          </cell>
          <cell r="I722">
            <v>0</v>
          </cell>
        </row>
        <row r="723">
          <cell r="A723">
            <v>97851</v>
          </cell>
          <cell r="B723" t="str">
            <v>TOWN OF PEMBROKE</v>
          </cell>
          <cell r="C723">
            <v>2.7540000000000003E-4</v>
          </cell>
          <cell r="E723">
            <v>49341</v>
          </cell>
          <cell r="F723">
            <v>40422</v>
          </cell>
          <cell r="G723">
            <v>32816</v>
          </cell>
          <cell r="H723">
            <v>0</v>
          </cell>
          <cell r="I723">
            <v>0</v>
          </cell>
        </row>
        <row r="724">
          <cell r="A724">
            <v>97853</v>
          </cell>
          <cell r="B724" t="str">
            <v>PEMBROKE HOUSING AUTHORITY</v>
          </cell>
          <cell r="C724">
            <v>7.9900000000000004E-5</v>
          </cell>
          <cell r="E724">
            <v>14315</v>
          </cell>
          <cell r="F724">
            <v>11727</v>
          </cell>
          <cell r="G724">
            <v>9521</v>
          </cell>
          <cell r="H724">
            <v>0</v>
          </cell>
          <cell r="I724">
            <v>0</v>
          </cell>
        </row>
        <row r="725">
          <cell r="A725">
            <v>97861</v>
          </cell>
          <cell r="B725" t="str">
            <v>TOWN OF ROWLAND</v>
          </cell>
          <cell r="C725">
            <v>4.5500000000000001E-5</v>
          </cell>
          <cell r="E725">
            <v>8152</v>
          </cell>
          <cell r="F725">
            <v>6678</v>
          </cell>
          <cell r="G725">
            <v>5422</v>
          </cell>
          <cell r="H725">
            <v>0</v>
          </cell>
          <cell r="I725">
            <v>0</v>
          </cell>
        </row>
        <row r="726">
          <cell r="A726">
            <v>97871</v>
          </cell>
          <cell r="B726" t="str">
            <v>TOWN OF RED SPRINGS</v>
          </cell>
          <cell r="C726">
            <v>3.0079999999999999E-4</v>
          </cell>
          <cell r="E726">
            <v>53892</v>
          </cell>
          <cell r="F726">
            <v>44150</v>
          </cell>
          <cell r="G726">
            <v>35842</v>
          </cell>
          <cell r="H726">
            <v>0</v>
          </cell>
          <cell r="I726">
            <v>0</v>
          </cell>
        </row>
        <row r="727">
          <cell r="A727">
            <v>97877</v>
          </cell>
          <cell r="B727" t="str">
            <v>RED SPRINGS ABC BOARD</v>
          </cell>
          <cell r="C727">
            <v>7.6000000000000001E-6</v>
          </cell>
          <cell r="E727">
            <v>1362</v>
          </cell>
          <cell r="F727">
            <v>1115</v>
          </cell>
          <cell r="G727">
            <v>906</v>
          </cell>
          <cell r="H727">
            <v>0</v>
          </cell>
          <cell r="I727">
            <v>0</v>
          </cell>
        </row>
        <row r="728">
          <cell r="A728">
            <v>97901</v>
          </cell>
          <cell r="B728" t="str">
            <v>ROCKINGHAM COUNTY</v>
          </cell>
          <cell r="C728">
            <v>4.0067999999999996E-3</v>
          </cell>
          <cell r="E728">
            <v>717866</v>
          </cell>
          <cell r="F728">
            <v>588102</v>
          </cell>
          <cell r="G728">
            <v>477438</v>
          </cell>
          <cell r="H728">
            <v>0</v>
          </cell>
          <cell r="I728">
            <v>0</v>
          </cell>
        </row>
        <row r="729">
          <cell r="A729">
            <v>97911</v>
          </cell>
          <cell r="B729" t="str">
            <v>CITY OF REIDSVILLE</v>
          </cell>
          <cell r="C729">
            <v>1.2121E-3</v>
          </cell>
          <cell r="E729">
            <v>217162</v>
          </cell>
          <cell r="F729">
            <v>177907</v>
          </cell>
          <cell r="G729">
            <v>144430</v>
          </cell>
          <cell r="H729">
            <v>0</v>
          </cell>
          <cell r="I729">
            <v>0</v>
          </cell>
        </row>
        <row r="730">
          <cell r="A730">
            <v>97913</v>
          </cell>
          <cell r="B730" t="str">
            <v>THE NEW REIDSVILLE HOUSING AUTH</v>
          </cell>
          <cell r="C730">
            <v>2.8600000000000001E-5</v>
          </cell>
          <cell r="E730">
            <v>5124</v>
          </cell>
          <cell r="F730">
            <v>4198</v>
          </cell>
          <cell r="G730">
            <v>3408</v>
          </cell>
          <cell r="H730">
            <v>0</v>
          </cell>
          <cell r="I730">
            <v>0</v>
          </cell>
        </row>
        <row r="731">
          <cell r="A731">
            <v>97917</v>
          </cell>
          <cell r="B731" t="str">
            <v>REIDSVILLE ABC BOARD</v>
          </cell>
          <cell r="C731">
            <v>1.84E-5</v>
          </cell>
          <cell r="E731">
            <v>3297</v>
          </cell>
          <cell r="F731">
            <v>2701</v>
          </cell>
          <cell r="G731">
            <v>2192</v>
          </cell>
          <cell r="H731">
            <v>0</v>
          </cell>
          <cell r="I731">
            <v>0</v>
          </cell>
        </row>
        <row r="732">
          <cell r="A732">
            <v>97921</v>
          </cell>
          <cell r="B732" t="str">
            <v>TOWN OF MAYODAN</v>
          </cell>
          <cell r="C732">
            <v>2.073E-4</v>
          </cell>
          <cell r="E732">
            <v>37140</v>
          </cell>
          <cell r="F732">
            <v>30427</v>
          </cell>
          <cell r="G732">
            <v>24701</v>
          </cell>
          <cell r="H732">
            <v>0</v>
          </cell>
          <cell r="I732">
            <v>0</v>
          </cell>
        </row>
        <row r="733">
          <cell r="A733">
            <v>97931</v>
          </cell>
          <cell r="B733" t="str">
            <v>TOWN OF STONEVILLE</v>
          </cell>
          <cell r="C733">
            <v>6.6699999999999995E-5</v>
          </cell>
          <cell r="E733">
            <v>11950</v>
          </cell>
          <cell r="F733">
            <v>9790</v>
          </cell>
          <cell r="G733">
            <v>7948</v>
          </cell>
          <cell r="H733">
            <v>0</v>
          </cell>
          <cell r="I733">
            <v>0</v>
          </cell>
        </row>
        <row r="734">
          <cell r="A734">
            <v>97941</v>
          </cell>
          <cell r="B734" t="str">
            <v>TOWN OF MADISON</v>
          </cell>
          <cell r="C734">
            <v>2.143E-4</v>
          </cell>
          <cell r="E734">
            <v>38394</v>
          </cell>
          <cell r="F734">
            <v>31454</v>
          </cell>
          <cell r="G734">
            <v>25535</v>
          </cell>
          <cell r="H734">
            <v>0</v>
          </cell>
          <cell r="I734">
            <v>0</v>
          </cell>
        </row>
        <row r="735">
          <cell r="A735">
            <v>97947</v>
          </cell>
          <cell r="B735" t="str">
            <v>MADISON ABC BOARD</v>
          </cell>
          <cell r="C735">
            <v>1.52E-5</v>
          </cell>
          <cell r="E735">
            <v>2723</v>
          </cell>
          <cell r="F735">
            <v>2231</v>
          </cell>
          <cell r="G735">
            <v>1811</v>
          </cell>
          <cell r="H735">
            <v>0</v>
          </cell>
          <cell r="I735">
            <v>0</v>
          </cell>
        </row>
        <row r="736">
          <cell r="A736">
            <v>97948</v>
          </cell>
          <cell r="B736" t="str">
            <v>MADISON-MAYODAN RECREATION COMM</v>
          </cell>
          <cell r="C736">
            <v>2.6100000000000001E-5</v>
          </cell>
          <cell r="E736">
            <v>4676</v>
          </cell>
          <cell r="F736">
            <v>3831</v>
          </cell>
          <cell r="G736">
            <v>3110</v>
          </cell>
          <cell r="H736">
            <v>0</v>
          </cell>
          <cell r="I736">
            <v>0</v>
          </cell>
        </row>
        <row r="737">
          <cell r="A737">
            <v>97951</v>
          </cell>
          <cell r="B737" t="str">
            <v>CITY OF EDEN</v>
          </cell>
          <cell r="C737">
            <v>1.1746E-3</v>
          </cell>
          <cell r="E737">
            <v>210444</v>
          </cell>
          <cell r="F737">
            <v>172403</v>
          </cell>
          <cell r="G737">
            <v>139962</v>
          </cell>
          <cell r="H737">
            <v>0</v>
          </cell>
          <cell r="I737">
            <v>0</v>
          </cell>
        </row>
        <row r="738">
          <cell r="A738">
            <v>97957</v>
          </cell>
          <cell r="B738" t="str">
            <v>EDEN ABC BOARD</v>
          </cell>
          <cell r="C738">
            <v>1.49E-5</v>
          </cell>
          <cell r="E738">
            <v>2670</v>
          </cell>
          <cell r="F738">
            <v>2187</v>
          </cell>
          <cell r="G738">
            <v>1775</v>
          </cell>
          <cell r="H738">
            <v>0</v>
          </cell>
          <cell r="I738">
            <v>0</v>
          </cell>
        </row>
        <row r="739">
          <cell r="A739">
            <v>98001</v>
          </cell>
          <cell r="B739" t="str">
            <v>ROWAN COUNTY</v>
          </cell>
          <cell r="C739">
            <v>5.3171E-3</v>
          </cell>
          <cell r="E739">
            <v>952622</v>
          </cell>
          <cell r="F739">
            <v>780423</v>
          </cell>
          <cell r="G739">
            <v>633570</v>
          </cell>
          <cell r="H739">
            <v>0</v>
          </cell>
          <cell r="I739">
            <v>0</v>
          </cell>
        </row>
        <row r="740">
          <cell r="A740">
            <v>98002</v>
          </cell>
          <cell r="B740" t="str">
            <v>ROWAN CONVENTION &amp; VISTORS BUREAU</v>
          </cell>
          <cell r="C740">
            <v>6.1999999999999999E-6</v>
          </cell>
          <cell r="E740">
            <v>1111</v>
          </cell>
          <cell r="F740">
            <v>910</v>
          </cell>
          <cell r="G740">
            <v>739</v>
          </cell>
          <cell r="H740">
            <v>0</v>
          </cell>
          <cell r="I740">
            <v>0</v>
          </cell>
        </row>
        <row r="741">
          <cell r="A741">
            <v>98003</v>
          </cell>
          <cell r="B741" t="str">
            <v>ROWAN CO HOUSING AUTHORITY</v>
          </cell>
          <cell r="C741">
            <v>6.9499999999999995E-5</v>
          </cell>
          <cell r="E741">
            <v>12452</v>
          </cell>
          <cell r="F741">
            <v>10201</v>
          </cell>
          <cell r="G741">
            <v>8281</v>
          </cell>
          <cell r="H741">
            <v>0</v>
          </cell>
          <cell r="I741">
            <v>0</v>
          </cell>
        </row>
        <row r="742">
          <cell r="A742">
            <v>98004</v>
          </cell>
          <cell r="B742" t="str">
            <v>ROWAN COUNTY ABC BOARD</v>
          </cell>
          <cell r="C742">
            <v>1.2530000000000001E-4</v>
          </cell>
          <cell r="E742">
            <v>22449</v>
          </cell>
          <cell r="F742">
            <v>18391</v>
          </cell>
          <cell r="G742">
            <v>14930</v>
          </cell>
          <cell r="H742">
            <v>0</v>
          </cell>
          <cell r="I742">
            <v>0</v>
          </cell>
        </row>
        <row r="743">
          <cell r="A743">
            <v>98008</v>
          </cell>
          <cell r="B743" t="str">
            <v>ROWAN CO SOIL &amp; WATER CONV DIST</v>
          </cell>
          <cell r="C743">
            <v>7.1999999999999997E-6</v>
          </cell>
          <cell r="E743">
            <v>1290</v>
          </cell>
          <cell r="F743">
            <v>1057</v>
          </cell>
          <cell r="G743">
            <v>858</v>
          </cell>
          <cell r="H743">
            <v>0</v>
          </cell>
          <cell r="I743">
            <v>0</v>
          </cell>
        </row>
        <row r="744">
          <cell r="A744">
            <v>98011</v>
          </cell>
          <cell r="B744" t="str">
            <v>CITY OF SALISBURY</v>
          </cell>
          <cell r="C744">
            <v>3.4512000000000002E-3</v>
          </cell>
          <cell r="E744">
            <v>618324</v>
          </cell>
          <cell r="F744">
            <v>506553</v>
          </cell>
          <cell r="G744">
            <v>411235</v>
          </cell>
          <cell r="H744">
            <v>0</v>
          </cell>
          <cell r="I744">
            <v>0</v>
          </cell>
        </row>
        <row r="745">
          <cell r="A745">
            <v>98013</v>
          </cell>
          <cell r="B745" t="str">
            <v>HOUSING AUTH OF THE CTY OF SALISBURY</v>
          </cell>
          <cell r="C745">
            <v>1.3990000000000001E-4</v>
          </cell>
          <cell r="E745">
            <v>25065</v>
          </cell>
          <cell r="F745">
            <v>20534</v>
          </cell>
          <cell r="G745">
            <v>16670</v>
          </cell>
          <cell r="H745">
            <v>0</v>
          </cell>
          <cell r="I745">
            <v>0</v>
          </cell>
        </row>
        <row r="746">
          <cell r="A746">
            <v>98021</v>
          </cell>
          <cell r="B746" t="str">
            <v>TOWN OF EAST SPENCER</v>
          </cell>
          <cell r="C746">
            <v>4.2400000000000001E-5</v>
          </cell>
          <cell r="E746">
            <v>7596</v>
          </cell>
          <cell r="F746">
            <v>6223</v>
          </cell>
          <cell r="G746">
            <v>5052</v>
          </cell>
          <cell r="H746">
            <v>0</v>
          </cell>
          <cell r="I746">
            <v>0</v>
          </cell>
        </row>
        <row r="747">
          <cell r="A747">
            <v>98023</v>
          </cell>
          <cell r="B747" t="str">
            <v>EAST SPENCER HOUSING AUTHORITY</v>
          </cell>
          <cell r="C747">
            <v>8.8000000000000004E-6</v>
          </cell>
          <cell r="E747">
            <v>1577</v>
          </cell>
          <cell r="F747">
            <v>1292</v>
          </cell>
          <cell r="G747">
            <v>1049</v>
          </cell>
          <cell r="H747">
            <v>0</v>
          </cell>
          <cell r="I747">
            <v>0</v>
          </cell>
        </row>
        <row r="748">
          <cell r="A748">
            <v>98031</v>
          </cell>
          <cell r="B748" t="str">
            <v>TOWN OF SPENCER</v>
          </cell>
          <cell r="C748">
            <v>1.5410000000000001E-4</v>
          </cell>
          <cell r="E748">
            <v>27609</v>
          </cell>
          <cell r="F748">
            <v>22618</v>
          </cell>
          <cell r="G748">
            <v>18362</v>
          </cell>
          <cell r="H748">
            <v>0</v>
          </cell>
          <cell r="I748">
            <v>0</v>
          </cell>
        </row>
        <row r="749">
          <cell r="A749">
            <v>98041</v>
          </cell>
          <cell r="B749" t="str">
            <v>TOWN OF CHINA GROVE</v>
          </cell>
          <cell r="C749">
            <v>2.3560000000000001E-4</v>
          </cell>
          <cell r="E749">
            <v>42211</v>
          </cell>
          <cell r="F749">
            <v>34580</v>
          </cell>
          <cell r="G749">
            <v>28073</v>
          </cell>
          <cell r="H749">
            <v>0</v>
          </cell>
          <cell r="I749">
            <v>0</v>
          </cell>
        </row>
        <row r="750">
          <cell r="A750">
            <v>98051</v>
          </cell>
          <cell r="B750" t="str">
            <v>TOWN OF LANDIS</v>
          </cell>
          <cell r="C750">
            <v>2.9750000000000002E-4</v>
          </cell>
          <cell r="E750">
            <v>53301</v>
          </cell>
          <cell r="F750">
            <v>43666</v>
          </cell>
          <cell r="G750">
            <v>35449</v>
          </cell>
          <cell r="H750">
            <v>0</v>
          </cell>
          <cell r="I750">
            <v>0</v>
          </cell>
        </row>
        <row r="751">
          <cell r="A751">
            <v>98061</v>
          </cell>
          <cell r="B751" t="str">
            <v>TOWN OF GRANITE QUARRY</v>
          </cell>
          <cell r="C751">
            <v>1.208E-4</v>
          </cell>
          <cell r="E751">
            <v>21643</v>
          </cell>
          <cell r="F751">
            <v>17731</v>
          </cell>
          <cell r="G751">
            <v>14394</v>
          </cell>
          <cell r="H751">
            <v>0</v>
          </cell>
          <cell r="I751">
            <v>0</v>
          </cell>
        </row>
        <row r="752">
          <cell r="A752">
            <v>98071</v>
          </cell>
          <cell r="B752" t="str">
            <v>TOWN OF ROCKWELL</v>
          </cell>
          <cell r="C752">
            <v>4.74E-5</v>
          </cell>
          <cell r="E752">
            <v>8492</v>
          </cell>
          <cell r="F752">
            <v>6957</v>
          </cell>
          <cell r="G752">
            <v>5648</v>
          </cell>
          <cell r="H752">
            <v>0</v>
          </cell>
          <cell r="I752">
            <v>0</v>
          </cell>
        </row>
        <row r="753">
          <cell r="A753">
            <v>98081</v>
          </cell>
          <cell r="B753" t="str">
            <v>TOWN OF FAITH</v>
          </cell>
          <cell r="C753">
            <v>1.5800000000000001E-5</v>
          </cell>
          <cell r="E753">
            <v>2831</v>
          </cell>
          <cell r="F753">
            <v>2319</v>
          </cell>
          <cell r="G753">
            <v>1883</v>
          </cell>
          <cell r="H753">
            <v>0</v>
          </cell>
          <cell r="I753">
            <v>0</v>
          </cell>
        </row>
        <row r="754">
          <cell r="A754">
            <v>98091</v>
          </cell>
          <cell r="B754" t="str">
            <v>TOWN OF CLEVELAND</v>
          </cell>
          <cell r="C754">
            <v>6.7000000000000002E-5</v>
          </cell>
          <cell r="E754">
            <v>12004</v>
          </cell>
          <cell r="F754">
            <v>9834</v>
          </cell>
          <cell r="G754">
            <v>7984</v>
          </cell>
          <cell r="H754">
            <v>0</v>
          </cell>
          <cell r="I754">
            <v>0</v>
          </cell>
        </row>
        <row r="755">
          <cell r="A755">
            <v>98101</v>
          </cell>
          <cell r="B755" t="str">
            <v>RUTHERFORD COUNTY</v>
          </cell>
          <cell r="C755">
            <v>2.6901E-3</v>
          </cell>
          <cell r="E755">
            <v>481964</v>
          </cell>
          <cell r="F755">
            <v>394842</v>
          </cell>
          <cell r="G755">
            <v>320544</v>
          </cell>
          <cell r="H755">
            <v>0</v>
          </cell>
          <cell r="I755">
            <v>0</v>
          </cell>
        </row>
        <row r="756">
          <cell r="A756">
            <v>98102</v>
          </cell>
          <cell r="B756" t="str">
            <v>BROAD RIVER WATER AUTHORITY</v>
          </cell>
          <cell r="C756">
            <v>1.573E-4</v>
          </cell>
          <cell r="E756">
            <v>28182</v>
          </cell>
          <cell r="F756">
            <v>23088</v>
          </cell>
          <cell r="G756">
            <v>18743</v>
          </cell>
          <cell r="H756">
            <v>0</v>
          </cell>
          <cell r="I756">
            <v>0</v>
          </cell>
        </row>
        <row r="757">
          <cell r="A757">
            <v>98103</v>
          </cell>
          <cell r="B757" t="str">
            <v>RUTHERFORD POLK MCDOWELL DIST BRD OF HEALTH</v>
          </cell>
          <cell r="C757">
            <v>5.04E-4</v>
          </cell>
          <cell r="E757">
            <v>90298</v>
          </cell>
          <cell r="F757">
            <v>73975</v>
          </cell>
          <cell r="G757">
            <v>60055</v>
          </cell>
          <cell r="H757">
            <v>0</v>
          </cell>
          <cell r="I757">
            <v>0</v>
          </cell>
        </row>
        <row r="758">
          <cell r="A758">
            <v>98107</v>
          </cell>
          <cell r="B758" t="str">
            <v>FOREST CITY ABC BOARD 168</v>
          </cell>
          <cell r="C758">
            <v>9.3999999999999998E-6</v>
          </cell>
          <cell r="E758">
            <v>1684</v>
          </cell>
          <cell r="F758">
            <v>1380</v>
          </cell>
          <cell r="G758">
            <v>1120</v>
          </cell>
          <cell r="H758">
            <v>0</v>
          </cell>
          <cell r="I758">
            <v>0</v>
          </cell>
        </row>
        <row r="759">
          <cell r="A759">
            <v>98109</v>
          </cell>
          <cell r="B759" t="str">
            <v>ISOTHERMAL PLANNING AND DEV COMM</v>
          </cell>
          <cell r="C759">
            <v>1.595E-4</v>
          </cell>
          <cell r="E759">
            <v>28576</v>
          </cell>
          <cell r="F759">
            <v>23411</v>
          </cell>
          <cell r="G759">
            <v>19006</v>
          </cell>
          <cell r="H759">
            <v>0</v>
          </cell>
          <cell r="I759">
            <v>0</v>
          </cell>
        </row>
        <row r="760">
          <cell r="A760">
            <v>98111</v>
          </cell>
          <cell r="B760" t="str">
            <v>TOWN OF FOREST CITY</v>
          </cell>
          <cell r="C760">
            <v>1.0231999999999999E-3</v>
          </cell>
          <cell r="E760">
            <v>183319</v>
          </cell>
          <cell r="F760">
            <v>150181</v>
          </cell>
          <cell r="G760">
            <v>121921</v>
          </cell>
          <cell r="H760">
            <v>0</v>
          </cell>
          <cell r="I760">
            <v>0</v>
          </cell>
        </row>
        <row r="761">
          <cell r="A761">
            <v>98113</v>
          </cell>
          <cell r="B761" t="str">
            <v>FOREST CITY HOUSING AUTHORITY</v>
          </cell>
          <cell r="C761">
            <v>3.3899999999999997E-5</v>
          </cell>
          <cell r="E761">
            <v>6074</v>
          </cell>
          <cell r="F761">
            <v>4976</v>
          </cell>
          <cell r="G761">
            <v>4039</v>
          </cell>
          <cell r="H761">
            <v>0</v>
          </cell>
          <cell r="I761">
            <v>0</v>
          </cell>
        </row>
        <row r="762">
          <cell r="A762">
            <v>98121</v>
          </cell>
          <cell r="B762" t="str">
            <v>TOWN OF SPINDALE</v>
          </cell>
          <cell r="C762">
            <v>2.1259999999999999E-4</v>
          </cell>
          <cell r="E762">
            <v>38090</v>
          </cell>
          <cell r="F762">
            <v>31205</v>
          </cell>
          <cell r="G762">
            <v>25333</v>
          </cell>
          <cell r="H762">
            <v>0</v>
          </cell>
          <cell r="I762">
            <v>0</v>
          </cell>
        </row>
        <row r="763">
          <cell r="A763">
            <v>98131</v>
          </cell>
          <cell r="B763" t="str">
            <v>TOWN OF LAKE LURE</v>
          </cell>
          <cell r="C763">
            <v>2.519E-4</v>
          </cell>
          <cell r="E763">
            <v>45131</v>
          </cell>
          <cell r="F763">
            <v>36973</v>
          </cell>
          <cell r="G763">
            <v>30016</v>
          </cell>
          <cell r="H763">
            <v>0</v>
          </cell>
          <cell r="I763">
            <v>0</v>
          </cell>
        </row>
        <row r="764">
          <cell r="A764">
            <v>98141</v>
          </cell>
          <cell r="B764" t="str">
            <v>TOWN OF RUTHERFORDTON</v>
          </cell>
          <cell r="C764">
            <v>2.8699999999999998E-4</v>
          </cell>
          <cell r="E764">
            <v>51419</v>
          </cell>
          <cell r="F764">
            <v>42125</v>
          </cell>
          <cell r="G764">
            <v>34198</v>
          </cell>
          <cell r="H764">
            <v>0</v>
          </cell>
          <cell r="I764">
            <v>0</v>
          </cell>
        </row>
        <row r="765">
          <cell r="A765">
            <v>98147</v>
          </cell>
          <cell r="B765" t="str">
            <v>TOWN OF RUTHERFORDTON ABC BRD</v>
          </cell>
          <cell r="C765">
            <v>1.0699999999999999E-5</v>
          </cell>
          <cell r="E765">
            <v>1917</v>
          </cell>
          <cell r="F765">
            <v>1571</v>
          </cell>
          <cell r="G765">
            <v>1275</v>
          </cell>
          <cell r="H765">
            <v>0</v>
          </cell>
          <cell r="I765">
            <v>0</v>
          </cell>
        </row>
        <row r="766">
          <cell r="A766">
            <v>98161</v>
          </cell>
          <cell r="B766" t="str">
            <v>TOWN OF ELLENBORO</v>
          </cell>
          <cell r="C766">
            <v>6.1999999999999999E-6</v>
          </cell>
          <cell r="E766">
            <v>1111</v>
          </cell>
          <cell r="F766">
            <v>910</v>
          </cell>
          <cell r="G766">
            <v>739</v>
          </cell>
          <cell r="H766">
            <v>0</v>
          </cell>
          <cell r="I766">
            <v>0</v>
          </cell>
        </row>
        <row r="767">
          <cell r="A767">
            <v>98201</v>
          </cell>
          <cell r="B767" t="str">
            <v>SAMPSON COUNTY</v>
          </cell>
          <cell r="C767">
            <v>3.3482999999999998E-3</v>
          </cell>
          <cell r="E767">
            <v>599888</v>
          </cell>
          <cell r="F767">
            <v>491450</v>
          </cell>
          <cell r="G767">
            <v>398973</v>
          </cell>
          <cell r="H767">
            <v>0</v>
          </cell>
          <cell r="I767">
            <v>0</v>
          </cell>
        </row>
        <row r="768">
          <cell r="A768">
            <v>98205</v>
          </cell>
          <cell r="B768" t="str">
            <v>J C HOLIDAY MEM LIBRARY</v>
          </cell>
          <cell r="C768">
            <v>4.0899999999999998E-5</v>
          </cell>
          <cell r="E768">
            <v>7328</v>
          </cell>
          <cell r="F768">
            <v>6003</v>
          </cell>
          <cell r="G768">
            <v>4874</v>
          </cell>
          <cell r="H768">
            <v>0</v>
          </cell>
          <cell r="I768">
            <v>0</v>
          </cell>
        </row>
        <row r="769">
          <cell r="A769">
            <v>98211</v>
          </cell>
          <cell r="B769" t="str">
            <v>CITY OF CLINTON</v>
          </cell>
          <cell r="C769">
            <v>9.0399999999999996E-4</v>
          </cell>
          <cell r="E769">
            <v>161962</v>
          </cell>
          <cell r="F769">
            <v>132686</v>
          </cell>
          <cell r="G769">
            <v>107718</v>
          </cell>
          <cell r="H769">
            <v>0</v>
          </cell>
          <cell r="I769">
            <v>0</v>
          </cell>
        </row>
        <row r="770">
          <cell r="A770">
            <v>98218</v>
          </cell>
          <cell r="B770" t="str">
            <v>CLINTON ABC BOARD</v>
          </cell>
          <cell r="C770">
            <v>1.8099999999999999E-5</v>
          </cell>
          <cell r="E770">
            <v>3243</v>
          </cell>
          <cell r="F770">
            <v>2657</v>
          </cell>
          <cell r="G770">
            <v>2157</v>
          </cell>
          <cell r="H770">
            <v>0</v>
          </cell>
          <cell r="I770">
            <v>0</v>
          </cell>
        </row>
        <row r="771">
          <cell r="A771">
            <v>98221</v>
          </cell>
          <cell r="B771" t="str">
            <v>TOWN OF SALEMBURG</v>
          </cell>
          <cell r="C771">
            <v>2.72E-5</v>
          </cell>
          <cell r="E771">
            <v>4873</v>
          </cell>
          <cell r="F771">
            <v>3992</v>
          </cell>
          <cell r="G771">
            <v>3241</v>
          </cell>
          <cell r="H771">
            <v>0</v>
          </cell>
          <cell r="I771">
            <v>0</v>
          </cell>
        </row>
        <row r="772">
          <cell r="A772">
            <v>98231</v>
          </cell>
          <cell r="B772" t="str">
            <v>TOWN OF NEWTON GROVE</v>
          </cell>
          <cell r="C772">
            <v>3.1699999999999998E-5</v>
          </cell>
          <cell r="E772">
            <v>5679</v>
          </cell>
          <cell r="F772">
            <v>4653</v>
          </cell>
          <cell r="G772">
            <v>3777</v>
          </cell>
          <cell r="H772">
            <v>0</v>
          </cell>
          <cell r="I772">
            <v>0</v>
          </cell>
        </row>
        <row r="773">
          <cell r="A773">
            <v>98237</v>
          </cell>
          <cell r="B773" t="str">
            <v>ROSEBORO ABC BOARD</v>
          </cell>
          <cell r="C773">
            <v>6.7000000000000002E-6</v>
          </cell>
          <cell r="E773">
            <v>1200</v>
          </cell>
          <cell r="F773">
            <v>983</v>
          </cell>
          <cell r="G773">
            <v>798</v>
          </cell>
          <cell r="H773">
            <v>0</v>
          </cell>
          <cell r="I773">
            <v>0</v>
          </cell>
        </row>
        <row r="774">
          <cell r="A774">
            <v>98241</v>
          </cell>
          <cell r="B774" t="str">
            <v>TOWN OF GARLAND</v>
          </cell>
          <cell r="C774">
            <v>1.7799999999999999E-5</v>
          </cell>
          <cell r="E774">
            <v>3189</v>
          </cell>
          <cell r="F774">
            <v>2613</v>
          </cell>
          <cell r="G774">
            <v>2121</v>
          </cell>
          <cell r="H774">
            <v>0</v>
          </cell>
          <cell r="I774">
            <v>0</v>
          </cell>
        </row>
        <row r="775">
          <cell r="A775">
            <v>98251</v>
          </cell>
          <cell r="B775" t="str">
            <v>TOWN OF TURKEY</v>
          </cell>
          <cell r="C775">
            <v>2.5000000000000002E-6</v>
          </cell>
          <cell r="E775">
            <v>448</v>
          </cell>
          <cell r="F775">
            <v>367</v>
          </cell>
          <cell r="G775">
            <v>298</v>
          </cell>
          <cell r="H775">
            <v>0</v>
          </cell>
          <cell r="I775">
            <v>0</v>
          </cell>
        </row>
        <row r="776">
          <cell r="A776">
            <v>98261</v>
          </cell>
          <cell r="B776" t="str">
            <v>TOWN OF ROSEBORO</v>
          </cell>
          <cell r="C776">
            <v>3.3699999999999999E-5</v>
          </cell>
          <cell r="E776">
            <v>6038</v>
          </cell>
          <cell r="F776">
            <v>4946</v>
          </cell>
          <cell r="G776">
            <v>4016</v>
          </cell>
          <cell r="H776">
            <v>0</v>
          </cell>
          <cell r="I776">
            <v>0</v>
          </cell>
        </row>
        <row r="777">
          <cell r="A777">
            <v>98271</v>
          </cell>
          <cell r="B777" t="str">
            <v>TOWN OF AUTRYVILLE</v>
          </cell>
          <cell r="C777">
            <v>5.2000000000000002E-6</v>
          </cell>
          <cell r="E777">
            <v>932</v>
          </cell>
          <cell r="F777">
            <v>763</v>
          </cell>
          <cell r="G777">
            <v>620</v>
          </cell>
          <cell r="H777">
            <v>0</v>
          </cell>
          <cell r="I777">
            <v>0</v>
          </cell>
        </row>
        <row r="778">
          <cell r="A778">
            <v>98301</v>
          </cell>
          <cell r="B778" t="str">
            <v>SCOTLAND COUNTY</v>
          </cell>
          <cell r="C778">
            <v>1.7742000000000001E-3</v>
          </cell>
          <cell r="E778">
            <v>317869</v>
          </cell>
          <cell r="F778">
            <v>260410</v>
          </cell>
          <cell r="G778">
            <v>211408</v>
          </cell>
          <cell r="H778">
            <v>0</v>
          </cell>
          <cell r="I778">
            <v>0</v>
          </cell>
        </row>
        <row r="779">
          <cell r="A779">
            <v>98304</v>
          </cell>
          <cell r="B779" t="str">
            <v>SCOTLAND COUNTY ABC BOARD</v>
          </cell>
          <cell r="C779">
            <v>2.0699999999999998E-5</v>
          </cell>
          <cell r="E779">
            <v>3709</v>
          </cell>
          <cell r="F779">
            <v>3038</v>
          </cell>
          <cell r="G779">
            <v>2467</v>
          </cell>
          <cell r="H779">
            <v>0</v>
          </cell>
          <cell r="I779">
            <v>0</v>
          </cell>
        </row>
        <row r="780">
          <cell r="A780">
            <v>98308</v>
          </cell>
          <cell r="B780" t="str">
            <v>LAURINBURG-MAXTON AIRPORT COMMISSION</v>
          </cell>
          <cell r="C780">
            <v>1.6099999999999998E-5</v>
          </cell>
          <cell r="E780">
            <v>2885</v>
          </cell>
          <cell r="F780">
            <v>2363</v>
          </cell>
          <cell r="G780">
            <v>1918</v>
          </cell>
          <cell r="H780">
            <v>0</v>
          </cell>
          <cell r="I780">
            <v>0</v>
          </cell>
        </row>
        <row r="781">
          <cell r="A781">
            <v>98311</v>
          </cell>
          <cell r="B781" t="str">
            <v>CITY OF LAURINBURG</v>
          </cell>
          <cell r="C781">
            <v>1.1073999999999999E-3</v>
          </cell>
          <cell r="E781">
            <v>198404</v>
          </cell>
          <cell r="F781">
            <v>162540</v>
          </cell>
          <cell r="G781">
            <v>131954</v>
          </cell>
          <cell r="H781">
            <v>0</v>
          </cell>
          <cell r="I781">
            <v>0</v>
          </cell>
        </row>
        <row r="782">
          <cell r="A782">
            <v>98313</v>
          </cell>
          <cell r="B782" t="str">
            <v>LAURINBURG HOUSING AUTHORITY</v>
          </cell>
          <cell r="C782">
            <v>2.1000000000000001E-4</v>
          </cell>
          <cell r="E782">
            <v>37624</v>
          </cell>
          <cell r="F782">
            <v>30823</v>
          </cell>
          <cell r="G782">
            <v>25023</v>
          </cell>
          <cell r="H782">
            <v>0</v>
          </cell>
          <cell r="I782">
            <v>0</v>
          </cell>
        </row>
        <row r="783">
          <cell r="A783">
            <v>98321</v>
          </cell>
          <cell r="B783" t="str">
            <v>TOWN OF WAGRAM</v>
          </cell>
          <cell r="C783">
            <v>1.6900000000000001E-5</v>
          </cell>
          <cell r="E783">
            <v>3028</v>
          </cell>
          <cell r="F783">
            <v>2481</v>
          </cell>
          <cell r="G783">
            <v>2014</v>
          </cell>
          <cell r="H783">
            <v>0</v>
          </cell>
          <cell r="I783">
            <v>0</v>
          </cell>
        </row>
        <row r="784">
          <cell r="A784">
            <v>98331</v>
          </cell>
          <cell r="B784" t="str">
            <v>TOWN OF GIBSON</v>
          </cell>
          <cell r="C784">
            <v>8.3999999999999992E-6</v>
          </cell>
          <cell r="E784">
            <v>1505</v>
          </cell>
          <cell r="F784">
            <v>1233</v>
          </cell>
          <cell r="G784">
            <v>1001</v>
          </cell>
          <cell r="H784">
            <v>0</v>
          </cell>
          <cell r="I784">
            <v>0</v>
          </cell>
        </row>
        <row r="785">
          <cell r="A785">
            <v>98401</v>
          </cell>
          <cell r="B785" t="str">
            <v>STANLY COUNTY</v>
          </cell>
          <cell r="C785">
            <v>2.9618000000000001E-3</v>
          </cell>
          <cell r="E785">
            <v>530642</v>
          </cell>
          <cell r="F785">
            <v>434721</v>
          </cell>
          <cell r="G785">
            <v>352919</v>
          </cell>
          <cell r="H785">
            <v>0</v>
          </cell>
          <cell r="I785">
            <v>0</v>
          </cell>
        </row>
        <row r="786">
          <cell r="A786">
            <v>98404</v>
          </cell>
          <cell r="B786" t="str">
            <v>LOCUST ABC BOARD</v>
          </cell>
          <cell r="C786">
            <v>1.43E-5</v>
          </cell>
          <cell r="E786">
            <v>2562</v>
          </cell>
          <cell r="F786">
            <v>2099</v>
          </cell>
          <cell r="G786">
            <v>1704</v>
          </cell>
          <cell r="H786">
            <v>0</v>
          </cell>
          <cell r="I786">
            <v>0</v>
          </cell>
        </row>
        <row r="787">
          <cell r="A787">
            <v>98411</v>
          </cell>
          <cell r="B787" t="str">
            <v>CITY OF ALBEMARLE</v>
          </cell>
          <cell r="C787">
            <v>1.9082000000000001E-3</v>
          </cell>
          <cell r="E787">
            <v>341877</v>
          </cell>
          <cell r="F787">
            <v>280078</v>
          </cell>
          <cell r="G787">
            <v>227375</v>
          </cell>
          <cell r="H787">
            <v>0</v>
          </cell>
          <cell r="I787">
            <v>0</v>
          </cell>
        </row>
        <row r="788">
          <cell r="A788">
            <v>98414</v>
          </cell>
          <cell r="B788" t="str">
            <v>VILLAGE OF MISENHEIMER</v>
          </cell>
          <cell r="C788">
            <v>3.01E-5</v>
          </cell>
          <cell r="E788">
            <v>5393</v>
          </cell>
          <cell r="F788">
            <v>4418</v>
          </cell>
          <cell r="G788">
            <v>3587</v>
          </cell>
          <cell r="H788">
            <v>0</v>
          </cell>
          <cell r="I788">
            <v>0</v>
          </cell>
        </row>
        <row r="789">
          <cell r="A789">
            <v>98417</v>
          </cell>
          <cell r="B789" t="str">
            <v>ALBEMARLE ABC BOARD</v>
          </cell>
          <cell r="C789">
            <v>2.23E-5</v>
          </cell>
          <cell r="E789">
            <v>3995</v>
          </cell>
          <cell r="F789">
            <v>3273</v>
          </cell>
          <cell r="G789">
            <v>2657</v>
          </cell>
          <cell r="H789">
            <v>0</v>
          </cell>
          <cell r="I789">
            <v>0</v>
          </cell>
        </row>
        <row r="790">
          <cell r="A790">
            <v>98421</v>
          </cell>
          <cell r="B790" t="str">
            <v>TOWN OF NORWOOD</v>
          </cell>
          <cell r="C790">
            <v>1.121E-4</v>
          </cell>
          <cell r="E790">
            <v>20084</v>
          </cell>
          <cell r="F790">
            <v>16454</v>
          </cell>
          <cell r="G790">
            <v>13357</v>
          </cell>
          <cell r="H790">
            <v>0</v>
          </cell>
          <cell r="I790">
            <v>0</v>
          </cell>
        </row>
        <row r="791">
          <cell r="A791">
            <v>98427</v>
          </cell>
          <cell r="B791" t="str">
            <v>NORWOOD ABC BD</v>
          </cell>
          <cell r="C791">
            <v>3.1E-6</v>
          </cell>
          <cell r="E791">
            <v>555</v>
          </cell>
          <cell r="F791">
            <v>455</v>
          </cell>
          <cell r="G791">
            <v>369</v>
          </cell>
          <cell r="H791">
            <v>0</v>
          </cell>
          <cell r="I791">
            <v>0</v>
          </cell>
        </row>
        <row r="792">
          <cell r="A792">
            <v>98431</v>
          </cell>
          <cell r="B792" t="str">
            <v>CITY OF LOCUST</v>
          </cell>
          <cell r="C792">
            <v>1.997E-4</v>
          </cell>
          <cell r="E792">
            <v>35779</v>
          </cell>
          <cell r="F792">
            <v>29311</v>
          </cell>
          <cell r="G792">
            <v>23796</v>
          </cell>
          <cell r="H792">
            <v>0</v>
          </cell>
          <cell r="I792">
            <v>0</v>
          </cell>
        </row>
        <row r="793">
          <cell r="A793">
            <v>98441</v>
          </cell>
          <cell r="B793" t="str">
            <v>TOWN OF OAKBORO</v>
          </cell>
          <cell r="C793">
            <v>1.0230000000000001E-4</v>
          </cell>
          <cell r="E793">
            <v>18328</v>
          </cell>
          <cell r="F793">
            <v>15015</v>
          </cell>
          <cell r="G793">
            <v>12190</v>
          </cell>
          <cell r="H793">
            <v>0</v>
          </cell>
          <cell r="I793">
            <v>0</v>
          </cell>
        </row>
        <row r="794">
          <cell r="A794">
            <v>98451</v>
          </cell>
          <cell r="B794" t="str">
            <v>TOWN OF BADIN</v>
          </cell>
          <cell r="C794">
            <v>4.6100000000000002E-5</v>
          </cell>
          <cell r="E794">
            <v>8259</v>
          </cell>
          <cell r="F794">
            <v>6766</v>
          </cell>
          <cell r="G794">
            <v>5493</v>
          </cell>
          <cell r="H794">
            <v>0</v>
          </cell>
          <cell r="I794">
            <v>0</v>
          </cell>
        </row>
        <row r="795">
          <cell r="A795">
            <v>98471</v>
          </cell>
          <cell r="B795" t="str">
            <v>TOWN OF NEW LONDON</v>
          </cell>
          <cell r="C795">
            <v>6.3999999999999997E-6</v>
          </cell>
          <cell r="E795">
            <v>1147</v>
          </cell>
          <cell r="F795">
            <v>939</v>
          </cell>
          <cell r="G795">
            <v>763</v>
          </cell>
          <cell r="H795">
            <v>0</v>
          </cell>
          <cell r="I795">
            <v>0</v>
          </cell>
        </row>
        <row r="796">
          <cell r="A796">
            <v>98481</v>
          </cell>
          <cell r="B796" t="str">
            <v>TOWN OF STANFIELD</v>
          </cell>
          <cell r="C796">
            <v>6.1600000000000007E-5</v>
          </cell>
          <cell r="E796">
            <v>11036</v>
          </cell>
          <cell r="F796">
            <v>9041</v>
          </cell>
          <cell r="G796">
            <v>7340</v>
          </cell>
          <cell r="H796">
            <v>0</v>
          </cell>
          <cell r="I796">
            <v>0</v>
          </cell>
        </row>
        <row r="797">
          <cell r="A797">
            <v>98501</v>
          </cell>
          <cell r="B797" t="str">
            <v>STOKES COUNTY</v>
          </cell>
          <cell r="C797">
            <v>1.655E-3</v>
          </cell>
          <cell r="E797">
            <v>296513</v>
          </cell>
          <cell r="F797">
            <v>242914</v>
          </cell>
          <cell r="G797">
            <v>197205</v>
          </cell>
          <cell r="H797">
            <v>0</v>
          </cell>
          <cell r="I797">
            <v>0</v>
          </cell>
        </row>
        <row r="798">
          <cell r="A798">
            <v>98511</v>
          </cell>
          <cell r="B798" t="str">
            <v>TOWN OF WALNUT COVE</v>
          </cell>
          <cell r="C798">
            <v>4.9400000000000001E-5</v>
          </cell>
          <cell r="E798">
            <v>8851</v>
          </cell>
          <cell r="F798">
            <v>7251</v>
          </cell>
          <cell r="G798">
            <v>5886</v>
          </cell>
          <cell r="H798">
            <v>0</v>
          </cell>
          <cell r="I798">
            <v>0</v>
          </cell>
        </row>
        <row r="799">
          <cell r="A799">
            <v>98517</v>
          </cell>
          <cell r="B799" t="str">
            <v>WALNUT COVE ABC BOARD</v>
          </cell>
          <cell r="C799">
            <v>2.3999999999999999E-6</v>
          </cell>
          <cell r="E799">
            <v>430</v>
          </cell>
          <cell r="F799">
            <v>352</v>
          </cell>
          <cell r="G799">
            <v>286</v>
          </cell>
          <cell r="H799">
            <v>0</v>
          </cell>
          <cell r="I799">
            <v>0</v>
          </cell>
        </row>
        <row r="800">
          <cell r="A800">
            <v>98521</v>
          </cell>
          <cell r="B800" t="str">
            <v>CITY OF KING</v>
          </cell>
          <cell r="C800">
            <v>6.3349999999999995E-4</v>
          </cell>
          <cell r="E800">
            <v>113499</v>
          </cell>
          <cell r="F800">
            <v>92983</v>
          </cell>
          <cell r="G800">
            <v>75486</v>
          </cell>
          <cell r="H800">
            <v>0</v>
          </cell>
          <cell r="I800">
            <v>0</v>
          </cell>
        </row>
        <row r="801">
          <cell r="A801">
            <v>98601</v>
          </cell>
          <cell r="B801" t="str">
            <v>SURRY COUNTY</v>
          </cell>
          <cell r="C801">
            <v>3.5866000000000001E-3</v>
          </cell>
          <cell r="E801">
            <v>642582</v>
          </cell>
          <cell r="F801">
            <v>526427</v>
          </cell>
          <cell r="G801">
            <v>427368</v>
          </cell>
          <cell r="H801">
            <v>0</v>
          </cell>
          <cell r="I801">
            <v>0</v>
          </cell>
        </row>
        <row r="802">
          <cell r="A802">
            <v>98604</v>
          </cell>
          <cell r="B802" t="str">
            <v>YADKIN VALLEY ABC BOARD</v>
          </cell>
          <cell r="C802">
            <v>1.2099999999999999E-5</v>
          </cell>
          <cell r="E802">
            <v>2168</v>
          </cell>
          <cell r="F802">
            <v>1776</v>
          </cell>
          <cell r="G802">
            <v>1442</v>
          </cell>
          <cell r="H802">
            <v>0</v>
          </cell>
          <cell r="I802">
            <v>0</v>
          </cell>
        </row>
        <row r="803">
          <cell r="A803">
            <v>98607</v>
          </cell>
          <cell r="B803" t="str">
            <v>PILOT MOUNTAIN ABC BOARD</v>
          </cell>
          <cell r="C803">
            <v>5.4E-6</v>
          </cell>
          <cell r="E803">
            <v>967</v>
          </cell>
          <cell r="F803">
            <v>793</v>
          </cell>
          <cell r="G803">
            <v>643</v>
          </cell>
          <cell r="H803">
            <v>0</v>
          </cell>
          <cell r="I803">
            <v>0</v>
          </cell>
        </row>
        <row r="804">
          <cell r="A804">
            <v>98608</v>
          </cell>
          <cell r="B804" t="str">
            <v>YADKIN VALLEY SEWER AUTHORITY</v>
          </cell>
          <cell r="C804">
            <v>5.1799999999999999E-5</v>
          </cell>
          <cell r="E804">
            <v>9281</v>
          </cell>
          <cell r="F804">
            <v>7603</v>
          </cell>
          <cell r="G804">
            <v>6172</v>
          </cell>
          <cell r="H804">
            <v>0</v>
          </cell>
          <cell r="I804">
            <v>0</v>
          </cell>
        </row>
        <row r="805">
          <cell r="A805">
            <v>98611</v>
          </cell>
          <cell r="B805" t="str">
            <v>TOWN OF PILOT MOUNTAIN</v>
          </cell>
          <cell r="C805">
            <v>1.1959999999999999E-4</v>
          </cell>
          <cell r="E805">
            <v>21428</v>
          </cell>
          <cell r="F805">
            <v>17554</v>
          </cell>
          <cell r="G805">
            <v>14251</v>
          </cell>
          <cell r="H805">
            <v>0</v>
          </cell>
          <cell r="I805">
            <v>0</v>
          </cell>
        </row>
        <row r="806">
          <cell r="A806">
            <v>98621</v>
          </cell>
          <cell r="B806" t="str">
            <v>TOWN OF DOBSON</v>
          </cell>
          <cell r="C806">
            <v>1.2899999999999999E-4</v>
          </cell>
          <cell r="E806">
            <v>23112</v>
          </cell>
          <cell r="F806">
            <v>18934</v>
          </cell>
          <cell r="G806">
            <v>15371</v>
          </cell>
          <cell r="H806">
            <v>0</v>
          </cell>
          <cell r="I806">
            <v>0</v>
          </cell>
        </row>
        <row r="807">
          <cell r="A807">
            <v>98627</v>
          </cell>
          <cell r="B807" t="str">
            <v>DOBSON ABC BD</v>
          </cell>
          <cell r="C807">
            <v>7.7999999999999999E-6</v>
          </cell>
          <cell r="E807">
            <v>1397</v>
          </cell>
          <cell r="F807">
            <v>1145</v>
          </cell>
          <cell r="G807">
            <v>929</v>
          </cell>
          <cell r="H807">
            <v>0</v>
          </cell>
          <cell r="I807">
            <v>0</v>
          </cell>
        </row>
        <row r="808">
          <cell r="A808">
            <v>98631</v>
          </cell>
          <cell r="B808" t="str">
            <v>CITY OF MOUNT AIRY</v>
          </cell>
          <cell r="C808">
            <v>1.0042E-3</v>
          </cell>
          <cell r="E808">
            <v>179914</v>
          </cell>
          <cell r="F808">
            <v>147392</v>
          </cell>
          <cell r="G808">
            <v>119657</v>
          </cell>
          <cell r="H808">
            <v>0</v>
          </cell>
          <cell r="I808">
            <v>0</v>
          </cell>
        </row>
        <row r="809">
          <cell r="A809">
            <v>98637</v>
          </cell>
          <cell r="B809" t="str">
            <v>MOUNT AIRY ALCOHOLIC BOARD OF CONTROL</v>
          </cell>
          <cell r="C809">
            <v>1.5800000000000001E-5</v>
          </cell>
          <cell r="E809">
            <v>2831</v>
          </cell>
          <cell r="F809">
            <v>2319</v>
          </cell>
          <cell r="G809">
            <v>1883</v>
          </cell>
          <cell r="H809">
            <v>0</v>
          </cell>
          <cell r="I809">
            <v>0</v>
          </cell>
        </row>
        <row r="810">
          <cell r="A810">
            <v>98641</v>
          </cell>
          <cell r="B810" t="str">
            <v>TOWN OF ELKIN</v>
          </cell>
          <cell r="C810">
            <v>2.7090000000000003E-4</v>
          </cell>
          <cell r="E810">
            <v>48535</v>
          </cell>
          <cell r="F810">
            <v>39762</v>
          </cell>
          <cell r="G810">
            <v>32280</v>
          </cell>
          <cell r="H810">
            <v>0</v>
          </cell>
          <cell r="I810">
            <v>0</v>
          </cell>
        </row>
        <row r="811">
          <cell r="A811">
            <v>98647</v>
          </cell>
          <cell r="B811" t="str">
            <v>ELKIN ABC BOARD</v>
          </cell>
          <cell r="C811">
            <v>0</v>
          </cell>
          <cell r="E811">
            <v>0</v>
          </cell>
          <cell r="F811">
            <v>0</v>
          </cell>
          <cell r="G811">
            <v>0</v>
          </cell>
          <cell r="H811">
            <v>0</v>
          </cell>
          <cell r="I811">
            <v>0</v>
          </cell>
        </row>
        <row r="812">
          <cell r="A812">
            <v>98701</v>
          </cell>
          <cell r="B812" t="str">
            <v>SWAIN COUNTY</v>
          </cell>
          <cell r="C812">
            <v>9.7790000000000008E-4</v>
          </cell>
          <cell r="E812">
            <v>175203</v>
          </cell>
          <cell r="F812">
            <v>143532</v>
          </cell>
          <cell r="G812">
            <v>116524</v>
          </cell>
          <cell r="H812">
            <v>0</v>
          </cell>
          <cell r="I812">
            <v>0</v>
          </cell>
        </row>
        <row r="813">
          <cell r="A813">
            <v>98711</v>
          </cell>
          <cell r="B813" t="str">
            <v>TOWN OF BRYSON CITY</v>
          </cell>
          <cell r="C813">
            <v>1.671E-4</v>
          </cell>
          <cell r="E813">
            <v>29938</v>
          </cell>
          <cell r="F813">
            <v>24526</v>
          </cell>
          <cell r="G813">
            <v>19911</v>
          </cell>
          <cell r="H813">
            <v>0</v>
          </cell>
          <cell r="I813">
            <v>0</v>
          </cell>
        </row>
        <row r="814">
          <cell r="A814">
            <v>98717</v>
          </cell>
          <cell r="B814" t="str">
            <v>BRYSON CITY ABC BOARD</v>
          </cell>
          <cell r="C814">
            <v>2.2399999999999999E-5</v>
          </cell>
          <cell r="E814">
            <v>4013</v>
          </cell>
          <cell r="F814">
            <v>3288</v>
          </cell>
          <cell r="G814">
            <v>2669</v>
          </cell>
          <cell r="H814">
            <v>0</v>
          </cell>
          <cell r="I814">
            <v>0</v>
          </cell>
        </row>
        <row r="815">
          <cell r="A815">
            <v>98801</v>
          </cell>
          <cell r="B815" t="str">
            <v>TRANSYLVANIA COUNTY</v>
          </cell>
          <cell r="C815">
            <v>2.1632999999999999E-3</v>
          </cell>
          <cell r="E815">
            <v>387581</v>
          </cell>
          <cell r="F815">
            <v>317521</v>
          </cell>
          <cell r="G815">
            <v>257772</v>
          </cell>
          <cell r="H815">
            <v>0</v>
          </cell>
          <cell r="I815">
            <v>0</v>
          </cell>
        </row>
        <row r="816">
          <cell r="A816">
            <v>98811</v>
          </cell>
          <cell r="B816" t="str">
            <v>CITY OF BREVARD</v>
          </cell>
          <cell r="C816">
            <v>6.8610000000000003E-4</v>
          </cell>
          <cell r="E816">
            <v>122923</v>
          </cell>
          <cell r="F816">
            <v>100703</v>
          </cell>
          <cell r="G816">
            <v>81754</v>
          </cell>
          <cell r="H816">
            <v>0</v>
          </cell>
          <cell r="I816">
            <v>0</v>
          </cell>
        </row>
        <row r="817">
          <cell r="A817">
            <v>98817</v>
          </cell>
          <cell r="B817" t="str">
            <v>BREVARD ABC BOARD</v>
          </cell>
          <cell r="C817">
            <v>1.7E-5</v>
          </cell>
          <cell r="E817">
            <v>3046</v>
          </cell>
          <cell r="F817">
            <v>2495</v>
          </cell>
          <cell r="G817">
            <v>2026</v>
          </cell>
          <cell r="H817">
            <v>0</v>
          </cell>
          <cell r="I817">
            <v>0</v>
          </cell>
        </row>
        <row r="818">
          <cell r="A818">
            <v>98901</v>
          </cell>
          <cell r="B818" t="str">
            <v>TYRRELL COUNTY</v>
          </cell>
          <cell r="C818">
            <v>2.8390000000000002E-4</v>
          </cell>
          <cell r="E818">
            <v>50864</v>
          </cell>
          <cell r="F818">
            <v>41670</v>
          </cell>
          <cell r="G818">
            <v>33829</v>
          </cell>
          <cell r="H818">
            <v>0</v>
          </cell>
          <cell r="I818">
            <v>0</v>
          </cell>
        </row>
        <row r="819">
          <cell r="A819">
            <v>98904</v>
          </cell>
          <cell r="B819" t="str">
            <v>TYRRELL CO ABC BOARD</v>
          </cell>
          <cell r="C819">
            <v>3.9999999999999998E-6</v>
          </cell>
          <cell r="E819">
            <v>717</v>
          </cell>
          <cell r="F819">
            <v>587</v>
          </cell>
          <cell r="G819">
            <v>477</v>
          </cell>
          <cell r="H819">
            <v>0</v>
          </cell>
          <cell r="I819">
            <v>0</v>
          </cell>
        </row>
        <row r="820">
          <cell r="A820">
            <v>98911</v>
          </cell>
          <cell r="B820" t="str">
            <v>TOWN OF COLUMBIA</v>
          </cell>
          <cell r="C820">
            <v>1.59E-5</v>
          </cell>
          <cell r="E820">
            <v>2849</v>
          </cell>
          <cell r="F820">
            <v>2334</v>
          </cell>
          <cell r="G820">
            <v>1895</v>
          </cell>
          <cell r="H820">
            <v>0</v>
          </cell>
          <cell r="I820">
            <v>0</v>
          </cell>
        </row>
        <row r="821">
          <cell r="A821">
            <v>99001</v>
          </cell>
          <cell r="B821" t="str">
            <v>UNION COUNTY</v>
          </cell>
          <cell r="C821">
            <v>8.8266000000000004E-3</v>
          </cell>
          <cell r="E821">
            <v>1581391</v>
          </cell>
          <cell r="F821">
            <v>1295533</v>
          </cell>
          <cell r="G821">
            <v>1051751</v>
          </cell>
          <cell r="H821">
            <v>0</v>
          </cell>
          <cell r="I821">
            <v>0</v>
          </cell>
        </row>
        <row r="822">
          <cell r="A822">
            <v>99011</v>
          </cell>
          <cell r="B822" t="str">
            <v>CITY OF MONROE</v>
          </cell>
          <cell r="C822">
            <v>3.8520999999999998E-3</v>
          </cell>
          <cell r="E822">
            <v>690150</v>
          </cell>
          <cell r="F822">
            <v>565396</v>
          </cell>
          <cell r="G822">
            <v>459005</v>
          </cell>
          <cell r="H822">
            <v>0</v>
          </cell>
          <cell r="I822">
            <v>0</v>
          </cell>
        </row>
        <row r="823">
          <cell r="A823">
            <v>99013</v>
          </cell>
          <cell r="B823" t="str">
            <v>CITY OF MONROE HOUSING AUTHORITY</v>
          </cell>
          <cell r="C823">
            <v>4.7599999999999998E-5</v>
          </cell>
          <cell r="E823">
            <v>8528</v>
          </cell>
          <cell r="F823">
            <v>6987</v>
          </cell>
          <cell r="G823">
            <v>5672</v>
          </cell>
          <cell r="H823">
            <v>0</v>
          </cell>
          <cell r="I823">
            <v>0</v>
          </cell>
        </row>
        <row r="824">
          <cell r="A824">
            <v>99014</v>
          </cell>
          <cell r="B824" t="str">
            <v>INDIAN TRAIL ABC BOARD</v>
          </cell>
          <cell r="C824">
            <v>2.1299999999999999E-5</v>
          </cell>
          <cell r="E824">
            <v>3816</v>
          </cell>
          <cell r="F824">
            <v>3126</v>
          </cell>
          <cell r="G824">
            <v>2538</v>
          </cell>
          <cell r="H824">
            <v>0</v>
          </cell>
          <cell r="I824">
            <v>0</v>
          </cell>
        </row>
        <row r="825">
          <cell r="A825">
            <v>99017</v>
          </cell>
          <cell r="B825" t="str">
            <v>MONROE ABC BOARD</v>
          </cell>
          <cell r="C825">
            <v>4.8600000000000002E-5</v>
          </cell>
          <cell r="E825">
            <v>8707</v>
          </cell>
          <cell r="F825">
            <v>7133</v>
          </cell>
          <cell r="G825">
            <v>5791</v>
          </cell>
          <cell r="H825">
            <v>0</v>
          </cell>
          <cell r="I825">
            <v>0</v>
          </cell>
        </row>
        <row r="826">
          <cell r="A826">
            <v>99021</v>
          </cell>
          <cell r="B826" t="str">
            <v>TOWN OF MARSHVILLE</v>
          </cell>
          <cell r="C826">
            <v>1.405E-4</v>
          </cell>
          <cell r="E826">
            <v>25172</v>
          </cell>
          <cell r="F826">
            <v>20622</v>
          </cell>
          <cell r="G826">
            <v>16742</v>
          </cell>
          <cell r="H826">
            <v>0</v>
          </cell>
          <cell r="I826">
            <v>0</v>
          </cell>
        </row>
        <row r="827">
          <cell r="A827">
            <v>99022</v>
          </cell>
          <cell r="B827" t="str">
            <v>TOWN OF MINERAL SPRINGS</v>
          </cell>
          <cell r="C827">
            <v>8.8000000000000004E-6</v>
          </cell>
          <cell r="E827">
            <v>1577</v>
          </cell>
          <cell r="F827">
            <v>1292</v>
          </cell>
          <cell r="G827">
            <v>1049</v>
          </cell>
          <cell r="H827">
            <v>0</v>
          </cell>
          <cell r="I827">
            <v>0</v>
          </cell>
        </row>
        <row r="828">
          <cell r="A828">
            <v>99031</v>
          </cell>
          <cell r="B828" t="str">
            <v>TOWN OF WINGATE</v>
          </cell>
          <cell r="C828">
            <v>1.208E-4</v>
          </cell>
          <cell r="E828">
            <v>21643</v>
          </cell>
          <cell r="F828">
            <v>17731</v>
          </cell>
          <cell r="G828">
            <v>14394</v>
          </cell>
          <cell r="H828">
            <v>0</v>
          </cell>
          <cell r="I828">
            <v>0</v>
          </cell>
        </row>
        <row r="829">
          <cell r="A829">
            <v>99041</v>
          </cell>
          <cell r="B829" t="str">
            <v>TOWN OF WAXHAW</v>
          </cell>
          <cell r="C829">
            <v>6.3840000000000001E-4</v>
          </cell>
          <cell r="E829">
            <v>114377</v>
          </cell>
          <cell r="F829">
            <v>93702</v>
          </cell>
          <cell r="G829">
            <v>76070</v>
          </cell>
          <cell r="H829">
            <v>0</v>
          </cell>
          <cell r="I829">
            <v>0</v>
          </cell>
        </row>
        <row r="830">
          <cell r="A830">
            <v>99047</v>
          </cell>
          <cell r="B830" t="str">
            <v>WAXHAW ABC BOARD</v>
          </cell>
          <cell r="C830">
            <v>1.33E-5</v>
          </cell>
          <cell r="E830">
            <v>2383</v>
          </cell>
          <cell r="F830">
            <v>1952</v>
          </cell>
          <cell r="G830">
            <v>1585</v>
          </cell>
          <cell r="H830">
            <v>0</v>
          </cell>
          <cell r="I830">
            <v>0</v>
          </cell>
        </row>
        <row r="831">
          <cell r="A831">
            <v>99051</v>
          </cell>
          <cell r="B831" t="str">
            <v>TOWN OF INDIAN TRAIL</v>
          </cell>
          <cell r="C831">
            <v>3.4049999999999998E-4</v>
          </cell>
          <cell r="E831">
            <v>61005</v>
          </cell>
          <cell r="F831">
            <v>49977</v>
          </cell>
          <cell r="G831">
            <v>40573</v>
          </cell>
          <cell r="H831">
            <v>0</v>
          </cell>
          <cell r="I831">
            <v>0</v>
          </cell>
        </row>
        <row r="832">
          <cell r="A832">
            <v>99061</v>
          </cell>
          <cell r="B832" t="str">
            <v>TOWN OF UNIONVILLE</v>
          </cell>
          <cell r="C832">
            <v>6.1E-6</v>
          </cell>
          <cell r="E832">
            <v>1093</v>
          </cell>
          <cell r="F832">
            <v>895</v>
          </cell>
          <cell r="G832">
            <v>727</v>
          </cell>
          <cell r="H832">
            <v>0</v>
          </cell>
          <cell r="I832">
            <v>0</v>
          </cell>
        </row>
        <row r="833">
          <cell r="A833">
            <v>99071</v>
          </cell>
          <cell r="B833" t="str">
            <v>TOWN OF WEDDINGTON</v>
          </cell>
          <cell r="C833">
            <v>2.4499999999999999E-5</v>
          </cell>
          <cell r="E833">
            <v>4389</v>
          </cell>
          <cell r="F833">
            <v>3596</v>
          </cell>
          <cell r="G833">
            <v>2919</v>
          </cell>
          <cell r="H833">
            <v>0</v>
          </cell>
          <cell r="I833">
            <v>0</v>
          </cell>
        </row>
        <row r="834">
          <cell r="A834">
            <v>99081</v>
          </cell>
          <cell r="B834" t="str">
            <v>VILLAGE OF MARVIN</v>
          </cell>
          <cell r="C834">
            <v>3.65E-5</v>
          </cell>
          <cell r="E834">
            <v>6539</v>
          </cell>
          <cell r="F834">
            <v>5357</v>
          </cell>
          <cell r="G834">
            <v>4349</v>
          </cell>
          <cell r="H834">
            <v>0</v>
          </cell>
          <cell r="I834">
            <v>0</v>
          </cell>
        </row>
        <row r="835">
          <cell r="A835">
            <v>99091</v>
          </cell>
          <cell r="B835" t="str">
            <v>VILLAGE OF WESLEY CHAPEL</v>
          </cell>
          <cell r="C835">
            <v>5.4E-6</v>
          </cell>
          <cell r="E835">
            <v>967</v>
          </cell>
          <cell r="F835">
            <v>793</v>
          </cell>
          <cell r="G835">
            <v>643</v>
          </cell>
          <cell r="H835">
            <v>0</v>
          </cell>
          <cell r="I835">
            <v>0</v>
          </cell>
        </row>
        <row r="836">
          <cell r="A836">
            <v>99101</v>
          </cell>
          <cell r="B836" t="str">
            <v>VANCE COUNTY</v>
          </cell>
          <cell r="C836">
            <v>2.1218000000000001E-3</v>
          </cell>
          <cell r="E836">
            <v>380146</v>
          </cell>
          <cell r="F836">
            <v>311429</v>
          </cell>
          <cell r="G836">
            <v>252827</v>
          </cell>
          <cell r="H836">
            <v>0</v>
          </cell>
          <cell r="I836">
            <v>0</v>
          </cell>
        </row>
        <row r="837">
          <cell r="A837">
            <v>99104</v>
          </cell>
          <cell r="B837" t="str">
            <v>VANCE COUNTY ABC BD</v>
          </cell>
          <cell r="C837">
            <v>3.2700000000000002E-5</v>
          </cell>
          <cell r="E837">
            <v>5859</v>
          </cell>
          <cell r="F837">
            <v>4800</v>
          </cell>
          <cell r="G837">
            <v>3896</v>
          </cell>
          <cell r="H837">
            <v>0</v>
          </cell>
          <cell r="I837">
            <v>0</v>
          </cell>
        </row>
        <row r="838">
          <cell r="A838">
            <v>99109</v>
          </cell>
          <cell r="B838" t="str">
            <v>KERR-TAR REGIONAL COUNCIL OF GOVTS</v>
          </cell>
          <cell r="C838">
            <v>1.169E-4</v>
          </cell>
          <cell r="E838">
            <v>20944</v>
          </cell>
          <cell r="F838">
            <v>17158</v>
          </cell>
          <cell r="G838">
            <v>13929</v>
          </cell>
          <cell r="H838">
            <v>0</v>
          </cell>
          <cell r="I838">
            <v>0</v>
          </cell>
        </row>
        <row r="839">
          <cell r="A839">
            <v>99110</v>
          </cell>
          <cell r="B839" t="str">
            <v>KERR AREA TRANSPORTATION AUTHORITY</v>
          </cell>
          <cell r="C839">
            <v>1.437E-4</v>
          </cell>
          <cell r="E839">
            <v>25746</v>
          </cell>
          <cell r="F839">
            <v>21092</v>
          </cell>
          <cell r="G839">
            <v>17123</v>
          </cell>
          <cell r="H839">
            <v>0</v>
          </cell>
          <cell r="I839">
            <v>0</v>
          </cell>
        </row>
        <row r="840">
          <cell r="A840">
            <v>99111</v>
          </cell>
          <cell r="B840" t="str">
            <v>CITY OF HENDERSON</v>
          </cell>
          <cell r="C840">
            <v>1.3064999999999999E-3</v>
          </cell>
          <cell r="E840">
            <v>234075</v>
          </cell>
          <cell r="F840">
            <v>191763</v>
          </cell>
          <cell r="G840">
            <v>155679</v>
          </cell>
          <cell r="H840">
            <v>0</v>
          </cell>
          <cell r="I840">
            <v>0</v>
          </cell>
        </row>
        <row r="841">
          <cell r="A841">
            <v>99201</v>
          </cell>
          <cell r="B841" t="str">
            <v>WAKE COUNTY</v>
          </cell>
          <cell r="C841">
            <v>3.5284299999999998E-2</v>
          </cell>
          <cell r="E841">
            <v>6321606</v>
          </cell>
          <cell r="F841">
            <v>5178888</v>
          </cell>
          <cell r="G841">
            <v>4204371</v>
          </cell>
          <cell r="H841">
            <v>0</v>
          </cell>
          <cell r="I841">
            <v>0</v>
          </cell>
        </row>
        <row r="842">
          <cell r="A842">
            <v>99202</v>
          </cell>
          <cell r="B842" t="str">
            <v>TOWN OF HOLLY SPRINGS</v>
          </cell>
          <cell r="C842">
            <v>2.8322E-3</v>
          </cell>
          <cell r="E842">
            <v>507423</v>
          </cell>
          <cell r="F842">
            <v>415699</v>
          </cell>
          <cell r="G842">
            <v>337476</v>
          </cell>
          <cell r="H842">
            <v>0</v>
          </cell>
          <cell r="I842">
            <v>0</v>
          </cell>
        </row>
        <row r="843">
          <cell r="A843">
            <v>99203</v>
          </cell>
          <cell r="B843" t="str">
            <v>TOWN OF ROLESVILLE</v>
          </cell>
          <cell r="C843">
            <v>3.5179999999999999E-4</v>
          </cell>
          <cell r="E843">
            <v>63029</v>
          </cell>
          <cell r="F843">
            <v>51636</v>
          </cell>
          <cell r="G843">
            <v>41919</v>
          </cell>
          <cell r="H843">
            <v>0</v>
          </cell>
          <cell r="I843">
            <v>0</v>
          </cell>
        </row>
        <row r="844">
          <cell r="A844">
            <v>99204</v>
          </cell>
          <cell r="B844" t="str">
            <v>WAKE COUNTY ABC BOARD</v>
          </cell>
          <cell r="C844">
            <v>9.4149999999999995E-4</v>
          </cell>
          <cell r="E844">
            <v>168681</v>
          </cell>
          <cell r="F844">
            <v>138190</v>
          </cell>
          <cell r="G844">
            <v>112186</v>
          </cell>
          <cell r="H844">
            <v>0</v>
          </cell>
          <cell r="I844">
            <v>0</v>
          </cell>
        </row>
        <row r="845">
          <cell r="A845">
            <v>99206</v>
          </cell>
          <cell r="B845" t="str">
            <v>TOWN OF MORRISVILLE</v>
          </cell>
          <cell r="C845">
            <v>1.6375999999999999E-3</v>
          </cell>
          <cell r="E845">
            <v>293396</v>
          </cell>
          <cell r="F845">
            <v>240360</v>
          </cell>
          <cell r="G845">
            <v>195132</v>
          </cell>
          <cell r="H845">
            <v>0</v>
          </cell>
          <cell r="I845">
            <v>0</v>
          </cell>
        </row>
        <row r="846">
          <cell r="A846">
            <v>99207</v>
          </cell>
          <cell r="B846" t="str">
            <v>HOUSING AUTHORITY OF THE COUNTY OF WAKE</v>
          </cell>
          <cell r="C846">
            <v>1.206E-4</v>
          </cell>
          <cell r="E846">
            <v>21607</v>
          </cell>
          <cell r="F846">
            <v>17701</v>
          </cell>
          <cell r="G846">
            <v>14370</v>
          </cell>
          <cell r="H846">
            <v>0</v>
          </cell>
          <cell r="I846">
            <v>0</v>
          </cell>
        </row>
        <row r="847">
          <cell r="A847">
            <v>99208</v>
          </cell>
          <cell r="B847" t="str">
            <v>BAYLEAF FIRE DEPARTMENT</v>
          </cell>
          <cell r="C847">
            <v>3.0939999999999999E-4</v>
          </cell>
          <cell r="E847">
            <v>55433</v>
          </cell>
          <cell r="F847">
            <v>45412</v>
          </cell>
          <cell r="G847">
            <v>36867</v>
          </cell>
          <cell r="H847">
            <v>0</v>
          </cell>
          <cell r="I847">
            <v>0</v>
          </cell>
        </row>
        <row r="848">
          <cell r="A848">
            <v>99210</v>
          </cell>
          <cell r="B848" t="str">
            <v>ELECTRICITIES OF NC</v>
          </cell>
          <cell r="C848">
            <v>1.7913E-3</v>
          </cell>
          <cell r="E848">
            <v>320933</v>
          </cell>
          <cell r="F848">
            <v>262920</v>
          </cell>
          <cell r="G848">
            <v>213446</v>
          </cell>
          <cell r="H848">
            <v>0</v>
          </cell>
          <cell r="I848">
            <v>0</v>
          </cell>
        </row>
        <row r="849">
          <cell r="A849">
            <v>99211</v>
          </cell>
          <cell r="B849" t="str">
            <v>CITY OF RALEIGH</v>
          </cell>
          <cell r="C849">
            <v>3.8786099999999997E-2</v>
          </cell>
          <cell r="E849">
            <v>6948995</v>
          </cell>
          <cell r="F849">
            <v>5692869</v>
          </cell>
          <cell r="G849">
            <v>4621635</v>
          </cell>
          <cell r="H849">
            <v>0</v>
          </cell>
          <cell r="I849">
            <v>0</v>
          </cell>
        </row>
        <row r="850">
          <cell r="A850">
            <v>99212</v>
          </cell>
          <cell r="B850" t="str">
            <v>DURHAM HWY FIRE PROTECTION ASSOC</v>
          </cell>
          <cell r="C850">
            <v>6.7999999999999999E-5</v>
          </cell>
          <cell r="E850">
            <v>12183</v>
          </cell>
          <cell r="F850">
            <v>9981</v>
          </cell>
          <cell r="G850">
            <v>8103</v>
          </cell>
          <cell r="H850">
            <v>0</v>
          </cell>
          <cell r="I850">
            <v>0</v>
          </cell>
        </row>
        <row r="851">
          <cell r="A851">
            <v>99213</v>
          </cell>
          <cell r="B851" t="str">
            <v>CITY OF RALEIGH HOUSING AUTHORITY</v>
          </cell>
          <cell r="C851">
            <v>6.7770000000000005E-4</v>
          </cell>
          <cell r="E851">
            <v>121418</v>
          </cell>
          <cell r="F851">
            <v>99470</v>
          </cell>
          <cell r="G851">
            <v>80753</v>
          </cell>
          <cell r="H851">
            <v>0</v>
          </cell>
          <cell r="I851">
            <v>0</v>
          </cell>
        </row>
        <row r="852">
          <cell r="A852">
            <v>99218</v>
          </cell>
          <cell r="B852" t="str">
            <v>RALEIGH-DURHAM AIRPORT AUTHORITY</v>
          </cell>
          <cell r="C852">
            <v>3.4424E-3</v>
          </cell>
          <cell r="E852">
            <v>616747</v>
          </cell>
          <cell r="F852">
            <v>505262</v>
          </cell>
          <cell r="G852">
            <v>410186</v>
          </cell>
          <cell r="H852">
            <v>0</v>
          </cell>
          <cell r="I852">
            <v>0</v>
          </cell>
        </row>
        <row r="853">
          <cell r="A853">
            <v>99221</v>
          </cell>
          <cell r="B853" t="str">
            <v>TOWN OF CARY</v>
          </cell>
          <cell r="C853">
            <v>1.26739E-2</v>
          </cell>
          <cell r="E853">
            <v>2270681</v>
          </cell>
          <cell r="F853">
            <v>1860224</v>
          </cell>
          <cell r="G853">
            <v>1510184</v>
          </cell>
          <cell r="H853">
            <v>0</v>
          </cell>
          <cell r="I853">
            <v>0</v>
          </cell>
        </row>
        <row r="854">
          <cell r="A854">
            <v>99222</v>
          </cell>
          <cell r="B854" t="str">
            <v>CENTENNIAL AUTHORITY</v>
          </cell>
          <cell r="C854">
            <v>3.5599999999999998E-5</v>
          </cell>
          <cell r="E854">
            <v>6378</v>
          </cell>
          <cell r="F854">
            <v>5225</v>
          </cell>
          <cell r="G854">
            <v>4242</v>
          </cell>
          <cell r="H854">
            <v>0</v>
          </cell>
          <cell r="I854">
            <v>0</v>
          </cell>
        </row>
        <row r="855">
          <cell r="A855">
            <v>99231</v>
          </cell>
          <cell r="B855" t="str">
            <v>TOWN OF WENDELL</v>
          </cell>
          <cell r="C855">
            <v>3.5159999999999998E-4</v>
          </cell>
          <cell r="E855">
            <v>62993</v>
          </cell>
          <cell r="F855">
            <v>51606</v>
          </cell>
          <cell r="G855">
            <v>41896</v>
          </cell>
          <cell r="H855">
            <v>0</v>
          </cell>
          <cell r="I855">
            <v>0</v>
          </cell>
        </row>
        <row r="856">
          <cell r="A856">
            <v>99241</v>
          </cell>
          <cell r="B856" t="str">
            <v>TOWN OF ZEBULON</v>
          </cell>
          <cell r="C856">
            <v>5.6070000000000002E-4</v>
          </cell>
          <cell r="E856">
            <v>100456</v>
          </cell>
          <cell r="F856">
            <v>82297</v>
          </cell>
          <cell r="G856">
            <v>66811</v>
          </cell>
          <cell r="H856">
            <v>0</v>
          </cell>
          <cell r="I856">
            <v>0</v>
          </cell>
        </row>
        <row r="857">
          <cell r="A857">
            <v>99251</v>
          </cell>
          <cell r="B857" t="str">
            <v>TOWN OF GARNER</v>
          </cell>
          <cell r="C857">
            <v>1.6358E-3</v>
          </cell>
          <cell r="E857">
            <v>293073</v>
          </cell>
          <cell r="F857">
            <v>240096</v>
          </cell>
          <cell r="G857">
            <v>194917</v>
          </cell>
          <cell r="H857">
            <v>0</v>
          </cell>
          <cell r="I857">
            <v>0</v>
          </cell>
        </row>
        <row r="858">
          <cell r="A858">
            <v>99252</v>
          </cell>
          <cell r="B858" t="str">
            <v>GARNER FIRE DEPT</v>
          </cell>
          <cell r="C858">
            <v>6.6200000000000005E-4</v>
          </cell>
          <cell r="E858">
            <v>118605</v>
          </cell>
          <cell r="F858">
            <v>97166</v>
          </cell>
          <cell r="G858">
            <v>78882</v>
          </cell>
          <cell r="H858">
            <v>0</v>
          </cell>
          <cell r="I858">
            <v>0</v>
          </cell>
        </row>
        <row r="859">
          <cell r="A859">
            <v>99261</v>
          </cell>
          <cell r="B859" t="str">
            <v>TOWN OF FUQUAY-VARINA</v>
          </cell>
          <cell r="C859">
            <v>2.2407E-3</v>
          </cell>
          <cell r="E859">
            <v>401448</v>
          </cell>
          <cell r="F859">
            <v>328881</v>
          </cell>
          <cell r="G859">
            <v>266995</v>
          </cell>
          <cell r="H859">
            <v>0</v>
          </cell>
          <cell r="I859">
            <v>0</v>
          </cell>
        </row>
        <row r="860">
          <cell r="A860">
            <v>99271</v>
          </cell>
          <cell r="B860" t="str">
            <v>TOWN OF APEX</v>
          </cell>
          <cell r="C860">
            <v>4.2773000000000004E-3</v>
          </cell>
          <cell r="E860">
            <v>766330</v>
          </cell>
          <cell r="F860">
            <v>627805</v>
          </cell>
          <cell r="G860">
            <v>509670</v>
          </cell>
          <cell r="H860">
            <v>0</v>
          </cell>
          <cell r="I860">
            <v>0</v>
          </cell>
        </row>
        <row r="861">
          <cell r="A861">
            <v>99281</v>
          </cell>
          <cell r="B861" t="str">
            <v>TOWN OF WAKE FOREST</v>
          </cell>
          <cell r="C861">
            <v>2.4237E-3</v>
          </cell>
          <cell r="E861">
            <v>434235</v>
          </cell>
          <cell r="F861">
            <v>355741</v>
          </cell>
          <cell r="G861">
            <v>288801</v>
          </cell>
          <cell r="H861">
            <v>0</v>
          </cell>
          <cell r="I861">
            <v>0</v>
          </cell>
        </row>
        <row r="862">
          <cell r="A862">
            <v>99291</v>
          </cell>
          <cell r="B862" t="str">
            <v>TOWN OF KNIGHTDALE</v>
          </cell>
          <cell r="C862">
            <v>8.4909999999999998E-4</v>
          </cell>
          <cell r="E862">
            <v>152126</v>
          </cell>
          <cell r="F862">
            <v>124628</v>
          </cell>
          <cell r="G862">
            <v>101176</v>
          </cell>
          <cell r="H862">
            <v>0</v>
          </cell>
          <cell r="I862">
            <v>0</v>
          </cell>
        </row>
        <row r="863">
          <cell r="A863">
            <v>99301</v>
          </cell>
          <cell r="B863" t="str">
            <v>WARREN COUNTY</v>
          </cell>
          <cell r="C863">
            <v>1.6092999999999999E-3</v>
          </cell>
          <cell r="E863">
            <v>288325</v>
          </cell>
          <cell r="F863">
            <v>236207</v>
          </cell>
          <cell r="G863">
            <v>191759</v>
          </cell>
          <cell r="H863">
            <v>0</v>
          </cell>
          <cell r="I863">
            <v>0</v>
          </cell>
        </row>
        <row r="864">
          <cell r="A864">
            <v>99304</v>
          </cell>
          <cell r="B864" t="str">
            <v>WARREN COUNTY ABC BOARD</v>
          </cell>
          <cell r="C864">
            <v>7.6000000000000001E-6</v>
          </cell>
          <cell r="E864">
            <v>1362</v>
          </cell>
          <cell r="F864">
            <v>1115</v>
          </cell>
          <cell r="G864">
            <v>906</v>
          </cell>
          <cell r="H864">
            <v>0</v>
          </cell>
          <cell r="I864">
            <v>0</v>
          </cell>
        </row>
        <row r="865">
          <cell r="A865">
            <v>99311</v>
          </cell>
          <cell r="B865" t="str">
            <v>TOWN OF NORLINA</v>
          </cell>
          <cell r="C865">
            <v>5.9700000000000001E-5</v>
          </cell>
          <cell r="E865">
            <v>10696</v>
          </cell>
          <cell r="F865">
            <v>8763</v>
          </cell>
          <cell r="G865">
            <v>7114</v>
          </cell>
          <cell r="H865">
            <v>0</v>
          </cell>
          <cell r="I865">
            <v>0</v>
          </cell>
        </row>
        <row r="866">
          <cell r="A866">
            <v>99321</v>
          </cell>
          <cell r="B866" t="str">
            <v>TOWN OF WARRENTON</v>
          </cell>
          <cell r="C866">
            <v>8.6399999999999999E-5</v>
          </cell>
          <cell r="E866">
            <v>15480</v>
          </cell>
          <cell r="F866">
            <v>12681</v>
          </cell>
          <cell r="G866">
            <v>10295</v>
          </cell>
          <cell r="H866">
            <v>0</v>
          </cell>
          <cell r="I866">
            <v>0</v>
          </cell>
        </row>
        <row r="867">
          <cell r="A867">
            <v>99401</v>
          </cell>
          <cell r="B867" t="str">
            <v>WASHINGTON COUNTY</v>
          </cell>
          <cell r="C867">
            <v>7.7590000000000005E-4</v>
          </cell>
          <cell r="E867">
            <v>139012</v>
          </cell>
          <cell r="F867">
            <v>113883</v>
          </cell>
          <cell r="G867">
            <v>92454</v>
          </cell>
          <cell r="H867">
            <v>0</v>
          </cell>
          <cell r="I867">
            <v>0</v>
          </cell>
        </row>
        <row r="868">
          <cell r="A868">
            <v>99404</v>
          </cell>
          <cell r="B868" t="str">
            <v>WASHINGTON COUNTY ABC BOARD</v>
          </cell>
          <cell r="C868">
            <v>8.4999999999999999E-6</v>
          </cell>
          <cell r="E868">
            <v>1523</v>
          </cell>
          <cell r="F868">
            <v>1248</v>
          </cell>
          <cell r="G868">
            <v>1013</v>
          </cell>
          <cell r="H868">
            <v>0</v>
          </cell>
          <cell r="I868">
            <v>0</v>
          </cell>
        </row>
        <row r="869">
          <cell r="A869">
            <v>99405</v>
          </cell>
          <cell r="B869" t="str">
            <v>PETTIGREW REGIONAL LIBRARY</v>
          </cell>
          <cell r="C869">
            <v>5.9799999999999997E-5</v>
          </cell>
          <cell r="E869">
            <v>10714</v>
          </cell>
          <cell r="F869">
            <v>8777</v>
          </cell>
          <cell r="G869">
            <v>7126</v>
          </cell>
          <cell r="H869">
            <v>0</v>
          </cell>
          <cell r="I869">
            <v>0</v>
          </cell>
        </row>
        <row r="870">
          <cell r="A870">
            <v>99411</v>
          </cell>
          <cell r="B870" t="str">
            <v>TOWN OF PLYMOUTH</v>
          </cell>
          <cell r="C870">
            <v>1.7139999999999999E-4</v>
          </cell>
          <cell r="E870">
            <v>30708</v>
          </cell>
          <cell r="F870">
            <v>25157</v>
          </cell>
          <cell r="G870">
            <v>20424</v>
          </cell>
          <cell r="H870">
            <v>0</v>
          </cell>
          <cell r="I870">
            <v>0</v>
          </cell>
        </row>
        <row r="871">
          <cell r="A871">
            <v>99413</v>
          </cell>
          <cell r="B871" t="str">
            <v>PLYMOUTH HOUSING AUTHORITY</v>
          </cell>
          <cell r="C871">
            <v>2.0400000000000001E-5</v>
          </cell>
          <cell r="E871">
            <v>3655</v>
          </cell>
          <cell r="F871">
            <v>2994</v>
          </cell>
          <cell r="G871">
            <v>2431</v>
          </cell>
          <cell r="H871">
            <v>0</v>
          </cell>
          <cell r="I871">
            <v>0</v>
          </cell>
        </row>
        <row r="872">
          <cell r="A872">
            <v>99421</v>
          </cell>
          <cell r="B872" t="str">
            <v>TOWN OF ROPER</v>
          </cell>
          <cell r="C872">
            <v>1.3499999999999999E-5</v>
          </cell>
          <cell r="E872">
            <v>2419</v>
          </cell>
          <cell r="F872">
            <v>1981</v>
          </cell>
          <cell r="G872">
            <v>1609</v>
          </cell>
          <cell r="H872">
            <v>0</v>
          </cell>
          <cell r="I872">
            <v>0</v>
          </cell>
        </row>
        <row r="873">
          <cell r="A873">
            <v>99431</v>
          </cell>
          <cell r="B873" t="str">
            <v>TOWN OF CRESWELL</v>
          </cell>
          <cell r="C873">
            <v>1.4800000000000001E-5</v>
          </cell>
          <cell r="E873">
            <v>2652</v>
          </cell>
          <cell r="F873">
            <v>2172</v>
          </cell>
          <cell r="G873">
            <v>1764</v>
          </cell>
          <cell r="H873">
            <v>0</v>
          </cell>
          <cell r="I873">
            <v>0</v>
          </cell>
        </row>
        <row r="874">
          <cell r="A874">
            <v>99501</v>
          </cell>
          <cell r="B874" t="str">
            <v>WATAUGA COUNTY</v>
          </cell>
          <cell r="C874">
            <v>1.6478E-3</v>
          </cell>
          <cell r="E874">
            <v>295223</v>
          </cell>
          <cell r="F874">
            <v>241857</v>
          </cell>
          <cell r="G874">
            <v>196347</v>
          </cell>
          <cell r="H874">
            <v>0</v>
          </cell>
          <cell r="I874">
            <v>0</v>
          </cell>
        </row>
        <row r="875">
          <cell r="A875">
            <v>99502</v>
          </cell>
          <cell r="B875" t="str">
            <v>REGION D COUNCIL OF GOVERNMENTS</v>
          </cell>
          <cell r="C875">
            <v>1.4459999999999999E-4</v>
          </cell>
          <cell r="E875">
            <v>25907</v>
          </cell>
          <cell r="F875">
            <v>21224</v>
          </cell>
          <cell r="G875">
            <v>17230</v>
          </cell>
          <cell r="H875">
            <v>0</v>
          </cell>
          <cell r="I875">
            <v>0</v>
          </cell>
        </row>
        <row r="876">
          <cell r="A876">
            <v>99508</v>
          </cell>
          <cell r="B876" t="str">
            <v>BLOWING ROCK TOURISM DEVELOPMENT AUTHORITY</v>
          </cell>
          <cell r="C876">
            <v>2.0999999999999999E-5</v>
          </cell>
          <cell r="E876">
            <v>3762</v>
          </cell>
          <cell r="F876">
            <v>3082</v>
          </cell>
          <cell r="G876">
            <v>2502</v>
          </cell>
          <cell r="H876">
            <v>0</v>
          </cell>
          <cell r="I876">
            <v>0</v>
          </cell>
        </row>
        <row r="877">
          <cell r="A877">
            <v>99509</v>
          </cell>
          <cell r="B877" t="str">
            <v>WATAUGA COUNTY DISTRICT U TDA</v>
          </cell>
          <cell r="C877">
            <v>2.5199999999999999E-5</v>
          </cell>
          <cell r="E877">
            <v>4515</v>
          </cell>
          <cell r="F877">
            <v>3699</v>
          </cell>
          <cell r="G877">
            <v>3003</v>
          </cell>
          <cell r="H877">
            <v>0</v>
          </cell>
          <cell r="I877">
            <v>0</v>
          </cell>
        </row>
        <row r="878">
          <cell r="A878">
            <v>99511</v>
          </cell>
          <cell r="B878" t="str">
            <v>TOWN OF BOONE</v>
          </cell>
          <cell r="C878">
            <v>1.3293999999999999E-3</v>
          </cell>
          <cell r="E878">
            <v>238178</v>
          </cell>
          <cell r="F878">
            <v>195124</v>
          </cell>
          <cell r="G878">
            <v>158407</v>
          </cell>
          <cell r="H878">
            <v>0</v>
          </cell>
          <cell r="I878">
            <v>0</v>
          </cell>
        </row>
        <row r="879">
          <cell r="A879">
            <v>99521</v>
          </cell>
          <cell r="B879" t="str">
            <v>TOWN OF BLOWING ROCK</v>
          </cell>
          <cell r="C879">
            <v>4.8200000000000001E-4</v>
          </cell>
          <cell r="E879">
            <v>86356</v>
          </cell>
          <cell r="F879">
            <v>70746</v>
          </cell>
          <cell r="G879">
            <v>57434</v>
          </cell>
          <cell r="H879">
            <v>0</v>
          </cell>
          <cell r="I879">
            <v>0</v>
          </cell>
        </row>
        <row r="880">
          <cell r="A880">
            <v>99527</v>
          </cell>
          <cell r="B880" t="str">
            <v>BLOWING ROCK ABC BD</v>
          </cell>
          <cell r="C880">
            <v>1.1E-5</v>
          </cell>
          <cell r="E880">
            <v>1971</v>
          </cell>
          <cell r="F880">
            <v>1615</v>
          </cell>
          <cell r="G880">
            <v>1311</v>
          </cell>
          <cell r="H880">
            <v>0</v>
          </cell>
          <cell r="I880">
            <v>0</v>
          </cell>
        </row>
        <row r="881">
          <cell r="A881">
            <v>99531</v>
          </cell>
          <cell r="B881" t="str">
            <v>TOWN OF SEVEN DEVILS</v>
          </cell>
          <cell r="C881">
            <v>8.6299999999999997E-5</v>
          </cell>
          <cell r="E881">
            <v>15462</v>
          </cell>
          <cell r="F881">
            <v>12667</v>
          </cell>
          <cell r="G881">
            <v>10283</v>
          </cell>
          <cell r="H881">
            <v>0</v>
          </cell>
          <cell r="I881">
            <v>0</v>
          </cell>
        </row>
        <row r="882">
          <cell r="A882">
            <v>99601</v>
          </cell>
          <cell r="B882" t="str">
            <v>WAYNE COUNTY</v>
          </cell>
          <cell r="C882">
            <v>5.9021999999999998E-3</v>
          </cell>
          <cell r="E882">
            <v>1057450</v>
          </cell>
          <cell r="F882">
            <v>866301</v>
          </cell>
          <cell r="G882">
            <v>703288</v>
          </cell>
          <cell r="H882">
            <v>0</v>
          </cell>
          <cell r="I882">
            <v>0</v>
          </cell>
        </row>
        <row r="883">
          <cell r="A883">
            <v>99602</v>
          </cell>
          <cell r="B883" t="str">
            <v>FORK TOWNSHIP SANITARY DIST</v>
          </cell>
          <cell r="C883">
            <v>6.1500000000000004E-5</v>
          </cell>
          <cell r="E883">
            <v>11018</v>
          </cell>
          <cell r="F883">
            <v>9027</v>
          </cell>
          <cell r="G883">
            <v>7328</v>
          </cell>
          <cell r="H883">
            <v>0</v>
          </cell>
          <cell r="I883">
            <v>0</v>
          </cell>
        </row>
        <row r="884">
          <cell r="A884">
            <v>99603</v>
          </cell>
          <cell r="B884" t="str">
            <v>EASTERN CAROLINA REG'L HOUSING AUTH</v>
          </cell>
          <cell r="C884">
            <v>1.5540000000000001E-4</v>
          </cell>
          <cell r="E884">
            <v>27842</v>
          </cell>
          <cell r="F884">
            <v>22809</v>
          </cell>
          <cell r="G884">
            <v>18517</v>
          </cell>
          <cell r="H884">
            <v>0</v>
          </cell>
          <cell r="I884">
            <v>0</v>
          </cell>
        </row>
        <row r="885">
          <cell r="A885">
            <v>99604</v>
          </cell>
          <cell r="B885" t="str">
            <v>WAYNE COUNTY ABC BOARD</v>
          </cell>
          <cell r="C885">
            <v>9.1100000000000005E-5</v>
          </cell>
          <cell r="E885">
            <v>16322</v>
          </cell>
          <cell r="F885">
            <v>13371</v>
          </cell>
          <cell r="G885">
            <v>10855</v>
          </cell>
          <cell r="H885">
            <v>0</v>
          </cell>
          <cell r="I885">
            <v>0</v>
          </cell>
        </row>
        <row r="886">
          <cell r="A886">
            <v>99609</v>
          </cell>
          <cell r="B886" t="str">
            <v>SOUTHERN WAYNE SANITARY DISTRICT</v>
          </cell>
          <cell r="C886">
            <v>2.8799999999999999E-5</v>
          </cell>
          <cell r="E886">
            <v>5160</v>
          </cell>
          <cell r="F886">
            <v>4227</v>
          </cell>
          <cell r="G886">
            <v>3432</v>
          </cell>
          <cell r="H886">
            <v>0</v>
          </cell>
          <cell r="I886">
            <v>0</v>
          </cell>
        </row>
        <row r="887">
          <cell r="A887">
            <v>99610</v>
          </cell>
          <cell r="B887" t="str">
            <v>EASTERN WAYNE SANITARY DIST</v>
          </cell>
          <cell r="C887">
            <v>1.683E-4</v>
          </cell>
          <cell r="E887">
            <v>30153</v>
          </cell>
          <cell r="F887">
            <v>24702</v>
          </cell>
          <cell r="G887">
            <v>20054</v>
          </cell>
          <cell r="H887">
            <v>0</v>
          </cell>
          <cell r="I887">
            <v>0</v>
          </cell>
        </row>
        <row r="888">
          <cell r="A888">
            <v>99611</v>
          </cell>
          <cell r="B888" t="str">
            <v>CITY OF GOLDSBORO</v>
          </cell>
          <cell r="C888">
            <v>3.2022000000000001E-3</v>
          </cell>
          <cell r="E888">
            <v>573713</v>
          </cell>
          <cell r="F888">
            <v>470006</v>
          </cell>
          <cell r="G888">
            <v>381565</v>
          </cell>
          <cell r="H888">
            <v>0</v>
          </cell>
          <cell r="I888">
            <v>0</v>
          </cell>
        </row>
        <row r="889">
          <cell r="A889">
            <v>99613</v>
          </cell>
          <cell r="B889" t="str">
            <v>HOUSING AUTHORITY OF GOLDSBORO</v>
          </cell>
          <cell r="C889">
            <v>3.3720000000000001E-4</v>
          </cell>
          <cell r="E889">
            <v>60413</v>
          </cell>
          <cell r="F889">
            <v>49493</v>
          </cell>
          <cell r="G889">
            <v>40180</v>
          </cell>
          <cell r="H889">
            <v>0</v>
          </cell>
          <cell r="I889">
            <v>0</v>
          </cell>
        </row>
        <row r="890">
          <cell r="A890">
            <v>99621</v>
          </cell>
          <cell r="B890" t="str">
            <v>TOWN OF MOUNT OLIVE</v>
          </cell>
          <cell r="C890">
            <v>3.5530000000000002E-4</v>
          </cell>
          <cell r="E890">
            <v>63656</v>
          </cell>
          <cell r="F890">
            <v>52150</v>
          </cell>
          <cell r="G890">
            <v>42336</v>
          </cell>
          <cell r="H890">
            <v>0</v>
          </cell>
          <cell r="I890">
            <v>0</v>
          </cell>
        </row>
        <row r="891">
          <cell r="A891">
            <v>99623</v>
          </cell>
          <cell r="B891" t="str">
            <v>MT OLIVE HOUSING AUTHORITY</v>
          </cell>
          <cell r="C891">
            <v>1.08E-5</v>
          </cell>
          <cell r="E891">
            <v>1935</v>
          </cell>
          <cell r="F891">
            <v>1585</v>
          </cell>
          <cell r="G891">
            <v>1287</v>
          </cell>
          <cell r="H891">
            <v>0</v>
          </cell>
          <cell r="I891">
            <v>0</v>
          </cell>
        </row>
        <row r="892">
          <cell r="A892">
            <v>99631</v>
          </cell>
          <cell r="B892" t="str">
            <v>TOWN OF FREMONT</v>
          </cell>
          <cell r="C892">
            <v>1.078E-4</v>
          </cell>
          <cell r="E892">
            <v>19314</v>
          </cell>
          <cell r="F892">
            <v>15822</v>
          </cell>
          <cell r="G892">
            <v>12845</v>
          </cell>
          <cell r="H892">
            <v>0</v>
          </cell>
          <cell r="I892">
            <v>0</v>
          </cell>
        </row>
        <row r="893">
          <cell r="A893">
            <v>99651</v>
          </cell>
          <cell r="B893" t="str">
            <v>TOWN OF PIKEVILLE</v>
          </cell>
          <cell r="C893">
            <v>6.5300000000000002E-5</v>
          </cell>
          <cell r="E893">
            <v>11699</v>
          </cell>
          <cell r="F893">
            <v>9584</v>
          </cell>
          <cell r="G893">
            <v>7781</v>
          </cell>
          <cell r="H893">
            <v>0</v>
          </cell>
          <cell r="I893">
            <v>0</v>
          </cell>
        </row>
        <row r="894">
          <cell r="A894">
            <v>99661</v>
          </cell>
          <cell r="B894" t="str">
            <v>VILLAGE OF WALNUT CREEK</v>
          </cell>
          <cell r="C894">
            <v>3.4799999999999999E-5</v>
          </cell>
          <cell r="E894">
            <v>6235</v>
          </cell>
          <cell r="F894">
            <v>5108</v>
          </cell>
          <cell r="G894">
            <v>4147</v>
          </cell>
          <cell r="H894">
            <v>0</v>
          </cell>
          <cell r="I894">
            <v>0</v>
          </cell>
        </row>
        <row r="895">
          <cell r="A895">
            <v>99701</v>
          </cell>
          <cell r="B895" t="str">
            <v>WILKES COUNTY</v>
          </cell>
          <cell r="C895">
            <v>2.9930999999999998E-3</v>
          </cell>
          <cell r="E895">
            <v>536250</v>
          </cell>
          <cell r="F895">
            <v>439315</v>
          </cell>
          <cell r="G895">
            <v>356649</v>
          </cell>
          <cell r="H895">
            <v>0</v>
          </cell>
          <cell r="I895">
            <v>0</v>
          </cell>
        </row>
        <row r="896">
          <cell r="A896">
            <v>99705</v>
          </cell>
          <cell r="B896" t="str">
            <v>APPALACHIAN REGIONAL LIBRARY</v>
          </cell>
          <cell r="C896">
            <v>1.5530000000000001E-4</v>
          </cell>
          <cell r="E896">
            <v>27824</v>
          </cell>
          <cell r="F896">
            <v>22794</v>
          </cell>
          <cell r="G896">
            <v>18505</v>
          </cell>
          <cell r="H896">
            <v>0</v>
          </cell>
          <cell r="I896">
            <v>0</v>
          </cell>
        </row>
        <row r="897">
          <cell r="A897">
            <v>99711</v>
          </cell>
          <cell r="B897" t="str">
            <v>TOWN OF N WILKESBORO</v>
          </cell>
          <cell r="C897">
            <v>4.2489999999999997E-4</v>
          </cell>
          <cell r="E897">
            <v>76126</v>
          </cell>
          <cell r="F897">
            <v>62365</v>
          </cell>
          <cell r="G897">
            <v>50630</v>
          </cell>
          <cell r="H897">
            <v>0</v>
          </cell>
          <cell r="I897">
            <v>0</v>
          </cell>
        </row>
        <row r="898">
          <cell r="A898">
            <v>99717</v>
          </cell>
          <cell r="B898" t="str">
            <v>TOWN OF N WILKESBORO ABC BOARD</v>
          </cell>
          <cell r="C898">
            <v>2.6599999999999999E-5</v>
          </cell>
          <cell r="E898">
            <v>4766</v>
          </cell>
          <cell r="F898">
            <v>3904</v>
          </cell>
          <cell r="G898">
            <v>3170</v>
          </cell>
          <cell r="H898">
            <v>0</v>
          </cell>
          <cell r="I898">
            <v>0</v>
          </cell>
        </row>
        <row r="899">
          <cell r="A899">
            <v>99721</v>
          </cell>
          <cell r="B899" t="str">
            <v>TOWN OF WILKESBORO</v>
          </cell>
          <cell r="C899">
            <v>6.1160000000000001E-4</v>
          </cell>
          <cell r="E899">
            <v>109575</v>
          </cell>
          <cell r="F899">
            <v>89768</v>
          </cell>
          <cell r="G899">
            <v>72876</v>
          </cell>
          <cell r="H899">
            <v>0</v>
          </cell>
          <cell r="I899">
            <v>0</v>
          </cell>
        </row>
        <row r="900">
          <cell r="A900">
            <v>99727</v>
          </cell>
          <cell r="B900" t="str">
            <v>WILKESBORO ABC BOARD</v>
          </cell>
          <cell r="C900">
            <v>1.98E-5</v>
          </cell>
          <cell r="E900">
            <v>3547</v>
          </cell>
          <cell r="F900">
            <v>2906</v>
          </cell>
          <cell r="G900">
            <v>2359</v>
          </cell>
          <cell r="H900">
            <v>0</v>
          </cell>
          <cell r="I900">
            <v>0</v>
          </cell>
        </row>
        <row r="901">
          <cell r="A901">
            <v>99801</v>
          </cell>
          <cell r="B901" t="str">
            <v>WILSON COUNTY</v>
          </cell>
          <cell r="C901">
            <v>4.7737999999999999E-3</v>
          </cell>
          <cell r="E901">
            <v>855284</v>
          </cell>
          <cell r="F901">
            <v>700679</v>
          </cell>
          <cell r="G901">
            <v>568832</v>
          </cell>
          <cell r="H901">
            <v>0</v>
          </cell>
          <cell r="I901">
            <v>0</v>
          </cell>
        </row>
        <row r="902">
          <cell r="A902">
            <v>99802</v>
          </cell>
          <cell r="B902" t="str">
            <v>WILSON COUNTY TOURISM DEVELOPMENT AUTH</v>
          </cell>
          <cell r="C902">
            <v>1.1600000000000001E-5</v>
          </cell>
          <cell r="E902">
            <v>2078</v>
          </cell>
          <cell r="F902">
            <v>1703</v>
          </cell>
          <cell r="G902">
            <v>1382</v>
          </cell>
          <cell r="H902">
            <v>0</v>
          </cell>
          <cell r="I902">
            <v>0</v>
          </cell>
        </row>
        <row r="903">
          <cell r="A903">
            <v>99804</v>
          </cell>
          <cell r="B903" t="str">
            <v>WILSON COUNTY ABC BOARD</v>
          </cell>
          <cell r="C903">
            <v>7.2200000000000007E-5</v>
          </cell>
          <cell r="E903">
            <v>12935</v>
          </cell>
          <cell r="F903">
            <v>10597</v>
          </cell>
          <cell r="G903">
            <v>8603</v>
          </cell>
          <cell r="H903">
            <v>0</v>
          </cell>
          <cell r="I903">
            <v>0</v>
          </cell>
        </row>
        <row r="904">
          <cell r="A904">
            <v>99811</v>
          </cell>
          <cell r="B904" t="str">
            <v>CITY OF WILSON</v>
          </cell>
          <cell r="C904">
            <v>6.4218000000000001E-3</v>
          </cell>
          <cell r="E904">
            <v>1150543</v>
          </cell>
          <cell r="F904">
            <v>942566</v>
          </cell>
          <cell r="G904">
            <v>765202</v>
          </cell>
          <cell r="H904">
            <v>0</v>
          </cell>
          <cell r="I904">
            <v>0</v>
          </cell>
        </row>
        <row r="905">
          <cell r="A905">
            <v>99812</v>
          </cell>
          <cell r="B905" t="str">
            <v>WILSON ECONOMIC DEV COUNCIL</v>
          </cell>
          <cell r="C905">
            <v>1.88E-5</v>
          </cell>
          <cell r="E905">
            <v>3368</v>
          </cell>
          <cell r="F905">
            <v>2759</v>
          </cell>
          <cell r="G905">
            <v>2240</v>
          </cell>
          <cell r="H905">
            <v>0</v>
          </cell>
          <cell r="I905">
            <v>0</v>
          </cell>
        </row>
        <row r="906">
          <cell r="A906">
            <v>99818</v>
          </cell>
          <cell r="B906" t="str">
            <v>CITY OF WILSON CEMETERY COMMISSION</v>
          </cell>
          <cell r="C906">
            <v>3.5599999999999998E-5</v>
          </cell>
          <cell r="E906">
            <v>6378</v>
          </cell>
          <cell r="F906">
            <v>5225</v>
          </cell>
          <cell r="G906">
            <v>4242</v>
          </cell>
          <cell r="H906">
            <v>0</v>
          </cell>
          <cell r="I906">
            <v>0</v>
          </cell>
        </row>
        <row r="907">
          <cell r="A907">
            <v>99821</v>
          </cell>
          <cell r="B907" t="str">
            <v>TOWN OF STANTONSBURG</v>
          </cell>
          <cell r="C907">
            <v>9.8200000000000002E-5</v>
          </cell>
          <cell r="E907">
            <v>17594</v>
          </cell>
          <cell r="F907">
            <v>14413</v>
          </cell>
          <cell r="G907">
            <v>11701</v>
          </cell>
          <cell r="H907">
            <v>0</v>
          </cell>
          <cell r="I907">
            <v>0</v>
          </cell>
        </row>
        <row r="908">
          <cell r="A908">
            <v>99831</v>
          </cell>
          <cell r="B908" t="str">
            <v>TOWN OF BLACK CREEK</v>
          </cell>
          <cell r="C908">
            <v>5.5399999999999998E-5</v>
          </cell>
          <cell r="E908">
            <v>9926</v>
          </cell>
          <cell r="F908">
            <v>8131</v>
          </cell>
          <cell r="G908">
            <v>6601</v>
          </cell>
          <cell r="H908">
            <v>0</v>
          </cell>
          <cell r="I908">
            <v>0</v>
          </cell>
        </row>
        <row r="909">
          <cell r="A909">
            <v>99841</v>
          </cell>
          <cell r="B909" t="str">
            <v>TOWN OF LUCAMA</v>
          </cell>
          <cell r="C909">
            <v>1.59E-5</v>
          </cell>
          <cell r="E909">
            <v>2849</v>
          </cell>
          <cell r="F909">
            <v>2334</v>
          </cell>
          <cell r="G909">
            <v>1895</v>
          </cell>
          <cell r="H909">
            <v>0</v>
          </cell>
          <cell r="I909">
            <v>0</v>
          </cell>
        </row>
        <row r="910">
          <cell r="A910">
            <v>99851</v>
          </cell>
          <cell r="B910" t="str">
            <v>TOWN OF ELM CITY</v>
          </cell>
          <cell r="C910">
            <v>7.9000000000000006E-6</v>
          </cell>
          <cell r="E910">
            <v>1415</v>
          </cell>
          <cell r="F910">
            <v>1160</v>
          </cell>
          <cell r="G910">
            <v>941</v>
          </cell>
          <cell r="H910">
            <v>0</v>
          </cell>
          <cell r="I910">
            <v>0</v>
          </cell>
        </row>
        <row r="911">
          <cell r="A911">
            <v>99901</v>
          </cell>
          <cell r="B911" t="str">
            <v>YADKIN COUNTY</v>
          </cell>
          <cell r="C911">
            <v>1.5942E-3</v>
          </cell>
          <cell r="E911">
            <v>285620</v>
          </cell>
          <cell r="F911">
            <v>233990</v>
          </cell>
          <cell r="G911">
            <v>189960</v>
          </cell>
          <cell r="H911">
            <v>0</v>
          </cell>
          <cell r="I911">
            <v>0</v>
          </cell>
        </row>
        <row r="912">
          <cell r="A912">
            <v>99911</v>
          </cell>
          <cell r="B912" t="str">
            <v>TOWN OF YADKINVILLE</v>
          </cell>
          <cell r="C912">
            <v>2.219E-4</v>
          </cell>
          <cell r="E912">
            <v>39756</v>
          </cell>
          <cell r="F912">
            <v>32570</v>
          </cell>
          <cell r="G912">
            <v>26441</v>
          </cell>
          <cell r="H912">
            <v>0</v>
          </cell>
          <cell r="I912">
            <v>0</v>
          </cell>
        </row>
        <row r="913">
          <cell r="A913">
            <v>99921</v>
          </cell>
          <cell r="B913" t="str">
            <v>TOWN OF JONESVILLE</v>
          </cell>
          <cell r="C913">
            <v>1.315E-4</v>
          </cell>
          <cell r="E913">
            <v>23560</v>
          </cell>
          <cell r="F913">
            <v>19301</v>
          </cell>
          <cell r="G913">
            <v>15669</v>
          </cell>
          <cell r="H913">
            <v>0</v>
          </cell>
          <cell r="I913">
            <v>0</v>
          </cell>
        </row>
        <row r="914">
          <cell r="A914">
            <v>99931</v>
          </cell>
          <cell r="B914" t="str">
            <v>TOWN OF EAST BEND</v>
          </cell>
          <cell r="C914">
            <v>2.1699999999999999E-5</v>
          </cell>
          <cell r="E914">
            <v>3888</v>
          </cell>
          <cell r="F914">
            <v>3185</v>
          </cell>
          <cell r="G914">
            <v>2586</v>
          </cell>
          <cell r="H914">
            <v>0</v>
          </cell>
          <cell r="I914">
            <v>0</v>
          </cell>
        </row>
        <row r="915">
          <cell r="A915">
            <v>99941</v>
          </cell>
          <cell r="B915" t="str">
            <v>TOWN OF BOONVILLE</v>
          </cell>
          <cell r="C915">
            <v>7.7399999999999998E-5</v>
          </cell>
          <cell r="E915">
            <v>13867</v>
          </cell>
          <cell r="F915">
            <v>11360</v>
          </cell>
          <cell r="G915">
            <v>9223</v>
          </cell>
          <cell r="H915">
            <v>0</v>
          </cell>
          <cell r="I915">
            <v>0</v>
          </cell>
        </row>
        <row r="916">
          <cell r="A916">
            <v>99991</v>
          </cell>
          <cell r="B916" t="str">
            <v>N C ASSOC OF CO COMMISSIONERS</v>
          </cell>
          <cell r="C916">
            <v>5.0869999999999995E-4</v>
          </cell>
          <cell r="E916">
            <v>91140</v>
          </cell>
          <cell r="F916">
            <v>74665</v>
          </cell>
          <cell r="G916">
            <v>60615</v>
          </cell>
          <cell r="H916">
            <v>0</v>
          </cell>
          <cell r="I916">
            <v>0</v>
          </cell>
        </row>
        <row r="917">
          <cell r="A917">
            <v>99999</v>
          </cell>
          <cell r="B917" t="str">
            <v>N C LEAGUE OF MUNICIPALITIES</v>
          </cell>
          <cell r="C917">
            <v>1.0093000000000001E-3</v>
          </cell>
          <cell r="E917">
            <v>180828</v>
          </cell>
          <cell r="F917">
            <v>148141</v>
          </cell>
          <cell r="G917">
            <v>120265</v>
          </cell>
          <cell r="H917">
            <v>0</v>
          </cell>
          <cell r="I917">
            <v>0</v>
          </cell>
        </row>
      </sheetData>
      <sheetData sheetId="9">
        <row r="4">
          <cell r="A4">
            <v>70505</v>
          </cell>
          <cell r="B4" t="str">
            <v>THE EASTERN BAND OF CHEROKEE INDIANS</v>
          </cell>
          <cell r="C4">
            <v>3.2890000000000003E-4</v>
          </cell>
          <cell r="D4"/>
          <cell r="E4">
            <v>0</v>
          </cell>
          <cell r="F4">
            <v>0</v>
          </cell>
          <cell r="G4">
            <v>0</v>
          </cell>
          <cell r="H4">
            <v>0</v>
          </cell>
          <cell r="I4">
            <v>0</v>
          </cell>
        </row>
        <row r="5">
          <cell r="A5">
            <v>71786</v>
          </cell>
          <cell r="B5" t="str">
            <v>VILLAGE OF MISENHEIMER</v>
          </cell>
          <cell r="C5">
            <v>0</v>
          </cell>
          <cell r="D5"/>
          <cell r="E5">
            <v>0</v>
          </cell>
          <cell r="F5">
            <v>0</v>
          </cell>
          <cell r="G5">
            <v>0</v>
          </cell>
          <cell r="H5">
            <v>0</v>
          </cell>
          <cell r="I5">
            <v>0</v>
          </cell>
        </row>
        <row r="6">
          <cell r="A6">
            <v>72265</v>
          </cell>
          <cell r="B6" t="str">
            <v>PIEDMONT TRIAD AIRPORT AUTHORITY</v>
          </cell>
          <cell r="C6">
            <v>1.44E-4</v>
          </cell>
          <cell r="D6"/>
          <cell r="E6">
            <v>2759</v>
          </cell>
          <cell r="F6">
            <v>2760</v>
          </cell>
          <cell r="G6">
            <v>2017</v>
          </cell>
          <cell r="H6">
            <v>0</v>
          </cell>
          <cell r="I6">
            <v>0</v>
          </cell>
        </row>
        <row r="7">
          <cell r="A7">
            <v>72593</v>
          </cell>
          <cell r="B7" t="str">
            <v>TOWN OF SEAGROVE</v>
          </cell>
          <cell r="C7">
            <v>6.1E-6</v>
          </cell>
          <cell r="D7"/>
          <cell r="E7">
            <v>753</v>
          </cell>
          <cell r="F7">
            <v>755</v>
          </cell>
          <cell r="G7">
            <v>0</v>
          </cell>
          <cell r="H7">
            <v>0</v>
          </cell>
          <cell r="I7">
            <v>0</v>
          </cell>
        </row>
        <row r="8">
          <cell r="A8">
            <v>72657</v>
          </cell>
          <cell r="B8" t="str">
            <v>TOWN OF SPARTA</v>
          </cell>
          <cell r="C8">
            <v>3.7200000000000003E-5</v>
          </cell>
          <cell r="D8"/>
          <cell r="E8">
            <v>0</v>
          </cell>
          <cell r="F8">
            <v>0</v>
          </cell>
          <cell r="G8">
            <v>0</v>
          </cell>
          <cell r="H8">
            <v>0</v>
          </cell>
          <cell r="I8">
            <v>0</v>
          </cell>
        </row>
        <row r="9">
          <cell r="A9">
            <v>90001</v>
          </cell>
          <cell r="B9" t="str">
            <v>YANCEY COUNTY</v>
          </cell>
          <cell r="C9">
            <v>8.6050000000000005E-4</v>
          </cell>
          <cell r="D9"/>
          <cell r="E9">
            <v>5372</v>
          </cell>
          <cell r="F9">
            <v>2434</v>
          </cell>
          <cell r="G9">
            <v>2432</v>
          </cell>
          <cell r="H9">
            <v>2108</v>
          </cell>
          <cell r="I9">
            <v>0</v>
          </cell>
        </row>
        <row r="10">
          <cell r="A10">
            <v>90002</v>
          </cell>
          <cell r="B10" t="str">
            <v>YANCEY SOIL &amp; WATER CONS</v>
          </cell>
          <cell r="C10">
            <v>8.3999999999999992E-6</v>
          </cell>
          <cell r="D10"/>
          <cell r="E10">
            <v>748</v>
          </cell>
          <cell r="F10">
            <v>530</v>
          </cell>
          <cell r="G10">
            <v>405</v>
          </cell>
          <cell r="H10">
            <v>229</v>
          </cell>
          <cell r="I10">
            <v>0</v>
          </cell>
        </row>
        <row r="11">
          <cell r="A11">
            <v>90011</v>
          </cell>
          <cell r="B11" t="str">
            <v>TOWN OF BURNSVILLE</v>
          </cell>
          <cell r="C11">
            <v>1.8009999999999999E-4</v>
          </cell>
          <cell r="D11"/>
          <cell r="E11">
            <v>0</v>
          </cell>
          <cell r="F11">
            <v>0</v>
          </cell>
          <cell r="G11">
            <v>0</v>
          </cell>
          <cell r="H11">
            <v>0</v>
          </cell>
          <cell r="I11">
            <v>0</v>
          </cell>
        </row>
        <row r="12">
          <cell r="A12">
            <v>90092</v>
          </cell>
          <cell r="B12" t="str">
            <v>MARTIN-TYRRELL-WASHINGTON DIST HEALTH DEPT</v>
          </cell>
          <cell r="C12">
            <v>3.9530000000000001E-4</v>
          </cell>
          <cell r="D12"/>
          <cell r="E12">
            <v>14031</v>
          </cell>
          <cell r="F12">
            <v>14031</v>
          </cell>
          <cell r="G12">
            <v>14030</v>
          </cell>
          <cell r="H12">
            <v>10357</v>
          </cell>
          <cell r="I12">
            <v>0</v>
          </cell>
        </row>
        <row r="13">
          <cell r="A13">
            <v>90096</v>
          </cell>
          <cell r="B13" t="str">
            <v>ALBEMARLE REGIONAL HEALTH SERVICES</v>
          </cell>
          <cell r="C13">
            <v>9.722E-4</v>
          </cell>
          <cell r="D13"/>
          <cell r="E13">
            <v>40759</v>
          </cell>
          <cell r="F13">
            <v>40759</v>
          </cell>
          <cell r="G13">
            <v>40761</v>
          </cell>
          <cell r="H13">
            <v>32073</v>
          </cell>
          <cell r="I13">
            <v>0</v>
          </cell>
        </row>
        <row r="14">
          <cell r="A14">
            <v>90098</v>
          </cell>
          <cell r="B14" t="str">
            <v>TOE RIVER HEALTH DISTRICT</v>
          </cell>
          <cell r="C14">
            <v>2.521E-4</v>
          </cell>
          <cell r="D14"/>
          <cell r="E14">
            <v>5172</v>
          </cell>
          <cell r="F14">
            <v>5174</v>
          </cell>
          <cell r="G14">
            <v>3776</v>
          </cell>
          <cell r="H14">
            <v>0</v>
          </cell>
          <cell r="I14">
            <v>0</v>
          </cell>
        </row>
        <row r="15">
          <cell r="A15">
            <v>90099</v>
          </cell>
          <cell r="B15" t="str">
            <v>APPALACHIAN DISTRICT HEALTH DEPT</v>
          </cell>
          <cell r="C15">
            <v>6.7389999999999995E-4</v>
          </cell>
          <cell r="D15"/>
          <cell r="E15">
            <v>21834</v>
          </cell>
          <cell r="F15">
            <v>21836</v>
          </cell>
          <cell r="G15">
            <v>0</v>
          </cell>
          <cell r="H15">
            <v>0</v>
          </cell>
          <cell r="I15">
            <v>0</v>
          </cell>
        </row>
        <row r="16">
          <cell r="A16">
            <v>90101</v>
          </cell>
          <cell r="B16" t="str">
            <v>ALAMANCE COUNTY</v>
          </cell>
          <cell r="C16">
            <v>6.2302E-3</v>
          </cell>
          <cell r="D16"/>
          <cell r="E16">
            <v>44419</v>
          </cell>
          <cell r="F16">
            <v>22109</v>
          </cell>
          <cell r="G16">
            <v>0</v>
          </cell>
          <cell r="H16">
            <v>0</v>
          </cell>
          <cell r="I16">
            <v>0</v>
          </cell>
        </row>
        <row r="17">
          <cell r="A17">
            <v>90111</v>
          </cell>
          <cell r="B17" t="str">
            <v>CITY OF BURLINGTON</v>
          </cell>
          <cell r="C17">
            <v>4.9528000000000003E-3</v>
          </cell>
          <cell r="D17"/>
          <cell r="E17">
            <v>5520</v>
          </cell>
          <cell r="F17">
            <v>5522</v>
          </cell>
          <cell r="G17">
            <v>1750</v>
          </cell>
          <cell r="H17">
            <v>0</v>
          </cell>
          <cell r="I17">
            <v>0</v>
          </cell>
        </row>
        <row r="18">
          <cell r="A18">
            <v>90114</v>
          </cell>
          <cell r="B18" t="str">
            <v>CITY OF MEBANE</v>
          </cell>
          <cell r="C18">
            <v>1.1188999999999999E-3</v>
          </cell>
          <cell r="D18"/>
          <cell r="E18">
            <v>525059</v>
          </cell>
          <cell r="F18">
            <v>414064</v>
          </cell>
          <cell r="G18">
            <v>288636</v>
          </cell>
          <cell r="H18">
            <v>157196</v>
          </cell>
          <cell r="I18">
            <v>0</v>
          </cell>
        </row>
        <row r="19">
          <cell r="A19">
            <v>90117</v>
          </cell>
          <cell r="B19" t="str">
            <v>ALAMANCE MUNICIPAL ABC BOARD</v>
          </cell>
          <cell r="C19">
            <v>1.3219999999999999E-4</v>
          </cell>
          <cell r="D19"/>
          <cell r="E19">
            <v>16123</v>
          </cell>
          <cell r="F19">
            <v>11398</v>
          </cell>
          <cell r="G19">
            <v>7331</v>
          </cell>
          <cell r="H19">
            <v>3826</v>
          </cell>
          <cell r="I19">
            <v>0</v>
          </cell>
        </row>
        <row r="20">
          <cell r="A20">
            <v>90121</v>
          </cell>
          <cell r="B20" t="str">
            <v>CITY OF GRAHAM</v>
          </cell>
          <cell r="C20">
            <v>1.1077999999999999E-3</v>
          </cell>
          <cell r="D20"/>
          <cell r="E20">
            <v>0</v>
          </cell>
          <cell r="F20">
            <v>0</v>
          </cell>
          <cell r="G20">
            <v>0</v>
          </cell>
          <cell r="H20">
            <v>0</v>
          </cell>
          <cell r="I20">
            <v>0</v>
          </cell>
        </row>
        <row r="21">
          <cell r="A21">
            <v>90131</v>
          </cell>
          <cell r="B21" t="str">
            <v>TOWN OF ELON</v>
          </cell>
          <cell r="C21">
            <v>4.9050000000000005E-4</v>
          </cell>
          <cell r="D21"/>
          <cell r="E21">
            <v>748</v>
          </cell>
          <cell r="F21">
            <v>748</v>
          </cell>
          <cell r="G21">
            <v>748</v>
          </cell>
          <cell r="H21">
            <v>746</v>
          </cell>
          <cell r="I21">
            <v>0</v>
          </cell>
        </row>
        <row r="22">
          <cell r="A22">
            <v>90141</v>
          </cell>
          <cell r="B22" t="str">
            <v>TOWN OF HAW RIVER</v>
          </cell>
          <cell r="C22">
            <v>1.4770000000000001E-4</v>
          </cell>
          <cell r="D22"/>
          <cell r="E22">
            <v>2228</v>
          </cell>
          <cell r="F22">
            <v>2230</v>
          </cell>
          <cell r="G22">
            <v>385</v>
          </cell>
          <cell r="H22">
            <v>384</v>
          </cell>
          <cell r="I22">
            <v>0</v>
          </cell>
        </row>
        <row r="23">
          <cell r="A23">
            <v>90151</v>
          </cell>
          <cell r="B23" t="str">
            <v>VILLAGE OF ALAMANCE</v>
          </cell>
          <cell r="C23">
            <v>9.3000000000000007E-6</v>
          </cell>
          <cell r="D23"/>
          <cell r="E23">
            <v>0</v>
          </cell>
          <cell r="F23">
            <v>0</v>
          </cell>
          <cell r="G23">
            <v>0</v>
          </cell>
          <cell r="H23">
            <v>0</v>
          </cell>
          <cell r="I23">
            <v>0</v>
          </cell>
        </row>
        <row r="24">
          <cell r="A24">
            <v>90161</v>
          </cell>
          <cell r="B24" t="str">
            <v>TOWN OF GREEN LEVEL</v>
          </cell>
          <cell r="C24">
            <v>3.57E-5</v>
          </cell>
          <cell r="D24"/>
          <cell r="E24">
            <v>1478</v>
          </cell>
          <cell r="F24">
            <v>664</v>
          </cell>
          <cell r="G24">
            <v>666</v>
          </cell>
          <cell r="H24">
            <v>0</v>
          </cell>
          <cell r="I24">
            <v>0</v>
          </cell>
        </row>
        <row r="25">
          <cell r="A25">
            <v>90201</v>
          </cell>
          <cell r="B25" t="str">
            <v>ALEXANDER COUNTY</v>
          </cell>
          <cell r="C25">
            <v>1.2569E-3</v>
          </cell>
          <cell r="D25"/>
          <cell r="E25">
            <v>15670</v>
          </cell>
          <cell r="F25">
            <v>15670</v>
          </cell>
          <cell r="G25">
            <v>15670</v>
          </cell>
          <cell r="H25">
            <v>15669</v>
          </cell>
          <cell r="I25">
            <v>0</v>
          </cell>
        </row>
        <row r="26">
          <cell r="A26">
            <v>90203</v>
          </cell>
          <cell r="B26" t="str">
            <v>ALEXANDER COUNTY HEALTH DEPT</v>
          </cell>
          <cell r="C26">
            <v>2.0019999999999999E-4</v>
          </cell>
          <cell r="D26"/>
          <cell r="E26">
            <v>1514</v>
          </cell>
          <cell r="F26">
            <v>1514</v>
          </cell>
          <cell r="G26">
            <v>1515</v>
          </cell>
          <cell r="H26">
            <v>735</v>
          </cell>
          <cell r="I26">
            <v>0</v>
          </cell>
        </row>
        <row r="27">
          <cell r="A27">
            <v>90205</v>
          </cell>
          <cell r="B27" t="str">
            <v>ALEXANDER COUNTY PUBLIC LIBRARY</v>
          </cell>
          <cell r="C27">
            <v>3.04E-5</v>
          </cell>
          <cell r="D27"/>
          <cell r="E27">
            <v>593</v>
          </cell>
          <cell r="F27">
            <v>593</v>
          </cell>
          <cell r="G27">
            <v>591</v>
          </cell>
          <cell r="H27">
            <v>0</v>
          </cell>
          <cell r="I27">
            <v>0</v>
          </cell>
        </row>
        <row r="28">
          <cell r="A28">
            <v>90206</v>
          </cell>
          <cell r="B28" t="str">
            <v>ALEXANDER COUNTY DEPT OF S S</v>
          </cell>
          <cell r="C28">
            <v>3.6160000000000001E-4</v>
          </cell>
          <cell r="D28"/>
          <cell r="E28">
            <v>0</v>
          </cell>
          <cell r="F28">
            <v>0</v>
          </cell>
          <cell r="G28">
            <v>0</v>
          </cell>
          <cell r="H28">
            <v>0</v>
          </cell>
          <cell r="I28">
            <v>0</v>
          </cell>
        </row>
        <row r="29">
          <cell r="A29">
            <v>90211</v>
          </cell>
          <cell r="B29" t="str">
            <v>TOWN OF TAYLORSVILLE</v>
          </cell>
          <cell r="C29">
            <v>1.5799999999999999E-4</v>
          </cell>
          <cell r="D29"/>
          <cell r="E29">
            <v>2962</v>
          </cell>
          <cell r="F29">
            <v>2962</v>
          </cell>
          <cell r="G29">
            <v>2964</v>
          </cell>
          <cell r="H29">
            <v>1177</v>
          </cell>
          <cell r="I29">
            <v>0</v>
          </cell>
        </row>
        <row r="30">
          <cell r="A30">
            <v>90301</v>
          </cell>
          <cell r="B30" t="str">
            <v>ALLEGHANY COUNTY</v>
          </cell>
          <cell r="C30">
            <v>7.339E-4</v>
          </cell>
          <cell r="D30"/>
          <cell r="E30">
            <v>0</v>
          </cell>
          <cell r="F30">
            <v>0</v>
          </cell>
          <cell r="G30">
            <v>0</v>
          </cell>
          <cell r="H30">
            <v>0</v>
          </cell>
          <cell r="I30">
            <v>0</v>
          </cell>
        </row>
        <row r="31">
          <cell r="A31">
            <v>90305</v>
          </cell>
          <cell r="B31" t="str">
            <v>NORTHWESTERN REGIONAL LIBRARY</v>
          </cell>
          <cell r="C31">
            <v>1.404E-4</v>
          </cell>
          <cell r="D31"/>
          <cell r="E31">
            <v>5336</v>
          </cell>
          <cell r="F31">
            <v>3557</v>
          </cell>
          <cell r="G31">
            <v>2633</v>
          </cell>
          <cell r="H31">
            <v>2231</v>
          </cell>
          <cell r="I31">
            <v>0</v>
          </cell>
        </row>
        <row r="32">
          <cell r="A32">
            <v>90307</v>
          </cell>
          <cell r="B32" t="str">
            <v>TOWN OF SPARTA ABC BOARD</v>
          </cell>
          <cell r="C32">
            <v>5.8000000000000004E-6</v>
          </cell>
          <cell r="D32"/>
          <cell r="E32">
            <v>255</v>
          </cell>
          <cell r="F32">
            <v>247</v>
          </cell>
          <cell r="G32">
            <v>122</v>
          </cell>
          <cell r="H32">
            <v>122</v>
          </cell>
          <cell r="I32">
            <v>0</v>
          </cell>
        </row>
        <row r="33">
          <cell r="A33">
            <v>90401</v>
          </cell>
          <cell r="B33" t="str">
            <v>ANSON COUNTY</v>
          </cell>
          <cell r="C33">
            <v>1.2876000000000001E-3</v>
          </cell>
          <cell r="D33"/>
          <cell r="E33">
            <v>21478</v>
          </cell>
          <cell r="F33">
            <v>19370</v>
          </cell>
          <cell r="G33">
            <v>19370</v>
          </cell>
          <cell r="H33">
            <v>19371</v>
          </cell>
          <cell r="I33">
            <v>0</v>
          </cell>
        </row>
        <row r="34">
          <cell r="A34">
            <v>90411</v>
          </cell>
          <cell r="B34" t="str">
            <v>TOWN OF WADESBORO</v>
          </cell>
          <cell r="C34">
            <v>3.2929999999999998E-4</v>
          </cell>
          <cell r="D34"/>
          <cell r="E34">
            <v>0</v>
          </cell>
          <cell r="F34">
            <v>0</v>
          </cell>
          <cell r="G34">
            <v>0</v>
          </cell>
          <cell r="H34">
            <v>0</v>
          </cell>
          <cell r="I34">
            <v>0</v>
          </cell>
        </row>
        <row r="35">
          <cell r="A35">
            <v>90413</v>
          </cell>
          <cell r="B35" t="str">
            <v>WADESBORO HOUSING AUTHORITY</v>
          </cell>
          <cell r="C35">
            <v>3.4900000000000001E-5</v>
          </cell>
          <cell r="D35"/>
          <cell r="E35">
            <v>1162</v>
          </cell>
          <cell r="F35">
            <v>838</v>
          </cell>
          <cell r="G35">
            <v>838</v>
          </cell>
          <cell r="H35">
            <v>401</v>
          </cell>
          <cell r="I35">
            <v>0</v>
          </cell>
        </row>
        <row r="36">
          <cell r="A36">
            <v>90417</v>
          </cell>
          <cell r="B36" t="str">
            <v>WADESBORO ABC BOARD</v>
          </cell>
          <cell r="C36">
            <v>1.06E-5</v>
          </cell>
          <cell r="D36"/>
          <cell r="E36">
            <v>1822</v>
          </cell>
          <cell r="F36">
            <v>1583</v>
          </cell>
          <cell r="G36">
            <v>1048</v>
          </cell>
          <cell r="H36">
            <v>394</v>
          </cell>
          <cell r="I36">
            <v>0</v>
          </cell>
        </row>
        <row r="37">
          <cell r="A37">
            <v>90421</v>
          </cell>
          <cell r="B37" t="str">
            <v>TOWN OF LILESVILLE</v>
          </cell>
          <cell r="C37">
            <v>1.98E-5</v>
          </cell>
          <cell r="D37"/>
          <cell r="E37">
            <v>0</v>
          </cell>
          <cell r="F37">
            <v>0</v>
          </cell>
          <cell r="G37">
            <v>0</v>
          </cell>
          <cell r="H37">
            <v>0</v>
          </cell>
          <cell r="I37">
            <v>0</v>
          </cell>
        </row>
        <row r="38">
          <cell r="A38">
            <v>90431</v>
          </cell>
          <cell r="B38" t="str">
            <v>TOWN OF POLKTON</v>
          </cell>
          <cell r="C38">
            <v>4.8099999999999997E-5</v>
          </cell>
          <cell r="D38"/>
          <cell r="E38">
            <v>1507</v>
          </cell>
          <cell r="F38">
            <v>1506</v>
          </cell>
          <cell r="G38">
            <v>651</v>
          </cell>
          <cell r="H38">
            <v>649</v>
          </cell>
          <cell r="I38">
            <v>0</v>
          </cell>
        </row>
        <row r="39">
          <cell r="A39">
            <v>90441</v>
          </cell>
          <cell r="B39" t="str">
            <v>TOWN OF PEACHLAND</v>
          </cell>
          <cell r="C39">
            <v>6.7000000000000002E-6</v>
          </cell>
          <cell r="D39"/>
          <cell r="E39">
            <v>451</v>
          </cell>
          <cell r="F39">
            <v>417</v>
          </cell>
          <cell r="G39">
            <v>371</v>
          </cell>
          <cell r="H39">
            <v>217</v>
          </cell>
          <cell r="I39">
            <v>0</v>
          </cell>
        </row>
        <row r="40">
          <cell r="A40">
            <v>90451</v>
          </cell>
          <cell r="B40" t="str">
            <v>TOWN OF ANSONVILLE</v>
          </cell>
          <cell r="C40">
            <v>2.3099999999999999E-5</v>
          </cell>
          <cell r="D40"/>
          <cell r="E40">
            <v>1705</v>
          </cell>
          <cell r="F40">
            <v>1110</v>
          </cell>
          <cell r="G40">
            <v>1111</v>
          </cell>
          <cell r="H40">
            <v>462</v>
          </cell>
          <cell r="I40">
            <v>0</v>
          </cell>
        </row>
        <row r="41">
          <cell r="A41">
            <v>90461</v>
          </cell>
          <cell r="B41" t="str">
            <v>TOWN OF MORVEN</v>
          </cell>
          <cell r="C41">
            <v>2.0999999999999998E-6</v>
          </cell>
          <cell r="D41"/>
          <cell r="E41">
            <v>23</v>
          </cell>
          <cell r="F41">
            <v>23</v>
          </cell>
          <cell r="G41">
            <v>21</v>
          </cell>
          <cell r="H41">
            <v>0</v>
          </cell>
          <cell r="I41">
            <v>0</v>
          </cell>
        </row>
        <row r="42">
          <cell r="A42">
            <v>90501</v>
          </cell>
          <cell r="B42" t="str">
            <v>ASHE COUNTY</v>
          </cell>
          <cell r="C42">
            <v>1.4587000000000001E-3</v>
          </cell>
          <cell r="D42"/>
          <cell r="E42">
            <v>30140</v>
          </cell>
          <cell r="F42">
            <v>29386</v>
          </cell>
          <cell r="G42">
            <v>22571</v>
          </cell>
          <cell r="H42">
            <v>22571</v>
          </cell>
          <cell r="I42">
            <v>0</v>
          </cell>
        </row>
        <row r="43">
          <cell r="A43">
            <v>90507</v>
          </cell>
          <cell r="B43" t="str">
            <v>WEST JEFFERSON ABC BOARD</v>
          </cell>
          <cell r="C43">
            <v>3.4000000000000001E-6</v>
          </cell>
          <cell r="D43"/>
          <cell r="E43">
            <v>4837</v>
          </cell>
          <cell r="F43">
            <v>3731</v>
          </cell>
          <cell r="G43">
            <v>2370</v>
          </cell>
          <cell r="H43">
            <v>835</v>
          </cell>
          <cell r="I43">
            <v>0</v>
          </cell>
        </row>
        <row r="44">
          <cell r="A44">
            <v>90511</v>
          </cell>
          <cell r="B44" t="str">
            <v>TOWN OF JEFFERSON</v>
          </cell>
          <cell r="C44">
            <v>1.011E-4</v>
          </cell>
          <cell r="D44"/>
          <cell r="E44">
            <v>10200</v>
          </cell>
          <cell r="F44">
            <v>8493</v>
          </cell>
          <cell r="G44">
            <v>7428</v>
          </cell>
          <cell r="H44">
            <v>5370</v>
          </cell>
          <cell r="I44">
            <v>0</v>
          </cell>
        </row>
        <row r="45">
          <cell r="A45">
            <v>90521</v>
          </cell>
          <cell r="B45" t="str">
            <v>TOWN OF WEST JEFFERSON</v>
          </cell>
          <cell r="C45">
            <v>1.371E-4</v>
          </cell>
          <cell r="D45"/>
          <cell r="E45">
            <v>0</v>
          </cell>
          <cell r="F45">
            <v>0</v>
          </cell>
          <cell r="G45">
            <v>0</v>
          </cell>
          <cell r="H45">
            <v>0</v>
          </cell>
          <cell r="I45">
            <v>0</v>
          </cell>
        </row>
        <row r="46">
          <cell r="A46">
            <v>90601</v>
          </cell>
          <cell r="B46" t="str">
            <v>AVERY COUNTY</v>
          </cell>
          <cell r="C46">
            <v>1.1100999999999999E-3</v>
          </cell>
          <cell r="D46"/>
          <cell r="E46">
            <v>2505</v>
          </cell>
          <cell r="F46">
            <v>2504</v>
          </cell>
          <cell r="G46">
            <v>1750</v>
          </cell>
          <cell r="H46">
            <v>1752</v>
          </cell>
          <cell r="I46">
            <v>0</v>
          </cell>
        </row>
        <row r="47">
          <cell r="A47">
            <v>90602</v>
          </cell>
          <cell r="B47" t="str">
            <v>AVERY COUNTY FIRE COMMISSION</v>
          </cell>
          <cell r="C47">
            <v>9.2999999999999997E-5</v>
          </cell>
          <cell r="D47"/>
          <cell r="E47">
            <v>19880</v>
          </cell>
          <cell r="F47">
            <v>11261</v>
          </cell>
          <cell r="G47">
            <v>10060</v>
          </cell>
          <cell r="H47">
            <v>7580</v>
          </cell>
          <cell r="I47">
            <v>0</v>
          </cell>
        </row>
        <row r="48">
          <cell r="A48">
            <v>90605</v>
          </cell>
          <cell r="B48" t="str">
            <v>AVERY-MITCHELL-YANCEY REG LIBRARY</v>
          </cell>
          <cell r="C48">
            <v>4.9799999999999998E-5</v>
          </cell>
          <cell r="D48"/>
          <cell r="E48">
            <v>7161</v>
          </cell>
          <cell r="F48">
            <v>5762</v>
          </cell>
          <cell r="G48">
            <v>3921</v>
          </cell>
          <cell r="H48">
            <v>2734</v>
          </cell>
          <cell r="I48">
            <v>0</v>
          </cell>
        </row>
        <row r="49">
          <cell r="A49">
            <v>90611</v>
          </cell>
          <cell r="B49" t="str">
            <v>TOWN OF BANNER ELK</v>
          </cell>
          <cell r="C49">
            <v>1.526E-4</v>
          </cell>
          <cell r="D49"/>
          <cell r="E49">
            <v>1242</v>
          </cell>
          <cell r="F49">
            <v>1242</v>
          </cell>
          <cell r="G49">
            <v>1242</v>
          </cell>
          <cell r="H49">
            <v>1244</v>
          </cell>
          <cell r="I49">
            <v>0</v>
          </cell>
        </row>
        <row r="50">
          <cell r="A50">
            <v>90617</v>
          </cell>
          <cell r="B50" t="str">
            <v>HIGH COUNTRY ABC BOARD</v>
          </cell>
          <cell r="C50">
            <v>2.8600000000000001E-5</v>
          </cell>
          <cell r="D50"/>
          <cell r="E50">
            <v>2342</v>
          </cell>
          <cell r="F50">
            <v>1772</v>
          </cell>
          <cell r="G50">
            <v>1129</v>
          </cell>
          <cell r="H50">
            <v>643</v>
          </cell>
          <cell r="I50">
            <v>0</v>
          </cell>
        </row>
        <row r="51">
          <cell r="A51">
            <v>90621</v>
          </cell>
          <cell r="B51" t="str">
            <v>TOWN OF NEWLAND</v>
          </cell>
          <cell r="C51">
            <v>6.97E-5</v>
          </cell>
          <cell r="D51"/>
          <cell r="E51">
            <v>552</v>
          </cell>
          <cell r="F51">
            <v>552</v>
          </cell>
          <cell r="G51">
            <v>552</v>
          </cell>
          <cell r="H51">
            <v>552</v>
          </cell>
          <cell r="I51">
            <v>0</v>
          </cell>
        </row>
        <row r="52">
          <cell r="A52">
            <v>90631</v>
          </cell>
          <cell r="B52" t="str">
            <v>TOWN OF BEECH MOUNTAIN</v>
          </cell>
          <cell r="C52">
            <v>3.6430000000000002E-4</v>
          </cell>
          <cell r="D52"/>
          <cell r="E52">
            <v>5090</v>
          </cell>
          <cell r="F52">
            <v>1401</v>
          </cell>
          <cell r="G52">
            <v>27</v>
          </cell>
          <cell r="H52">
            <v>26</v>
          </cell>
          <cell r="I52">
            <v>0</v>
          </cell>
        </row>
        <row r="53">
          <cell r="A53">
            <v>90641</v>
          </cell>
          <cell r="B53" t="str">
            <v>TOWN OF ELK PARK</v>
          </cell>
          <cell r="C53">
            <v>1.1800000000000001E-5</v>
          </cell>
          <cell r="D53"/>
          <cell r="E53">
            <v>69</v>
          </cell>
          <cell r="F53">
            <v>70</v>
          </cell>
          <cell r="G53">
            <v>50</v>
          </cell>
          <cell r="H53">
            <v>28</v>
          </cell>
          <cell r="I53">
            <v>0</v>
          </cell>
        </row>
        <row r="54">
          <cell r="A54">
            <v>90651</v>
          </cell>
          <cell r="B54" t="str">
            <v>TOWN OF SUGAR MOUNTAIN</v>
          </cell>
          <cell r="C54">
            <v>1.031E-4</v>
          </cell>
          <cell r="D54"/>
          <cell r="E54">
            <v>40231</v>
          </cell>
          <cell r="F54">
            <v>30466</v>
          </cell>
          <cell r="G54">
            <v>21848</v>
          </cell>
          <cell r="H54">
            <v>10585</v>
          </cell>
          <cell r="I54">
            <v>0</v>
          </cell>
        </row>
        <row r="55">
          <cell r="A55">
            <v>90701</v>
          </cell>
          <cell r="B55" t="str">
            <v>COUNTY OF BEAUFORT</v>
          </cell>
          <cell r="C55">
            <v>2.6227999999999998E-3</v>
          </cell>
          <cell r="D55"/>
          <cell r="E55">
            <v>28251</v>
          </cell>
          <cell r="F55">
            <v>28249</v>
          </cell>
          <cell r="G55">
            <v>0</v>
          </cell>
          <cell r="H55">
            <v>0</v>
          </cell>
          <cell r="I55">
            <v>0</v>
          </cell>
        </row>
        <row r="56">
          <cell r="A56">
            <v>90704</v>
          </cell>
          <cell r="B56" t="str">
            <v>BEAUFORT COUNTY ABC BOARD</v>
          </cell>
          <cell r="C56">
            <v>4.4299999999999999E-5</v>
          </cell>
          <cell r="D56"/>
          <cell r="E56">
            <v>9047</v>
          </cell>
          <cell r="F56">
            <v>7361</v>
          </cell>
          <cell r="G56">
            <v>5912</v>
          </cell>
          <cell r="H56">
            <v>3698</v>
          </cell>
          <cell r="I56">
            <v>0</v>
          </cell>
        </row>
        <row r="57">
          <cell r="A57">
            <v>90705</v>
          </cell>
          <cell r="B57" t="str">
            <v>B H M REGIONAL LIBRARY</v>
          </cell>
          <cell r="C57">
            <v>4.1199999999999999E-5</v>
          </cell>
          <cell r="D57"/>
          <cell r="E57">
            <v>5982</v>
          </cell>
          <cell r="F57">
            <v>4926</v>
          </cell>
          <cell r="G57">
            <v>1970</v>
          </cell>
          <cell r="H57">
            <v>1972</v>
          </cell>
          <cell r="I57">
            <v>0</v>
          </cell>
        </row>
        <row r="58">
          <cell r="A58">
            <v>90709</v>
          </cell>
          <cell r="B58" t="str">
            <v>MIDEAST COMMISSION</v>
          </cell>
          <cell r="C58">
            <v>1.474E-4</v>
          </cell>
          <cell r="D58"/>
          <cell r="E58">
            <v>9771</v>
          </cell>
          <cell r="F58">
            <v>9771</v>
          </cell>
          <cell r="G58">
            <v>9769</v>
          </cell>
          <cell r="H58">
            <v>0</v>
          </cell>
          <cell r="I58">
            <v>0</v>
          </cell>
        </row>
        <row r="59">
          <cell r="A59">
            <v>90711</v>
          </cell>
          <cell r="B59" t="str">
            <v>CITY OF WASHINGTON</v>
          </cell>
          <cell r="C59">
            <v>1.5481E-3</v>
          </cell>
          <cell r="D59"/>
          <cell r="E59">
            <v>0</v>
          </cell>
          <cell r="F59">
            <v>0</v>
          </cell>
          <cell r="G59">
            <v>0</v>
          </cell>
          <cell r="H59">
            <v>0</v>
          </cell>
          <cell r="I59">
            <v>0</v>
          </cell>
        </row>
        <row r="60">
          <cell r="A60">
            <v>90721</v>
          </cell>
          <cell r="B60" t="str">
            <v>TOWN OF AURORA</v>
          </cell>
          <cell r="C60">
            <v>2.1399999999999998E-5</v>
          </cell>
          <cell r="D60"/>
          <cell r="E60">
            <v>53</v>
          </cell>
          <cell r="F60">
            <v>53</v>
          </cell>
          <cell r="G60">
            <v>51</v>
          </cell>
          <cell r="H60">
            <v>0</v>
          </cell>
          <cell r="I60">
            <v>0</v>
          </cell>
        </row>
        <row r="61">
          <cell r="A61">
            <v>90731</v>
          </cell>
          <cell r="B61" t="str">
            <v>TOWN OF BELHAVEN</v>
          </cell>
          <cell r="C61">
            <v>1.384E-4</v>
          </cell>
          <cell r="D61"/>
          <cell r="E61">
            <v>0</v>
          </cell>
          <cell r="F61">
            <v>0</v>
          </cell>
          <cell r="G61">
            <v>0</v>
          </cell>
          <cell r="H61">
            <v>0</v>
          </cell>
          <cell r="I61">
            <v>0</v>
          </cell>
        </row>
        <row r="62">
          <cell r="A62">
            <v>90741</v>
          </cell>
          <cell r="B62" t="str">
            <v>TOWN OF WASHINGTON PARK</v>
          </cell>
          <cell r="C62">
            <v>1.38E-5</v>
          </cell>
          <cell r="D62"/>
          <cell r="E62">
            <v>1232</v>
          </cell>
          <cell r="F62">
            <v>1003</v>
          </cell>
          <cell r="G62">
            <v>1002</v>
          </cell>
          <cell r="H62">
            <v>0</v>
          </cell>
          <cell r="I62">
            <v>0</v>
          </cell>
        </row>
        <row r="63">
          <cell r="A63">
            <v>90751</v>
          </cell>
          <cell r="B63" t="str">
            <v>TOWN OF CHOCOWINITY</v>
          </cell>
          <cell r="C63">
            <v>6.3E-5</v>
          </cell>
          <cell r="D63"/>
          <cell r="E63">
            <v>667</v>
          </cell>
          <cell r="F63">
            <v>617</v>
          </cell>
          <cell r="G63">
            <v>618</v>
          </cell>
          <cell r="H63">
            <v>0</v>
          </cell>
          <cell r="I63">
            <v>0</v>
          </cell>
        </row>
        <row r="64">
          <cell r="A64">
            <v>90801</v>
          </cell>
          <cell r="B64" t="str">
            <v>BERTIE COUNTY</v>
          </cell>
          <cell r="C64">
            <v>1.2669999999999999E-3</v>
          </cell>
          <cell r="D64"/>
          <cell r="E64">
            <v>18755</v>
          </cell>
          <cell r="F64">
            <v>12107</v>
          </cell>
          <cell r="G64">
            <v>0</v>
          </cell>
          <cell r="H64">
            <v>0</v>
          </cell>
          <cell r="I64">
            <v>0</v>
          </cell>
        </row>
        <row r="65">
          <cell r="A65">
            <v>90804</v>
          </cell>
          <cell r="B65" t="str">
            <v>BERTIE COUNTY ABC BOARD</v>
          </cell>
          <cell r="C65">
            <v>5.5999999999999997E-6</v>
          </cell>
          <cell r="D65"/>
          <cell r="E65">
            <v>176</v>
          </cell>
          <cell r="F65">
            <v>13</v>
          </cell>
          <cell r="G65">
            <v>0</v>
          </cell>
          <cell r="H65">
            <v>0</v>
          </cell>
          <cell r="I65">
            <v>0</v>
          </cell>
        </row>
        <row r="66">
          <cell r="A66">
            <v>90805</v>
          </cell>
          <cell r="B66" t="str">
            <v>ALBEMARLE REGIONAL LIBRARY</v>
          </cell>
          <cell r="C66">
            <v>6.5900000000000003E-5</v>
          </cell>
          <cell r="D66"/>
          <cell r="E66">
            <v>10289</v>
          </cell>
          <cell r="F66">
            <v>7952</v>
          </cell>
          <cell r="G66">
            <v>6130</v>
          </cell>
          <cell r="H66">
            <v>1843</v>
          </cell>
          <cell r="I66">
            <v>0</v>
          </cell>
        </row>
        <row r="67">
          <cell r="A67">
            <v>90808</v>
          </cell>
          <cell r="B67" t="str">
            <v>BERTIE-MARTIN REGIONAL JAIL COMM</v>
          </cell>
          <cell r="C67">
            <v>1.395E-4</v>
          </cell>
          <cell r="D67"/>
          <cell r="E67">
            <v>10645</v>
          </cell>
          <cell r="F67">
            <v>10646</v>
          </cell>
          <cell r="G67">
            <v>9455</v>
          </cell>
          <cell r="H67">
            <v>9454</v>
          </cell>
          <cell r="I67">
            <v>0</v>
          </cell>
        </row>
        <row r="68">
          <cell r="A68">
            <v>90811</v>
          </cell>
          <cell r="B68" t="str">
            <v>TOWN OF AULANDER</v>
          </cell>
          <cell r="C68">
            <v>3.4900000000000001E-5</v>
          </cell>
          <cell r="D68"/>
          <cell r="E68">
            <v>0</v>
          </cell>
          <cell r="F68">
            <v>0</v>
          </cell>
          <cell r="G68">
            <v>0</v>
          </cell>
          <cell r="H68">
            <v>0</v>
          </cell>
          <cell r="I68">
            <v>0</v>
          </cell>
        </row>
        <row r="69">
          <cell r="A69">
            <v>90812</v>
          </cell>
          <cell r="B69" t="str">
            <v>TOWN OF WINDSOR</v>
          </cell>
          <cell r="C69">
            <v>2.2100000000000001E-4</v>
          </cell>
          <cell r="D69"/>
          <cell r="E69">
            <v>2664</v>
          </cell>
          <cell r="F69">
            <v>2663</v>
          </cell>
          <cell r="G69">
            <v>0</v>
          </cell>
          <cell r="H69">
            <v>0</v>
          </cell>
          <cell r="I69">
            <v>0</v>
          </cell>
        </row>
        <row r="70">
          <cell r="A70">
            <v>90813</v>
          </cell>
          <cell r="B70" t="str">
            <v>TOWN OF COLERAIN</v>
          </cell>
          <cell r="C70">
            <v>4.6E-6</v>
          </cell>
          <cell r="D70"/>
          <cell r="E70">
            <v>0</v>
          </cell>
          <cell r="F70">
            <v>0</v>
          </cell>
          <cell r="G70">
            <v>0</v>
          </cell>
          <cell r="H70">
            <v>0</v>
          </cell>
          <cell r="I70">
            <v>0</v>
          </cell>
        </row>
        <row r="71">
          <cell r="A71">
            <v>90861</v>
          </cell>
          <cell r="B71" t="str">
            <v>TOWN OF LEWISTON WOODVILLE</v>
          </cell>
          <cell r="C71">
            <v>8.4999999999999999E-6</v>
          </cell>
          <cell r="D71"/>
          <cell r="E71">
            <v>2472</v>
          </cell>
          <cell r="F71">
            <v>2263</v>
          </cell>
          <cell r="G71">
            <v>2006</v>
          </cell>
          <cell r="H71">
            <v>849</v>
          </cell>
          <cell r="I71">
            <v>0</v>
          </cell>
        </row>
        <row r="72">
          <cell r="A72">
            <v>90901</v>
          </cell>
          <cell r="B72" t="str">
            <v>BLADEN COUNTY</v>
          </cell>
          <cell r="C72">
            <v>2.274E-3</v>
          </cell>
          <cell r="D72"/>
          <cell r="E72">
            <v>25948</v>
          </cell>
          <cell r="F72">
            <v>25949</v>
          </cell>
          <cell r="G72">
            <v>21485</v>
          </cell>
          <cell r="H72">
            <v>21485</v>
          </cell>
          <cell r="I72">
            <v>0</v>
          </cell>
        </row>
        <row r="73">
          <cell r="A73">
            <v>90911</v>
          </cell>
          <cell r="B73" t="str">
            <v>TOWN OF ELIZABETHTOWN</v>
          </cell>
          <cell r="C73">
            <v>3.8539999999999999E-4</v>
          </cell>
          <cell r="D73"/>
          <cell r="E73">
            <v>1702</v>
          </cell>
          <cell r="F73">
            <v>1700</v>
          </cell>
          <cell r="G73">
            <v>0</v>
          </cell>
          <cell r="H73">
            <v>0</v>
          </cell>
          <cell r="I73">
            <v>0</v>
          </cell>
        </row>
        <row r="74">
          <cell r="A74">
            <v>90917</v>
          </cell>
          <cell r="B74" t="str">
            <v>ELIZABETHTOWN ABC BOARD</v>
          </cell>
          <cell r="C74">
            <v>8.1000000000000004E-6</v>
          </cell>
          <cell r="D74"/>
          <cell r="E74">
            <v>377</v>
          </cell>
          <cell r="F74">
            <v>0</v>
          </cell>
          <cell r="G74">
            <v>0</v>
          </cell>
          <cell r="H74">
            <v>0</v>
          </cell>
          <cell r="I74">
            <v>0</v>
          </cell>
        </row>
        <row r="75">
          <cell r="A75">
            <v>90918</v>
          </cell>
          <cell r="B75" t="str">
            <v>SOUTH EASTERN ECONOMIC DEVELOPMENT COMM</v>
          </cell>
          <cell r="C75">
            <v>1.06E-5</v>
          </cell>
          <cell r="D75"/>
          <cell r="E75">
            <v>0</v>
          </cell>
          <cell r="F75">
            <v>0</v>
          </cell>
          <cell r="G75">
            <v>0</v>
          </cell>
          <cell r="H75">
            <v>0</v>
          </cell>
          <cell r="I75">
            <v>0</v>
          </cell>
        </row>
        <row r="76">
          <cell r="A76">
            <v>90921</v>
          </cell>
          <cell r="B76" t="str">
            <v>TOWN OF WHITE LAKE</v>
          </cell>
          <cell r="C76">
            <v>1.2129999999999999E-4</v>
          </cell>
          <cell r="D76"/>
          <cell r="E76">
            <v>7079</v>
          </cell>
          <cell r="F76">
            <v>7078</v>
          </cell>
          <cell r="G76">
            <v>0</v>
          </cell>
          <cell r="H76">
            <v>0</v>
          </cell>
          <cell r="I76">
            <v>0</v>
          </cell>
        </row>
        <row r="77">
          <cell r="A77">
            <v>90931</v>
          </cell>
          <cell r="B77" t="str">
            <v>TOWN OF CLARKTON</v>
          </cell>
          <cell r="C77">
            <v>3.7299999999999999E-5</v>
          </cell>
          <cell r="D77"/>
          <cell r="E77">
            <v>0</v>
          </cell>
          <cell r="F77">
            <v>0</v>
          </cell>
          <cell r="G77">
            <v>0</v>
          </cell>
          <cell r="H77">
            <v>0</v>
          </cell>
          <cell r="I77">
            <v>0</v>
          </cell>
        </row>
        <row r="78">
          <cell r="A78">
            <v>90941</v>
          </cell>
          <cell r="B78" t="str">
            <v>TOWN OF BLADENBORO</v>
          </cell>
          <cell r="C78">
            <v>8.5400000000000002E-5</v>
          </cell>
          <cell r="D78"/>
          <cell r="E78">
            <v>2385</v>
          </cell>
          <cell r="F78">
            <v>1877</v>
          </cell>
          <cell r="G78">
            <v>1878</v>
          </cell>
          <cell r="H78">
            <v>0</v>
          </cell>
          <cell r="I78">
            <v>0</v>
          </cell>
        </row>
        <row r="79">
          <cell r="A79">
            <v>91001</v>
          </cell>
          <cell r="B79" t="str">
            <v>BRUNSWICK COUNTY</v>
          </cell>
          <cell r="C79">
            <v>7.2779999999999997E-3</v>
          </cell>
          <cell r="D79"/>
          <cell r="E79">
            <v>87212</v>
          </cell>
          <cell r="F79">
            <v>87212</v>
          </cell>
          <cell r="G79">
            <v>87212</v>
          </cell>
          <cell r="H79">
            <v>87213</v>
          </cell>
          <cell r="I79">
            <v>0</v>
          </cell>
        </row>
        <row r="80">
          <cell r="A80">
            <v>91002</v>
          </cell>
          <cell r="B80" t="str">
            <v>TOWN OF LELAND</v>
          </cell>
          <cell r="C80">
            <v>1.2939E-3</v>
          </cell>
          <cell r="D80"/>
          <cell r="E80">
            <v>89732</v>
          </cell>
          <cell r="F80">
            <v>89732</v>
          </cell>
          <cell r="G80">
            <v>80540</v>
          </cell>
          <cell r="H80">
            <v>45836</v>
          </cell>
          <cell r="I80">
            <v>0</v>
          </cell>
        </row>
        <row r="81">
          <cell r="A81">
            <v>91003</v>
          </cell>
          <cell r="B81" t="str">
            <v>BRUNSWICK CO HEALTH DEPT</v>
          </cell>
          <cell r="C81">
            <v>5.9570000000000001E-4</v>
          </cell>
          <cell r="D81"/>
          <cell r="E81">
            <v>14609</v>
          </cell>
          <cell r="F81">
            <v>14607</v>
          </cell>
          <cell r="G81">
            <v>12235</v>
          </cell>
          <cell r="H81">
            <v>12237</v>
          </cell>
          <cell r="I81">
            <v>0</v>
          </cell>
        </row>
        <row r="82">
          <cell r="A82">
            <v>91004</v>
          </cell>
          <cell r="B82" t="str">
            <v>BRUNSWICK COUNTY ABC BOARD</v>
          </cell>
          <cell r="C82">
            <v>3.3300000000000003E-5</v>
          </cell>
          <cell r="D82"/>
          <cell r="E82">
            <v>3880</v>
          </cell>
          <cell r="F82">
            <v>3562</v>
          </cell>
          <cell r="G82">
            <v>1826</v>
          </cell>
          <cell r="H82">
            <v>0</v>
          </cell>
          <cell r="I82">
            <v>0</v>
          </cell>
        </row>
        <row r="83">
          <cell r="A83">
            <v>91006</v>
          </cell>
          <cell r="B83" t="str">
            <v>BRUNSWICK CO DEPT OF SOCIAL SERVICES</v>
          </cell>
          <cell r="C83">
            <v>1.0489E-3</v>
          </cell>
          <cell r="D83"/>
          <cell r="E83">
            <v>0</v>
          </cell>
          <cell r="F83">
            <v>0</v>
          </cell>
          <cell r="G83">
            <v>0</v>
          </cell>
          <cell r="H83">
            <v>0</v>
          </cell>
          <cell r="I83">
            <v>0</v>
          </cell>
        </row>
        <row r="84">
          <cell r="A84">
            <v>91007</v>
          </cell>
          <cell r="B84" t="str">
            <v>CALABASH ABC BOARD</v>
          </cell>
          <cell r="C84">
            <v>1.0900000000000001E-5</v>
          </cell>
          <cell r="D84"/>
          <cell r="E84">
            <v>2316</v>
          </cell>
          <cell r="F84">
            <v>1090</v>
          </cell>
          <cell r="G84">
            <v>564</v>
          </cell>
          <cell r="H84">
            <v>545</v>
          </cell>
          <cell r="I84">
            <v>0</v>
          </cell>
        </row>
        <row r="85">
          <cell r="A85">
            <v>91008</v>
          </cell>
          <cell r="B85" t="str">
            <v>CAPE FEAR COUNCIL OF GOVERNMENTS</v>
          </cell>
          <cell r="C85">
            <v>1.474E-4</v>
          </cell>
          <cell r="D85"/>
          <cell r="E85">
            <v>12220</v>
          </cell>
          <cell r="F85">
            <v>8805</v>
          </cell>
          <cell r="G85">
            <v>6978</v>
          </cell>
          <cell r="H85">
            <v>2804</v>
          </cell>
          <cell r="I85">
            <v>0</v>
          </cell>
        </row>
        <row r="86">
          <cell r="A86">
            <v>91009</v>
          </cell>
          <cell r="B86" t="str">
            <v>BRUNSWICK COUNTY TOURISM AUTHORITY</v>
          </cell>
          <cell r="C86">
            <v>8.3000000000000002E-6</v>
          </cell>
          <cell r="D86"/>
          <cell r="E86">
            <v>1867</v>
          </cell>
          <cell r="F86">
            <v>946</v>
          </cell>
          <cell r="G86">
            <v>474</v>
          </cell>
          <cell r="H86">
            <v>0</v>
          </cell>
          <cell r="I86">
            <v>0</v>
          </cell>
        </row>
        <row r="87">
          <cell r="A87">
            <v>91010</v>
          </cell>
          <cell r="B87" t="str">
            <v>TOWN OF CALABASH</v>
          </cell>
          <cell r="C87">
            <v>5.1E-5</v>
          </cell>
          <cell r="D87"/>
          <cell r="E87">
            <v>352</v>
          </cell>
          <cell r="F87">
            <v>352</v>
          </cell>
          <cell r="G87">
            <v>0</v>
          </cell>
          <cell r="H87">
            <v>0</v>
          </cell>
          <cell r="I87">
            <v>0</v>
          </cell>
        </row>
        <row r="88">
          <cell r="A88">
            <v>91011</v>
          </cell>
          <cell r="B88" t="str">
            <v>CITY OF SOUTHPORT</v>
          </cell>
          <cell r="C88">
            <v>3.2009999999999997E-4</v>
          </cell>
          <cell r="D88"/>
          <cell r="E88">
            <v>8382</v>
          </cell>
          <cell r="F88">
            <v>5791</v>
          </cell>
          <cell r="G88">
            <v>0</v>
          </cell>
          <cell r="H88">
            <v>0</v>
          </cell>
          <cell r="I88">
            <v>0</v>
          </cell>
        </row>
        <row r="89">
          <cell r="A89">
            <v>91012</v>
          </cell>
          <cell r="B89" t="str">
            <v>CITY OF NORTHWEST</v>
          </cell>
          <cell r="C89">
            <v>1.4600000000000001E-5</v>
          </cell>
          <cell r="D89"/>
          <cell r="E89">
            <v>1987</v>
          </cell>
          <cell r="F89">
            <v>1194</v>
          </cell>
          <cell r="G89">
            <v>504</v>
          </cell>
          <cell r="H89">
            <v>502</v>
          </cell>
          <cell r="I89">
            <v>0</v>
          </cell>
        </row>
        <row r="90">
          <cell r="A90">
            <v>91013</v>
          </cell>
          <cell r="B90" t="str">
            <v>SOUTHEAST BRUNSWICK SANITARY DISTRICT</v>
          </cell>
          <cell r="C90">
            <v>3.4999999999999997E-5</v>
          </cell>
          <cell r="D90"/>
          <cell r="E90">
            <v>18769</v>
          </cell>
          <cell r="F90">
            <v>14009</v>
          </cell>
          <cell r="G90">
            <v>10027</v>
          </cell>
          <cell r="H90">
            <v>5802</v>
          </cell>
          <cell r="I90">
            <v>0</v>
          </cell>
        </row>
        <row r="91">
          <cell r="A91">
            <v>91014</v>
          </cell>
          <cell r="B91" t="str">
            <v>TOWN OF HOLDEN BEACH</v>
          </cell>
          <cell r="C91">
            <v>1.7640000000000001E-4</v>
          </cell>
          <cell r="D91"/>
          <cell r="E91">
            <v>328</v>
          </cell>
          <cell r="F91">
            <v>330</v>
          </cell>
          <cell r="G91">
            <v>0</v>
          </cell>
          <cell r="H91">
            <v>0</v>
          </cell>
          <cell r="I91">
            <v>0</v>
          </cell>
        </row>
        <row r="92">
          <cell r="A92">
            <v>91015</v>
          </cell>
          <cell r="B92" t="str">
            <v>CAPE FEAR REGIONAL JETPORT</v>
          </cell>
          <cell r="C92">
            <v>1.8499999999999999E-5</v>
          </cell>
          <cell r="D92"/>
          <cell r="E92">
            <v>6737</v>
          </cell>
          <cell r="F92">
            <v>6737</v>
          </cell>
          <cell r="G92">
            <v>6739</v>
          </cell>
          <cell r="H92">
            <v>1671</v>
          </cell>
          <cell r="I92">
            <v>0</v>
          </cell>
        </row>
        <row r="93">
          <cell r="A93">
            <v>91017</v>
          </cell>
          <cell r="B93" t="str">
            <v>CITY OF SOUTHPORT ABC BOARD</v>
          </cell>
          <cell r="C93">
            <v>2.4700000000000001E-5</v>
          </cell>
          <cell r="D93"/>
          <cell r="E93">
            <v>3009</v>
          </cell>
          <cell r="F93">
            <v>1208</v>
          </cell>
          <cell r="G93">
            <v>726</v>
          </cell>
          <cell r="H93">
            <v>546</v>
          </cell>
          <cell r="I93">
            <v>0</v>
          </cell>
        </row>
        <row r="94">
          <cell r="A94">
            <v>91020</v>
          </cell>
          <cell r="B94" t="str">
            <v>TOWN OF BELVILLE</v>
          </cell>
          <cell r="C94">
            <v>2.2900000000000001E-5</v>
          </cell>
          <cell r="D94"/>
          <cell r="E94">
            <v>2028</v>
          </cell>
          <cell r="F94">
            <v>1622</v>
          </cell>
          <cell r="G94">
            <v>1047</v>
          </cell>
          <cell r="H94">
            <v>0</v>
          </cell>
          <cell r="I94">
            <v>0</v>
          </cell>
        </row>
        <row r="95">
          <cell r="A95">
            <v>91021</v>
          </cell>
          <cell r="B95" t="str">
            <v>TOWN OF OAK ISLAND</v>
          </cell>
          <cell r="C95">
            <v>9.2460000000000003E-4</v>
          </cell>
          <cell r="D95"/>
          <cell r="E95">
            <v>15033</v>
          </cell>
          <cell r="F95">
            <v>15033</v>
          </cell>
          <cell r="G95">
            <v>15032</v>
          </cell>
          <cell r="H95">
            <v>10925</v>
          </cell>
          <cell r="I95">
            <v>0</v>
          </cell>
        </row>
        <row r="96">
          <cell r="A96">
            <v>91024</v>
          </cell>
          <cell r="B96" t="str">
            <v>TOWN OF CAROLINA SHORES</v>
          </cell>
          <cell r="C96">
            <v>9.3599999999999998E-5</v>
          </cell>
          <cell r="D96"/>
          <cell r="E96">
            <v>9081</v>
          </cell>
          <cell r="F96">
            <v>6537</v>
          </cell>
          <cell r="G96">
            <v>5223</v>
          </cell>
          <cell r="H96">
            <v>1246</v>
          </cell>
          <cell r="I96">
            <v>0</v>
          </cell>
        </row>
        <row r="97">
          <cell r="A97">
            <v>91026</v>
          </cell>
          <cell r="B97" t="str">
            <v>TOWN OF NAVASSA</v>
          </cell>
          <cell r="C97">
            <v>3.1099999999999997E-5</v>
          </cell>
          <cell r="D97"/>
          <cell r="E97">
            <v>13278</v>
          </cell>
          <cell r="F97">
            <v>8881</v>
          </cell>
          <cell r="G97">
            <v>7763</v>
          </cell>
          <cell r="H97">
            <v>2100</v>
          </cell>
          <cell r="I97">
            <v>0</v>
          </cell>
        </row>
        <row r="98">
          <cell r="A98">
            <v>91027</v>
          </cell>
          <cell r="B98" t="str">
            <v>OAK ISLAND ABC BD</v>
          </cell>
          <cell r="C98">
            <v>1.7E-5</v>
          </cell>
          <cell r="D98"/>
          <cell r="E98">
            <v>6200</v>
          </cell>
          <cell r="F98">
            <v>4617</v>
          </cell>
          <cell r="G98">
            <v>3062</v>
          </cell>
          <cell r="H98">
            <v>1314</v>
          </cell>
          <cell r="I98">
            <v>0</v>
          </cell>
        </row>
        <row r="99">
          <cell r="A99">
            <v>91032</v>
          </cell>
          <cell r="B99" t="str">
            <v>TOWN OF ST JAMES</v>
          </cell>
          <cell r="C99">
            <v>1.66E-5</v>
          </cell>
          <cell r="D99"/>
          <cell r="E99">
            <v>6678</v>
          </cell>
          <cell r="F99">
            <v>5832</v>
          </cell>
          <cell r="G99">
            <v>4350</v>
          </cell>
          <cell r="H99">
            <v>2366</v>
          </cell>
          <cell r="I99">
            <v>0</v>
          </cell>
        </row>
        <row r="100">
          <cell r="A100">
            <v>91041</v>
          </cell>
          <cell r="B100" t="str">
            <v>TOWN OF SUNSET BEACH</v>
          </cell>
          <cell r="C100">
            <v>4.3379999999999997E-4</v>
          </cell>
          <cell r="D100"/>
          <cell r="E100">
            <v>0</v>
          </cell>
          <cell r="F100">
            <v>0</v>
          </cell>
          <cell r="G100">
            <v>0</v>
          </cell>
          <cell r="H100">
            <v>0</v>
          </cell>
          <cell r="I100">
            <v>0</v>
          </cell>
        </row>
        <row r="101">
          <cell r="A101">
            <v>91042</v>
          </cell>
          <cell r="B101" t="str">
            <v>BRUNSWICK REGIONAL WATER AND SEWER H2GO</v>
          </cell>
          <cell r="C101">
            <v>2.6259999999999999E-4</v>
          </cell>
          <cell r="D101"/>
          <cell r="E101">
            <v>5905</v>
          </cell>
          <cell r="F101">
            <v>5907</v>
          </cell>
          <cell r="G101">
            <v>2852</v>
          </cell>
          <cell r="H101">
            <v>0</v>
          </cell>
          <cell r="I101">
            <v>0</v>
          </cell>
        </row>
        <row r="102">
          <cell r="A102">
            <v>91047</v>
          </cell>
          <cell r="B102" t="str">
            <v>TOWN OF SUNSET BEACH ABC BOARD</v>
          </cell>
          <cell r="C102">
            <v>1.15E-5</v>
          </cell>
          <cell r="D102"/>
          <cell r="E102">
            <v>8913</v>
          </cell>
          <cell r="F102">
            <v>6702</v>
          </cell>
          <cell r="G102">
            <v>4643</v>
          </cell>
          <cell r="H102">
            <v>2376</v>
          </cell>
          <cell r="I102">
            <v>0</v>
          </cell>
        </row>
        <row r="103">
          <cell r="A103">
            <v>91051</v>
          </cell>
          <cell r="B103" t="str">
            <v>TOWN OF CASWELL BEACH</v>
          </cell>
          <cell r="C103">
            <v>6.2799999999999995E-5</v>
          </cell>
          <cell r="D103"/>
          <cell r="E103">
            <v>291</v>
          </cell>
          <cell r="F103">
            <v>291</v>
          </cell>
          <cell r="G103">
            <v>289</v>
          </cell>
          <cell r="H103">
            <v>0</v>
          </cell>
          <cell r="I103">
            <v>0</v>
          </cell>
        </row>
        <row r="104">
          <cell r="A104">
            <v>91057</v>
          </cell>
          <cell r="B104" t="str">
            <v>SHALLOTTE ABC BOARD</v>
          </cell>
          <cell r="C104">
            <v>1.5699999999999999E-5</v>
          </cell>
          <cell r="D104"/>
          <cell r="E104">
            <v>3057</v>
          </cell>
          <cell r="F104">
            <v>2452</v>
          </cell>
          <cell r="G104">
            <v>1951</v>
          </cell>
          <cell r="H104">
            <v>1278</v>
          </cell>
          <cell r="I104">
            <v>0</v>
          </cell>
        </row>
        <row r="105">
          <cell r="A105">
            <v>91061</v>
          </cell>
          <cell r="B105" t="str">
            <v>TOWN OF OCEAN ISLE BEACH</v>
          </cell>
          <cell r="C105">
            <v>3.8039999999999998E-4</v>
          </cell>
          <cell r="D105"/>
          <cell r="E105">
            <v>6315</v>
          </cell>
          <cell r="F105">
            <v>3371</v>
          </cell>
          <cell r="G105">
            <v>1002</v>
          </cell>
          <cell r="H105">
            <v>1004</v>
          </cell>
          <cell r="I105">
            <v>0</v>
          </cell>
        </row>
        <row r="106">
          <cell r="A106">
            <v>91067</v>
          </cell>
          <cell r="B106" t="str">
            <v>OCEAN ISLE BEACH ABC BOARD</v>
          </cell>
          <cell r="C106">
            <v>1.6200000000000001E-5</v>
          </cell>
          <cell r="D106"/>
          <cell r="E106">
            <v>831</v>
          </cell>
          <cell r="F106">
            <v>509</v>
          </cell>
          <cell r="G106">
            <v>508</v>
          </cell>
          <cell r="H106">
            <v>120</v>
          </cell>
          <cell r="I106">
            <v>0</v>
          </cell>
        </row>
        <row r="107">
          <cell r="A107">
            <v>91071</v>
          </cell>
          <cell r="B107" t="str">
            <v>CITY OF BOILING SPRG LAKES</v>
          </cell>
          <cell r="C107">
            <v>2.4489999999999999E-4</v>
          </cell>
          <cell r="D107"/>
          <cell r="E107">
            <v>0</v>
          </cell>
          <cell r="F107">
            <v>0</v>
          </cell>
          <cell r="G107">
            <v>0</v>
          </cell>
          <cell r="H107">
            <v>0</v>
          </cell>
          <cell r="I107">
            <v>0</v>
          </cell>
        </row>
        <row r="108">
          <cell r="A108">
            <v>91077</v>
          </cell>
          <cell r="B108" t="str">
            <v>BOILING SPRING LAKES ABC BOARD</v>
          </cell>
          <cell r="C108">
            <v>5.9000000000000003E-6</v>
          </cell>
          <cell r="D108"/>
          <cell r="E108">
            <v>1166</v>
          </cell>
          <cell r="F108">
            <v>1028</v>
          </cell>
          <cell r="G108">
            <v>772</v>
          </cell>
          <cell r="H108">
            <v>596</v>
          </cell>
          <cell r="I108">
            <v>0</v>
          </cell>
        </row>
        <row r="109">
          <cell r="A109">
            <v>91081</v>
          </cell>
          <cell r="B109" t="str">
            <v>TOWN OF SHALLOTTE</v>
          </cell>
          <cell r="C109">
            <v>4.2739999999999998E-4</v>
          </cell>
          <cell r="D109"/>
          <cell r="E109">
            <v>9015</v>
          </cell>
          <cell r="F109">
            <v>8760</v>
          </cell>
          <cell r="G109">
            <v>8645</v>
          </cell>
          <cell r="H109">
            <v>3865</v>
          </cell>
          <cell r="I109">
            <v>0</v>
          </cell>
        </row>
        <row r="110">
          <cell r="A110">
            <v>91091</v>
          </cell>
          <cell r="B110" t="str">
            <v>VILLAGE OF BALD HEAD ISLAND</v>
          </cell>
          <cell r="C110">
            <v>5.4540000000000003E-4</v>
          </cell>
          <cell r="D110"/>
          <cell r="E110">
            <v>6809</v>
          </cell>
          <cell r="F110">
            <v>6809</v>
          </cell>
          <cell r="G110">
            <v>6809</v>
          </cell>
          <cell r="H110">
            <v>6809</v>
          </cell>
          <cell r="I110">
            <v>0</v>
          </cell>
        </row>
        <row r="111">
          <cell r="A111">
            <v>91101</v>
          </cell>
          <cell r="B111" t="str">
            <v>BUNCOMBE COUNTY</v>
          </cell>
          <cell r="C111">
            <v>1.32874E-2</v>
          </cell>
          <cell r="D111"/>
          <cell r="E111">
            <v>0</v>
          </cell>
          <cell r="F111">
            <v>0</v>
          </cell>
          <cell r="G111">
            <v>0</v>
          </cell>
          <cell r="H111">
            <v>0</v>
          </cell>
          <cell r="I111">
            <v>0</v>
          </cell>
        </row>
        <row r="112">
          <cell r="A112">
            <v>91102</v>
          </cell>
          <cell r="B112" t="str">
            <v>LAND-OF-SKY REGIONAL COUNCIL</v>
          </cell>
          <cell r="C112">
            <v>3.279E-4</v>
          </cell>
          <cell r="D112"/>
          <cell r="E112">
            <v>9461</v>
          </cell>
          <cell r="F112">
            <v>5454</v>
          </cell>
          <cell r="G112">
            <v>45</v>
          </cell>
          <cell r="H112">
            <v>45</v>
          </cell>
          <cell r="I112">
            <v>0</v>
          </cell>
        </row>
        <row r="113">
          <cell r="A113">
            <v>91104</v>
          </cell>
          <cell r="B113" t="str">
            <v>WOODFIN ABC COMMISSION</v>
          </cell>
          <cell r="C113">
            <v>1.66E-5</v>
          </cell>
          <cell r="D113"/>
          <cell r="E113">
            <v>3924</v>
          </cell>
          <cell r="F113">
            <v>3752</v>
          </cell>
          <cell r="G113">
            <v>3404</v>
          </cell>
          <cell r="H113">
            <v>2679</v>
          </cell>
          <cell r="I113">
            <v>0</v>
          </cell>
        </row>
        <row r="114">
          <cell r="A114">
            <v>91107</v>
          </cell>
          <cell r="B114" t="str">
            <v>WESTERN AIR POLLUTION CTL</v>
          </cell>
          <cell r="C114">
            <v>5.4500000000000003E-5</v>
          </cell>
          <cell r="D114"/>
          <cell r="E114">
            <v>5103</v>
          </cell>
          <cell r="F114">
            <v>3399</v>
          </cell>
          <cell r="G114">
            <v>2092</v>
          </cell>
          <cell r="H114">
            <v>2091</v>
          </cell>
          <cell r="I114">
            <v>0</v>
          </cell>
        </row>
        <row r="115">
          <cell r="A115">
            <v>91108</v>
          </cell>
          <cell r="B115" t="str">
            <v>METRO SEWERAGE DIST OF BUNCOMBE COUNTY</v>
          </cell>
          <cell r="C115">
            <v>1.1929E-3</v>
          </cell>
          <cell r="D115"/>
          <cell r="E115">
            <v>29413</v>
          </cell>
          <cell r="F115">
            <v>22835</v>
          </cell>
          <cell r="G115">
            <v>17611</v>
          </cell>
          <cell r="H115">
            <v>11586</v>
          </cell>
          <cell r="I115">
            <v>0</v>
          </cell>
        </row>
        <row r="116">
          <cell r="A116">
            <v>91109</v>
          </cell>
          <cell r="B116" t="str">
            <v>WOODFIN SANITARY WATER AND SEWER DIST</v>
          </cell>
          <cell r="C116">
            <v>9.8300000000000004E-5</v>
          </cell>
          <cell r="D116"/>
          <cell r="E116">
            <v>2167</v>
          </cell>
          <cell r="F116">
            <v>2169</v>
          </cell>
          <cell r="G116">
            <v>1044</v>
          </cell>
          <cell r="H116">
            <v>193</v>
          </cell>
          <cell r="I116">
            <v>0</v>
          </cell>
        </row>
        <row r="117">
          <cell r="A117">
            <v>91111</v>
          </cell>
          <cell r="B117" t="str">
            <v>TOWN OF BILTMORE FOREST</v>
          </cell>
          <cell r="C117">
            <v>1.973E-4</v>
          </cell>
          <cell r="D117"/>
          <cell r="E117">
            <v>4645</v>
          </cell>
          <cell r="F117">
            <v>3081</v>
          </cell>
          <cell r="G117">
            <v>1156</v>
          </cell>
          <cell r="H117">
            <v>0</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8727</v>
          </cell>
          <cell r="F119">
            <v>8727</v>
          </cell>
          <cell r="G119">
            <v>8727</v>
          </cell>
          <cell r="H119">
            <v>8728</v>
          </cell>
          <cell r="I119">
            <v>0</v>
          </cell>
        </row>
        <row r="120">
          <cell r="A120">
            <v>91121</v>
          </cell>
          <cell r="B120" t="str">
            <v>CITY OF ASHEVILLE</v>
          </cell>
          <cell r="C120">
            <v>1.03844E-2</v>
          </cell>
          <cell r="D120"/>
          <cell r="E120">
            <v>0</v>
          </cell>
          <cell r="F120">
            <v>0</v>
          </cell>
          <cell r="G120">
            <v>0</v>
          </cell>
          <cell r="H120">
            <v>0</v>
          </cell>
          <cell r="I120">
            <v>0</v>
          </cell>
        </row>
        <row r="121">
          <cell r="A121">
            <v>91127</v>
          </cell>
          <cell r="B121" t="str">
            <v>ASHEVILLE ABC BOARD</v>
          </cell>
          <cell r="C121">
            <v>2.7989999999999997E-4</v>
          </cell>
          <cell r="D121"/>
          <cell r="E121">
            <v>17524</v>
          </cell>
          <cell r="F121">
            <v>13253</v>
          </cell>
          <cell r="G121">
            <v>10811</v>
          </cell>
          <cell r="H121">
            <v>3911</v>
          </cell>
          <cell r="I121">
            <v>0</v>
          </cell>
        </row>
        <row r="122">
          <cell r="A122">
            <v>91128</v>
          </cell>
          <cell r="B122" t="str">
            <v>ASHEVILLE REGIONAL AIRPORT AUTHORITY</v>
          </cell>
          <cell r="C122">
            <v>4.6710000000000002E-4</v>
          </cell>
          <cell r="D122"/>
          <cell r="E122">
            <v>2440</v>
          </cell>
          <cell r="F122">
            <v>1997</v>
          </cell>
          <cell r="G122">
            <v>0</v>
          </cell>
          <cell r="H122">
            <v>0</v>
          </cell>
          <cell r="I122">
            <v>0</v>
          </cell>
        </row>
        <row r="123">
          <cell r="A123">
            <v>91138</v>
          </cell>
          <cell r="B123" t="str">
            <v>SKYLAND VOL FIRE DEPT</v>
          </cell>
          <cell r="C123">
            <v>4.8010000000000001E-4</v>
          </cell>
          <cell r="D123"/>
          <cell r="E123">
            <v>0</v>
          </cell>
          <cell r="F123">
            <v>0</v>
          </cell>
          <cell r="G123">
            <v>0</v>
          </cell>
          <cell r="H123">
            <v>0</v>
          </cell>
          <cell r="I123">
            <v>0</v>
          </cell>
        </row>
        <row r="124">
          <cell r="A124">
            <v>91141</v>
          </cell>
          <cell r="B124" t="str">
            <v>TOWN OF WEAVERVILLE</v>
          </cell>
          <cell r="C124">
            <v>6.3610000000000001E-4</v>
          </cell>
          <cell r="D124"/>
          <cell r="E124">
            <v>7734</v>
          </cell>
          <cell r="F124">
            <v>7734</v>
          </cell>
          <cell r="G124">
            <v>7734</v>
          </cell>
          <cell r="H124">
            <v>7735</v>
          </cell>
          <cell r="I124">
            <v>0</v>
          </cell>
        </row>
        <row r="125">
          <cell r="A125">
            <v>91147</v>
          </cell>
          <cell r="B125" t="str">
            <v>WEAVERVILLE ABC BOARD</v>
          </cell>
          <cell r="C125">
            <v>2.5400000000000001E-5</v>
          </cell>
          <cell r="D125"/>
          <cell r="E125">
            <v>1239</v>
          </cell>
          <cell r="F125">
            <v>828</v>
          </cell>
          <cell r="G125">
            <v>436</v>
          </cell>
          <cell r="H125">
            <v>0</v>
          </cell>
          <cell r="I125">
            <v>0</v>
          </cell>
        </row>
        <row r="126">
          <cell r="A126">
            <v>91151</v>
          </cell>
          <cell r="B126" t="str">
            <v>TOWN OF BLACK MOUNTAIN</v>
          </cell>
          <cell r="C126">
            <v>5.8460000000000001E-4</v>
          </cell>
          <cell r="D126"/>
          <cell r="E126">
            <v>0</v>
          </cell>
          <cell r="F126">
            <v>0</v>
          </cell>
          <cell r="G126">
            <v>0</v>
          </cell>
          <cell r="H126">
            <v>0</v>
          </cell>
          <cell r="I126">
            <v>0</v>
          </cell>
        </row>
        <row r="127">
          <cell r="A127">
            <v>91154</v>
          </cell>
          <cell r="B127" t="str">
            <v>BLACK MTN ABC BOARD</v>
          </cell>
          <cell r="C127">
            <v>2.0999999999999999E-5</v>
          </cell>
          <cell r="D127"/>
          <cell r="E127">
            <v>1334</v>
          </cell>
          <cell r="F127">
            <v>887</v>
          </cell>
          <cell r="G127">
            <v>0</v>
          </cell>
          <cell r="H127">
            <v>0</v>
          </cell>
          <cell r="I127">
            <v>0</v>
          </cell>
        </row>
        <row r="128">
          <cell r="A128">
            <v>91161</v>
          </cell>
          <cell r="B128" t="str">
            <v>TOWN OF MONTREAT</v>
          </cell>
          <cell r="C128">
            <v>1.0509999999999999E-4</v>
          </cell>
          <cell r="D128"/>
          <cell r="E128">
            <v>2905</v>
          </cell>
          <cell r="F128">
            <v>2905</v>
          </cell>
          <cell r="G128">
            <v>2851</v>
          </cell>
          <cell r="H128">
            <v>2853</v>
          </cell>
          <cell r="I128">
            <v>0</v>
          </cell>
        </row>
        <row r="129">
          <cell r="A129">
            <v>91171</v>
          </cell>
          <cell r="B129" t="str">
            <v>TOWN OF WOODFIN</v>
          </cell>
          <cell r="C129">
            <v>2.6820000000000001E-4</v>
          </cell>
          <cell r="D129"/>
          <cell r="E129">
            <v>8275</v>
          </cell>
          <cell r="F129">
            <v>8275</v>
          </cell>
          <cell r="G129">
            <v>8277</v>
          </cell>
          <cell r="H129">
            <v>2198</v>
          </cell>
          <cell r="I129">
            <v>0</v>
          </cell>
        </row>
        <row r="130">
          <cell r="A130">
            <v>91201</v>
          </cell>
          <cell r="B130" t="str">
            <v>BURKE COUNTY</v>
          </cell>
          <cell r="C130">
            <v>2.2897999999999998E-3</v>
          </cell>
          <cell r="D130"/>
          <cell r="E130">
            <v>0</v>
          </cell>
          <cell r="F130">
            <v>0</v>
          </cell>
          <cell r="G130">
            <v>0</v>
          </cell>
          <cell r="H130">
            <v>0</v>
          </cell>
          <cell r="I130">
            <v>0</v>
          </cell>
        </row>
        <row r="131">
          <cell r="A131">
            <v>91202</v>
          </cell>
          <cell r="B131" t="str">
            <v>BURKE-CATAWBA DIST CONFINEMENT</v>
          </cell>
          <cell r="C131">
            <v>1.752E-4</v>
          </cell>
          <cell r="D131"/>
          <cell r="E131">
            <v>6115</v>
          </cell>
          <cell r="F131">
            <v>3130</v>
          </cell>
          <cell r="G131">
            <v>980</v>
          </cell>
          <cell r="H131">
            <v>0</v>
          </cell>
          <cell r="I131">
            <v>0</v>
          </cell>
        </row>
        <row r="132">
          <cell r="A132">
            <v>91203</v>
          </cell>
          <cell r="B132" t="str">
            <v>BURKE CO HEALTH DEPT</v>
          </cell>
          <cell r="C132">
            <v>2.2670000000000001E-4</v>
          </cell>
          <cell r="D132"/>
          <cell r="E132">
            <v>14919</v>
          </cell>
          <cell r="F132">
            <v>11343</v>
          </cell>
          <cell r="G132">
            <v>10295</v>
          </cell>
          <cell r="H132">
            <v>3493</v>
          </cell>
          <cell r="I132">
            <v>0</v>
          </cell>
        </row>
        <row r="133">
          <cell r="A133">
            <v>91206</v>
          </cell>
          <cell r="B133" t="str">
            <v>BURKE CO DEPT OF SOCIAL SERVICES</v>
          </cell>
          <cell r="C133">
            <v>9.525E-4</v>
          </cell>
          <cell r="D133"/>
          <cell r="E133">
            <v>18977</v>
          </cell>
          <cell r="F133">
            <v>18979</v>
          </cell>
          <cell r="G133">
            <v>13470</v>
          </cell>
          <cell r="H133">
            <v>6345</v>
          </cell>
          <cell r="I133">
            <v>0</v>
          </cell>
        </row>
        <row r="134">
          <cell r="A134">
            <v>91208</v>
          </cell>
          <cell r="B134" t="str">
            <v>BURKE COUNTY TOURISM DEV. AUTHORITY</v>
          </cell>
          <cell r="C134">
            <v>1.9000000000000001E-5</v>
          </cell>
          <cell r="D134"/>
          <cell r="E134">
            <v>1375</v>
          </cell>
          <cell r="F134">
            <v>1297</v>
          </cell>
          <cell r="G134">
            <v>1239</v>
          </cell>
          <cell r="H134">
            <v>1241</v>
          </cell>
          <cell r="I134">
            <v>0</v>
          </cell>
        </row>
        <row r="135">
          <cell r="A135">
            <v>91211</v>
          </cell>
          <cell r="B135" t="str">
            <v>TOWN OF VALDESE</v>
          </cell>
          <cell r="C135">
            <v>4.4870000000000001E-4</v>
          </cell>
          <cell r="D135"/>
          <cell r="E135">
            <v>1352</v>
          </cell>
          <cell r="F135">
            <v>788</v>
          </cell>
          <cell r="G135">
            <v>0</v>
          </cell>
          <cell r="H135">
            <v>0</v>
          </cell>
          <cell r="I135">
            <v>0</v>
          </cell>
        </row>
        <row r="136">
          <cell r="A136">
            <v>91213</v>
          </cell>
          <cell r="B136" t="str">
            <v>VALDESE HOUSING AUTHORITY</v>
          </cell>
          <cell r="C136">
            <v>2.9200000000000002E-5</v>
          </cell>
          <cell r="D136"/>
          <cell r="E136">
            <v>645</v>
          </cell>
          <cell r="F136">
            <v>645</v>
          </cell>
          <cell r="G136">
            <v>645</v>
          </cell>
          <cell r="H136">
            <v>647</v>
          </cell>
          <cell r="I136">
            <v>0</v>
          </cell>
        </row>
        <row r="137">
          <cell r="A137">
            <v>91214</v>
          </cell>
          <cell r="B137" t="str">
            <v>TOWN OF RUTHERFORD COLLEGE</v>
          </cell>
          <cell r="C137">
            <v>3.5800000000000003E-5</v>
          </cell>
          <cell r="D137"/>
          <cell r="E137">
            <v>154</v>
          </cell>
          <cell r="F137">
            <v>154</v>
          </cell>
          <cell r="G137">
            <v>154</v>
          </cell>
          <cell r="H137">
            <v>154</v>
          </cell>
          <cell r="I137">
            <v>0</v>
          </cell>
        </row>
        <row r="138">
          <cell r="A138">
            <v>91217</v>
          </cell>
          <cell r="B138" t="str">
            <v>MORGANTON ABC BOARD</v>
          </cell>
          <cell r="C138">
            <v>2.0400000000000001E-5</v>
          </cell>
          <cell r="D138"/>
          <cell r="E138">
            <v>4342</v>
          </cell>
          <cell r="F138">
            <v>2658</v>
          </cell>
          <cell r="G138">
            <v>1962</v>
          </cell>
          <cell r="H138">
            <v>1961</v>
          </cell>
          <cell r="I138">
            <v>0</v>
          </cell>
        </row>
        <row r="139">
          <cell r="A139">
            <v>91221</v>
          </cell>
          <cell r="B139" t="str">
            <v>TOWN OF DREXEL</v>
          </cell>
          <cell r="C139">
            <v>1.099E-4</v>
          </cell>
          <cell r="D139"/>
          <cell r="E139">
            <v>327</v>
          </cell>
          <cell r="F139">
            <v>327</v>
          </cell>
          <cell r="G139">
            <v>0</v>
          </cell>
          <cell r="H139">
            <v>0</v>
          </cell>
          <cell r="I139">
            <v>0</v>
          </cell>
        </row>
        <row r="140">
          <cell r="A140">
            <v>91231</v>
          </cell>
          <cell r="B140" t="str">
            <v>CITY OF MORGANTON</v>
          </cell>
          <cell r="C140">
            <v>1.8722999999999999E-3</v>
          </cell>
          <cell r="D140"/>
          <cell r="E140">
            <v>4502</v>
          </cell>
          <cell r="F140">
            <v>4502</v>
          </cell>
          <cell r="G140">
            <v>4502</v>
          </cell>
          <cell r="H140">
            <v>4500</v>
          </cell>
          <cell r="I140">
            <v>0</v>
          </cell>
        </row>
        <row r="141">
          <cell r="A141">
            <v>91233</v>
          </cell>
          <cell r="B141" t="str">
            <v>MORGANTON HOUSING AUTHORITY</v>
          </cell>
          <cell r="C141">
            <v>6.1699999999999995E-5</v>
          </cell>
          <cell r="D141"/>
          <cell r="E141">
            <v>2380</v>
          </cell>
          <cell r="F141">
            <v>2381</v>
          </cell>
          <cell r="G141">
            <v>1254</v>
          </cell>
          <cell r="H141">
            <v>1252</v>
          </cell>
          <cell r="I141">
            <v>0</v>
          </cell>
        </row>
        <row r="142">
          <cell r="A142">
            <v>91241</v>
          </cell>
          <cell r="B142" t="str">
            <v>TOWN OF GLEN ALPINE</v>
          </cell>
          <cell r="C142">
            <v>5.3499999999999999E-5</v>
          </cell>
          <cell r="D142"/>
          <cell r="E142">
            <v>3420</v>
          </cell>
          <cell r="F142">
            <v>3420</v>
          </cell>
          <cell r="G142">
            <v>3421</v>
          </cell>
          <cell r="H142">
            <v>478</v>
          </cell>
          <cell r="I142">
            <v>0</v>
          </cell>
        </row>
        <row r="143">
          <cell r="A143">
            <v>91251</v>
          </cell>
          <cell r="B143" t="str">
            <v>TOWN OF HILDEBRAN</v>
          </cell>
          <cell r="C143">
            <v>2.0000000000000002E-5</v>
          </cell>
          <cell r="D143"/>
          <cell r="E143">
            <v>2271</v>
          </cell>
          <cell r="F143">
            <v>2271</v>
          </cell>
          <cell r="G143">
            <v>2269</v>
          </cell>
          <cell r="H143">
            <v>0</v>
          </cell>
          <cell r="I143">
            <v>0</v>
          </cell>
        </row>
        <row r="144">
          <cell r="A144">
            <v>91261</v>
          </cell>
          <cell r="B144" t="str">
            <v>TOWN OF CONNELLY SPRINGS</v>
          </cell>
          <cell r="C144">
            <v>9.7000000000000003E-6</v>
          </cell>
          <cell r="D144"/>
          <cell r="E144">
            <v>246</v>
          </cell>
          <cell r="F144">
            <v>124</v>
          </cell>
          <cell r="G144">
            <v>0</v>
          </cell>
          <cell r="H144">
            <v>0</v>
          </cell>
          <cell r="I144">
            <v>0</v>
          </cell>
        </row>
        <row r="145">
          <cell r="A145">
            <v>91301</v>
          </cell>
          <cell r="B145" t="str">
            <v>CABARRUS COUNTY</v>
          </cell>
          <cell r="C145">
            <v>7.9497999999999999E-3</v>
          </cell>
          <cell r="D145"/>
          <cell r="E145">
            <v>13564</v>
          </cell>
          <cell r="F145">
            <v>7577</v>
          </cell>
          <cell r="G145">
            <v>7577</v>
          </cell>
          <cell r="H145">
            <v>7577</v>
          </cell>
          <cell r="I145">
            <v>0</v>
          </cell>
        </row>
        <row r="146">
          <cell r="A146">
            <v>91302</v>
          </cell>
          <cell r="B146" t="str">
            <v>WATER &amp; SEWER AUTH CABARRUS CNTY</v>
          </cell>
          <cell r="C146">
            <v>5.354E-4</v>
          </cell>
          <cell r="D146"/>
          <cell r="E146">
            <v>990</v>
          </cell>
          <cell r="F146">
            <v>0</v>
          </cell>
          <cell r="G146">
            <v>0</v>
          </cell>
          <cell r="H146">
            <v>0</v>
          </cell>
          <cell r="I146">
            <v>0</v>
          </cell>
        </row>
        <row r="147">
          <cell r="A147">
            <v>91306</v>
          </cell>
          <cell r="B147" t="str">
            <v>CABARRUS CO PUBLIC HEALTH AUTH</v>
          </cell>
          <cell r="C147">
            <v>1.8244999999999999E-3</v>
          </cell>
          <cell r="D147"/>
          <cell r="E147">
            <v>52858</v>
          </cell>
          <cell r="F147">
            <v>37811</v>
          </cell>
          <cell r="G147">
            <v>37812</v>
          </cell>
          <cell r="H147">
            <v>0</v>
          </cell>
          <cell r="I147">
            <v>0</v>
          </cell>
        </row>
        <row r="148">
          <cell r="A148">
            <v>91308</v>
          </cell>
          <cell r="B148" t="str">
            <v>CABARRUS COUNTY TOURISM AUTHORITY</v>
          </cell>
          <cell r="C148">
            <v>1.7009999999999999E-4</v>
          </cell>
          <cell r="D148"/>
          <cell r="E148">
            <v>54</v>
          </cell>
          <cell r="F148">
            <v>0</v>
          </cell>
          <cell r="G148">
            <v>0</v>
          </cell>
          <cell r="H148">
            <v>0</v>
          </cell>
          <cell r="I148">
            <v>0</v>
          </cell>
        </row>
        <row r="149">
          <cell r="A149">
            <v>91311</v>
          </cell>
          <cell r="B149" t="str">
            <v>CITY OF CONCORD</v>
          </cell>
          <cell r="C149">
            <v>7.9030000000000003E-3</v>
          </cell>
          <cell r="D149"/>
          <cell r="E149">
            <v>20543</v>
          </cell>
          <cell r="F149">
            <v>20543</v>
          </cell>
          <cell r="G149">
            <v>20543</v>
          </cell>
          <cell r="H149">
            <v>20542</v>
          </cell>
          <cell r="I149">
            <v>0</v>
          </cell>
        </row>
        <row r="150">
          <cell r="A150">
            <v>91317</v>
          </cell>
          <cell r="B150" t="str">
            <v>CONCORD ABC BOARD</v>
          </cell>
          <cell r="C150">
            <v>1.015E-4</v>
          </cell>
          <cell r="D150"/>
          <cell r="E150">
            <v>6165</v>
          </cell>
          <cell r="F150">
            <v>6165</v>
          </cell>
          <cell r="G150">
            <v>3462</v>
          </cell>
          <cell r="H150">
            <v>2449</v>
          </cell>
          <cell r="I150">
            <v>0</v>
          </cell>
        </row>
        <row r="151">
          <cell r="A151">
            <v>91321</v>
          </cell>
          <cell r="B151" t="str">
            <v>TOWN OF MOUNT PLEASANT</v>
          </cell>
          <cell r="C151">
            <v>5.3600000000000002E-5</v>
          </cell>
          <cell r="D151"/>
          <cell r="E151">
            <v>16151</v>
          </cell>
          <cell r="F151">
            <v>14969</v>
          </cell>
          <cell r="G151">
            <v>11323</v>
          </cell>
          <cell r="H151">
            <v>5973</v>
          </cell>
          <cell r="I151">
            <v>0</v>
          </cell>
        </row>
        <row r="152">
          <cell r="A152">
            <v>91327</v>
          </cell>
          <cell r="B152" t="str">
            <v>MT PLEASANT ABC BOARD</v>
          </cell>
          <cell r="C152">
            <v>1.0900000000000001E-5</v>
          </cell>
          <cell r="D152"/>
          <cell r="E152">
            <v>823</v>
          </cell>
          <cell r="F152">
            <v>823</v>
          </cell>
          <cell r="G152">
            <v>821</v>
          </cell>
          <cell r="H152">
            <v>693</v>
          </cell>
          <cell r="I152">
            <v>0</v>
          </cell>
        </row>
        <row r="153">
          <cell r="A153">
            <v>91331</v>
          </cell>
          <cell r="B153" t="str">
            <v>CITY OF KANNAPOLIS</v>
          </cell>
          <cell r="C153">
            <v>2.9286E-3</v>
          </cell>
          <cell r="D153"/>
          <cell r="E153">
            <v>0</v>
          </cell>
          <cell r="F153">
            <v>0</v>
          </cell>
          <cell r="G153">
            <v>0</v>
          </cell>
          <cell r="H153">
            <v>0</v>
          </cell>
          <cell r="I153">
            <v>0</v>
          </cell>
        </row>
        <row r="154">
          <cell r="A154">
            <v>91341</v>
          </cell>
          <cell r="B154" t="str">
            <v>TOWN OF MIDLAND</v>
          </cell>
          <cell r="C154">
            <v>3.79E-5</v>
          </cell>
          <cell r="D154"/>
          <cell r="E154">
            <v>3971</v>
          </cell>
          <cell r="F154">
            <v>3971</v>
          </cell>
          <cell r="G154">
            <v>2651</v>
          </cell>
          <cell r="H154">
            <v>2278</v>
          </cell>
          <cell r="I154">
            <v>0</v>
          </cell>
        </row>
        <row r="155">
          <cell r="A155">
            <v>91401</v>
          </cell>
          <cell r="B155" t="str">
            <v>CALDWELL COUNTY</v>
          </cell>
          <cell r="C155">
            <v>3.3915999999999998E-3</v>
          </cell>
          <cell r="D155"/>
          <cell r="E155">
            <v>0</v>
          </cell>
          <cell r="F155">
            <v>0</v>
          </cell>
          <cell r="G155">
            <v>0</v>
          </cell>
          <cell r="H155">
            <v>0</v>
          </cell>
          <cell r="I155">
            <v>0</v>
          </cell>
        </row>
        <row r="156">
          <cell r="A156">
            <v>91411</v>
          </cell>
          <cell r="B156" t="str">
            <v>TOWN OF GRANITE FALLS</v>
          </cell>
          <cell r="C156">
            <v>3.9639999999999999E-4</v>
          </cell>
          <cell r="D156"/>
          <cell r="E156">
            <v>8074</v>
          </cell>
          <cell r="F156">
            <v>3737</v>
          </cell>
          <cell r="G156">
            <v>690</v>
          </cell>
          <cell r="H156">
            <v>344</v>
          </cell>
          <cell r="I156">
            <v>0</v>
          </cell>
        </row>
        <row r="157">
          <cell r="A157">
            <v>91414</v>
          </cell>
          <cell r="B157" t="str">
            <v>TOWN OF RHODHISS</v>
          </cell>
          <cell r="C157">
            <v>2.2200000000000001E-5</v>
          </cell>
          <cell r="D157"/>
          <cell r="E157">
            <v>4255</v>
          </cell>
          <cell r="F157">
            <v>4255</v>
          </cell>
          <cell r="G157">
            <v>4255</v>
          </cell>
          <cell r="H157">
            <v>4257</v>
          </cell>
          <cell r="I157">
            <v>0</v>
          </cell>
        </row>
        <row r="158">
          <cell r="A158">
            <v>91417</v>
          </cell>
          <cell r="B158" t="str">
            <v>GRANITE FALLS ABC BOARD</v>
          </cell>
          <cell r="C158">
            <v>7.3000000000000004E-6</v>
          </cell>
          <cell r="D158"/>
          <cell r="E158">
            <v>501</v>
          </cell>
          <cell r="F158">
            <v>435</v>
          </cell>
          <cell r="G158">
            <v>329</v>
          </cell>
          <cell r="H158">
            <v>209</v>
          </cell>
          <cell r="I158">
            <v>0</v>
          </cell>
        </row>
        <row r="159">
          <cell r="A159">
            <v>91421</v>
          </cell>
          <cell r="B159" t="str">
            <v>TOWN OF SAWMILLS</v>
          </cell>
          <cell r="C159">
            <v>6.69E-5</v>
          </cell>
          <cell r="D159"/>
          <cell r="E159">
            <v>1959</v>
          </cell>
          <cell r="F159">
            <v>1957</v>
          </cell>
          <cell r="G159">
            <v>1191</v>
          </cell>
          <cell r="H159">
            <v>0</v>
          </cell>
          <cell r="I159">
            <v>0</v>
          </cell>
        </row>
        <row r="160">
          <cell r="A160">
            <v>91423</v>
          </cell>
          <cell r="B160" t="str">
            <v>LENOIR HOUSING AUTHORITY</v>
          </cell>
          <cell r="C160">
            <v>5.2899999999999998E-5</v>
          </cell>
          <cell r="D160"/>
          <cell r="E160">
            <v>2070</v>
          </cell>
          <cell r="F160">
            <v>1943</v>
          </cell>
          <cell r="G160">
            <v>227</v>
          </cell>
          <cell r="H160">
            <v>229</v>
          </cell>
          <cell r="I160">
            <v>0</v>
          </cell>
        </row>
        <row r="161">
          <cell r="A161">
            <v>91431</v>
          </cell>
          <cell r="B161" t="str">
            <v>TOWN OF HUDSON</v>
          </cell>
          <cell r="C161">
            <v>1.819E-4</v>
          </cell>
          <cell r="D161"/>
          <cell r="E161">
            <v>11592</v>
          </cell>
          <cell r="F161">
            <v>11590</v>
          </cell>
          <cell r="G161">
            <v>7447</v>
          </cell>
          <cell r="H161">
            <v>4499</v>
          </cell>
          <cell r="I161">
            <v>0</v>
          </cell>
        </row>
        <row r="162">
          <cell r="A162">
            <v>91441</v>
          </cell>
          <cell r="B162" t="str">
            <v>TOWN OF HARRISBURG</v>
          </cell>
          <cell r="C162">
            <v>9.8020000000000008E-4</v>
          </cell>
          <cell r="D162"/>
          <cell r="E162">
            <v>11739</v>
          </cell>
          <cell r="F162">
            <v>11737</v>
          </cell>
          <cell r="G162">
            <v>0</v>
          </cell>
          <cell r="H162">
            <v>0</v>
          </cell>
          <cell r="I162">
            <v>0</v>
          </cell>
        </row>
        <row r="163">
          <cell r="A163">
            <v>91451</v>
          </cell>
          <cell r="B163" t="str">
            <v>CITY OF LENOIR</v>
          </cell>
          <cell r="C163">
            <v>1.5533999999999999E-3</v>
          </cell>
          <cell r="D163"/>
          <cell r="E163">
            <v>8268</v>
          </cell>
          <cell r="F163">
            <v>8268</v>
          </cell>
          <cell r="G163">
            <v>8268</v>
          </cell>
          <cell r="H163">
            <v>8270</v>
          </cell>
          <cell r="I163">
            <v>0</v>
          </cell>
        </row>
        <row r="164">
          <cell r="A164">
            <v>91457</v>
          </cell>
          <cell r="B164" t="str">
            <v>CITY OF LENOIR ABC BRD</v>
          </cell>
          <cell r="C164">
            <v>1.5500000000000001E-5</v>
          </cell>
          <cell r="D164"/>
          <cell r="E164">
            <v>13336</v>
          </cell>
          <cell r="F164">
            <v>10388</v>
          </cell>
          <cell r="G164">
            <v>6890</v>
          </cell>
          <cell r="H164">
            <v>3123</v>
          </cell>
          <cell r="I164">
            <v>0</v>
          </cell>
        </row>
        <row r="165">
          <cell r="A165">
            <v>91461</v>
          </cell>
          <cell r="B165" t="str">
            <v>TOWN OF CAJAH'S MOUNTAIN</v>
          </cell>
          <cell r="C165">
            <v>9.5000000000000005E-6</v>
          </cell>
          <cell r="D165"/>
          <cell r="E165">
            <v>123</v>
          </cell>
          <cell r="F165">
            <v>0</v>
          </cell>
          <cell r="G165">
            <v>0</v>
          </cell>
          <cell r="H165">
            <v>0</v>
          </cell>
          <cell r="I165">
            <v>0</v>
          </cell>
        </row>
        <row r="166">
          <cell r="A166">
            <v>91501</v>
          </cell>
          <cell r="B166" t="str">
            <v>CAMDEN COUNTY</v>
          </cell>
          <cell r="C166">
            <v>5.1179999999999997E-4</v>
          </cell>
          <cell r="D166"/>
          <cell r="E166">
            <v>9881</v>
          </cell>
          <cell r="F166">
            <v>7423</v>
          </cell>
          <cell r="G166">
            <v>7423</v>
          </cell>
          <cell r="H166">
            <v>7424</v>
          </cell>
          <cell r="I166">
            <v>0</v>
          </cell>
        </row>
        <row r="167">
          <cell r="A167">
            <v>91504</v>
          </cell>
          <cell r="B167" t="str">
            <v>CAMDEN COUNTY ABC BOARD</v>
          </cell>
          <cell r="C167">
            <v>8.3999999999999992E-6</v>
          </cell>
          <cell r="D167"/>
          <cell r="E167">
            <v>1410</v>
          </cell>
          <cell r="F167">
            <v>1051</v>
          </cell>
          <cell r="G167">
            <v>722</v>
          </cell>
          <cell r="H167">
            <v>275</v>
          </cell>
          <cell r="I167">
            <v>0</v>
          </cell>
        </row>
        <row r="168">
          <cell r="A168">
            <v>91601</v>
          </cell>
          <cell r="B168" t="str">
            <v>CARTERET COUNTY</v>
          </cell>
          <cell r="C168">
            <v>3.0071E-3</v>
          </cell>
          <cell r="D168"/>
          <cell r="E168">
            <v>88065</v>
          </cell>
          <cell r="F168">
            <v>57191</v>
          </cell>
          <cell r="G168">
            <v>57190</v>
          </cell>
          <cell r="H168">
            <v>56734</v>
          </cell>
          <cell r="I168">
            <v>0</v>
          </cell>
        </row>
        <row r="169">
          <cell r="A169">
            <v>91604</v>
          </cell>
          <cell r="B169" t="str">
            <v>CARTERET COUNTY ABC BOARD</v>
          </cell>
          <cell r="C169">
            <v>8.5599999999999994E-5</v>
          </cell>
          <cell r="D169"/>
          <cell r="E169">
            <v>10090</v>
          </cell>
          <cell r="F169">
            <v>7841</v>
          </cell>
          <cell r="G169">
            <v>5582</v>
          </cell>
          <cell r="H169">
            <v>3361</v>
          </cell>
          <cell r="I169">
            <v>0</v>
          </cell>
        </row>
        <row r="170">
          <cell r="A170">
            <v>91608</v>
          </cell>
          <cell r="B170" t="str">
            <v>WESTERN CARTERET INTERLOCAL COOPERATION AGENCY</v>
          </cell>
          <cell r="C170">
            <v>1.5420000000000001E-4</v>
          </cell>
          <cell r="D170"/>
          <cell r="E170">
            <v>390</v>
          </cell>
          <cell r="F170">
            <v>389</v>
          </cell>
          <cell r="G170">
            <v>0</v>
          </cell>
          <cell r="H170">
            <v>0</v>
          </cell>
          <cell r="I170">
            <v>0</v>
          </cell>
        </row>
        <row r="171">
          <cell r="A171">
            <v>91611</v>
          </cell>
          <cell r="B171" t="str">
            <v>TOWN OF MOREHEAD CITY</v>
          </cell>
          <cell r="C171">
            <v>1.4658E-3</v>
          </cell>
          <cell r="D171"/>
          <cell r="E171">
            <v>0</v>
          </cell>
          <cell r="F171">
            <v>0</v>
          </cell>
          <cell r="G171">
            <v>0</v>
          </cell>
          <cell r="H171">
            <v>0</v>
          </cell>
          <cell r="I171">
            <v>0</v>
          </cell>
        </row>
        <row r="172">
          <cell r="A172">
            <v>91621</v>
          </cell>
          <cell r="B172" t="str">
            <v>TOWN OF NEWPORT</v>
          </cell>
          <cell r="C172">
            <v>2.418E-4</v>
          </cell>
          <cell r="D172"/>
          <cell r="E172">
            <v>0</v>
          </cell>
          <cell r="F172">
            <v>0</v>
          </cell>
          <cell r="G172">
            <v>0</v>
          </cell>
          <cell r="H172">
            <v>0</v>
          </cell>
          <cell r="I172">
            <v>0</v>
          </cell>
        </row>
        <row r="173">
          <cell r="A173">
            <v>91631</v>
          </cell>
          <cell r="B173" t="str">
            <v>TOWN OF BEAUFORT</v>
          </cell>
          <cell r="C173">
            <v>5.9349999999999995E-4</v>
          </cell>
          <cell r="D173"/>
          <cell r="E173">
            <v>3014</v>
          </cell>
          <cell r="F173">
            <v>3014</v>
          </cell>
          <cell r="G173">
            <v>3014</v>
          </cell>
          <cell r="H173">
            <v>3013</v>
          </cell>
          <cell r="I173">
            <v>0</v>
          </cell>
        </row>
        <row r="174">
          <cell r="A174">
            <v>91633</v>
          </cell>
          <cell r="B174" t="str">
            <v>BEAUFORT HOUSING AUTH</v>
          </cell>
          <cell r="C174">
            <v>3.15E-5</v>
          </cell>
          <cell r="D174"/>
          <cell r="E174">
            <v>2583</v>
          </cell>
          <cell r="F174">
            <v>2268</v>
          </cell>
          <cell r="G174">
            <v>2151</v>
          </cell>
          <cell r="H174">
            <v>2153</v>
          </cell>
          <cell r="I174">
            <v>0</v>
          </cell>
        </row>
        <row r="175">
          <cell r="A175">
            <v>91641</v>
          </cell>
          <cell r="B175" t="str">
            <v>TOWN OF PINE KNOLL SHORES</v>
          </cell>
          <cell r="C175">
            <v>2.8519999999999999E-4</v>
          </cell>
          <cell r="D175"/>
          <cell r="E175">
            <v>399</v>
          </cell>
          <cell r="F175">
            <v>399</v>
          </cell>
          <cell r="G175">
            <v>399</v>
          </cell>
          <cell r="H175">
            <v>399</v>
          </cell>
          <cell r="I175">
            <v>0</v>
          </cell>
        </row>
        <row r="176">
          <cell r="A176">
            <v>91651</v>
          </cell>
          <cell r="B176" t="str">
            <v>TOWN OF EMERALD ISLE</v>
          </cell>
          <cell r="C176">
            <v>5.4049999999999996E-4</v>
          </cell>
          <cell r="D176"/>
          <cell r="E176">
            <v>19626</v>
          </cell>
          <cell r="F176">
            <v>19626</v>
          </cell>
          <cell r="G176">
            <v>19625</v>
          </cell>
          <cell r="H176">
            <v>13156</v>
          </cell>
          <cell r="I176">
            <v>0</v>
          </cell>
        </row>
        <row r="177">
          <cell r="A177">
            <v>91661</v>
          </cell>
          <cell r="B177" t="str">
            <v>TOWN OF INDIAN BEACH</v>
          </cell>
          <cell r="C177">
            <v>1.8760000000000001E-4</v>
          </cell>
          <cell r="D177"/>
          <cell r="E177">
            <v>0</v>
          </cell>
          <cell r="F177">
            <v>0</v>
          </cell>
          <cell r="G177">
            <v>0</v>
          </cell>
          <cell r="H177">
            <v>0</v>
          </cell>
          <cell r="I177">
            <v>0</v>
          </cell>
        </row>
        <row r="178">
          <cell r="A178">
            <v>91671</v>
          </cell>
          <cell r="B178" t="str">
            <v>TOWN OF CAPE CARTERET</v>
          </cell>
          <cell r="C178">
            <v>1.076E-4</v>
          </cell>
          <cell r="D178"/>
          <cell r="E178">
            <v>2317</v>
          </cell>
          <cell r="F178">
            <v>1319</v>
          </cell>
          <cell r="G178">
            <v>1320</v>
          </cell>
          <cell r="H178">
            <v>0</v>
          </cell>
          <cell r="I178">
            <v>0</v>
          </cell>
        </row>
        <row r="179">
          <cell r="A179">
            <v>91681</v>
          </cell>
          <cell r="B179" t="str">
            <v>TOWN OF ATLANTIC BEACH</v>
          </cell>
          <cell r="C179">
            <v>4.5909999999999999E-4</v>
          </cell>
          <cell r="D179"/>
          <cell r="E179">
            <v>124939</v>
          </cell>
          <cell r="F179">
            <v>101931</v>
          </cell>
          <cell r="G179">
            <v>67526</v>
          </cell>
          <cell r="H179">
            <v>34441</v>
          </cell>
          <cell r="I179">
            <v>0</v>
          </cell>
        </row>
        <row r="180">
          <cell r="A180">
            <v>91691</v>
          </cell>
          <cell r="B180" t="str">
            <v>TOWN OF CEDAR POINT</v>
          </cell>
          <cell r="C180">
            <v>2.2900000000000001E-5</v>
          </cell>
          <cell r="D180"/>
          <cell r="E180">
            <v>1026</v>
          </cell>
          <cell r="F180">
            <v>510</v>
          </cell>
          <cell r="G180">
            <v>510</v>
          </cell>
          <cell r="H180">
            <v>512</v>
          </cell>
          <cell r="I180">
            <v>0</v>
          </cell>
        </row>
        <row r="181">
          <cell r="A181">
            <v>91701</v>
          </cell>
          <cell r="B181" t="str">
            <v>CASWELL COUNTY</v>
          </cell>
          <cell r="C181">
            <v>1.1343E-3</v>
          </cell>
          <cell r="D181"/>
          <cell r="E181">
            <v>24302</v>
          </cell>
          <cell r="F181">
            <v>20317</v>
          </cell>
          <cell r="G181">
            <v>0</v>
          </cell>
          <cell r="H181">
            <v>0</v>
          </cell>
          <cell r="I181">
            <v>0</v>
          </cell>
        </row>
        <row r="182">
          <cell r="A182">
            <v>91704</v>
          </cell>
          <cell r="B182" t="str">
            <v>CASWELL COUNTY ABC BOARD</v>
          </cell>
          <cell r="C182">
            <v>1.7600000000000001E-5</v>
          </cell>
          <cell r="D182"/>
          <cell r="E182">
            <v>209</v>
          </cell>
          <cell r="F182">
            <v>188</v>
          </cell>
          <cell r="G182">
            <v>175</v>
          </cell>
          <cell r="H182">
            <v>143</v>
          </cell>
          <cell r="I182">
            <v>0</v>
          </cell>
        </row>
        <row r="183">
          <cell r="A183">
            <v>91706</v>
          </cell>
          <cell r="B183" t="str">
            <v>CASWELL CO DEPT OF SOCIAL SERVICES</v>
          </cell>
          <cell r="C183">
            <v>2.543E-4</v>
          </cell>
          <cell r="D183"/>
          <cell r="E183">
            <v>17399</v>
          </cell>
          <cell r="F183">
            <v>17399</v>
          </cell>
          <cell r="G183">
            <v>15254</v>
          </cell>
          <cell r="H183">
            <v>7657</v>
          </cell>
          <cell r="I183">
            <v>0</v>
          </cell>
        </row>
        <row r="184">
          <cell r="A184">
            <v>91719</v>
          </cell>
          <cell r="B184" t="str">
            <v>TOWN OF YANCEYVILLE</v>
          </cell>
          <cell r="C184">
            <v>5.6700000000000003E-5</v>
          </cell>
          <cell r="D184"/>
          <cell r="E184">
            <v>133</v>
          </cell>
          <cell r="F184">
            <v>133</v>
          </cell>
          <cell r="G184">
            <v>134</v>
          </cell>
          <cell r="H184">
            <v>0</v>
          </cell>
          <cell r="I184">
            <v>0</v>
          </cell>
        </row>
        <row r="185">
          <cell r="A185">
            <v>91801</v>
          </cell>
          <cell r="B185" t="str">
            <v>CATAWBA COUNTY</v>
          </cell>
          <cell r="C185">
            <v>7.5972000000000001E-3</v>
          </cell>
          <cell r="D185"/>
          <cell r="E185">
            <v>0</v>
          </cell>
          <cell r="F185">
            <v>0</v>
          </cell>
          <cell r="G185">
            <v>0</v>
          </cell>
          <cell r="H185">
            <v>0</v>
          </cell>
          <cell r="I185">
            <v>0</v>
          </cell>
        </row>
        <row r="186">
          <cell r="A186">
            <v>91804</v>
          </cell>
          <cell r="B186" t="str">
            <v>CATAWBA COUNTY ABC BOARD</v>
          </cell>
          <cell r="C186">
            <v>1.2459999999999999E-4</v>
          </cell>
          <cell r="D186"/>
          <cell r="E186">
            <v>22631</v>
          </cell>
          <cell r="F186">
            <v>16945</v>
          </cell>
          <cell r="G186">
            <v>12083</v>
          </cell>
          <cell r="H186">
            <v>3070</v>
          </cell>
          <cell r="I186">
            <v>0</v>
          </cell>
        </row>
        <row r="187">
          <cell r="A187">
            <v>91811</v>
          </cell>
          <cell r="B187" t="str">
            <v>CITY OF HICKORY</v>
          </cell>
          <cell r="C187">
            <v>4.2429E-3</v>
          </cell>
          <cell r="D187"/>
          <cell r="E187">
            <v>0</v>
          </cell>
          <cell r="F187">
            <v>0</v>
          </cell>
          <cell r="G187">
            <v>0</v>
          </cell>
          <cell r="H187">
            <v>0</v>
          </cell>
          <cell r="I187">
            <v>0</v>
          </cell>
        </row>
        <row r="188">
          <cell r="A188">
            <v>91812</v>
          </cell>
          <cell r="B188" t="str">
            <v>HICKORY CONOVER TOURISM DEV AUTH</v>
          </cell>
          <cell r="C188">
            <v>4.5599999999999997E-5</v>
          </cell>
          <cell r="D188"/>
          <cell r="E188">
            <v>3080</v>
          </cell>
          <cell r="F188">
            <v>929</v>
          </cell>
          <cell r="G188">
            <v>927</v>
          </cell>
          <cell r="H188">
            <v>0</v>
          </cell>
          <cell r="I188">
            <v>0</v>
          </cell>
        </row>
        <row r="189">
          <cell r="A189">
            <v>91813</v>
          </cell>
          <cell r="B189" t="str">
            <v>HICKORY PUBLIC HOUSING AUTHORITY</v>
          </cell>
          <cell r="C189">
            <v>7.1500000000000003E-5</v>
          </cell>
          <cell r="D189"/>
          <cell r="E189">
            <v>1216</v>
          </cell>
          <cell r="F189">
            <v>0</v>
          </cell>
          <cell r="G189">
            <v>0</v>
          </cell>
          <cell r="H189">
            <v>0</v>
          </cell>
          <cell r="I189">
            <v>0</v>
          </cell>
        </row>
        <row r="190">
          <cell r="A190">
            <v>91818</v>
          </cell>
          <cell r="B190" t="str">
            <v>WESTERN PIEDMONT COUNCIL OF GVMTS</v>
          </cell>
          <cell r="C190">
            <v>4.0620000000000001E-4</v>
          </cell>
          <cell r="D190"/>
          <cell r="E190">
            <v>161130</v>
          </cell>
          <cell r="F190">
            <v>115910</v>
          </cell>
          <cell r="G190">
            <v>59477</v>
          </cell>
          <cell r="H190">
            <v>5568</v>
          </cell>
          <cell r="I190">
            <v>0</v>
          </cell>
        </row>
        <row r="191">
          <cell r="A191">
            <v>91819</v>
          </cell>
          <cell r="B191" t="str">
            <v>WESTERN PIEDMONT REGIONAL TRANSIT AUTHORITY</v>
          </cell>
          <cell r="C191">
            <v>3.1260000000000001E-4</v>
          </cell>
          <cell r="D191"/>
          <cell r="E191">
            <v>12078</v>
          </cell>
          <cell r="F191">
            <v>12077</v>
          </cell>
          <cell r="G191">
            <v>10020</v>
          </cell>
          <cell r="H191">
            <v>4901</v>
          </cell>
          <cell r="I191">
            <v>0</v>
          </cell>
        </row>
        <row r="192">
          <cell r="A192">
            <v>91821</v>
          </cell>
          <cell r="B192" t="str">
            <v>CITY OF CLAREMONT</v>
          </cell>
          <cell r="C192">
            <v>1.6750000000000001E-4</v>
          </cell>
          <cell r="D192"/>
          <cell r="E192">
            <v>40</v>
          </cell>
          <cell r="F192">
            <v>39</v>
          </cell>
          <cell r="G192">
            <v>0</v>
          </cell>
          <cell r="H192">
            <v>0</v>
          </cell>
          <cell r="I192">
            <v>0</v>
          </cell>
        </row>
        <row r="193">
          <cell r="A193">
            <v>91831</v>
          </cell>
          <cell r="B193" t="str">
            <v>TOWN OF MAIDEN</v>
          </cell>
          <cell r="C193">
            <v>3.7990000000000002E-4</v>
          </cell>
          <cell r="D193"/>
          <cell r="E193">
            <v>3454</v>
          </cell>
          <cell r="F193">
            <v>3454</v>
          </cell>
          <cell r="G193">
            <v>3454</v>
          </cell>
          <cell r="H193">
            <v>0</v>
          </cell>
          <cell r="I193">
            <v>0</v>
          </cell>
        </row>
        <row r="194">
          <cell r="A194">
            <v>91841</v>
          </cell>
          <cell r="B194" t="str">
            <v>THE TOWN OF LONGVIEW</v>
          </cell>
          <cell r="C194">
            <v>2.5090000000000003E-4</v>
          </cell>
          <cell r="D194"/>
          <cell r="E194">
            <v>1593</v>
          </cell>
          <cell r="F194">
            <v>1594</v>
          </cell>
          <cell r="G194">
            <v>1171</v>
          </cell>
          <cell r="H194">
            <v>0</v>
          </cell>
          <cell r="I194">
            <v>0</v>
          </cell>
        </row>
        <row r="195">
          <cell r="A195">
            <v>91851</v>
          </cell>
          <cell r="B195" t="str">
            <v>TOWN OF CONOVER</v>
          </cell>
          <cell r="C195">
            <v>7.004E-4</v>
          </cell>
          <cell r="D195"/>
          <cell r="E195">
            <v>1364</v>
          </cell>
          <cell r="F195">
            <v>1365</v>
          </cell>
          <cell r="G195">
            <v>0</v>
          </cell>
          <cell r="H195">
            <v>0</v>
          </cell>
          <cell r="I195">
            <v>0</v>
          </cell>
        </row>
        <row r="196">
          <cell r="A196">
            <v>91861</v>
          </cell>
          <cell r="B196" t="str">
            <v>TOWN OF BROOKFORD</v>
          </cell>
          <cell r="C196">
            <v>7.7000000000000008E-6</v>
          </cell>
          <cell r="D196"/>
          <cell r="E196">
            <v>129</v>
          </cell>
          <cell r="F196">
            <v>0</v>
          </cell>
          <cell r="G196">
            <v>0</v>
          </cell>
          <cell r="H196">
            <v>0</v>
          </cell>
          <cell r="I196">
            <v>0</v>
          </cell>
        </row>
        <row r="197">
          <cell r="A197">
            <v>91871</v>
          </cell>
          <cell r="B197" t="str">
            <v>CITY OF NEWTON</v>
          </cell>
          <cell r="C197">
            <v>1.3121000000000001E-3</v>
          </cell>
          <cell r="D197"/>
          <cell r="E197">
            <v>5635</v>
          </cell>
          <cell r="F197">
            <v>5633</v>
          </cell>
          <cell r="G197">
            <v>0</v>
          </cell>
          <cell r="H197">
            <v>0</v>
          </cell>
          <cell r="I197">
            <v>0</v>
          </cell>
        </row>
        <row r="198">
          <cell r="A198">
            <v>91881</v>
          </cell>
          <cell r="B198" t="str">
            <v>TOWN OF CATAWBA</v>
          </cell>
          <cell r="C198">
            <v>2.1399999999999998E-5</v>
          </cell>
          <cell r="D198"/>
          <cell r="E198">
            <v>2578</v>
          </cell>
          <cell r="F198">
            <v>2578</v>
          </cell>
          <cell r="G198">
            <v>2291</v>
          </cell>
          <cell r="H198">
            <v>2279</v>
          </cell>
          <cell r="I198">
            <v>0</v>
          </cell>
        </row>
        <row r="199">
          <cell r="A199">
            <v>91901</v>
          </cell>
          <cell r="B199" t="str">
            <v>CHATHAM COUNTY</v>
          </cell>
          <cell r="C199">
            <v>3.6947999999999998E-3</v>
          </cell>
          <cell r="D199"/>
          <cell r="E199">
            <v>8156</v>
          </cell>
          <cell r="F199">
            <v>0</v>
          </cell>
          <cell r="G199">
            <v>0</v>
          </cell>
          <cell r="H199">
            <v>0</v>
          </cell>
          <cell r="I199">
            <v>0</v>
          </cell>
        </row>
        <row r="200">
          <cell r="A200">
            <v>91903</v>
          </cell>
          <cell r="B200" t="str">
            <v>CHATHAM CO HOUSING AUTH</v>
          </cell>
          <cell r="C200">
            <v>7.1999999999999997E-6</v>
          </cell>
          <cell r="D200"/>
          <cell r="E200">
            <v>1151</v>
          </cell>
          <cell r="F200">
            <v>1114</v>
          </cell>
          <cell r="G200">
            <v>714</v>
          </cell>
          <cell r="H200">
            <v>249</v>
          </cell>
          <cell r="I200">
            <v>0</v>
          </cell>
        </row>
        <row r="201">
          <cell r="A201">
            <v>91904</v>
          </cell>
          <cell r="B201" t="str">
            <v>CHATHAM COUNTY ABC BOARD</v>
          </cell>
          <cell r="C201">
            <v>3.26E-5</v>
          </cell>
          <cell r="D201"/>
          <cell r="E201">
            <v>3437</v>
          </cell>
          <cell r="F201">
            <v>2090</v>
          </cell>
          <cell r="G201">
            <v>819</v>
          </cell>
          <cell r="H201">
            <v>817</v>
          </cell>
          <cell r="I201">
            <v>0</v>
          </cell>
        </row>
        <row r="202">
          <cell r="A202">
            <v>91908</v>
          </cell>
          <cell r="B202" t="str">
            <v>GOLDSTON-GULF SANITARY DISTRICT</v>
          </cell>
          <cell r="C202">
            <v>1.59E-5</v>
          </cell>
          <cell r="D202"/>
          <cell r="E202">
            <v>27</v>
          </cell>
          <cell r="F202">
            <v>26</v>
          </cell>
          <cell r="G202">
            <v>0</v>
          </cell>
          <cell r="H202">
            <v>0</v>
          </cell>
          <cell r="I202">
            <v>0</v>
          </cell>
        </row>
        <row r="203">
          <cell r="A203">
            <v>91911</v>
          </cell>
          <cell r="B203" t="str">
            <v>TOWN OF SILER CITY</v>
          </cell>
          <cell r="C203">
            <v>4.46E-4</v>
          </cell>
          <cell r="D203"/>
          <cell r="E203">
            <v>7826</v>
          </cell>
          <cell r="F203">
            <v>5738</v>
          </cell>
          <cell r="G203">
            <v>4096</v>
          </cell>
          <cell r="H203">
            <v>0</v>
          </cell>
          <cell r="I203">
            <v>0</v>
          </cell>
        </row>
        <row r="204">
          <cell r="A204">
            <v>91917</v>
          </cell>
          <cell r="B204" t="str">
            <v>SILER CITY ABC BOARD</v>
          </cell>
          <cell r="C204">
            <v>1.31E-5</v>
          </cell>
          <cell r="D204"/>
          <cell r="E204">
            <v>943</v>
          </cell>
          <cell r="F204">
            <v>811</v>
          </cell>
          <cell r="G204">
            <v>813</v>
          </cell>
          <cell r="H204">
            <v>760</v>
          </cell>
          <cell r="I204">
            <v>0</v>
          </cell>
        </row>
        <row r="205">
          <cell r="A205">
            <v>91921</v>
          </cell>
          <cell r="B205" t="str">
            <v>TOWN OF PITTSBORO</v>
          </cell>
          <cell r="C205">
            <v>3.8479999999999997E-4</v>
          </cell>
          <cell r="D205"/>
          <cell r="E205">
            <v>3523</v>
          </cell>
          <cell r="F205">
            <v>3523</v>
          </cell>
          <cell r="G205">
            <v>3523</v>
          </cell>
          <cell r="H205">
            <v>3522</v>
          </cell>
          <cell r="I205">
            <v>0</v>
          </cell>
        </row>
        <row r="206">
          <cell r="A206">
            <v>92001</v>
          </cell>
          <cell r="B206" t="str">
            <v>CHEROKEE COUNTY</v>
          </cell>
          <cell r="C206">
            <v>1.7757000000000001E-3</v>
          </cell>
          <cell r="D206"/>
          <cell r="E206">
            <v>13845</v>
          </cell>
          <cell r="F206">
            <v>0</v>
          </cell>
          <cell r="G206">
            <v>0</v>
          </cell>
          <cell r="H206">
            <v>0</v>
          </cell>
          <cell r="I206">
            <v>0</v>
          </cell>
        </row>
        <row r="207">
          <cell r="A207">
            <v>92005</v>
          </cell>
          <cell r="B207" t="str">
            <v>NANTAHALA REGIONAL LIBRARY</v>
          </cell>
          <cell r="C207">
            <v>3.5299999999999997E-5</v>
          </cell>
          <cell r="D207"/>
          <cell r="E207">
            <v>1212</v>
          </cell>
          <cell r="F207">
            <v>815</v>
          </cell>
          <cell r="G207">
            <v>814</v>
          </cell>
          <cell r="H207">
            <v>0</v>
          </cell>
          <cell r="I207">
            <v>0</v>
          </cell>
        </row>
        <row r="208">
          <cell r="A208">
            <v>92011</v>
          </cell>
          <cell r="B208" t="str">
            <v>TOWN OF MURPHY</v>
          </cell>
          <cell r="C208">
            <v>1.9100000000000001E-4</v>
          </cell>
          <cell r="D208"/>
          <cell r="E208">
            <v>2689</v>
          </cell>
          <cell r="F208">
            <v>1998</v>
          </cell>
          <cell r="G208">
            <v>0</v>
          </cell>
          <cell r="H208">
            <v>0</v>
          </cell>
          <cell r="I208">
            <v>0</v>
          </cell>
        </row>
        <row r="209">
          <cell r="A209">
            <v>92017</v>
          </cell>
          <cell r="B209" t="str">
            <v>MURPHY ABC BOARD</v>
          </cell>
          <cell r="C209">
            <v>3.1900000000000003E-5</v>
          </cell>
          <cell r="D209"/>
          <cell r="E209">
            <v>661</v>
          </cell>
          <cell r="F209">
            <v>662</v>
          </cell>
          <cell r="G209">
            <v>566</v>
          </cell>
          <cell r="H209">
            <v>319</v>
          </cell>
          <cell r="I209">
            <v>0</v>
          </cell>
        </row>
        <row r="210">
          <cell r="A210">
            <v>92021</v>
          </cell>
          <cell r="B210" t="str">
            <v>TOWN OF ANDREWS</v>
          </cell>
          <cell r="C210">
            <v>1.054E-4</v>
          </cell>
          <cell r="D210"/>
          <cell r="E210">
            <v>8644</v>
          </cell>
          <cell r="F210">
            <v>2603</v>
          </cell>
          <cell r="G210">
            <v>0</v>
          </cell>
          <cell r="H210">
            <v>0</v>
          </cell>
          <cell r="I210">
            <v>0</v>
          </cell>
        </row>
        <row r="211">
          <cell r="A211">
            <v>92101</v>
          </cell>
          <cell r="B211" t="str">
            <v>CHOWAN COUNTY</v>
          </cell>
          <cell r="C211">
            <v>7.8700000000000005E-4</v>
          </cell>
          <cell r="D211"/>
          <cell r="E211">
            <v>0</v>
          </cell>
          <cell r="F211">
            <v>0</v>
          </cell>
          <cell r="G211">
            <v>0</v>
          </cell>
          <cell r="H211">
            <v>0</v>
          </cell>
          <cell r="I211">
            <v>0</v>
          </cell>
        </row>
        <row r="212">
          <cell r="A212">
            <v>92104</v>
          </cell>
          <cell r="B212" t="str">
            <v>CHOWAN COUNTY ABC BOARD</v>
          </cell>
          <cell r="C212">
            <v>7.0999999999999998E-6</v>
          </cell>
          <cell r="D212"/>
          <cell r="E212">
            <v>800</v>
          </cell>
          <cell r="F212">
            <v>541</v>
          </cell>
          <cell r="G212">
            <v>327</v>
          </cell>
          <cell r="H212">
            <v>112</v>
          </cell>
          <cell r="I212">
            <v>0</v>
          </cell>
        </row>
        <row r="213">
          <cell r="A213">
            <v>92109</v>
          </cell>
          <cell r="B213" t="str">
            <v>ALBEMARLE REGNL PLANNING &amp; DEVELOPMENT COMM</v>
          </cell>
          <cell r="C213">
            <v>1.6799999999999999E-4</v>
          </cell>
          <cell r="D213"/>
          <cell r="E213">
            <v>221</v>
          </cell>
          <cell r="F213">
            <v>84</v>
          </cell>
          <cell r="G213">
            <v>0</v>
          </cell>
          <cell r="H213">
            <v>0</v>
          </cell>
          <cell r="I213">
            <v>0</v>
          </cell>
        </row>
        <row r="214">
          <cell r="A214">
            <v>92111</v>
          </cell>
          <cell r="B214" t="str">
            <v>TOWN OF EDENTON</v>
          </cell>
          <cell r="C214">
            <v>4.9209999999999998E-4</v>
          </cell>
          <cell r="D214"/>
          <cell r="E214">
            <v>966</v>
          </cell>
          <cell r="F214">
            <v>967</v>
          </cell>
          <cell r="G214">
            <v>334</v>
          </cell>
          <cell r="H214">
            <v>0</v>
          </cell>
          <cell r="I214">
            <v>0</v>
          </cell>
        </row>
        <row r="215">
          <cell r="A215">
            <v>92113</v>
          </cell>
          <cell r="B215" t="str">
            <v>THE NEW EDENTON HOUSING AUTH</v>
          </cell>
          <cell r="C215">
            <v>1.7099999999999999E-5</v>
          </cell>
          <cell r="D215"/>
          <cell r="E215">
            <v>5698</v>
          </cell>
          <cell r="F215">
            <v>2484</v>
          </cell>
          <cell r="G215">
            <v>2485</v>
          </cell>
          <cell r="H215">
            <v>1301</v>
          </cell>
          <cell r="I215">
            <v>0</v>
          </cell>
        </row>
        <row r="216">
          <cell r="A216">
            <v>92201</v>
          </cell>
          <cell r="B216" t="str">
            <v>CLAY COUNTY</v>
          </cell>
          <cell r="C216">
            <v>8.3589999999999999E-4</v>
          </cell>
          <cell r="D216"/>
          <cell r="E216">
            <v>2679</v>
          </cell>
          <cell r="F216">
            <v>54</v>
          </cell>
          <cell r="G216">
            <v>55</v>
          </cell>
          <cell r="H216">
            <v>0</v>
          </cell>
          <cell r="I216">
            <v>0</v>
          </cell>
        </row>
        <row r="217">
          <cell r="A217">
            <v>92214</v>
          </cell>
          <cell r="B217" t="str">
            <v>CLAY COUNTY ABC BOARD</v>
          </cell>
          <cell r="C217">
            <v>2.02E-5</v>
          </cell>
          <cell r="D217"/>
          <cell r="E217">
            <v>3681</v>
          </cell>
          <cell r="F217">
            <v>3681</v>
          </cell>
          <cell r="G217">
            <v>3680</v>
          </cell>
          <cell r="H217">
            <v>177</v>
          </cell>
          <cell r="I217">
            <v>0</v>
          </cell>
        </row>
        <row r="218">
          <cell r="A218">
            <v>92301</v>
          </cell>
          <cell r="B218" t="str">
            <v>CLEVELAND COUNTY</v>
          </cell>
          <cell r="C218">
            <v>5.6146E-3</v>
          </cell>
          <cell r="D218"/>
          <cell r="E218">
            <v>45682</v>
          </cell>
          <cell r="F218">
            <v>37045</v>
          </cell>
          <cell r="G218">
            <v>37043</v>
          </cell>
          <cell r="H218">
            <v>28131</v>
          </cell>
          <cell r="I218">
            <v>0</v>
          </cell>
        </row>
        <row r="219">
          <cell r="A219">
            <v>92302</v>
          </cell>
          <cell r="B219" t="str">
            <v>CLEVELAND CO SANITARY DIST</v>
          </cell>
          <cell r="C219">
            <v>3.0249999999999998E-4</v>
          </cell>
          <cell r="D219"/>
          <cell r="E219">
            <v>1615</v>
          </cell>
          <cell r="F219">
            <v>1615</v>
          </cell>
          <cell r="G219">
            <v>1616</v>
          </cell>
          <cell r="H219">
            <v>0</v>
          </cell>
          <cell r="I219">
            <v>0</v>
          </cell>
        </row>
        <row r="220">
          <cell r="A220">
            <v>92311</v>
          </cell>
          <cell r="B220" t="str">
            <v>CITY OF SHELBY</v>
          </cell>
          <cell r="C220">
            <v>2.2645999999999999E-3</v>
          </cell>
          <cell r="D220"/>
          <cell r="E220">
            <v>4126</v>
          </cell>
          <cell r="F220">
            <v>4124</v>
          </cell>
          <cell r="G220">
            <v>2036</v>
          </cell>
          <cell r="H220">
            <v>2038</v>
          </cell>
          <cell r="I220">
            <v>0</v>
          </cell>
        </row>
        <row r="221">
          <cell r="A221">
            <v>92317</v>
          </cell>
          <cell r="B221" t="str">
            <v>SHELBY ABC BOARD</v>
          </cell>
          <cell r="C221">
            <v>2.97E-5</v>
          </cell>
          <cell r="D221"/>
          <cell r="E221">
            <v>7366</v>
          </cell>
          <cell r="F221">
            <v>6341</v>
          </cell>
          <cell r="G221">
            <v>4523</v>
          </cell>
          <cell r="H221">
            <v>3428</v>
          </cell>
          <cell r="I221">
            <v>0</v>
          </cell>
        </row>
        <row r="222">
          <cell r="A222">
            <v>92321</v>
          </cell>
          <cell r="B222" t="str">
            <v>CITY OF KINGS MOUNTAIN</v>
          </cell>
          <cell r="C222">
            <v>1.2122999999999999E-3</v>
          </cell>
          <cell r="D222"/>
          <cell r="E222">
            <v>10277</v>
          </cell>
          <cell r="F222">
            <v>10277</v>
          </cell>
          <cell r="G222">
            <v>10279</v>
          </cell>
          <cell r="H222">
            <v>0</v>
          </cell>
          <cell r="I222">
            <v>0</v>
          </cell>
        </row>
        <row r="223">
          <cell r="A223">
            <v>92327</v>
          </cell>
          <cell r="B223" t="str">
            <v>KINGS MOUNTAIN ABC BOARD</v>
          </cell>
          <cell r="C223">
            <v>6.4999999999999996E-6</v>
          </cell>
          <cell r="D223"/>
          <cell r="E223">
            <v>2268</v>
          </cell>
          <cell r="F223">
            <v>1960</v>
          </cell>
          <cell r="G223">
            <v>1674</v>
          </cell>
          <cell r="H223">
            <v>733</v>
          </cell>
          <cell r="I223">
            <v>0</v>
          </cell>
        </row>
        <row r="224">
          <cell r="A224">
            <v>92331</v>
          </cell>
          <cell r="B224" t="str">
            <v>TOWN OF BOILING SPRINGS</v>
          </cell>
          <cell r="C224">
            <v>1.351E-4</v>
          </cell>
          <cell r="D224"/>
          <cell r="E224">
            <v>1702</v>
          </cell>
          <cell r="F224">
            <v>1702</v>
          </cell>
          <cell r="G224">
            <v>1702</v>
          </cell>
          <cell r="H224">
            <v>1700</v>
          </cell>
          <cell r="I224">
            <v>0</v>
          </cell>
        </row>
        <row r="225">
          <cell r="A225">
            <v>92341</v>
          </cell>
          <cell r="B225" t="str">
            <v>TOWN OF LAWNDALE</v>
          </cell>
          <cell r="C225">
            <v>8.4999999999999999E-6</v>
          </cell>
          <cell r="D225"/>
          <cell r="E225">
            <v>116</v>
          </cell>
          <cell r="F225">
            <v>56</v>
          </cell>
          <cell r="G225">
            <v>0</v>
          </cell>
          <cell r="H225">
            <v>0</v>
          </cell>
          <cell r="I225">
            <v>0</v>
          </cell>
        </row>
        <row r="226">
          <cell r="A226">
            <v>92351</v>
          </cell>
          <cell r="B226" t="str">
            <v>TOWN OF GROVER</v>
          </cell>
          <cell r="C226">
            <v>1.7499999999999998E-5</v>
          </cell>
          <cell r="D226"/>
          <cell r="E226">
            <v>845</v>
          </cell>
          <cell r="F226">
            <v>844</v>
          </cell>
          <cell r="G226">
            <v>802</v>
          </cell>
          <cell r="H226">
            <v>0</v>
          </cell>
          <cell r="I226">
            <v>0</v>
          </cell>
        </row>
        <row r="227">
          <cell r="A227">
            <v>92401</v>
          </cell>
          <cell r="B227" t="str">
            <v>COLUMBUS COUNTY</v>
          </cell>
          <cell r="C227">
            <v>2.6340000000000001E-3</v>
          </cell>
          <cell r="D227"/>
          <cell r="E227">
            <v>59196</v>
          </cell>
          <cell r="F227">
            <v>58908</v>
          </cell>
          <cell r="G227">
            <v>54385</v>
          </cell>
          <cell r="H227">
            <v>54384</v>
          </cell>
          <cell r="I227">
            <v>0</v>
          </cell>
        </row>
        <row r="228">
          <cell r="A228">
            <v>92403</v>
          </cell>
          <cell r="B228" t="str">
            <v>WHITEVILLE HOUSING AUTHORITY</v>
          </cell>
          <cell r="C228">
            <v>9.0999999999999993E-6</v>
          </cell>
          <cell r="D228"/>
          <cell r="E228">
            <v>624</v>
          </cell>
          <cell r="F228">
            <v>625</v>
          </cell>
          <cell r="G228">
            <v>245</v>
          </cell>
          <cell r="H228">
            <v>159</v>
          </cell>
          <cell r="I228">
            <v>0</v>
          </cell>
        </row>
        <row r="229">
          <cell r="A229">
            <v>92411</v>
          </cell>
          <cell r="B229" t="str">
            <v>CITY OF WHITEVILLE</v>
          </cell>
          <cell r="C229">
            <v>4.5199999999999998E-4</v>
          </cell>
          <cell r="D229"/>
          <cell r="E229">
            <v>1499</v>
          </cell>
          <cell r="F229">
            <v>1499</v>
          </cell>
          <cell r="G229">
            <v>1499</v>
          </cell>
          <cell r="H229">
            <v>1499</v>
          </cell>
          <cell r="I229">
            <v>0</v>
          </cell>
        </row>
        <row r="230">
          <cell r="A230">
            <v>92414</v>
          </cell>
          <cell r="B230" t="str">
            <v>TOWN OF BOLTON</v>
          </cell>
          <cell r="C230">
            <v>0</v>
          </cell>
          <cell r="D230"/>
          <cell r="E230">
            <v>0</v>
          </cell>
          <cell r="F230">
            <v>0</v>
          </cell>
          <cell r="G230">
            <v>0</v>
          </cell>
          <cell r="H230">
            <v>0</v>
          </cell>
          <cell r="I230">
            <v>0</v>
          </cell>
        </row>
        <row r="231">
          <cell r="A231">
            <v>92417</v>
          </cell>
          <cell r="B231" t="str">
            <v>WHITEVILLE ABC BOARD</v>
          </cell>
          <cell r="C231">
            <v>1.73E-5</v>
          </cell>
          <cell r="D231"/>
          <cell r="E231">
            <v>0</v>
          </cell>
          <cell r="F231">
            <v>0</v>
          </cell>
          <cell r="G231">
            <v>0</v>
          </cell>
          <cell r="H231">
            <v>0</v>
          </cell>
          <cell r="I231">
            <v>0</v>
          </cell>
        </row>
        <row r="232">
          <cell r="A232">
            <v>92421</v>
          </cell>
          <cell r="B232" t="str">
            <v>TOWN OF BRUNSWICK</v>
          </cell>
          <cell r="C232">
            <v>1.6399999999999999E-5</v>
          </cell>
          <cell r="D232"/>
          <cell r="E232">
            <v>3206</v>
          </cell>
          <cell r="F232">
            <v>3208</v>
          </cell>
          <cell r="G232">
            <v>2530</v>
          </cell>
          <cell r="H232">
            <v>1536</v>
          </cell>
          <cell r="I232">
            <v>0</v>
          </cell>
        </row>
        <row r="233">
          <cell r="A233">
            <v>92427</v>
          </cell>
          <cell r="B233" t="str">
            <v>LAKE WACCAMAW ABC BOARD</v>
          </cell>
          <cell r="C233">
            <v>1.9E-6</v>
          </cell>
          <cell r="D233"/>
          <cell r="E233">
            <v>950</v>
          </cell>
          <cell r="F233">
            <v>770</v>
          </cell>
          <cell r="G233">
            <v>565</v>
          </cell>
          <cell r="H233">
            <v>138</v>
          </cell>
          <cell r="I233">
            <v>0</v>
          </cell>
        </row>
        <row r="234">
          <cell r="A234">
            <v>92431</v>
          </cell>
          <cell r="B234" t="str">
            <v>TOWN OF FAIR BLUFF</v>
          </cell>
          <cell r="C234">
            <v>2.6999999999999999E-5</v>
          </cell>
          <cell r="D234"/>
          <cell r="E234">
            <v>5542</v>
          </cell>
          <cell r="F234">
            <v>5541</v>
          </cell>
          <cell r="G234">
            <v>1817</v>
          </cell>
          <cell r="H234">
            <v>1817</v>
          </cell>
          <cell r="I234">
            <v>0</v>
          </cell>
        </row>
        <row r="235">
          <cell r="A235">
            <v>92441</v>
          </cell>
          <cell r="B235" t="str">
            <v>TOWN OF CHADBOURN</v>
          </cell>
          <cell r="C235">
            <v>8.6500000000000002E-5</v>
          </cell>
          <cell r="D235"/>
          <cell r="E235">
            <v>3834</v>
          </cell>
          <cell r="F235">
            <v>3834</v>
          </cell>
          <cell r="G235">
            <v>3836</v>
          </cell>
          <cell r="H235">
            <v>0</v>
          </cell>
          <cell r="I235">
            <v>0</v>
          </cell>
        </row>
        <row r="236">
          <cell r="A236">
            <v>92444</v>
          </cell>
          <cell r="B236" t="str">
            <v>WEST COLUMBUS ABC BOARD</v>
          </cell>
          <cell r="C236">
            <v>5.1000000000000003E-6</v>
          </cell>
          <cell r="D236"/>
          <cell r="E236">
            <v>1932</v>
          </cell>
          <cell r="F236">
            <v>1703</v>
          </cell>
          <cell r="G236">
            <v>1482</v>
          </cell>
          <cell r="H236">
            <v>1029</v>
          </cell>
          <cell r="I236">
            <v>0</v>
          </cell>
        </row>
        <row r="237">
          <cell r="A237">
            <v>92451</v>
          </cell>
          <cell r="B237" t="str">
            <v>TOWN OF TABOR CITY</v>
          </cell>
          <cell r="C237">
            <v>1.143E-4</v>
          </cell>
          <cell r="D237"/>
          <cell r="E237">
            <v>11475</v>
          </cell>
          <cell r="F237">
            <v>6254</v>
          </cell>
          <cell r="G237">
            <v>5166</v>
          </cell>
          <cell r="H237">
            <v>2324</v>
          </cell>
          <cell r="I237">
            <v>0</v>
          </cell>
        </row>
        <row r="238">
          <cell r="A238">
            <v>92461</v>
          </cell>
          <cell r="B238" t="str">
            <v>TOWN OF LAKE WACCAMAW</v>
          </cell>
          <cell r="C238">
            <v>5.8400000000000003E-5</v>
          </cell>
          <cell r="D238"/>
          <cell r="E238">
            <v>5381</v>
          </cell>
          <cell r="F238">
            <v>3073</v>
          </cell>
          <cell r="G238">
            <v>1747</v>
          </cell>
          <cell r="H238">
            <v>382</v>
          </cell>
          <cell r="I238">
            <v>0</v>
          </cell>
        </row>
        <row r="239">
          <cell r="A239">
            <v>92501</v>
          </cell>
          <cell r="B239" t="str">
            <v>CRAVEN COUNTY</v>
          </cell>
          <cell r="C239">
            <v>3.7055999999999999E-3</v>
          </cell>
          <cell r="D239"/>
          <cell r="E239">
            <v>74813</v>
          </cell>
          <cell r="F239">
            <v>68339</v>
          </cell>
          <cell r="G239">
            <v>43781</v>
          </cell>
          <cell r="H239">
            <v>21413</v>
          </cell>
          <cell r="I239">
            <v>0</v>
          </cell>
        </row>
        <row r="240">
          <cell r="A240">
            <v>92502</v>
          </cell>
          <cell r="B240" t="str">
            <v>FIRST CRAVEN SANITARY DIST</v>
          </cell>
          <cell r="C240">
            <v>2.3600000000000001E-5</v>
          </cell>
          <cell r="D240"/>
          <cell r="E240">
            <v>1713</v>
          </cell>
          <cell r="F240">
            <v>635</v>
          </cell>
          <cell r="G240">
            <v>544</v>
          </cell>
          <cell r="H240">
            <v>337</v>
          </cell>
          <cell r="I240">
            <v>0</v>
          </cell>
        </row>
        <row r="241">
          <cell r="A241">
            <v>92504</v>
          </cell>
          <cell r="B241" t="str">
            <v>CRAVEN CO ABC BD</v>
          </cell>
          <cell r="C241">
            <v>7.6299999999999998E-5</v>
          </cell>
          <cell r="D241"/>
          <cell r="E241">
            <v>9513</v>
          </cell>
          <cell r="F241">
            <v>8049</v>
          </cell>
          <cell r="G241">
            <v>3929</v>
          </cell>
          <cell r="H241">
            <v>2508</v>
          </cell>
          <cell r="I241">
            <v>0</v>
          </cell>
        </row>
        <row r="242">
          <cell r="A242">
            <v>92505</v>
          </cell>
          <cell r="B242" t="str">
            <v>CRAVEN-PAMLICO-CARTERET REGIONAL LIBRARY</v>
          </cell>
          <cell r="C242">
            <v>1.7090000000000001E-4</v>
          </cell>
          <cell r="D242"/>
          <cell r="E242">
            <v>23527</v>
          </cell>
          <cell r="F242">
            <v>19448</v>
          </cell>
          <cell r="G242">
            <v>12399</v>
          </cell>
          <cell r="H242">
            <v>6398</v>
          </cell>
          <cell r="I242">
            <v>0</v>
          </cell>
        </row>
        <row r="243">
          <cell r="A243">
            <v>92506</v>
          </cell>
          <cell r="B243" t="str">
            <v>COASTAL CAROLINA REGIONAL AIRPORT</v>
          </cell>
          <cell r="C243">
            <v>5.38E-5</v>
          </cell>
          <cell r="D243"/>
          <cell r="E243">
            <v>6483</v>
          </cell>
          <cell r="F243">
            <v>4914</v>
          </cell>
          <cell r="G243">
            <v>3323</v>
          </cell>
          <cell r="H243">
            <v>0</v>
          </cell>
          <cell r="I243">
            <v>0</v>
          </cell>
        </row>
        <row r="244">
          <cell r="A244">
            <v>92507</v>
          </cell>
          <cell r="B244" t="str">
            <v>NEUSE RIVER COUNCIL OF GOVERNMENTS</v>
          </cell>
          <cell r="C244">
            <v>1.01E-4</v>
          </cell>
          <cell r="D244"/>
          <cell r="E244">
            <v>2987</v>
          </cell>
          <cell r="F244">
            <v>2988</v>
          </cell>
          <cell r="G244">
            <v>456</v>
          </cell>
          <cell r="H244">
            <v>456</v>
          </cell>
          <cell r="I244">
            <v>0</v>
          </cell>
        </row>
        <row r="245">
          <cell r="A245">
            <v>92508</v>
          </cell>
          <cell r="B245" t="str">
            <v>COASTAL REGIONAL SOLID WASTE MNGT AUTH</v>
          </cell>
          <cell r="C245">
            <v>3.102E-4</v>
          </cell>
          <cell r="D245"/>
          <cell r="E245">
            <v>9256</v>
          </cell>
          <cell r="F245">
            <v>9257</v>
          </cell>
          <cell r="G245">
            <v>8875</v>
          </cell>
          <cell r="H245">
            <v>7447</v>
          </cell>
          <cell r="I245">
            <v>0</v>
          </cell>
        </row>
        <row r="246">
          <cell r="A246">
            <v>92509</v>
          </cell>
          <cell r="B246" t="str">
            <v>EAST CAROLINA BEHAVORIAL HEALTHCARE</v>
          </cell>
          <cell r="C246">
            <v>0</v>
          </cell>
          <cell r="D246"/>
          <cell r="E246">
            <v>0</v>
          </cell>
          <cell r="F246">
            <v>0</v>
          </cell>
          <cell r="G246">
            <v>0</v>
          </cell>
          <cell r="H246">
            <v>0</v>
          </cell>
          <cell r="I246">
            <v>0</v>
          </cell>
        </row>
        <row r="247">
          <cell r="A247">
            <v>92511</v>
          </cell>
          <cell r="B247" t="str">
            <v>CITY OF NEW BERN</v>
          </cell>
          <cell r="C247">
            <v>3.5699999999999998E-3</v>
          </cell>
          <cell r="D247"/>
          <cell r="E247">
            <v>46377</v>
          </cell>
          <cell r="F247">
            <v>46377</v>
          </cell>
          <cell r="G247">
            <v>46377</v>
          </cell>
          <cell r="H247">
            <v>43432</v>
          </cell>
          <cell r="I247">
            <v>0</v>
          </cell>
        </row>
        <row r="248">
          <cell r="A248">
            <v>92513</v>
          </cell>
          <cell r="B248" t="str">
            <v>TRILLIUM HEALTH RESOURCES</v>
          </cell>
          <cell r="C248">
            <v>3.9484999999999998E-3</v>
          </cell>
          <cell r="D248"/>
          <cell r="E248">
            <v>445498</v>
          </cell>
          <cell r="F248">
            <v>0</v>
          </cell>
          <cell r="G248">
            <v>0</v>
          </cell>
          <cell r="H248">
            <v>0</v>
          </cell>
          <cell r="I248">
            <v>0</v>
          </cell>
        </row>
        <row r="249">
          <cell r="A249">
            <v>92521</v>
          </cell>
          <cell r="B249" t="str">
            <v>TOWN OF TRENT WOODS</v>
          </cell>
          <cell r="C249">
            <v>7.7399999999999998E-5</v>
          </cell>
          <cell r="D249"/>
          <cell r="E249">
            <v>0</v>
          </cell>
          <cell r="F249">
            <v>0</v>
          </cell>
          <cell r="G249">
            <v>0</v>
          </cell>
          <cell r="H249">
            <v>0</v>
          </cell>
          <cell r="I249">
            <v>0</v>
          </cell>
        </row>
        <row r="250">
          <cell r="A250">
            <v>92531</v>
          </cell>
          <cell r="B250" t="str">
            <v>CITY OF HAVELOCK</v>
          </cell>
          <cell r="C250">
            <v>8.2580000000000001E-4</v>
          </cell>
          <cell r="D250"/>
          <cell r="E250">
            <v>0</v>
          </cell>
          <cell r="F250">
            <v>0</v>
          </cell>
          <cell r="G250">
            <v>0</v>
          </cell>
          <cell r="H250">
            <v>0</v>
          </cell>
          <cell r="I250">
            <v>0</v>
          </cell>
        </row>
        <row r="251">
          <cell r="A251">
            <v>92541</v>
          </cell>
          <cell r="B251" t="str">
            <v>TOWN OF RIVER BEND</v>
          </cell>
          <cell r="C251">
            <v>1.3740000000000001E-4</v>
          </cell>
          <cell r="D251"/>
          <cell r="E251">
            <v>3909</v>
          </cell>
          <cell r="F251">
            <v>2641</v>
          </cell>
          <cell r="G251">
            <v>2641</v>
          </cell>
          <cell r="H251">
            <v>2641</v>
          </cell>
          <cell r="I251">
            <v>0</v>
          </cell>
        </row>
        <row r="252">
          <cell r="A252">
            <v>92551</v>
          </cell>
          <cell r="B252" t="str">
            <v>TOWN OF VANCEBORO</v>
          </cell>
          <cell r="C252">
            <v>5.7099999999999999E-5</v>
          </cell>
          <cell r="D252"/>
          <cell r="E252">
            <v>2834</v>
          </cell>
          <cell r="F252">
            <v>2835</v>
          </cell>
          <cell r="G252">
            <v>1802</v>
          </cell>
          <cell r="H252">
            <v>1803</v>
          </cell>
          <cell r="I252">
            <v>0</v>
          </cell>
        </row>
        <row r="253">
          <cell r="A253">
            <v>92561</v>
          </cell>
          <cell r="B253" t="str">
            <v>TOWN OF BRIDGETON</v>
          </cell>
          <cell r="C253">
            <v>1.7900000000000001E-5</v>
          </cell>
          <cell r="D253"/>
          <cell r="E253">
            <v>930</v>
          </cell>
          <cell r="F253">
            <v>189</v>
          </cell>
          <cell r="G253">
            <v>0</v>
          </cell>
          <cell r="H253">
            <v>0</v>
          </cell>
          <cell r="I253">
            <v>0</v>
          </cell>
        </row>
        <row r="254">
          <cell r="A254">
            <v>92571</v>
          </cell>
          <cell r="B254" t="str">
            <v>TOWN OF COVE CITY</v>
          </cell>
          <cell r="C254">
            <v>8.1999999999999994E-6</v>
          </cell>
          <cell r="D254"/>
          <cell r="E254">
            <v>2631</v>
          </cell>
          <cell r="F254">
            <v>1863</v>
          </cell>
          <cell r="G254">
            <v>319</v>
          </cell>
          <cell r="H254">
            <v>51</v>
          </cell>
          <cell r="I254">
            <v>0</v>
          </cell>
        </row>
        <row r="255">
          <cell r="A255">
            <v>92601</v>
          </cell>
          <cell r="B255" t="str">
            <v>CUMBERLAND COUNTY</v>
          </cell>
          <cell r="C255">
            <v>1.32598E-2</v>
          </cell>
          <cell r="D255"/>
          <cell r="E255">
            <v>4255</v>
          </cell>
          <cell r="F255">
            <v>0</v>
          </cell>
          <cell r="G255">
            <v>0</v>
          </cell>
          <cell r="H255">
            <v>0</v>
          </cell>
          <cell r="I255">
            <v>0</v>
          </cell>
        </row>
        <row r="256">
          <cell r="A256">
            <v>92602</v>
          </cell>
          <cell r="B256" t="str">
            <v>WESTAREA VOLUNTEER FIRE DEPT</v>
          </cell>
          <cell r="C256">
            <v>4.8999999999999997E-6</v>
          </cell>
          <cell r="D256"/>
          <cell r="E256">
            <v>0</v>
          </cell>
          <cell r="F256">
            <v>0</v>
          </cell>
          <cell r="G256">
            <v>0</v>
          </cell>
          <cell r="H256">
            <v>0</v>
          </cell>
          <cell r="I256">
            <v>0</v>
          </cell>
        </row>
        <row r="257">
          <cell r="A257">
            <v>92604</v>
          </cell>
          <cell r="B257" t="str">
            <v>CUMBERLAND CO ABC BOARD</v>
          </cell>
          <cell r="C257">
            <v>3.501E-4</v>
          </cell>
          <cell r="D257"/>
          <cell r="E257">
            <v>24726</v>
          </cell>
          <cell r="F257">
            <v>17861</v>
          </cell>
          <cell r="G257">
            <v>13900</v>
          </cell>
          <cell r="H257">
            <v>8916</v>
          </cell>
          <cell r="I257">
            <v>0</v>
          </cell>
        </row>
        <row r="258">
          <cell r="A258">
            <v>92607</v>
          </cell>
          <cell r="B258" t="str">
            <v>MID-CAROLINA COUNCIL OF GOVERNMENTS</v>
          </cell>
          <cell r="C258">
            <v>5.6700000000000003E-5</v>
          </cell>
          <cell r="D258"/>
          <cell r="E258">
            <v>2679</v>
          </cell>
          <cell r="F258">
            <v>2181</v>
          </cell>
          <cell r="G258">
            <v>1260</v>
          </cell>
          <cell r="H258">
            <v>0</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0</v>
          </cell>
          <cell r="F260">
            <v>0</v>
          </cell>
          <cell r="G260">
            <v>0</v>
          </cell>
          <cell r="H260">
            <v>0</v>
          </cell>
          <cell r="I260">
            <v>0</v>
          </cell>
        </row>
        <row r="261">
          <cell r="A261">
            <v>92613</v>
          </cell>
          <cell r="B261" t="str">
            <v>FAYETTEVILLE METROPOLITAN HOUSING AUTH</v>
          </cell>
          <cell r="C261">
            <v>2.23E-4</v>
          </cell>
          <cell r="D261"/>
          <cell r="E261">
            <v>5636</v>
          </cell>
          <cell r="F261">
            <v>2493</v>
          </cell>
          <cell r="G261">
            <v>926</v>
          </cell>
          <cell r="H261">
            <v>926</v>
          </cell>
          <cell r="I261">
            <v>0</v>
          </cell>
        </row>
        <row r="262">
          <cell r="A262">
            <v>92614</v>
          </cell>
          <cell r="B262" t="str">
            <v>PUBLIC WORKS COMM CTY OF FAYETTEVILLE</v>
          </cell>
          <cell r="C262">
            <v>5.7201999999999999E-3</v>
          </cell>
          <cell r="D262"/>
          <cell r="E262">
            <v>1743845</v>
          </cell>
          <cell r="F262">
            <v>1377855</v>
          </cell>
          <cell r="G262">
            <v>932622</v>
          </cell>
          <cell r="H262">
            <v>517834</v>
          </cell>
          <cell r="I262">
            <v>0</v>
          </cell>
        </row>
        <row r="263">
          <cell r="A263">
            <v>92621</v>
          </cell>
          <cell r="B263" t="str">
            <v>TOWN OF STEDMAN</v>
          </cell>
          <cell r="C263">
            <v>2.8900000000000001E-5</v>
          </cell>
          <cell r="D263"/>
          <cell r="E263">
            <v>841</v>
          </cell>
          <cell r="F263">
            <v>841</v>
          </cell>
          <cell r="G263">
            <v>841</v>
          </cell>
          <cell r="H263">
            <v>843</v>
          </cell>
          <cell r="I263">
            <v>0</v>
          </cell>
        </row>
        <row r="264">
          <cell r="A264">
            <v>92631</v>
          </cell>
          <cell r="B264" t="str">
            <v>TOWN OF HOPE MILLS</v>
          </cell>
          <cell r="C264">
            <v>9.3329999999999997E-4</v>
          </cell>
          <cell r="D264"/>
          <cell r="E264">
            <v>0</v>
          </cell>
          <cell r="F264">
            <v>0</v>
          </cell>
          <cell r="G264">
            <v>0</v>
          </cell>
          <cell r="H264">
            <v>0</v>
          </cell>
          <cell r="I264">
            <v>0</v>
          </cell>
        </row>
        <row r="265">
          <cell r="A265">
            <v>92641</v>
          </cell>
          <cell r="B265" t="str">
            <v>TOWN OF WADE</v>
          </cell>
          <cell r="C265">
            <v>1.11E-5</v>
          </cell>
          <cell r="D265"/>
          <cell r="E265">
            <v>1360</v>
          </cell>
          <cell r="F265">
            <v>1285</v>
          </cell>
          <cell r="G265">
            <v>1094</v>
          </cell>
          <cell r="H265">
            <v>738</v>
          </cell>
          <cell r="I265">
            <v>0</v>
          </cell>
        </row>
        <row r="266">
          <cell r="A266">
            <v>92651</v>
          </cell>
          <cell r="B266" t="str">
            <v>TOWN OF LINDEN</v>
          </cell>
          <cell r="C266">
            <v>4.3000000000000003E-6</v>
          </cell>
          <cell r="D266"/>
          <cell r="E266">
            <v>1170</v>
          </cell>
          <cell r="F266">
            <v>858</v>
          </cell>
          <cell r="G266">
            <v>467</v>
          </cell>
          <cell r="H266">
            <v>65</v>
          </cell>
          <cell r="I266">
            <v>0</v>
          </cell>
        </row>
        <row r="267">
          <cell r="A267">
            <v>92661</v>
          </cell>
          <cell r="B267" t="str">
            <v>TOWN OF SPRING LAKE</v>
          </cell>
          <cell r="C267">
            <v>6.2509999999999996E-4</v>
          </cell>
          <cell r="D267"/>
          <cell r="E267">
            <v>181165</v>
          </cell>
          <cell r="F267">
            <v>141856</v>
          </cell>
          <cell r="G267">
            <v>81694</v>
          </cell>
          <cell r="H267">
            <v>46289</v>
          </cell>
          <cell r="I267">
            <v>0</v>
          </cell>
        </row>
        <row r="268">
          <cell r="A268">
            <v>92671</v>
          </cell>
          <cell r="B268" t="str">
            <v>TOWN OF FALCON</v>
          </cell>
          <cell r="C268">
            <v>2.0999999999999998E-6</v>
          </cell>
          <cell r="D268"/>
          <cell r="E268">
            <v>2968</v>
          </cell>
          <cell r="F268">
            <v>2407</v>
          </cell>
          <cell r="G268">
            <v>1640</v>
          </cell>
          <cell r="H268">
            <v>826</v>
          </cell>
          <cell r="I268">
            <v>0</v>
          </cell>
        </row>
        <row r="269">
          <cell r="A269">
            <v>92681</v>
          </cell>
          <cell r="B269" t="str">
            <v>TOWN OF EASTOVER</v>
          </cell>
          <cell r="C269">
            <v>1.1800000000000001E-5</v>
          </cell>
          <cell r="D269"/>
          <cell r="E269">
            <v>4900</v>
          </cell>
          <cell r="F269">
            <v>3368</v>
          </cell>
          <cell r="G269">
            <v>1856</v>
          </cell>
          <cell r="H269">
            <v>563</v>
          </cell>
          <cell r="I269">
            <v>0</v>
          </cell>
        </row>
        <row r="270">
          <cell r="A270">
            <v>92701</v>
          </cell>
          <cell r="B270" t="str">
            <v>CURRITUCK COUNTY</v>
          </cell>
          <cell r="C270">
            <v>3.0688999999999998E-3</v>
          </cell>
          <cell r="D270"/>
          <cell r="E270">
            <v>38161</v>
          </cell>
          <cell r="F270">
            <v>34334</v>
          </cell>
          <cell r="G270">
            <v>25269</v>
          </cell>
          <cell r="H270">
            <v>25271</v>
          </cell>
          <cell r="I270">
            <v>0</v>
          </cell>
        </row>
        <row r="271">
          <cell r="A271">
            <v>92704</v>
          </cell>
          <cell r="B271" t="str">
            <v>CURRITUCK CO ABC BOARD</v>
          </cell>
          <cell r="C271">
            <v>3.6900000000000002E-5</v>
          </cell>
          <cell r="D271"/>
          <cell r="E271">
            <v>0</v>
          </cell>
          <cell r="F271">
            <v>0</v>
          </cell>
          <cell r="G271">
            <v>0</v>
          </cell>
          <cell r="H271">
            <v>0</v>
          </cell>
          <cell r="I271">
            <v>0</v>
          </cell>
        </row>
        <row r="272">
          <cell r="A272">
            <v>92801</v>
          </cell>
          <cell r="B272" t="str">
            <v>DARE COUNTY</v>
          </cell>
          <cell r="C272">
            <v>5.4352999999999997E-3</v>
          </cell>
          <cell r="D272"/>
          <cell r="E272">
            <v>111775</v>
          </cell>
          <cell r="F272">
            <v>102679</v>
          </cell>
          <cell r="G272">
            <v>99661</v>
          </cell>
          <cell r="H272">
            <v>58088</v>
          </cell>
          <cell r="I272">
            <v>0</v>
          </cell>
        </row>
        <row r="273">
          <cell r="A273">
            <v>92802</v>
          </cell>
          <cell r="B273" t="str">
            <v>DARE COUNTY TOURISM BOARD</v>
          </cell>
          <cell r="C273">
            <v>1.198E-4</v>
          </cell>
          <cell r="D273"/>
          <cell r="E273">
            <v>0</v>
          </cell>
          <cell r="F273">
            <v>0</v>
          </cell>
          <cell r="G273">
            <v>0</v>
          </cell>
          <cell r="H273">
            <v>0</v>
          </cell>
          <cell r="I273">
            <v>0</v>
          </cell>
        </row>
        <row r="274">
          <cell r="A274">
            <v>92804</v>
          </cell>
          <cell r="B274" t="str">
            <v>DARE COUNTY ABC BOARD</v>
          </cell>
          <cell r="C274">
            <v>1.427E-4</v>
          </cell>
          <cell r="D274"/>
          <cell r="E274">
            <v>2412</v>
          </cell>
          <cell r="F274">
            <v>1125</v>
          </cell>
          <cell r="G274">
            <v>1126</v>
          </cell>
          <cell r="H274">
            <v>0</v>
          </cell>
          <cell r="I274">
            <v>0</v>
          </cell>
        </row>
        <row r="275">
          <cell r="A275">
            <v>92811</v>
          </cell>
          <cell r="B275" t="str">
            <v>TOWN OF NAGS HEAD</v>
          </cell>
          <cell r="C275">
            <v>9.1160000000000004E-4</v>
          </cell>
          <cell r="D275"/>
          <cell r="E275">
            <v>0</v>
          </cell>
          <cell r="F275">
            <v>0</v>
          </cell>
          <cell r="G275">
            <v>0</v>
          </cell>
          <cell r="H275">
            <v>0</v>
          </cell>
          <cell r="I275">
            <v>0</v>
          </cell>
        </row>
        <row r="276">
          <cell r="A276">
            <v>92821</v>
          </cell>
          <cell r="B276" t="str">
            <v>TOWN OF KILL DEVIL HILLS</v>
          </cell>
          <cell r="C276">
            <v>9.8409999999999991E-4</v>
          </cell>
          <cell r="D276"/>
          <cell r="E276">
            <v>9426</v>
          </cell>
          <cell r="F276">
            <v>6236</v>
          </cell>
          <cell r="G276">
            <v>4644</v>
          </cell>
          <cell r="H276">
            <v>1072</v>
          </cell>
          <cell r="I276">
            <v>0</v>
          </cell>
        </row>
        <row r="277">
          <cell r="A277">
            <v>92831</v>
          </cell>
          <cell r="B277" t="str">
            <v>TOWN OF MANTEO</v>
          </cell>
          <cell r="C277">
            <v>2.5230000000000001E-4</v>
          </cell>
          <cell r="D277"/>
          <cell r="E277">
            <v>16657</v>
          </cell>
          <cell r="F277">
            <v>13101</v>
          </cell>
          <cell r="G277">
            <v>13103</v>
          </cell>
          <cell r="H277">
            <v>6232</v>
          </cell>
          <cell r="I277">
            <v>0</v>
          </cell>
        </row>
        <row r="278">
          <cell r="A278">
            <v>92841</v>
          </cell>
          <cell r="B278" t="str">
            <v>TOWN OF SOUTHERN SHORES</v>
          </cell>
          <cell r="C278">
            <v>2.4340000000000001E-4</v>
          </cell>
          <cell r="D278"/>
          <cell r="E278">
            <v>0</v>
          </cell>
          <cell r="F278">
            <v>0</v>
          </cell>
          <cell r="G278">
            <v>0</v>
          </cell>
          <cell r="H278">
            <v>0</v>
          </cell>
          <cell r="I278">
            <v>0</v>
          </cell>
        </row>
        <row r="279">
          <cell r="A279">
            <v>92851</v>
          </cell>
          <cell r="B279" t="str">
            <v>TOWN OF KITTY HAWK</v>
          </cell>
          <cell r="C279">
            <v>4.2850000000000001E-4</v>
          </cell>
          <cell r="D279"/>
          <cell r="E279">
            <v>0</v>
          </cell>
          <cell r="F279">
            <v>0</v>
          </cell>
          <cell r="G279">
            <v>0</v>
          </cell>
          <cell r="H279">
            <v>0</v>
          </cell>
          <cell r="I279">
            <v>0</v>
          </cell>
        </row>
        <row r="280">
          <cell r="A280">
            <v>92861</v>
          </cell>
          <cell r="B280" t="str">
            <v>TOWN OF DUCK</v>
          </cell>
          <cell r="C280">
            <v>3.6309999999999999E-4</v>
          </cell>
          <cell r="D280"/>
          <cell r="E280">
            <v>0</v>
          </cell>
          <cell r="F280">
            <v>0</v>
          </cell>
          <cell r="G280">
            <v>0</v>
          </cell>
          <cell r="H280">
            <v>0</v>
          </cell>
          <cell r="I280">
            <v>0</v>
          </cell>
        </row>
        <row r="281">
          <cell r="A281">
            <v>92901</v>
          </cell>
          <cell r="B281" t="str">
            <v>DAVIDSON COUNTY</v>
          </cell>
          <cell r="C281">
            <v>5.4326000000000001E-3</v>
          </cell>
          <cell r="D281"/>
          <cell r="E281">
            <v>9740</v>
          </cell>
          <cell r="F281">
            <v>9740</v>
          </cell>
          <cell r="G281">
            <v>9740</v>
          </cell>
          <cell r="H281">
            <v>9740</v>
          </cell>
          <cell r="I281">
            <v>0</v>
          </cell>
        </row>
        <row r="282">
          <cell r="A282">
            <v>92911</v>
          </cell>
          <cell r="B282" t="str">
            <v>CITY OF THOMASVILLE</v>
          </cell>
          <cell r="C282">
            <v>1.9161E-3</v>
          </cell>
          <cell r="D282"/>
          <cell r="E282">
            <v>19496</v>
          </cell>
          <cell r="F282">
            <v>19494</v>
          </cell>
          <cell r="G282">
            <v>12384</v>
          </cell>
          <cell r="H282">
            <v>7941</v>
          </cell>
          <cell r="I282">
            <v>0</v>
          </cell>
        </row>
        <row r="283">
          <cell r="A283">
            <v>92913</v>
          </cell>
          <cell r="B283" t="str">
            <v>THOMASVILLE HOUSING AUTHORITY</v>
          </cell>
          <cell r="C283">
            <v>2.0400000000000001E-5</v>
          </cell>
          <cell r="D283"/>
          <cell r="E283">
            <v>36438</v>
          </cell>
          <cell r="F283">
            <v>28924</v>
          </cell>
          <cell r="G283">
            <v>19679</v>
          </cell>
          <cell r="H283">
            <v>10474</v>
          </cell>
          <cell r="I283">
            <v>0</v>
          </cell>
        </row>
        <row r="284">
          <cell r="A284">
            <v>92914</v>
          </cell>
          <cell r="B284" t="str">
            <v>THOMASVILLE ABC BOARD</v>
          </cell>
          <cell r="C284">
            <v>2.55E-5</v>
          </cell>
          <cell r="D284"/>
          <cell r="E284">
            <v>4699</v>
          </cell>
          <cell r="F284">
            <v>4700</v>
          </cell>
          <cell r="G284">
            <v>406</v>
          </cell>
          <cell r="H284">
            <v>406</v>
          </cell>
          <cell r="I284">
            <v>0</v>
          </cell>
        </row>
        <row r="285">
          <cell r="A285">
            <v>92917</v>
          </cell>
          <cell r="B285" t="str">
            <v>LEXINGTON ABC BOARD</v>
          </cell>
          <cell r="C285">
            <v>1.9199999999999999E-5</v>
          </cell>
          <cell r="D285"/>
          <cell r="E285">
            <v>6061</v>
          </cell>
          <cell r="F285">
            <v>4683</v>
          </cell>
          <cell r="G285">
            <v>3699</v>
          </cell>
          <cell r="H285">
            <v>1823</v>
          </cell>
          <cell r="I285">
            <v>0</v>
          </cell>
        </row>
        <row r="286">
          <cell r="A286">
            <v>92921</v>
          </cell>
          <cell r="B286" t="str">
            <v>TOWN OF DENTON</v>
          </cell>
          <cell r="C286">
            <v>9.6600000000000003E-5</v>
          </cell>
          <cell r="D286"/>
          <cell r="E286">
            <v>9394</v>
          </cell>
          <cell r="F286">
            <v>9394</v>
          </cell>
          <cell r="G286">
            <v>6081</v>
          </cell>
          <cell r="H286">
            <v>2405</v>
          </cell>
          <cell r="I286">
            <v>0</v>
          </cell>
        </row>
        <row r="287">
          <cell r="A287">
            <v>92931</v>
          </cell>
          <cell r="B287" t="str">
            <v>CITY OF LEXINGTON</v>
          </cell>
          <cell r="C287">
            <v>2.2504999999999999E-3</v>
          </cell>
          <cell r="D287"/>
          <cell r="E287">
            <v>7052</v>
          </cell>
          <cell r="F287">
            <v>7052</v>
          </cell>
          <cell r="G287">
            <v>7050</v>
          </cell>
          <cell r="H287">
            <v>0</v>
          </cell>
          <cell r="I287">
            <v>0</v>
          </cell>
        </row>
        <row r="288">
          <cell r="A288">
            <v>92941</v>
          </cell>
          <cell r="B288" t="str">
            <v>TOWN OF MIDWAY</v>
          </cell>
          <cell r="C288">
            <v>4.1999999999999996E-6</v>
          </cell>
          <cell r="D288"/>
          <cell r="E288">
            <v>493</v>
          </cell>
          <cell r="F288">
            <v>269</v>
          </cell>
          <cell r="G288">
            <v>269</v>
          </cell>
          <cell r="H288">
            <v>268</v>
          </cell>
          <cell r="I288">
            <v>0</v>
          </cell>
        </row>
        <row r="289">
          <cell r="A289">
            <v>93001</v>
          </cell>
          <cell r="B289" t="str">
            <v>DAVIE COUNTY</v>
          </cell>
          <cell r="C289">
            <v>2.2536000000000001E-3</v>
          </cell>
          <cell r="D289"/>
          <cell r="E289">
            <v>2689</v>
          </cell>
          <cell r="F289">
            <v>2689</v>
          </cell>
          <cell r="G289">
            <v>2690</v>
          </cell>
          <cell r="H289">
            <v>0</v>
          </cell>
          <cell r="I289">
            <v>0</v>
          </cell>
        </row>
        <row r="290">
          <cell r="A290">
            <v>93009</v>
          </cell>
          <cell r="B290" t="str">
            <v>DAVIE SOIL AND WATER CONSERVATION DIST</v>
          </cell>
          <cell r="C290">
            <v>1.2799999999999999E-5</v>
          </cell>
          <cell r="D290"/>
          <cell r="E290">
            <v>0</v>
          </cell>
          <cell r="F290">
            <v>0</v>
          </cell>
          <cell r="G290">
            <v>0</v>
          </cell>
          <cell r="H290">
            <v>0</v>
          </cell>
          <cell r="I290">
            <v>0</v>
          </cell>
        </row>
        <row r="291">
          <cell r="A291">
            <v>93011</v>
          </cell>
          <cell r="B291" t="str">
            <v>TOWN OF MOCKSVILLE</v>
          </cell>
          <cell r="C291">
            <v>3.0909999999999998E-4</v>
          </cell>
          <cell r="D291"/>
          <cell r="E291">
            <v>19395</v>
          </cell>
          <cell r="F291">
            <v>19395</v>
          </cell>
          <cell r="G291">
            <v>19395</v>
          </cell>
          <cell r="H291">
            <v>6655</v>
          </cell>
          <cell r="I291">
            <v>0</v>
          </cell>
        </row>
        <row r="292">
          <cell r="A292">
            <v>93021</v>
          </cell>
          <cell r="B292" t="str">
            <v>TOWN OF BERMUDA RUN</v>
          </cell>
          <cell r="C292">
            <v>3.0499999999999999E-5</v>
          </cell>
          <cell r="D292"/>
          <cell r="E292">
            <v>347</v>
          </cell>
          <cell r="F292">
            <v>347</v>
          </cell>
          <cell r="G292">
            <v>0</v>
          </cell>
          <cell r="H292">
            <v>0</v>
          </cell>
          <cell r="I292">
            <v>0</v>
          </cell>
        </row>
        <row r="293">
          <cell r="A293">
            <v>93027</v>
          </cell>
          <cell r="B293" t="str">
            <v>COOLEEMEE ABC BOARD</v>
          </cell>
          <cell r="C293">
            <v>0</v>
          </cell>
          <cell r="D293"/>
          <cell r="E293">
            <v>322</v>
          </cell>
          <cell r="F293">
            <v>119</v>
          </cell>
          <cell r="G293">
            <v>0</v>
          </cell>
          <cell r="H293">
            <v>0</v>
          </cell>
          <cell r="I293">
            <v>0</v>
          </cell>
        </row>
        <row r="294">
          <cell r="A294">
            <v>93028</v>
          </cell>
          <cell r="B294" t="str">
            <v>MOCKSVILLE-COOLEEMEE ABC BOARD</v>
          </cell>
          <cell r="C294">
            <v>0</v>
          </cell>
          <cell r="D294"/>
          <cell r="E294">
            <v>924</v>
          </cell>
          <cell r="F294">
            <v>924</v>
          </cell>
          <cell r="G294">
            <v>924</v>
          </cell>
          <cell r="H294">
            <v>924</v>
          </cell>
          <cell r="I294">
            <v>0</v>
          </cell>
        </row>
        <row r="295">
          <cell r="A295">
            <v>93031</v>
          </cell>
          <cell r="B295" t="str">
            <v>TOWN OF COOLEEMEE</v>
          </cell>
          <cell r="C295">
            <v>7.7000000000000008E-6</v>
          </cell>
          <cell r="D295"/>
          <cell r="E295">
            <v>7094</v>
          </cell>
          <cell r="F295">
            <v>4191</v>
          </cell>
          <cell r="G295">
            <v>2222</v>
          </cell>
          <cell r="H295">
            <v>339</v>
          </cell>
          <cell r="I295">
            <v>0</v>
          </cell>
        </row>
        <row r="296">
          <cell r="A296">
            <v>93101</v>
          </cell>
          <cell r="B296" t="str">
            <v>DUPLIN COUNTY</v>
          </cell>
          <cell r="C296">
            <v>3.1914999999999999E-3</v>
          </cell>
          <cell r="D296"/>
          <cell r="E296">
            <v>9298</v>
          </cell>
          <cell r="F296">
            <v>0</v>
          </cell>
          <cell r="G296">
            <v>0</v>
          </cell>
          <cell r="H296">
            <v>0</v>
          </cell>
          <cell r="I296">
            <v>0</v>
          </cell>
        </row>
        <row r="297">
          <cell r="A297">
            <v>93103</v>
          </cell>
          <cell r="B297" t="str">
            <v>DUPLIN COUNTY TOURISM DEVELOPMENT AUTHORITY</v>
          </cell>
          <cell r="C297">
            <v>1.56E-5</v>
          </cell>
          <cell r="D297"/>
          <cell r="E297">
            <v>1741</v>
          </cell>
          <cell r="F297">
            <v>0</v>
          </cell>
          <cell r="G297">
            <v>0</v>
          </cell>
          <cell r="H297">
            <v>0</v>
          </cell>
          <cell r="I297">
            <v>0</v>
          </cell>
        </row>
        <row r="298">
          <cell r="A298">
            <v>93108</v>
          </cell>
          <cell r="B298" t="str">
            <v>EASTPOINTE HUMAN SERVICES</v>
          </cell>
          <cell r="C298">
            <v>2.2694E-3</v>
          </cell>
          <cell r="D298"/>
          <cell r="E298">
            <v>23980</v>
          </cell>
          <cell r="F298">
            <v>9518</v>
          </cell>
          <cell r="G298">
            <v>0</v>
          </cell>
          <cell r="H298">
            <v>0</v>
          </cell>
          <cell r="I298">
            <v>0</v>
          </cell>
        </row>
        <row r="299">
          <cell r="A299">
            <v>93111</v>
          </cell>
          <cell r="B299" t="str">
            <v>TOWN OF BEULAVILLE</v>
          </cell>
          <cell r="C299">
            <v>5.8199999999999998E-5</v>
          </cell>
          <cell r="D299"/>
          <cell r="E299">
            <v>152</v>
          </cell>
          <cell r="F299">
            <v>152</v>
          </cell>
          <cell r="G299">
            <v>153</v>
          </cell>
          <cell r="H299">
            <v>0</v>
          </cell>
          <cell r="I299">
            <v>0</v>
          </cell>
        </row>
        <row r="300">
          <cell r="A300">
            <v>93121</v>
          </cell>
          <cell r="B300" t="str">
            <v>TOWN OF KENANSVILLE</v>
          </cell>
          <cell r="C300">
            <v>6.2199999999999994E-5</v>
          </cell>
          <cell r="D300"/>
          <cell r="E300">
            <v>2707</v>
          </cell>
          <cell r="F300">
            <v>2706</v>
          </cell>
          <cell r="G300">
            <v>2196</v>
          </cell>
          <cell r="H300">
            <v>2195</v>
          </cell>
          <cell r="I300">
            <v>0</v>
          </cell>
        </row>
        <row r="301">
          <cell r="A301">
            <v>93127</v>
          </cell>
          <cell r="B301" t="str">
            <v>KENANSVILLE ABC BOARD</v>
          </cell>
          <cell r="C301">
            <v>5.9000000000000003E-6</v>
          </cell>
          <cell r="D301"/>
          <cell r="E301">
            <v>31</v>
          </cell>
          <cell r="F301">
            <v>31</v>
          </cell>
          <cell r="G301">
            <v>0</v>
          </cell>
          <cell r="H301">
            <v>0</v>
          </cell>
          <cell r="I301">
            <v>0</v>
          </cell>
        </row>
        <row r="302">
          <cell r="A302">
            <v>93131</v>
          </cell>
          <cell r="B302" t="str">
            <v>TOWN OF WARSAW</v>
          </cell>
          <cell r="C302">
            <v>1.7799999999999999E-4</v>
          </cell>
          <cell r="D302"/>
          <cell r="E302">
            <v>0</v>
          </cell>
          <cell r="F302">
            <v>0</v>
          </cell>
          <cell r="G302">
            <v>0</v>
          </cell>
          <cell r="H302">
            <v>0</v>
          </cell>
          <cell r="I302">
            <v>0</v>
          </cell>
        </row>
        <row r="303">
          <cell r="A303">
            <v>93137</v>
          </cell>
          <cell r="B303" t="str">
            <v>WARSAW ABC BOARD</v>
          </cell>
          <cell r="C303">
            <v>4.7999999999999998E-6</v>
          </cell>
          <cell r="D303"/>
          <cell r="E303">
            <v>1153</v>
          </cell>
          <cell r="F303">
            <v>961</v>
          </cell>
          <cell r="G303">
            <v>525</v>
          </cell>
          <cell r="H303">
            <v>135</v>
          </cell>
          <cell r="I303">
            <v>0</v>
          </cell>
        </row>
        <row r="304">
          <cell r="A304">
            <v>93141</v>
          </cell>
          <cell r="B304" t="str">
            <v>TOWN OF FAISON</v>
          </cell>
          <cell r="C304">
            <v>3.2499999999999997E-5</v>
          </cell>
          <cell r="D304"/>
          <cell r="E304">
            <v>342</v>
          </cell>
          <cell r="F304">
            <v>342</v>
          </cell>
          <cell r="G304">
            <v>342</v>
          </cell>
          <cell r="H304">
            <v>340</v>
          </cell>
          <cell r="I304">
            <v>0</v>
          </cell>
        </row>
        <row r="305">
          <cell r="A305">
            <v>93151</v>
          </cell>
          <cell r="B305" t="str">
            <v>TOWN OF WALLACE</v>
          </cell>
          <cell r="C305">
            <v>3.7100000000000002E-4</v>
          </cell>
          <cell r="D305"/>
          <cell r="E305">
            <v>4505</v>
          </cell>
          <cell r="F305">
            <v>4505</v>
          </cell>
          <cell r="G305">
            <v>4505</v>
          </cell>
          <cell r="H305">
            <v>4507</v>
          </cell>
          <cell r="I305">
            <v>0</v>
          </cell>
        </row>
        <row r="306">
          <cell r="A306">
            <v>93157</v>
          </cell>
          <cell r="B306" t="str">
            <v>WALLACE ABC BD</v>
          </cell>
          <cell r="C306">
            <v>7.9000000000000006E-6</v>
          </cell>
          <cell r="D306"/>
          <cell r="E306">
            <v>3986</v>
          </cell>
          <cell r="F306">
            <v>3320</v>
          </cell>
          <cell r="G306">
            <v>2477</v>
          </cell>
          <cell r="H306">
            <v>1473</v>
          </cell>
          <cell r="I306">
            <v>0</v>
          </cell>
        </row>
        <row r="307">
          <cell r="A307">
            <v>93161</v>
          </cell>
          <cell r="B307" t="str">
            <v>TOWN OF ROSE HILL</v>
          </cell>
          <cell r="C307">
            <v>1.2180000000000001E-4</v>
          </cell>
          <cell r="D307"/>
          <cell r="E307">
            <v>9440</v>
          </cell>
          <cell r="F307">
            <v>8729</v>
          </cell>
          <cell r="G307">
            <v>1747</v>
          </cell>
          <cell r="H307">
            <v>1010</v>
          </cell>
          <cell r="I307">
            <v>0</v>
          </cell>
        </row>
        <row r="308">
          <cell r="A308">
            <v>93171</v>
          </cell>
          <cell r="B308" t="str">
            <v>TOWN OF CALYPSO</v>
          </cell>
          <cell r="C308">
            <v>5.3000000000000001E-6</v>
          </cell>
          <cell r="D308"/>
          <cell r="E308">
            <v>1409</v>
          </cell>
          <cell r="F308">
            <v>1202</v>
          </cell>
          <cell r="G308">
            <v>1003</v>
          </cell>
          <cell r="H308">
            <v>1003</v>
          </cell>
          <cell r="I308">
            <v>0</v>
          </cell>
        </row>
        <row r="309">
          <cell r="A309">
            <v>93181</v>
          </cell>
          <cell r="B309" t="str">
            <v>TOWN OF TEACHEY</v>
          </cell>
          <cell r="C309">
            <v>1.04E-5</v>
          </cell>
          <cell r="D309"/>
          <cell r="E309">
            <v>183</v>
          </cell>
          <cell r="F309">
            <v>149</v>
          </cell>
          <cell r="G309">
            <v>58</v>
          </cell>
          <cell r="H309">
            <v>32</v>
          </cell>
          <cell r="I309">
            <v>0</v>
          </cell>
        </row>
        <row r="310">
          <cell r="A310">
            <v>93191</v>
          </cell>
          <cell r="B310" t="str">
            <v>TOWN OF MAGNOLIA</v>
          </cell>
          <cell r="C310">
            <v>2.34E-5</v>
          </cell>
          <cell r="D310"/>
          <cell r="E310">
            <v>2064</v>
          </cell>
          <cell r="F310">
            <v>2054</v>
          </cell>
          <cell r="G310">
            <v>2056</v>
          </cell>
          <cell r="H310">
            <v>1316</v>
          </cell>
          <cell r="I310">
            <v>0</v>
          </cell>
        </row>
        <row r="311">
          <cell r="A311">
            <v>93201</v>
          </cell>
          <cell r="B311" t="str">
            <v>DURHAM COUNTY</v>
          </cell>
          <cell r="C311">
            <v>1.5197799999999999E-2</v>
          </cell>
          <cell r="D311"/>
          <cell r="E311">
            <v>156979</v>
          </cell>
          <cell r="F311">
            <v>58933</v>
          </cell>
          <cell r="G311">
            <v>58934</v>
          </cell>
          <cell r="H311">
            <v>0</v>
          </cell>
          <cell r="I311">
            <v>0</v>
          </cell>
        </row>
        <row r="312">
          <cell r="A312">
            <v>93202</v>
          </cell>
          <cell r="B312" t="str">
            <v>PARKWOOD FIRE DEPARTMENT</v>
          </cell>
          <cell r="C312">
            <v>0</v>
          </cell>
          <cell r="D312"/>
          <cell r="E312">
            <v>0</v>
          </cell>
          <cell r="F312">
            <v>0</v>
          </cell>
          <cell r="G312">
            <v>0</v>
          </cell>
          <cell r="H312">
            <v>0</v>
          </cell>
          <cell r="I312">
            <v>0</v>
          </cell>
        </row>
        <row r="313">
          <cell r="A313">
            <v>93204</v>
          </cell>
          <cell r="B313" t="str">
            <v>DURHAM COUNTY ABC BOARD</v>
          </cell>
          <cell r="C313">
            <v>2.9710000000000001E-4</v>
          </cell>
          <cell r="D313"/>
          <cell r="E313">
            <v>11411</v>
          </cell>
          <cell r="F313">
            <v>11411</v>
          </cell>
          <cell r="G313">
            <v>6364</v>
          </cell>
          <cell r="H313">
            <v>0</v>
          </cell>
          <cell r="I313">
            <v>0</v>
          </cell>
        </row>
        <row r="314">
          <cell r="A314">
            <v>93209</v>
          </cell>
          <cell r="B314" t="str">
            <v>ALLIANCE BEHAVIORAL HEALTHCRE</v>
          </cell>
          <cell r="C314">
            <v>5.5938000000000003E-3</v>
          </cell>
          <cell r="D314"/>
          <cell r="E314">
            <v>175460</v>
          </cell>
          <cell r="F314">
            <v>89020</v>
          </cell>
          <cell r="G314">
            <v>72359</v>
          </cell>
          <cell r="H314">
            <v>24090</v>
          </cell>
          <cell r="I314">
            <v>0</v>
          </cell>
        </row>
        <row r="315">
          <cell r="A315">
            <v>93211</v>
          </cell>
          <cell r="B315" t="str">
            <v>CITY OF DURHAM</v>
          </cell>
          <cell r="C315">
            <v>2.16165E-2</v>
          </cell>
          <cell r="D315"/>
          <cell r="E315">
            <v>221702</v>
          </cell>
          <cell r="F315">
            <v>221702</v>
          </cell>
          <cell r="G315">
            <v>221703</v>
          </cell>
          <cell r="H315">
            <v>116978</v>
          </cell>
          <cell r="I315">
            <v>0</v>
          </cell>
        </row>
        <row r="316">
          <cell r="A316">
            <v>93212</v>
          </cell>
          <cell r="B316" t="str">
            <v>DURHAM CONVENTION &amp; VISITORS BUREAU</v>
          </cell>
          <cell r="C316">
            <v>2.3910000000000001E-4</v>
          </cell>
          <cell r="D316"/>
          <cell r="E316">
            <v>81833</v>
          </cell>
          <cell r="F316">
            <v>67744</v>
          </cell>
          <cell r="G316">
            <v>46648</v>
          </cell>
          <cell r="H316">
            <v>14955</v>
          </cell>
          <cell r="I316">
            <v>0</v>
          </cell>
        </row>
        <row r="317">
          <cell r="A317">
            <v>93219</v>
          </cell>
          <cell r="B317" t="str">
            <v>TRIANGLE J COUNCIL OF GOVERNMENTS</v>
          </cell>
          <cell r="C317">
            <v>2.6229999999999998E-4</v>
          </cell>
          <cell r="D317"/>
          <cell r="E317">
            <v>9474</v>
          </cell>
          <cell r="F317">
            <v>9476</v>
          </cell>
          <cell r="G317">
            <v>3828</v>
          </cell>
          <cell r="H317">
            <v>3826</v>
          </cell>
          <cell r="I317">
            <v>0</v>
          </cell>
        </row>
        <row r="318">
          <cell r="A318">
            <v>93301</v>
          </cell>
          <cell r="B318" t="str">
            <v>EDGECOMBE COUNTY</v>
          </cell>
          <cell r="C318">
            <v>2.2057999999999999E-3</v>
          </cell>
          <cell r="D318"/>
          <cell r="E318">
            <v>14244</v>
          </cell>
          <cell r="F318">
            <v>0</v>
          </cell>
          <cell r="G318">
            <v>0</v>
          </cell>
          <cell r="H318">
            <v>0</v>
          </cell>
          <cell r="I318">
            <v>0</v>
          </cell>
        </row>
        <row r="319">
          <cell r="A319">
            <v>93304</v>
          </cell>
          <cell r="B319" t="str">
            <v>EDGECOMBE COUNTY ABC BOARD</v>
          </cell>
          <cell r="C319">
            <v>3.9400000000000002E-5</v>
          </cell>
          <cell r="D319"/>
          <cell r="E319">
            <v>3986</v>
          </cell>
          <cell r="F319">
            <v>3474</v>
          </cell>
          <cell r="G319">
            <v>3289</v>
          </cell>
          <cell r="H319">
            <v>1828</v>
          </cell>
          <cell r="I319">
            <v>0</v>
          </cell>
        </row>
        <row r="320">
          <cell r="A320">
            <v>93305</v>
          </cell>
          <cell r="B320" t="str">
            <v>EDGECOMBE COUNTY MEMORIAL LIBRARY</v>
          </cell>
          <cell r="C320">
            <v>4.0299999999999997E-5</v>
          </cell>
          <cell r="D320"/>
          <cell r="E320">
            <v>0</v>
          </cell>
          <cell r="F320">
            <v>0</v>
          </cell>
          <cell r="G320">
            <v>0</v>
          </cell>
          <cell r="H320">
            <v>0</v>
          </cell>
          <cell r="I320">
            <v>0</v>
          </cell>
        </row>
        <row r="321">
          <cell r="A321">
            <v>93309</v>
          </cell>
          <cell r="B321" t="str">
            <v>UPPER COASTAL PLAIN COUNCIL OF GOVERNMENTS</v>
          </cell>
          <cell r="C321">
            <v>1.6239999999999999E-4</v>
          </cell>
          <cell r="D321"/>
          <cell r="E321">
            <v>12156</v>
          </cell>
          <cell r="F321">
            <v>8363</v>
          </cell>
          <cell r="G321">
            <v>6961</v>
          </cell>
          <cell r="H321">
            <v>2901</v>
          </cell>
          <cell r="I321">
            <v>0</v>
          </cell>
        </row>
        <row r="322">
          <cell r="A322">
            <v>93311</v>
          </cell>
          <cell r="B322" t="str">
            <v>TOWN OF TARBORO</v>
          </cell>
          <cell r="C322">
            <v>1.2413999999999999E-3</v>
          </cell>
          <cell r="D322"/>
          <cell r="E322">
            <v>5800</v>
          </cell>
          <cell r="F322">
            <v>5799</v>
          </cell>
          <cell r="G322">
            <v>5374</v>
          </cell>
          <cell r="H322">
            <v>0</v>
          </cell>
          <cell r="I322">
            <v>0</v>
          </cell>
        </row>
        <row r="323">
          <cell r="A323">
            <v>93317</v>
          </cell>
          <cell r="B323" t="str">
            <v>TARBORO REDEVELOPMENT COMMISSION</v>
          </cell>
          <cell r="C323">
            <v>4.1199999999999999E-5</v>
          </cell>
          <cell r="D323"/>
          <cell r="E323">
            <v>207</v>
          </cell>
          <cell r="F323">
            <v>91</v>
          </cell>
          <cell r="G323">
            <v>0</v>
          </cell>
          <cell r="H323">
            <v>0</v>
          </cell>
          <cell r="I323">
            <v>0</v>
          </cell>
        </row>
        <row r="324">
          <cell r="A324">
            <v>93321</v>
          </cell>
          <cell r="B324" t="str">
            <v>CITY OF ROCKY MOUNT</v>
          </cell>
          <cell r="C324">
            <v>6.7971999999999998E-3</v>
          </cell>
          <cell r="D324"/>
          <cell r="E324">
            <v>0</v>
          </cell>
          <cell r="F324">
            <v>0</v>
          </cell>
          <cell r="G324">
            <v>0</v>
          </cell>
          <cell r="H324">
            <v>0</v>
          </cell>
          <cell r="I324">
            <v>0</v>
          </cell>
        </row>
        <row r="325">
          <cell r="A325">
            <v>93323</v>
          </cell>
          <cell r="B325" t="str">
            <v>ROCKY MOUNT-WILSON AIRPORT AUTHORITY</v>
          </cell>
          <cell r="C325">
            <v>2.0100000000000001E-5</v>
          </cell>
          <cell r="D325"/>
          <cell r="E325">
            <v>1735</v>
          </cell>
          <cell r="F325">
            <v>1735</v>
          </cell>
          <cell r="G325">
            <v>0</v>
          </cell>
          <cell r="H325">
            <v>0</v>
          </cell>
          <cell r="I325">
            <v>0</v>
          </cell>
        </row>
        <row r="326">
          <cell r="A326">
            <v>93331</v>
          </cell>
          <cell r="B326" t="str">
            <v>TOWN OF PINETOPS</v>
          </cell>
          <cell r="C326">
            <v>1.161E-4</v>
          </cell>
          <cell r="D326"/>
          <cell r="E326">
            <v>1496</v>
          </cell>
          <cell r="F326">
            <v>1324</v>
          </cell>
          <cell r="G326">
            <v>1325</v>
          </cell>
          <cell r="H326">
            <v>0</v>
          </cell>
          <cell r="I326">
            <v>0</v>
          </cell>
        </row>
        <row r="327">
          <cell r="A327">
            <v>93333</v>
          </cell>
          <cell r="B327" t="str">
            <v>ROCKY MT HOUSING AUTHORITY</v>
          </cell>
          <cell r="C327">
            <v>1.6660000000000001E-4</v>
          </cell>
          <cell r="D327"/>
          <cell r="E327">
            <v>47224</v>
          </cell>
          <cell r="F327">
            <v>27950</v>
          </cell>
          <cell r="G327">
            <v>9736</v>
          </cell>
          <cell r="H327">
            <v>7641</v>
          </cell>
          <cell r="I327">
            <v>0</v>
          </cell>
        </row>
        <row r="328">
          <cell r="A328">
            <v>93341</v>
          </cell>
          <cell r="B328" t="str">
            <v>TOWN OF MACCLESFIELD</v>
          </cell>
          <cell r="C328">
            <v>2.9300000000000001E-5</v>
          </cell>
          <cell r="D328"/>
          <cell r="E328">
            <v>1757</v>
          </cell>
          <cell r="F328">
            <v>1393</v>
          </cell>
          <cell r="G328">
            <v>1391</v>
          </cell>
          <cell r="H328">
            <v>502</v>
          </cell>
          <cell r="I328">
            <v>0</v>
          </cell>
        </row>
        <row r="329">
          <cell r="A329">
            <v>93351</v>
          </cell>
          <cell r="B329" t="str">
            <v>TOWN OF PRINCEVILLE</v>
          </cell>
          <cell r="C329">
            <v>3.1600000000000002E-5</v>
          </cell>
          <cell r="D329"/>
          <cell r="E329">
            <v>6643</v>
          </cell>
          <cell r="F329">
            <v>4769</v>
          </cell>
          <cell r="G329">
            <v>1609</v>
          </cell>
          <cell r="H329">
            <v>1609</v>
          </cell>
          <cell r="I329">
            <v>0</v>
          </cell>
        </row>
        <row r="330">
          <cell r="A330">
            <v>93401</v>
          </cell>
          <cell r="B330" t="str">
            <v>FORSYTH COUNTY</v>
          </cell>
          <cell r="C330">
            <v>1.3690799999999999E-2</v>
          </cell>
          <cell r="D330"/>
          <cell r="E330">
            <v>38484</v>
          </cell>
          <cell r="F330">
            <v>38485</v>
          </cell>
          <cell r="G330">
            <v>31489</v>
          </cell>
          <cell r="H330">
            <v>0</v>
          </cell>
          <cell r="I330">
            <v>0</v>
          </cell>
        </row>
        <row r="331">
          <cell r="A331">
            <v>93402</v>
          </cell>
          <cell r="B331" t="str">
            <v>AIRPORT COMMISSION OF FORSYTH COUNTY</v>
          </cell>
          <cell r="C331">
            <v>0</v>
          </cell>
          <cell r="D331"/>
          <cell r="E331">
            <v>0</v>
          </cell>
          <cell r="F331">
            <v>0</v>
          </cell>
          <cell r="G331">
            <v>0</v>
          </cell>
          <cell r="H331">
            <v>0</v>
          </cell>
          <cell r="I331">
            <v>0</v>
          </cell>
        </row>
        <row r="332">
          <cell r="A332">
            <v>93406</v>
          </cell>
          <cell r="B332" t="str">
            <v>PIEDMONT TRIAD REGIONAL COUNCIL</v>
          </cell>
          <cell r="C332">
            <v>4.9350000000000002E-4</v>
          </cell>
          <cell r="D332"/>
          <cell r="E332">
            <v>2375</v>
          </cell>
          <cell r="F332">
            <v>883</v>
          </cell>
          <cell r="G332">
            <v>883</v>
          </cell>
          <cell r="H332">
            <v>885</v>
          </cell>
          <cell r="I332">
            <v>0</v>
          </cell>
        </row>
        <row r="333">
          <cell r="A333">
            <v>93408</v>
          </cell>
          <cell r="B333" t="str">
            <v>CENTERPOINT HUMAN SERVICES</v>
          </cell>
          <cell r="C333">
            <v>0</v>
          </cell>
          <cell r="D333"/>
          <cell r="E333">
            <v>0</v>
          </cell>
          <cell r="F333">
            <v>0</v>
          </cell>
          <cell r="G333">
            <v>0</v>
          </cell>
          <cell r="H333">
            <v>0</v>
          </cell>
          <cell r="I333">
            <v>0</v>
          </cell>
        </row>
        <row r="334">
          <cell r="A334">
            <v>93411</v>
          </cell>
          <cell r="B334" t="str">
            <v>CITY OF WINSTON-SALEM</v>
          </cell>
          <cell r="C334">
            <v>1.77345E-2</v>
          </cell>
          <cell r="D334"/>
          <cell r="E334">
            <v>200585</v>
          </cell>
          <cell r="F334">
            <v>200584</v>
          </cell>
          <cell r="G334">
            <v>137907</v>
          </cell>
          <cell r="H334">
            <v>0</v>
          </cell>
          <cell r="I334">
            <v>0</v>
          </cell>
        </row>
        <row r="335">
          <cell r="A335">
            <v>93413</v>
          </cell>
          <cell r="B335" t="str">
            <v>WINSTON-SALEM HOUSING AUTHORITY</v>
          </cell>
          <cell r="C335">
            <v>6.9559999999999999E-4</v>
          </cell>
          <cell r="D335"/>
          <cell r="E335">
            <v>396</v>
          </cell>
          <cell r="F335">
            <v>396</v>
          </cell>
          <cell r="G335">
            <v>396</v>
          </cell>
          <cell r="H335">
            <v>394</v>
          </cell>
          <cell r="I335">
            <v>0</v>
          </cell>
        </row>
        <row r="336">
          <cell r="A336">
            <v>93417</v>
          </cell>
          <cell r="B336" t="str">
            <v>TRIAD MUNICIPAL ABC BOARD</v>
          </cell>
          <cell r="C336">
            <v>2.8659999999999997E-4</v>
          </cell>
          <cell r="D336"/>
          <cell r="E336">
            <v>2796</v>
          </cell>
          <cell r="F336">
            <v>2369</v>
          </cell>
          <cell r="G336">
            <v>2367</v>
          </cell>
          <cell r="H336">
            <v>0</v>
          </cell>
          <cell r="I336">
            <v>0</v>
          </cell>
        </row>
        <row r="337">
          <cell r="A337">
            <v>93421</v>
          </cell>
          <cell r="B337" t="str">
            <v>TOWN OF KERNERSVILLE</v>
          </cell>
          <cell r="C337">
            <v>2.0569E-3</v>
          </cell>
          <cell r="D337"/>
          <cell r="E337">
            <v>0</v>
          </cell>
          <cell r="F337">
            <v>0</v>
          </cell>
          <cell r="G337">
            <v>0</v>
          </cell>
          <cell r="H337">
            <v>0</v>
          </cell>
          <cell r="I337">
            <v>0</v>
          </cell>
        </row>
        <row r="338">
          <cell r="A338">
            <v>93431</v>
          </cell>
          <cell r="B338" t="str">
            <v>TOWN OF RURAL HALL</v>
          </cell>
          <cell r="C338">
            <v>1.381E-4</v>
          </cell>
          <cell r="D338"/>
          <cell r="E338">
            <v>5149</v>
          </cell>
          <cell r="F338">
            <v>5147</v>
          </cell>
          <cell r="G338">
            <v>2206</v>
          </cell>
          <cell r="H338">
            <v>0</v>
          </cell>
          <cell r="I338">
            <v>0</v>
          </cell>
        </row>
        <row r="339">
          <cell r="A339">
            <v>93441</v>
          </cell>
          <cell r="B339" t="str">
            <v>VILLAGE OF CLEMMONS</v>
          </cell>
          <cell r="C339">
            <v>1.6559999999999999E-4</v>
          </cell>
          <cell r="D339"/>
          <cell r="E339">
            <v>7525</v>
          </cell>
          <cell r="F339">
            <v>3649</v>
          </cell>
          <cell r="G339">
            <v>1481</v>
          </cell>
          <cell r="H339">
            <v>0</v>
          </cell>
          <cell r="I339">
            <v>0</v>
          </cell>
        </row>
        <row r="340">
          <cell r="A340">
            <v>93442</v>
          </cell>
          <cell r="B340" t="str">
            <v>CLEMMONS FIRE DEPARTMENT</v>
          </cell>
          <cell r="C340">
            <v>1.561E-4</v>
          </cell>
          <cell r="D340"/>
          <cell r="E340">
            <v>214</v>
          </cell>
          <cell r="F340">
            <v>214</v>
          </cell>
          <cell r="G340">
            <v>0</v>
          </cell>
          <cell r="H340">
            <v>0</v>
          </cell>
          <cell r="I340">
            <v>0</v>
          </cell>
        </row>
        <row r="341">
          <cell r="A341">
            <v>93451</v>
          </cell>
          <cell r="B341" t="str">
            <v>TOWN OF LEWISVILLE</v>
          </cell>
          <cell r="C341">
            <v>6.6600000000000006E-5</v>
          </cell>
          <cell r="D341"/>
          <cell r="E341">
            <v>5598</v>
          </cell>
          <cell r="F341">
            <v>3749</v>
          </cell>
          <cell r="G341">
            <v>2906</v>
          </cell>
          <cell r="H341">
            <v>0</v>
          </cell>
          <cell r="I341">
            <v>0</v>
          </cell>
        </row>
        <row r="342">
          <cell r="A342">
            <v>93461</v>
          </cell>
          <cell r="B342" t="str">
            <v>TOWN OF WALKERTOWN</v>
          </cell>
          <cell r="C342">
            <v>1.5500000000000001E-5</v>
          </cell>
          <cell r="D342"/>
          <cell r="E342">
            <v>194</v>
          </cell>
          <cell r="F342">
            <v>124</v>
          </cell>
          <cell r="G342">
            <v>94</v>
          </cell>
          <cell r="H342">
            <v>0</v>
          </cell>
          <cell r="I342">
            <v>0</v>
          </cell>
        </row>
        <row r="343">
          <cell r="A343">
            <v>93471</v>
          </cell>
          <cell r="B343" t="str">
            <v>VILLAGE OF TOBACCOVILLE</v>
          </cell>
          <cell r="C343">
            <v>1.1399999999999999E-5</v>
          </cell>
          <cell r="D343"/>
          <cell r="E343">
            <v>1996</v>
          </cell>
          <cell r="F343">
            <v>1648</v>
          </cell>
          <cell r="G343">
            <v>967</v>
          </cell>
          <cell r="H343">
            <v>599</v>
          </cell>
          <cell r="I343">
            <v>0</v>
          </cell>
        </row>
        <row r="344">
          <cell r="A344">
            <v>93501</v>
          </cell>
          <cell r="B344" t="str">
            <v>FRANKLIN COUNTY</v>
          </cell>
          <cell r="C344">
            <v>3.8463999999999998E-3</v>
          </cell>
          <cell r="D344"/>
          <cell r="E344">
            <v>69604</v>
          </cell>
          <cell r="F344">
            <v>69604</v>
          </cell>
          <cell r="G344">
            <v>34204</v>
          </cell>
          <cell r="H344">
            <v>21268</v>
          </cell>
          <cell r="I344">
            <v>0</v>
          </cell>
        </row>
        <row r="345">
          <cell r="A345">
            <v>93511</v>
          </cell>
          <cell r="B345" t="str">
            <v>TOWN OF FRANKLINTON</v>
          </cell>
          <cell r="C345">
            <v>8.7899999999999995E-5</v>
          </cell>
          <cell r="D345"/>
          <cell r="E345">
            <v>2867</v>
          </cell>
          <cell r="F345">
            <v>2867</v>
          </cell>
          <cell r="G345">
            <v>2868</v>
          </cell>
          <cell r="H345">
            <v>1465</v>
          </cell>
          <cell r="I345">
            <v>0</v>
          </cell>
        </row>
        <row r="346">
          <cell r="A346">
            <v>93517</v>
          </cell>
          <cell r="B346" t="str">
            <v>FRANKLINTON ABC BOARD</v>
          </cell>
          <cell r="C346">
            <v>4.3000000000000003E-6</v>
          </cell>
          <cell r="D346"/>
          <cell r="E346">
            <v>1093</v>
          </cell>
          <cell r="F346">
            <v>863</v>
          </cell>
          <cell r="G346">
            <v>620</v>
          </cell>
          <cell r="H346">
            <v>381</v>
          </cell>
          <cell r="I346">
            <v>0</v>
          </cell>
        </row>
        <row r="347">
          <cell r="A347">
            <v>93521</v>
          </cell>
          <cell r="B347" t="str">
            <v>TOWN OF LOUISBURG</v>
          </cell>
          <cell r="C347">
            <v>4.7340000000000001E-4</v>
          </cell>
          <cell r="D347"/>
          <cell r="E347">
            <v>5698</v>
          </cell>
          <cell r="F347">
            <v>3544</v>
          </cell>
          <cell r="G347">
            <v>3546</v>
          </cell>
          <cell r="H347">
            <v>2976</v>
          </cell>
          <cell r="I347">
            <v>0</v>
          </cell>
        </row>
        <row r="348">
          <cell r="A348">
            <v>93527</v>
          </cell>
          <cell r="B348" t="str">
            <v>LOUISBURG ABC BOARD</v>
          </cell>
          <cell r="C348">
            <v>9.5999999999999996E-6</v>
          </cell>
          <cell r="D348"/>
          <cell r="E348">
            <v>4365</v>
          </cell>
          <cell r="F348">
            <v>3290</v>
          </cell>
          <cell r="G348">
            <v>1357</v>
          </cell>
          <cell r="H348">
            <v>281</v>
          </cell>
          <cell r="I348">
            <v>0</v>
          </cell>
        </row>
        <row r="349">
          <cell r="A349">
            <v>93531</v>
          </cell>
          <cell r="B349" t="str">
            <v>TOWN OF BUNN</v>
          </cell>
          <cell r="C349">
            <v>2.23E-5</v>
          </cell>
          <cell r="D349"/>
          <cell r="E349">
            <v>2039</v>
          </cell>
          <cell r="F349">
            <v>1802</v>
          </cell>
          <cell r="G349">
            <v>1802</v>
          </cell>
          <cell r="H349">
            <v>0</v>
          </cell>
          <cell r="I349">
            <v>0</v>
          </cell>
        </row>
        <row r="350">
          <cell r="A350">
            <v>93537</v>
          </cell>
          <cell r="B350" t="str">
            <v>ABC BOARD - TOWN OF BUNN</v>
          </cell>
          <cell r="C350">
            <v>1.08E-5</v>
          </cell>
          <cell r="D350"/>
          <cell r="E350">
            <v>0</v>
          </cell>
          <cell r="F350">
            <v>0</v>
          </cell>
          <cell r="G350">
            <v>0</v>
          </cell>
          <cell r="H350">
            <v>0</v>
          </cell>
          <cell r="I350">
            <v>0</v>
          </cell>
        </row>
        <row r="351">
          <cell r="A351">
            <v>93541</v>
          </cell>
          <cell r="B351" t="str">
            <v>TOWN OF YOUNGSVILLE</v>
          </cell>
          <cell r="C351">
            <v>9.9699999999999998E-5</v>
          </cell>
          <cell r="D351"/>
          <cell r="E351">
            <v>2440</v>
          </cell>
          <cell r="F351">
            <v>2438</v>
          </cell>
          <cell r="G351">
            <v>2364</v>
          </cell>
          <cell r="H351">
            <v>2364</v>
          </cell>
          <cell r="I351">
            <v>0</v>
          </cell>
        </row>
        <row r="352">
          <cell r="A352">
            <v>93601</v>
          </cell>
          <cell r="B352" t="str">
            <v>GASTON COUNTY</v>
          </cell>
          <cell r="C352">
            <v>1.1220300000000001E-2</v>
          </cell>
          <cell r="D352"/>
          <cell r="E352">
            <v>144717</v>
          </cell>
          <cell r="F352">
            <v>124951</v>
          </cell>
          <cell r="G352">
            <v>124950</v>
          </cell>
          <cell r="H352">
            <v>27983</v>
          </cell>
          <cell r="I352">
            <v>0</v>
          </cell>
        </row>
        <row r="353">
          <cell r="A353">
            <v>93602</v>
          </cell>
          <cell r="B353" t="str">
            <v>TOWN OF STANLEY</v>
          </cell>
          <cell r="C353">
            <v>1.918E-4</v>
          </cell>
          <cell r="D353"/>
          <cell r="E353">
            <v>5955</v>
          </cell>
          <cell r="F353">
            <v>5954</v>
          </cell>
          <cell r="G353">
            <v>5052</v>
          </cell>
          <cell r="H353">
            <v>3279</v>
          </cell>
          <cell r="I353">
            <v>0</v>
          </cell>
        </row>
        <row r="354">
          <cell r="A354">
            <v>93604</v>
          </cell>
          <cell r="B354" t="str">
            <v>CRAMERTON ABC BOARD</v>
          </cell>
          <cell r="C354">
            <v>2.6400000000000001E-5</v>
          </cell>
          <cell r="D354"/>
          <cell r="E354">
            <v>6718</v>
          </cell>
          <cell r="F354">
            <v>6718</v>
          </cell>
          <cell r="G354">
            <v>6720</v>
          </cell>
          <cell r="H354">
            <v>1819</v>
          </cell>
          <cell r="I354">
            <v>0</v>
          </cell>
        </row>
        <row r="355">
          <cell r="A355">
            <v>93609</v>
          </cell>
          <cell r="B355" t="str">
            <v>PARTNERS BEHAVIORAL HEALTH MANAGEMENT</v>
          </cell>
          <cell r="C355">
            <v>3.7919E-3</v>
          </cell>
          <cell r="D355"/>
          <cell r="E355">
            <v>163590</v>
          </cell>
          <cell r="F355">
            <v>130936</v>
          </cell>
          <cell r="G355">
            <v>9303</v>
          </cell>
          <cell r="H355">
            <v>0</v>
          </cell>
          <cell r="I355">
            <v>0</v>
          </cell>
        </row>
        <row r="356">
          <cell r="A356">
            <v>93610</v>
          </cell>
          <cell r="B356" t="str">
            <v>TOWN OF MCADENVILLE</v>
          </cell>
          <cell r="C356">
            <v>1.63E-5</v>
          </cell>
          <cell r="D356"/>
          <cell r="E356">
            <v>1256</v>
          </cell>
          <cell r="F356">
            <v>1255</v>
          </cell>
          <cell r="G356">
            <v>168</v>
          </cell>
          <cell r="H356">
            <v>0</v>
          </cell>
          <cell r="I356">
            <v>0</v>
          </cell>
        </row>
        <row r="357">
          <cell r="A357">
            <v>93611</v>
          </cell>
          <cell r="B357" t="str">
            <v>CITY OF GASTONIA</v>
          </cell>
          <cell r="C357">
            <v>6.9186999999999999E-3</v>
          </cell>
          <cell r="D357"/>
          <cell r="E357">
            <v>15287</v>
          </cell>
          <cell r="F357">
            <v>15287</v>
          </cell>
          <cell r="G357">
            <v>0</v>
          </cell>
          <cell r="H357">
            <v>0</v>
          </cell>
          <cell r="I357">
            <v>0</v>
          </cell>
        </row>
        <row r="358">
          <cell r="A358">
            <v>93617</v>
          </cell>
          <cell r="B358" t="str">
            <v>GASTONIA ABC BOARD</v>
          </cell>
          <cell r="C358">
            <v>7.8899999999999993E-5</v>
          </cell>
          <cell r="D358"/>
          <cell r="E358">
            <v>7769</v>
          </cell>
          <cell r="F358">
            <v>4622</v>
          </cell>
          <cell r="G358">
            <v>4450</v>
          </cell>
          <cell r="H358">
            <v>1391</v>
          </cell>
          <cell r="I358">
            <v>0</v>
          </cell>
        </row>
        <row r="359">
          <cell r="A359">
            <v>93618</v>
          </cell>
          <cell r="B359" t="str">
            <v>GASTON COUNTY ECONOMIC DEV. COMMISSION</v>
          </cell>
          <cell r="C359">
            <v>9.5000000000000005E-6</v>
          </cell>
          <cell r="D359"/>
          <cell r="E359">
            <v>14986</v>
          </cell>
          <cell r="F359">
            <v>11651</v>
          </cell>
          <cell r="G359">
            <v>7976</v>
          </cell>
          <cell r="H359">
            <v>4119</v>
          </cell>
          <cell r="I359">
            <v>0</v>
          </cell>
        </row>
        <row r="360">
          <cell r="A360">
            <v>93621</v>
          </cell>
          <cell r="B360" t="str">
            <v>CITY OF BELMONT</v>
          </cell>
          <cell r="C360">
            <v>1.0563E-3</v>
          </cell>
          <cell r="D360"/>
          <cell r="E360">
            <v>15789</v>
          </cell>
          <cell r="F360">
            <v>15789</v>
          </cell>
          <cell r="G360">
            <v>3715</v>
          </cell>
          <cell r="H360">
            <v>0</v>
          </cell>
          <cell r="I360">
            <v>0</v>
          </cell>
        </row>
        <row r="361">
          <cell r="A361">
            <v>93623</v>
          </cell>
          <cell r="B361" t="str">
            <v>BELMONT HOUSING AUTHORITY</v>
          </cell>
          <cell r="C361">
            <v>1.1E-5</v>
          </cell>
          <cell r="D361"/>
          <cell r="E361">
            <v>1543</v>
          </cell>
          <cell r="F361">
            <v>983</v>
          </cell>
          <cell r="G361">
            <v>363</v>
          </cell>
          <cell r="H361">
            <v>7</v>
          </cell>
          <cell r="I361">
            <v>0</v>
          </cell>
        </row>
        <row r="362">
          <cell r="A362">
            <v>93631</v>
          </cell>
          <cell r="B362" t="str">
            <v>TOWN OF CRAMERTON</v>
          </cell>
          <cell r="C362">
            <v>2.4130000000000001E-4</v>
          </cell>
          <cell r="D362"/>
          <cell r="E362">
            <v>1601</v>
          </cell>
          <cell r="F362">
            <v>1601</v>
          </cell>
          <cell r="G362">
            <v>1601</v>
          </cell>
          <cell r="H362">
            <v>1601</v>
          </cell>
          <cell r="I362">
            <v>0</v>
          </cell>
        </row>
        <row r="363">
          <cell r="A363">
            <v>93641</v>
          </cell>
          <cell r="B363" t="str">
            <v>CITY OF CHERRYVILLE</v>
          </cell>
          <cell r="C363">
            <v>3.7300000000000001E-4</v>
          </cell>
          <cell r="D363"/>
          <cell r="E363">
            <v>7399</v>
          </cell>
          <cell r="F363">
            <v>6184</v>
          </cell>
          <cell r="G363">
            <v>6184</v>
          </cell>
          <cell r="H363">
            <v>6186</v>
          </cell>
          <cell r="I363">
            <v>0</v>
          </cell>
        </row>
        <row r="364">
          <cell r="A364">
            <v>93647</v>
          </cell>
          <cell r="B364" t="str">
            <v>CHERRYVILLE ABC BOARD</v>
          </cell>
          <cell r="C364">
            <v>5.2000000000000002E-6</v>
          </cell>
          <cell r="D364"/>
          <cell r="E364">
            <v>4875</v>
          </cell>
          <cell r="F364">
            <v>3927</v>
          </cell>
          <cell r="G364">
            <v>2685</v>
          </cell>
          <cell r="H364">
            <v>1299</v>
          </cell>
          <cell r="I364">
            <v>0</v>
          </cell>
        </row>
        <row r="365">
          <cell r="A365">
            <v>93651</v>
          </cell>
          <cell r="B365" t="str">
            <v>TOWN OF DALLAS</v>
          </cell>
          <cell r="C365">
            <v>4.3790000000000002E-4</v>
          </cell>
          <cell r="D365"/>
          <cell r="E365">
            <v>0</v>
          </cell>
          <cell r="F365">
            <v>0</v>
          </cell>
          <cell r="G365">
            <v>0</v>
          </cell>
          <cell r="H365">
            <v>0</v>
          </cell>
          <cell r="I365">
            <v>0</v>
          </cell>
        </row>
        <row r="366">
          <cell r="A366">
            <v>93661</v>
          </cell>
          <cell r="B366" t="str">
            <v>CITY OF LOWELL</v>
          </cell>
          <cell r="C366">
            <v>1.2850000000000001E-4</v>
          </cell>
          <cell r="D366"/>
          <cell r="E366">
            <v>3703</v>
          </cell>
          <cell r="F366">
            <v>1995</v>
          </cell>
          <cell r="G366">
            <v>1106</v>
          </cell>
          <cell r="H366">
            <v>0</v>
          </cell>
          <cell r="I366">
            <v>0</v>
          </cell>
        </row>
        <row r="367">
          <cell r="A367">
            <v>93671</v>
          </cell>
          <cell r="B367" t="str">
            <v>BESSEMER CITY</v>
          </cell>
          <cell r="C367">
            <v>3.4840000000000001E-4</v>
          </cell>
          <cell r="D367"/>
          <cell r="E367">
            <v>6477</v>
          </cell>
          <cell r="F367">
            <v>6477</v>
          </cell>
          <cell r="G367">
            <v>6476</v>
          </cell>
          <cell r="H367">
            <v>4962</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2111</v>
          </cell>
          <cell r="F369">
            <v>2111</v>
          </cell>
          <cell r="G369">
            <v>2112</v>
          </cell>
          <cell r="H369">
            <v>493</v>
          </cell>
          <cell r="I369">
            <v>0</v>
          </cell>
        </row>
        <row r="370">
          <cell r="A370">
            <v>93691</v>
          </cell>
          <cell r="B370" t="str">
            <v>CITY OF MOUNT HOLLY</v>
          </cell>
          <cell r="C370">
            <v>1.0889999999999999E-3</v>
          </cell>
          <cell r="D370"/>
          <cell r="E370">
            <v>5653</v>
          </cell>
          <cell r="F370">
            <v>5653</v>
          </cell>
          <cell r="G370">
            <v>5653</v>
          </cell>
          <cell r="H370">
            <v>5651</v>
          </cell>
          <cell r="I370">
            <v>0</v>
          </cell>
        </row>
        <row r="371">
          <cell r="A371">
            <v>93701</v>
          </cell>
          <cell r="B371" t="str">
            <v>COUNTY OF GATES</v>
          </cell>
          <cell r="C371">
            <v>4.3600000000000003E-4</v>
          </cell>
          <cell r="D371"/>
          <cell r="E371">
            <v>0</v>
          </cell>
          <cell r="F371">
            <v>0</v>
          </cell>
          <cell r="G371">
            <v>0</v>
          </cell>
          <cell r="H371">
            <v>0</v>
          </cell>
          <cell r="I371">
            <v>0</v>
          </cell>
        </row>
        <row r="372">
          <cell r="A372">
            <v>93704</v>
          </cell>
          <cell r="B372" t="str">
            <v>GATES COUNTY ABC BOARD</v>
          </cell>
          <cell r="C372">
            <v>2.2000000000000001E-6</v>
          </cell>
          <cell r="D372"/>
          <cell r="E372">
            <v>316</v>
          </cell>
          <cell r="F372">
            <v>235</v>
          </cell>
          <cell r="G372">
            <v>170</v>
          </cell>
          <cell r="H372">
            <v>80</v>
          </cell>
          <cell r="I372">
            <v>0</v>
          </cell>
        </row>
        <row r="373">
          <cell r="A373">
            <v>93801</v>
          </cell>
          <cell r="B373" t="str">
            <v>GRAHAM COUNTY</v>
          </cell>
          <cell r="C373">
            <v>4.191E-4</v>
          </cell>
          <cell r="D373"/>
          <cell r="E373">
            <v>29475</v>
          </cell>
          <cell r="F373">
            <v>0</v>
          </cell>
          <cell r="G373">
            <v>0</v>
          </cell>
          <cell r="H373">
            <v>0</v>
          </cell>
          <cell r="I373">
            <v>0</v>
          </cell>
        </row>
        <row r="374">
          <cell r="A374">
            <v>93803</v>
          </cell>
          <cell r="B374" t="str">
            <v>GRAHAM CO HEALTH DEPT</v>
          </cell>
          <cell r="C374">
            <v>9.0799999999999998E-5</v>
          </cell>
          <cell r="D374"/>
          <cell r="E374">
            <v>0</v>
          </cell>
          <cell r="F374">
            <v>0</v>
          </cell>
          <cell r="G374">
            <v>0</v>
          </cell>
          <cell r="H374">
            <v>0</v>
          </cell>
          <cell r="I374">
            <v>0</v>
          </cell>
        </row>
        <row r="375">
          <cell r="A375">
            <v>93806</v>
          </cell>
          <cell r="B375" t="str">
            <v>GRAHAM COUNTY DEPT OF S S</v>
          </cell>
          <cell r="C375">
            <v>7.9599999999999997E-5</v>
          </cell>
          <cell r="D375"/>
          <cell r="E375">
            <v>3447</v>
          </cell>
          <cell r="F375">
            <v>3449</v>
          </cell>
          <cell r="G375">
            <v>416</v>
          </cell>
          <cell r="H375">
            <v>417</v>
          </cell>
          <cell r="I375">
            <v>0</v>
          </cell>
        </row>
        <row r="376">
          <cell r="A376">
            <v>93821</v>
          </cell>
          <cell r="B376" t="str">
            <v>TOWN OF ROBBINSVILLE</v>
          </cell>
          <cell r="C376">
            <v>6.9200000000000002E-5</v>
          </cell>
          <cell r="D376"/>
          <cell r="E376">
            <v>16747</v>
          </cell>
          <cell r="F376">
            <v>12365</v>
          </cell>
          <cell r="G376">
            <v>12363</v>
          </cell>
          <cell r="H376">
            <v>2180</v>
          </cell>
          <cell r="I376">
            <v>0</v>
          </cell>
        </row>
        <row r="377">
          <cell r="A377">
            <v>93901</v>
          </cell>
          <cell r="B377" t="str">
            <v>GRANVILLE COUNTY</v>
          </cell>
          <cell r="C377">
            <v>1.7884999999999999E-3</v>
          </cell>
          <cell r="D377"/>
          <cell r="E377">
            <v>58957</v>
          </cell>
          <cell r="F377">
            <v>51312</v>
          </cell>
          <cell r="G377">
            <v>40335</v>
          </cell>
          <cell r="H377">
            <v>26445</v>
          </cell>
          <cell r="I377">
            <v>0</v>
          </cell>
        </row>
        <row r="378">
          <cell r="A378">
            <v>93904</v>
          </cell>
          <cell r="B378" t="str">
            <v>GRANVILLE CO ABC BD</v>
          </cell>
          <cell r="C378">
            <v>3.18E-5</v>
          </cell>
          <cell r="D378"/>
          <cell r="E378">
            <v>4514</v>
          </cell>
          <cell r="F378">
            <v>4134</v>
          </cell>
          <cell r="G378">
            <v>2541</v>
          </cell>
          <cell r="H378">
            <v>1095</v>
          </cell>
          <cell r="I378">
            <v>0</v>
          </cell>
        </row>
        <row r="379">
          <cell r="A379">
            <v>93906</v>
          </cell>
          <cell r="B379" t="str">
            <v>GRANVILLE COUNTY HOSPITAL</v>
          </cell>
          <cell r="C379">
            <v>3.1308E-3</v>
          </cell>
          <cell r="D379"/>
          <cell r="E379">
            <v>0</v>
          </cell>
          <cell r="F379">
            <v>0</v>
          </cell>
          <cell r="G379">
            <v>0</v>
          </cell>
          <cell r="H379">
            <v>0</v>
          </cell>
          <cell r="I379">
            <v>0</v>
          </cell>
        </row>
        <row r="380">
          <cell r="A380">
            <v>93908</v>
          </cell>
          <cell r="B380" t="str">
            <v>GRANVILLE-VANCE HEALTH DIST</v>
          </cell>
          <cell r="C380">
            <v>4.9540000000000001E-4</v>
          </cell>
          <cell r="D380"/>
          <cell r="E380">
            <v>6412</v>
          </cell>
          <cell r="F380">
            <v>6411</v>
          </cell>
          <cell r="G380">
            <v>4375</v>
          </cell>
          <cell r="H380">
            <v>4377</v>
          </cell>
          <cell r="I380">
            <v>0</v>
          </cell>
        </row>
        <row r="381">
          <cell r="A381">
            <v>93910</v>
          </cell>
          <cell r="B381" t="str">
            <v>SOUTH GRANVILLE WATER AND SEWER AUTHORITY</v>
          </cell>
          <cell r="C381">
            <v>2.285E-4</v>
          </cell>
          <cell r="D381"/>
          <cell r="E381">
            <v>0</v>
          </cell>
          <cell r="F381">
            <v>0</v>
          </cell>
          <cell r="G381">
            <v>0</v>
          </cell>
          <cell r="H381">
            <v>0</v>
          </cell>
          <cell r="I381">
            <v>0</v>
          </cell>
        </row>
        <row r="382">
          <cell r="A382">
            <v>93911</v>
          </cell>
          <cell r="B382" t="str">
            <v>CITY OF OXFORD</v>
          </cell>
          <cell r="C382">
            <v>6.4320000000000002E-4</v>
          </cell>
          <cell r="D382"/>
          <cell r="E382">
            <v>3567</v>
          </cell>
          <cell r="F382">
            <v>3567</v>
          </cell>
          <cell r="G382">
            <v>3569</v>
          </cell>
          <cell r="H382">
            <v>0</v>
          </cell>
          <cell r="I382">
            <v>0</v>
          </cell>
        </row>
        <row r="383">
          <cell r="A383">
            <v>93913</v>
          </cell>
          <cell r="B383" t="str">
            <v>OXFORD HOUSING AUTHORITY</v>
          </cell>
          <cell r="C383">
            <v>4.9799999999999998E-5</v>
          </cell>
          <cell r="D383"/>
          <cell r="E383">
            <v>1603</v>
          </cell>
          <cell r="F383">
            <v>731</v>
          </cell>
          <cell r="G383">
            <v>729</v>
          </cell>
          <cell r="H383">
            <v>0</v>
          </cell>
          <cell r="I383">
            <v>0</v>
          </cell>
        </row>
        <row r="384">
          <cell r="A384">
            <v>93914</v>
          </cell>
          <cell r="B384" t="str">
            <v>TOWN OF STOVALL</v>
          </cell>
          <cell r="C384">
            <v>6.1E-6</v>
          </cell>
          <cell r="D384"/>
          <cell r="E384">
            <v>1616</v>
          </cell>
          <cell r="F384">
            <v>1353</v>
          </cell>
          <cell r="G384">
            <v>958</v>
          </cell>
          <cell r="H384">
            <v>470</v>
          </cell>
          <cell r="I384">
            <v>0</v>
          </cell>
        </row>
        <row r="385">
          <cell r="A385">
            <v>93921</v>
          </cell>
          <cell r="B385" t="str">
            <v>CITY OF CREEDMOOR</v>
          </cell>
          <cell r="C385">
            <v>2.251E-4</v>
          </cell>
          <cell r="D385"/>
          <cell r="E385">
            <v>1883</v>
          </cell>
          <cell r="F385">
            <v>1882</v>
          </cell>
          <cell r="G385">
            <v>0</v>
          </cell>
          <cell r="H385">
            <v>0</v>
          </cell>
          <cell r="I385">
            <v>0</v>
          </cell>
        </row>
        <row r="386">
          <cell r="A386">
            <v>93931</v>
          </cell>
          <cell r="B386" t="str">
            <v>TOWN OF BUTNER</v>
          </cell>
          <cell r="C386">
            <v>5.1590000000000002E-4</v>
          </cell>
          <cell r="D386"/>
          <cell r="E386">
            <v>2318</v>
          </cell>
          <cell r="F386">
            <v>2318</v>
          </cell>
          <cell r="G386">
            <v>2316</v>
          </cell>
          <cell r="H386">
            <v>0</v>
          </cell>
          <cell r="I386">
            <v>0</v>
          </cell>
        </row>
        <row r="387">
          <cell r="A387">
            <v>94001</v>
          </cell>
          <cell r="B387" t="str">
            <v>GREENE COUNTY</v>
          </cell>
          <cell r="C387">
            <v>9.3720000000000001E-4</v>
          </cell>
          <cell r="D387"/>
          <cell r="E387">
            <v>19868</v>
          </cell>
          <cell r="F387">
            <v>11764</v>
          </cell>
          <cell r="G387">
            <v>7117</v>
          </cell>
          <cell r="H387">
            <v>3718</v>
          </cell>
          <cell r="I387">
            <v>0</v>
          </cell>
        </row>
        <row r="388">
          <cell r="A388">
            <v>94002</v>
          </cell>
          <cell r="B388" t="str">
            <v>MAURY SANITARY LAND DISTRICT</v>
          </cell>
          <cell r="C388">
            <v>5.2000000000000002E-6</v>
          </cell>
          <cell r="D388"/>
          <cell r="E388">
            <v>818</v>
          </cell>
          <cell r="F388">
            <v>684</v>
          </cell>
          <cell r="G388">
            <v>482</v>
          </cell>
          <cell r="H388">
            <v>316</v>
          </cell>
          <cell r="I388">
            <v>0</v>
          </cell>
        </row>
        <row r="389">
          <cell r="A389">
            <v>94004</v>
          </cell>
          <cell r="B389" t="str">
            <v>GREENE COUNTY ABC BOARD</v>
          </cell>
          <cell r="C389">
            <v>7.4000000000000003E-6</v>
          </cell>
          <cell r="D389"/>
          <cell r="E389">
            <v>1688</v>
          </cell>
          <cell r="F389">
            <v>1351</v>
          </cell>
          <cell r="G389">
            <v>437</v>
          </cell>
          <cell r="H389">
            <v>230</v>
          </cell>
          <cell r="I389">
            <v>0</v>
          </cell>
        </row>
        <row r="390">
          <cell r="A390">
            <v>94005</v>
          </cell>
          <cell r="B390" t="str">
            <v>NEUSE REGIONAL LIBRARY-GREENE COUNTY</v>
          </cell>
          <cell r="C390">
            <v>1.9E-6</v>
          </cell>
          <cell r="D390"/>
          <cell r="E390">
            <v>871</v>
          </cell>
          <cell r="F390">
            <v>871</v>
          </cell>
          <cell r="G390">
            <v>870</v>
          </cell>
          <cell r="H390">
            <v>0</v>
          </cell>
          <cell r="I390">
            <v>0</v>
          </cell>
        </row>
        <row r="391">
          <cell r="A391">
            <v>94011</v>
          </cell>
          <cell r="B391" t="str">
            <v>TOWN OF HOOKERTON</v>
          </cell>
          <cell r="C391">
            <v>2.6699999999999998E-5</v>
          </cell>
          <cell r="D391"/>
          <cell r="E391">
            <v>1418</v>
          </cell>
          <cell r="F391">
            <v>450</v>
          </cell>
          <cell r="G391">
            <v>450</v>
          </cell>
          <cell r="H391">
            <v>0</v>
          </cell>
          <cell r="I391">
            <v>0</v>
          </cell>
        </row>
        <row r="392">
          <cell r="A392">
            <v>94021</v>
          </cell>
          <cell r="B392" t="str">
            <v>TOWN OF SNOW HILL</v>
          </cell>
          <cell r="C392">
            <v>8.3300000000000005E-5</v>
          </cell>
          <cell r="D392"/>
          <cell r="E392">
            <v>4820</v>
          </cell>
          <cell r="F392">
            <v>4010</v>
          </cell>
          <cell r="G392">
            <v>1158</v>
          </cell>
          <cell r="H392">
            <v>1052</v>
          </cell>
          <cell r="I392">
            <v>0</v>
          </cell>
        </row>
        <row r="393">
          <cell r="A393">
            <v>94031</v>
          </cell>
          <cell r="B393" t="str">
            <v>TOWN OF WALSTONBURG</v>
          </cell>
          <cell r="C393">
            <v>4.6E-6</v>
          </cell>
          <cell r="D393"/>
          <cell r="E393">
            <v>3187</v>
          </cell>
          <cell r="F393">
            <v>2267</v>
          </cell>
          <cell r="G393">
            <v>1859</v>
          </cell>
          <cell r="H393">
            <v>1007</v>
          </cell>
          <cell r="I393">
            <v>0</v>
          </cell>
        </row>
        <row r="394">
          <cell r="A394">
            <v>94101</v>
          </cell>
          <cell r="B394" t="str">
            <v>GUILFORD COUNTY</v>
          </cell>
          <cell r="C394">
            <v>1.7750700000000001E-2</v>
          </cell>
          <cell r="D394"/>
          <cell r="E394">
            <v>8414</v>
          </cell>
          <cell r="F394">
            <v>8414</v>
          </cell>
          <cell r="G394">
            <v>8414</v>
          </cell>
          <cell r="H394">
            <v>0</v>
          </cell>
          <cell r="I394">
            <v>0</v>
          </cell>
        </row>
        <row r="395">
          <cell r="A395">
            <v>94102</v>
          </cell>
          <cell r="B395" t="str">
            <v>GUIL-RAND FIRE DEPARTMENT</v>
          </cell>
          <cell r="C395">
            <v>3.3849999999999999E-4</v>
          </cell>
          <cell r="D395"/>
          <cell r="E395">
            <v>2146</v>
          </cell>
          <cell r="F395">
            <v>2146</v>
          </cell>
          <cell r="G395">
            <v>2146</v>
          </cell>
          <cell r="H395">
            <v>2147</v>
          </cell>
          <cell r="I395">
            <v>0</v>
          </cell>
        </row>
        <row r="396">
          <cell r="A396">
            <v>94108</v>
          </cell>
          <cell r="B396" t="str">
            <v>PINECROFT-SEDGEFIELD FIRE DIST INC</v>
          </cell>
          <cell r="C396">
            <v>3.8289999999999998E-4</v>
          </cell>
          <cell r="D396"/>
          <cell r="E396">
            <v>3396</v>
          </cell>
          <cell r="F396">
            <v>3396</v>
          </cell>
          <cell r="G396">
            <v>3398</v>
          </cell>
          <cell r="H396">
            <v>0</v>
          </cell>
          <cell r="I396">
            <v>0</v>
          </cell>
        </row>
        <row r="397">
          <cell r="A397">
            <v>94109</v>
          </cell>
          <cell r="B397" t="str">
            <v>ALAMANCE COMM FIRE DIST</v>
          </cell>
          <cell r="C397">
            <v>1.048E-4</v>
          </cell>
          <cell r="D397"/>
          <cell r="E397">
            <v>0</v>
          </cell>
          <cell r="F397">
            <v>0</v>
          </cell>
          <cell r="G397">
            <v>0</v>
          </cell>
          <cell r="H397">
            <v>0</v>
          </cell>
          <cell r="I397">
            <v>0</v>
          </cell>
        </row>
        <row r="398">
          <cell r="A398">
            <v>94111</v>
          </cell>
          <cell r="B398" t="str">
            <v>CITY OF GREENSBORO</v>
          </cell>
          <cell r="C398">
            <v>2.50095E-2</v>
          </cell>
          <cell r="D398"/>
          <cell r="E398">
            <v>0</v>
          </cell>
          <cell r="F398">
            <v>0</v>
          </cell>
          <cell r="G398">
            <v>0</v>
          </cell>
          <cell r="H398">
            <v>0</v>
          </cell>
          <cell r="I398">
            <v>0</v>
          </cell>
        </row>
        <row r="399">
          <cell r="A399">
            <v>94112</v>
          </cell>
          <cell r="B399" t="str">
            <v>PIEDMONT TRIAD REG WATER AUTH</v>
          </cell>
          <cell r="C399">
            <v>1.6870000000000001E-4</v>
          </cell>
          <cell r="D399"/>
          <cell r="E399">
            <v>0</v>
          </cell>
          <cell r="F399">
            <v>0</v>
          </cell>
          <cell r="G399">
            <v>0</v>
          </cell>
          <cell r="H399">
            <v>0</v>
          </cell>
          <cell r="I399">
            <v>0</v>
          </cell>
        </row>
        <row r="400">
          <cell r="A400">
            <v>94117</v>
          </cell>
          <cell r="B400" t="str">
            <v>GREENSBORO ABC BD</v>
          </cell>
          <cell r="C400">
            <v>3.232E-4</v>
          </cell>
          <cell r="D400"/>
          <cell r="E400">
            <v>0</v>
          </cell>
          <cell r="F400">
            <v>0</v>
          </cell>
          <cell r="G400">
            <v>0</v>
          </cell>
          <cell r="H400">
            <v>0</v>
          </cell>
          <cell r="I400">
            <v>0</v>
          </cell>
        </row>
        <row r="401">
          <cell r="A401">
            <v>94118</v>
          </cell>
          <cell r="B401" t="str">
            <v>GUILFORD FIRE DISTRICT # 13 INC</v>
          </cell>
          <cell r="C401">
            <v>1.6009999999999999E-4</v>
          </cell>
          <cell r="D401"/>
          <cell r="E401">
            <v>0</v>
          </cell>
          <cell r="F401">
            <v>0</v>
          </cell>
          <cell r="G401">
            <v>0</v>
          </cell>
          <cell r="H401">
            <v>0</v>
          </cell>
          <cell r="I401">
            <v>0</v>
          </cell>
        </row>
        <row r="402">
          <cell r="A402">
            <v>94121</v>
          </cell>
          <cell r="B402" t="str">
            <v>CITY OF HIGH POINT</v>
          </cell>
          <cell r="C402">
            <v>1.1113E-2</v>
          </cell>
          <cell r="D402"/>
          <cell r="E402">
            <v>46027</v>
          </cell>
          <cell r="F402">
            <v>46029</v>
          </cell>
          <cell r="G402">
            <v>36554</v>
          </cell>
          <cell r="H402">
            <v>2077</v>
          </cell>
          <cell r="I402">
            <v>0</v>
          </cell>
        </row>
        <row r="403">
          <cell r="A403">
            <v>94127</v>
          </cell>
          <cell r="B403" t="str">
            <v>HIGH POINT ABC BD</v>
          </cell>
          <cell r="C403">
            <v>1.4310000000000001E-4</v>
          </cell>
          <cell r="D403"/>
          <cell r="E403">
            <v>2126</v>
          </cell>
          <cell r="F403">
            <v>1527</v>
          </cell>
          <cell r="G403">
            <v>0</v>
          </cell>
          <cell r="H403">
            <v>0</v>
          </cell>
          <cell r="I403">
            <v>0</v>
          </cell>
        </row>
        <row r="404">
          <cell r="A404">
            <v>94131</v>
          </cell>
          <cell r="B404" t="str">
            <v>TOWN OF JAMESTOWN</v>
          </cell>
          <cell r="C404">
            <v>2.1029999999999999E-4</v>
          </cell>
          <cell r="D404"/>
          <cell r="E404">
            <v>7693</v>
          </cell>
          <cell r="F404">
            <v>7529</v>
          </cell>
          <cell r="G404">
            <v>7527</v>
          </cell>
          <cell r="H404">
            <v>1361</v>
          </cell>
          <cell r="I404">
            <v>0</v>
          </cell>
        </row>
        <row r="405">
          <cell r="A405">
            <v>94151</v>
          </cell>
          <cell r="B405" t="str">
            <v>TOWN OF GIBSONVILLE</v>
          </cell>
          <cell r="C405">
            <v>4.6660000000000001E-4</v>
          </cell>
          <cell r="D405"/>
          <cell r="E405">
            <v>3034</v>
          </cell>
          <cell r="F405">
            <v>3034</v>
          </cell>
          <cell r="G405">
            <v>3036</v>
          </cell>
          <cell r="H405">
            <v>0</v>
          </cell>
          <cell r="I405">
            <v>0</v>
          </cell>
        </row>
        <row r="406">
          <cell r="A406">
            <v>94157</v>
          </cell>
          <cell r="B406" t="str">
            <v>GIBSONVILLE ABC BOARD</v>
          </cell>
          <cell r="C406">
            <v>8.6000000000000007E-6</v>
          </cell>
          <cell r="D406"/>
          <cell r="E406">
            <v>954</v>
          </cell>
          <cell r="F406">
            <v>614</v>
          </cell>
          <cell r="G406">
            <v>478</v>
          </cell>
          <cell r="H406">
            <v>347</v>
          </cell>
          <cell r="I406">
            <v>0</v>
          </cell>
        </row>
        <row r="407">
          <cell r="A407">
            <v>94161</v>
          </cell>
          <cell r="B407" t="str">
            <v>TOWN OF OAK RIDGE</v>
          </cell>
          <cell r="C407">
            <v>4.8600000000000002E-5</v>
          </cell>
          <cell r="D407"/>
          <cell r="E407">
            <v>3484</v>
          </cell>
          <cell r="F407">
            <v>3232</v>
          </cell>
          <cell r="G407">
            <v>3232</v>
          </cell>
          <cell r="H407">
            <v>3231</v>
          </cell>
          <cell r="I407">
            <v>0</v>
          </cell>
        </row>
        <row r="408">
          <cell r="A408">
            <v>94168</v>
          </cell>
          <cell r="B408" t="str">
            <v>COLFAX VOLUNTEER FIRE DEPARTMENT</v>
          </cell>
          <cell r="C408">
            <v>5.5099999999999998E-5</v>
          </cell>
          <cell r="D408"/>
          <cell r="E408">
            <v>4373</v>
          </cell>
          <cell r="F408">
            <v>4373</v>
          </cell>
          <cell r="G408">
            <v>4375</v>
          </cell>
          <cell r="H408">
            <v>385</v>
          </cell>
          <cell r="I408">
            <v>0</v>
          </cell>
        </row>
        <row r="409">
          <cell r="A409">
            <v>94171</v>
          </cell>
          <cell r="B409" t="str">
            <v>TOWN OF SUMMERFIELD</v>
          </cell>
          <cell r="C409">
            <v>6.1799999999999998E-5</v>
          </cell>
          <cell r="D409"/>
          <cell r="E409">
            <v>2096</v>
          </cell>
          <cell r="F409">
            <v>1890</v>
          </cell>
          <cell r="G409">
            <v>456</v>
          </cell>
          <cell r="H409">
            <v>0</v>
          </cell>
          <cell r="I409">
            <v>0</v>
          </cell>
        </row>
        <row r="410">
          <cell r="A410">
            <v>94172</v>
          </cell>
          <cell r="B410" t="str">
            <v>SUMMERFIELD FIRE DISTRICT</v>
          </cell>
          <cell r="C410">
            <v>2.8210000000000003E-4</v>
          </cell>
          <cell r="D410"/>
          <cell r="E410">
            <v>0</v>
          </cell>
          <cell r="F410">
            <v>0</v>
          </cell>
          <cell r="G410">
            <v>0</v>
          </cell>
          <cell r="H410">
            <v>0</v>
          </cell>
          <cell r="I410">
            <v>0</v>
          </cell>
        </row>
        <row r="411">
          <cell r="A411">
            <v>94201</v>
          </cell>
          <cell r="B411" t="str">
            <v>HALIFAX COUNTY</v>
          </cell>
          <cell r="C411">
            <v>3.2504999999999999E-3</v>
          </cell>
          <cell r="D411"/>
          <cell r="E411">
            <v>6776</v>
          </cell>
          <cell r="F411">
            <v>2616</v>
          </cell>
          <cell r="G411">
            <v>2616</v>
          </cell>
          <cell r="H411">
            <v>2614</v>
          </cell>
          <cell r="I411">
            <v>0</v>
          </cell>
        </row>
        <row r="412">
          <cell r="A412">
            <v>94204</v>
          </cell>
          <cell r="B412" t="str">
            <v>HALIFAX COUNTY ABC BOARD</v>
          </cell>
          <cell r="C412">
            <v>2.97E-5</v>
          </cell>
          <cell r="D412"/>
          <cell r="E412">
            <v>4624</v>
          </cell>
          <cell r="F412">
            <v>3608</v>
          </cell>
          <cell r="G412">
            <v>2334</v>
          </cell>
          <cell r="H412">
            <v>1061</v>
          </cell>
          <cell r="I412">
            <v>0</v>
          </cell>
        </row>
        <row r="413">
          <cell r="A413">
            <v>94205</v>
          </cell>
          <cell r="B413" t="str">
            <v>HALIFAX COUNTY TOURISM DEVELOPMENT AUTHORITY</v>
          </cell>
          <cell r="C413">
            <v>1.6200000000000001E-5</v>
          </cell>
          <cell r="D413"/>
          <cell r="E413">
            <v>611</v>
          </cell>
          <cell r="F413">
            <v>418</v>
          </cell>
          <cell r="G413">
            <v>418</v>
          </cell>
          <cell r="H413">
            <v>285</v>
          </cell>
          <cell r="I413">
            <v>0</v>
          </cell>
        </row>
        <row r="414">
          <cell r="A414">
            <v>94209</v>
          </cell>
          <cell r="B414" t="str">
            <v>ROANOKE RAPIDS SANITARY DISTRICT</v>
          </cell>
          <cell r="C414">
            <v>3.2519999999999999E-4</v>
          </cell>
          <cell r="D414"/>
          <cell r="E414">
            <v>3934</v>
          </cell>
          <cell r="F414">
            <v>3933</v>
          </cell>
          <cell r="G414">
            <v>1780</v>
          </cell>
          <cell r="H414">
            <v>1781</v>
          </cell>
          <cell r="I414">
            <v>0</v>
          </cell>
        </row>
        <row r="415">
          <cell r="A415">
            <v>94211</v>
          </cell>
          <cell r="B415" t="str">
            <v>TOWN OF ENFIELD</v>
          </cell>
          <cell r="C415">
            <v>1.5359999999999999E-4</v>
          </cell>
          <cell r="D415"/>
          <cell r="E415">
            <v>3411</v>
          </cell>
          <cell r="F415">
            <v>3338</v>
          </cell>
          <cell r="G415">
            <v>1432</v>
          </cell>
          <cell r="H415">
            <v>0</v>
          </cell>
          <cell r="I415">
            <v>0</v>
          </cell>
        </row>
        <row r="416">
          <cell r="A416">
            <v>94221</v>
          </cell>
          <cell r="B416" t="str">
            <v>CITY OF ROANOKE RAPIDS</v>
          </cell>
          <cell r="C416">
            <v>9.8189999999999996E-4</v>
          </cell>
          <cell r="D416"/>
          <cell r="E416">
            <v>0</v>
          </cell>
          <cell r="F416">
            <v>0</v>
          </cell>
          <cell r="G416">
            <v>0</v>
          </cell>
          <cell r="H416">
            <v>0</v>
          </cell>
          <cell r="I416">
            <v>0</v>
          </cell>
        </row>
        <row r="417">
          <cell r="A417">
            <v>94231</v>
          </cell>
          <cell r="B417" t="str">
            <v>TOWN OF WELDON</v>
          </cell>
          <cell r="C417">
            <v>1.485E-4</v>
          </cell>
          <cell r="D417"/>
          <cell r="E417">
            <v>2162</v>
          </cell>
          <cell r="F417">
            <v>1722</v>
          </cell>
          <cell r="G417">
            <v>0</v>
          </cell>
          <cell r="H417">
            <v>0</v>
          </cell>
          <cell r="I417">
            <v>0</v>
          </cell>
        </row>
        <row r="418">
          <cell r="A418">
            <v>94241</v>
          </cell>
          <cell r="B418" t="str">
            <v>TOWN OF SCOTLAND NECK</v>
          </cell>
          <cell r="C418">
            <v>1.106E-4</v>
          </cell>
          <cell r="D418"/>
          <cell r="E418">
            <v>6586</v>
          </cell>
          <cell r="F418">
            <v>6172</v>
          </cell>
          <cell r="G418">
            <v>0</v>
          </cell>
          <cell r="H418">
            <v>0</v>
          </cell>
          <cell r="I418">
            <v>0</v>
          </cell>
        </row>
        <row r="419">
          <cell r="A419">
            <v>94251</v>
          </cell>
          <cell r="B419" t="str">
            <v>TOWN OF HOBGOOD</v>
          </cell>
          <cell r="C419">
            <v>1.7799999999999999E-5</v>
          </cell>
          <cell r="D419"/>
          <cell r="E419">
            <v>1238</v>
          </cell>
          <cell r="F419">
            <v>1240</v>
          </cell>
          <cell r="G419">
            <v>416</v>
          </cell>
          <cell r="H419">
            <v>416</v>
          </cell>
          <cell r="I419">
            <v>0</v>
          </cell>
        </row>
        <row r="420">
          <cell r="A420">
            <v>94261</v>
          </cell>
          <cell r="B420" t="str">
            <v>TOWN OF LITTLETON</v>
          </cell>
          <cell r="C420">
            <v>4.6600000000000001E-5</v>
          </cell>
          <cell r="D420"/>
          <cell r="E420">
            <v>5270</v>
          </cell>
          <cell r="F420">
            <v>3466</v>
          </cell>
          <cell r="G420">
            <v>1695</v>
          </cell>
          <cell r="H420">
            <v>1695</v>
          </cell>
          <cell r="I420">
            <v>0</v>
          </cell>
        </row>
        <row r="421">
          <cell r="A421">
            <v>94301</v>
          </cell>
          <cell r="B421" t="str">
            <v>HARNETT COUNTY</v>
          </cell>
          <cell r="C421">
            <v>6.3099000000000002E-3</v>
          </cell>
          <cell r="D421"/>
          <cell r="E421">
            <v>20337</v>
          </cell>
          <cell r="F421">
            <v>20338</v>
          </cell>
          <cell r="G421">
            <v>1190</v>
          </cell>
          <cell r="H421">
            <v>0</v>
          </cell>
          <cell r="I421">
            <v>0</v>
          </cell>
        </row>
        <row r="422">
          <cell r="A422">
            <v>94311</v>
          </cell>
          <cell r="B422" t="str">
            <v>CITY OF DUNN</v>
          </cell>
          <cell r="C422">
            <v>7.7700000000000002E-4</v>
          </cell>
          <cell r="D422"/>
          <cell r="E422">
            <v>14726</v>
          </cell>
          <cell r="F422">
            <v>14728</v>
          </cell>
          <cell r="G422">
            <v>8884</v>
          </cell>
          <cell r="H422">
            <v>8884</v>
          </cell>
          <cell r="I422">
            <v>0</v>
          </cell>
        </row>
        <row r="423">
          <cell r="A423">
            <v>94313</v>
          </cell>
          <cell r="B423" t="str">
            <v>DUNN HOUSING AUTHORITY</v>
          </cell>
          <cell r="C423">
            <v>1.4399999999999999E-5</v>
          </cell>
          <cell r="D423"/>
          <cell r="E423">
            <v>2759</v>
          </cell>
          <cell r="F423">
            <v>1801</v>
          </cell>
          <cell r="G423">
            <v>1250</v>
          </cell>
          <cell r="H423">
            <v>0</v>
          </cell>
          <cell r="I423">
            <v>0</v>
          </cell>
        </row>
        <row r="424">
          <cell r="A424">
            <v>94317</v>
          </cell>
          <cell r="B424" t="str">
            <v>DUNN ABC BOARD</v>
          </cell>
          <cell r="C424">
            <v>1.0699999999999999E-5</v>
          </cell>
          <cell r="D424"/>
          <cell r="E424">
            <v>3335</v>
          </cell>
          <cell r="F424">
            <v>2661</v>
          </cell>
          <cell r="G424">
            <v>1855</v>
          </cell>
          <cell r="H424">
            <v>929</v>
          </cell>
          <cell r="I424">
            <v>0</v>
          </cell>
        </row>
        <row r="425">
          <cell r="A425">
            <v>94321</v>
          </cell>
          <cell r="B425" t="str">
            <v>TOWN OF LILLINGTON</v>
          </cell>
          <cell r="C425">
            <v>2.8079999999999999E-4</v>
          </cell>
          <cell r="D425"/>
          <cell r="E425">
            <v>0</v>
          </cell>
          <cell r="F425">
            <v>0</v>
          </cell>
          <cell r="G425">
            <v>0</v>
          </cell>
          <cell r="H425">
            <v>0</v>
          </cell>
          <cell r="I425">
            <v>0</v>
          </cell>
        </row>
        <row r="426">
          <cell r="A426">
            <v>94331</v>
          </cell>
          <cell r="B426" t="str">
            <v>TOWN OF ERWIN</v>
          </cell>
          <cell r="C426">
            <v>1.5190000000000001E-4</v>
          </cell>
          <cell r="D426"/>
          <cell r="E426">
            <v>4593</v>
          </cell>
          <cell r="F426">
            <v>4593</v>
          </cell>
          <cell r="G426">
            <v>4595</v>
          </cell>
          <cell r="H426">
            <v>0</v>
          </cell>
          <cell r="I426">
            <v>0</v>
          </cell>
        </row>
        <row r="427">
          <cell r="A427">
            <v>94341</v>
          </cell>
          <cell r="B427" t="str">
            <v>TOWN OF COATS</v>
          </cell>
          <cell r="C427">
            <v>9.8800000000000003E-5</v>
          </cell>
          <cell r="D427"/>
          <cell r="E427">
            <v>2957</v>
          </cell>
          <cell r="F427">
            <v>2958</v>
          </cell>
          <cell r="G427">
            <v>1649</v>
          </cell>
          <cell r="H427">
            <v>1651</v>
          </cell>
          <cell r="I427">
            <v>0</v>
          </cell>
        </row>
        <row r="428">
          <cell r="A428">
            <v>94347</v>
          </cell>
          <cell r="B428" t="str">
            <v>TOWN OF ANGIER ABC BOARD</v>
          </cell>
          <cell r="C428">
            <v>1.17E-5</v>
          </cell>
          <cell r="D428"/>
          <cell r="E428">
            <v>2322</v>
          </cell>
          <cell r="F428">
            <v>2080</v>
          </cell>
          <cell r="G428">
            <v>1478</v>
          </cell>
          <cell r="H428">
            <v>1476</v>
          </cell>
          <cell r="I428">
            <v>0</v>
          </cell>
        </row>
        <row r="429">
          <cell r="A429">
            <v>94351</v>
          </cell>
          <cell r="B429" t="str">
            <v>TOWN OF ANGIER</v>
          </cell>
          <cell r="C429">
            <v>2.2680000000000001E-4</v>
          </cell>
          <cell r="D429"/>
          <cell r="E429">
            <v>0</v>
          </cell>
          <cell r="F429">
            <v>0</v>
          </cell>
          <cell r="G429">
            <v>0</v>
          </cell>
          <cell r="H429">
            <v>0</v>
          </cell>
          <cell r="I429">
            <v>0</v>
          </cell>
        </row>
        <row r="430">
          <cell r="A430">
            <v>94401</v>
          </cell>
          <cell r="B430" t="str">
            <v>HAYWOOD CO</v>
          </cell>
          <cell r="C430">
            <v>3.4440999999999999E-3</v>
          </cell>
          <cell r="D430"/>
          <cell r="E430">
            <v>27968</v>
          </cell>
          <cell r="F430">
            <v>25674</v>
          </cell>
          <cell r="G430">
            <v>25673</v>
          </cell>
          <cell r="H430">
            <v>23407</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6656</v>
          </cell>
          <cell r="F432">
            <v>6656</v>
          </cell>
          <cell r="G432">
            <v>2998</v>
          </cell>
          <cell r="H432">
            <v>1036</v>
          </cell>
          <cell r="I432">
            <v>0</v>
          </cell>
        </row>
        <row r="433">
          <cell r="A433">
            <v>94408</v>
          </cell>
          <cell r="B433" t="str">
            <v>JUNALUSKA SANITARY DISTRICT</v>
          </cell>
          <cell r="C433">
            <v>6.2000000000000003E-5</v>
          </cell>
          <cell r="D433"/>
          <cell r="E433">
            <v>4310</v>
          </cell>
          <cell r="F433">
            <v>2246</v>
          </cell>
          <cell r="G433">
            <v>2246</v>
          </cell>
          <cell r="H433">
            <v>2246</v>
          </cell>
          <cell r="I433">
            <v>0</v>
          </cell>
        </row>
        <row r="434">
          <cell r="A434">
            <v>94411</v>
          </cell>
          <cell r="B434" t="str">
            <v>TOWN OF WAYNESVILLE</v>
          </cell>
          <cell r="C434">
            <v>1.2472E-3</v>
          </cell>
          <cell r="D434"/>
          <cell r="E434">
            <v>12774</v>
          </cell>
          <cell r="F434">
            <v>12772</v>
          </cell>
          <cell r="G434">
            <v>0</v>
          </cell>
          <cell r="H434">
            <v>0</v>
          </cell>
          <cell r="I434">
            <v>0</v>
          </cell>
        </row>
        <row r="435">
          <cell r="A435">
            <v>94412</v>
          </cell>
          <cell r="B435" t="str">
            <v>WAYNESVILLE ABC BOARD</v>
          </cell>
          <cell r="C435">
            <v>1.7E-5</v>
          </cell>
          <cell r="D435"/>
          <cell r="E435">
            <v>5013</v>
          </cell>
          <cell r="F435">
            <v>3882</v>
          </cell>
          <cell r="G435">
            <v>2858</v>
          </cell>
          <cell r="H435">
            <v>1474</v>
          </cell>
          <cell r="I435">
            <v>0</v>
          </cell>
        </row>
        <row r="436">
          <cell r="A436">
            <v>94421</v>
          </cell>
          <cell r="B436" t="str">
            <v>TOWN OF MAGGIE VALLEY</v>
          </cell>
          <cell r="C436">
            <v>1.4880000000000001E-4</v>
          </cell>
          <cell r="D436"/>
          <cell r="E436">
            <v>470</v>
          </cell>
          <cell r="F436">
            <v>469</v>
          </cell>
          <cell r="G436">
            <v>0</v>
          </cell>
          <cell r="H436">
            <v>0</v>
          </cell>
          <cell r="I436">
            <v>0</v>
          </cell>
        </row>
        <row r="437">
          <cell r="A437">
            <v>94427</v>
          </cell>
          <cell r="B437" t="str">
            <v>MAGGIE VALLEY ABC BOARD</v>
          </cell>
          <cell r="C437">
            <v>2.7500000000000001E-5</v>
          </cell>
          <cell r="D437"/>
          <cell r="E437">
            <v>4382</v>
          </cell>
          <cell r="F437">
            <v>4381</v>
          </cell>
          <cell r="G437">
            <v>3488</v>
          </cell>
          <cell r="H437">
            <v>2824</v>
          </cell>
          <cell r="I437">
            <v>0</v>
          </cell>
        </row>
        <row r="438">
          <cell r="A438">
            <v>94428</v>
          </cell>
          <cell r="B438" t="str">
            <v>MAGGIE VALLEY SANITARY DIST</v>
          </cell>
          <cell r="C438">
            <v>7.1400000000000001E-5</v>
          </cell>
          <cell r="D438"/>
          <cell r="E438">
            <v>2008</v>
          </cell>
          <cell r="F438">
            <v>1830</v>
          </cell>
          <cell r="G438">
            <v>1830</v>
          </cell>
          <cell r="H438">
            <v>291</v>
          </cell>
          <cell r="I438">
            <v>0</v>
          </cell>
        </row>
        <row r="439">
          <cell r="A439">
            <v>94431</v>
          </cell>
          <cell r="B439" t="str">
            <v>TOWN OF CANTON</v>
          </cell>
          <cell r="C439">
            <v>4.1829999999999998E-4</v>
          </cell>
          <cell r="D439"/>
          <cell r="E439">
            <v>91956</v>
          </cell>
          <cell r="F439">
            <v>71544</v>
          </cell>
          <cell r="G439">
            <v>43726</v>
          </cell>
          <cell r="H439">
            <v>27384</v>
          </cell>
          <cell r="I439">
            <v>0</v>
          </cell>
        </row>
        <row r="440">
          <cell r="A440">
            <v>94437</v>
          </cell>
          <cell r="B440" t="str">
            <v>CANTON ABC BOARD</v>
          </cell>
          <cell r="C440">
            <v>1.49E-5</v>
          </cell>
          <cell r="D440"/>
          <cell r="E440">
            <v>4835</v>
          </cell>
          <cell r="F440">
            <v>3601</v>
          </cell>
          <cell r="G440">
            <v>2117</v>
          </cell>
          <cell r="H440">
            <v>849</v>
          </cell>
          <cell r="I440">
            <v>0</v>
          </cell>
        </row>
        <row r="441">
          <cell r="A441">
            <v>94501</v>
          </cell>
          <cell r="B441" t="str">
            <v>COUNTY OF HENDERSON</v>
          </cell>
          <cell r="C441">
            <v>5.9772999999999996E-3</v>
          </cell>
          <cell r="D441"/>
          <cell r="E441">
            <v>49413</v>
          </cell>
          <cell r="F441">
            <v>44031</v>
          </cell>
          <cell r="G441">
            <v>44032</v>
          </cell>
          <cell r="H441">
            <v>17719</v>
          </cell>
          <cell r="I441">
            <v>0</v>
          </cell>
        </row>
        <row r="442">
          <cell r="A442">
            <v>94511</v>
          </cell>
          <cell r="B442" t="str">
            <v>CITY OF HENDERSONVILLE</v>
          </cell>
          <cell r="C442">
            <v>2.0183000000000002E-3</v>
          </cell>
          <cell r="D442"/>
          <cell r="E442">
            <v>7729</v>
          </cell>
          <cell r="F442">
            <v>7728</v>
          </cell>
          <cell r="G442">
            <v>4788</v>
          </cell>
          <cell r="H442">
            <v>0</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9902</v>
          </cell>
          <cell r="F444">
            <v>8451</v>
          </cell>
          <cell r="G444">
            <v>6807</v>
          </cell>
          <cell r="H444">
            <v>6030</v>
          </cell>
          <cell r="I444">
            <v>0</v>
          </cell>
        </row>
        <row r="445">
          <cell r="A445">
            <v>94521</v>
          </cell>
          <cell r="B445" t="str">
            <v>TOWN OF LAUREL PARK</v>
          </cell>
          <cell r="C445">
            <v>1.4990000000000001E-4</v>
          </cell>
          <cell r="D445"/>
          <cell r="E445">
            <v>2955</v>
          </cell>
          <cell r="F445">
            <v>2957</v>
          </cell>
          <cell r="G445">
            <v>0</v>
          </cell>
          <cell r="H445">
            <v>0</v>
          </cell>
          <cell r="I445">
            <v>0</v>
          </cell>
        </row>
        <row r="446">
          <cell r="A446">
            <v>94527</v>
          </cell>
          <cell r="B446" t="str">
            <v>LAUREL PARK ABC BOARD</v>
          </cell>
          <cell r="C446">
            <v>6.8000000000000001E-6</v>
          </cell>
          <cell r="D446"/>
          <cell r="E446">
            <v>173</v>
          </cell>
          <cell r="F446">
            <v>173</v>
          </cell>
          <cell r="G446">
            <v>173</v>
          </cell>
          <cell r="H446">
            <v>7</v>
          </cell>
          <cell r="I446">
            <v>0</v>
          </cell>
        </row>
        <row r="447">
          <cell r="A447">
            <v>94531</v>
          </cell>
          <cell r="B447" t="str">
            <v>THE VILLAGE OF FLAT ROCK</v>
          </cell>
          <cell r="C447">
            <v>2.3099999999999999E-5</v>
          </cell>
          <cell r="D447"/>
          <cell r="E447">
            <v>5001</v>
          </cell>
          <cell r="F447">
            <v>4494</v>
          </cell>
          <cell r="G447">
            <v>3674</v>
          </cell>
          <cell r="H447">
            <v>2684</v>
          </cell>
          <cell r="I447">
            <v>0</v>
          </cell>
        </row>
        <row r="448">
          <cell r="A448">
            <v>94532</v>
          </cell>
          <cell r="B448" t="str">
            <v>BLUE RIDGE FIRE DEPARTMENT</v>
          </cell>
          <cell r="C448">
            <v>1.0060000000000001E-4</v>
          </cell>
          <cell r="D448"/>
          <cell r="E448">
            <v>2530</v>
          </cell>
          <cell r="F448">
            <v>2530</v>
          </cell>
          <cell r="G448">
            <v>2530</v>
          </cell>
          <cell r="H448">
            <v>140</v>
          </cell>
          <cell r="I448">
            <v>0</v>
          </cell>
        </row>
        <row r="449">
          <cell r="A449">
            <v>94541</v>
          </cell>
          <cell r="B449" t="str">
            <v>TOWN OF FLETCHER</v>
          </cell>
          <cell r="C449">
            <v>2.7750000000000002E-4</v>
          </cell>
          <cell r="D449"/>
          <cell r="E449">
            <v>0</v>
          </cell>
          <cell r="F449">
            <v>0</v>
          </cell>
          <cell r="G449">
            <v>0</v>
          </cell>
          <cell r="H449">
            <v>0</v>
          </cell>
          <cell r="I449">
            <v>0</v>
          </cell>
        </row>
        <row r="450">
          <cell r="A450">
            <v>94547</v>
          </cell>
          <cell r="B450" t="str">
            <v>FLETCHER ABC BOARD</v>
          </cell>
          <cell r="C450">
            <v>1.1E-5</v>
          </cell>
          <cell r="D450"/>
          <cell r="E450">
            <v>2563</v>
          </cell>
          <cell r="F450">
            <v>2295</v>
          </cell>
          <cell r="G450">
            <v>1952</v>
          </cell>
          <cell r="H450">
            <v>1245</v>
          </cell>
          <cell r="I450">
            <v>0</v>
          </cell>
        </row>
        <row r="451">
          <cell r="A451">
            <v>94551</v>
          </cell>
          <cell r="B451" t="str">
            <v>TOWN OF MILLS RIVER</v>
          </cell>
          <cell r="C451">
            <v>5.3000000000000001E-5</v>
          </cell>
          <cell r="D451"/>
          <cell r="E451">
            <v>5318</v>
          </cell>
          <cell r="F451">
            <v>2901</v>
          </cell>
          <cell r="G451">
            <v>2433</v>
          </cell>
          <cell r="H451">
            <v>797</v>
          </cell>
          <cell r="I451">
            <v>0</v>
          </cell>
        </row>
        <row r="452">
          <cell r="A452">
            <v>94601</v>
          </cell>
          <cell r="B452" t="str">
            <v>HERTFORD COUNTY</v>
          </cell>
          <cell r="C452">
            <v>9.1859999999999999E-4</v>
          </cell>
          <cell r="D452"/>
          <cell r="E452">
            <v>24799</v>
          </cell>
          <cell r="F452">
            <v>17360</v>
          </cell>
          <cell r="G452">
            <v>4507</v>
          </cell>
          <cell r="H452">
            <v>0</v>
          </cell>
          <cell r="I452">
            <v>0</v>
          </cell>
        </row>
        <row r="453">
          <cell r="A453">
            <v>94604</v>
          </cell>
          <cell r="B453" t="str">
            <v>HERTFORD COUNTY ABC BOARD</v>
          </cell>
          <cell r="C453">
            <v>2.6100000000000001E-5</v>
          </cell>
          <cell r="D453"/>
          <cell r="E453">
            <v>1074</v>
          </cell>
          <cell r="F453">
            <v>885</v>
          </cell>
          <cell r="G453">
            <v>462</v>
          </cell>
          <cell r="H453">
            <v>4</v>
          </cell>
          <cell r="I453">
            <v>0</v>
          </cell>
        </row>
        <row r="454">
          <cell r="A454">
            <v>94606</v>
          </cell>
          <cell r="B454" t="str">
            <v>HERTFORD COUNTY PUBLIC HEALTH AUTHORITY</v>
          </cell>
          <cell r="C454">
            <v>0</v>
          </cell>
          <cell r="D454"/>
          <cell r="E454">
            <v>0</v>
          </cell>
          <cell r="F454">
            <v>0</v>
          </cell>
          <cell r="G454">
            <v>0</v>
          </cell>
          <cell r="H454">
            <v>0</v>
          </cell>
          <cell r="I454">
            <v>0</v>
          </cell>
        </row>
        <row r="455">
          <cell r="A455">
            <v>94611</v>
          </cell>
          <cell r="B455" t="str">
            <v>TOWN OF AHOSKIE</v>
          </cell>
          <cell r="C455">
            <v>3.4459999999999997E-4</v>
          </cell>
          <cell r="D455"/>
          <cell r="E455">
            <v>26</v>
          </cell>
          <cell r="F455">
            <v>0</v>
          </cell>
          <cell r="G455">
            <v>0</v>
          </cell>
          <cell r="H455">
            <v>0</v>
          </cell>
          <cell r="I455">
            <v>0</v>
          </cell>
        </row>
        <row r="456">
          <cell r="A456">
            <v>94621</v>
          </cell>
          <cell r="B456" t="str">
            <v>TOWN OF MURFREESBORO</v>
          </cell>
          <cell r="C456">
            <v>1.3320000000000001E-4</v>
          </cell>
          <cell r="D456"/>
          <cell r="E456">
            <v>11451</v>
          </cell>
          <cell r="F456">
            <v>11451</v>
          </cell>
          <cell r="G456">
            <v>11451</v>
          </cell>
          <cell r="H456">
            <v>6521</v>
          </cell>
          <cell r="I456">
            <v>0</v>
          </cell>
        </row>
        <row r="457">
          <cell r="A457">
            <v>94631</v>
          </cell>
          <cell r="B457" t="str">
            <v>TOWN OF WINTON</v>
          </cell>
          <cell r="C457">
            <v>4.2599999999999999E-5</v>
          </cell>
          <cell r="D457"/>
          <cell r="E457">
            <v>2089</v>
          </cell>
          <cell r="F457">
            <v>1528</v>
          </cell>
          <cell r="G457">
            <v>745</v>
          </cell>
          <cell r="H457">
            <v>0</v>
          </cell>
          <cell r="I457">
            <v>0</v>
          </cell>
        </row>
        <row r="458">
          <cell r="A458">
            <v>94641</v>
          </cell>
          <cell r="B458" t="str">
            <v>TOWN OF COFIELD</v>
          </cell>
          <cell r="C458">
            <v>1.04E-5</v>
          </cell>
          <cell r="D458"/>
          <cell r="E458">
            <v>3466</v>
          </cell>
          <cell r="F458">
            <v>3006</v>
          </cell>
          <cell r="G458">
            <v>2496</v>
          </cell>
          <cell r="H458">
            <v>1953</v>
          </cell>
          <cell r="I458">
            <v>0</v>
          </cell>
        </row>
        <row r="459">
          <cell r="A459">
            <v>94701</v>
          </cell>
          <cell r="B459" t="str">
            <v>HOKE COUNTY</v>
          </cell>
          <cell r="C459">
            <v>2.4202999999999998E-3</v>
          </cell>
          <cell r="D459"/>
          <cell r="E459">
            <v>10457</v>
          </cell>
          <cell r="F459">
            <v>10457</v>
          </cell>
          <cell r="G459">
            <v>10457</v>
          </cell>
          <cell r="H459">
            <v>10456</v>
          </cell>
          <cell r="I459">
            <v>0</v>
          </cell>
        </row>
        <row r="460">
          <cell r="A460">
            <v>94704</v>
          </cell>
          <cell r="B460" t="str">
            <v>HOKE COUNTY ABC BOARD</v>
          </cell>
          <cell r="C460">
            <v>1.5299999999999999E-5</v>
          </cell>
          <cell r="D460"/>
          <cell r="E460">
            <v>1232</v>
          </cell>
          <cell r="F460">
            <v>1232</v>
          </cell>
          <cell r="G460">
            <v>1231</v>
          </cell>
          <cell r="H460">
            <v>0</v>
          </cell>
          <cell r="I460">
            <v>0</v>
          </cell>
        </row>
        <row r="461">
          <cell r="A461">
            <v>94711</v>
          </cell>
          <cell r="B461" t="str">
            <v>TOWN OF RAEFORD</v>
          </cell>
          <cell r="C461">
            <v>3.3819999999999998E-4</v>
          </cell>
          <cell r="D461"/>
          <cell r="E461">
            <v>2920</v>
          </cell>
          <cell r="F461">
            <v>2920</v>
          </cell>
          <cell r="G461">
            <v>2922</v>
          </cell>
          <cell r="H461">
            <v>2202</v>
          </cell>
          <cell r="I461">
            <v>0</v>
          </cell>
        </row>
        <row r="462">
          <cell r="A462">
            <v>94801</v>
          </cell>
          <cell r="B462" t="str">
            <v>HYDE COUNTY</v>
          </cell>
          <cell r="C462">
            <v>6.8429999999999999E-4</v>
          </cell>
          <cell r="D462"/>
          <cell r="E462">
            <v>5451</v>
          </cell>
          <cell r="F462">
            <v>2510</v>
          </cell>
          <cell r="G462">
            <v>2510</v>
          </cell>
          <cell r="H462">
            <v>2511</v>
          </cell>
          <cell r="I462">
            <v>0</v>
          </cell>
        </row>
        <row r="463">
          <cell r="A463">
            <v>94804</v>
          </cell>
          <cell r="B463" t="str">
            <v>HYDE COUNTY ABC BOARD</v>
          </cell>
          <cell r="C463">
            <v>2.7999999999999999E-6</v>
          </cell>
          <cell r="D463"/>
          <cell r="E463">
            <v>567</v>
          </cell>
          <cell r="F463">
            <v>567</v>
          </cell>
          <cell r="G463">
            <v>370</v>
          </cell>
          <cell r="H463">
            <v>232</v>
          </cell>
          <cell r="I463">
            <v>0</v>
          </cell>
        </row>
        <row r="464">
          <cell r="A464">
            <v>94812</v>
          </cell>
          <cell r="B464" t="str">
            <v>OCRACOKE SANITARY DIST</v>
          </cell>
          <cell r="C464">
            <v>3.0000000000000001E-5</v>
          </cell>
          <cell r="D464"/>
          <cell r="E464">
            <v>3751</v>
          </cell>
          <cell r="F464">
            <v>2427</v>
          </cell>
          <cell r="G464">
            <v>1608</v>
          </cell>
          <cell r="H464">
            <v>761</v>
          </cell>
          <cell r="I464">
            <v>0</v>
          </cell>
        </row>
        <row r="465">
          <cell r="A465">
            <v>94901</v>
          </cell>
          <cell r="B465" t="str">
            <v>IREDELL COUNTY</v>
          </cell>
          <cell r="C465">
            <v>7.2372000000000001E-3</v>
          </cell>
          <cell r="D465"/>
          <cell r="E465">
            <v>72580</v>
          </cell>
          <cell r="F465">
            <v>70304</v>
          </cell>
          <cell r="G465">
            <v>70302</v>
          </cell>
          <cell r="H465">
            <v>15250</v>
          </cell>
          <cell r="I465">
            <v>0</v>
          </cell>
        </row>
        <row r="466">
          <cell r="A466">
            <v>94908</v>
          </cell>
          <cell r="B466" t="str">
            <v>GREATER STATESVILLE DEVELOPMENT CORP</v>
          </cell>
          <cell r="C466">
            <v>5.9000000000000003E-6</v>
          </cell>
          <cell r="D466"/>
          <cell r="E466">
            <v>2414</v>
          </cell>
          <cell r="F466">
            <v>2414</v>
          </cell>
          <cell r="G466">
            <v>2414</v>
          </cell>
          <cell r="H466">
            <v>2412</v>
          </cell>
          <cell r="I466">
            <v>0</v>
          </cell>
        </row>
        <row r="467">
          <cell r="A467">
            <v>94911</v>
          </cell>
          <cell r="B467" t="str">
            <v>CITY OF STATESVILLE</v>
          </cell>
          <cell r="C467">
            <v>2.8782E-3</v>
          </cell>
          <cell r="D467"/>
          <cell r="E467">
            <v>31512</v>
          </cell>
          <cell r="F467">
            <v>31510</v>
          </cell>
          <cell r="G467">
            <v>22784</v>
          </cell>
          <cell r="H467">
            <v>0</v>
          </cell>
          <cell r="I467">
            <v>0</v>
          </cell>
        </row>
        <row r="468">
          <cell r="A468">
            <v>94917</v>
          </cell>
          <cell r="B468" t="str">
            <v>STATESVILLE ABC BOARD</v>
          </cell>
          <cell r="C468">
            <v>3.0700000000000001E-5</v>
          </cell>
          <cell r="D468"/>
          <cell r="E468">
            <v>7604</v>
          </cell>
          <cell r="F468">
            <v>6421</v>
          </cell>
          <cell r="G468">
            <v>4604</v>
          </cell>
          <cell r="H468">
            <v>2814</v>
          </cell>
          <cell r="I468">
            <v>0</v>
          </cell>
        </row>
        <row r="469">
          <cell r="A469">
            <v>94921</v>
          </cell>
          <cell r="B469" t="str">
            <v>CITY OF MOORESVILLE</v>
          </cell>
          <cell r="C469">
            <v>3.8489000000000002E-3</v>
          </cell>
          <cell r="D469"/>
          <cell r="E469">
            <v>4800</v>
          </cell>
          <cell r="F469">
            <v>4801</v>
          </cell>
          <cell r="G469">
            <v>0</v>
          </cell>
          <cell r="H469">
            <v>0</v>
          </cell>
          <cell r="I469">
            <v>0</v>
          </cell>
        </row>
        <row r="470">
          <cell r="A470">
            <v>94923</v>
          </cell>
          <cell r="B470" t="str">
            <v>MOORESVILLE HOUSING AUTHORITY</v>
          </cell>
          <cell r="C470">
            <v>2.7800000000000001E-5</v>
          </cell>
          <cell r="D470"/>
          <cell r="E470">
            <v>1628</v>
          </cell>
          <cell r="F470">
            <v>1497</v>
          </cell>
          <cell r="G470">
            <v>313</v>
          </cell>
          <cell r="H470">
            <v>254</v>
          </cell>
          <cell r="I470">
            <v>0</v>
          </cell>
        </row>
        <row r="471">
          <cell r="A471">
            <v>94927</v>
          </cell>
          <cell r="B471" t="str">
            <v>MOORESVILLE ABC BOARD</v>
          </cell>
          <cell r="C471">
            <v>2.5299999999999998E-5</v>
          </cell>
          <cell r="D471"/>
          <cell r="E471">
            <v>2754</v>
          </cell>
          <cell r="F471">
            <v>2139</v>
          </cell>
          <cell r="G471">
            <v>2034</v>
          </cell>
          <cell r="H471">
            <v>1258</v>
          </cell>
          <cell r="I471">
            <v>0</v>
          </cell>
        </row>
        <row r="472">
          <cell r="A472">
            <v>94931</v>
          </cell>
          <cell r="B472" t="str">
            <v>TOWN OF TROUTMAN</v>
          </cell>
          <cell r="C472">
            <v>2.142E-4</v>
          </cell>
          <cell r="D472"/>
          <cell r="E472">
            <v>2696</v>
          </cell>
          <cell r="F472">
            <v>2698</v>
          </cell>
          <cell r="G472">
            <v>2458</v>
          </cell>
          <cell r="H472">
            <v>2456</v>
          </cell>
          <cell r="I472">
            <v>0</v>
          </cell>
        </row>
        <row r="473">
          <cell r="A473">
            <v>94937</v>
          </cell>
          <cell r="B473" t="str">
            <v>TOWN OF TROUTMAN ABC BOARD</v>
          </cell>
          <cell r="C473">
            <v>6.9E-6</v>
          </cell>
          <cell r="D473"/>
          <cell r="E473">
            <v>1484</v>
          </cell>
          <cell r="F473">
            <v>1484</v>
          </cell>
          <cell r="G473">
            <v>1484</v>
          </cell>
          <cell r="H473">
            <v>1484</v>
          </cell>
          <cell r="I473">
            <v>0</v>
          </cell>
        </row>
        <row r="474">
          <cell r="A474">
            <v>94941</v>
          </cell>
          <cell r="B474" t="str">
            <v>MI CONNECTION COMMUNICATIONS SYSTEM</v>
          </cell>
          <cell r="C474">
            <v>5.865E-4</v>
          </cell>
          <cell r="D474"/>
          <cell r="E474">
            <v>7508</v>
          </cell>
          <cell r="F474">
            <v>7394</v>
          </cell>
          <cell r="G474">
            <v>3700</v>
          </cell>
          <cell r="H474">
            <v>3699</v>
          </cell>
          <cell r="I474">
            <v>0</v>
          </cell>
        </row>
        <row r="475">
          <cell r="A475">
            <v>94947</v>
          </cell>
          <cell r="B475" t="str">
            <v>VALDESE ABC BOARD</v>
          </cell>
          <cell r="C475">
            <v>5.9000000000000003E-6</v>
          </cell>
          <cell r="D475"/>
          <cell r="E475">
            <v>1576</v>
          </cell>
          <cell r="F475">
            <v>1576</v>
          </cell>
          <cell r="G475">
            <v>1576</v>
          </cell>
          <cell r="H475">
            <v>1577</v>
          </cell>
          <cell r="I475">
            <v>0</v>
          </cell>
        </row>
        <row r="476">
          <cell r="A476">
            <v>95001</v>
          </cell>
          <cell r="B476" t="str">
            <v>JACKSON COUNTY</v>
          </cell>
          <cell r="C476">
            <v>2.2818999999999999E-3</v>
          </cell>
          <cell r="D476"/>
          <cell r="E476">
            <v>60850</v>
          </cell>
          <cell r="F476">
            <v>50916</v>
          </cell>
          <cell r="G476">
            <v>21772</v>
          </cell>
          <cell r="H476">
            <v>21771</v>
          </cell>
          <cell r="I476">
            <v>0</v>
          </cell>
        </row>
        <row r="477">
          <cell r="A477">
            <v>95002</v>
          </cell>
          <cell r="B477" t="str">
            <v>TUCKASEIGEE WATER AUTHORITY</v>
          </cell>
          <cell r="C477">
            <v>1.805E-4</v>
          </cell>
          <cell r="D477"/>
          <cell r="E477">
            <v>9659</v>
          </cell>
          <cell r="F477">
            <v>6944</v>
          </cell>
          <cell r="G477">
            <v>6041</v>
          </cell>
          <cell r="H477">
            <v>3704</v>
          </cell>
          <cell r="I477">
            <v>0</v>
          </cell>
        </row>
        <row r="478">
          <cell r="A478">
            <v>95005</v>
          </cell>
          <cell r="B478" t="str">
            <v>FONTANA REGIONAL LIBRARY</v>
          </cell>
          <cell r="C478">
            <v>1.8819999999999999E-4</v>
          </cell>
          <cell r="D478"/>
          <cell r="E478">
            <v>0</v>
          </cell>
          <cell r="F478">
            <v>0</v>
          </cell>
          <cell r="G478">
            <v>0</v>
          </cell>
          <cell r="H478">
            <v>0</v>
          </cell>
          <cell r="I478">
            <v>0</v>
          </cell>
        </row>
        <row r="479">
          <cell r="A479">
            <v>95008</v>
          </cell>
          <cell r="B479" t="str">
            <v>SOUTHWESTERN NC PLANNING &amp; ECON.DEV.COMMIS.</v>
          </cell>
          <cell r="C479">
            <v>1.193E-4</v>
          </cell>
          <cell r="D479"/>
          <cell r="E479">
            <v>6339</v>
          </cell>
          <cell r="F479">
            <v>6337</v>
          </cell>
          <cell r="G479">
            <v>4636</v>
          </cell>
          <cell r="H479">
            <v>1998</v>
          </cell>
          <cell r="I479">
            <v>0</v>
          </cell>
        </row>
        <row r="480">
          <cell r="A480">
            <v>95009</v>
          </cell>
          <cell r="B480" t="str">
            <v>SMOKY MOUNTAIN M H C</v>
          </cell>
          <cell r="C480">
            <v>4.0723000000000001E-3</v>
          </cell>
          <cell r="D480"/>
          <cell r="E480">
            <v>82000</v>
          </cell>
          <cell r="F480">
            <v>34692</v>
          </cell>
          <cell r="G480">
            <v>0</v>
          </cell>
          <cell r="H480">
            <v>0</v>
          </cell>
          <cell r="I480">
            <v>0</v>
          </cell>
        </row>
        <row r="481">
          <cell r="A481">
            <v>95011</v>
          </cell>
          <cell r="B481" t="str">
            <v>TOWN OF SYLVA</v>
          </cell>
          <cell r="C481">
            <v>1.9230000000000001E-4</v>
          </cell>
          <cell r="D481"/>
          <cell r="E481">
            <v>1897</v>
          </cell>
          <cell r="F481">
            <v>1895</v>
          </cell>
          <cell r="G481">
            <v>1078</v>
          </cell>
          <cell r="H481">
            <v>264</v>
          </cell>
          <cell r="I481">
            <v>0</v>
          </cell>
        </row>
        <row r="482">
          <cell r="A482">
            <v>95017</v>
          </cell>
          <cell r="B482" t="str">
            <v>JACKSON COUNTY ABC BOARD</v>
          </cell>
          <cell r="C482">
            <v>5.1E-5</v>
          </cell>
          <cell r="D482"/>
          <cell r="E482">
            <v>1031</v>
          </cell>
          <cell r="F482">
            <v>285</v>
          </cell>
          <cell r="G482">
            <v>278</v>
          </cell>
          <cell r="H482">
            <v>5</v>
          </cell>
          <cell r="I482">
            <v>0</v>
          </cell>
        </row>
        <row r="483">
          <cell r="A483">
            <v>95101</v>
          </cell>
          <cell r="B483" t="str">
            <v>JOHNSTON COUNTY</v>
          </cell>
          <cell r="C483">
            <v>8.8515E-3</v>
          </cell>
          <cell r="D483"/>
          <cell r="E483">
            <v>10681</v>
          </cell>
          <cell r="F483">
            <v>10681</v>
          </cell>
          <cell r="G483">
            <v>10681</v>
          </cell>
          <cell r="H483">
            <v>10679</v>
          </cell>
          <cell r="I483">
            <v>0</v>
          </cell>
        </row>
        <row r="484">
          <cell r="A484">
            <v>95103</v>
          </cell>
          <cell r="B484" t="str">
            <v>BENSON HOUSING AUTHORITY</v>
          </cell>
          <cell r="C484">
            <v>5.0599999999999997E-5</v>
          </cell>
          <cell r="D484"/>
          <cell r="E484">
            <v>5968</v>
          </cell>
          <cell r="F484">
            <v>4188</v>
          </cell>
          <cell r="G484">
            <v>3950</v>
          </cell>
          <cell r="H484">
            <v>3094</v>
          </cell>
          <cell r="I484">
            <v>0</v>
          </cell>
        </row>
        <row r="485">
          <cell r="A485">
            <v>95104</v>
          </cell>
          <cell r="B485" t="str">
            <v>JOHNSTON COUNTY ABC BOARD</v>
          </cell>
          <cell r="C485">
            <v>1.149E-4</v>
          </cell>
          <cell r="D485"/>
          <cell r="E485">
            <v>12039</v>
          </cell>
          <cell r="F485">
            <v>10945</v>
          </cell>
          <cell r="G485">
            <v>8992</v>
          </cell>
          <cell r="H485">
            <v>7021</v>
          </cell>
          <cell r="I485">
            <v>0</v>
          </cell>
        </row>
        <row r="486">
          <cell r="A486">
            <v>95105</v>
          </cell>
          <cell r="B486" t="str">
            <v>PUBLIC LIBRARY OF JOHNSTON CO AND SMITHFIELD</v>
          </cell>
          <cell r="C486">
            <v>7.1500000000000003E-5</v>
          </cell>
          <cell r="D486"/>
          <cell r="E486">
            <v>4384</v>
          </cell>
          <cell r="F486">
            <v>3753</v>
          </cell>
          <cell r="G486">
            <v>3128</v>
          </cell>
          <cell r="H486">
            <v>1575</v>
          </cell>
          <cell r="I486">
            <v>0</v>
          </cell>
        </row>
        <row r="487">
          <cell r="A487">
            <v>95106</v>
          </cell>
          <cell r="B487" t="str">
            <v>TOWN OF ARCHER LODGE</v>
          </cell>
          <cell r="C487">
            <v>1.29E-5</v>
          </cell>
          <cell r="D487"/>
          <cell r="E487">
            <v>1496</v>
          </cell>
          <cell r="F487">
            <v>798</v>
          </cell>
          <cell r="G487">
            <v>798</v>
          </cell>
          <cell r="H487">
            <v>223</v>
          </cell>
          <cell r="I487">
            <v>0</v>
          </cell>
        </row>
        <row r="488">
          <cell r="A488">
            <v>95110</v>
          </cell>
          <cell r="B488" t="str">
            <v>JOHNSTON HEALTH CENTER</v>
          </cell>
          <cell r="C488">
            <v>3.1538E-3</v>
          </cell>
          <cell r="D488"/>
          <cell r="E488">
            <v>0</v>
          </cell>
          <cell r="F488">
            <v>0</v>
          </cell>
          <cell r="G488">
            <v>0</v>
          </cell>
          <cell r="H488">
            <v>0</v>
          </cell>
          <cell r="I488">
            <v>0</v>
          </cell>
        </row>
        <row r="489">
          <cell r="A489">
            <v>95111</v>
          </cell>
          <cell r="B489" t="str">
            <v>TOWN OF SMITHFIELD</v>
          </cell>
          <cell r="C489">
            <v>1.0529000000000001E-3</v>
          </cell>
          <cell r="D489"/>
          <cell r="E489">
            <v>0</v>
          </cell>
          <cell r="F489">
            <v>0</v>
          </cell>
          <cell r="G489">
            <v>0</v>
          </cell>
          <cell r="H489">
            <v>0</v>
          </cell>
          <cell r="I489">
            <v>0</v>
          </cell>
        </row>
        <row r="490">
          <cell r="A490">
            <v>95113</v>
          </cell>
          <cell r="B490" t="str">
            <v>SMITHFIELD HOUSING AUTHORITY</v>
          </cell>
          <cell r="C490">
            <v>4.5300000000000003E-5</v>
          </cell>
          <cell r="D490"/>
          <cell r="E490">
            <v>38358</v>
          </cell>
          <cell r="F490">
            <v>30395</v>
          </cell>
          <cell r="G490">
            <v>21581</v>
          </cell>
          <cell r="H490">
            <v>11406</v>
          </cell>
          <cell r="I490">
            <v>0</v>
          </cell>
        </row>
        <row r="491">
          <cell r="A491">
            <v>95121</v>
          </cell>
          <cell r="B491" t="str">
            <v>TOWN OF SELMA</v>
          </cell>
          <cell r="C491">
            <v>4.6769999999999998E-4</v>
          </cell>
          <cell r="D491"/>
          <cell r="E491">
            <v>3647</v>
          </cell>
          <cell r="F491">
            <v>1603</v>
          </cell>
          <cell r="G491">
            <v>1601</v>
          </cell>
          <cell r="H491">
            <v>0</v>
          </cell>
          <cell r="I491">
            <v>0</v>
          </cell>
        </row>
        <row r="492">
          <cell r="A492">
            <v>95122</v>
          </cell>
          <cell r="B492" t="str">
            <v>TOWN OF MICRO</v>
          </cell>
          <cell r="C492">
            <v>1.5400000000000002E-5</v>
          </cell>
          <cell r="D492"/>
          <cell r="E492">
            <v>3372</v>
          </cell>
          <cell r="F492">
            <v>3152</v>
          </cell>
          <cell r="G492">
            <v>2509</v>
          </cell>
          <cell r="H492">
            <v>2215</v>
          </cell>
          <cell r="I492">
            <v>0</v>
          </cell>
        </row>
        <row r="493">
          <cell r="A493">
            <v>95123</v>
          </cell>
          <cell r="B493" t="str">
            <v>SELMA HOUSING AUTHORITY</v>
          </cell>
          <cell r="C493">
            <v>4.8999999999999998E-5</v>
          </cell>
          <cell r="D493"/>
          <cell r="E493">
            <v>1802</v>
          </cell>
          <cell r="F493">
            <v>724</v>
          </cell>
          <cell r="G493">
            <v>38</v>
          </cell>
          <cell r="H493">
            <v>0</v>
          </cell>
          <cell r="I493">
            <v>0</v>
          </cell>
        </row>
        <row r="494">
          <cell r="A494">
            <v>95131</v>
          </cell>
          <cell r="B494" t="str">
            <v>TOWN OF CLAYTON</v>
          </cell>
          <cell r="C494">
            <v>1.7905E-3</v>
          </cell>
          <cell r="D494"/>
          <cell r="E494">
            <v>30136</v>
          </cell>
          <cell r="F494">
            <v>26139</v>
          </cell>
          <cell r="G494">
            <v>8725</v>
          </cell>
          <cell r="H494">
            <v>2539</v>
          </cell>
          <cell r="I494">
            <v>0</v>
          </cell>
        </row>
        <row r="495">
          <cell r="A495">
            <v>95141</v>
          </cell>
          <cell r="B495" t="str">
            <v>TOWN OF BENSON</v>
          </cell>
          <cell r="C495">
            <v>3.6099999999999999E-4</v>
          </cell>
          <cell r="D495"/>
          <cell r="E495">
            <v>5089</v>
          </cell>
          <cell r="F495">
            <v>5089</v>
          </cell>
          <cell r="G495">
            <v>5089</v>
          </cell>
          <cell r="H495">
            <v>5089</v>
          </cell>
          <cell r="I495">
            <v>0</v>
          </cell>
        </row>
        <row r="496">
          <cell r="A496">
            <v>95151</v>
          </cell>
          <cell r="B496" t="str">
            <v>TOWN OF FOUR OAKS</v>
          </cell>
          <cell r="C496">
            <v>1.1010000000000001E-4</v>
          </cell>
          <cell r="D496"/>
          <cell r="E496">
            <v>62</v>
          </cell>
          <cell r="F496">
            <v>62</v>
          </cell>
          <cell r="G496">
            <v>63</v>
          </cell>
          <cell r="H496">
            <v>0</v>
          </cell>
          <cell r="I496">
            <v>0</v>
          </cell>
        </row>
        <row r="497">
          <cell r="A497">
            <v>95161</v>
          </cell>
          <cell r="B497" t="str">
            <v>TOWN OF PINE LEVEL</v>
          </cell>
          <cell r="C497">
            <v>7.1199999999999996E-5</v>
          </cell>
          <cell r="D497"/>
          <cell r="E497">
            <v>4447</v>
          </cell>
          <cell r="F497">
            <v>3190</v>
          </cell>
          <cell r="G497">
            <v>2951</v>
          </cell>
          <cell r="H497">
            <v>1293</v>
          </cell>
          <cell r="I497">
            <v>0</v>
          </cell>
        </row>
        <row r="498">
          <cell r="A498">
            <v>95171</v>
          </cell>
          <cell r="B498" t="str">
            <v>TOWN OF KENLY</v>
          </cell>
          <cell r="C498">
            <v>1.089E-4</v>
          </cell>
          <cell r="D498"/>
          <cell r="E498">
            <v>4970</v>
          </cell>
          <cell r="F498">
            <v>4970</v>
          </cell>
          <cell r="G498">
            <v>4970</v>
          </cell>
          <cell r="H498">
            <v>4969</v>
          </cell>
          <cell r="I498">
            <v>0</v>
          </cell>
        </row>
        <row r="499">
          <cell r="A499">
            <v>95181</v>
          </cell>
          <cell r="B499" t="str">
            <v>TOWN OF PRINCETON</v>
          </cell>
          <cell r="C499">
            <v>5.9700000000000001E-5</v>
          </cell>
          <cell r="D499"/>
          <cell r="E499">
            <v>0</v>
          </cell>
          <cell r="F499">
            <v>0</v>
          </cell>
          <cell r="G499">
            <v>0</v>
          </cell>
          <cell r="H499">
            <v>0</v>
          </cell>
          <cell r="I499">
            <v>0</v>
          </cell>
        </row>
        <row r="500">
          <cell r="A500">
            <v>95191</v>
          </cell>
          <cell r="B500" t="str">
            <v>TOWN OF WILSON'S MILLS</v>
          </cell>
          <cell r="C500">
            <v>7.3800000000000005E-5</v>
          </cell>
          <cell r="D500"/>
          <cell r="E500">
            <v>10217</v>
          </cell>
          <cell r="F500">
            <v>10217</v>
          </cell>
          <cell r="G500">
            <v>8911</v>
          </cell>
          <cell r="H500">
            <v>8096</v>
          </cell>
          <cell r="I500">
            <v>0</v>
          </cell>
        </row>
        <row r="501">
          <cell r="A501">
            <v>95201</v>
          </cell>
          <cell r="B501" t="str">
            <v>JONES COUNTY</v>
          </cell>
          <cell r="C501">
            <v>6.5070000000000004E-4</v>
          </cell>
          <cell r="D501"/>
          <cell r="E501">
            <v>1937</v>
          </cell>
          <cell r="F501">
            <v>54</v>
          </cell>
          <cell r="G501">
            <v>0</v>
          </cell>
          <cell r="H501">
            <v>0</v>
          </cell>
          <cell r="I501">
            <v>0</v>
          </cell>
        </row>
        <row r="502">
          <cell r="A502">
            <v>95204</v>
          </cell>
          <cell r="B502" t="str">
            <v>JONES COUNTY ABC BOARD</v>
          </cell>
          <cell r="C502">
            <v>5.6999999999999996E-6</v>
          </cell>
          <cell r="D502"/>
          <cell r="E502">
            <v>456</v>
          </cell>
          <cell r="F502">
            <v>456</v>
          </cell>
          <cell r="G502">
            <v>0</v>
          </cell>
          <cell r="H502">
            <v>0</v>
          </cell>
          <cell r="I502">
            <v>0</v>
          </cell>
        </row>
        <row r="503">
          <cell r="A503">
            <v>95205</v>
          </cell>
          <cell r="B503" t="str">
            <v>NEUSE REGIONAL LIBRARY-JONES COUNTY</v>
          </cell>
          <cell r="C503">
            <v>2.7E-6</v>
          </cell>
          <cell r="D503"/>
          <cell r="E503">
            <v>539</v>
          </cell>
          <cell r="F503">
            <v>478</v>
          </cell>
          <cell r="G503">
            <v>452</v>
          </cell>
          <cell r="H503">
            <v>453</v>
          </cell>
          <cell r="I503">
            <v>0</v>
          </cell>
        </row>
        <row r="504">
          <cell r="A504">
            <v>95211</v>
          </cell>
          <cell r="B504" t="str">
            <v>TOWN OF POLLOCKSVILLE</v>
          </cell>
          <cell r="C504">
            <v>5.1000000000000003E-6</v>
          </cell>
          <cell r="D504"/>
          <cell r="E504">
            <v>454</v>
          </cell>
          <cell r="F504">
            <v>17</v>
          </cell>
          <cell r="G504">
            <v>17</v>
          </cell>
          <cell r="H504">
            <v>18</v>
          </cell>
          <cell r="I504">
            <v>0</v>
          </cell>
        </row>
        <row r="505">
          <cell r="A505">
            <v>95221</v>
          </cell>
          <cell r="B505" t="str">
            <v>TOWN OF MAYSVILLE</v>
          </cell>
          <cell r="C505">
            <v>5.4400000000000001E-5</v>
          </cell>
          <cell r="D505"/>
          <cell r="E505">
            <v>6196</v>
          </cell>
          <cell r="F505">
            <v>6197</v>
          </cell>
          <cell r="G505">
            <v>1615</v>
          </cell>
          <cell r="H505">
            <v>0</v>
          </cell>
          <cell r="I505">
            <v>0</v>
          </cell>
        </row>
        <row r="506">
          <cell r="A506">
            <v>95301</v>
          </cell>
          <cell r="B506" t="str">
            <v>LEE COUNTY</v>
          </cell>
          <cell r="C506">
            <v>2.1561000000000002E-3</v>
          </cell>
          <cell r="D506"/>
          <cell r="E506">
            <v>9514</v>
          </cell>
          <cell r="F506">
            <v>6277</v>
          </cell>
          <cell r="G506">
            <v>0</v>
          </cell>
          <cell r="H506">
            <v>0</v>
          </cell>
          <cell r="I506">
            <v>0</v>
          </cell>
        </row>
        <row r="507">
          <cell r="A507">
            <v>95311</v>
          </cell>
          <cell r="B507" t="str">
            <v>CITY OF SANFORD</v>
          </cell>
          <cell r="C507">
            <v>2.578E-3</v>
          </cell>
          <cell r="D507"/>
          <cell r="E507">
            <v>12012</v>
          </cell>
          <cell r="F507">
            <v>12012</v>
          </cell>
          <cell r="G507">
            <v>3095</v>
          </cell>
          <cell r="H507">
            <v>18</v>
          </cell>
          <cell r="I507">
            <v>0</v>
          </cell>
        </row>
        <row r="508">
          <cell r="A508">
            <v>95317</v>
          </cell>
          <cell r="B508" t="str">
            <v>SANFORD ABC BOARD</v>
          </cell>
          <cell r="C508">
            <v>4.1999999999999998E-5</v>
          </cell>
          <cell r="D508"/>
          <cell r="E508">
            <v>2566</v>
          </cell>
          <cell r="F508">
            <v>2186</v>
          </cell>
          <cell r="G508">
            <v>1591</v>
          </cell>
          <cell r="H508">
            <v>1340</v>
          </cell>
          <cell r="I508">
            <v>0</v>
          </cell>
        </row>
        <row r="509">
          <cell r="A509">
            <v>95321</v>
          </cell>
          <cell r="B509" t="str">
            <v>TOWN OF BROADWAY</v>
          </cell>
          <cell r="C509">
            <v>4.85E-5</v>
          </cell>
          <cell r="D509"/>
          <cell r="E509">
            <v>1705</v>
          </cell>
          <cell r="F509">
            <v>1494</v>
          </cell>
          <cell r="G509">
            <v>1493</v>
          </cell>
          <cell r="H509">
            <v>214</v>
          </cell>
          <cell r="I509">
            <v>0</v>
          </cell>
        </row>
        <row r="510">
          <cell r="A510">
            <v>95401</v>
          </cell>
          <cell r="B510" t="str">
            <v>LENOIR COUNTY</v>
          </cell>
          <cell r="C510">
            <v>2.9023E-3</v>
          </cell>
          <cell r="D510"/>
          <cell r="E510">
            <v>4785</v>
          </cell>
          <cell r="F510">
            <v>0</v>
          </cell>
          <cell r="G510">
            <v>0</v>
          </cell>
          <cell r="H510">
            <v>0</v>
          </cell>
          <cell r="I510">
            <v>0</v>
          </cell>
        </row>
        <row r="511">
          <cell r="A511">
            <v>95404</v>
          </cell>
          <cell r="B511" t="str">
            <v>LENOIR COUNTY ABC BOARD</v>
          </cell>
          <cell r="C511">
            <v>4.4799999999999998E-5</v>
          </cell>
          <cell r="D511"/>
          <cell r="E511">
            <v>1374</v>
          </cell>
          <cell r="F511">
            <v>104</v>
          </cell>
          <cell r="G511">
            <v>0</v>
          </cell>
          <cell r="H511">
            <v>0</v>
          </cell>
          <cell r="I511">
            <v>0</v>
          </cell>
        </row>
        <row r="512">
          <cell r="A512">
            <v>95405</v>
          </cell>
          <cell r="B512" t="str">
            <v>NEUSE REGIONAL LIBRARY</v>
          </cell>
          <cell r="C512">
            <v>3.3399999999999999E-5</v>
          </cell>
          <cell r="D512"/>
          <cell r="E512">
            <v>8961</v>
          </cell>
          <cell r="F512">
            <v>7431</v>
          </cell>
          <cell r="G512">
            <v>5708</v>
          </cell>
          <cell r="H512">
            <v>3666</v>
          </cell>
          <cell r="I512">
            <v>0</v>
          </cell>
        </row>
        <row r="513">
          <cell r="A513">
            <v>95411</v>
          </cell>
          <cell r="B513" t="str">
            <v>CITY OF KINSTON</v>
          </cell>
          <cell r="C513">
            <v>2.0365000000000001E-3</v>
          </cell>
          <cell r="D513"/>
          <cell r="E513">
            <v>3600</v>
          </cell>
          <cell r="F513">
            <v>0</v>
          </cell>
          <cell r="G513">
            <v>0</v>
          </cell>
          <cell r="H513">
            <v>0</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53982</v>
          </cell>
          <cell r="F515">
            <v>29038</v>
          </cell>
          <cell r="G515">
            <v>1759</v>
          </cell>
          <cell r="H515">
            <v>0</v>
          </cell>
          <cell r="I515">
            <v>0</v>
          </cell>
        </row>
        <row r="516">
          <cell r="A516">
            <v>95415</v>
          </cell>
          <cell r="B516" t="str">
            <v>KINSTON-LENOIR CO PUB LIBRARY</v>
          </cell>
          <cell r="C516">
            <v>5.7599999999999997E-5</v>
          </cell>
          <cell r="D516"/>
          <cell r="E516">
            <v>785</v>
          </cell>
          <cell r="F516">
            <v>785</v>
          </cell>
          <cell r="G516">
            <v>787</v>
          </cell>
          <cell r="H516">
            <v>0</v>
          </cell>
          <cell r="I516">
            <v>0</v>
          </cell>
        </row>
        <row r="517">
          <cell r="A517">
            <v>95421</v>
          </cell>
          <cell r="B517" t="str">
            <v>TOWN OF PINK HILL</v>
          </cell>
          <cell r="C517">
            <v>3.6699999999999998E-5</v>
          </cell>
          <cell r="D517"/>
          <cell r="E517">
            <v>251</v>
          </cell>
          <cell r="F517">
            <v>249</v>
          </cell>
          <cell r="G517">
            <v>193</v>
          </cell>
          <cell r="H517">
            <v>95</v>
          </cell>
          <cell r="I517">
            <v>0</v>
          </cell>
        </row>
        <row r="518">
          <cell r="A518">
            <v>95431</v>
          </cell>
          <cell r="B518" t="str">
            <v>TOWN OF LAGRANGE</v>
          </cell>
          <cell r="C518">
            <v>1.3689999999999999E-4</v>
          </cell>
          <cell r="D518"/>
          <cell r="E518">
            <v>0</v>
          </cell>
          <cell r="F518">
            <v>0</v>
          </cell>
          <cell r="G518">
            <v>0</v>
          </cell>
          <cell r="H518">
            <v>0</v>
          </cell>
          <cell r="I518">
            <v>0</v>
          </cell>
        </row>
        <row r="519">
          <cell r="A519">
            <v>95501</v>
          </cell>
          <cell r="B519" t="str">
            <v>LINCOLN COUNTY</v>
          </cell>
          <cell r="C519">
            <v>5.0283999999999997E-3</v>
          </cell>
          <cell r="D519"/>
          <cell r="E519">
            <v>29039</v>
          </cell>
          <cell r="F519">
            <v>29039</v>
          </cell>
          <cell r="G519">
            <v>29039</v>
          </cell>
          <cell r="H519">
            <v>29041</v>
          </cell>
          <cell r="I519">
            <v>0</v>
          </cell>
        </row>
        <row r="520">
          <cell r="A520">
            <v>95504</v>
          </cell>
          <cell r="B520" t="str">
            <v>LINCOLN COUNTY ABC BOARD</v>
          </cell>
          <cell r="C520">
            <v>1.49E-5</v>
          </cell>
          <cell r="D520"/>
          <cell r="E520">
            <v>5182</v>
          </cell>
          <cell r="F520">
            <v>4947</v>
          </cell>
          <cell r="G520">
            <v>3866</v>
          </cell>
          <cell r="H520">
            <v>2776</v>
          </cell>
          <cell r="I520">
            <v>0</v>
          </cell>
        </row>
        <row r="521">
          <cell r="A521">
            <v>95511</v>
          </cell>
          <cell r="B521" t="str">
            <v>CITY OF LINCOLNTON</v>
          </cell>
          <cell r="C521">
            <v>9.4910000000000003E-4</v>
          </cell>
          <cell r="D521"/>
          <cell r="E521">
            <v>23356</v>
          </cell>
          <cell r="F521">
            <v>23358</v>
          </cell>
          <cell r="G521">
            <v>13641</v>
          </cell>
          <cell r="H521">
            <v>8875</v>
          </cell>
          <cell r="I521">
            <v>0</v>
          </cell>
        </row>
        <row r="522">
          <cell r="A522">
            <v>95513</v>
          </cell>
          <cell r="B522" t="str">
            <v>LINCOLNTON HOUSING AUTHORITY</v>
          </cell>
          <cell r="C522">
            <v>3.9700000000000003E-5</v>
          </cell>
          <cell r="D522"/>
          <cell r="E522">
            <v>7878</v>
          </cell>
          <cell r="F522">
            <v>6066</v>
          </cell>
          <cell r="G522">
            <v>3795</v>
          </cell>
          <cell r="H522">
            <v>1596</v>
          </cell>
          <cell r="I522">
            <v>0</v>
          </cell>
        </row>
        <row r="523">
          <cell r="A523">
            <v>95517</v>
          </cell>
          <cell r="B523" t="str">
            <v>TOWN OF LINCOLNTON ABC BOARD</v>
          </cell>
          <cell r="C523">
            <v>1.84E-5</v>
          </cell>
          <cell r="D523"/>
          <cell r="E523">
            <v>3965</v>
          </cell>
          <cell r="F523">
            <v>2212</v>
          </cell>
          <cell r="G523">
            <v>0</v>
          </cell>
          <cell r="H523">
            <v>0</v>
          </cell>
          <cell r="I523">
            <v>0</v>
          </cell>
        </row>
        <row r="524">
          <cell r="A524">
            <v>95601</v>
          </cell>
          <cell r="B524" t="str">
            <v>MACON COUNTY</v>
          </cell>
          <cell r="C524">
            <v>2.4459999999999998E-3</v>
          </cell>
          <cell r="D524"/>
          <cell r="E524">
            <v>10163</v>
          </cell>
          <cell r="F524">
            <v>0</v>
          </cell>
          <cell r="G524">
            <v>0</v>
          </cell>
          <cell r="H524">
            <v>0</v>
          </cell>
          <cell r="I524">
            <v>0</v>
          </cell>
        </row>
        <row r="525">
          <cell r="A525">
            <v>95611</v>
          </cell>
          <cell r="B525" t="str">
            <v>TOWN OF FRANKLIN</v>
          </cell>
          <cell r="C525">
            <v>3.7889999999999999E-4</v>
          </cell>
          <cell r="D525"/>
          <cell r="E525">
            <v>2656</v>
          </cell>
          <cell r="F525">
            <v>2658</v>
          </cell>
          <cell r="G525">
            <v>835</v>
          </cell>
          <cell r="H525">
            <v>833</v>
          </cell>
          <cell r="I525">
            <v>0</v>
          </cell>
        </row>
        <row r="526">
          <cell r="A526">
            <v>95617</v>
          </cell>
          <cell r="B526" t="str">
            <v>HIGHLANDS ABC BOARD</v>
          </cell>
          <cell r="C526">
            <v>1.49E-5</v>
          </cell>
          <cell r="D526"/>
          <cell r="E526">
            <v>386</v>
          </cell>
          <cell r="F526">
            <v>310</v>
          </cell>
          <cell r="G526">
            <v>196</v>
          </cell>
          <cell r="H526">
            <v>94</v>
          </cell>
          <cell r="I526">
            <v>0</v>
          </cell>
        </row>
        <row r="527">
          <cell r="A527">
            <v>95621</v>
          </cell>
          <cell r="B527" t="str">
            <v>TOWN OF HIGHLANDS</v>
          </cell>
          <cell r="C527">
            <v>4.5750000000000001E-4</v>
          </cell>
          <cell r="D527"/>
          <cell r="E527">
            <v>10593</v>
          </cell>
          <cell r="F527">
            <v>10593</v>
          </cell>
          <cell r="G527">
            <v>10592</v>
          </cell>
          <cell r="H527">
            <v>0</v>
          </cell>
          <cell r="I527">
            <v>0</v>
          </cell>
        </row>
        <row r="528">
          <cell r="A528">
            <v>95701</v>
          </cell>
          <cell r="B528" t="str">
            <v>MADISON COUNTY</v>
          </cell>
          <cell r="C528">
            <v>1.2156000000000001E-3</v>
          </cell>
          <cell r="D528"/>
          <cell r="E528">
            <v>11267</v>
          </cell>
          <cell r="F528">
            <v>7932</v>
          </cell>
          <cell r="G528">
            <v>0</v>
          </cell>
          <cell r="H528">
            <v>0</v>
          </cell>
          <cell r="I528">
            <v>0</v>
          </cell>
        </row>
        <row r="529">
          <cell r="A529">
            <v>95711</v>
          </cell>
          <cell r="B529" t="str">
            <v>TOWN OF MARS HILL</v>
          </cell>
          <cell r="C529">
            <v>1.4320000000000001E-4</v>
          </cell>
          <cell r="D529"/>
          <cell r="E529">
            <v>227</v>
          </cell>
          <cell r="F529">
            <v>0</v>
          </cell>
          <cell r="G529">
            <v>0</v>
          </cell>
          <cell r="H529">
            <v>0</v>
          </cell>
          <cell r="I529">
            <v>0</v>
          </cell>
        </row>
        <row r="530">
          <cell r="A530">
            <v>95721</v>
          </cell>
          <cell r="B530" t="str">
            <v>TOWN OF MARSHALL</v>
          </cell>
          <cell r="C530">
            <v>6.58E-5</v>
          </cell>
          <cell r="D530"/>
          <cell r="E530">
            <v>0</v>
          </cell>
          <cell r="F530">
            <v>0</v>
          </cell>
          <cell r="G530">
            <v>0</v>
          </cell>
          <cell r="H530">
            <v>0</v>
          </cell>
          <cell r="I530">
            <v>0</v>
          </cell>
        </row>
        <row r="531">
          <cell r="A531">
            <v>95733</v>
          </cell>
          <cell r="B531" t="str">
            <v>HOT SPRINGS HOUSING AUTHORITY</v>
          </cell>
          <cell r="C531">
            <v>1.43E-5</v>
          </cell>
          <cell r="D531"/>
          <cell r="E531">
            <v>14</v>
          </cell>
          <cell r="F531">
            <v>14</v>
          </cell>
          <cell r="G531">
            <v>13</v>
          </cell>
          <cell r="H531">
            <v>0</v>
          </cell>
          <cell r="I531">
            <v>0</v>
          </cell>
        </row>
        <row r="532">
          <cell r="A532">
            <v>95801</v>
          </cell>
          <cell r="B532" t="str">
            <v>MARTIN COUNTY</v>
          </cell>
          <cell r="C532">
            <v>9.5739999999999996E-4</v>
          </cell>
          <cell r="D532"/>
          <cell r="E532">
            <v>18825</v>
          </cell>
          <cell r="F532">
            <v>18827</v>
          </cell>
          <cell r="G532">
            <v>5634</v>
          </cell>
          <cell r="H532">
            <v>0</v>
          </cell>
          <cell r="I532">
            <v>0</v>
          </cell>
        </row>
        <row r="533">
          <cell r="A533">
            <v>95802</v>
          </cell>
          <cell r="B533" t="str">
            <v>MARTIN CO TRAVEL &amp; TOURISM AUTH</v>
          </cell>
          <cell r="C533">
            <v>4.5000000000000001E-6</v>
          </cell>
          <cell r="D533"/>
          <cell r="E533">
            <v>1709</v>
          </cell>
          <cell r="F533">
            <v>1388</v>
          </cell>
          <cell r="G533">
            <v>1037</v>
          </cell>
          <cell r="H533">
            <v>535</v>
          </cell>
          <cell r="I533">
            <v>0</v>
          </cell>
        </row>
        <row r="534">
          <cell r="A534">
            <v>95804</v>
          </cell>
          <cell r="B534" t="str">
            <v>MARTIN COUNTY ABC BOARD</v>
          </cell>
          <cell r="C534">
            <v>2.5999999999999998E-5</v>
          </cell>
          <cell r="D534"/>
          <cell r="E534">
            <v>762</v>
          </cell>
          <cell r="F534">
            <v>653</v>
          </cell>
          <cell r="G534">
            <v>212</v>
          </cell>
          <cell r="H534">
            <v>214</v>
          </cell>
          <cell r="I534">
            <v>0</v>
          </cell>
        </row>
        <row r="535">
          <cell r="A535">
            <v>95811</v>
          </cell>
          <cell r="B535" t="str">
            <v>TOWN OF WILLIAMSTON</v>
          </cell>
          <cell r="C535">
            <v>5.287E-4</v>
          </cell>
          <cell r="D535"/>
          <cell r="E535">
            <v>1039</v>
          </cell>
          <cell r="F535">
            <v>661</v>
          </cell>
          <cell r="G535">
            <v>663</v>
          </cell>
          <cell r="H535">
            <v>463</v>
          </cell>
          <cell r="I535">
            <v>0</v>
          </cell>
        </row>
        <row r="536">
          <cell r="A536">
            <v>95813</v>
          </cell>
          <cell r="B536" t="str">
            <v>WILLIAMSTON HOUSING AUTHORITY</v>
          </cell>
          <cell r="C536">
            <v>4.4100000000000001E-5</v>
          </cell>
          <cell r="D536"/>
          <cell r="E536">
            <v>31962</v>
          </cell>
          <cell r="F536">
            <v>25062</v>
          </cell>
          <cell r="G536">
            <v>16147</v>
          </cell>
          <cell r="H536">
            <v>6485</v>
          </cell>
          <cell r="I536">
            <v>0</v>
          </cell>
        </row>
        <row r="537">
          <cell r="A537">
            <v>95821</v>
          </cell>
          <cell r="B537" t="str">
            <v>TOWN OF OAK CITY</v>
          </cell>
          <cell r="C537">
            <v>6.3999999999999997E-6</v>
          </cell>
          <cell r="D537"/>
          <cell r="E537">
            <v>1847</v>
          </cell>
          <cell r="F537">
            <v>1620</v>
          </cell>
          <cell r="G537">
            <v>1622</v>
          </cell>
          <cell r="H537">
            <v>1217</v>
          </cell>
          <cell r="I537">
            <v>0</v>
          </cell>
        </row>
        <row r="538">
          <cell r="A538">
            <v>95831</v>
          </cell>
          <cell r="B538" t="str">
            <v>TOWN OF HAMILTON</v>
          </cell>
          <cell r="C538">
            <v>1.9899999999999999E-5</v>
          </cell>
          <cell r="D538"/>
          <cell r="E538">
            <v>9054</v>
          </cell>
          <cell r="F538">
            <v>7368</v>
          </cell>
          <cell r="G538">
            <v>3968</v>
          </cell>
          <cell r="H538">
            <v>1385</v>
          </cell>
          <cell r="I538">
            <v>0</v>
          </cell>
        </row>
        <row r="539">
          <cell r="A539">
            <v>95841</v>
          </cell>
          <cell r="B539" t="str">
            <v>TOWN OF JAMESVILLE</v>
          </cell>
          <cell r="C539">
            <v>2.58E-5</v>
          </cell>
          <cell r="D539"/>
          <cell r="E539">
            <v>1864</v>
          </cell>
          <cell r="F539">
            <v>1648</v>
          </cell>
          <cell r="G539">
            <v>1430</v>
          </cell>
          <cell r="H539">
            <v>1000</v>
          </cell>
          <cell r="I539">
            <v>0</v>
          </cell>
        </row>
        <row r="540">
          <cell r="A540">
            <v>95851</v>
          </cell>
          <cell r="B540" t="str">
            <v>TOWN OF ROBERSONVILLE</v>
          </cell>
          <cell r="C540">
            <v>1.26E-4</v>
          </cell>
          <cell r="D540"/>
          <cell r="E540">
            <v>56353</v>
          </cell>
          <cell r="F540">
            <v>44808</v>
          </cell>
          <cell r="G540">
            <v>28067</v>
          </cell>
          <cell r="H540">
            <v>11842</v>
          </cell>
          <cell r="I540">
            <v>0</v>
          </cell>
        </row>
        <row r="541">
          <cell r="A541">
            <v>95853</v>
          </cell>
          <cell r="B541" t="str">
            <v>ROBERSONVILLE HOUSING AUTHORITY</v>
          </cell>
          <cell r="C541">
            <v>3.0300000000000001E-5</v>
          </cell>
          <cell r="D541"/>
          <cell r="E541">
            <v>2647</v>
          </cell>
          <cell r="F541">
            <v>1800</v>
          </cell>
          <cell r="G541">
            <v>913</v>
          </cell>
          <cell r="H541">
            <v>0</v>
          </cell>
          <cell r="I541">
            <v>0</v>
          </cell>
        </row>
        <row r="542">
          <cell r="A542">
            <v>95901</v>
          </cell>
          <cell r="B542" t="str">
            <v>MCDOWELL COUNTY</v>
          </cell>
          <cell r="C542">
            <v>1.9935E-3</v>
          </cell>
          <cell r="D542"/>
          <cell r="E542">
            <v>0</v>
          </cell>
          <cell r="F542">
            <v>0</v>
          </cell>
          <cell r="G542">
            <v>0</v>
          </cell>
          <cell r="H542">
            <v>0</v>
          </cell>
          <cell r="I542">
            <v>0</v>
          </cell>
        </row>
        <row r="543">
          <cell r="A543">
            <v>95908</v>
          </cell>
          <cell r="B543" t="str">
            <v>PLEASANT GARDEN FIRE DEPT</v>
          </cell>
          <cell r="C543">
            <v>7.1500000000000003E-5</v>
          </cell>
          <cell r="D543"/>
          <cell r="E543">
            <v>532</v>
          </cell>
          <cell r="F543">
            <v>532</v>
          </cell>
          <cell r="G543">
            <v>532</v>
          </cell>
          <cell r="H543">
            <v>534</v>
          </cell>
          <cell r="I543">
            <v>0</v>
          </cell>
        </row>
        <row r="544">
          <cell r="A544">
            <v>95911</v>
          </cell>
          <cell r="B544" t="str">
            <v>TOWN OF MARION</v>
          </cell>
          <cell r="C544">
            <v>5.6829999999999999E-4</v>
          </cell>
          <cell r="D544"/>
          <cell r="E544">
            <v>0</v>
          </cell>
          <cell r="F544">
            <v>0</v>
          </cell>
          <cell r="G544">
            <v>0</v>
          </cell>
          <cell r="H544">
            <v>0</v>
          </cell>
          <cell r="I544">
            <v>0</v>
          </cell>
        </row>
        <row r="545">
          <cell r="A545">
            <v>95917</v>
          </cell>
          <cell r="B545" t="str">
            <v>MARION ABC BOARD</v>
          </cell>
          <cell r="C545">
            <v>1.8600000000000001E-5</v>
          </cell>
          <cell r="D545"/>
          <cell r="E545">
            <v>596</v>
          </cell>
          <cell r="F545">
            <v>598</v>
          </cell>
          <cell r="G545">
            <v>127</v>
          </cell>
          <cell r="H545">
            <v>128</v>
          </cell>
          <cell r="I545">
            <v>0</v>
          </cell>
        </row>
        <row r="546">
          <cell r="A546">
            <v>95921</v>
          </cell>
          <cell r="B546" t="str">
            <v>TOWN OF OLD FORT</v>
          </cell>
          <cell r="C546">
            <v>5.4200000000000003E-5</v>
          </cell>
          <cell r="D546"/>
          <cell r="E546">
            <v>2682</v>
          </cell>
          <cell r="F546">
            <v>1781</v>
          </cell>
          <cell r="G546">
            <v>1718</v>
          </cell>
          <cell r="H546">
            <v>1182</v>
          </cell>
          <cell r="I546">
            <v>0</v>
          </cell>
        </row>
        <row r="547">
          <cell r="A547">
            <v>96001</v>
          </cell>
          <cell r="B547" t="str">
            <v>MECKLENBURG COUNTY</v>
          </cell>
          <cell r="C547">
            <v>4.3367500000000003E-2</v>
          </cell>
          <cell r="D547"/>
          <cell r="E547">
            <v>0</v>
          </cell>
          <cell r="F547">
            <v>0</v>
          </cell>
          <cell r="G547">
            <v>0</v>
          </cell>
          <cell r="H547">
            <v>0</v>
          </cell>
          <cell r="I547">
            <v>0</v>
          </cell>
        </row>
        <row r="548">
          <cell r="A548">
            <v>96003</v>
          </cell>
          <cell r="B548" t="str">
            <v>CHARLOTTE HOUSING AUTHORITY</v>
          </cell>
          <cell r="C548">
            <v>1.6620000000000001E-3</v>
          </cell>
          <cell r="D548"/>
          <cell r="E548">
            <v>10292</v>
          </cell>
          <cell r="F548">
            <v>10292</v>
          </cell>
          <cell r="G548">
            <v>10292</v>
          </cell>
          <cell r="H548">
            <v>10291</v>
          </cell>
          <cell r="I548">
            <v>0</v>
          </cell>
        </row>
        <row r="549">
          <cell r="A549">
            <v>96004</v>
          </cell>
          <cell r="B549" t="str">
            <v>MECKLENBURG COUNTY ABC BOARD</v>
          </cell>
          <cell r="C549">
            <v>9.3959999999999996E-4</v>
          </cell>
          <cell r="D549"/>
          <cell r="E549">
            <v>58177</v>
          </cell>
          <cell r="F549">
            <v>44359</v>
          </cell>
          <cell r="G549">
            <v>31090</v>
          </cell>
          <cell r="H549">
            <v>17769</v>
          </cell>
          <cell r="I549">
            <v>0</v>
          </cell>
        </row>
        <row r="550">
          <cell r="A550">
            <v>96005</v>
          </cell>
          <cell r="B550" t="str">
            <v>CHARLOTTE MECKLENBURG PUBLIC LIBRARY</v>
          </cell>
          <cell r="C550">
            <v>2.4467E-3</v>
          </cell>
          <cell r="D550"/>
          <cell r="E550">
            <v>10155</v>
          </cell>
          <cell r="F550">
            <v>7239</v>
          </cell>
          <cell r="G550">
            <v>0</v>
          </cell>
          <cell r="H550">
            <v>0</v>
          </cell>
          <cell r="I550">
            <v>0</v>
          </cell>
        </row>
        <row r="551">
          <cell r="A551">
            <v>96008</v>
          </cell>
          <cell r="B551" t="str">
            <v>MECKLENBURG EMER MED SVCS AGCY</v>
          </cell>
          <cell r="C551">
            <v>6.1741000000000001E-3</v>
          </cell>
          <cell r="D551"/>
          <cell r="E551">
            <v>0</v>
          </cell>
          <cell r="F551">
            <v>0</v>
          </cell>
          <cell r="G551">
            <v>0</v>
          </cell>
          <cell r="H551">
            <v>0</v>
          </cell>
          <cell r="I551">
            <v>0</v>
          </cell>
        </row>
        <row r="552">
          <cell r="A552">
            <v>96009</v>
          </cell>
          <cell r="B552" t="str">
            <v>CENTRALINA COUNCIL OF GOVERNMENTS</v>
          </cell>
          <cell r="C552">
            <v>3.5409999999999999E-4</v>
          </cell>
          <cell r="D552"/>
          <cell r="E552">
            <v>13131</v>
          </cell>
          <cell r="F552">
            <v>13129</v>
          </cell>
          <cell r="G552">
            <v>6520</v>
          </cell>
          <cell r="H552">
            <v>0</v>
          </cell>
          <cell r="I552">
            <v>0</v>
          </cell>
        </row>
        <row r="553">
          <cell r="A553">
            <v>96011</v>
          </cell>
          <cell r="B553" t="str">
            <v>CITY OF CHARLOTTE</v>
          </cell>
          <cell r="C553">
            <v>6.3204399999999994E-2</v>
          </cell>
          <cell r="D553"/>
          <cell r="E553">
            <v>604951</v>
          </cell>
          <cell r="F553">
            <v>604951</v>
          </cell>
          <cell r="G553">
            <v>432876</v>
          </cell>
          <cell r="H553">
            <v>208453</v>
          </cell>
          <cell r="I553">
            <v>0</v>
          </cell>
        </row>
        <row r="554">
          <cell r="A554">
            <v>96012</v>
          </cell>
          <cell r="B554" t="str">
            <v>CHARLOTTE REGIONAL VISITORS AUTHORITY</v>
          </cell>
          <cell r="C554">
            <v>2.5593E-3</v>
          </cell>
          <cell r="D554"/>
          <cell r="E554">
            <v>29325</v>
          </cell>
          <cell r="F554">
            <v>13646</v>
          </cell>
          <cell r="G554">
            <v>13644</v>
          </cell>
          <cell r="H554">
            <v>0</v>
          </cell>
          <cell r="I554">
            <v>0</v>
          </cell>
        </row>
        <row r="555">
          <cell r="A555">
            <v>96018</v>
          </cell>
          <cell r="B555" t="str">
            <v>CHARLOTTE FIREMEN'S RET SYS</v>
          </cell>
          <cell r="C555">
            <v>3.4199999999999998E-5</v>
          </cell>
          <cell r="D555"/>
          <cell r="E555">
            <v>922</v>
          </cell>
          <cell r="F555">
            <v>853</v>
          </cell>
          <cell r="G555">
            <v>9</v>
          </cell>
          <cell r="H555">
            <v>0</v>
          </cell>
          <cell r="I555">
            <v>0</v>
          </cell>
        </row>
        <row r="556">
          <cell r="A556">
            <v>96021</v>
          </cell>
          <cell r="B556" t="str">
            <v>TOWN OF PINEVILLE</v>
          </cell>
          <cell r="C556">
            <v>7.7490000000000002E-4</v>
          </cell>
          <cell r="D556"/>
          <cell r="E556">
            <v>2426</v>
          </cell>
          <cell r="F556">
            <v>2426</v>
          </cell>
          <cell r="G556">
            <v>2426</v>
          </cell>
          <cell r="H556">
            <v>2020</v>
          </cell>
          <cell r="I556">
            <v>0</v>
          </cell>
        </row>
        <row r="557">
          <cell r="A557">
            <v>96031</v>
          </cell>
          <cell r="B557" t="str">
            <v>TOWN OF MINT HILL</v>
          </cell>
          <cell r="C557">
            <v>8.3790000000000004E-4</v>
          </cell>
          <cell r="D557"/>
          <cell r="E557">
            <v>0</v>
          </cell>
          <cell r="F557">
            <v>0</v>
          </cell>
          <cell r="G557">
            <v>0</v>
          </cell>
          <cell r="H557">
            <v>0</v>
          </cell>
          <cell r="I557">
            <v>0</v>
          </cell>
        </row>
        <row r="558">
          <cell r="A558">
            <v>96041</v>
          </cell>
          <cell r="B558" t="str">
            <v>TOWN OF HUNTERSVILLE</v>
          </cell>
          <cell r="C558">
            <v>1.7466000000000001E-3</v>
          </cell>
          <cell r="D558"/>
          <cell r="E558">
            <v>2904</v>
          </cell>
          <cell r="F558">
            <v>2904</v>
          </cell>
          <cell r="G558">
            <v>2904</v>
          </cell>
          <cell r="H558">
            <v>2905</v>
          </cell>
          <cell r="I558">
            <v>0</v>
          </cell>
        </row>
        <row r="559">
          <cell r="A559">
            <v>96051</v>
          </cell>
          <cell r="B559" t="str">
            <v>TOWN OF CORNELIUS</v>
          </cell>
          <cell r="C559">
            <v>9.6909999999999997E-4</v>
          </cell>
          <cell r="D559"/>
          <cell r="E559">
            <v>0</v>
          </cell>
          <cell r="F559">
            <v>0</v>
          </cell>
          <cell r="G559">
            <v>0</v>
          </cell>
          <cell r="H559">
            <v>0</v>
          </cell>
          <cell r="I559">
            <v>0</v>
          </cell>
        </row>
        <row r="560">
          <cell r="A560">
            <v>96061</v>
          </cell>
          <cell r="B560" t="str">
            <v>TOWN OF STALLINGS</v>
          </cell>
          <cell r="C560">
            <v>3.4220000000000002E-4</v>
          </cell>
          <cell r="D560"/>
          <cell r="E560">
            <v>10076</v>
          </cell>
          <cell r="F560">
            <v>10075</v>
          </cell>
          <cell r="G560">
            <v>4970</v>
          </cell>
          <cell r="H560">
            <v>4971</v>
          </cell>
          <cell r="I560">
            <v>0</v>
          </cell>
        </row>
        <row r="561">
          <cell r="A561">
            <v>96071</v>
          </cell>
          <cell r="B561" t="str">
            <v>TOWN OF MATTHEWS</v>
          </cell>
          <cell r="C561">
            <v>1.3016E-3</v>
          </cell>
          <cell r="D561"/>
          <cell r="E561">
            <v>52206</v>
          </cell>
          <cell r="F561">
            <v>52208</v>
          </cell>
          <cell r="G561">
            <v>44329</v>
          </cell>
          <cell r="H561">
            <v>32239</v>
          </cell>
          <cell r="I561">
            <v>0</v>
          </cell>
        </row>
        <row r="562">
          <cell r="A562">
            <v>96081</v>
          </cell>
          <cell r="B562" t="str">
            <v>TOWN OF DAVIDSON</v>
          </cell>
          <cell r="C562">
            <v>5.419E-4</v>
          </cell>
          <cell r="D562"/>
          <cell r="E562">
            <v>2936</v>
          </cell>
          <cell r="F562">
            <v>2423</v>
          </cell>
          <cell r="G562">
            <v>1690</v>
          </cell>
          <cell r="H562">
            <v>0</v>
          </cell>
          <cell r="I562">
            <v>0</v>
          </cell>
        </row>
        <row r="563">
          <cell r="A563">
            <v>96101</v>
          </cell>
          <cell r="B563" t="str">
            <v>MITCHELL COUNTY</v>
          </cell>
          <cell r="C563">
            <v>6.4729999999999996E-4</v>
          </cell>
          <cell r="D563"/>
          <cell r="E563">
            <v>13844</v>
          </cell>
          <cell r="F563">
            <v>13842</v>
          </cell>
          <cell r="G563">
            <v>8512</v>
          </cell>
          <cell r="H563">
            <v>0</v>
          </cell>
          <cell r="I563">
            <v>0</v>
          </cell>
        </row>
        <row r="564">
          <cell r="A564">
            <v>96102</v>
          </cell>
          <cell r="B564" t="str">
            <v>MITCHELL SOIL &amp; WATER CONSERVATION DIST</v>
          </cell>
          <cell r="C564">
            <v>1.1600000000000001E-5</v>
          </cell>
          <cell r="D564"/>
          <cell r="E564">
            <v>0</v>
          </cell>
          <cell r="F564">
            <v>0</v>
          </cell>
          <cell r="G564">
            <v>0</v>
          </cell>
          <cell r="H564">
            <v>0</v>
          </cell>
          <cell r="I564">
            <v>0</v>
          </cell>
        </row>
        <row r="565">
          <cell r="A565">
            <v>96111</v>
          </cell>
          <cell r="B565" t="str">
            <v>TOWN OF SPRUCE PINE</v>
          </cell>
          <cell r="C565">
            <v>1.5809999999999999E-4</v>
          </cell>
          <cell r="D565"/>
          <cell r="E565">
            <v>7530</v>
          </cell>
          <cell r="F565">
            <v>6748</v>
          </cell>
          <cell r="G565">
            <v>6746</v>
          </cell>
          <cell r="H565">
            <v>4557</v>
          </cell>
          <cell r="I565">
            <v>0</v>
          </cell>
        </row>
        <row r="566">
          <cell r="A566">
            <v>96121</v>
          </cell>
          <cell r="B566" t="str">
            <v>TOWN OF BAKERSVILLE</v>
          </cell>
          <cell r="C566">
            <v>2.4300000000000001E-5</v>
          </cell>
          <cell r="D566"/>
          <cell r="E566">
            <v>211</v>
          </cell>
          <cell r="F566">
            <v>92</v>
          </cell>
          <cell r="G566">
            <v>92</v>
          </cell>
          <cell r="H566">
            <v>93</v>
          </cell>
          <cell r="I566">
            <v>0</v>
          </cell>
        </row>
        <row r="567">
          <cell r="A567">
            <v>96201</v>
          </cell>
          <cell r="B567" t="str">
            <v>MONTGOMERY COUNTY</v>
          </cell>
          <cell r="C567">
            <v>1.0575000000000001E-3</v>
          </cell>
          <cell r="D567"/>
          <cell r="E567">
            <v>0</v>
          </cell>
          <cell r="F567">
            <v>0</v>
          </cell>
          <cell r="G567">
            <v>0</v>
          </cell>
          <cell r="H567">
            <v>0</v>
          </cell>
          <cell r="I567">
            <v>0</v>
          </cell>
        </row>
        <row r="568">
          <cell r="A568">
            <v>96204</v>
          </cell>
          <cell r="B568" t="str">
            <v>MONTGOMERY-MUNICIPAL ABC BOARD</v>
          </cell>
          <cell r="C568">
            <v>1.42E-5</v>
          </cell>
          <cell r="D568"/>
          <cell r="E568">
            <v>1497</v>
          </cell>
          <cell r="F568">
            <v>1201</v>
          </cell>
          <cell r="G568">
            <v>939</v>
          </cell>
          <cell r="H568">
            <v>634</v>
          </cell>
          <cell r="I568">
            <v>0</v>
          </cell>
        </row>
        <row r="569">
          <cell r="A569">
            <v>96211</v>
          </cell>
          <cell r="B569" t="str">
            <v>TOWN OF STAR</v>
          </cell>
          <cell r="C569">
            <v>2.4000000000000001E-5</v>
          </cell>
          <cell r="D569"/>
          <cell r="E569">
            <v>2146</v>
          </cell>
          <cell r="F569">
            <v>1495</v>
          </cell>
          <cell r="G569">
            <v>1318</v>
          </cell>
          <cell r="H569">
            <v>218</v>
          </cell>
          <cell r="I569">
            <v>0</v>
          </cell>
        </row>
        <row r="570">
          <cell r="A570">
            <v>96221</v>
          </cell>
          <cell r="B570" t="str">
            <v>TOWN OF TROY</v>
          </cell>
          <cell r="C570">
            <v>2.141E-4</v>
          </cell>
          <cell r="D570"/>
          <cell r="E570">
            <v>0</v>
          </cell>
          <cell r="F570">
            <v>0</v>
          </cell>
          <cell r="G570">
            <v>0</v>
          </cell>
          <cell r="H570">
            <v>0</v>
          </cell>
          <cell r="I570">
            <v>0</v>
          </cell>
        </row>
        <row r="571">
          <cell r="A571">
            <v>96231</v>
          </cell>
          <cell r="B571" t="str">
            <v>TOWN OF BISCOE</v>
          </cell>
          <cell r="C571">
            <v>1.2349999999999999E-4</v>
          </cell>
          <cell r="D571"/>
          <cell r="E571">
            <v>639</v>
          </cell>
          <cell r="F571">
            <v>637</v>
          </cell>
          <cell r="G571">
            <v>0</v>
          </cell>
          <cell r="H571">
            <v>0</v>
          </cell>
          <cell r="I571">
            <v>0</v>
          </cell>
        </row>
        <row r="572">
          <cell r="A572">
            <v>96241</v>
          </cell>
          <cell r="B572" t="str">
            <v>TOWN OF CANDOR</v>
          </cell>
          <cell r="C572">
            <v>6.4499999999999996E-5</v>
          </cell>
          <cell r="D572"/>
          <cell r="E572">
            <v>2104</v>
          </cell>
          <cell r="F572">
            <v>2106</v>
          </cell>
          <cell r="G572">
            <v>1886</v>
          </cell>
          <cell r="H572">
            <v>819</v>
          </cell>
          <cell r="I572">
            <v>0</v>
          </cell>
        </row>
        <row r="573">
          <cell r="A573">
            <v>96251</v>
          </cell>
          <cell r="B573" t="str">
            <v>TOWN OF MOUNT GILEAD</v>
          </cell>
          <cell r="C573">
            <v>1.004E-4</v>
          </cell>
          <cell r="D573"/>
          <cell r="E573">
            <v>1549</v>
          </cell>
          <cell r="F573">
            <v>1551</v>
          </cell>
          <cell r="G573">
            <v>0</v>
          </cell>
          <cell r="H573">
            <v>0</v>
          </cell>
          <cell r="I573">
            <v>0</v>
          </cell>
        </row>
        <row r="574">
          <cell r="A574">
            <v>96301</v>
          </cell>
          <cell r="B574" t="str">
            <v>MOORE COUNTY</v>
          </cell>
          <cell r="C574">
            <v>4.6904E-3</v>
          </cell>
          <cell r="D574"/>
          <cell r="E574">
            <v>42957</v>
          </cell>
          <cell r="F574">
            <v>42957</v>
          </cell>
          <cell r="G574">
            <v>42957</v>
          </cell>
          <cell r="H574">
            <v>42956</v>
          </cell>
          <cell r="I574">
            <v>0</v>
          </cell>
        </row>
        <row r="575">
          <cell r="A575">
            <v>96302</v>
          </cell>
          <cell r="B575" t="str">
            <v>TOWN OF TAYLORTOWN</v>
          </cell>
          <cell r="C575">
            <v>2.3600000000000001E-5</v>
          </cell>
          <cell r="D575"/>
          <cell r="E575">
            <v>1972</v>
          </cell>
          <cell r="F575">
            <v>1592</v>
          </cell>
          <cell r="G575">
            <v>475</v>
          </cell>
          <cell r="H575">
            <v>477</v>
          </cell>
          <cell r="I575">
            <v>0</v>
          </cell>
        </row>
        <row r="576">
          <cell r="A576">
            <v>96304</v>
          </cell>
          <cell r="B576" t="str">
            <v>MOORE COUNTY ABC BOARD</v>
          </cell>
          <cell r="C576">
            <v>4.3900000000000003E-5</v>
          </cell>
          <cell r="D576"/>
          <cell r="E576">
            <v>3212</v>
          </cell>
          <cell r="F576">
            <v>2370</v>
          </cell>
          <cell r="G576">
            <v>2369</v>
          </cell>
          <cell r="H576">
            <v>867</v>
          </cell>
          <cell r="I576">
            <v>0</v>
          </cell>
        </row>
        <row r="577">
          <cell r="A577">
            <v>96305</v>
          </cell>
          <cell r="B577" t="str">
            <v>MOORE COUNTY TOURISM DEVELOPMENT AUTHORITY</v>
          </cell>
          <cell r="C577">
            <v>4.1199999999999999E-5</v>
          </cell>
          <cell r="D577"/>
          <cell r="E577">
            <v>6448</v>
          </cell>
          <cell r="F577">
            <v>5201</v>
          </cell>
          <cell r="G577">
            <v>3726</v>
          </cell>
          <cell r="H577">
            <v>1799</v>
          </cell>
          <cell r="I577">
            <v>0</v>
          </cell>
        </row>
        <row r="578">
          <cell r="A578">
            <v>96310</v>
          </cell>
          <cell r="B578" t="str">
            <v>MOORE COUNTY AIRPORT AUTHORITY</v>
          </cell>
          <cell r="C578">
            <v>4.49E-5</v>
          </cell>
          <cell r="D578"/>
          <cell r="E578">
            <v>1805</v>
          </cell>
          <cell r="F578">
            <v>1805</v>
          </cell>
          <cell r="G578">
            <v>0</v>
          </cell>
          <cell r="H578">
            <v>0</v>
          </cell>
          <cell r="I578">
            <v>0</v>
          </cell>
        </row>
        <row r="579">
          <cell r="A579">
            <v>96311</v>
          </cell>
          <cell r="B579" t="str">
            <v>TOWN OF SOUTHERN PINES</v>
          </cell>
          <cell r="C579">
            <v>1.3112E-3</v>
          </cell>
          <cell r="D579"/>
          <cell r="E579">
            <v>0</v>
          </cell>
          <cell r="F579">
            <v>0</v>
          </cell>
          <cell r="G579">
            <v>0</v>
          </cell>
          <cell r="H579">
            <v>0</v>
          </cell>
          <cell r="I579">
            <v>0</v>
          </cell>
        </row>
        <row r="580">
          <cell r="A580">
            <v>96312</v>
          </cell>
          <cell r="B580" t="str">
            <v>TOWN OF CAMERON</v>
          </cell>
          <cell r="C580">
            <v>5.8000000000000004E-6</v>
          </cell>
          <cell r="D580"/>
          <cell r="E580">
            <v>1909</v>
          </cell>
          <cell r="F580">
            <v>1907</v>
          </cell>
          <cell r="G580">
            <v>0</v>
          </cell>
          <cell r="H580">
            <v>0</v>
          </cell>
          <cell r="I580">
            <v>0</v>
          </cell>
        </row>
        <row r="581">
          <cell r="A581">
            <v>96318</v>
          </cell>
          <cell r="B581" t="str">
            <v>SANDHILLS CENTER</v>
          </cell>
          <cell r="C581">
            <v>2.2319000000000002E-3</v>
          </cell>
          <cell r="D581"/>
          <cell r="E581">
            <v>2362225</v>
          </cell>
          <cell r="F581">
            <v>137799</v>
          </cell>
          <cell r="G581">
            <v>59237</v>
          </cell>
          <cell r="H581">
            <v>33257</v>
          </cell>
          <cell r="I581">
            <v>0</v>
          </cell>
        </row>
        <row r="582">
          <cell r="A582">
            <v>96321</v>
          </cell>
          <cell r="B582" t="str">
            <v>TOWN OF VASS</v>
          </cell>
          <cell r="C582">
            <v>3.65E-5</v>
          </cell>
          <cell r="D582"/>
          <cell r="E582">
            <v>583</v>
          </cell>
          <cell r="F582">
            <v>581</v>
          </cell>
          <cell r="G582">
            <v>307</v>
          </cell>
          <cell r="H582">
            <v>65</v>
          </cell>
          <cell r="I582">
            <v>0</v>
          </cell>
        </row>
        <row r="583">
          <cell r="A583">
            <v>96331</v>
          </cell>
          <cell r="B583" t="str">
            <v>TOWN OF ABERDEEN</v>
          </cell>
          <cell r="C583">
            <v>7.4430000000000004E-4</v>
          </cell>
          <cell r="D583"/>
          <cell r="E583">
            <v>0</v>
          </cell>
          <cell r="F583">
            <v>0</v>
          </cell>
          <cell r="G583">
            <v>0</v>
          </cell>
          <cell r="H583">
            <v>0</v>
          </cell>
          <cell r="I583">
            <v>0</v>
          </cell>
        </row>
        <row r="584">
          <cell r="A584">
            <v>96341</v>
          </cell>
          <cell r="B584" t="str">
            <v>TOWN OF ROBBINS</v>
          </cell>
          <cell r="C584">
            <v>7.8200000000000003E-5</v>
          </cell>
          <cell r="D584"/>
          <cell r="E584">
            <v>1170</v>
          </cell>
          <cell r="F584">
            <v>794</v>
          </cell>
          <cell r="G584">
            <v>794</v>
          </cell>
          <cell r="H584">
            <v>0</v>
          </cell>
          <cell r="I584">
            <v>0</v>
          </cell>
        </row>
        <row r="585">
          <cell r="A585">
            <v>96351</v>
          </cell>
          <cell r="B585" t="str">
            <v>VILLAGE OF PINEHURST</v>
          </cell>
          <cell r="C585">
            <v>1.0093000000000001E-3</v>
          </cell>
          <cell r="D585"/>
          <cell r="E585">
            <v>0</v>
          </cell>
          <cell r="F585">
            <v>0</v>
          </cell>
          <cell r="G585">
            <v>0</v>
          </cell>
          <cell r="H585">
            <v>0</v>
          </cell>
          <cell r="I585">
            <v>0</v>
          </cell>
        </row>
        <row r="586">
          <cell r="A586">
            <v>96361</v>
          </cell>
          <cell r="B586" t="str">
            <v>TOWN OF PINEBLUFF</v>
          </cell>
          <cell r="C586">
            <v>4.1100000000000003E-5</v>
          </cell>
          <cell r="D586"/>
          <cell r="E586">
            <v>714</v>
          </cell>
          <cell r="F586">
            <v>0</v>
          </cell>
          <cell r="G586">
            <v>0</v>
          </cell>
          <cell r="H586">
            <v>0</v>
          </cell>
          <cell r="I586">
            <v>0</v>
          </cell>
        </row>
        <row r="587">
          <cell r="A587">
            <v>96371</v>
          </cell>
          <cell r="B587" t="str">
            <v>VILLAGE OF WHISPERING PINES</v>
          </cell>
          <cell r="C587">
            <v>1.5100000000000001E-4</v>
          </cell>
          <cell r="D587"/>
          <cell r="E587">
            <v>1811</v>
          </cell>
          <cell r="F587">
            <v>1811</v>
          </cell>
          <cell r="G587">
            <v>1811</v>
          </cell>
          <cell r="H587">
            <v>1809</v>
          </cell>
          <cell r="I587">
            <v>0</v>
          </cell>
        </row>
        <row r="588">
          <cell r="A588">
            <v>96381</v>
          </cell>
          <cell r="B588" t="str">
            <v>FOXFIRE VILLAGE</v>
          </cell>
          <cell r="C588">
            <v>3.2799999999999998E-5</v>
          </cell>
          <cell r="D588"/>
          <cell r="E588">
            <v>448</v>
          </cell>
          <cell r="F588">
            <v>426</v>
          </cell>
          <cell r="G588">
            <v>386</v>
          </cell>
          <cell r="H588">
            <v>0</v>
          </cell>
          <cell r="I588">
            <v>0</v>
          </cell>
        </row>
        <row r="589">
          <cell r="A589">
            <v>96391</v>
          </cell>
          <cell r="B589" t="str">
            <v>TOWN OF CARTHAGE</v>
          </cell>
          <cell r="C589">
            <v>2.0560000000000001E-4</v>
          </cell>
          <cell r="D589"/>
          <cell r="E589">
            <v>0</v>
          </cell>
          <cell r="F589">
            <v>0</v>
          </cell>
          <cell r="G589">
            <v>0</v>
          </cell>
          <cell r="H589">
            <v>0</v>
          </cell>
          <cell r="I589">
            <v>0</v>
          </cell>
        </row>
        <row r="590">
          <cell r="A590">
            <v>96401</v>
          </cell>
          <cell r="B590" t="str">
            <v>NASH COUNTY</v>
          </cell>
          <cell r="C590">
            <v>4.3956000000000004E-3</v>
          </cell>
          <cell r="D590"/>
          <cell r="E590">
            <v>0</v>
          </cell>
          <cell r="F590">
            <v>0</v>
          </cell>
          <cell r="G590">
            <v>0</v>
          </cell>
          <cell r="H590">
            <v>0</v>
          </cell>
          <cell r="I590">
            <v>0</v>
          </cell>
        </row>
        <row r="591">
          <cell r="A591">
            <v>96404</v>
          </cell>
          <cell r="B591" t="str">
            <v>NASH COUNTY ABC BOARD</v>
          </cell>
          <cell r="C591">
            <v>9.8300000000000004E-5</v>
          </cell>
          <cell r="D591"/>
          <cell r="E591">
            <v>10589</v>
          </cell>
          <cell r="F591">
            <v>7888</v>
          </cell>
          <cell r="G591">
            <v>5101</v>
          </cell>
          <cell r="H591">
            <v>2798</v>
          </cell>
          <cell r="I591">
            <v>0</v>
          </cell>
        </row>
        <row r="592">
          <cell r="A592">
            <v>96405</v>
          </cell>
          <cell r="B592" t="str">
            <v>BRASWELL MEMORIAL LIBRARY</v>
          </cell>
          <cell r="C592">
            <v>1.4569999999999999E-4</v>
          </cell>
          <cell r="D592"/>
          <cell r="E592">
            <v>6325</v>
          </cell>
          <cell r="F592">
            <v>6325</v>
          </cell>
          <cell r="G592">
            <v>6325</v>
          </cell>
          <cell r="H592">
            <v>6326</v>
          </cell>
          <cell r="I592">
            <v>0</v>
          </cell>
        </row>
        <row r="593">
          <cell r="A593">
            <v>96411</v>
          </cell>
          <cell r="B593" t="str">
            <v>TOWN OF SPRING HOPE</v>
          </cell>
          <cell r="C593">
            <v>7.0900000000000002E-5</v>
          </cell>
          <cell r="D593"/>
          <cell r="E593">
            <v>1750</v>
          </cell>
          <cell r="F593">
            <v>1750</v>
          </cell>
          <cell r="G593">
            <v>0</v>
          </cell>
          <cell r="H593">
            <v>0</v>
          </cell>
          <cell r="I593">
            <v>0</v>
          </cell>
        </row>
        <row r="594">
          <cell r="A594">
            <v>96421</v>
          </cell>
          <cell r="B594" t="str">
            <v>TOWN OF NASHVILLE</v>
          </cell>
          <cell r="C594">
            <v>3.8010000000000002E-4</v>
          </cell>
          <cell r="D594"/>
          <cell r="E594">
            <v>0</v>
          </cell>
          <cell r="F594">
            <v>0</v>
          </cell>
          <cell r="G594">
            <v>0</v>
          </cell>
          <cell r="H594">
            <v>0</v>
          </cell>
          <cell r="I594">
            <v>0</v>
          </cell>
        </row>
        <row r="595">
          <cell r="A595">
            <v>96431</v>
          </cell>
          <cell r="B595" t="str">
            <v>TOWN OF MIDDLESEX</v>
          </cell>
          <cell r="C595">
            <v>3.3599999999999997E-5</v>
          </cell>
          <cell r="D595"/>
          <cell r="E595">
            <v>3864</v>
          </cell>
          <cell r="F595">
            <v>1976</v>
          </cell>
          <cell r="G595">
            <v>1976</v>
          </cell>
          <cell r="H595">
            <v>1976</v>
          </cell>
          <cell r="I595">
            <v>0</v>
          </cell>
        </row>
        <row r="596">
          <cell r="A596">
            <v>96441</v>
          </cell>
          <cell r="B596" t="str">
            <v>TOWN OF WHITAKERS</v>
          </cell>
          <cell r="C596">
            <v>1.8499999999999999E-5</v>
          </cell>
          <cell r="D596"/>
          <cell r="E596">
            <v>789</v>
          </cell>
          <cell r="F596">
            <v>789</v>
          </cell>
          <cell r="G596">
            <v>26</v>
          </cell>
          <cell r="H596">
            <v>0</v>
          </cell>
          <cell r="I596">
            <v>0</v>
          </cell>
        </row>
        <row r="597">
          <cell r="A597">
            <v>96451</v>
          </cell>
          <cell r="B597" t="str">
            <v>TOWN OF BAILEY</v>
          </cell>
          <cell r="C597">
            <v>7.4000000000000003E-6</v>
          </cell>
          <cell r="D597"/>
          <cell r="E597">
            <v>1745</v>
          </cell>
          <cell r="F597">
            <v>939</v>
          </cell>
          <cell r="G597">
            <v>0</v>
          </cell>
          <cell r="H597">
            <v>0</v>
          </cell>
          <cell r="I597">
            <v>0</v>
          </cell>
        </row>
        <row r="598">
          <cell r="A598">
            <v>96461</v>
          </cell>
          <cell r="B598" t="str">
            <v>TOWN OF SHARPSBURG</v>
          </cell>
          <cell r="C598">
            <v>1.361E-4</v>
          </cell>
          <cell r="D598"/>
          <cell r="E598">
            <v>3142</v>
          </cell>
          <cell r="F598">
            <v>3144</v>
          </cell>
          <cell r="G598">
            <v>2519</v>
          </cell>
          <cell r="H598">
            <v>0</v>
          </cell>
          <cell r="I598">
            <v>0</v>
          </cell>
        </row>
        <row r="599">
          <cell r="A599">
            <v>96501</v>
          </cell>
          <cell r="B599" t="str">
            <v>NEW HANOVER COUNTY</v>
          </cell>
          <cell r="C599">
            <v>1.46477E-2</v>
          </cell>
          <cell r="D599"/>
          <cell r="E599">
            <v>23841</v>
          </cell>
          <cell r="F599">
            <v>23840</v>
          </cell>
          <cell r="G599">
            <v>19758</v>
          </cell>
          <cell r="H599">
            <v>19758</v>
          </cell>
          <cell r="I599">
            <v>0</v>
          </cell>
        </row>
        <row r="600">
          <cell r="A600">
            <v>96502</v>
          </cell>
          <cell r="B600" t="str">
            <v>NEW HANOVER AIRPORT AUTH</v>
          </cell>
          <cell r="C600">
            <v>4.082E-4</v>
          </cell>
          <cell r="D600"/>
          <cell r="E600">
            <v>8777</v>
          </cell>
          <cell r="F600">
            <v>4328</v>
          </cell>
          <cell r="G600">
            <v>3456</v>
          </cell>
          <cell r="H600">
            <v>3395</v>
          </cell>
          <cell r="I600">
            <v>0</v>
          </cell>
        </row>
        <row r="601">
          <cell r="A601">
            <v>96503</v>
          </cell>
          <cell r="B601" t="str">
            <v>HOUSING AUTH OF THE CITY OF WILMINGTON</v>
          </cell>
          <cell r="C601">
            <v>3.1940000000000001E-4</v>
          </cell>
          <cell r="D601"/>
          <cell r="E601">
            <v>130654</v>
          </cell>
          <cell r="F601">
            <v>107067</v>
          </cell>
          <cell r="G601">
            <v>82011</v>
          </cell>
          <cell r="H601">
            <v>48531</v>
          </cell>
          <cell r="I601">
            <v>0</v>
          </cell>
        </row>
        <row r="602">
          <cell r="A602">
            <v>96504</v>
          </cell>
          <cell r="B602" t="str">
            <v>NEW HANOVER COUNTY ABC BOARD</v>
          </cell>
          <cell r="C602">
            <v>4.3649999999999998E-4</v>
          </cell>
          <cell r="D602"/>
          <cell r="E602">
            <v>14338</v>
          </cell>
          <cell r="F602">
            <v>14340</v>
          </cell>
          <cell r="G602">
            <v>5115</v>
          </cell>
          <cell r="H602">
            <v>5117</v>
          </cell>
          <cell r="I602">
            <v>0</v>
          </cell>
        </row>
        <row r="603">
          <cell r="A603">
            <v>96507</v>
          </cell>
          <cell r="B603" t="str">
            <v>CAPE FEAR PUBLIC UTILITY AUTHORITY</v>
          </cell>
          <cell r="C603">
            <v>2.3281999999999999E-3</v>
          </cell>
          <cell r="D603"/>
          <cell r="E603">
            <v>53857</v>
          </cell>
          <cell r="F603">
            <v>37945</v>
          </cell>
          <cell r="G603">
            <v>37945</v>
          </cell>
          <cell r="H603">
            <v>29439</v>
          </cell>
          <cell r="I603">
            <v>0</v>
          </cell>
        </row>
        <row r="604">
          <cell r="A604">
            <v>96508</v>
          </cell>
          <cell r="B604" t="str">
            <v>LOWER CAPE FEAR WATER &amp; SEWER AUTH</v>
          </cell>
          <cell r="C604">
            <v>5.9000000000000003E-6</v>
          </cell>
          <cell r="D604"/>
          <cell r="E604">
            <v>5161</v>
          </cell>
          <cell r="F604">
            <v>4177</v>
          </cell>
          <cell r="G604">
            <v>2949</v>
          </cell>
          <cell r="H604">
            <v>1545</v>
          </cell>
          <cell r="I604">
            <v>0</v>
          </cell>
        </row>
        <row r="605">
          <cell r="A605">
            <v>96511</v>
          </cell>
          <cell r="B605" t="str">
            <v>TOWN OF WRIGHTSVILLE BEACH</v>
          </cell>
          <cell r="C605">
            <v>6.0519999999999997E-4</v>
          </cell>
          <cell r="D605"/>
          <cell r="E605">
            <v>0</v>
          </cell>
          <cell r="F605">
            <v>0</v>
          </cell>
          <cell r="G605">
            <v>0</v>
          </cell>
          <cell r="H605">
            <v>0</v>
          </cell>
          <cell r="I605">
            <v>0</v>
          </cell>
        </row>
        <row r="606">
          <cell r="A606">
            <v>96512</v>
          </cell>
          <cell r="B606" t="str">
            <v>CAPE FEAR PUBLIC TRANSPORTATION AUTHORITY</v>
          </cell>
          <cell r="C606">
            <v>1.528E-4</v>
          </cell>
          <cell r="D606"/>
          <cell r="E606">
            <v>2465</v>
          </cell>
          <cell r="F606">
            <v>1777</v>
          </cell>
          <cell r="G606">
            <v>1779</v>
          </cell>
          <cell r="H606">
            <v>0</v>
          </cell>
          <cell r="I606">
            <v>0</v>
          </cell>
        </row>
        <row r="607">
          <cell r="A607">
            <v>96519</v>
          </cell>
          <cell r="B607" t="str">
            <v>COASTALCARE</v>
          </cell>
          <cell r="C607">
            <v>0</v>
          </cell>
          <cell r="D607"/>
          <cell r="E607">
            <v>0</v>
          </cell>
          <cell r="F607">
            <v>0</v>
          </cell>
          <cell r="G607">
            <v>0</v>
          </cell>
          <cell r="H607">
            <v>0</v>
          </cell>
          <cell r="I607">
            <v>0</v>
          </cell>
        </row>
        <row r="608">
          <cell r="A608">
            <v>96521</v>
          </cell>
          <cell r="B608" t="str">
            <v>TOWN OF CAROLINA BEACH</v>
          </cell>
          <cell r="C608">
            <v>9.3479999999999995E-4</v>
          </cell>
          <cell r="D608"/>
          <cell r="E608">
            <v>0</v>
          </cell>
          <cell r="F608">
            <v>0</v>
          </cell>
          <cell r="G608">
            <v>0</v>
          </cell>
          <cell r="H608">
            <v>0</v>
          </cell>
          <cell r="I608">
            <v>0</v>
          </cell>
        </row>
        <row r="609">
          <cell r="A609">
            <v>96531</v>
          </cell>
          <cell r="B609" t="str">
            <v>CITY OF WILMINGTON</v>
          </cell>
          <cell r="C609">
            <v>8.6105999999999995E-3</v>
          </cell>
          <cell r="D609"/>
          <cell r="E609">
            <v>0</v>
          </cell>
          <cell r="F609">
            <v>0</v>
          </cell>
          <cell r="G609">
            <v>0</v>
          </cell>
          <cell r="H609">
            <v>0</v>
          </cell>
          <cell r="I609">
            <v>0</v>
          </cell>
        </row>
        <row r="610">
          <cell r="A610">
            <v>96541</v>
          </cell>
          <cell r="B610" t="str">
            <v>TOWN OF KURE BEACH</v>
          </cell>
          <cell r="C610">
            <v>3.8709999999999998E-4</v>
          </cell>
          <cell r="D610"/>
          <cell r="E610">
            <v>5802</v>
          </cell>
          <cell r="F610">
            <v>5303</v>
          </cell>
          <cell r="G610">
            <v>2293</v>
          </cell>
          <cell r="H610">
            <v>2291</v>
          </cell>
          <cell r="I610">
            <v>0</v>
          </cell>
        </row>
        <row r="611">
          <cell r="A611">
            <v>96601</v>
          </cell>
          <cell r="B611" t="str">
            <v>NORTHAMPTON COUNTY</v>
          </cell>
          <cell r="C611">
            <v>1.7417999999999999E-3</v>
          </cell>
          <cell r="D611"/>
          <cell r="E611">
            <v>10146</v>
          </cell>
          <cell r="F611">
            <v>8497</v>
          </cell>
          <cell r="G611">
            <v>3683</v>
          </cell>
          <cell r="H611">
            <v>3685</v>
          </cell>
          <cell r="I611">
            <v>0</v>
          </cell>
        </row>
        <row r="612">
          <cell r="A612">
            <v>96604</v>
          </cell>
          <cell r="B612" t="str">
            <v>NORTHAMPTON COUNTY ABC BOARD</v>
          </cell>
          <cell r="C612">
            <v>5.3000000000000001E-6</v>
          </cell>
          <cell r="D612"/>
          <cell r="E612">
            <v>878</v>
          </cell>
          <cell r="F612">
            <v>681</v>
          </cell>
          <cell r="G612">
            <v>424</v>
          </cell>
          <cell r="H612">
            <v>352</v>
          </cell>
          <cell r="I612">
            <v>0</v>
          </cell>
        </row>
        <row r="613">
          <cell r="A613">
            <v>96611</v>
          </cell>
          <cell r="B613" t="str">
            <v>TOWN OF RICH SQUARE</v>
          </cell>
          <cell r="C613">
            <v>1.3900000000000001E-5</v>
          </cell>
          <cell r="D613"/>
          <cell r="E613">
            <v>121</v>
          </cell>
          <cell r="F613">
            <v>0</v>
          </cell>
          <cell r="G613">
            <v>0</v>
          </cell>
          <cell r="H613">
            <v>0</v>
          </cell>
          <cell r="I613">
            <v>0</v>
          </cell>
        </row>
        <row r="614">
          <cell r="A614">
            <v>96612</v>
          </cell>
          <cell r="B614" t="str">
            <v>CHOANOKE PUBLIC TRANSPORTATION AUTH</v>
          </cell>
          <cell r="C614">
            <v>5.5099999999999998E-5</v>
          </cell>
          <cell r="D614"/>
          <cell r="E614">
            <v>3290</v>
          </cell>
          <cell r="F614">
            <v>2520</v>
          </cell>
          <cell r="G614">
            <v>1865</v>
          </cell>
          <cell r="H614">
            <v>1865</v>
          </cell>
          <cell r="I614">
            <v>0</v>
          </cell>
        </row>
        <row r="615">
          <cell r="A615">
            <v>96621</v>
          </cell>
          <cell r="B615" t="str">
            <v>TOWN OF WOODLAND</v>
          </cell>
          <cell r="C615">
            <v>2.09E-5</v>
          </cell>
          <cell r="D615"/>
          <cell r="E615">
            <v>677</v>
          </cell>
          <cell r="F615">
            <v>677</v>
          </cell>
          <cell r="G615">
            <v>501</v>
          </cell>
          <cell r="H615">
            <v>502</v>
          </cell>
          <cell r="I615">
            <v>0</v>
          </cell>
        </row>
        <row r="616">
          <cell r="A616">
            <v>96631</v>
          </cell>
          <cell r="B616" t="str">
            <v>TOWN OF GARYSBURG</v>
          </cell>
          <cell r="C616">
            <v>2.1800000000000001E-5</v>
          </cell>
          <cell r="D616"/>
          <cell r="E616">
            <v>0</v>
          </cell>
          <cell r="F616">
            <v>0</v>
          </cell>
          <cell r="G616">
            <v>0</v>
          </cell>
          <cell r="H616">
            <v>0</v>
          </cell>
          <cell r="I616">
            <v>0</v>
          </cell>
        </row>
        <row r="617">
          <cell r="A617">
            <v>96641</v>
          </cell>
          <cell r="B617" t="str">
            <v>TOWN OF CONWAY</v>
          </cell>
          <cell r="C617">
            <v>3.3800000000000002E-5</v>
          </cell>
          <cell r="D617"/>
          <cell r="E617">
            <v>6022</v>
          </cell>
          <cell r="F617">
            <v>4957</v>
          </cell>
          <cell r="G617">
            <v>2870</v>
          </cell>
          <cell r="H617">
            <v>1627</v>
          </cell>
          <cell r="I617">
            <v>0</v>
          </cell>
        </row>
        <row r="618">
          <cell r="A618">
            <v>96651</v>
          </cell>
          <cell r="B618" t="str">
            <v>TOWN OF GASTON</v>
          </cell>
          <cell r="C618">
            <v>1.8499999999999999E-5</v>
          </cell>
          <cell r="D618"/>
          <cell r="E618">
            <v>898</v>
          </cell>
          <cell r="F618">
            <v>723</v>
          </cell>
          <cell r="G618">
            <v>372</v>
          </cell>
          <cell r="H618">
            <v>0</v>
          </cell>
          <cell r="I618">
            <v>0</v>
          </cell>
        </row>
        <row r="619">
          <cell r="A619">
            <v>96661</v>
          </cell>
          <cell r="B619" t="str">
            <v>TOWN OF JACKSON</v>
          </cell>
          <cell r="C619">
            <v>1.8099999999999999E-5</v>
          </cell>
          <cell r="D619"/>
          <cell r="E619">
            <v>1059</v>
          </cell>
          <cell r="F619">
            <v>581</v>
          </cell>
          <cell r="G619">
            <v>191</v>
          </cell>
          <cell r="H619">
            <v>0</v>
          </cell>
          <cell r="I619">
            <v>0</v>
          </cell>
        </row>
        <row r="620">
          <cell r="A620">
            <v>96671</v>
          </cell>
          <cell r="B620" t="str">
            <v>TOWN OF SEVERN</v>
          </cell>
          <cell r="C620">
            <v>1.26E-5</v>
          </cell>
          <cell r="D620"/>
          <cell r="E620">
            <v>1711</v>
          </cell>
          <cell r="F620">
            <v>737</v>
          </cell>
          <cell r="G620">
            <v>525</v>
          </cell>
          <cell r="H620">
            <v>288</v>
          </cell>
          <cell r="I620">
            <v>0</v>
          </cell>
        </row>
        <row r="621">
          <cell r="A621">
            <v>96681</v>
          </cell>
          <cell r="B621" t="str">
            <v>TOWN OF SEABOARD</v>
          </cell>
          <cell r="C621">
            <v>2.2399999999999999E-5</v>
          </cell>
          <cell r="D621"/>
          <cell r="E621">
            <v>4594</v>
          </cell>
          <cell r="F621">
            <v>3064</v>
          </cell>
          <cell r="G621">
            <v>3066</v>
          </cell>
          <cell r="H621">
            <v>1429</v>
          </cell>
          <cell r="I621">
            <v>0</v>
          </cell>
        </row>
        <row r="622">
          <cell r="A622">
            <v>96701</v>
          </cell>
          <cell r="B622" t="str">
            <v>ONSLOW COUNTY</v>
          </cell>
          <cell r="C622">
            <v>8.4864999999999993E-3</v>
          </cell>
          <cell r="D622"/>
          <cell r="E622">
            <v>64827</v>
          </cell>
          <cell r="F622">
            <v>64826</v>
          </cell>
          <cell r="G622">
            <v>0</v>
          </cell>
          <cell r="H622">
            <v>0</v>
          </cell>
          <cell r="I622">
            <v>0</v>
          </cell>
        </row>
        <row r="623">
          <cell r="A623">
            <v>96704</v>
          </cell>
          <cell r="B623" t="str">
            <v>ONSLOW COUNTY ABC BOARD</v>
          </cell>
          <cell r="C623">
            <v>1.873E-4</v>
          </cell>
          <cell r="D623"/>
          <cell r="E623">
            <v>18530</v>
          </cell>
          <cell r="F623">
            <v>17771</v>
          </cell>
          <cell r="G623">
            <v>11917</v>
          </cell>
          <cell r="H623">
            <v>7184</v>
          </cell>
          <cell r="I623">
            <v>0</v>
          </cell>
        </row>
        <row r="624">
          <cell r="A624">
            <v>96708</v>
          </cell>
          <cell r="B624" t="str">
            <v>ONSLOW WATER &amp; SEWER AUTHORITY</v>
          </cell>
          <cell r="C624">
            <v>8.7410000000000005E-4</v>
          </cell>
          <cell r="D624"/>
          <cell r="E624">
            <v>29907</v>
          </cell>
          <cell r="F624">
            <v>29909</v>
          </cell>
          <cell r="G624">
            <v>14894</v>
          </cell>
          <cell r="H624">
            <v>8572</v>
          </cell>
          <cell r="I624">
            <v>0</v>
          </cell>
        </row>
        <row r="625">
          <cell r="A625">
            <v>96711</v>
          </cell>
          <cell r="B625" t="str">
            <v>CITY OF JACKSONVILLE</v>
          </cell>
          <cell r="C625">
            <v>3.7919E-3</v>
          </cell>
          <cell r="D625"/>
          <cell r="E625">
            <v>0</v>
          </cell>
          <cell r="F625">
            <v>0</v>
          </cell>
          <cell r="G625">
            <v>0</v>
          </cell>
          <cell r="H625">
            <v>0</v>
          </cell>
          <cell r="I625">
            <v>0</v>
          </cell>
        </row>
        <row r="626">
          <cell r="A626">
            <v>96721</v>
          </cell>
          <cell r="B626" t="str">
            <v>TOWN OF SWANSBORO</v>
          </cell>
          <cell r="C626">
            <v>2.1719999999999999E-4</v>
          </cell>
          <cell r="D626"/>
          <cell r="E626">
            <v>2614</v>
          </cell>
          <cell r="F626">
            <v>2614</v>
          </cell>
          <cell r="G626">
            <v>332</v>
          </cell>
          <cell r="H626">
            <v>0</v>
          </cell>
          <cell r="I626">
            <v>0</v>
          </cell>
        </row>
        <row r="627">
          <cell r="A627">
            <v>96731</v>
          </cell>
          <cell r="B627" t="str">
            <v>TOWN OF HOLLY RIDGE</v>
          </cell>
          <cell r="C627">
            <v>1.763E-4</v>
          </cell>
          <cell r="D627"/>
          <cell r="E627">
            <v>4854</v>
          </cell>
          <cell r="F627">
            <v>2204</v>
          </cell>
          <cell r="G627">
            <v>162</v>
          </cell>
          <cell r="H627">
            <v>164</v>
          </cell>
          <cell r="I627">
            <v>0</v>
          </cell>
        </row>
        <row r="628">
          <cell r="A628">
            <v>96733</v>
          </cell>
          <cell r="B628" t="str">
            <v>HOLLY RIDGE HOUSING AUTHORITY</v>
          </cell>
          <cell r="C628">
            <v>6.4999999999999996E-6</v>
          </cell>
          <cell r="D628"/>
          <cell r="E628">
            <v>1437</v>
          </cell>
          <cell r="F628">
            <v>549</v>
          </cell>
          <cell r="G628">
            <v>550</v>
          </cell>
          <cell r="H628">
            <v>0</v>
          </cell>
          <cell r="I628">
            <v>0</v>
          </cell>
        </row>
        <row r="629">
          <cell r="A629">
            <v>96741</v>
          </cell>
          <cell r="B629" t="str">
            <v>TOWN OF RICHLANDS</v>
          </cell>
          <cell r="C629">
            <v>9.6799999999999995E-5</v>
          </cell>
          <cell r="D629"/>
          <cell r="E629">
            <v>702</v>
          </cell>
          <cell r="F629">
            <v>702</v>
          </cell>
          <cell r="G629">
            <v>701</v>
          </cell>
          <cell r="H629">
            <v>0</v>
          </cell>
          <cell r="I629">
            <v>0</v>
          </cell>
        </row>
        <row r="630">
          <cell r="A630">
            <v>96751</v>
          </cell>
          <cell r="B630" t="str">
            <v>TOWN OF N TOPSAIL BEACH</v>
          </cell>
          <cell r="C630">
            <v>3.054E-4</v>
          </cell>
          <cell r="D630"/>
          <cell r="E630">
            <v>6016</v>
          </cell>
          <cell r="F630">
            <v>6016</v>
          </cell>
          <cell r="G630">
            <v>6018</v>
          </cell>
          <cell r="H630">
            <v>5590</v>
          </cell>
          <cell r="I630">
            <v>0</v>
          </cell>
        </row>
        <row r="631">
          <cell r="A631">
            <v>96801</v>
          </cell>
          <cell r="B631" t="str">
            <v>ORANGE COUNTY</v>
          </cell>
          <cell r="C631">
            <v>7.6207000000000002E-3</v>
          </cell>
          <cell r="D631"/>
          <cell r="E631">
            <v>76428</v>
          </cell>
          <cell r="F631">
            <v>18014</v>
          </cell>
          <cell r="G631">
            <v>18016</v>
          </cell>
          <cell r="H631">
            <v>0</v>
          </cell>
          <cell r="I631">
            <v>0</v>
          </cell>
        </row>
        <row r="632">
          <cell r="A632">
            <v>96804</v>
          </cell>
          <cell r="B632" t="str">
            <v>ORANGE COUNTY ABC BOARD</v>
          </cell>
          <cell r="C632">
            <v>2.4230000000000001E-4</v>
          </cell>
          <cell r="D632"/>
          <cell r="E632">
            <v>1367</v>
          </cell>
          <cell r="F632">
            <v>1338</v>
          </cell>
          <cell r="G632">
            <v>0</v>
          </cell>
          <cell r="H632">
            <v>0</v>
          </cell>
          <cell r="I632">
            <v>0</v>
          </cell>
        </row>
        <row r="633">
          <cell r="A633">
            <v>96808</v>
          </cell>
          <cell r="B633" t="str">
            <v>ORANGE WATER AND SEWER AUTHORITY</v>
          </cell>
          <cell r="C633">
            <v>1.2175E-3</v>
          </cell>
          <cell r="D633"/>
          <cell r="E633">
            <v>6336</v>
          </cell>
          <cell r="F633">
            <v>0</v>
          </cell>
          <cell r="G633">
            <v>0</v>
          </cell>
          <cell r="H633">
            <v>0</v>
          </cell>
          <cell r="I633">
            <v>0</v>
          </cell>
        </row>
        <row r="634">
          <cell r="A634">
            <v>96811</v>
          </cell>
          <cell r="B634" t="str">
            <v>TOWN OF CHAPEL HILL</v>
          </cell>
          <cell r="C634">
            <v>5.8506000000000001E-3</v>
          </cell>
          <cell r="D634"/>
          <cell r="E634">
            <v>9353</v>
          </cell>
          <cell r="F634">
            <v>9353</v>
          </cell>
          <cell r="G634">
            <v>0</v>
          </cell>
          <cell r="H634">
            <v>0</v>
          </cell>
          <cell r="I634">
            <v>0</v>
          </cell>
        </row>
        <row r="635">
          <cell r="A635">
            <v>96821</v>
          </cell>
          <cell r="B635" t="str">
            <v>TOWN OF CARRBORO</v>
          </cell>
          <cell r="C635">
            <v>1.2505999999999999E-3</v>
          </cell>
          <cell r="D635"/>
          <cell r="E635">
            <v>23941</v>
          </cell>
          <cell r="F635">
            <v>23941</v>
          </cell>
          <cell r="G635">
            <v>23941</v>
          </cell>
          <cell r="H635">
            <v>23943</v>
          </cell>
          <cell r="I635">
            <v>0</v>
          </cell>
        </row>
        <row r="636">
          <cell r="A636">
            <v>96831</v>
          </cell>
          <cell r="B636" t="str">
            <v>TOWN OF HILLSBOROUGH</v>
          </cell>
          <cell r="C636">
            <v>9.0549999999999995E-4</v>
          </cell>
          <cell r="D636"/>
          <cell r="E636">
            <v>5854</v>
          </cell>
          <cell r="F636">
            <v>122</v>
          </cell>
          <cell r="G636">
            <v>0</v>
          </cell>
          <cell r="H636">
            <v>0</v>
          </cell>
          <cell r="I636">
            <v>0</v>
          </cell>
        </row>
        <row r="637">
          <cell r="A637">
            <v>96901</v>
          </cell>
          <cell r="B637" t="str">
            <v>PAMLICO COUNTY</v>
          </cell>
          <cell r="C637">
            <v>9.5589999999999998E-4</v>
          </cell>
          <cell r="D637"/>
          <cell r="E637">
            <v>28397</v>
          </cell>
          <cell r="F637">
            <v>23947</v>
          </cell>
          <cell r="G637">
            <v>10305</v>
          </cell>
          <cell r="H637">
            <v>7306</v>
          </cell>
          <cell r="I637">
            <v>0</v>
          </cell>
        </row>
        <row r="638">
          <cell r="A638">
            <v>96911</v>
          </cell>
          <cell r="B638" t="str">
            <v>TOWN OF BAYBORO</v>
          </cell>
          <cell r="C638">
            <v>2.3E-6</v>
          </cell>
          <cell r="D638"/>
          <cell r="E638">
            <v>575</v>
          </cell>
          <cell r="F638">
            <v>575</v>
          </cell>
          <cell r="G638">
            <v>577</v>
          </cell>
          <cell r="H638">
            <v>327</v>
          </cell>
          <cell r="I638">
            <v>0</v>
          </cell>
        </row>
        <row r="639">
          <cell r="A639">
            <v>96912</v>
          </cell>
          <cell r="B639" t="str">
            <v>TOWN OF ORIENTAL</v>
          </cell>
          <cell r="C639">
            <v>7.2000000000000002E-5</v>
          </cell>
          <cell r="D639"/>
          <cell r="E639">
            <v>111</v>
          </cell>
          <cell r="F639">
            <v>111</v>
          </cell>
          <cell r="G639">
            <v>110</v>
          </cell>
          <cell r="H639">
            <v>0</v>
          </cell>
          <cell r="I639">
            <v>0</v>
          </cell>
        </row>
        <row r="640">
          <cell r="A640">
            <v>96918</v>
          </cell>
          <cell r="B640" t="str">
            <v>BAY RIVER METRO SEWERAGE DISTRICT</v>
          </cell>
          <cell r="C640">
            <v>2.9799999999999999E-5</v>
          </cell>
          <cell r="D640"/>
          <cell r="E640">
            <v>150</v>
          </cell>
          <cell r="F640">
            <v>149</v>
          </cell>
          <cell r="G640">
            <v>0</v>
          </cell>
          <cell r="H640">
            <v>0</v>
          </cell>
          <cell r="I640">
            <v>0</v>
          </cell>
        </row>
        <row r="641">
          <cell r="A641">
            <v>97001</v>
          </cell>
          <cell r="B641" t="str">
            <v>PASQUOTANK COUNTY</v>
          </cell>
          <cell r="C641">
            <v>1.3541E-3</v>
          </cell>
          <cell r="D641"/>
          <cell r="E641">
            <v>51638</v>
          </cell>
          <cell r="F641">
            <v>33200</v>
          </cell>
          <cell r="G641">
            <v>15271</v>
          </cell>
          <cell r="H641">
            <v>4904</v>
          </cell>
          <cell r="I641">
            <v>0</v>
          </cell>
        </row>
        <row r="642">
          <cell r="A642">
            <v>97002</v>
          </cell>
          <cell r="B642" t="str">
            <v>PASQUOTANK-CAMDEN AMBULANCE SERVICE</v>
          </cell>
          <cell r="C642">
            <v>5.04E-4</v>
          </cell>
          <cell r="D642"/>
          <cell r="E642">
            <v>1791</v>
          </cell>
          <cell r="F642">
            <v>0</v>
          </cell>
          <cell r="G642">
            <v>0</v>
          </cell>
          <cell r="H642">
            <v>0</v>
          </cell>
          <cell r="I642">
            <v>0</v>
          </cell>
        </row>
        <row r="643">
          <cell r="A643">
            <v>97004</v>
          </cell>
          <cell r="B643" t="str">
            <v>PASQUOTANK CO ABC BOARD</v>
          </cell>
          <cell r="C643">
            <v>1.5400000000000002E-5</v>
          </cell>
          <cell r="D643"/>
          <cell r="E643">
            <v>3234</v>
          </cell>
          <cell r="F643">
            <v>3184</v>
          </cell>
          <cell r="G643">
            <v>2615</v>
          </cell>
          <cell r="H643">
            <v>1917</v>
          </cell>
          <cell r="I643">
            <v>0</v>
          </cell>
        </row>
        <row r="644">
          <cell r="A644">
            <v>97005</v>
          </cell>
          <cell r="B644" t="str">
            <v>EAST ALBEMARLE REGIONAL LIBRARY</v>
          </cell>
          <cell r="C644">
            <v>2.0100000000000001E-5</v>
          </cell>
          <cell r="D644"/>
          <cell r="E644">
            <v>2942</v>
          </cell>
          <cell r="F644">
            <v>2944</v>
          </cell>
          <cell r="G644">
            <v>159</v>
          </cell>
          <cell r="H644">
            <v>0</v>
          </cell>
          <cell r="I644">
            <v>0</v>
          </cell>
        </row>
        <row r="645">
          <cell r="A645">
            <v>97008</v>
          </cell>
          <cell r="B645" t="str">
            <v>ALBEMARLE DISTRICT JAIL COMMISSION</v>
          </cell>
          <cell r="C645">
            <v>2.8699999999999998E-4</v>
          </cell>
          <cell r="D645"/>
          <cell r="E645">
            <v>4184</v>
          </cell>
          <cell r="F645">
            <v>4184</v>
          </cell>
          <cell r="G645">
            <v>2914</v>
          </cell>
          <cell r="H645">
            <v>2913</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0</v>
          </cell>
          <cell r="F647">
            <v>0</v>
          </cell>
          <cell r="G647">
            <v>0</v>
          </cell>
          <cell r="H647">
            <v>0</v>
          </cell>
          <cell r="I647">
            <v>0</v>
          </cell>
        </row>
        <row r="648">
          <cell r="A648">
            <v>97012</v>
          </cell>
          <cell r="B648" t="str">
            <v>ELIZABETH CITY-PASQUOTANK CO AIRPORT AUTH</v>
          </cell>
          <cell r="C648">
            <v>2.97E-5</v>
          </cell>
          <cell r="D648"/>
          <cell r="E648">
            <v>2588</v>
          </cell>
          <cell r="F648">
            <v>1826</v>
          </cell>
          <cell r="G648">
            <v>1219</v>
          </cell>
          <cell r="H648">
            <v>404</v>
          </cell>
          <cell r="I648">
            <v>0</v>
          </cell>
        </row>
        <row r="649">
          <cell r="A649">
            <v>97013</v>
          </cell>
          <cell r="B649" t="str">
            <v>ELIZABETH CITY PASQUOTANK COUNTY TDA</v>
          </cell>
          <cell r="C649">
            <v>9.0000000000000002E-6</v>
          </cell>
          <cell r="D649"/>
          <cell r="E649">
            <v>2169</v>
          </cell>
          <cell r="F649">
            <v>1104</v>
          </cell>
          <cell r="G649">
            <v>905</v>
          </cell>
          <cell r="H649">
            <v>0</v>
          </cell>
          <cell r="I649">
            <v>0</v>
          </cell>
        </row>
        <row r="650">
          <cell r="A650">
            <v>97015</v>
          </cell>
          <cell r="B650" t="str">
            <v>PASQUOTANK-CAMDEN LIBRARY</v>
          </cell>
          <cell r="C650">
            <v>4.3900000000000003E-5</v>
          </cell>
          <cell r="D650"/>
          <cell r="E650">
            <v>2518</v>
          </cell>
          <cell r="F650">
            <v>1826</v>
          </cell>
          <cell r="G650">
            <v>1826</v>
          </cell>
          <cell r="H650">
            <v>0</v>
          </cell>
          <cell r="I650">
            <v>0</v>
          </cell>
        </row>
        <row r="651">
          <cell r="A651">
            <v>97018</v>
          </cell>
          <cell r="B651" t="str">
            <v>ELIZABETH CTY-PASQUOTANK CO INDUSTRL DEVELOPMENT C</v>
          </cell>
          <cell r="C651">
            <v>1.6399999999999999E-5</v>
          </cell>
          <cell r="D651"/>
          <cell r="E651">
            <v>3719</v>
          </cell>
          <cell r="F651">
            <v>3119</v>
          </cell>
          <cell r="G651">
            <v>2414</v>
          </cell>
          <cell r="H651">
            <v>1634</v>
          </cell>
          <cell r="I651">
            <v>0</v>
          </cell>
        </row>
        <row r="652">
          <cell r="A652">
            <v>97101</v>
          </cell>
          <cell r="B652" t="str">
            <v>PENDER COUNTY</v>
          </cell>
          <cell r="C652">
            <v>2.7334E-3</v>
          </cell>
          <cell r="D652"/>
          <cell r="E652">
            <v>74275</v>
          </cell>
          <cell r="F652">
            <v>73121</v>
          </cell>
          <cell r="G652">
            <v>72222</v>
          </cell>
          <cell r="H652">
            <v>66437</v>
          </cell>
          <cell r="I652">
            <v>0</v>
          </cell>
        </row>
        <row r="653">
          <cell r="A653">
            <v>97104</v>
          </cell>
          <cell r="B653" t="str">
            <v>PENDER COUNTY ABC BOARD</v>
          </cell>
          <cell r="C653">
            <v>5.41E-5</v>
          </cell>
          <cell r="D653"/>
          <cell r="E653">
            <v>3424</v>
          </cell>
          <cell r="F653">
            <v>2353</v>
          </cell>
          <cell r="G653">
            <v>1931</v>
          </cell>
          <cell r="H653">
            <v>523</v>
          </cell>
          <cell r="I653">
            <v>0</v>
          </cell>
        </row>
        <row r="654">
          <cell r="A654">
            <v>97111</v>
          </cell>
          <cell r="B654" t="str">
            <v>TOWN OF BURGAW</v>
          </cell>
          <cell r="C654">
            <v>2.8489999999999999E-4</v>
          </cell>
          <cell r="D654"/>
          <cell r="E654">
            <v>304</v>
          </cell>
          <cell r="F654">
            <v>0</v>
          </cell>
          <cell r="G654">
            <v>0</v>
          </cell>
          <cell r="H654">
            <v>0</v>
          </cell>
          <cell r="I654">
            <v>0</v>
          </cell>
        </row>
        <row r="655">
          <cell r="A655">
            <v>97121</v>
          </cell>
          <cell r="B655" t="str">
            <v>TOWN OF TOPSAIL BEACH</v>
          </cell>
          <cell r="C655">
            <v>1.493E-4</v>
          </cell>
          <cell r="D655"/>
          <cell r="E655">
            <v>10634</v>
          </cell>
          <cell r="F655">
            <v>10635</v>
          </cell>
          <cell r="G655">
            <v>7224</v>
          </cell>
          <cell r="H655">
            <v>5869</v>
          </cell>
          <cell r="I655">
            <v>0</v>
          </cell>
        </row>
        <row r="656">
          <cell r="A656">
            <v>97131</v>
          </cell>
          <cell r="B656" t="str">
            <v>TOWN OF SURF CITY</v>
          </cell>
          <cell r="C656">
            <v>6.5379999999999995E-4</v>
          </cell>
          <cell r="D656"/>
          <cell r="E656">
            <v>8044</v>
          </cell>
          <cell r="F656">
            <v>8044</v>
          </cell>
          <cell r="G656">
            <v>1722</v>
          </cell>
          <cell r="H656">
            <v>1723</v>
          </cell>
          <cell r="I656">
            <v>0</v>
          </cell>
        </row>
        <row r="657">
          <cell r="A657">
            <v>97201</v>
          </cell>
          <cell r="B657" t="str">
            <v>PERQUIMANS COUNTY</v>
          </cell>
          <cell r="C657">
            <v>5.8529999999999997E-4</v>
          </cell>
          <cell r="D657"/>
          <cell r="E657">
            <v>25848</v>
          </cell>
          <cell r="F657">
            <v>21291</v>
          </cell>
          <cell r="G657">
            <v>14576</v>
          </cell>
          <cell r="H657">
            <v>14575</v>
          </cell>
          <cell r="I657">
            <v>0</v>
          </cell>
        </row>
        <row r="658">
          <cell r="A658">
            <v>97211</v>
          </cell>
          <cell r="B658" t="str">
            <v>TOWN OF HERTFORD</v>
          </cell>
          <cell r="C658">
            <v>8.14E-5</v>
          </cell>
          <cell r="D658"/>
          <cell r="E658">
            <v>3426</v>
          </cell>
          <cell r="F658">
            <v>3424</v>
          </cell>
          <cell r="G658">
            <v>0</v>
          </cell>
          <cell r="H658">
            <v>0</v>
          </cell>
          <cell r="I658">
            <v>0</v>
          </cell>
        </row>
        <row r="659">
          <cell r="A659">
            <v>97213</v>
          </cell>
          <cell r="B659" t="str">
            <v>HERTFORD HOUSING AUTH</v>
          </cell>
          <cell r="C659">
            <v>3.5500000000000002E-5</v>
          </cell>
          <cell r="D659"/>
          <cell r="E659">
            <v>2511</v>
          </cell>
          <cell r="F659">
            <v>2511</v>
          </cell>
          <cell r="G659">
            <v>1033</v>
          </cell>
          <cell r="H659">
            <v>0</v>
          </cell>
          <cell r="I659">
            <v>0</v>
          </cell>
        </row>
        <row r="660">
          <cell r="A660">
            <v>97217</v>
          </cell>
          <cell r="B660" t="str">
            <v>TOWN OF HERTFORD ABC BOARD</v>
          </cell>
          <cell r="C660">
            <v>5.5999999999999997E-6</v>
          </cell>
          <cell r="D660"/>
          <cell r="E660">
            <v>3349</v>
          </cell>
          <cell r="F660">
            <v>2625</v>
          </cell>
          <cell r="G660">
            <v>1718</v>
          </cell>
          <cell r="H660">
            <v>855</v>
          </cell>
          <cell r="I660">
            <v>0</v>
          </cell>
        </row>
        <row r="661">
          <cell r="A661">
            <v>97221</v>
          </cell>
          <cell r="B661" t="str">
            <v>TOWN OF WINFALL</v>
          </cell>
          <cell r="C661">
            <v>1.24E-5</v>
          </cell>
          <cell r="D661"/>
          <cell r="E661">
            <v>3824</v>
          </cell>
          <cell r="F661">
            <v>3120</v>
          </cell>
          <cell r="G661">
            <v>2057</v>
          </cell>
          <cell r="H661">
            <v>1781</v>
          </cell>
          <cell r="I661">
            <v>0</v>
          </cell>
        </row>
        <row r="662">
          <cell r="A662">
            <v>97301</v>
          </cell>
          <cell r="B662" t="str">
            <v>PERSON COUNTY</v>
          </cell>
          <cell r="C662">
            <v>2.3942E-3</v>
          </cell>
          <cell r="D662"/>
          <cell r="E662">
            <v>0</v>
          </cell>
          <cell r="F662">
            <v>0</v>
          </cell>
          <cell r="G662">
            <v>0</v>
          </cell>
          <cell r="H662">
            <v>0</v>
          </cell>
          <cell r="I662">
            <v>0</v>
          </cell>
        </row>
        <row r="663">
          <cell r="A663">
            <v>97302</v>
          </cell>
          <cell r="B663" t="str">
            <v>ROXBORO HOUSING AUTHORITY</v>
          </cell>
          <cell r="C663">
            <v>0</v>
          </cell>
          <cell r="D663"/>
          <cell r="E663">
            <v>2721</v>
          </cell>
          <cell r="F663">
            <v>2721</v>
          </cell>
          <cell r="G663">
            <v>2721</v>
          </cell>
          <cell r="H663">
            <v>2722</v>
          </cell>
          <cell r="I663">
            <v>0</v>
          </cell>
        </row>
        <row r="664">
          <cell r="A664">
            <v>97304</v>
          </cell>
          <cell r="B664" t="str">
            <v>PERSON CO ABC BD</v>
          </cell>
          <cell r="C664">
            <v>1.4399999999999999E-5</v>
          </cell>
          <cell r="D664"/>
          <cell r="E664">
            <v>4089</v>
          </cell>
          <cell r="F664">
            <v>3368</v>
          </cell>
          <cell r="G664">
            <v>2368</v>
          </cell>
          <cell r="H664">
            <v>1384</v>
          </cell>
          <cell r="I664">
            <v>0</v>
          </cell>
        </row>
        <row r="665">
          <cell r="A665">
            <v>97311</v>
          </cell>
          <cell r="B665" t="str">
            <v>CITY OF ROXBORO</v>
          </cell>
          <cell r="C665">
            <v>9.0109999999999995E-4</v>
          </cell>
          <cell r="D665"/>
          <cell r="E665">
            <v>0</v>
          </cell>
          <cell r="F665">
            <v>0</v>
          </cell>
          <cell r="G665">
            <v>0</v>
          </cell>
          <cell r="H665">
            <v>0</v>
          </cell>
          <cell r="I665">
            <v>0</v>
          </cell>
        </row>
        <row r="666">
          <cell r="A666">
            <v>97401</v>
          </cell>
          <cell r="B666" t="str">
            <v>PITT COUNTY</v>
          </cell>
          <cell r="C666">
            <v>7.0562999999999997E-3</v>
          </cell>
          <cell r="D666"/>
          <cell r="E666">
            <v>58132</v>
          </cell>
          <cell r="F666">
            <v>58132</v>
          </cell>
          <cell r="G666">
            <v>20288</v>
          </cell>
          <cell r="H666">
            <v>0</v>
          </cell>
          <cell r="I666">
            <v>0</v>
          </cell>
        </row>
        <row r="667">
          <cell r="A667">
            <v>97402</v>
          </cell>
          <cell r="B667" t="str">
            <v>PITT-GREENVILLE CONV &amp; VISTORS</v>
          </cell>
          <cell r="C667">
            <v>4.1999999999999998E-5</v>
          </cell>
          <cell r="D667"/>
          <cell r="E667">
            <v>4807</v>
          </cell>
          <cell r="F667">
            <v>1811</v>
          </cell>
          <cell r="G667">
            <v>621</v>
          </cell>
          <cell r="H667">
            <v>0</v>
          </cell>
          <cell r="I667">
            <v>0</v>
          </cell>
        </row>
        <row r="668">
          <cell r="A668">
            <v>97404</v>
          </cell>
          <cell r="B668" t="str">
            <v>PITT COUNTY ABC BOARD</v>
          </cell>
          <cell r="C668">
            <v>2.1240000000000001E-4</v>
          </cell>
          <cell r="D668"/>
          <cell r="E668">
            <v>201</v>
          </cell>
          <cell r="F668">
            <v>201</v>
          </cell>
          <cell r="G668">
            <v>201</v>
          </cell>
          <cell r="H668">
            <v>201</v>
          </cell>
          <cell r="I668">
            <v>0</v>
          </cell>
        </row>
        <row r="669">
          <cell r="A669">
            <v>97405</v>
          </cell>
          <cell r="B669" t="str">
            <v>SHEPPARD MEMORIAL LIBRARY</v>
          </cell>
          <cell r="C669">
            <v>1.106E-4</v>
          </cell>
          <cell r="D669"/>
          <cell r="E669">
            <v>11230</v>
          </cell>
          <cell r="F669">
            <v>9254</v>
          </cell>
          <cell r="G669">
            <v>6062</v>
          </cell>
          <cell r="H669">
            <v>1990</v>
          </cell>
          <cell r="I669">
            <v>0</v>
          </cell>
        </row>
        <row r="670">
          <cell r="A670">
            <v>97408</v>
          </cell>
          <cell r="B670" t="str">
            <v>CONTENNEA METROPOLITAN SEWERAGE DIST</v>
          </cell>
          <cell r="C670">
            <v>3.8999999999999999E-5</v>
          </cell>
          <cell r="D670"/>
          <cell r="E670">
            <v>2964</v>
          </cell>
          <cell r="F670">
            <v>1823</v>
          </cell>
          <cell r="G670">
            <v>1213</v>
          </cell>
          <cell r="H670">
            <v>662</v>
          </cell>
          <cell r="I670">
            <v>0</v>
          </cell>
        </row>
        <row r="671">
          <cell r="A671">
            <v>97411</v>
          </cell>
          <cell r="B671" t="str">
            <v>CITY OF GREENVILLE</v>
          </cell>
          <cell r="C671">
            <v>6.3997999999999998E-3</v>
          </cell>
          <cell r="D671"/>
          <cell r="E671">
            <v>8440</v>
          </cell>
          <cell r="F671">
            <v>8440</v>
          </cell>
          <cell r="G671">
            <v>8440</v>
          </cell>
          <cell r="H671">
            <v>8440</v>
          </cell>
          <cell r="I671">
            <v>0</v>
          </cell>
        </row>
        <row r="672">
          <cell r="A672">
            <v>97412</v>
          </cell>
          <cell r="B672" t="str">
            <v>GREENVILLE UTILITIES COMMISSION</v>
          </cell>
          <cell r="C672">
            <v>4.4903E-3</v>
          </cell>
          <cell r="D672"/>
          <cell r="E672">
            <v>72059</v>
          </cell>
          <cell r="F672">
            <v>53568</v>
          </cell>
          <cell r="G672">
            <v>22254</v>
          </cell>
          <cell r="H672">
            <v>0</v>
          </cell>
          <cell r="I672">
            <v>0</v>
          </cell>
        </row>
        <row r="673">
          <cell r="A673">
            <v>97413</v>
          </cell>
          <cell r="B673" t="str">
            <v>GREENVILLE HOUSING AUTHORITY</v>
          </cell>
          <cell r="C673">
            <v>2.812E-4</v>
          </cell>
          <cell r="D673"/>
          <cell r="E673">
            <v>13219</v>
          </cell>
          <cell r="F673">
            <v>12811</v>
          </cell>
          <cell r="G673">
            <v>11290</v>
          </cell>
          <cell r="H673">
            <v>7305</v>
          </cell>
          <cell r="I673">
            <v>0</v>
          </cell>
        </row>
        <row r="674">
          <cell r="A674">
            <v>97421</v>
          </cell>
          <cell r="B674" t="str">
            <v>TOWN OF FARMVILLE</v>
          </cell>
          <cell r="C674">
            <v>4.3120000000000002E-4</v>
          </cell>
          <cell r="D674"/>
          <cell r="E674">
            <v>3680</v>
          </cell>
          <cell r="F674">
            <v>3679</v>
          </cell>
          <cell r="G674">
            <v>1639</v>
          </cell>
          <cell r="H674">
            <v>0</v>
          </cell>
          <cell r="I674">
            <v>0</v>
          </cell>
        </row>
        <row r="675">
          <cell r="A675">
            <v>97423</v>
          </cell>
          <cell r="B675" t="str">
            <v>FARMVILLE HOUSING AUTHORITY</v>
          </cell>
          <cell r="C675">
            <v>4.3000000000000002E-5</v>
          </cell>
          <cell r="D675"/>
          <cell r="E675">
            <v>16659</v>
          </cell>
          <cell r="F675">
            <v>13289</v>
          </cell>
          <cell r="G675">
            <v>9064</v>
          </cell>
          <cell r="H675">
            <v>5576</v>
          </cell>
          <cell r="I675">
            <v>0</v>
          </cell>
        </row>
        <row r="676">
          <cell r="A676">
            <v>97431</v>
          </cell>
          <cell r="B676" t="str">
            <v>TOWN OF GRIFTON</v>
          </cell>
          <cell r="C676">
            <v>8.92E-5</v>
          </cell>
          <cell r="D676"/>
          <cell r="E676">
            <v>4630</v>
          </cell>
          <cell r="F676">
            <v>4328</v>
          </cell>
          <cell r="G676">
            <v>3213</v>
          </cell>
          <cell r="H676">
            <v>0</v>
          </cell>
          <cell r="I676">
            <v>0</v>
          </cell>
        </row>
        <row r="677">
          <cell r="A677">
            <v>97441</v>
          </cell>
          <cell r="B677" t="str">
            <v>TOWN OF BETHEL</v>
          </cell>
          <cell r="C677">
            <v>5.7899999999999998E-5</v>
          </cell>
          <cell r="D677"/>
          <cell r="E677">
            <v>0</v>
          </cell>
          <cell r="F677">
            <v>0</v>
          </cell>
          <cell r="G677">
            <v>0</v>
          </cell>
          <cell r="H677">
            <v>0</v>
          </cell>
          <cell r="I677">
            <v>0</v>
          </cell>
        </row>
        <row r="678">
          <cell r="A678">
            <v>97451</v>
          </cell>
          <cell r="B678" t="str">
            <v>TOWN OF WINTERVILLE</v>
          </cell>
          <cell r="C678">
            <v>6.6290000000000001E-4</v>
          </cell>
          <cell r="D678"/>
          <cell r="E678">
            <v>7319</v>
          </cell>
          <cell r="F678">
            <v>2904</v>
          </cell>
          <cell r="G678">
            <v>2904</v>
          </cell>
          <cell r="H678">
            <v>0</v>
          </cell>
          <cell r="I678">
            <v>0</v>
          </cell>
        </row>
        <row r="679">
          <cell r="A679">
            <v>97461</v>
          </cell>
          <cell r="B679" t="str">
            <v>TOWN OF AYDEN</v>
          </cell>
          <cell r="C679">
            <v>5.7600000000000001E-4</v>
          </cell>
          <cell r="D679"/>
          <cell r="E679">
            <v>4098</v>
          </cell>
          <cell r="F679">
            <v>4098</v>
          </cell>
          <cell r="G679">
            <v>3188</v>
          </cell>
          <cell r="H679">
            <v>3188</v>
          </cell>
          <cell r="I679">
            <v>0</v>
          </cell>
        </row>
        <row r="680">
          <cell r="A680">
            <v>97463</v>
          </cell>
          <cell r="B680" t="str">
            <v>AYDEN HOUSING AUTHORITY</v>
          </cell>
          <cell r="C680">
            <v>0</v>
          </cell>
          <cell r="D680"/>
          <cell r="E680">
            <v>0</v>
          </cell>
          <cell r="F680">
            <v>0</v>
          </cell>
          <cell r="G680">
            <v>0</v>
          </cell>
          <cell r="H680">
            <v>0</v>
          </cell>
          <cell r="I680">
            <v>0</v>
          </cell>
        </row>
        <row r="681">
          <cell r="A681">
            <v>97471</v>
          </cell>
          <cell r="B681" t="str">
            <v>TOWN OF GRIMESLAND</v>
          </cell>
          <cell r="C681">
            <v>1.6399999999999999E-5</v>
          </cell>
          <cell r="D681"/>
          <cell r="E681">
            <v>3923</v>
          </cell>
          <cell r="F681">
            <v>3398</v>
          </cell>
          <cell r="G681">
            <v>2552</v>
          </cell>
          <cell r="H681">
            <v>927</v>
          </cell>
          <cell r="I681">
            <v>0</v>
          </cell>
        </row>
        <row r="682">
          <cell r="A682">
            <v>97481</v>
          </cell>
          <cell r="B682" t="str">
            <v>VILLAGE OF SIMPSON</v>
          </cell>
          <cell r="C682">
            <v>8.9999999999999996E-7</v>
          </cell>
          <cell r="D682"/>
          <cell r="E682">
            <v>578</v>
          </cell>
          <cell r="F682">
            <v>131</v>
          </cell>
          <cell r="G682">
            <v>131</v>
          </cell>
          <cell r="H682">
            <v>0</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47499</v>
          </cell>
          <cell r="F684">
            <v>45779</v>
          </cell>
          <cell r="G684">
            <v>21021</v>
          </cell>
          <cell r="H684">
            <v>21022</v>
          </cell>
          <cell r="I684">
            <v>0</v>
          </cell>
        </row>
        <row r="685">
          <cell r="A685">
            <v>97511</v>
          </cell>
          <cell r="B685" t="str">
            <v>TOWN OF TRYON</v>
          </cell>
          <cell r="C685">
            <v>1.9120000000000001E-4</v>
          </cell>
          <cell r="D685"/>
          <cell r="E685">
            <v>8109</v>
          </cell>
          <cell r="F685">
            <v>5897</v>
          </cell>
          <cell r="G685">
            <v>4632</v>
          </cell>
          <cell r="H685">
            <v>4631</v>
          </cell>
          <cell r="I685">
            <v>0</v>
          </cell>
        </row>
        <row r="686">
          <cell r="A686">
            <v>97521</v>
          </cell>
          <cell r="B686" t="str">
            <v>TOWN OF COLUMBUS</v>
          </cell>
          <cell r="C686">
            <v>1.139E-4</v>
          </cell>
          <cell r="D686"/>
          <cell r="E686">
            <v>0</v>
          </cell>
          <cell r="F686">
            <v>0</v>
          </cell>
          <cell r="G686">
            <v>0</v>
          </cell>
          <cell r="H686">
            <v>0</v>
          </cell>
          <cell r="I686">
            <v>0</v>
          </cell>
        </row>
        <row r="687">
          <cell r="A687">
            <v>97527</v>
          </cell>
          <cell r="B687" t="str">
            <v>COLUMBUS ABC BOARD</v>
          </cell>
          <cell r="C687">
            <v>1.7E-5</v>
          </cell>
          <cell r="D687"/>
          <cell r="E687">
            <v>3432</v>
          </cell>
          <cell r="F687">
            <v>3432</v>
          </cell>
          <cell r="G687">
            <v>3430</v>
          </cell>
          <cell r="H687">
            <v>2565</v>
          </cell>
          <cell r="I687">
            <v>0</v>
          </cell>
        </row>
        <row r="688">
          <cell r="A688">
            <v>97531</v>
          </cell>
          <cell r="B688" t="str">
            <v>CITY OF SALUDA</v>
          </cell>
          <cell r="C688">
            <v>8.1299999999999997E-5</v>
          </cell>
          <cell r="D688"/>
          <cell r="E688">
            <v>10316</v>
          </cell>
          <cell r="F688">
            <v>9597</v>
          </cell>
          <cell r="G688">
            <v>7400</v>
          </cell>
          <cell r="H688">
            <v>4861</v>
          </cell>
          <cell r="I688">
            <v>0</v>
          </cell>
        </row>
        <row r="689">
          <cell r="A689">
            <v>97601</v>
          </cell>
          <cell r="B689" t="str">
            <v>RANDOLPH COUNTY</v>
          </cell>
          <cell r="C689">
            <v>5.2946E-3</v>
          </cell>
          <cell r="D689"/>
          <cell r="E689">
            <v>47732</v>
          </cell>
          <cell r="F689">
            <v>47731</v>
          </cell>
          <cell r="G689">
            <v>0</v>
          </cell>
          <cell r="H689">
            <v>0</v>
          </cell>
          <cell r="I689">
            <v>0</v>
          </cell>
        </row>
        <row r="690">
          <cell r="A690">
            <v>97607</v>
          </cell>
          <cell r="B690" t="str">
            <v>ASHEBORO ABC BOARD</v>
          </cell>
          <cell r="C690">
            <v>2.0699999999999998E-5</v>
          </cell>
          <cell r="D690"/>
          <cell r="E690">
            <v>5467</v>
          </cell>
          <cell r="F690">
            <v>4948</v>
          </cell>
          <cell r="G690">
            <v>2956</v>
          </cell>
          <cell r="H690">
            <v>1525</v>
          </cell>
          <cell r="I690">
            <v>0</v>
          </cell>
        </row>
        <row r="691">
          <cell r="A691">
            <v>97611</v>
          </cell>
          <cell r="B691" t="str">
            <v>CITY OF ASHEBORO</v>
          </cell>
          <cell r="C691">
            <v>2.3218000000000002E-3</v>
          </cell>
          <cell r="D691"/>
          <cell r="E691">
            <v>0</v>
          </cell>
          <cell r="F691">
            <v>0</v>
          </cell>
          <cell r="G691">
            <v>0</v>
          </cell>
          <cell r="H691">
            <v>0</v>
          </cell>
          <cell r="I691">
            <v>0</v>
          </cell>
        </row>
        <row r="692">
          <cell r="A692">
            <v>97613</v>
          </cell>
          <cell r="B692" t="str">
            <v>ASHEBORO HOUSING AUTH</v>
          </cell>
          <cell r="C692">
            <v>8.8599999999999999E-5</v>
          </cell>
          <cell r="D692"/>
          <cell r="E692">
            <v>2367</v>
          </cell>
          <cell r="F692">
            <v>1175</v>
          </cell>
          <cell r="G692">
            <v>1174</v>
          </cell>
          <cell r="H692">
            <v>0</v>
          </cell>
          <cell r="I692">
            <v>0</v>
          </cell>
        </row>
        <row r="693">
          <cell r="A693">
            <v>97621</v>
          </cell>
          <cell r="B693" t="str">
            <v>CITY OF RANDLEMAN</v>
          </cell>
          <cell r="C693">
            <v>4.3960000000000001E-4</v>
          </cell>
          <cell r="D693"/>
          <cell r="E693">
            <v>0</v>
          </cell>
          <cell r="F693">
            <v>0</v>
          </cell>
          <cell r="G693">
            <v>0</v>
          </cell>
          <cell r="H693">
            <v>0</v>
          </cell>
          <cell r="I693">
            <v>0</v>
          </cell>
        </row>
        <row r="694">
          <cell r="A694">
            <v>97623</v>
          </cell>
          <cell r="B694" t="str">
            <v>CITY OF RANDLEMAN HOUSING AUTHORITY</v>
          </cell>
          <cell r="C694">
            <v>2.5400000000000001E-5</v>
          </cell>
          <cell r="D694"/>
          <cell r="E694">
            <v>433</v>
          </cell>
          <cell r="F694">
            <v>170</v>
          </cell>
          <cell r="G694">
            <v>170</v>
          </cell>
          <cell r="H694">
            <v>171</v>
          </cell>
          <cell r="I694">
            <v>0</v>
          </cell>
        </row>
        <row r="695">
          <cell r="A695">
            <v>97627</v>
          </cell>
          <cell r="B695" t="str">
            <v>CITY OF RANDLEMAN ABC BOARD</v>
          </cell>
          <cell r="C695">
            <v>9.3000000000000007E-6</v>
          </cell>
          <cell r="D695"/>
          <cell r="E695">
            <v>426</v>
          </cell>
          <cell r="F695">
            <v>302</v>
          </cell>
          <cell r="G695">
            <v>274</v>
          </cell>
          <cell r="H695">
            <v>147</v>
          </cell>
          <cell r="I695">
            <v>0</v>
          </cell>
        </row>
        <row r="696">
          <cell r="A696">
            <v>97631</v>
          </cell>
          <cell r="B696" t="str">
            <v>TOWN OF LIBERTY</v>
          </cell>
          <cell r="C696">
            <v>1.972E-4</v>
          </cell>
          <cell r="D696"/>
          <cell r="E696">
            <v>1180</v>
          </cell>
          <cell r="F696">
            <v>0</v>
          </cell>
          <cell r="G696">
            <v>0</v>
          </cell>
          <cell r="H696">
            <v>0</v>
          </cell>
          <cell r="I696">
            <v>0</v>
          </cell>
        </row>
        <row r="697">
          <cell r="A697">
            <v>97637</v>
          </cell>
          <cell r="B697" t="str">
            <v>LIBERTY ABC BOARD</v>
          </cell>
          <cell r="C697">
            <v>3.1999999999999999E-6</v>
          </cell>
          <cell r="D697"/>
          <cell r="E697">
            <v>567</v>
          </cell>
          <cell r="F697">
            <v>566</v>
          </cell>
          <cell r="G697">
            <v>432</v>
          </cell>
          <cell r="H697">
            <v>239</v>
          </cell>
          <cell r="I697">
            <v>0</v>
          </cell>
        </row>
        <row r="698">
          <cell r="A698">
            <v>97641</v>
          </cell>
          <cell r="B698" t="str">
            <v>TOWN OF RAMSEUR</v>
          </cell>
          <cell r="C698">
            <v>4.5399999999999999E-5</v>
          </cell>
          <cell r="D698"/>
          <cell r="E698">
            <v>3306</v>
          </cell>
          <cell r="F698">
            <v>858</v>
          </cell>
          <cell r="G698">
            <v>365</v>
          </cell>
          <cell r="H698">
            <v>363</v>
          </cell>
          <cell r="I698">
            <v>0</v>
          </cell>
        </row>
        <row r="699">
          <cell r="A699">
            <v>97651</v>
          </cell>
          <cell r="B699" t="str">
            <v>CITY OF ARCHDALE</v>
          </cell>
          <cell r="C699">
            <v>5.2329999999999998E-4</v>
          </cell>
          <cell r="D699"/>
          <cell r="E699">
            <v>0</v>
          </cell>
          <cell r="F699">
            <v>0</v>
          </cell>
          <cell r="G699">
            <v>0</v>
          </cell>
          <cell r="H699">
            <v>0</v>
          </cell>
          <cell r="I699">
            <v>0</v>
          </cell>
        </row>
        <row r="700">
          <cell r="A700">
            <v>97661</v>
          </cell>
          <cell r="B700" t="str">
            <v>CITY OF TRINITY</v>
          </cell>
          <cell r="C700">
            <v>5.3300000000000001E-5</v>
          </cell>
          <cell r="D700"/>
          <cell r="E700">
            <v>4839</v>
          </cell>
          <cell r="F700">
            <v>3260</v>
          </cell>
          <cell r="G700">
            <v>1834</v>
          </cell>
          <cell r="H700">
            <v>1833</v>
          </cell>
          <cell r="I700">
            <v>0</v>
          </cell>
        </row>
        <row r="701">
          <cell r="A701">
            <v>97701</v>
          </cell>
          <cell r="B701" t="str">
            <v>RICHMOND COUNTY</v>
          </cell>
          <cell r="C701">
            <v>2.4578E-3</v>
          </cell>
          <cell r="D701"/>
          <cell r="E701">
            <v>13976</v>
          </cell>
          <cell r="F701">
            <v>9634</v>
          </cell>
          <cell r="G701">
            <v>9490</v>
          </cell>
          <cell r="H701">
            <v>0</v>
          </cell>
          <cell r="I701">
            <v>0</v>
          </cell>
        </row>
        <row r="702">
          <cell r="A702">
            <v>97705</v>
          </cell>
          <cell r="B702" t="str">
            <v>SANDHILL REGIONAL LIBRARY</v>
          </cell>
          <cell r="C702">
            <v>3.1699999999999998E-5</v>
          </cell>
          <cell r="D702"/>
          <cell r="E702">
            <v>715</v>
          </cell>
          <cell r="F702">
            <v>0</v>
          </cell>
          <cell r="G702">
            <v>0</v>
          </cell>
          <cell r="H702">
            <v>0</v>
          </cell>
          <cell r="I702">
            <v>0</v>
          </cell>
        </row>
        <row r="703">
          <cell r="A703">
            <v>97711</v>
          </cell>
          <cell r="B703" t="str">
            <v>CITY OF ROCKINGHAM</v>
          </cell>
          <cell r="C703">
            <v>8.5930000000000002E-4</v>
          </cell>
          <cell r="D703"/>
          <cell r="E703">
            <v>2745</v>
          </cell>
          <cell r="F703">
            <v>2745</v>
          </cell>
          <cell r="G703">
            <v>2747</v>
          </cell>
          <cell r="H703">
            <v>0</v>
          </cell>
          <cell r="I703">
            <v>0</v>
          </cell>
        </row>
        <row r="704">
          <cell r="A704">
            <v>97713</v>
          </cell>
          <cell r="B704" t="str">
            <v>ROCKINGHAM HOUSING AUTHORITY</v>
          </cell>
          <cell r="C704">
            <v>5.0399999999999999E-5</v>
          </cell>
          <cell r="D704"/>
          <cell r="E704">
            <v>1109</v>
          </cell>
          <cell r="F704">
            <v>1109</v>
          </cell>
          <cell r="G704">
            <v>1107</v>
          </cell>
          <cell r="H704">
            <v>0</v>
          </cell>
          <cell r="I704">
            <v>0</v>
          </cell>
        </row>
        <row r="705">
          <cell r="A705">
            <v>97717</v>
          </cell>
          <cell r="B705" t="str">
            <v>HAMLET ABC BOARD</v>
          </cell>
          <cell r="C705">
            <v>5.4E-6</v>
          </cell>
          <cell r="D705"/>
          <cell r="E705">
            <v>407</v>
          </cell>
          <cell r="F705">
            <v>83</v>
          </cell>
          <cell r="G705">
            <v>83</v>
          </cell>
          <cell r="H705">
            <v>0</v>
          </cell>
          <cell r="I705">
            <v>0</v>
          </cell>
        </row>
        <row r="706">
          <cell r="A706">
            <v>97721</v>
          </cell>
          <cell r="B706" t="str">
            <v>CITY OF HAMLET</v>
          </cell>
          <cell r="C706">
            <v>5.5699999999999999E-4</v>
          </cell>
          <cell r="D706"/>
          <cell r="E706">
            <v>4439</v>
          </cell>
          <cell r="F706">
            <v>866</v>
          </cell>
          <cell r="G706">
            <v>868</v>
          </cell>
          <cell r="H706">
            <v>0</v>
          </cell>
          <cell r="I706">
            <v>0</v>
          </cell>
        </row>
        <row r="707">
          <cell r="A707">
            <v>97727</v>
          </cell>
          <cell r="B707" t="str">
            <v>CITY OF ROCKINGHAM ABC BOARD</v>
          </cell>
          <cell r="C707">
            <v>1.8600000000000001E-5</v>
          </cell>
          <cell r="D707"/>
          <cell r="E707">
            <v>0</v>
          </cell>
          <cell r="F707">
            <v>0</v>
          </cell>
          <cell r="G707">
            <v>0</v>
          </cell>
          <cell r="H707">
            <v>0</v>
          </cell>
          <cell r="I707">
            <v>0</v>
          </cell>
        </row>
        <row r="708">
          <cell r="A708">
            <v>97731</v>
          </cell>
          <cell r="B708" t="str">
            <v>TOWN OF ELLERBE</v>
          </cell>
          <cell r="C708">
            <v>3.82E-5</v>
          </cell>
          <cell r="D708"/>
          <cell r="E708">
            <v>2714</v>
          </cell>
          <cell r="F708">
            <v>1944</v>
          </cell>
          <cell r="G708">
            <v>1776</v>
          </cell>
          <cell r="H708">
            <v>1454</v>
          </cell>
          <cell r="I708">
            <v>0</v>
          </cell>
        </row>
        <row r="709">
          <cell r="A709">
            <v>97801</v>
          </cell>
          <cell r="B709" t="str">
            <v>COUNTY OF ROBESON</v>
          </cell>
          <cell r="C709">
            <v>6.0489000000000003E-3</v>
          </cell>
          <cell r="D709"/>
          <cell r="E709">
            <v>0</v>
          </cell>
          <cell r="F709">
            <v>0</v>
          </cell>
          <cell r="G709">
            <v>0</v>
          </cell>
          <cell r="H709">
            <v>0</v>
          </cell>
          <cell r="I709">
            <v>0</v>
          </cell>
        </row>
        <row r="710">
          <cell r="A710">
            <v>97802</v>
          </cell>
          <cell r="B710" t="str">
            <v>LUMBER RIVER COUNCIL OF GOVERNMENTS</v>
          </cell>
          <cell r="C710">
            <v>1.9029999999999999E-4</v>
          </cell>
          <cell r="D710"/>
          <cell r="E710">
            <v>6412</v>
          </cell>
          <cell r="F710">
            <v>6412</v>
          </cell>
          <cell r="G710">
            <v>6410</v>
          </cell>
          <cell r="H710">
            <v>3225</v>
          </cell>
          <cell r="I710">
            <v>0</v>
          </cell>
        </row>
        <row r="711">
          <cell r="A711">
            <v>97803</v>
          </cell>
          <cell r="B711" t="str">
            <v>ROBESON COUNTY HOUSING AUTHORITY</v>
          </cell>
          <cell r="C711">
            <v>7.7899999999999996E-5</v>
          </cell>
          <cell r="D711"/>
          <cell r="E711">
            <v>1592</v>
          </cell>
          <cell r="F711">
            <v>1100</v>
          </cell>
          <cell r="G711">
            <v>1001</v>
          </cell>
          <cell r="H711">
            <v>0</v>
          </cell>
          <cell r="I711">
            <v>0</v>
          </cell>
        </row>
        <row r="712">
          <cell r="A712">
            <v>97805</v>
          </cell>
          <cell r="B712" t="str">
            <v>ROBESON COUNTY PUBLIC LIBRARY</v>
          </cell>
          <cell r="C712">
            <v>8.6500000000000002E-5</v>
          </cell>
          <cell r="D712"/>
          <cell r="E712">
            <v>3627</v>
          </cell>
          <cell r="F712">
            <v>1814</v>
          </cell>
          <cell r="G712">
            <v>1747</v>
          </cell>
          <cell r="H712">
            <v>819</v>
          </cell>
          <cell r="I712">
            <v>0</v>
          </cell>
        </row>
        <row r="713">
          <cell r="A713">
            <v>97811</v>
          </cell>
          <cell r="B713" t="str">
            <v>CITY OF LUMBERTON</v>
          </cell>
          <cell r="C713">
            <v>2.4080999999999998E-3</v>
          </cell>
          <cell r="D713"/>
          <cell r="E713">
            <v>0</v>
          </cell>
          <cell r="F713">
            <v>0</v>
          </cell>
          <cell r="G713">
            <v>0</v>
          </cell>
          <cell r="H713">
            <v>0</v>
          </cell>
          <cell r="I713">
            <v>0</v>
          </cell>
        </row>
        <row r="714">
          <cell r="A714">
            <v>97817</v>
          </cell>
          <cell r="B714" t="str">
            <v>LUMBERTON ABC BOARD</v>
          </cell>
          <cell r="C714">
            <v>1.7499999999999998E-5</v>
          </cell>
          <cell r="D714"/>
          <cell r="E714">
            <v>5686</v>
          </cell>
          <cell r="F714">
            <v>5060</v>
          </cell>
          <cell r="G714">
            <v>1222</v>
          </cell>
          <cell r="H714">
            <v>960</v>
          </cell>
          <cell r="I714">
            <v>0</v>
          </cell>
        </row>
        <row r="715">
          <cell r="A715">
            <v>97818</v>
          </cell>
          <cell r="B715" t="str">
            <v>LUMBERTON AIRPORT COMM</v>
          </cell>
          <cell r="C715">
            <v>2.4899999999999999E-5</v>
          </cell>
          <cell r="D715"/>
          <cell r="E715">
            <v>2559</v>
          </cell>
          <cell r="F715">
            <v>1019</v>
          </cell>
          <cell r="G715">
            <v>944</v>
          </cell>
          <cell r="H715">
            <v>946</v>
          </cell>
          <cell r="I715">
            <v>0</v>
          </cell>
        </row>
        <row r="716">
          <cell r="A716">
            <v>97821</v>
          </cell>
          <cell r="B716" t="str">
            <v>TOWN OF FAIRMONT</v>
          </cell>
          <cell r="C716">
            <v>1.329E-4</v>
          </cell>
          <cell r="D716"/>
          <cell r="E716">
            <v>9354</v>
          </cell>
          <cell r="F716">
            <v>9353</v>
          </cell>
          <cell r="G716">
            <v>8017</v>
          </cell>
          <cell r="H716">
            <v>5870</v>
          </cell>
          <cell r="I716">
            <v>0</v>
          </cell>
        </row>
        <row r="717">
          <cell r="A717">
            <v>97823</v>
          </cell>
          <cell r="B717" t="str">
            <v>FAIRMONT HOUSING AUTHORITY</v>
          </cell>
          <cell r="C717">
            <v>1.5400000000000002E-5</v>
          </cell>
          <cell r="D717"/>
          <cell r="E717">
            <v>997</v>
          </cell>
          <cell r="F717">
            <v>836</v>
          </cell>
          <cell r="G717">
            <v>575</v>
          </cell>
          <cell r="H717">
            <v>573</v>
          </cell>
          <cell r="I717">
            <v>0</v>
          </cell>
        </row>
        <row r="718">
          <cell r="A718">
            <v>97831</v>
          </cell>
          <cell r="B718" t="str">
            <v>TOWN OF ST PAULS</v>
          </cell>
          <cell r="C718">
            <v>1.6359999999999999E-4</v>
          </cell>
          <cell r="D718"/>
          <cell r="E718">
            <v>8066</v>
          </cell>
          <cell r="F718">
            <v>8068</v>
          </cell>
          <cell r="G718">
            <v>4251</v>
          </cell>
          <cell r="H718">
            <v>4250</v>
          </cell>
          <cell r="I718">
            <v>0</v>
          </cell>
        </row>
        <row r="719">
          <cell r="A719">
            <v>97837</v>
          </cell>
          <cell r="B719" t="str">
            <v>ST PAUL'S BRD OF ALCOHOLIC CTL</v>
          </cell>
          <cell r="C719">
            <v>1.0000000000000001E-5</v>
          </cell>
          <cell r="D719"/>
          <cell r="E719">
            <v>1010</v>
          </cell>
          <cell r="F719">
            <v>1008</v>
          </cell>
          <cell r="G719">
            <v>499</v>
          </cell>
          <cell r="H719">
            <v>148</v>
          </cell>
          <cell r="I719">
            <v>0</v>
          </cell>
        </row>
        <row r="720">
          <cell r="A720">
            <v>97840</v>
          </cell>
          <cell r="B720" t="str">
            <v>TOWN OF MAXTON</v>
          </cell>
          <cell r="C720">
            <v>1.0560000000000001E-4</v>
          </cell>
          <cell r="D720"/>
          <cell r="E720">
            <v>29947</v>
          </cell>
          <cell r="F720">
            <v>23614</v>
          </cell>
          <cell r="G720">
            <v>15573</v>
          </cell>
          <cell r="H720">
            <v>4987</v>
          </cell>
          <cell r="I720">
            <v>0</v>
          </cell>
        </row>
        <row r="721">
          <cell r="A721">
            <v>97841</v>
          </cell>
          <cell r="B721" t="str">
            <v>TOWN OF PARKTON</v>
          </cell>
          <cell r="C721">
            <v>1.2099999999999999E-5</v>
          </cell>
          <cell r="D721"/>
          <cell r="E721">
            <v>46</v>
          </cell>
          <cell r="F721">
            <v>46</v>
          </cell>
          <cell r="G721">
            <v>46</v>
          </cell>
          <cell r="H721">
            <v>48</v>
          </cell>
          <cell r="I721">
            <v>0</v>
          </cell>
        </row>
        <row r="722">
          <cell r="A722">
            <v>97847</v>
          </cell>
          <cell r="B722" t="str">
            <v>MAXTON ABC BOARD</v>
          </cell>
          <cell r="C722">
            <v>1.7E-6</v>
          </cell>
          <cell r="D722"/>
          <cell r="E722">
            <v>881</v>
          </cell>
          <cell r="F722">
            <v>778</v>
          </cell>
          <cell r="G722">
            <v>534</v>
          </cell>
          <cell r="H722">
            <v>279</v>
          </cell>
          <cell r="I722">
            <v>0</v>
          </cell>
        </row>
        <row r="723">
          <cell r="A723">
            <v>97851</v>
          </cell>
          <cell r="B723" t="str">
            <v>TOWN OF PEMBROKE</v>
          </cell>
          <cell r="C723">
            <v>2.7540000000000003E-4</v>
          </cell>
          <cell r="D723"/>
          <cell r="E723">
            <v>0</v>
          </cell>
          <cell r="F723">
            <v>0</v>
          </cell>
          <cell r="G723">
            <v>0</v>
          </cell>
          <cell r="H723">
            <v>0</v>
          </cell>
          <cell r="I723">
            <v>0</v>
          </cell>
        </row>
        <row r="724">
          <cell r="A724">
            <v>97853</v>
          </cell>
          <cell r="B724" t="str">
            <v>PEMBROKE HOUSING AUTHORITY</v>
          </cell>
          <cell r="C724">
            <v>7.9900000000000004E-5</v>
          </cell>
          <cell r="D724"/>
          <cell r="E724">
            <v>1255</v>
          </cell>
          <cell r="F724">
            <v>1253</v>
          </cell>
          <cell r="G724">
            <v>0</v>
          </cell>
          <cell r="H724">
            <v>0</v>
          </cell>
          <cell r="I724">
            <v>0</v>
          </cell>
        </row>
        <row r="725">
          <cell r="A725">
            <v>97861</v>
          </cell>
          <cell r="B725" t="str">
            <v>TOWN OF ROWLAND</v>
          </cell>
          <cell r="C725">
            <v>4.5500000000000001E-5</v>
          </cell>
          <cell r="D725"/>
          <cell r="E725">
            <v>1700</v>
          </cell>
          <cell r="F725">
            <v>1700</v>
          </cell>
          <cell r="G725">
            <v>1700</v>
          </cell>
          <cell r="H725">
            <v>1698</v>
          </cell>
          <cell r="I725">
            <v>0</v>
          </cell>
        </row>
        <row r="726">
          <cell r="A726">
            <v>97871</v>
          </cell>
          <cell r="B726" t="str">
            <v>TOWN OF RED SPRINGS</v>
          </cell>
          <cell r="C726">
            <v>3.0079999999999999E-4</v>
          </cell>
          <cell r="D726"/>
          <cell r="E726">
            <v>103160</v>
          </cell>
          <cell r="F726">
            <v>82279</v>
          </cell>
          <cell r="G726">
            <v>57658</v>
          </cell>
          <cell r="H726">
            <v>26999</v>
          </cell>
          <cell r="I726">
            <v>0</v>
          </cell>
        </row>
        <row r="727">
          <cell r="A727">
            <v>97877</v>
          </cell>
          <cell r="B727" t="str">
            <v>RED SPRINGS ABC BOARD</v>
          </cell>
          <cell r="C727">
            <v>7.6000000000000001E-6</v>
          </cell>
          <cell r="D727"/>
          <cell r="E727">
            <v>2094</v>
          </cell>
          <cell r="F727">
            <v>1964</v>
          </cell>
          <cell r="G727">
            <v>1767</v>
          </cell>
          <cell r="H727">
            <v>1407</v>
          </cell>
          <cell r="I727">
            <v>0</v>
          </cell>
        </row>
        <row r="728">
          <cell r="A728">
            <v>97901</v>
          </cell>
          <cell r="B728" t="str">
            <v>ROCKINGHAM COUNTY</v>
          </cell>
          <cell r="C728">
            <v>4.0067999999999996E-3</v>
          </cell>
          <cell r="D728"/>
          <cell r="E728">
            <v>10458</v>
          </cell>
          <cell r="F728">
            <v>10460</v>
          </cell>
          <cell r="G728">
            <v>0</v>
          </cell>
          <cell r="H728">
            <v>0</v>
          </cell>
          <cell r="I728">
            <v>0</v>
          </cell>
        </row>
        <row r="729">
          <cell r="A729">
            <v>97911</v>
          </cell>
          <cell r="B729" t="str">
            <v>CITY OF REIDSVILLE</v>
          </cell>
          <cell r="C729">
            <v>1.2121E-3</v>
          </cell>
          <cell r="D729"/>
          <cell r="E729">
            <v>285</v>
          </cell>
          <cell r="F729">
            <v>287</v>
          </cell>
          <cell r="G729">
            <v>142</v>
          </cell>
          <cell r="H729">
            <v>0</v>
          </cell>
          <cell r="I729">
            <v>0</v>
          </cell>
        </row>
        <row r="730">
          <cell r="A730">
            <v>97913</v>
          </cell>
          <cell r="B730" t="str">
            <v>THE NEW REIDSVILLE HOUSING AUTH</v>
          </cell>
          <cell r="C730">
            <v>2.8600000000000001E-5</v>
          </cell>
          <cell r="D730"/>
          <cell r="E730">
            <v>6094</v>
          </cell>
          <cell r="F730">
            <v>4606</v>
          </cell>
          <cell r="G730">
            <v>2642</v>
          </cell>
          <cell r="H730">
            <v>876</v>
          </cell>
          <cell r="I730">
            <v>0</v>
          </cell>
        </row>
        <row r="731">
          <cell r="A731">
            <v>97917</v>
          </cell>
          <cell r="B731" t="str">
            <v>REIDSVILLE ABC BOARD</v>
          </cell>
          <cell r="C731">
            <v>1.84E-5</v>
          </cell>
          <cell r="D731"/>
          <cell r="E731">
            <v>2889</v>
          </cell>
          <cell r="F731">
            <v>2311</v>
          </cell>
          <cell r="G731">
            <v>1356</v>
          </cell>
          <cell r="H731">
            <v>761</v>
          </cell>
          <cell r="I731">
            <v>0</v>
          </cell>
        </row>
        <row r="732">
          <cell r="A732">
            <v>97921</v>
          </cell>
          <cell r="B732" t="str">
            <v>TOWN OF MAYODAN</v>
          </cell>
          <cell r="C732">
            <v>2.073E-4</v>
          </cell>
          <cell r="D732"/>
          <cell r="E732">
            <v>1899</v>
          </cell>
          <cell r="F732">
            <v>1899</v>
          </cell>
          <cell r="G732">
            <v>1897</v>
          </cell>
          <cell r="H732">
            <v>0</v>
          </cell>
          <cell r="I732">
            <v>0</v>
          </cell>
        </row>
        <row r="733">
          <cell r="A733">
            <v>97931</v>
          </cell>
          <cell r="B733" t="str">
            <v>TOWN OF STONEVILLE</v>
          </cell>
          <cell r="C733">
            <v>6.6699999999999995E-5</v>
          </cell>
          <cell r="D733"/>
          <cell r="E733">
            <v>1616</v>
          </cell>
          <cell r="F733">
            <v>1615</v>
          </cell>
          <cell r="G733">
            <v>232</v>
          </cell>
          <cell r="H733">
            <v>230</v>
          </cell>
          <cell r="I733">
            <v>0</v>
          </cell>
        </row>
        <row r="734">
          <cell r="A734">
            <v>97941</v>
          </cell>
          <cell r="B734" t="str">
            <v>TOWN OF MADISON</v>
          </cell>
          <cell r="C734">
            <v>2.143E-4</v>
          </cell>
          <cell r="D734"/>
          <cell r="E734">
            <v>8662</v>
          </cell>
          <cell r="F734">
            <v>7832</v>
          </cell>
          <cell r="G734">
            <v>7834</v>
          </cell>
          <cell r="H734">
            <v>5119</v>
          </cell>
          <cell r="I734">
            <v>0</v>
          </cell>
        </row>
        <row r="735">
          <cell r="A735">
            <v>97947</v>
          </cell>
          <cell r="B735" t="str">
            <v>MADISON ABC BOARD</v>
          </cell>
          <cell r="C735">
            <v>1.52E-5</v>
          </cell>
          <cell r="D735"/>
          <cell r="E735">
            <v>4740</v>
          </cell>
          <cell r="F735">
            <v>3373</v>
          </cell>
          <cell r="G735">
            <v>2624</v>
          </cell>
          <cell r="H735">
            <v>1291</v>
          </cell>
          <cell r="I735">
            <v>0</v>
          </cell>
        </row>
        <row r="736">
          <cell r="A736">
            <v>97948</v>
          </cell>
          <cell r="B736" t="str">
            <v>MADISON-MAYODAN RECREATION COMM</v>
          </cell>
          <cell r="C736">
            <v>2.6100000000000001E-5</v>
          </cell>
          <cell r="D736"/>
          <cell r="E736">
            <v>1066</v>
          </cell>
          <cell r="F736">
            <v>1066</v>
          </cell>
          <cell r="G736">
            <v>1064</v>
          </cell>
          <cell r="H736">
            <v>970</v>
          </cell>
          <cell r="I736">
            <v>0</v>
          </cell>
        </row>
        <row r="737">
          <cell r="A737">
            <v>97951</v>
          </cell>
          <cell r="B737" t="str">
            <v>CITY OF EDEN</v>
          </cell>
          <cell r="C737">
            <v>1.1746E-3</v>
          </cell>
          <cell r="D737"/>
          <cell r="E737">
            <v>14313</v>
          </cell>
          <cell r="F737">
            <v>13098</v>
          </cell>
          <cell r="G737">
            <v>8701</v>
          </cell>
          <cell r="H737">
            <v>8703</v>
          </cell>
          <cell r="I737">
            <v>0</v>
          </cell>
        </row>
        <row r="738">
          <cell r="A738">
            <v>97957</v>
          </cell>
          <cell r="B738" t="str">
            <v>EDEN ABC BOARD</v>
          </cell>
          <cell r="C738">
            <v>1.49E-5</v>
          </cell>
          <cell r="D738"/>
          <cell r="E738">
            <v>2536</v>
          </cell>
          <cell r="F738">
            <v>2041</v>
          </cell>
          <cell r="G738">
            <v>1339</v>
          </cell>
          <cell r="H738">
            <v>680</v>
          </cell>
          <cell r="I738">
            <v>0</v>
          </cell>
        </row>
        <row r="739">
          <cell r="A739">
            <v>98001</v>
          </cell>
          <cell r="B739" t="str">
            <v>ROWAN COUNTY</v>
          </cell>
          <cell r="C739">
            <v>5.3171E-3</v>
          </cell>
          <cell r="D739"/>
          <cell r="E739">
            <v>73087</v>
          </cell>
          <cell r="F739">
            <v>72361</v>
          </cell>
          <cell r="G739">
            <v>43638</v>
          </cell>
          <cell r="H739">
            <v>0</v>
          </cell>
          <cell r="I739">
            <v>0</v>
          </cell>
        </row>
        <row r="740">
          <cell r="A740">
            <v>98002</v>
          </cell>
          <cell r="B740" t="str">
            <v>ROWAN CONVENTION &amp; VISTORS BUREAU</v>
          </cell>
          <cell r="C740">
            <v>6.1999999999999999E-6</v>
          </cell>
          <cell r="D740"/>
          <cell r="E740">
            <v>888</v>
          </cell>
          <cell r="F740">
            <v>763</v>
          </cell>
          <cell r="G740">
            <v>654</v>
          </cell>
          <cell r="H740">
            <v>378</v>
          </cell>
          <cell r="I740">
            <v>0</v>
          </cell>
        </row>
        <row r="741">
          <cell r="A741">
            <v>98003</v>
          </cell>
          <cell r="B741" t="str">
            <v>ROWAN CO HOUSING AUTHORITY</v>
          </cell>
          <cell r="C741">
            <v>6.9499999999999995E-5</v>
          </cell>
          <cell r="D741"/>
          <cell r="E741">
            <v>25430</v>
          </cell>
          <cell r="F741">
            <v>19007</v>
          </cell>
          <cell r="G741">
            <v>12598</v>
          </cell>
          <cell r="H741">
            <v>6024</v>
          </cell>
          <cell r="I741">
            <v>0</v>
          </cell>
        </row>
        <row r="742">
          <cell r="A742">
            <v>98004</v>
          </cell>
          <cell r="B742" t="str">
            <v>ROWAN COUNTY ABC BOARD</v>
          </cell>
          <cell r="C742">
            <v>1.2530000000000001E-4</v>
          </cell>
          <cell r="D742"/>
          <cell r="E742">
            <v>19197</v>
          </cell>
          <cell r="F742">
            <v>15959</v>
          </cell>
          <cell r="G742">
            <v>11656</v>
          </cell>
          <cell r="H742">
            <v>6793</v>
          </cell>
          <cell r="I742">
            <v>0</v>
          </cell>
        </row>
        <row r="743">
          <cell r="A743">
            <v>98008</v>
          </cell>
          <cell r="B743" t="str">
            <v>ROWAN CO SOIL &amp; WATER CONV DIST</v>
          </cell>
          <cell r="C743">
            <v>7.1999999999999997E-6</v>
          </cell>
          <cell r="D743"/>
          <cell r="E743">
            <v>6</v>
          </cell>
          <cell r="F743">
            <v>8</v>
          </cell>
          <cell r="G743">
            <v>0</v>
          </cell>
          <cell r="H743">
            <v>0</v>
          </cell>
          <cell r="I743">
            <v>0</v>
          </cell>
        </row>
        <row r="744">
          <cell r="A744">
            <v>98011</v>
          </cell>
          <cell r="B744" t="str">
            <v>CITY OF SALISBURY</v>
          </cell>
          <cell r="C744">
            <v>3.4512000000000002E-3</v>
          </cell>
          <cell r="D744"/>
          <cell r="E744">
            <v>28962</v>
          </cell>
          <cell r="F744">
            <v>28962</v>
          </cell>
          <cell r="G744">
            <v>28964</v>
          </cell>
          <cell r="H744">
            <v>8642</v>
          </cell>
          <cell r="I744">
            <v>0</v>
          </cell>
        </row>
        <row r="745">
          <cell r="A745">
            <v>98013</v>
          </cell>
          <cell r="B745" t="str">
            <v>HOUSING AUTH OF THE CTY OF SALISBURY</v>
          </cell>
          <cell r="C745">
            <v>1.3990000000000001E-4</v>
          </cell>
          <cell r="D745"/>
          <cell r="E745">
            <v>56206</v>
          </cell>
          <cell r="F745">
            <v>44154</v>
          </cell>
          <cell r="G745">
            <v>29627</v>
          </cell>
          <cell r="H745">
            <v>15699</v>
          </cell>
          <cell r="I745">
            <v>0</v>
          </cell>
        </row>
        <row r="746">
          <cell r="A746">
            <v>98021</v>
          </cell>
          <cell r="B746" t="str">
            <v>TOWN OF EAST SPENCER</v>
          </cell>
          <cell r="C746">
            <v>4.2400000000000001E-5</v>
          </cell>
          <cell r="D746"/>
          <cell r="E746">
            <v>2535</v>
          </cell>
          <cell r="F746">
            <v>2535</v>
          </cell>
          <cell r="G746">
            <v>2535</v>
          </cell>
          <cell r="H746">
            <v>2534</v>
          </cell>
          <cell r="I746">
            <v>0</v>
          </cell>
        </row>
        <row r="747">
          <cell r="A747">
            <v>98023</v>
          </cell>
          <cell r="B747" t="str">
            <v>EAST SPENCER HOUSING AUTHORITY</v>
          </cell>
          <cell r="C747">
            <v>8.8000000000000004E-6</v>
          </cell>
          <cell r="D747"/>
          <cell r="E747">
            <v>431</v>
          </cell>
          <cell r="F747">
            <v>432</v>
          </cell>
          <cell r="G747">
            <v>406</v>
          </cell>
          <cell r="H747">
            <v>0</v>
          </cell>
          <cell r="I747">
            <v>0</v>
          </cell>
        </row>
        <row r="748">
          <cell r="A748">
            <v>98031</v>
          </cell>
          <cell r="B748" t="str">
            <v>TOWN OF SPENCER</v>
          </cell>
          <cell r="C748">
            <v>1.5410000000000001E-4</v>
          </cell>
          <cell r="D748"/>
          <cell r="E748">
            <v>1293</v>
          </cell>
          <cell r="F748">
            <v>1293</v>
          </cell>
          <cell r="G748">
            <v>1292</v>
          </cell>
          <cell r="H748">
            <v>0</v>
          </cell>
          <cell r="I748">
            <v>0</v>
          </cell>
        </row>
        <row r="749">
          <cell r="A749">
            <v>98041</v>
          </cell>
          <cell r="B749" t="str">
            <v>TOWN OF CHINA GROVE</v>
          </cell>
          <cell r="C749">
            <v>2.3560000000000001E-4</v>
          </cell>
          <cell r="D749"/>
          <cell r="E749">
            <v>7447</v>
          </cell>
          <cell r="F749">
            <v>5793</v>
          </cell>
          <cell r="G749">
            <v>2880</v>
          </cell>
          <cell r="H749">
            <v>0</v>
          </cell>
          <cell r="I749">
            <v>0</v>
          </cell>
        </row>
        <row r="750">
          <cell r="A750">
            <v>98051</v>
          </cell>
          <cell r="B750" t="str">
            <v>TOWN OF LANDIS</v>
          </cell>
          <cell r="C750">
            <v>2.9750000000000002E-4</v>
          </cell>
          <cell r="D750"/>
          <cell r="E750">
            <v>8049</v>
          </cell>
          <cell r="F750">
            <v>4456</v>
          </cell>
          <cell r="G750">
            <v>4455</v>
          </cell>
          <cell r="H750">
            <v>4392</v>
          </cell>
          <cell r="I750">
            <v>0</v>
          </cell>
        </row>
        <row r="751">
          <cell r="A751">
            <v>98061</v>
          </cell>
          <cell r="B751" t="str">
            <v>TOWN OF GRANITE QUARRY</v>
          </cell>
          <cell r="C751">
            <v>1.208E-4</v>
          </cell>
          <cell r="D751"/>
          <cell r="E751">
            <v>3797</v>
          </cell>
          <cell r="F751">
            <v>3797</v>
          </cell>
          <cell r="G751">
            <v>2843</v>
          </cell>
          <cell r="H751">
            <v>0</v>
          </cell>
          <cell r="I751">
            <v>0</v>
          </cell>
        </row>
        <row r="752">
          <cell r="A752">
            <v>98071</v>
          </cell>
          <cell r="B752" t="str">
            <v>TOWN OF ROCKWELL</v>
          </cell>
          <cell r="C752">
            <v>4.74E-5</v>
          </cell>
          <cell r="D752"/>
          <cell r="E752">
            <v>11359</v>
          </cell>
          <cell r="F752">
            <v>9312</v>
          </cell>
          <cell r="G752">
            <v>6392</v>
          </cell>
          <cell r="H752">
            <v>4569</v>
          </cell>
          <cell r="I752">
            <v>0</v>
          </cell>
        </row>
        <row r="753">
          <cell r="A753">
            <v>98081</v>
          </cell>
          <cell r="B753" t="str">
            <v>TOWN OF FAITH</v>
          </cell>
          <cell r="C753">
            <v>1.5800000000000001E-5</v>
          </cell>
          <cell r="D753"/>
          <cell r="E753">
            <v>0</v>
          </cell>
          <cell r="F753">
            <v>0</v>
          </cell>
          <cell r="G753">
            <v>0</v>
          </cell>
          <cell r="H753">
            <v>0</v>
          </cell>
          <cell r="I753">
            <v>0</v>
          </cell>
        </row>
        <row r="754">
          <cell r="A754">
            <v>98091</v>
          </cell>
          <cell r="B754" t="str">
            <v>TOWN OF CLEVELAND</v>
          </cell>
          <cell r="C754">
            <v>6.7000000000000002E-5</v>
          </cell>
          <cell r="D754"/>
          <cell r="E754">
            <v>3246</v>
          </cell>
          <cell r="F754">
            <v>3198</v>
          </cell>
          <cell r="G754">
            <v>3082</v>
          </cell>
          <cell r="H754">
            <v>1818</v>
          </cell>
          <cell r="I754">
            <v>0</v>
          </cell>
        </row>
        <row r="755">
          <cell r="A755">
            <v>98101</v>
          </cell>
          <cell r="B755" t="str">
            <v>RUTHERFORD COUNTY</v>
          </cell>
          <cell r="C755">
            <v>2.6901E-3</v>
          </cell>
          <cell r="D755"/>
          <cell r="E755">
            <v>26815</v>
          </cell>
          <cell r="F755">
            <v>26815</v>
          </cell>
          <cell r="G755">
            <v>26815</v>
          </cell>
          <cell r="H755">
            <v>26814</v>
          </cell>
          <cell r="I755">
            <v>0</v>
          </cell>
        </row>
        <row r="756">
          <cell r="A756">
            <v>98102</v>
          </cell>
          <cell r="B756" t="str">
            <v>BROAD RIVER WATER AUTHORITY</v>
          </cell>
          <cell r="C756">
            <v>1.573E-4</v>
          </cell>
          <cell r="D756"/>
          <cell r="E756">
            <v>2199</v>
          </cell>
          <cell r="F756">
            <v>2199</v>
          </cell>
          <cell r="G756">
            <v>2199</v>
          </cell>
          <cell r="H756">
            <v>2200</v>
          </cell>
          <cell r="I756">
            <v>0</v>
          </cell>
        </row>
        <row r="757">
          <cell r="A757">
            <v>98103</v>
          </cell>
          <cell r="B757" t="str">
            <v>RUTHERFORD POLK MCDOWELL DIST BRD OF HEALTH</v>
          </cell>
          <cell r="C757">
            <v>5.04E-4</v>
          </cell>
          <cell r="D757"/>
          <cell r="E757">
            <v>8948</v>
          </cell>
          <cell r="F757">
            <v>8950</v>
          </cell>
          <cell r="G757">
            <v>6516</v>
          </cell>
          <cell r="H757">
            <v>6516</v>
          </cell>
          <cell r="I757">
            <v>0</v>
          </cell>
        </row>
        <row r="758">
          <cell r="A758">
            <v>98107</v>
          </cell>
          <cell r="B758" t="str">
            <v>FOREST CITY ABC BOARD 168</v>
          </cell>
          <cell r="C758">
            <v>9.3999999999999998E-6</v>
          </cell>
          <cell r="D758"/>
          <cell r="E758">
            <v>3339</v>
          </cell>
          <cell r="F758">
            <v>2676</v>
          </cell>
          <cell r="G758">
            <v>1819</v>
          </cell>
          <cell r="H758">
            <v>1048</v>
          </cell>
          <cell r="I758">
            <v>0</v>
          </cell>
        </row>
        <row r="759">
          <cell r="A759">
            <v>98109</v>
          </cell>
          <cell r="B759" t="str">
            <v>ISOTHERMAL PLANNING AND DEV COMM</v>
          </cell>
          <cell r="C759">
            <v>1.595E-4</v>
          </cell>
          <cell r="D759"/>
          <cell r="E759">
            <v>8568</v>
          </cell>
          <cell r="F759">
            <v>8567</v>
          </cell>
          <cell r="G759">
            <v>6012</v>
          </cell>
          <cell r="H759">
            <v>5904</v>
          </cell>
          <cell r="I759">
            <v>0</v>
          </cell>
        </row>
        <row r="760">
          <cell r="A760">
            <v>98111</v>
          </cell>
          <cell r="B760" t="str">
            <v>TOWN OF FOREST CITY</v>
          </cell>
          <cell r="C760">
            <v>1.0231999999999999E-3</v>
          </cell>
          <cell r="D760"/>
          <cell r="E760">
            <v>0</v>
          </cell>
          <cell r="F760">
            <v>0</v>
          </cell>
          <cell r="G760">
            <v>0</v>
          </cell>
          <cell r="H760">
            <v>0</v>
          </cell>
          <cell r="I760">
            <v>0</v>
          </cell>
        </row>
        <row r="761">
          <cell r="A761">
            <v>98113</v>
          </cell>
          <cell r="B761" t="str">
            <v>FOREST CITY HOUSING AUTHORITY</v>
          </cell>
          <cell r="C761">
            <v>3.3899999999999997E-5</v>
          </cell>
          <cell r="D761"/>
          <cell r="E761">
            <v>2678</v>
          </cell>
          <cell r="F761">
            <v>2256</v>
          </cell>
          <cell r="G761">
            <v>592</v>
          </cell>
          <cell r="H761">
            <v>594</v>
          </cell>
          <cell r="I761">
            <v>0</v>
          </cell>
        </row>
        <row r="762">
          <cell r="A762">
            <v>98121</v>
          </cell>
          <cell r="B762" t="str">
            <v>TOWN OF SPINDALE</v>
          </cell>
          <cell r="C762">
            <v>2.1259999999999999E-4</v>
          </cell>
          <cell r="D762"/>
          <cell r="E762">
            <v>1461</v>
          </cell>
          <cell r="F762">
            <v>1306</v>
          </cell>
          <cell r="G762">
            <v>1304</v>
          </cell>
          <cell r="H762">
            <v>0</v>
          </cell>
          <cell r="I762">
            <v>0</v>
          </cell>
        </row>
        <row r="763">
          <cell r="A763">
            <v>98131</v>
          </cell>
          <cell r="B763" t="str">
            <v>TOWN OF LAKE LURE</v>
          </cell>
          <cell r="C763">
            <v>2.519E-4</v>
          </cell>
          <cell r="D763"/>
          <cell r="E763">
            <v>5943</v>
          </cell>
          <cell r="F763">
            <v>5943</v>
          </cell>
          <cell r="G763">
            <v>5943</v>
          </cell>
          <cell r="H763">
            <v>5945</v>
          </cell>
          <cell r="I763">
            <v>0</v>
          </cell>
        </row>
        <row r="764">
          <cell r="A764">
            <v>98141</v>
          </cell>
          <cell r="B764" t="str">
            <v>TOWN OF RUTHERFORDTON</v>
          </cell>
          <cell r="C764">
            <v>2.8699999999999998E-4</v>
          </cell>
          <cell r="D764"/>
          <cell r="E764">
            <v>1065</v>
          </cell>
          <cell r="F764">
            <v>1067</v>
          </cell>
          <cell r="G764">
            <v>0</v>
          </cell>
          <cell r="H764">
            <v>0</v>
          </cell>
          <cell r="I764">
            <v>0</v>
          </cell>
        </row>
        <row r="765">
          <cell r="A765">
            <v>98147</v>
          </cell>
          <cell r="B765" t="str">
            <v>TOWN OF RUTHERFORDTON ABC BRD</v>
          </cell>
          <cell r="C765">
            <v>1.0699999999999999E-5</v>
          </cell>
          <cell r="D765"/>
          <cell r="E765">
            <v>3414</v>
          </cell>
          <cell r="F765">
            <v>2477</v>
          </cell>
          <cell r="G765">
            <v>1680</v>
          </cell>
          <cell r="H765">
            <v>919</v>
          </cell>
          <cell r="I765">
            <v>0</v>
          </cell>
        </row>
        <row r="766">
          <cell r="A766">
            <v>98161</v>
          </cell>
          <cell r="B766" t="str">
            <v>TOWN OF ELLENBORO</v>
          </cell>
          <cell r="C766">
            <v>6.1999999999999999E-6</v>
          </cell>
          <cell r="D766"/>
          <cell r="E766">
            <v>1235</v>
          </cell>
          <cell r="F766">
            <v>1014</v>
          </cell>
          <cell r="G766">
            <v>689</v>
          </cell>
          <cell r="H766">
            <v>380</v>
          </cell>
          <cell r="I766">
            <v>0</v>
          </cell>
        </row>
        <row r="767">
          <cell r="A767">
            <v>98201</v>
          </cell>
          <cell r="B767" t="str">
            <v>SAMPSON COUNTY</v>
          </cell>
          <cell r="C767">
            <v>3.3482999999999998E-3</v>
          </cell>
          <cell r="D767"/>
          <cell r="E767">
            <v>40456</v>
          </cell>
          <cell r="F767">
            <v>40454</v>
          </cell>
          <cell r="G767">
            <v>24557</v>
          </cell>
          <cell r="H767">
            <v>24557</v>
          </cell>
          <cell r="I767">
            <v>0</v>
          </cell>
        </row>
        <row r="768">
          <cell r="A768">
            <v>98205</v>
          </cell>
          <cell r="B768" t="str">
            <v>J C HOLIDAY MEM LIBRARY</v>
          </cell>
          <cell r="C768">
            <v>4.0899999999999998E-5</v>
          </cell>
          <cell r="D768"/>
          <cell r="E768">
            <v>1446</v>
          </cell>
          <cell r="F768">
            <v>905</v>
          </cell>
          <cell r="G768">
            <v>905</v>
          </cell>
          <cell r="H768">
            <v>906</v>
          </cell>
          <cell r="I768">
            <v>0</v>
          </cell>
        </row>
        <row r="769">
          <cell r="A769">
            <v>98211</v>
          </cell>
          <cell r="B769" t="str">
            <v>CITY OF CLINTON</v>
          </cell>
          <cell r="C769">
            <v>9.0399999999999996E-4</v>
          </cell>
          <cell r="D769"/>
          <cell r="E769">
            <v>6305</v>
          </cell>
          <cell r="F769">
            <v>6305</v>
          </cell>
          <cell r="G769">
            <v>6305</v>
          </cell>
          <cell r="H769">
            <v>6305</v>
          </cell>
          <cell r="I769">
            <v>0</v>
          </cell>
        </row>
        <row r="770">
          <cell r="A770">
            <v>98218</v>
          </cell>
          <cell r="B770" t="str">
            <v>CLINTON ABC BOARD</v>
          </cell>
          <cell r="C770">
            <v>1.8099999999999999E-5</v>
          </cell>
          <cell r="D770"/>
          <cell r="E770">
            <v>1596</v>
          </cell>
          <cell r="F770">
            <v>1594</v>
          </cell>
          <cell r="G770">
            <v>1141</v>
          </cell>
          <cell r="H770">
            <v>541</v>
          </cell>
          <cell r="I770">
            <v>0</v>
          </cell>
        </row>
        <row r="771">
          <cell r="A771">
            <v>98221</v>
          </cell>
          <cell r="B771" t="str">
            <v>TOWN OF SALEMBURG</v>
          </cell>
          <cell r="C771">
            <v>2.72E-5</v>
          </cell>
          <cell r="D771"/>
          <cell r="E771">
            <v>2949</v>
          </cell>
          <cell r="F771">
            <v>2381</v>
          </cell>
          <cell r="G771">
            <v>1816</v>
          </cell>
          <cell r="H771">
            <v>1477</v>
          </cell>
          <cell r="I771">
            <v>0</v>
          </cell>
        </row>
        <row r="772">
          <cell r="A772">
            <v>98231</v>
          </cell>
          <cell r="B772" t="str">
            <v>TOWN OF NEWTON GROVE</v>
          </cell>
          <cell r="C772">
            <v>3.1699999999999998E-5</v>
          </cell>
          <cell r="D772"/>
          <cell r="E772">
            <v>1953</v>
          </cell>
          <cell r="F772">
            <v>1953</v>
          </cell>
          <cell r="G772">
            <v>1953</v>
          </cell>
          <cell r="H772">
            <v>207</v>
          </cell>
          <cell r="I772">
            <v>0</v>
          </cell>
        </row>
        <row r="773">
          <cell r="A773">
            <v>98237</v>
          </cell>
          <cell r="B773" t="str">
            <v>ROSEBORO ABC BOARD</v>
          </cell>
          <cell r="C773">
            <v>6.7000000000000002E-6</v>
          </cell>
          <cell r="D773"/>
          <cell r="E773">
            <v>1607</v>
          </cell>
          <cell r="F773">
            <v>1336</v>
          </cell>
          <cell r="G773">
            <v>466</v>
          </cell>
          <cell r="H773">
            <v>304</v>
          </cell>
          <cell r="I773">
            <v>0</v>
          </cell>
        </row>
        <row r="774">
          <cell r="A774">
            <v>98241</v>
          </cell>
          <cell r="B774" t="str">
            <v>TOWN OF GARLAND</v>
          </cell>
          <cell r="C774">
            <v>1.7799999999999999E-5</v>
          </cell>
          <cell r="D774"/>
          <cell r="E774">
            <v>2663</v>
          </cell>
          <cell r="F774">
            <v>1576</v>
          </cell>
          <cell r="G774">
            <v>1576</v>
          </cell>
          <cell r="H774">
            <v>1575</v>
          </cell>
          <cell r="I774">
            <v>0</v>
          </cell>
        </row>
        <row r="775">
          <cell r="A775">
            <v>98251</v>
          </cell>
          <cell r="B775" t="str">
            <v>TOWN OF TURKEY</v>
          </cell>
          <cell r="C775">
            <v>2.5000000000000002E-6</v>
          </cell>
          <cell r="D775"/>
          <cell r="E775">
            <v>638</v>
          </cell>
          <cell r="F775">
            <v>534</v>
          </cell>
          <cell r="G775">
            <v>386</v>
          </cell>
          <cell r="H775">
            <v>226</v>
          </cell>
          <cell r="I775">
            <v>0</v>
          </cell>
        </row>
        <row r="776">
          <cell r="A776">
            <v>98261</v>
          </cell>
          <cell r="B776" t="str">
            <v>TOWN OF ROSEBORO</v>
          </cell>
          <cell r="C776">
            <v>3.3699999999999999E-5</v>
          </cell>
          <cell r="D776"/>
          <cell r="E776">
            <v>2014</v>
          </cell>
          <cell r="F776">
            <v>2015</v>
          </cell>
          <cell r="G776">
            <v>1104</v>
          </cell>
          <cell r="H776">
            <v>480</v>
          </cell>
          <cell r="I776">
            <v>0</v>
          </cell>
        </row>
        <row r="777">
          <cell r="A777">
            <v>98271</v>
          </cell>
          <cell r="B777" t="str">
            <v>TOWN OF AUTRYVILLE</v>
          </cell>
          <cell r="C777">
            <v>5.2000000000000002E-6</v>
          </cell>
          <cell r="D777"/>
          <cell r="E777">
            <v>1144</v>
          </cell>
          <cell r="F777">
            <v>796</v>
          </cell>
          <cell r="G777">
            <v>628</v>
          </cell>
          <cell r="H777">
            <v>326</v>
          </cell>
          <cell r="I777">
            <v>0</v>
          </cell>
        </row>
        <row r="778">
          <cell r="A778">
            <v>98301</v>
          </cell>
          <cell r="B778" t="str">
            <v>SCOTLAND COUNTY</v>
          </cell>
          <cell r="C778">
            <v>1.7742000000000001E-3</v>
          </cell>
          <cell r="D778"/>
          <cell r="E778">
            <v>26127</v>
          </cell>
          <cell r="F778">
            <v>21665</v>
          </cell>
          <cell r="G778">
            <v>21495</v>
          </cell>
          <cell r="H778">
            <v>13887</v>
          </cell>
          <cell r="I778">
            <v>0</v>
          </cell>
        </row>
        <row r="779">
          <cell r="A779">
            <v>98304</v>
          </cell>
          <cell r="B779" t="str">
            <v>SCOTLAND COUNTY ABC BOARD</v>
          </cell>
          <cell r="C779">
            <v>2.0699999999999998E-5</v>
          </cell>
          <cell r="D779"/>
          <cell r="E779">
            <v>2336</v>
          </cell>
          <cell r="F779">
            <v>2180</v>
          </cell>
          <cell r="G779">
            <v>1876</v>
          </cell>
          <cell r="H779">
            <v>1279</v>
          </cell>
          <cell r="I779">
            <v>0</v>
          </cell>
        </row>
        <row r="780">
          <cell r="A780">
            <v>98308</v>
          </cell>
          <cell r="B780" t="str">
            <v>LAURINBURG-MAXTON AIRPORT COMMISSION</v>
          </cell>
          <cell r="C780">
            <v>1.6099999999999998E-5</v>
          </cell>
          <cell r="D780"/>
          <cell r="E780">
            <v>2319</v>
          </cell>
          <cell r="F780">
            <v>1661</v>
          </cell>
          <cell r="G780">
            <v>1069</v>
          </cell>
          <cell r="H780">
            <v>186</v>
          </cell>
          <cell r="I780">
            <v>0</v>
          </cell>
        </row>
        <row r="781">
          <cell r="A781">
            <v>98311</v>
          </cell>
          <cell r="B781" t="str">
            <v>CITY OF LAURINBURG</v>
          </cell>
          <cell r="C781">
            <v>1.1073999999999999E-3</v>
          </cell>
          <cell r="D781"/>
          <cell r="E781">
            <v>0</v>
          </cell>
          <cell r="F781">
            <v>0</v>
          </cell>
          <cell r="G781">
            <v>0</v>
          </cell>
          <cell r="H781">
            <v>0</v>
          </cell>
          <cell r="I781">
            <v>0</v>
          </cell>
        </row>
        <row r="782">
          <cell r="A782">
            <v>98313</v>
          </cell>
          <cell r="B782" t="str">
            <v>LAURINBURG HOUSING AUTHORITY</v>
          </cell>
          <cell r="C782">
            <v>2.1000000000000001E-4</v>
          </cell>
          <cell r="D782"/>
          <cell r="E782">
            <v>108086</v>
          </cell>
          <cell r="F782">
            <v>84753</v>
          </cell>
          <cell r="G782">
            <v>55695</v>
          </cell>
          <cell r="H782">
            <v>23674</v>
          </cell>
          <cell r="I782">
            <v>0</v>
          </cell>
        </row>
        <row r="783">
          <cell r="A783">
            <v>98321</v>
          </cell>
          <cell r="B783" t="str">
            <v>TOWN OF WAGRAM</v>
          </cell>
          <cell r="C783">
            <v>1.6900000000000001E-5</v>
          </cell>
          <cell r="D783"/>
          <cell r="E783">
            <v>21</v>
          </cell>
          <cell r="F783">
            <v>21</v>
          </cell>
          <cell r="G783">
            <v>0</v>
          </cell>
          <cell r="H783">
            <v>0</v>
          </cell>
          <cell r="I783">
            <v>0</v>
          </cell>
        </row>
        <row r="784">
          <cell r="A784">
            <v>98331</v>
          </cell>
          <cell r="B784" t="str">
            <v>TOWN OF GIBSON</v>
          </cell>
          <cell r="C784">
            <v>8.3999999999999992E-6</v>
          </cell>
          <cell r="D784"/>
          <cell r="E784">
            <v>1267</v>
          </cell>
          <cell r="F784">
            <v>909</v>
          </cell>
          <cell r="G784">
            <v>638</v>
          </cell>
          <cell r="H784">
            <v>302</v>
          </cell>
          <cell r="I784">
            <v>0</v>
          </cell>
        </row>
        <row r="785">
          <cell r="A785">
            <v>98401</v>
          </cell>
          <cell r="B785" t="str">
            <v>STANLY COUNTY</v>
          </cell>
          <cell r="C785">
            <v>2.9618000000000001E-3</v>
          </cell>
          <cell r="D785"/>
          <cell r="E785">
            <v>107770</v>
          </cell>
          <cell r="F785">
            <v>107771</v>
          </cell>
          <cell r="G785">
            <v>80367</v>
          </cell>
          <cell r="H785">
            <v>57564</v>
          </cell>
          <cell r="I785">
            <v>0</v>
          </cell>
        </row>
        <row r="786">
          <cell r="A786">
            <v>98404</v>
          </cell>
          <cell r="B786" t="str">
            <v>LOCUST ABC BOARD</v>
          </cell>
          <cell r="C786">
            <v>1.43E-5</v>
          </cell>
          <cell r="D786"/>
          <cell r="E786">
            <v>2503</v>
          </cell>
          <cell r="F786">
            <v>2501</v>
          </cell>
          <cell r="G786">
            <v>179</v>
          </cell>
          <cell r="H786">
            <v>0</v>
          </cell>
          <cell r="I786">
            <v>0</v>
          </cell>
        </row>
        <row r="787">
          <cell r="A787">
            <v>98411</v>
          </cell>
          <cell r="B787" t="str">
            <v>CITY OF ALBEMARLE</v>
          </cell>
          <cell r="C787">
            <v>1.9082000000000001E-3</v>
          </cell>
          <cell r="D787"/>
          <cell r="E787">
            <v>0</v>
          </cell>
          <cell r="F787">
            <v>0</v>
          </cell>
          <cell r="G787">
            <v>0</v>
          </cell>
          <cell r="H787">
            <v>0</v>
          </cell>
          <cell r="I787">
            <v>0</v>
          </cell>
        </row>
        <row r="788">
          <cell r="A788">
            <v>98414</v>
          </cell>
          <cell r="B788" t="str">
            <v>VILLAGE OF MISENHEIMER</v>
          </cell>
          <cell r="C788">
            <v>3.01E-5</v>
          </cell>
          <cell r="D788"/>
          <cell r="E788">
            <v>5537</v>
          </cell>
          <cell r="F788">
            <v>5535</v>
          </cell>
          <cell r="G788">
            <v>1920</v>
          </cell>
          <cell r="H788">
            <v>0</v>
          </cell>
          <cell r="I788">
            <v>0</v>
          </cell>
        </row>
        <row r="789">
          <cell r="A789">
            <v>98417</v>
          </cell>
          <cell r="B789" t="str">
            <v>ALBEMARLE ABC BOARD</v>
          </cell>
          <cell r="C789">
            <v>2.23E-5</v>
          </cell>
          <cell r="D789"/>
          <cell r="E789">
            <v>2686</v>
          </cell>
          <cell r="F789">
            <v>2427</v>
          </cell>
          <cell r="G789">
            <v>2040</v>
          </cell>
          <cell r="H789">
            <v>1306</v>
          </cell>
          <cell r="I789">
            <v>0</v>
          </cell>
        </row>
        <row r="790">
          <cell r="A790">
            <v>98421</v>
          </cell>
          <cell r="B790" t="str">
            <v>TOWN OF NORWOOD</v>
          </cell>
          <cell r="C790">
            <v>1.121E-4</v>
          </cell>
          <cell r="D790"/>
          <cell r="E790">
            <v>4397</v>
          </cell>
          <cell r="F790">
            <v>4300</v>
          </cell>
          <cell r="G790">
            <v>4302</v>
          </cell>
          <cell r="H790">
            <v>420</v>
          </cell>
          <cell r="I790">
            <v>0</v>
          </cell>
        </row>
        <row r="791">
          <cell r="A791">
            <v>98427</v>
          </cell>
          <cell r="B791" t="str">
            <v>NORWOOD ABC BD</v>
          </cell>
          <cell r="C791">
            <v>3.1E-6</v>
          </cell>
          <cell r="D791"/>
          <cell r="E791">
            <v>859</v>
          </cell>
          <cell r="F791">
            <v>751</v>
          </cell>
          <cell r="G791">
            <v>570</v>
          </cell>
          <cell r="H791">
            <v>352</v>
          </cell>
          <cell r="I791">
            <v>0</v>
          </cell>
        </row>
        <row r="792">
          <cell r="A792">
            <v>98431</v>
          </cell>
          <cell r="B792" t="str">
            <v>CITY OF LOCUST</v>
          </cell>
          <cell r="C792">
            <v>1.997E-4</v>
          </cell>
          <cell r="D792"/>
          <cell r="E792">
            <v>0</v>
          </cell>
          <cell r="F792">
            <v>0</v>
          </cell>
          <cell r="G792">
            <v>0</v>
          </cell>
          <cell r="H792">
            <v>0</v>
          </cell>
          <cell r="I792">
            <v>0</v>
          </cell>
        </row>
        <row r="793">
          <cell r="A793">
            <v>98441</v>
          </cell>
          <cell r="B793" t="str">
            <v>TOWN OF OAKBORO</v>
          </cell>
          <cell r="C793">
            <v>1.0230000000000001E-4</v>
          </cell>
          <cell r="D793"/>
          <cell r="E793">
            <v>3018</v>
          </cell>
          <cell r="F793">
            <v>3018</v>
          </cell>
          <cell r="G793">
            <v>3018</v>
          </cell>
          <cell r="H793">
            <v>0</v>
          </cell>
          <cell r="I793">
            <v>0</v>
          </cell>
        </row>
        <row r="794">
          <cell r="A794">
            <v>98451</v>
          </cell>
          <cell r="B794" t="str">
            <v>TOWN OF BADIN</v>
          </cell>
          <cell r="C794">
            <v>4.6100000000000002E-5</v>
          </cell>
          <cell r="D794"/>
          <cell r="E794">
            <v>167</v>
          </cell>
          <cell r="F794">
            <v>166</v>
          </cell>
          <cell r="G794">
            <v>40</v>
          </cell>
          <cell r="H794">
            <v>41</v>
          </cell>
          <cell r="I794">
            <v>0</v>
          </cell>
        </row>
        <row r="795">
          <cell r="A795">
            <v>98471</v>
          </cell>
          <cell r="B795" t="str">
            <v>TOWN OF NEW LONDON</v>
          </cell>
          <cell r="C795">
            <v>6.3999999999999997E-6</v>
          </cell>
          <cell r="D795"/>
          <cell r="E795">
            <v>1562</v>
          </cell>
          <cell r="F795">
            <v>1562</v>
          </cell>
          <cell r="G795">
            <v>1563</v>
          </cell>
          <cell r="H795">
            <v>280</v>
          </cell>
          <cell r="I795">
            <v>0</v>
          </cell>
        </row>
        <row r="796">
          <cell r="A796">
            <v>98481</v>
          </cell>
          <cell r="B796" t="str">
            <v>TOWN OF STANFIELD</v>
          </cell>
          <cell r="C796">
            <v>6.1600000000000007E-5</v>
          </cell>
          <cell r="D796"/>
          <cell r="E796">
            <v>546</v>
          </cell>
          <cell r="F796">
            <v>546</v>
          </cell>
          <cell r="G796">
            <v>547</v>
          </cell>
          <cell r="H796">
            <v>0</v>
          </cell>
          <cell r="I796">
            <v>0</v>
          </cell>
        </row>
        <row r="797">
          <cell r="A797">
            <v>98501</v>
          </cell>
          <cell r="B797" t="str">
            <v>STOKES COUNTY</v>
          </cell>
          <cell r="C797">
            <v>1.655E-3</v>
          </cell>
          <cell r="D797"/>
          <cell r="E797">
            <v>51091</v>
          </cell>
          <cell r="F797">
            <v>41435</v>
          </cell>
          <cell r="G797">
            <v>30828</v>
          </cell>
          <cell r="H797">
            <v>18300</v>
          </cell>
          <cell r="I797">
            <v>0</v>
          </cell>
        </row>
        <row r="798">
          <cell r="A798">
            <v>98511</v>
          </cell>
          <cell r="B798" t="str">
            <v>TOWN OF WALNUT COVE</v>
          </cell>
          <cell r="C798">
            <v>4.9400000000000001E-5</v>
          </cell>
          <cell r="D798"/>
          <cell r="E798">
            <v>3206</v>
          </cell>
          <cell r="F798">
            <v>2205</v>
          </cell>
          <cell r="G798">
            <v>1558</v>
          </cell>
          <cell r="H798">
            <v>1560</v>
          </cell>
          <cell r="I798">
            <v>0</v>
          </cell>
        </row>
        <row r="799">
          <cell r="A799">
            <v>98517</v>
          </cell>
          <cell r="B799" t="str">
            <v>WALNUT COVE ABC BOARD</v>
          </cell>
          <cell r="C799">
            <v>2.3999999999999999E-6</v>
          </cell>
          <cell r="D799"/>
          <cell r="E799">
            <v>1241</v>
          </cell>
          <cell r="F799">
            <v>1131</v>
          </cell>
          <cell r="G799">
            <v>892</v>
          </cell>
          <cell r="H799">
            <v>462</v>
          </cell>
          <cell r="I799">
            <v>0</v>
          </cell>
        </row>
        <row r="800">
          <cell r="A800">
            <v>98521</v>
          </cell>
          <cell r="B800" t="str">
            <v>CITY OF KING</v>
          </cell>
          <cell r="C800">
            <v>6.3349999999999995E-4</v>
          </cell>
          <cell r="D800"/>
          <cell r="E800">
            <v>8699</v>
          </cell>
          <cell r="F800">
            <v>8697</v>
          </cell>
          <cell r="G800">
            <v>0</v>
          </cell>
          <cell r="H800">
            <v>0</v>
          </cell>
          <cell r="I800">
            <v>0</v>
          </cell>
        </row>
        <row r="801">
          <cell r="A801">
            <v>98601</v>
          </cell>
          <cell r="B801" t="str">
            <v>SURRY COUNTY</v>
          </cell>
          <cell r="C801">
            <v>3.5866000000000001E-3</v>
          </cell>
          <cell r="D801"/>
          <cell r="E801">
            <v>4107</v>
          </cell>
          <cell r="F801">
            <v>4107</v>
          </cell>
          <cell r="G801">
            <v>4107</v>
          </cell>
          <cell r="H801">
            <v>4106</v>
          </cell>
          <cell r="I801">
            <v>0</v>
          </cell>
        </row>
        <row r="802">
          <cell r="A802">
            <v>98604</v>
          </cell>
          <cell r="B802" t="str">
            <v>YADKIN VALLEY ABC BOARD</v>
          </cell>
          <cell r="C802">
            <v>1.2099999999999999E-5</v>
          </cell>
          <cell r="D802"/>
          <cell r="E802">
            <v>2349</v>
          </cell>
          <cell r="F802">
            <v>552</v>
          </cell>
          <cell r="G802">
            <v>551</v>
          </cell>
          <cell r="H802">
            <v>331</v>
          </cell>
          <cell r="I802">
            <v>0</v>
          </cell>
        </row>
        <row r="803">
          <cell r="A803">
            <v>98607</v>
          </cell>
          <cell r="B803" t="str">
            <v>PILOT MOUNTAIN ABC BOARD</v>
          </cell>
          <cell r="C803">
            <v>5.4E-6</v>
          </cell>
          <cell r="D803"/>
          <cell r="E803">
            <v>360</v>
          </cell>
          <cell r="F803">
            <v>360</v>
          </cell>
          <cell r="G803">
            <v>348</v>
          </cell>
          <cell r="H803">
            <v>0</v>
          </cell>
          <cell r="I803">
            <v>0</v>
          </cell>
        </row>
        <row r="804">
          <cell r="A804">
            <v>98608</v>
          </cell>
          <cell r="B804" t="str">
            <v>YADKIN VALLEY SEWER AUTHORITY</v>
          </cell>
          <cell r="C804">
            <v>5.1799999999999999E-5</v>
          </cell>
          <cell r="D804"/>
          <cell r="E804">
            <v>2890</v>
          </cell>
          <cell r="F804">
            <v>2890</v>
          </cell>
          <cell r="G804">
            <v>2239</v>
          </cell>
          <cell r="H804">
            <v>2241</v>
          </cell>
          <cell r="I804">
            <v>0</v>
          </cell>
        </row>
        <row r="805">
          <cell r="A805">
            <v>98611</v>
          </cell>
          <cell r="B805" t="str">
            <v>TOWN OF PILOT MOUNTAIN</v>
          </cell>
          <cell r="C805">
            <v>1.1959999999999999E-4</v>
          </cell>
          <cell r="D805"/>
          <cell r="E805">
            <v>8863</v>
          </cell>
          <cell r="F805">
            <v>8863</v>
          </cell>
          <cell r="G805">
            <v>6820</v>
          </cell>
          <cell r="H805">
            <v>1549</v>
          </cell>
          <cell r="I805">
            <v>0</v>
          </cell>
        </row>
        <row r="806">
          <cell r="A806">
            <v>98621</v>
          </cell>
          <cell r="B806" t="str">
            <v>TOWN OF DOBSON</v>
          </cell>
          <cell r="C806">
            <v>1.2899999999999999E-4</v>
          </cell>
          <cell r="D806"/>
          <cell r="E806">
            <v>57</v>
          </cell>
          <cell r="F806">
            <v>57</v>
          </cell>
          <cell r="G806">
            <v>58</v>
          </cell>
          <cell r="H806">
            <v>0</v>
          </cell>
          <cell r="I806">
            <v>0</v>
          </cell>
        </row>
        <row r="807">
          <cell r="A807">
            <v>98627</v>
          </cell>
          <cell r="B807" t="str">
            <v>DOBSON ABC BD</v>
          </cell>
          <cell r="C807">
            <v>7.7999999999999999E-6</v>
          </cell>
          <cell r="D807"/>
          <cell r="E807">
            <v>96</v>
          </cell>
          <cell r="F807">
            <v>0</v>
          </cell>
          <cell r="G807">
            <v>0</v>
          </cell>
          <cell r="H807">
            <v>0</v>
          </cell>
          <cell r="I807">
            <v>0</v>
          </cell>
        </row>
        <row r="808">
          <cell r="A808">
            <v>98631</v>
          </cell>
          <cell r="B808" t="str">
            <v>CITY OF MOUNT AIRY</v>
          </cell>
          <cell r="C808">
            <v>1.0042E-3</v>
          </cell>
          <cell r="D808"/>
          <cell r="E808">
            <v>4748</v>
          </cell>
          <cell r="F808">
            <v>4748</v>
          </cell>
          <cell r="G808">
            <v>4747</v>
          </cell>
          <cell r="H808">
            <v>0</v>
          </cell>
          <cell r="I808">
            <v>0</v>
          </cell>
        </row>
        <row r="809">
          <cell r="A809">
            <v>98637</v>
          </cell>
          <cell r="B809" t="str">
            <v>MOUNT AIRY ALCOHOLIC BOARD OF CONTROL</v>
          </cell>
          <cell r="C809">
            <v>1.5800000000000001E-5</v>
          </cell>
          <cell r="D809"/>
          <cell r="E809">
            <v>3826</v>
          </cell>
          <cell r="F809">
            <v>3118</v>
          </cell>
          <cell r="G809">
            <v>2116</v>
          </cell>
          <cell r="H809">
            <v>964</v>
          </cell>
          <cell r="I809">
            <v>0</v>
          </cell>
        </row>
        <row r="810">
          <cell r="A810">
            <v>98641</v>
          </cell>
          <cell r="B810" t="str">
            <v>TOWN OF ELKIN</v>
          </cell>
          <cell r="C810">
            <v>2.7090000000000003E-4</v>
          </cell>
          <cell r="D810"/>
          <cell r="E810">
            <v>564</v>
          </cell>
          <cell r="F810">
            <v>565</v>
          </cell>
          <cell r="G810">
            <v>273</v>
          </cell>
          <cell r="H810">
            <v>0</v>
          </cell>
          <cell r="I810">
            <v>0</v>
          </cell>
        </row>
        <row r="811">
          <cell r="A811">
            <v>98647</v>
          </cell>
          <cell r="B811" t="str">
            <v>ELKIN ABC BOARD</v>
          </cell>
          <cell r="C811">
            <v>0</v>
          </cell>
          <cell r="D811"/>
          <cell r="E811">
            <v>0</v>
          </cell>
          <cell r="F811">
            <v>0</v>
          </cell>
          <cell r="G811">
            <v>0</v>
          </cell>
          <cell r="H811">
            <v>0</v>
          </cell>
          <cell r="I811">
            <v>0</v>
          </cell>
        </row>
        <row r="812">
          <cell r="A812">
            <v>98701</v>
          </cell>
          <cell r="B812" t="str">
            <v>SWAIN COUNTY</v>
          </cell>
          <cell r="C812">
            <v>9.7790000000000008E-4</v>
          </cell>
          <cell r="D812"/>
          <cell r="E812">
            <v>1031</v>
          </cell>
          <cell r="F812">
            <v>0</v>
          </cell>
          <cell r="G812">
            <v>0</v>
          </cell>
          <cell r="H812">
            <v>0</v>
          </cell>
          <cell r="I812">
            <v>0</v>
          </cell>
        </row>
        <row r="813">
          <cell r="A813">
            <v>98711</v>
          </cell>
          <cell r="B813" t="str">
            <v>TOWN OF BRYSON CITY</v>
          </cell>
          <cell r="C813">
            <v>1.671E-4</v>
          </cell>
          <cell r="D813"/>
          <cell r="E813">
            <v>0</v>
          </cell>
          <cell r="F813">
            <v>0</v>
          </cell>
          <cell r="G813">
            <v>0</v>
          </cell>
          <cell r="H813">
            <v>0</v>
          </cell>
          <cell r="I813">
            <v>0</v>
          </cell>
        </row>
        <row r="814">
          <cell r="A814">
            <v>98717</v>
          </cell>
          <cell r="B814" t="str">
            <v>BRYSON CITY ABC BOARD</v>
          </cell>
          <cell r="C814">
            <v>2.2399999999999999E-5</v>
          </cell>
          <cell r="D814"/>
          <cell r="E814">
            <v>604</v>
          </cell>
          <cell r="F814">
            <v>606</v>
          </cell>
          <cell r="G814">
            <v>371</v>
          </cell>
          <cell r="H814">
            <v>372</v>
          </cell>
          <cell r="I814">
            <v>0</v>
          </cell>
        </row>
        <row r="815">
          <cell r="A815">
            <v>98801</v>
          </cell>
          <cell r="B815" t="str">
            <v>TRANSYLVANIA COUNTY</v>
          </cell>
          <cell r="C815">
            <v>2.1632999999999999E-3</v>
          </cell>
          <cell r="D815"/>
          <cell r="E815">
            <v>39795</v>
          </cell>
          <cell r="F815">
            <v>35017</v>
          </cell>
          <cell r="G815">
            <v>13269</v>
          </cell>
          <cell r="H815">
            <v>13270</v>
          </cell>
          <cell r="I815">
            <v>0</v>
          </cell>
        </row>
        <row r="816">
          <cell r="A816">
            <v>98811</v>
          </cell>
          <cell r="B816" t="str">
            <v>CITY OF BREVARD</v>
          </cell>
          <cell r="C816">
            <v>6.8610000000000003E-4</v>
          </cell>
          <cell r="D816"/>
          <cell r="E816">
            <v>15322</v>
          </cell>
          <cell r="F816">
            <v>15322</v>
          </cell>
          <cell r="G816">
            <v>15322</v>
          </cell>
          <cell r="H816">
            <v>13487</v>
          </cell>
          <cell r="I816">
            <v>0</v>
          </cell>
        </row>
        <row r="817">
          <cell r="A817">
            <v>98817</v>
          </cell>
          <cell r="B817" t="str">
            <v>BREVARD ABC BOARD</v>
          </cell>
          <cell r="C817">
            <v>1.7E-5</v>
          </cell>
          <cell r="D817"/>
          <cell r="E817">
            <v>1209</v>
          </cell>
          <cell r="F817">
            <v>1157</v>
          </cell>
          <cell r="G817">
            <v>240</v>
          </cell>
          <cell r="H817">
            <v>0</v>
          </cell>
          <cell r="I817">
            <v>0</v>
          </cell>
        </row>
        <row r="818">
          <cell r="A818">
            <v>98901</v>
          </cell>
          <cell r="B818" t="str">
            <v>TYRRELL COUNTY</v>
          </cell>
          <cell r="C818">
            <v>2.8390000000000002E-4</v>
          </cell>
          <cell r="D818"/>
          <cell r="E818">
            <v>2106</v>
          </cell>
          <cell r="F818">
            <v>2108</v>
          </cell>
          <cell r="G818">
            <v>569</v>
          </cell>
          <cell r="H818">
            <v>567</v>
          </cell>
          <cell r="I818">
            <v>0</v>
          </cell>
        </row>
        <row r="819">
          <cell r="A819">
            <v>98904</v>
          </cell>
          <cell r="B819" t="str">
            <v>TYRRELL CO ABC BOARD</v>
          </cell>
          <cell r="C819">
            <v>3.9999999999999998E-6</v>
          </cell>
          <cell r="D819"/>
          <cell r="E819">
            <v>152</v>
          </cell>
          <cell r="F819">
            <v>152</v>
          </cell>
          <cell r="G819">
            <v>151</v>
          </cell>
          <cell r="H819">
            <v>0</v>
          </cell>
          <cell r="I819">
            <v>0</v>
          </cell>
        </row>
        <row r="820">
          <cell r="A820">
            <v>98911</v>
          </cell>
          <cell r="B820" t="str">
            <v>TOWN OF COLUMBIA</v>
          </cell>
          <cell r="C820">
            <v>1.59E-5</v>
          </cell>
          <cell r="D820"/>
          <cell r="E820">
            <v>3473</v>
          </cell>
          <cell r="F820">
            <v>2264</v>
          </cell>
          <cell r="G820">
            <v>1355</v>
          </cell>
          <cell r="H820">
            <v>0</v>
          </cell>
          <cell r="I820">
            <v>0</v>
          </cell>
        </row>
        <row r="821">
          <cell r="A821">
            <v>99001</v>
          </cell>
          <cell r="B821" t="str">
            <v>UNION COUNTY</v>
          </cell>
          <cell r="C821">
            <v>8.8266000000000004E-3</v>
          </cell>
          <cell r="D821"/>
          <cell r="E821">
            <v>161180</v>
          </cell>
          <cell r="F821">
            <v>139251</v>
          </cell>
          <cell r="G821">
            <v>119785</v>
          </cell>
          <cell r="H821">
            <v>110019</v>
          </cell>
          <cell r="I821">
            <v>0</v>
          </cell>
        </row>
        <row r="822">
          <cell r="A822">
            <v>99011</v>
          </cell>
          <cell r="B822" t="str">
            <v>CITY OF MONROE</v>
          </cell>
          <cell r="C822">
            <v>3.8520999999999998E-3</v>
          </cell>
          <cell r="D822"/>
          <cell r="E822">
            <v>5653</v>
          </cell>
          <cell r="F822">
            <v>5653</v>
          </cell>
          <cell r="G822">
            <v>5655</v>
          </cell>
          <cell r="H822">
            <v>5445</v>
          </cell>
          <cell r="I822">
            <v>0</v>
          </cell>
        </row>
        <row r="823">
          <cell r="A823">
            <v>99013</v>
          </cell>
          <cell r="B823" t="str">
            <v>CITY OF MONROE HOUSING AUTHORITY</v>
          </cell>
          <cell r="C823">
            <v>4.7599999999999998E-5</v>
          </cell>
          <cell r="D823"/>
          <cell r="E823">
            <v>883</v>
          </cell>
          <cell r="F823">
            <v>883</v>
          </cell>
          <cell r="G823">
            <v>883</v>
          </cell>
          <cell r="H823">
            <v>881</v>
          </cell>
          <cell r="I823">
            <v>0</v>
          </cell>
        </row>
        <row r="824">
          <cell r="A824">
            <v>99014</v>
          </cell>
          <cell r="B824" t="str">
            <v>INDIAN TRAIL ABC BOARD</v>
          </cell>
          <cell r="C824">
            <v>2.1299999999999999E-5</v>
          </cell>
          <cell r="D824"/>
          <cell r="E824">
            <v>6442</v>
          </cell>
          <cell r="F824">
            <v>2943</v>
          </cell>
          <cell r="G824">
            <v>2676</v>
          </cell>
          <cell r="H824">
            <v>2675</v>
          </cell>
          <cell r="I824">
            <v>0</v>
          </cell>
        </row>
        <row r="825">
          <cell r="A825">
            <v>99017</v>
          </cell>
          <cell r="B825" t="str">
            <v>MONROE ABC BOARD</v>
          </cell>
          <cell r="C825">
            <v>4.8600000000000002E-5</v>
          </cell>
          <cell r="D825"/>
          <cell r="E825">
            <v>2145</v>
          </cell>
          <cell r="F825">
            <v>1386</v>
          </cell>
          <cell r="G825">
            <v>366</v>
          </cell>
          <cell r="H825">
            <v>368</v>
          </cell>
          <cell r="I825">
            <v>0</v>
          </cell>
        </row>
        <row r="826">
          <cell r="A826">
            <v>99021</v>
          </cell>
          <cell r="B826" t="str">
            <v>TOWN OF MARSHVILLE</v>
          </cell>
          <cell r="C826">
            <v>1.405E-4</v>
          </cell>
          <cell r="D826"/>
          <cell r="E826">
            <v>2909</v>
          </cell>
          <cell r="F826">
            <v>2907</v>
          </cell>
          <cell r="G826">
            <v>923</v>
          </cell>
          <cell r="H826">
            <v>923</v>
          </cell>
          <cell r="I826">
            <v>0</v>
          </cell>
        </row>
        <row r="827">
          <cell r="A827">
            <v>99022</v>
          </cell>
          <cell r="B827" t="str">
            <v>TOWN OF MINERAL SPRINGS</v>
          </cell>
          <cell r="C827">
            <v>8.8000000000000004E-6</v>
          </cell>
          <cell r="D827"/>
          <cell r="E827">
            <v>4557</v>
          </cell>
          <cell r="F827">
            <v>3736</v>
          </cell>
          <cell r="G827">
            <v>2618</v>
          </cell>
          <cell r="H827">
            <v>1355</v>
          </cell>
          <cell r="I827">
            <v>0</v>
          </cell>
        </row>
        <row r="828">
          <cell r="A828">
            <v>99031</v>
          </cell>
          <cell r="B828" t="str">
            <v>TOWN OF WINGATE</v>
          </cell>
          <cell r="C828">
            <v>1.208E-4</v>
          </cell>
          <cell r="D828"/>
          <cell r="E828">
            <v>855</v>
          </cell>
          <cell r="F828">
            <v>0</v>
          </cell>
          <cell r="G828">
            <v>0</v>
          </cell>
          <cell r="H828">
            <v>0</v>
          </cell>
          <cell r="I828">
            <v>0</v>
          </cell>
        </row>
        <row r="829">
          <cell r="A829">
            <v>99041</v>
          </cell>
          <cell r="B829" t="str">
            <v>TOWN OF WAXHAW</v>
          </cell>
          <cell r="C829">
            <v>6.3840000000000001E-4</v>
          </cell>
          <cell r="D829"/>
          <cell r="E829">
            <v>6256</v>
          </cell>
          <cell r="F829">
            <v>4580</v>
          </cell>
          <cell r="G829">
            <v>0</v>
          </cell>
          <cell r="H829">
            <v>0</v>
          </cell>
          <cell r="I829">
            <v>0</v>
          </cell>
        </row>
        <row r="830">
          <cell r="A830">
            <v>99047</v>
          </cell>
          <cell r="B830" t="str">
            <v>WAXHAW ABC BOARD</v>
          </cell>
          <cell r="C830">
            <v>1.33E-5</v>
          </cell>
          <cell r="D830"/>
          <cell r="E830">
            <v>2534</v>
          </cell>
          <cell r="F830">
            <v>2383</v>
          </cell>
          <cell r="G830">
            <v>1296</v>
          </cell>
          <cell r="H830">
            <v>618</v>
          </cell>
          <cell r="I830">
            <v>0</v>
          </cell>
        </row>
        <row r="831">
          <cell r="A831">
            <v>99051</v>
          </cell>
          <cell r="B831" t="str">
            <v>TOWN OF INDIAN TRAIL</v>
          </cell>
          <cell r="C831">
            <v>3.4049999999999998E-4</v>
          </cell>
          <cell r="D831"/>
          <cell r="E831">
            <v>2211</v>
          </cell>
          <cell r="F831">
            <v>0</v>
          </cell>
          <cell r="G831">
            <v>0</v>
          </cell>
          <cell r="H831">
            <v>0</v>
          </cell>
          <cell r="I831">
            <v>0</v>
          </cell>
        </row>
        <row r="832">
          <cell r="A832">
            <v>99061</v>
          </cell>
          <cell r="B832" t="str">
            <v>TOWN OF UNIONVILLE</v>
          </cell>
          <cell r="C832">
            <v>6.1E-6</v>
          </cell>
          <cell r="D832"/>
          <cell r="E832">
            <v>2292</v>
          </cell>
          <cell r="F832">
            <v>1644</v>
          </cell>
          <cell r="G832">
            <v>857</v>
          </cell>
          <cell r="H832">
            <v>14</v>
          </cell>
          <cell r="I832">
            <v>0</v>
          </cell>
        </row>
        <row r="833">
          <cell r="A833">
            <v>99071</v>
          </cell>
          <cell r="B833" t="str">
            <v>TOWN OF WEDDINGTON</v>
          </cell>
          <cell r="C833">
            <v>2.4499999999999999E-5</v>
          </cell>
          <cell r="D833"/>
          <cell r="E833">
            <v>1339</v>
          </cell>
          <cell r="F833">
            <v>1341</v>
          </cell>
          <cell r="G833">
            <v>1135</v>
          </cell>
          <cell r="H833">
            <v>1135</v>
          </cell>
          <cell r="I833">
            <v>0</v>
          </cell>
        </row>
        <row r="834">
          <cell r="A834">
            <v>99081</v>
          </cell>
          <cell r="B834" t="str">
            <v>VILLAGE OF MARVIN</v>
          </cell>
          <cell r="C834">
            <v>3.65E-5</v>
          </cell>
          <cell r="D834"/>
          <cell r="E834">
            <v>4974</v>
          </cell>
          <cell r="F834">
            <v>4974</v>
          </cell>
          <cell r="G834">
            <v>4972</v>
          </cell>
          <cell r="H834">
            <v>3913</v>
          </cell>
          <cell r="I834">
            <v>0</v>
          </cell>
        </row>
        <row r="835">
          <cell r="A835">
            <v>99091</v>
          </cell>
          <cell r="B835" t="str">
            <v>VILLAGE OF WESLEY CHAPEL</v>
          </cell>
          <cell r="C835">
            <v>5.4E-6</v>
          </cell>
          <cell r="D835"/>
          <cell r="E835">
            <v>3034</v>
          </cell>
          <cell r="F835">
            <v>2675</v>
          </cell>
          <cell r="G835">
            <v>2107</v>
          </cell>
          <cell r="H835">
            <v>1543</v>
          </cell>
          <cell r="I835">
            <v>0</v>
          </cell>
        </row>
        <row r="836">
          <cell r="A836">
            <v>99101</v>
          </cell>
          <cell r="B836" t="str">
            <v>VANCE COUNTY</v>
          </cell>
          <cell r="C836">
            <v>2.1218000000000001E-3</v>
          </cell>
          <cell r="D836"/>
          <cell r="E836">
            <v>10814</v>
          </cell>
          <cell r="F836">
            <v>10815</v>
          </cell>
          <cell r="G836">
            <v>0</v>
          </cell>
          <cell r="H836">
            <v>0</v>
          </cell>
          <cell r="I836">
            <v>0</v>
          </cell>
        </row>
        <row r="837">
          <cell r="A837">
            <v>99104</v>
          </cell>
          <cell r="B837" t="str">
            <v>VANCE COUNTY ABC BD</v>
          </cell>
          <cell r="C837">
            <v>3.2700000000000002E-5</v>
          </cell>
          <cell r="D837"/>
          <cell r="E837">
            <v>6850</v>
          </cell>
          <cell r="F837">
            <v>5000</v>
          </cell>
          <cell r="G837">
            <v>3721</v>
          </cell>
          <cell r="H837">
            <v>1850</v>
          </cell>
          <cell r="I837">
            <v>0</v>
          </cell>
        </row>
        <row r="838">
          <cell r="A838">
            <v>99109</v>
          </cell>
          <cell r="B838" t="str">
            <v>KERR-TAR REGIONAL COUNCIL OF GOVTS</v>
          </cell>
          <cell r="C838">
            <v>1.169E-4</v>
          </cell>
          <cell r="D838"/>
          <cell r="E838">
            <v>759</v>
          </cell>
          <cell r="F838">
            <v>758</v>
          </cell>
          <cell r="G838">
            <v>0</v>
          </cell>
          <cell r="H838">
            <v>0</v>
          </cell>
          <cell r="I838">
            <v>0</v>
          </cell>
        </row>
        <row r="839">
          <cell r="A839">
            <v>99110</v>
          </cell>
          <cell r="B839" t="str">
            <v>KERR AREA TRANSPORTATION AUTHORITY</v>
          </cell>
          <cell r="C839">
            <v>1.437E-4</v>
          </cell>
          <cell r="D839"/>
          <cell r="E839">
            <v>23852</v>
          </cell>
          <cell r="F839">
            <v>17871</v>
          </cell>
          <cell r="G839">
            <v>11273</v>
          </cell>
          <cell r="H839">
            <v>3910</v>
          </cell>
          <cell r="I839">
            <v>0</v>
          </cell>
        </row>
        <row r="840">
          <cell r="A840">
            <v>99111</v>
          </cell>
          <cell r="B840" t="str">
            <v>CITY OF HENDERSON</v>
          </cell>
          <cell r="C840">
            <v>1.3064999999999999E-3</v>
          </cell>
          <cell r="D840"/>
          <cell r="E840">
            <v>0</v>
          </cell>
          <cell r="F840">
            <v>0</v>
          </cell>
          <cell r="G840">
            <v>0</v>
          </cell>
          <cell r="H840">
            <v>0</v>
          </cell>
          <cell r="I840">
            <v>0</v>
          </cell>
        </row>
        <row r="841">
          <cell r="A841">
            <v>99201</v>
          </cell>
          <cell r="B841" t="str">
            <v>WAKE COUNTY</v>
          </cell>
          <cell r="C841">
            <v>3.5284299999999998E-2</v>
          </cell>
          <cell r="D841"/>
          <cell r="E841">
            <v>548333</v>
          </cell>
          <cell r="F841">
            <v>443192</v>
          </cell>
          <cell r="G841">
            <v>302056</v>
          </cell>
          <cell r="H841">
            <v>160391</v>
          </cell>
          <cell r="I841">
            <v>0</v>
          </cell>
        </row>
        <row r="842">
          <cell r="A842">
            <v>99202</v>
          </cell>
          <cell r="B842" t="str">
            <v>TOWN OF HOLLY SPRINGS</v>
          </cell>
          <cell r="C842">
            <v>2.8322E-3</v>
          </cell>
          <cell r="D842"/>
          <cell r="E842">
            <v>0</v>
          </cell>
          <cell r="F842">
            <v>0</v>
          </cell>
          <cell r="G842">
            <v>0</v>
          </cell>
          <cell r="H842">
            <v>0</v>
          </cell>
          <cell r="I842">
            <v>0</v>
          </cell>
        </row>
        <row r="843">
          <cell r="A843">
            <v>99203</v>
          </cell>
          <cell r="B843" t="str">
            <v>TOWN OF ROLESVILLE</v>
          </cell>
          <cell r="C843">
            <v>3.5179999999999999E-4</v>
          </cell>
          <cell r="D843"/>
          <cell r="E843">
            <v>12428</v>
          </cell>
          <cell r="F843">
            <v>8730</v>
          </cell>
          <cell r="G843">
            <v>8730</v>
          </cell>
          <cell r="H843">
            <v>8732</v>
          </cell>
          <cell r="I843">
            <v>0</v>
          </cell>
        </row>
        <row r="844">
          <cell r="A844">
            <v>99204</v>
          </cell>
          <cell r="B844" t="str">
            <v>WAKE COUNTY ABC BOARD</v>
          </cell>
          <cell r="C844">
            <v>9.4149999999999995E-4</v>
          </cell>
          <cell r="D844"/>
          <cell r="E844">
            <v>40043</v>
          </cell>
          <cell r="F844">
            <v>27366</v>
          </cell>
          <cell r="G844">
            <v>14544</v>
          </cell>
          <cell r="H844">
            <v>749</v>
          </cell>
          <cell r="I844">
            <v>0</v>
          </cell>
        </row>
        <row r="845">
          <cell r="A845">
            <v>99206</v>
          </cell>
          <cell r="B845" t="str">
            <v>TOWN OF MORRISVILLE</v>
          </cell>
          <cell r="C845">
            <v>1.6375999999999999E-3</v>
          </cell>
          <cell r="D845"/>
          <cell r="E845">
            <v>235877</v>
          </cell>
          <cell r="F845">
            <v>194992</v>
          </cell>
          <cell r="G845">
            <v>103739</v>
          </cell>
          <cell r="H845">
            <v>0</v>
          </cell>
          <cell r="I845">
            <v>0</v>
          </cell>
        </row>
        <row r="846">
          <cell r="A846">
            <v>99207</v>
          </cell>
          <cell r="B846" t="str">
            <v>HOUSING AUTHORITY OF THE COUNTY OF WAKE</v>
          </cell>
          <cell r="C846">
            <v>1.206E-4</v>
          </cell>
          <cell r="D846"/>
          <cell r="E846">
            <v>79920</v>
          </cell>
          <cell r="F846">
            <v>69015</v>
          </cell>
          <cell r="G846">
            <v>46407</v>
          </cell>
          <cell r="H846">
            <v>23409</v>
          </cell>
          <cell r="I846">
            <v>0</v>
          </cell>
        </row>
        <row r="847">
          <cell r="A847">
            <v>99208</v>
          </cell>
          <cell r="B847" t="str">
            <v>BAYLEAF FIRE DEPARTMENT</v>
          </cell>
          <cell r="C847">
            <v>3.0939999999999999E-4</v>
          </cell>
          <cell r="D847"/>
          <cell r="E847">
            <v>20055</v>
          </cell>
          <cell r="F847">
            <v>20055</v>
          </cell>
          <cell r="G847">
            <v>20055</v>
          </cell>
          <cell r="H847">
            <v>7541</v>
          </cell>
          <cell r="I847">
            <v>0</v>
          </cell>
        </row>
        <row r="848">
          <cell r="A848">
            <v>99210</v>
          </cell>
          <cell r="B848" t="str">
            <v>ELECTRICITIES OF NC</v>
          </cell>
          <cell r="C848">
            <v>1.7913E-3</v>
          </cell>
          <cell r="D848"/>
          <cell r="E848">
            <v>83347</v>
          </cell>
          <cell r="F848">
            <v>78175</v>
          </cell>
          <cell r="G848">
            <v>66679</v>
          </cell>
          <cell r="H848">
            <v>43735</v>
          </cell>
          <cell r="I848">
            <v>0</v>
          </cell>
        </row>
        <row r="849">
          <cell r="A849">
            <v>99211</v>
          </cell>
          <cell r="B849" t="str">
            <v>CITY OF RALEIGH</v>
          </cell>
          <cell r="C849">
            <v>3.8786099999999997E-2</v>
          </cell>
          <cell r="D849"/>
          <cell r="E849">
            <v>162507</v>
          </cell>
          <cell r="F849">
            <v>162507</v>
          </cell>
          <cell r="G849">
            <v>162508</v>
          </cell>
          <cell r="H849">
            <v>0</v>
          </cell>
          <cell r="I849">
            <v>0</v>
          </cell>
        </row>
        <row r="850">
          <cell r="A850">
            <v>99212</v>
          </cell>
          <cell r="B850" t="str">
            <v>DURHAM HWY FIRE PROTECTION ASSOC</v>
          </cell>
          <cell r="C850">
            <v>6.7999999999999999E-5</v>
          </cell>
          <cell r="D850"/>
          <cell r="E850">
            <v>61</v>
          </cell>
          <cell r="F850">
            <v>59</v>
          </cell>
          <cell r="G850">
            <v>0</v>
          </cell>
          <cell r="H850">
            <v>0</v>
          </cell>
          <cell r="I850">
            <v>0</v>
          </cell>
        </row>
        <row r="851">
          <cell r="A851">
            <v>99213</v>
          </cell>
          <cell r="B851" t="str">
            <v>CITY OF RALEIGH HOUSING AUTHORITY</v>
          </cell>
          <cell r="C851">
            <v>6.7770000000000005E-4</v>
          </cell>
          <cell r="D851"/>
          <cell r="E851">
            <v>3656</v>
          </cell>
          <cell r="F851">
            <v>3656</v>
          </cell>
          <cell r="G851">
            <v>3658</v>
          </cell>
          <cell r="H851">
            <v>0</v>
          </cell>
          <cell r="I851">
            <v>0</v>
          </cell>
        </row>
        <row r="852">
          <cell r="A852">
            <v>99218</v>
          </cell>
          <cell r="B852" t="str">
            <v>RALEIGH-DURHAM AIRPORT AUTHORITY</v>
          </cell>
          <cell r="C852">
            <v>3.4424E-3</v>
          </cell>
          <cell r="D852"/>
          <cell r="E852">
            <v>122297</v>
          </cell>
          <cell r="F852">
            <v>91897</v>
          </cell>
          <cell r="G852">
            <v>80518</v>
          </cell>
          <cell r="H852">
            <v>33473</v>
          </cell>
          <cell r="I852">
            <v>0</v>
          </cell>
        </row>
        <row r="853">
          <cell r="A853">
            <v>99221</v>
          </cell>
          <cell r="B853" t="str">
            <v>TOWN OF CARY</v>
          </cell>
          <cell r="C853">
            <v>1.26739E-2</v>
          </cell>
          <cell r="D853"/>
          <cell r="E853">
            <v>0</v>
          </cell>
          <cell r="F853">
            <v>0</v>
          </cell>
          <cell r="G853">
            <v>0</v>
          </cell>
          <cell r="H853">
            <v>0</v>
          </cell>
          <cell r="I853">
            <v>0</v>
          </cell>
        </row>
        <row r="854">
          <cell r="A854">
            <v>99222</v>
          </cell>
          <cell r="B854" t="str">
            <v>CENTENNIAL AUTHORITY</v>
          </cell>
          <cell r="C854">
            <v>3.5599999999999998E-5</v>
          </cell>
          <cell r="D854"/>
          <cell r="E854">
            <v>0</v>
          </cell>
          <cell r="F854">
            <v>0</v>
          </cell>
          <cell r="G854">
            <v>0</v>
          </cell>
          <cell r="H854">
            <v>0</v>
          </cell>
          <cell r="I854">
            <v>0</v>
          </cell>
        </row>
        <row r="855">
          <cell r="A855">
            <v>99231</v>
          </cell>
          <cell r="B855" t="str">
            <v>TOWN OF WENDELL</v>
          </cell>
          <cell r="C855">
            <v>3.5159999999999998E-4</v>
          </cell>
          <cell r="D855"/>
          <cell r="E855">
            <v>0</v>
          </cell>
          <cell r="F855">
            <v>0</v>
          </cell>
          <cell r="G855">
            <v>0</v>
          </cell>
          <cell r="H855">
            <v>0</v>
          </cell>
          <cell r="I855">
            <v>0</v>
          </cell>
        </row>
        <row r="856">
          <cell r="A856">
            <v>99241</v>
          </cell>
          <cell r="B856" t="str">
            <v>TOWN OF ZEBULON</v>
          </cell>
          <cell r="C856">
            <v>5.6070000000000002E-4</v>
          </cell>
          <cell r="D856"/>
          <cell r="E856">
            <v>0</v>
          </cell>
          <cell r="F856">
            <v>0</v>
          </cell>
          <cell r="G856">
            <v>0</v>
          </cell>
          <cell r="H856">
            <v>0</v>
          </cell>
          <cell r="I856">
            <v>0</v>
          </cell>
        </row>
        <row r="857">
          <cell r="A857">
            <v>99251</v>
          </cell>
          <cell r="B857" t="str">
            <v>TOWN OF GARNER</v>
          </cell>
          <cell r="C857">
            <v>1.6358E-3</v>
          </cell>
          <cell r="D857"/>
          <cell r="E857">
            <v>2791</v>
          </cell>
          <cell r="F857">
            <v>2369</v>
          </cell>
          <cell r="G857">
            <v>2369</v>
          </cell>
          <cell r="H857">
            <v>2369</v>
          </cell>
          <cell r="I857">
            <v>0</v>
          </cell>
        </row>
        <row r="858">
          <cell r="A858">
            <v>99252</v>
          </cell>
          <cell r="B858" t="str">
            <v>GARNER FIRE DEPT</v>
          </cell>
          <cell r="C858">
            <v>6.6200000000000005E-4</v>
          </cell>
          <cell r="D858"/>
          <cell r="E858">
            <v>0</v>
          </cell>
          <cell r="F858">
            <v>0</v>
          </cell>
          <cell r="G858">
            <v>0</v>
          </cell>
          <cell r="H858">
            <v>0</v>
          </cell>
          <cell r="I858">
            <v>0</v>
          </cell>
        </row>
        <row r="859">
          <cell r="A859">
            <v>99261</v>
          </cell>
          <cell r="B859" t="str">
            <v>TOWN OF FUQUAY-VARINA</v>
          </cell>
          <cell r="C859">
            <v>2.2407E-3</v>
          </cell>
          <cell r="D859"/>
          <cell r="E859">
            <v>470</v>
          </cell>
          <cell r="F859">
            <v>470</v>
          </cell>
          <cell r="G859">
            <v>470</v>
          </cell>
          <cell r="H859">
            <v>472</v>
          </cell>
          <cell r="I859">
            <v>0</v>
          </cell>
        </row>
        <row r="860">
          <cell r="A860">
            <v>99271</v>
          </cell>
          <cell r="B860" t="str">
            <v>TOWN OF APEX</v>
          </cell>
          <cell r="C860">
            <v>4.2773000000000004E-3</v>
          </cell>
          <cell r="D860"/>
          <cell r="E860">
            <v>18606</v>
          </cell>
          <cell r="F860">
            <v>18606</v>
          </cell>
          <cell r="G860">
            <v>18607</v>
          </cell>
          <cell r="H860">
            <v>0</v>
          </cell>
          <cell r="I860">
            <v>0</v>
          </cell>
        </row>
        <row r="861">
          <cell r="A861">
            <v>99281</v>
          </cell>
          <cell r="B861" t="str">
            <v>TOWN OF WAKE FOREST</v>
          </cell>
          <cell r="C861">
            <v>2.4237E-3</v>
          </cell>
          <cell r="D861"/>
          <cell r="E861">
            <v>4762</v>
          </cell>
          <cell r="F861">
            <v>4762</v>
          </cell>
          <cell r="G861">
            <v>4762</v>
          </cell>
          <cell r="H861">
            <v>0</v>
          </cell>
          <cell r="I861">
            <v>0</v>
          </cell>
        </row>
        <row r="862">
          <cell r="A862">
            <v>99291</v>
          </cell>
          <cell r="B862" t="str">
            <v>TOWN OF KNIGHTDALE</v>
          </cell>
          <cell r="C862">
            <v>8.4909999999999998E-4</v>
          </cell>
          <cell r="D862"/>
          <cell r="E862">
            <v>3140</v>
          </cell>
          <cell r="F862">
            <v>3140</v>
          </cell>
          <cell r="G862">
            <v>3142</v>
          </cell>
          <cell r="H862">
            <v>0</v>
          </cell>
          <cell r="I862">
            <v>0</v>
          </cell>
        </row>
        <row r="863">
          <cell r="A863">
            <v>99301</v>
          </cell>
          <cell r="B863" t="str">
            <v>WARREN COUNTY</v>
          </cell>
          <cell r="C863">
            <v>1.6092999999999999E-3</v>
          </cell>
          <cell r="D863"/>
          <cell r="E863">
            <v>0</v>
          </cell>
          <cell r="F863">
            <v>0</v>
          </cell>
          <cell r="G863">
            <v>0</v>
          </cell>
          <cell r="H863">
            <v>0</v>
          </cell>
          <cell r="I863">
            <v>0</v>
          </cell>
        </row>
        <row r="864">
          <cell r="A864">
            <v>99304</v>
          </cell>
          <cell r="B864" t="str">
            <v>WARREN COUNTY ABC BOARD</v>
          </cell>
          <cell r="C864">
            <v>7.6000000000000001E-6</v>
          </cell>
          <cell r="D864"/>
          <cell r="E864">
            <v>2375</v>
          </cell>
          <cell r="F864">
            <v>1950</v>
          </cell>
          <cell r="G864">
            <v>1403</v>
          </cell>
          <cell r="H864">
            <v>712</v>
          </cell>
          <cell r="I864">
            <v>0</v>
          </cell>
        </row>
        <row r="865">
          <cell r="A865">
            <v>99311</v>
          </cell>
          <cell r="B865" t="str">
            <v>TOWN OF NORLINA</v>
          </cell>
          <cell r="C865">
            <v>5.9700000000000001E-5</v>
          </cell>
          <cell r="D865"/>
          <cell r="E865">
            <v>1019</v>
          </cell>
          <cell r="F865">
            <v>1019</v>
          </cell>
          <cell r="G865">
            <v>1021</v>
          </cell>
          <cell r="H865">
            <v>0</v>
          </cell>
          <cell r="I865">
            <v>0</v>
          </cell>
        </row>
        <row r="866">
          <cell r="A866">
            <v>99321</v>
          </cell>
          <cell r="B866" t="str">
            <v>TOWN OF WARRENTON</v>
          </cell>
          <cell r="C866">
            <v>8.6399999999999999E-5</v>
          </cell>
          <cell r="D866"/>
          <cell r="E866">
            <v>35456</v>
          </cell>
          <cell r="F866">
            <v>25765</v>
          </cell>
          <cell r="G866">
            <v>17690</v>
          </cell>
          <cell r="H866">
            <v>11171</v>
          </cell>
          <cell r="I866">
            <v>0</v>
          </cell>
        </row>
        <row r="867">
          <cell r="A867">
            <v>99401</v>
          </cell>
          <cell r="B867" t="str">
            <v>WASHINGTON COUNTY</v>
          </cell>
          <cell r="C867">
            <v>7.7590000000000005E-4</v>
          </cell>
          <cell r="D867"/>
          <cell r="E867">
            <v>3138</v>
          </cell>
          <cell r="F867">
            <v>0</v>
          </cell>
          <cell r="G867">
            <v>0</v>
          </cell>
          <cell r="H867">
            <v>0</v>
          </cell>
          <cell r="I867">
            <v>0</v>
          </cell>
        </row>
        <row r="868">
          <cell r="A868">
            <v>99404</v>
          </cell>
          <cell r="B868" t="str">
            <v>WASHINGTON COUNTY ABC BOARD</v>
          </cell>
          <cell r="C868">
            <v>8.4999999999999999E-6</v>
          </cell>
          <cell r="D868"/>
          <cell r="E868">
            <v>697</v>
          </cell>
          <cell r="F868">
            <v>571</v>
          </cell>
          <cell r="G868">
            <v>389</v>
          </cell>
          <cell r="H868">
            <v>201</v>
          </cell>
          <cell r="I868">
            <v>0</v>
          </cell>
        </row>
        <row r="869">
          <cell r="A869">
            <v>99405</v>
          </cell>
          <cell r="B869" t="str">
            <v>PETTIGREW REGIONAL LIBRARY</v>
          </cell>
          <cell r="C869">
            <v>5.9799999999999997E-5</v>
          </cell>
          <cell r="D869"/>
          <cell r="E869">
            <v>7529</v>
          </cell>
          <cell r="F869">
            <v>6635</v>
          </cell>
          <cell r="G869">
            <v>4063</v>
          </cell>
          <cell r="H869">
            <v>3497</v>
          </cell>
          <cell r="I869">
            <v>0</v>
          </cell>
        </row>
        <row r="870">
          <cell r="A870">
            <v>99411</v>
          </cell>
          <cell r="B870" t="str">
            <v>TOWN OF PLYMOUTH</v>
          </cell>
          <cell r="C870">
            <v>1.7139999999999999E-4</v>
          </cell>
          <cell r="D870"/>
          <cell r="E870">
            <v>13984</v>
          </cell>
          <cell r="F870">
            <v>10157</v>
          </cell>
          <cell r="G870">
            <v>3962</v>
          </cell>
          <cell r="H870">
            <v>844</v>
          </cell>
          <cell r="I870">
            <v>0</v>
          </cell>
        </row>
        <row r="871">
          <cell r="A871">
            <v>99413</v>
          </cell>
          <cell r="B871" t="str">
            <v>PLYMOUTH HOUSING AUTHORITY</v>
          </cell>
          <cell r="C871">
            <v>2.0400000000000001E-5</v>
          </cell>
          <cell r="D871"/>
          <cell r="E871">
            <v>2884</v>
          </cell>
          <cell r="F871">
            <v>2884</v>
          </cell>
          <cell r="G871">
            <v>1447</v>
          </cell>
          <cell r="H871">
            <v>1449</v>
          </cell>
          <cell r="I871">
            <v>0</v>
          </cell>
        </row>
        <row r="872">
          <cell r="A872">
            <v>99421</v>
          </cell>
          <cell r="B872" t="str">
            <v>TOWN OF ROPER</v>
          </cell>
          <cell r="C872">
            <v>1.3499999999999999E-5</v>
          </cell>
          <cell r="D872"/>
          <cell r="E872">
            <v>302</v>
          </cell>
          <cell r="F872">
            <v>302</v>
          </cell>
          <cell r="G872">
            <v>303</v>
          </cell>
          <cell r="H872">
            <v>72</v>
          </cell>
          <cell r="I872">
            <v>0</v>
          </cell>
        </row>
        <row r="873">
          <cell r="A873">
            <v>99431</v>
          </cell>
          <cell r="B873" t="str">
            <v>TOWN OF CRESWELL</v>
          </cell>
          <cell r="C873">
            <v>1.4800000000000001E-5</v>
          </cell>
          <cell r="D873"/>
          <cell r="E873">
            <v>0</v>
          </cell>
          <cell r="F873">
            <v>0</v>
          </cell>
          <cell r="G873">
            <v>0</v>
          </cell>
          <cell r="H873">
            <v>0</v>
          </cell>
          <cell r="I873">
            <v>0</v>
          </cell>
        </row>
        <row r="874">
          <cell r="A874">
            <v>99501</v>
          </cell>
          <cell r="B874" t="str">
            <v>WATAUGA COUNTY</v>
          </cell>
          <cell r="C874">
            <v>1.6478E-3</v>
          </cell>
          <cell r="D874"/>
          <cell r="E874">
            <v>16460</v>
          </cell>
          <cell r="F874">
            <v>16142</v>
          </cell>
          <cell r="G874">
            <v>16140</v>
          </cell>
          <cell r="H874">
            <v>10065</v>
          </cell>
          <cell r="I874">
            <v>0</v>
          </cell>
        </row>
        <row r="875">
          <cell r="A875">
            <v>99502</v>
          </cell>
          <cell r="B875" t="str">
            <v>REGION D COUNCIL OF GOVERNMENTS</v>
          </cell>
          <cell r="C875">
            <v>1.4459999999999999E-4</v>
          </cell>
          <cell r="D875"/>
          <cell r="E875">
            <v>5249</v>
          </cell>
          <cell r="F875">
            <v>2756</v>
          </cell>
          <cell r="G875">
            <v>2280</v>
          </cell>
          <cell r="H875">
            <v>0</v>
          </cell>
          <cell r="I875">
            <v>0</v>
          </cell>
        </row>
        <row r="876">
          <cell r="A876">
            <v>99508</v>
          </cell>
          <cell r="B876" t="str">
            <v>BLOWING ROCK TOURISM DEVELOPMENT AUTHORITY</v>
          </cell>
          <cell r="C876">
            <v>2.0999999999999999E-5</v>
          </cell>
          <cell r="D876"/>
          <cell r="E876">
            <v>9</v>
          </cell>
          <cell r="F876">
            <v>10</v>
          </cell>
          <cell r="G876">
            <v>0</v>
          </cell>
          <cell r="H876">
            <v>0</v>
          </cell>
          <cell r="I876">
            <v>0</v>
          </cell>
        </row>
        <row r="877">
          <cell r="A877">
            <v>99509</v>
          </cell>
          <cell r="B877" t="str">
            <v>WATAUGA COUNTY DISTRICT U TDA</v>
          </cell>
          <cell r="C877">
            <v>2.5199999999999999E-5</v>
          </cell>
          <cell r="D877"/>
          <cell r="E877">
            <v>0</v>
          </cell>
          <cell r="F877">
            <v>0</v>
          </cell>
          <cell r="G877">
            <v>0</v>
          </cell>
          <cell r="H877">
            <v>0</v>
          </cell>
          <cell r="I877">
            <v>0</v>
          </cell>
        </row>
        <row r="878">
          <cell r="A878">
            <v>99511</v>
          </cell>
          <cell r="B878" t="str">
            <v>TOWN OF BOONE</v>
          </cell>
          <cell r="C878">
            <v>1.3293999999999999E-3</v>
          </cell>
          <cell r="D878"/>
          <cell r="E878">
            <v>0</v>
          </cell>
          <cell r="F878">
            <v>0</v>
          </cell>
          <cell r="G878">
            <v>0</v>
          </cell>
          <cell r="H878">
            <v>0</v>
          </cell>
          <cell r="I878">
            <v>0</v>
          </cell>
        </row>
        <row r="879">
          <cell r="A879">
            <v>99521</v>
          </cell>
          <cell r="B879" t="str">
            <v>TOWN OF BLOWING ROCK</v>
          </cell>
          <cell r="C879">
            <v>4.8200000000000001E-4</v>
          </cell>
          <cell r="D879"/>
          <cell r="E879">
            <v>5625</v>
          </cell>
          <cell r="F879">
            <v>5627</v>
          </cell>
          <cell r="G879">
            <v>5302</v>
          </cell>
          <cell r="H879">
            <v>0</v>
          </cell>
          <cell r="I879">
            <v>0</v>
          </cell>
        </row>
        <row r="880">
          <cell r="A880">
            <v>99527</v>
          </cell>
          <cell r="B880" t="str">
            <v>BLOWING ROCK ABC BD</v>
          </cell>
          <cell r="C880">
            <v>1.1E-5</v>
          </cell>
          <cell r="D880"/>
          <cell r="E880">
            <v>460</v>
          </cell>
          <cell r="F880">
            <v>372</v>
          </cell>
          <cell r="G880">
            <v>312</v>
          </cell>
          <cell r="H880">
            <v>175</v>
          </cell>
          <cell r="I880">
            <v>0</v>
          </cell>
        </row>
        <row r="881">
          <cell r="A881">
            <v>99531</v>
          </cell>
          <cell r="B881" t="str">
            <v>TOWN OF SEVEN DEVILS</v>
          </cell>
          <cell r="C881">
            <v>8.6299999999999997E-5</v>
          </cell>
          <cell r="D881"/>
          <cell r="E881">
            <v>24598</v>
          </cell>
          <cell r="F881">
            <v>19103</v>
          </cell>
          <cell r="G881">
            <v>12222</v>
          </cell>
          <cell r="H881">
            <v>6437</v>
          </cell>
          <cell r="I881">
            <v>0</v>
          </cell>
        </row>
        <row r="882">
          <cell r="A882">
            <v>99601</v>
          </cell>
          <cell r="B882" t="str">
            <v>WAYNE COUNTY</v>
          </cell>
          <cell r="C882">
            <v>5.9021999999999998E-3</v>
          </cell>
          <cell r="D882"/>
          <cell r="E882">
            <v>63907</v>
          </cell>
          <cell r="F882">
            <v>63908</v>
          </cell>
          <cell r="G882">
            <v>1339</v>
          </cell>
          <cell r="H882">
            <v>0</v>
          </cell>
          <cell r="I882">
            <v>0</v>
          </cell>
        </row>
        <row r="883">
          <cell r="A883">
            <v>99602</v>
          </cell>
          <cell r="B883" t="str">
            <v>FORK TOWNSHIP SANITARY DIST</v>
          </cell>
          <cell r="C883">
            <v>6.1500000000000004E-5</v>
          </cell>
          <cell r="D883"/>
          <cell r="E883">
            <v>2098</v>
          </cell>
          <cell r="F883">
            <v>1658</v>
          </cell>
          <cell r="G883">
            <v>0</v>
          </cell>
          <cell r="H883">
            <v>0</v>
          </cell>
          <cell r="I883">
            <v>0</v>
          </cell>
        </row>
        <row r="884">
          <cell r="A884">
            <v>99603</v>
          </cell>
          <cell r="B884" t="str">
            <v>EASTERN CAROLINA REG'L HOUSING AUTH</v>
          </cell>
          <cell r="C884">
            <v>1.5540000000000001E-4</v>
          </cell>
          <cell r="D884"/>
          <cell r="E884">
            <v>23681</v>
          </cell>
          <cell r="F884">
            <v>10304</v>
          </cell>
          <cell r="G884">
            <v>4449</v>
          </cell>
          <cell r="H884">
            <v>0</v>
          </cell>
          <cell r="I884">
            <v>0</v>
          </cell>
        </row>
        <row r="885">
          <cell r="A885">
            <v>99604</v>
          </cell>
          <cell r="B885" t="str">
            <v>WAYNE COUNTY ABC BOARD</v>
          </cell>
          <cell r="C885">
            <v>9.1100000000000005E-5</v>
          </cell>
          <cell r="D885"/>
          <cell r="E885">
            <v>5952</v>
          </cell>
          <cell r="F885">
            <v>4498</v>
          </cell>
          <cell r="G885">
            <v>2620</v>
          </cell>
          <cell r="H885">
            <v>205</v>
          </cell>
          <cell r="I885">
            <v>0</v>
          </cell>
        </row>
        <row r="886">
          <cell r="A886">
            <v>99609</v>
          </cell>
          <cell r="B886" t="str">
            <v>SOUTHERN WAYNE SANITARY DISTRICT</v>
          </cell>
          <cell r="C886">
            <v>2.8799999999999999E-5</v>
          </cell>
          <cell r="D886"/>
          <cell r="E886">
            <v>2812</v>
          </cell>
          <cell r="F886">
            <v>2286</v>
          </cell>
          <cell r="G886">
            <v>2286</v>
          </cell>
          <cell r="H886">
            <v>1250</v>
          </cell>
          <cell r="I886">
            <v>0</v>
          </cell>
        </row>
        <row r="887">
          <cell r="A887">
            <v>99610</v>
          </cell>
          <cell r="B887" t="str">
            <v>EASTERN WAYNE SANITARY DIST</v>
          </cell>
          <cell r="C887">
            <v>1.683E-4</v>
          </cell>
          <cell r="D887"/>
          <cell r="E887">
            <v>396</v>
          </cell>
          <cell r="F887">
            <v>0</v>
          </cell>
          <cell r="G887">
            <v>0</v>
          </cell>
          <cell r="H887">
            <v>0</v>
          </cell>
          <cell r="I887">
            <v>0</v>
          </cell>
        </row>
        <row r="888">
          <cell r="A888">
            <v>99611</v>
          </cell>
          <cell r="B888" t="str">
            <v>CITY OF GOLDSBORO</v>
          </cell>
          <cell r="C888">
            <v>3.2022000000000001E-3</v>
          </cell>
          <cell r="D888"/>
          <cell r="E888">
            <v>17737</v>
          </cell>
          <cell r="F888">
            <v>17736</v>
          </cell>
          <cell r="G888">
            <v>8608</v>
          </cell>
          <cell r="H888">
            <v>0</v>
          </cell>
          <cell r="I888">
            <v>0</v>
          </cell>
        </row>
        <row r="889">
          <cell r="A889">
            <v>99613</v>
          </cell>
          <cell r="B889" t="str">
            <v>HOUSING AUTHORITY OF GOLDSBORO</v>
          </cell>
          <cell r="C889">
            <v>3.3720000000000001E-4</v>
          </cell>
          <cell r="D889"/>
          <cell r="E889">
            <v>104740</v>
          </cell>
          <cell r="F889">
            <v>69489</v>
          </cell>
          <cell r="G889">
            <v>38832</v>
          </cell>
          <cell r="H889">
            <v>0</v>
          </cell>
          <cell r="I889">
            <v>0</v>
          </cell>
        </row>
        <row r="890">
          <cell r="A890">
            <v>99621</v>
          </cell>
          <cell r="B890" t="str">
            <v>TOWN OF MOUNT OLIVE</v>
          </cell>
          <cell r="C890">
            <v>3.5530000000000002E-4</v>
          </cell>
          <cell r="D890"/>
          <cell r="E890">
            <v>9962</v>
          </cell>
          <cell r="F890">
            <v>6319</v>
          </cell>
          <cell r="G890">
            <v>0</v>
          </cell>
          <cell r="H890">
            <v>0</v>
          </cell>
          <cell r="I890">
            <v>0</v>
          </cell>
        </row>
        <row r="891">
          <cell r="A891">
            <v>99623</v>
          </cell>
          <cell r="B891" t="str">
            <v>MT OLIVE HOUSING AUTHORITY</v>
          </cell>
          <cell r="C891">
            <v>1.08E-5</v>
          </cell>
          <cell r="D891"/>
          <cell r="E891">
            <v>298</v>
          </cell>
          <cell r="F891">
            <v>0</v>
          </cell>
          <cell r="G891">
            <v>0</v>
          </cell>
          <cell r="H891">
            <v>0</v>
          </cell>
          <cell r="I891">
            <v>0</v>
          </cell>
        </row>
        <row r="892">
          <cell r="A892">
            <v>99631</v>
          </cell>
          <cell r="B892" t="str">
            <v>TOWN OF FREMONT</v>
          </cell>
          <cell r="C892">
            <v>1.078E-4</v>
          </cell>
          <cell r="D892"/>
          <cell r="E892">
            <v>268</v>
          </cell>
          <cell r="F892">
            <v>267</v>
          </cell>
          <cell r="G892">
            <v>0</v>
          </cell>
          <cell r="H892">
            <v>0</v>
          </cell>
          <cell r="I892">
            <v>0</v>
          </cell>
        </row>
        <row r="893">
          <cell r="A893">
            <v>99651</v>
          </cell>
          <cell r="B893" t="str">
            <v>TOWN OF PIKEVILLE</v>
          </cell>
          <cell r="C893">
            <v>6.5300000000000002E-5</v>
          </cell>
          <cell r="D893"/>
          <cell r="E893">
            <v>2544</v>
          </cell>
          <cell r="F893">
            <v>1912</v>
          </cell>
          <cell r="G893">
            <v>1912</v>
          </cell>
          <cell r="H893">
            <v>1911</v>
          </cell>
          <cell r="I893">
            <v>0</v>
          </cell>
        </row>
        <row r="894">
          <cell r="A894">
            <v>99661</v>
          </cell>
          <cell r="B894" t="str">
            <v>VILLAGE OF WALNUT CREEK</v>
          </cell>
          <cell r="C894">
            <v>3.4799999999999999E-5</v>
          </cell>
          <cell r="D894"/>
          <cell r="E894">
            <v>20105</v>
          </cell>
          <cell r="F894">
            <v>16546</v>
          </cell>
          <cell r="G894">
            <v>13122</v>
          </cell>
          <cell r="H894">
            <v>8218</v>
          </cell>
          <cell r="I894">
            <v>0</v>
          </cell>
        </row>
        <row r="895">
          <cell r="A895">
            <v>99701</v>
          </cell>
          <cell r="B895" t="str">
            <v>WILKES COUNTY</v>
          </cell>
          <cell r="C895">
            <v>2.9930999999999998E-3</v>
          </cell>
          <cell r="D895"/>
          <cell r="E895">
            <v>2637</v>
          </cell>
          <cell r="F895">
            <v>0</v>
          </cell>
          <cell r="G895">
            <v>0</v>
          </cell>
          <cell r="H895">
            <v>0</v>
          </cell>
          <cell r="I895">
            <v>0</v>
          </cell>
        </row>
        <row r="896">
          <cell r="A896">
            <v>99705</v>
          </cell>
          <cell r="B896" t="str">
            <v>APPALACHIAN REGIONAL LIBRARY</v>
          </cell>
          <cell r="C896">
            <v>1.5530000000000001E-4</v>
          </cell>
          <cell r="D896"/>
          <cell r="E896">
            <v>5365</v>
          </cell>
          <cell r="F896">
            <v>4833</v>
          </cell>
          <cell r="G896">
            <v>3614</v>
          </cell>
          <cell r="H896">
            <v>2537</v>
          </cell>
          <cell r="I896">
            <v>0</v>
          </cell>
        </row>
        <row r="897">
          <cell r="A897">
            <v>99711</v>
          </cell>
          <cell r="B897" t="str">
            <v>TOWN OF N WILKESBORO</v>
          </cell>
          <cell r="C897">
            <v>4.2489999999999997E-4</v>
          </cell>
          <cell r="D897"/>
          <cell r="E897">
            <v>3377</v>
          </cell>
          <cell r="F897">
            <v>3378</v>
          </cell>
          <cell r="G897">
            <v>0</v>
          </cell>
          <cell r="H897">
            <v>0</v>
          </cell>
          <cell r="I897">
            <v>0</v>
          </cell>
        </row>
        <row r="898">
          <cell r="A898">
            <v>99717</v>
          </cell>
          <cell r="B898" t="str">
            <v>TOWN OF N WILKESBORO ABC BOARD</v>
          </cell>
          <cell r="C898">
            <v>2.6599999999999999E-5</v>
          </cell>
          <cell r="D898"/>
          <cell r="E898">
            <v>215</v>
          </cell>
          <cell r="F898">
            <v>215</v>
          </cell>
          <cell r="G898">
            <v>215</v>
          </cell>
          <cell r="H898">
            <v>213</v>
          </cell>
          <cell r="I898">
            <v>0</v>
          </cell>
        </row>
        <row r="899">
          <cell r="A899">
            <v>99721</v>
          </cell>
          <cell r="B899" t="str">
            <v>TOWN OF WILKESBORO</v>
          </cell>
          <cell r="C899">
            <v>6.1160000000000001E-4</v>
          </cell>
          <cell r="D899"/>
          <cell r="E899">
            <v>579</v>
          </cell>
          <cell r="F899">
            <v>579</v>
          </cell>
          <cell r="G899">
            <v>579</v>
          </cell>
          <cell r="H899">
            <v>580</v>
          </cell>
          <cell r="I899">
            <v>0</v>
          </cell>
        </row>
        <row r="900">
          <cell r="A900">
            <v>99727</v>
          </cell>
          <cell r="B900" t="str">
            <v>WILKESBORO ABC BOARD</v>
          </cell>
          <cell r="C900">
            <v>1.98E-5</v>
          </cell>
          <cell r="D900"/>
          <cell r="E900">
            <v>26990</v>
          </cell>
          <cell r="F900">
            <v>21200</v>
          </cell>
          <cell r="G900">
            <v>14365</v>
          </cell>
          <cell r="H900">
            <v>6991</v>
          </cell>
          <cell r="I900">
            <v>0</v>
          </cell>
        </row>
        <row r="901">
          <cell r="A901">
            <v>99801</v>
          </cell>
          <cell r="B901" t="str">
            <v>WILSON COUNTY</v>
          </cell>
          <cell r="C901">
            <v>4.7737999999999999E-3</v>
          </cell>
          <cell r="D901"/>
          <cell r="E901">
            <v>0</v>
          </cell>
          <cell r="F901">
            <v>0</v>
          </cell>
          <cell r="G901">
            <v>0</v>
          </cell>
          <cell r="H901">
            <v>0</v>
          </cell>
          <cell r="I901">
            <v>0</v>
          </cell>
        </row>
        <row r="902">
          <cell r="A902">
            <v>99802</v>
          </cell>
          <cell r="B902" t="str">
            <v>WILSON COUNTY TOURISM DEVELOPMENT AUTH</v>
          </cell>
          <cell r="C902">
            <v>1.1600000000000001E-5</v>
          </cell>
          <cell r="D902"/>
          <cell r="E902">
            <v>1854</v>
          </cell>
          <cell r="F902">
            <v>1807</v>
          </cell>
          <cell r="G902">
            <v>1525</v>
          </cell>
          <cell r="H902">
            <v>284</v>
          </cell>
          <cell r="I902">
            <v>0</v>
          </cell>
        </row>
        <row r="903">
          <cell r="A903">
            <v>99804</v>
          </cell>
          <cell r="B903" t="str">
            <v>WILSON COUNTY ABC BOARD</v>
          </cell>
          <cell r="C903">
            <v>7.2200000000000007E-5</v>
          </cell>
          <cell r="D903"/>
          <cell r="E903">
            <v>3015</v>
          </cell>
          <cell r="F903">
            <v>2122</v>
          </cell>
          <cell r="G903">
            <v>428</v>
          </cell>
          <cell r="H903">
            <v>430</v>
          </cell>
          <cell r="I903">
            <v>0</v>
          </cell>
        </row>
        <row r="904">
          <cell r="A904">
            <v>99811</v>
          </cell>
          <cell r="B904" t="str">
            <v>CITY OF WILSON</v>
          </cell>
          <cell r="C904">
            <v>6.4218000000000001E-3</v>
          </cell>
          <cell r="D904"/>
          <cell r="E904">
            <v>0</v>
          </cell>
          <cell r="F904">
            <v>0</v>
          </cell>
          <cell r="G904">
            <v>0</v>
          </cell>
          <cell r="H904">
            <v>0</v>
          </cell>
          <cell r="I904">
            <v>0</v>
          </cell>
        </row>
        <row r="905">
          <cell r="A905">
            <v>99812</v>
          </cell>
          <cell r="B905" t="str">
            <v>WILSON ECONOMIC DEV COUNCIL</v>
          </cell>
          <cell r="C905">
            <v>1.88E-5</v>
          </cell>
          <cell r="D905"/>
          <cell r="E905">
            <v>6767</v>
          </cell>
          <cell r="F905">
            <v>5660</v>
          </cell>
          <cell r="G905">
            <v>4263</v>
          </cell>
          <cell r="H905">
            <v>2336</v>
          </cell>
          <cell r="I905">
            <v>0</v>
          </cell>
        </row>
        <row r="906">
          <cell r="A906">
            <v>99818</v>
          </cell>
          <cell r="B906" t="str">
            <v>CITY OF WILSON CEMETERY COMMISSION</v>
          </cell>
          <cell r="C906">
            <v>3.5599999999999998E-5</v>
          </cell>
          <cell r="D906"/>
          <cell r="E906">
            <v>0</v>
          </cell>
          <cell r="F906">
            <v>0</v>
          </cell>
          <cell r="G906">
            <v>0</v>
          </cell>
          <cell r="H906">
            <v>0</v>
          </cell>
          <cell r="I906">
            <v>0</v>
          </cell>
        </row>
        <row r="907">
          <cell r="A907">
            <v>99821</v>
          </cell>
          <cell r="B907" t="str">
            <v>TOWN OF STANTONSBURG</v>
          </cell>
          <cell r="C907">
            <v>9.8200000000000002E-5</v>
          </cell>
          <cell r="D907"/>
          <cell r="E907">
            <v>7092</v>
          </cell>
          <cell r="F907">
            <v>5730</v>
          </cell>
          <cell r="G907">
            <v>2958</v>
          </cell>
          <cell r="H907">
            <v>1627</v>
          </cell>
          <cell r="I907">
            <v>0</v>
          </cell>
        </row>
        <row r="908">
          <cell r="A908">
            <v>99831</v>
          </cell>
          <cell r="B908" t="str">
            <v>TOWN OF BLACK CREEK</v>
          </cell>
          <cell r="C908">
            <v>5.5399999999999998E-5</v>
          </cell>
          <cell r="D908"/>
          <cell r="E908">
            <v>3675</v>
          </cell>
          <cell r="F908">
            <v>2950</v>
          </cell>
          <cell r="G908">
            <v>1866</v>
          </cell>
          <cell r="H908">
            <v>1864</v>
          </cell>
          <cell r="I908">
            <v>0</v>
          </cell>
        </row>
        <row r="909">
          <cell r="A909">
            <v>99841</v>
          </cell>
          <cell r="B909" t="str">
            <v>TOWN OF LUCAMA</v>
          </cell>
          <cell r="C909">
            <v>1.59E-5</v>
          </cell>
          <cell r="D909"/>
          <cell r="E909">
            <v>0</v>
          </cell>
          <cell r="F909">
            <v>0</v>
          </cell>
          <cell r="G909">
            <v>0</v>
          </cell>
          <cell r="H909">
            <v>0</v>
          </cell>
          <cell r="I909">
            <v>0</v>
          </cell>
        </row>
        <row r="910">
          <cell r="A910">
            <v>99851</v>
          </cell>
          <cell r="B910" t="str">
            <v>TOWN OF ELM CITY</v>
          </cell>
          <cell r="C910">
            <v>7.9000000000000006E-6</v>
          </cell>
          <cell r="D910"/>
          <cell r="E910">
            <v>0</v>
          </cell>
          <cell r="F910">
            <v>0</v>
          </cell>
          <cell r="G910">
            <v>0</v>
          </cell>
          <cell r="H910">
            <v>0</v>
          </cell>
          <cell r="I910">
            <v>0</v>
          </cell>
        </row>
        <row r="911">
          <cell r="A911">
            <v>99901</v>
          </cell>
          <cell r="B911" t="str">
            <v>YADKIN COUNTY</v>
          </cell>
          <cell r="C911">
            <v>1.5942E-3</v>
          </cell>
          <cell r="D911"/>
          <cell r="E911">
            <v>10974</v>
          </cell>
          <cell r="F911">
            <v>4297</v>
          </cell>
          <cell r="G911">
            <v>0</v>
          </cell>
          <cell r="H911">
            <v>0</v>
          </cell>
          <cell r="I911">
            <v>0</v>
          </cell>
        </row>
        <row r="912">
          <cell r="A912">
            <v>99911</v>
          </cell>
          <cell r="B912" t="str">
            <v>TOWN OF YADKINVILLE</v>
          </cell>
          <cell r="C912">
            <v>2.219E-4</v>
          </cell>
          <cell r="D912"/>
          <cell r="E912">
            <v>2367</v>
          </cell>
          <cell r="F912">
            <v>2368</v>
          </cell>
          <cell r="G912">
            <v>1037</v>
          </cell>
          <cell r="H912">
            <v>1038</v>
          </cell>
          <cell r="I912">
            <v>0</v>
          </cell>
        </row>
        <row r="913">
          <cell r="A913">
            <v>99921</v>
          </cell>
          <cell r="B913" t="str">
            <v>TOWN OF JONESVILLE</v>
          </cell>
          <cell r="C913">
            <v>1.315E-4</v>
          </cell>
          <cell r="D913"/>
          <cell r="E913">
            <v>736</v>
          </cell>
          <cell r="F913">
            <v>375</v>
          </cell>
          <cell r="G913">
            <v>375</v>
          </cell>
          <cell r="H913">
            <v>377</v>
          </cell>
          <cell r="I913">
            <v>0</v>
          </cell>
        </row>
        <row r="914">
          <cell r="A914">
            <v>99931</v>
          </cell>
          <cell r="B914" t="str">
            <v>TOWN OF EAST BEND</v>
          </cell>
          <cell r="C914">
            <v>2.1699999999999999E-5</v>
          </cell>
          <cell r="D914"/>
          <cell r="E914">
            <v>1693</v>
          </cell>
          <cell r="F914">
            <v>1693</v>
          </cell>
          <cell r="G914">
            <v>1691</v>
          </cell>
          <cell r="H914">
            <v>1289</v>
          </cell>
          <cell r="I914">
            <v>0</v>
          </cell>
        </row>
        <row r="915">
          <cell r="A915">
            <v>99941</v>
          </cell>
          <cell r="B915" t="str">
            <v>TOWN OF BOONVILLE</v>
          </cell>
          <cell r="C915">
            <v>7.7399999999999998E-5</v>
          </cell>
          <cell r="D915"/>
          <cell r="E915">
            <v>0</v>
          </cell>
          <cell r="F915">
            <v>0</v>
          </cell>
          <cell r="G915">
            <v>0</v>
          </cell>
          <cell r="H915">
            <v>0</v>
          </cell>
          <cell r="I915">
            <v>0</v>
          </cell>
        </row>
        <row r="916">
          <cell r="A916">
            <v>99991</v>
          </cell>
          <cell r="B916" t="str">
            <v>N C ASSOC OF CO COMMISSIONERS</v>
          </cell>
          <cell r="C916">
            <v>5.0869999999999995E-4</v>
          </cell>
          <cell r="D916"/>
          <cell r="E916">
            <v>3109</v>
          </cell>
          <cell r="F916">
            <v>0</v>
          </cell>
          <cell r="G916">
            <v>0</v>
          </cell>
          <cell r="H916">
            <v>0</v>
          </cell>
          <cell r="I916">
            <v>0</v>
          </cell>
        </row>
        <row r="917">
          <cell r="A917">
            <v>99999</v>
          </cell>
          <cell r="B917" t="str">
            <v>N C LEAGUE OF MUNICIPALITIES</v>
          </cell>
          <cell r="C917">
            <v>1.0093000000000001E-3</v>
          </cell>
          <cell r="D917"/>
          <cell r="E917">
            <v>69328</v>
          </cell>
          <cell r="F917">
            <v>55791</v>
          </cell>
          <cell r="G917">
            <v>55789</v>
          </cell>
          <cell r="H917">
            <v>31973</v>
          </cell>
          <cell r="I917">
            <v>0</v>
          </cell>
        </row>
      </sheetData>
      <sheetData sheetId="10">
        <row r="4">
          <cell r="A4">
            <v>70505</v>
          </cell>
          <cell r="B4" t="str">
            <v>THE EASTERN BAND OF CHEROKEE INDIANS</v>
          </cell>
          <cell r="C4">
            <v>3.2890000000000003E-4</v>
          </cell>
          <cell r="D4"/>
          <cell r="E4">
            <v>-23692</v>
          </cell>
          <cell r="F4">
            <v>-18486</v>
          </cell>
          <cell r="G4">
            <v>-10494</v>
          </cell>
          <cell r="H4">
            <v>-5885</v>
          </cell>
          <cell r="I4">
            <v>0</v>
          </cell>
        </row>
        <row r="5">
          <cell r="A5">
            <v>71786</v>
          </cell>
          <cell r="B5" t="str">
            <v>VILLAGE OF MISENHEIMER</v>
          </cell>
          <cell r="C5">
            <v>0</v>
          </cell>
          <cell r="D5"/>
          <cell r="E5">
            <v>-7538</v>
          </cell>
          <cell r="F5">
            <v>-6946</v>
          </cell>
          <cell r="G5">
            <v>-1825</v>
          </cell>
          <cell r="H5">
            <v>0</v>
          </cell>
          <cell r="I5">
            <v>0</v>
          </cell>
        </row>
        <row r="6">
          <cell r="A6">
            <v>72265</v>
          </cell>
          <cell r="B6" t="str">
            <v>PIEDMONT TRIAD AIRPORT AUTHORITY</v>
          </cell>
          <cell r="C6">
            <v>1.44E-4</v>
          </cell>
          <cell r="D6"/>
          <cell r="E6">
            <v>-2517</v>
          </cell>
          <cell r="F6">
            <v>-1441</v>
          </cell>
          <cell r="G6">
            <v>-1441</v>
          </cell>
          <cell r="H6">
            <v>-1440</v>
          </cell>
          <cell r="I6">
            <v>0</v>
          </cell>
        </row>
        <row r="7">
          <cell r="A7">
            <v>72593</v>
          </cell>
          <cell r="B7" t="str">
            <v>TOWN OF SEAGROVE</v>
          </cell>
          <cell r="C7">
            <v>6.1E-6</v>
          </cell>
          <cell r="D7"/>
          <cell r="E7">
            <v>-248</v>
          </cell>
          <cell r="F7">
            <v>-248</v>
          </cell>
          <cell r="G7">
            <v>-246</v>
          </cell>
          <cell r="H7">
            <v>-102</v>
          </cell>
          <cell r="I7">
            <v>0</v>
          </cell>
        </row>
        <row r="8">
          <cell r="A8">
            <v>72657</v>
          </cell>
          <cell r="B8" t="str">
            <v>TOWN OF SPARTA</v>
          </cell>
          <cell r="C8">
            <v>3.7200000000000003E-5</v>
          </cell>
          <cell r="D8"/>
          <cell r="E8">
            <v>-2342</v>
          </cell>
          <cell r="F8">
            <v>-2187</v>
          </cell>
          <cell r="G8">
            <v>-1360</v>
          </cell>
          <cell r="H8">
            <v>-850</v>
          </cell>
          <cell r="I8">
            <v>0</v>
          </cell>
        </row>
        <row r="9">
          <cell r="A9">
            <v>90001</v>
          </cell>
          <cell r="B9" t="str">
            <v>YANCEY COUNTY</v>
          </cell>
          <cell r="C9">
            <v>8.6050000000000005E-4</v>
          </cell>
          <cell r="D9"/>
          <cell r="E9">
            <v>-3135</v>
          </cell>
          <cell r="F9">
            <v>-3133</v>
          </cell>
          <cell r="G9">
            <v>0</v>
          </cell>
          <cell r="H9">
            <v>0</v>
          </cell>
          <cell r="I9">
            <v>0</v>
          </cell>
        </row>
        <row r="10">
          <cell r="A10">
            <v>90002</v>
          </cell>
          <cell r="B10" t="str">
            <v>YANCEY SOIL &amp; WATER CONS</v>
          </cell>
          <cell r="C10">
            <v>8.3999999999999992E-6</v>
          </cell>
          <cell r="D10"/>
          <cell r="E10">
            <v>0</v>
          </cell>
          <cell r="F10">
            <v>0</v>
          </cell>
          <cell r="G10">
            <v>0</v>
          </cell>
          <cell r="H10">
            <v>0</v>
          </cell>
          <cell r="I10">
            <v>0</v>
          </cell>
        </row>
        <row r="11">
          <cell r="A11">
            <v>90011</v>
          </cell>
          <cell r="B11" t="str">
            <v>TOWN OF BURNSVILLE</v>
          </cell>
          <cell r="C11">
            <v>1.8009999999999999E-4</v>
          </cell>
          <cell r="D11"/>
          <cell r="E11">
            <v>-11556</v>
          </cell>
          <cell r="F11">
            <v>-7203</v>
          </cell>
          <cell r="G11">
            <v>-4111</v>
          </cell>
          <cell r="H11">
            <v>-2220</v>
          </cell>
          <cell r="I11">
            <v>0</v>
          </cell>
        </row>
        <row r="12">
          <cell r="A12">
            <v>90092</v>
          </cell>
          <cell r="B12" t="str">
            <v>MARTIN-TYRRELL-WASHINGTON DIST HEALTH DEPT</v>
          </cell>
          <cell r="C12">
            <v>3.9530000000000001E-4</v>
          </cell>
          <cell r="D12"/>
          <cell r="E12">
            <v>-11870</v>
          </cell>
          <cell r="F12">
            <v>-2018</v>
          </cell>
          <cell r="G12">
            <v>0</v>
          </cell>
          <cell r="H12">
            <v>0</v>
          </cell>
          <cell r="I12">
            <v>0</v>
          </cell>
        </row>
        <row r="13">
          <cell r="A13">
            <v>90096</v>
          </cell>
          <cell r="B13" t="str">
            <v>ALBEMARLE REGIONAL HEALTH SERVICES</v>
          </cell>
          <cell r="C13">
            <v>9.722E-4</v>
          </cell>
          <cell r="D13"/>
          <cell r="E13">
            <v>-61321</v>
          </cell>
          <cell r="F13">
            <v>-51356</v>
          </cell>
          <cell r="G13">
            <v>0</v>
          </cell>
          <cell r="H13">
            <v>0</v>
          </cell>
          <cell r="I13">
            <v>0</v>
          </cell>
        </row>
        <row r="14">
          <cell r="A14">
            <v>90098</v>
          </cell>
          <cell r="B14" t="str">
            <v>TOE RIVER HEALTH DISTRICT</v>
          </cell>
          <cell r="C14">
            <v>2.521E-4</v>
          </cell>
          <cell r="D14"/>
          <cell r="E14">
            <v>-35744</v>
          </cell>
          <cell r="F14">
            <v>-11266</v>
          </cell>
          <cell r="G14">
            <v>-11266</v>
          </cell>
          <cell r="H14">
            <v>-11264</v>
          </cell>
          <cell r="I14">
            <v>0</v>
          </cell>
        </row>
        <row r="15">
          <cell r="A15">
            <v>90099</v>
          </cell>
          <cell r="B15" t="str">
            <v>APPALACHIAN DISTRICT HEALTH DEPT</v>
          </cell>
          <cell r="C15">
            <v>6.7389999999999995E-4</v>
          </cell>
          <cell r="D15"/>
          <cell r="E15">
            <v>-24784</v>
          </cell>
          <cell r="F15">
            <v>-13206</v>
          </cell>
          <cell r="G15">
            <v>-13206</v>
          </cell>
          <cell r="H15">
            <v>-12194</v>
          </cell>
          <cell r="I15">
            <v>0</v>
          </cell>
        </row>
        <row r="16">
          <cell r="A16">
            <v>90101</v>
          </cell>
          <cell r="B16" t="str">
            <v>ALAMANCE COUNTY</v>
          </cell>
          <cell r="C16">
            <v>6.2302E-3</v>
          </cell>
          <cell r="D16"/>
          <cell r="E16">
            <v>-93079</v>
          </cell>
          <cell r="F16">
            <v>-93079</v>
          </cell>
          <cell r="G16">
            <v>-93080</v>
          </cell>
          <cell r="H16">
            <v>-57897</v>
          </cell>
          <cell r="I16">
            <v>0</v>
          </cell>
        </row>
        <row r="17">
          <cell r="A17">
            <v>90111</v>
          </cell>
          <cell r="B17" t="str">
            <v>CITY OF BURLINGTON</v>
          </cell>
          <cell r="C17">
            <v>4.9528000000000003E-3</v>
          </cell>
          <cell r="D17"/>
          <cell r="E17">
            <v>-56651</v>
          </cell>
          <cell r="F17">
            <v>-37907</v>
          </cell>
          <cell r="G17">
            <v>-37907</v>
          </cell>
          <cell r="H17">
            <v>-37905</v>
          </cell>
          <cell r="I17">
            <v>0</v>
          </cell>
        </row>
        <row r="18">
          <cell r="A18">
            <v>90114</v>
          </cell>
          <cell r="B18" t="str">
            <v>CITY OF MEBANE</v>
          </cell>
          <cell r="C18">
            <v>1.1188999999999999E-3</v>
          </cell>
          <cell r="D18"/>
          <cell r="E18">
            <v>0</v>
          </cell>
          <cell r="F18">
            <v>0</v>
          </cell>
          <cell r="G18">
            <v>0</v>
          </cell>
          <cell r="H18">
            <v>0</v>
          </cell>
          <cell r="I18">
            <v>0</v>
          </cell>
        </row>
        <row r="19">
          <cell r="A19">
            <v>90117</v>
          </cell>
          <cell r="B19" t="str">
            <v>ALAMANCE MUNICIPAL ABC BOARD</v>
          </cell>
          <cell r="C19">
            <v>1.3219999999999999E-4</v>
          </cell>
          <cell r="D19"/>
          <cell r="E19">
            <v>0</v>
          </cell>
          <cell r="F19">
            <v>0</v>
          </cell>
          <cell r="G19">
            <v>0</v>
          </cell>
          <cell r="H19">
            <v>0</v>
          </cell>
          <cell r="I19">
            <v>0</v>
          </cell>
        </row>
        <row r="20">
          <cell r="A20">
            <v>90121</v>
          </cell>
          <cell r="B20" t="str">
            <v>CITY OF GRAHAM</v>
          </cell>
          <cell r="C20">
            <v>1.1077999999999999E-3</v>
          </cell>
          <cell r="D20"/>
          <cell r="E20">
            <v>-37786</v>
          </cell>
          <cell r="F20">
            <v>-25780</v>
          </cell>
          <cell r="G20">
            <v>-18680</v>
          </cell>
          <cell r="H20">
            <v>-433</v>
          </cell>
          <cell r="I20">
            <v>0</v>
          </cell>
        </row>
        <row r="21">
          <cell r="A21">
            <v>90131</v>
          </cell>
          <cell r="B21" t="str">
            <v>TOWN OF ELON</v>
          </cell>
          <cell r="C21">
            <v>4.9050000000000005E-4</v>
          </cell>
          <cell r="D21"/>
          <cell r="E21">
            <v>-11680</v>
          </cell>
          <cell r="F21">
            <v>-9537</v>
          </cell>
          <cell r="G21">
            <v>-2552</v>
          </cell>
          <cell r="H21">
            <v>0</v>
          </cell>
          <cell r="I21">
            <v>0</v>
          </cell>
        </row>
        <row r="22">
          <cell r="A22">
            <v>90141</v>
          </cell>
          <cell r="B22" t="str">
            <v>TOWN OF HAW RIVER</v>
          </cell>
          <cell r="C22">
            <v>1.4770000000000001E-4</v>
          </cell>
          <cell r="D22"/>
          <cell r="E22">
            <v>-3761</v>
          </cell>
          <cell r="F22">
            <v>-701</v>
          </cell>
          <cell r="G22">
            <v>-702</v>
          </cell>
          <cell r="H22">
            <v>0</v>
          </cell>
          <cell r="I22">
            <v>0</v>
          </cell>
        </row>
        <row r="23">
          <cell r="A23">
            <v>90151</v>
          </cell>
          <cell r="B23" t="str">
            <v>VILLAGE OF ALAMANCE</v>
          </cell>
          <cell r="C23">
            <v>9.3000000000000007E-6</v>
          </cell>
          <cell r="D23"/>
          <cell r="E23">
            <v>-1230</v>
          </cell>
          <cell r="F23">
            <v>-1004</v>
          </cell>
          <cell r="G23">
            <v>-694</v>
          </cell>
          <cell r="H23">
            <v>-368</v>
          </cell>
          <cell r="I23">
            <v>0</v>
          </cell>
        </row>
        <row r="24">
          <cell r="A24">
            <v>90161</v>
          </cell>
          <cell r="B24" t="str">
            <v>TOWN OF GREEN LEVEL</v>
          </cell>
          <cell r="C24">
            <v>3.57E-5</v>
          </cell>
          <cell r="D24"/>
          <cell r="E24">
            <v>-1831</v>
          </cell>
          <cell r="F24">
            <v>-1833</v>
          </cell>
          <cell r="G24">
            <v>-1716</v>
          </cell>
          <cell r="H24">
            <v>-1717</v>
          </cell>
          <cell r="I24">
            <v>0</v>
          </cell>
        </row>
        <row r="25">
          <cell r="A25">
            <v>90201</v>
          </cell>
          <cell r="B25" t="str">
            <v>ALEXANDER COUNTY</v>
          </cell>
          <cell r="C25">
            <v>1.2569E-3</v>
          </cell>
          <cell r="D25"/>
          <cell r="E25">
            <v>-15549</v>
          </cell>
          <cell r="F25">
            <v>-15449</v>
          </cell>
          <cell r="G25">
            <v>-6434</v>
          </cell>
          <cell r="H25">
            <v>0</v>
          </cell>
          <cell r="I25">
            <v>0</v>
          </cell>
        </row>
        <row r="26">
          <cell r="A26">
            <v>90203</v>
          </cell>
          <cell r="B26" t="str">
            <v>ALEXANDER COUNTY HEALTH DEPT</v>
          </cell>
          <cell r="C26">
            <v>2.0019999999999999E-4</v>
          </cell>
          <cell r="D26"/>
          <cell r="E26">
            <v>-11377</v>
          </cell>
          <cell r="F26">
            <v>-6365</v>
          </cell>
          <cell r="G26">
            <v>0</v>
          </cell>
          <cell r="H26">
            <v>0</v>
          </cell>
          <cell r="I26">
            <v>0</v>
          </cell>
        </row>
        <row r="27">
          <cell r="A27">
            <v>90205</v>
          </cell>
          <cell r="B27" t="str">
            <v>ALEXANDER COUNTY PUBLIC LIBRARY</v>
          </cell>
          <cell r="C27">
            <v>3.04E-5</v>
          </cell>
          <cell r="D27"/>
          <cell r="E27">
            <v>-826</v>
          </cell>
          <cell r="F27">
            <v>-655</v>
          </cell>
          <cell r="G27">
            <v>-142</v>
          </cell>
          <cell r="H27">
            <v>-140</v>
          </cell>
          <cell r="I27">
            <v>0</v>
          </cell>
        </row>
        <row r="28">
          <cell r="A28">
            <v>90206</v>
          </cell>
          <cell r="B28" t="str">
            <v>ALEXANDER COUNTY DEPT OF S S</v>
          </cell>
          <cell r="C28">
            <v>3.6160000000000001E-4</v>
          </cell>
          <cell r="D28"/>
          <cell r="E28">
            <v>-18227</v>
          </cell>
          <cell r="F28">
            <v>-16343</v>
          </cell>
          <cell r="G28">
            <v>-12219</v>
          </cell>
          <cell r="H28">
            <v>-10782</v>
          </cell>
          <cell r="I28">
            <v>0</v>
          </cell>
        </row>
        <row r="29">
          <cell r="A29">
            <v>90211</v>
          </cell>
          <cell r="B29" t="str">
            <v>TOWN OF TAYLORSVILLE</v>
          </cell>
          <cell r="C29">
            <v>1.5799999999999999E-4</v>
          </cell>
          <cell r="D29"/>
          <cell r="E29">
            <v>-3488</v>
          </cell>
          <cell r="F29">
            <v>-827</v>
          </cell>
          <cell r="G29">
            <v>0</v>
          </cell>
          <cell r="H29">
            <v>0</v>
          </cell>
          <cell r="I29">
            <v>0</v>
          </cell>
        </row>
        <row r="30">
          <cell r="A30">
            <v>90301</v>
          </cell>
          <cell r="B30" t="str">
            <v>ALLEGHANY COUNTY</v>
          </cell>
          <cell r="C30">
            <v>7.339E-4</v>
          </cell>
          <cell r="D30"/>
          <cell r="E30">
            <v>-4017</v>
          </cell>
          <cell r="F30">
            <v>-1972</v>
          </cell>
          <cell r="G30">
            <v>-1627</v>
          </cell>
          <cell r="H30">
            <v>-111</v>
          </cell>
          <cell r="I30">
            <v>0</v>
          </cell>
        </row>
        <row r="31">
          <cell r="A31">
            <v>90305</v>
          </cell>
          <cell r="B31" t="str">
            <v>NORTHWESTERN REGIONAL LIBRARY</v>
          </cell>
          <cell r="C31">
            <v>1.404E-4</v>
          </cell>
          <cell r="D31"/>
          <cell r="E31">
            <v>0</v>
          </cell>
          <cell r="F31">
            <v>0</v>
          </cell>
          <cell r="G31">
            <v>0</v>
          </cell>
          <cell r="H31">
            <v>0</v>
          </cell>
          <cell r="I31">
            <v>0</v>
          </cell>
        </row>
        <row r="32">
          <cell r="A32">
            <v>90307</v>
          </cell>
          <cell r="B32" t="str">
            <v>TOWN OF SPARTA ABC BOARD</v>
          </cell>
          <cell r="C32">
            <v>5.8000000000000004E-6</v>
          </cell>
          <cell r="D32"/>
          <cell r="E32">
            <v>-8</v>
          </cell>
          <cell r="F32">
            <v>-8</v>
          </cell>
          <cell r="G32">
            <v>-8</v>
          </cell>
          <cell r="H32">
            <v>0</v>
          </cell>
          <cell r="I32">
            <v>0</v>
          </cell>
        </row>
        <row r="33">
          <cell r="A33">
            <v>90401</v>
          </cell>
          <cell r="B33" t="str">
            <v>ANSON COUNTY</v>
          </cell>
          <cell r="C33">
            <v>1.2876000000000001E-3</v>
          </cell>
          <cell r="D33"/>
          <cell r="E33">
            <v>-5243</v>
          </cell>
          <cell r="F33">
            <v>-5244</v>
          </cell>
          <cell r="G33">
            <v>-2416</v>
          </cell>
          <cell r="H33">
            <v>0</v>
          </cell>
          <cell r="I33">
            <v>0</v>
          </cell>
        </row>
        <row r="34">
          <cell r="A34">
            <v>90411</v>
          </cell>
          <cell r="B34" t="str">
            <v>TOWN OF WADESBORO</v>
          </cell>
          <cell r="C34">
            <v>3.2929999999999998E-4</v>
          </cell>
          <cell r="D34"/>
          <cell r="E34">
            <v>-16840</v>
          </cell>
          <cell r="F34">
            <v>-10131</v>
          </cell>
          <cell r="G34">
            <v>-7715</v>
          </cell>
          <cell r="H34">
            <v>-5278</v>
          </cell>
          <cell r="I34">
            <v>0</v>
          </cell>
        </row>
        <row r="35">
          <cell r="A35">
            <v>90413</v>
          </cell>
          <cell r="B35" t="str">
            <v>WADESBORO HOUSING AUTHORITY</v>
          </cell>
          <cell r="C35">
            <v>3.4900000000000001E-5</v>
          </cell>
          <cell r="D35"/>
          <cell r="E35">
            <v>-229</v>
          </cell>
          <cell r="F35">
            <v>-229</v>
          </cell>
          <cell r="G35">
            <v>0</v>
          </cell>
          <cell r="H35">
            <v>0</v>
          </cell>
          <cell r="I35">
            <v>0</v>
          </cell>
        </row>
        <row r="36">
          <cell r="A36">
            <v>90417</v>
          </cell>
          <cell r="B36" t="str">
            <v>WADESBORO ABC BOARD</v>
          </cell>
          <cell r="C36">
            <v>1.06E-5</v>
          </cell>
          <cell r="D36"/>
          <cell r="E36">
            <v>0</v>
          </cell>
          <cell r="F36">
            <v>0</v>
          </cell>
          <cell r="G36">
            <v>0</v>
          </cell>
          <cell r="H36">
            <v>0</v>
          </cell>
          <cell r="I36">
            <v>0</v>
          </cell>
        </row>
        <row r="37">
          <cell r="A37">
            <v>90421</v>
          </cell>
          <cell r="B37" t="str">
            <v>TOWN OF LILESVILLE</v>
          </cell>
          <cell r="C37">
            <v>1.98E-5</v>
          </cell>
          <cell r="D37"/>
          <cell r="E37">
            <v>-1833</v>
          </cell>
          <cell r="F37">
            <v>-1354</v>
          </cell>
          <cell r="G37">
            <v>-767</v>
          </cell>
          <cell r="H37">
            <v>-342</v>
          </cell>
          <cell r="I37">
            <v>0</v>
          </cell>
        </row>
        <row r="38">
          <cell r="A38">
            <v>90431</v>
          </cell>
          <cell r="B38" t="str">
            <v>TOWN OF POLKTON</v>
          </cell>
          <cell r="C38">
            <v>4.8099999999999997E-5</v>
          </cell>
          <cell r="D38"/>
          <cell r="E38">
            <v>-743</v>
          </cell>
          <cell r="F38">
            <v>-360</v>
          </cell>
          <cell r="G38">
            <v>-359</v>
          </cell>
          <cell r="H38">
            <v>0</v>
          </cell>
          <cell r="I38">
            <v>0</v>
          </cell>
        </row>
        <row r="39">
          <cell r="A39">
            <v>90441</v>
          </cell>
          <cell r="B39" t="str">
            <v>TOWN OF PEACHLAND</v>
          </cell>
          <cell r="C39">
            <v>6.7000000000000002E-6</v>
          </cell>
          <cell r="D39"/>
          <cell r="E39">
            <v>0</v>
          </cell>
          <cell r="F39">
            <v>0</v>
          </cell>
          <cell r="G39">
            <v>0</v>
          </cell>
          <cell r="H39">
            <v>0</v>
          </cell>
          <cell r="I39">
            <v>0</v>
          </cell>
        </row>
        <row r="40">
          <cell r="A40">
            <v>90451</v>
          </cell>
          <cell r="B40" t="str">
            <v>TOWN OF ANSONVILLE</v>
          </cell>
          <cell r="C40">
            <v>2.3099999999999999E-5</v>
          </cell>
          <cell r="D40"/>
          <cell r="E40">
            <v>-179</v>
          </cell>
          <cell r="F40">
            <v>-181</v>
          </cell>
          <cell r="G40">
            <v>0</v>
          </cell>
          <cell r="H40">
            <v>0</v>
          </cell>
          <cell r="I40">
            <v>0</v>
          </cell>
        </row>
        <row r="41">
          <cell r="A41">
            <v>90461</v>
          </cell>
          <cell r="B41" t="str">
            <v>TOWN OF MORVEN</v>
          </cell>
          <cell r="C41">
            <v>2.0999999999999998E-6</v>
          </cell>
          <cell r="D41"/>
          <cell r="E41">
            <v>-2346</v>
          </cell>
          <cell r="F41">
            <v>-2238</v>
          </cell>
          <cell r="G41">
            <v>-655</v>
          </cell>
          <cell r="H41">
            <v>-656</v>
          </cell>
          <cell r="I41">
            <v>0</v>
          </cell>
        </row>
        <row r="42">
          <cell r="A42">
            <v>90501</v>
          </cell>
          <cell r="B42" t="str">
            <v>ASHE COUNTY</v>
          </cell>
          <cell r="C42">
            <v>1.4587000000000001E-3</v>
          </cell>
          <cell r="D42"/>
          <cell r="E42">
            <v>-1487</v>
          </cell>
          <cell r="F42">
            <v>-1487</v>
          </cell>
          <cell r="G42">
            <v>-1487</v>
          </cell>
          <cell r="H42">
            <v>0</v>
          </cell>
          <cell r="I42">
            <v>0</v>
          </cell>
        </row>
        <row r="43">
          <cell r="A43">
            <v>90507</v>
          </cell>
          <cell r="B43" t="str">
            <v>WEST JEFFERSON ABC BOARD</v>
          </cell>
          <cell r="C43">
            <v>3.4000000000000001E-6</v>
          </cell>
          <cell r="D43"/>
          <cell r="E43">
            <v>0</v>
          </cell>
          <cell r="F43">
            <v>0</v>
          </cell>
          <cell r="G43">
            <v>0</v>
          </cell>
          <cell r="H43">
            <v>0</v>
          </cell>
          <cell r="I43">
            <v>0</v>
          </cell>
        </row>
        <row r="44">
          <cell r="A44">
            <v>90511</v>
          </cell>
          <cell r="B44" t="str">
            <v>TOWN OF JEFFERSON</v>
          </cell>
          <cell r="C44">
            <v>1.011E-4</v>
          </cell>
          <cell r="D44"/>
          <cell r="E44">
            <v>0</v>
          </cell>
          <cell r="F44">
            <v>0</v>
          </cell>
          <cell r="G44">
            <v>0</v>
          </cell>
          <cell r="H44">
            <v>0</v>
          </cell>
          <cell r="I44">
            <v>0</v>
          </cell>
        </row>
        <row r="45">
          <cell r="A45">
            <v>90521</v>
          </cell>
          <cell r="B45" t="str">
            <v>TOWN OF WEST JEFFERSON</v>
          </cell>
          <cell r="C45">
            <v>1.371E-4</v>
          </cell>
          <cell r="D45"/>
          <cell r="E45">
            <v>-7730</v>
          </cell>
          <cell r="F45">
            <v>-5346</v>
          </cell>
          <cell r="G45">
            <v>-3726</v>
          </cell>
          <cell r="H45">
            <v>-506</v>
          </cell>
          <cell r="I45">
            <v>0</v>
          </cell>
        </row>
        <row r="46">
          <cell r="A46">
            <v>90601</v>
          </cell>
          <cell r="B46" t="str">
            <v>AVERY COUNTY</v>
          </cell>
          <cell r="C46">
            <v>1.1100999999999999E-3</v>
          </cell>
          <cell r="D46"/>
          <cell r="E46">
            <v>-12452</v>
          </cell>
          <cell r="F46">
            <v>-6504</v>
          </cell>
          <cell r="G46">
            <v>-6502</v>
          </cell>
          <cell r="H46">
            <v>0</v>
          </cell>
          <cell r="I46">
            <v>0</v>
          </cell>
        </row>
        <row r="47">
          <cell r="A47">
            <v>90602</v>
          </cell>
          <cell r="B47" t="str">
            <v>AVERY COUNTY FIRE COMMISSION</v>
          </cell>
          <cell r="C47">
            <v>9.2999999999999997E-5</v>
          </cell>
          <cell r="D47"/>
          <cell r="E47">
            <v>0</v>
          </cell>
          <cell r="F47">
            <v>0</v>
          </cell>
          <cell r="G47">
            <v>0</v>
          </cell>
          <cell r="H47">
            <v>0</v>
          </cell>
          <cell r="I47">
            <v>0</v>
          </cell>
        </row>
        <row r="48">
          <cell r="A48">
            <v>90605</v>
          </cell>
          <cell r="B48" t="str">
            <v>AVERY-MITCHELL-YANCEY REG LIBRARY</v>
          </cell>
          <cell r="C48">
            <v>4.9799999999999998E-5</v>
          </cell>
          <cell r="D48"/>
          <cell r="E48">
            <v>0</v>
          </cell>
          <cell r="F48">
            <v>0</v>
          </cell>
          <cell r="G48">
            <v>0</v>
          </cell>
          <cell r="H48">
            <v>0</v>
          </cell>
          <cell r="I48">
            <v>0</v>
          </cell>
        </row>
        <row r="49">
          <cell r="A49">
            <v>90611</v>
          </cell>
          <cell r="B49" t="str">
            <v>TOWN OF BANNER ELK</v>
          </cell>
          <cell r="C49">
            <v>1.526E-4</v>
          </cell>
          <cell r="D49"/>
          <cell r="E49">
            <v>-6848</v>
          </cell>
          <cell r="F49">
            <v>-4242</v>
          </cell>
          <cell r="G49">
            <v>-2126</v>
          </cell>
          <cell r="H49">
            <v>0</v>
          </cell>
          <cell r="I49">
            <v>0</v>
          </cell>
        </row>
        <row r="50">
          <cell r="A50">
            <v>90617</v>
          </cell>
          <cell r="B50" t="str">
            <v>HIGH COUNTRY ABC BOARD</v>
          </cell>
          <cell r="C50">
            <v>2.8600000000000001E-5</v>
          </cell>
          <cell r="D50"/>
          <cell r="E50">
            <v>0</v>
          </cell>
          <cell r="F50">
            <v>0</v>
          </cell>
          <cell r="G50">
            <v>0</v>
          </cell>
          <cell r="H50">
            <v>0</v>
          </cell>
          <cell r="I50">
            <v>0</v>
          </cell>
        </row>
        <row r="51">
          <cell r="A51">
            <v>90621</v>
          </cell>
          <cell r="B51" t="str">
            <v>TOWN OF NEWLAND</v>
          </cell>
          <cell r="C51">
            <v>6.97E-5</v>
          </cell>
          <cell r="D51"/>
          <cell r="E51">
            <v>-4742</v>
          </cell>
          <cell r="F51">
            <v>-4091</v>
          </cell>
          <cell r="G51">
            <v>-689</v>
          </cell>
          <cell r="H51">
            <v>0</v>
          </cell>
          <cell r="I51">
            <v>0</v>
          </cell>
        </row>
        <row r="52">
          <cell r="A52">
            <v>90631</v>
          </cell>
          <cell r="B52" t="str">
            <v>TOWN OF BEECH MOUNTAIN</v>
          </cell>
          <cell r="C52">
            <v>3.6430000000000002E-4</v>
          </cell>
          <cell r="D52"/>
          <cell r="E52">
            <v>-4058</v>
          </cell>
          <cell r="F52">
            <v>-4058</v>
          </cell>
          <cell r="G52">
            <v>-4056</v>
          </cell>
          <cell r="H52">
            <v>0</v>
          </cell>
          <cell r="I52">
            <v>0</v>
          </cell>
        </row>
        <row r="53">
          <cell r="A53">
            <v>90641</v>
          </cell>
          <cell r="B53" t="str">
            <v>TOWN OF ELK PARK</v>
          </cell>
          <cell r="C53">
            <v>1.1800000000000001E-5</v>
          </cell>
          <cell r="D53"/>
          <cell r="E53">
            <v>-117</v>
          </cell>
          <cell r="F53">
            <v>0</v>
          </cell>
          <cell r="G53">
            <v>0</v>
          </cell>
          <cell r="H53">
            <v>0</v>
          </cell>
          <cell r="I53">
            <v>0</v>
          </cell>
        </row>
        <row r="54">
          <cell r="A54">
            <v>90651</v>
          </cell>
          <cell r="B54" t="str">
            <v>TOWN OF SUGAR MOUNTAIN</v>
          </cell>
          <cell r="C54">
            <v>1.031E-4</v>
          </cell>
          <cell r="D54"/>
          <cell r="E54">
            <v>0</v>
          </cell>
          <cell r="F54">
            <v>0</v>
          </cell>
          <cell r="G54">
            <v>0</v>
          </cell>
          <cell r="H54">
            <v>0</v>
          </cell>
          <cell r="I54">
            <v>0</v>
          </cell>
        </row>
        <row r="55">
          <cell r="A55">
            <v>90701</v>
          </cell>
          <cell r="B55" t="str">
            <v>COUNTY OF BEAUFORT</v>
          </cell>
          <cell r="C55">
            <v>2.6227999999999998E-3</v>
          </cell>
          <cell r="D55"/>
          <cell r="E55">
            <v>-51753</v>
          </cell>
          <cell r="F55">
            <v>-44041</v>
          </cell>
          <cell r="G55">
            <v>-44041</v>
          </cell>
          <cell r="H55">
            <v>-21432</v>
          </cell>
          <cell r="I55">
            <v>0</v>
          </cell>
        </row>
        <row r="56">
          <cell r="A56">
            <v>90704</v>
          </cell>
          <cell r="B56" t="str">
            <v>BEAUFORT COUNTY ABC BOARD</v>
          </cell>
          <cell r="C56">
            <v>4.4299999999999999E-5</v>
          </cell>
          <cell r="D56"/>
          <cell r="E56">
            <v>0</v>
          </cell>
          <cell r="F56">
            <v>0</v>
          </cell>
          <cell r="G56">
            <v>0</v>
          </cell>
          <cell r="H56">
            <v>0</v>
          </cell>
          <cell r="I56">
            <v>0</v>
          </cell>
        </row>
        <row r="57">
          <cell r="A57">
            <v>90705</v>
          </cell>
          <cell r="B57" t="str">
            <v>B H M REGIONAL LIBRARY</v>
          </cell>
          <cell r="C57">
            <v>4.1199999999999999E-5</v>
          </cell>
          <cell r="D57"/>
          <cell r="E57">
            <v>-1860</v>
          </cell>
          <cell r="F57">
            <v>-1860</v>
          </cell>
          <cell r="G57">
            <v>-1860</v>
          </cell>
          <cell r="H57">
            <v>0</v>
          </cell>
          <cell r="I57">
            <v>0</v>
          </cell>
        </row>
        <row r="58">
          <cell r="A58">
            <v>90709</v>
          </cell>
          <cell r="B58" t="str">
            <v>MIDEAST COMMISSION</v>
          </cell>
          <cell r="C58">
            <v>1.474E-4</v>
          </cell>
          <cell r="D58"/>
          <cell r="E58">
            <v>-14985</v>
          </cell>
          <cell r="F58">
            <v>-6159</v>
          </cell>
          <cell r="G58">
            <v>-3668</v>
          </cell>
          <cell r="H58">
            <v>-3668</v>
          </cell>
          <cell r="I58">
            <v>0</v>
          </cell>
        </row>
        <row r="59">
          <cell r="A59">
            <v>90711</v>
          </cell>
          <cell r="B59" t="str">
            <v>CITY OF WASHINGTON</v>
          </cell>
          <cell r="C59">
            <v>1.5481E-3</v>
          </cell>
          <cell r="D59"/>
          <cell r="E59">
            <v>-62273</v>
          </cell>
          <cell r="F59">
            <v>-36339</v>
          </cell>
          <cell r="G59">
            <v>-29106</v>
          </cell>
          <cell r="H59">
            <v>-14026</v>
          </cell>
          <cell r="I59">
            <v>0</v>
          </cell>
        </row>
        <row r="60">
          <cell r="A60">
            <v>90721</v>
          </cell>
          <cell r="B60" t="str">
            <v>TOWN OF AURORA</v>
          </cell>
          <cell r="C60">
            <v>2.1399999999999998E-5</v>
          </cell>
          <cell r="D60"/>
          <cell r="E60">
            <v>-2322</v>
          </cell>
          <cell r="F60">
            <v>-2073</v>
          </cell>
          <cell r="G60">
            <v>-1045</v>
          </cell>
          <cell r="H60">
            <v>-1046</v>
          </cell>
          <cell r="I60">
            <v>0</v>
          </cell>
        </row>
        <row r="61">
          <cell r="A61">
            <v>90731</v>
          </cell>
          <cell r="B61" t="str">
            <v>TOWN OF BELHAVEN</v>
          </cell>
          <cell r="C61">
            <v>1.384E-4</v>
          </cell>
          <cell r="D61"/>
          <cell r="E61">
            <v>-7108</v>
          </cell>
          <cell r="F61">
            <v>-6446</v>
          </cell>
          <cell r="G61">
            <v>-3418</v>
          </cell>
          <cell r="H61">
            <v>-181</v>
          </cell>
          <cell r="I61">
            <v>0</v>
          </cell>
        </row>
        <row r="62">
          <cell r="A62">
            <v>90741</v>
          </cell>
          <cell r="B62" t="str">
            <v>TOWN OF WASHINGTON PARK</v>
          </cell>
          <cell r="C62">
            <v>1.38E-5</v>
          </cell>
          <cell r="D62"/>
          <cell r="E62">
            <v>-299</v>
          </cell>
          <cell r="F62">
            <v>-298</v>
          </cell>
          <cell r="G62">
            <v>-247</v>
          </cell>
          <cell r="H62">
            <v>-247</v>
          </cell>
          <cell r="I62">
            <v>0</v>
          </cell>
        </row>
        <row r="63">
          <cell r="A63">
            <v>90751</v>
          </cell>
          <cell r="B63" t="str">
            <v>TOWN OF CHOCOWINITY</v>
          </cell>
          <cell r="C63">
            <v>6.3E-5</v>
          </cell>
          <cell r="D63"/>
          <cell r="E63">
            <v>-4364</v>
          </cell>
          <cell r="F63">
            <v>-4364</v>
          </cell>
          <cell r="G63">
            <v>-4094</v>
          </cell>
          <cell r="H63">
            <v>-4094</v>
          </cell>
          <cell r="I63">
            <v>0</v>
          </cell>
        </row>
        <row r="64">
          <cell r="A64">
            <v>90801</v>
          </cell>
          <cell r="B64" t="str">
            <v>BERTIE COUNTY</v>
          </cell>
          <cell r="C64">
            <v>1.2669999999999999E-3</v>
          </cell>
          <cell r="D64"/>
          <cell r="E64">
            <v>-41094</v>
          </cell>
          <cell r="F64">
            <v>-41094</v>
          </cell>
          <cell r="G64">
            <v>-41094</v>
          </cell>
          <cell r="H64">
            <v>-28477</v>
          </cell>
          <cell r="I64">
            <v>0</v>
          </cell>
        </row>
        <row r="65">
          <cell r="A65">
            <v>90804</v>
          </cell>
          <cell r="B65" t="str">
            <v>BERTIE COUNTY ABC BOARD</v>
          </cell>
          <cell r="C65">
            <v>5.5999999999999997E-6</v>
          </cell>
          <cell r="D65"/>
          <cell r="E65">
            <v>-134</v>
          </cell>
          <cell r="F65">
            <v>-134</v>
          </cell>
          <cell r="G65">
            <v>-133</v>
          </cell>
          <cell r="H65">
            <v>-78</v>
          </cell>
          <cell r="I65">
            <v>0</v>
          </cell>
        </row>
        <row r="66">
          <cell r="A66">
            <v>90805</v>
          </cell>
          <cell r="B66" t="str">
            <v>ALBEMARLE REGIONAL LIBRARY</v>
          </cell>
          <cell r="C66">
            <v>6.5900000000000003E-5</v>
          </cell>
          <cell r="D66"/>
          <cell r="E66">
            <v>0</v>
          </cell>
          <cell r="F66">
            <v>0</v>
          </cell>
          <cell r="G66">
            <v>0</v>
          </cell>
          <cell r="H66">
            <v>0</v>
          </cell>
          <cell r="I66">
            <v>0</v>
          </cell>
        </row>
        <row r="67">
          <cell r="A67">
            <v>90808</v>
          </cell>
          <cell r="B67" t="str">
            <v>BERTIE-MARTIN REGIONAL JAIL COMM</v>
          </cell>
          <cell r="C67">
            <v>1.395E-4</v>
          </cell>
          <cell r="D67"/>
          <cell r="E67">
            <v>-557</v>
          </cell>
          <cell r="F67">
            <v>-72</v>
          </cell>
          <cell r="G67">
            <v>-73</v>
          </cell>
          <cell r="H67">
            <v>0</v>
          </cell>
          <cell r="I67">
            <v>0</v>
          </cell>
        </row>
        <row r="68">
          <cell r="A68">
            <v>90811</v>
          </cell>
          <cell r="B68" t="str">
            <v>TOWN OF AULANDER</v>
          </cell>
          <cell r="C68">
            <v>3.4900000000000001E-5</v>
          </cell>
          <cell r="D68"/>
          <cell r="E68">
            <v>-3787</v>
          </cell>
          <cell r="F68">
            <v>-3469</v>
          </cell>
          <cell r="G68">
            <v>-1644</v>
          </cell>
          <cell r="H68">
            <v>-932</v>
          </cell>
          <cell r="I68">
            <v>0</v>
          </cell>
        </row>
        <row r="69">
          <cell r="A69">
            <v>90812</v>
          </cell>
          <cell r="B69" t="str">
            <v>TOWN OF WINDSOR</v>
          </cell>
          <cell r="C69">
            <v>2.2100000000000001E-4</v>
          </cell>
          <cell r="D69"/>
          <cell r="E69">
            <v>-5681</v>
          </cell>
          <cell r="F69">
            <v>-2508</v>
          </cell>
          <cell r="G69">
            <v>-2508</v>
          </cell>
          <cell r="H69">
            <v>-1373</v>
          </cell>
          <cell r="I69">
            <v>0</v>
          </cell>
        </row>
        <row r="70">
          <cell r="A70">
            <v>90813</v>
          </cell>
          <cell r="B70" t="str">
            <v>TOWN OF COLERAIN</v>
          </cell>
          <cell r="C70">
            <v>4.6E-6</v>
          </cell>
          <cell r="D70"/>
          <cell r="E70">
            <v>-387</v>
          </cell>
          <cell r="F70">
            <v>-326</v>
          </cell>
          <cell r="G70">
            <v>-220</v>
          </cell>
          <cell r="H70">
            <v>-116</v>
          </cell>
          <cell r="I70">
            <v>0</v>
          </cell>
        </row>
        <row r="71">
          <cell r="A71">
            <v>90861</v>
          </cell>
          <cell r="B71" t="str">
            <v>TOWN OF LEWISTON WOODVILLE</v>
          </cell>
          <cell r="C71">
            <v>8.4999999999999999E-6</v>
          </cell>
          <cell r="D71"/>
          <cell r="E71">
            <v>0</v>
          </cell>
          <cell r="F71">
            <v>0</v>
          </cell>
          <cell r="G71">
            <v>0</v>
          </cell>
          <cell r="H71">
            <v>0</v>
          </cell>
          <cell r="I71">
            <v>0</v>
          </cell>
        </row>
        <row r="72">
          <cell r="A72">
            <v>90901</v>
          </cell>
          <cell r="B72" t="str">
            <v>BLADEN COUNTY</v>
          </cell>
          <cell r="C72">
            <v>2.274E-3</v>
          </cell>
          <cell r="D72"/>
          <cell r="E72">
            <v>-10149</v>
          </cell>
          <cell r="F72">
            <v>-1318</v>
          </cell>
          <cell r="G72">
            <v>-1320</v>
          </cell>
          <cell r="H72">
            <v>0</v>
          </cell>
          <cell r="I72">
            <v>0</v>
          </cell>
        </row>
        <row r="73">
          <cell r="A73">
            <v>90911</v>
          </cell>
          <cell r="B73" t="str">
            <v>TOWN OF ELIZABETHTOWN</v>
          </cell>
          <cell r="C73">
            <v>3.8539999999999999E-4</v>
          </cell>
          <cell r="D73"/>
          <cell r="E73">
            <v>-16001</v>
          </cell>
          <cell r="F73">
            <v>-11884</v>
          </cell>
          <cell r="G73">
            <v>-11885</v>
          </cell>
          <cell r="H73">
            <v>-7835</v>
          </cell>
          <cell r="I73">
            <v>0</v>
          </cell>
        </row>
        <row r="74">
          <cell r="A74">
            <v>90917</v>
          </cell>
          <cell r="B74" t="str">
            <v>ELIZABETHTOWN ABC BOARD</v>
          </cell>
          <cell r="C74">
            <v>8.1000000000000004E-6</v>
          </cell>
          <cell r="D74"/>
          <cell r="E74">
            <v>-994</v>
          </cell>
          <cell r="F74">
            <v>-993</v>
          </cell>
          <cell r="G74">
            <v>-863</v>
          </cell>
          <cell r="H74">
            <v>-519</v>
          </cell>
          <cell r="I74">
            <v>0</v>
          </cell>
        </row>
        <row r="75">
          <cell r="A75">
            <v>90918</v>
          </cell>
          <cell r="B75" t="str">
            <v>SOUTH EASTERN ECONOMIC DEVELOPMENT COMM</v>
          </cell>
          <cell r="C75">
            <v>1.06E-5</v>
          </cell>
          <cell r="D75"/>
          <cell r="E75">
            <v>-902</v>
          </cell>
          <cell r="F75">
            <v>-624</v>
          </cell>
          <cell r="G75">
            <v>-403</v>
          </cell>
          <cell r="H75">
            <v>-196</v>
          </cell>
          <cell r="I75">
            <v>0</v>
          </cell>
        </row>
        <row r="76">
          <cell r="A76">
            <v>90921</v>
          </cell>
          <cell r="B76" t="str">
            <v>TOWN OF WHITE LAKE</v>
          </cell>
          <cell r="C76">
            <v>1.2129999999999999E-4</v>
          </cell>
          <cell r="D76"/>
          <cell r="E76">
            <v>-2234</v>
          </cell>
          <cell r="F76">
            <v>-636</v>
          </cell>
          <cell r="G76">
            <v>-635</v>
          </cell>
          <cell r="H76">
            <v>-378</v>
          </cell>
          <cell r="I76">
            <v>0</v>
          </cell>
        </row>
        <row r="77">
          <cell r="A77">
            <v>90931</v>
          </cell>
          <cell r="B77" t="str">
            <v>TOWN OF CLARKTON</v>
          </cell>
          <cell r="C77">
            <v>3.7299999999999999E-5</v>
          </cell>
          <cell r="D77"/>
          <cell r="E77">
            <v>-5345</v>
          </cell>
          <cell r="F77">
            <v>-3956</v>
          </cell>
          <cell r="G77">
            <v>-1577</v>
          </cell>
          <cell r="H77">
            <v>-653</v>
          </cell>
          <cell r="I77">
            <v>0</v>
          </cell>
        </row>
        <row r="78">
          <cell r="A78">
            <v>90941</v>
          </cell>
          <cell r="B78" t="str">
            <v>TOWN OF BLADENBORO</v>
          </cell>
          <cell r="C78">
            <v>8.5400000000000002E-5</v>
          </cell>
          <cell r="D78"/>
          <cell r="E78">
            <v>-2847</v>
          </cell>
          <cell r="F78">
            <v>-2847</v>
          </cell>
          <cell r="G78">
            <v>-47</v>
          </cell>
          <cell r="H78">
            <v>-48</v>
          </cell>
          <cell r="I78">
            <v>0</v>
          </cell>
        </row>
        <row r="79">
          <cell r="A79">
            <v>91001</v>
          </cell>
          <cell r="B79" t="str">
            <v>BRUNSWICK COUNTY</v>
          </cell>
          <cell r="C79">
            <v>7.2779999999999997E-3</v>
          </cell>
          <cell r="D79"/>
          <cell r="E79">
            <v>-105745</v>
          </cell>
          <cell r="F79">
            <v>-67914</v>
          </cell>
          <cell r="G79">
            <v>-37511</v>
          </cell>
          <cell r="H79">
            <v>0</v>
          </cell>
          <cell r="I79">
            <v>0</v>
          </cell>
        </row>
        <row r="80">
          <cell r="A80">
            <v>91002</v>
          </cell>
          <cell r="B80" t="str">
            <v>TOWN OF LELAND</v>
          </cell>
          <cell r="C80">
            <v>1.2939E-3</v>
          </cell>
          <cell r="D80"/>
          <cell r="E80">
            <v>-9040</v>
          </cell>
          <cell r="F80">
            <v>0</v>
          </cell>
          <cell r="G80">
            <v>0</v>
          </cell>
          <cell r="H80">
            <v>0</v>
          </cell>
          <cell r="I80">
            <v>0</v>
          </cell>
        </row>
        <row r="81">
          <cell r="A81">
            <v>91003</v>
          </cell>
          <cell r="B81" t="str">
            <v>BRUNSWICK CO HEALTH DEPT</v>
          </cell>
          <cell r="C81">
            <v>5.9570000000000001E-4</v>
          </cell>
          <cell r="D81"/>
          <cell r="E81">
            <v>-13507</v>
          </cell>
          <cell r="F81">
            <v>-4929</v>
          </cell>
          <cell r="G81">
            <v>-4927</v>
          </cell>
          <cell r="H81">
            <v>0</v>
          </cell>
          <cell r="I81">
            <v>0</v>
          </cell>
        </row>
        <row r="82">
          <cell r="A82">
            <v>91004</v>
          </cell>
          <cell r="B82" t="str">
            <v>BRUNSWICK COUNTY ABC BOARD</v>
          </cell>
          <cell r="C82">
            <v>3.3300000000000003E-5</v>
          </cell>
          <cell r="D82"/>
          <cell r="E82">
            <v>-842</v>
          </cell>
          <cell r="F82">
            <v>-842</v>
          </cell>
          <cell r="G82">
            <v>-842</v>
          </cell>
          <cell r="H82">
            <v>-842</v>
          </cell>
          <cell r="I82">
            <v>0</v>
          </cell>
        </row>
        <row r="83">
          <cell r="A83">
            <v>91006</v>
          </cell>
          <cell r="B83" t="str">
            <v>BRUNSWICK CO DEPT OF SOCIAL SERVICES</v>
          </cell>
          <cell r="C83">
            <v>1.0489E-3</v>
          </cell>
          <cell r="D83"/>
          <cell r="E83">
            <v>-21163</v>
          </cell>
          <cell r="F83">
            <v>-16301</v>
          </cell>
          <cell r="G83">
            <v>-14604</v>
          </cell>
          <cell r="H83">
            <v>-11178</v>
          </cell>
          <cell r="I83">
            <v>0</v>
          </cell>
        </row>
        <row r="84">
          <cell r="A84">
            <v>91007</v>
          </cell>
          <cell r="B84" t="str">
            <v>CALABASH ABC BOARD</v>
          </cell>
          <cell r="C84">
            <v>1.0900000000000001E-5</v>
          </cell>
          <cell r="D84"/>
          <cell r="E84">
            <v>0</v>
          </cell>
          <cell r="F84">
            <v>0</v>
          </cell>
          <cell r="G84">
            <v>0</v>
          </cell>
          <cell r="H84">
            <v>0</v>
          </cell>
          <cell r="I84">
            <v>0</v>
          </cell>
        </row>
        <row r="85">
          <cell r="A85">
            <v>91008</v>
          </cell>
          <cell r="B85" t="str">
            <v>CAPE FEAR COUNCIL OF GOVERNMENTS</v>
          </cell>
          <cell r="C85">
            <v>1.474E-4</v>
          </cell>
          <cell r="D85"/>
          <cell r="E85">
            <v>0</v>
          </cell>
          <cell r="F85">
            <v>0</v>
          </cell>
          <cell r="G85">
            <v>0</v>
          </cell>
          <cell r="H85">
            <v>0</v>
          </cell>
          <cell r="I85">
            <v>0</v>
          </cell>
        </row>
        <row r="86">
          <cell r="A86">
            <v>91009</v>
          </cell>
          <cell r="B86" t="str">
            <v>BRUNSWICK COUNTY TOURISM AUTHORITY</v>
          </cell>
          <cell r="C86">
            <v>8.3000000000000002E-6</v>
          </cell>
          <cell r="D86"/>
          <cell r="E86">
            <v>-160</v>
          </cell>
          <cell r="F86">
            <v>-160</v>
          </cell>
          <cell r="G86">
            <v>-160</v>
          </cell>
          <cell r="H86">
            <v>-162</v>
          </cell>
          <cell r="I86">
            <v>0</v>
          </cell>
        </row>
        <row r="87">
          <cell r="A87">
            <v>91010</v>
          </cell>
          <cell r="B87" t="str">
            <v>TOWN OF CALABASH</v>
          </cell>
          <cell r="C87">
            <v>5.1E-5</v>
          </cell>
          <cell r="D87"/>
          <cell r="E87">
            <v>-2405</v>
          </cell>
          <cell r="F87">
            <v>-2317</v>
          </cell>
          <cell r="G87">
            <v>-2318</v>
          </cell>
          <cell r="H87">
            <v>-639</v>
          </cell>
          <cell r="I87">
            <v>0</v>
          </cell>
        </row>
        <row r="88">
          <cell r="A88">
            <v>91011</v>
          </cell>
          <cell r="B88" t="str">
            <v>CITY OF SOUTHPORT</v>
          </cell>
          <cell r="C88">
            <v>3.2009999999999997E-4</v>
          </cell>
          <cell r="D88"/>
          <cell r="E88">
            <v>-6699</v>
          </cell>
          <cell r="F88">
            <v>-6699</v>
          </cell>
          <cell r="G88">
            <v>-6700</v>
          </cell>
          <cell r="H88">
            <v>-6324</v>
          </cell>
          <cell r="I88">
            <v>0</v>
          </cell>
        </row>
        <row r="89">
          <cell r="A89">
            <v>91012</v>
          </cell>
          <cell r="B89" t="str">
            <v>CITY OF NORTHWEST</v>
          </cell>
          <cell r="C89">
            <v>1.4600000000000001E-5</v>
          </cell>
          <cell r="D89"/>
          <cell r="E89">
            <v>-776</v>
          </cell>
          <cell r="F89">
            <v>-776</v>
          </cell>
          <cell r="G89">
            <v>-775</v>
          </cell>
          <cell r="H89">
            <v>0</v>
          </cell>
          <cell r="I89">
            <v>0</v>
          </cell>
        </row>
        <row r="90">
          <cell r="A90">
            <v>91013</v>
          </cell>
          <cell r="B90" t="str">
            <v>SOUTHEAST BRUNSWICK SANITARY DISTRICT</v>
          </cell>
          <cell r="C90">
            <v>3.4999999999999997E-5</v>
          </cell>
          <cell r="D90"/>
          <cell r="E90">
            <v>0</v>
          </cell>
          <cell r="F90">
            <v>0</v>
          </cell>
          <cell r="G90">
            <v>0</v>
          </cell>
          <cell r="H90">
            <v>0</v>
          </cell>
          <cell r="I90">
            <v>0</v>
          </cell>
        </row>
        <row r="91">
          <cell r="A91">
            <v>91014</v>
          </cell>
          <cell r="B91" t="str">
            <v>TOWN OF HOLDEN BEACH</v>
          </cell>
          <cell r="C91">
            <v>1.7640000000000001E-4</v>
          </cell>
          <cell r="D91"/>
          <cell r="E91">
            <v>-8911</v>
          </cell>
          <cell r="F91">
            <v>-7101</v>
          </cell>
          <cell r="G91">
            <v>-7101</v>
          </cell>
          <cell r="H91">
            <v>-3460</v>
          </cell>
          <cell r="I91">
            <v>0</v>
          </cell>
        </row>
        <row r="92">
          <cell r="A92">
            <v>91015</v>
          </cell>
          <cell r="B92" t="str">
            <v>CAPE FEAR REGIONAL JETPORT</v>
          </cell>
          <cell r="C92">
            <v>1.8499999999999999E-5</v>
          </cell>
          <cell r="D92"/>
          <cell r="E92">
            <v>0</v>
          </cell>
          <cell r="F92">
            <v>0</v>
          </cell>
          <cell r="G92">
            <v>0</v>
          </cell>
          <cell r="H92">
            <v>0</v>
          </cell>
          <cell r="I92">
            <v>0</v>
          </cell>
        </row>
        <row r="93">
          <cell r="A93">
            <v>91017</v>
          </cell>
          <cell r="B93" t="str">
            <v>CITY OF SOUTHPORT ABC BOARD</v>
          </cell>
          <cell r="C93">
            <v>2.4700000000000001E-5</v>
          </cell>
          <cell r="D93"/>
          <cell r="E93">
            <v>0</v>
          </cell>
          <cell r="F93">
            <v>0</v>
          </cell>
          <cell r="G93">
            <v>0</v>
          </cell>
          <cell r="H93">
            <v>0</v>
          </cell>
          <cell r="I93">
            <v>0</v>
          </cell>
        </row>
        <row r="94">
          <cell r="A94">
            <v>91020</v>
          </cell>
          <cell r="B94" t="str">
            <v>TOWN OF BELVILLE</v>
          </cell>
          <cell r="C94">
            <v>2.2900000000000001E-5</v>
          </cell>
          <cell r="D94"/>
          <cell r="E94">
            <v>-1408</v>
          </cell>
          <cell r="F94">
            <v>-1408</v>
          </cell>
          <cell r="G94">
            <v>-1408</v>
          </cell>
          <cell r="H94">
            <v>-1408</v>
          </cell>
          <cell r="I94">
            <v>0</v>
          </cell>
        </row>
        <row r="95">
          <cell r="A95">
            <v>91021</v>
          </cell>
          <cell r="B95" t="str">
            <v>TOWN OF OAK ISLAND</v>
          </cell>
          <cell r="C95">
            <v>9.2460000000000003E-4</v>
          </cell>
          <cell r="D95"/>
          <cell r="E95">
            <v>-10822</v>
          </cell>
          <cell r="F95">
            <v>-2726</v>
          </cell>
          <cell r="G95">
            <v>0</v>
          </cell>
          <cell r="H95">
            <v>0</v>
          </cell>
          <cell r="I95">
            <v>0</v>
          </cell>
        </row>
        <row r="96">
          <cell r="A96">
            <v>91024</v>
          </cell>
          <cell r="B96" t="str">
            <v>TOWN OF CAROLINA SHORES</v>
          </cell>
          <cell r="C96">
            <v>9.3599999999999998E-5</v>
          </cell>
          <cell r="D96"/>
          <cell r="E96">
            <v>0</v>
          </cell>
          <cell r="F96">
            <v>0</v>
          </cell>
          <cell r="G96">
            <v>0</v>
          </cell>
          <cell r="H96">
            <v>0</v>
          </cell>
          <cell r="I96">
            <v>0</v>
          </cell>
        </row>
        <row r="97">
          <cell r="A97">
            <v>91026</v>
          </cell>
          <cell r="B97" t="str">
            <v>TOWN OF NAVASSA</v>
          </cell>
          <cell r="C97">
            <v>3.1099999999999997E-5</v>
          </cell>
          <cell r="D97"/>
          <cell r="E97">
            <v>0</v>
          </cell>
          <cell r="F97">
            <v>0</v>
          </cell>
          <cell r="G97">
            <v>0</v>
          </cell>
          <cell r="H97">
            <v>0</v>
          </cell>
          <cell r="I97">
            <v>0</v>
          </cell>
        </row>
        <row r="98">
          <cell r="A98">
            <v>91027</v>
          </cell>
          <cell r="B98" t="str">
            <v>OAK ISLAND ABC BD</v>
          </cell>
          <cell r="C98">
            <v>1.7E-5</v>
          </cell>
          <cell r="D98"/>
          <cell r="E98">
            <v>0</v>
          </cell>
          <cell r="F98">
            <v>0</v>
          </cell>
          <cell r="G98">
            <v>0</v>
          </cell>
          <cell r="H98">
            <v>0</v>
          </cell>
          <cell r="I98">
            <v>0</v>
          </cell>
        </row>
        <row r="99">
          <cell r="A99">
            <v>91032</v>
          </cell>
          <cell r="B99" t="str">
            <v>TOWN OF ST JAMES</v>
          </cell>
          <cell r="C99">
            <v>1.66E-5</v>
          </cell>
          <cell r="D99"/>
          <cell r="E99">
            <v>0</v>
          </cell>
          <cell r="F99">
            <v>0</v>
          </cell>
          <cell r="G99">
            <v>0</v>
          </cell>
          <cell r="H99">
            <v>0</v>
          </cell>
          <cell r="I99">
            <v>0</v>
          </cell>
        </row>
        <row r="100">
          <cell r="A100">
            <v>91041</v>
          </cell>
          <cell r="B100" t="str">
            <v>TOWN OF SUNSET BEACH</v>
          </cell>
          <cell r="C100">
            <v>4.3379999999999997E-4</v>
          </cell>
          <cell r="D100"/>
          <cell r="E100">
            <v>-30829</v>
          </cell>
          <cell r="F100">
            <v>-18152</v>
          </cell>
          <cell r="G100">
            <v>-7180</v>
          </cell>
          <cell r="H100">
            <v>-6058</v>
          </cell>
          <cell r="I100">
            <v>0</v>
          </cell>
        </row>
        <row r="101">
          <cell r="A101">
            <v>91042</v>
          </cell>
          <cell r="B101" t="str">
            <v>BRUNSWICK REGIONAL WATER AND SEWER H2GO</v>
          </cell>
          <cell r="C101">
            <v>2.6259999999999999E-4</v>
          </cell>
          <cell r="D101"/>
          <cell r="E101">
            <v>-5323</v>
          </cell>
          <cell r="F101">
            <v>-3221</v>
          </cell>
          <cell r="G101">
            <v>-3221</v>
          </cell>
          <cell r="H101">
            <v>-3221</v>
          </cell>
          <cell r="I101">
            <v>0</v>
          </cell>
        </row>
        <row r="102">
          <cell r="A102">
            <v>91047</v>
          </cell>
          <cell r="B102" t="str">
            <v>TOWN OF SUNSET BEACH ABC BOARD</v>
          </cell>
          <cell r="C102">
            <v>1.15E-5</v>
          </cell>
          <cell r="D102"/>
          <cell r="E102">
            <v>0</v>
          </cell>
          <cell r="F102">
            <v>0</v>
          </cell>
          <cell r="G102">
            <v>0</v>
          </cell>
          <cell r="H102">
            <v>0</v>
          </cell>
          <cell r="I102">
            <v>0</v>
          </cell>
        </row>
        <row r="103">
          <cell r="A103">
            <v>91051</v>
          </cell>
          <cell r="B103" t="str">
            <v>TOWN OF CASWELL BEACH</v>
          </cell>
          <cell r="C103">
            <v>6.2799999999999995E-5</v>
          </cell>
          <cell r="D103"/>
          <cell r="E103">
            <v>-2409</v>
          </cell>
          <cell r="F103">
            <v>-1890</v>
          </cell>
          <cell r="G103">
            <v>-275</v>
          </cell>
          <cell r="H103">
            <v>-273</v>
          </cell>
          <cell r="I103">
            <v>0</v>
          </cell>
        </row>
        <row r="104">
          <cell r="A104">
            <v>91057</v>
          </cell>
          <cell r="B104" t="str">
            <v>SHALLOTTE ABC BOARD</v>
          </cell>
          <cell r="C104">
            <v>1.5699999999999999E-5</v>
          </cell>
          <cell r="D104"/>
          <cell r="E104">
            <v>0</v>
          </cell>
          <cell r="F104">
            <v>0</v>
          </cell>
          <cell r="G104">
            <v>0</v>
          </cell>
          <cell r="H104">
            <v>0</v>
          </cell>
          <cell r="I104">
            <v>0</v>
          </cell>
        </row>
        <row r="105">
          <cell r="A105">
            <v>91061</v>
          </cell>
          <cell r="B105" t="str">
            <v>TOWN OF OCEAN ISLE BEACH</v>
          </cell>
          <cell r="C105">
            <v>3.8039999999999998E-4</v>
          </cell>
          <cell r="D105"/>
          <cell r="E105">
            <v>-6620</v>
          </cell>
          <cell r="F105">
            <v>-6620</v>
          </cell>
          <cell r="G105">
            <v>-6620</v>
          </cell>
          <cell r="H105">
            <v>0</v>
          </cell>
          <cell r="I105">
            <v>0</v>
          </cell>
        </row>
        <row r="106">
          <cell r="A106">
            <v>91067</v>
          </cell>
          <cell r="B106" t="str">
            <v>OCEAN ISLE BEACH ABC BOARD</v>
          </cell>
          <cell r="C106">
            <v>1.6200000000000001E-5</v>
          </cell>
          <cell r="D106"/>
          <cell r="E106">
            <v>-102</v>
          </cell>
          <cell r="F106">
            <v>-101</v>
          </cell>
          <cell r="G106">
            <v>0</v>
          </cell>
          <cell r="H106">
            <v>0</v>
          </cell>
          <cell r="I106">
            <v>0</v>
          </cell>
        </row>
        <row r="107">
          <cell r="A107">
            <v>91071</v>
          </cell>
          <cell r="B107" t="str">
            <v>CITY OF BOILING SPRG LAKES</v>
          </cell>
          <cell r="C107">
            <v>2.4489999999999999E-4</v>
          </cell>
          <cell r="D107"/>
          <cell r="E107">
            <v>-6061</v>
          </cell>
          <cell r="F107">
            <v>-5597</v>
          </cell>
          <cell r="G107">
            <v>-640</v>
          </cell>
          <cell r="H107">
            <v>-457</v>
          </cell>
          <cell r="I107">
            <v>0</v>
          </cell>
        </row>
        <row r="108">
          <cell r="A108">
            <v>91077</v>
          </cell>
          <cell r="B108" t="str">
            <v>BOILING SPRING LAKES ABC BOARD</v>
          </cell>
          <cell r="C108">
            <v>5.9000000000000003E-6</v>
          </cell>
          <cell r="D108"/>
          <cell r="E108">
            <v>0</v>
          </cell>
          <cell r="F108">
            <v>0</v>
          </cell>
          <cell r="G108">
            <v>0</v>
          </cell>
          <cell r="H108">
            <v>0</v>
          </cell>
          <cell r="I108">
            <v>0</v>
          </cell>
        </row>
        <row r="109">
          <cell r="A109">
            <v>91081</v>
          </cell>
          <cell r="B109" t="str">
            <v>TOWN OF SHALLOTTE</v>
          </cell>
          <cell r="C109">
            <v>4.2739999999999998E-4</v>
          </cell>
          <cell r="D109"/>
          <cell r="E109">
            <v>0</v>
          </cell>
          <cell r="F109">
            <v>0</v>
          </cell>
          <cell r="G109">
            <v>0</v>
          </cell>
          <cell r="H109">
            <v>0</v>
          </cell>
          <cell r="I109">
            <v>0</v>
          </cell>
        </row>
        <row r="110">
          <cell r="A110">
            <v>91091</v>
          </cell>
          <cell r="B110" t="str">
            <v>VILLAGE OF BALD HEAD ISLAND</v>
          </cell>
          <cell r="C110">
            <v>5.4540000000000003E-4</v>
          </cell>
          <cell r="D110"/>
          <cell r="E110">
            <v>-16998</v>
          </cell>
          <cell r="F110">
            <v>-15602</v>
          </cell>
          <cell r="G110">
            <v>-7024</v>
          </cell>
          <cell r="H110">
            <v>0</v>
          </cell>
          <cell r="I110">
            <v>0</v>
          </cell>
        </row>
        <row r="111">
          <cell r="A111">
            <v>91101</v>
          </cell>
          <cell r="B111" t="str">
            <v>BUNCOMBE COUNTY</v>
          </cell>
          <cell r="C111">
            <v>1.32874E-2</v>
          </cell>
          <cell r="D111"/>
          <cell r="E111">
            <v>-344635</v>
          </cell>
          <cell r="F111">
            <v>-269509</v>
          </cell>
          <cell r="G111">
            <v>-185052</v>
          </cell>
          <cell r="H111">
            <v>-136063</v>
          </cell>
          <cell r="I111">
            <v>0</v>
          </cell>
        </row>
        <row r="112">
          <cell r="A112">
            <v>91102</v>
          </cell>
          <cell r="B112" t="str">
            <v>LAND-OF-SKY REGIONAL COUNCIL</v>
          </cell>
          <cell r="C112">
            <v>3.279E-4</v>
          </cell>
          <cell r="D112"/>
          <cell r="E112">
            <v>-308</v>
          </cell>
          <cell r="F112">
            <v>-308</v>
          </cell>
          <cell r="G112">
            <v>-309</v>
          </cell>
          <cell r="H112">
            <v>0</v>
          </cell>
          <cell r="I112">
            <v>0</v>
          </cell>
        </row>
        <row r="113">
          <cell r="A113">
            <v>91104</v>
          </cell>
          <cell r="B113" t="str">
            <v>WOODFIN ABC COMMISSION</v>
          </cell>
          <cell r="C113">
            <v>1.66E-5</v>
          </cell>
          <cell r="D113"/>
          <cell r="E113">
            <v>0</v>
          </cell>
          <cell r="F113">
            <v>0</v>
          </cell>
          <cell r="G113">
            <v>0</v>
          </cell>
          <cell r="H113">
            <v>0</v>
          </cell>
          <cell r="I113">
            <v>0</v>
          </cell>
        </row>
        <row r="114">
          <cell r="A114">
            <v>91107</v>
          </cell>
          <cell r="B114" t="str">
            <v>WESTERN AIR POLLUTION CTL</v>
          </cell>
          <cell r="C114">
            <v>5.4500000000000003E-5</v>
          </cell>
          <cell r="D114"/>
          <cell r="E114">
            <v>-753</v>
          </cell>
          <cell r="F114">
            <v>-753</v>
          </cell>
          <cell r="G114">
            <v>-751</v>
          </cell>
          <cell r="H114">
            <v>0</v>
          </cell>
          <cell r="I114">
            <v>0</v>
          </cell>
        </row>
        <row r="115">
          <cell r="A115">
            <v>91108</v>
          </cell>
          <cell r="B115" t="str">
            <v>METRO SEWERAGE DIST OF BUNCOMBE COUNTY</v>
          </cell>
          <cell r="C115">
            <v>1.1929E-3</v>
          </cell>
          <cell r="D115"/>
          <cell r="E115">
            <v>0</v>
          </cell>
          <cell r="F115">
            <v>0</v>
          </cell>
          <cell r="G115">
            <v>0</v>
          </cell>
          <cell r="H115">
            <v>0</v>
          </cell>
          <cell r="I115">
            <v>0</v>
          </cell>
        </row>
        <row r="116">
          <cell r="A116">
            <v>91109</v>
          </cell>
          <cell r="B116" t="str">
            <v>WOODFIN SANITARY WATER AND SEWER DIST</v>
          </cell>
          <cell r="C116">
            <v>9.8300000000000004E-5</v>
          </cell>
          <cell r="D116"/>
          <cell r="E116">
            <v>-108</v>
          </cell>
          <cell r="F116">
            <v>0</v>
          </cell>
          <cell r="G116">
            <v>0</v>
          </cell>
          <cell r="H116">
            <v>0</v>
          </cell>
          <cell r="I116">
            <v>0</v>
          </cell>
        </row>
        <row r="117">
          <cell r="A117">
            <v>91111</v>
          </cell>
          <cell r="B117" t="str">
            <v>TOWN OF BILTMORE FOREST</v>
          </cell>
          <cell r="C117">
            <v>1.973E-4</v>
          </cell>
          <cell r="D117"/>
          <cell r="E117">
            <v>-4824</v>
          </cell>
          <cell r="F117">
            <v>-4824</v>
          </cell>
          <cell r="G117">
            <v>-4824</v>
          </cell>
          <cell r="H117">
            <v>-4822</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-4414</v>
          </cell>
          <cell r="F119">
            <v>-3612</v>
          </cell>
          <cell r="G119">
            <v>-2724</v>
          </cell>
          <cell r="H119">
            <v>0</v>
          </cell>
          <cell r="I119">
            <v>0</v>
          </cell>
        </row>
        <row r="120">
          <cell r="A120">
            <v>91121</v>
          </cell>
          <cell r="B120" t="str">
            <v>CITY OF ASHEVILLE</v>
          </cell>
          <cell r="C120">
            <v>1.03844E-2</v>
          </cell>
          <cell r="D120"/>
          <cell r="E120">
            <v>-211687</v>
          </cell>
          <cell r="F120">
            <v>-109175</v>
          </cell>
          <cell r="G120">
            <v>-81027</v>
          </cell>
          <cell r="H120">
            <v>-60878</v>
          </cell>
          <cell r="I120">
            <v>0</v>
          </cell>
        </row>
        <row r="121">
          <cell r="A121">
            <v>91127</v>
          </cell>
          <cell r="B121" t="str">
            <v>ASHEVILLE ABC BOARD</v>
          </cell>
          <cell r="C121">
            <v>2.7989999999999997E-4</v>
          </cell>
          <cell r="D121"/>
          <cell r="E121">
            <v>0</v>
          </cell>
          <cell r="F121">
            <v>0</v>
          </cell>
          <cell r="G121">
            <v>0</v>
          </cell>
          <cell r="H121">
            <v>0</v>
          </cell>
          <cell r="I121">
            <v>0</v>
          </cell>
        </row>
        <row r="122">
          <cell r="A122">
            <v>91128</v>
          </cell>
          <cell r="B122" t="str">
            <v>ASHEVILLE REGIONAL AIRPORT AUTHORITY</v>
          </cell>
          <cell r="C122">
            <v>4.6710000000000002E-4</v>
          </cell>
          <cell r="D122"/>
          <cell r="E122">
            <v>-8619</v>
          </cell>
          <cell r="F122">
            <v>-8619</v>
          </cell>
          <cell r="G122">
            <v>-8618</v>
          </cell>
          <cell r="H122">
            <v>-5811</v>
          </cell>
          <cell r="I122">
            <v>0</v>
          </cell>
        </row>
        <row r="123">
          <cell r="A123">
            <v>91138</v>
          </cell>
          <cell r="B123" t="str">
            <v>SKYLAND VOL FIRE DEPT</v>
          </cell>
          <cell r="C123">
            <v>4.8010000000000001E-4</v>
          </cell>
          <cell r="D123"/>
          <cell r="E123">
            <v>-70695</v>
          </cell>
          <cell r="F123">
            <v>-54315</v>
          </cell>
          <cell r="G123">
            <v>-41410</v>
          </cell>
          <cell r="H123">
            <v>-8101</v>
          </cell>
          <cell r="I123">
            <v>0</v>
          </cell>
        </row>
        <row r="124">
          <cell r="A124">
            <v>91141</v>
          </cell>
          <cell r="B124" t="str">
            <v>TOWN OF WEAVERVILLE</v>
          </cell>
          <cell r="C124">
            <v>6.3610000000000001E-4</v>
          </cell>
          <cell r="D124"/>
          <cell r="E124">
            <v>-19171</v>
          </cell>
          <cell r="F124">
            <v>-8271</v>
          </cell>
          <cell r="G124">
            <v>-5842</v>
          </cell>
          <cell r="H124">
            <v>0</v>
          </cell>
          <cell r="I124">
            <v>0</v>
          </cell>
        </row>
        <row r="125">
          <cell r="A125">
            <v>91147</v>
          </cell>
          <cell r="B125" t="str">
            <v>WEAVERVILLE ABC BOARD</v>
          </cell>
          <cell r="C125">
            <v>2.5400000000000001E-5</v>
          </cell>
          <cell r="D125"/>
          <cell r="E125">
            <v>-135</v>
          </cell>
          <cell r="F125">
            <v>-135</v>
          </cell>
          <cell r="G125">
            <v>-135</v>
          </cell>
          <cell r="H125">
            <v>-136</v>
          </cell>
          <cell r="I125">
            <v>0</v>
          </cell>
        </row>
        <row r="126">
          <cell r="A126">
            <v>91151</v>
          </cell>
          <cell r="B126" t="str">
            <v>TOWN OF BLACK MOUNTAIN</v>
          </cell>
          <cell r="C126">
            <v>5.8460000000000001E-4</v>
          </cell>
          <cell r="D126"/>
          <cell r="E126">
            <v>-36248</v>
          </cell>
          <cell r="F126">
            <v>-27150</v>
          </cell>
          <cell r="G126">
            <v>-23616</v>
          </cell>
          <cell r="H126">
            <v>-14005</v>
          </cell>
          <cell r="I126">
            <v>0</v>
          </cell>
        </row>
        <row r="127">
          <cell r="A127">
            <v>91154</v>
          </cell>
          <cell r="B127" t="str">
            <v>BLACK MTN ABC BOARD</v>
          </cell>
          <cell r="C127">
            <v>2.0999999999999999E-5</v>
          </cell>
          <cell r="D127"/>
          <cell r="E127">
            <v>-1476</v>
          </cell>
          <cell r="F127">
            <v>-1476</v>
          </cell>
          <cell r="G127">
            <v>-1474</v>
          </cell>
          <cell r="H127">
            <v>-932</v>
          </cell>
          <cell r="I127">
            <v>0</v>
          </cell>
        </row>
        <row r="128">
          <cell r="A128">
            <v>91161</v>
          </cell>
          <cell r="B128" t="str">
            <v>TOWN OF MONTREAT</v>
          </cell>
          <cell r="C128">
            <v>1.0509999999999999E-4</v>
          </cell>
          <cell r="D128"/>
          <cell r="E128">
            <v>-2723</v>
          </cell>
          <cell r="F128">
            <v>-2184</v>
          </cell>
          <cell r="G128">
            <v>-2185</v>
          </cell>
          <cell r="H128">
            <v>0</v>
          </cell>
          <cell r="I128">
            <v>0</v>
          </cell>
        </row>
        <row r="129">
          <cell r="A129">
            <v>91171</v>
          </cell>
          <cell r="B129" t="str">
            <v>TOWN OF WOODFIN</v>
          </cell>
          <cell r="C129">
            <v>2.6820000000000001E-4</v>
          </cell>
          <cell r="D129"/>
          <cell r="E129">
            <v>-11638</v>
          </cell>
          <cell r="F129">
            <v>-9381</v>
          </cell>
          <cell r="G129">
            <v>0</v>
          </cell>
          <cell r="H129">
            <v>0</v>
          </cell>
          <cell r="I129">
            <v>0</v>
          </cell>
        </row>
        <row r="130">
          <cell r="A130">
            <v>91201</v>
          </cell>
          <cell r="B130" t="str">
            <v>BURKE COUNTY</v>
          </cell>
          <cell r="C130">
            <v>2.2897999999999998E-3</v>
          </cell>
          <cell r="D130"/>
          <cell r="E130">
            <v>-47345</v>
          </cell>
          <cell r="F130">
            <v>-42632</v>
          </cell>
          <cell r="G130">
            <v>-22444</v>
          </cell>
          <cell r="H130">
            <v>-7300</v>
          </cell>
          <cell r="I130">
            <v>0</v>
          </cell>
        </row>
        <row r="131">
          <cell r="A131">
            <v>91202</v>
          </cell>
          <cell r="B131" t="str">
            <v>BURKE-CATAWBA DIST CONFINEMENT</v>
          </cell>
          <cell r="C131">
            <v>1.752E-4</v>
          </cell>
          <cell r="D131"/>
          <cell r="E131">
            <v>-4188</v>
          </cell>
          <cell r="F131">
            <v>-4188</v>
          </cell>
          <cell r="G131">
            <v>-4188</v>
          </cell>
          <cell r="H131">
            <v>-4190</v>
          </cell>
          <cell r="I131">
            <v>0</v>
          </cell>
        </row>
        <row r="132">
          <cell r="A132">
            <v>91203</v>
          </cell>
          <cell r="B132" t="str">
            <v>BURKE CO HEALTH DEPT</v>
          </cell>
          <cell r="C132">
            <v>2.2670000000000001E-4</v>
          </cell>
          <cell r="D132"/>
          <cell r="E132">
            <v>0</v>
          </cell>
          <cell r="F132">
            <v>0</v>
          </cell>
          <cell r="G132">
            <v>0</v>
          </cell>
          <cell r="H132">
            <v>0</v>
          </cell>
          <cell r="I132">
            <v>0</v>
          </cell>
        </row>
        <row r="133">
          <cell r="A133">
            <v>91206</v>
          </cell>
          <cell r="B133" t="str">
            <v>BURKE CO DEPT OF SOCIAL SERVICES</v>
          </cell>
          <cell r="C133">
            <v>9.525E-4</v>
          </cell>
          <cell r="D133"/>
          <cell r="E133">
            <v>-341</v>
          </cell>
          <cell r="F133">
            <v>0</v>
          </cell>
          <cell r="G133">
            <v>0</v>
          </cell>
          <cell r="H133">
            <v>0</v>
          </cell>
          <cell r="I133">
            <v>0</v>
          </cell>
        </row>
        <row r="134">
          <cell r="A134">
            <v>91208</v>
          </cell>
          <cell r="B134" t="str">
            <v>BURKE COUNTY TOURISM DEV. AUTHORITY</v>
          </cell>
          <cell r="C134">
            <v>1.9000000000000001E-5</v>
          </cell>
          <cell r="D134"/>
          <cell r="E134">
            <v>-131</v>
          </cell>
          <cell r="F134">
            <v>-131</v>
          </cell>
          <cell r="G134">
            <v>-129</v>
          </cell>
          <cell r="H134">
            <v>0</v>
          </cell>
          <cell r="I134">
            <v>0</v>
          </cell>
        </row>
        <row r="135">
          <cell r="A135">
            <v>91211</v>
          </cell>
          <cell r="B135" t="str">
            <v>TOWN OF VALDESE</v>
          </cell>
          <cell r="C135">
            <v>4.4870000000000001E-4</v>
          </cell>
          <cell r="D135"/>
          <cell r="E135">
            <v>-8613</v>
          </cell>
          <cell r="F135">
            <v>-8613</v>
          </cell>
          <cell r="G135">
            <v>-8612</v>
          </cell>
          <cell r="H135">
            <v>-4886</v>
          </cell>
          <cell r="I135">
            <v>0</v>
          </cell>
        </row>
        <row r="136">
          <cell r="A136">
            <v>91213</v>
          </cell>
          <cell r="B136" t="str">
            <v>VALDESE HOUSING AUTHORITY</v>
          </cell>
          <cell r="C136">
            <v>2.9200000000000002E-5</v>
          </cell>
          <cell r="D136"/>
          <cell r="E136">
            <v>-3143</v>
          </cell>
          <cell r="F136">
            <v>-2572</v>
          </cell>
          <cell r="G136">
            <v>-1466</v>
          </cell>
          <cell r="H136">
            <v>0</v>
          </cell>
          <cell r="I136">
            <v>0</v>
          </cell>
        </row>
        <row r="137">
          <cell r="A137">
            <v>91214</v>
          </cell>
          <cell r="B137" t="str">
            <v>TOWN OF RUTHERFORD COLLEGE</v>
          </cell>
          <cell r="C137">
            <v>3.5800000000000003E-5</v>
          </cell>
          <cell r="D137"/>
          <cell r="E137">
            <v>-1395</v>
          </cell>
          <cell r="F137">
            <v>-981</v>
          </cell>
          <cell r="G137">
            <v>-410</v>
          </cell>
          <cell r="H137">
            <v>0</v>
          </cell>
          <cell r="I137">
            <v>0</v>
          </cell>
        </row>
        <row r="138">
          <cell r="A138">
            <v>91217</v>
          </cell>
          <cell r="B138" t="str">
            <v>MORGANTON ABC BOARD</v>
          </cell>
          <cell r="C138">
            <v>2.0400000000000001E-5</v>
          </cell>
          <cell r="D138"/>
          <cell r="E138">
            <v>-810</v>
          </cell>
          <cell r="F138">
            <v>-810</v>
          </cell>
          <cell r="G138">
            <v>-812</v>
          </cell>
          <cell r="H138">
            <v>0</v>
          </cell>
          <cell r="I138">
            <v>0</v>
          </cell>
        </row>
        <row r="139">
          <cell r="A139">
            <v>91221</v>
          </cell>
          <cell r="B139" t="str">
            <v>TOWN OF DREXEL</v>
          </cell>
          <cell r="C139">
            <v>1.099E-4</v>
          </cell>
          <cell r="D139"/>
          <cell r="E139">
            <v>-7127</v>
          </cell>
          <cell r="F139">
            <v>-5305</v>
          </cell>
          <cell r="G139">
            <v>-5307</v>
          </cell>
          <cell r="H139">
            <v>-2926</v>
          </cell>
          <cell r="I139">
            <v>0</v>
          </cell>
        </row>
        <row r="140">
          <cell r="A140">
            <v>91231</v>
          </cell>
          <cell r="B140" t="str">
            <v>CITY OF MORGANTON</v>
          </cell>
          <cell r="C140">
            <v>1.8722999999999999E-3</v>
          </cell>
          <cell r="D140"/>
          <cell r="E140">
            <v>-36792</v>
          </cell>
          <cell r="F140">
            <v>-23616</v>
          </cell>
          <cell r="G140">
            <v>-5623</v>
          </cell>
          <cell r="H140">
            <v>0</v>
          </cell>
          <cell r="I140">
            <v>0</v>
          </cell>
        </row>
        <row r="141">
          <cell r="A141">
            <v>91233</v>
          </cell>
          <cell r="B141" t="str">
            <v>MORGANTON HOUSING AUTHORITY</v>
          </cell>
          <cell r="C141">
            <v>6.1699999999999995E-5</v>
          </cell>
          <cell r="D141"/>
          <cell r="E141">
            <v>-1617</v>
          </cell>
          <cell r="F141">
            <v>-1582</v>
          </cell>
          <cell r="G141">
            <v>-1583</v>
          </cell>
          <cell r="H141">
            <v>0</v>
          </cell>
          <cell r="I141">
            <v>0</v>
          </cell>
        </row>
        <row r="142">
          <cell r="A142">
            <v>91241</v>
          </cell>
          <cell r="B142" t="str">
            <v>TOWN OF GLEN ALPINE</v>
          </cell>
          <cell r="C142">
            <v>5.3499999999999999E-5</v>
          </cell>
          <cell r="D142"/>
          <cell r="E142">
            <v>-722</v>
          </cell>
          <cell r="F142">
            <v>-35</v>
          </cell>
          <cell r="G142">
            <v>0</v>
          </cell>
          <cell r="H142">
            <v>0</v>
          </cell>
          <cell r="I142">
            <v>0</v>
          </cell>
        </row>
        <row r="143">
          <cell r="A143">
            <v>91251</v>
          </cell>
          <cell r="B143" t="str">
            <v>TOWN OF HILDEBRAN</v>
          </cell>
          <cell r="C143">
            <v>2.0000000000000002E-5</v>
          </cell>
          <cell r="D143"/>
          <cell r="E143">
            <v>-2660</v>
          </cell>
          <cell r="F143">
            <v>-2473</v>
          </cell>
          <cell r="G143">
            <v>-1809</v>
          </cell>
          <cell r="H143">
            <v>-1807</v>
          </cell>
          <cell r="I143">
            <v>0</v>
          </cell>
        </row>
        <row r="144">
          <cell r="A144">
            <v>91261</v>
          </cell>
          <cell r="B144" t="str">
            <v>TOWN OF CONNELLY SPRINGS</v>
          </cell>
          <cell r="C144">
            <v>9.7000000000000003E-6</v>
          </cell>
          <cell r="D144"/>
          <cell r="E144">
            <v>-417</v>
          </cell>
          <cell r="F144">
            <v>-417</v>
          </cell>
          <cell r="G144">
            <v>-418</v>
          </cell>
          <cell r="H144">
            <v>-418</v>
          </cell>
          <cell r="I144">
            <v>0</v>
          </cell>
        </row>
        <row r="145">
          <cell r="A145">
            <v>91301</v>
          </cell>
          <cell r="B145" t="str">
            <v>CABARRUS COUNTY</v>
          </cell>
          <cell r="C145">
            <v>7.9497999999999999E-3</v>
          </cell>
          <cell r="D145"/>
          <cell r="E145">
            <v>-54151</v>
          </cell>
          <cell r="F145">
            <v>-54152</v>
          </cell>
          <cell r="G145">
            <v>-19953</v>
          </cell>
          <cell r="H145">
            <v>0</v>
          </cell>
          <cell r="I145">
            <v>0</v>
          </cell>
        </row>
        <row r="146">
          <cell r="A146">
            <v>91302</v>
          </cell>
          <cell r="B146" t="str">
            <v>WATER &amp; SEWER AUTH CABARRUS CNTY</v>
          </cell>
          <cell r="C146">
            <v>5.354E-4</v>
          </cell>
          <cell r="D146"/>
          <cell r="E146">
            <v>-16641</v>
          </cell>
          <cell r="F146">
            <v>-16643</v>
          </cell>
          <cell r="G146">
            <v>-14976</v>
          </cell>
          <cell r="H146">
            <v>-2424</v>
          </cell>
          <cell r="I146">
            <v>0</v>
          </cell>
        </row>
        <row r="147">
          <cell r="A147">
            <v>91306</v>
          </cell>
          <cell r="B147" t="str">
            <v>CABARRUS CO PUBLIC HEALTH AUTH</v>
          </cell>
          <cell r="C147">
            <v>1.8244999999999999E-3</v>
          </cell>
          <cell r="D147"/>
          <cell r="E147">
            <v>-3098</v>
          </cell>
          <cell r="F147">
            <v>-3098</v>
          </cell>
          <cell r="G147">
            <v>-1323</v>
          </cell>
          <cell r="H147">
            <v>-1323</v>
          </cell>
          <cell r="I147">
            <v>0</v>
          </cell>
        </row>
        <row r="148">
          <cell r="A148">
            <v>91308</v>
          </cell>
          <cell r="B148" t="str">
            <v>CABARRUS COUNTY TOURISM AUTHORITY</v>
          </cell>
          <cell r="C148">
            <v>1.7009999999999999E-4</v>
          </cell>
          <cell r="D148"/>
          <cell r="E148">
            <v>-6934</v>
          </cell>
          <cell r="F148">
            <v>-6936</v>
          </cell>
          <cell r="G148">
            <v>-2269</v>
          </cell>
          <cell r="H148">
            <v>-319</v>
          </cell>
          <cell r="I148">
            <v>0</v>
          </cell>
        </row>
        <row r="149">
          <cell r="A149">
            <v>91311</v>
          </cell>
          <cell r="B149" t="str">
            <v>CITY OF CONCORD</v>
          </cell>
          <cell r="C149">
            <v>7.9030000000000003E-3</v>
          </cell>
          <cell r="D149"/>
          <cell r="E149">
            <v>-135697</v>
          </cell>
          <cell r="F149">
            <v>-61662</v>
          </cell>
          <cell r="G149">
            <v>-19303</v>
          </cell>
          <cell r="H149">
            <v>0</v>
          </cell>
          <cell r="I149">
            <v>0</v>
          </cell>
        </row>
        <row r="150">
          <cell r="A150">
            <v>91317</v>
          </cell>
          <cell r="B150" t="str">
            <v>CONCORD ABC BOARD</v>
          </cell>
          <cell r="C150">
            <v>1.015E-4</v>
          </cell>
          <cell r="D150"/>
          <cell r="E150">
            <v>-279</v>
          </cell>
          <cell r="F150">
            <v>0</v>
          </cell>
          <cell r="G150">
            <v>0</v>
          </cell>
          <cell r="H150">
            <v>0</v>
          </cell>
          <cell r="I150">
            <v>0</v>
          </cell>
        </row>
        <row r="151">
          <cell r="A151">
            <v>91321</v>
          </cell>
          <cell r="B151" t="str">
            <v>TOWN OF MOUNT PLEASANT</v>
          </cell>
          <cell r="C151">
            <v>5.3600000000000002E-5</v>
          </cell>
          <cell r="D151"/>
          <cell r="E151">
            <v>0</v>
          </cell>
          <cell r="F151">
            <v>0</v>
          </cell>
          <cell r="G151">
            <v>0</v>
          </cell>
          <cell r="H151">
            <v>0</v>
          </cell>
          <cell r="I151">
            <v>0</v>
          </cell>
        </row>
        <row r="152">
          <cell r="A152">
            <v>91327</v>
          </cell>
          <cell r="B152" t="str">
            <v>MT PLEASANT ABC BOARD</v>
          </cell>
          <cell r="C152">
            <v>1.0900000000000001E-5</v>
          </cell>
          <cell r="D152"/>
          <cell r="E152">
            <v>-348</v>
          </cell>
          <cell r="F152">
            <v>-205</v>
          </cell>
          <cell r="G152">
            <v>0</v>
          </cell>
          <cell r="H152">
            <v>0</v>
          </cell>
          <cell r="I152">
            <v>0</v>
          </cell>
        </row>
        <row r="153">
          <cell r="A153">
            <v>91331</v>
          </cell>
          <cell r="B153" t="str">
            <v>CITY OF KANNAPOLIS</v>
          </cell>
          <cell r="C153">
            <v>2.9286E-3</v>
          </cell>
          <cell r="D153"/>
          <cell r="E153">
            <v>-133105</v>
          </cell>
          <cell r="F153">
            <v>-87978</v>
          </cell>
          <cell r="G153">
            <v>-75930</v>
          </cell>
          <cell r="H153">
            <v>-40460</v>
          </cell>
          <cell r="I153">
            <v>0</v>
          </cell>
        </row>
        <row r="154">
          <cell r="A154">
            <v>91341</v>
          </cell>
          <cell r="B154" t="str">
            <v>TOWN OF MIDLAND</v>
          </cell>
          <cell r="C154">
            <v>3.79E-5</v>
          </cell>
          <cell r="D154"/>
          <cell r="E154">
            <v>-529</v>
          </cell>
          <cell r="F154">
            <v>0</v>
          </cell>
          <cell r="G154">
            <v>0</v>
          </cell>
          <cell r="H154">
            <v>0</v>
          </cell>
          <cell r="I154">
            <v>0</v>
          </cell>
        </row>
        <row r="155">
          <cell r="A155">
            <v>91401</v>
          </cell>
          <cell r="B155" t="str">
            <v>CALDWELL COUNTY</v>
          </cell>
          <cell r="C155">
            <v>3.3915999999999998E-3</v>
          </cell>
          <cell r="D155"/>
          <cell r="E155">
            <v>-80197</v>
          </cell>
          <cell r="F155">
            <v>-77658</v>
          </cell>
          <cell r="G155">
            <v>-44039</v>
          </cell>
          <cell r="H155">
            <v>-22809</v>
          </cell>
          <cell r="I155">
            <v>0</v>
          </cell>
        </row>
        <row r="156">
          <cell r="A156">
            <v>91411</v>
          </cell>
          <cell r="B156" t="str">
            <v>TOWN OF GRANITE FALLS</v>
          </cell>
          <cell r="C156">
            <v>3.9639999999999999E-4</v>
          </cell>
          <cell r="D156"/>
          <cell r="E156">
            <v>0</v>
          </cell>
          <cell r="F156">
            <v>0</v>
          </cell>
          <cell r="G156">
            <v>0</v>
          </cell>
          <cell r="H156">
            <v>0</v>
          </cell>
          <cell r="I156">
            <v>0</v>
          </cell>
        </row>
        <row r="157">
          <cell r="A157">
            <v>91414</v>
          </cell>
          <cell r="B157" t="str">
            <v>TOWN OF RHODHISS</v>
          </cell>
          <cell r="C157">
            <v>2.2200000000000001E-5</v>
          </cell>
          <cell r="D157"/>
          <cell r="E157">
            <v>0</v>
          </cell>
          <cell r="F157">
            <v>0</v>
          </cell>
          <cell r="G157">
            <v>0</v>
          </cell>
          <cell r="H157">
            <v>0</v>
          </cell>
          <cell r="I157">
            <v>0</v>
          </cell>
        </row>
        <row r="158">
          <cell r="A158">
            <v>91417</v>
          </cell>
          <cell r="B158" t="str">
            <v>GRANITE FALLS ABC BOARD</v>
          </cell>
          <cell r="C158">
            <v>7.3000000000000004E-6</v>
          </cell>
          <cell r="D158"/>
          <cell r="E158">
            <v>0</v>
          </cell>
          <cell r="F158">
            <v>0</v>
          </cell>
          <cell r="G158">
            <v>0</v>
          </cell>
          <cell r="H158">
            <v>0</v>
          </cell>
          <cell r="I158">
            <v>0</v>
          </cell>
        </row>
        <row r="159">
          <cell r="A159">
            <v>91421</v>
          </cell>
          <cell r="B159" t="str">
            <v>TOWN OF SAWMILLS</v>
          </cell>
          <cell r="C159">
            <v>6.69E-5</v>
          </cell>
          <cell r="D159"/>
          <cell r="E159">
            <v>-202</v>
          </cell>
          <cell r="F159">
            <v>-147</v>
          </cell>
          <cell r="G159">
            <v>-147</v>
          </cell>
          <cell r="H159">
            <v>-148</v>
          </cell>
          <cell r="I159">
            <v>0</v>
          </cell>
        </row>
        <row r="160">
          <cell r="A160">
            <v>91423</v>
          </cell>
          <cell r="B160" t="str">
            <v>LENOIR HOUSING AUTHORITY</v>
          </cell>
          <cell r="C160">
            <v>5.2899999999999998E-5</v>
          </cell>
          <cell r="D160"/>
          <cell r="E160">
            <v>-1713</v>
          </cell>
          <cell r="F160">
            <v>-1713</v>
          </cell>
          <cell r="G160">
            <v>-1712</v>
          </cell>
          <cell r="H160">
            <v>0</v>
          </cell>
          <cell r="I160">
            <v>0</v>
          </cell>
        </row>
        <row r="161">
          <cell r="A161">
            <v>91431</v>
          </cell>
          <cell r="B161" t="str">
            <v>TOWN OF HUDSON</v>
          </cell>
          <cell r="C161">
            <v>1.819E-4</v>
          </cell>
          <cell r="D161"/>
          <cell r="E161">
            <v>-478</v>
          </cell>
          <cell r="F161">
            <v>0</v>
          </cell>
          <cell r="G161">
            <v>0</v>
          </cell>
          <cell r="H161">
            <v>0</v>
          </cell>
          <cell r="I161">
            <v>0</v>
          </cell>
        </row>
        <row r="162">
          <cell r="A162">
            <v>91441</v>
          </cell>
          <cell r="B162" t="str">
            <v>TOWN OF HARRISBURG</v>
          </cell>
          <cell r="C162">
            <v>9.8020000000000008E-4</v>
          </cell>
          <cell r="D162"/>
          <cell r="E162">
            <v>-60166</v>
          </cell>
          <cell r="F162">
            <v>-41767</v>
          </cell>
          <cell r="G162">
            <v>-41766</v>
          </cell>
          <cell r="H162">
            <v>-18376</v>
          </cell>
          <cell r="I162">
            <v>0</v>
          </cell>
        </row>
        <row r="163">
          <cell r="A163">
            <v>91451</v>
          </cell>
          <cell r="B163" t="str">
            <v>CITY OF LENOIR</v>
          </cell>
          <cell r="C163">
            <v>1.5533999999999999E-3</v>
          </cell>
          <cell r="D163"/>
          <cell r="E163">
            <v>-41119</v>
          </cell>
          <cell r="F163">
            <v>-16084</v>
          </cell>
          <cell r="G163">
            <v>-43</v>
          </cell>
          <cell r="H163">
            <v>0</v>
          </cell>
          <cell r="I163">
            <v>0</v>
          </cell>
        </row>
        <row r="164">
          <cell r="A164">
            <v>91457</v>
          </cell>
          <cell r="B164" t="str">
            <v>CITY OF LENOIR ABC BRD</v>
          </cell>
          <cell r="C164">
            <v>1.5500000000000001E-5</v>
          </cell>
          <cell r="D164"/>
          <cell r="E164">
            <v>0</v>
          </cell>
          <cell r="F164">
            <v>0</v>
          </cell>
          <cell r="G164">
            <v>0</v>
          </cell>
          <cell r="H164">
            <v>0</v>
          </cell>
          <cell r="I164">
            <v>0</v>
          </cell>
        </row>
        <row r="165">
          <cell r="A165">
            <v>91461</v>
          </cell>
          <cell r="B165" t="str">
            <v>TOWN OF CAJAH'S MOUNTAIN</v>
          </cell>
          <cell r="C165">
            <v>9.5000000000000005E-6</v>
          </cell>
          <cell r="D165"/>
          <cell r="E165">
            <v>-796</v>
          </cell>
          <cell r="F165">
            <v>-797</v>
          </cell>
          <cell r="G165">
            <v>-637</v>
          </cell>
          <cell r="H165">
            <v>-358</v>
          </cell>
          <cell r="I165">
            <v>0</v>
          </cell>
        </row>
        <row r="166">
          <cell r="A166">
            <v>91501</v>
          </cell>
          <cell r="B166" t="str">
            <v>CAMDEN COUNTY</v>
          </cell>
          <cell r="C166">
            <v>5.1179999999999997E-4</v>
          </cell>
          <cell r="D166"/>
          <cell r="E166">
            <v>-5606</v>
          </cell>
          <cell r="F166">
            <v>-5608</v>
          </cell>
          <cell r="G166">
            <v>-3876</v>
          </cell>
          <cell r="H166">
            <v>0</v>
          </cell>
          <cell r="I166">
            <v>0</v>
          </cell>
        </row>
        <row r="167">
          <cell r="A167">
            <v>91504</v>
          </cell>
          <cell r="B167" t="str">
            <v>CAMDEN COUNTY ABC BOARD</v>
          </cell>
          <cell r="C167">
            <v>8.3999999999999992E-6</v>
          </cell>
          <cell r="D167"/>
          <cell r="E167">
            <v>0</v>
          </cell>
          <cell r="F167">
            <v>0</v>
          </cell>
          <cell r="G167">
            <v>0</v>
          </cell>
          <cell r="H167">
            <v>0</v>
          </cell>
          <cell r="I167">
            <v>0</v>
          </cell>
        </row>
        <row r="168">
          <cell r="A168">
            <v>91601</v>
          </cell>
          <cell r="B168" t="str">
            <v>CARTERET COUNTY</v>
          </cell>
          <cell r="C168">
            <v>3.0071E-3</v>
          </cell>
          <cell r="D168"/>
          <cell r="E168">
            <v>-10092</v>
          </cell>
          <cell r="F168">
            <v>-10091</v>
          </cell>
          <cell r="G168">
            <v>0</v>
          </cell>
          <cell r="H168">
            <v>0</v>
          </cell>
          <cell r="I168">
            <v>0</v>
          </cell>
        </row>
        <row r="169">
          <cell r="A169">
            <v>91604</v>
          </cell>
          <cell r="B169" t="str">
            <v>CARTERET COUNTY ABC BOARD</v>
          </cell>
          <cell r="C169">
            <v>8.5599999999999994E-5</v>
          </cell>
          <cell r="D169"/>
          <cell r="E169">
            <v>0</v>
          </cell>
          <cell r="F169">
            <v>0</v>
          </cell>
          <cell r="G169">
            <v>0</v>
          </cell>
          <cell r="H169">
            <v>0</v>
          </cell>
          <cell r="I169">
            <v>0</v>
          </cell>
        </row>
        <row r="170">
          <cell r="A170">
            <v>91608</v>
          </cell>
          <cell r="B170" t="str">
            <v>WESTERN CARTERET INTERLOCAL COOPERATION AGENCY</v>
          </cell>
          <cell r="C170">
            <v>1.5420000000000001E-4</v>
          </cell>
          <cell r="D170"/>
          <cell r="E170">
            <v>-12244</v>
          </cell>
          <cell r="F170">
            <v>-9766</v>
          </cell>
          <cell r="G170">
            <v>-9765</v>
          </cell>
          <cell r="H170">
            <v>-5672</v>
          </cell>
          <cell r="I170">
            <v>0</v>
          </cell>
        </row>
        <row r="171">
          <cell r="A171">
            <v>91611</v>
          </cell>
          <cell r="B171" t="str">
            <v>TOWN OF MOREHEAD CITY</v>
          </cell>
          <cell r="C171">
            <v>1.4658E-3</v>
          </cell>
          <cell r="D171"/>
          <cell r="E171">
            <v>-55662</v>
          </cell>
          <cell r="F171">
            <v>-50774</v>
          </cell>
          <cell r="G171">
            <v>-41503</v>
          </cell>
          <cell r="H171">
            <v>-20772</v>
          </cell>
          <cell r="I171">
            <v>0</v>
          </cell>
        </row>
        <row r="172">
          <cell r="A172">
            <v>91621</v>
          </cell>
          <cell r="B172" t="str">
            <v>TOWN OF NEWPORT</v>
          </cell>
          <cell r="C172">
            <v>2.418E-4</v>
          </cell>
          <cell r="D172"/>
          <cell r="E172">
            <v>-7541</v>
          </cell>
          <cell r="F172">
            <v>-6177</v>
          </cell>
          <cell r="G172">
            <v>-6076</v>
          </cell>
          <cell r="H172">
            <v>-4256</v>
          </cell>
          <cell r="I172">
            <v>0</v>
          </cell>
        </row>
        <row r="173">
          <cell r="A173">
            <v>91631</v>
          </cell>
          <cell r="B173" t="str">
            <v>TOWN OF BEAUFORT</v>
          </cell>
          <cell r="C173">
            <v>5.9349999999999995E-4</v>
          </cell>
          <cell r="D173"/>
          <cell r="E173">
            <v>-14518</v>
          </cell>
          <cell r="F173">
            <v>-7701</v>
          </cell>
          <cell r="G173">
            <v>-956</v>
          </cell>
          <cell r="H173">
            <v>0</v>
          </cell>
          <cell r="I173">
            <v>0</v>
          </cell>
        </row>
        <row r="174">
          <cell r="A174">
            <v>91633</v>
          </cell>
          <cell r="B174" t="str">
            <v>BEAUFORT HOUSING AUTH</v>
          </cell>
          <cell r="C174">
            <v>3.15E-5</v>
          </cell>
          <cell r="D174"/>
          <cell r="E174">
            <v>-939</v>
          </cell>
          <cell r="F174">
            <v>-939</v>
          </cell>
          <cell r="G174">
            <v>-937</v>
          </cell>
          <cell r="H174">
            <v>0</v>
          </cell>
          <cell r="I174">
            <v>0</v>
          </cell>
        </row>
        <row r="175">
          <cell r="A175">
            <v>91641</v>
          </cell>
          <cell r="B175" t="str">
            <v>TOWN OF PINE KNOLL SHORES</v>
          </cell>
          <cell r="C175">
            <v>2.8519999999999999E-4</v>
          </cell>
          <cell r="D175"/>
          <cell r="E175">
            <v>-21072</v>
          </cell>
          <cell r="F175">
            <v>-12682</v>
          </cell>
          <cell r="G175">
            <v>-11204</v>
          </cell>
          <cell r="H175">
            <v>0</v>
          </cell>
          <cell r="I175">
            <v>0</v>
          </cell>
        </row>
        <row r="176">
          <cell r="A176">
            <v>91651</v>
          </cell>
          <cell r="B176" t="str">
            <v>TOWN OF EMERALD ISLE</v>
          </cell>
          <cell r="C176">
            <v>5.4049999999999996E-4</v>
          </cell>
          <cell r="D176"/>
          <cell r="E176">
            <v>-6133</v>
          </cell>
          <cell r="F176">
            <v>-2567</v>
          </cell>
          <cell r="G176">
            <v>0</v>
          </cell>
          <cell r="H176">
            <v>0</v>
          </cell>
          <cell r="I176">
            <v>0</v>
          </cell>
        </row>
        <row r="177">
          <cell r="A177">
            <v>91661</v>
          </cell>
          <cell r="B177" t="str">
            <v>TOWN OF INDIAN BEACH</v>
          </cell>
          <cell r="C177">
            <v>1.8760000000000001E-4</v>
          </cell>
          <cell r="D177"/>
          <cell r="E177">
            <v>-15531</v>
          </cell>
          <cell r="F177">
            <v>-9461</v>
          </cell>
          <cell r="G177">
            <v>-5312</v>
          </cell>
          <cell r="H177">
            <v>-3560</v>
          </cell>
          <cell r="I177">
            <v>0</v>
          </cell>
        </row>
        <row r="178">
          <cell r="A178">
            <v>91671</v>
          </cell>
          <cell r="B178" t="str">
            <v>TOWN OF CAPE CARTERET</v>
          </cell>
          <cell r="C178">
            <v>1.076E-4</v>
          </cell>
          <cell r="D178"/>
          <cell r="E178">
            <v>-3631</v>
          </cell>
          <cell r="F178">
            <v>-3632</v>
          </cell>
          <cell r="G178">
            <v>-3332</v>
          </cell>
          <cell r="H178">
            <v>-3334</v>
          </cell>
          <cell r="I178">
            <v>0</v>
          </cell>
        </row>
        <row r="179">
          <cell r="A179">
            <v>91681</v>
          </cell>
          <cell r="B179" t="str">
            <v>TOWN OF ATLANTIC BEACH</v>
          </cell>
          <cell r="C179">
            <v>4.5909999999999999E-4</v>
          </cell>
          <cell r="D179"/>
          <cell r="E179">
            <v>0</v>
          </cell>
          <cell r="F179">
            <v>0</v>
          </cell>
          <cell r="G179">
            <v>0</v>
          </cell>
          <cell r="H179">
            <v>0</v>
          </cell>
          <cell r="I179">
            <v>0</v>
          </cell>
        </row>
        <row r="180">
          <cell r="A180">
            <v>91691</v>
          </cell>
          <cell r="B180" t="str">
            <v>TOWN OF CEDAR POINT</v>
          </cell>
          <cell r="C180">
            <v>2.2900000000000001E-5</v>
          </cell>
          <cell r="D180"/>
          <cell r="E180">
            <v>-352</v>
          </cell>
          <cell r="F180">
            <v>-352</v>
          </cell>
          <cell r="G180">
            <v>-98</v>
          </cell>
          <cell r="H180">
            <v>0</v>
          </cell>
          <cell r="I180">
            <v>0</v>
          </cell>
        </row>
        <row r="181">
          <cell r="A181">
            <v>91701</v>
          </cell>
          <cell r="B181" t="str">
            <v>CASWELL COUNTY</v>
          </cell>
          <cell r="C181">
            <v>1.1343E-3</v>
          </cell>
          <cell r="D181"/>
          <cell r="E181">
            <v>-34572</v>
          </cell>
          <cell r="F181">
            <v>-34572</v>
          </cell>
          <cell r="G181">
            <v>-34570</v>
          </cell>
          <cell r="H181">
            <v>-24754</v>
          </cell>
          <cell r="I181">
            <v>0</v>
          </cell>
        </row>
        <row r="182">
          <cell r="A182">
            <v>91704</v>
          </cell>
          <cell r="B182" t="str">
            <v>CASWELL COUNTY ABC BOARD</v>
          </cell>
          <cell r="C182">
            <v>1.7600000000000001E-5</v>
          </cell>
          <cell r="D182"/>
          <cell r="E182">
            <v>0</v>
          </cell>
          <cell r="F182">
            <v>0</v>
          </cell>
          <cell r="G182">
            <v>0</v>
          </cell>
          <cell r="H182">
            <v>0</v>
          </cell>
          <cell r="I182">
            <v>0</v>
          </cell>
        </row>
        <row r="183">
          <cell r="A183">
            <v>91706</v>
          </cell>
          <cell r="B183" t="str">
            <v>CASWELL CO DEPT OF SOCIAL SERVICES</v>
          </cell>
          <cell r="C183">
            <v>2.543E-4</v>
          </cell>
          <cell r="D183"/>
          <cell r="E183">
            <v>-820</v>
          </cell>
          <cell r="F183">
            <v>0</v>
          </cell>
          <cell r="G183">
            <v>0</v>
          </cell>
          <cell r="H183">
            <v>0</v>
          </cell>
          <cell r="I183">
            <v>0</v>
          </cell>
        </row>
        <row r="184">
          <cell r="A184">
            <v>91719</v>
          </cell>
          <cell r="B184" t="str">
            <v>TOWN OF YANCEYVILLE</v>
          </cell>
          <cell r="C184">
            <v>5.6700000000000003E-5</v>
          </cell>
          <cell r="D184"/>
          <cell r="E184">
            <v>-2094</v>
          </cell>
          <cell r="F184">
            <v>-1926</v>
          </cell>
          <cell r="G184">
            <v>-1361</v>
          </cell>
          <cell r="H184">
            <v>-1361</v>
          </cell>
          <cell r="I184">
            <v>0</v>
          </cell>
        </row>
        <row r="185">
          <cell r="A185">
            <v>91801</v>
          </cell>
          <cell r="B185" t="str">
            <v>CATAWBA COUNTY</v>
          </cell>
          <cell r="C185">
            <v>7.5972000000000001E-3</v>
          </cell>
          <cell r="D185"/>
          <cell r="E185">
            <v>-156694</v>
          </cell>
          <cell r="F185">
            <v>-142862</v>
          </cell>
          <cell r="G185">
            <v>-101565</v>
          </cell>
          <cell r="H185">
            <v>-67459</v>
          </cell>
          <cell r="I185">
            <v>0</v>
          </cell>
        </row>
        <row r="186">
          <cell r="A186">
            <v>91804</v>
          </cell>
          <cell r="B186" t="str">
            <v>CATAWBA COUNTY ABC BOARD</v>
          </cell>
          <cell r="C186">
            <v>1.2459999999999999E-4</v>
          </cell>
          <cell r="D186"/>
          <cell r="E186">
            <v>0</v>
          </cell>
          <cell r="F186">
            <v>0</v>
          </cell>
          <cell r="G186">
            <v>0</v>
          </cell>
          <cell r="H186">
            <v>0</v>
          </cell>
          <cell r="I186">
            <v>0</v>
          </cell>
        </row>
        <row r="187">
          <cell r="A187">
            <v>91811</v>
          </cell>
          <cell r="B187" t="str">
            <v>CITY OF HICKORY</v>
          </cell>
          <cell r="C187">
            <v>4.2429E-3</v>
          </cell>
          <cell r="D187"/>
          <cell r="E187">
            <v>-204423</v>
          </cell>
          <cell r="F187">
            <v>-132348</v>
          </cell>
          <cell r="G187">
            <v>-91849</v>
          </cell>
          <cell r="H187">
            <v>-48091</v>
          </cell>
          <cell r="I187">
            <v>0</v>
          </cell>
        </row>
        <row r="188">
          <cell r="A188">
            <v>91812</v>
          </cell>
          <cell r="B188" t="str">
            <v>HICKORY CONOVER TOURISM DEV AUTH</v>
          </cell>
          <cell r="C188">
            <v>4.5599999999999997E-5</v>
          </cell>
          <cell r="D188"/>
          <cell r="E188">
            <v>-1299</v>
          </cell>
          <cell r="F188">
            <v>-1301</v>
          </cell>
          <cell r="G188">
            <v>-622</v>
          </cell>
          <cell r="H188">
            <v>-624</v>
          </cell>
          <cell r="I188">
            <v>0</v>
          </cell>
        </row>
        <row r="189">
          <cell r="A189">
            <v>91813</v>
          </cell>
          <cell r="B189" t="str">
            <v>HICKORY PUBLIC HOUSING AUTHORITY</v>
          </cell>
          <cell r="C189">
            <v>7.1500000000000003E-5</v>
          </cell>
          <cell r="D189"/>
          <cell r="E189">
            <v>-4812</v>
          </cell>
          <cell r="F189">
            <v>-4812</v>
          </cell>
          <cell r="G189">
            <v>-2074</v>
          </cell>
          <cell r="H189">
            <v>-1597</v>
          </cell>
          <cell r="I189">
            <v>0</v>
          </cell>
        </row>
        <row r="190">
          <cell r="A190">
            <v>91818</v>
          </cell>
          <cell r="B190" t="str">
            <v>WESTERN PIEDMONT COUNCIL OF GVMTS</v>
          </cell>
          <cell r="C190">
            <v>4.0620000000000001E-4</v>
          </cell>
          <cell r="D190"/>
          <cell r="E190">
            <v>0</v>
          </cell>
          <cell r="F190">
            <v>0</v>
          </cell>
          <cell r="G190">
            <v>0</v>
          </cell>
          <cell r="H190">
            <v>0</v>
          </cell>
          <cell r="I190">
            <v>0</v>
          </cell>
        </row>
        <row r="191">
          <cell r="A191">
            <v>91819</v>
          </cell>
          <cell r="B191" t="str">
            <v>WESTERN PIEDMONT REGIONAL TRANSIT AUTHORITY</v>
          </cell>
          <cell r="C191">
            <v>3.1260000000000001E-4</v>
          </cell>
          <cell r="D191"/>
          <cell r="E191">
            <v>-1296</v>
          </cell>
          <cell r="F191">
            <v>0</v>
          </cell>
          <cell r="G191">
            <v>0</v>
          </cell>
          <cell r="H191">
            <v>0</v>
          </cell>
          <cell r="I191">
            <v>0</v>
          </cell>
        </row>
        <row r="192">
          <cell r="A192">
            <v>91821</v>
          </cell>
          <cell r="B192" t="str">
            <v>CITY OF CLAREMONT</v>
          </cell>
          <cell r="C192">
            <v>1.6750000000000001E-4</v>
          </cell>
          <cell r="D192"/>
          <cell r="E192">
            <v>-3057</v>
          </cell>
          <cell r="F192">
            <v>-2723</v>
          </cell>
          <cell r="G192">
            <v>-2722</v>
          </cell>
          <cell r="H192">
            <v>-422</v>
          </cell>
          <cell r="I192">
            <v>0</v>
          </cell>
        </row>
        <row r="193">
          <cell r="A193">
            <v>91831</v>
          </cell>
          <cell r="B193" t="str">
            <v>TOWN OF MAIDEN</v>
          </cell>
          <cell r="C193">
            <v>3.7990000000000002E-4</v>
          </cell>
          <cell r="D193"/>
          <cell r="E193">
            <v>-4210</v>
          </cell>
          <cell r="F193">
            <v>-2169</v>
          </cell>
          <cell r="G193">
            <v>-496</v>
          </cell>
          <cell r="H193">
            <v>-497</v>
          </cell>
          <cell r="I193">
            <v>0</v>
          </cell>
        </row>
        <row r="194">
          <cell r="A194">
            <v>91841</v>
          </cell>
          <cell r="B194" t="str">
            <v>THE TOWN OF LONGVIEW</v>
          </cell>
          <cell r="C194">
            <v>2.5090000000000003E-4</v>
          </cell>
          <cell r="D194"/>
          <cell r="E194">
            <v>-2340</v>
          </cell>
          <cell r="F194">
            <v>-1859</v>
          </cell>
          <cell r="G194">
            <v>-1859</v>
          </cell>
          <cell r="H194">
            <v>-1860</v>
          </cell>
          <cell r="I194">
            <v>0</v>
          </cell>
        </row>
        <row r="195">
          <cell r="A195">
            <v>91851</v>
          </cell>
          <cell r="B195" t="str">
            <v>TOWN OF CONOVER</v>
          </cell>
          <cell r="C195">
            <v>7.004E-4</v>
          </cell>
          <cell r="D195"/>
          <cell r="E195">
            <v>-15857</v>
          </cell>
          <cell r="F195">
            <v>-6923</v>
          </cell>
          <cell r="G195">
            <v>-6923</v>
          </cell>
          <cell r="H195">
            <v>-4534</v>
          </cell>
          <cell r="I195">
            <v>0</v>
          </cell>
        </row>
        <row r="196">
          <cell r="A196">
            <v>91861</v>
          </cell>
          <cell r="B196" t="str">
            <v>TOWN OF BROOKFORD</v>
          </cell>
          <cell r="C196">
            <v>7.7000000000000008E-6</v>
          </cell>
          <cell r="D196"/>
          <cell r="E196">
            <v>-2281</v>
          </cell>
          <cell r="F196">
            <v>-2280</v>
          </cell>
          <cell r="G196">
            <v>-2041</v>
          </cell>
          <cell r="H196">
            <v>-940</v>
          </cell>
          <cell r="I196">
            <v>0</v>
          </cell>
        </row>
        <row r="197">
          <cell r="A197">
            <v>91871</v>
          </cell>
          <cell r="B197" t="str">
            <v>CITY OF NEWTON</v>
          </cell>
          <cell r="C197">
            <v>1.3121000000000001E-3</v>
          </cell>
          <cell r="D197"/>
          <cell r="E197">
            <v>-24492</v>
          </cell>
          <cell r="F197">
            <v>-12222</v>
          </cell>
          <cell r="G197">
            <v>-12222</v>
          </cell>
          <cell r="H197">
            <v>-4086</v>
          </cell>
          <cell r="I197">
            <v>0</v>
          </cell>
        </row>
        <row r="198">
          <cell r="A198">
            <v>91881</v>
          </cell>
          <cell r="B198" t="str">
            <v>TOWN OF CATAWBA</v>
          </cell>
          <cell r="C198">
            <v>2.1399999999999998E-5</v>
          </cell>
          <cell r="D198"/>
          <cell r="E198">
            <v>-1059</v>
          </cell>
          <cell r="F198">
            <v>0</v>
          </cell>
          <cell r="G198">
            <v>0</v>
          </cell>
          <cell r="H198">
            <v>0</v>
          </cell>
          <cell r="I198">
            <v>0</v>
          </cell>
        </row>
        <row r="199">
          <cell r="A199">
            <v>91901</v>
          </cell>
          <cell r="B199" t="str">
            <v>CHATHAM COUNTY</v>
          </cell>
          <cell r="C199">
            <v>3.6947999999999998E-3</v>
          </cell>
          <cell r="D199"/>
          <cell r="E199">
            <v>-24270</v>
          </cell>
          <cell r="F199">
            <v>-24271</v>
          </cell>
          <cell r="G199">
            <v>-20134</v>
          </cell>
          <cell r="H199">
            <v>-11385</v>
          </cell>
          <cell r="I199">
            <v>0</v>
          </cell>
        </row>
        <row r="200">
          <cell r="A200">
            <v>91903</v>
          </cell>
          <cell r="B200" t="str">
            <v>CHATHAM CO HOUSING AUTH</v>
          </cell>
          <cell r="C200">
            <v>7.1999999999999997E-6</v>
          </cell>
          <cell r="D200"/>
          <cell r="E200">
            <v>0</v>
          </cell>
          <cell r="F200">
            <v>0</v>
          </cell>
          <cell r="G200">
            <v>0</v>
          </cell>
          <cell r="H200">
            <v>0</v>
          </cell>
          <cell r="I200">
            <v>0</v>
          </cell>
        </row>
        <row r="201">
          <cell r="A201">
            <v>91904</v>
          </cell>
          <cell r="B201" t="str">
            <v>CHATHAM COUNTY ABC BOARD</v>
          </cell>
          <cell r="C201">
            <v>3.26E-5</v>
          </cell>
          <cell r="D201"/>
          <cell r="E201">
            <v>-108</v>
          </cell>
          <cell r="F201">
            <v>-108</v>
          </cell>
          <cell r="G201">
            <v>-110</v>
          </cell>
          <cell r="H201">
            <v>0</v>
          </cell>
          <cell r="I201">
            <v>0</v>
          </cell>
        </row>
        <row r="202">
          <cell r="A202">
            <v>91908</v>
          </cell>
          <cell r="B202" t="str">
            <v>GOLDSTON-GULF SANITARY DISTRICT</v>
          </cell>
          <cell r="C202">
            <v>1.59E-5</v>
          </cell>
          <cell r="D202"/>
          <cell r="E202">
            <v>-1964</v>
          </cell>
          <cell r="F202">
            <v>-1197</v>
          </cell>
          <cell r="G202">
            <v>-1197</v>
          </cell>
          <cell r="H202">
            <v>-449</v>
          </cell>
          <cell r="I202">
            <v>0</v>
          </cell>
        </row>
        <row r="203">
          <cell r="A203">
            <v>91911</v>
          </cell>
          <cell r="B203" t="str">
            <v>TOWN OF SILER CITY</v>
          </cell>
          <cell r="C203">
            <v>4.46E-4</v>
          </cell>
          <cell r="D203"/>
          <cell r="E203">
            <v>-7743</v>
          </cell>
          <cell r="F203">
            <v>-7743</v>
          </cell>
          <cell r="G203">
            <v>-7743</v>
          </cell>
          <cell r="H203">
            <v>-7742</v>
          </cell>
          <cell r="I203">
            <v>0</v>
          </cell>
        </row>
        <row r="204">
          <cell r="A204">
            <v>91917</v>
          </cell>
          <cell r="B204" t="str">
            <v>SILER CITY ABC BOARD</v>
          </cell>
          <cell r="C204">
            <v>1.31E-5</v>
          </cell>
          <cell r="D204"/>
          <cell r="E204">
            <v>-77</v>
          </cell>
          <cell r="F204">
            <v>-79</v>
          </cell>
          <cell r="G204">
            <v>0</v>
          </cell>
          <cell r="H204">
            <v>0</v>
          </cell>
          <cell r="I204">
            <v>0</v>
          </cell>
        </row>
        <row r="205">
          <cell r="A205">
            <v>91921</v>
          </cell>
          <cell r="B205" t="str">
            <v>TOWN OF PITTSBORO</v>
          </cell>
          <cell r="C205">
            <v>3.8479999999999997E-4</v>
          </cell>
          <cell r="D205"/>
          <cell r="E205">
            <v>-6305</v>
          </cell>
          <cell r="F205">
            <v>-6035</v>
          </cell>
          <cell r="G205">
            <v>-5356</v>
          </cell>
          <cell r="H205">
            <v>0</v>
          </cell>
          <cell r="I205">
            <v>0</v>
          </cell>
        </row>
        <row r="206">
          <cell r="A206">
            <v>92001</v>
          </cell>
          <cell r="B206" t="str">
            <v>CHEROKEE COUNTY</v>
          </cell>
          <cell r="C206">
            <v>1.7757000000000001E-3</v>
          </cell>
          <cell r="D206"/>
          <cell r="E206">
            <v>-50036</v>
          </cell>
          <cell r="F206">
            <v>-50038</v>
          </cell>
          <cell r="G206">
            <v>-17084</v>
          </cell>
          <cell r="H206">
            <v>-13662</v>
          </cell>
          <cell r="I206">
            <v>0</v>
          </cell>
        </row>
        <row r="207">
          <cell r="A207">
            <v>92005</v>
          </cell>
          <cell r="B207" t="str">
            <v>NANTAHALA REGIONAL LIBRARY</v>
          </cell>
          <cell r="C207">
            <v>3.5299999999999997E-5</v>
          </cell>
          <cell r="D207"/>
          <cell r="E207">
            <v>-1133</v>
          </cell>
          <cell r="F207">
            <v>-1131</v>
          </cell>
          <cell r="G207">
            <v>-666</v>
          </cell>
          <cell r="H207">
            <v>-664</v>
          </cell>
          <cell r="I207">
            <v>0</v>
          </cell>
        </row>
        <row r="208">
          <cell r="A208">
            <v>92011</v>
          </cell>
          <cell r="B208" t="str">
            <v>TOWN OF MURPHY</v>
          </cell>
          <cell r="C208">
            <v>1.9100000000000001E-4</v>
          </cell>
          <cell r="D208"/>
          <cell r="E208">
            <v>-2744</v>
          </cell>
          <cell r="F208">
            <v>-2744</v>
          </cell>
          <cell r="G208">
            <v>-2745</v>
          </cell>
          <cell r="H208">
            <v>-1300</v>
          </cell>
          <cell r="I208">
            <v>0</v>
          </cell>
        </row>
        <row r="209">
          <cell r="A209">
            <v>92017</v>
          </cell>
          <cell r="B209" t="str">
            <v>MURPHY ABC BOARD</v>
          </cell>
          <cell r="C209">
            <v>3.1900000000000003E-5</v>
          </cell>
          <cell r="D209"/>
          <cell r="E209">
            <v>-167</v>
          </cell>
          <cell r="F209">
            <v>0</v>
          </cell>
          <cell r="G209">
            <v>0</v>
          </cell>
          <cell r="H209">
            <v>0</v>
          </cell>
          <cell r="I209">
            <v>0</v>
          </cell>
        </row>
        <row r="210">
          <cell r="A210">
            <v>92021</v>
          </cell>
          <cell r="B210" t="str">
            <v>TOWN OF ANDREWS</v>
          </cell>
          <cell r="C210">
            <v>1.054E-4</v>
          </cell>
          <cell r="D210"/>
          <cell r="E210">
            <v>-14034</v>
          </cell>
          <cell r="F210">
            <v>-14034</v>
          </cell>
          <cell r="G210">
            <v>-14036</v>
          </cell>
          <cell r="H210">
            <v>-8924</v>
          </cell>
          <cell r="I210">
            <v>0</v>
          </cell>
        </row>
        <row r="211">
          <cell r="A211">
            <v>92101</v>
          </cell>
          <cell r="B211" t="str">
            <v>CHOWAN COUNTY</v>
          </cell>
          <cell r="C211">
            <v>7.8700000000000005E-4</v>
          </cell>
          <cell r="D211"/>
          <cell r="E211">
            <v>-35511</v>
          </cell>
          <cell r="F211">
            <v>-25308</v>
          </cell>
          <cell r="G211">
            <v>-17994</v>
          </cell>
          <cell r="H211">
            <v>-8944</v>
          </cell>
          <cell r="I211">
            <v>0</v>
          </cell>
        </row>
        <row r="212">
          <cell r="A212">
            <v>92104</v>
          </cell>
          <cell r="B212" t="str">
            <v>CHOWAN COUNTY ABC BOARD</v>
          </cell>
          <cell r="C212">
            <v>7.0999999999999998E-6</v>
          </cell>
          <cell r="D212"/>
          <cell r="E212">
            <v>0</v>
          </cell>
          <cell r="F212">
            <v>0</v>
          </cell>
          <cell r="G212">
            <v>0</v>
          </cell>
          <cell r="H212">
            <v>0</v>
          </cell>
          <cell r="I212">
            <v>0</v>
          </cell>
        </row>
        <row r="213">
          <cell r="A213">
            <v>92109</v>
          </cell>
          <cell r="B213" t="str">
            <v>ALBEMARLE REGNL PLANNING &amp; DEVELOPMENT COMM</v>
          </cell>
          <cell r="C213">
            <v>1.6799999999999999E-4</v>
          </cell>
          <cell r="D213"/>
          <cell r="E213">
            <v>-4581</v>
          </cell>
          <cell r="F213">
            <v>-4581</v>
          </cell>
          <cell r="G213">
            <v>-4582</v>
          </cell>
          <cell r="H213">
            <v>-1236</v>
          </cell>
          <cell r="I213">
            <v>0</v>
          </cell>
        </row>
        <row r="214">
          <cell r="A214">
            <v>92111</v>
          </cell>
          <cell r="B214" t="str">
            <v>TOWN OF EDENTON</v>
          </cell>
          <cell r="C214">
            <v>4.9209999999999998E-4</v>
          </cell>
          <cell r="D214"/>
          <cell r="E214">
            <v>-11097</v>
          </cell>
          <cell r="F214">
            <v>-7107</v>
          </cell>
          <cell r="G214">
            <v>-7107</v>
          </cell>
          <cell r="H214">
            <v>-7106</v>
          </cell>
          <cell r="I214">
            <v>0</v>
          </cell>
        </row>
        <row r="215">
          <cell r="A215">
            <v>92113</v>
          </cell>
          <cell r="B215" t="str">
            <v>THE NEW EDENTON HOUSING AUTH</v>
          </cell>
          <cell r="C215">
            <v>1.7099999999999999E-5</v>
          </cell>
          <cell r="D215"/>
          <cell r="E215">
            <v>-545</v>
          </cell>
          <cell r="F215">
            <v>-543</v>
          </cell>
          <cell r="G215">
            <v>0</v>
          </cell>
          <cell r="H215">
            <v>0</v>
          </cell>
          <cell r="I215">
            <v>0</v>
          </cell>
        </row>
        <row r="216">
          <cell r="A216">
            <v>92201</v>
          </cell>
          <cell r="B216" t="str">
            <v>CLAY COUNTY</v>
          </cell>
          <cell r="C216">
            <v>8.3589999999999999E-4</v>
          </cell>
          <cell r="D216"/>
          <cell r="E216">
            <v>-20678</v>
          </cell>
          <cell r="F216">
            <v>-20677</v>
          </cell>
          <cell r="G216">
            <v>-9839</v>
          </cell>
          <cell r="H216">
            <v>-9839</v>
          </cell>
          <cell r="I216">
            <v>0</v>
          </cell>
        </row>
        <row r="217">
          <cell r="A217">
            <v>92214</v>
          </cell>
          <cell r="B217" t="str">
            <v>CLAY COUNTY ABC BOARD</v>
          </cell>
          <cell r="C217">
            <v>2.02E-5</v>
          </cell>
          <cell r="D217"/>
          <cell r="E217">
            <v>0</v>
          </cell>
          <cell r="F217">
            <v>0</v>
          </cell>
          <cell r="G217">
            <v>0</v>
          </cell>
          <cell r="H217">
            <v>0</v>
          </cell>
          <cell r="I217">
            <v>0</v>
          </cell>
        </row>
        <row r="218">
          <cell r="A218">
            <v>92301</v>
          </cell>
          <cell r="B218" t="str">
            <v>CLEVELAND COUNTY</v>
          </cell>
          <cell r="C218">
            <v>5.6146E-3</v>
          </cell>
          <cell r="D218"/>
          <cell r="E218">
            <v>-8017</v>
          </cell>
          <cell r="F218">
            <v>-8017</v>
          </cell>
          <cell r="G218">
            <v>0</v>
          </cell>
          <cell r="H218">
            <v>0</v>
          </cell>
          <cell r="I218">
            <v>0</v>
          </cell>
        </row>
        <row r="219">
          <cell r="A219">
            <v>92302</v>
          </cell>
          <cell r="B219" t="str">
            <v>CLEVELAND CO SANITARY DIST</v>
          </cell>
          <cell r="C219">
            <v>3.0249999999999998E-4</v>
          </cell>
          <cell r="D219"/>
          <cell r="E219">
            <v>-12206</v>
          </cell>
          <cell r="F219">
            <v>-11928</v>
          </cell>
          <cell r="G219">
            <v>-6185</v>
          </cell>
          <cell r="H219">
            <v>-6187</v>
          </cell>
          <cell r="I219">
            <v>0</v>
          </cell>
        </row>
        <row r="220">
          <cell r="A220">
            <v>92311</v>
          </cell>
          <cell r="B220" t="str">
            <v>CITY OF SHELBY</v>
          </cell>
          <cell r="C220">
            <v>2.2645999999999999E-3</v>
          </cell>
          <cell r="D220"/>
          <cell r="E220">
            <v>-19139</v>
          </cell>
          <cell r="F220">
            <v>-15433</v>
          </cell>
          <cell r="G220">
            <v>-15431</v>
          </cell>
          <cell r="H220">
            <v>0</v>
          </cell>
          <cell r="I220">
            <v>0</v>
          </cell>
        </row>
        <row r="221">
          <cell r="A221">
            <v>92317</v>
          </cell>
          <cell r="B221" t="str">
            <v>SHELBY ABC BOARD</v>
          </cell>
          <cell r="C221">
            <v>2.97E-5</v>
          </cell>
          <cell r="D221"/>
          <cell r="E221">
            <v>0</v>
          </cell>
          <cell r="F221">
            <v>0</v>
          </cell>
          <cell r="G221">
            <v>0</v>
          </cell>
          <cell r="H221">
            <v>0</v>
          </cell>
          <cell r="I221">
            <v>0</v>
          </cell>
        </row>
        <row r="222">
          <cell r="A222">
            <v>92321</v>
          </cell>
          <cell r="B222" t="str">
            <v>CITY OF KINGS MOUNTAIN</v>
          </cell>
          <cell r="C222">
            <v>1.2122999999999999E-3</v>
          </cell>
          <cell r="D222"/>
          <cell r="E222">
            <v>-7628</v>
          </cell>
          <cell r="F222">
            <v>-7331</v>
          </cell>
          <cell r="G222">
            <v>-2411</v>
          </cell>
          <cell r="H222">
            <v>-2412</v>
          </cell>
          <cell r="I222">
            <v>0</v>
          </cell>
        </row>
        <row r="223">
          <cell r="A223">
            <v>92327</v>
          </cell>
          <cell r="B223" t="str">
            <v>KINGS MOUNTAIN ABC BOARD</v>
          </cell>
          <cell r="C223">
            <v>6.4999999999999996E-6</v>
          </cell>
          <cell r="D223"/>
          <cell r="E223">
            <v>0</v>
          </cell>
          <cell r="F223">
            <v>0</v>
          </cell>
          <cell r="G223">
            <v>0</v>
          </cell>
          <cell r="H223">
            <v>0</v>
          </cell>
          <cell r="I223">
            <v>0</v>
          </cell>
        </row>
        <row r="224">
          <cell r="A224">
            <v>92331</v>
          </cell>
          <cell r="B224" t="str">
            <v>TOWN OF BOILING SPRINGS</v>
          </cell>
          <cell r="C224">
            <v>1.351E-4</v>
          </cell>
          <cell r="D224"/>
          <cell r="E224">
            <v>-3243</v>
          </cell>
          <cell r="F224">
            <v>-1675</v>
          </cell>
          <cell r="G224">
            <v>-1091</v>
          </cell>
          <cell r="H224">
            <v>0</v>
          </cell>
          <cell r="I224">
            <v>0</v>
          </cell>
        </row>
        <row r="225">
          <cell r="A225">
            <v>92341</v>
          </cell>
          <cell r="B225" t="str">
            <v>TOWN OF LAWNDALE</v>
          </cell>
          <cell r="C225">
            <v>8.4999999999999999E-6</v>
          </cell>
          <cell r="D225"/>
          <cell r="E225">
            <v>-722</v>
          </cell>
          <cell r="F225">
            <v>-722</v>
          </cell>
          <cell r="G225">
            <v>-722</v>
          </cell>
          <cell r="H225">
            <v>-368</v>
          </cell>
          <cell r="I225">
            <v>0</v>
          </cell>
        </row>
        <row r="226">
          <cell r="A226">
            <v>92351</v>
          </cell>
          <cell r="B226" t="str">
            <v>TOWN OF GROVER</v>
          </cell>
          <cell r="C226">
            <v>1.7499999999999998E-5</v>
          </cell>
          <cell r="D226"/>
          <cell r="E226">
            <v>-1169</v>
          </cell>
          <cell r="F226">
            <v>-181</v>
          </cell>
          <cell r="G226">
            <v>-181</v>
          </cell>
          <cell r="H226">
            <v>-181</v>
          </cell>
          <cell r="I226">
            <v>0</v>
          </cell>
        </row>
        <row r="227">
          <cell r="A227">
            <v>92401</v>
          </cell>
          <cell r="B227" t="str">
            <v>COLUMBUS COUNTY</v>
          </cell>
          <cell r="C227">
            <v>2.6340000000000001E-3</v>
          </cell>
          <cell r="D227"/>
          <cell r="E227">
            <v>-13568</v>
          </cell>
          <cell r="F227">
            <v>-13568</v>
          </cell>
          <cell r="G227">
            <v>-13566</v>
          </cell>
          <cell r="H227">
            <v>0</v>
          </cell>
          <cell r="I227">
            <v>0</v>
          </cell>
        </row>
        <row r="228">
          <cell r="A228">
            <v>92403</v>
          </cell>
          <cell r="B228" t="str">
            <v>WHITEVILLE HOUSING AUTHORITY</v>
          </cell>
          <cell r="C228">
            <v>9.0999999999999993E-6</v>
          </cell>
          <cell r="D228"/>
          <cell r="E228">
            <v>-394</v>
          </cell>
          <cell r="F228">
            <v>0</v>
          </cell>
          <cell r="G228">
            <v>0</v>
          </cell>
          <cell r="H228">
            <v>0</v>
          </cell>
          <cell r="I228">
            <v>0</v>
          </cell>
        </row>
        <row r="229">
          <cell r="A229">
            <v>92411</v>
          </cell>
          <cell r="B229" t="str">
            <v>CITY OF WHITEVILLE</v>
          </cell>
          <cell r="C229">
            <v>4.5199999999999998E-4</v>
          </cell>
          <cell r="D229"/>
          <cell r="E229">
            <v>-23110</v>
          </cell>
          <cell r="F229">
            <v>-13120</v>
          </cell>
          <cell r="G229">
            <v>-11616</v>
          </cell>
          <cell r="H229">
            <v>0</v>
          </cell>
          <cell r="I229">
            <v>0</v>
          </cell>
        </row>
        <row r="230">
          <cell r="A230">
            <v>92414</v>
          </cell>
          <cell r="B230" t="str">
            <v>TOWN OF BOLTON</v>
          </cell>
          <cell r="C230">
            <v>0</v>
          </cell>
          <cell r="D230"/>
          <cell r="E230">
            <v>-1184</v>
          </cell>
          <cell r="F230">
            <v>0</v>
          </cell>
          <cell r="G230">
            <v>0</v>
          </cell>
          <cell r="H230">
            <v>0</v>
          </cell>
          <cell r="I230">
            <v>0</v>
          </cell>
        </row>
        <row r="231">
          <cell r="A231">
            <v>92417</v>
          </cell>
          <cell r="B231" t="str">
            <v>WHITEVILLE ABC BOARD</v>
          </cell>
          <cell r="C231">
            <v>1.73E-5</v>
          </cell>
          <cell r="D231"/>
          <cell r="E231">
            <v>-1963</v>
          </cell>
          <cell r="F231">
            <v>-1743</v>
          </cell>
          <cell r="G231">
            <v>-1359</v>
          </cell>
          <cell r="H231">
            <v>-895</v>
          </cell>
          <cell r="I231">
            <v>0</v>
          </cell>
        </row>
        <row r="232">
          <cell r="A232">
            <v>92421</v>
          </cell>
          <cell r="B232" t="str">
            <v>TOWN OF BRUNSWICK</v>
          </cell>
          <cell r="C232">
            <v>1.6399999999999999E-5</v>
          </cell>
          <cell r="D232"/>
          <cell r="E232">
            <v>-344</v>
          </cell>
          <cell r="F232">
            <v>0</v>
          </cell>
          <cell r="G232">
            <v>0</v>
          </cell>
          <cell r="H232">
            <v>0</v>
          </cell>
          <cell r="I232">
            <v>0</v>
          </cell>
        </row>
        <row r="233">
          <cell r="A233">
            <v>92427</v>
          </cell>
          <cell r="B233" t="str">
            <v>LAKE WACCAMAW ABC BOARD</v>
          </cell>
          <cell r="C233">
            <v>1.9E-6</v>
          </cell>
          <cell r="D233"/>
          <cell r="E233">
            <v>0</v>
          </cell>
          <cell r="F233">
            <v>0</v>
          </cell>
          <cell r="G233">
            <v>0</v>
          </cell>
          <cell r="H233">
            <v>0</v>
          </cell>
          <cell r="I233">
            <v>0</v>
          </cell>
        </row>
        <row r="234">
          <cell r="A234">
            <v>92431</v>
          </cell>
          <cell r="B234" t="str">
            <v>TOWN OF FAIR BLUFF</v>
          </cell>
          <cell r="C234">
            <v>2.6999999999999999E-5</v>
          </cell>
          <cell r="D234"/>
          <cell r="E234">
            <v>-1359</v>
          </cell>
          <cell r="F234">
            <v>-420</v>
          </cell>
          <cell r="G234">
            <v>-419</v>
          </cell>
          <cell r="H234">
            <v>0</v>
          </cell>
          <cell r="I234">
            <v>0</v>
          </cell>
        </row>
        <row r="235">
          <cell r="A235">
            <v>92441</v>
          </cell>
          <cell r="B235" t="str">
            <v>TOWN OF CHADBOURN</v>
          </cell>
          <cell r="C235">
            <v>8.6500000000000002E-5</v>
          </cell>
          <cell r="D235"/>
          <cell r="E235">
            <v>-6232</v>
          </cell>
          <cell r="F235">
            <v>-5126</v>
          </cell>
          <cell r="G235">
            <v>-3204</v>
          </cell>
          <cell r="H235">
            <v>-3204</v>
          </cell>
          <cell r="I235">
            <v>0</v>
          </cell>
        </row>
        <row r="236">
          <cell r="A236">
            <v>92444</v>
          </cell>
          <cell r="B236" t="str">
            <v>WEST COLUMBUS ABC BOARD</v>
          </cell>
          <cell r="C236">
            <v>5.1000000000000003E-6</v>
          </cell>
          <cell r="D236"/>
          <cell r="E236">
            <v>0</v>
          </cell>
          <cell r="F236">
            <v>0</v>
          </cell>
          <cell r="G236">
            <v>0</v>
          </cell>
          <cell r="H236">
            <v>0</v>
          </cell>
          <cell r="I236">
            <v>0</v>
          </cell>
        </row>
        <row r="237">
          <cell r="A237">
            <v>92451</v>
          </cell>
          <cell r="B237" t="str">
            <v>TOWN OF TABOR CITY</v>
          </cell>
          <cell r="C237">
            <v>1.143E-4</v>
          </cell>
          <cell r="D237"/>
          <cell r="E237">
            <v>0</v>
          </cell>
          <cell r="F237">
            <v>0</v>
          </cell>
          <cell r="G237">
            <v>0</v>
          </cell>
          <cell r="H237">
            <v>0</v>
          </cell>
          <cell r="I237">
            <v>0</v>
          </cell>
        </row>
        <row r="238">
          <cell r="A238">
            <v>92461</v>
          </cell>
          <cell r="B238" t="str">
            <v>TOWN OF LAKE WACCAMAW</v>
          </cell>
          <cell r="C238">
            <v>5.8400000000000003E-5</v>
          </cell>
          <cell r="D238"/>
          <cell r="E238">
            <v>0</v>
          </cell>
          <cell r="F238">
            <v>0</v>
          </cell>
          <cell r="G238">
            <v>0</v>
          </cell>
          <cell r="H238">
            <v>0</v>
          </cell>
          <cell r="I238">
            <v>0</v>
          </cell>
        </row>
        <row r="239">
          <cell r="A239">
            <v>92501</v>
          </cell>
          <cell r="B239" t="str">
            <v>CRAVEN COUNTY</v>
          </cell>
          <cell r="C239">
            <v>3.7055999999999999E-3</v>
          </cell>
          <cell r="D239"/>
          <cell r="E239">
            <v>0</v>
          </cell>
          <cell r="F239">
            <v>0</v>
          </cell>
          <cell r="G239">
            <v>0</v>
          </cell>
          <cell r="H239">
            <v>0</v>
          </cell>
          <cell r="I239">
            <v>0</v>
          </cell>
        </row>
        <row r="240">
          <cell r="A240">
            <v>92502</v>
          </cell>
          <cell r="B240" t="str">
            <v>FIRST CRAVEN SANITARY DIST</v>
          </cell>
          <cell r="C240">
            <v>2.3600000000000001E-5</v>
          </cell>
          <cell r="D240"/>
          <cell r="E240">
            <v>0</v>
          </cell>
          <cell r="F240">
            <v>0</v>
          </cell>
          <cell r="G240">
            <v>0</v>
          </cell>
          <cell r="H240">
            <v>0</v>
          </cell>
          <cell r="I240">
            <v>0</v>
          </cell>
        </row>
        <row r="241">
          <cell r="A241">
            <v>92504</v>
          </cell>
          <cell r="B241" t="str">
            <v>CRAVEN CO ABC BD</v>
          </cell>
          <cell r="C241">
            <v>7.6299999999999998E-5</v>
          </cell>
          <cell r="D241"/>
          <cell r="E241">
            <v>0</v>
          </cell>
          <cell r="F241">
            <v>0</v>
          </cell>
          <cell r="G241">
            <v>0</v>
          </cell>
          <cell r="H241">
            <v>0</v>
          </cell>
          <cell r="I241">
            <v>0</v>
          </cell>
        </row>
        <row r="242">
          <cell r="A242">
            <v>92505</v>
          </cell>
          <cell r="B242" t="str">
            <v>CRAVEN-PAMLICO-CARTERET REGIONAL LIBRARY</v>
          </cell>
          <cell r="C242">
            <v>1.7090000000000001E-4</v>
          </cell>
          <cell r="D242"/>
          <cell r="E242">
            <v>0</v>
          </cell>
          <cell r="F242">
            <v>0</v>
          </cell>
          <cell r="G242">
            <v>0</v>
          </cell>
          <cell r="H242">
            <v>0</v>
          </cell>
          <cell r="I242">
            <v>0</v>
          </cell>
        </row>
        <row r="243">
          <cell r="A243">
            <v>92506</v>
          </cell>
          <cell r="B243" t="str">
            <v>COASTAL CAROLINA REGIONAL AIRPORT</v>
          </cell>
          <cell r="C243">
            <v>5.38E-5</v>
          </cell>
          <cell r="D243"/>
          <cell r="E243">
            <v>-333</v>
          </cell>
          <cell r="F243">
            <v>-333</v>
          </cell>
          <cell r="G243">
            <v>-333</v>
          </cell>
          <cell r="H243">
            <v>-334</v>
          </cell>
          <cell r="I243">
            <v>0</v>
          </cell>
        </row>
        <row r="244">
          <cell r="A244">
            <v>92507</v>
          </cell>
          <cell r="B244" t="str">
            <v>NEUSE RIVER COUNCIL OF GOVERNMENTS</v>
          </cell>
          <cell r="C244">
            <v>1.01E-4</v>
          </cell>
          <cell r="D244"/>
          <cell r="E244">
            <v>-4718</v>
          </cell>
          <cell r="F244">
            <v>-1869</v>
          </cell>
          <cell r="G244">
            <v>-1869</v>
          </cell>
          <cell r="H244">
            <v>0</v>
          </cell>
          <cell r="I244">
            <v>0</v>
          </cell>
        </row>
        <row r="245">
          <cell r="A245">
            <v>92508</v>
          </cell>
          <cell r="B245" t="str">
            <v>COASTAL REGIONAL SOLID WASTE MNGT AUTH</v>
          </cell>
          <cell r="C245">
            <v>3.102E-4</v>
          </cell>
          <cell r="D245"/>
          <cell r="E245">
            <v>-423</v>
          </cell>
          <cell r="F245">
            <v>0</v>
          </cell>
          <cell r="G245">
            <v>0</v>
          </cell>
          <cell r="H245">
            <v>0</v>
          </cell>
          <cell r="I245">
            <v>0</v>
          </cell>
        </row>
        <row r="246">
          <cell r="A246">
            <v>92509</v>
          </cell>
          <cell r="B246" t="str">
            <v>EAST CAROLINA BEHAVORIAL HEALTHCARE</v>
          </cell>
          <cell r="C246">
            <v>0</v>
          </cell>
          <cell r="D246"/>
          <cell r="E246">
            <v>-260868</v>
          </cell>
          <cell r="F246">
            <v>0</v>
          </cell>
          <cell r="G246">
            <v>0</v>
          </cell>
          <cell r="H246">
            <v>0</v>
          </cell>
          <cell r="I246">
            <v>0</v>
          </cell>
        </row>
        <row r="247">
          <cell r="A247">
            <v>92511</v>
          </cell>
          <cell r="B247" t="str">
            <v>CITY OF NEW BERN</v>
          </cell>
          <cell r="C247">
            <v>3.5699999999999998E-3</v>
          </cell>
          <cell r="D247"/>
          <cell r="E247">
            <v>-55746</v>
          </cell>
          <cell r="F247">
            <v>-15786</v>
          </cell>
          <cell r="G247">
            <v>0</v>
          </cell>
          <cell r="H247">
            <v>0</v>
          </cell>
          <cell r="I247">
            <v>0</v>
          </cell>
        </row>
        <row r="248">
          <cell r="A248">
            <v>92513</v>
          </cell>
          <cell r="B248" t="str">
            <v>TRILLIUM HEALTH RESOURCES</v>
          </cell>
          <cell r="C248">
            <v>3.9484999999999998E-3</v>
          </cell>
          <cell r="D248"/>
          <cell r="E248">
            <v>-102381</v>
          </cell>
          <cell r="F248">
            <v>-102382</v>
          </cell>
          <cell r="G248">
            <v>-75740</v>
          </cell>
          <cell r="H248">
            <v>-23638</v>
          </cell>
          <cell r="I248">
            <v>0</v>
          </cell>
        </row>
        <row r="249">
          <cell r="A249">
            <v>92521</v>
          </cell>
          <cell r="B249" t="str">
            <v>TOWN OF TRENT WOODS</v>
          </cell>
          <cell r="C249">
            <v>7.7399999999999998E-5</v>
          </cell>
          <cell r="D249"/>
          <cell r="E249">
            <v>-4728</v>
          </cell>
          <cell r="F249">
            <v>-3171</v>
          </cell>
          <cell r="G249">
            <v>-2181</v>
          </cell>
          <cell r="H249">
            <v>-1743</v>
          </cell>
          <cell r="I249">
            <v>0</v>
          </cell>
        </row>
        <row r="250">
          <cell r="A250">
            <v>92531</v>
          </cell>
          <cell r="B250" t="str">
            <v>CITY OF HAVELOCK</v>
          </cell>
          <cell r="C250">
            <v>8.2580000000000001E-4</v>
          </cell>
          <cell r="D250"/>
          <cell r="E250">
            <v>-43048</v>
          </cell>
          <cell r="F250">
            <v>-25118</v>
          </cell>
          <cell r="G250">
            <v>-21940</v>
          </cell>
          <cell r="H250">
            <v>-9750</v>
          </cell>
          <cell r="I250">
            <v>0</v>
          </cell>
        </row>
        <row r="251">
          <cell r="A251">
            <v>92541</v>
          </cell>
          <cell r="B251" t="str">
            <v>TOWN OF RIVER BEND</v>
          </cell>
          <cell r="C251">
            <v>1.3740000000000001E-4</v>
          </cell>
          <cell r="D251"/>
          <cell r="E251">
            <v>-4968</v>
          </cell>
          <cell r="F251">
            <v>-4968</v>
          </cell>
          <cell r="G251">
            <v>-3758</v>
          </cell>
          <cell r="H251">
            <v>0</v>
          </cell>
          <cell r="I251">
            <v>0</v>
          </cell>
        </row>
        <row r="252">
          <cell r="A252">
            <v>92551</v>
          </cell>
          <cell r="B252" t="str">
            <v>TOWN OF VANCEBORO</v>
          </cell>
          <cell r="C252">
            <v>5.7099999999999999E-5</v>
          </cell>
          <cell r="D252"/>
          <cell r="E252">
            <v>-3403</v>
          </cell>
          <cell r="F252">
            <v>-1767</v>
          </cell>
          <cell r="G252">
            <v>-1766</v>
          </cell>
          <cell r="H252">
            <v>0</v>
          </cell>
          <cell r="I252">
            <v>0</v>
          </cell>
        </row>
        <row r="253">
          <cell r="A253">
            <v>92561</v>
          </cell>
          <cell r="B253" t="str">
            <v>TOWN OF BRIDGETON</v>
          </cell>
          <cell r="C253">
            <v>1.7900000000000001E-5</v>
          </cell>
          <cell r="D253"/>
          <cell r="E253">
            <v>-637</v>
          </cell>
          <cell r="F253">
            <v>-637</v>
          </cell>
          <cell r="G253">
            <v>-636</v>
          </cell>
          <cell r="H253">
            <v>-604</v>
          </cell>
          <cell r="I253">
            <v>0</v>
          </cell>
        </row>
        <row r="254">
          <cell r="A254">
            <v>92571</v>
          </cell>
          <cell r="B254" t="str">
            <v>TOWN OF COVE CITY</v>
          </cell>
          <cell r="C254">
            <v>8.1999999999999994E-6</v>
          </cell>
          <cell r="D254"/>
          <cell r="E254">
            <v>0</v>
          </cell>
          <cell r="F254">
            <v>0</v>
          </cell>
          <cell r="G254">
            <v>0</v>
          </cell>
          <cell r="H254">
            <v>0</v>
          </cell>
          <cell r="I254">
            <v>0</v>
          </cell>
        </row>
        <row r="255">
          <cell r="A255">
            <v>92601</v>
          </cell>
          <cell r="B255" t="str">
            <v>CUMBERLAND COUNTY</v>
          </cell>
          <cell r="C255">
            <v>1.32598E-2</v>
          </cell>
          <cell r="D255"/>
          <cell r="E255">
            <v>-302398</v>
          </cell>
          <cell r="F255">
            <v>-302398</v>
          </cell>
          <cell r="G255">
            <v>-290886</v>
          </cell>
          <cell r="H255">
            <v>-1853</v>
          </cell>
          <cell r="I255">
            <v>0</v>
          </cell>
        </row>
        <row r="256">
          <cell r="A256">
            <v>92602</v>
          </cell>
          <cell r="B256" t="str">
            <v>WESTAREA VOLUNTEER FIRE DEPT</v>
          </cell>
          <cell r="C256">
            <v>4.8999999999999997E-6</v>
          </cell>
          <cell r="D256"/>
          <cell r="E256">
            <v>-1023</v>
          </cell>
          <cell r="F256">
            <v>-987</v>
          </cell>
          <cell r="G256">
            <v>-961</v>
          </cell>
          <cell r="H256">
            <v>-486</v>
          </cell>
          <cell r="I256">
            <v>0</v>
          </cell>
        </row>
        <row r="257">
          <cell r="A257">
            <v>92604</v>
          </cell>
          <cell r="B257" t="str">
            <v>CUMBERLAND CO ABC BOARD</v>
          </cell>
          <cell r="C257">
            <v>3.501E-4</v>
          </cell>
          <cell r="D257"/>
          <cell r="E257">
            <v>0</v>
          </cell>
          <cell r="F257">
            <v>0</v>
          </cell>
          <cell r="G257">
            <v>0</v>
          </cell>
          <cell r="H257">
            <v>0</v>
          </cell>
          <cell r="I257">
            <v>0</v>
          </cell>
        </row>
        <row r="258">
          <cell r="A258">
            <v>92607</v>
          </cell>
          <cell r="B258" t="str">
            <v>MID-CAROLINA COUNCIL OF GOVERNMENTS</v>
          </cell>
          <cell r="C258">
            <v>5.6700000000000003E-5</v>
          </cell>
          <cell r="D258"/>
          <cell r="E258">
            <v>-189</v>
          </cell>
          <cell r="F258">
            <v>-189</v>
          </cell>
          <cell r="G258">
            <v>-189</v>
          </cell>
          <cell r="H258">
            <v>-191</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-518263</v>
          </cell>
          <cell r="F260">
            <v>-410934</v>
          </cell>
          <cell r="G260">
            <v>-292443</v>
          </cell>
          <cell r="H260">
            <v>-153711</v>
          </cell>
          <cell r="I260">
            <v>0</v>
          </cell>
        </row>
        <row r="261">
          <cell r="A261">
            <v>92613</v>
          </cell>
          <cell r="B261" t="str">
            <v>FAYETTEVILLE METROPOLITAN HOUSING AUTH</v>
          </cell>
          <cell r="C261">
            <v>2.23E-4</v>
          </cell>
          <cell r="D261"/>
          <cell r="E261">
            <v>-271</v>
          </cell>
          <cell r="F261">
            <v>-271</v>
          </cell>
          <cell r="G261">
            <v>-273</v>
          </cell>
          <cell r="H261">
            <v>0</v>
          </cell>
          <cell r="I261">
            <v>0</v>
          </cell>
        </row>
        <row r="262">
          <cell r="A262">
            <v>92614</v>
          </cell>
          <cell r="B262" t="str">
            <v>PUBLIC WORKS COMM CTY OF FAYETTEVILLE</v>
          </cell>
          <cell r="C262">
            <v>5.7201999999999999E-3</v>
          </cell>
          <cell r="D262"/>
          <cell r="E262">
            <v>0</v>
          </cell>
          <cell r="F262">
            <v>0</v>
          </cell>
          <cell r="G262">
            <v>0</v>
          </cell>
          <cell r="H262">
            <v>0</v>
          </cell>
          <cell r="I262">
            <v>0</v>
          </cell>
        </row>
        <row r="263">
          <cell r="A263">
            <v>92621</v>
          </cell>
          <cell r="B263" t="str">
            <v>TOWN OF STEDMAN</v>
          </cell>
          <cell r="C263">
            <v>2.8900000000000001E-5</v>
          </cell>
          <cell r="D263"/>
          <cell r="E263">
            <v>-1580</v>
          </cell>
          <cell r="F263">
            <v>-1351</v>
          </cell>
          <cell r="G263">
            <v>-162</v>
          </cell>
          <cell r="H263">
            <v>0</v>
          </cell>
          <cell r="I263">
            <v>0</v>
          </cell>
        </row>
        <row r="264">
          <cell r="A264">
            <v>92631</v>
          </cell>
          <cell r="B264" t="str">
            <v>TOWN OF HOPE MILLS</v>
          </cell>
          <cell r="C264">
            <v>9.3329999999999997E-4</v>
          </cell>
          <cell r="D264"/>
          <cell r="E264">
            <v>-44056</v>
          </cell>
          <cell r="F264">
            <v>-29455</v>
          </cell>
          <cell r="G264">
            <v>-10402</v>
          </cell>
          <cell r="H264">
            <v>-722</v>
          </cell>
          <cell r="I264">
            <v>0</v>
          </cell>
        </row>
        <row r="265">
          <cell r="A265">
            <v>92641</v>
          </cell>
          <cell r="B265" t="str">
            <v>TOWN OF WADE</v>
          </cell>
          <cell r="C265">
            <v>1.11E-5</v>
          </cell>
          <cell r="D265"/>
          <cell r="E265">
            <v>0</v>
          </cell>
          <cell r="F265">
            <v>0</v>
          </cell>
          <cell r="G265">
            <v>0</v>
          </cell>
          <cell r="H265">
            <v>0</v>
          </cell>
          <cell r="I265">
            <v>0</v>
          </cell>
        </row>
        <row r="266">
          <cell r="A266">
            <v>92651</v>
          </cell>
          <cell r="B266" t="str">
            <v>TOWN OF LINDEN</v>
          </cell>
          <cell r="C266">
            <v>4.3000000000000003E-6</v>
          </cell>
          <cell r="D266"/>
          <cell r="E266">
            <v>0</v>
          </cell>
          <cell r="F266">
            <v>0</v>
          </cell>
          <cell r="G266">
            <v>0</v>
          </cell>
          <cell r="H266">
            <v>0</v>
          </cell>
          <cell r="I266">
            <v>0</v>
          </cell>
        </row>
        <row r="267">
          <cell r="A267">
            <v>92661</v>
          </cell>
          <cell r="B267" t="str">
            <v>TOWN OF SPRING LAKE</v>
          </cell>
          <cell r="C267">
            <v>6.2509999999999996E-4</v>
          </cell>
          <cell r="D267"/>
          <cell r="E267">
            <v>0</v>
          </cell>
          <cell r="F267">
            <v>0</v>
          </cell>
          <cell r="G267">
            <v>0</v>
          </cell>
          <cell r="H267">
            <v>0</v>
          </cell>
          <cell r="I267">
            <v>0</v>
          </cell>
        </row>
        <row r="268">
          <cell r="A268">
            <v>92671</v>
          </cell>
          <cell r="B268" t="str">
            <v>TOWN OF FALCON</v>
          </cell>
          <cell r="C268">
            <v>2.0999999999999998E-6</v>
          </cell>
          <cell r="D268"/>
          <cell r="E268">
            <v>0</v>
          </cell>
          <cell r="F268">
            <v>0</v>
          </cell>
          <cell r="G268">
            <v>0</v>
          </cell>
          <cell r="H268">
            <v>0</v>
          </cell>
          <cell r="I268">
            <v>0</v>
          </cell>
        </row>
        <row r="269">
          <cell r="A269">
            <v>92681</v>
          </cell>
          <cell r="B269" t="str">
            <v>TOWN OF EASTOVER</v>
          </cell>
          <cell r="C269">
            <v>1.1800000000000001E-5</v>
          </cell>
          <cell r="D269"/>
          <cell r="E269">
            <v>0</v>
          </cell>
          <cell r="F269">
            <v>0</v>
          </cell>
          <cell r="G269">
            <v>0</v>
          </cell>
          <cell r="H269">
            <v>0</v>
          </cell>
          <cell r="I269">
            <v>0</v>
          </cell>
        </row>
        <row r="270">
          <cell r="A270">
            <v>92701</v>
          </cell>
          <cell r="B270" t="str">
            <v>CURRITUCK COUNTY</v>
          </cell>
          <cell r="C270">
            <v>3.0688999999999998E-3</v>
          </cell>
          <cell r="D270"/>
          <cell r="E270">
            <v>-37667</v>
          </cell>
          <cell r="F270">
            <v>-37667</v>
          </cell>
          <cell r="G270">
            <v>-37665</v>
          </cell>
          <cell r="H270">
            <v>0</v>
          </cell>
          <cell r="I270">
            <v>0</v>
          </cell>
        </row>
        <row r="271">
          <cell r="A271">
            <v>92704</v>
          </cell>
          <cell r="B271" t="str">
            <v>CURRITUCK CO ABC BOARD</v>
          </cell>
          <cell r="C271">
            <v>3.6900000000000002E-5</v>
          </cell>
          <cell r="D271"/>
          <cell r="E271">
            <v>-2201</v>
          </cell>
          <cell r="F271">
            <v>-1777</v>
          </cell>
          <cell r="G271">
            <v>-713</v>
          </cell>
          <cell r="H271">
            <v>-384</v>
          </cell>
          <cell r="I271">
            <v>0</v>
          </cell>
        </row>
        <row r="272">
          <cell r="A272">
            <v>92801</v>
          </cell>
          <cell r="B272" t="str">
            <v>DARE COUNTY</v>
          </cell>
          <cell r="C272">
            <v>5.4352999999999997E-3</v>
          </cell>
          <cell r="D272"/>
          <cell r="E272">
            <v>0</v>
          </cell>
          <cell r="F272">
            <v>0</v>
          </cell>
          <cell r="G272">
            <v>0</v>
          </cell>
          <cell r="H272">
            <v>0</v>
          </cell>
          <cell r="I272">
            <v>0</v>
          </cell>
        </row>
        <row r="273">
          <cell r="A273">
            <v>92802</v>
          </cell>
          <cell r="B273" t="str">
            <v>DARE COUNTY TOURISM BOARD</v>
          </cell>
          <cell r="C273">
            <v>1.198E-4</v>
          </cell>
          <cell r="D273"/>
          <cell r="E273">
            <v>-7417</v>
          </cell>
          <cell r="F273">
            <v>-5222</v>
          </cell>
          <cell r="G273">
            <v>-3741</v>
          </cell>
          <cell r="H273">
            <v>-2452</v>
          </cell>
          <cell r="I273">
            <v>0</v>
          </cell>
        </row>
        <row r="274">
          <cell r="A274">
            <v>92804</v>
          </cell>
          <cell r="B274" t="str">
            <v>DARE COUNTY ABC BOARD</v>
          </cell>
          <cell r="C274">
            <v>1.427E-4</v>
          </cell>
          <cell r="D274"/>
          <cell r="E274">
            <v>-5197</v>
          </cell>
          <cell r="F274">
            <v>-5199</v>
          </cell>
          <cell r="G274">
            <v>-2422</v>
          </cell>
          <cell r="H274">
            <v>-2421</v>
          </cell>
          <cell r="I274">
            <v>0</v>
          </cell>
        </row>
        <row r="275">
          <cell r="A275">
            <v>92811</v>
          </cell>
          <cell r="B275" t="str">
            <v>TOWN OF NAGS HEAD</v>
          </cell>
          <cell r="C275">
            <v>9.1160000000000004E-4</v>
          </cell>
          <cell r="D275"/>
          <cell r="E275">
            <v>-35090</v>
          </cell>
          <cell r="F275">
            <v>-13860</v>
          </cell>
          <cell r="G275">
            <v>-13243</v>
          </cell>
          <cell r="H275">
            <v>-8140</v>
          </cell>
          <cell r="I275">
            <v>0</v>
          </cell>
        </row>
        <row r="276">
          <cell r="A276">
            <v>92821</v>
          </cell>
          <cell r="B276" t="str">
            <v>TOWN OF KILL DEVIL HILLS</v>
          </cell>
          <cell r="C276">
            <v>9.8409999999999991E-4</v>
          </cell>
          <cell r="D276"/>
          <cell r="E276">
            <v>0</v>
          </cell>
          <cell r="F276">
            <v>0</v>
          </cell>
          <cell r="G276">
            <v>0</v>
          </cell>
          <cell r="H276">
            <v>0</v>
          </cell>
          <cell r="I276">
            <v>0</v>
          </cell>
        </row>
        <row r="277">
          <cell r="A277">
            <v>92831</v>
          </cell>
          <cell r="B277" t="str">
            <v>TOWN OF MANTEO</v>
          </cell>
          <cell r="C277">
            <v>2.5230000000000001E-4</v>
          </cell>
          <cell r="D277"/>
          <cell r="E277">
            <v>-540</v>
          </cell>
          <cell r="F277">
            <v>-538</v>
          </cell>
          <cell r="G277">
            <v>0</v>
          </cell>
          <cell r="H277">
            <v>0</v>
          </cell>
          <cell r="I277">
            <v>0</v>
          </cell>
        </row>
        <row r="278">
          <cell r="A278">
            <v>92841</v>
          </cell>
          <cell r="B278" t="str">
            <v>TOWN OF SOUTHERN SHORES</v>
          </cell>
          <cell r="C278">
            <v>2.4340000000000001E-4</v>
          </cell>
          <cell r="D278"/>
          <cell r="E278">
            <v>-9095</v>
          </cell>
          <cell r="F278">
            <v>-8539</v>
          </cell>
          <cell r="G278">
            <v>-5812</v>
          </cell>
          <cell r="H278">
            <v>-1958</v>
          </cell>
          <cell r="I278">
            <v>0</v>
          </cell>
        </row>
        <row r="279">
          <cell r="A279">
            <v>92851</v>
          </cell>
          <cell r="B279" t="str">
            <v>TOWN OF KITTY HAWK</v>
          </cell>
          <cell r="C279">
            <v>4.2850000000000001E-4</v>
          </cell>
          <cell r="D279"/>
          <cell r="E279">
            <v>-24345</v>
          </cell>
          <cell r="F279">
            <v>-16923</v>
          </cell>
          <cell r="G279">
            <v>-15681</v>
          </cell>
          <cell r="H279">
            <v>-7246</v>
          </cell>
          <cell r="I279">
            <v>0</v>
          </cell>
        </row>
        <row r="280">
          <cell r="A280">
            <v>92861</v>
          </cell>
          <cell r="B280" t="str">
            <v>TOWN OF DUCK</v>
          </cell>
          <cell r="C280">
            <v>3.6309999999999999E-4</v>
          </cell>
          <cell r="D280"/>
          <cell r="E280">
            <v>-31419</v>
          </cell>
          <cell r="F280">
            <v>-19969</v>
          </cell>
          <cell r="G280">
            <v>-15286</v>
          </cell>
          <cell r="H280">
            <v>-8505</v>
          </cell>
          <cell r="I280">
            <v>0</v>
          </cell>
        </row>
        <row r="281">
          <cell r="A281">
            <v>92901</v>
          </cell>
          <cell r="B281" t="str">
            <v>DAVIDSON COUNTY</v>
          </cell>
          <cell r="C281">
            <v>5.4326000000000001E-3</v>
          </cell>
          <cell r="D281"/>
          <cell r="E281">
            <v>-34579</v>
          </cell>
          <cell r="F281">
            <v>-19180</v>
          </cell>
          <cell r="G281">
            <v>-747</v>
          </cell>
          <cell r="H281">
            <v>0</v>
          </cell>
          <cell r="I281">
            <v>0</v>
          </cell>
        </row>
        <row r="282">
          <cell r="A282">
            <v>92911</v>
          </cell>
          <cell r="B282" t="str">
            <v>CITY OF THOMASVILLE</v>
          </cell>
          <cell r="C282">
            <v>1.9161E-3</v>
          </cell>
          <cell r="D282"/>
          <cell r="E282">
            <v>-12601</v>
          </cell>
          <cell r="F282">
            <v>0</v>
          </cell>
          <cell r="G282">
            <v>0</v>
          </cell>
          <cell r="H282">
            <v>0</v>
          </cell>
          <cell r="I282">
            <v>0</v>
          </cell>
        </row>
        <row r="283">
          <cell r="A283">
            <v>92913</v>
          </cell>
          <cell r="B283" t="str">
            <v>THOMASVILLE HOUSING AUTHORITY</v>
          </cell>
          <cell r="C283">
            <v>2.0400000000000001E-5</v>
          </cell>
          <cell r="D283"/>
          <cell r="E283">
            <v>0</v>
          </cell>
          <cell r="F283">
            <v>0</v>
          </cell>
          <cell r="G283">
            <v>0</v>
          </cell>
          <cell r="H283">
            <v>0</v>
          </cell>
          <cell r="I283">
            <v>0</v>
          </cell>
        </row>
        <row r="284">
          <cell r="A284">
            <v>92914</v>
          </cell>
          <cell r="B284" t="str">
            <v>THOMASVILLE ABC BOARD</v>
          </cell>
          <cell r="C284">
            <v>2.55E-5</v>
          </cell>
          <cell r="D284"/>
          <cell r="E284">
            <v>-312</v>
          </cell>
          <cell r="F284">
            <v>-312</v>
          </cell>
          <cell r="G284">
            <v>-310</v>
          </cell>
          <cell r="H284">
            <v>0</v>
          </cell>
          <cell r="I284">
            <v>0</v>
          </cell>
        </row>
        <row r="285">
          <cell r="A285">
            <v>92917</v>
          </cell>
          <cell r="B285" t="str">
            <v>LEXINGTON ABC BOARD</v>
          </cell>
          <cell r="C285">
            <v>1.9199999999999999E-5</v>
          </cell>
          <cell r="D285"/>
          <cell r="E285">
            <v>0</v>
          </cell>
          <cell r="F285">
            <v>0</v>
          </cell>
          <cell r="G285">
            <v>0</v>
          </cell>
          <cell r="H285">
            <v>0</v>
          </cell>
          <cell r="I285">
            <v>0</v>
          </cell>
        </row>
        <row r="286">
          <cell r="A286">
            <v>92921</v>
          </cell>
          <cell r="B286" t="str">
            <v>TOWN OF DENTON</v>
          </cell>
          <cell r="C286">
            <v>9.6600000000000003E-5</v>
          </cell>
          <cell r="D286"/>
          <cell r="E286">
            <v>-766</v>
          </cell>
          <cell r="F286">
            <v>0</v>
          </cell>
          <cell r="G286">
            <v>0</v>
          </cell>
          <cell r="H286">
            <v>0</v>
          </cell>
          <cell r="I286">
            <v>0</v>
          </cell>
        </row>
        <row r="287">
          <cell r="A287">
            <v>92931</v>
          </cell>
          <cell r="B287" t="str">
            <v>CITY OF LEXINGTON</v>
          </cell>
          <cell r="C287">
            <v>2.2504999999999999E-3</v>
          </cell>
          <cell r="D287"/>
          <cell r="E287">
            <v>-83268</v>
          </cell>
          <cell r="F287">
            <v>-63868</v>
          </cell>
          <cell r="G287">
            <v>-47776</v>
          </cell>
          <cell r="H287">
            <v>-47777</v>
          </cell>
          <cell r="I287">
            <v>0</v>
          </cell>
        </row>
        <row r="288">
          <cell r="A288">
            <v>92941</v>
          </cell>
          <cell r="B288" t="str">
            <v>TOWN OF MIDWAY</v>
          </cell>
          <cell r="C288">
            <v>4.1999999999999996E-6</v>
          </cell>
          <cell r="D288"/>
          <cell r="E288">
            <v>-1133</v>
          </cell>
          <cell r="F288">
            <v>-1135</v>
          </cell>
          <cell r="G288">
            <v>-691</v>
          </cell>
          <cell r="H288">
            <v>0</v>
          </cell>
          <cell r="I288">
            <v>0</v>
          </cell>
        </row>
        <row r="289">
          <cell r="A289">
            <v>93001</v>
          </cell>
          <cell r="B289" t="str">
            <v>DAVIE COUNTY</v>
          </cell>
          <cell r="C289">
            <v>2.2536000000000001E-3</v>
          </cell>
          <cell r="D289"/>
          <cell r="E289">
            <v>-34011</v>
          </cell>
          <cell r="F289">
            <v>-28178</v>
          </cell>
          <cell r="G289">
            <v>-11729</v>
          </cell>
          <cell r="H289">
            <v>-11730</v>
          </cell>
          <cell r="I289">
            <v>0</v>
          </cell>
        </row>
        <row r="290">
          <cell r="A290">
            <v>93009</v>
          </cell>
          <cell r="B290" t="str">
            <v>DAVIE SOIL AND WATER CONSERVATION DIST</v>
          </cell>
          <cell r="C290">
            <v>1.2799999999999999E-5</v>
          </cell>
          <cell r="D290"/>
          <cell r="E290">
            <v>-1605</v>
          </cell>
          <cell r="F290">
            <v>-1221</v>
          </cell>
          <cell r="G290">
            <v>-827</v>
          </cell>
          <cell r="H290">
            <v>-468</v>
          </cell>
          <cell r="I290">
            <v>0</v>
          </cell>
        </row>
        <row r="291">
          <cell r="A291">
            <v>93011</v>
          </cell>
          <cell r="B291" t="str">
            <v>TOWN OF MOCKSVILLE</v>
          </cell>
          <cell r="C291">
            <v>3.0909999999999998E-4</v>
          </cell>
          <cell r="D291"/>
          <cell r="E291">
            <v>-3634</v>
          </cell>
          <cell r="F291">
            <v>-2939</v>
          </cell>
          <cell r="G291">
            <v>0</v>
          </cell>
          <cell r="H291">
            <v>0</v>
          </cell>
          <cell r="I291">
            <v>0</v>
          </cell>
        </row>
        <row r="292">
          <cell r="A292">
            <v>93021</v>
          </cell>
          <cell r="B292" t="str">
            <v>TOWN OF BERMUDA RUN</v>
          </cell>
          <cell r="C292">
            <v>3.0499999999999999E-5</v>
          </cell>
          <cell r="D292"/>
          <cell r="E292">
            <v>-2958</v>
          </cell>
          <cell r="F292">
            <v>-1462</v>
          </cell>
          <cell r="G292">
            <v>-1464</v>
          </cell>
          <cell r="H292">
            <v>-845</v>
          </cell>
          <cell r="I292">
            <v>0</v>
          </cell>
        </row>
        <row r="293">
          <cell r="A293">
            <v>93027</v>
          </cell>
          <cell r="B293" t="str">
            <v>COOLEEMEE ABC BOARD</v>
          </cell>
          <cell r="C293">
            <v>0</v>
          </cell>
          <cell r="D293"/>
          <cell r="E293">
            <v>-3720</v>
          </cell>
          <cell r="F293">
            <v>-3720</v>
          </cell>
          <cell r="G293">
            <v>-3720</v>
          </cell>
          <cell r="H293">
            <v>-3192</v>
          </cell>
          <cell r="I293">
            <v>0</v>
          </cell>
        </row>
        <row r="294">
          <cell r="A294">
            <v>93028</v>
          </cell>
          <cell r="B294" t="str">
            <v>MOCKSVILLE-COOLEEMEE ABC BOARD</v>
          </cell>
          <cell r="C294">
            <v>0</v>
          </cell>
          <cell r="D294"/>
          <cell r="E294">
            <v>0</v>
          </cell>
          <cell r="F294">
            <v>0</v>
          </cell>
          <cell r="G294">
            <v>0</v>
          </cell>
          <cell r="H294">
            <v>0</v>
          </cell>
          <cell r="I294">
            <v>0</v>
          </cell>
        </row>
        <row r="295">
          <cell r="A295">
            <v>93031</v>
          </cell>
          <cell r="B295" t="str">
            <v>TOWN OF COOLEEMEE</v>
          </cell>
          <cell r="C295">
            <v>7.7000000000000008E-6</v>
          </cell>
          <cell r="D295"/>
          <cell r="E295">
            <v>0</v>
          </cell>
          <cell r="F295">
            <v>0</v>
          </cell>
          <cell r="G295">
            <v>0</v>
          </cell>
          <cell r="H295">
            <v>0</v>
          </cell>
          <cell r="I295">
            <v>0</v>
          </cell>
        </row>
        <row r="296">
          <cell r="A296">
            <v>93101</v>
          </cell>
          <cell r="B296" t="str">
            <v>DUPLIN COUNTY</v>
          </cell>
          <cell r="C296">
            <v>3.1914999999999999E-3</v>
          </cell>
          <cell r="D296"/>
          <cell r="E296">
            <v>-109571</v>
          </cell>
          <cell r="F296">
            <v>-109572</v>
          </cell>
          <cell r="G296">
            <v>-80738</v>
          </cell>
          <cell r="H296">
            <v>-25825</v>
          </cell>
          <cell r="I296">
            <v>0</v>
          </cell>
        </row>
        <row r="297">
          <cell r="A297">
            <v>93103</v>
          </cell>
          <cell r="B297" t="str">
            <v>DUPLIN COUNTY TOURISM DEVELOPMENT AUTHORITY</v>
          </cell>
          <cell r="C297">
            <v>1.56E-5</v>
          </cell>
          <cell r="D297"/>
          <cell r="E297">
            <v>-1582</v>
          </cell>
          <cell r="F297">
            <v>-1580</v>
          </cell>
          <cell r="G297">
            <v>-1130</v>
          </cell>
          <cell r="H297">
            <v>-627</v>
          </cell>
          <cell r="I297">
            <v>0</v>
          </cell>
        </row>
        <row r="298">
          <cell r="A298">
            <v>93108</v>
          </cell>
          <cell r="B298" t="str">
            <v>EASTPOINTE HUMAN SERVICES</v>
          </cell>
          <cell r="C298">
            <v>2.2694E-3</v>
          </cell>
          <cell r="D298"/>
          <cell r="E298">
            <v>-72011</v>
          </cell>
          <cell r="F298">
            <v>-72011</v>
          </cell>
          <cell r="G298">
            <v>-72010</v>
          </cell>
          <cell r="H298">
            <v>-26602</v>
          </cell>
          <cell r="I298">
            <v>0</v>
          </cell>
        </row>
        <row r="299">
          <cell r="A299">
            <v>93111</v>
          </cell>
          <cell r="B299" t="str">
            <v>TOWN OF BEULAVILLE</v>
          </cell>
          <cell r="C299">
            <v>5.8199999999999998E-5</v>
          </cell>
          <cell r="D299"/>
          <cell r="E299">
            <v>-4093</v>
          </cell>
          <cell r="F299">
            <v>-2959</v>
          </cell>
          <cell r="G299">
            <v>-954</v>
          </cell>
          <cell r="H299">
            <v>-953</v>
          </cell>
          <cell r="I299">
            <v>0</v>
          </cell>
        </row>
        <row r="300">
          <cell r="A300">
            <v>93121</v>
          </cell>
          <cell r="B300" t="str">
            <v>TOWN OF KENANSVILLE</v>
          </cell>
          <cell r="C300">
            <v>6.2199999999999994E-5</v>
          </cell>
          <cell r="D300"/>
          <cell r="E300">
            <v>-2923</v>
          </cell>
          <cell r="F300">
            <v>-619</v>
          </cell>
          <cell r="G300">
            <v>-619</v>
          </cell>
          <cell r="H300">
            <v>0</v>
          </cell>
          <cell r="I300">
            <v>0</v>
          </cell>
        </row>
        <row r="301">
          <cell r="A301">
            <v>93127</v>
          </cell>
          <cell r="B301" t="str">
            <v>KENANSVILLE ABC BOARD</v>
          </cell>
          <cell r="C301">
            <v>5.9000000000000003E-6</v>
          </cell>
          <cell r="D301"/>
          <cell r="E301">
            <v>-355</v>
          </cell>
          <cell r="F301">
            <v>-239</v>
          </cell>
          <cell r="G301">
            <v>-241</v>
          </cell>
          <cell r="H301">
            <v>-202</v>
          </cell>
          <cell r="I301">
            <v>0</v>
          </cell>
        </row>
        <row r="302">
          <cell r="A302">
            <v>93131</v>
          </cell>
          <cell r="B302" t="str">
            <v>TOWN OF WARSAW</v>
          </cell>
          <cell r="C302">
            <v>1.7799999999999999E-4</v>
          </cell>
          <cell r="D302"/>
          <cell r="E302">
            <v>-14212</v>
          </cell>
          <cell r="F302">
            <v>-12792</v>
          </cell>
          <cell r="G302">
            <v>-8498</v>
          </cell>
          <cell r="H302">
            <v>-3894</v>
          </cell>
          <cell r="I302">
            <v>0</v>
          </cell>
        </row>
        <row r="303">
          <cell r="A303">
            <v>93137</v>
          </cell>
          <cell r="B303" t="str">
            <v>WARSAW ABC BOARD</v>
          </cell>
          <cell r="C303">
            <v>4.7999999999999998E-6</v>
          </cell>
          <cell r="D303"/>
          <cell r="E303">
            <v>0</v>
          </cell>
          <cell r="F303">
            <v>0</v>
          </cell>
          <cell r="G303">
            <v>0</v>
          </cell>
          <cell r="H303">
            <v>0</v>
          </cell>
          <cell r="I303">
            <v>0</v>
          </cell>
        </row>
        <row r="304">
          <cell r="A304">
            <v>93141</v>
          </cell>
          <cell r="B304" t="str">
            <v>TOWN OF FAISON</v>
          </cell>
          <cell r="C304">
            <v>3.2499999999999997E-5</v>
          </cell>
          <cell r="D304"/>
          <cell r="E304">
            <v>-2926</v>
          </cell>
          <cell r="F304">
            <v>-2790</v>
          </cell>
          <cell r="G304">
            <v>-1517</v>
          </cell>
          <cell r="H304">
            <v>0</v>
          </cell>
          <cell r="I304">
            <v>0</v>
          </cell>
        </row>
        <row r="305">
          <cell r="A305">
            <v>93151</v>
          </cell>
          <cell r="B305" t="str">
            <v>TOWN OF WALLACE</v>
          </cell>
          <cell r="C305">
            <v>3.7100000000000002E-4</v>
          </cell>
          <cell r="D305"/>
          <cell r="E305">
            <v>-7622</v>
          </cell>
          <cell r="F305">
            <v>-6934</v>
          </cell>
          <cell r="G305">
            <v>-2908</v>
          </cell>
          <cell r="H305">
            <v>0</v>
          </cell>
          <cell r="I305">
            <v>0</v>
          </cell>
        </row>
        <row r="306">
          <cell r="A306">
            <v>93157</v>
          </cell>
          <cell r="B306" t="str">
            <v>WALLACE ABC BD</v>
          </cell>
          <cell r="C306">
            <v>7.9000000000000006E-6</v>
          </cell>
          <cell r="D306"/>
          <cell r="E306">
            <v>0</v>
          </cell>
          <cell r="F306">
            <v>0</v>
          </cell>
          <cell r="G306">
            <v>0</v>
          </cell>
          <cell r="H306">
            <v>0</v>
          </cell>
          <cell r="I306">
            <v>0</v>
          </cell>
        </row>
        <row r="307">
          <cell r="A307">
            <v>93161</v>
          </cell>
          <cell r="B307" t="str">
            <v>TOWN OF ROSE HILL</v>
          </cell>
          <cell r="C307">
            <v>1.2180000000000001E-4</v>
          </cell>
          <cell r="D307"/>
          <cell r="E307">
            <v>0</v>
          </cell>
          <cell r="F307">
            <v>0</v>
          </cell>
          <cell r="G307">
            <v>0</v>
          </cell>
          <cell r="H307">
            <v>0</v>
          </cell>
          <cell r="I307">
            <v>0</v>
          </cell>
        </row>
        <row r="308">
          <cell r="A308">
            <v>93171</v>
          </cell>
          <cell r="B308" t="str">
            <v>TOWN OF CALYPSO</v>
          </cell>
          <cell r="C308">
            <v>5.3000000000000001E-6</v>
          </cell>
          <cell r="D308"/>
          <cell r="E308">
            <v>-247</v>
          </cell>
          <cell r="F308">
            <v>-247</v>
          </cell>
          <cell r="G308">
            <v>-246</v>
          </cell>
          <cell r="H308">
            <v>0</v>
          </cell>
          <cell r="I308">
            <v>0</v>
          </cell>
        </row>
        <row r="309">
          <cell r="A309">
            <v>93181</v>
          </cell>
          <cell r="B309" t="str">
            <v>TOWN OF TEACHEY</v>
          </cell>
          <cell r="C309">
            <v>1.04E-5</v>
          </cell>
          <cell r="D309"/>
          <cell r="E309">
            <v>0</v>
          </cell>
          <cell r="F309">
            <v>0</v>
          </cell>
          <cell r="G309">
            <v>0</v>
          </cell>
          <cell r="H309">
            <v>0</v>
          </cell>
          <cell r="I309">
            <v>0</v>
          </cell>
        </row>
        <row r="310">
          <cell r="A310">
            <v>93191</v>
          </cell>
          <cell r="B310" t="str">
            <v>TOWN OF MAGNOLIA</v>
          </cell>
          <cell r="C310">
            <v>2.34E-5</v>
          </cell>
          <cell r="D310"/>
          <cell r="E310">
            <v>-449</v>
          </cell>
          <cell r="F310">
            <v>-448</v>
          </cell>
          <cell r="G310">
            <v>0</v>
          </cell>
          <cell r="H310">
            <v>0</v>
          </cell>
          <cell r="I310">
            <v>0</v>
          </cell>
        </row>
        <row r="311">
          <cell r="A311">
            <v>93201</v>
          </cell>
          <cell r="B311" t="str">
            <v>DURHAM COUNTY</v>
          </cell>
          <cell r="C311">
            <v>1.5197799999999999E-2</v>
          </cell>
          <cell r="D311"/>
          <cell r="E311">
            <v>-138740</v>
          </cell>
          <cell r="F311">
            <v>-138739</v>
          </cell>
          <cell r="G311">
            <v>-87136</v>
          </cell>
          <cell r="H311">
            <v>-87135</v>
          </cell>
          <cell r="I311">
            <v>0</v>
          </cell>
        </row>
        <row r="312">
          <cell r="A312">
            <v>93202</v>
          </cell>
          <cell r="B312" t="str">
            <v>PARKWOOD FIRE DEPARTMENT</v>
          </cell>
          <cell r="C312">
            <v>0</v>
          </cell>
          <cell r="D312"/>
          <cell r="E312">
            <v>-25055</v>
          </cell>
          <cell r="F312">
            <v>0</v>
          </cell>
          <cell r="G312">
            <v>0</v>
          </cell>
          <cell r="H312">
            <v>0</v>
          </cell>
          <cell r="I312">
            <v>0</v>
          </cell>
        </row>
        <row r="313">
          <cell r="A313">
            <v>93204</v>
          </cell>
          <cell r="B313" t="str">
            <v>DURHAM COUNTY ABC BOARD</v>
          </cell>
          <cell r="C313">
            <v>2.9710000000000001E-4</v>
          </cell>
          <cell r="D313"/>
          <cell r="E313">
            <v>-3583</v>
          </cell>
          <cell r="F313">
            <v>-2172</v>
          </cell>
          <cell r="G313">
            <v>-2172</v>
          </cell>
          <cell r="H313">
            <v>-2173</v>
          </cell>
          <cell r="I313">
            <v>0</v>
          </cell>
        </row>
        <row r="314">
          <cell r="A314">
            <v>93209</v>
          </cell>
          <cell r="B314" t="str">
            <v>ALLIANCE BEHAVIORAL HEALTHCRE</v>
          </cell>
          <cell r="C314">
            <v>5.5938000000000003E-3</v>
          </cell>
          <cell r="D314"/>
          <cell r="E314">
            <v>0</v>
          </cell>
          <cell r="F314">
            <v>0</v>
          </cell>
          <cell r="G314">
            <v>0</v>
          </cell>
          <cell r="H314">
            <v>0</v>
          </cell>
          <cell r="I314">
            <v>0</v>
          </cell>
        </row>
        <row r="315">
          <cell r="A315">
            <v>93211</v>
          </cell>
          <cell r="B315" t="str">
            <v>CITY OF DURHAM</v>
          </cell>
          <cell r="C315">
            <v>2.16165E-2</v>
          </cell>
          <cell r="D315"/>
          <cell r="E315">
            <v>-175055</v>
          </cell>
          <cell r="F315">
            <v>-18530</v>
          </cell>
          <cell r="G315">
            <v>0</v>
          </cell>
          <cell r="H315">
            <v>0</v>
          </cell>
          <cell r="I315">
            <v>0</v>
          </cell>
        </row>
        <row r="316">
          <cell r="A316">
            <v>93212</v>
          </cell>
          <cell r="B316" t="str">
            <v>DURHAM CONVENTION &amp; VISITORS BUREAU</v>
          </cell>
          <cell r="C316">
            <v>2.3910000000000001E-4</v>
          </cell>
          <cell r="D316"/>
          <cell r="E316">
            <v>0</v>
          </cell>
          <cell r="F316">
            <v>0</v>
          </cell>
          <cell r="G316">
            <v>0</v>
          </cell>
          <cell r="H316">
            <v>0</v>
          </cell>
          <cell r="I316">
            <v>0</v>
          </cell>
        </row>
        <row r="317">
          <cell r="A317">
            <v>93219</v>
          </cell>
          <cell r="B317" t="str">
            <v>TRIANGLE J COUNCIL OF GOVERNMENTS</v>
          </cell>
          <cell r="C317">
            <v>2.6229999999999998E-4</v>
          </cell>
          <cell r="D317"/>
          <cell r="E317">
            <v>-1643</v>
          </cell>
          <cell r="F317">
            <v>-613</v>
          </cell>
          <cell r="G317">
            <v>-615</v>
          </cell>
          <cell r="H317">
            <v>0</v>
          </cell>
          <cell r="I317">
            <v>0</v>
          </cell>
        </row>
        <row r="318">
          <cell r="A318">
            <v>93301</v>
          </cell>
          <cell r="B318" t="str">
            <v>EDGECOMBE COUNTY</v>
          </cell>
          <cell r="C318">
            <v>2.2057999999999999E-3</v>
          </cell>
          <cell r="D318"/>
          <cell r="E318">
            <v>-61682</v>
          </cell>
          <cell r="F318">
            <v>-61681</v>
          </cell>
          <cell r="G318">
            <v>-59181</v>
          </cell>
          <cell r="H318">
            <v>-15906</v>
          </cell>
          <cell r="I318">
            <v>0</v>
          </cell>
        </row>
        <row r="319">
          <cell r="A319">
            <v>93304</v>
          </cell>
          <cell r="B319" t="str">
            <v>EDGECOMBE COUNTY ABC BOARD</v>
          </cell>
          <cell r="C319">
            <v>3.9400000000000002E-5</v>
          </cell>
          <cell r="D319"/>
          <cell r="E319">
            <v>0</v>
          </cell>
          <cell r="F319">
            <v>0</v>
          </cell>
          <cell r="G319">
            <v>0</v>
          </cell>
          <cell r="H319">
            <v>0</v>
          </cell>
          <cell r="I319">
            <v>0</v>
          </cell>
        </row>
        <row r="320">
          <cell r="A320">
            <v>93305</v>
          </cell>
          <cell r="B320" t="str">
            <v>EDGECOMBE COUNTY MEMORIAL LIBRARY</v>
          </cell>
          <cell r="C320">
            <v>4.0299999999999997E-5</v>
          </cell>
          <cell r="D320"/>
          <cell r="E320">
            <v>-2930</v>
          </cell>
          <cell r="F320">
            <v>-2375</v>
          </cell>
          <cell r="G320">
            <v>-1574</v>
          </cell>
          <cell r="H320">
            <v>-985</v>
          </cell>
          <cell r="I320">
            <v>0</v>
          </cell>
        </row>
        <row r="321">
          <cell r="A321">
            <v>93309</v>
          </cell>
          <cell r="B321" t="str">
            <v>UPPER COASTAL PLAIN COUNCIL OF GOVERNMENTS</v>
          </cell>
          <cell r="C321">
            <v>1.6239999999999999E-4</v>
          </cell>
          <cell r="D321"/>
          <cell r="E321">
            <v>0</v>
          </cell>
          <cell r="F321">
            <v>0</v>
          </cell>
          <cell r="G321">
            <v>0</v>
          </cell>
          <cell r="H321">
            <v>0</v>
          </cell>
          <cell r="I321">
            <v>0</v>
          </cell>
        </row>
        <row r="322">
          <cell r="A322">
            <v>93311</v>
          </cell>
          <cell r="B322" t="str">
            <v>TOWN OF TARBORO</v>
          </cell>
          <cell r="C322">
            <v>1.2413999999999999E-3</v>
          </cell>
          <cell r="D322"/>
          <cell r="E322">
            <v>-32345</v>
          </cell>
          <cell r="F322">
            <v>-14305</v>
          </cell>
          <cell r="G322">
            <v>-14305</v>
          </cell>
          <cell r="H322">
            <v>-14305</v>
          </cell>
          <cell r="I322">
            <v>0</v>
          </cell>
        </row>
        <row r="323">
          <cell r="A323">
            <v>93317</v>
          </cell>
          <cell r="B323" t="str">
            <v>TARBORO REDEVELOPMENT COMMISSION</v>
          </cell>
          <cell r="C323">
            <v>4.1199999999999999E-5</v>
          </cell>
          <cell r="D323"/>
          <cell r="E323">
            <v>-1723</v>
          </cell>
          <cell r="F323">
            <v>-1723</v>
          </cell>
          <cell r="G323">
            <v>-1721</v>
          </cell>
          <cell r="H323">
            <v>-1033</v>
          </cell>
          <cell r="I323">
            <v>0</v>
          </cell>
        </row>
        <row r="324">
          <cell r="A324">
            <v>93321</v>
          </cell>
          <cell r="B324" t="str">
            <v>CITY OF ROCKY MOUNT</v>
          </cell>
          <cell r="C324">
            <v>6.7971999999999998E-3</v>
          </cell>
          <cell r="D324"/>
          <cell r="E324">
            <v>-255574</v>
          </cell>
          <cell r="F324">
            <v>-185965</v>
          </cell>
          <cell r="G324">
            <v>-132834</v>
          </cell>
          <cell r="H324">
            <v>-65160</v>
          </cell>
          <cell r="I324">
            <v>0</v>
          </cell>
        </row>
        <row r="325">
          <cell r="A325">
            <v>93323</v>
          </cell>
          <cell r="B325" t="str">
            <v>ROCKY MOUNT-WILSON AIRPORT AUTHORITY</v>
          </cell>
          <cell r="C325">
            <v>2.0100000000000001E-5</v>
          </cell>
          <cell r="D325"/>
          <cell r="E325">
            <v>-964</v>
          </cell>
          <cell r="F325">
            <v>-633</v>
          </cell>
          <cell r="G325">
            <v>-632</v>
          </cell>
          <cell r="H325">
            <v>-165</v>
          </cell>
          <cell r="I325">
            <v>0</v>
          </cell>
        </row>
        <row r="326">
          <cell r="A326">
            <v>93331</v>
          </cell>
          <cell r="B326" t="str">
            <v>TOWN OF PINETOPS</v>
          </cell>
          <cell r="C326">
            <v>1.161E-4</v>
          </cell>
          <cell r="D326"/>
          <cell r="E326">
            <v>-3021</v>
          </cell>
          <cell r="F326">
            <v>-3022</v>
          </cell>
          <cell r="G326">
            <v>-1624</v>
          </cell>
          <cell r="H326">
            <v>-1626</v>
          </cell>
          <cell r="I326">
            <v>0</v>
          </cell>
        </row>
        <row r="327">
          <cell r="A327">
            <v>93333</v>
          </cell>
          <cell r="B327" t="str">
            <v>ROCKY MT HOUSING AUTHORITY</v>
          </cell>
          <cell r="C327">
            <v>1.6660000000000001E-4</v>
          </cell>
          <cell r="D327"/>
          <cell r="E327">
            <v>0</v>
          </cell>
          <cell r="F327">
            <v>0</v>
          </cell>
          <cell r="G327">
            <v>0</v>
          </cell>
          <cell r="H327">
            <v>0</v>
          </cell>
          <cell r="I327">
            <v>0</v>
          </cell>
        </row>
        <row r="328">
          <cell r="A328">
            <v>93341</v>
          </cell>
          <cell r="B328" t="str">
            <v>TOWN OF MACCLESFIELD</v>
          </cell>
          <cell r="C328">
            <v>2.9300000000000001E-5</v>
          </cell>
          <cell r="D328"/>
          <cell r="E328">
            <v>-216</v>
          </cell>
          <cell r="F328">
            <v>-215</v>
          </cell>
          <cell r="G328">
            <v>0</v>
          </cell>
          <cell r="H328">
            <v>0</v>
          </cell>
          <cell r="I328">
            <v>0</v>
          </cell>
        </row>
        <row r="329">
          <cell r="A329">
            <v>93351</v>
          </cell>
          <cell r="B329" t="str">
            <v>TOWN OF PRINCEVILLE</v>
          </cell>
          <cell r="C329">
            <v>3.1600000000000002E-5</v>
          </cell>
          <cell r="D329"/>
          <cell r="E329">
            <v>-2680</v>
          </cell>
          <cell r="F329">
            <v>-2680</v>
          </cell>
          <cell r="G329">
            <v>-2680</v>
          </cell>
          <cell r="H329">
            <v>0</v>
          </cell>
          <cell r="I329">
            <v>0</v>
          </cell>
        </row>
        <row r="330">
          <cell r="A330">
            <v>93401</v>
          </cell>
          <cell r="B330" t="str">
            <v>FORSYTH COUNTY</v>
          </cell>
          <cell r="C330">
            <v>1.3690799999999999E-2</v>
          </cell>
          <cell r="D330"/>
          <cell r="E330">
            <v>-97273</v>
          </cell>
          <cell r="F330">
            <v>-67797</v>
          </cell>
          <cell r="G330">
            <v>-67797</v>
          </cell>
          <cell r="H330">
            <v>-67796</v>
          </cell>
          <cell r="I330">
            <v>0</v>
          </cell>
        </row>
        <row r="331">
          <cell r="A331">
            <v>93402</v>
          </cell>
          <cell r="B331" t="str">
            <v>AIRPORT COMMISSION OF FORSYTH COUNTY</v>
          </cell>
          <cell r="C331">
            <v>0</v>
          </cell>
          <cell r="D331"/>
          <cell r="E331">
            <v>-19132</v>
          </cell>
          <cell r="F331">
            <v>-18552</v>
          </cell>
          <cell r="G331">
            <v>-18172</v>
          </cell>
          <cell r="H331">
            <v>-16204</v>
          </cell>
          <cell r="I331">
            <v>0</v>
          </cell>
        </row>
        <row r="332">
          <cell r="A332">
            <v>93406</v>
          </cell>
          <cell r="B332" t="str">
            <v>PIEDMONT TRIAD REGIONAL COUNCIL</v>
          </cell>
          <cell r="C332">
            <v>4.9350000000000002E-4</v>
          </cell>
          <cell r="D332"/>
          <cell r="E332">
            <v>-35467</v>
          </cell>
          <cell r="F332">
            <v>-35469</v>
          </cell>
          <cell r="G332">
            <v>-23432</v>
          </cell>
          <cell r="H332">
            <v>0</v>
          </cell>
          <cell r="I332">
            <v>0</v>
          </cell>
        </row>
        <row r="333">
          <cell r="A333">
            <v>93408</v>
          </cell>
          <cell r="B333" t="str">
            <v>CENTERPOINT HUMAN SERVICES</v>
          </cell>
          <cell r="C333">
            <v>0</v>
          </cell>
          <cell r="D333"/>
          <cell r="E333">
            <v>-421153</v>
          </cell>
          <cell r="F333">
            <v>-303143</v>
          </cell>
          <cell r="G333">
            <v>0</v>
          </cell>
          <cell r="H333">
            <v>0</v>
          </cell>
          <cell r="I333">
            <v>0</v>
          </cell>
        </row>
        <row r="334">
          <cell r="A334">
            <v>93411</v>
          </cell>
          <cell r="B334" t="str">
            <v>CITY OF WINSTON-SALEM</v>
          </cell>
          <cell r="C334">
            <v>1.77345E-2</v>
          </cell>
          <cell r="D334"/>
          <cell r="E334">
            <v>-157469</v>
          </cell>
          <cell r="F334">
            <v>-65620</v>
          </cell>
          <cell r="G334">
            <v>-65620</v>
          </cell>
          <cell r="H334">
            <v>-65618</v>
          </cell>
          <cell r="I334">
            <v>0</v>
          </cell>
        </row>
        <row r="335">
          <cell r="A335">
            <v>93413</v>
          </cell>
          <cell r="B335" t="str">
            <v>WINSTON-SALEM HOUSING AUTHORITY</v>
          </cell>
          <cell r="C335">
            <v>6.9559999999999999E-4</v>
          </cell>
          <cell r="D335"/>
          <cell r="E335">
            <v>-8287</v>
          </cell>
          <cell r="F335">
            <v>-3732</v>
          </cell>
          <cell r="G335">
            <v>-3597</v>
          </cell>
          <cell r="H335">
            <v>0</v>
          </cell>
          <cell r="I335">
            <v>0</v>
          </cell>
        </row>
        <row r="336">
          <cell r="A336">
            <v>93417</v>
          </cell>
          <cell r="B336" t="str">
            <v>TRIAD MUNICIPAL ABC BOARD</v>
          </cell>
          <cell r="C336">
            <v>2.8659999999999997E-4</v>
          </cell>
          <cell r="D336"/>
          <cell r="E336">
            <v>-9032</v>
          </cell>
          <cell r="F336">
            <v>-9034</v>
          </cell>
          <cell r="G336">
            <v>-765</v>
          </cell>
          <cell r="H336">
            <v>-765</v>
          </cell>
          <cell r="I336">
            <v>0</v>
          </cell>
        </row>
        <row r="337">
          <cell r="A337">
            <v>93421</v>
          </cell>
          <cell r="B337" t="str">
            <v>TOWN OF KERNERSVILLE</v>
          </cell>
          <cell r="C337">
            <v>2.0569E-3</v>
          </cell>
          <cell r="D337"/>
          <cell r="E337">
            <v>-98396</v>
          </cell>
          <cell r="F337">
            <v>-71738</v>
          </cell>
          <cell r="G337">
            <v>-49005</v>
          </cell>
          <cell r="H337">
            <v>-31891</v>
          </cell>
          <cell r="I337">
            <v>0</v>
          </cell>
        </row>
        <row r="338">
          <cell r="A338">
            <v>93431</v>
          </cell>
          <cell r="B338" t="str">
            <v>TOWN OF RURAL HALL</v>
          </cell>
          <cell r="C338">
            <v>1.381E-4</v>
          </cell>
          <cell r="D338"/>
          <cell r="E338">
            <v>-1513</v>
          </cell>
          <cell r="F338">
            <v>-140</v>
          </cell>
          <cell r="G338">
            <v>-140</v>
          </cell>
          <cell r="H338">
            <v>-142</v>
          </cell>
          <cell r="I338">
            <v>0</v>
          </cell>
        </row>
        <row r="339">
          <cell r="A339">
            <v>93441</v>
          </cell>
          <cell r="B339" t="str">
            <v>VILLAGE OF CLEMMONS</v>
          </cell>
          <cell r="C339">
            <v>1.6559999999999999E-4</v>
          </cell>
          <cell r="D339"/>
          <cell r="E339">
            <v>-1021</v>
          </cell>
          <cell r="F339">
            <v>-1021</v>
          </cell>
          <cell r="G339">
            <v>-1021</v>
          </cell>
          <cell r="H339">
            <v>-1022</v>
          </cell>
          <cell r="I339">
            <v>0</v>
          </cell>
        </row>
        <row r="340">
          <cell r="A340">
            <v>93442</v>
          </cell>
          <cell r="B340" t="str">
            <v>CLEMMONS FIRE DEPARTMENT</v>
          </cell>
          <cell r="C340">
            <v>1.561E-4</v>
          </cell>
          <cell r="D340"/>
          <cell r="E340">
            <v>-8518</v>
          </cell>
          <cell r="F340">
            <v>-2939</v>
          </cell>
          <cell r="G340">
            <v>-2937</v>
          </cell>
          <cell r="H340">
            <v>-1415</v>
          </cell>
          <cell r="I340">
            <v>0</v>
          </cell>
        </row>
        <row r="341">
          <cell r="A341">
            <v>93451</v>
          </cell>
          <cell r="B341" t="str">
            <v>TOWN OF LEWISVILLE</v>
          </cell>
          <cell r="C341">
            <v>6.6600000000000006E-5</v>
          </cell>
          <cell r="D341"/>
          <cell r="E341">
            <v>-248</v>
          </cell>
          <cell r="F341">
            <v>-248</v>
          </cell>
          <cell r="G341">
            <v>-248</v>
          </cell>
          <cell r="H341">
            <v>-248</v>
          </cell>
          <cell r="I341">
            <v>0</v>
          </cell>
        </row>
        <row r="342">
          <cell r="A342">
            <v>93461</v>
          </cell>
          <cell r="B342" t="str">
            <v>TOWN OF WALKERTOWN</v>
          </cell>
          <cell r="C342">
            <v>1.5500000000000001E-5</v>
          </cell>
          <cell r="D342"/>
          <cell r="E342">
            <v>-74</v>
          </cell>
          <cell r="F342">
            <v>-74</v>
          </cell>
          <cell r="G342">
            <v>-74</v>
          </cell>
          <cell r="H342">
            <v>-76</v>
          </cell>
          <cell r="I342">
            <v>0</v>
          </cell>
        </row>
        <row r="343">
          <cell r="A343">
            <v>93471</v>
          </cell>
          <cell r="B343" t="str">
            <v>VILLAGE OF TOBACCOVILLE</v>
          </cell>
          <cell r="C343">
            <v>1.1399999999999999E-5</v>
          </cell>
          <cell r="D343"/>
          <cell r="E343">
            <v>0</v>
          </cell>
          <cell r="F343">
            <v>0</v>
          </cell>
          <cell r="G343">
            <v>0</v>
          </cell>
          <cell r="H343">
            <v>0</v>
          </cell>
          <cell r="I343">
            <v>0</v>
          </cell>
        </row>
        <row r="344">
          <cell r="A344">
            <v>93501</v>
          </cell>
          <cell r="B344" t="str">
            <v>FRANKLIN COUNTY</v>
          </cell>
          <cell r="C344">
            <v>3.8463999999999998E-3</v>
          </cell>
          <cell r="D344"/>
          <cell r="E344">
            <v>-17318</v>
          </cell>
          <cell r="F344">
            <v>0</v>
          </cell>
          <cell r="G344">
            <v>0</v>
          </cell>
          <cell r="H344">
            <v>0</v>
          </cell>
          <cell r="I344">
            <v>0</v>
          </cell>
        </row>
        <row r="345">
          <cell r="A345">
            <v>93511</v>
          </cell>
          <cell r="B345" t="str">
            <v>TOWN OF FRANKLINTON</v>
          </cell>
          <cell r="C345">
            <v>8.7899999999999995E-5</v>
          </cell>
          <cell r="D345"/>
          <cell r="E345">
            <v>-2723</v>
          </cell>
          <cell r="F345">
            <v>-890</v>
          </cell>
          <cell r="G345">
            <v>0</v>
          </cell>
          <cell r="H345">
            <v>0</v>
          </cell>
          <cell r="I345">
            <v>0</v>
          </cell>
        </row>
        <row r="346">
          <cell r="A346">
            <v>93517</v>
          </cell>
          <cell r="B346" t="str">
            <v>FRANKLINTON ABC BOARD</v>
          </cell>
          <cell r="C346">
            <v>4.3000000000000003E-6</v>
          </cell>
          <cell r="D346"/>
          <cell r="E346">
            <v>0</v>
          </cell>
          <cell r="F346">
            <v>0</v>
          </cell>
          <cell r="G346">
            <v>0</v>
          </cell>
          <cell r="H346">
            <v>0</v>
          </cell>
          <cell r="I346">
            <v>0</v>
          </cell>
        </row>
        <row r="347">
          <cell r="A347">
            <v>93521</v>
          </cell>
          <cell r="B347" t="str">
            <v>TOWN OF LOUISBURG</v>
          </cell>
          <cell r="C347">
            <v>4.7340000000000001E-4</v>
          </cell>
          <cell r="D347"/>
          <cell r="E347">
            <v>-17255</v>
          </cell>
          <cell r="F347">
            <v>-17257</v>
          </cell>
          <cell r="G347">
            <v>0</v>
          </cell>
          <cell r="H347">
            <v>0</v>
          </cell>
          <cell r="I347">
            <v>0</v>
          </cell>
        </row>
        <row r="348">
          <cell r="A348">
            <v>93527</v>
          </cell>
          <cell r="B348" t="str">
            <v>LOUISBURG ABC BOARD</v>
          </cell>
          <cell r="C348">
            <v>9.5999999999999996E-6</v>
          </cell>
          <cell r="D348"/>
          <cell r="E348">
            <v>0</v>
          </cell>
          <cell r="F348">
            <v>0</v>
          </cell>
          <cell r="G348">
            <v>0</v>
          </cell>
          <cell r="H348">
            <v>0</v>
          </cell>
          <cell r="I348">
            <v>0</v>
          </cell>
        </row>
        <row r="349">
          <cell r="A349">
            <v>93531</v>
          </cell>
          <cell r="B349" t="str">
            <v>TOWN OF BUNN</v>
          </cell>
          <cell r="C349">
            <v>2.23E-5</v>
          </cell>
          <cell r="D349"/>
          <cell r="E349">
            <v>-1939</v>
          </cell>
          <cell r="F349">
            <v>-1937</v>
          </cell>
          <cell r="G349">
            <v>-1529</v>
          </cell>
          <cell r="H349">
            <v>-1531</v>
          </cell>
          <cell r="I349">
            <v>0</v>
          </cell>
        </row>
        <row r="350">
          <cell r="A350">
            <v>93537</v>
          </cell>
          <cell r="B350" t="str">
            <v>ABC BOARD - TOWN OF BUNN</v>
          </cell>
          <cell r="C350">
            <v>1.08E-5</v>
          </cell>
          <cell r="D350"/>
          <cell r="E350">
            <v>-1016</v>
          </cell>
          <cell r="F350">
            <v>-842</v>
          </cell>
          <cell r="G350">
            <v>-541</v>
          </cell>
          <cell r="H350">
            <v>-278</v>
          </cell>
          <cell r="I350">
            <v>0</v>
          </cell>
        </row>
        <row r="351">
          <cell r="A351">
            <v>93541</v>
          </cell>
          <cell r="B351" t="str">
            <v>TOWN OF YOUNGSVILLE</v>
          </cell>
          <cell r="C351">
            <v>9.9699999999999998E-5</v>
          </cell>
          <cell r="D351"/>
          <cell r="E351">
            <v>-1269</v>
          </cell>
          <cell r="F351">
            <v>-1184</v>
          </cell>
          <cell r="G351">
            <v>-1186</v>
          </cell>
          <cell r="H351">
            <v>0</v>
          </cell>
          <cell r="I351">
            <v>0</v>
          </cell>
        </row>
        <row r="352">
          <cell r="A352">
            <v>93601</v>
          </cell>
          <cell r="B352" t="str">
            <v>GASTON COUNTY</v>
          </cell>
          <cell r="C352">
            <v>1.1220300000000001E-2</v>
          </cell>
          <cell r="D352"/>
          <cell r="E352">
            <v>-46904</v>
          </cell>
          <cell r="F352">
            <v>-46902</v>
          </cell>
          <cell r="G352">
            <v>0</v>
          </cell>
          <cell r="H352">
            <v>0</v>
          </cell>
          <cell r="I352">
            <v>0</v>
          </cell>
        </row>
        <row r="353">
          <cell r="A353">
            <v>93602</v>
          </cell>
          <cell r="B353" t="str">
            <v>TOWN OF STANLEY</v>
          </cell>
          <cell r="C353">
            <v>1.918E-4</v>
          </cell>
          <cell r="D353"/>
          <cell r="E353">
            <v>-2810</v>
          </cell>
          <cell r="F353">
            <v>0</v>
          </cell>
          <cell r="G353">
            <v>0</v>
          </cell>
          <cell r="H353">
            <v>0</v>
          </cell>
          <cell r="I353">
            <v>0</v>
          </cell>
        </row>
        <row r="354">
          <cell r="A354">
            <v>93604</v>
          </cell>
          <cell r="B354" t="str">
            <v>CRAMERTON ABC BOARD</v>
          </cell>
          <cell r="C354">
            <v>2.6400000000000001E-5</v>
          </cell>
          <cell r="D354"/>
          <cell r="E354">
            <v>0</v>
          </cell>
          <cell r="F354">
            <v>0</v>
          </cell>
          <cell r="G354">
            <v>0</v>
          </cell>
          <cell r="H354">
            <v>0</v>
          </cell>
          <cell r="I354">
            <v>0</v>
          </cell>
        </row>
        <row r="355">
          <cell r="A355">
            <v>93609</v>
          </cell>
          <cell r="B355" t="str">
            <v>PARTNERS BEHAVIORAL HEALTH MANAGEMENT</v>
          </cell>
          <cell r="C355">
            <v>3.7919E-3</v>
          </cell>
          <cell r="D355"/>
          <cell r="E355">
            <v>-32101</v>
          </cell>
          <cell r="F355">
            <v>-32101</v>
          </cell>
          <cell r="G355">
            <v>-32101</v>
          </cell>
          <cell r="H355">
            <v>-32102</v>
          </cell>
          <cell r="I355">
            <v>0</v>
          </cell>
        </row>
        <row r="356">
          <cell r="A356">
            <v>93610</v>
          </cell>
          <cell r="B356" t="str">
            <v>TOWN OF MCADENVILLE</v>
          </cell>
          <cell r="C356">
            <v>1.63E-5</v>
          </cell>
          <cell r="D356"/>
          <cell r="E356">
            <v>-1135</v>
          </cell>
          <cell r="F356">
            <v>-122</v>
          </cell>
          <cell r="G356">
            <v>-122</v>
          </cell>
          <cell r="H356">
            <v>-121</v>
          </cell>
          <cell r="I356">
            <v>0</v>
          </cell>
        </row>
        <row r="357">
          <cell r="A357">
            <v>93611</v>
          </cell>
          <cell r="B357" t="str">
            <v>CITY OF GASTONIA</v>
          </cell>
          <cell r="C357">
            <v>6.9186999999999999E-3</v>
          </cell>
          <cell r="D357"/>
          <cell r="E357">
            <v>-16828</v>
          </cell>
          <cell r="F357">
            <v>-10519</v>
          </cell>
          <cell r="G357">
            <v>-10521</v>
          </cell>
          <cell r="H357">
            <v>-1941</v>
          </cell>
          <cell r="I357">
            <v>0</v>
          </cell>
        </row>
        <row r="358">
          <cell r="A358">
            <v>93617</v>
          </cell>
          <cell r="B358" t="str">
            <v>GASTONIA ABC BOARD</v>
          </cell>
          <cell r="C358">
            <v>7.8899999999999993E-5</v>
          </cell>
          <cell r="D358"/>
          <cell r="E358">
            <v>0</v>
          </cell>
          <cell r="F358">
            <v>0</v>
          </cell>
          <cell r="G358">
            <v>0</v>
          </cell>
          <cell r="H358">
            <v>0</v>
          </cell>
          <cell r="I358">
            <v>0</v>
          </cell>
        </row>
        <row r="359">
          <cell r="A359">
            <v>93618</v>
          </cell>
          <cell r="B359" t="str">
            <v>GASTON COUNTY ECONOMIC DEV. COMMISSION</v>
          </cell>
          <cell r="C359">
            <v>9.5000000000000005E-6</v>
          </cell>
          <cell r="D359"/>
          <cell r="E359">
            <v>0</v>
          </cell>
          <cell r="F359">
            <v>0</v>
          </cell>
          <cell r="G359">
            <v>0</v>
          </cell>
          <cell r="H359">
            <v>0</v>
          </cell>
          <cell r="I359">
            <v>0</v>
          </cell>
        </row>
        <row r="360">
          <cell r="A360">
            <v>93621</v>
          </cell>
          <cell r="B360" t="str">
            <v>CITY OF BELMONT</v>
          </cell>
          <cell r="C360">
            <v>1.0563E-3</v>
          </cell>
          <cell r="D360"/>
          <cell r="E360">
            <v>-18160</v>
          </cell>
          <cell r="F360">
            <v>-1674</v>
          </cell>
          <cell r="G360">
            <v>-1674</v>
          </cell>
          <cell r="H360">
            <v>-1676</v>
          </cell>
          <cell r="I360">
            <v>0</v>
          </cell>
        </row>
        <row r="361">
          <cell r="A361">
            <v>93623</v>
          </cell>
          <cell r="B361" t="str">
            <v>BELMONT HOUSING AUTHORITY</v>
          </cell>
          <cell r="C361">
            <v>1.1E-5</v>
          </cell>
          <cell r="D361"/>
          <cell r="E361">
            <v>0</v>
          </cell>
          <cell r="F361">
            <v>0</v>
          </cell>
          <cell r="G361">
            <v>0</v>
          </cell>
          <cell r="H361">
            <v>0</v>
          </cell>
          <cell r="I361">
            <v>0</v>
          </cell>
        </row>
        <row r="362">
          <cell r="A362">
            <v>93631</v>
          </cell>
          <cell r="B362" t="str">
            <v>TOWN OF CRAMERTON</v>
          </cell>
          <cell r="C362">
            <v>2.4130000000000001E-4</v>
          </cell>
          <cell r="D362"/>
          <cell r="E362">
            <v>-5074</v>
          </cell>
          <cell r="F362">
            <v>-3171</v>
          </cell>
          <cell r="G362">
            <v>-1050</v>
          </cell>
          <cell r="H362">
            <v>0</v>
          </cell>
          <cell r="I362">
            <v>0</v>
          </cell>
        </row>
        <row r="363">
          <cell r="A363">
            <v>93641</v>
          </cell>
          <cell r="B363" t="str">
            <v>CITY OF CHERRYVILLE</v>
          </cell>
          <cell r="C363">
            <v>3.7300000000000001E-4</v>
          </cell>
          <cell r="D363"/>
          <cell r="E363">
            <v>-3309</v>
          </cell>
          <cell r="F363">
            <v>-3307</v>
          </cell>
          <cell r="G363">
            <v>-545</v>
          </cell>
          <cell r="H363">
            <v>0</v>
          </cell>
          <cell r="I363">
            <v>0</v>
          </cell>
        </row>
        <row r="364">
          <cell r="A364">
            <v>93647</v>
          </cell>
          <cell r="B364" t="str">
            <v>CHERRYVILLE ABC BOARD</v>
          </cell>
          <cell r="C364">
            <v>5.2000000000000002E-6</v>
          </cell>
          <cell r="D364"/>
          <cell r="E364">
            <v>0</v>
          </cell>
          <cell r="F364">
            <v>0</v>
          </cell>
          <cell r="G364">
            <v>0</v>
          </cell>
          <cell r="H364">
            <v>0</v>
          </cell>
          <cell r="I364">
            <v>0</v>
          </cell>
        </row>
        <row r="365">
          <cell r="A365">
            <v>93651</v>
          </cell>
          <cell r="B365" t="str">
            <v>TOWN OF DALLAS</v>
          </cell>
          <cell r="C365">
            <v>4.3790000000000002E-4</v>
          </cell>
          <cell r="D365"/>
          <cell r="E365">
            <v>-10369</v>
          </cell>
          <cell r="F365">
            <v>-8036</v>
          </cell>
          <cell r="G365">
            <v>-6655</v>
          </cell>
          <cell r="H365">
            <v>-5610</v>
          </cell>
          <cell r="I365">
            <v>0</v>
          </cell>
        </row>
        <row r="366">
          <cell r="A366">
            <v>93661</v>
          </cell>
          <cell r="B366" t="str">
            <v>CITY OF LOWELL</v>
          </cell>
          <cell r="C366">
            <v>1.2850000000000001E-4</v>
          </cell>
          <cell r="D366"/>
          <cell r="E366">
            <v>-2368</v>
          </cell>
          <cell r="F366">
            <v>-2368</v>
          </cell>
          <cell r="G366">
            <v>-2368</v>
          </cell>
          <cell r="H366">
            <v>-2368</v>
          </cell>
          <cell r="I366">
            <v>0</v>
          </cell>
        </row>
        <row r="367">
          <cell r="A367">
            <v>93671</v>
          </cell>
          <cell r="B367" t="str">
            <v>BESSEMER CITY</v>
          </cell>
          <cell r="C367">
            <v>3.4840000000000001E-4</v>
          </cell>
          <cell r="D367"/>
          <cell r="E367">
            <v>-794</v>
          </cell>
          <cell r="F367">
            <v>-383</v>
          </cell>
          <cell r="G367">
            <v>0</v>
          </cell>
          <cell r="H367">
            <v>0</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-2647</v>
          </cell>
          <cell r="F369">
            <v>-358</v>
          </cell>
          <cell r="G369">
            <v>0</v>
          </cell>
          <cell r="H369">
            <v>0</v>
          </cell>
          <cell r="I369">
            <v>0</v>
          </cell>
        </row>
        <row r="370">
          <cell r="A370">
            <v>93691</v>
          </cell>
          <cell r="B370" t="str">
            <v>CITY OF MOUNT HOLLY</v>
          </cell>
          <cell r="C370">
            <v>1.0889999999999999E-3</v>
          </cell>
          <cell r="D370"/>
          <cell r="E370">
            <v>-34595</v>
          </cell>
          <cell r="F370">
            <v>-23986</v>
          </cell>
          <cell r="G370">
            <v>-10543</v>
          </cell>
          <cell r="H370">
            <v>0</v>
          </cell>
          <cell r="I370">
            <v>0</v>
          </cell>
        </row>
        <row r="371">
          <cell r="A371">
            <v>93701</v>
          </cell>
          <cell r="B371" t="str">
            <v>COUNTY OF GATES</v>
          </cell>
          <cell r="C371">
            <v>4.3600000000000003E-4</v>
          </cell>
          <cell r="D371"/>
          <cell r="E371">
            <v>-11855</v>
          </cell>
          <cell r="F371">
            <v>-9393</v>
          </cell>
          <cell r="G371">
            <v>-7034</v>
          </cell>
          <cell r="H371">
            <v>-6803</v>
          </cell>
          <cell r="I371">
            <v>0</v>
          </cell>
        </row>
        <row r="372">
          <cell r="A372">
            <v>93704</v>
          </cell>
          <cell r="B372" t="str">
            <v>GATES COUNTY ABC BOARD</v>
          </cell>
          <cell r="C372">
            <v>2.2000000000000001E-6</v>
          </cell>
          <cell r="D372"/>
          <cell r="E372">
            <v>0</v>
          </cell>
          <cell r="F372">
            <v>0</v>
          </cell>
          <cell r="G372">
            <v>0</v>
          </cell>
          <cell r="H372">
            <v>0</v>
          </cell>
          <cell r="I372">
            <v>0</v>
          </cell>
        </row>
        <row r="373">
          <cell r="A373">
            <v>93801</v>
          </cell>
          <cell r="B373" t="str">
            <v>GRAHAM COUNTY</v>
          </cell>
          <cell r="C373">
            <v>4.191E-4</v>
          </cell>
          <cell r="D373"/>
          <cell r="E373">
            <v>-24218</v>
          </cell>
          <cell r="F373">
            <v>-24220</v>
          </cell>
          <cell r="G373">
            <v>-10903</v>
          </cell>
          <cell r="H373">
            <v>-1674</v>
          </cell>
          <cell r="I373">
            <v>0</v>
          </cell>
        </row>
        <row r="374">
          <cell r="A374">
            <v>93803</v>
          </cell>
          <cell r="B374" t="str">
            <v>GRAHAM CO HEALTH DEPT</v>
          </cell>
          <cell r="C374">
            <v>9.0799999999999998E-5</v>
          </cell>
          <cell r="D374"/>
          <cell r="E374">
            <v>-15452</v>
          </cell>
          <cell r="F374">
            <v>-12101</v>
          </cell>
          <cell r="G374">
            <v>-6978</v>
          </cell>
          <cell r="H374">
            <v>-4475</v>
          </cell>
          <cell r="I374">
            <v>0</v>
          </cell>
        </row>
        <row r="375">
          <cell r="A375">
            <v>93806</v>
          </cell>
          <cell r="B375" t="str">
            <v>GRAHAM COUNTY DEPT OF S S</v>
          </cell>
          <cell r="C375">
            <v>7.9599999999999997E-5</v>
          </cell>
          <cell r="D375"/>
          <cell r="E375">
            <v>-2284</v>
          </cell>
          <cell r="F375">
            <v>-2120</v>
          </cell>
          <cell r="G375">
            <v>-2119</v>
          </cell>
          <cell r="H375">
            <v>0</v>
          </cell>
          <cell r="I375">
            <v>0</v>
          </cell>
        </row>
        <row r="376">
          <cell r="A376">
            <v>93821</v>
          </cell>
          <cell r="B376" t="str">
            <v>TOWN OF ROBBINSVILLE</v>
          </cell>
          <cell r="C376">
            <v>6.9200000000000002E-5</v>
          </cell>
          <cell r="D376"/>
          <cell r="E376">
            <v>-86</v>
          </cell>
          <cell r="F376">
            <v>-86</v>
          </cell>
          <cell r="G376">
            <v>0</v>
          </cell>
          <cell r="H376">
            <v>0</v>
          </cell>
          <cell r="I376">
            <v>0</v>
          </cell>
        </row>
        <row r="377">
          <cell r="A377">
            <v>93901</v>
          </cell>
          <cell r="B377" t="str">
            <v>GRANVILLE COUNTY</v>
          </cell>
          <cell r="C377">
            <v>1.7884999999999999E-3</v>
          </cell>
          <cell r="D377"/>
          <cell r="E377">
            <v>0</v>
          </cell>
          <cell r="F377">
            <v>0</v>
          </cell>
          <cell r="G377">
            <v>0</v>
          </cell>
          <cell r="H377">
            <v>0</v>
          </cell>
          <cell r="I377">
            <v>0</v>
          </cell>
        </row>
        <row r="378">
          <cell r="A378">
            <v>93904</v>
          </cell>
          <cell r="B378" t="str">
            <v>GRANVILLE CO ABC BD</v>
          </cell>
          <cell r="C378">
            <v>3.18E-5</v>
          </cell>
          <cell r="D378"/>
          <cell r="E378">
            <v>0</v>
          </cell>
          <cell r="F378">
            <v>0</v>
          </cell>
          <cell r="G378">
            <v>0</v>
          </cell>
          <cell r="H378">
            <v>0</v>
          </cell>
          <cell r="I378">
            <v>0</v>
          </cell>
        </row>
        <row r="379">
          <cell r="A379">
            <v>93906</v>
          </cell>
          <cell r="B379" t="str">
            <v>GRANVILLE COUNTY HOSPITAL</v>
          </cell>
          <cell r="C379">
            <v>3.1308E-3</v>
          </cell>
          <cell r="D379"/>
          <cell r="E379">
            <v>-97585</v>
          </cell>
          <cell r="F379">
            <v>-86751</v>
          </cell>
          <cell r="G379">
            <v>-62294</v>
          </cell>
          <cell r="H379">
            <v>-19162</v>
          </cell>
          <cell r="I379">
            <v>0</v>
          </cell>
        </row>
        <row r="380">
          <cell r="A380">
            <v>93908</v>
          </cell>
          <cell r="B380" t="str">
            <v>GRANVILLE-VANCE HEALTH DIST</v>
          </cell>
          <cell r="C380">
            <v>4.9540000000000001E-4</v>
          </cell>
          <cell r="D380"/>
          <cell r="E380">
            <v>-5596</v>
          </cell>
          <cell r="F380">
            <v>-4873</v>
          </cell>
          <cell r="G380">
            <v>-4872</v>
          </cell>
          <cell r="H380">
            <v>0</v>
          </cell>
          <cell r="I380">
            <v>0</v>
          </cell>
        </row>
        <row r="381">
          <cell r="A381">
            <v>93910</v>
          </cell>
          <cell r="B381" t="str">
            <v>SOUTH GRANVILLE WATER AND SEWER AUTHORITY</v>
          </cell>
          <cell r="C381">
            <v>2.285E-4</v>
          </cell>
          <cell r="D381"/>
          <cell r="E381">
            <v>-15022</v>
          </cell>
          <cell r="F381">
            <v>-12770</v>
          </cell>
          <cell r="G381">
            <v>-8573</v>
          </cell>
          <cell r="H381">
            <v>-4603</v>
          </cell>
          <cell r="I381">
            <v>0</v>
          </cell>
        </row>
        <row r="382">
          <cell r="A382">
            <v>93911</v>
          </cell>
          <cell r="B382" t="str">
            <v>CITY OF OXFORD</v>
          </cell>
          <cell r="C382">
            <v>6.4320000000000002E-4</v>
          </cell>
          <cell r="D382"/>
          <cell r="E382">
            <v>-15180</v>
          </cell>
          <cell r="F382">
            <v>-9261</v>
          </cell>
          <cell r="G382">
            <v>-593</v>
          </cell>
          <cell r="H382">
            <v>-591</v>
          </cell>
          <cell r="I382">
            <v>0</v>
          </cell>
        </row>
        <row r="383">
          <cell r="A383">
            <v>93913</v>
          </cell>
          <cell r="B383" t="str">
            <v>OXFORD HOUSING AUTHORITY</v>
          </cell>
          <cell r="C383">
            <v>4.9799999999999998E-5</v>
          </cell>
          <cell r="D383"/>
          <cell r="E383">
            <v>-588</v>
          </cell>
          <cell r="F383">
            <v>-587</v>
          </cell>
          <cell r="G383">
            <v>-534</v>
          </cell>
          <cell r="H383">
            <v>-535</v>
          </cell>
          <cell r="I383">
            <v>0</v>
          </cell>
        </row>
        <row r="384">
          <cell r="A384">
            <v>93914</v>
          </cell>
          <cell r="B384" t="str">
            <v>TOWN OF STOVALL</v>
          </cell>
          <cell r="C384">
            <v>6.1E-6</v>
          </cell>
          <cell r="D384"/>
          <cell r="E384">
            <v>0</v>
          </cell>
          <cell r="F384">
            <v>0</v>
          </cell>
          <cell r="G384">
            <v>0</v>
          </cell>
          <cell r="H384">
            <v>0</v>
          </cell>
          <cell r="I384">
            <v>0</v>
          </cell>
        </row>
        <row r="385">
          <cell r="A385">
            <v>93921</v>
          </cell>
          <cell r="B385" t="str">
            <v>CITY OF CREEDMOOR</v>
          </cell>
          <cell r="C385">
            <v>2.251E-4</v>
          </cell>
          <cell r="D385"/>
          <cell r="E385">
            <v>-12236</v>
          </cell>
          <cell r="F385">
            <v>-10722</v>
          </cell>
          <cell r="G385">
            <v>-10723</v>
          </cell>
          <cell r="H385">
            <v>-9215</v>
          </cell>
          <cell r="I385">
            <v>0</v>
          </cell>
        </row>
        <row r="386">
          <cell r="A386">
            <v>93931</v>
          </cell>
          <cell r="B386" t="str">
            <v>TOWN OF BUTNER</v>
          </cell>
          <cell r="C386">
            <v>5.1590000000000002E-4</v>
          </cell>
          <cell r="D386"/>
          <cell r="E386">
            <v>-20532</v>
          </cell>
          <cell r="F386">
            <v>-17399</v>
          </cell>
          <cell r="G386">
            <v>-10249</v>
          </cell>
          <cell r="H386">
            <v>-10248</v>
          </cell>
          <cell r="I386">
            <v>0</v>
          </cell>
        </row>
        <row r="387">
          <cell r="A387">
            <v>94001</v>
          </cell>
          <cell r="B387" t="str">
            <v>GREENE COUNTY</v>
          </cell>
          <cell r="C387">
            <v>9.3720000000000001E-4</v>
          </cell>
          <cell r="D387"/>
          <cell r="E387">
            <v>0</v>
          </cell>
          <cell r="F387">
            <v>0</v>
          </cell>
          <cell r="G387">
            <v>0</v>
          </cell>
          <cell r="H387">
            <v>0</v>
          </cell>
          <cell r="I387">
            <v>0</v>
          </cell>
        </row>
        <row r="388">
          <cell r="A388">
            <v>94002</v>
          </cell>
          <cell r="B388" t="str">
            <v>MAURY SANITARY LAND DISTRICT</v>
          </cell>
          <cell r="C388">
            <v>5.2000000000000002E-6</v>
          </cell>
          <cell r="D388"/>
          <cell r="E388">
            <v>0</v>
          </cell>
          <cell r="F388">
            <v>0</v>
          </cell>
          <cell r="G388">
            <v>0</v>
          </cell>
          <cell r="H388">
            <v>0</v>
          </cell>
          <cell r="I388">
            <v>0</v>
          </cell>
        </row>
        <row r="389">
          <cell r="A389">
            <v>94004</v>
          </cell>
          <cell r="B389" t="str">
            <v>GREENE COUNTY ABC BOARD</v>
          </cell>
          <cell r="C389">
            <v>7.4000000000000003E-6</v>
          </cell>
          <cell r="D389"/>
          <cell r="E389">
            <v>0</v>
          </cell>
          <cell r="F389">
            <v>0</v>
          </cell>
          <cell r="G389">
            <v>0</v>
          </cell>
          <cell r="H389">
            <v>0</v>
          </cell>
          <cell r="I389">
            <v>0</v>
          </cell>
        </row>
        <row r="390">
          <cell r="A390">
            <v>94005</v>
          </cell>
          <cell r="B390" t="str">
            <v>NEUSE REGIONAL LIBRARY-GREENE COUNTY</v>
          </cell>
          <cell r="C390">
            <v>1.9E-6</v>
          </cell>
          <cell r="D390"/>
          <cell r="E390">
            <v>-1649</v>
          </cell>
          <cell r="F390">
            <v>-1151</v>
          </cell>
          <cell r="G390">
            <v>-342</v>
          </cell>
          <cell r="H390">
            <v>-341</v>
          </cell>
          <cell r="I390">
            <v>0</v>
          </cell>
        </row>
        <row r="391">
          <cell r="A391">
            <v>94011</v>
          </cell>
          <cell r="B391" t="str">
            <v>TOWN OF HOOKERTON</v>
          </cell>
          <cell r="C391">
            <v>2.6699999999999998E-5</v>
          </cell>
          <cell r="D391"/>
          <cell r="E391">
            <v>-1281</v>
          </cell>
          <cell r="F391">
            <v>-1283</v>
          </cell>
          <cell r="G391">
            <v>-626</v>
          </cell>
          <cell r="H391">
            <v>-624</v>
          </cell>
          <cell r="I391">
            <v>0</v>
          </cell>
        </row>
        <row r="392">
          <cell r="A392">
            <v>94021</v>
          </cell>
          <cell r="B392" t="str">
            <v>TOWN OF SNOW HILL</v>
          </cell>
          <cell r="C392">
            <v>8.3300000000000005E-5</v>
          </cell>
          <cell r="D392"/>
          <cell r="E392">
            <v>0</v>
          </cell>
          <cell r="F392">
            <v>0</v>
          </cell>
          <cell r="G392">
            <v>0</v>
          </cell>
          <cell r="H392">
            <v>0</v>
          </cell>
          <cell r="I392">
            <v>0</v>
          </cell>
        </row>
        <row r="393">
          <cell r="A393">
            <v>94031</v>
          </cell>
          <cell r="B393" t="str">
            <v>TOWN OF WALSTONBURG</v>
          </cell>
          <cell r="C393">
            <v>4.6E-6</v>
          </cell>
          <cell r="D393"/>
          <cell r="E393">
            <v>0</v>
          </cell>
          <cell r="F393">
            <v>0</v>
          </cell>
          <cell r="G393">
            <v>0</v>
          </cell>
          <cell r="H393">
            <v>0</v>
          </cell>
          <cell r="I393">
            <v>0</v>
          </cell>
        </row>
        <row r="394">
          <cell r="A394">
            <v>94101</v>
          </cell>
          <cell r="B394" t="str">
            <v>GUILFORD COUNTY</v>
          </cell>
          <cell r="C394">
            <v>1.7750700000000001E-2</v>
          </cell>
          <cell r="D394"/>
          <cell r="E394">
            <v>-175305</v>
          </cell>
          <cell r="F394">
            <v>-47484</v>
          </cell>
          <cell r="G394">
            <v>-38071</v>
          </cell>
          <cell r="H394">
            <v>-38070</v>
          </cell>
          <cell r="I394">
            <v>0</v>
          </cell>
        </row>
        <row r="395">
          <cell r="A395">
            <v>94102</v>
          </cell>
          <cell r="B395" t="str">
            <v>GUIL-RAND FIRE DEPARTMENT</v>
          </cell>
          <cell r="C395">
            <v>3.3849999999999999E-4</v>
          </cell>
          <cell r="D395"/>
          <cell r="E395">
            <v>-14933</v>
          </cell>
          <cell r="F395">
            <v>-10477</v>
          </cell>
          <cell r="G395">
            <v>-7652</v>
          </cell>
          <cell r="H395">
            <v>0</v>
          </cell>
          <cell r="I395">
            <v>0</v>
          </cell>
        </row>
        <row r="396">
          <cell r="A396">
            <v>94108</v>
          </cell>
          <cell r="B396" t="str">
            <v>PINECROFT-SEDGEFIELD FIRE DIST INC</v>
          </cell>
          <cell r="C396">
            <v>3.8289999999999998E-4</v>
          </cell>
          <cell r="D396"/>
          <cell r="E396">
            <v>-32736</v>
          </cell>
          <cell r="F396">
            <v>-17673</v>
          </cell>
          <cell r="G396">
            <v>-10735</v>
          </cell>
          <cell r="H396">
            <v>-10736</v>
          </cell>
          <cell r="I396">
            <v>0</v>
          </cell>
        </row>
        <row r="397">
          <cell r="A397">
            <v>94109</v>
          </cell>
          <cell r="B397" t="str">
            <v>ALAMANCE COMM FIRE DIST</v>
          </cell>
          <cell r="C397">
            <v>1.048E-4</v>
          </cell>
          <cell r="D397"/>
          <cell r="E397">
            <v>-13241</v>
          </cell>
          <cell r="F397">
            <v>-7274</v>
          </cell>
          <cell r="G397">
            <v>-3076</v>
          </cell>
          <cell r="H397">
            <v>-1631</v>
          </cell>
          <cell r="I397">
            <v>0</v>
          </cell>
        </row>
        <row r="398">
          <cell r="A398">
            <v>94111</v>
          </cell>
          <cell r="B398" t="str">
            <v>CITY OF GREENSBORO</v>
          </cell>
          <cell r="C398">
            <v>2.50095E-2</v>
          </cell>
          <cell r="D398"/>
          <cell r="E398">
            <v>-544239</v>
          </cell>
          <cell r="F398">
            <v>-281480</v>
          </cell>
          <cell r="G398">
            <v>-187314</v>
          </cell>
          <cell r="H398">
            <v>-20061</v>
          </cell>
          <cell r="I398">
            <v>0</v>
          </cell>
        </row>
        <row r="399">
          <cell r="A399">
            <v>94112</v>
          </cell>
          <cell r="B399" t="str">
            <v>PIEDMONT TRIAD REG WATER AUTH</v>
          </cell>
          <cell r="C399">
            <v>1.6870000000000001E-4</v>
          </cell>
          <cell r="D399"/>
          <cell r="E399">
            <v>-5522</v>
          </cell>
          <cell r="F399">
            <v>-3419</v>
          </cell>
          <cell r="G399">
            <v>-2099</v>
          </cell>
          <cell r="H399">
            <v>-1210</v>
          </cell>
          <cell r="I399">
            <v>0</v>
          </cell>
        </row>
        <row r="400">
          <cell r="A400">
            <v>94117</v>
          </cell>
          <cell r="B400" t="str">
            <v>GREENSBORO ABC BD</v>
          </cell>
          <cell r="C400">
            <v>3.232E-4</v>
          </cell>
          <cell r="D400"/>
          <cell r="E400">
            <v>-12102</v>
          </cell>
          <cell r="F400">
            <v>-9955</v>
          </cell>
          <cell r="G400">
            <v>-7845</v>
          </cell>
          <cell r="H400">
            <v>-1891</v>
          </cell>
          <cell r="I400">
            <v>0</v>
          </cell>
        </row>
        <row r="401">
          <cell r="A401">
            <v>94118</v>
          </cell>
          <cell r="B401" t="str">
            <v>GUILFORD FIRE DISTRICT # 13 INC</v>
          </cell>
          <cell r="C401">
            <v>1.6009999999999999E-4</v>
          </cell>
          <cell r="D401"/>
          <cell r="E401">
            <v>-14651</v>
          </cell>
          <cell r="F401">
            <v>-8706</v>
          </cell>
          <cell r="G401">
            <v>-4155</v>
          </cell>
          <cell r="H401">
            <v>-3307</v>
          </cell>
          <cell r="I401">
            <v>0</v>
          </cell>
        </row>
        <row r="402">
          <cell r="A402">
            <v>94121</v>
          </cell>
          <cell r="B402" t="str">
            <v>CITY OF HIGH POINT</v>
          </cell>
          <cell r="C402">
            <v>1.1113E-2</v>
          </cell>
          <cell r="D402"/>
          <cell r="E402">
            <v>-57760</v>
          </cell>
          <cell r="F402">
            <v>0</v>
          </cell>
          <cell r="G402">
            <v>0</v>
          </cell>
          <cell r="H402">
            <v>0</v>
          </cell>
          <cell r="I402">
            <v>0</v>
          </cell>
        </row>
        <row r="403">
          <cell r="A403">
            <v>94127</v>
          </cell>
          <cell r="B403" t="str">
            <v>HIGH POINT ABC BD</v>
          </cell>
          <cell r="C403">
            <v>1.4310000000000001E-4</v>
          </cell>
          <cell r="D403"/>
          <cell r="E403">
            <v>-4600</v>
          </cell>
          <cell r="F403">
            <v>-4600</v>
          </cell>
          <cell r="G403">
            <v>-4602</v>
          </cell>
          <cell r="H403">
            <v>-1481</v>
          </cell>
          <cell r="I403">
            <v>0</v>
          </cell>
        </row>
        <row r="404">
          <cell r="A404">
            <v>94131</v>
          </cell>
          <cell r="B404" t="str">
            <v>TOWN OF JAMESTOWN</v>
          </cell>
          <cell r="C404">
            <v>2.1029999999999999E-4</v>
          </cell>
          <cell r="D404"/>
          <cell r="E404">
            <v>-2126</v>
          </cell>
          <cell r="F404">
            <v>-2127</v>
          </cell>
          <cell r="G404">
            <v>0</v>
          </cell>
          <cell r="H404">
            <v>0</v>
          </cell>
          <cell r="I404">
            <v>0</v>
          </cell>
        </row>
        <row r="405">
          <cell r="A405">
            <v>94151</v>
          </cell>
          <cell r="B405" t="str">
            <v>TOWN OF GIBSONVILLE</v>
          </cell>
          <cell r="C405">
            <v>4.6660000000000001E-4</v>
          </cell>
          <cell r="D405"/>
          <cell r="E405">
            <v>-12524</v>
          </cell>
          <cell r="F405">
            <v>-10757</v>
          </cell>
          <cell r="G405">
            <v>-4673</v>
          </cell>
          <cell r="H405">
            <v>-4674</v>
          </cell>
          <cell r="I405">
            <v>0</v>
          </cell>
        </row>
        <row r="406">
          <cell r="A406">
            <v>94157</v>
          </cell>
          <cell r="B406" t="str">
            <v>GIBSONVILLE ABC BOARD</v>
          </cell>
          <cell r="C406">
            <v>8.6000000000000007E-6</v>
          </cell>
          <cell r="D406"/>
          <cell r="E406">
            <v>0</v>
          </cell>
          <cell r="F406">
            <v>0</v>
          </cell>
          <cell r="G406">
            <v>0</v>
          </cell>
          <cell r="H406">
            <v>0</v>
          </cell>
          <cell r="I406">
            <v>0</v>
          </cell>
        </row>
        <row r="407">
          <cell r="A407">
            <v>94161</v>
          </cell>
          <cell r="B407" t="str">
            <v>TOWN OF OAK RIDGE</v>
          </cell>
          <cell r="C407">
            <v>4.8600000000000002E-5</v>
          </cell>
          <cell r="D407"/>
          <cell r="E407">
            <v>-2650</v>
          </cell>
          <cell r="F407">
            <v>-2650</v>
          </cell>
          <cell r="G407">
            <v>-1865</v>
          </cell>
          <cell r="H407">
            <v>0</v>
          </cell>
          <cell r="I407">
            <v>0</v>
          </cell>
        </row>
        <row r="408">
          <cell r="A408">
            <v>94168</v>
          </cell>
          <cell r="B408" t="str">
            <v>COLFAX VOLUNTEER FIRE DEPARTMENT</v>
          </cell>
          <cell r="C408">
            <v>5.5099999999999998E-5</v>
          </cell>
          <cell r="D408"/>
          <cell r="E408">
            <v>-2068</v>
          </cell>
          <cell r="F408">
            <v>-800</v>
          </cell>
          <cell r="G408">
            <v>0</v>
          </cell>
          <cell r="H408">
            <v>0</v>
          </cell>
          <cell r="I408">
            <v>0</v>
          </cell>
        </row>
        <row r="409">
          <cell r="A409">
            <v>94171</v>
          </cell>
          <cell r="B409" t="str">
            <v>TOWN OF SUMMERFIELD</v>
          </cell>
          <cell r="C409">
            <v>6.1799999999999998E-5</v>
          </cell>
          <cell r="D409"/>
          <cell r="E409">
            <v>-4147</v>
          </cell>
          <cell r="F409">
            <v>-4147</v>
          </cell>
          <cell r="G409">
            <v>-4147</v>
          </cell>
          <cell r="H409">
            <v>-4146</v>
          </cell>
          <cell r="I409">
            <v>0</v>
          </cell>
        </row>
        <row r="410">
          <cell r="A410">
            <v>94172</v>
          </cell>
          <cell r="B410" t="str">
            <v>SUMMERFIELD FIRE DISTRICT</v>
          </cell>
          <cell r="C410">
            <v>2.8210000000000003E-4</v>
          </cell>
          <cell r="D410"/>
          <cell r="E410">
            <v>-27364</v>
          </cell>
          <cell r="F410">
            <v>-16615</v>
          </cell>
          <cell r="G410">
            <v>-10099</v>
          </cell>
          <cell r="H410">
            <v>-6870</v>
          </cell>
          <cell r="I410">
            <v>0</v>
          </cell>
        </row>
        <row r="411">
          <cell r="A411">
            <v>94201</v>
          </cell>
          <cell r="B411" t="str">
            <v>HALIFAX COUNTY</v>
          </cell>
          <cell r="C411">
            <v>3.2504999999999999E-3</v>
          </cell>
          <cell r="D411"/>
          <cell r="E411">
            <v>-25526</v>
          </cell>
          <cell r="F411">
            <v>-25526</v>
          </cell>
          <cell r="G411">
            <v>-8359</v>
          </cell>
          <cell r="H411">
            <v>0</v>
          </cell>
          <cell r="I411">
            <v>0</v>
          </cell>
        </row>
        <row r="412">
          <cell r="A412">
            <v>94204</v>
          </cell>
          <cell r="B412" t="str">
            <v>HALIFAX COUNTY ABC BOARD</v>
          </cell>
          <cell r="C412">
            <v>2.97E-5</v>
          </cell>
          <cell r="D412"/>
          <cell r="E412">
            <v>0</v>
          </cell>
          <cell r="F412">
            <v>0</v>
          </cell>
          <cell r="G412">
            <v>0</v>
          </cell>
          <cell r="H412">
            <v>0</v>
          </cell>
          <cell r="I412">
            <v>0</v>
          </cell>
        </row>
        <row r="413">
          <cell r="A413">
            <v>94205</v>
          </cell>
          <cell r="B413" t="str">
            <v>HALIFAX COUNTY TOURISM DEVELOPMENT AUTHORITY</v>
          </cell>
          <cell r="C413">
            <v>1.6200000000000001E-5</v>
          </cell>
          <cell r="D413"/>
          <cell r="E413">
            <v>-425</v>
          </cell>
          <cell r="F413">
            <v>-427</v>
          </cell>
          <cell r="G413">
            <v>0</v>
          </cell>
          <cell r="H413">
            <v>0</v>
          </cell>
          <cell r="I413">
            <v>0</v>
          </cell>
        </row>
        <row r="414">
          <cell r="A414">
            <v>94209</v>
          </cell>
          <cell r="B414" t="str">
            <v>ROANOKE RAPIDS SANITARY DISTRICT</v>
          </cell>
          <cell r="C414">
            <v>3.2519999999999999E-4</v>
          </cell>
          <cell r="D414"/>
          <cell r="E414">
            <v>-6431</v>
          </cell>
          <cell r="F414">
            <v>-4267</v>
          </cell>
          <cell r="G414">
            <v>-4268</v>
          </cell>
          <cell r="H414">
            <v>0</v>
          </cell>
          <cell r="I414">
            <v>0</v>
          </cell>
        </row>
        <row r="415">
          <cell r="A415">
            <v>94211</v>
          </cell>
          <cell r="B415" t="str">
            <v>TOWN OF ENFIELD</v>
          </cell>
          <cell r="C415">
            <v>1.5359999999999999E-4</v>
          </cell>
          <cell r="D415"/>
          <cell r="E415">
            <v>-1793</v>
          </cell>
          <cell r="F415">
            <v>-1793</v>
          </cell>
          <cell r="G415">
            <v>-1793</v>
          </cell>
          <cell r="H415">
            <v>-1794</v>
          </cell>
          <cell r="I415">
            <v>0</v>
          </cell>
        </row>
        <row r="416">
          <cell r="A416">
            <v>94221</v>
          </cell>
          <cell r="B416" t="str">
            <v>CITY OF ROANOKE RAPIDS</v>
          </cell>
          <cell r="C416">
            <v>9.8189999999999996E-4</v>
          </cell>
          <cell r="D416"/>
          <cell r="E416">
            <v>-45221</v>
          </cell>
          <cell r="F416">
            <v>-28557</v>
          </cell>
          <cell r="G416">
            <v>-20077</v>
          </cell>
          <cell r="H416">
            <v>-14174</v>
          </cell>
          <cell r="I416">
            <v>0</v>
          </cell>
        </row>
        <row r="417">
          <cell r="A417">
            <v>94231</v>
          </cell>
          <cell r="B417" t="str">
            <v>TOWN OF WELDON</v>
          </cell>
          <cell r="C417">
            <v>1.485E-4</v>
          </cell>
          <cell r="D417"/>
          <cell r="E417">
            <v>-16193</v>
          </cell>
          <cell r="F417">
            <v>-16193</v>
          </cell>
          <cell r="G417">
            <v>-16195</v>
          </cell>
          <cell r="H417">
            <v>-10005</v>
          </cell>
          <cell r="I417">
            <v>0</v>
          </cell>
        </row>
        <row r="418">
          <cell r="A418">
            <v>94241</v>
          </cell>
          <cell r="B418" t="str">
            <v>TOWN OF SCOTLAND NECK</v>
          </cell>
          <cell r="C418">
            <v>1.106E-4</v>
          </cell>
          <cell r="D418"/>
          <cell r="E418">
            <v>-3968</v>
          </cell>
          <cell r="F418">
            <v>-3968</v>
          </cell>
          <cell r="G418">
            <v>-3968</v>
          </cell>
          <cell r="H418">
            <v>-2268</v>
          </cell>
          <cell r="I418">
            <v>0</v>
          </cell>
        </row>
        <row r="419">
          <cell r="A419">
            <v>94251</v>
          </cell>
          <cell r="B419" t="str">
            <v>TOWN OF HOBGOOD</v>
          </cell>
          <cell r="C419">
            <v>1.7799999999999999E-5</v>
          </cell>
          <cell r="D419"/>
          <cell r="E419">
            <v>-1196</v>
          </cell>
          <cell r="F419">
            <v>-264</v>
          </cell>
          <cell r="G419">
            <v>-265</v>
          </cell>
          <cell r="H419">
            <v>0</v>
          </cell>
          <cell r="I419">
            <v>0</v>
          </cell>
        </row>
        <row r="420">
          <cell r="A420">
            <v>94261</v>
          </cell>
          <cell r="B420" t="str">
            <v>TOWN OF LITTLETON</v>
          </cell>
          <cell r="C420">
            <v>4.6600000000000001E-5</v>
          </cell>
          <cell r="D420"/>
          <cell r="E420">
            <v>-198</v>
          </cell>
          <cell r="F420">
            <v>-198</v>
          </cell>
          <cell r="G420">
            <v>-196</v>
          </cell>
          <cell r="H420">
            <v>0</v>
          </cell>
          <cell r="I420">
            <v>0</v>
          </cell>
        </row>
        <row r="421">
          <cell r="A421">
            <v>94301</v>
          </cell>
          <cell r="B421" t="str">
            <v>HARNETT COUNTY</v>
          </cell>
          <cell r="C421">
            <v>6.3099000000000002E-3</v>
          </cell>
          <cell r="D421"/>
          <cell r="E421">
            <v>-48695</v>
          </cell>
          <cell r="F421">
            <v>-28410</v>
          </cell>
          <cell r="G421">
            <v>-28410</v>
          </cell>
          <cell r="H421">
            <v>-28411</v>
          </cell>
          <cell r="I421">
            <v>0</v>
          </cell>
        </row>
        <row r="422">
          <cell r="A422">
            <v>94311</v>
          </cell>
          <cell r="B422" t="str">
            <v>CITY OF DUNN</v>
          </cell>
          <cell r="C422">
            <v>7.7700000000000002E-4</v>
          </cell>
          <cell r="D422"/>
          <cell r="E422">
            <v>-15901</v>
          </cell>
          <cell r="F422">
            <v>-5939</v>
          </cell>
          <cell r="G422">
            <v>-5939</v>
          </cell>
          <cell r="H422">
            <v>0</v>
          </cell>
          <cell r="I422">
            <v>0</v>
          </cell>
        </row>
        <row r="423">
          <cell r="A423">
            <v>94313</v>
          </cell>
          <cell r="B423" t="str">
            <v>DUNN HOUSING AUTHORITY</v>
          </cell>
          <cell r="C423">
            <v>1.4399999999999999E-5</v>
          </cell>
          <cell r="D423"/>
          <cell r="E423">
            <v>-102</v>
          </cell>
          <cell r="F423">
            <v>-102</v>
          </cell>
          <cell r="G423">
            <v>-102</v>
          </cell>
          <cell r="H423">
            <v>-101</v>
          </cell>
          <cell r="I423">
            <v>0</v>
          </cell>
        </row>
        <row r="424">
          <cell r="A424">
            <v>94317</v>
          </cell>
          <cell r="B424" t="str">
            <v>DUNN ABC BOARD</v>
          </cell>
          <cell r="C424">
            <v>1.0699999999999999E-5</v>
          </cell>
          <cell r="D424"/>
          <cell r="E424">
            <v>0</v>
          </cell>
          <cell r="F424">
            <v>0</v>
          </cell>
          <cell r="G424">
            <v>0</v>
          </cell>
          <cell r="H424">
            <v>0</v>
          </cell>
          <cell r="I424">
            <v>0</v>
          </cell>
        </row>
        <row r="425">
          <cell r="A425">
            <v>94321</v>
          </cell>
          <cell r="B425" t="str">
            <v>TOWN OF LILLINGTON</v>
          </cell>
          <cell r="C425">
            <v>2.8079999999999999E-4</v>
          </cell>
          <cell r="D425"/>
          <cell r="E425">
            <v>-7883</v>
          </cell>
          <cell r="F425">
            <v>-4732</v>
          </cell>
          <cell r="G425">
            <v>-3481</v>
          </cell>
          <cell r="H425">
            <v>-769</v>
          </cell>
          <cell r="I425">
            <v>0</v>
          </cell>
        </row>
        <row r="426">
          <cell r="A426">
            <v>94331</v>
          </cell>
          <cell r="B426" t="str">
            <v>TOWN OF ERWIN</v>
          </cell>
          <cell r="C426">
            <v>1.5190000000000001E-4</v>
          </cell>
          <cell r="D426"/>
          <cell r="E426">
            <v>-4703</v>
          </cell>
          <cell r="F426">
            <v>-3312</v>
          </cell>
          <cell r="G426">
            <v>-1829</v>
          </cell>
          <cell r="H426">
            <v>-1831</v>
          </cell>
          <cell r="I426">
            <v>0</v>
          </cell>
        </row>
        <row r="427">
          <cell r="A427">
            <v>94341</v>
          </cell>
          <cell r="B427" t="str">
            <v>TOWN OF COATS</v>
          </cell>
          <cell r="C427">
            <v>9.8800000000000003E-5</v>
          </cell>
          <cell r="D427"/>
          <cell r="E427">
            <v>-3603</v>
          </cell>
          <cell r="F427">
            <v>-2466</v>
          </cell>
          <cell r="G427">
            <v>-2467</v>
          </cell>
          <cell r="H427">
            <v>0</v>
          </cell>
          <cell r="I427">
            <v>0</v>
          </cell>
        </row>
        <row r="428">
          <cell r="A428">
            <v>94347</v>
          </cell>
          <cell r="B428" t="str">
            <v>TOWN OF ANGIER ABC BOARD</v>
          </cell>
          <cell r="C428">
            <v>1.17E-5</v>
          </cell>
          <cell r="D428"/>
          <cell r="E428">
            <v>-237</v>
          </cell>
          <cell r="F428">
            <v>-237</v>
          </cell>
          <cell r="G428">
            <v>-237</v>
          </cell>
          <cell r="H428">
            <v>0</v>
          </cell>
          <cell r="I428">
            <v>0</v>
          </cell>
        </row>
        <row r="429">
          <cell r="A429">
            <v>94351</v>
          </cell>
          <cell r="B429" t="str">
            <v>TOWN OF ANGIER</v>
          </cell>
          <cell r="C429">
            <v>2.2680000000000001E-4</v>
          </cell>
          <cell r="D429"/>
          <cell r="E429">
            <v>-6091</v>
          </cell>
          <cell r="F429">
            <v>-5736</v>
          </cell>
          <cell r="G429">
            <v>-5264</v>
          </cell>
          <cell r="H429">
            <v>-4165</v>
          </cell>
          <cell r="I429">
            <v>0</v>
          </cell>
        </row>
        <row r="430">
          <cell r="A430">
            <v>94401</v>
          </cell>
          <cell r="B430" t="str">
            <v>HAYWOOD CO</v>
          </cell>
          <cell r="C430">
            <v>3.4440999999999999E-3</v>
          </cell>
          <cell r="D430"/>
          <cell r="E430">
            <v>-20865</v>
          </cell>
          <cell r="F430">
            <v>-20864</v>
          </cell>
          <cell r="G430">
            <v>0</v>
          </cell>
          <cell r="H430">
            <v>0</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0</v>
          </cell>
          <cell r="F432">
            <v>0</v>
          </cell>
          <cell r="G432">
            <v>0</v>
          </cell>
          <cell r="H432">
            <v>0</v>
          </cell>
          <cell r="I432">
            <v>0</v>
          </cell>
        </row>
        <row r="433">
          <cell r="A433">
            <v>94408</v>
          </cell>
          <cell r="B433" t="str">
            <v>JUNALUSKA SANITARY DISTRICT</v>
          </cell>
          <cell r="C433">
            <v>6.2000000000000003E-5</v>
          </cell>
          <cell r="D433"/>
          <cell r="E433">
            <v>-829</v>
          </cell>
          <cell r="F433">
            <v>-831</v>
          </cell>
          <cell r="G433">
            <v>-270</v>
          </cell>
          <cell r="H433">
            <v>0</v>
          </cell>
          <cell r="I433">
            <v>0</v>
          </cell>
        </row>
        <row r="434">
          <cell r="A434">
            <v>94411</v>
          </cell>
          <cell r="B434" t="str">
            <v>TOWN OF WAYNESVILLE</v>
          </cell>
          <cell r="C434">
            <v>1.2472E-3</v>
          </cell>
          <cell r="D434"/>
          <cell r="E434">
            <v>-16902</v>
          </cell>
          <cell r="F434">
            <v>-15679</v>
          </cell>
          <cell r="G434">
            <v>-15681</v>
          </cell>
          <cell r="H434">
            <v>-8432</v>
          </cell>
          <cell r="I434">
            <v>0</v>
          </cell>
        </row>
        <row r="435">
          <cell r="A435">
            <v>94412</v>
          </cell>
          <cell r="B435" t="str">
            <v>WAYNESVILLE ABC BOARD</v>
          </cell>
          <cell r="C435">
            <v>1.7E-5</v>
          </cell>
          <cell r="D435"/>
          <cell r="E435">
            <v>0</v>
          </cell>
          <cell r="F435">
            <v>0</v>
          </cell>
          <cell r="G435">
            <v>0</v>
          </cell>
          <cell r="H435">
            <v>0</v>
          </cell>
          <cell r="I435">
            <v>0</v>
          </cell>
        </row>
        <row r="436">
          <cell r="A436">
            <v>94421</v>
          </cell>
          <cell r="B436" t="str">
            <v>TOWN OF MAGGIE VALLEY</v>
          </cell>
          <cell r="C436">
            <v>1.4880000000000001E-4</v>
          </cell>
          <cell r="D436"/>
          <cell r="E436">
            <v>-3163</v>
          </cell>
          <cell r="F436">
            <v>-2599</v>
          </cell>
          <cell r="G436">
            <v>-2597</v>
          </cell>
          <cell r="H436">
            <v>-1331</v>
          </cell>
          <cell r="I436">
            <v>0</v>
          </cell>
        </row>
        <row r="437">
          <cell r="A437">
            <v>94427</v>
          </cell>
          <cell r="B437" t="str">
            <v>MAGGIE VALLEY ABC BOARD</v>
          </cell>
          <cell r="C437">
            <v>2.7500000000000001E-5</v>
          </cell>
          <cell r="D437"/>
          <cell r="E437">
            <v>-113</v>
          </cell>
          <cell r="F437">
            <v>0</v>
          </cell>
          <cell r="G437">
            <v>0</v>
          </cell>
          <cell r="H437">
            <v>0</v>
          </cell>
          <cell r="I437">
            <v>0</v>
          </cell>
        </row>
        <row r="438">
          <cell r="A438">
            <v>94428</v>
          </cell>
          <cell r="B438" t="str">
            <v>MAGGIE VALLEY SANITARY DIST</v>
          </cell>
          <cell r="C438">
            <v>7.1400000000000001E-5</v>
          </cell>
          <cell r="D438"/>
          <cell r="E438">
            <v>-836</v>
          </cell>
          <cell r="F438">
            <v>-838</v>
          </cell>
          <cell r="G438">
            <v>0</v>
          </cell>
          <cell r="H438">
            <v>0</v>
          </cell>
          <cell r="I438">
            <v>0</v>
          </cell>
        </row>
        <row r="439">
          <cell r="A439">
            <v>94431</v>
          </cell>
          <cell r="B439" t="str">
            <v>TOWN OF CANTON</v>
          </cell>
          <cell r="C439">
            <v>4.1829999999999998E-4</v>
          </cell>
          <cell r="D439"/>
          <cell r="E439">
            <v>0</v>
          </cell>
          <cell r="F439">
            <v>0</v>
          </cell>
          <cell r="G439">
            <v>0</v>
          </cell>
          <cell r="H439">
            <v>0</v>
          </cell>
          <cell r="I439">
            <v>0</v>
          </cell>
        </row>
        <row r="440">
          <cell r="A440">
            <v>94437</v>
          </cell>
          <cell r="B440" t="str">
            <v>CANTON ABC BOARD</v>
          </cell>
          <cell r="C440">
            <v>1.49E-5</v>
          </cell>
          <cell r="D440"/>
          <cell r="E440">
            <v>0</v>
          </cell>
          <cell r="F440">
            <v>0</v>
          </cell>
          <cell r="G440">
            <v>0</v>
          </cell>
          <cell r="H440">
            <v>0</v>
          </cell>
          <cell r="I440">
            <v>0</v>
          </cell>
        </row>
        <row r="441">
          <cell r="A441">
            <v>94501</v>
          </cell>
          <cell r="B441" t="str">
            <v>COUNTY OF HENDERSON</v>
          </cell>
          <cell r="C441">
            <v>5.9772999999999996E-3</v>
          </cell>
          <cell r="D441"/>
          <cell r="E441">
            <v>-2892</v>
          </cell>
          <cell r="F441">
            <v>-2892</v>
          </cell>
          <cell r="G441">
            <v>0</v>
          </cell>
          <cell r="H441">
            <v>0</v>
          </cell>
          <cell r="I441">
            <v>0</v>
          </cell>
        </row>
        <row r="442">
          <cell r="A442">
            <v>94511</v>
          </cell>
          <cell r="B442" t="str">
            <v>CITY OF HENDERSONVILLE</v>
          </cell>
          <cell r="C442">
            <v>2.0183000000000002E-3</v>
          </cell>
          <cell r="D442"/>
          <cell r="E442">
            <v>-13911</v>
          </cell>
          <cell r="F442">
            <v>-4400</v>
          </cell>
          <cell r="G442">
            <v>-4400</v>
          </cell>
          <cell r="H442">
            <v>-4399</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0</v>
          </cell>
          <cell r="F444">
            <v>0</v>
          </cell>
          <cell r="G444">
            <v>0</v>
          </cell>
          <cell r="H444">
            <v>0</v>
          </cell>
          <cell r="I444">
            <v>0</v>
          </cell>
        </row>
        <row r="445">
          <cell r="A445">
            <v>94521</v>
          </cell>
          <cell r="B445" t="str">
            <v>TOWN OF LAUREL PARK</v>
          </cell>
          <cell r="C445">
            <v>1.4990000000000001E-4</v>
          </cell>
          <cell r="D445"/>
          <cell r="E445">
            <v>-10173</v>
          </cell>
          <cell r="F445">
            <v>-6007</v>
          </cell>
          <cell r="G445">
            <v>-6009</v>
          </cell>
          <cell r="H445">
            <v>-4680</v>
          </cell>
          <cell r="I445">
            <v>0</v>
          </cell>
        </row>
        <row r="446">
          <cell r="A446">
            <v>94527</v>
          </cell>
          <cell r="B446" t="str">
            <v>LAUREL PARK ABC BOARD</v>
          </cell>
          <cell r="C446">
            <v>6.8000000000000001E-6</v>
          </cell>
          <cell r="D446"/>
          <cell r="E446">
            <v>-967</v>
          </cell>
          <cell r="F446">
            <v>-187</v>
          </cell>
          <cell r="G446">
            <v>0</v>
          </cell>
          <cell r="H446">
            <v>0</v>
          </cell>
          <cell r="I446">
            <v>0</v>
          </cell>
        </row>
        <row r="447">
          <cell r="A447">
            <v>94531</v>
          </cell>
          <cell r="B447" t="str">
            <v>THE VILLAGE OF FLAT ROCK</v>
          </cell>
          <cell r="C447">
            <v>2.3099999999999999E-5</v>
          </cell>
          <cell r="D447"/>
          <cell r="E447">
            <v>0</v>
          </cell>
          <cell r="F447">
            <v>0</v>
          </cell>
          <cell r="G447">
            <v>0</v>
          </cell>
          <cell r="H447">
            <v>0</v>
          </cell>
          <cell r="I447">
            <v>0</v>
          </cell>
        </row>
        <row r="448">
          <cell r="A448">
            <v>94532</v>
          </cell>
          <cell r="B448" t="str">
            <v>BLUE RIDGE FIRE DEPARTMENT</v>
          </cell>
          <cell r="C448">
            <v>1.0060000000000001E-4</v>
          </cell>
          <cell r="D448"/>
          <cell r="E448">
            <v>-2151</v>
          </cell>
          <cell r="F448">
            <v>-114</v>
          </cell>
          <cell r="G448">
            <v>0</v>
          </cell>
          <cell r="H448">
            <v>0</v>
          </cell>
          <cell r="I448">
            <v>0</v>
          </cell>
        </row>
        <row r="449">
          <cell r="A449">
            <v>94541</v>
          </cell>
          <cell r="B449" t="str">
            <v>TOWN OF FLETCHER</v>
          </cell>
          <cell r="C449">
            <v>2.7750000000000002E-4</v>
          </cell>
          <cell r="D449"/>
          <cell r="E449">
            <v>-10798</v>
          </cell>
          <cell r="F449">
            <v>-8989</v>
          </cell>
          <cell r="G449">
            <v>-6057</v>
          </cell>
          <cell r="H449">
            <v>-2386</v>
          </cell>
          <cell r="I449">
            <v>0</v>
          </cell>
        </row>
        <row r="450">
          <cell r="A450">
            <v>94547</v>
          </cell>
          <cell r="B450" t="str">
            <v>FLETCHER ABC BOARD</v>
          </cell>
          <cell r="C450">
            <v>1.1E-5</v>
          </cell>
          <cell r="D450"/>
          <cell r="E450">
            <v>0</v>
          </cell>
          <cell r="F450">
            <v>0</v>
          </cell>
          <cell r="G450">
            <v>0</v>
          </cell>
          <cell r="H450">
            <v>0</v>
          </cell>
          <cell r="I450">
            <v>0</v>
          </cell>
        </row>
        <row r="451">
          <cell r="A451">
            <v>94551</v>
          </cell>
          <cell r="B451" t="str">
            <v>TOWN OF MILLS RIVER</v>
          </cell>
          <cell r="C451">
            <v>5.3000000000000001E-5</v>
          </cell>
          <cell r="D451"/>
          <cell r="E451">
            <v>0</v>
          </cell>
          <cell r="F451">
            <v>0</v>
          </cell>
          <cell r="G451">
            <v>0</v>
          </cell>
          <cell r="H451">
            <v>0</v>
          </cell>
          <cell r="I451">
            <v>0</v>
          </cell>
        </row>
        <row r="452">
          <cell r="A452">
            <v>94601</v>
          </cell>
          <cell r="B452" t="str">
            <v>HERTFORD COUNTY</v>
          </cell>
          <cell r="C452">
            <v>9.1859999999999999E-4</v>
          </cell>
          <cell r="D452"/>
          <cell r="E452">
            <v>-25994</v>
          </cell>
          <cell r="F452">
            <v>-25994</v>
          </cell>
          <cell r="G452">
            <v>-25994</v>
          </cell>
          <cell r="H452">
            <v>-25992</v>
          </cell>
          <cell r="I452">
            <v>0</v>
          </cell>
        </row>
        <row r="453">
          <cell r="A453">
            <v>94604</v>
          </cell>
          <cell r="B453" t="str">
            <v>HERTFORD COUNTY ABC BOARD</v>
          </cell>
          <cell r="C453">
            <v>2.6100000000000001E-5</v>
          </cell>
          <cell r="D453"/>
          <cell r="E453">
            <v>0</v>
          </cell>
          <cell r="F453">
            <v>0</v>
          </cell>
          <cell r="G453">
            <v>0</v>
          </cell>
          <cell r="H453">
            <v>0</v>
          </cell>
          <cell r="I453">
            <v>0</v>
          </cell>
        </row>
        <row r="454">
          <cell r="A454">
            <v>94606</v>
          </cell>
          <cell r="B454" t="str">
            <v>HERTFORD COUNTY PUBLIC HEALTH AUTHORITY</v>
          </cell>
          <cell r="C454">
            <v>0</v>
          </cell>
          <cell r="D454"/>
          <cell r="E454">
            <v>-55480</v>
          </cell>
          <cell r="F454">
            <v>-51492</v>
          </cell>
          <cell r="G454">
            <v>-46761</v>
          </cell>
          <cell r="H454">
            <v>-40452</v>
          </cell>
          <cell r="I454">
            <v>0</v>
          </cell>
        </row>
        <row r="455">
          <cell r="A455">
            <v>94611</v>
          </cell>
          <cell r="B455" t="str">
            <v>TOWN OF AHOSKIE</v>
          </cell>
          <cell r="C455">
            <v>3.4459999999999997E-4</v>
          </cell>
          <cell r="D455"/>
          <cell r="E455">
            <v>-9739</v>
          </cell>
          <cell r="F455">
            <v>-9739</v>
          </cell>
          <cell r="G455">
            <v>-1492</v>
          </cell>
          <cell r="H455">
            <v>-1481</v>
          </cell>
          <cell r="I455">
            <v>0</v>
          </cell>
        </row>
        <row r="456">
          <cell r="A456">
            <v>94621</v>
          </cell>
          <cell r="B456" t="str">
            <v>TOWN OF MURFREESBORO</v>
          </cell>
          <cell r="C456">
            <v>1.3320000000000001E-4</v>
          </cell>
          <cell r="D456"/>
          <cell r="E456">
            <v>-1947</v>
          </cell>
          <cell r="F456">
            <v>-1286</v>
          </cell>
          <cell r="G456">
            <v>0</v>
          </cell>
          <cell r="H456">
            <v>0</v>
          </cell>
          <cell r="I456">
            <v>0</v>
          </cell>
        </row>
        <row r="457">
          <cell r="A457">
            <v>94631</v>
          </cell>
          <cell r="B457" t="str">
            <v>TOWN OF WINTON</v>
          </cell>
          <cell r="C457">
            <v>4.2599999999999999E-5</v>
          </cell>
          <cell r="D457"/>
          <cell r="E457">
            <v>-519</v>
          </cell>
          <cell r="F457">
            <v>-519</v>
          </cell>
          <cell r="G457">
            <v>-519</v>
          </cell>
          <cell r="H457">
            <v>-518</v>
          </cell>
          <cell r="I457">
            <v>0</v>
          </cell>
        </row>
        <row r="458">
          <cell r="A458">
            <v>94641</v>
          </cell>
          <cell r="B458" t="str">
            <v>TOWN OF COFIELD</v>
          </cell>
          <cell r="C458">
            <v>1.04E-5</v>
          </cell>
          <cell r="D458"/>
          <cell r="E458">
            <v>0</v>
          </cell>
          <cell r="F458">
            <v>0</v>
          </cell>
          <cell r="G458">
            <v>0</v>
          </cell>
          <cell r="H458">
            <v>0</v>
          </cell>
          <cell r="I458">
            <v>0</v>
          </cell>
        </row>
        <row r="459">
          <cell r="A459">
            <v>94701</v>
          </cell>
          <cell r="B459" t="str">
            <v>HOKE COUNTY</v>
          </cell>
          <cell r="C459">
            <v>2.4202999999999998E-3</v>
          </cell>
          <cell r="D459"/>
          <cell r="E459">
            <v>-59205</v>
          </cell>
          <cell r="F459">
            <v>-36718</v>
          </cell>
          <cell r="G459">
            <v>-29616</v>
          </cell>
          <cell r="H459">
            <v>0</v>
          </cell>
          <cell r="I459">
            <v>0</v>
          </cell>
        </row>
        <row r="460">
          <cell r="A460">
            <v>94704</v>
          </cell>
          <cell r="B460" t="str">
            <v>HOKE COUNTY ABC BOARD</v>
          </cell>
          <cell r="C460">
            <v>1.5299999999999999E-5</v>
          </cell>
          <cell r="D460"/>
          <cell r="E460">
            <v>-39</v>
          </cell>
          <cell r="F460">
            <v>-19</v>
          </cell>
          <cell r="G460">
            <v>-10</v>
          </cell>
          <cell r="H460">
            <v>-11</v>
          </cell>
          <cell r="I460">
            <v>0</v>
          </cell>
        </row>
        <row r="461">
          <cell r="A461">
            <v>94711</v>
          </cell>
          <cell r="B461" t="str">
            <v>TOWN OF RAEFORD</v>
          </cell>
          <cell r="C461">
            <v>3.3819999999999998E-4</v>
          </cell>
          <cell r="D461"/>
          <cell r="E461">
            <v>-1208</v>
          </cell>
          <cell r="F461">
            <v>-316</v>
          </cell>
          <cell r="G461">
            <v>0</v>
          </cell>
          <cell r="H461">
            <v>0</v>
          </cell>
          <cell r="I461">
            <v>0</v>
          </cell>
        </row>
        <row r="462">
          <cell r="A462">
            <v>94801</v>
          </cell>
          <cell r="B462" t="str">
            <v>HYDE COUNTY</v>
          </cell>
          <cell r="C462">
            <v>6.8429999999999999E-4</v>
          </cell>
          <cell r="D462"/>
          <cell r="E462">
            <v>-10467</v>
          </cell>
          <cell r="F462">
            <v>-10467</v>
          </cell>
          <cell r="G462">
            <v>-5565</v>
          </cell>
          <cell r="H462">
            <v>0</v>
          </cell>
          <cell r="I462">
            <v>0</v>
          </cell>
        </row>
        <row r="463">
          <cell r="A463">
            <v>94804</v>
          </cell>
          <cell r="B463" t="str">
            <v>HYDE COUNTY ABC BOARD</v>
          </cell>
          <cell r="C463">
            <v>2.7999999999999999E-6</v>
          </cell>
          <cell r="D463"/>
          <cell r="E463">
            <v>-66</v>
          </cell>
          <cell r="F463">
            <v>0</v>
          </cell>
          <cell r="G463">
            <v>0</v>
          </cell>
          <cell r="H463">
            <v>0</v>
          </cell>
          <cell r="I463">
            <v>0</v>
          </cell>
        </row>
        <row r="464">
          <cell r="A464">
            <v>94812</v>
          </cell>
          <cell r="B464" t="str">
            <v>OCRACOKE SANITARY DIST</v>
          </cell>
          <cell r="C464">
            <v>3.0000000000000001E-5</v>
          </cell>
          <cell r="D464"/>
          <cell r="E464">
            <v>0</v>
          </cell>
          <cell r="F464">
            <v>0</v>
          </cell>
          <cell r="G464">
            <v>0</v>
          </cell>
          <cell r="H464">
            <v>0</v>
          </cell>
          <cell r="I464">
            <v>0</v>
          </cell>
        </row>
        <row r="465">
          <cell r="A465">
            <v>94901</v>
          </cell>
          <cell r="B465" t="str">
            <v>IREDELL COUNTY</v>
          </cell>
          <cell r="C465">
            <v>7.2372000000000001E-3</v>
          </cell>
          <cell r="D465"/>
          <cell r="E465">
            <v>-19108</v>
          </cell>
          <cell r="F465">
            <v>-19106</v>
          </cell>
          <cell r="G465">
            <v>0</v>
          </cell>
          <cell r="H465">
            <v>0</v>
          </cell>
          <cell r="I465">
            <v>0</v>
          </cell>
        </row>
        <row r="466">
          <cell r="A466">
            <v>94908</v>
          </cell>
          <cell r="B466" t="str">
            <v>GREATER STATESVILLE DEVELOPMENT CORP</v>
          </cell>
          <cell r="C466">
            <v>5.9000000000000003E-6</v>
          </cell>
          <cell r="D466"/>
          <cell r="E466">
            <v>-4977</v>
          </cell>
          <cell r="F466">
            <v>-4616</v>
          </cell>
          <cell r="G466">
            <v>-101</v>
          </cell>
          <cell r="H466">
            <v>0</v>
          </cell>
          <cell r="I466">
            <v>0</v>
          </cell>
        </row>
        <row r="467">
          <cell r="A467">
            <v>94911</v>
          </cell>
          <cell r="B467" t="str">
            <v>CITY OF STATESVILLE</v>
          </cell>
          <cell r="C467">
            <v>2.8782E-3</v>
          </cell>
          <cell r="D467"/>
          <cell r="E467">
            <v>-31483</v>
          </cell>
          <cell r="F467">
            <v>-21600</v>
          </cell>
          <cell r="G467">
            <v>-21600</v>
          </cell>
          <cell r="H467">
            <v>-21598</v>
          </cell>
          <cell r="I467">
            <v>0</v>
          </cell>
        </row>
        <row r="468">
          <cell r="A468">
            <v>94917</v>
          </cell>
          <cell r="B468" t="str">
            <v>STATESVILLE ABC BOARD</v>
          </cell>
          <cell r="C468">
            <v>3.0700000000000001E-5</v>
          </cell>
          <cell r="D468"/>
          <cell r="E468">
            <v>0</v>
          </cell>
          <cell r="F468">
            <v>0</v>
          </cell>
          <cell r="G468">
            <v>0</v>
          </cell>
          <cell r="H468">
            <v>0</v>
          </cell>
          <cell r="I468">
            <v>0</v>
          </cell>
        </row>
        <row r="469">
          <cell r="A469">
            <v>94921</v>
          </cell>
          <cell r="B469" t="str">
            <v>CITY OF MOORESVILLE</v>
          </cell>
          <cell r="C469">
            <v>3.8489000000000002E-3</v>
          </cell>
          <cell r="D469"/>
          <cell r="E469">
            <v>-146249</v>
          </cell>
          <cell r="F469">
            <v>-75584</v>
          </cell>
          <cell r="G469">
            <v>-75584</v>
          </cell>
          <cell r="H469">
            <v>-39591</v>
          </cell>
          <cell r="I469">
            <v>0</v>
          </cell>
        </row>
        <row r="470">
          <cell r="A470">
            <v>94923</v>
          </cell>
          <cell r="B470" t="str">
            <v>MOORESVILLE HOUSING AUTHORITY</v>
          </cell>
          <cell r="C470">
            <v>2.7800000000000001E-5</v>
          </cell>
          <cell r="D470"/>
          <cell r="E470">
            <v>0</v>
          </cell>
          <cell r="F470">
            <v>0</v>
          </cell>
          <cell r="G470">
            <v>0</v>
          </cell>
          <cell r="H470">
            <v>0</v>
          </cell>
          <cell r="I470">
            <v>0</v>
          </cell>
        </row>
        <row r="471">
          <cell r="A471">
            <v>94927</v>
          </cell>
          <cell r="B471" t="str">
            <v>MOORESVILLE ABC BOARD</v>
          </cell>
          <cell r="C471">
            <v>2.5299999999999998E-5</v>
          </cell>
          <cell r="D471"/>
          <cell r="E471">
            <v>0</v>
          </cell>
          <cell r="F471">
            <v>0</v>
          </cell>
          <cell r="G471">
            <v>0</v>
          </cell>
          <cell r="H471">
            <v>0</v>
          </cell>
          <cell r="I471">
            <v>0</v>
          </cell>
        </row>
        <row r="472">
          <cell r="A472">
            <v>94931</v>
          </cell>
          <cell r="B472" t="str">
            <v>TOWN OF TROUTMAN</v>
          </cell>
          <cell r="C472">
            <v>2.142E-4</v>
          </cell>
          <cell r="D472"/>
          <cell r="E472">
            <v>-5258</v>
          </cell>
          <cell r="F472">
            <v>-1999</v>
          </cell>
          <cell r="G472">
            <v>-1999</v>
          </cell>
          <cell r="H472">
            <v>0</v>
          </cell>
          <cell r="I472">
            <v>0</v>
          </cell>
        </row>
        <row r="473">
          <cell r="A473">
            <v>94937</v>
          </cell>
          <cell r="B473" t="str">
            <v>TOWN OF TROUTMAN ABC BOARD</v>
          </cell>
          <cell r="C473">
            <v>6.9E-6</v>
          </cell>
          <cell r="D473"/>
          <cell r="E473">
            <v>0</v>
          </cell>
          <cell r="F473">
            <v>0</v>
          </cell>
          <cell r="G473">
            <v>0</v>
          </cell>
          <cell r="H473">
            <v>0</v>
          </cell>
          <cell r="I473">
            <v>0</v>
          </cell>
        </row>
        <row r="474">
          <cell r="A474">
            <v>94941</v>
          </cell>
          <cell r="B474" t="str">
            <v>MI CONNECTION COMMUNICATIONS SYSTEM</v>
          </cell>
          <cell r="C474">
            <v>5.865E-4</v>
          </cell>
          <cell r="D474"/>
          <cell r="E474">
            <v>-9832</v>
          </cell>
          <cell r="F474">
            <v>-9832</v>
          </cell>
          <cell r="G474">
            <v>-9831</v>
          </cell>
          <cell r="H474">
            <v>0</v>
          </cell>
          <cell r="I474">
            <v>0</v>
          </cell>
        </row>
        <row r="475">
          <cell r="A475">
            <v>94947</v>
          </cell>
          <cell r="B475" t="str">
            <v>VALDESE ABC BOARD</v>
          </cell>
          <cell r="C475">
            <v>5.9000000000000003E-6</v>
          </cell>
          <cell r="D475"/>
          <cell r="E475">
            <v>0</v>
          </cell>
          <cell r="F475">
            <v>0</v>
          </cell>
          <cell r="G475">
            <v>0</v>
          </cell>
          <cell r="H475">
            <v>0</v>
          </cell>
          <cell r="I475">
            <v>0</v>
          </cell>
        </row>
        <row r="476">
          <cell r="A476">
            <v>95001</v>
          </cell>
          <cell r="B476" t="str">
            <v>JACKSON COUNTY</v>
          </cell>
          <cell r="C476">
            <v>2.2818999999999999E-3</v>
          </cell>
          <cell r="D476"/>
          <cell r="E476">
            <v>-12366</v>
          </cell>
          <cell r="F476">
            <v>-12366</v>
          </cell>
          <cell r="G476">
            <v>-12366</v>
          </cell>
          <cell r="H476">
            <v>0</v>
          </cell>
          <cell r="I476">
            <v>0</v>
          </cell>
        </row>
        <row r="477">
          <cell r="A477">
            <v>95002</v>
          </cell>
          <cell r="B477" t="str">
            <v>TUCKASEIGEE WATER AUTHORITY</v>
          </cell>
          <cell r="C477">
            <v>1.805E-4</v>
          </cell>
          <cell r="D477"/>
          <cell r="E477">
            <v>0</v>
          </cell>
          <cell r="F477">
            <v>0</v>
          </cell>
          <cell r="G477">
            <v>0</v>
          </cell>
          <cell r="H477">
            <v>0</v>
          </cell>
          <cell r="I477">
            <v>0</v>
          </cell>
        </row>
        <row r="478">
          <cell r="A478">
            <v>95005</v>
          </cell>
          <cell r="B478" t="str">
            <v>FONTANA REGIONAL LIBRARY</v>
          </cell>
          <cell r="C478">
            <v>1.8819999999999999E-4</v>
          </cell>
          <cell r="D478"/>
          <cell r="E478">
            <v>-3032</v>
          </cell>
          <cell r="F478">
            <v>-2941</v>
          </cell>
          <cell r="G478">
            <v>-2607</v>
          </cell>
          <cell r="H478">
            <v>-1901</v>
          </cell>
          <cell r="I478">
            <v>0</v>
          </cell>
        </row>
        <row r="479">
          <cell r="A479">
            <v>95008</v>
          </cell>
          <cell r="B479" t="str">
            <v>SOUTHWESTERN NC PLANNING &amp; ECON.DEV.COMMIS.</v>
          </cell>
          <cell r="C479">
            <v>1.193E-4</v>
          </cell>
          <cell r="D479"/>
          <cell r="E479">
            <v>-1877</v>
          </cell>
          <cell r="F479">
            <v>0</v>
          </cell>
          <cell r="G479">
            <v>0</v>
          </cell>
          <cell r="H479">
            <v>0</v>
          </cell>
          <cell r="I479">
            <v>0</v>
          </cell>
        </row>
        <row r="480">
          <cell r="A480">
            <v>95009</v>
          </cell>
          <cell r="B480" t="str">
            <v>SMOKY MOUNTAIN M H C</v>
          </cell>
          <cell r="C480">
            <v>4.0723000000000001E-3</v>
          </cell>
          <cell r="D480"/>
          <cell r="E480">
            <v>-43166</v>
          </cell>
          <cell r="F480">
            <v>-43166</v>
          </cell>
          <cell r="G480">
            <v>-43166</v>
          </cell>
          <cell r="H480">
            <v>-14885</v>
          </cell>
          <cell r="I480">
            <v>0</v>
          </cell>
        </row>
        <row r="481">
          <cell r="A481">
            <v>95011</v>
          </cell>
          <cell r="B481" t="str">
            <v>TOWN OF SYLVA</v>
          </cell>
          <cell r="C481">
            <v>1.9230000000000001E-4</v>
          </cell>
          <cell r="D481"/>
          <cell r="E481">
            <v>-1730</v>
          </cell>
          <cell r="F481">
            <v>0</v>
          </cell>
          <cell r="G481">
            <v>0</v>
          </cell>
          <cell r="H481">
            <v>0</v>
          </cell>
          <cell r="I481">
            <v>0</v>
          </cell>
        </row>
        <row r="482">
          <cell r="A482">
            <v>95017</v>
          </cell>
          <cell r="B482" t="str">
            <v>JACKSON COUNTY ABC BOARD</v>
          </cell>
          <cell r="C482">
            <v>5.1E-5</v>
          </cell>
          <cell r="D482"/>
          <cell r="E482">
            <v>0</v>
          </cell>
          <cell r="F482">
            <v>0</v>
          </cell>
          <cell r="G482">
            <v>0</v>
          </cell>
          <cell r="H482">
            <v>0</v>
          </cell>
          <cell r="I482">
            <v>0</v>
          </cell>
        </row>
        <row r="483">
          <cell r="A483">
            <v>95101</v>
          </cell>
          <cell r="B483" t="str">
            <v>JOHNSTON COUNTY</v>
          </cell>
          <cell r="C483">
            <v>8.8515E-3</v>
          </cell>
          <cell r="D483"/>
          <cell r="E483">
            <v>-50621</v>
          </cell>
          <cell r="F483">
            <v>-29665</v>
          </cell>
          <cell r="G483">
            <v>-18558</v>
          </cell>
          <cell r="H483">
            <v>0</v>
          </cell>
          <cell r="I483">
            <v>0</v>
          </cell>
        </row>
        <row r="484">
          <cell r="A484">
            <v>95103</v>
          </cell>
          <cell r="B484" t="str">
            <v>BENSON HOUSING AUTHORITY</v>
          </cell>
          <cell r="C484">
            <v>5.0599999999999997E-5</v>
          </cell>
          <cell r="D484"/>
          <cell r="E484">
            <v>0</v>
          </cell>
          <cell r="F484">
            <v>0</v>
          </cell>
          <cell r="G484">
            <v>0</v>
          </cell>
          <cell r="H484">
            <v>0</v>
          </cell>
          <cell r="I484">
            <v>0</v>
          </cell>
        </row>
        <row r="485">
          <cell r="A485">
            <v>95104</v>
          </cell>
          <cell r="B485" t="str">
            <v>JOHNSTON COUNTY ABC BOARD</v>
          </cell>
          <cell r="C485">
            <v>1.149E-4</v>
          </cell>
          <cell r="D485"/>
          <cell r="E485">
            <v>0</v>
          </cell>
          <cell r="F485">
            <v>0</v>
          </cell>
          <cell r="G485">
            <v>0</v>
          </cell>
          <cell r="H485">
            <v>0</v>
          </cell>
          <cell r="I485">
            <v>0</v>
          </cell>
        </row>
        <row r="486">
          <cell r="A486">
            <v>95105</v>
          </cell>
          <cell r="B486" t="str">
            <v>PUBLIC LIBRARY OF JOHNSTON CO AND SMITHFIELD</v>
          </cell>
          <cell r="C486">
            <v>7.1500000000000003E-5</v>
          </cell>
          <cell r="D486"/>
          <cell r="E486">
            <v>0</v>
          </cell>
          <cell r="F486">
            <v>0</v>
          </cell>
          <cell r="G486">
            <v>0</v>
          </cell>
          <cell r="H486">
            <v>0</v>
          </cell>
          <cell r="I486">
            <v>0</v>
          </cell>
        </row>
        <row r="487">
          <cell r="A487">
            <v>95106</v>
          </cell>
          <cell r="B487" t="str">
            <v>TOWN OF ARCHER LODGE</v>
          </cell>
          <cell r="C487">
            <v>1.29E-5</v>
          </cell>
          <cell r="D487"/>
          <cell r="E487">
            <v>-358</v>
          </cell>
          <cell r="F487">
            <v>-360</v>
          </cell>
          <cell r="G487">
            <v>0</v>
          </cell>
          <cell r="H487">
            <v>0</v>
          </cell>
          <cell r="I487">
            <v>0</v>
          </cell>
        </row>
        <row r="488">
          <cell r="A488">
            <v>95110</v>
          </cell>
          <cell r="B488" t="str">
            <v>JOHNSTON HEALTH CENTER</v>
          </cell>
          <cell r="C488">
            <v>3.1538E-3</v>
          </cell>
          <cell r="D488"/>
          <cell r="E488">
            <v>-292083</v>
          </cell>
          <cell r="F488">
            <v>-170654</v>
          </cell>
          <cell r="G488">
            <v>-141231</v>
          </cell>
          <cell r="H488">
            <v>-53932</v>
          </cell>
          <cell r="I488">
            <v>0</v>
          </cell>
        </row>
        <row r="489">
          <cell r="A489">
            <v>95111</v>
          </cell>
          <cell r="B489" t="str">
            <v>TOWN OF SMITHFIELD</v>
          </cell>
          <cell r="C489">
            <v>1.0529000000000001E-3</v>
          </cell>
          <cell r="D489"/>
          <cell r="E489">
            <v>-43203</v>
          </cell>
          <cell r="F489">
            <v>-26132</v>
          </cell>
          <cell r="G489">
            <v>-22335</v>
          </cell>
          <cell r="H489">
            <v>-19440</v>
          </cell>
          <cell r="I489">
            <v>0</v>
          </cell>
        </row>
        <row r="490">
          <cell r="A490">
            <v>95113</v>
          </cell>
          <cell r="B490" t="str">
            <v>SMITHFIELD HOUSING AUTHORITY</v>
          </cell>
          <cell r="C490">
            <v>4.5300000000000003E-5</v>
          </cell>
          <cell r="D490"/>
          <cell r="E490">
            <v>0</v>
          </cell>
          <cell r="F490">
            <v>0</v>
          </cell>
          <cell r="G490">
            <v>0</v>
          </cell>
          <cell r="H490">
            <v>0</v>
          </cell>
          <cell r="I490">
            <v>0</v>
          </cell>
        </row>
        <row r="491">
          <cell r="A491">
            <v>95121</v>
          </cell>
          <cell r="B491" t="str">
            <v>TOWN OF SELMA</v>
          </cell>
          <cell r="C491">
            <v>4.6769999999999998E-4</v>
          </cell>
          <cell r="D491"/>
          <cell r="E491">
            <v>-10732</v>
          </cell>
          <cell r="F491">
            <v>-10733</v>
          </cell>
          <cell r="G491">
            <v>-10304</v>
          </cell>
          <cell r="H491">
            <v>-10302</v>
          </cell>
          <cell r="I491">
            <v>0</v>
          </cell>
        </row>
        <row r="492">
          <cell r="A492">
            <v>95122</v>
          </cell>
          <cell r="B492" t="str">
            <v>TOWN OF MICRO</v>
          </cell>
          <cell r="C492">
            <v>1.5400000000000002E-5</v>
          </cell>
          <cell r="D492"/>
          <cell r="E492">
            <v>0</v>
          </cell>
          <cell r="F492">
            <v>0</v>
          </cell>
          <cell r="G492">
            <v>0</v>
          </cell>
          <cell r="H492">
            <v>0</v>
          </cell>
          <cell r="I492">
            <v>0</v>
          </cell>
        </row>
        <row r="493">
          <cell r="A493">
            <v>95123</v>
          </cell>
          <cell r="B493" t="str">
            <v>SELMA HOUSING AUTHORITY</v>
          </cell>
          <cell r="C493">
            <v>4.8999999999999998E-5</v>
          </cell>
          <cell r="D493"/>
          <cell r="E493">
            <v>-413</v>
          </cell>
          <cell r="F493">
            <v>-413</v>
          </cell>
          <cell r="G493">
            <v>-413</v>
          </cell>
          <cell r="H493">
            <v>-412</v>
          </cell>
          <cell r="I493">
            <v>0</v>
          </cell>
        </row>
        <row r="494">
          <cell r="A494">
            <v>95131</v>
          </cell>
          <cell r="B494" t="str">
            <v>TOWN OF CLAYTON</v>
          </cell>
          <cell r="C494">
            <v>1.7905E-3</v>
          </cell>
          <cell r="D494"/>
          <cell r="E494">
            <v>0</v>
          </cell>
          <cell r="F494">
            <v>0</v>
          </cell>
          <cell r="G494">
            <v>0</v>
          </cell>
          <cell r="H494">
            <v>0</v>
          </cell>
          <cell r="I494">
            <v>0</v>
          </cell>
        </row>
        <row r="495">
          <cell r="A495">
            <v>95141</v>
          </cell>
          <cell r="B495" t="str">
            <v>TOWN OF BENSON</v>
          </cell>
          <cell r="C495">
            <v>3.6099999999999999E-4</v>
          </cell>
          <cell r="D495"/>
          <cell r="E495">
            <v>-4827</v>
          </cell>
          <cell r="F495">
            <v>-4421</v>
          </cell>
          <cell r="G495">
            <v>-1719</v>
          </cell>
          <cell r="H495">
            <v>0</v>
          </cell>
          <cell r="I495">
            <v>0</v>
          </cell>
        </row>
        <row r="496">
          <cell r="A496">
            <v>95151</v>
          </cell>
          <cell r="B496" t="str">
            <v>TOWN OF FOUR OAKS</v>
          </cell>
          <cell r="C496">
            <v>1.1010000000000001E-4</v>
          </cell>
          <cell r="D496"/>
          <cell r="E496">
            <v>-3546</v>
          </cell>
          <cell r="F496">
            <v>-3428</v>
          </cell>
          <cell r="G496">
            <v>-1628</v>
          </cell>
          <cell r="H496">
            <v>-1627</v>
          </cell>
          <cell r="I496">
            <v>0</v>
          </cell>
        </row>
        <row r="497">
          <cell r="A497">
            <v>95161</v>
          </cell>
          <cell r="B497" t="str">
            <v>TOWN OF PINE LEVEL</v>
          </cell>
          <cell r="C497">
            <v>7.1199999999999996E-5</v>
          </cell>
          <cell r="D497"/>
          <cell r="E497">
            <v>0</v>
          </cell>
          <cell r="F497">
            <v>0</v>
          </cell>
          <cell r="G497">
            <v>0</v>
          </cell>
          <cell r="H497">
            <v>0</v>
          </cell>
          <cell r="I497">
            <v>0</v>
          </cell>
        </row>
        <row r="498">
          <cell r="A498">
            <v>95171</v>
          </cell>
          <cell r="B498" t="str">
            <v>TOWN OF KENLY</v>
          </cell>
          <cell r="C498">
            <v>1.089E-4</v>
          </cell>
          <cell r="D498"/>
          <cell r="E498">
            <v>-4885</v>
          </cell>
          <cell r="F498">
            <v>-3965</v>
          </cell>
          <cell r="G498">
            <v>-2063</v>
          </cell>
          <cell r="H498">
            <v>0</v>
          </cell>
          <cell r="I498">
            <v>0</v>
          </cell>
        </row>
        <row r="499">
          <cell r="A499">
            <v>95181</v>
          </cell>
          <cell r="B499" t="str">
            <v>TOWN OF PRINCETON</v>
          </cell>
          <cell r="C499">
            <v>5.9700000000000001E-5</v>
          </cell>
          <cell r="D499"/>
          <cell r="E499">
            <v>-6540</v>
          </cell>
          <cell r="F499">
            <v>-5216</v>
          </cell>
          <cell r="G499">
            <v>-4022</v>
          </cell>
          <cell r="H499">
            <v>-3089</v>
          </cell>
          <cell r="I499">
            <v>0</v>
          </cell>
        </row>
        <row r="500">
          <cell r="A500">
            <v>95191</v>
          </cell>
          <cell r="B500" t="str">
            <v>TOWN OF WILSON'S MILLS</v>
          </cell>
          <cell r="C500">
            <v>7.3800000000000005E-5</v>
          </cell>
          <cell r="D500"/>
          <cell r="E500">
            <v>-1591</v>
          </cell>
          <cell r="F500">
            <v>0</v>
          </cell>
          <cell r="G500">
            <v>0</v>
          </cell>
          <cell r="H500">
            <v>0</v>
          </cell>
          <cell r="I500">
            <v>0</v>
          </cell>
        </row>
        <row r="501">
          <cell r="A501">
            <v>95201</v>
          </cell>
          <cell r="B501" t="str">
            <v>JONES COUNTY</v>
          </cell>
          <cell r="C501">
            <v>6.5070000000000004E-4</v>
          </cell>
          <cell r="D501"/>
          <cell r="E501">
            <v>-15567</v>
          </cell>
          <cell r="F501">
            <v>-15567</v>
          </cell>
          <cell r="G501">
            <v>-15567</v>
          </cell>
          <cell r="H501">
            <v>-10407</v>
          </cell>
          <cell r="I501">
            <v>0</v>
          </cell>
        </row>
        <row r="502">
          <cell r="A502">
            <v>95204</v>
          </cell>
          <cell r="B502" t="str">
            <v>JONES COUNTY ABC BOARD</v>
          </cell>
          <cell r="C502">
            <v>5.6999999999999996E-6</v>
          </cell>
          <cell r="D502"/>
          <cell r="E502">
            <v>-715</v>
          </cell>
          <cell r="F502">
            <v>-538</v>
          </cell>
          <cell r="G502">
            <v>-536</v>
          </cell>
          <cell r="H502">
            <v>-466</v>
          </cell>
          <cell r="I502">
            <v>0</v>
          </cell>
        </row>
        <row r="503">
          <cell r="A503">
            <v>95205</v>
          </cell>
          <cell r="B503" t="str">
            <v>NEUSE REGIONAL LIBRARY-JONES COUNTY</v>
          </cell>
          <cell r="C503">
            <v>2.7E-6</v>
          </cell>
          <cell r="D503"/>
          <cell r="E503">
            <v>-237</v>
          </cell>
          <cell r="F503">
            <v>-237</v>
          </cell>
          <cell r="G503">
            <v>-238</v>
          </cell>
          <cell r="H503">
            <v>0</v>
          </cell>
          <cell r="I503">
            <v>0</v>
          </cell>
        </row>
        <row r="504">
          <cell r="A504">
            <v>95211</v>
          </cell>
          <cell r="B504" t="str">
            <v>TOWN OF POLLOCKSVILLE</v>
          </cell>
          <cell r="C504">
            <v>5.1000000000000003E-6</v>
          </cell>
          <cell r="D504"/>
          <cell r="E504">
            <v>-449</v>
          </cell>
          <cell r="F504">
            <v>-448</v>
          </cell>
          <cell r="G504">
            <v>-387</v>
          </cell>
          <cell r="H504">
            <v>0</v>
          </cell>
          <cell r="I504">
            <v>0</v>
          </cell>
        </row>
        <row r="505">
          <cell r="A505">
            <v>95221</v>
          </cell>
          <cell r="B505" t="str">
            <v>TOWN OF MAYSVILLE</v>
          </cell>
          <cell r="C505">
            <v>5.4400000000000001E-5</v>
          </cell>
          <cell r="D505"/>
          <cell r="E505">
            <v>-3768</v>
          </cell>
          <cell r="F505">
            <v>-1622</v>
          </cell>
          <cell r="G505">
            <v>-1622</v>
          </cell>
          <cell r="H505">
            <v>-1622</v>
          </cell>
          <cell r="I505">
            <v>0</v>
          </cell>
        </row>
        <row r="506">
          <cell r="A506">
            <v>95301</v>
          </cell>
          <cell r="B506" t="str">
            <v>LEE COUNTY</v>
          </cell>
          <cell r="C506">
            <v>2.1561000000000002E-3</v>
          </cell>
          <cell r="D506"/>
          <cell r="E506">
            <v>-27657</v>
          </cell>
          <cell r="F506">
            <v>-27657</v>
          </cell>
          <cell r="G506">
            <v>-27657</v>
          </cell>
          <cell r="H506">
            <v>-21340</v>
          </cell>
          <cell r="I506">
            <v>0</v>
          </cell>
        </row>
        <row r="507">
          <cell r="A507">
            <v>95311</v>
          </cell>
          <cell r="B507" t="str">
            <v>CITY OF SANFORD</v>
          </cell>
          <cell r="C507">
            <v>2.578E-3</v>
          </cell>
          <cell r="D507"/>
          <cell r="E507">
            <v>-27206</v>
          </cell>
          <cell r="F507">
            <v>0</v>
          </cell>
          <cell r="G507">
            <v>0</v>
          </cell>
          <cell r="H507">
            <v>0</v>
          </cell>
          <cell r="I507">
            <v>0</v>
          </cell>
        </row>
        <row r="508">
          <cell r="A508">
            <v>95317</v>
          </cell>
          <cell r="B508" t="str">
            <v>SANFORD ABC BOARD</v>
          </cell>
          <cell r="C508">
            <v>4.1999999999999998E-5</v>
          </cell>
          <cell r="D508"/>
          <cell r="E508">
            <v>0</v>
          </cell>
          <cell r="F508">
            <v>0</v>
          </cell>
          <cell r="G508">
            <v>0</v>
          </cell>
          <cell r="H508">
            <v>0</v>
          </cell>
          <cell r="I508">
            <v>0</v>
          </cell>
        </row>
        <row r="509">
          <cell r="A509">
            <v>95321</v>
          </cell>
          <cell r="B509" t="str">
            <v>TOWN OF BROADWAY</v>
          </cell>
          <cell r="C509">
            <v>4.85E-5</v>
          </cell>
          <cell r="D509"/>
          <cell r="E509">
            <v>-540</v>
          </cell>
          <cell r="F509">
            <v>-538</v>
          </cell>
          <cell r="G509">
            <v>0</v>
          </cell>
          <cell r="H509">
            <v>0</v>
          </cell>
          <cell r="I509">
            <v>0</v>
          </cell>
        </row>
        <row r="510">
          <cell r="A510">
            <v>95401</v>
          </cell>
          <cell r="B510" t="str">
            <v>LENOIR COUNTY</v>
          </cell>
          <cell r="C510">
            <v>2.9023E-3</v>
          </cell>
          <cell r="D510"/>
          <cell r="E510">
            <v>-35627</v>
          </cell>
          <cell r="F510">
            <v>-35628</v>
          </cell>
          <cell r="G510">
            <v>-30651</v>
          </cell>
          <cell r="H510">
            <v>-1205</v>
          </cell>
          <cell r="I510">
            <v>0</v>
          </cell>
        </row>
        <row r="511">
          <cell r="A511">
            <v>95404</v>
          </cell>
          <cell r="B511" t="str">
            <v>LENOIR COUNTY ABC BOARD</v>
          </cell>
          <cell r="C511">
            <v>4.4799999999999998E-5</v>
          </cell>
          <cell r="D511"/>
          <cell r="E511">
            <v>-1835</v>
          </cell>
          <cell r="F511">
            <v>-1835</v>
          </cell>
          <cell r="G511">
            <v>-1835</v>
          </cell>
          <cell r="H511">
            <v>-1003</v>
          </cell>
          <cell r="I511">
            <v>0</v>
          </cell>
        </row>
        <row r="512">
          <cell r="A512">
            <v>95405</v>
          </cell>
          <cell r="B512" t="str">
            <v>NEUSE REGIONAL LIBRARY</v>
          </cell>
          <cell r="C512">
            <v>3.3399999999999999E-5</v>
          </cell>
          <cell r="D512"/>
          <cell r="E512">
            <v>0</v>
          </cell>
          <cell r="F512">
            <v>0</v>
          </cell>
          <cell r="G512">
            <v>0</v>
          </cell>
          <cell r="H512">
            <v>0</v>
          </cell>
          <cell r="I512">
            <v>0</v>
          </cell>
        </row>
        <row r="513">
          <cell r="A513">
            <v>95411</v>
          </cell>
          <cell r="B513" t="str">
            <v>CITY OF KINSTON</v>
          </cell>
          <cell r="C513">
            <v>2.0365000000000001E-3</v>
          </cell>
          <cell r="D513"/>
          <cell r="E513">
            <v>-25811</v>
          </cell>
          <cell r="F513">
            <v>-25810</v>
          </cell>
          <cell r="G513">
            <v>-15406</v>
          </cell>
          <cell r="H513">
            <v>-13775</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-3429</v>
          </cell>
          <cell r="F515">
            <v>-3429</v>
          </cell>
          <cell r="G515">
            <v>-3429</v>
          </cell>
          <cell r="H515">
            <v>-3427</v>
          </cell>
          <cell r="I515">
            <v>0</v>
          </cell>
        </row>
        <row r="516">
          <cell r="A516">
            <v>95415</v>
          </cell>
          <cell r="B516" t="str">
            <v>KINSTON-LENOIR CO PUB LIBRARY</v>
          </cell>
          <cell r="C516">
            <v>5.7599999999999997E-5</v>
          </cell>
          <cell r="D516"/>
          <cell r="E516">
            <v>-5792</v>
          </cell>
          <cell r="F516">
            <v>-5421</v>
          </cell>
          <cell r="G516">
            <v>-2495</v>
          </cell>
          <cell r="H516">
            <v>-2494</v>
          </cell>
          <cell r="I516">
            <v>0</v>
          </cell>
        </row>
        <row r="517">
          <cell r="A517">
            <v>95421</v>
          </cell>
          <cell r="B517" t="str">
            <v>TOWN OF PINK HILL</v>
          </cell>
          <cell r="C517">
            <v>3.6699999999999998E-5</v>
          </cell>
          <cell r="D517"/>
          <cell r="E517">
            <v>-1512</v>
          </cell>
          <cell r="F517">
            <v>0</v>
          </cell>
          <cell r="G517">
            <v>0</v>
          </cell>
          <cell r="H517">
            <v>0</v>
          </cell>
          <cell r="I517">
            <v>0</v>
          </cell>
        </row>
        <row r="518">
          <cell r="A518">
            <v>95431</v>
          </cell>
          <cell r="B518" t="str">
            <v>TOWN OF LAGRANGE</v>
          </cell>
          <cell r="C518">
            <v>1.3689999999999999E-4</v>
          </cell>
          <cell r="D518"/>
          <cell r="E518">
            <v>-12810</v>
          </cell>
          <cell r="F518">
            <v>-11164</v>
          </cell>
          <cell r="G518">
            <v>-4949</v>
          </cell>
          <cell r="H518">
            <v>-2655</v>
          </cell>
          <cell r="I518">
            <v>0</v>
          </cell>
        </row>
        <row r="519">
          <cell r="A519">
            <v>95501</v>
          </cell>
          <cell r="B519" t="str">
            <v>LINCOLN COUNTY</v>
          </cell>
          <cell r="C519">
            <v>5.0283999999999997E-3</v>
          </cell>
          <cell r="D519"/>
          <cell r="E519">
            <v>-46079</v>
          </cell>
          <cell r="F519">
            <v>-26916</v>
          </cell>
          <cell r="G519">
            <v>-14331</v>
          </cell>
          <cell r="H519">
            <v>0</v>
          </cell>
          <cell r="I519">
            <v>0</v>
          </cell>
        </row>
        <row r="520">
          <cell r="A520">
            <v>95504</v>
          </cell>
          <cell r="B520" t="str">
            <v>LINCOLN COUNTY ABC BOARD</v>
          </cell>
          <cell r="C520">
            <v>1.49E-5</v>
          </cell>
          <cell r="D520"/>
          <cell r="E520">
            <v>0</v>
          </cell>
          <cell r="F520">
            <v>0</v>
          </cell>
          <cell r="G520">
            <v>0</v>
          </cell>
          <cell r="H520">
            <v>0</v>
          </cell>
          <cell r="I520">
            <v>0</v>
          </cell>
        </row>
        <row r="521">
          <cell r="A521">
            <v>95511</v>
          </cell>
          <cell r="B521" t="str">
            <v>CITY OF LINCOLNTON</v>
          </cell>
          <cell r="C521">
            <v>9.4910000000000003E-4</v>
          </cell>
          <cell r="D521"/>
          <cell r="E521">
            <v>-13397</v>
          </cell>
          <cell r="F521">
            <v>0</v>
          </cell>
          <cell r="G521">
            <v>0</v>
          </cell>
          <cell r="H521">
            <v>0</v>
          </cell>
          <cell r="I521">
            <v>0</v>
          </cell>
        </row>
        <row r="522">
          <cell r="A522">
            <v>95513</v>
          </cell>
          <cell r="B522" t="str">
            <v>LINCOLNTON HOUSING AUTHORITY</v>
          </cell>
          <cell r="C522">
            <v>3.9700000000000003E-5</v>
          </cell>
          <cell r="D522"/>
          <cell r="E522">
            <v>0</v>
          </cell>
          <cell r="F522">
            <v>0</v>
          </cell>
          <cell r="G522">
            <v>0</v>
          </cell>
          <cell r="H522">
            <v>0</v>
          </cell>
          <cell r="I522">
            <v>0</v>
          </cell>
        </row>
        <row r="523">
          <cell r="A523">
            <v>95517</v>
          </cell>
          <cell r="B523" t="str">
            <v>TOWN OF LINCOLNTON ABC BOARD</v>
          </cell>
          <cell r="C523">
            <v>1.84E-5</v>
          </cell>
          <cell r="D523"/>
          <cell r="E523">
            <v>-642</v>
          </cell>
          <cell r="F523">
            <v>-642</v>
          </cell>
          <cell r="G523">
            <v>-642</v>
          </cell>
          <cell r="H523">
            <v>-5</v>
          </cell>
          <cell r="I523">
            <v>0</v>
          </cell>
        </row>
        <row r="524">
          <cell r="A524">
            <v>95601</v>
          </cell>
          <cell r="B524" t="str">
            <v>MACON COUNTY</v>
          </cell>
          <cell r="C524">
            <v>2.4459999999999998E-3</v>
          </cell>
          <cell r="D524"/>
          <cell r="E524">
            <v>-46818</v>
          </cell>
          <cell r="F524">
            <v>-46819</v>
          </cell>
          <cell r="G524">
            <v>-42047</v>
          </cell>
          <cell r="H524">
            <v>-37213</v>
          </cell>
          <cell r="I524">
            <v>0</v>
          </cell>
        </row>
        <row r="525">
          <cell r="A525">
            <v>95611</v>
          </cell>
          <cell r="B525" t="str">
            <v>TOWN OF FRANKLIN</v>
          </cell>
          <cell r="C525">
            <v>3.7889999999999999E-4</v>
          </cell>
          <cell r="D525"/>
          <cell r="E525">
            <v>-688</v>
          </cell>
          <cell r="F525">
            <v>-668</v>
          </cell>
          <cell r="G525">
            <v>-666</v>
          </cell>
          <cell r="H525">
            <v>0</v>
          </cell>
          <cell r="I525">
            <v>0</v>
          </cell>
        </row>
        <row r="526">
          <cell r="A526">
            <v>95617</v>
          </cell>
          <cell r="B526" t="str">
            <v>HIGHLANDS ABC BOARD</v>
          </cell>
          <cell r="C526">
            <v>1.49E-5</v>
          </cell>
          <cell r="D526"/>
          <cell r="E526">
            <v>0</v>
          </cell>
          <cell r="F526">
            <v>0</v>
          </cell>
          <cell r="G526">
            <v>0</v>
          </cell>
          <cell r="H526">
            <v>0</v>
          </cell>
          <cell r="I526">
            <v>0</v>
          </cell>
        </row>
        <row r="527">
          <cell r="A527">
            <v>95621</v>
          </cell>
          <cell r="B527" t="str">
            <v>TOWN OF HIGHLANDS</v>
          </cell>
          <cell r="C527">
            <v>4.5750000000000001E-4</v>
          </cell>
          <cell r="D527"/>
          <cell r="E527">
            <v>-6102</v>
          </cell>
          <cell r="F527">
            <v>-6003</v>
          </cell>
          <cell r="G527">
            <v>-5462</v>
          </cell>
          <cell r="H527">
            <v>-5463</v>
          </cell>
          <cell r="I527">
            <v>0</v>
          </cell>
        </row>
        <row r="528">
          <cell r="A528">
            <v>95701</v>
          </cell>
          <cell r="B528" t="str">
            <v>MADISON COUNTY</v>
          </cell>
          <cell r="C528">
            <v>1.2156000000000001E-3</v>
          </cell>
          <cell r="D528"/>
          <cell r="E528">
            <v>-42271</v>
          </cell>
          <cell r="F528">
            <v>-42271</v>
          </cell>
          <cell r="G528">
            <v>-42269</v>
          </cell>
          <cell r="H528">
            <v>-22957</v>
          </cell>
          <cell r="I528">
            <v>0</v>
          </cell>
        </row>
        <row r="529">
          <cell r="A529">
            <v>95711</v>
          </cell>
          <cell r="B529" t="str">
            <v>TOWN OF MARS HILL</v>
          </cell>
          <cell r="C529">
            <v>1.4320000000000001E-4</v>
          </cell>
          <cell r="D529"/>
          <cell r="E529">
            <v>-4389</v>
          </cell>
          <cell r="F529">
            <v>-4389</v>
          </cell>
          <cell r="G529">
            <v>-2947</v>
          </cell>
          <cell r="H529">
            <v>-1752</v>
          </cell>
          <cell r="I529">
            <v>0</v>
          </cell>
        </row>
        <row r="530">
          <cell r="A530">
            <v>95721</v>
          </cell>
          <cell r="B530" t="str">
            <v>TOWN OF MARSHALL</v>
          </cell>
          <cell r="C530">
            <v>6.58E-5</v>
          </cell>
          <cell r="D530"/>
          <cell r="E530">
            <v>-3088</v>
          </cell>
          <cell r="F530">
            <v>-2129</v>
          </cell>
          <cell r="G530">
            <v>-1179</v>
          </cell>
          <cell r="H530">
            <v>-786</v>
          </cell>
          <cell r="I530">
            <v>0</v>
          </cell>
        </row>
        <row r="531">
          <cell r="A531">
            <v>95733</v>
          </cell>
          <cell r="B531" t="str">
            <v>HOT SPRINGS HOUSING AUTHORITY</v>
          </cell>
          <cell r="C531">
            <v>1.43E-5</v>
          </cell>
          <cell r="D531"/>
          <cell r="E531">
            <v>-337</v>
          </cell>
          <cell r="F531">
            <v>-279</v>
          </cell>
          <cell r="G531">
            <v>-211</v>
          </cell>
          <cell r="H531">
            <v>-210</v>
          </cell>
          <cell r="I531">
            <v>0</v>
          </cell>
        </row>
        <row r="532">
          <cell r="A532">
            <v>95801</v>
          </cell>
          <cell r="B532" t="str">
            <v>MARTIN COUNTY</v>
          </cell>
          <cell r="C532">
            <v>9.5739999999999996E-4</v>
          </cell>
          <cell r="D532"/>
          <cell r="E532">
            <v>-1037</v>
          </cell>
          <cell r="F532">
            <v>-961</v>
          </cell>
          <cell r="G532">
            <v>-961</v>
          </cell>
          <cell r="H532">
            <v>-960</v>
          </cell>
          <cell r="I532">
            <v>0</v>
          </cell>
        </row>
        <row r="533">
          <cell r="A533">
            <v>95802</v>
          </cell>
          <cell r="B533" t="str">
            <v>MARTIN CO TRAVEL &amp; TOURISM AUTH</v>
          </cell>
          <cell r="C533">
            <v>4.5000000000000001E-6</v>
          </cell>
          <cell r="D533"/>
          <cell r="E533">
            <v>0</v>
          </cell>
          <cell r="F533">
            <v>0</v>
          </cell>
          <cell r="G533">
            <v>0</v>
          </cell>
          <cell r="H533">
            <v>0</v>
          </cell>
          <cell r="I533">
            <v>0</v>
          </cell>
        </row>
        <row r="534">
          <cell r="A534">
            <v>95804</v>
          </cell>
          <cell r="B534" t="str">
            <v>MARTIN COUNTY ABC BOARD</v>
          </cell>
          <cell r="C534">
            <v>2.5999999999999998E-5</v>
          </cell>
          <cell r="D534"/>
          <cell r="E534">
            <v>-588</v>
          </cell>
          <cell r="F534">
            <v>-588</v>
          </cell>
          <cell r="G534">
            <v>-589</v>
          </cell>
          <cell r="H534">
            <v>0</v>
          </cell>
          <cell r="I534">
            <v>0</v>
          </cell>
        </row>
        <row r="535">
          <cell r="A535">
            <v>95811</v>
          </cell>
          <cell r="B535" t="str">
            <v>TOWN OF WILLIAMSTON</v>
          </cell>
          <cell r="C535">
            <v>5.287E-4</v>
          </cell>
          <cell r="D535"/>
          <cell r="E535">
            <v>-470</v>
          </cell>
          <cell r="F535">
            <v>-469</v>
          </cell>
          <cell r="G535">
            <v>0</v>
          </cell>
          <cell r="H535">
            <v>0</v>
          </cell>
          <cell r="I535">
            <v>0</v>
          </cell>
        </row>
        <row r="536">
          <cell r="A536">
            <v>95813</v>
          </cell>
          <cell r="B536" t="str">
            <v>WILLIAMSTON HOUSING AUTHORITY</v>
          </cell>
          <cell r="C536">
            <v>4.4100000000000001E-5</v>
          </cell>
          <cell r="D536"/>
          <cell r="E536">
            <v>0</v>
          </cell>
          <cell r="F536">
            <v>0</v>
          </cell>
          <cell r="G536">
            <v>0</v>
          </cell>
          <cell r="H536">
            <v>0</v>
          </cell>
          <cell r="I536">
            <v>0</v>
          </cell>
        </row>
        <row r="537">
          <cell r="A537">
            <v>95821</v>
          </cell>
          <cell r="B537" t="str">
            <v>TOWN OF OAK CITY</v>
          </cell>
          <cell r="C537">
            <v>6.3999999999999997E-6</v>
          </cell>
          <cell r="D537"/>
          <cell r="E537">
            <v>-163</v>
          </cell>
          <cell r="F537">
            <v>-163</v>
          </cell>
          <cell r="G537">
            <v>0</v>
          </cell>
          <cell r="H537">
            <v>0</v>
          </cell>
          <cell r="I537">
            <v>0</v>
          </cell>
        </row>
        <row r="538">
          <cell r="A538">
            <v>95831</v>
          </cell>
          <cell r="B538" t="str">
            <v>TOWN OF HAMILTON</v>
          </cell>
          <cell r="C538">
            <v>1.9899999999999999E-5</v>
          </cell>
          <cell r="D538"/>
          <cell r="E538">
            <v>0</v>
          </cell>
          <cell r="F538">
            <v>0</v>
          </cell>
          <cell r="G538">
            <v>0</v>
          </cell>
          <cell r="H538">
            <v>0</v>
          </cell>
          <cell r="I538">
            <v>0</v>
          </cell>
        </row>
        <row r="539">
          <cell r="A539">
            <v>95841</v>
          </cell>
          <cell r="B539" t="str">
            <v>TOWN OF JAMESVILLE</v>
          </cell>
          <cell r="C539">
            <v>2.58E-5</v>
          </cell>
          <cell r="D539"/>
          <cell r="E539">
            <v>0</v>
          </cell>
          <cell r="F539">
            <v>0</v>
          </cell>
          <cell r="G539">
            <v>0</v>
          </cell>
          <cell r="H539">
            <v>0</v>
          </cell>
          <cell r="I539">
            <v>0</v>
          </cell>
        </row>
        <row r="540">
          <cell r="A540">
            <v>95851</v>
          </cell>
          <cell r="B540" t="str">
            <v>TOWN OF ROBERSONVILLE</v>
          </cell>
          <cell r="C540">
            <v>1.26E-4</v>
          </cell>
          <cell r="D540"/>
          <cell r="E540">
            <v>0</v>
          </cell>
          <cell r="F540">
            <v>0</v>
          </cell>
          <cell r="G540">
            <v>0</v>
          </cell>
          <cell r="H540">
            <v>0</v>
          </cell>
          <cell r="I540">
            <v>0</v>
          </cell>
        </row>
        <row r="541">
          <cell r="A541">
            <v>95853</v>
          </cell>
          <cell r="B541" t="str">
            <v>ROBERSONVILLE HOUSING AUTHORITY</v>
          </cell>
          <cell r="C541">
            <v>3.0300000000000001E-5</v>
          </cell>
          <cell r="D541"/>
          <cell r="E541">
            <v>-147</v>
          </cell>
          <cell r="F541">
            <v>-147</v>
          </cell>
          <cell r="G541">
            <v>-147</v>
          </cell>
          <cell r="H541">
            <v>-146</v>
          </cell>
          <cell r="I541">
            <v>0</v>
          </cell>
        </row>
        <row r="542">
          <cell r="A542">
            <v>95901</v>
          </cell>
          <cell r="B542" t="str">
            <v>MCDOWELL COUNTY</v>
          </cell>
          <cell r="C542">
            <v>1.9935E-3</v>
          </cell>
          <cell r="D542"/>
          <cell r="E542">
            <v>-4968</v>
          </cell>
          <cell r="F542">
            <v>-2429</v>
          </cell>
          <cell r="G542">
            <v>-1240</v>
          </cell>
          <cell r="H542">
            <v>-611</v>
          </cell>
          <cell r="I542">
            <v>0</v>
          </cell>
        </row>
        <row r="543">
          <cell r="A543">
            <v>95908</v>
          </cell>
          <cell r="B543" t="str">
            <v>PLEASANT GARDEN FIRE DEPT</v>
          </cell>
          <cell r="C543">
            <v>7.1500000000000003E-5</v>
          </cell>
          <cell r="D543"/>
          <cell r="E543">
            <v>-5155</v>
          </cell>
          <cell r="F543">
            <v>-4301</v>
          </cell>
          <cell r="G543">
            <v>-2623</v>
          </cell>
          <cell r="H543">
            <v>0</v>
          </cell>
          <cell r="I543">
            <v>0</v>
          </cell>
        </row>
        <row r="544">
          <cell r="A544">
            <v>95911</v>
          </cell>
          <cell r="B544" t="str">
            <v>TOWN OF MARION</v>
          </cell>
          <cell r="C544">
            <v>5.6829999999999999E-4</v>
          </cell>
          <cell r="D544"/>
          <cell r="E544">
            <v>-18177</v>
          </cell>
          <cell r="F544">
            <v>-10618</v>
          </cell>
          <cell r="G544">
            <v>-7627</v>
          </cell>
          <cell r="H544">
            <v>-1371</v>
          </cell>
          <cell r="I544">
            <v>0</v>
          </cell>
        </row>
        <row r="545">
          <cell r="A545">
            <v>95917</v>
          </cell>
          <cell r="B545" t="str">
            <v>MARION ABC BOARD</v>
          </cell>
          <cell r="C545">
            <v>1.8600000000000001E-5</v>
          </cell>
          <cell r="D545"/>
          <cell r="E545">
            <v>-948</v>
          </cell>
          <cell r="F545">
            <v>-797</v>
          </cell>
          <cell r="G545">
            <v>-795</v>
          </cell>
          <cell r="H545">
            <v>0</v>
          </cell>
          <cell r="I545">
            <v>0</v>
          </cell>
        </row>
        <row r="546">
          <cell r="A546">
            <v>95921</v>
          </cell>
          <cell r="B546" t="str">
            <v>TOWN OF OLD FORT</v>
          </cell>
          <cell r="C546">
            <v>5.4200000000000003E-5</v>
          </cell>
          <cell r="D546"/>
          <cell r="E546">
            <v>0</v>
          </cell>
          <cell r="F546">
            <v>0</v>
          </cell>
          <cell r="G546">
            <v>0</v>
          </cell>
          <cell r="H546">
            <v>0</v>
          </cell>
          <cell r="I546">
            <v>0</v>
          </cell>
        </row>
        <row r="547">
          <cell r="A547">
            <v>96001</v>
          </cell>
          <cell r="B547" t="str">
            <v>MECKLENBURG COUNTY</v>
          </cell>
          <cell r="C547">
            <v>4.3367500000000003E-2</v>
          </cell>
          <cell r="D547"/>
          <cell r="E547">
            <v>-271387</v>
          </cell>
          <cell r="F547">
            <v>-208402</v>
          </cell>
          <cell r="G547">
            <v>-141293</v>
          </cell>
          <cell r="H547">
            <v>-51642</v>
          </cell>
          <cell r="I547">
            <v>0</v>
          </cell>
        </row>
        <row r="548">
          <cell r="A548">
            <v>96003</v>
          </cell>
          <cell r="B548" t="str">
            <v>CHARLOTTE HOUSING AUTHORITY</v>
          </cell>
          <cell r="C548">
            <v>1.6620000000000001E-3</v>
          </cell>
          <cell r="D548"/>
          <cell r="E548">
            <v>-50908</v>
          </cell>
          <cell r="F548">
            <v>-37091</v>
          </cell>
          <cell r="G548">
            <v>-20883</v>
          </cell>
          <cell r="H548">
            <v>0</v>
          </cell>
          <cell r="I548">
            <v>0</v>
          </cell>
        </row>
        <row r="549">
          <cell r="A549">
            <v>96004</v>
          </cell>
          <cell r="B549" t="str">
            <v>MECKLENBURG COUNTY ABC BOARD</v>
          </cell>
          <cell r="C549">
            <v>9.3959999999999996E-4</v>
          </cell>
          <cell r="D549"/>
          <cell r="E549">
            <v>0</v>
          </cell>
          <cell r="F549">
            <v>0</v>
          </cell>
          <cell r="G549">
            <v>0</v>
          </cell>
          <cell r="H549">
            <v>0</v>
          </cell>
          <cell r="I549">
            <v>0</v>
          </cell>
        </row>
        <row r="550">
          <cell r="A550">
            <v>96005</v>
          </cell>
          <cell r="B550" t="str">
            <v>CHARLOTTE MECKLENBURG PUBLIC LIBRARY</v>
          </cell>
          <cell r="C550">
            <v>2.4467E-3</v>
          </cell>
          <cell r="D550"/>
          <cell r="E550">
            <v>-26265</v>
          </cell>
          <cell r="F550">
            <v>-26265</v>
          </cell>
          <cell r="G550">
            <v>-26263</v>
          </cell>
          <cell r="H550">
            <v>-24047</v>
          </cell>
          <cell r="I550">
            <v>0</v>
          </cell>
        </row>
        <row r="551">
          <cell r="A551">
            <v>96008</v>
          </cell>
          <cell r="B551" t="str">
            <v>MECKLENBURG EMER MED SVCS AGCY</v>
          </cell>
          <cell r="C551">
            <v>6.1741000000000001E-3</v>
          </cell>
          <cell r="D551"/>
          <cell r="E551">
            <v>-436897</v>
          </cell>
          <cell r="F551">
            <v>-388998</v>
          </cell>
          <cell r="G551">
            <v>-263028</v>
          </cell>
          <cell r="H551">
            <v>-155784</v>
          </cell>
          <cell r="I551">
            <v>0</v>
          </cell>
        </row>
        <row r="552">
          <cell r="A552">
            <v>96009</v>
          </cell>
          <cell r="B552" t="str">
            <v>CENTRALINA COUNCIL OF GOVERNMENTS</v>
          </cell>
          <cell r="C552">
            <v>3.5409999999999999E-4</v>
          </cell>
          <cell r="D552"/>
          <cell r="E552">
            <v>-2135</v>
          </cell>
          <cell r="F552">
            <v>-1355</v>
          </cell>
          <cell r="G552">
            <v>-1355</v>
          </cell>
          <cell r="H552">
            <v>-1353</v>
          </cell>
          <cell r="I552">
            <v>0</v>
          </cell>
        </row>
        <row r="553">
          <cell r="A553">
            <v>96011</v>
          </cell>
          <cell r="B553" t="str">
            <v>CITY OF CHARLOTTE</v>
          </cell>
          <cell r="C553">
            <v>6.3204399999999994E-2</v>
          </cell>
          <cell r="D553"/>
          <cell r="E553">
            <v>-15079</v>
          </cell>
          <cell r="F553">
            <v>0</v>
          </cell>
          <cell r="G553">
            <v>0</v>
          </cell>
          <cell r="H553">
            <v>0</v>
          </cell>
          <cell r="I553">
            <v>0</v>
          </cell>
        </row>
        <row r="554">
          <cell r="A554">
            <v>96012</v>
          </cell>
          <cell r="B554" t="str">
            <v>CHARLOTTE REGIONAL VISITORS AUTHORITY</v>
          </cell>
          <cell r="C554">
            <v>2.5593E-3</v>
          </cell>
          <cell r="D554"/>
          <cell r="E554">
            <v>-914</v>
          </cell>
          <cell r="F554">
            <v>-915</v>
          </cell>
          <cell r="G554">
            <v>-680</v>
          </cell>
          <cell r="H554">
            <v>-681</v>
          </cell>
          <cell r="I554">
            <v>0</v>
          </cell>
        </row>
        <row r="555">
          <cell r="A555">
            <v>96018</v>
          </cell>
          <cell r="B555" t="str">
            <v>CHARLOTTE FIREMEN'S RET SYS</v>
          </cell>
          <cell r="C555">
            <v>3.4199999999999998E-5</v>
          </cell>
          <cell r="D555"/>
          <cell r="E555">
            <v>-2205</v>
          </cell>
          <cell r="F555">
            <v>-2205</v>
          </cell>
          <cell r="G555">
            <v>-2205</v>
          </cell>
          <cell r="H555">
            <v>-2206</v>
          </cell>
          <cell r="I555">
            <v>0</v>
          </cell>
        </row>
        <row r="556">
          <cell r="A556">
            <v>96021</v>
          </cell>
          <cell r="B556" t="str">
            <v>TOWN OF PINEVILLE</v>
          </cell>
          <cell r="C556">
            <v>7.7490000000000002E-4</v>
          </cell>
          <cell r="D556"/>
          <cell r="E556">
            <v>-31074</v>
          </cell>
          <cell r="F556">
            <v>-23684</v>
          </cell>
          <cell r="G556">
            <v>0</v>
          </cell>
          <cell r="H556">
            <v>0</v>
          </cell>
          <cell r="I556">
            <v>0</v>
          </cell>
        </row>
        <row r="557">
          <cell r="A557">
            <v>96031</v>
          </cell>
          <cell r="B557" t="str">
            <v>TOWN OF MINT HILL</v>
          </cell>
          <cell r="C557">
            <v>8.3790000000000004E-4</v>
          </cell>
          <cell r="D557"/>
          <cell r="E557">
            <v>-53380</v>
          </cell>
          <cell r="F557">
            <v>-46236</v>
          </cell>
          <cell r="G557">
            <v>-22756</v>
          </cell>
          <cell r="H557">
            <v>-12639</v>
          </cell>
          <cell r="I557">
            <v>0</v>
          </cell>
        </row>
        <row r="558">
          <cell r="A558">
            <v>96041</v>
          </cell>
          <cell r="B558" t="str">
            <v>TOWN OF HUNTERSVILLE</v>
          </cell>
          <cell r="C558">
            <v>1.7466000000000001E-3</v>
          </cell>
          <cell r="D558"/>
          <cell r="E558">
            <v>-45707</v>
          </cell>
          <cell r="F558">
            <v>-35199</v>
          </cell>
          <cell r="G558">
            <v>-20740</v>
          </cell>
          <cell r="H558">
            <v>0</v>
          </cell>
          <cell r="I558">
            <v>0</v>
          </cell>
        </row>
        <row r="559">
          <cell r="A559">
            <v>96051</v>
          </cell>
          <cell r="B559" t="str">
            <v>TOWN OF CORNELIUS</v>
          </cell>
          <cell r="C559">
            <v>9.6909999999999997E-4</v>
          </cell>
          <cell r="D559"/>
          <cell r="E559">
            <v>-50801</v>
          </cell>
          <cell r="F559">
            <v>-41487</v>
          </cell>
          <cell r="G559">
            <v>-29487</v>
          </cell>
          <cell r="H559">
            <v>-23400</v>
          </cell>
          <cell r="I559">
            <v>0</v>
          </cell>
        </row>
        <row r="560">
          <cell r="A560">
            <v>96061</v>
          </cell>
          <cell r="B560" t="str">
            <v>TOWN OF STALLINGS</v>
          </cell>
          <cell r="C560">
            <v>3.4220000000000002E-4</v>
          </cell>
          <cell r="D560"/>
          <cell r="E560">
            <v>-4262</v>
          </cell>
          <cell r="F560">
            <v>-2503</v>
          </cell>
          <cell r="G560">
            <v>-2501</v>
          </cell>
          <cell r="H560">
            <v>0</v>
          </cell>
          <cell r="I560">
            <v>0</v>
          </cell>
        </row>
        <row r="561">
          <cell r="A561">
            <v>96071</v>
          </cell>
          <cell r="B561" t="str">
            <v>TOWN OF MATTHEWS</v>
          </cell>
          <cell r="C561">
            <v>1.3016E-3</v>
          </cell>
          <cell r="D561"/>
          <cell r="E561">
            <v>-18432</v>
          </cell>
          <cell r="F561">
            <v>0</v>
          </cell>
          <cell r="G561">
            <v>0</v>
          </cell>
          <cell r="H561">
            <v>0</v>
          </cell>
          <cell r="I561">
            <v>0</v>
          </cell>
        </row>
        <row r="562">
          <cell r="A562">
            <v>96081</v>
          </cell>
          <cell r="B562" t="str">
            <v>TOWN OF DAVIDSON</v>
          </cell>
          <cell r="C562">
            <v>5.419E-4</v>
          </cell>
          <cell r="D562"/>
          <cell r="E562">
            <v>-4787</v>
          </cell>
          <cell r="F562">
            <v>-4787</v>
          </cell>
          <cell r="G562">
            <v>-4787</v>
          </cell>
          <cell r="H562">
            <v>-4788</v>
          </cell>
          <cell r="I562">
            <v>0</v>
          </cell>
        </row>
        <row r="563">
          <cell r="A563">
            <v>96101</v>
          </cell>
          <cell r="B563" t="str">
            <v>MITCHELL COUNTY</v>
          </cell>
          <cell r="C563">
            <v>6.4729999999999996E-4</v>
          </cell>
          <cell r="D563"/>
          <cell r="E563">
            <v>-24958</v>
          </cell>
          <cell r="F563">
            <v>-23906</v>
          </cell>
          <cell r="G563">
            <v>-23906</v>
          </cell>
          <cell r="H563">
            <v>-23905</v>
          </cell>
          <cell r="I563">
            <v>0</v>
          </cell>
        </row>
        <row r="564">
          <cell r="A564">
            <v>96102</v>
          </cell>
          <cell r="B564" t="str">
            <v>MITCHELL SOIL &amp; WATER CONSERVATION DIST</v>
          </cell>
          <cell r="C564">
            <v>1.1600000000000001E-5</v>
          </cell>
          <cell r="D564"/>
          <cell r="E564">
            <v>-1444</v>
          </cell>
          <cell r="F564">
            <v>-1314</v>
          </cell>
          <cell r="G564">
            <v>-981</v>
          </cell>
          <cell r="H564">
            <v>-442</v>
          </cell>
          <cell r="I564">
            <v>0</v>
          </cell>
        </row>
        <row r="565">
          <cell r="A565">
            <v>96111</v>
          </cell>
          <cell r="B565" t="str">
            <v>TOWN OF SPRUCE PINE</v>
          </cell>
          <cell r="C565">
            <v>1.5809999999999999E-4</v>
          </cell>
          <cell r="D565"/>
          <cell r="E565">
            <v>-421</v>
          </cell>
          <cell r="F565">
            <v>-419</v>
          </cell>
          <cell r="G565">
            <v>0</v>
          </cell>
          <cell r="H565">
            <v>0</v>
          </cell>
          <cell r="I565">
            <v>0</v>
          </cell>
        </row>
        <row r="566">
          <cell r="A566">
            <v>96121</v>
          </cell>
          <cell r="B566" t="str">
            <v>TOWN OF BAKERSVILLE</v>
          </cell>
          <cell r="C566">
            <v>2.4300000000000001E-5</v>
          </cell>
          <cell r="D566"/>
          <cell r="E566">
            <v>-545</v>
          </cell>
          <cell r="F566">
            <v>-547</v>
          </cell>
          <cell r="G566">
            <v>-355</v>
          </cell>
          <cell r="H566">
            <v>0</v>
          </cell>
          <cell r="I566">
            <v>0</v>
          </cell>
        </row>
        <row r="567">
          <cell r="A567">
            <v>96201</v>
          </cell>
          <cell r="B567" t="str">
            <v>MONTGOMERY COUNTY</v>
          </cell>
          <cell r="C567">
            <v>1.0575000000000001E-3</v>
          </cell>
          <cell r="D567"/>
          <cell r="E567">
            <v>-37907</v>
          </cell>
          <cell r="F567">
            <v>-31469</v>
          </cell>
          <cell r="G567">
            <v>-20133</v>
          </cell>
          <cell r="H567">
            <v>-7473</v>
          </cell>
          <cell r="I567">
            <v>0</v>
          </cell>
        </row>
        <row r="568">
          <cell r="A568">
            <v>96204</v>
          </cell>
          <cell r="B568" t="str">
            <v>MONTGOMERY-MUNICIPAL ABC BOARD</v>
          </cell>
          <cell r="C568">
            <v>1.42E-5</v>
          </cell>
          <cell r="D568"/>
          <cell r="E568">
            <v>0</v>
          </cell>
          <cell r="F568">
            <v>0</v>
          </cell>
          <cell r="G568">
            <v>0</v>
          </cell>
          <cell r="H568">
            <v>0</v>
          </cell>
          <cell r="I568">
            <v>0</v>
          </cell>
        </row>
        <row r="569">
          <cell r="A569">
            <v>96211</v>
          </cell>
          <cell r="B569" t="str">
            <v>TOWN OF STAR</v>
          </cell>
          <cell r="C569">
            <v>2.4000000000000001E-5</v>
          </cell>
          <cell r="D569"/>
          <cell r="E569">
            <v>0</v>
          </cell>
          <cell r="F569">
            <v>0</v>
          </cell>
          <cell r="G569">
            <v>0</v>
          </cell>
          <cell r="H569">
            <v>0</v>
          </cell>
          <cell r="I569">
            <v>0</v>
          </cell>
        </row>
        <row r="570">
          <cell r="A570">
            <v>96221</v>
          </cell>
          <cell r="B570" t="str">
            <v>TOWN OF TROY</v>
          </cell>
          <cell r="C570">
            <v>2.141E-4</v>
          </cell>
          <cell r="D570"/>
          <cell r="E570">
            <v>-9270</v>
          </cell>
          <cell r="F570">
            <v>-7306</v>
          </cell>
          <cell r="G570">
            <v>-6355</v>
          </cell>
          <cell r="H570">
            <v>-4266</v>
          </cell>
          <cell r="I570">
            <v>0</v>
          </cell>
        </row>
        <row r="571">
          <cell r="A571">
            <v>96231</v>
          </cell>
          <cell r="B571" t="str">
            <v>TOWN OF BISCOE</v>
          </cell>
          <cell r="C571">
            <v>1.2349999999999999E-4</v>
          </cell>
          <cell r="D571"/>
          <cell r="E571">
            <v>-9135</v>
          </cell>
          <cell r="F571">
            <v>-6800</v>
          </cell>
          <cell r="G571">
            <v>-6801</v>
          </cell>
          <cell r="H571">
            <v>-3033</v>
          </cell>
          <cell r="I571">
            <v>0</v>
          </cell>
        </row>
        <row r="572">
          <cell r="A572">
            <v>96241</v>
          </cell>
          <cell r="B572" t="str">
            <v>TOWN OF CANDOR</v>
          </cell>
          <cell r="C572">
            <v>6.4499999999999996E-5</v>
          </cell>
          <cell r="D572"/>
          <cell r="E572">
            <v>-1315</v>
          </cell>
          <cell r="F572">
            <v>0</v>
          </cell>
          <cell r="G572">
            <v>0</v>
          </cell>
          <cell r="H572">
            <v>0</v>
          </cell>
          <cell r="I572">
            <v>0</v>
          </cell>
        </row>
        <row r="573">
          <cell r="A573">
            <v>96251</v>
          </cell>
          <cell r="B573" t="str">
            <v>TOWN OF MOUNT GILEAD</v>
          </cell>
          <cell r="C573">
            <v>1.004E-4</v>
          </cell>
          <cell r="D573"/>
          <cell r="E573">
            <v>-4604</v>
          </cell>
          <cell r="F573">
            <v>-2555</v>
          </cell>
          <cell r="G573">
            <v>-2553</v>
          </cell>
          <cell r="H573">
            <v>-2012</v>
          </cell>
          <cell r="I573">
            <v>0</v>
          </cell>
        </row>
        <row r="574">
          <cell r="A574">
            <v>96301</v>
          </cell>
          <cell r="B574" t="str">
            <v>MOORE COUNTY</v>
          </cell>
          <cell r="C574">
            <v>4.6904E-3</v>
          </cell>
          <cell r="D574"/>
          <cell r="E574">
            <v>-47186</v>
          </cell>
          <cell r="F574">
            <v>-21875</v>
          </cell>
          <cell r="G574">
            <v>-6962</v>
          </cell>
          <cell r="H574">
            <v>0</v>
          </cell>
          <cell r="I574">
            <v>0</v>
          </cell>
        </row>
        <row r="575">
          <cell r="A575">
            <v>96302</v>
          </cell>
          <cell r="B575" t="str">
            <v>TOWN OF TAYLORTOWN</v>
          </cell>
          <cell r="C575">
            <v>2.3600000000000001E-5</v>
          </cell>
          <cell r="D575"/>
          <cell r="E575">
            <v>-186</v>
          </cell>
          <cell r="F575">
            <v>-186</v>
          </cell>
          <cell r="G575">
            <v>-188</v>
          </cell>
          <cell r="H575">
            <v>0</v>
          </cell>
          <cell r="I575">
            <v>0</v>
          </cell>
        </row>
        <row r="576">
          <cell r="A576">
            <v>96304</v>
          </cell>
          <cell r="B576" t="str">
            <v>MOORE COUNTY ABC BOARD</v>
          </cell>
          <cell r="C576">
            <v>4.3900000000000003E-5</v>
          </cell>
          <cell r="D576"/>
          <cell r="E576">
            <v>-244</v>
          </cell>
          <cell r="F576">
            <v>-245</v>
          </cell>
          <cell r="G576">
            <v>0</v>
          </cell>
          <cell r="H576">
            <v>0</v>
          </cell>
          <cell r="I576">
            <v>0</v>
          </cell>
        </row>
        <row r="577">
          <cell r="A577">
            <v>96305</v>
          </cell>
          <cell r="B577" t="str">
            <v>MOORE COUNTY TOURISM DEVELOPMENT AUTHORITY</v>
          </cell>
          <cell r="C577">
            <v>4.1199999999999999E-5</v>
          </cell>
          <cell r="D577"/>
          <cell r="E577">
            <v>0</v>
          </cell>
          <cell r="F577">
            <v>0</v>
          </cell>
          <cell r="G577">
            <v>0</v>
          </cell>
          <cell r="H577">
            <v>0</v>
          </cell>
          <cell r="I577">
            <v>0</v>
          </cell>
        </row>
        <row r="578">
          <cell r="A578">
            <v>96310</v>
          </cell>
          <cell r="B578" t="str">
            <v>MOORE COUNTY AIRPORT AUTHORITY</v>
          </cell>
          <cell r="C578">
            <v>4.49E-5</v>
          </cell>
          <cell r="D578"/>
          <cell r="E578">
            <v>-2068</v>
          </cell>
          <cell r="F578">
            <v>-1148</v>
          </cell>
          <cell r="G578">
            <v>-1150</v>
          </cell>
          <cell r="H578">
            <v>-159</v>
          </cell>
          <cell r="I578">
            <v>0</v>
          </cell>
        </row>
        <row r="579">
          <cell r="A579">
            <v>96311</v>
          </cell>
          <cell r="B579" t="str">
            <v>TOWN OF SOUTHERN PINES</v>
          </cell>
          <cell r="C579">
            <v>1.3112E-3</v>
          </cell>
          <cell r="D579"/>
          <cell r="E579">
            <v>-48114</v>
          </cell>
          <cell r="F579">
            <v>-32668</v>
          </cell>
          <cell r="G579">
            <v>-15036</v>
          </cell>
          <cell r="H579">
            <v>-10378</v>
          </cell>
          <cell r="I579">
            <v>0</v>
          </cell>
        </row>
        <row r="580">
          <cell r="A580">
            <v>96312</v>
          </cell>
          <cell r="B580" t="str">
            <v>TOWN OF CAMERON</v>
          </cell>
          <cell r="C580">
            <v>5.8000000000000004E-6</v>
          </cell>
          <cell r="D580"/>
          <cell r="E580">
            <v>-1823</v>
          </cell>
          <cell r="F580">
            <v>-1674</v>
          </cell>
          <cell r="G580">
            <v>-1674</v>
          </cell>
          <cell r="H580">
            <v>-2</v>
          </cell>
          <cell r="I580">
            <v>0</v>
          </cell>
        </row>
        <row r="581">
          <cell r="A581">
            <v>96318</v>
          </cell>
          <cell r="B581" t="str">
            <v>SANDHILLS CENTER</v>
          </cell>
          <cell r="C581">
            <v>2.2319000000000002E-3</v>
          </cell>
          <cell r="D581"/>
          <cell r="E581">
            <v>0</v>
          </cell>
          <cell r="F581">
            <v>0</v>
          </cell>
          <cell r="G581">
            <v>0</v>
          </cell>
          <cell r="H581">
            <v>0</v>
          </cell>
          <cell r="I581">
            <v>0</v>
          </cell>
        </row>
        <row r="582">
          <cell r="A582">
            <v>96321</v>
          </cell>
          <cell r="B582" t="str">
            <v>TOWN OF VASS</v>
          </cell>
          <cell r="C582">
            <v>3.65E-5</v>
          </cell>
          <cell r="D582"/>
          <cell r="E582">
            <v>-643</v>
          </cell>
          <cell r="F582">
            <v>0</v>
          </cell>
          <cell r="G582">
            <v>0</v>
          </cell>
          <cell r="H582">
            <v>0</v>
          </cell>
          <cell r="I582">
            <v>0</v>
          </cell>
        </row>
        <row r="583">
          <cell r="A583">
            <v>96331</v>
          </cell>
          <cell r="B583" t="str">
            <v>TOWN OF ABERDEEN</v>
          </cell>
          <cell r="C583">
            <v>7.4430000000000004E-4</v>
          </cell>
          <cell r="D583"/>
          <cell r="E583">
            <v>-22888</v>
          </cell>
          <cell r="F583">
            <v>-12311</v>
          </cell>
          <cell r="G583">
            <v>-10070</v>
          </cell>
          <cell r="H583">
            <v>-623</v>
          </cell>
          <cell r="I583">
            <v>0</v>
          </cell>
        </row>
        <row r="584">
          <cell r="A584">
            <v>96341</v>
          </cell>
          <cell r="B584" t="str">
            <v>TOWN OF ROBBINS</v>
          </cell>
          <cell r="C584">
            <v>7.8200000000000003E-5</v>
          </cell>
          <cell r="D584"/>
          <cell r="E584">
            <v>-5075</v>
          </cell>
          <cell r="F584">
            <v>-5077</v>
          </cell>
          <cell r="G584">
            <v>-3081</v>
          </cell>
          <cell r="H584">
            <v>-3083</v>
          </cell>
          <cell r="I584">
            <v>0</v>
          </cell>
        </row>
        <row r="585">
          <cell r="A585">
            <v>96351</v>
          </cell>
          <cell r="B585" t="str">
            <v>VILLAGE OF PINEHURST</v>
          </cell>
          <cell r="C585">
            <v>1.0093000000000001E-3</v>
          </cell>
          <cell r="D585"/>
          <cell r="E585">
            <v>-18065</v>
          </cell>
          <cell r="F585">
            <v>-11642</v>
          </cell>
          <cell r="G585">
            <v>-9849</v>
          </cell>
          <cell r="H585">
            <v>-5898</v>
          </cell>
          <cell r="I585">
            <v>0</v>
          </cell>
        </row>
        <row r="586">
          <cell r="A586">
            <v>96361</v>
          </cell>
          <cell r="B586" t="str">
            <v>TOWN OF PINEBLUFF</v>
          </cell>
          <cell r="C586">
            <v>4.1100000000000003E-5</v>
          </cell>
          <cell r="D586"/>
          <cell r="E586">
            <v>-2642</v>
          </cell>
          <cell r="F586">
            <v>-2641</v>
          </cell>
          <cell r="G586">
            <v>-1851</v>
          </cell>
          <cell r="H586">
            <v>-1112</v>
          </cell>
          <cell r="I586">
            <v>0</v>
          </cell>
        </row>
        <row r="587">
          <cell r="A587">
            <v>96371</v>
          </cell>
          <cell r="B587" t="str">
            <v>VILLAGE OF WHISPERING PINES</v>
          </cell>
          <cell r="C587">
            <v>1.5100000000000001E-4</v>
          </cell>
          <cell r="D587"/>
          <cell r="E587">
            <v>-5064</v>
          </cell>
          <cell r="F587">
            <v>-3812</v>
          </cell>
          <cell r="G587">
            <v>-1402</v>
          </cell>
          <cell r="H587">
            <v>0</v>
          </cell>
          <cell r="I587">
            <v>0</v>
          </cell>
        </row>
        <row r="588">
          <cell r="A588">
            <v>96381</v>
          </cell>
          <cell r="B588" t="str">
            <v>FOXFIRE VILLAGE</v>
          </cell>
          <cell r="C588">
            <v>3.2799999999999998E-5</v>
          </cell>
          <cell r="D588"/>
          <cell r="E588">
            <v>-478</v>
          </cell>
          <cell r="F588">
            <v>-478</v>
          </cell>
          <cell r="G588">
            <v>-478</v>
          </cell>
          <cell r="H588">
            <v>-479</v>
          </cell>
          <cell r="I588">
            <v>0</v>
          </cell>
        </row>
        <row r="589">
          <cell r="A589">
            <v>96391</v>
          </cell>
          <cell r="B589" t="str">
            <v>TOWN OF CARTHAGE</v>
          </cell>
          <cell r="C589">
            <v>2.0560000000000001E-4</v>
          </cell>
          <cell r="D589"/>
          <cell r="E589">
            <v>-11435</v>
          </cell>
          <cell r="F589">
            <v>-8309</v>
          </cell>
          <cell r="G589">
            <v>-8304</v>
          </cell>
          <cell r="H589">
            <v>-5732</v>
          </cell>
          <cell r="I589">
            <v>0</v>
          </cell>
        </row>
        <row r="590">
          <cell r="A590">
            <v>96401</v>
          </cell>
          <cell r="B590" t="str">
            <v>NASH COUNTY</v>
          </cell>
          <cell r="C590">
            <v>4.3956000000000004E-3</v>
          </cell>
          <cell r="D590"/>
          <cell r="E590">
            <v>-57960</v>
          </cell>
          <cell r="F590">
            <v>-54362</v>
          </cell>
          <cell r="G590">
            <v>-39215</v>
          </cell>
          <cell r="H590">
            <v>-13096</v>
          </cell>
          <cell r="I590">
            <v>0</v>
          </cell>
        </row>
        <row r="591">
          <cell r="A591">
            <v>96404</v>
          </cell>
          <cell r="B591" t="str">
            <v>NASH COUNTY ABC BOARD</v>
          </cell>
          <cell r="C591">
            <v>9.8300000000000004E-5</v>
          </cell>
          <cell r="D591"/>
          <cell r="E591">
            <v>0</v>
          </cell>
          <cell r="F591">
            <v>0</v>
          </cell>
          <cell r="G591">
            <v>0</v>
          </cell>
          <cell r="H591">
            <v>0</v>
          </cell>
          <cell r="I591">
            <v>0</v>
          </cell>
        </row>
        <row r="592">
          <cell r="A592">
            <v>96405</v>
          </cell>
          <cell r="B592" t="str">
            <v>BRASWELL MEMORIAL LIBRARY</v>
          </cell>
          <cell r="C592">
            <v>1.4569999999999999E-4</v>
          </cell>
          <cell r="D592"/>
          <cell r="E592">
            <v>-515</v>
          </cell>
          <cell r="F592">
            <v>-368</v>
          </cell>
          <cell r="G592">
            <v>-156</v>
          </cell>
          <cell r="H592">
            <v>0</v>
          </cell>
          <cell r="I592">
            <v>0</v>
          </cell>
        </row>
        <row r="593">
          <cell r="A593">
            <v>96411</v>
          </cell>
          <cell r="B593" t="str">
            <v>TOWN OF SPRING HOPE</v>
          </cell>
          <cell r="C593">
            <v>7.0900000000000002E-5</v>
          </cell>
          <cell r="D593"/>
          <cell r="E593">
            <v>-2593</v>
          </cell>
          <cell r="F593">
            <v>-1718</v>
          </cell>
          <cell r="G593">
            <v>-1720</v>
          </cell>
          <cell r="H593">
            <v>-763</v>
          </cell>
          <cell r="I593">
            <v>0</v>
          </cell>
        </row>
        <row r="594">
          <cell r="A594">
            <v>96421</v>
          </cell>
          <cell r="B594" t="str">
            <v>TOWN OF NASHVILLE</v>
          </cell>
          <cell r="C594">
            <v>3.8010000000000002E-4</v>
          </cell>
          <cell r="D594"/>
          <cell r="E594">
            <v>-32660</v>
          </cell>
          <cell r="F594">
            <v>-24122</v>
          </cell>
          <cell r="G594">
            <v>-18602</v>
          </cell>
          <cell r="H594">
            <v>-14355</v>
          </cell>
          <cell r="I594">
            <v>0</v>
          </cell>
        </row>
        <row r="595">
          <cell r="A595">
            <v>96431</v>
          </cell>
          <cell r="B595" t="str">
            <v>TOWN OF MIDDLESEX</v>
          </cell>
          <cell r="C595">
            <v>3.3599999999999997E-5</v>
          </cell>
          <cell r="D595"/>
          <cell r="E595">
            <v>-2707</v>
          </cell>
          <cell r="F595">
            <v>-2709</v>
          </cell>
          <cell r="G595">
            <v>-807</v>
          </cell>
          <cell r="H595">
            <v>0</v>
          </cell>
          <cell r="I595">
            <v>0</v>
          </cell>
        </row>
        <row r="596">
          <cell r="A596">
            <v>96441</v>
          </cell>
          <cell r="B596" t="str">
            <v>TOWN OF WHITAKERS</v>
          </cell>
          <cell r="C596">
            <v>1.8499999999999999E-5</v>
          </cell>
          <cell r="D596"/>
          <cell r="E596">
            <v>-1026</v>
          </cell>
          <cell r="F596">
            <v>-1000</v>
          </cell>
          <cell r="G596">
            <v>-1000</v>
          </cell>
          <cell r="H596">
            <v>-999</v>
          </cell>
          <cell r="I596">
            <v>0</v>
          </cell>
        </row>
        <row r="597">
          <cell r="A597">
            <v>96451</v>
          </cell>
          <cell r="B597" t="str">
            <v>TOWN OF BAILEY</v>
          </cell>
          <cell r="C597">
            <v>7.4000000000000003E-6</v>
          </cell>
          <cell r="D597"/>
          <cell r="E597">
            <v>-1976</v>
          </cell>
          <cell r="F597">
            <v>-1976</v>
          </cell>
          <cell r="G597">
            <v>-1976</v>
          </cell>
          <cell r="H597">
            <v>-1569</v>
          </cell>
          <cell r="I597">
            <v>0</v>
          </cell>
        </row>
        <row r="598">
          <cell r="A598">
            <v>96461</v>
          </cell>
          <cell r="B598" t="str">
            <v>TOWN OF SHARPSBURG</v>
          </cell>
          <cell r="C598">
            <v>1.361E-4</v>
          </cell>
          <cell r="D598"/>
          <cell r="E598">
            <v>-7619</v>
          </cell>
          <cell r="F598">
            <v>-5290</v>
          </cell>
          <cell r="G598">
            <v>-5290</v>
          </cell>
          <cell r="H598">
            <v>-5291</v>
          </cell>
          <cell r="I598">
            <v>0</v>
          </cell>
        </row>
        <row r="599">
          <cell r="A599">
            <v>96501</v>
          </cell>
          <cell r="B599" t="str">
            <v>NEW HANOVER COUNTY</v>
          </cell>
          <cell r="C599">
            <v>1.46477E-2</v>
          </cell>
          <cell r="D599"/>
          <cell r="E599">
            <v>-110672</v>
          </cell>
          <cell r="F599">
            <v>-22588</v>
          </cell>
          <cell r="G599">
            <v>-22589</v>
          </cell>
          <cell r="H599">
            <v>0</v>
          </cell>
          <cell r="I599">
            <v>0</v>
          </cell>
        </row>
        <row r="600">
          <cell r="A600">
            <v>96502</v>
          </cell>
          <cell r="B600" t="str">
            <v>NEW HANOVER AIRPORT AUTH</v>
          </cell>
          <cell r="C600">
            <v>4.082E-4</v>
          </cell>
          <cell r="D600"/>
          <cell r="E600">
            <v>0</v>
          </cell>
          <cell r="F600">
            <v>0</v>
          </cell>
          <cell r="G600">
            <v>0</v>
          </cell>
          <cell r="H600">
            <v>0</v>
          </cell>
          <cell r="I600">
            <v>0</v>
          </cell>
        </row>
        <row r="601">
          <cell r="A601">
            <v>96503</v>
          </cell>
          <cell r="B601" t="str">
            <v>HOUSING AUTH OF THE CITY OF WILMINGTON</v>
          </cell>
          <cell r="C601">
            <v>3.1940000000000001E-4</v>
          </cell>
          <cell r="D601"/>
          <cell r="E601">
            <v>0</v>
          </cell>
          <cell r="F601">
            <v>0</v>
          </cell>
          <cell r="G601">
            <v>0</v>
          </cell>
          <cell r="H601">
            <v>0</v>
          </cell>
          <cell r="I601">
            <v>0</v>
          </cell>
        </row>
        <row r="602">
          <cell r="A602">
            <v>96504</v>
          </cell>
          <cell r="B602" t="str">
            <v>NEW HANOVER COUNTY ABC BOARD</v>
          </cell>
          <cell r="C602">
            <v>4.3649999999999998E-4</v>
          </cell>
          <cell r="D602"/>
          <cell r="E602">
            <v>-1440</v>
          </cell>
          <cell r="F602">
            <v>-176</v>
          </cell>
          <cell r="G602">
            <v>-176</v>
          </cell>
          <cell r="H602">
            <v>0</v>
          </cell>
          <cell r="I602">
            <v>0</v>
          </cell>
        </row>
        <row r="603">
          <cell r="A603">
            <v>96507</v>
          </cell>
          <cell r="B603" t="str">
            <v>CAPE FEAR PUBLIC UTILITY AUTHORITY</v>
          </cell>
          <cell r="C603">
            <v>2.3281999999999999E-3</v>
          </cell>
          <cell r="D603"/>
          <cell r="E603">
            <v>-5699</v>
          </cell>
          <cell r="F603">
            <v>-5697</v>
          </cell>
          <cell r="G603">
            <v>0</v>
          </cell>
          <cell r="H603">
            <v>0</v>
          </cell>
          <cell r="I603">
            <v>0</v>
          </cell>
        </row>
        <row r="604">
          <cell r="A604">
            <v>96508</v>
          </cell>
          <cell r="B604" t="str">
            <v>LOWER CAPE FEAR WATER &amp; SEWER AUTH</v>
          </cell>
          <cell r="C604">
            <v>5.9000000000000003E-6</v>
          </cell>
          <cell r="D604"/>
          <cell r="E604">
            <v>0</v>
          </cell>
          <cell r="F604">
            <v>0</v>
          </cell>
          <cell r="G604">
            <v>0</v>
          </cell>
          <cell r="H604">
            <v>0</v>
          </cell>
          <cell r="I604">
            <v>0</v>
          </cell>
        </row>
        <row r="605">
          <cell r="A605">
            <v>96511</v>
          </cell>
          <cell r="B605" t="str">
            <v>TOWN OF WRIGHTSVILLE BEACH</v>
          </cell>
          <cell r="C605">
            <v>6.0519999999999997E-4</v>
          </cell>
          <cell r="D605"/>
          <cell r="E605">
            <v>-26168</v>
          </cell>
          <cell r="F605">
            <v>-8655</v>
          </cell>
          <cell r="G605">
            <v>-6642</v>
          </cell>
          <cell r="H605">
            <v>-4355</v>
          </cell>
          <cell r="I605">
            <v>0</v>
          </cell>
        </row>
        <row r="606">
          <cell r="A606">
            <v>96512</v>
          </cell>
          <cell r="B606" t="str">
            <v>CAPE FEAR PUBLIC TRANSPORTATION AUTHORITY</v>
          </cell>
          <cell r="C606">
            <v>1.528E-4</v>
          </cell>
          <cell r="D606"/>
          <cell r="E606">
            <v>-2814</v>
          </cell>
          <cell r="F606">
            <v>-2813</v>
          </cell>
          <cell r="G606">
            <v>-323</v>
          </cell>
          <cell r="H606">
            <v>-325</v>
          </cell>
          <cell r="I606">
            <v>0</v>
          </cell>
        </row>
        <row r="607">
          <cell r="A607">
            <v>96519</v>
          </cell>
          <cell r="B607" t="str">
            <v>COASTALCARE</v>
          </cell>
          <cell r="C607">
            <v>0</v>
          </cell>
          <cell r="D607"/>
          <cell r="E607">
            <v>-207555</v>
          </cell>
          <cell r="F607">
            <v>0</v>
          </cell>
          <cell r="G607">
            <v>0</v>
          </cell>
          <cell r="H607">
            <v>0</v>
          </cell>
          <cell r="I607">
            <v>0</v>
          </cell>
        </row>
        <row r="608">
          <cell r="A608">
            <v>96521</v>
          </cell>
          <cell r="B608" t="str">
            <v>TOWN OF CAROLINA BEACH</v>
          </cell>
          <cell r="C608">
            <v>9.3479999999999995E-4</v>
          </cell>
          <cell r="D608"/>
          <cell r="E608">
            <v>-32981</v>
          </cell>
          <cell r="F608">
            <v>-27803</v>
          </cell>
          <cell r="G608">
            <v>-26376</v>
          </cell>
          <cell r="H608">
            <v>-13556</v>
          </cell>
          <cell r="I608">
            <v>0</v>
          </cell>
        </row>
        <row r="609">
          <cell r="A609">
            <v>96531</v>
          </cell>
          <cell r="B609" t="str">
            <v>CITY OF WILMINGTON</v>
          </cell>
          <cell r="C609">
            <v>8.6105999999999995E-3</v>
          </cell>
          <cell r="D609"/>
          <cell r="E609">
            <v>-184097</v>
          </cell>
          <cell r="F609">
            <v>-107481</v>
          </cell>
          <cell r="G609">
            <v>-71166</v>
          </cell>
          <cell r="H609">
            <v>-48898</v>
          </cell>
          <cell r="I609">
            <v>0</v>
          </cell>
        </row>
        <row r="610">
          <cell r="A610">
            <v>96541</v>
          </cell>
          <cell r="B610" t="str">
            <v>TOWN OF KURE BEACH</v>
          </cell>
          <cell r="C610">
            <v>3.8709999999999998E-4</v>
          </cell>
          <cell r="D610"/>
          <cell r="E610">
            <v>-1287</v>
          </cell>
          <cell r="F610">
            <v>-1287</v>
          </cell>
          <cell r="G610">
            <v>-1289</v>
          </cell>
          <cell r="H610">
            <v>0</v>
          </cell>
          <cell r="I610">
            <v>0</v>
          </cell>
        </row>
        <row r="611">
          <cell r="A611">
            <v>96601</v>
          </cell>
          <cell r="B611" t="str">
            <v>NORTHAMPTON COUNTY</v>
          </cell>
          <cell r="C611">
            <v>1.7417999999999999E-3</v>
          </cell>
          <cell r="D611"/>
          <cell r="E611">
            <v>-19064</v>
          </cell>
          <cell r="F611">
            <v>-19064</v>
          </cell>
          <cell r="G611">
            <v>-19065</v>
          </cell>
          <cell r="H611">
            <v>0</v>
          </cell>
          <cell r="I611">
            <v>0</v>
          </cell>
        </row>
        <row r="612">
          <cell r="A612">
            <v>96604</v>
          </cell>
          <cell r="B612" t="str">
            <v>NORTHAMPTON COUNTY ABC BOARD</v>
          </cell>
          <cell r="C612">
            <v>5.3000000000000001E-6</v>
          </cell>
          <cell r="D612"/>
          <cell r="E612">
            <v>0</v>
          </cell>
          <cell r="F612">
            <v>0</v>
          </cell>
          <cell r="G612">
            <v>0</v>
          </cell>
          <cell r="H612">
            <v>0</v>
          </cell>
          <cell r="I612">
            <v>0</v>
          </cell>
        </row>
        <row r="613">
          <cell r="A613">
            <v>96611</v>
          </cell>
          <cell r="B613" t="str">
            <v>TOWN OF RICH SQUARE</v>
          </cell>
          <cell r="C613">
            <v>1.3900000000000001E-5</v>
          </cell>
          <cell r="D613"/>
          <cell r="E613">
            <v>-2545</v>
          </cell>
          <cell r="F613">
            <v>-2546</v>
          </cell>
          <cell r="G613">
            <v>-1581</v>
          </cell>
          <cell r="H613">
            <v>-1050</v>
          </cell>
          <cell r="I613">
            <v>0</v>
          </cell>
        </row>
        <row r="614">
          <cell r="A614">
            <v>96612</v>
          </cell>
          <cell r="B614" t="str">
            <v>CHOANOKE PUBLIC TRANSPORTATION AUTH</v>
          </cell>
          <cell r="C614">
            <v>5.5099999999999998E-5</v>
          </cell>
          <cell r="D614"/>
          <cell r="E614">
            <v>-566</v>
          </cell>
          <cell r="F614">
            <v>-566</v>
          </cell>
          <cell r="G614">
            <v>-566</v>
          </cell>
          <cell r="H614">
            <v>0</v>
          </cell>
          <cell r="I614">
            <v>0</v>
          </cell>
        </row>
        <row r="615">
          <cell r="A615">
            <v>96621</v>
          </cell>
          <cell r="B615" t="str">
            <v>TOWN OF WOODLAND</v>
          </cell>
          <cell r="C615">
            <v>2.09E-5</v>
          </cell>
          <cell r="D615"/>
          <cell r="E615">
            <v>-1493</v>
          </cell>
          <cell r="F615">
            <v>-574</v>
          </cell>
          <cell r="G615">
            <v>-573</v>
          </cell>
          <cell r="H615">
            <v>0</v>
          </cell>
          <cell r="I615">
            <v>0</v>
          </cell>
        </row>
        <row r="616">
          <cell r="A616">
            <v>96631</v>
          </cell>
          <cell r="B616" t="str">
            <v>TOWN OF GARYSBURG</v>
          </cell>
          <cell r="C616">
            <v>2.1800000000000001E-5</v>
          </cell>
          <cell r="D616"/>
          <cell r="E616">
            <v>-294</v>
          </cell>
          <cell r="F616">
            <v>-259</v>
          </cell>
          <cell r="G616">
            <v>-205</v>
          </cell>
          <cell r="H616">
            <v>-133</v>
          </cell>
          <cell r="I616">
            <v>0</v>
          </cell>
        </row>
        <row r="617">
          <cell r="A617">
            <v>96641</v>
          </cell>
          <cell r="B617" t="str">
            <v>TOWN OF CONWAY</v>
          </cell>
          <cell r="C617">
            <v>3.3800000000000002E-5</v>
          </cell>
          <cell r="D617"/>
          <cell r="E617">
            <v>0</v>
          </cell>
          <cell r="F617">
            <v>0</v>
          </cell>
          <cell r="G617">
            <v>0</v>
          </cell>
          <cell r="H617">
            <v>0</v>
          </cell>
          <cell r="I617">
            <v>0</v>
          </cell>
        </row>
        <row r="618">
          <cell r="A618">
            <v>96651</v>
          </cell>
          <cell r="B618" t="str">
            <v>TOWN OF GASTON</v>
          </cell>
          <cell r="C618">
            <v>1.8499999999999999E-5</v>
          </cell>
          <cell r="D618"/>
          <cell r="E618">
            <v>-886</v>
          </cell>
          <cell r="F618">
            <v>-886</v>
          </cell>
          <cell r="G618">
            <v>-886</v>
          </cell>
          <cell r="H618">
            <v>-885</v>
          </cell>
          <cell r="I618">
            <v>0</v>
          </cell>
        </row>
        <row r="619">
          <cell r="A619">
            <v>96661</v>
          </cell>
          <cell r="B619" t="str">
            <v>TOWN OF JACKSON</v>
          </cell>
          <cell r="C619">
            <v>1.8099999999999999E-5</v>
          </cell>
          <cell r="D619"/>
          <cell r="E619">
            <v>-41</v>
          </cell>
          <cell r="F619">
            <v>-41</v>
          </cell>
          <cell r="G619">
            <v>-41</v>
          </cell>
          <cell r="H619">
            <v>-42</v>
          </cell>
          <cell r="I619">
            <v>0</v>
          </cell>
        </row>
        <row r="620">
          <cell r="A620">
            <v>96671</v>
          </cell>
          <cell r="B620" t="str">
            <v>TOWN OF SEVERN</v>
          </cell>
          <cell r="C620">
            <v>1.26E-5</v>
          </cell>
          <cell r="D620"/>
          <cell r="E620">
            <v>0</v>
          </cell>
          <cell r="F620">
            <v>0</v>
          </cell>
          <cell r="G620">
            <v>0</v>
          </cell>
          <cell r="H620">
            <v>0</v>
          </cell>
          <cell r="I620">
            <v>0</v>
          </cell>
        </row>
        <row r="621">
          <cell r="A621">
            <v>96681</v>
          </cell>
          <cell r="B621" t="str">
            <v>TOWN OF SEABOARD</v>
          </cell>
          <cell r="C621">
            <v>2.2399999999999999E-5</v>
          </cell>
          <cell r="D621"/>
          <cell r="E621">
            <v>-2071</v>
          </cell>
          <cell r="F621">
            <v>-2070</v>
          </cell>
          <cell r="G621">
            <v>0</v>
          </cell>
          <cell r="H621">
            <v>0</v>
          </cell>
          <cell r="I621">
            <v>0</v>
          </cell>
        </row>
        <row r="622">
          <cell r="A622">
            <v>96701</v>
          </cell>
          <cell r="B622" t="str">
            <v>ONSLOW COUNTY</v>
          </cell>
          <cell r="C622">
            <v>8.4864999999999993E-3</v>
          </cell>
          <cell r="D622"/>
          <cell r="E622">
            <v>-130667</v>
          </cell>
          <cell r="F622">
            <v>-119662</v>
          </cell>
          <cell r="G622">
            <v>-119660</v>
          </cell>
          <cell r="H622">
            <v>-95931</v>
          </cell>
          <cell r="I622">
            <v>0</v>
          </cell>
        </row>
        <row r="623">
          <cell r="A623">
            <v>96704</v>
          </cell>
          <cell r="B623" t="str">
            <v>ONSLOW COUNTY ABC BOARD</v>
          </cell>
          <cell r="C623">
            <v>1.873E-4</v>
          </cell>
          <cell r="D623"/>
          <cell r="E623">
            <v>0</v>
          </cell>
          <cell r="F623">
            <v>0</v>
          </cell>
          <cell r="G623">
            <v>0</v>
          </cell>
          <cell r="H623">
            <v>0</v>
          </cell>
          <cell r="I623">
            <v>0</v>
          </cell>
        </row>
        <row r="624">
          <cell r="A624">
            <v>96708</v>
          </cell>
          <cell r="B624" t="str">
            <v>ONSLOW WATER &amp; SEWER AUTHORITY</v>
          </cell>
          <cell r="C624">
            <v>8.7410000000000005E-4</v>
          </cell>
          <cell r="D624"/>
          <cell r="E624">
            <v>-5984</v>
          </cell>
          <cell r="F624">
            <v>0</v>
          </cell>
          <cell r="G624">
            <v>0</v>
          </cell>
          <cell r="H624">
            <v>0</v>
          </cell>
          <cell r="I624">
            <v>0</v>
          </cell>
        </row>
        <row r="625">
          <cell r="A625">
            <v>96711</v>
          </cell>
          <cell r="B625" t="str">
            <v>CITY OF JACKSONVILLE</v>
          </cell>
          <cell r="C625">
            <v>3.7919E-3</v>
          </cell>
          <cell r="D625"/>
          <cell r="E625">
            <v>-124778</v>
          </cell>
          <cell r="F625">
            <v>-108119</v>
          </cell>
          <cell r="G625">
            <v>-48962</v>
          </cell>
          <cell r="H625">
            <v>-19967</v>
          </cell>
          <cell r="I625">
            <v>0</v>
          </cell>
        </row>
        <row r="626">
          <cell r="A626">
            <v>96721</v>
          </cell>
          <cell r="B626" t="str">
            <v>TOWN OF SWANSBORO</v>
          </cell>
          <cell r="C626">
            <v>2.1719999999999999E-4</v>
          </cell>
          <cell r="D626"/>
          <cell r="E626">
            <v>-8568</v>
          </cell>
          <cell r="F626">
            <v>-889</v>
          </cell>
          <cell r="G626">
            <v>-889</v>
          </cell>
          <cell r="H626">
            <v>-888</v>
          </cell>
          <cell r="I626">
            <v>0</v>
          </cell>
        </row>
        <row r="627">
          <cell r="A627">
            <v>96731</v>
          </cell>
          <cell r="B627" t="str">
            <v>TOWN OF HOLLY RIDGE</v>
          </cell>
          <cell r="C627">
            <v>1.763E-4</v>
          </cell>
          <cell r="D627"/>
          <cell r="E627">
            <v>-442</v>
          </cell>
          <cell r="F627">
            <v>-442</v>
          </cell>
          <cell r="G627">
            <v>-444</v>
          </cell>
          <cell r="H627">
            <v>0</v>
          </cell>
          <cell r="I627">
            <v>0</v>
          </cell>
        </row>
        <row r="628">
          <cell r="A628">
            <v>96733</v>
          </cell>
          <cell r="B628" t="str">
            <v>HOLLY RIDGE HOUSING AUTHORITY</v>
          </cell>
          <cell r="C628">
            <v>6.4999999999999996E-6</v>
          </cell>
          <cell r="D628"/>
          <cell r="E628">
            <v>-1547</v>
          </cell>
          <cell r="F628">
            <v>-1547</v>
          </cell>
          <cell r="G628">
            <v>-1414</v>
          </cell>
          <cell r="H628">
            <v>-1412</v>
          </cell>
          <cell r="I628">
            <v>0</v>
          </cell>
        </row>
        <row r="629">
          <cell r="A629">
            <v>96741</v>
          </cell>
          <cell r="B629" t="str">
            <v>TOWN OF RICHLANDS</v>
          </cell>
          <cell r="C629">
            <v>9.6799999999999995E-5</v>
          </cell>
          <cell r="D629"/>
          <cell r="E629">
            <v>-1727</v>
          </cell>
          <cell r="F629">
            <v>-1379</v>
          </cell>
          <cell r="G629">
            <v>-1065</v>
          </cell>
          <cell r="H629">
            <v>-1064</v>
          </cell>
          <cell r="I629">
            <v>0</v>
          </cell>
        </row>
        <row r="630">
          <cell r="A630">
            <v>96751</v>
          </cell>
          <cell r="B630" t="str">
            <v>TOWN OF N TOPSAIL BEACH</v>
          </cell>
          <cell r="C630">
            <v>3.054E-4</v>
          </cell>
          <cell r="D630"/>
          <cell r="E630">
            <v>-7536</v>
          </cell>
          <cell r="F630">
            <v>-1087</v>
          </cell>
          <cell r="G630">
            <v>0</v>
          </cell>
          <cell r="H630">
            <v>0</v>
          </cell>
          <cell r="I630">
            <v>0</v>
          </cell>
        </row>
        <row r="631">
          <cell r="A631">
            <v>96801</v>
          </cell>
          <cell r="B631" t="str">
            <v>ORANGE COUNTY</v>
          </cell>
          <cell r="C631">
            <v>7.6207000000000002E-3</v>
          </cell>
          <cell r="D631"/>
          <cell r="E631">
            <v>-23065</v>
          </cell>
          <cell r="F631">
            <v>-23064</v>
          </cell>
          <cell r="G631">
            <v>-4771</v>
          </cell>
          <cell r="H631">
            <v>-4773</v>
          </cell>
          <cell r="I631">
            <v>0</v>
          </cell>
        </row>
        <row r="632">
          <cell r="A632">
            <v>96804</v>
          </cell>
          <cell r="B632" t="str">
            <v>ORANGE COUNTY ABC BOARD</v>
          </cell>
          <cell r="C632">
            <v>2.4230000000000001E-4</v>
          </cell>
          <cell r="D632"/>
          <cell r="E632">
            <v>-9639</v>
          </cell>
          <cell r="F632">
            <v>-9639</v>
          </cell>
          <cell r="G632">
            <v>-9639</v>
          </cell>
          <cell r="H632">
            <v>-4781</v>
          </cell>
          <cell r="I632">
            <v>0</v>
          </cell>
        </row>
        <row r="633">
          <cell r="A633">
            <v>96808</v>
          </cell>
          <cell r="B633" t="str">
            <v>ORANGE WATER AND SEWER AUTHORITY</v>
          </cell>
          <cell r="C633">
            <v>1.2175E-3</v>
          </cell>
          <cell r="D633"/>
          <cell r="E633">
            <v>-11181</v>
          </cell>
          <cell r="F633">
            <v>-11179</v>
          </cell>
          <cell r="G633">
            <v>-10257</v>
          </cell>
          <cell r="H633">
            <v>-7189</v>
          </cell>
          <cell r="I633">
            <v>0</v>
          </cell>
        </row>
        <row r="634">
          <cell r="A634">
            <v>96811</v>
          </cell>
          <cell r="B634" t="str">
            <v>TOWN OF CHAPEL HILL</v>
          </cell>
          <cell r="C634">
            <v>5.8506000000000001E-3</v>
          </cell>
          <cell r="D634"/>
          <cell r="E634">
            <v>-64649</v>
          </cell>
          <cell r="F634">
            <v>-55016</v>
          </cell>
          <cell r="G634">
            <v>-55017</v>
          </cell>
          <cell r="H634">
            <v>-41766</v>
          </cell>
          <cell r="I634">
            <v>0</v>
          </cell>
        </row>
        <row r="635">
          <cell r="A635">
            <v>96821</v>
          </cell>
          <cell r="B635" t="str">
            <v>TOWN OF CARRBORO</v>
          </cell>
          <cell r="C635">
            <v>1.2505999999999999E-3</v>
          </cell>
          <cell r="D635"/>
          <cell r="E635">
            <v>-51288</v>
          </cell>
          <cell r="F635">
            <v>-29602</v>
          </cell>
          <cell r="G635">
            <v>-22329</v>
          </cell>
          <cell r="H635">
            <v>0</v>
          </cell>
          <cell r="I635">
            <v>0</v>
          </cell>
        </row>
        <row r="636">
          <cell r="A636">
            <v>96831</v>
          </cell>
          <cell r="B636" t="str">
            <v>TOWN OF HILLSBOROUGH</v>
          </cell>
          <cell r="C636">
            <v>9.0549999999999995E-4</v>
          </cell>
          <cell r="D636"/>
          <cell r="E636">
            <v>-8475</v>
          </cell>
          <cell r="F636">
            <v>-8475</v>
          </cell>
          <cell r="G636">
            <v>-8477</v>
          </cell>
          <cell r="H636">
            <v>-7024</v>
          </cell>
          <cell r="I636">
            <v>0</v>
          </cell>
        </row>
        <row r="637">
          <cell r="A637">
            <v>96901</v>
          </cell>
          <cell r="B637" t="str">
            <v>PAMLICO COUNTY</v>
          </cell>
          <cell r="C637">
            <v>9.5589999999999998E-4</v>
          </cell>
          <cell r="D637"/>
          <cell r="E637">
            <v>0</v>
          </cell>
          <cell r="F637">
            <v>0</v>
          </cell>
          <cell r="G637">
            <v>0</v>
          </cell>
          <cell r="H637">
            <v>0</v>
          </cell>
          <cell r="I637">
            <v>0</v>
          </cell>
        </row>
        <row r="638">
          <cell r="A638">
            <v>96911</v>
          </cell>
          <cell r="B638" t="str">
            <v>TOWN OF BAYBORO</v>
          </cell>
          <cell r="C638">
            <v>2.3E-6</v>
          </cell>
          <cell r="D638"/>
          <cell r="E638">
            <v>-878</v>
          </cell>
          <cell r="F638">
            <v>-50</v>
          </cell>
          <cell r="G638">
            <v>0</v>
          </cell>
          <cell r="H638">
            <v>0</v>
          </cell>
          <cell r="I638">
            <v>0</v>
          </cell>
        </row>
        <row r="639">
          <cell r="A639">
            <v>96912</v>
          </cell>
          <cell r="B639" t="str">
            <v>TOWN OF ORIENTAL</v>
          </cell>
          <cell r="C639">
            <v>7.2000000000000002E-5</v>
          </cell>
          <cell r="D639"/>
          <cell r="E639">
            <v>-1221</v>
          </cell>
          <cell r="F639">
            <v>-996</v>
          </cell>
          <cell r="G639">
            <v>-249</v>
          </cell>
          <cell r="H639">
            <v>-250</v>
          </cell>
          <cell r="I639">
            <v>0</v>
          </cell>
        </row>
        <row r="640">
          <cell r="A640">
            <v>96918</v>
          </cell>
          <cell r="B640" t="str">
            <v>BAY RIVER METRO SEWERAGE DISTRICT</v>
          </cell>
          <cell r="C640">
            <v>2.9799999999999999E-5</v>
          </cell>
          <cell r="D640"/>
          <cell r="E640">
            <v>-1194</v>
          </cell>
          <cell r="F640">
            <v>-928</v>
          </cell>
          <cell r="G640">
            <v>-930</v>
          </cell>
          <cell r="H640">
            <v>-99</v>
          </cell>
          <cell r="I640">
            <v>0</v>
          </cell>
        </row>
        <row r="641">
          <cell r="A641">
            <v>97001</v>
          </cell>
          <cell r="B641" t="str">
            <v>PASQUOTANK COUNTY</v>
          </cell>
          <cell r="C641">
            <v>1.3541E-3</v>
          </cell>
          <cell r="D641"/>
          <cell r="E641">
            <v>0</v>
          </cell>
          <cell r="F641">
            <v>0</v>
          </cell>
          <cell r="G641">
            <v>0</v>
          </cell>
          <cell r="H641">
            <v>0</v>
          </cell>
          <cell r="I641">
            <v>0</v>
          </cell>
        </row>
        <row r="642">
          <cell r="A642">
            <v>97002</v>
          </cell>
          <cell r="B642" t="str">
            <v>PASQUOTANK-CAMDEN AMBULANCE SERVICE</v>
          </cell>
          <cell r="C642">
            <v>5.04E-4</v>
          </cell>
          <cell r="D642"/>
          <cell r="E642">
            <v>-27868</v>
          </cell>
          <cell r="F642">
            <v>-27870</v>
          </cell>
          <cell r="G642">
            <v>-26118</v>
          </cell>
          <cell r="H642">
            <v>-8543</v>
          </cell>
          <cell r="I642">
            <v>0</v>
          </cell>
        </row>
        <row r="643">
          <cell r="A643">
            <v>97004</v>
          </cell>
          <cell r="B643" t="str">
            <v>PASQUOTANK CO ABC BOARD</v>
          </cell>
          <cell r="C643">
            <v>1.5400000000000002E-5</v>
          </cell>
          <cell r="D643"/>
          <cell r="E643">
            <v>0</v>
          </cell>
          <cell r="F643">
            <v>0</v>
          </cell>
          <cell r="G643">
            <v>0</v>
          </cell>
          <cell r="H643">
            <v>0</v>
          </cell>
          <cell r="I643">
            <v>0</v>
          </cell>
        </row>
        <row r="644">
          <cell r="A644">
            <v>97005</v>
          </cell>
          <cell r="B644" t="str">
            <v>EAST ALBEMARLE REGIONAL LIBRARY</v>
          </cell>
          <cell r="C644">
            <v>2.0100000000000001E-5</v>
          </cell>
          <cell r="D644"/>
          <cell r="E644">
            <v>-774</v>
          </cell>
          <cell r="F644">
            <v>-450</v>
          </cell>
          <cell r="G644">
            <v>-450</v>
          </cell>
          <cell r="H644">
            <v>-451</v>
          </cell>
          <cell r="I644">
            <v>0</v>
          </cell>
        </row>
        <row r="645">
          <cell r="A645">
            <v>97008</v>
          </cell>
          <cell r="B645" t="str">
            <v>ALBEMARLE DISTRICT JAIL COMMISSION</v>
          </cell>
          <cell r="C645">
            <v>2.8699999999999998E-4</v>
          </cell>
          <cell r="D645"/>
          <cell r="E645">
            <v>-1275</v>
          </cell>
          <cell r="F645">
            <v>-910</v>
          </cell>
          <cell r="G645">
            <v>-912</v>
          </cell>
          <cell r="H645">
            <v>0</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-48058</v>
          </cell>
          <cell r="F647">
            <v>-26513</v>
          </cell>
          <cell r="G647">
            <v>-26054</v>
          </cell>
          <cell r="H647">
            <v>-24274</v>
          </cell>
          <cell r="I647">
            <v>0</v>
          </cell>
        </row>
        <row r="648">
          <cell r="A648">
            <v>97012</v>
          </cell>
          <cell r="B648" t="str">
            <v>ELIZABETH CITY-PASQUOTANK CO AIRPORT AUTH</v>
          </cell>
          <cell r="C648">
            <v>2.97E-5</v>
          </cell>
          <cell r="D648"/>
          <cell r="E648">
            <v>0</v>
          </cell>
          <cell r="F648">
            <v>0</v>
          </cell>
          <cell r="G648">
            <v>0</v>
          </cell>
          <cell r="H648">
            <v>0</v>
          </cell>
          <cell r="I648">
            <v>0</v>
          </cell>
        </row>
        <row r="649">
          <cell r="A649">
            <v>97013</v>
          </cell>
          <cell r="B649" t="str">
            <v>ELIZABETH CITY PASQUOTANK COUNTY TDA</v>
          </cell>
          <cell r="C649">
            <v>9.0000000000000002E-6</v>
          </cell>
          <cell r="D649"/>
          <cell r="E649">
            <v>-2113</v>
          </cell>
          <cell r="F649">
            <v>-2113</v>
          </cell>
          <cell r="G649">
            <v>-2113</v>
          </cell>
          <cell r="H649">
            <v>-2111</v>
          </cell>
          <cell r="I649">
            <v>0</v>
          </cell>
        </row>
        <row r="650">
          <cell r="A650">
            <v>97015</v>
          </cell>
          <cell r="B650" t="str">
            <v>PASQUOTANK-CAMDEN LIBRARY</v>
          </cell>
          <cell r="C650">
            <v>4.3900000000000003E-5</v>
          </cell>
          <cell r="D650"/>
          <cell r="E650">
            <v>-2398</v>
          </cell>
          <cell r="F650">
            <v>-2399</v>
          </cell>
          <cell r="G650">
            <v>-1150</v>
          </cell>
          <cell r="H650">
            <v>-1150</v>
          </cell>
          <cell r="I650">
            <v>0</v>
          </cell>
        </row>
        <row r="651">
          <cell r="A651">
            <v>97018</v>
          </cell>
          <cell r="B651" t="str">
            <v>ELIZABETH CTY-PASQUOTANK CO INDUSTRL DEVELOPMENT C</v>
          </cell>
          <cell r="C651">
            <v>1.6399999999999999E-5</v>
          </cell>
          <cell r="D651"/>
          <cell r="E651">
            <v>0</v>
          </cell>
          <cell r="F651">
            <v>0</v>
          </cell>
          <cell r="G651">
            <v>0</v>
          </cell>
          <cell r="H651">
            <v>0</v>
          </cell>
          <cell r="I651">
            <v>0</v>
          </cell>
        </row>
        <row r="652">
          <cell r="A652">
            <v>97101</v>
          </cell>
          <cell r="B652" t="str">
            <v>PENDER COUNTY</v>
          </cell>
          <cell r="C652">
            <v>2.7334E-3</v>
          </cell>
          <cell r="D652"/>
          <cell r="E652">
            <v>0</v>
          </cell>
          <cell r="F652">
            <v>0</v>
          </cell>
          <cell r="G652">
            <v>0</v>
          </cell>
          <cell r="H652">
            <v>0</v>
          </cell>
          <cell r="I652">
            <v>0</v>
          </cell>
        </row>
        <row r="653">
          <cell r="A653">
            <v>97104</v>
          </cell>
          <cell r="B653" t="str">
            <v>PENDER COUNTY ABC BOARD</v>
          </cell>
          <cell r="C653">
            <v>5.41E-5</v>
          </cell>
          <cell r="D653"/>
          <cell r="E653">
            <v>0</v>
          </cell>
          <cell r="F653">
            <v>0</v>
          </cell>
          <cell r="G653">
            <v>0</v>
          </cell>
          <cell r="H653">
            <v>0</v>
          </cell>
          <cell r="I653">
            <v>0</v>
          </cell>
        </row>
        <row r="654">
          <cell r="A654">
            <v>97111</v>
          </cell>
          <cell r="B654" t="str">
            <v>TOWN OF BURGAW</v>
          </cell>
          <cell r="C654">
            <v>2.8489999999999999E-4</v>
          </cell>
          <cell r="D654"/>
          <cell r="E654">
            <v>-8155</v>
          </cell>
          <cell r="F654">
            <v>-8153</v>
          </cell>
          <cell r="G654">
            <v>-5880</v>
          </cell>
          <cell r="H654">
            <v>-3935</v>
          </cell>
          <cell r="I654">
            <v>0</v>
          </cell>
        </row>
        <row r="655">
          <cell r="A655">
            <v>97121</v>
          </cell>
          <cell r="B655" t="str">
            <v>TOWN OF TOPSAIL BEACH</v>
          </cell>
          <cell r="C655">
            <v>1.493E-4</v>
          </cell>
          <cell r="D655"/>
          <cell r="E655">
            <v>-2511</v>
          </cell>
          <cell r="F655">
            <v>0</v>
          </cell>
          <cell r="G655">
            <v>0</v>
          </cell>
          <cell r="H655">
            <v>0</v>
          </cell>
          <cell r="I655">
            <v>0</v>
          </cell>
        </row>
        <row r="656">
          <cell r="A656">
            <v>97131</v>
          </cell>
          <cell r="B656" t="str">
            <v>TOWN OF SURF CITY</v>
          </cell>
          <cell r="C656">
            <v>6.5379999999999995E-4</v>
          </cell>
          <cell r="D656"/>
          <cell r="E656">
            <v>-30002</v>
          </cell>
          <cell r="F656">
            <v>-29312</v>
          </cell>
          <cell r="G656">
            <v>-29313</v>
          </cell>
          <cell r="H656">
            <v>0</v>
          </cell>
          <cell r="I656">
            <v>0</v>
          </cell>
        </row>
        <row r="657">
          <cell r="A657">
            <v>97201</v>
          </cell>
          <cell r="B657" t="str">
            <v>PERQUIMANS COUNTY</v>
          </cell>
          <cell r="C657">
            <v>5.8529999999999997E-4</v>
          </cell>
          <cell r="D657"/>
          <cell r="E657">
            <v>-312</v>
          </cell>
          <cell r="F657">
            <v>-312</v>
          </cell>
          <cell r="G657">
            <v>-310</v>
          </cell>
          <cell r="H657">
            <v>0</v>
          </cell>
          <cell r="I657">
            <v>0</v>
          </cell>
        </row>
        <row r="658">
          <cell r="A658">
            <v>97211</v>
          </cell>
          <cell r="B658" t="str">
            <v>TOWN OF HERTFORD</v>
          </cell>
          <cell r="C658">
            <v>8.14E-5</v>
          </cell>
          <cell r="D658"/>
          <cell r="E658">
            <v>-13029</v>
          </cell>
          <cell r="F658">
            <v>-9434</v>
          </cell>
          <cell r="G658">
            <v>-9432</v>
          </cell>
          <cell r="H658">
            <v>-8224</v>
          </cell>
          <cell r="I658">
            <v>0</v>
          </cell>
        </row>
        <row r="659">
          <cell r="A659">
            <v>97213</v>
          </cell>
          <cell r="B659" t="str">
            <v>HERTFORD HOUSING AUTH</v>
          </cell>
          <cell r="C659">
            <v>3.5500000000000002E-5</v>
          </cell>
          <cell r="D659"/>
          <cell r="E659">
            <v>-1388</v>
          </cell>
          <cell r="F659">
            <v>-1239</v>
          </cell>
          <cell r="G659">
            <v>-1239</v>
          </cell>
          <cell r="H659">
            <v>-1237</v>
          </cell>
          <cell r="I659">
            <v>0</v>
          </cell>
        </row>
        <row r="660">
          <cell r="A660">
            <v>97217</v>
          </cell>
          <cell r="B660" t="str">
            <v>TOWN OF HERTFORD ABC BOARD</v>
          </cell>
          <cell r="C660">
            <v>5.5999999999999997E-6</v>
          </cell>
          <cell r="D660"/>
          <cell r="E660">
            <v>0</v>
          </cell>
          <cell r="F660">
            <v>0</v>
          </cell>
          <cell r="G660">
            <v>0</v>
          </cell>
          <cell r="H660">
            <v>0</v>
          </cell>
          <cell r="I660">
            <v>0</v>
          </cell>
        </row>
        <row r="661">
          <cell r="A661">
            <v>97221</v>
          </cell>
          <cell r="B661" t="str">
            <v>TOWN OF WINFALL</v>
          </cell>
          <cell r="C661">
            <v>1.24E-5</v>
          </cell>
          <cell r="D661"/>
          <cell r="E661">
            <v>0</v>
          </cell>
          <cell r="F661">
            <v>0</v>
          </cell>
          <cell r="G661">
            <v>0</v>
          </cell>
          <cell r="H661">
            <v>0</v>
          </cell>
          <cell r="I661">
            <v>0</v>
          </cell>
        </row>
        <row r="662">
          <cell r="A662">
            <v>97301</v>
          </cell>
          <cell r="B662" t="str">
            <v>PERSON COUNTY</v>
          </cell>
          <cell r="C662">
            <v>2.3942E-3</v>
          </cell>
          <cell r="D662"/>
          <cell r="E662">
            <v>-23044</v>
          </cell>
          <cell r="F662">
            <v>-12796</v>
          </cell>
          <cell r="G662">
            <v>-9235</v>
          </cell>
          <cell r="H662">
            <v>-5218</v>
          </cell>
          <cell r="I662">
            <v>0</v>
          </cell>
        </row>
        <row r="663">
          <cell r="A663">
            <v>97302</v>
          </cell>
          <cell r="B663" t="str">
            <v>ROXBORO HOUSING AUTHORITY</v>
          </cell>
          <cell r="C663">
            <v>0</v>
          </cell>
          <cell r="D663"/>
          <cell r="E663">
            <v>0</v>
          </cell>
          <cell r="F663">
            <v>0</v>
          </cell>
          <cell r="G663">
            <v>0</v>
          </cell>
          <cell r="H663">
            <v>0</v>
          </cell>
          <cell r="I663">
            <v>0</v>
          </cell>
        </row>
        <row r="664">
          <cell r="A664">
            <v>97304</v>
          </cell>
          <cell r="B664" t="str">
            <v>PERSON CO ABC BD</v>
          </cell>
          <cell r="C664">
            <v>1.4399999999999999E-5</v>
          </cell>
          <cell r="D664"/>
          <cell r="E664">
            <v>0</v>
          </cell>
          <cell r="F664">
            <v>0</v>
          </cell>
          <cell r="G664">
            <v>0</v>
          </cell>
          <cell r="H664">
            <v>0</v>
          </cell>
          <cell r="I664">
            <v>0</v>
          </cell>
        </row>
        <row r="665">
          <cell r="A665">
            <v>97311</v>
          </cell>
          <cell r="B665" t="str">
            <v>CITY OF ROXBORO</v>
          </cell>
          <cell r="C665">
            <v>9.0109999999999995E-4</v>
          </cell>
          <cell r="D665"/>
          <cell r="E665">
            <v>-29161</v>
          </cell>
          <cell r="F665">
            <v>-15238</v>
          </cell>
          <cell r="G665">
            <v>-7013</v>
          </cell>
          <cell r="H665">
            <v>-26</v>
          </cell>
          <cell r="I665">
            <v>0</v>
          </cell>
        </row>
        <row r="666">
          <cell r="A666">
            <v>97401</v>
          </cell>
          <cell r="B666" t="str">
            <v>PITT COUNTY</v>
          </cell>
          <cell r="C666">
            <v>7.0562999999999997E-3</v>
          </cell>
          <cell r="D666"/>
          <cell r="E666">
            <v>-7534</v>
          </cell>
          <cell r="F666">
            <v>-2387</v>
          </cell>
          <cell r="G666">
            <v>-2387</v>
          </cell>
          <cell r="H666">
            <v>-2389</v>
          </cell>
          <cell r="I666">
            <v>0</v>
          </cell>
        </row>
        <row r="667">
          <cell r="A667">
            <v>97402</v>
          </cell>
          <cell r="B667" t="str">
            <v>PITT-GREENVILLE CONV &amp; VISTORS</v>
          </cell>
          <cell r="C667">
            <v>4.1999999999999998E-5</v>
          </cell>
          <cell r="D667"/>
          <cell r="E667">
            <v>-9</v>
          </cell>
          <cell r="F667">
            <v>-9</v>
          </cell>
          <cell r="G667">
            <v>-9</v>
          </cell>
          <cell r="H667">
            <v>-10</v>
          </cell>
          <cell r="I667">
            <v>0</v>
          </cell>
        </row>
        <row r="668">
          <cell r="A668">
            <v>97404</v>
          </cell>
          <cell r="B668" t="str">
            <v>PITT COUNTY ABC BOARD</v>
          </cell>
          <cell r="C668">
            <v>2.1240000000000001E-4</v>
          </cell>
          <cell r="D668"/>
          <cell r="E668">
            <v>-7896</v>
          </cell>
          <cell r="F668">
            <v>-5415</v>
          </cell>
          <cell r="G668">
            <v>-2988</v>
          </cell>
          <cell r="H668">
            <v>0</v>
          </cell>
          <cell r="I668">
            <v>0</v>
          </cell>
        </row>
        <row r="669">
          <cell r="A669">
            <v>97405</v>
          </cell>
          <cell r="B669" t="str">
            <v>SHEPPARD MEMORIAL LIBRARY</v>
          </cell>
          <cell r="C669">
            <v>1.106E-4</v>
          </cell>
          <cell r="D669"/>
          <cell r="E669">
            <v>0</v>
          </cell>
          <cell r="F669">
            <v>0</v>
          </cell>
          <cell r="G669">
            <v>0</v>
          </cell>
          <cell r="H669">
            <v>0</v>
          </cell>
          <cell r="I669">
            <v>0</v>
          </cell>
        </row>
        <row r="670">
          <cell r="A670">
            <v>97408</v>
          </cell>
          <cell r="B670" t="str">
            <v>CONTENNEA METROPOLITAN SEWERAGE DIST</v>
          </cell>
          <cell r="C670">
            <v>3.8999999999999999E-5</v>
          </cell>
          <cell r="D670"/>
          <cell r="E670">
            <v>0</v>
          </cell>
          <cell r="F670">
            <v>0</v>
          </cell>
          <cell r="G670">
            <v>0</v>
          </cell>
          <cell r="H670">
            <v>0</v>
          </cell>
          <cell r="I670">
            <v>0</v>
          </cell>
        </row>
        <row r="671">
          <cell r="A671">
            <v>97411</v>
          </cell>
          <cell r="B671" t="str">
            <v>CITY OF GREENVILLE</v>
          </cell>
          <cell r="C671">
            <v>6.3997999999999998E-3</v>
          </cell>
          <cell r="D671"/>
          <cell r="E671">
            <v>-191267</v>
          </cell>
          <cell r="F671">
            <v>-104832</v>
          </cell>
          <cell r="G671">
            <v>-76282</v>
          </cell>
          <cell r="H671">
            <v>0</v>
          </cell>
          <cell r="I671">
            <v>0</v>
          </cell>
        </row>
        <row r="672">
          <cell r="A672">
            <v>97412</v>
          </cell>
          <cell r="B672" t="str">
            <v>GREENVILLE UTILITIES COMMISSION</v>
          </cell>
          <cell r="C672">
            <v>4.4903E-3</v>
          </cell>
          <cell r="D672"/>
          <cell r="E672">
            <v>-23343</v>
          </cell>
          <cell r="F672">
            <v>-23343</v>
          </cell>
          <cell r="G672">
            <v>-23343</v>
          </cell>
          <cell r="H672">
            <v>-23344</v>
          </cell>
          <cell r="I672">
            <v>0</v>
          </cell>
        </row>
        <row r="673">
          <cell r="A673">
            <v>97413</v>
          </cell>
          <cell r="B673" t="str">
            <v>GREENVILLE HOUSING AUTHORITY</v>
          </cell>
          <cell r="C673">
            <v>2.812E-4</v>
          </cell>
          <cell r="D673"/>
          <cell r="E673">
            <v>0</v>
          </cell>
          <cell r="F673">
            <v>0</v>
          </cell>
          <cell r="G673">
            <v>0</v>
          </cell>
          <cell r="H673">
            <v>0</v>
          </cell>
          <cell r="I673">
            <v>0</v>
          </cell>
        </row>
        <row r="674">
          <cell r="A674">
            <v>97421</v>
          </cell>
          <cell r="B674" t="str">
            <v>TOWN OF FARMVILLE</v>
          </cell>
          <cell r="C674">
            <v>4.3120000000000002E-4</v>
          </cell>
          <cell r="D674"/>
          <cell r="E674">
            <v>-7229</v>
          </cell>
          <cell r="F674">
            <v>-5995</v>
          </cell>
          <cell r="G674">
            <v>-5995</v>
          </cell>
          <cell r="H674">
            <v>-5995</v>
          </cell>
          <cell r="I674">
            <v>0</v>
          </cell>
        </row>
        <row r="675">
          <cell r="A675">
            <v>97423</v>
          </cell>
          <cell r="B675" t="str">
            <v>FARMVILLE HOUSING AUTHORITY</v>
          </cell>
          <cell r="C675">
            <v>4.3000000000000002E-5</v>
          </cell>
          <cell r="D675"/>
          <cell r="E675">
            <v>0</v>
          </cell>
          <cell r="F675">
            <v>0</v>
          </cell>
          <cell r="G675">
            <v>0</v>
          </cell>
          <cell r="H675">
            <v>0</v>
          </cell>
          <cell r="I675">
            <v>0</v>
          </cell>
        </row>
        <row r="676">
          <cell r="A676">
            <v>97431</v>
          </cell>
          <cell r="B676" t="str">
            <v>TOWN OF GRIFTON</v>
          </cell>
          <cell r="C676">
            <v>8.92E-5</v>
          </cell>
          <cell r="D676"/>
          <cell r="E676">
            <v>-1776</v>
          </cell>
          <cell r="F676">
            <v>-1776</v>
          </cell>
          <cell r="G676">
            <v>-1776</v>
          </cell>
          <cell r="H676">
            <v>-1778</v>
          </cell>
          <cell r="I676">
            <v>0</v>
          </cell>
        </row>
        <row r="677">
          <cell r="A677">
            <v>97441</v>
          </cell>
          <cell r="B677" t="str">
            <v>TOWN OF BETHEL</v>
          </cell>
          <cell r="C677">
            <v>5.7899999999999998E-5</v>
          </cell>
          <cell r="D677"/>
          <cell r="E677">
            <v>-7331</v>
          </cell>
          <cell r="F677">
            <v>-6499</v>
          </cell>
          <cell r="G677">
            <v>-5478</v>
          </cell>
          <cell r="H677">
            <v>-519</v>
          </cell>
          <cell r="I677">
            <v>0</v>
          </cell>
        </row>
        <row r="678">
          <cell r="A678">
            <v>97451</v>
          </cell>
          <cell r="B678" t="str">
            <v>TOWN OF WINTERVILLE</v>
          </cell>
          <cell r="C678">
            <v>6.6290000000000001E-4</v>
          </cell>
          <cell r="D678"/>
          <cell r="E678">
            <v>-11428</v>
          </cell>
          <cell r="F678">
            <v>-11428</v>
          </cell>
          <cell r="G678">
            <v>-469</v>
          </cell>
          <cell r="H678">
            <v>-469</v>
          </cell>
          <cell r="I678">
            <v>0</v>
          </cell>
        </row>
        <row r="679">
          <cell r="A679">
            <v>97461</v>
          </cell>
          <cell r="B679" t="str">
            <v>TOWN OF AYDEN</v>
          </cell>
          <cell r="C679">
            <v>5.7600000000000001E-4</v>
          </cell>
          <cell r="D679"/>
          <cell r="E679">
            <v>-14054</v>
          </cell>
          <cell r="F679">
            <v>-9691</v>
          </cell>
          <cell r="G679">
            <v>-9689</v>
          </cell>
          <cell r="H679">
            <v>0</v>
          </cell>
          <cell r="I679">
            <v>0</v>
          </cell>
        </row>
        <row r="680">
          <cell r="A680">
            <v>97463</v>
          </cell>
          <cell r="B680" t="str">
            <v>AYDEN HOUSING AUTHORITY</v>
          </cell>
          <cell r="C680">
            <v>0</v>
          </cell>
          <cell r="D680"/>
          <cell r="E680">
            <v>-8957</v>
          </cell>
          <cell r="F680">
            <v>-7626</v>
          </cell>
          <cell r="G680">
            <v>-5607</v>
          </cell>
          <cell r="H680">
            <v>0</v>
          </cell>
          <cell r="I680">
            <v>0</v>
          </cell>
        </row>
        <row r="681">
          <cell r="A681">
            <v>97471</v>
          </cell>
          <cell r="B681" t="str">
            <v>TOWN OF GRIMESLAND</v>
          </cell>
          <cell r="C681">
            <v>1.6399999999999999E-5</v>
          </cell>
          <cell r="D681"/>
          <cell r="E681">
            <v>0</v>
          </cell>
          <cell r="F681">
            <v>0</v>
          </cell>
          <cell r="G681">
            <v>0</v>
          </cell>
          <cell r="H681">
            <v>0</v>
          </cell>
          <cell r="I681">
            <v>0</v>
          </cell>
        </row>
        <row r="682">
          <cell r="A682">
            <v>97481</v>
          </cell>
          <cell r="B682" t="str">
            <v>VILLAGE OF SIMPSON</v>
          </cell>
          <cell r="C682">
            <v>8.9999999999999996E-7</v>
          </cell>
          <cell r="D682"/>
          <cell r="E682">
            <v>-2904</v>
          </cell>
          <cell r="F682">
            <v>-2903</v>
          </cell>
          <cell r="G682">
            <v>-2125</v>
          </cell>
          <cell r="H682">
            <v>-2124</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-821</v>
          </cell>
          <cell r="F684">
            <v>-821</v>
          </cell>
          <cell r="G684">
            <v>-819</v>
          </cell>
          <cell r="H684">
            <v>0</v>
          </cell>
          <cell r="I684">
            <v>0</v>
          </cell>
        </row>
        <row r="685">
          <cell r="A685">
            <v>97511</v>
          </cell>
          <cell r="B685" t="str">
            <v>TOWN OF TRYON</v>
          </cell>
          <cell r="C685">
            <v>1.9120000000000001E-4</v>
          </cell>
          <cell r="D685"/>
          <cell r="E685">
            <v>-6876</v>
          </cell>
          <cell r="F685">
            <v>-6876</v>
          </cell>
          <cell r="G685">
            <v>-6874</v>
          </cell>
          <cell r="H685">
            <v>0</v>
          </cell>
          <cell r="I685">
            <v>0</v>
          </cell>
        </row>
        <row r="686">
          <cell r="A686">
            <v>97521</v>
          </cell>
          <cell r="B686" t="str">
            <v>TOWN OF COLUMBUS</v>
          </cell>
          <cell r="C686">
            <v>1.139E-4</v>
          </cell>
          <cell r="D686"/>
          <cell r="E686">
            <v>-6886</v>
          </cell>
          <cell r="F686">
            <v>-4655</v>
          </cell>
          <cell r="G686">
            <v>-4076</v>
          </cell>
          <cell r="H686">
            <v>-2961</v>
          </cell>
          <cell r="I686">
            <v>0</v>
          </cell>
        </row>
        <row r="687">
          <cell r="A687">
            <v>97527</v>
          </cell>
          <cell r="B687" t="str">
            <v>COLUMBUS ABC BOARD</v>
          </cell>
          <cell r="C687">
            <v>1.7E-5</v>
          </cell>
          <cell r="D687"/>
          <cell r="E687">
            <v>0</v>
          </cell>
          <cell r="F687">
            <v>0</v>
          </cell>
          <cell r="G687">
            <v>0</v>
          </cell>
          <cell r="H687">
            <v>0</v>
          </cell>
          <cell r="I687">
            <v>0</v>
          </cell>
        </row>
        <row r="688">
          <cell r="A688">
            <v>97531</v>
          </cell>
          <cell r="B688" t="str">
            <v>CITY OF SALUDA</v>
          </cell>
          <cell r="C688">
            <v>8.1299999999999997E-5</v>
          </cell>
          <cell r="D688"/>
          <cell r="E688">
            <v>0</v>
          </cell>
          <cell r="F688">
            <v>0</v>
          </cell>
          <cell r="G688">
            <v>0</v>
          </cell>
          <cell r="H688">
            <v>0</v>
          </cell>
          <cell r="I688">
            <v>0</v>
          </cell>
        </row>
        <row r="689">
          <cell r="A689">
            <v>97601</v>
          </cell>
          <cell r="B689" t="str">
            <v>RANDOLPH COUNTY</v>
          </cell>
          <cell r="C689">
            <v>5.2946E-3</v>
          </cell>
          <cell r="D689"/>
          <cell r="E689">
            <v>-33561</v>
          </cell>
          <cell r="F689">
            <v>-18758</v>
          </cell>
          <cell r="G689">
            <v>-18760</v>
          </cell>
          <cell r="H689">
            <v>-16070</v>
          </cell>
          <cell r="I689">
            <v>0</v>
          </cell>
        </row>
        <row r="690">
          <cell r="A690">
            <v>97607</v>
          </cell>
          <cell r="B690" t="str">
            <v>ASHEBORO ABC BOARD</v>
          </cell>
          <cell r="C690">
            <v>2.0699999999999998E-5</v>
          </cell>
          <cell r="D690"/>
          <cell r="E690">
            <v>0</v>
          </cell>
          <cell r="F690">
            <v>0</v>
          </cell>
          <cell r="G690">
            <v>0</v>
          </cell>
          <cell r="H690">
            <v>0</v>
          </cell>
          <cell r="I690">
            <v>0</v>
          </cell>
        </row>
        <row r="691">
          <cell r="A691">
            <v>97611</v>
          </cell>
          <cell r="B691" t="str">
            <v>CITY OF ASHEBORO</v>
          </cell>
          <cell r="C691">
            <v>2.3218000000000002E-3</v>
          </cell>
          <cell r="D691"/>
          <cell r="E691">
            <v>-85361</v>
          </cell>
          <cell r="F691">
            <v>-49997</v>
          </cell>
          <cell r="G691">
            <v>-27807</v>
          </cell>
          <cell r="H691">
            <v>-2278</v>
          </cell>
          <cell r="I691">
            <v>0</v>
          </cell>
        </row>
        <row r="692">
          <cell r="A692">
            <v>97613</v>
          </cell>
          <cell r="B692" t="str">
            <v>ASHEBORO HOUSING AUTH</v>
          </cell>
          <cell r="C692">
            <v>8.8599999999999999E-5</v>
          </cell>
          <cell r="D692"/>
          <cell r="E692">
            <v>-2499</v>
          </cell>
          <cell r="F692">
            <v>-2499</v>
          </cell>
          <cell r="G692">
            <v>-2461</v>
          </cell>
          <cell r="H692">
            <v>-2460</v>
          </cell>
          <cell r="I692">
            <v>0</v>
          </cell>
        </row>
        <row r="693">
          <cell r="A693">
            <v>97621</v>
          </cell>
          <cell r="B693" t="str">
            <v>CITY OF RANDLEMAN</v>
          </cell>
          <cell r="C693">
            <v>4.3960000000000001E-4</v>
          </cell>
          <cell r="D693"/>
          <cell r="E693">
            <v>-33095</v>
          </cell>
          <cell r="F693">
            <v>-23400</v>
          </cell>
          <cell r="G693">
            <v>-13956</v>
          </cell>
          <cell r="H693">
            <v>-6863</v>
          </cell>
          <cell r="I693">
            <v>0</v>
          </cell>
        </row>
        <row r="694">
          <cell r="A694">
            <v>97623</v>
          </cell>
          <cell r="B694" t="str">
            <v>CITY OF RANDLEMAN HOUSING AUTHORITY</v>
          </cell>
          <cell r="C694">
            <v>2.5400000000000001E-5</v>
          </cell>
          <cell r="D694"/>
          <cell r="E694">
            <v>-1486</v>
          </cell>
          <cell r="F694">
            <v>-1485</v>
          </cell>
          <cell r="G694">
            <v>-1052</v>
          </cell>
          <cell r="H694">
            <v>0</v>
          </cell>
          <cell r="I694">
            <v>0</v>
          </cell>
        </row>
        <row r="695">
          <cell r="A695">
            <v>97627</v>
          </cell>
          <cell r="B695" t="str">
            <v>CITY OF RANDLEMAN ABC BOARD</v>
          </cell>
          <cell r="C695">
            <v>9.3000000000000007E-6</v>
          </cell>
          <cell r="D695"/>
          <cell r="E695">
            <v>0</v>
          </cell>
          <cell r="F695">
            <v>0</v>
          </cell>
          <cell r="G695">
            <v>0</v>
          </cell>
          <cell r="H695">
            <v>0</v>
          </cell>
          <cell r="I695">
            <v>0</v>
          </cell>
        </row>
        <row r="696">
          <cell r="A696">
            <v>97631</v>
          </cell>
          <cell r="B696" t="str">
            <v>TOWN OF LIBERTY</v>
          </cell>
          <cell r="C696">
            <v>1.972E-4</v>
          </cell>
          <cell r="D696"/>
          <cell r="E696">
            <v>-5647</v>
          </cell>
          <cell r="F696">
            <v>-5646</v>
          </cell>
          <cell r="G696">
            <v>-4718</v>
          </cell>
          <cell r="H696">
            <v>-3444</v>
          </cell>
          <cell r="I696">
            <v>0</v>
          </cell>
        </row>
        <row r="697">
          <cell r="A697">
            <v>97637</v>
          </cell>
          <cell r="B697" t="str">
            <v>LIBERTY ABC BOARD</v>
          </cell>
          <cell r="C697">
            <v>3.1999999999999999E-6</v>
          </cell>
          <cell r="D697"/>
          <cell r="E697">
            <v>-10</v>
          </cell>
          <cell r="F697">
            <v>0</v>
          </cell>
          <cell r="G697">
            <v>0</v>
          </cell>
          <cell r="H697">
            <v>0</v>
          </cell>
          <cell r="I697">
            <v>0</v>
          </cell>
        </row>
        <row r="698">
          <cell r="A698">
            <v>97641</v>
          </cell>
          <cell r="B698" t="str">
            <v>TOWN OF RAMSEUR</v>
          </cell>
          <cell r="C698">
            <v>4.5399999999999999E-5</v>
          </cell>
          <cell r="D698"/>
          <cell r="E698">
            <v>-2071</v>
          </cell>
          <cell r="F698">
            <v>-2071</v>
          </cell>
          <cell r="G698">
            <v>-2073</v>
          </cell>
          <cell r="H698">
            <v>0</v>
          </cell>
          <cell r="I698">
            <v>0</v>
          </cell>
        </row>
        <row r="699">
          <cell r="A699">
            <v>97651</v>
          </cell>
          <cell r="B699" t="str">
            <v>CITY OF ARCHDALE</v>
          </cell>
          <cell r="C699">
            <v>5.2329999999999998E-4</v>
          </cell>
          <cell r="D699"/>
          <cell r="E699">
            <v>-18733</v>
          </cell>
          <cell r="F699">
            <v>-11833</v>
          </cell>
          <cell r="G699">
            <v>-9269</v>
          </cell>
          <cell r="H699">
            <v>-4892</v>
          </cell>
          <cell r="I699">
            <v>0</v>
          </cell>
        </row>
        <row r="700">
          <cell r="A700">
            <v>97661</v>
          </cell>
          <cell r="B700" t="str">
            <v>CITY OF TRINITY</v>
          </cell>
          <cell r="C700">
            <v>5.3300000000000001E-5</v>
          </cell>
          <cell r="D700"/>
          <cell r="E700">
            <v>-485</v>
          </cell>
          <cell r="F700">
            <v>-485</v>
          </cell>
          <cell r="G700">
            <v>-485</v>
          </cell>
          <cell r="H700">
            <v>0</v>
          </cell>
          <cell r="I700">
            <v>0</v>
          </cell>
        </row>
        <row r="701">
          <cell r="A701">
            <v>97701</v>
          </cell>
          <cell r="B701" t="str">
            <v>RICHMOND COUNTY</v>
          </cell>
          <cell r="C701">
            <v>2.4578E-3</v>
          </cell>
          <cell r="D701"/>
          <cell r="E701">
            <v>-21125</v>
          </cell>
          <cell r="F701">
            <v>-21125</v>
          </cell>
          <cell r="G701">
            <v>-21125</v>
          </cell>
          <cell r="H701">
            <v>-21127</v>
          </cell>
          <cell r="I701">
            <v>0</v>
          </cell>
        </row>
        <row r="702">
          <cell r="A702">
            <v>97705</v>
          </cell>
          <cell r="B702" t="str">
            <v>SANDHILL REGIONAL LIBRARY</v>
          </cell>
          <cell r="C702">
            <v>3.1699999999999998E-5</v>
          </cell>
          <cell r="D702"/>
          <cell r="E702">
            <v>-4419</v>
          </cell>
          <cell r="F702">
            <v>-4418</v>
          </cell>
          <cell r="G702">
            <v>-1730</v>
          </cell>
          <cell r="H702">
            <v>-1603</v>
          </cell>
          <cell r="I702">
            <v>0</v>
          </cell>
        </row>
        <row r="703">
          <cell r="A703">
            <v>97711</v>
          </cell>
          <cell r="B703" t="str">
            <v>CITY OF ROCKINGHAM</v>
          </cell>
          <cell r="C703">
            <v>8.5930000000000002E-4</v>
          </cell>
          <cell r="D703"/>
          <cell r="E703">
            <v>-16832</v>
          </cell>
          <cell r="F703">
            <v>-11394</v>
          </cell>
          <cell r="G703">
            <v>-7939</v>
          </cell>
          <cell r="H703">
            <v>-7938</v>
          </cell>
          <cell r="I703">
            <v>0</v>
          </cell>
        </row>
        <row r="704">
          <cell r="A704">
            <v>97713</v>
          </cell>
          <cell r="B704" t="str">
            <v>ROCKINGHAM HOUSING AUTHORITY</v>
          </cell>
          <cell r="C704">
            <v>5.0399999999999999E-5</v>
          </cell>
          <cell r="D704"/>
          <cell r="E704">
            <v>-3600</v>
          </cell>
          <cell r="F704">
            <v>-2586</v>
          </cell>
          <cell r="G704">
            <v>-172</v>
          </cell>
          <cell r="H704">
            <v>-172</v>
          </cell>
          <cell r="I704">
            <v>0</v>
          </cell>
        </row>
        <row r="705">
          <cell r="A705">
            <v>97717</v>
          </cell>
          <cell r="B705" t="str">
            <v>HAMLET ABC BOARD</v>
          </cell>
          <cell r="C705">
            <v>5.4E-6</v>
          </cell>
          <cell r="D705"/>
          <cell r="E705">
            <v>-423</v>
          </cell>
          <cell r="F705">
            <v>-425</v>
          </cell>
          <cell r="G705">
            <v>-18</v>
          </cell>
          <cell r="H705">
            <v>-20</v>
          </cell>
          <cell r="I705">
            <v>0</v>
          </cell>
        </row>
        <row r="706">
          <cell r="A706">
            <v>97721</v>
          </cell>
          <cell r="B706" t="str">
            <v>CITY OF HAMLET</v>
          </cell>
          <cell r="C706">
            <v>5.5699999999999999E-4</v>
          </cell>
          <cell r="D706"/>
          <cell r="E706">
            <v>-12853</v>
          </cell>
          <cell r="F706">
            <v>-12852</v>
          </cell>
          <cell r="G706">
            <v>-10952</v>
          </cell>
          <cell r="H706">
            <v>-10951</v>
          </cell>
          <cell r="I706">
            <v>0</v>
          </cell>
        </row>
        <row r="707">
          <cell r="A707">
            <v>97727</v>
          </cell>
          <cell r="B707" t="str">
            <v>CITY OF ROCKINGHAM ABC BOARD</v>
          </cell>
          <cell r="C707">
            <v>1.8600000000000001E-5</v>
          </cell>
          <cell r="D707"/>
          <cell r="E707">
            <v>-481</v>
          </cell>
          <cell r="F707">
            <v>-223</v>
          </cell>
          <cell r="G707">
            <v>-167</v>
          </cell>
          <cell r="H707">
            <v>-10</v>
          </cell>
          <cell r="I707">
            <v>0</v>
          </cell>
        </row>
        <row r="708">
          <cell r="A708">
            <v>97731</v>
          </cell>
          <cell r="B708" t="str">
            <v>TOWN OF ELLERBE</v>
          </cell>
          <cell r="C708">
            <v>3.82E-5</v>
          </cell>
          <cell r="D708"/>
          <cell r="E708">
            <v>0</v>
          </cell>
          <cell r="F708">
            <v>0</v>
          </cell>
          <cell r="G708">
            <v>0</v>
          </cell>
          <cell r="H708">
            <v>0</v>
          </cell>
          <cell r="I708">
            <v>0</v>
          </cell>
        </row>
        <row r="709">
          <cell r="A709">
            <v>97801</v>
          </cell>
          <cell r="B709" t="str">
            <v>COUNTY OF ROBESON</v>
          </cell>
          <cell r="C709">
            <v>6.0489000000000003E-3</v>
          </cell>
          <cell r="D709"/>
          <cell r="E709">
            <v>-227272</v>
          </cell>
          <cell r="F709">
            <v>-202722</v>
          </cell>
          <cell r="G709">
            <v>-134610</v>
          </cell>
          <cell r="H709">
            <v>-77665</v>
          </cell>
          <cell r="I709">
            <v>0</v>
          </cell>
        </row>
        <row r="710">
          <cell r="A710">
            <v>97802</v>
          </cell>
          <cell r="B710" t="str">
            <v>LUMBER RIVER COUNCIL OF GOVERNMENTS</v>
          </cell>
          <cell r="C710">
            <v>1.9029999999999999E-4</v>
          </cell>
          <cell r="D710"/>
          <cell r="E710">
            <v>-4083</v>
          </cell>
          <cell r="F710">
            <v>-3431</v>
          </cell>
          <cell r="G710">
            <v>0</v>
          </cell>
          <cell r="H710">
            <v>0</v>
          </cell>
          <cell r="I710">
            <v>0</v>
          </cell>
        </row>
        <row r="711">
          <cell r="A711">
            <v>97803</v>
          </cell>
          <cell r="B711" t="str">
            <v>ROBESON COUNTY HOUSING AUTHORITY</v>
          </cell>
          <cell r="C711">
            <v>7.7899999999999996E-5</v>
          </cell>
          <cell r="D711"/>
          <cell r="E711">
            <v>-838</v>
          </cell>
          <cell r="F711">
            <v>-838</v>
          </cell>
          <cell r="G711">
            <v>-838</v>
          </cell>
          <cell r="H711">
            <v>-840</v>
          </cell>
          <cell r="I711">
            <v>0</v>
          </cell>
        </row>
        <row r="712">
          <cell r="A712">
            <v>97805</v>
          </cell>
          <cell r="B712" t="str">
            <v>ROBESON COUNTY PUBLIC LIBRARY</v>
          </cell>
          <cell r="C712">
            <v>8.6500000000000002E-5</v>
          </cell>
          <cell r="D712"/>
          <cell r="E712">
            <v>0</v>
          </cell>
          <cell r="F712">
            <v>0</v>
          </cell>
          <cell r="G712">
            <v>0</v>
          </cell>
          <cell r="H712">
            <v>0</v>
          </cell>
          <cell r="I712">
            <v>0</v>
          </cell>
        </row>
        <row r="713">
          <cell r="A713">
            <v>97811</v>
          </cell>
          <cell r="B713" t="str">
            <v>CITY OF LUMBERTON</v>
          </cell>
          <cell r="C713">
            <v>2.4080999999999998E-3</v>
          </cell>
          <cell r="D713"/>
          <cell r="E713">
            <v>-34408</v>
          </cell>
          <cell r="F713">
            <v>-6742</v>
          </cell>
          <cell r="G713">
            <v>-6462</v>
          </cell>
          <cell r="H713">
            <v>-5328</v>
          </cell>
          <cell r="I713">
            <v>0</v>
          </cell>
        </row>
        <row r="714">
          <cell r="A714">
            <v>97817</v>
          </cell>
          <cell r="B714" t="str">
            <v>LUMBERTON ABC BOARD</v>
          </cell>
          <cell r="C714">
            <v>1.7499999999999998E-5</v>
          </cell>
          <cell r="D714"/>
          <cell r="E714">
            <v>0</v>
          </cell>
          <cell r="F714">
            <v>0</v>
          </cell>
          <cell r="G714">
            <v>0</v>
          </cell>
          <cell r="H714">
            <v>0</v>
          </cell>
          <cell r="I714">
            <v>0</v>
          </cell>
        </row>
        <row r="715">
          <cell r="A715">
            <v>97818</v>
          </cell>
          <cell r="B715" t="str">
            <v>LUMBERTON AIRPORT COMM</v>
          </cell>
          <cell r="C715">
            <v>2.4899999999999999E-5</v>
          </cell>
          <cell r="D715"/>
          <cell r="E715">
            <v>-246</v>
          </cell>
          <cell r="F715">
            <v>-246</v>
          </cell>
          <cell r="G715">
            <v>-245</v>
          </cell>
          <cell r="H715">
            <v>0</v>
          </cell>
          <cell r="I715">
            <v>0</v>
          </cell>
        </row>
        <row r="716">
          <cell r="A716">
            <v>97821</v>
          </cell>
          <cell r="B716" t="str">
            <v>TOWN OF FAIRMONT</v>
          </cell>
          <cell r="C716">
            <v>1.329E-4</v>
          </cell>
          <cell r="D716"/>
          <cell r="E716">
            <v>-1315</v>
          </cell>
          <cell r="F716">
            <v>0</v>
          </cell>
          <cell r="G716">
            <v>0</v>
          </cell>
          <cell r="H716">
            <v>0</v>
          </cell>
          <cell r="I716">
            <v>0</v>
          </cell>
        </row>
        <row r="717">
          <cell r="A717">
            <v>97823</v>
          </cell>
          <cell r="B717" t="str">
            <v>FAIRMONT HOUSING AUTHORITY</v>
          </cell>
          <cell r="C717">
            <v>1.5400000000000002E-5</v>
          </cell>
          <cell r="D717"/>
          <cell r="E717">
            <v>-527</v>
          </cell>
          <cell r="F717">
            <v>-527</v>
          </cell>
          <cell r="G717">
            <v>-525</v>
          </cell>
          <cell r="H717">
            <v>0</v>
          </cell>
          <cell r="I717">
            <v>0</v>
          </cell>
        </row>
        <row r="718">
          <cell r="A718">
            <v>97831</v>
          </cell>
          <cell r="B718" t="str">
            <v>TOWN OF ST PAULS</v>
          </cell>
          <cell r="C718">
            <v>1.6359999999999999E-4</v>
          </cell>
          <cell r="D718"/>
          <cell r="E718">
            <v>-1106</v>
          </cell>
          <cell r="F718">
            <v>-826</v>
          </cell>
          <cell r="G718">
            <v>-826</v>
          </cell>
          <cell r="H718">
            <v>0</v>
          </cell>
          <cell r="I718">
            <v>0</v>
          </cell>
        </row>
        <row r="719">
          <cell r="A719">
            <v>97837</v>
          </cell>
          <cell r="B719" t="str">
            <v>ST PAUL'S BRD OF ALCOHOLIC CTL</v>
          </cell>
          <cell r="C719">
            <v>1.0000000000000001E-5</v>
          </cell>
          <cell r="D719"/>
          <cell r="E719">
            <v>-64</v>
          </cell>
          <cell r="F719">
            <v>0</v>
          </cell>
          <cell r="G719">
            <v>0</v>
          </cell>
          <cell r="H719">
            <v>0</v>
          </cell>
          <cell r="I719">
            <v>0</v>
          </cell>
        </row>
        <row r="720">
          <cell r="A720">
            <v>97840</v>
          </cell>
          <cell r="B720" t="str">
            <v>TOWN OF MAXTON</v>
          </cell>
          <cell r="C720">
            <v>1.0560000000000001E-4</v>
          </cell>
          <cell r="D720"/>
          <cell r="E720">
            <v>0</v>
          </cell>
          <cell r="F720">
            <v>0</v>
          </cell>
          <cell r="G720">
            <v>0</v>
          </cell>
          <cell r="H720">
            <v>0</v>
          </cell>
          <cell r="I720">
            <v>0</v>
          </cell>
        </row>
        <row r="721">
          <cell r="A721">
            <v>97841</v>
          </cell>
          <cell r="B721" t="str">
            <v>TOWN OF PARKTON</v>
          </cell>
          <cell r="C721">
            <v>1.2099999999999999E-5</v>
          </cell>
          <cell r="D721"/>
          <cell r="E721">
            <v>-289</v>
          </cell>
          <cell r="F721">
            <v>-169</v>
          </cell>
          <cell r="G721">
            <v>-16</v>
          </cell>
          <cell r="H721">
            <v>0</v>
          </cell>
          <cell r="I721">
            <v>0</v>
          </cell>
        </row>
        <row r="722">
          <cell r="A722">
            <v>97847</v>
          </cell>
          <cell r="B722" t="str">
            <v>MAXTON ABC BOARD</v>
          </cell>
          <cell r="C722">
            <v>1.7E-6</v>
          </cell>
          <cell r="D722"/>
          <cell r="E722">
            <v>0</v>
          </cell>
          <cell r="F722">
            <v>0</v>
          </cell>
          <cell r="G722">
            <v>0</v>
          </cell>
          <cell r="H722">
            <v>0</v>
          </cell>
          <cell r="I722">
            <v>0</v>
          </cell>
        </row>
        <row r="723">
          <cell r="A723">
            <v>97851</v>
          </cell>
          <cell r="B723" t="str">
            <v>TOWN OF PEMBROKE</v>
          </cell>
          <cell r="C723">
            <v>2.7540000000000003E-4</v>
          </cell>
          <cell r="D723"/>
          <cell r="E723">
            <v>-10962</v>
          </cell>
          <cell r="F723">
            <v>-9449</v>
          </cell>
          <cell r="G723">
            <v>-7777</v>
          </cell>
          <cell r="H723">
            <v>-3629</v>
          </cell>
          <cell r="I723">
            <v>0</v>
          </cell>
        </row>
        <row r="724">
          <cell r="A724">
            <v>97853</v>
          </cell>
          <cell r="B724" t="str">
            <v>PEMBROKE HOUSING AUTHORITY</v>
          </cell>
          <cell r="C724">
            <v>7.9900000000000004E-5</v>
          </cell>
          <cell r="D724"/>
          <cell r="E724">
            <v>-8556</v>
          </cell>
          <cell r="F724">
            <v>-5624</v>
          </cell>
          <cell r="G724">
            <v>-5625</v>
          </cell>
          <cell r="H724">
            <v>-2708</v>
          </cell>
          <cell r="I724">
            <v>0</v>
          </cell>
        </row>
        <row r="725">
          <cell r="A725">
            <v>97861</v>
          </cell>
          <cell r="B725" t="str">
            <v>TOWN OF ROWLAND</v>
          </cell>
          <cell r="C725">
            <v>4.5500000000000001E-5</v>
          </cell>
          <cell r="D725"/>
          <cell r="E725">
            <v>-4304</v>
          </cell>
          <cell r="F725">
            <v>-4030</v>
          </cell>
          <cell r="G725">
            <v>-3133</v>
          </cell>
          <cell r="H725">
            <v>0</v>
          </cell>
          <cell r="I725">
            <v>0</v>
          </cell>
        </row>
        <row r="726">
          <cell r="A726">
            <v>97871</v>
          </cell>
          <cell r="B726" t="str">
            <v>TOWN OF RED SPRINGS</v>
          </cell>
          <cell r="C726">
            <v>3.0079999999999999E-4</v>
          </cell>
          <cell r="D726"/>
          <cell r="E726">
            <v>0</v>
          </cell>
          <cell r="F726">
            <v>0</v>
          </cell>
          <cell r="G726">
            <v>0</v>
          </cell>
          <cell r="H726">
            <v>0</v>
          </cell>
          <cell r="I726">
            <v>0</v>
          </cell>
        </row>
        <row r="727">
          <cell r="A727">
            <v>97877</v>
          </cell>
          <cell r="B727" t="str">
            <v>RED SPRINGS ABC BOARD</v>
          </cell>
          <cell r="C727">
            <v>7.6000000000000001E-6</v>
          </cell>
          <cell r="D727"/>
          <cell r="E727">
            <v>0</v>
          </cell>
          <cell r="F727">
            <v>0</v>
          </cell>
          <cell r="G727">
            <v>0</v>
          </cell>
          <cell r="H727">
            <v>0</v>
          </cell>
          <cell r="I727">
            <v>0</v>
          </cell>
        </row>
        <row r="728">
          <cell r="A728">
            <v>97901</v>
          </cell>
          <cell r="B728" t="str">
            <v>ROCKINGHAM COUNTY</v>
          </cell>
          <cell r="C728">
            <v>4.0067999999999996E-3</v>
          </cell>
          <cell r="D728"/>
          <cell r="E728">
            <v>-77523</v>
          </cell>
          <cell r="F728">
            <v>-73053</v>
          </cell>
          <cell r="G728">
            <v>-73053</v>
          </cell>
          <cell r="H728">
            <v>-68393</v>
          </cell>
          <cell r="I728">
            <v>0</v>
          </cell>
        </row>
        <row r="729">
          <cell r="A729">
            <v>97911</v>
          </cell>
          <cell r="B729" t="str">
            <v>CITY OF REIDSVILLE</v>
          </cell>
          <cell r="C729">
            <v>1.2121E-3</v>
          </cell>
          <cell r="D729"/>
          <cell r="E729">
            <v>-14505</v>
          </cell>
          <cell r="F729">
            <v>-5954</v>
          </cell>
          <cell r="G729">
            <v>-5954</v>
          </cell>
          <cell r="H729">
            <v>-5953</v>
          </cell>
          <cell r="I729">
            <v>0</v>
          </cell>
        </row>
        <row r="730">
          <cell r="A730">
            <v>97913</v>
          </cell>
          <cell r="B730" t="str">
            <v>THE NEW REIDSVILLE HOUSING AUTH</v>
          </cell>
          <cell r="C730">
            <v>2.8600000000000001E-5</v>
          </cell>
          <cell r="D730"/>
          <cell r="E730">
            <v>0</v>
          </cell>
          <cell r="F730">
            <v>0</v>
          </cell>
          <cell r="G730">
            <v>0</v>
          </cell>
          <cell r="H730">
            <v>0</v>
          </cell>
          <cell r="I730">
            <v>0</v>
          </cell>
        </row>
        <row r="731">
          <cell r="A731">
            <v>97917</v>
          </cell>
          <cell r="B731" t="str">
            <v>REIDSVILLE ABC BOARD</v>
          </cell>
          <cell r="C731">
            <v>1.84E-5</v>
          </cell>
          <cell r="D731"/>
          <cell r="E731">
            <v>0</v>
          </cell>
          <cell r="F731">
            <v>0</v>
          </cell>
          <cell r="G731">
            <v>0</v>
          </cell>
          <cell r="H731">
            <v>0</v>
          </cell>
          <cell r="I731">
            <v>0</v>
          </cell>
        </row>
        <row r="732">
          <cell r="A732">
            <v>97921</v>
          </cell>
          <cell r="B732" t="str">
            <v>TOWN OF MAYODAN</v>
          </cell>
          <cell r="C732">
            <v>2.073E-4</v>
          </cell>
          <cell r="D732"/>
          <cell r="E732">
            <v>-4593</v>
          </cell>
          <cell r="F732">
            <v>-3365</v>
          </cell>
          <cell r="G732">
            <v>-3284</v>
          </cell>
          <cell r="H732">
            <v>-3286</v>
          </cell>
          <cell r="I732">
            <v>0</v>
          </cell>
        </row>
        <row r="733">
          <cell r="A733">
            <v>97931</v>
          </cell>
          <cell r="B733" t="str">
            <v>TOWN OF STONEVILLE</v>
          </cell>
          <cell r="C733">
            <v>6.6699999999999995E-5</v>
          </cell>
          <cell r="D733"/>
          <cell r="E733">
            <v>-1062</v>
          </cell>
          <cell r="F733">
            <v>-442</v>
          </cell>
          <cell r="G733">
            <v>-441</v>
          </cell>
          <cell r="H733">
            <v>0</v>
          </cell>
          <cell r="I733">
            <v>0</v>
          </cell>
        </row>
        <row r="734">
          <cell r="A734">
            <v>97941</v>
          </cell>
          <cell r="B734" t="str">
            <v>TOWN OF MADISON</v>
          </cell>
          <cell r="C734">
            <v>2.143E-4</v>
          </cell>
          <cell r="D734"/>
          <cell r="E734">
            <v>-2187</v>
          </cell>
          <cell r="F734">
            <v>-2187</v>
          </cell>
          <cell r="G734">
            <v>0</v>
          </cell>
          <cell r="H734">
            <v>0</v>
          </cell>
          <cell r="I734">
            <v>0</v>
          </cell>
        </row>
        <row r="735">
          <cell r="A735">
            <v>97947</v>
          </cell>
          <cell r="B735" t="str">
            <v>MADISON ABC BOARD</v>
          </cell>
          <cell r="C735">
            <v>1.52E-5</v>
          </cell>
          <cell r="D735"/>
          <cell r="E735">
            <v>0</v>
          </cell>
          <cell r="F735">
            <v>0</v>
          </cell>
          <cell r="G735">
            <v>0</v>
          </cell>
          <cell r="H735">
            <v>0</v>
          </cell>
          <cell r="I735">
            <v>0</v>
          </cell>
        </row>
        <row r="736">
          <cell r="A736">
            <v>97948</v>
          </cell>
          <cell r="B736" t="str">
            <v>MADISON-MAYODAN RECREATION COMM</v>
          </cell>
          <cell r="C736">
            <v>2.6100000000000001E-5</v>
          </cell>
          <cell r="D736"/>
          <cell r="E736">
            <v>-2087</v>
          </cell>
          <cell r="F736">
            <v>-2057</v>
          </cell>
          <cell r="G736">
            <v>0</v>
          </cell>
          <cell r="H736">
            <v>0</v>
          </cell>
          <cell r="I736">
            <v>0</v>
          </cell>
        </row>
        <row r="737">
          <cell r="A737">
            <v>97951</v>
          </cell>
          <cell r="B737" t="str">
            <v>CITY OF EDEN</v>
          </cell>
          <cell r="C737">
            <v>1.1746E-3</v>
          </cell>
          <cell r="D737"/>
          <cell r="E737">
            <v>-25</v>
          </cell>
          <cell r="F737">
            <v>-25</v>
          </cell>
          <cell r="G737">
            <v>-25</v>
          </cell>
          <cell r="H737">
            <v>0</v>
          </cell>
          <cell r="I737">
            <v>0</v>
          </cell>
        </row>
        <row r="738">
          <cell r="A738">
            <v>97957</v>
          </cell>
          <cell r="B738" t="str">
            <v>EDEN ABC BOARD</v>
          </cell>
          <cell r="C738">
            <v>1.49E-5</v>
          </cell>
          <cell r="D738"/>
          <cell r="E738">
            <v>0</v>
          </cell>
          <cell r="F738">
            <v>0</v>
          </cell>
          <cell r="G738">
            <v>0</v>
          </cell>
          <cell r="H738">
            <v>0</v>
          </cell>
          <cell r="I738">
            <v>0</v>
          </cell>
        </row>
        <row r="739">
          <cell r="A739">
            <v>98001</v>
          </cell>
          <cell r="B739" t="str">
            <v>ROWAN COUNTY</v>
          </cell>
          <cell r="C739">
            <v>5.3171E-3</v>
          </cell>
          <cell r="D739"/>
          <cell r="E739">
            <v>-13696</v>
          </cell>
          <cell r="F739">
            <v>-13696</v>
          </cell>
          <cell r="G739">
            <v>-13696</v>
          </cell>
          <cell r="H739">
            <v>-13698</v>
          </cell>
          <cell r="I739">
            <v>0</v>
          </cell>
        </row>
        <row r="740">
          <cell r="A740">
            <v>98002</v>
          </cell>
          <cell r="B740" t="str">
            <v>ROWAN CONVENTION &amp; VISTORS BUREAU</v>
          </cell>
          <cell r="C740">
            <v>6.1999999999999999E-6</v>
          </cell>
          <cell r="D740"/>
          <cell r="E740">
            <v>0</v>
          </cell>
          <cell r="F740">
            <v>0</v>
          </cell>
          <cell r="G740">
            <v>0</v>
          </cell>
          <cell r="H740">
            <v>0</v>
          </cell>
          <cell r="I740">
            <v>0</v>
          </cell>
        </row>
        <row r="741">
          <cell r="A741">
            <v>98003</v>
          </cell>
          <cell r="B741" t="str">
            <v>ROWAN CO HOUSING AUTHORITY</v>
          </cell>
          <cell r="C741">
            <v>6.9499999999999995E-5</v>
          </cell>
          <cell r="D741"/>
          <cell r="E741">
            <v>0</v>
          </cell>
          <cell r="F741">
            <v>0</v>
          </cell>
          <cell r="G741">
            <v>0</v>
          </cell>
          <cell r="H741">
            <v>0</v>
          </cell>
          <cell r="I741">
            <v>0</v>
          </cell>
        </row>
        <row r="742">
          <cell r="A742">
            <v>98004</v>
          </cell>
          <cell r="B742" t="str">
            <v>ROWAN COUNTY ABC BOARD</v>
          </cell>
          <cell r="C742">
            <v>1.2530000000000001E-4</v>
          </cell>
          <cell r="D742"/>
          <cell r="E742">
            <v>0</v>
          </cell>
          <cell r="F742">
            <v>0</v>
          </cell>
          <cell r="G742">
            <v>0</v>
          </cell>
          <cell r="H742">
            <v>0</v>
          </cell>
          <cell r="I742">
            <v>0</v>
          </cell>
        </row>
        <row r="743">
          <cell r="A743">
            <v>98008</v>
          </cell>
          <cell r="B743" t="str">
            <v>ROWAN CO SOIL &amp; WATER CONV DIST</v>
          </cell>
          <cell r="C743">
            <v>7.1999999999999997E-6</v>
          </cell>
          <cell r="D743"/>
          <cell r="E743">
            <v>-236</v>
          </cell>
          <cell r="F743">
            <v>-141</v>
          </cell>
          <cell r="G743">
            <v>-141</v>
          </cell>
          <cell r="H743">
            <v>-80</v>
          </cell>
          <cell r="I743">
            <v>0</v>
          </cell>
        </row>
        <row r="744">
          <cell r="A744">
            <v>98011</v>
          </cell>
          <cell r="B744" t="str">
            <v>CITY OF SALISBURY</v>
          </cell>
          <cell r="C744">
            <v>3.4512000000000002E-3</v>
          </cell>
          <cell r="D744"/>
          <cell r="E744">
            <v>-67374</v>
          </cell>
          <cell r="F744">
            <v>-7553</v>
          </cell>
          <cell r="G744">
            <v>0</v>
          </cell>
          <cell r="H744">
            <v>0</v>
          </cell>
          <cell r="I744">
            <v>0</v>
          </cell>
        </row>
        <row r="745">
          <cell r="A745">
            <v>98013</v>
          </cell>
          <cell r="B745" t="str">
            <v>HOUSING AUTH OF THE CTY OF SALISBURY</v>
          </cell>
          <cell r="C745">
            <v>1.3990000000000001E-4</v>
          </cell>
          <cell r="D745"/>
          <cell r="E745">
            <v>0</v>
          </cell>
          <cell r="F745">
            <v>0</v>
          </cell>
          <cell r="G745">
            <v>0</v>
          </cell>
          <cell r="H745">
            <v>0</v>
          </cell>
          <cell r="I745">
            <v>0</v>
          </cell>
        </row>
        <row r="746">
          <cell r="A746">
            <v>98021</v>
          </cell>
          <cell r="B746" t="str">
            <v>TOWN OF EAST SPENCER</v>
          </cell>
          <cell r="C746">
            <v>4.2400000000000001E-5</v>
          </cell>
          <cell r="D746"/>
          <cell r="E746">
            <v>-7735</v>
          </cell>
          <cell r="F746">
            <v>-7387</v>
          </cell>
          <cell r="G746">
            <v>-7039</v>
          </cell>
          <cell r="H746">
            <v>0</v>
          </cell>
          <cell r="I746">
            <v>0</v>
          </cell>
        </row>
        <row r="747">
          <cell r="A747">
            <v>98023</v>
          </cell>
          <cell r="B747" t="str">
            <v>EAST SPENCER HOUSING AUTHORITY</v>
          </cell>
          <cell r="C747">
            <v>8.8000000000000004E-6</v>
          </cell>
          <cell r="D747"/>
          <cell r="E747">
            <v>-2946</v>
          </cell>
          <cell r="F747">
            <v>-2144</v>
          </cell>
          <cell r="G747">
            <v>-2144</v>
          </cell>
          <cell r="H747">
            <v>-2146</v>
          </cell>
          <cell r="I747">
            <v>0</v>
          </cell>
        </row>
        <row r="748">
          <cell r="A748">
            <v>98031</v>
          </cell>
          <cell r="B748" t="str">
            <v>TOWN OF SPENCER</v>
          </cell>
          <cell r="C748">
            <v>1.5410000000000001E-4</v>
          </cell>
          <cell r="D748"/>
          <cell r="E748">
            <v>-7095</v>
          </cell>
          <cell r="F748">
            <v>-5826</v>
          </cell>
          <cell r="G748">
            <v>-4992</v>
          </cell>
          <cell r="H748">
            <v>-4992</v>
          </cell>
          <cell r="I748">
            <v>0</v>
          </cell>
        </row>
        <row r="749">
          <cell r="A749">
            <v>98041</v>
          </cell>
          <cell r="B749" t="str">
            <v>TOWN OF CHINA GROVE</v>
          </cell>
          <cell r="C749">
            <v>2.3560000000000001E-4</v>
          </cell>
          <cell r="D749"/>
          <cell r="E749">
            <v>-629</v>
          </cell>
          <cell r="F749">
            <v>-629</v>
          </cell>
          <cell r="G749">
            <v>-629</v>
          </cell>
          <cell r="H749">
            <v>-631</v>
          </cell>
          <cell r="I749">
            <v>0</v>
          </cell>
        </row>
        <row r="750">
          <cell r="A750">
            <v>98051</v>
          </cell>
          <cell r="B750" t="str">
            <v>TOWN OF LANDIS</v>
          </cell>
          <cell r="C750">
            <v>2.9750000000000002E-4</v>
          </cell>
          <cell r="D750"/>
          <cell r="E750">
            <v>-1850</v>
          </cell>
          <cell r="F750">
            <v>-1852</v>
          </cell>
          <cell r="G750">
            <v>0</v>
          </cell>
          <cell r="H750">
            <v>0</v>
          </cell>
          <cell r="I750">
            <v>0</v>
          </cell>
        </row>
        <row r="751">
          <cell r="A751">
            <v>98061</v>
          </cell>
          <cell r="B751" t="str">
            <v>TOWN OF GRANITE QUARRY</v>
          </cell>
          <cell r="C751">
            <v>1.208E-4</v>
          </cell>
          <cell r="D751"/>
          <cell r="E751">
            <v>-7929</v>
          </cell>
          <cell r="F751">
            <v>-4019</v>
          </cell>
          <cell r="G751">
            <v>-4019</v>
          </cell>
          <cell r="H751">
            <v>-4017</v>
          </cell>
          <cell r="I751">
            <v>0</v>
          </cell>
        </row>
        <row r="752">
          <cell r="A752">
            <v>98071</v>
          </cell>
          <cell r="B752" t="str">
            <v>TOWN OF ROCKWELL</v>
          </cell>
          <cell r="C752">
            <v>4.74E-5</v>
          </cell>
          <cell r="D752"/>
          <cell r="E752">
            <v>0</v>
          </cell>
          <cell r="F752">
            <v>0</v>
          </cell>
          <cell r="G752">
            <v>0</v>
          </cell>
          <cell r="H752">
            <v>0</v>
          </cell>
          <cell r="I752">
            <v>0</v>
          </cell>
        </row>
        <row r="753">
          <cell r="A753">
            <v>98081</v>
          </cell>
          <cell r="B753" t="str">
            <v>TOWN OF FAITH</v>
          </cell>
          <cell r="C753">
            <v>1.5800000000000001E-5</v>
          </cell>
          <cell r="D753"/>
          <cell r="E753">
            <v>-1314</v>
          </cell>
          <cell r="F753">
            <v>-913</v>
          </cell>
          <cell r="G753">
            <v>-559</v>
          </cell>
          <cell r="H753">
            <v>-280</v>
          </cell>
          <cell r="I753">
            <v>0</v>
          </cell>
        </row>
        <row r="754">
          <cell r="A754">
            <v>98091</v>
          </cell>
          <cell r="B754" t="str">
            <v>TOWN OF CLEVELAND</v>
          </cell>
          <cell r="C754">
            <v>6.7000000000000002E-5</v>
          </cell>
          <cell r="D754"/>
          <cell r="E754">
            <v>0</v>
          </cell>
          <cell r="F754">
            <v>0</v>
          </cell>
          <cell r="G754">
            <v>0</v>
          </cell>
          <cell r="H754">
            <v>0</v>
          </cell>
          <cell r="I754">
            <v>0</v>
          </cell>
        </row>
        <row r="755">
          <cell r="A755">
            <v>98101</v>
          </cell>
          <cell r="B755" t="str">
            <v>RUTHERFORD COUNTY</v>
          </cell>
          <cell r="C755">
            <v>2.6901E-3</v>
          </cell>
          <cell r="D755"/>
          <cell r="E755">
            <v>-54940</v>
          </cell>
          <cell r="F755">
            <v>-49633</v>
          </cell>
          <cell r="G755">
            <v>-45937</v>
          </cell>
          <cell r="H755">
            <v>0</v>
          </cell>
          <cell r="I755">
            <v>0</v>
          </cell>
        </row>
        <row r="756">
          <cell r="A756">
            <v>98102</v>
          </cell>
          <cell r="B756" t="str">
            <v>BROAD RIVER WATER AUTHORITY</v>
          </cell>
          <cell r="C756">
            <v>1.573E-4</v>
          </cell>
          <cell r="D756"/>
          <cell r="E756">
            <v>-3554</v>
          </cell>
          <cell r="F756">
            <v>-2998</v>
          </cell>
          <cell r="G756">
            <v>-1100</v>
          </cell>
          <cell r="H756">
            <v>0</v>
          </cell>
          <cell r="I756">
            <v>0</v>
          </cell>
        </row>
        <row r="757">
          <cell r="A757">
            <v>98103</v>
          </cell>
          <cell r="B757" t="str">
            <v>RUTHERFORD POLK MCDOWELL DIST BRD OF HEALTH</v>
          </cell>
          <cell r="C757">
            <v>5.04E-4</v>
          </cell>
          <cell r="D757"/>
          <cell r="E757">
            <v>-10027</v>
          </cell>
          <cell r="F757">
            <v>-7993</v>
          </cell>
          <cell r="G757">
            <v>-7994</v>
          </cell>
          <cell r="H757">
            <v>0</v>
          </cell>
          <cell r="I757">
            <v>0</v>
          </cell>
        </row>
        <row r="758">
          <cell r="A758">
            <v>98107</v>
          </cell>
          <cell r="B758" t="str">
            <v>FOREST CITY ABC BOARD 168</v>
          </cell>
          <cell r="C758">
            <v>9.3999999999999998E-6</v>
          </cell>
          <cell r="D758"/>
          <cell r="E758">
            <v>0</v>
          </cell>
          <cell r="F758">
            <v>0</v>
          </cell>
          <cell r="G758">
            <v>0</v>
          </cell>
          <cell r="H758">
            <v>0</v>
          </cell>
          <cell r="I758">
            <v>0</v>
          </cell>
        </row>
        <row r="759">
          <cell r="A759">
            <v>98109</v>
          </cell>
          <cell r="B759" t="str">
            <v>ISOTHERMAL PLANNING AND DEV COMM</v>
          </cell>
          <cell r="C759">
            <v>1.595E-4</v>
          </cell>
          <cell r="D759"/>
          <cell r="E759">
            <v>-6185</v>
          </cell>
          <cell r="F759">
            <v>0</v>
          </cell>
          <cell r="G759">
            <v>0</v>
          </cell>
          <cell r="H759">
            <v>0</v>
          </cell>
          <cell r="I759">
            <v>0</v>
          </cell>
        </row>
        <row r="760">
          <cell r="A760">
            <v>98111</v>
          </cell>
          <cell r="B760" t="str">
            <v>TOWN OF FOREST CITY</v>
          </cell>
          <cell r="C760">
            <v>1.0231999999999999E-3</v>
          </cell>
          <cell r="D760"/>
          <cell r="E760">
            <v>-33231</v>
          </cell>
          <cell r="F760">
            <v>-23314</v>
          </cell>
          <cell r="G760">
            <v>-15884</v>
          </cell>
          <cell r="H760">
            <v>-8111</v>
          </cell>
          <cell r="I760">
            <v>0</v>
          </cell>
        </row>
        <row r="761">
          <cell r="A761">
            <v>98113</v>
          </cell>
          <cell r="B761" t="str">
            <v>FOREST CITY HOUSING AUTHORITY</v>
          </cell>
          <cell r="C761">
            <v>3.3899999999999997E-5</v>
          </cell>
          <cell r="D761"/>
          <cell r="E761">
            <v>-104</v>
          </cell>
          <cell r="F761">
            <v>-104</v>
          </cell>
          <cell r="G761">
            <v>-104</v>
          </cell>
          <cell r="H761">
            <v>0</v>
          </cell>
          <cell r="I761">
            <v>0</v>
          </cell>
        </row>
        <row r="762">
          <cell r="A762">
            <v>98121</v>
          </cell>
          <cell r="B762" t="str">
            <v>TOWN OF SPINDALE</v>
          </cell>
          <cell r="C762">
            <v>2.1259999999999999E-4</v>
          </cell>
          <cell r="D762"/>
          <cell r="E762">
            <v>-8681</v>
          </cell>
          <cell r="F762">
            <v>-8682</v>
          </cell>
          <cell r="G762">
            <v>-3390</v>
          </cell>
          <cell r="H762">
            <v>-3390</v>
          </cell>
          <cell r="I762">
            <v>0</v>
          </cell>
        </row>
        <row r="763">
          <cell r="A763">
            <v>98131</v>
          </cell>
          <cell r="B763" t="str">
            <v>TOWN OF LAKE LURE</v>
          </cell>
          <cell r="C763">
            <v>2.519E-4</v>
          </cell>
          <cell r="D763"/>
          <cell r="E763">
            <v>-12154</v>
          </cell>
          <cell r="F763">
            <v>-9206</v>
          </cell>
          <cell r="G763">
            <v>-2707</v>
          </cell>
          <cell r="H763">
            <v>0</v>
          </cell>
          <cell r="I763">
            <v>0</v>
          </cell>
        </row>
        <row r="764">
          <cell r="A764">
            <v>98141</v>
          </cell>
          <cell r="B764" t="str">
            <v>TOWN OF RUTHERFORDTON</v>
          </cell>
          <cell r="C764">
            <v>2.8699999999999998E-4</v>
          </cell>
          <cell r="D764"/>
          <cell r="E764">
            <v>-10967</v>
          </cell>
          <cell r="F764">
            <v>-6699</v>
          </cell>
          <cell r="G764">
            <v>-6699</v>
          </cell>
          <cell r="H764">
            <v>-3883</v>
          </cell>
          <cell r="I764">
            <v>0</v>
          </cell>
        </row>
        <row r="765">
          <cell r="A765">
            <v>98147</v>
          </cell>
          <cell r="B765" t="str">
            <v>TOWN OF RUTHERFORDTON ABC BRD</v>
          </cell>
          <cell r="C765">
            <v>1.0699999999999999E-5</v>
          </cell>
          <cell r="D765"/>
          <cell r="E765">
            <v>0</v>
          </cell>
          <cell r="F765">
            <v>0</v>
          </cell>
          <cell r="G765">
            <v>0</v>
          </cell>
          <cell r="H765">
            <v>0</v>
          </cell>
          <cell r="I765">
            <v>0</v>
          </cell>
        </row>
        <row r="766">
          <cell r="A766">
            <v>98161</v>
          </cell>
          <cell r="B766" t="str">
            <v>TOWN OF ELLENBORO</v>
          </cell>
          <cell r="C766">
            <v>6.1999999999999999E-6</v>
          </cell>
          <cell r="D766"/>
          <cell r="E766">
            <v>0</v>
          </cell>
          <cell r="F766">
            <v>0</v>
          </cell>
          <cell r="G766">
            <v>0</v>
          </cell>
          <cell r="H766">
            <v>0</v>
          </cell>
          <cell r="I766">
            <v>0</v>
          </cell>
        </row>
        <row r="767">
          <cell r="A767">
            <v>98201</v>
          </cell>
          <cell r="B767" t="str">
            <v>SAMPSON COUNTY</v>
          </cell>
          <cell r="C767">
            <v>3.3482999999999998E-3</v>
          </cell>
          <cell r="D767"/>
          <cell r="E767">
            <v>-11999</v>
          </cell>
          <cell r="F767">
            <v>-8013</v>
          </cell>
          <cell r="G767">
            <v>-8011</v>
          </cell>
          <cell r="H767">
            <v>0</v>
          </cell>
          <cell r="I767">
            <v>0</v>
          </cell>
        </row>
        <row r="768">
          <cell r="A768">
            <v>98205</v>
          </cell>
          <cell r="B768" t="str">
            <v>J C HOLIDAY MEM LIBRARY</v>
          </cell>
          <cell r="C768">
            <v>4.0899999999999998E-5</v>
          </cell>
          <cell r="D768"/>
          <cell r="E768">
            <v>-1465</v>
          </cell>
          <cell r="F768">
            <v>-1466</v>
          </cell>
          <cell r="G768">
            <v>-1114</v>
          </cell>
          <cell r="H768">
            <v>0</v>
          </cell>
          <cell r="I768">
            <v>0</v>
          </cell>
        </row>
        <row r="769">
          <cell r="A769">
            <v>98211</v>
          </cell>
          <cell r="B769" t="str">
            <v>CITY OF CLINTON</v>
          </cell>
          <cell r="C769">
            <v>9.0399999999999996E-4</v>
          </cell>
          <cell r="D769"/>
          <cell r="E769">
            <v>-35658</v>
          </cell>
          <cell r="F769">
            <v>-21194</v>
          </cell>
          <cell r="G769">
            <v>-6394</v>
          </cell>
          <cell r="H769">
            <v>0</v>
          </cell>
          <cell r="I769">
            <v>0</v>
          </cell>
        </row>
        <row r="770">
          <cell r="A770">
            <v>98218</v>
          </cell>
          <cell r="B770" t="str">
            <v>CLINTON ABC BOARD</v>
          </cell>
          <cell r="C770">
            <v>1.8099999999999999E-5</v>
          </cell>
          <cell r="D770"/>
          <cell r="E770">
            <v>-36</v>
          </cell>
          <cell r="F770">
            <v>0</v>
          </cell>
          <cell r="G770">
            <v>0</v>
          </cell>
          <cell r="H770">
            <v>0</v>
          </cell>
          <cell r="I770">
            <v>0</v>
          </cell>
        </row>
        <row r="771">
          <cell r="A771">
            <v>98221</v>
          </cell>
          <cell r="B771" t="str">
            <v>TOWN OF SALEMBURG</v>
          </cell>
          <cell r="C771">
            <v>2.72E-5</v>
          </cell>
          <cell r="D771"/>
          <cell r="E771">
            <v>0</v>
          </cell>
          <cell r="F771">
            <v>0</v>
          </cell>
          <cell r="G771">
            <v>0</v>
          </cell>
          <cell r="H771">
            <v>0</v>
          </cell>
          <cell r="I771">
            <v>0</v>
          </cell>
        </row>
        <row r="772">
          <cell r="A772">
            <v>98231</v>
          </cell>
          <cell r="B772" t="str">
            <v>TOWN OF NEWTON GROVE</v>
          </cell>
          <cell r="C772">
            <v>3.1699999999999998E-5</v>
          </cell>
          <cell r="D772"/>
          <cell r="E772">
            <v>-1854</v>
          </cell>
          <cell r="F772">
            <v>-1338</v>
          </cell>
          <cell r="G772">
            <v>0</v>
          </cell>
          <cell r="H772">
            <v>0</v>
          </cell>
          <cell r="I772">
            <v>0</v>
          </cell>
        </row>
        <row r="773">
          <cell r="A773">
            <v>98237</v>
          </cell>
          <cell r="B773" t="str">
            <v>ROSEBORO ABC BOARD</v>
          </cell>
          <cell r="C773">
            <v>6.7000000000000002E-6</v>
          </cell>
          <cell r="D773"/>
          <cell r="E773">
            <v>0</v>
          </cell>
          <cell r="F773">
            <v>0</v>
          </cell>
          <cell r="G773">
            <v>0</v>
          </cell>
          <cell r="H773">
            <v>0</v>
          </cell>
          <cell r="I773">
            <v>0</v>
          </cell>
        </row>
        <row r="774">
          <cell r="A774">
            <v>98241</v>
          </cell>
          <cell r="B774" t="str">
            <v>TOWN OF GARLAND</v>
          </cell>
          <cell r="C774">
            <v>1.7799999999999999E-5</v>
          </cell>
          <cell r="D774"/>
          <cell r="E774">
            <v>-716</v>
          </cell>
          <cell r="F774">
            <v>-714</v>
          </cell>
          <cell r="G774">
            <v>-218</v>
          </cell>
          <cell r="H774">
            <v>0</v>
          </cell>
          <cell r="I774">
            <v>0</v>
          </cell>
        </row>
        <row r="775">
          <cell r="A775">
            <v>98251</v>
          </cell>
          <cell r="B775" t="str">
            <v>TOWN OF TURKEY</v>
          </cell>
          <cell r="C775">
            <v>2.5000000000000002E-6</v>
          </cell>
          <cell r="D775"/>
          <cell r="E775">
            <v>0</v>
          </cell>
          <cell r="F775">
            <v>0</v>
          </cell>
          <cell r="G775">
            <v>0</v>
          </cell>
          <cell r="H775">
            <v>0</v>
          </cell>
          <cell r="I775">
            <v>0</v>
          </cell>
        </row>
        <row r="776">
          <cell r="A776">
            <v>98261</v>
          </cell>
          <cell r="B776" t="str">
            <v>TOWN OF ROSEBORO</v>
          </cell>
          <cell r="C776">
            <v>3.3699999999999999E-5</v>
          </cell>
          <cell r="D776"/>
          <cell r="E776">
            <v>-1480</v>
          </cell>
          <cell r="F776">
            <v>0</v>
          </cell>
          <cell r="G776">
            <v>0</v>
          </cell>
          <cell r="H776">
            <v>0</v>
          </cell>
          <cell r="I776">
            <v>0</v>
          </cell>
        </row>
        <row r="777">
          <cell r="A777">
            <v>98271</v>
          </cell>
          <cell r="B777" t="str">
            <v>TOWN OF AUTRYVILLE</v>
          </cell>
          <cell r="C777">
            <v>5.2000000000000002E-6</v>
          </cell>
          <cell r="D777"/>
          <cell r="E777">
            <v>0</v>
          </cell>
          <cell r="F777">
            <v>0</v>
          </cell>
          <cell r="G777">
            <v>0</v>
          </cell>
          <cell r="H777">
            <v>0</v>
          </cell>
          <cell r="I777">
            <v>0</v>
          </cell>
        </row>
        <row r="778">
          <cell r="A778">
            <v>98301</v>
          </cell>
          <cell r="B778" t="str">
            <v>SCOTLAND COUNTY</v>
          </cell>
          <cell r="C778">
            <v>1.7742000000000001E-3</v>
          </cell>
          <cell r="D778"/>
          <cell r="E778">
            <v>0</v>
          </cell>
          <cell r="F778">
            <v>0</v>
          </cell>
          <cell r="G778">
            <v>0</v>
          </cell>
          <cell r="H778">
            <v>0</v>
          </cell>
          <cell r="I778">
            <v>0</v>
          </cell>
        </row>
        <row r="779">
          <cell r="A779">
            <v>98304</v>
          </cell>
          <cell r="B779" t="str">
            <v>SCOTLAND COUNTY ABC BOARD</v>
          </cell>
          <cell r="C779">
            <v>2.0699999999999998E-5</v>
          </cell>
          <cell r="D779"/>
          <cell r="E779">
            <v>0</v>
          </cell>
          <cell r="F779">
            <v>0</v>
          </cell>
          <cell r="G779">
            <v>0</v>
          </cell>
          <cell r="H779">
            <v>0</v>
          </cell>
          <cell r="I779">
            <v>0</v>
          </cell>
        </row>
        <row r="780">
          <cell r="A780">
            <v>98308</v>
          </cell>
          <cell r="B780" t="str">
            <v>LAURINBURG-MAXTON AIRPORT COMMISSION</v>
          </cell>
          <cell r="C780">
            <v>1.6099999999999998E-5</v>
          </cell>
          <cell r="D780"/>
          <cell r="E780">
            <v>0</v>
          </cell>
          <cell r="F780">
            <v>0</v>
          </cell>
          <cell r="G780">
            <v>0</v>
          </cell>
          <cell r="H780">
            <v>0</v>
          </cell>
          <cell r="I780">
            <v>0</v>
          </cell>
        </row>
        <row r="781">
          <cell r="A781">
            <v>98311</v>
          </cell>
          <cell r="B781" t="str">
            <v>CITY OF LAURINBURG</v>
          </cell>
          <cell r="C781">
            <v>1.1073999999999999E-3</v>
          </cell>
          <cell r="D781"/>
          <cell r="E781">
            <v>-47614</v>
          </cell>
          <cell r="F781">
            <v>-34444</v>
          </cell>
          <cell r="G781">
            <v>-22545</v>
          </cell>
          <cell r="H781">
            <v>-1190</v>
          </cell>
          <cell r="I781">
            <v>0</v>
          </cell>
        </row>
        <row r="782">
          <cell r="A782">
            <v>98313</v>
          </cell>
          <cell r="B782" t="str">
            <v>LAURINBURG HOUSING AUTHORITY</v>
          </cell>
          <cell r="C782">
            <v>2.1000000000000001E-4</v>
          </cell>
          <cell r="D782"/>
          <cell r="E782">
            <v>0</v>
          </cell>
          <cell r="F782">
            <v>0</v>
          </cell>
          <cell r="G782">
            <v>0</v>
          </cell>
          <cell r="H782">
            <v>0</v>
          </cell>
          <cell r="I782">
            <v>0</v>
          </cell>
        </row>
        <row r="783">
          <cell r="A783">
            <v>98321</v>
          </cell>
          <cell r="B783" t="str">
            <v>TOWN OF WAGRAM</v>
          </cell>
          <cell r="C783">
            <v>1.6900000000000001E-5</v>
          </cell>
          <cell r="D783"/>
          <cell r="E783">
            <v>-1033</v>
          </cell>
          <cell r="F783">
            <v>-184</v>
          </cell>
          <cell r="G783">
            <v>-183</v>
          </cell>
          <cell r="H783">
            <v>-183</v>
          </cell>
          <cell r="I783">
            <v>0</v>
          </cell>
        </row>
        <row r="784">
          <cell r="A784">
            <v>98331</v>
          </cell>
          <cell r="B784" t="str">
            <v>TOWN OF GIBSON</v>
          </cell>
          <cell r="C784">
            <v>8.3999999999999992E-6</v>
          </cell>
          <cell r="D784"/>
          <cell r="E784">
            <v>0</v>
          </cell>
          <cell r="F784">
            <v>0</v>
          </cell>
          <cell r="G784">
            <v>0</v>
          </cell>
          <cell r="H784">
            <v>0</v>
          </cell>
          <cell r="I784">
            <v>0</v>
          </cell>
        </row>
        <row r="785">
          <cell r="A785">
            <v>98401</v>
          </cell>
          <cell r="B785" t="str">
            <v>STANLY COUNTY</v>
          </cell>
          <cell r="C785">
            <v>2.9618000000000001E-3</v>
          </cell>
          <cell r="D785"/>
          <cell r="E785">
            <v>-1893</v>
          </cell>
          <cell r="F785">
            <v>0</v>
          </cell>
          <cell r="G785">
            <v>0</v>
          </cell>
          <cell r="H785">
            <v>0</v>
          </cell>
          <cell r="I785">
            <v>0</v>
          </cell>
        </row>
        <row r="786">
          <cell r="A786">
            <v>98404</v>
          </cell>
          <cell r="B786" t="str">
            <v>LOCUST ABC BOARD</v>
          </cell>
          <cell r="C786">
            <v>1.43E-5</v>
          </cell>
          <cell r="D786"/>
          <cell r="E786">
            <v>-84</v>
          </cell>
          <cell r="F786">
            <v>-84</v>
          </cell>
          <cell r="G786">
            <v>-84</v>
          </cell>
          <cell r="H786">
            <v>-84</v>
          </cell>
          <cell r="I786">
            <v>0</v>
          </cell>
        </row>
        <row r="787">
          <cell r="A787">
            <v>98411</v>
          </cell>
          <cell r="B787" t="str">
            <v>CITY OF ALBEMARLE</v>
          </cell>
          <cell r="C787">
            <v>1.9082000000000001E-3</v>
          </cell>
          <cell r="D787"/>
          <cell r="E787">
            <v>-52206</v>
          </cell>
          <cell r="F787">
            <v>-48312</v>
          </cell>
          <cell r="G787">
            <v>-35986</v>
          </cell>
          <cell r="H787">
            <v>-19510</v>
          </cell>
          <cell r="I787">
            <v>0</v>
          </cell>
        </row>
        <row r="788">
          <cell r="A788">
            <v>98414</v>
          </cell>
          <cell r="B788" t="str">
            <v>VILLAGE OF MISENHEIMER</v>
          </cell>
          <cell r="C788">
            <v>3.01E-5</v>
          </cell>
          <cell r="D788"/>
          <cell r="E788">
            <v>-2025</v>
          </cell>
          <cell r="F788">
            <v>-2025</v>
          </cell>
          <cell r="G788">
            <v>-2025</v>
          </cell>
          <cell r="H788">
            <v>-2024</v>
          </cell>
          <cell r="I788">
            <v>0</v>
          </cell>
        </row>
        <row r="789">
          <cell r="A789">
            <v>98417</v>
          </cell>
          <cell r="B789" t="str">
            <v>ALBEMARLE ABC BOARD</v>
          </cell>
          <cell r="C789">
            <v>2.23E-5</v>
          </cell>
          <cell r="D789"/>
          <cell r="E789">
            <v>0</v>
          </cell>
          <cell r="F789">
            <v>0</v>
          </cell>
          <cell r="G789">
            <v>0</v>
          </cell>
          <cell r="H789">
            <v>0</v>
          </cell>
          <cell r="I789">
            <v>0</v>
          </cell>
        </row>
        <row r="790">
          <cell r="A790">
            <v>98421</v>
          </cell>
          <cell r="B790" t="str">
            <v>TOWN OF NORWOOD</v>
          </cell>
          <cell r="C790">
            <v>1.121E-4</v>
          </cell>
          <cell r="D790"/>
          <cell r="E790">
            <v>-3022</v>
          </cell>
          <cell r="F790">
            <v>-3021</v>
          </cell>
          <cell r="G790">
            <v>0</v>
          </cell>
          <cell r="H790">
            <v>0</v>
          </cell>
          <cell r="I790">
            <v>0</v>
          </cell>
        </row>
        <row r="791">
          <cell r="A791">
            <v>98427</v>
          </cell>
          <cell r="B791" t="str">
            <v>NORWOOD ABC BD</v>
          </cell>
          <cell r="C791">
            <v>3.1E-6</v>
          </cell>
          <cell r="D791"/>
          <cell r="E791">
            <v>0</v>
          </cell>
          <cell r="F791">
            <v>0</v>
          </cell>
          <cell r="G791">
            <v>0</v>
          </cell>
          <cell r="H791">
            <v>0</v>
          </cell>
          <cell r="I791">
            <v>0</v>
          </cell>
        </row>
        <row r="792">
          <cell r="A792">
            <v>98431</v>
          </cell>
          <cell r="B792" t="str">
            <v>CITY OF LOCUST</v>
          </cell>
          <cell r="C792">
            <v>1.997E-4</v>
          </cell>
          <cell r="D792"/>
          <cell r="E792">
            <v>-11143</v>
          </cell>
          <cell r="F792">
            <v>-8013</v>
          </cell>
          <cell r="G792">
            <v>-5776</v>
          </cell>
          <cell r="H792">
            <v>-1392</v>
          </cell>
          <cell r="I792">
            <v>0</v>
          </cell>
        </row>
        <row r="793">
          <cell r="A793">
            <v>98441</v>
          </cell>
          <cell r="B793" t="str">
            <v>TOWN OF OAKBORO</v>
          </cell>
          <cell r="C793">
            <v>1.0230000000000001E-4</v>
          </cell>
          <cell r="D793"/>
          <cell r="E793">
            <v>-6493</v>
          </cell>
          <cell r="F793">
            <v>-4282</v>
          </cell>
          <cell r="G793">
            <v>-2412</v>
          </cell>
          <cell r="H793">
            <v>-2411</v>
          </cell>
          <cell r="I793">
            <v>0</v>
          </cell>
        </row>
        <row r="794">
          <cell r="A794">
            <v>98451</v>
          </cell>
          <cell r="B794" t="str">
            <v>TOWN OF BADIN</v>
          </cell>
          <cell r="C794">
            <v>4.6100000000000002E-5</v>
          </cell>
          <cell r="D794"/>
          <cell r="E794">
            <v>-1210</v>
          </cell>
          <cell r="F794">
            <v>-903</v>
          </cell>
          <cell r="G794">
            <v>-903</v>
          </cell>
          <cell r="H794">
            <v>0</v>
          </cell>
          <cell r="I794">
            <v>0</v>
          </cell>
        </row>
        <row r="795">
          <cell r="A795">
            <v>98471</v>
          </cell>
          <cell r="B795" t="str">
            <v>TOWN OF NEW LONDON</v>
          </cell>
          <cell r="C795">
            <v>6.3999999999999997E-6</v>
          </cell>
          <cell r="D795"/>
          <cell r="E795">
            <v>0</v>
          </cell>
          <cell r="F795">
            <v>0</v>
          </cell>
          <cell r="G795">
            <v>0</v>
          </cell>
          <cell r="H795">
            <v>0</v>
          </cell>
          <cell r="I795">
            <v>0</v>
          </cell>
        </row>
        <row r="796">
          <cell r="A796">
            <v>98481</v>
          </cell>
          <cell r="B796" t="str">
            <v>TOWN OF STANFIELD</v>
          </cell>
          <cell r="C796">
            <v>6.1600000000000007E-5</v>
          </cell>
          <cell r="D796"/>
          <cell r="E796">
            <v>-3656</v>
          </cell>
          <cell r="F796">
            <v>-3206</v>
          </cell>
          <cell r="G796">
            <v>-2140</v>
          </cell>
          <cell r="H796">
            <v>-2139</v>
          </cell>
          <cell r="I796">
            <v>0</v>
          </cell>
        </row>
        <row r="797">
          <cell r="A797">
            <v>98501</v>
          </cell>
          <cell r="B797" t="str">
            <v>STOKES COUNTY</v>
          </cell>
          <cell r="C797">
            <v>1.655E-3</v>
          </cell>
          <cell r="D797"/>
          <cell r="E797">
            <v>0</v>
          </cell>
          <cell r="F797">
            <v>0</v>
          </cell>
          <cell r="G797">
            <v>0</v>
          </cell>
          <cell r="H797">
            <v>0</v>
          </cell>
          <cell r="I797">
            <v>0</v>
          </cell>
        </row>
        <row r="798">
          <cell r="A798">
            <v>98511</v>
          </cell>
          <cell r="B798" t="str">
            <v>TOWN OF WALNUT COVE</v>
          </cell>
          <cell r="C798">
            <v>4.9400000000000001E-5</v>
          </cell>
          <cell r="D798"/>
          <cell r="E798">
            <v>-679</v>
          </cell>
          <cell r="F798">
            <v>-679</v>
          </cell>
          <cell r="G798">
            <v>-680</v>
          </cell>
          <cell r="H798">
            <v>0</v>
          </cell>
          <cell r="I798">
            <v>0</v>
          </cell>
        </row>
        <row r="799">
          <cell r="A799">
            <v>98517</v>
          </cell>
          <cell r="B799" t="str">
            <v>WALNUT COVE ABC BOARD</v>
          </cell>
          <cell r="C799">
            <v>2.3999999999999999E-6</v>
          </cell>
          <cell r="D799"/>
          <cell r="E799">
            <v>0</v>
          </cell>
          <cell r="F799">
            <v>0</v>
          </cell>
          <cell r="G799">
            <v>0</v>
          </cell>
          <cell r="H799">
            <v>0</v>
          </cell>
          <cell r="I799">
            <v>0</v>
          </cell>
        </row>
        <row r="800">
          <cell r="A800">
            <v>98521</v>
          </cell>
          <cell r="B800" t="str">
            <v>CITY OF KING</v>
          </cell>
          <cell r="C800">
            <v>6.3349999999999995E-4</v>
          </cell>
          <cell r="D800"/>
          <cell r="E800">
            <v>-21852</v>
          </cell>
          <cell r="F800">
            <v>-11446</v>
          </cell>
          <cell r="G800">
            <v>-11444</v>
          </cell>
          <cell r="H800">
            <v>-4638</v>
          </cell>
          <cell r="I800">
            <v>0</v>
          </cell>
        </row>
        <row r="801">
          <cell r="A801">
            <v>98601</v>
          </cell>
          <cell r="B801" t="str">
            <v>SURRY COUNTY</v>
          </cell>
          <cell r="C801">
            <v>3.5866000000000001E-3</v>
          </cell>
          <cell r="D801"/>
          <cell r="E801">
            <v>-37546</v>
          </cell>
          <cell r="F801">
            <v>-32259</v>
          </cell>
          <cell r="G801">
            <v>-2250</v>
          </cell>
          <cell r="H801">
            <v>0</v>
          </cell>
          <cell r="I801">
            <v>0</v>
          </cell>
        </row>
        <row r="802">
          <cell r="A802">
            <v>98604</v>
          </cell>
          <cell r="B802" t="str">
            <v>YADKIN VALLEY ABC BOARD</v>
          </cell>
          <cell r="C802">
            <v>1.2099999999999999E-5</v>
          </cell>
          <cell r="D802"/>
          <cell r="E802">
            <v>-132</v>
          </cell>
          <cell r="F802">
            <v>-131</v>
          </cell>
          <cell r="G802">
            <v>0</v>
          </cell>
          <cell r="H802">
            <v>0</v>
          </cell>
          <cell r="I802">
            <v>0</v>
          </cell>
        </row>
        <row r="803">
          <cell r="A803">
            <v>98607</v>
          </cell>
          <cell r="B803" t="str">
            <v>PILOT MOUNTAIN ABC BOARD</v>
          </cell>
          <cell r="C803">
            <v>5.4E-6</v>
          </cell>
          <cell r="D803"/>
          <cell r="E803">
            <v>-209</v>
          </cell>
          <cell r="F803">
            <v>-191</v>
          </cell>
          <cell r="G803">
            <v>-191</v>
          </cell>
          <cell r="H803">
            <v>-189</v>
          </cell>
          <cell r="I803">
            <v>0</v>
          </cell>
        </row>
        <row r="804">
          <cell r="A804">
            <v>98608</v>
          </cell>
          <cell r="B804" t="str">
            <v>YADKIN VALLEY SEWER AUTHORITY</v>
          </cell>
          <cell r="C804">
            <v>5.1799999999999999E-5</v>
          </cell>
          <cell r="D804"/>
          <cell r="E804">
            <v>-1867</v>
          </cell>
          <cell r="F804">
            <v>-251</v>
          </cell>
          <cell r="G804">
            <v>-252</v>
          </cell>
          <cell r="H804">
            <v>0</v>
          </cell>
          <cell r="I804">
            <v>0</v>
          </cell>
        </row>
        <row r="805">
          <cell r="A805">
            <v>98611</v>
          </cell>
          <cell r="B805" t="str">
            <v>TOWN OF PILOT MOUNTAIN</v>
          </cell>
          <cell r="C805">
            <v>1.1959999999999999E-4</v>
          </cell>
          <cell r="D805"/>
          <cell r="E805">
            <v>-2863</v>
          </cell>
          <cell r="F805">
            <v>0</v>
          </cell>
          <cell r="G805">
            <v>0</v>
          </cell>
          <cell r="H805">
            <v>0</v>
          </cell>
          <cell r="I805">
            <v>0</v>
          </cell>
        </row>
        <row r="806">
          <cell r="A806">
            <v>98621</v>
          </cell>
          <cell r="B806" t="str">
            <v>TOWN OF DOBSON</v>
          </cell>
          <cell r="C806">
            <v>1.2899999999999999E-4</v>
          </cell>
          <cell r="D806"/>
          <cell r="E806">
            <v>-3544</v>
          </cell>
          <cell r="F806">
            <v>-2613</v>
          </cell>
          <cell r="G806">
            <v>-1558</v>
          </cell>
          <cell r="H806">
            <v>-1558</v>
          </cell>
          <cell r="I806">
            <v>0</v>
          </cell>
        </row>
        <row r="807">
          <cell r="A807">
            <v>98627</v>
          </cell>
          <cell r="B807" t="str">
            <v>DOBSON ABC BD</v>
          </cell>
          <cell r="C807">
            <v>7.7999999999999999E-6</v>
          </cell>
          <cell r="D807"/>
          <cell r="E807">
            <v>-583</v>
          </cell>
          <cell r="F807">
            <v>-585</v>
          </cell>
          <cell r="G807">
            <v>-337</v>
          </cell>
          <cell r="H807">
            <v>-170</v>
          </cell>
          <cell r="I807">
            <v>0</v>
          </cell>
        </row>
        <row r="808">
          <cell r="A808">
            <v>98631</v>
          </cell>
          <cell r="B808" t="str">
            <v>CITY OF MOUNT AIRY</v>
          </cell>
          <cell r="C808">
            <v>1.0042E-3</v>
          </cell>
          <cell r="D808"/>
          <cell r="E808">
            <v>-22500</v>
          </cell>
          <cell r="F808">
            <v>-8113</v>
          </cell>
          <cell r="G808">
            <v>-3058</v>
          </cell>
          <cell r="H808">
            <v>-3057</v>
          </cell>
          <cell r="I808">
            <v>0</v>
          </cell>
        </row>
        <row r="809">
          <cell r="A809">
            <v>98637</v>
          </cell>
          <cell r="B809" t="str">
            <v>MOUNT AIRY ALCOHOLIC BOARD OF CONTROL</v>
          </cell>
          <cell r="C809">
            <v>1.5800000000000001E-5</v>
          </cell>
          <cell r="D809"/>
          <cell r="E809">
            <v>0</v>
          </cell>
          <cell r="F809">
            <v>0</v>
          </cell>
          <cell r="G809">
            <v>0</v>
          </cell>
          <cell r="H809">
            <v>0</v>
          </cell>
          <cell r="I809">
            <v>0</v>
          </cell>
        </row>
        <row r="810">
          <cell r="A810">
            <v>98641</v>
          </cell>
          <cell r="B810" t="str">
            <v>TOWN OF ELKIN</v>
          </cell>
          <cell r="C810">
            <v>2.7090000000000003E-4</v>
          </cell>
          <cell r="D810"/>
          <cell r="E810">
            <v>-4018</v>
          </cell>
          <cell r="F810">
            <v>-1660</v>
          </cell>
          <cell r="G810">
            <v>-1660</v>
          </cell>
          <cell r="H810">
            <v>-1658</v>
          </cell>
          <cell r="I810">
            <v>0</v>
          </cell>
        </row>
        <row r="811">
          <cell r="A811">
            <v>98647</v>
          </cell>
          <cell r="B811" t="str">
            <v>ELKIN ABC BOARD</v>
          </cell>
          <cell r="C811">
            <v>0</v>
          </cell>
          <cell r="D811"/>
          <cell r="E811">
            <v>-1498</v>
          </cell>
          <cell r="F811">
            <v>0</v>
          </cell>
          <cell r="G811">
            <v>0</v>
          </cell>
          <cell r="H811">
            <v>0</v>
          </cell>
          <cell r="I811">
            <v>0</v>
          </cell>
        </row>
        <row r="812">
          <cell r="A812">
            <v>98701</v>
          </cell>
          <cell r="B812" t="str">
            <v>SWAIN COUNTY</v>
          </cell>
          <cell r="C812">
            <v>9.7790000000000008E-4</v>
          </cell>
          <cell r="D812"/>
          <cell r="E812">
            <v>-38214</v>
          </cell>
          <cell r="F812">
            <v>-38214</v>
          </cell>
          <cell r="G812">
            <v>-29279</v>
          </cell>
          <cell r="H812">
            <v>-19379</v>
          </cell>
          <cell r="I812">
            <v>0</v>
          </cell>
        </row>
        <row r="813">
          <cell r="A813">
            <v>98711</v>
          </cell>
          <cell r="B813" t="str">
            <v>TOWN OF BRYSON CITY</v>
          </cell>
          <cell r="C813">
            <v>1.671E-4</v>
          </cell>
          <cell r="D813"/>
          <cell r="E813">
            <v>-10973</v>
          </cell>
          <cell r="F813">
            <v>-9463</v>
          </cell>
          <cell r="G813">
            <v>-7217</v>
          </cell>
          <cell r="H813">
            <v>-2187</v>
          </cell>
          <cell r="I813">
            <v>0</v>
          </cell>
        </row>
        <row r="814">
          <cell r="A814">
            <v>98717</v>
          </cell>
          <cell r="B814" t="str">
            <v>BRYSON CITY ABC BOARD</v>
          </cell>
          <cell r="C814">
            <v>2.2399999999999999E-5</v>
          </cell>
          <cell r="D814"/>
          <cell r="E814">
            <v>-558</v>
          </cell>
          <cell r="F814">
            <v>-432</v>
          </cell>
          <cell r="G814">
            <v>-433</v>
          </cell>
          <cell r="H814">
            <v>0</v>
          </cell>
          <cell r="I814">
            <v>0</v>
          </cell>
        </row>
        <row r="815">
          <cell r="A815">
            <v>98801</v>
          </cell>
          <cell r="B815" t="str">
            <v>TRANSYLVANIA COUNTY</v>
          </cell>
          <cell r="C815">
            <v>2.1632999999999999E-3</v>
          </cell>
          <cell r="D815"/>
          <cell r="E815">
            <v>-19021</v>
          </cell>
          <cell r="F815">
            <v>-19021</v>
          </cell>
          <cell r="G815">
            <v>-19021</v>
          </cell>
          <cell r="H815">
            <v>0</v>
          </cell>
          <cell r="I815">
            <v>0</v>
          </cell>
        </row>
        <row r="816">
          <cell r="A816">
            <v>98811</v>
          </cell>
          <cell r="B816" t="str">
            <v>CITY OF BREVARD</v>
          </cell>
          <cell r="C816">
            <v>6.8610000000000003E-4</v>
          </cell>
          <cell r="D816"/>
          <cell r="E816">
            <v>-13054</v>
          </cell>
          <cell r="F816">
            <v>-5167</v>
          </cell>
          <cell r="G816">
            <v>0</v>
          </cell>
          <cell r="H816">
            <v>0</v>
          </cell>
          <cell r="I816">
            <v>0</v>
          </cell>
        </row>
        <row r="817">
          <cell r="A817">
            <v>98817</v>
          </cell>
          <cell r="B817" t="str">
            <v>BREVARD ABC BOARD</v>
          </cell>
          <cell r="C817">
            <v>1.7E-5</v>
          </cell>
          <cell r="D817"/>
          <cell r="E817">
            <v>-955</v>
          </cell>
          <cell r="F817">
            <v>-955</v>
          </cell>
          <cell r="G817">
            <v>-955</v>
          </cell>
          <cell r="H817">
            <v>-953</v>
          </cell>
          <cell r="I817">
            <v>0</v>
          </cell>
        </row>
        <row r="818">
          <cell r="A818">
            <v>98901</v>
          </cell>
          <cell r="B818" t="str">
            <v>TYRRELL COUNTY</v>
          </cell>
          <cell r="C818">
            <v>2.8390000000000002E-4</v>
          </cell>
          <cell r="D818"/>
          <cell r="E818">
            <v>-6082</v>
          </cell>
          <cell r="F818">
            <v>-5512</v>
          </cell>
          <cell r="G818">
            <v>-5514</v>
          </cell>
          <cell r="H818">
            <v>0</v>
          </cell>
          <cell r="I818">
            <v>0</v>
          </cell>
        </row>
        <row r="819">
          <cell r="A819">
            <v>98904</v>
          </cell>
          <cell r="B819" t="str">
            <v>TYRRELL CO ABC BOARD</v>
          </cell>
          <cell r="C819">
            <v>3.9999999999999998E-6</v>
          </cell>
          <cell r="D819"/>
          <cell r="E819">
            <v>-561</v>
          </cell>
          <cell r="F819">
            <v>-397</v>
          </cell>
          <cell r="G819">
            <v>-61</v>
          </cell>
          <cell r="H819">
            <v>-60</v>
          </cell>
          <cell r="I819">
            <v>0</v>
          </cell>
        </row>
        <row r="820">
          <cell r="A820">
            <v>98911</v>
          </cell>
          <cell r="B820" t="str">
            <v>TOWN OF COLUMBIA</v>
          </cell>
          <cell r="C820">
            <v>1.59E-5</v>
          </cell>
          <cell r="D820"/>
          <cell r="E820">
            <v>-290</v>
          </cell>
          <cell r="F820">
            <v>-290</v>
          </cell>
          <cell r="G820">
            <v>-290</v>
          </cell>
          <cell r="H820">
            <v>-289</v>
          </cell>
          <cell r="I820">
            <v>0</v>
          </cell>
        </row>
        <row r="821">
          <cell r="A821">
            <v>99001</v>
          </cell>
          <cell r="B821" t="str">
            <v>UNION COUNTY</v>
          </cell>
          <cell r="C821">
            <v>8.8266000000000004E-3</v>
          </cell>
          <cell r="D821"/>
          <cell r="E821">
            <v>0</v>
          </cell>
          <cell r="F821">
            <v>0</v>
          </cell>
          <cell r="G821">
            <v>0</v>
          </cell>
          <cell r="H821">
            <v>0</v>
          </cell>
          <cell r="I821">
            <v>0</v>
          </cell>
        </row>
        <row r="822">
          <cell r="A822">
            <v>99011</v>
          </cell>
          <cell r="B822" t="str">
            <v>CITY OF MONROE</v>
          </cell>
          <cell r="C822">
            <v>3.8520999999999998E-3</v>
          </cell>
          <cell r="D822"/>
          <cell r="E822">
            <v>-63827</v>
          </cell>
          <cell r="F822">
            <v>-7173</v>
          </cell>
          <cell r="G822">
            <v>0</v>
          </cell>
          <cell r="H822">
            <v>0</v>
          </cell>
          <cell r="I822">
            <v>0</v>
          </cell>
        </row>
        <row r="823">
          <cell r="A823">
            <v>99013</v>
          </cell>
          <cell r="B823" t="str">
            <v>CITY OF MONROE HOUSING AUTHORITY</v>
          </cell>
          <cell r="C823">
            <v>4.7599999999999998E-5</v>
          </cell>
          <cell r="D823"/>
          <cell r="E823">
            <v>-2463</v>
          </cell>
          <cell r="F823">
            <v>-780</v>
          </cell>
          <cell r="G823">
            <v>-359</v>
          </cell>
          <cell r="H823">
            <v>0</v>
          </cell>
          <cell r="I823">
            <v>0</v>
          </cell>
        </row>
        <row r="824">
          <cell r="A824">
            <v>99014</v>
          </cell>
          <cell r="B824" t="str">
            <v>INDIAN TRAIL ABC BOARD</v>
          </cell>
          <cell r="C824">
            <v>2.1299999999999999E-5</v>
          </cell>
          <cell r="D824"/>
          <cell r="E824">
            <v>-56</v>
          </cell>
          <cell r="F824">
            <v>-56</v>
          </cell>
          <cell r="G824">
            <v>-57</v>
          </cell>
          <cell r="H824">
            <v>0</v>
          </cell>
          <cell r="I824">
            <v>0</v>
          </cell>
        </row>
        <row r="825">
          <cell r="A825">
            <v>99017</v>
          </cell>
          <cell r="B825" t="str">
            <v>MONROE ABC BOARD</v>
          </cell>
          <cell r="C825">
            <v>4.8600000000000002E-5</v>
          </cell>
          <cell r="D825"/>
          <cell r="E825">
            <v>-823</v>
          </cell>
          <cell r="F825">
            <v>-823</v>
          </cell>
          <cell r="G825">
            <v>-824</v>
          </cell>
          <cell r="H825">
            <v>0</v>
          </cell>
          <cell r="I825">
            <v>0</v>
          </cell>
        </row>
        <row r="826">
          <cell r="A826">
            <v>99021</v>
          </cell>
          <cell r="B826" t="str">
            <v>TOWN OF MARSHVILLE</v>
          </cell>
          <cell r="C826">
            <v>1.405E-4</v>
          </cell>
          <cell r="D826"/>
          <cell r="E826">
            <v>-3523</v>
          </cell>
          <cell r="F826">
            <v>-3303</v>
          </cell>
          <cell r="G826">
            <v>-3304</v>
          </cell>
          <cell r="H826">
            <v>0</v>
          </cell>
          <cell r="I826">
            <v>0</v>
          </cell>
        </row>
        <row r="827">
          <cell r="A827">
            <v>99022</v>
          </cell>
          <cell r="B827" t="str">
            <v>TOWN OF MINERAL SPRINGS</v>
          </cell>
          <cell r="C827">
            <v>8.8000000000000004E-6</v>
          </cell>
          <cell r="D827"/>
          <cell r="E827">
            <v>0</v>
          </cell>
          <cell r="F827">
            <v>0</v>
          </cell>
          <cell r="G827">
            <v>0</v>
          </cell>
          <cell r="H827">
            <v>0</v>
          </cell>
          <cell r="I827">
            <v>0</v>
          </cell>
        </row>
        <row r="828">
          <cell r="A828">
            <v>99031</v>
          </cell>
          <cell r="B828" t="str">
            <v>TOWN OF WINGATE</v>
          </cell>
          <cell r="C828">
            <v>1.208E-4</v>
          </cell>
          <cell r="D828"/>
          <cell r="E828">
            <v>-10874</v>
          </cell>
          <cell r="F828">
            <v>-10872</v>
          </cell>
          <cell r="G828">
            <v>-7576</v>
          </cell>
          <cell r="H828">
            <v>-3419</v>
          </cell>
          <cell r="I828">
            <v>0</v>
          </cell>
        </row>
        <row r="829">
          <cell r="A829">
            <v>99041</v>
          </cell>
          <cell r="B829" t="str">
            <v>TOWN OF WAXHAW</v>
          </cell>
          <cell r="C829">
            <v>6.3840000000000001E-4</v>
          </cell>
          <cell r="D829"/>
          <cell r="E829">
            <v>-12533</v>
          </cell>
          <cell r="F829">
            <v>-12533</v>
          </cell>
          <cell r="G829">
            <v>-12531</v>
          </cell>
          <cell r="H829">
            <v>-9253</v>
          </cell>
          <cell r="I829">
            <v>0</v>
          </cell>
        </row>
        <row r="830">
          <cell r="A830">
            <v>99047</v>
          </cell>
          <cell r="B830" t="str">
            <v>WAXHAW ABC BOARD</v>
          </cell>
          <cell r="C830">
            <v>1.33E-5</v>
          </cell>
          <cell r="D830"/>
          <cell r="E830">
            <v>0</v>
          </cell>
          <cell r="F830">
            <v>0</v>
          </cell>
          <cell r="G830">
            <v>0</v>
          </cell>
          <cell r="H830">
            <v>0</v>
          </cell>
          <cell r="I830">
            <v>0</v>
          </cell>
        </row>
        <row r="831">
          <cell r="A831">
            <v>99051</v>
          </cell>
          <cell r="B831" t="str">
            <v>TOWN OF INDIAN TRAIL</v>
          </cell>
          <cell r="C831">
            <v>3.4049999999999998E-4</v>
          </cell>
          <cell r="D831"/>
          <cell r="E831">
            <v>-7692</v>
          </cell>
          <cell r="F831">
            <v>-7692</v>
          </cell>
          <cell r="G831">
            <v>-7056</v>
          </cell>
          <cell r="H831">
            <v>-4183</v>
          </cell>
          <cell r="I831">
            <v>0</v>
          </cell>
        </row>
        <row r="832">
          <cell r="A832">
            <v>99061</v>
          </cell>
          <cell r="B832" t="str">
            <v>TOWN OF UNIONVILLE</v>
          </cell>
          <cell r="C832">
            <v>6.1E-6</v>
          </cell>
          <cell r="D832"/>
          <cell r="E832">
            <v>0</v>
          </cell>
          <cell r="F832">
            <v>0</v>
          </cell>
          <cell r="G832">
            <v>0</v>
          </cell>
          <cell r="H832">
            <v>0</v>
          </cell>
          <cell r="I832">
            <v>0</v>
          </cell>
        </row>
        <row r="833">
          <cell r="A833">
            <v>99071</v>
          </cell>
          <cell r="B833" t="str">
            <v>TOWN OF WEDDINGTON</v>
          </cell>
          <cell r="C833">
            <v>2.4499999999999999E-5</v>
          </cell>
          <cell r="D833"/>
          <cell r="E833">
            <v>-1003</v>
          </cell>
          <cell r="F833">
            <v>-848</v>
          </cell>
          <cell r="G833">
            <v>-848</v>
          </cell>
          <cell r="H833">
            <v>0</v>
          </cell>
          <cell r="I833">
            <v>0</v>
          </cell>
        </row>
        <row r="834">
          <cell r="A834">
            <v>99081</v>
          </cell>
          <cell r="B834" t="str">
            <v>VILLAGE OF MARVIN</v>
          </cell>
          <cell r="C834">
            <v>3.65E-5</v>
          </cell>
          <cell r="D834"/>
          <cell r="E834">
            <v>-3058</v>
          </cell>
          <cell r="F834">
            <v>-2087</v>
          </cell>
          <cell r="G834">
            <v>0</v>
          </cell>
          <cell r="H834">
            <v>0</v>
          </cell>
          <cell r="I834">
            <v>0</v>
          </cell>
        </row>
        <row r="835">
          <cell r="A835">
            <v>99091</v>
          </cell>
          <cell r="B835" t="str">
            <v>VILLAGE OF WESLEY CHAPEL</v>
          </cell>
          <cell r="C835">
            <v>5.4E-6</v>
          </cell>
          <cell r="D835"/>
          <cell r="E835">
            <v>0</v>
          </cell>
          <cell r="F835">
            <v>0</v>
          </cell>
          <cell r="G835">
            <v>0</v>
          </cell>
          <cell r="H835">
            <v>0</v>
          </cell>
          <cell r="I835">
            <v>0</v>
          </cell>
        </row>
        <row r="836">
          <cell r="A836">
            <v>99101</v>
          </cell>
          <cell r="B836" t="str">
            <v>VANCE COUNTY</v>
          </cell>
          <cell r="C836">
            <v>2.1218000000000001E-3</v>
          </cell>
          <cell r="D836"/>
          <cell r="E836">
            <v>-45039</v>
          </cell>
          <cell r="F836">
            <v>-37027</v>
          </cell>
          <cell r="G836">
            <v>-37027</v>
          </cell>
          <cell r="H836">
            <v>-27838</v>
          </cell>
          <cell r="I836">
            <v>0</v>
          </cell>
        </row>
        <row r="837">
          <cell r="A837">
            <v>99104</v>
          </cell>
          <cell r="B837" t="str">
            <v>VANCE COUNTY ABC BD</v>
          </cell>
          <cell r="C837">
            <v>3.2700000000000002E-5</v>
          </cell>
          <cell r="D837"/>
          <cell r="E837">
            <v>0</v>
          </cell>
          <cell r="F837">
            <v>0</v>
          </cell>
          <cell r="G837">
            <v>0</v>
          </cell>
          <cell r="H837">
            <v>0</v>
          </cell>
          <cell r="I837">
            <v>0</v>
          </cell>
        </row>
        <row r="838">
          <cell r="A838">
            <v>99109</v>
          </cell>
          <cell r="B838" t="str">
            <v>KERR-TAR REGIONAL COUNCIL OF GOVTS</v>
          </cell>
          <cell r="C838">
            <v>1.169E-4</v>
          </cell>
          <cell r="D838"/>
          <cell r="E838">
            <v>-4099</v>
          </cell>
          <cell r="F838">
            <v>-1220</v>
          </cell>
          <cell r="G838">
            <v>-1218</v>
          </cell>
          <cell r="H838">
            <v>-536</v>
          </cell>
          <cell r="I838">
            <v>0</v>
          </cell>
        </row>
        <row r="839">
          <cell r="A839">
            <v>99110</v>
          </cell>
          <cell r="B839" t="str">
            <v>KERR AREA TRANSPORTATION AUTHORITY</v>
          </cell>
          <cell r="C839">
            <v>1.437E-4</v>
          </cell>
          <cell r="D839"/>
          <cell r="E839">
            <v>0</v>
          </cell>
          <cell r="F839">
            <v>0</v>
          </cell>
          <cell r="G839">
            <v>0</v>
          </cell>
          <cell r="H839">
            <v>0</v>
          </cell>
          <cell r="I839">
            <v>0</v>
          </cell>
        </row>
        <row r="840">
          <cell r="A840">
            <v>99111</v>
          </cell>
          <cell r="B840" t="str">
            <v>CITY OF HENDERSON</v>
          </cell>
          <cell r="C840">
            <v>1.3064999999999999E-3</v>
          </cell>
          <cell r="D840"/>
          <cell r="E840">
            <v>-31448</v>
          </cell>
          <cell r="F840">
            <v>-18403</v>
          </cell>
          <cell r="G840">
            <v>-8935</v>
          </cell>
          <cell r="H840">
            <v>-6484</v>
          </cell>
          <cell r="I840">
            <v>0</v>
          </cell>
        </row>
        <row r="841">
          <cell r="A841">
            <v>99201</v>
          </cell>
          <cell r="B841" t="str">
            <v>WAKE COUNTY</v>
          </cell>
          <cell r="C841">
            <v>3.5284299999999998E-2</v>
          </cell>
          <cell r="D841"/>
          <cell r="E841">
            <v>0</v>
          </cell>
          <cell r="F841">
            <v>0</v>
          </cell>
          <cell r="G841">
            <v>0</v>
          </cell>
          <cell r="H841">
            <v>0</v>
          </cell>
          <cell r="I841">
            <v>0</v>
          </cell>
        </row>
        <row r="842">
          <cell r="A842">
            <v>99202</v>
          </cell>
          <cell r="B842" t="str">
            <v>TOWN OF HOLLY SPRINGS</v>
          </cell>
          <cell r="C842">
            <v>2.8322E-3</v>
          </cell>
          <cell r="D842"/>
          <cell r="E842">
            <v>-45565</v>
          </cell>
          <cell r="F842">
            <v>-14151</v>
          </cell>
          <cell r="G842">
            <v>-3191</v>
          </cell>
          <cell r="H842">
            <v>-979</v>
          </cell>
          <cell r="I842">
            <v>0</v>
          </cell>
        </row>
        <row r="843">
          <cell r="A843">
            <v>99203</v>
          </cell>
          <cell r="B843" t="str">
            <v>TOWN OF ROLESVILLE</v>
          </cell>
          <cell r="C843">
            <v>3.5179999999999999E-4</v>
          </cell>
          <cell r="D843"/>
          <cell r="E843">
            <v>-7846</v>
          </cell>
          <cell r="F843">
            <v>-7844</v>
          </cell>
          <cell r="G843">
            <v>-2665</v>
          </cell>
          <cell r="H843">
            <v>0</v>
          </cell>
          <cell r="I843">
            <v>0</v>
          </cell>
        </row>
        <row r="844">
          <cell r="A844">
            <v>99204</v>
          </cell>
          <cell r="B844" t="str">
            <v>WAKE COUNTY ABC BOARD</v>
          </cell>
          <cell r="C844">
            <v>9.4149999999999995E-4</v>
          </cell>
          <cell r="D844"/>
          <cell r="E844">
            <v>0</v>
          </cell>
          <cell r="F844">
            <v>0</v>
          </cell>
          <cell r="G844">
            <v>0</v>
          </cell>
          <cell r="H844">
            <v>0</v>
          </cell>
          <cell r="I844">
            <v>0</v>
          </cell>
        </row>
        <row r="845">
          <cell r="A845">
            <v>99206</v>
          </cell>
          <cell r="B845" t="str">
            <v>TOWN OF MORRISVILLE</v>
          </cell>
          <cell r="C845">
            <v>1.6375999999999999E-3</v>
          </cell>
          <cell r="D845"/>
          <cell r="E845">
            <v>-25227</v>
          </cell>
          <cell r="F845">
            <v>-25227</v>
          </cell>
          <cell r="G845">
            <v>-25227</v>
          </cell>
          <cell r="H845">
            <v>-25229</v>
          </cell>
          <cell r="I845">
            <v>0</v>
          </cell>
        </row>
        <row r="846">
          <cell r="A846">
            <v>99207</v>
          </cell>
          <cell r="B846" t="str">
            <v>HOUSING AUTHORITY OF THE COUNTY OF WAKE</v>
          </cell>
          <cell r="C846">
            <v>1.206E-4</v>
          </cell>
          <cell r="D846"/>
          <cell r="E846">
            <v>0</v>
          </cell>
          <cell r="F846">
            <v>0</v>
          </cell>
          <cell r="G846">
            <v>0</v>
          </cell>
          <cell r="H846">
            <v>0</v>
          </cell>
          <cell r="I846">
            <v>0</v>
          </cell>
        </row>
        <row r="847">
          <cell r="A847">
            <v>99208</v>
          </cell>
          <cell r="B847" t="str">
            <v>BAYLEAF FIRE DEPARTMENT</v>
          </cell>
          <cell r="C847">
            <v>3.0939999999999999E-4</v>
          </cell>
          <cell r="D847"/>
          <cell r="E847">
            <v>-6881</v>
          </cell>
          <cell r="F847">
            <v>-309</v>
          </cell>
          <cell r="G847">
            <v>0</v>
          </cell>
          <cell r="H847">
            <v>0</v>
          </cell>
          <cell r="I847">
            <v>0</v>
          </cell>
        </row>
        <row r="848">
          <cell r="A848">
            <v>99210</v>
          </cell>
          <cell r="B848" t="str">
            <v>ELECTRICITIES OF NC</v>
          </cell>
          <cell r="C848">
            <v>1.7913E-3</v>
          </cell>
          <cell r="D848"/>
          <cell r="E848">
            <v>0</v>
          </cell>
          <cell r="F848">
            <v>0</v>
          </cell>
          <cell r="G848">
            <v>0</v>
          </cell>
          <cell r="H848">
            <v>0</v>
          </cell>
          <cell r="I848">
            <v>0</v>
          </cell>
        </row>
        <row r="849">
          <cell r="A849">
            <v>99211</v>
          </cell>
          <cell r="B849" t="str">
            <v>CITY OF RALEIGH</v>
          </cell>
          <cell r="C849">
            <v>3.8786099999999997E-2</v>
          </cell>
          <cell r="D849"/>
          <cell r="E849">
            <v>-568808</v>
          </cell>
          <cell r="F849">
            <v>-371736</v>
          </cell>
          <cell r="G849">
            <v>-166811</v>
          </cell>
          <cell r="H849">
            <v>-166810</v>
          </cell>
          <cell r="I849">
            <v>0</v>
          </cell>
        </row>
        <row r="850">
          <cell r="A850">
            <v>99212</v>
          </cell>
          <cell r="B850" t="str">
            <v>DURHAM HWY FIRE PROTECTION ASSOC</v>
          </cell>
          <cell r="C850">
            <v>6.7999999999999999E-5</v>
          </cell>
          <cell r="D850"/>
          <cell r="E850">
            <v>-10617</v>
          </cell>
          <cell r="F850">
            <v>-3457</v>
          </cell>
          <cell r="G850">
            <v>-3455</v>
          </cell>
          <cell r="H850">
            <v>-1152</v>
          </cell>
          <cell r="I850">
            <v>0</v>
          </cell>
        </row>
        <row r="851">
          <cell r="A851">
            <v>99213</v>
          </cell>
          <cell r="B851" t="str">
            <v>CITY OF RALEIGH HOUSING AUTHORITY</v>
          </cell>
          <cell r="C851">
            <v>6.7770000000000005E-4</v>
          </cell>
          <cell r="D851"/>
          <cell r="E851">
            <v>-28169</v>
          </cell>
          <cell r="F851">
            <v>-23966</v>
          </cell>
          <cell r="G851">
            <v>-16383</v>
          </cell>
          <cell r="H851">
            <v>-16385</v>
          </cell>
          <cell r="I851">
            <v>0</v>
          </cell>
        </row>
        <row r="852">
          <cell r="A852">
            <v>99218</v>
          </cell>
          <cell r="B852" t="str">
            <v>RALEIGH-DURHAM AIRPORT AUTHORITY</v>
          </cell>
          <cell r="C852">
            <v>3.4424E-3</v>
          </cell>
          <cell r="D852"/>
          <cell r="E852">
            <v>0</v>
          </cell>
          <cell r="F852">
            <v>0</v>
          </cell>
          <cell r="G852">
            <v>0</v>
          </cell>
          <cell r="H852">
            <v>0</v>
          </cell>
          <cell r="I852">
            <v>0</v>
          </cell>
        </row>
        <row r="853">
          <cell r="A853">
            <v>99221</v>
          </cell>
          <cell r="B853" t="str">
            <v>TOWN OF CARY</v>
          </cell>
          <cell r="C853">
            <v>1.26739E-2</v>
          </cell>
          <cell r="D853"/>
          <cell r="E853">
            <v>-221756</v>
          </cell>
          <cell r="F853">
            <v>-115929</v>
          </cell>
          <cell r="G853">
            <v>-64710</v>
          </cell>
          <cell r="H853">
            <v>-24176</v>
          </cell>
          <cell r="I853">
            <v>0</v>
          </cell>
        </row>
        <row r="854">
          <cell r="A854">
            <v>99222</v>
          </cell>
          <cell r="B854" t="str">
            <v>CENTENNIAL AUTHORITY</v>
          </cell>
          <cell r="C854">
            <v>3.5599999999999998E-5</v>
          </cell>
          <cell r="D854"/>
          <cell r="E854">
            <v>-2190</v>
          </cell>
          <cell r="F854">
            <v>-1919</v>
          </cell>
          <cell r="G854">
            <v>-1251</v>
          </cell>
          <cell r="H854">
            <v>-583</v>
          </cell>
          <cell r="I854">
            <v>0</v>
          </cell>
        </row>
        <row r="855">
          <cell r="A855">
            <v>99231</v>
          </cell>
          <cell r="B855" t="str">
            <v>TOWN OF WENDELL</v>
          </cell>
          <cell r="C855">
            <v>3.5159999999999998E-4</v>
          </cell>
          <cell r="D855"/>
          <cell r="E855">
            <v>-10485</v>
          </cell>
          <cell r="F855">
            <v>-8954</v>
          </cell>
          <cell r="G855">
            <v>-5041</v>
          </cell>
          <cell r="H855">
            <v>-2100</v>
          </cell>
          <cell r="I855">
            <v>0</v>
          </cell>
        </row>
        <row r="856">
          <cell r="A856">
            <v>99241</v>
          </cell>
          <cell r="B856" t="str">
            <v>TOWN OF ZEBULON</v>
          </cell>
          <cell r="C856">
            <v>5.6070000000000002E-4</v>
          </cell>
          <cell r="D856"/>
          <cell r="E856">
            <v>-21029</v>
          </cell>
          <cell r="F856">
            <v>-11213</v>
          </cell>
          <cell r="G856">
            <v>-4430</v>
          </cell>
          <cell r="H856">
            <v>-1294</v>
          </cell>
          <cell r="I856">
            <v>0</v>
          </cell>
        </row>
        <row r="857">
          <cell r="A857">
            <v>99251</v>
          </cell>
          <cell r="B857" t="str">
            <v>TOWN OF GARNER</v>
          </cell>
          <cell r="C857">
            <v>1.6358E-3</v>
          </cell>
          <cell r="D857"/>
          <cell r="E857">
            <v>-9956</v>
          </cell>
          <cell r="F857">
            <v>-9956</v>
          </cell>
          <cell r="G857">
            <v>-3921</v>
          </cell>
          <cell r="H857">
            <v>0</v>
          </cell>
          <cell r="I857">
            <v>0</v>
          </cell>
        </row>
        <row r="858">
          <cell r="A858">
            <v>99252</v>
          </cell>
          <cell r="B858" t="str">
            <v>GARNER FIRE DEPT</v>
          </cell>
          <cell r="C858">
            <v>6.6200000000000005E-4</v>
          </cell>
          <cell r="D858"/>
          <cell r="E858">
            <v>-68291</v>
          </cell>
          <cell r="F858">
            <v>-37792</v>
          </cell>
          <cell r="G858">
            <v>-29022</v>
          </cell>
          <cell r="H858">
            <v>-21406</v>
          </cell>
          <cell r="I858">
            <v>0</v>
          </cell>
        </row>
        <row r="859">
          <cell r="A859">
            <v>99261</v>
          </cell>
          <cell r="B859" t="str">
            <v>TOWN OF FUQUAY-VARINA</v>
          </cell>
          <cell r="C859">
            <v>2.2407E-3</v>
          </cell>
          <cell r="D859"/>
          <cell r="E859">
            <v>-32800</v>
          </cell>
          <cell r="F859">
            <v>-13678</v>
          </cell>
          <cell r="G859">
            <v>-5671</v>
          </cell>
          <cell r="H859">
            <v>0</v>
          </cell>
          <cell r="I859">
            <v>0</v>
          </cell>
        </row>
        <row r="860">
          <cell r="A860">
            <v>99271</v>
          </cell>
          <cell r="B860" t="str">
            <v>TOWN OF APEX</v>
          </cell>
          <cell r="C860">
            <v>4.2773000000000004E-3</v>
          </cell>
          <cell r="D860"/>
          <cell r="E860">
            <v>-52769</v>
          </cell>
          <cell r="F860">
            <v>-24380</v>
          </cell>
          <cell r="G860">
            <v>-21093</v>
          </cell>
          <cell r="H860">
            <v>-21091</v>
          </cell>
          <cell r="I860">
            <v>0</v>
          </cell>
        </row>
        <row r="861">
          <cell r="A861">
            <v>99281</v>
          </cell>
          <cell r="B861" t="str">
            <v>TOWN OF WAKE FOREST</v>
          </cell>
          <cell r="C861">
            <v>2.4237E-3</v>
          </cell>
          <cell r="D861"/>
          <cell r="E861">
            <v>-30444</v>
          </cell>
          <cell r="F861">
            <v>-11899</v>
          </cell>
          <cell r="G861">
            <v>-11</v>
          </cell>
          <cell r="H861">
            <v>-13</v>
          </cell>
          <cell r="I861">
            <v>0</v>
          </cell>
        </row>
        <row r="862">
          <cell r="A862">
            <v>99291</v>
          </cell>
          <cell r="B862" t="str">
            <v>TOWN OF KNIGHTDALE</v>
          </cell>
          <cell r="C862">
            <v>8.4909999999999998E-4</v>
          </cell>
          <cell r="D862"/>
          <cell r="E862">
            <v>-35703</v>
          </cell>
          <cell r="F862">
            <v>-22531</v>
          </cell>
          <cell r="G862">
            <v>-8660</v>
          </cell>
          <cell r="H862">
            <v>-8661</v>
          </cell>
          <cell r="I862">
            <v>0</v>
          </cell>
        </row>
        <row r="863">
          <cell r="A863">
            <v>99301</v>
          </cell>
          <cell r="B863" t="str">
            <v>WARREN COUNTY</v>
          </cell>
          <cell r="C863">
            <v>1.6092999999999999E-3</v>
          </cell>
          <cell r="D863"/>
          <cell r="E863">
            <v>-57003</v>
          </cell>
          <cell r="F863">
            <v>-56790</v>
          </cell>
          <cell r="G863">
            <v>-40701</v>
          </cell>
          <cell r="H863">
            <v>-25317</v>
          </cell>
          <cell r="I863">
            <v>0</v>
          </cell>
        </row>
        <row r="864">
          <cell r="A864">
            <v>99304</v>
          </cell>
          <cell r="B864" t="str">
            <v>WARREN COUNTY ABC BOARD</v>
          </cell>
          <cell r="C864">
            <v>7.6000000000000001E-6</v>
          </cell>
          <cell r="D864"/>
          <cell r="E864">
            <v>0</v>
          </cell>
          <cell r="F864">
            <v>0</v>
          </cell>
          <cell r="G864">
            <v>0</v>
          </cell>
          <cell r="H864">
            <v>0</v>
          </cell>
          <cell r="I864">
            <v>0</v>
          </cell>
        </row>
        <row r="865">
          <cell r="A865">
            <v>99311</v>
          </cell>
          <cell r="B865" t="str">
            <v>TOWN OF NORLINA</v>
          </cell>
          <cell r="C865">
            <v>5.9700000000000001E-5</v>
          </cell>
          <cell r="D865"/>
          <cell r="E865">
            <v>-2519</v>
          </cell>
          <cell r="F865">
            <v>-1523</v>
          </cell>
          <cell r="G865">
            <v>-1058</v>
          </cell>
          <cell r="H865">
            <v>-1059</v>
          </cell>
          <cell r="I865">
            <v>0</v>
          </cell>
        </row>
        <row r="866">
          <cell r="A866">
            <v>99321</v>
          </cell>
          <cell r="B866" t="str">
            <v>TOWN OF WARRENTON</v>
          </cell>
          <cell r="C866">
            <v>8.6399999999999999E-5</v>
          </cell>
          <cell r="D866"/>
          <cell r="E866">
            <v>0</v>
          </cell>
          <cell r="F866">
            <v>0</v>
          </cell>
          <cell r="G866">
            <v>0</v>
          </cell>
          <cell r="H866">
            <v>0</v>
          </cell>
          <cell r="I866">
            <v>0</v>
          </cell>
        </row>
        <row r="867">
          <cell r="A867">
            <v>99401</v>
          </cell>
          <cell r="B867" t="str">
            <v>WASHINGTON COUNTY</v>
          </cell>
          <cell r="C867">
            <v>7.7590000000000005E-4</v>
          </cell>
          <cell r="D867"/>
          <cell r="E867">
            <v>-26128</v>
          </cell>
          <cell r="F867">
            <v>-26129</v>
          </cell>
          <cell r="G867">
            <v>-21729</v>
          </cell>
          <cell r="H867">
            <v>-7163</v>
          </cell>
          <cell r="I867">
            <v>0</v>
          </cell>
        </row>
        <row r="868">
          <cell r="A868">
            <v>99404</v>
          </cell>
          <cell r="B868" t="str">
            <v>WASHINGTON COUNTY ABC BOARD</v>
          </cell>
          <cell r="C868">
            <v>8.4999999999999999E-6</v>
          </cell>
          <cell r="D868"/>
          <cell r="E868">
            <v>0</v>
          </cell>
          <cell r="F868">
            <v>0</v>
          </cell>
          <cell r="G868">
            <v>0</v>
          </cell>
          <cell r="H868">
            <v>0</v>
          </cell>
          <cell r="I868">
            <v>0</v>
          </cell>
        </row>
        <row r="869">
          <cell r="A869">
            <v>99405</v>
          </cell>
          <cell r="B869" t="str">
            <v>PETTIGREW REGIONAL LIBRARY</v>
          </cell>
          <cell r="C869">
            <v>5.9799999999999997E-5</v>
          </cell>
          <cell r="D869"/>
          <cell r="E869">
            <v>0</v>
          </cell>
          <cell r="F869">
            <v>0</v>
          </cell>
          <cell r="G869">
            <v>0</v>
          </cell>
          <cell r="H869">
            <v>0</v>
          </cell>
          <cell r="I869">
            <v>0</v>
          </cell>
        </row>
        <row r="870">
          <cell r="A870">
            <v>99411</v>
          </cell>
          <cell r="B870" t="str">
            <v>TOWN OF PLYMOUTH</v>
          </cell>
          <cell r="C870">
            <v>1.7139999999999999E-4</v>
          </cell>
          <cell r="D870"/>
          <cell r="E870">
            <v>0</v>
          </cell>
          <cell r="F870">
            <v>0</v>
          </cell>
          <cell r="G870">
            <v>0</v>
          </cell>
          <cell r="H870">
            <v>0</v>
          </cell>
          <cell r="I870">
            <v>0</v>
          </cell>
        </row>
        <row r="871">
          <cell r="A871">
            <v>99413</v>
          </cell>
          <cell r="B871" t="str">
            <v>PLYMOUTH HOUSING AUTHORITY</v>
          </cell>
          <cell r="C871">
            <v>2.0400000000000001E-5</v>
          </cell>
          <cell r="D871"/>
          <cell r="E871">
            <v>-1488</v>
          </cell>
          <cell r="F871">
            <v>-855</v>
          </cell>
          <cell r="G871">
            <v>-853</v>
          </cell>
          <cell r="H871">
            <v>0</v>
          </cell>
          <cell r="I871">
            <v>0</v>
          </cell>
        </row>
        <row r="872">
          <cell r="A872">
            <v>99421</v>
          </cell>
          <cell r="B872" t="str">
            <v>TOWN OF ROPER</v>
          </cell>
          <cell r="C872">
            <v>1.3499999999999999E-5</v>
          </cell>
          <cell r="D872"/>
          <cell r="E872">
            <v>-1270</v>
          </cell>
          <cell r="F872">
            <v>-482</v>
          </cell>
          <cell r="G872">
            <v>0</v>
          </cell>
          <cell r="H872">
            <v>0</v>
          </cell>
          <cell r="I872">
            <v>0</v>
          </cell>
        </row>
        <row r="873">
          <cell r="A873">
            <v>99431</v>
          </cell>
          <cell r="B873" t="str">
            <v>TOWN OF CRESWELL</v>
          </cell>
          <cell r="C873">
            <v>1.4800000000000001E-5</v>
          </cell>
          <cell r="D873"/>
          <cell r="E873">
            <v>-2697</v>
          </cell>
          <cell r="F873">
            <v>-2421</v>
          </cell>
          <cell r="G873">
            <v>-2001</v>
          </cell>
          <cell r="H873">
            <v>-1461</v>
          </cell>
          <cell r="I873">
            <v>0</v>
          </cell>
        </row>
        <row r="874">
          <cell r="A874">
            <v>99501</v>
          </cell>
          <cell r="B874" t="str">
            <v>WATAUGA COUNTY</v>
          </cell>
          <cell r="C874">
            <v>1.6478E-3</v>
          </cell>
          <cell r="D874"/>
          <cell r="E874">
            <v>-5376</v>
          </cell>
          <cell r="F874">
            <v>-5377</v>
          </cell>
          <cell r="G874">
            <v>0</v>
          </cell>
          <cell r="H874">
            <v>0</v>
          </cell>
          <cell r="I874">
            <v>0</v>
          </cell>
        </row>
        <row r="875">
          <cell r="A875">
            <v>99502</v>
          </cell>
          <cell r="B875" t="str">
            <v>REGION D COUNCIL OF GOVERNMENTS</v>
          </cell>
          <cell r="C875">
            <v>1.4459999999999999E-4</v>
          </cell>
          <cell r="D875"/>
          <cell r="E875">
            <v>-3244</v>
          </cell>
          <cell r="F875">
            <v>-3244</v>
          </cell>
          <cell r="G875">
            <v>-3244</v>
          </cell>
          <cell r="H875">
            <v>-3243</v>
          </cell>
          <cell r="I875">
            <v>0</v>
          </cell>
        </row>
        <row r="876">
          <cell r="A876">
            <v>99508</v>
          </cell>
          <cell r="B876" t="str">
            <v>BLOWING ROCK TOURISM DEVELOPMENT AUTHORITY</v>
          </cell>
          <cell r="C876">
            <v>2.0999999999999999E-5</v>
          </cell>
          <cell r="D876"/>
          <cell r="E876">
            <v>-341</v>
          </cell>
          <cell r="F876">
            <v>-136</v>
          </cell>
          <cell r="G876">
            <v>-134</v>
          </cell>
          <cell r="H876">
            <v>-72</v>
          </cell>
          <cell r="I876">
            <v>0</v>
          </cell>
        </row>
        <row r="877">
          <cell r="A877">
            <v>99509</v>
          </cell>
          <cell r="B877" t="str">
            <v>WATAUGA COUNTY DISTRICT U TDA</v>
          </cell>
          <cell r="C877">
            <v>2.5199999999999999E-5</v>
          </cell>
          <cell r="D877"/>
          <cell r="E877">
            <v>-1264</v>
          </cell>
          <cell r="F877">
            <v>-1022</v>
          </cell>
          <cell r="G877">
            <v>-552</v>
          </cell>
          <cell r="H877">
            <v>-179</v>
          </cell>
          <cell r="I877">
            <v>0</v>
          </cell>
        </row>
        <row r="878">
          <cell r="A878">
            <v>99511</v>
          </cell>
          <cell r="B878" t="str">
            <v>TOWN OF BOONE</v>
          </cell>
          <cell r="C878">
            <v>1.3293999999999999E-3</v>
          </cell>
          <cell r="D878"/>
          <cell r="E878">
            <v>-56876</v>
          </cell>
          <cell r="F878">
            <v>-41223</v>
          </cell>
          <cell r="G878">
            <v>-35062</v>
          </cell>
          <cell r="H878">
            <v>-14544</v>
          </cell>
          <cell r="I878">
            <v>0</v>
          </cell>
        </row>
        <row r="879">
          <cell r="A879">
            <v>99521</v>
          </cell>
          <cell r="B879" t="str">
            <v>TOWN OF BLOWING ROCK</v>
          </cell>
          <cell r="C879">
            <v>4.8200000000000001E-4</v>
          </cell>
          <cell r="D879"/>
          <cell r="E879">
            <v>-13495</v>
          </cell>
          <cell r="F879">
            <v>-9846</v>
          </cell>
          <cell r="G879">
            <v>-9846</v>
          </cell>
          <cell r="H879">
            <v>-9848</v>
          </cell>
          <cell r="I879">
            <v>0</v>
          </cell>
        </row>
        <row r="880">
          <cell r="A880">
            <v>99527</v>
          </cell>
          <cell r="B880" t="str">
            <v>BLOWING ROCK ABC BD</v>
          </cell>
          <cell r="C880">
            <v>1.1E-5</v>
          </cell>
          <cell r="D880"/>
          <cell r="E880">
            <v>0</v>
          </cell>
          <cell r="F880">
            <v>0</v>
          </cell>
          <cell r="G880">
            <v>0</v>
          </cell>
          <cell r="H880">
            <v>0</v>
          </cell>
          <cell r="I880">
            <v>0</v>
          </cell>
        </row>
        <row r="881">
          <cell r="A881">
            <v>99531</v>
          </cell>
          <cell r="B881" t="str">
            <v>TOWN OF SEVEN DEVILS</v>
          </cell>
          <cell r="C881">
            <v>8.6299999999999997E-5</v>
          </cell>
          <cell r="D881"/>
          <cell r="E881">
            <v>0</v>
          </cell>
          <cell r="F881">
            <v>0</v>
          </cell>
          <cell r="G881">
            <v>0</v>
          </cell>
          <cell r="H881">
            <v>0</v>
          </cell>
          <cell r="I881">
            <v>0</v>
          </cell>
        </row>
        <row r="882">
          <cell r="A882">
            <v>99601</v>
          </cell>
          <cell r="B882" t="str">
            <v>WAYNE COUNTY</v>
          </cell>
          <cell r="C882">
            <v>5.9021999999999998E-3</v>
          </cell>
          <cell r="D882"/>
          <cell r="E882">
            <v>-70904</v>
          </cell>
          <cell r="F882">
            <v>-50446</v>
          </cell>
          <cell r="G882">
            <v>-50446</v>
          </cell>
          <cell r="H882">
            <v>-50447</v>
          </cell>
          <cell r="I882">
            <v>0</v>
          </cell>
        </row>
        <row r="883">
          <cell r="A883">
            <v>99602</v>
          </cell>
          <cell r="B883" t="str">
            <v>FORK TOWNSHIP SANITARY DIST</v>
          </cell>
          <cell r="C883">
            <v>6.1500000000000004E-5</v>
          </cell>
          <cell r="D883"/>
          <cell r="E883">
            <v>-1045</v>
          </cell>
          <cell r="F883">
            <v>-1045</v>
          </cell>
          <cell r="G883">
            <v>-1047</v>
          </cell>
          <cell r="H883">
            <v>-941</v>
          </cell>
          <cell r="I883">
            <v>0</v>
          </cell>
        </row>
        <row r="884">
          <cell r="A884">
            <v>99603</v>
          </cell>
          <cell r="B884" t="str">
            <v>EASTERN CAROLINA REG'L HOUSING AUTH</v>
          </cell>
          <cell r="C884">
            <v>1.5540000000000001E-4</v>
          </cell>
          <cell r="D884"/>
          <cell r="E884">
            <v>-1905</v>
          </cell>
          <cell r="F884">
            <v>-1905</v>
          </cell>
          <cell r="G884">
            <v>-1905</v>
          </cell>
          <cell r="H884">
            <v>-1904</v>
          </cell>
          <cell r="I884">
            <v>0</v>
          </cell>
        </row>
        <row r="885">
          <cell r="A885">
            <v>99604</v>
          </cell>
          <cell r="B885" t="str">
            <v>WAYNE COUNTY ABC BOARD</v>
          </cell>
          <cell r="C885">
            <v>9.1100000000000005E-5</v>
          </cell>
          <cell r="D885"/>
          <cell r="E885">
            <v>0</v>
          </cell>
          <cell r="F885">
            <v>0</v>
          </cell>
          <cell r="G885">
            <v>0</v>
          </cell>
          <cell r="H885">
            <v>0</v>
          </cell>
          <cell r="I885">
            <v>0</v>
          </cell>
        </row>
        <row r="886">
          <cell r="A886">
            <v>99609</v>
          </cell>
          <cell r="B886" t="str">
            <v>SOUTHERN WAYNE SANITARY DISTRICT</v>
          </cell>
          <cell r="C886">
            <v>2.8799999999999999E-5</v>
          </cell>
          <cell r="D886"/>
          <cell r="E886">
            <v>-381</v>
          </cell>
          <cell r="F886">
            <v>-380</v>
          </cell>
          <cell r="G886">
            <v>0</v>
          </cell>
          <cell r="H886">
            <v>0</v>
          </cell>
          <cell r="I886">
            <v>0</v>
          </cell>
        </row>
        <row r="887">
          <cell r="A887">
            <v>99610</v>
          </cell>
          <cell r="B887" t="str">
            <v>EASTERN WAYNE SANITARY DIST</v>
          </cell>
          <cell r="C887">
            <v>1.683E-4</v>
          </cell>
          <cell r="D887"/>
          <cell r="E887">
            <v>-4551</v>
          </cell>
          <cell r="F887">
            <v>-4552</v>
          </cell>
          <cell r="G887">
            <v>-3720</v>
          </cell>
          <cell r="H887">
            <v>-2422</v>
          </cell>
          <cell r="I887">
            <v>0</v>
          </cell>
        </row>
        <row r="888">
          <cell r="A888">
            <v>99611</v>
          </cell>
          <cell r="B888" t="str">
            <v>CITY OF GOLDSBORO</v>
          </cell>
          <cell r="C888">
            <v>3.2022000000000001E-3</v>
          </cell>
          <cell r="D888"/>
          <cell r="E888">
            <v>-66385</v>
          </cell>
          <cell r="F888">
            <v>-26870</v>
          </cell>
          <cell r="G888">
            <v>-26870</v>
          </cell>
          <cell r="H888">
            <v>-26870</v>
          </cell>
          <cell r="I888">
            <v>0</v>
          </cell>
        </row>
        <row r="889">
          <cell r="A889">
            <v>99613</v>
          </cell>
          <cell r="B889" t="str">
            <v>HOUSING AUTHORITY OF GOLDSBORO</v>
          </cell>
          <cell r="C889">
            <v>3.3720000000000001E-4</v>
          </cell>
          <cell r="D889"/>
          <cell r="E889">
            <v>-3599</v>
          </cell>
          <cell r="F889">
            <v>-3599</v>
          </cell>
          <cell r="G889">
            <v>-3599</v>
          </cell>
          <cell r="H889">
            <v>-3597</v>
          </cell>
          <cell r="I889">
            <v>0</v>
          </cell>
        </row>
        <row r="890">
          <cell r="A890">
            <v>99621</v>
          </cell>
          <cell r="B890" t="str">
            <v>TOWN OF MOUNT OLIVE</v>
          </cell>
          <cell r="C890">
            <v>3.5530000000000002E-4</v>
          </cell>
          <cell r="D890"/>
          <cell r="E890">
            <v>-6013</v>
          </cell>
          <cell r="F890">
            <v>-6013</v>
          </cell>
          <cell r="G890">
            <v>-6015</v>
          </cell>
          <cell r="H890">
            <v>-5582</v>
          </cell>
          <cell r="I890">
            <v>0</v>
          </cell>
        </row>
        <row r="891">
          <cell r="A891">
            <v>99623</v>
          </cell>
          <cell r="B891" t="str">
            <v>MT OLIVE HOUSING AUTHORITY</v>
          </cell>
          <cell r="C891">
            <v>1.08E-5</v>
          </cell>
          <cell r="D891"/>
          <cell r="E891">
            <v>-5515</v>
          </cell>
          <cell r="F891">
            <v>-5514</v>
          </cell>
          <cell r="G891">
            <v>-4842</v>
          </cell>
          <cell r="H891">
            <v>-4833</v>
          </cell>
          <cell r="I891">
            <v>0</v>
          </cell>
        </row>
        <row r="892">
          <cell r="A892">
            <v>99631</v>
          </cell>
          <cell r="B892" t="str">
            <v>TOWN OF FREMONT</v>
          </cell>
          <cell r="C892">
            <v>1.078E-4</v>
          </cell>
          <cell r="D892"/>
          <cell r="E892">
            <v>-3074</v>
          </cell>
          <cell r="F892">
            <v>-2792</v>
          </cell>
          <cell r="G892">
            <v>-2790</v>
          </cell>
          <cell r="H892">
            <v>-2410</v>
          </cell>
          <cell r="I892">
            <v>0</v>
          </cell>
        </row>
        <row r="893">
          <cell r="A893">
            <v>99651</v>
          </cell>
          <cell r="B893" t="str">
            <v>TOWN OF PIKEVILLE</v>
          </cell>
          <cell r="C893">
            <v>6.5300000000000002E-5</v>
          </cell>
          <cell r="D893"/>
          <cell r="E893">
            <v>-1661</v>
          </cell>
          <cell r="F893">
            <v>-1661</v>
          </cell>
          <cell r="G893">
            <v>-1556</v>
          </cell>
          <cell r="H893">
            <v>0</v>
          </cell>
          <cell r="I893">
            <v>0</v>
          </cell>
        </row>
        <row r="894">
          <cell r="A894">
            <v>99661</v>
          </cell>
          <cell r="B894" t="str">
            <v>VILLAGE OF WALNUT CREEK</v>
          </cell>
          <cell r="C894">
            <v>3.4799999999999999E-5</v>
          </cell>
          <cell r="D894"/>
          <cell r="E894">
            <v>0</v>
          </cell>
          <cell r="F894">
            <v>0</v>
          </cell>
          <cell r="G894">
            <v>0</v>
          </cell>
          <cell r="H894">
            <v>0</v>
          </cell>
          <cell r="I894">
            <v>0</v>
          </cell>
        </row>
        <row r="895">
          <cell r="A895">
            <v>99701</v>
          </cell>
          <cell r="B895" t="str">
            <v>WILKES COUNTY</v>
          </cell>
          <cell r="C895">
            <v>2.9930999999999998E-3</v>
          </cell>
          <cell r="D895"/>
          <cell r="E895">
            <v>-9023</v>
          </cell>
          <cell r="F895">
            <v>-9023</v>
          </cell>
          <cell r="G895">
            <v>-7058</v>
          </cell>
          <cell r="H895">
            <v>-3411</v>
          </cell>
          <cell r="I895">
            <v>0</v>
          </cell>
        </row>
        <row r="896">
          <cell r="A896">
            <v>99705</v>
          </cell>
          <cell r="B896" t="str">
            <v>APPALACHIAN REGIONAL LIBRARY</v>
          </cell>
          <cell r="C896">
            <v>1.5530000000000001E-4</v>
          </cell>
          <cell r="D896"/>
          <cell r="E896">
            <v>0</v>
          </cell>
          <cell r="F896">
            <v>0</v>
          </cell>
          <cell r="G896">
            <v>0</v>
          </cell>
          <cell r="H896">
            <v>0</v>
          </cell>
          <cell r="I896">
            <v>0</v>
          </cell>
        </row>
        <row r="897">
          <cell r="A897">
            <v>99711</v>
          </cell>
          <cell r="B897" t="str">
            <v>TOWN OF N WILKESBORO</v>
          </cell>
          <cell r="C897">
            <v>4.2489999999999997E-4</v>
          </cell>
          <cell r="D897"/>
          <cell r="E897">
            <v>-2851</v>
          </cell>
          <cell r="F897">
            <v>-2145</v>
          </cell>
          <cell r="G897">
            <v>-2143</v>
          </cell>
          <cell r="H897">
            <v>-2110</v>
          </cell>
          <cell r="I897">
            <v>0</v>
          </cell>
        </row>
        <row r="898">
          <cell r="A898">
            <v>99717</v>
          </cell>
          <cell r="B898" t="str">
            <v>TOWN OF N WILKESBORO ABC BOARD</v>
          </cell>
          <cell r="C898">
            <v>2.6599999999999999E-5</v>
          </cell>
          <cell r="D898"/>
          <cell r="E898">
            <v>-1216</v>
          </cell>
          <cell r="F898">
            <v>-973</v>
          </cell>
          <cell r="G898">
            <v>-355</v>
          </cell>
          <cell r="H898">
            <v>0</v>
          </cell>
          <cell r="I898">
            <v>0</v>
          </cell>
        </row>
        <row r="899">
          <cell r="A899">
            <v>99721</v>
          </cell>
          <cell r="B899" t="str">
            <v>TOWN OF WILKESBORO</v>
          </cell>
          <cell r="C899">
            <v>6.1160000000000001E-4</v>
          </cell>
          <cell r="D899"/>
          <cell r="E899">
            <v>-13378</v>
          </cell>
          <cell r="F899">
            <v>-11812</v>
          </cell>
          <cell r="G899">
            <v>-1478</v>
          </cell>
          <cell r="H899">
            <v>0</v>
          </cell>
          <cell r="I899">
            <v>0</v>
          </cell>
        </row>
        <row r="900">
          <cell r="A900">
            <v>99727</v>
          </cell>
          <cell r="B900" t="str">
            <v>WILKESBORO ABC BOARD</v>
          </cell>
          <cell r="C900">
            <v>1.98E-5</v>
          </cell>
          <cell r="D900"/>
          <cell r="E900">
            <v>0</v>
          </cell>
          <cell r="F900">
            <v>0</v>
          </cell>
          <cell r="G900">
            <v>0</v>
          </cell>
          <cell r="H900">
            <v>0</v>
          </cell>
          <cell r="I900">
            <v>0</v>
          </cell>
        </row>
        <row r="901">
          <cell r="A901">
            <v>99801</v>
          </cell>
          <cell r="B901" t="str">
            <v>WILSON COUNTY</v>
          </cell>
          <cell r="C901">
            <v>4.7737999999999999E-3</v>
          </cell>
          <cell r="D901"/>
          <cell r="E901">
            <v>-156640</v>
          </cell>
          <cell r="F901">
            <v>-149497</v>
          </cell>
          <cell r="G901">
            <v>-123679</v>
          </cell>
          <cell r="H901">
            <v>-63634</v>
          </cell>
          <cell r="I901">
            <v>0</v>
          </cell>
        </row>
        <row r="902">
          <cell r="A902">
            <v>99802</v>
          </cell>
          <cell r="B902" t="str">
            <v>WILSON COUNTY TOURISM DEVELOPMENT AUTH</v>
          </cell>
          <cell r="C902">
            <v>1.1600000000000001E-5</v>
          </cell>
          <cell r="D902"/>
          <cell r="E902">
            <v>0</v>
          </cell>
          <cell r="F902">
            <v>0</v>
          </cell>
          <cell r="G902">
            <v>0</v>
          </cell>
          <cell r="H902">
            <v>0</v>
          </cell>
          <cell r="I902">
            <v>0</v>
          </cell>
        </row>
        <row r="903">
          <cell r="A903">
            <v>99804</v>
          </cell>
          <cell r="B903" t="str">
            <v>WILSON COUNTY ABC BOARD</v>
          </cell>
          <cell r="C903">
            <v>7.2200000000000007E-5</v>
          </cell>
          <cell r="D903"/>
          <cell r="E903">
            <v>-32</v>
          </cell>
          <cell r="F903">
            <v>-32</v>
          </cell>
          <cell r="G903">
            <v>-33</v>
          </cell>
          <cell r="H903">
            <v>0</v>
          </cell>
          <cell r="I903">
            <v>0</v>
          </cell>
        </row>
        <row r="904">
          <cell r="A904">
            <v>99811</v>
          </cell>
          <cell r="B904" t="str">
            <v>CITY OF WILSON</v>
          </cell>
          <cell r="C904">
            <v>6.4218000000000001E-3</v>
          </cell>
          <cell r="D904"/>
          <cell r="E904">
            <v>-219760</v>
          </cell>
          <cell r="F904">
            <v>-161150</v>
          </cell>
          <cell r="G904">
            <v>-99334</v>
          </cell>
          <cell r="H904">
            <v>-38512</v>
          </cell>
          <cell r="I904">
            <v>0</v>
          </cell>
        </row>
        <row r="905">
          <cell r="A905">
            <v>99812</v>
          </cell>
          <cell r="B905" t="str">
            <v>WILSON ECONOMIC DEV COUNCIL</v>
          </cell>
          <cell r="C905">
            <v>1.88E-5</v>
          </cell>
          <cell r="D905"/>
          <cell r="E905">
            <v>0</v>
          </cell>
          <cell r="F905">
            <v>0</v>
          </cell>
          <cell r="G905">
            <v>0</v>
          </cell>
          <cell r="H905">
            <v>0</v>
          </cell>
          <cell r="I905">
            <v>0</v>
          </cell>
        </row>
        <row r="906">
          <cell r="A906">
            <v>99818</v>
          </cell>
          <cell r="B906" t="str">
            <v>CITY OF WILSON CEMETERY COMMISSION</v>
          </cell>
          <cell r="C906">
            <v>3.5599999999999998E-5</v>
          </cell>
          <cell r="D906"/>
          <cell r="E906">
            <v>-2234</v>
          </cell>
          <cell r="F906">
            <v>-1567</v>
          </cell>
          <cell r="G906">
            <v>-519</v>
          </cell>
          <cell r="H906">
            <v>-260</v>
          </cell>
          <cell r="I906">
            <v>0</v>
          </cell>
        </row>
        <row r="907">
          <cell r="A907">
            <v>99821</v>
          </cell>
          <cell r="B907" t="str">
            <v>TOWN OF STANTONSBURG</v>
          </cell>
          <cell r="C907">
            <v>9.8200000000000002E-5</v>
          </cell>
          <cell r="D907"/>
          <cell r="E907">
            <v>0</v>
          </cell>
          <cell r="F907">
            <v>0</v>
          </cell>
          <cell r="G907">
            <v>0</v>
          </cell>
          <cell r="H907">
            <v>0</v>
          </cell>
          <cell r="I907">
            <v>0</v>
          </cell>
        </row>
        <row r="908">
          <cell r="A908">
            <v>99831</v>
          </cell>
          <cell r="B908" t="str">
            <v>TOWN OF BLACK CREEK</v>
          </cell>
          <cell r="C908">
            <v>5.5399999999999998E-5</v>
          </cell>
          <cell r="D908"/>
          <cell r="E908">
            <v>-1800</v>
          </cell>
          <cell r="F908">
            <v>-1800</v>
          </cell>
          <cell r="G908">
            <v>-1800</v>
          </cell>
          <cell r="H908">
            <v>0</v>
          </cell>
          <cell r="I908">
            <v>0</v>
          </cell>
        </row>
        <row r="909">
          <cell r="A909">
            <v>99841</v>
          </cell>
          <cell r="B909" t="str">
            <v>TOWN OF LUCAMA</v>
          </cell>
          <cell r="C909">
            <v>1.59E-5</v>
          </cell>
          <cell r="D909"/>
          <cell r="E909">
            <v>-4626</v>
          </cell>
          <cell r="F909">
            <v>-4394</v>
          </cell>
          <cell r="G909">
            <v>-3841</v>
          </cell>
          <cell r="H909">
            <v>-2163</v>
          </cell>
          <cell r="I909">
            <v>0</v>
          </cell>
        </row>
        <row r="910">
          <cell r="A910">
            <v>99851</v>
          </cell>
          <cell r="B910" t="str">
            <v>TOWN OF ELM CITY</v>
          </cell>
          <cell r="C910">
            <v>7.9000000000000006E-6</v>
          </cell>
          <cell r="D910"/>
          <cell r="E910">
            <v>-4291</v>
          </cell>
          <cell r="F910">
            <v>-3988</v>
          </cell>
          <cell r="G910">
            <v>-3449</v>
          </cell>
          <cell r="H910">
            <v>-2963</v>
          </cell>
          <cell r="I910">
            <v>0</v>
          </cell>
        </row>
        <row r="911">
          <cell r="A911">
            <v>99901</v>
          </cell>
          <cell r="B911" t="str">
            <v>YADKIN COUNTY</v>
          </cell>
          <cell r="C911">
            <v>1.5942E-3</v>
          </cell>
          <cell r="D911"/>
          <cell r="E911">
            <v>-21461</v>
          </cell>
          <cell r="F911">
            <v>-21461</v>
          </cell>
          <cell r="G911">
            <v>-21462</v>
          </cell>
          <cell r="H911">
            <v>-1453</v>
          </cell>
          <cell r="I911">
            <v>0</v>
          </cell>
        </row>
        <row r="912">
          <cell r="A912">
            <v>99911</v>
          </cell>
          <cell r="B912" t="str">
            <v>TOWN OF YADKINVILLE</v>
          </cell>
          <cell r="C912">
            <v>2.219E-4</v>
          </cell>
          <cell r="D912"/>
          <cell r="E912">
            <v>-3978</v>
          </cell>
          <cell r="F912">
            <v>-1738</v>
          </cell>
          <cell r="G912">
            <v>-1739</v>
          </cell>
          <cell r="H912">
            <v>0</v>
          </cell>
          <cell r="I912">
            <v>0</v>
          </cell>
        </row>
        <row r="913">
          <cell r="A913">
            <v>99921</v>
          </cell>
          <cell r="B913" t="str">
            <v>TOWN OF JONESVILLE</v>
          </cell>
          <cell r="C913">
            <v>1.315E-4</v>
          </cell>
          <cell r="D913"/>
          <cell r="E913">
            <v>-5118</v>
          </cell>
          <cell r="F913">
            <v>-5118</v>
          </cell>
          <cell r="G913">
            <v>-4204</v>
          </cell>
          <cell r="H913">
            <v>0</v>
          </cell>
          <cell r="I913">
            <v>0</v>
          </cell>
        </row>
        <row r="914">
          <cell r="A914">
            <v>99931</v>
          </cell>
          <cell r="B914" t="str">
            <v>TOWN OF EAST BEND</v>
          </cell>
          <cell r="C914">
            <v>2.1699999999999999E-5</v>
          </cell>
          <cell r="D914"/>
          <cell r="E914">
            <v>-1506</v>
          </cell>
          <cell r="F914">
            <v>-1235</v>
          </cell>
          <cell r="G914">
            <v>0</v>
          </cell>
          <cell r="H914">
            <v>0</v>
          </cell>
          <cell r="I914">
            <v>0</v>
          </cell>
        </row>
        <row r="915">
          <cell r="A915">
            <v>99941</v>
          </cell>
          <cell r="B915" t="str">
            <v>TOWN OF BOONVILLE</v>
          </cell>
          <cell r="C915">
            <v>7.7399999999999998E-5</v>
          </cell>
          <cell r="D915"/>
          <cell r="E915">
            <v>-4280</v>
          </cell>
          <cell r="F915">
            <v>-2366</v>
          </cell>
          <cell r="G915">
            <v>-1507</v>
          </cell>
          <cell r="H915">
            <v>-1004</v>
          </cell>
          <cell r="I915">
            <v>0</v>
          </cell>
        </row>
        <row r="916">
          <cell r="A916">
            <v>99991</v>
          </cell>
          <cell r="B916" t="str">
            <v>N C ASSOC OF CO COMMISSIONERS</v>
          </cell>
          <cell r="C916">
            <v>5.0869999999999995E-4</v>
          </cell>
          <cell r="D916"/>
          <cell r="E916">
            <v>-12443</v>
          </cell>
          <cell r="F916">
            <v>-12445</v>
          </cell>
          <cell r="G916">
            <v>-5390</v>
          </cell>
          <cell r="H916">
            <v>-3776</v>
          </cell>
          <cell r="I916">
            <v>0</v>
          </cell>
        </row>
        <row r="917">
          <cell r="A917">
            <v>99999</v>
          </cell>
          <cell r="B917" t="str">
            <v>N C LEAGUE OF MUNICIPALITIES</v>
          </cell>
          <cell r="C917">
            <v>1.0093000000000001E-3</v>
          </cell>
          <cell r="D917"/>
          <cell r="E917">
            <v>-1142</v>
          </cell>
          <cell r="F917">
            <v>-1141</v>
          </cell>
          <cell r="G917">
            <v>0</v>
          </cell>
          <cell r="H917">
            <v>0</v>
          </cell>
          <cell r="I917">
            <v>0</v>
          </cell>
        </row>
      </sheetData>
      <sheetData sheetId="11">
        <row r="4">
          <cell r="A4">
            <v>70505</v>
          </cell>
          <cell r="B4" t="str">
            <v>THE EASTERN BAND OF CHEROKEE INDIANS</v>
          </cell>
          <cell r="C4">
            <v>3.2890000000000003E-4</v>
          </cell>
          <cell r="D4"/>
          <cell r="E4">
            <v>136815</v>
          </cell>
          <cell r="F4">
            <v>31143</v>
          </cell>
          <cell r="G4">
            <v>76581</v>
          </cell>
          <cell r="H4">
            <v>19001</v>
          </cell>
          <cell r="I4">
            <v>0</v>
          </cell>
        </row>
        <row r="5">
          <cell r="A5">
            <v>71786</v>
          </cell>
          <cell r="B5" t="str">
            <v>VILLAGE OF MISENHEIMER</v>
          </cell>
          <cell r="C5">
            <v>0</v>
          </cell>
          <cell r="D5"/>
          <cell r="E5">
            <v>-7538</v>
          </cell>
          <cell r="F5">
            <v>-6946</v>
          </cell>
          <cell r="G5">
            <v>-1825</v>
          </cell>
          <cell r="H5">
            <v>0</v>
          </cell>
          <cell r="I5">
            <v>0</v>
          </cell>
        </row>
        <row r="6">
          <cell r="A6">
            <v>72265</v>
          </cell>
          <cell r="B6" t="str">
            <v>PIEDMONT TRIAD AIRPORT AUTHORITY</v>
          </cell>
          <cell r="C6">
            <v>1.44E-4</v>
          </cell>
          <cell r="D6"/>
          <cell r="E6">
            <v>70515</v>
          </cell>
          <cell r="F6">
            <v>23047</v>
          </cell>
          <cell r="G6">
            <v>38699</v>
          </cell>
          <cell r="H6">
            <v>9456</v>
          </cell>
          <cell r="I6">
            <v>0</v>
          </cell>
        </row>
        <row r="7">
          <cell r="A7">
            <v>72593</v>
          </cell>
          <cell r="B7" t="str">
            <v>TOWN OF SEAGROVE</v>
          </cell>
          <cell r="C7">
            <v>6.1E-6</v>
          </cell>
          <cell r="D7"/>
          <cell r="E7">
            <v>3482</v>
          </cell>
          <cell r="F7">
            <v>1427</v>
          </cell>
          <cell r="G7">
            <v>1369</v>
          </cell>
          <cell r="H7">
            <v>359</v>
          </cell>
          <cell r="I7">
            <v>0</v>
          </cell>
        </row>
        <row r="8">
          <cell r="A8">
            <v>72657</v>
          </cell>
          <cell r="B8" t="str">
            <v>TOWN OF SPARTA</v>
          </cell>
          <cell r="C8">
            <v>3.7200000000000003E-5</v>
          </cell>
          <cell r="D8"/>
          <cell r="E8">
            <v>15812</v>
          </cell>
          <cell r="F8">
            <v>3426</v>
          </cell>
          <cell r="G8">
            <v>8489</v>
          </cell>
          <cell r="H8">
            <v>1964</v>
          </cell>
          <cell r="I8">
            <v>0</v>
          </cell>
        </row>
        <row r="9">
          <cell r="A9">
            <v>90001</v>
          </cell>
          <cell r="B9" t="str">
            <v>YANCEY COUNTY</v>
          </cell>
          <cell r="C9">
            <v>8.6050000000000005E-4</v>
          </cell>
          <cell r="D9"/>
          <cell r="E9">
            <v>422170</v>
          </cell>
          <cell r="F9">
            <v>129143</v>
          </cell>
          <cell r="G9">
            <v>230243</v>
          </cell>
          <cell r="H9">
            <v>67217</v>
          </cell>
          <cell r="I9">
            <v>0</v>
          </cell>
        </row>
        <row r="10">
          <cell r="A10">
            <v>90002</v>
          </cell>
          <cell r="B10" t="str">
            <v>YANCEY SOIL &amp; WATER CONS</v>
          </cell>
          <cell r="C10">
            <v>8.3999999999999992E-6</v>
          </cell>
          <cell r="D10"/>
          <cell r="E10">
            <v>4847</v>
          </cell>
          <cell r="F10">
            <v>1798</v>
          </cell>
          <cell r="G10">
            <v>2629</v>
          </cell>
          <cell r="H10">
            <v>865</v>
          </cell>
          <cell r="I10">
            <v>0</v>
          </cell>
        </row>
        <row r="11">
          <cell r="A11">
            <v>90011</v>
          </cell>
          <cell r="B11" t="str">
            <v>TOWN OF BURNSVILLE</v>
          </cell>
          <cell r="C11">
            <v>1.8009999999999999E-4</v>
          </cell>
          <cell r="D11"/>
          <cell r="E11">
            <v>76334</v>
          </cell>
          <cell r="F11">
            <v>19972</v>
          </cell>
          <cell r="G11">
            <v>43570</v>
          </cell>
          <cell r="H11">
            <v>11407</v>
          </cell>
          <cell r="I11">
            <v>0</v>
          </cell>
        </row>
        <row r="12">
          <cell r="A12">
            <v>90092</v>
          </cell>
          <cell r="B12" t="str">
            <v>MARTIN-TYRRELL-WASHINGTON DIST HEALTH DEPT</v>
          </cell>
          <cell r="C12">
            <v>3.9530000000000001E-4</v>
          </cell>
          <cell r="D12"/>
          <cell r="E12">
            <v>195072</v>
          </cell>
          <cell r="F12">
            <v>71661</v>
          </cell>
          <cell r="G12">
            <v>118683</v>
          </cell>
          <cell r="H12">
            <v>40268</v>
          </cell>
          <cell r="I12">
            <v>0</v>
          </cell>
        </row>
        <row r="13">
          <cell r="A13">
            <v>90096</v>
          </cell>
          <cell r="B13" t="str">
            <v>ALBEMARLE REGIONAL HEALTH SERVICES</v>
          </cell>
          <cell r="C13">
            <v>9.722E-4</v>
          </cell>
          <cell r="D13"/>
          <cell r="E13">
            <v>453881</v>
          </cell>
          <cell r="F13">
            <v>136099</v>
          </cell>
          <cell r="G13">
            <v>298144</v>
          </cell>
          <cell r="H13">
            <v>105634</v>
          </cell>
          <cell r="I13">
            <v>0</v>
          </cell>
        </row>
        <row r="14">
          <cell r="A14">
            <v>90098</v>
          </cell>
          <cell r="B14" t="str">
            <v>TOE RIVER HEALTH DISTRICT</v>
          </cell>
          <cell r="C14">
            <v>2.521E-4</v>
          </cell>
          <cell r="D14"/>
          <cell r="E14">
            <v>92455</v>
          </cell>
          <cell r="F14">
            <v>31947</v>
          </cell>
          <cell r="G14">
            <v>59251</v>
          </cell>
          <cell r="H14">
            <v>7811</v>
          </cell>
          <cell r="I14">
            <v>0</v>
          </cell>
        </row>
        <row r="15">
          <cell r="A15">
            <v>90099</v>
          </cell>
          <cell r="B15" t="str">
            <v>APPALACHIAN DISTRICT HEALTH DEPT</v>
          </cell>
          <cell r="C15">
            <v>6.7389999999999995E-4</v>
          </cell>
          <cell r="D15"/>
          <cell r="E15">
            <v>325920</v>
          </cell>
          <cell r="F15">
            <v>110315</v>
          </cell>
          <cell r="G15">
            <v>165204</v>
          </cell>
          <cell r="H15">
            <v>38797</v>
          </cell>
          <cell r="I15">
            <v>0</v>
          </cell>
        </row>
        <row r="16">
          <cell r="A16">
            <v>90101</v>
          </cell>
          <cell r="B16" t="str">
            <v>ALAMANCE COUNTY</v>
          </cell>
          <cell r="C16">
            <v>6.2302E-3</v>
          </cell>
          <cell r="D16"/>
          <cell r="E16">
            <v>2991740</v>
          </cell>
          <cell r="F16">
            <v>869111</v>
          </cell>
          <cell r="G16">
            <v>1556321</v>
          </cell>
          <cell r="H16">
            <v>413511</v>
          </cell>
          <cell r="I16">
            <v>0</v>
          </cell>
        </row>
        <row r="17">
          <cell r="A17">
            <v>90111</v>
          </cell>
          <cell r="B17" t="str">
            <v>CITY OF BURLINGTON</v>
          </cell>
          <cell r="C17">
            <v>4.9528000000000003E-3</v>
          </cell>
          <cell r="D17"/>
          <cell r="E17">
            <v>2365885</v>
          </cell>
          <cell r="F17">
            <v>714948</v>
          </cell>
          <cell r="G17">
            <v>1275062</v>
          </cell>
          <cell r="H17">
            <v>336849</v>
          </cell>
          <cell r="I17">
            <v>0</v>
          </cell>
        </row>
        <row r="18">
          <cell r="A18">
            <v>90114</v>
          </cell>
          <cell r="B18" t="str">
            <v>CITY OF MEBANE</v>
          </cell>
          <cell r="C18">
            <v>1.1188999999999999E-3</v>
          </cell>
          <cell r="D18"/>
          <cell r="E18">
            <v>1071093</v>
          </cell>
          <cell r="F18">
            <v>582896</v>
          </cell>
          <cell r="G18">
            <v>584858</v>
          </cell>
          <cell r="H18">
            <v>241858</v>
          </cell>
          <cell r="I18">
            <v>0</v>
          </cell>
        </row>
        <row r="19">
          <cell r="A19">
            <v>90117</v>
          </cell>
          <cell r="B19" t="str">
            <v>ALAMANCE MUNICIPAL ABC BOARD</v>
          </cell>
          <cell r="C19">
            <v>1.3219999999999999E-4</v>
          </cell>
          <cell r="D19"/>
          <cell r="E19">
            <v>80637</v>
          </cell>
          <cell r="F19">
            <v>31346</v>
          </cell>
          <cell r="G19">
            <v>42331</v>
          </cell>
          <cell r="H19">
            <v>13828</v>
          </cell>
          <cell r="I19">
            <v>0</v>
          </cell>
        </row>
        <row r="20">
          <cell r="A20">
            <v>90121</v>
          </cell>
          <cell r="B20" t="str">
            <v>CITY OF GRAHAM</v>
          </cell>
          <cell r="C20">
            <v>1.1077999999999999E-3</v>
          </cell>
          <cell r="D20"/>
          <cell r="E20">
            <v>502832</v>
          </cell>
          <cell r="F20">
            <v>141376</v>
          </cell>
          <cell r="G20">
            <v>274602</v>
          </cell>
          <cell r="H20">
            <v>83389</v>
          </cell>
          <cell r="I20">
            <v>0</v>
          </cell>
        </row>
        <row r="21">
          <cell r="A21">
            <v>90131</v>
          </cell>
          <cell r="B21" t="str">
            <v>TOWN OF ELON</v>
          </cell>
          <cell r="C21">
            <v>4.9050000000000005E-4</v>
          </cell>
          <cell r="D21"/>
          <cell r="E21">
            <v>228437</v>
          </cell>
          <cell r="F21">
            <v>65223</v>
          </cell>
          <cell r="G21">
            <v>128053</v>
          </cell>
          <cell r="H21">
            <v>37860</v>
          </cell>
          <cell r="I21">
            <v>0</v>
          </cell>
        </row>
        <row r="22">
          <cell r="A22">
            <v>90141</v>
          </cell>
          <cell r="B22" t="str">
            <v>TOWN OF HAW RIVER</v>
          </cell>
          <cell r="C22">
            <v>1.4770000000000001E-4</v>
          </cell>
          <cell r="D22"/>
          <cell r="E22">
            <v>70545</v>
          </cell>
          <cell r="F22">
            <v>23816</v>
          </cell>
          <cell r="G22">
            <v>38785</v>
          </cell>
          <cell r="H22">
            <v>11559</v>
          </cell>
          <cell r="I22">
            <v>0</v>
          </cell>
        </row>
        <row r="23">
          <cell r="A23">
            <v>90151</v>
          </cell>
          <cell r="B23" t="str">
            <v>VILLAGE OF ALAMANCE</v>
          </cell>
          <cell r="C23">
            <v>9.3000000000000007E-6</v>
          </cell>
          <cell r="D23"/>
          <cell r="E23">
            <v>3308</v>
          </cell>
          <cell r="F23">
            <v>400</v>
          </cell>
          <cell r="G23">
            <v>1768</v>
          </cell>
          <cell r="H23">
            <v>335</v>
          </cell>
          <cell r="I23">
            <v>0</v>
          </cell>
        </row>
        <row r="24">
          <cell r="A24">
            <v>90161</v>
          </cell>
          <cell r="B24" t="str">
            <v>TOWN OF GREEN LEVEL</v>
          </cell>
          <cell r="C24">
            <v>3.57E-5</v>
          </cell>
          <cell r="D24"/>
          <cell r="E24">
            <v>17069</v>
          </cell>
          <cell r="F24">
            <v>4218</v>
          </cell>
          <cell r="G24">
            <v>8401</v>
          </cell>
          <cell r="H24">
            <v>984</v>
          </cell>
          <cell r="I24">
            <v>0</v>
          </cell>
        </row>
        <row r="25">
          <cell r="A25">
            <v>90201</v>
          </cell>
          <cell r="B25" t="str">
            <v>ALEXANDER COUNTY</v>
          </cell>
          <cell r="C25">
            <v>1.2569E-3</v>
          </cell>
          <cell r="D25"/>
          <cell r="E25">
            <v>613501</v>
          </cell>
          <cell r="F25">
            <v>189876</v>
          </cell>
          <cell r="G25">
            <v>341991</v>
          </cell>
          <cell r="H25">
            <v>110773</v>
          </cell>
          <cell r="I25">
            <v>0</v>
          </cell>
        </row>
        <row r="26">
          <cell r="A26">
            <v>90203</v>
          </cell>
          <cell r="B26" t="str">
            <v>ALEXANDER COUNTY HEALTH DEPT</v>
          </cell>
          <cell r="C26">
            <v>2.0019999999999999E-4</v>
          </cell>
          <cell r="D26"/>
          <cell r="E26">
            <v>87836</v>
          </cell>
          <cell r="F26">
            <v>25358</v>
          </cell>
          <cell r="G26">
            <v>54516</v>
          </cell>
          <cell r="H26">
            <v>15883</v>
          </cell>
          <cell r="I26">
            <v>0</v>
          </cell>
        </row>
        <row r="27">
          <cell r="A27">
            <v>90205</v>
          </cell>
          <cell r="B27" t="str">
            <v>ALEXANDER COUNTY PUBLIC LIBRARY</v>
          </cell>
          <cell r="C27">
            <v>3.04E-5</v>
          </cell>
          <cell r="D27"/>
          <cell r="E27">
            <v>14603</v>
          </cell>
          <cell r="F27">
            <v>4525</v>
          </cell>
          <cell r="G27">
            <v>8497</v>
          </cell>
          <cell r="H27">
            <v>2160</v>
          </cell>
          <cell r="I27">
            <v>0</v>
          </cell>
        </row>
        <row r="28">
          <cell r="A28">
            <v>90206</v>
          </cell>
          <cell r="B28" t="str">
            <v>ALEXANDER COUNTY DEPT OF S S</v>
          </cell>
          <cell r="C28">
            <v>3.6160000000000001E-4</v>
          </cell>
          <cell r="D28"/>
          <cell r="E28">
            <v>158237</v>
          </cell>
          <cell r="F28">
            <v>38219</v>
          </cell>
          <cell r="G28">
            <v>83512</v>
          </cell>
          <cell r="H28">
            <v>16578</v>
          </cell>
          <cell r="I28">
            <v>0</v>
          </cell>
        </row>
        <row r="29">
          <cell r="A29">
            <v>90211</v>
          </cell>
          <cell r="B29" t="str">
            <v>TOWN OF TAYLORSVILLE</v>
          </cell>
          <cell r="C29">
            <v>1.5799999999999999E-4</v>
          </cell>
          <cell r="D29"/>
          <cell r="E29">
            <v>76580</v>
          </cell>
          <cell r="F29">
            <v>25976</v>
          </cell>
          <cell r="G29">
            <v>44793</v>
          </cell>
          <cell r="H29">
            <v>13132</v>
          </cell>
          <cell r="I29">
            <v>0</v>
          </cell>
        </row>
        <row r="30">
          <cell r="A30">
            <v>90301</v>
          </cell>
          <cell r="B30" t="str">
            <v>ALLEGHANY COUNTY</v>
          </cell>
          <cell r="C30">
            <v>7.339E-4</v>
          </cell>
          <cell r="D30"/>
          <cell r="E30">
            <v>354133</v>
          </cell>
          <cell r="F30">
            <v>108767</v>
          </cell>
          <cell r="G30">
            <v>192667</v>
          </cell>
          <cell r="H30">
            <v>55419</v>
          </cell>
          <cell r="I30">
            <v>0</v>
          </cell>
        </row>
        <row r="31">
          <cell r="A31">
            <v>90305</v>
          </cell>
          <cell r="B31" t="str">
            <v>NORTHWESTERN REGIONAL LIBRARY</v>
          </cell>
          <cell r="C31">
            <v>1.404E-4</v>
          </cell>
          <cell r="D31"/>
          <cell r="E31">
            <v>73852</v>
          </cell>
          <cell r="F31">
            <v>24742</v>
          </cell>
          <cell r="G31">
            <v>39803</v>
          </cell>
          <cell r="H31">
            <v>12854</v>
          </cell>
          <cell r="I31">
            <v>0</v>
          </cell>
        </row>
        <row r="32">
          <cell r="A32">
            <v>90307</v>
          </cell>
          <cell r="B32" t="str">
            <v>TOWN OF SPARTA ABC BOARD</v>
          </cell>
          <cell r="C32">
            <v>5.8000000000000004E-6</v>
          </cell>
          <cell r="D32"/>
          <cell r="E32">
            <v>3077</v>
          </cell>
          <cell r="F32">
            <v>1114</v>
          </cell>
          <cell r="G32">
            <v>1650</v>
          </cell>
          <cell r="H32">
            <v>561</v>
          </cell>
          <cell r="I32">
            <v>0</v>
          </cell>
        </row>
        <row r="33">
          <cell r="A33">
            <v>90401</v>
          </cell>
          <cell r="B33" t="str">
            <v>ANSON COUNTY</v>
          </cell>
          <cell r="C33">
            <v>1.2876000000000001E-3</v>
          </cell>
          <cell r="D33"/>
          <cell r="E33">
            <v>644596</v>
          </cell>
          <cell r="F33">
            <v>208414</v>
          </cell>
          <cell r="G33">
            <v>357837</v>
          </cell>
          <cell r="H33">
            <v>116797</v>
          </cell>
          <cell r="I33">
            <v>0</v>
          </cell>
        </row>
        <row r="34">
          <cell r="A34">
            <v>90411</v>
          </cell>
          <cell r="B34" t="str">
            <v>TOWN OF WADESBORO</v>
          </cell>
          <cell r="C34">
            <v>3.2929999999999998E-4</v>
          </cell>
          <cell r="D34"/>
          <cell r="E34">
            <v>143861</v>
          </cell>
          <cell r="F34">
            <v>39557</v>
          </cell>
          <cell r="G34">
            <v>79464</v>
          </cell>
          <cell r="H34">
            <v>19638</v>
          </cell>
          <cell r="I34">
            <v>0</v>
          </cell>
        </row>
        <row r="35">
          <cell r="A35">
            <v>90413</v>
          </cell>
          <cell r="B35" t="str">
            <v>WADESBORO HOUSING AUTHORITY</v>
          </cell>
          <cell r="C35">
            <v>3.4900000000000001E-5</v>
          </cell>
          <cell r="D35"/>
          <cell r="E35">
            <v>17965</v>
          </cell>
          <cell r="F35">
            <v>5875</v>
          </cell>
          <cell r="G35">
            <v>10078</v>
          </cell>
          <cell r="H35">
            <v>3042</v>
          </cell>
          <cell r="I35">
            <v>0</v>
          </cell>
        </row>
        <row r="36">
          <cell r="A36">
            <v>90417</v>
          </cell>
          <cell r="B36" t="str">
            <v>WADESBORO ABC BOARD</v>
          </cell>
          <cell r="C36">
            <v>1.06E-5</v>
          </cell>
          <cell r="D36"/>
          <cell r="E36">
            <v>6995</v>
          </cell>
          <cell r="F36">
            <v>3183</v>
          </cell>
          <cell r="G36">
            <v>3854</v>
          </cell>
          <cell r="H36">
            <v>1196</v>
          </cell>
          <cell r="I36">
            <v>0</v>
          </cell>
        </row>
        <row r="37">
          <cell r="A37">
            <v>90421</v>
          </cell>
          <cell r="B37" t="str">
            <v>TOWN OF LILESVILLE</v>
          </cell>
          <cell r="C37">
            <v>1.98E-5</v>
          </cell>
          <cell r="D37"/>
          <cell r="E37">
            <v>7829</v>
          </cell>
          <cell r="F37">
            <v>1633</v>
          </cell>
          <cell r="G37">
            <v>4475</v>
          </cell>
          <cell r="H37">
            <v>1156</v>
          </cell>
          <cell r="I37">
            <v>0</v>
          </cell>
        </row>
        <row r="38">
          <cell r="A38">
            <v>90431</v>
          </cell>
          <cell r="B38" t="str">
            <v>TOWN OF POLKTON</v>
          </cell>
          <cell r="C38">
            <v>4.8099999999999997E-5</v>
          </cell>
          <cell r="D38"/>
          <cell r="E38">
            <v>24238</v>
          </cell>
          <cell r="F38">
            <v>8404</v>
          </cell>
          <cell r="G38">
            <v>13025</v>
          </cell>
          <cell r="H38">
            <v>4288</v>
          </cell>
          <cell r="I38">
            <v>0</v>
          </cell>
        </row>
        <row r="39">
          <cell r="A39">
            <v>90441</v>
          </cell>
          <cell r="B39" t="str">
            <v>TOWN OF PEACHLAND</v>
          </cell>
          <cell r="C39">
            <v>6.7000000000000002E-6</v>
          </cell>
          <cell r="D39"/>
          <cell r="E39">
            <v>3721</v>
          </cell>
          <cell r="F39">
            <v>1427</v>
          </cell>
          <cell r="G39">
            <v>2144</v>
          </cell>
          <cell r="H39">
            <v>724</v>
          </cell>
          <cell r="I39">
            <v>0</v>
          </cell>
        </row>
        <row r="40">
          <cell r="A40">
            <v>90451</v>
          </cell>
          <cell r="B40" t="str">
            <v>TOWN OF ANSONVILLE</v>
          </cell>
          <cell r="C40">
            <v>2.3099999999999999E-5</v>
          </cell>
          <cell r="D40"/>
          <cell r="E40">
            <v>12800</v>
          </cell>
          <cell r="F40">
            <v>4415</v>
          </cell>
          <cell r="G40">
            <v>7227</v>
          </cell>
          <cell r="H40">
            <v>2210</v>
          </cell>
          <cell r="I40">
            <v>0</v>
          </cell>
        </row>
        <row r="41">
          <cell r="A41">
            <v>90461</v>
          </cell>
          <cell r="B41" t="str">
            <v>TOWN OF MORVEN</v>
          </cell>
          <cell r="C41">
            <v>2.0999999999999998E-6</v>
          </cell>
          <cell r="D41"/>
          <cell r="E41">
            <v>-1298</v>
          </cell>
          <cell r="F41">
            <v>-1898</v>
          </cell>
          <cell r="G41">
            <v>-79</v>
          </cell>
          <cell r="H41">
            <v>-497</v>
          </cell>
          <cell r="I41">
            <v>0</v>
          </cell>
        </row>
        <row r="42">
          <cell r="A42">
            <v>90501</v>
          </cell>
          <cell r="B42" t="str">
            <v>ASHE COUNTY</v>
          </cell>
          <cell r="C42">
            <v>1.4587000000000001E-3</v>
          </cell>
          <cell r="D42"/>
          <cell r="E42">
            <v>740513</v>
          </cell>
          <cell r="F42">
            <v>248004</v>
          </cell>
          <cell r="G42">
            <v>407264</v>
          </cell>
          <cell r="H42">
            <v>132944</v>
          </cell>
          <cell r="I42">
            <v>0</v>
          </cell>
        </row>
        <row r="43">
          <cell r="A43">
            <v>90507</v>
          </cell>
          <cell r="B43" t="str">
            <v>WEST JEFFERSON ABC BOARD</v>
          </cell>
          <cell r="C43">
            <v>3.4000000000000001E-6</v>
          </cell>
          <cell r="D43"/>
          <cell r="E43">
            <v>6496</v>
          </cell>
          <cell r="F43">
            <v>4244</v>
          </cell>
          <cell r="G43">
            <v>3270</v>
          </cell>
          <cell r="H43">
            <v>1092</v>
          </cell>
          <cell r="I43">
            <v>0</v>
          </cell>
        </row>
        <row r="44">
          <cell r="A44">
            <v>90511</v>
          </cell>
          <cell r="B44" t="str">
            <v>TOWN OF JEFFERSON</v>
          </cell>
          <cell r="C44">
            <v>1.011E-4</v>
          </cell>
          <cell r="D44"/>
          <cell r="E44">
            <v>59537</v>
          </cell>
          <cell r="F44">
            <v>23748</v>
          </cell>
          <cell r="G44">
            <v>34193</v>
          </cell>
          <cell r="H44">
            <v>13020</v>
          </cell>
          <cell r="I44">
            <v>0</v>
          </cell>
        </row>
        <row r="45">
          <cell r="A45">
            <v>90521</v>
          </cell>
          <cell r="B45" t="str">
            <v>TOWN OF WEST JEFFERSON</v>
          </cell>
          <cell r="C45">
            <v>1.371E-4</v>
          </cell>
          <cell r="D45"/>
          <cell r="E45">
            <v>59177</v>
          </cell>
          <cell r="F45">
            <v>15341</v>
          </cell>
          <cell r="G45">
            <v>32569</v>
          </cell>
          <cell r="H45">
            <v>9867</v>
          </cell>
          <cell r="I45">
            <v>0</v>
          </cell>
        </row>
        <row r="46">
          <cell r="A46">
            <v>90601</v>
          </cell>
          <cell r="B46" t="str">
            <v>AVERY COUNTY</v>
          </cell>
          <cell r="C46">
            <v>1.1100999999999999E-3</v>
          </cell>
          <cell r="D46"/>
          <cell r="E46">
            <v>531793</v>
          </cell>
          <cell r="F46">
            <v>163504</v>
          </cell>
          <cell r="G46">
            <v>289139</v>
          </cell>
          <cell r="H46">
            <v>85748</v>
          </cell>
          <cell r="I46">
            <v>0</v>
          </cell>
        </row>
        <row r="47">
          <cell r="A47">
            <v>90602</v>
          </cell>
          <cell r="B47" t="str">
            <v>AVERY COUNTY FIRE COMMISSION</v>
          </cell>
          <cell r="C47">
            <v>9.2999999999999997E-5</v>
          </cell>
          <cell r="D47"/>
          <cell r="E47">
            <v>65265</v>
          </cell>
          <cell r="F47">
            <v>25294</v>
          </cell>
          <cell r="G47">
            <v>34681</v>
          </cell>
          <cell r="H47">
            <v>14617</v>
          </cell>
          <cell r="I47">
            <v>0</v>
          </cell>
        </row>
        <row r="48">
          <cell r="A48">
            <v>90605</v>
          </cell>
          <cell r="B48" t="str">
            <v>AVERY-MITCHELL-YANCEY REG LIBRARY</v>
          </cell>
          <cell r="C48">
            <v>4.9799999999999998E-5</v>
          </cell>
          <cell r="D48"/>
          <cell r="E48">
            <v>31463</v>
          </cell>
          <cell r="F48">
            <v>13276</v>
          </cell>
          <cell r="G48">
            <v>17105</v>
          </cell>
          <cell r="H48">
            <v>6502</v>
          </cell>
          <cell r="I48">
            <v>0</v>
          </cell>
        </row>
        <row r="49">
          <cell r="A49">
            <v>90611</v>
          </cell>
          <cell r="B49" t="str">
            <v>TOWN OF BANNER ELK</v>
          </cell>
          <cell r="C49">
            <v>1.526E-4</v>
          </cell>
          <cell r="D49"/>
          <cell r="E49">
            <v>68865</v>
          </cell>
          <cell r="F49">
            <v>20026</v>
          </cell>
          <cell r="G49">
            <v>39515</v>
          </cell>
          <cell r="H49">
            <v>12790</v>
          </cell>
          <cell r="I49">
            <v>0</v>
          </cell>
        </row>
        <row r="50">
          <cell r="A50">
            <v>90617</v>
          </cell>
          <cell r="B50" t="str">
            <v>HIGH COUNTRY ABC BOARD</v>
          </cell>
          <cell r="C50">
            <v>2.8600000000000001E-5</v>
          </cell>
          <cell r="D50"/>
          <cell r="E50">
            <v>16299</v>
          </cell>
          <cell r="F50">
            <v>6087</v>
          </cell>
          <cell r="G50">
            <v>8700</v>
          </cell>
          <cell r="H50">
            <v>2807</v>
          </cell>
          <cell r="I50">
            <v>0</v>
          </cell>
        </row>
        <row r="51">
          <cell r="A51">
            <v>90621</v>
          </cell>
          <cell r="B51" t="str">
            <v>TOWN OF NEWLAND</v>
          </cell>
          <cell r="C51">
            <v>6.97E-5</v>
          </cell>
          <cell r="D51"/>
          <cell r="E51">
            <v>29825</v>
          </cell>
          <cell r="F51">
            <v>6978</v>
          </cell>
          <cell r="G51">
            <v>18315</v>
          </cell>
          <cell r="H51">
            <v>5826</v>
          </cell>
          <cell r="I51">
            <v>0</v>
          </cell>
        </row>
        <row r="52">
          <cell r="A52">
            <v>90631</v>
          </cell>
          <cell r="B52" t="str">
            <v>TOWN OF BEECH MOUNTAIN</v>
          </cell>
          <cell r="C52">
            <v>3.6430000000000002E-4</v>
          </cell>
          <cell r="D52"/>
          <cell r="E52">
            <v>178815</v>
          </cell>
          <cell r="F52">
            <v>52312</v>
          </cell>
          <cell r="G52">
            <v>92417</v>
          </cell>
          <cell r="H52">
            <v>27591</v>
          </cell>
          <cell r="I52">
            <v>0</v>
          </cell>
        </row>
        <row r="53">
          <cell r="A53">
            <v>90641</v>
          </cell>
          <cell r="B53" t="str">
            <v>TOWN OF ELK PARK</v>
          </cell>
          <cell r="C53">
            <v>1.1800000000000001E-5</v>
          </cell>
          <cell r="D53"/>
          <cell r="E53">
            <v>5711</v>
          </cell>
          <cell r="F53">
            <v>1851</v>
          </cell>
          <cell r="G53">
            <v>3174</v>
          </cell>
          <cell r="H53">
            <v>921</v>
          </cell>
          <cell r="I53">
            <v>0</v>
          </cell>
        </row>
        <row r="54">
          <cell r="A54">
            <v>90651</v>
          </cell>
          <cell r="B54" t="str">
            <v>TOWN OF SUGAR MOUNTAIN</v>
          </cell>
          <cell r="C54">
            <v>1.031E-4</v>
          </cell>
          <cell r="D54"/>
          <cell r="E54">
            <v>90545</v>
          </cell>
          <cell r="F54">
            <v>46023</v>
          </cell>
          <cell r="G54">
            <v>49143</v>
          </cell>
          <cell r="H54">
            <v>18386</v>
          </cell>
          <cell r="I54">
            <v>0</v>
          </cell>
        </row>
        <row r="55">
          <cell r="A55">
            <v>90701</v>
          </cell>
          <cell r="B55" t="str">
            <v>COUNTY OF BEAUFORT</v>
          </cell>
          <cell r="C55">
            <v>2.6227999999999998E-3</v>
          </cell>
          <cell r="D55"/>
          <cell r="E55">
            <v>1256451</v>
          </cell>
          <cell r="F55">
            <v>379965</v>
          </cell>
          <cell r="G55">
            <v>650327</v>
          </cell>
          <cell r="H55">
            <v>177023</v>
          </cell>
          <cell r="I55">
            <v>0</v>
          </cell>
        </row>
        <row r="56">
          <cell r="A56">
            <v>90704</v>
          </cell>
          <cell r="B56" t="str">
            <v>BEAUFORT COUNTY ABC BOARD</v>
          </cell>
          <cell r="C56">
            <v>4.4299999999999999E-5</v>
          </cell>
          <cell r="D56"/>
          <cell r="E56">
            <v>30666</v>
          </cell>
          <cell r="F56">
            <v>14046</v>
          </cell>
          <cell r="G56">
            <v>17640</v>
          </cell>
          <cell r="H56">
            <v>7050</v>
          </cell>
          <cell r="I56">
            <v>0</v>
          </cell>
        </row>
        <row r="57">
          <cell r="A57">
            <v>90705</v>
          </cell>
          <cell r="B57" t="str">
            <v>B H M REGIONAL LIBRARY</v>
          </cell>
          <cell r="C57">
            <v>4.1199999999999999E-5</v>
          </cell>
          <cell r="D57"/>
          <cell r="E57">
            <v>24227</v>
          </cell>
          <cell r="F57">
            <v>9283</v>
          </cell>
          <cell r="G57">
            <v>11017</v>
          </cell>
          <cell r="H57">
            <v>5090</v>
          </cell>
          <cell r="I57">
            <v>0</v>
          </cell>
        </row>
        <row r="58">
          <cell r="A58">
            <v>90709</v>
          </cell>
          <cell r="B58" t="str">
            <v>MIDEAST COMMISSION</v>
          </cell>
          <cell r="C58">
            <v>1.474E-4</v>
          </cell>
          <cell r="D58"/>
          <cell r="E58">
            <v>66719</v>
          </cell>
          <cell r="F58">
            <v>25854</v>
          </cell>
          <cell r="G58">
            <v>45124</v>
          </cell>
          <cell r="H58">
            <v>7485</v>
          </cell>
          <cell r="I58">
            <v>0</v>
          </cell>
        </row>
        <row r="59">
          <cell r="A59">
            <v>90711</v>
          </cell>
          <cell r="B59" t="str">
            <v>CITY OF WASHINGTON</v>
          </cell>
          <cell r="C59">
            <v>1.5481E-3</v>
          </cell>
          <cell r="D59"/>
          <cell r="E59">
            <v>693215</v>
          </cell>
          <cell r="F59">
            <v>197255</v>
          </cell>
          <cell r="G59">
            <v>380743</v>
          </cell>
          <cell r="H59">
            <v>103111</v>
          </cell>
          <cell r="I59">
            <v>0</v>
          </cell>
        </row>
        <row r="60">
          <cell r="A60">
            <v>90721</v>
          </cell>
          <cell r="B60" t="str">
            <v>TOWN OF AURORA</v>
          </cell>
          <cell r="C60">
            <v>2.1399999999999998E-5</v>
          </cell>
          <cell r="D60"/>
          <cell r="E60">
            <v>8174</v>
          </cell>
          <cell r="F60">
            <v>1209</v>
          </cell>
          <cell r="G60">
            <v>4672</v>
          </cell>
          <cell r="H60">
            <v>573</v>
          </cell>
          <cell r="I60">
            <v>0</v>
          </cell>
        </row>
        <row r="61">
          <cell r="A61">
            <v>90731</v>
          </cell>
          <cell r="B61" t="str">
            <v>TOWN OF BELHAVEN</v>
          </cell>
          <cell r="C61">
            <v>1.384E-4</v>
          </cell>
          <cell r="D61"/>
          <cell r="E61">
            <v>60432</v>
          </cell>
          <cell r="F61">
            <v>14437</v>
          </cell>
          <cell r="G61">
            <v>33222</v>
          </cell>
          <cell r="H61">
            <v>10291</v>
          </cell>
          <cell r="I61">
            <v>0</v>
          </cell>
        </row>
        <row r="62">
          <cell r="A62">
            <v>90741</v>
          </cell>
          <cell r="B62" t="str">
            <v>TOWN OF WASHINGTON PARK</v>
          </cell>
          <cell r="C62">
            <v>1.38E-5</v>
          </cell>
          <cell r="D62"/>
          <cell r="E62">
            <v>7667</v>
          </cell>
          <cell r="F62">
            <v>2788</v>
          </cell>
          <cell r="G62">
            <v>4408</v>
          </cell>
          <cell r="H62">
            <v>797</v>
          </cell>
          <cell r="I62">
            <v>0</v>
          </cell>
        </row>
        <row r="63">
          <cell r="A63">
            <v>90751</v>
          </cell>
          <cell r="B63" t="str">
            <v>TOWN OF CHOCOWINITY</v>
          </cell>
          <cell r="C63">
            <v>6.3E-5</v>
          </cell>
          <cell r="D63"/>
          <cell r="E63">
            <v>27048</v>
          </cell>
          <cell r="F63">
            <v>5759</v>
          </cell>
          <cell r="G63">
            <v>13203</v>
          </cell>
          <cell r="H63">
            <v>673</v>
          </cell>
          <cell r="I63">
            <v>0</v>
          </cell>
        </row>
        <row r="64">
          <cell r="A64">
            <v>90801</v>
          </cell>
          <cell r="B64" t="str">
            <v>BERTIE COUNTY</v>
          </cell>
          <cell r="C64">
            <v>1.2669999999999999E-3</v>
          </cell>
          <cell r="D64"/>
          <cell r="E64">
            <v>595969</v>
          </cell>
          <cell r="F64">
            <v>162192</v>
          </cell>
          <cell r="G64">
            <v>294335</v>
          </cell>
          <cell r="H64">
            <v>67390</v>
          </cell>
          <cell r="I64">
            <v>0</v>
          </cell>
        </row>
        <row r="65">
          <cell r="A65">
            <v>90804</v>
          </cell>
          <cell r="B65" t="str">
            <v>BERTIE COUNTY ABC BOARD</v>
          </cell>
          <cell r="C65">
            <v>5.5999999999999997E-6</v>
          </cell>
          <cell r="D65"/>
          <cell r="E65">
            <v>2775</v>
          </cell>
          <cell r="F65">
            <v>724</v>
          </cell>
          <cell r="G65">
            <v>1349</v>
          </cell>
          <cell r="H65">
            <v>346</v>
          </cell>
          <cell r="I65">
            <v>0</v>
          </cell>
        </row>
        <row r="66">
          <cell r="A66">
            <v>90805</v>
          </cell>
          <cell r="B66" t="str">
            <v>ALBEMARLE REGIONAL LIBRARY</v>
          </cell>
          <cell r="C66">
            <v>6.5900000000000003E-5</v>
          </cell>
          <cell r="D66"/>
          <cell r="E66">
            <v>42449</v>
          </cell>
          <cell r="F66">
            <v>17897</v>
          </cell>
          <cell r="G66">
            <v>23576</v>
          </cell>
          <cell r="H66">
            <v>6830</v>
          </cell>
          <cell r="I66">
            <v>0</v>
          </cell>
        </row>
        <row r="67">
          <cell r="A67">
            <v>90808</v>
          </cell>
          <cell r="B67" t="str">
            <v>BERTIE-MARTIN REGIONAL JAIL COMM</v>
          </cell>
          <cell r="C67">
            <v>1.395E-4</v>
          </cell>
          <cell r="D67"/>
          <cell r="E67">
            <v>78165</v>
          </cell>
          <cell r="F67">
            <v>31623</v>
          </cell>
          <cell r="G67">
            <v>46314</v>
          </cell>
          <cell r="H67">
            <v>20010</v>
          </cell>
          <cell r="I67">
            <v>0</v>
          </cell>
        </row>
        <row r="68">
          <cell r="A68">
            <v>90811</v>
          </cell>
          <cell r="B68" t="str">
            <v>TOWN OF AULANDER</v>
          </cell>
          <cell r="C68">
            <v>3.4900000000000001E-5</v>
          </cell>
          <cell r="D68"/>
          <cell r="E68">
            <v>13245</v>
          </cell>
          <cell r="F68">
            <v>1797</v>
          </cell>
          <cell r="G68">
            <v>7596</v>
          </cell>
          <cell r="H68">
            <v>1709</v>
          </cell>
          <cell r="I68">
            <v>0</v>
          </cell>
        </row>
        <row r="69">
          <cell r="A69">
            <v>90812</v>
          </cell>
          <cell r="B69" t="str">
            <v>TOWN OF WINDSOR</v>
          </cell>
          <cell r="C69">
            <v>2.2100000000000001E-4</v>
          </cell>
          <cell r="D69"/>
          <cell r="E69">
            <v>104833</v>
          </cell>
          <cell r="F69">
            <v>33501</v>
          </cell>
          <cell r="G69">
            <v>56000</v>
          </cell>
          <cell r="H69">
            <v>15349</v>
          </cell>
          <cell r="I69">
            <v>0</v>
          </cell>
        </row>
        <row r="70">
          <cell r="A70">
            <v>90813</v>
          </cell>
          <cell r="B70" t="str">
            <v>TOWN OF COLERAIN</v>
          </cell>
          <cell r="C70">
            <v>4.6E-6</v>
          </cell>
          <cell r="D70"/>
          <cell r="E70">
            <v>1858</v>
          </cell>
          <cell r="F70">
            <v>368</v>
          </cell>
          <cell r="G70">
            <v>998</v>
          </cell>
          <cell r="H70">
            <v>232</v>
          </cell>
          <cell r="I70">
            <v>0</v>
          </cell>
        </row>
        <row r="71">
          <cell r="A71">
            <v>90861</v>
          </cell>
          <cell r="B71" t="str">
            <v>TOWN OF LEWISTON WOODVILLE</v>
          </cell>
          <cell r="C71">
            <v>8.4999999999999999E-6</v>
          </cell>
          <cell r="D71"/>
          <cell r="E71">
            <v>6620</v>
          </cell>
          <cell r="F71">
            <v>3546</v>
          </cell>
          <cell r="G71">
            <v>4257</v>
          </cell>
          <cell r="H71">
            <v>1492</v>
          </cell>
          <cell r="I71">
            <v>0</v>
          </cell>
        </row>
        <row r="72">
          <cell r="A72">
            <v>90901</v>
          </cell>
          <cell r="B72" t="str">
            <v>BLADEN COUNTY</v>
          </cell>
          <cell r="C72">
            <v>2.274E-3</v>
          </cell>
          <cell r="D72"/>
          <cell r="E72">
            <v>1125533</v>
          </cell>
          <cell r="F72">
            <v>367757</v>
          </cell>
          <cell r="G72">
            <v>622191</v>
          </cell>
          <cell r="H72">
            <v>193547</v>
          </cell>
          <cell r="I72">
            <v>0</v>
          </cell>
        </row>
        <row r="73">
          <cell r="A73">
            <v>90911</v>
          </cell>
          <cell r="B73" t="str">
            <v>TOWN OF ELIZABETHTOWN</v>
          </cell>
          <cell r="C73">
            <v>3.8539999999999999E-4</v>
          </cell>
          <cell r="D73"/>
          <cell r="E73">
            <v>173780</v>
          </cell>
          <cell r="F73">
            <v>47969</v>
          </cell>
          <cell r="G73">
            <v>90147</v>
          </cell>
          <cell r="H73">
            <v>21326</v>
          </cell>
          <cell r="I73">
            <v>0</v>
          </cell>
        </row>
        <row r="74">
          <cell r="A74">
            <v>90917</v>
          </cell>
          <cell r="B74" t="str">
            <v>ELIZABETHTOWN ABC BOARD</v>
          </cell>
          <cell r="C74">
            <v>8.1000000000000004E-6</v>
          </cell>
          <cell r="D74"/>
          <cell r="E74">
            <v>3335</v>
          </cell>
          <cell r="F74">
            <v>229</v>
          </cell>
          <cell r="G74">
            <v>1281</v>
          </cell>
          <cell r="H74">
            <v>94</v>
          </cell>
          <cell r="I74">
            <v>0</v>
          </cell>
        </row>
        <row r="75">
          <cell r="A75">
            <v>90918</v>
          </cell>
          <cell r="B75" t="str">
            <v>SOUTH EASTERN ECONOMIC DEVELOPMENT COMM</v>
          </cell>
          <cell r="C75">
            <v>1.06E-5</v>
          </cell>
          <cell r="D75"/>
          <cell r="E75">
            <v>4271</v>
          </cell>
          <cell r="F75">
            <v>976</v>
          </cell>
          <cell r="G75">
            <v>2403</v>
          </cell>
          <cell r="H75">
            <v>606</v>
          </cell>
          <cell r="I75">
            <v>0</v>
          </cell>
        </row>
        <row r="76">
          <cell r="A76">
            <v>90921</v>
          </cell>
          <cell r="B76" t="str">
            <v>TOWN OF WHITE LAKE</v>
          </cell>
          <cell r="C76">
            <v>1.2129999999999999E-4</v>
          </cell>
          <cell r="D76"/>
          <cell r="E76">
            <v>64041</v>
          </cell>
          <cell r="F76">
            <v>24746</v>
          </cell>
          <cell r="G76">
            <v>31479</v>
          </cell>
          <cell r="H76">
            <v>8800</v>
          </cell>
          <cell r="I76">
            <v>0</v>
          </cell>
        </row>
        <row r="77">
          <cell r="A77">
            <v>90931</v>
          </cell>
          <cell r="B77" t="str">
            <v>TOWN OF CLARKTON</v>
          </cell>
          <cell r="C77">
            <v>3.7299999999999999E-5</v>
          </cell>
          <cell r="D77"/>
          <cell r="E77">
            <v>12858</v>
          </cell>
          <cell r="F77">
            <v>1672</v>
          </cell>
          <cell r="G77">
            <v>8298</v>
          </cell>
          <cell r="H77">
            <v>2169</v>
          </cell>
          <cell r="I77">
            <v>0</v>
          </cell>
        </row>
        <row r="78">
          <cell r="A78">
            <v>90941</v>
          </cell>
          <cell r="B78" t="str">
            <v>TOWN OF BLADENBORO</v>
          </cell>
          <cell r="C78">
            <v>8.5400000000000002E-5</v>
          </cell>
          <cell r="D78"/>
          <cell r="E78">
            <v>41214</v>
          </cell>
          <cell r="F78">
            <v>11917</v>
          </cell>
          <cell r="G78">
            <v>24440</v>
          </cell>
          <cell r="H78">
            <v>6414</v>
          </cell>
          <cell r="I78">
            <v>0</v>
          </cell>
        </row>
        <row r="79">
          <cell r="A79">
            <v>91001</v>
          </cell>
          <cell r="B79" t="str">
            <v>BRUNSWICK COUNTY</v>
          </cell>
          <cell r="C79">
            <v>7.2779999999999997E-3</v>
          </cell>
          <cell r="D79"/>
          <cell r="E79">
            <v>3533203</v>
          </cell>
          <cell r="F79">
            <v>1117483</v>
          </cell>
          <cell r="G79">
            <v>1976501</v>
          </cell>
          <cell r="H79">
            <v>637903</v>
          </cell>
          <cell r="I79">
            <v>0</v>
          </cell>
        </row>
        <row r="80">
          <cell r="A80">
            <v>91002</v>
          </cell>
          <cell r="B80" t="str">
            <v>TOWN OF LELAND</v>
          </cell>
          <cell r="C80">
            <v>1.2939E-3</v>
          </cell>
          <cell r="D80"/>
          <cell r="E80">
            <v>712128</v>
          </cell>
          <cell r="F80">
            <v>284969</v>
          </cell>
          <cell r="G80">
            <v>423091</v>
          </cell>
          <cell r="H80">
            <v>143739</v>
          </cell>
          <cell r="I80">
            <v>0</v>
          </cell>
        </row>
        <row r="81">
          <cell r="A81">
            <v>91003</v>
          </cell>
          <cell r="B81" t="str">
            <v>BRUNSWICK CO HEALTH DEPT</v>
          </cell>
          <cell r="C81">
            <v>5.9570000000000001E-4</v>
          </cell>
          <cell r="D81"/>
          <cell r="E81">
            <v>291810</v>
          </cell>
          <cell r="F81">
            <v>99563</v>
          </cell>
          <cell r="G81">
            <v>165016</v>
          </cell>
          <cell r="H81">
            <v>57310</v>
          </cell>
          <cell r="I81">
            <v>0</v>
          </cell>
        </row>
        <row r="82">
          <cell r="A82">
            <v>91004</v>
          </cell>
          <cell r="B82" t="str">
            <v>BRUNSWICK COUNTY ABC BOARD</v>
          </cell>
          <cell r="C82">
            <v>3.3300000000000003E-5</v>
          </cell>
          <cell r="D82"/>
          <cell r="E82">
            <v>19289</v>
          </cell>
          <cell r="F82">
            <v>7745</v>
          </cell>
          <cell r="G82">
            <v>9800</v>
          </cell>
          <cell r="H82">
            <v>1678</v>
          </cell>
          <cell r="I82">
            <v>0</v>
          </cell>
        </row>
        <row r="83">
          <cell r="A83">
            <v>91006</v>
          </cell>
          <cell r="B83" t="str">
            <v>BRUNSWICK CO DEPT OF SOCIAL SERVICES</v>
          </cell>
          <cell r="C83">
            <v>1.0489E-3</v>
          </cell>
          <cell r="D83"/>
          <cell r="E83">
            <v>490711</v>
          </cell>
          <cell r="F83">
            <v>141968</v>
          </cell>
          <cell r="G83">
            <v>263085</v>
          </cell>
          <cell r="H83">
            <v>68187</v>
          </cell>
          <cell r="I83">
            <v>0</v>
          </cell>
        </row>
        <row r="84">
          <cell r="A84">
            <v>91007</v>
          </cell>
          <cell r="B84" t="str">
            <v>CALABASH ABC BOARD</v>
          </cell>
          <cell r="C84">
            <v>1.0900000000000001E-5</v>
          </cell>
          <cell r="D84"/>
          <cell r="E84">
            <v>7636</v>
          </cell>
          <cell r="F84">
            <v>2735</v>
          </cell>
          <cell r="G84">
            <v>3450</v>
          </cell>
          <cell r="H84">
            <v>1370</v>
          </cell>
          <cell r="I84">
            <v>0</v>
          </cell>
        </row>
        <row r="85">
          <cell r="A85">
            <v>91008</v>
          </cell>
          <cell r="B85" t="str">
            <v>CAPE FEAR COUNCIL OF GOVERNMENTS</v>
          </cell>
          <cell r="C85">
            <v>1.474E-4</v>
          </cell>
          <cell r="D85"/>
          <cell r="E85">
            <v>84153</v>
          </cell>
          <cell r="F85">
            <v>31047</v>
          </cell>
          <cell r="G85">
            <v>46001</v>
          </cell>
          <cell r="H85">
            <v>13957</v>
          </cell>
          <cell r="I85">
            <v>0</v>
          </cell>
        </row>
        <row r="86">
          <cell r="A86">
            <v>91009</v>
          </cell>
          <cell r="B86" t="str">
            <v>BRUNSWICK COUNTY TOURISM AUTHORITY</v>
          </cell>
          <cell r="C86">
            <v>8.3000000000000002E-6</v>
          </cell>
          <cell r="D86"/>
          <cell r="E86">
            <v>5757</v>
          </cell>
          <cell r="F86">
            <v>2039</v>
          </cell>
          <cell r="G86">
            <v>2511</v>
          </cell>
          <cell r="H86">
            <v>466</v>
          </cell>
          <cell r="I86">
            <v>0</v>
          </cell>
        </row>
        <row r="87">
          <cell r="A87">
            <v>91010</v>
          </cell>
          <cell r="B87" t="str">
            <v>TOWN OF CALABASH</v>
          </cell>
          <cell r="C87">
            <v>5.1E-5</v>
          </cell>
          <cell r="D87"/>
          <cell r="E87">
            <v>22835</v>
          </cell>
          <cell r="F87">
            <v>5731</v>
          </cell>
          <cell r="G87">
            <v>11184</v>
          </cell>
          <cell r="H87">
            <v>3220</v>
          </cell>
          <cell r="I87">
            <v>0</v>
          </cell>
        </row>
        <row r="88">
          <cell r="A88">
            <v>91011</v>
          </cell>
          <cell r="B88" t="str">
            <v>CITY OF SOUTHPORT</v>
          </cell>
          <cell r="C88">
            <v>3.2009999999999997E-4</v>
          </cell>
          <cell r="D88"/>
          <cell r="E88">
            <v>157895</v>
          </cell>
          <cell r="F88">
            <v>47392</v>
          </cell>
          <cell r="G88">
            <v>78044</v>
          </cell>
          <cell r="H88">
            <v>17897</v>
          </cell>
          <cell r="I88">
            <v>0</v>
          </cell>
        </row>
        <row r="89">
          <cell r="A89">
            <v>91012</v>
          </cell>
          <cell r="B89" t="str">
            <v>CITY OF NORTHWEST</v>
          </cell>
          <cell r="C89">
            <v>1.4600000000000001E-5</v>
          </cell>
          <cell r="D89"/>
          <cell r="E89">
            <v>8336</v>
          </cell>
          <cell r="F89">
            <v>2621</v>
          </cell>
          <cell r="G89">
            <v>3595</v>
          </cell>
          <cell r="H89">
            <v>1606</v>
          </cell>
          <cell r="I89">
            <v>0</v>
          </cell>
        </row>
        <row r="90">
          <cell r="A90">
            <v>91013</v>
          </cell>
          <cell r="B90" t="str">
            <v>SOUTHEAST BRUNSWICK SANITARY DISTRICT</v>
          </cell>
          <cell r="C90">
            <v>3.4999999999999997E-5</v>
          </cell>
          <cell r="D90"/>
          <cell r="E90">
            <v>35849</v>
          </cell>
          <cell r="F90">
            <v>19290</v>
          </cell>
          <cell r="G90">
            <v>19293</v>
          </cell>
          <cell r="H90">
            <v>8450</v>
          </cell>
          <cell r="I90">
            <v>0</v>
          </cell>
        </row>
        <row r="91">
          <cell r="A91">
            <v>91014</v>
          </cell>
          <cell r="B91" t="str">
            <v>TOWN OF HOLDEN BEACH</v>
          </cell>
          <cell r="C91">
            <v>1.7640000000000001E-4</v>
          </cell>
          <cell r="D91"/>
          <cell r="E91">
            <v>77502</v>
          </cell>
          <cell r="F91">
            <v>19846</v>
          </cell>
          <cell r="G91">
            <v>39599</v>
          </cell>
          <cell r="H91">
            <v>9888</v>
          </cell>
          <cell r="I91">
            <v>0</v>
          </cell>
        </row>
        <row r="92">
          <cell r="A92">
            <v>91015</v>
          </cell>
          <cell r="B92" t="str">
            <v>CAPE FEAR REGIONAL JETPORT</v>
          </cell>
          <cell r="C92">
            <v>1.8499999999999999E-5</v>
          </cell>
          <cell r="D92"/>
          <cell r="E92">
            <v>15764</v>
          </cell>
          <cell r="F92">
            <v>9528</v>
          </cell>
          <cell r="G92">
            <v>11637</v>
          </cell>
          <cell r="H92">
            <v>3071</v>
          </cell>
          <cell r="I92">
            <v>0</v>
          </cell>
        </row>
        <row r="93">
          <cell r="A93">
            <v>91017</v>
          </cell>
          <cell r="B93" t="str">
            <v>CITY OF SOUTHPORT ABC BOARD</v>
          </cell>
          <cell r="C93">
            <v>2.4700000000000001E-5</v>
          </cell>
          <cell r="D93"/>
          <cell r="E93">
            <v>15062</v>
          </cell>
          <cell r="F93">
            <v>4935</v>
          </cell>
          <cell r="G93">
            <v>7265</v>
          </cell>
          <cell r="H93">
            <v>2415</v>
          </cell>
          <cell r="I93">
            <v>0</v>
          </cell>
        </row>
        <row r="94">
          <cell r="A94">
            <v>91020</v>
          </cell>
          <cell r="B94" t="str">
            <v>TOWN OF BELVILLE</v>
          </cell>
          <cell r="C94">
            <v>2.2900000000000001E-5</v>
          </cell>
          <cell r="D94"/>
          <cell r="E94">
            <v>11796</v>
          </cell>
          <cell r="F94">
            <v>3669</v>
          </cell>
          <cell r="G94">
            <v>5702</v>
          </cell>
          <cell r="H94">
            <v>325</v>
          </cell>
          <cell r="I94">
            <v>0</v>
          </cell>
        </row>
        <row r="95">
          <cell r="A95">
            <v>91021</v>
          </cell>
          <cell r="B95" t="str">
            <v>TOWN OF OAK ISLAND</v>
          </cell>
          <cell r="C95">
            <v>9.2460000000000003E-4</v>
          </cell>
          <cell r="D95"/>
          <cell r="E95">
            <v>455425</v>
          </cell>
          <cell r="F95">
            <v>151821</v>
          </cell>
          <cell r="G95">
            <v>259814</v>
          </cell>
          <cell r="H95">
            <v>80885</v>
          </cell>
          <cell r="I95">
            <v>0</v>
          </cell>
        </row>
        <row r="96">
          <cell r="A96">
            <v>91024</v>
          </cell>
          <cell r="B96" t="str">
            <v>TOWN OF CAROLINA SHORES</v>
          </cell>
          <cell r="C96">
            <v>9.3599999999999998E-5</v>
          </cell>
          <cell r="D96"/>
          <cell r="E96">
            <v>54759</v>
          </cell>
          <cell r="F96">
            <v>20660</v>
          </cell>
          <cell r="G96">
            <v>30003</v>
          </cell>
          <cell r="H96">
            <v>8328</v>
          </cell>
          <cell r="I96">
            <v>0</v>
          </cell>
        </row>
        <row r="97">
          <cell r="A97">
            <v>91026</v>
          </cell>
          <cell r="B97" t="str">
            <v>TOWN OF NAVASSA</v>
          </cell>
          <cell r="C97">
            <v>3.1099999999999997E-5</v>
          </cell>
          <cell r="D97"/>
          <cell r="E97">
            <v>28455</v>
          </cell>
          <cell r="F97">
            <v>13574</v>
          </cell>
          <cell r="G97">
            <v>15997</v>
          </cell>
          <cell r="H97">
            <v>4453</v>
          </cell>
          <cell r="I97">
            <v>0</v>
          </cell>
        </row>
        <row r="98">
          <cell r="A98">
            <v>91027</v>
          </cell>
          <cell r="B98" t="str">
            <v>OAK ISLAND ABC BD</v>
          </cell>
          <cell r="C98">
            <v>1.7E-5</v>
          </cell>
          <cell r="D98"/>
          <cell r="E98">
            <v>14497</v>
          </cell>
          <cell r="F98">
            <v>7182</v>
          </cell>
          <cell r="G98">
            <v>7563</v>
          </cell>
          <cell r="H98">
            <v>2601</v>
          </cell>
          <cell r="I98">
            <v>0</v>
          </cell>
        </row>
        <row r="99">
          <cell r="A99">
            <v>91032</v>
          </cell>
          <cell r="B99" t="str">
            <v>TOWN OF ST JAMES</v>
          </cell>
          <cell r="C99">
            <v>1.66E-5</v>
          </cell>
          <cell r="D99"/>
          <cell r="E99">
            <v>14779</v>
          </cell>
          <cell r="F99">
            <v>8336</v>
          </cell>
          <cell r="G99">
            <v>8745</v>
          </cell>
          <cell r="H99">
            <v>3622</v>
          </cell>
          <cell r="I99">
            <v>0</v>
          </cell>
        </row>
        <row r="100">
          <cell r="A100">
            <v>91041</v>
          </cell>
          <cell r="B100" t="str">
            <v>TOWN OF SUNSET BEACH</v>
          </cell>
          <cell r="C100">
            <v>4.3379999999999997E-4</v>
          </cell>
          <cell r="D100"/>
          <cell r="E100">
            <v>180869</v>
          </cell>
          <cell r="F100">
            <v>47304</v>
          </cell>
          <cell r="G100">
            <v>107665</v>
          </cell>
          <cell r="H100">
            <v>26766</v>
          </cell>
          <cell r="I100">
            <v>0</v>
          </cell>
        </row>
        <row r="101">
          <cell r="A101">
            <v>91042</v>
          </cell>
          <cell r="B101" t="str">
            <v>BRUNSWICK REGIONAL WATER AND SEWER H2GO</v>
          </cell>
          <cell r="C101">
            <v>2.6259999999999999E-4</v>
          </cell>
          <cell r="D101"/>
          <cell r="E101">
            <v>128733</v>
          </cell>
          <cell r="F101">
            <v>42310</v>
          </cell>
          <cell r="G101">
            <v>69153</v>
          </cell>
          <cell r="H101">
            <v>16649</v>
          </cell>
          <cell r="I101">
            <v>0</v>
          </cell>
        </row>
        <row r="102">
          <cell r="A102">
            <v>91047</v>
          </cell>
          <cell r="B102" t="str">
            <v>TOWN OF SUNSET BEACH ABC BOARD</v>
          </cell>
          <cell r="C102">
            <v>1.15E-5</v>
          </cell>
          <cell r="D102"/>
          <cell r="E102">
            <v>14525</v>
          </cell>
          <cell r="F102">
            <v>8438</v>
          </cell>
          <cell r="G102">
            <v>7688</v>
          </cell>
          <cell r="H102">
            <v>3247</v>
          </cell>
          <cell r="I102">
            <v>0</v>
          </cell>
        </row>
        <row r="103">
          <cell r="A103">
            <v>91051</v>
          </cell>
          <cell r="B103" t="str">
            <v>TOWN OF CASWELL BEACH</v>
          </cell>
          <cell r="C103">
            <v>6.2799999999999995E-5</v>
          </cell>
          <cell r="D103"/>
          <cell r="E103">
            <v>28529</v>
          </cell>
          <cell r="F103">
            <v>7878</v>
          </cell>
          <cell r="G103">
            <v>16640</v>
          </cell>
          <cell r="H103">
            <v>4479</v>
          </cell>
          <cell r="I103">
            <v>0</v>
          </cell>
        </row>
        <row r="104">
          <cell r="A104">
            <v>91057</v>
          </cell>
          <cell r="B104" t="str">
            <v>SHALLOTTE ABC BOARD</v>
          </cell>
          <cell r="C104">
            <v>1.5699999999999999E-5</v>
          </cell>
          <cell r="D104"/>
          <cell r="E104">
            <v>10719</v>
          </cell>
          <cell r="F104">
            <v>4820</v>
          </cell>
          <cell r="G104">
            <v>6108</v>
          </cell>
          <cell r="H104">
            <v>2466</v>
          </cell>
          <cell r="I104">
            <v>0</v>
          </cell>
        </row>
        <row r="105">
          <cell r="A105">
            <v>91061</v>
          </cell>
          <cell r="B105" t="str">
            <v>TOWN OF OCEAN ISLE BEACH</v>
          </cell>
          <cell r="C105">
            <v>3.8039999999999998E-4</v>
          </cell>
          <cell r="D105"/>
          <cell r="E105">
            <v>185334</v>
          </cell>
          <cell r="F105">
            <v>54150</v>
          </cell>
          <cell r="G105">
            <v>95089</v>
          </cell>
          <cell r="H105">
            <v>29787</v>
          </cell>
          <cell r="I105">
            <v>0</v>
          </cell>
        </row>
        <row r="106">
          <cell r="A106">
            <v>91067</v>
          </cell>
          <cell r="B106" t="str">
            <v>OCEAN ISLE BEACH ABC BOARD</v>
          </cell>
          <cell r="C106">
            <v>1.6200000000000001E-5</v>
          </cell>
          <cell r="D106"/>
          <cell r="E106">
            <v>8634</v>
          </cell>
          <cell r="F106">
            <v>2853</v>
          </cell>
          <cell r="G106">
            <v>4796</v>
          </cell>
          <cell r="H106">
            <v>1346</v>
          </cell>
          <cell r="I106">
            <v>0</v>
          </cell>
        </row>
        <row r="107">
          <cell r="A107">
            <v>91071</v>
          </cell>
          <cell r="B107" t="str">
            <v>CITY OF BOILING SPRG LAKES</v>
          </cell>
          <cell r="C107">
            <v>2.4489999999999999E-4</v>
          </cell>
          <cell r="D107"/>
          <cell r="E107">
            <v>113453</v>
          </cell>
          <cell r="F107">
            <v>31355</v>
          </cell>
          <cell r="G107">
            <v>64196</v>
          </cell>
          <cell r="H107">
            <v>18074</v>
          </cell>
          <cell r="I107">
            <v>0</v>
          </cell>
        </row>
        <row r="108">
          <cell r="A108">
            <v>91077</v>
          </cell>
          <cell r="B108" t="str">
            <v>BOILING SPRING LAKES ABC BOARD</v>
          </cell>
          <cell r="C108">
            <v>5.9000000000000003E-6</v>
          </cell>
          <cell r="D108"/>
          <cell r="E108">
            <v>4045</v>
          </cell>
          <cell r="F108">
            <v>1918</v>
          </cell>
          <cell r="G108">
            <v>2334</v>
          </cell>
          <cell r="H108">
            <v>1042</v>
          </cell>
          <cell r="I108">
            <v>0</v>
          </cell>
        </row>
        <row r="109">
          <cell r="A109">
            <v>91081</v>
          </cell>
          <cell r="B109" t="str">
            <v>TOWN OF SHALLOTTE</v>
          </cell>
          <cell r="C109">
            <v>4.2739999999999998E-4</v>
          </cell>
          <cell r="D109"/>
          <cell r="E109">
            <v>217591</v>
          </cell>
          <cell r="F109">
            <v>73251</v>
          </cell>
          <cell r="G109">
            <v>121797</v>
          </cell>
          <cell r="H109">
            <v>36204</v>
          </cell>
          <cell r="I109">
            <v>0</v>
          </cell>
        </row>
        <row r="110">
          <cell r="A110">
            <v>91091</v>
          </cell>
          <cell r="B110" t="str">
            <v>VILLAGE OF BALD HEAD ISLAND</v>
          </cell>
          <cell r="C110">
            <v>5.4540000000000003E-4</v>
          </cell>
          <cell r="D110"/>
          <cell r="E110">
            <v>255972</v>
          </cell>
          <cell r="F110">
            <v>73504</v>
          </cell>
          <cell r="G110">
            <v>144176</v>
          </cell>
          <cell r="H110">
            <v>48076</v>
          </cell>
          <cell r="I110">
            <v>0</v>
          </cell>
        </row>
        <row r="111">
          <cell r="A111">
            <v>91101</v>
          </cell>
          <cell r="B111" t="str">
            <v>BUNCOMBE COUNTY</v>
          </cell>
          <cell r="C111">
            <v>1.32874E-2</v>
          </cell>
          <cell r="D111"/>
          <cell r="E111">
            <v>6139749</v>
          </cell>
          <cell r="F111">
            <v>1735439</v>
          </cell>
          <cell r="G111">
            <v>3332694</v>
          </cell>
          <cell r="H111">
            <v>869328</v>
          </cell>
          <cell r="I111">
            <v>0</v>
          </cell>
        </row>
        <row r="112">
          <cell r="A112">
            <v>91102</v>
          </cell>
          <cell r="B112" t="str">
            <v>LAND-OF-SKY REGIONAL COUNCIL</v>
          </cell>
          <cell r="C112">
            <v>3.279E-4</v>
          </cell>
          <cell r="D112"/>
          <cell r="E112">
            <v>169172</v>
          </cell>
          <cell r="F112">
            <v>54624</v>
          </cell>
          <cell r="G112">
            <v>86545</v>
          </cell>
          <cell r="H112">
            <v>24855</v>
          </cell>
          <cell r="I112">
            <v>0</v>
          </cell>
        </row>
        <row r="113">
          <cell r="A113">
            <v>91104</v>
          </cell>
          <cell r="B113" t="str">
            <v>WOODFIN ABC COMMISSION</v>
          </cell>
          <cell r="C113">
            <v>1.66E-5</v>
          </cell>
          <cell r="D113"/>
          <cell r="E113">
            <v>12025</v>
          </cell>
          <cell r="F113">
            <v>6256</v>
          </cell>
          <cell r="G113">
            <v>7799</v>
          </cell>
          <cell r="H113">
            <v>3935</v>
          </cell>
          <cell r="I113">
            <v>0</v>
          </cell>
        </row>
        <row r="114">
          <cell r="A114">
            <v>91107</v>
          </cell>
          <cell r="B114" t="str">
            <v>WESTERN AIR POLLUTION CTL</v>
          </cell>
          <cell r="C114">
            <v>5.4500000000000003E-5</v>
          </cell>
          <cell r="D114"/>
          <cell r="E114">
            <v>30946</v>
          </cell>
          <cell r="F114">
            <v>10869</v>
          </cell>
          <cell r="G114">
            <v>15770</v>
          </cell>
          <cell r="H114">
            <v>6215</v>
          </cell>
          <cell r="I114">
            <v>0</v>
          </cell>
        </row>
        <row r="115">
          <cell r="A115">
            <v>91108</v>
          </cell>
          <cell r="B115" t="str">
            <v>METRO SEWERAGE DIST OF BUNCOMBE COUNTY</v>
          </cell>
          <cell r="C115">
            <v>1.1929E-3</v>
          </cell>
          <cell r="D115"/>
          <cell r="E115">
            <v>611560</v>
          </cell>
          <cell r="F115">
            <v>202832</v>
          </cell>
          <cell r="G115">
            <v>333422</v>
          </cell>
          <cell r="H115">
            <v>101847</v>
          </cell>
          <cell r="I115">
            <v>0</v>
          </cell>
        </row>
        <row r="116">
          <cell r="A116">
            <v>91109</v>
          </cell>
          <cell r="B116" t="str">
            <v>WOODFIN SANITARY WATER AND SEWER DIST</v>
          </cell>
          <cell r="C116">
            <v>9.8300000000000004E-5</v>
          </cell>
          <cell r="D116"/>
          <cell r="E116">
            <v>50031</v>
          </cell>
          <cell r="F116">
            <v>17001</v>
          </cell>
          <cell r="G116">
            <v>27068</v>
          </cell>
          <cell r="H116">
            <v>7631</v>
          </cell>
          <cell r="I116">
            <v>0</v>
          </cell>
        </row>
        <row r="117">
          <cell r="A117">
            <v>91111</v>
          </cell>
          <cell r="B117" t="str">
            <v>TOWN OF BILTMORE FOREST</v>
          </cell>
          <cell r="C117">
            <v>1.973E-4</v>
          </cell>
          <cell r="D117"/>
          <cell r="E117">
            <v>96106</v>
          </cell>
          <cell r="F117">
            <v>28028</v>
          </cell>
          <cell r="G117">
            <v>48566</v>
          </cell>
          <cell r="H117">
            <v>10107</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92497</v>
          </cell>
          <cell r="F119">
            <v>32380</v>
          </cell>
          <cell r="G119">
            <v>53842</v>
          </cell>
          <cell r="H119">
            <v>22400</v>
          </cell>
          <cell r="I119">
            <v>0</v>
          </cell>
        </row>
        <row r="120">
          <cell r="A120">
            <v>91121</v>
          </cell>
          <cell r="B120" t="str">
            <v>CITY OF ASHEVILLE</v>
          </cell>
          <cell r="C120">
            <v>1.03844E-2</v>
          </cell>
          <cell r="D120"/>
          <cell r="E120">
            <v>4856004</v>
          </cell>
          <cell r="F120">
            <v>1457738</v>
          </cell>
          <cell r="G120">
            <v>2668171</v>
          </cell>
          <cell r="H120">
            <v>724857</v>
          </cell>
          <cell r="I120">
            <v>0</v>
          </cell>
        </row>
        <row r="121">
          <cell r="A121">
            <v>91127</v>
          </cell>
          <cell r="B121" t="str">
            <v>ASHEVILLE ABC BOARD</v>
          </cell>
          <cell r="C121">
            <v>2.7989999999999997E-4</v>
          </cell>
          <cell r="D121"/>
          <cell r="E121">
            <v>154118</v>
          </cell>
          <cell r="F121">
            <v>55488</v>
          </cell>
          <cell r="G121">
            <v>84913</v>
          </cell>
          <cell r="H121">
            <v>25090</v>
          </cell>
          <cell r="I121">
            <v>0</v>
          </cell>
        </row>
        <row r="122">
          <cell r="A122">
            <v>91128</v>
          </cell>
          <cell r="B122" t="str">
            <v>ASHEVILLE REGIONAL AIRPORT AUTHORITY</v>
          </cell>
          <cell r="C122">
            <v>4.6710000000000002E-4</v>
          </cell>
          <cell r="D122"/>
          <cell r="E122">
            <v>221771</v>
          </cell>
          <cell r="F122">
            <v>63859</v>
          </cell>
          <cell r="G122">
            <v>115043</v>
          </cell>
          <cell r="H122">
            <v>29532</v>
          </cell>
          <cell r="I122">
            <v>0</v>
          </cell>
        </row>
        <row r="123">
          <cell r="A123">
            <v>91138</v>
          </cell>
          <cell r="B123" t="str">
            <v>SKYLAND VOL FIRE DEPT</v>
          </cell>
          <cell r="C123">
            <v>4.8010000000000001E-4</v>
          </cell>
          <cell r="D123"/>
          <cell r="E123">
            <v>163599</v>
          </cell>
          <cell r="F123">
            <v>18128</v>
          </cell>
          <cell r="G123">
            <v>85693</v>
          </cell>
          <cell r="H123">
            <v>28226</v>
          </cell>
          <cell r="I123">
            <v>0</v>
          </cell>
        </row>
        <row r="124">
          <cell r="A124">
            <v>91141</v>
          </cell>
          <cell r="B124" t="str">
            <v>TOWN OF WEAVERVILLE</v>
          </cell>
          <cell r="C124">
            <v>6.3610000000000001E-4</v>
          </cell>
          <cell r="D124"/>
          <cell r="E124">
            <v>298986</v>
          </cell>
          <cell r="F124">
            <v>95444</v>
          </cell>
          <cell r="G124">
            <v>170296</v>
          </cell>
          <cell r="H124">
            <v>55865</v>
          </cell>
          <cell r="I124">
            <v>0</v>
          </cell>
        </row>
        <row r="125">
          <cell r="A125">
            <v>91147</v>
          </cell>
          <cell r="B125" t="str">
            <v>WEAVERVILLE ABC BOARD</v>
          </cell>
          <cell r="C125">
            <v>2.5400000000000001E-5</v>
          </cell>
          <cell r="D125"/>
          <cell r="E125">
            <v>13500</v>
          </cell>
          <cell r="F125">
            <v>4525</v>
          </cell>
          <cell r="G125">
            <v>7026</v>
          </cell>
          <cell r="H125">
            <v>1786</v>
          </cell>
          <cell r="I125">
            <v>0</v>
          </cell>
        </row>
        <row r="126">
          <cell r="A126">
            <v>91151</v>
          </cell>
          <cell r="B126" t="str">
            <v>TOWN OF BLACK MOUNTAIN</v>
          </cell>
          <cell r="C126">
            <v>5.8460000000000001E-4</v>
          </cell>
          <cell r="D126"/>
          <cell r="E126">
            <v>249042</v>
          </cell>
          <cell r="F126">
            <v>61061</v>
          </cell>
          <cell r="G126">
            <v>131153</v>
          </cell>
          <cell r="H126">
            <v>30229</v>
          </cell>
          <cell r="I126">
            <v>0</v>
          </cell>
        </row>
        <row r="127">
          <cell r="A127">
            <v>91154</v>
          </cell>
          <cell r="B127" t="str">
            <v>BLACK MTN ABC BOARD</v>
          </cell>
          <cell r="C127">
            <v>2.0999999999999999E-5</v>
          </cell>
          <cell r="D127"/>
          <cell r="E127">
            <v>10106</v>
          </cell>
          <cell r="F127">
            <v>2579</v>
          </cell>
          <cell r="G127">
            <v>4085</v>
          </cell>
          <cell r="H127">
            <v>657</v>
          </cell>
          <cell r="I127">
            <v>0</v>
          </cell>
        </row>
        <row r="128">
          <cell r="A128">
            <v>91161</v>
          </cell>
          <cell r="B128" t="str">
            <v>TOWN OF MONTREAT</v>
          </cell>
          <cell r="C128">
            <v>1.0509999999999999E-4</v>
          </cell>
          <cell r="D128"/>
          <cell r="E128">
            <v>51472</v>
          </cell>
          <cell r="F128">
            <v>16580</v>
          </cell>
          <cell r="G128">
            <v>28490</v>
          </cell>
          <cell r="H128">
            <v>10805</v>
          </cell>
          <cell r="I128">
            <v>0</v>
          </cell>
        </row>
        <row r="129">
          <cell r="A129">
            <v>91171</v>
          </cell>
          <cell r="B129" t="str">
            <v>TOWN OF WOODFIN</v>
          </cell>
          <cell r="C129">
            <v>2.6820000000000001E-4</v>
          </cell>
          <cell r="D129"/>
          <cell r="E129">
            <v>127521</v>
          </cell>
          <cell r="F129">
            <v>39363</v>
          </cell>
          <cell r="G129">
            <v>79281</v>
          </cell>
          <cell r="H129">
            <v>22491</v>
          </cell>
          <cell r="I129">
            <v>0</v>
          </cell>
        </row>
        <row r="130">
          <cell r="A130">
            <v>91201</v>
          </cell>
          <cell r="B130" t="str">
            <v>BURKE COUNTY</v>
          </cell>
          <cell r="C130">
            <v>2.2897999999999998E-3</v>
          </cell>
          <cell r="D130"/>
          <cell r="E130">
            <v>1070100</v>
          </cell>
          <cell r="F130">
            <v>302879</v>
          </cell>
          <cell r="G130">
            <v>583765</v>
          </cell>
          <cell r="H130">
            <v>165957</v>
          </cell>
          <cell r="I130">
            <v>0</v>
          </cell>
        </row>
        <row r="131">
          <cell r="A131">
            <v>91202</v>
          </cell>
          <cell r="B131" t="str">
            <v>BURKE-CATAWBA DIST CONFINEMENT</v>
          </cell>
          <cell r="C131">
            <v>1.752E-4</v>
          </cell>
          <cell r="D131"/>
          <cell r="E131">
            <v>87426</v>
          </cell>
          <cell r="F131">
            <v>25378</v>
          </cell>
          <cell r="G131">
            <v>43175</v>
          </cell>
          <cell r="H131">
            <v>9066</v>
          </cell>
          <cell r="I131">
            <v>0</v>
          </cell>
        </row>
        <row r="132">
          <cell r="A132">
            <v>91203</v>
          </cell>
          <cell r="B132" t="str">
            <v>BURKE CO HEALTH DEPT</v>
          </cell>
          <cell r="C132">
            <v>2.2670000000000001E-4</v>
          </cell>
          <cell r="D132"/>
          <cell r="E132">
            <v>125551</v>
          </cell>
          <cell r="F132">
            <v>45550</v>
          </cell>
          <cell r="G132">
            <v>70312</v>
          </cell>
          <cell r="H132">
            <v>20646</v>
          </cell>
          <cell r="I132">
            <v>0</v>
          </cell>
        </row>
        <row r="133">
          <cell r="A133">
            <v>91206</v>
          </cell>
          <cell r="B133" t="str">
            <v>BURKE CO DEPT OF SOCIAL SERVICES</v>
          </cell>
          <cell r="C133">
            <v>9.525E-4</v>
          </cell>
          <cell r="D133"/>
          <cell r="E133">
            <v>483466</v>
          </cell>
          <cell r="F133">
            <v>162702</v>
          </cell>
          <cell r="G133">
            <v>265638</v>
          </cell>
          <cell r="H133">
            <v>78416</v>
          </cell>
          <cell r="I133">
            <v>0</v>
          </cell>
        </row>
        <row r="134">
          <cell r="A134">
            <v>91208</v>
          </cell>
          <cell r="B134" t="str">
            <v>BURKE COUNTY TOURISM DEV. AUTHORITY</v>
          </cell>
          <cell r="C134">
            <v>1.9000000000000001E-5</v>
          </cell>
          <cell r="D134"/>
          <cell r="E134">
            <v>10516</v>
          </cell>
          <cell r="F134">
            <v>4033</v>
          </cell>
          <cell r="G134">
            <v>6140</v>
          </cell>
          <cell r="H134">
            <v>2679</v>
          </cell>
          <cell r="I134">
            <v>0</v>
          </cell>
        </row>
        <row r="135">
          <cell r="A135">
            <v>91211</v>
          </cell>
          <cell r="B135" t="str">
            <v>TOWN OF VALDESE</v>
          </cell>
          <cell r="C135">
            <v>4.4870000000000001E-4</v>
          </cell>
          <cell r="D135"/>
          <cell r="E135">
            <v>211709</v>
          </cell>
          <cell r="F135">
            <v>59880</v>
          </cell>
          <cell r="G135">
            <v>110178</v>
          </cell>
          <cell r="H135">
            <v>29065</v>
          </cell>
          <cell r="I135">
            <v>0</v>
          </cell>
        </row>
        <row r="136">
          <cell r="A136">
            <v>91213</v>
          </cell>
          <cell r="B136" t="str">
            <v>VALDESE HOUSING AUTHORITY</v>
          </cell>
          <cell r="C136">
            <v>2.9200000000000002E-5</v>
          </cell>
          <cell r="D136"/>
          <cell r="E136">
            <v>11752</v>
          </cell>
          <cell r="F136">
            <v>2479</v>
          </cell>
          <cell r="G136">
            <v>6909</v>
          </cell>
          <cell r="H136">
            <v>2857</v>
          </cell>
          <cell r="I136">
            <v>0</v>
          </cell>
        </row>
        <row r="137">
          <cell r="A137">
            <v>91214</v>
          </cell>
          <cell r="B137" t="str">
            <v>TOWN OF RUTHERFORD COLLEGE</v>
          </cell>
          <cell r="C137">
            <v>3.5800000000000003E-5</v>
          </cell>
          <cell r="D137"/>
          <cell r="E137">
            <v>16230</v>
          </cell>
          <cell r="F137">
            <v>4575</v>
          </cell>
          <cell r="G137">
            <v>9222</v>
          </cell>
          <cell r="H137">
            <v>2862</v>
          </cell>
          <cell r="I137">
            <v>0</v>
          </cell>
        </row>
        <row r="138">
          <cell r="A138">
            <v>91217</v>
          </cell>
          <cell r="B138" t="str">
            <v>MORGANTON ABC BOARD</v>
          </cell>
          <cell r="C138">
            <v>2.0400000000000001E-5</v>
          </cell>
          <cell r="D138"/>
          <cell r="E138">
            <v>13487</v>
          </cell>
          <cell r="F138">
            <v>4926</v>
          </cell>
          <cell r="G138">
            <v>6551</v>
          </cell>
          <cell r="H138">
            <v>3505</v>
          </cell>
          <cell r="I138">
            <v>0</v>
          </cell>
        </row>
        <row r="139">
          <cell r="A139">
            <v>91221</v>
          </cell>
          <cell r="B139" t="str">
            <v>TOWN OF DREXEL</v>
          </cell>
          <cell r="C139">
            <v>1.099E-4</v>
          </cell>
          <cell r="D139"/>
          <cell r="E139">
            <v>46833</v>
          </cell>
          <cell r="F139">
            <v>11605</v>
          </cell>
          <cell r="G139">
            <v>23788</v>
          </cell>
          <cell r="H139">
            <v>5390</v>
          </cell>
          <cell r="I139">
            <v>0</v>
          </cell>
        </row>
        <row r="140">
          <cell r="A140">
            <v>91231</v>
          </cell>
          <cell r="B140" t="str">
            <v>CITY OF MORGANTON</v>
          </cell>
          <cell r="C140">
            <v>1.8722999999999999E-3</v>
          </cell>
          <cell r="D140"/>
          <cell r="E140">
            <v>881411</v>
          </cell>
          <cell r="F140">
            <v>263400</v>
          </cell>
          <cell r="G140">
            <v>494558</v>
          </cell>
          <cell r="H140">
            <v>146167</v>
          </cell>
          <cell r="I140">
            <v>0</v>
          </cell>
        </row>
        <row r="141">
          <cell r="A141">
            <v>91233</v>
          </cell>
          <cell r="B141" t="str">
            <v>MORGANTON HOUSING AUTHORITY</v>
          </cell>
          <cell r="C141">
            <v>6.1699999999999995E-5</v>
          </cell>
          <cell r="D141"/>
          <cell r="E141">
            <v>30873</v>
          </cell>
          <cell r="F141">
            <v>10109</v>
          </cell>
          <cell r="G141">
            <v>16006</v>
          </cell>
          <cell r="H141">
            <v>5920</v>
          </cell>
          <cell r="I141">
            <v>0</v>
          </cell>
        </row>
        <row r="142">
          <cell r="A142">
            <v>91241</v>
          </cell>
          <cell r="B142" t="str">
            <v>TOWN OF GLEN ALPINE</v>
          </cell>
          <cell r="C142">
            <v>5.3499999999999999E-5</v>
          </cell>
          <cell r="D142"/>
          <cell r="E142">
            <v>28807</v>
          </cell>
          <cell r="F142">
            <v>11458</v>
          </cell>
          <cell r="G142">
            <v>17585</v>
          </cell>
          <cell r="H142">
            <v>4527</v>
          </cell>
          <cell r="I142">
            <v>0</v>
          </cell>
        </row>
        <row r="143">
          <cell r="A143">
            <v>91251</v>
          </cell>
          <cell r="B143" t="str">
            <v>TOWN OF HILDEBRAN</v>
          </cell>
          <cell r="C143">
            <v>2.0000000000000002E-5</v>
          </cell>
          <cell r="D143"/>
          <cell r="E143">
            <v>9371</v>
          </cell>
          <cell r="F143">
            <v>2816</v>
          </cell>
          <cell r="G143">
            <v>5755</v>
          </cell>
          <cell r="H143">
            <v>-294</v>
          </cell>
          <cell r="I143">
            <v>0</v>
          </cell>
        </row>
        <row r="144">
          <cell r="A144">
            <v>91261</v>
          </cell>
          <cell r="B144" t="str">
            <v>TOWN OF CONNELLY SPRINGS</v>
          </cell>
          <cell r="C144">
            <v>9.7000000000000003E-6</v>
          </cell>
          <cell r="D144"/>
          <cell r="E144">
            <v>4563</v>
          </cell>
          <cell r="F144">
            <v>1171</v>
          </cell>
          <cell r="G144">
            <v>2150</v>
          </cell>
          <cell r="H144">
            <v>316</v>
          </cell>
          <cell r="I144">
            <v>0</v>
          </cell>
        </row>
        <row r="145">
          <cell r="A145">
            <v>91301</v>
          </cell>
          <cell r="B145" t="str">
            <v>CABARRUS COUNTY</v>
          </cell>
          <cell r="C145">
            <v>7.9497999999999999E-3</v>
          </cell>
          <cell r="D145"/>
          <cell r="E145">
            <v>3838995</v>
          </cell>
          <cell r="F145">
            <v>1152979</v>
          </cell>
          <cell r="G145">
            <v>2092277</v>
          </cell>
          <cell r="H145">
            <v>609098</v>
          </cell>
          <cell r="I145">
            <v>0</v>
          </cell>
        </row>
        <row r="146">
          <cell r="A146">
            <v>91302</v>
          </cell>
          <cell r="B146" t="str">
            <v>WATER &amp; SEWER AUTH CABARRUS CNTY</v>
          </cell>
          <cell r="C146">
            <v>5.354E-4</v>
          </cell>
          <cell r="D146"/>
          <cell r="E146">
            <v>245630</v>
          </cell>
          <cell r="F146">
            <v>64145</v>
          </cell>
          <cell r="G146">
            <v>126768</v>
          </cell>
          <cell r="H146">
            <v>38087</v>
          </cell>
          <cell r="I146">
            <v>0</v>
          </cell>
        </row>
        <row r="147">
          <cell r="A147">
            <v>91306</v>
          </cell>
          <cell r="B147" t="str">
            <v>CABARRUS CO PUBLIC HEALTH AUTH</v>
          </cell>
          <cell r="C147">
            <v>1.8244999999999999E-3</v>
          </cell>
          <cell r="D147"/>
          <cell r="E147">
            <v>940134</v>
          </cell>
          <cell r="F147">
            <v>310014</v>
          </cell>
          <cell r="G147">
            <v>519512</v>
          </cell>
          <cell r="H147">
            <v>136728</v>
          </cell>
          <cell r="I147">
            <v>0</v>
          </cell>
        </row>
        <row r="148">
          <cell r="A148">
            <v>91308</v>
          </cell>
          <cell r="B148" t="str">
            <v>CABARRUS COUNTY TOURISM AUTHORITY</v>
          </cell>
          <cell r="C148">
            <v>1.7009999999999999E-4</v>
          </cell>
          <cell r="D148"/>
          <cell r="E148">
            <v>76130</v>
          </cell>
          <cell r="F148">
            <v>18730</v>
          </cell>
          <cell r="G148">
            <v>42764</v>
          </cell>
          <cell r="H148">
            <v>12551</v>
          </cell>
          <cell r="I148">
            <v>0</v>
          </cell>
        </row>
        <row r="149">
          <cell r="A149">
            <v>91311</v>
          </cell>
          <cell r="B149" t="str">
            <v>CITY OF CONCORD</v>
          </cell>
          <cell r="C149">
            <v>7.9030000000000003E-3</v>
          </cell>
          <cell r="D149"/>
          <cell r="E149">
            <v>3741589</v>
          </cell>
          <cell r="F149">
            <v>1151373</v>
          </cell>
          <cell r="G149">
            <v>2093504</v>
          </cell>
          <cell r="H149">
            <v>618523</v>
          </cell>
          <cell r="I149">
            <v>0</v>
          </cell>
        </row>
        <row r="150">
          <cell r="A150">
            <v>91317</v>
          </cell>
          <cell r="B150" t="str">
            <v>CONCORD ABC BOARD</v>
          </cell>
          <cell r="C150">
            <v>1.015E-4</v>
          </cell>
          <cell r="D150"/>
          <cell r="E150">
            <v>55419</v>
          </cell>
          <cell r="F150">
            <v>21480</v>
          </cell>
          <cell r="G150">
            <v>30333</v>
          </cell>
          <cell r="H150">
            <v>10129</v>
          </cell>
          <cell r="I150">
            <v>0</v>
          </cell>
        </row>
        <row r="151">
          <cell r="A151">
            <v>91321</v>
          </cell>
          <cell r="B151" t="str">
            <v>TOWN OF MOUNT PLEASANT</v>
          </cell>
          <cell r="C151">
            <v>5.3600000000000002E-5</v>
          </cell>
          <cell r="D151"/>
          <cell r="E151">
            <v>42309</v>
          </cell>
          <cell r="F151">
            <v>23056</v>
          </cell>
          <cell r="G151">
            <v>25513</v>
          </cell>
          <cell r="H151">
            <v>10029</v>
          </cell>
          <cell r="I151">
            <v>0</v>
          </cell>
        </row>
        <row r="152">
          <cell r="A152">
            <v>91327</v>
          </cell>
          <cell r="B152" t="str">
            <v>MT PLEASANT ABC BOARD</v>
          </cell>
          <cell r="C152">
            <v>1.0900000000000001E-5</v>
          </cell>
          <cell r="D152"/>
          <cell r="E152">
            <v>5795</v>
          </cell>
          <cell r="F152">
            <v>2263</v>
          </cell>
          <cell r="G152">
            <v>3707</v>
          </cell>
          <cell r="H152">
            <v>1518</v>
          </cell>
          <cell r="I152">
            <v>0</v>
          </cell>
        </row>
        <row r="153">
          <cell r="A153">
            <v>91331</v>
          </cell>
          <cell r="B153" t="str">
            <v>CITY OF KANNAPOLIS</v>
          </cell>
          <cell r="C153">
            <v>2.9286E-3</v>
          </cell>
          <cell r="D153"/>
          <cell r="E153">
            <v>1296081</v>
          </cell>
          <cell r="F153">
            <v>353921</v>
          </cell>
          <cell r="G153">
            <v>699396</v>
          </cell>
          <cell r="H153">
            <v>181132</v>
          </cell>
          <cell r="I153">
            <v>0</v>
          </cell>
        </row>
        <row r="154">
          <cell r="A154">
            <v>91341</v>
          </cell>
          <cell r="B154" t="str">
            <v>TOWN OF MIDLAND</v>
          </cell>
          <cell r="C154">
            <v>3.79E-5</v>
          </cell>
          <cell r="D154"/>
          <cell r="E154">
            <v>21938</v>
          </cell>
          <cell r="F154">
            <v>9690</v>
          </cell>
          <cell r="G154">
            <v>12685</v>
          </cell>
          <cell r="H154">
            <v>5146</v>
          </cell>
          <cell r="I154">
            <v>0</v>
          </cell>
        </row>
        <row r="155">
          <cell r="A155">
            <v>91401</v>
          </cell>
          <cell r="B155" t="str">
            <v>CALDWELL COUNTY</v>
          </cell>
          <cell r="C155">
            <v>3.3915999999999998E-3</v>
          </cell>
          <cell r="D155"/>
          <cell r="E155">
            <v>1574937</v>
          </cell>
          <cell r="F155">
            <v>434103</v>
          </cell>
          <cell r="G155">
            <v>853863</v>
          </cell>
          <cell r="H155">
            <v>233817</v>
          </cell>
          <cell r="I155">
            <v>0</v>
          </cell>
        </row>
        <row r="156">
          <cell r="A156">
            <v>91411</v>
          </cell>
          <cell r="B156" t="str">
            <v>TOWN OF GRANITE FALLS</v>
          </cell>
          <cell r="C156">
            <v>3.9639999999999999E-4</v>
          </cell>
          <cell r="D156"/>
          <cell r="E156">
            <v>201521</v>
          </cell>
          <cell r="F156">
            <v>63550</v>
          </cell>
          <cell r="G156">
            <v>105634</v>
          </cell>
          <cell r="H156">
            <v>30337</v>
          </cell>
          <cell r="I156">
            <v>0</v>
          </cell>
        </row>
        <row r="157">
          <cell r="A157">
            <v>91414</v>
          </cell>
          <cell r="B157" t="str">
            <v>TOWN OF RHODHISS</v>
          </cell>
          <cell r="C157">
            <v>2.2200000000000001E-5</v>
          </cell>
          <cell r="D157"/>
          <cell r="E157">
            <v>15089</v>
          </cell>
          <cell r="F157">
            <v>7604</v>
          </cell>
          <cell r="G157">
            <v>10132</v>
          </cell>
          <cell r="H157">
            <v>5937</v>
          </cell>
          <cell r="I157">
            <v>0</v>
          </cell>
        </row>
        <row r="158">
          <cell r="A158">
            <v>91417</v>
          </cell>
          <cell r="B158" t="str">
            <v>GRANITE FALLS ABC BOARD</v>
          </cell>
          <cell r="C158">
            <v>7.3000000000000004E-6</v>
          </cell>
          <cell r="D158"/>
          <cell r="E158">
            <v>4064</v>
          </cell>
          <cell r="F158">
            <v>1536</v>
          </cell>
          <cell r="G158">
            <v>2262</v>
          </cell>
          <cell r="H158">
            <v>761</v>
          </cell>
          <cell r="I158">
            <v>0</v>
          </cell>
        </row>
        <row r="159">
          <cell r="A159">
            <v>91421</v>
          </cell>
          <cell r="B159" t="str">
            <v>TOWN OF SAWMILLS</v>
          </cell>
          <cell r="C159">
            <v>6.69E-5</v>
          </cell>
          <cell r="D159"/>
          <cell r="E159">
            <v>34405</v>
          </cell>
          <cell r="F159">
            <v>11905</v>
          </cell>
          <cell r="G159">
            <v>18756</v>
          </cell>
          <cell r="H159">
            <v>4914</v>
          </cell>
          <cell r="I159">
            <v>0</v>
          </cell>
        </row>
        <row r="160">
          <cell r="A160">
            <v>91423</v>
          </cell>
          <cell r="B160" t="str">
            <v>LENOIR HOUSING AUTHORITY</v>
          </cell>
          <cell r="C160">
            <v>5.2899999999999998E-5</v>
          </cell>
          <cell r="D160"/>
          <cell r="E160">
            <v>26173</v>
          </cell>
          <cell r="F160">
            <v>8212</v>
          </cell>
          <cell r="G160">
            <v>12520</v>
          </cell>
          <cell r="H160">
            <v>4231</v>
          </cell>
          <cell r="I160">
            <v>0</v>
          </cell>
        </row>
        <row r="161">
          <cell r="A161">
            <v>91431</v>
          </cell>
          <cell r="B161" t="str">
            <v>TOWN OF HUDSON</v>
          </cell>
          <cell r="C161">
            <v>1.819E-4</v>
          </cell>
          <cell r="D161"/>
          <cell r="E161">
            <v>99884</v>
          </cell>
          <cell r="F161">
            <v>39037</v>
          </cell>
          <cell r="G161">
            <v>55604</v>
          </cell>
          <cell r="H161">
            <v>18263</v>
          </cell>
          <cell r="I161">
            <v>0</v>
          </cell>
        </row>
        <row r="162">
          <cell r="A162">
            <v>91441</v>
          </cell>
          <cell r="B162" t="str">
            <v>TOWN OF HARRISBURG</v>
          </cell>
          <cell r="C162">
            <v>9.8020000000000008E-4</v>
          </cell>
          <cell r="D162"/>
          <cell r="E162">
            <v>429921</v>
          </cell>
          <cell r="F162">
            <v>117874</v>
          </cell>
          <cell r="G162">
            <v>217735</v>
          </cell>
          <cell r="H162">
            <v>55791</v>
          </cell>
          <cell r="I162">
            <v>0</v>
          </cell>
        </row>
        <row r="163">
          <cell r="A163">
            <v>91451</v>
          </cell>
          <cell r="B163" t="str">
            <v>CITY OF LENOIR</v>
          </cell>
          <cell r="C163">
            <v>1.5533999999999999E-3</v>
          </cell>
          <cell r="D163"/>
          <cell r="E163">
            <v>725223</v>
          </cell>
          <cell r="F163">
            <v>226578</v>
          </cell>
          <cell r="G163">
            <v>419476</v>
          </cell>
          <cell r="H163">
            <v>125808</v>
          </cell>
          <cell r="I163">
            <v>0</v>
          </cell>
        </row>
        <row r="164">
          <cell r="A164">
            <v>91457</v>
          </cell>
          <cell r="B164" t="str">
            <v>CITY OF LENOIR ABC BRD</v>
          </cell>
          <cell r="C164">
            <v>1.5500000000000001E-5</v>
          </cell>
          <cell r="D164"/>
          <cell r="E164">
            <v>20900</v>
          </cell>
          <cell r="F164">
            <v>12727</v>
          </cell>
          <cell r="G164">
            <v>10994</v>
          </cell>
          <cell r="H164">
            <v>4296</v>
          </cell>
          <cell r="I164">
            <v>0</v>
          </cell>
        </row>
        <row r="165">
          <cell r="A165">
            <v>91461</v>
          </cell>
          <cell r="B165" t="str">
            <v>TOWN OF CAJAH'S MOUNTAIN</v>
          </cell>
          <cell r="C165">
            <v>9.5000000000000005E-6</v>
          </cell>
          <cell r="D165"/>
          <cell r="E165">
            <v>3963</v>
          </cell>
          <cell r="F165">
            <v>636</v>
          </cell>
          <cell r="G165">
            <v>1878</v>
          </cell>
          <cell r="H165">
            <v>360</v>
          </cell>
          <cell r="I165">
            <v>0</v>
          </cell>
        </row>
        <row r="166">
          <cell r="A166">
            <v>91501</v>
          </cell>
          <cell r="B166" t="str">
            <v>CAMDEN COUNTY</v>
          </cell>
          <cell r="C166">
            <v>5.1179999999999997E-4</v>
          </cell>
          <cell r="D166"/>
          <cell r="E166">
            <v>254038</v>
          </cell>
          <cell r="F166">
            <v>79041</v>
          </cell>
          <cell r="G166">
            <v>139043</v>
          </cell>
          <cell r="H166">
            <v>46149</v>
          </cell>
          <cell r="I166">
            <v>0</v>
          </cell>
        </row>
        <row r="167">
          <cell r="A167">
            <v>91504</v>
          </cell>
          <cell r="B167" t="str">
            <v>CAMDEN COUNTY ABC BOARD</v>
          </cell>
          <cell r="C167">
            <v>8.3999999999999992E-6</v>
          </cell>
          <cell r="D167"/>
          <cell r="E167">
            <v>5509</v>
          </cell>
          <cell r="F167">
            <v>2319</v>
          </cell>
          <cell r="G167">
            <v>2946</v>
          </cell>
          <cell r="H167">
            <v>911</v>
          </cell>
          <cell r="I167">
            <v>0</v>
          </cell>
        </row>
        <row r="168">
          <cell r="A168">
            <v>91601</v>
          </cell>
          <cell r="B168" t="str">
            <v>CARTERET COUNTY</v>
          </cell>
          <cell r="C168">
            <v>3.0071E-3</v>
          </cell>
          <cell r="D168"/>
          <cell r="E168">
            <v>1545468</v>
          </cell>
          <cell r="F168">
            <v>500845</v>
          </cell>
          <cell r="G168">
            <v>853299</v>
          </cell>
          <cell r="H168">
            <v>284266</v>
          </cell>
          <cell r="I168">
            <v>0</v>
          </cell>
        </row>
        <row r="169">
          <cell r="A169">
            <v>91604</v>
          </cell>
          <cell r="B169" t="str">
            <v>CARTERET COUNTY ABC BOARD</v>
          </cell>
          <cell r="C169">
            <v>8.5599999999999994E-5</v>
          </cell>
          <cell r="D169"/>
          <cell r="E169">
            <v>51863</v>
          </cell>
          <cell r="F169">
            <v>20757</v>
          </cell>
          <cell r="G169">
            <v>28244</v>
          </cell>
          <cell r="H169">
            <v>9838</v>
          </cell>
          <cell r="I169">
            <v>0</v>
          </cell>
        </row>
        <row r="170">
          <cell r="A170">
            <v>91608</v>
          </cell>
          <cell r="B170" t="str">
            <v>WESTERN CARTERET INTERLOCAL COOPERATION AGENCY</v>
          </cell>
          <cell r="C170">
            <v>1.5420000000000001E-4</v>
          </cell>
          <cell r="D170"/>
          <cell r="E170">
            <v>63397</v>
          </cell>
          <cell r="F170">
            <v>13891</v>
          </cell>
          <cell r="G170">
            <v>31058</v>
          </cell>
          <cell r="H170">
            <v>5995</v>
          </cell>
          <cell r="I170">
            <v>0</v>
          </cell>
        </row>
        <row r="171">
          <cell r="A171">
            <v>91611</v>
          </cell>
          <cell r="B171" t="str">
            <v>TOWN OF MOREHEAD CITY</v>
          </cell>
          <cell r="C171">
            <v>1.4658E-3</v>
          </cell>
          <cell r="D171"/>
          <cell r="E171">
            <v>659663</v>
          </cell>
          <cell r="F171">
            <v>170402</v>
          </cell>
          <cell r="G171">
            <v>346557</v>
          </cell>
          <cell r="H171">
            <v>90138</v>
          </cell>
          <cell r="I171">
            <v>0</v>
          </cell>
        </row>
        <row r="172">
          <cell r="A172">
            <v>91621</v>
          </cell>
          <cell r="B172" t="str">
            <v>TOWN OF NEWPORT</v>
          </cell>
          <cell r="C172">
            <v>2.418E-4</v>
          </cell>
          <cell r="D172"/>
          <cell r="E172">
            <v>110459</v>
          </cell>
          <cell r="F172">
            <v>30308</v>
          </cell>
          <cell r="G172">
            <v>57939</v>
          </cell>
          <cell r="H172">
            <v>14040</v>
          </cell>
          <cell r="I172">
            <v>0</v>
          </cell>
        </row>
        <row r="173">
          <cell r="A173">
            <v>91631</v>
          </cell>
          <cell r="B173" t="str">
            <v>TOWN OF BEAUFORT</v>
          </cell>
          <cell r="C173">
            <v>5.9349999999999995E-4</v>
          </cell>
          <cell r="D173"/>
          <cell r="E173">
            <v>278130</v>
          </cell>
          <cell r="F173">
            <v>84867</v>
          </cell>
          <cell r="G173">
            <v>159183</v>
          </cell>
          <cell r="H173">
            <v>47920</v>
          </cell>
          <cell r="I173">
            <v>0</v>
          </cell>
        </row>
        <row r="174">
          <cell r="A174">
            <v>91633</v>
          </cell>
          <cell r="B174" t="str">
            <v>BEAUFORT HOUSING AUTH</v>
          </cell>
          <cell r="C174">
            <v>3.15E-5</v>
          </cell>
          <cell r="D174"/>
          <cell r="E174">
            <v>17017</v>
          </cell>
          <cell r="F174">
            <v>6082</v>
          </cell>
          <cell r="G174">
            <v>9553</v>
          </cell>
          <cell r="H174">
            <v>4536</v>
          </cell>
          <cell r="I174">
            <v>0</v>
          </cell>
        </row>
        <row r="175">
          <cell r="A175">
            <v>91641</v>
          </cell>
          <cell r="B175" t="str">
            <v>TOWN OF PINE KNOLL SHORES</v>
          </cell>
          <cell r="C175">
            <v>2.8519999999999999E-4</v>
          </cell>
          <cell r="D175"/>
          <cell r="E175">
            <v>118507</v>
          </cell>
          <cell r="F175">
            <v>30751</v>
          </cell>
          <cell r="G175">
            <v>64700</v>
          </cell>
          <cell r="H175">
            <v>21979</v>
          </cell>
          <cell r="I175">
            <v>0</v>
          </cell>
        </row>
        <row r="176">
          <cell r="A176">
            <v>91651</v>
          </cell>
          <cell r="B176" t="str">
            <v>TOWN OF EMERALD ISLE</v>
          </cell>
          <cell r="C176">
            <v>5.4049999999999996E-4</v>
          </cell>
          <cell r="D176"/>
          <cell r="E176">
            <v>277263</v>
          </cell>
          <cell r="F176">
            <v>98615</v>
          </cell>
          <cell r="G176">
            <v>162718</v>
          </cell>
          <cell r="H176">
            <v>54053</v>
          </cell>
          <cell r="I176">
            <v>0</v>
          </cell>
        </row>
        <row r="177">
          <cell r="A177">
            <v>91661</v>
          </cell>
          <cell r="B177" t="str">
            <v>TOWN OF INDIAN BEACH</v>
          </cell>
          <cell r="C177">
            <v>1.8760000000000001E-4</v>
          </cell>
          <cell r="D177"/>
          <cell r="E177">
            <v>76020</v>
          </cell>
          <cell r="F177">
            <v>18846</v>
          </cell>
          <cell r="G177">
            <v>44354</v>
          </cell>
          <cell r="H177">
            <v>10635</v>
          </cell>
          <cell r="I177">
            <v>0</v>
          </cell>
        </row>
        <row r="178">
          <cell r="A178">
            <v>91671</v>
          </cell>
          <cell r="B178" t="str">
            <v>TOWN OF CAPE CARTERET</v>
          </cell>
          <cell r="C178">
            <v>1.076E-4</v>
          </cell>
          <cell r="D178"/>
          <cell r="E178">
            <v>51196</v>
          </cell>
          <cell r="F178">
            <v>13923</v>
          </cell>
          <cell r="G178">
            <v>26474</v>
          </cell>
          <cell r="H178">
            <v>4807</v>
          </cell>
          <cell r="I178">
            <v>0</v>
          </cell>
        </row>
        <row r="179">
          <cell r="A179">
            <v>91681</v>
          </cell>
          <cell r="B179" t="str">
            <v>TOWN OF ATLANTIC BEACH</v>
          </cell>
          <cell r="C179">
            <v>4.5909999999999999E-4</v>
          </cell>
          <cell r="D179"/>
          <cell r="E179">
            <v>348984</v>
          </cell>
          <cell r="F179">
            <v>171205</v>
          </cell>
          <cell r="G179">
            <v>189070</v>
          </cell>
          <cell r="H179">
            <v>69179</v>
          </cell>
          <cell r="I179">
            <v>0</v>
          </cell>
        </row>
        <row r="180">
          <cell r="A180">
            <v>91691</v>
          </cell>
          <cell r="B180" t="str">
            <v>TOWN OF CEDAR POINT</v>
          </cell>
          <cell r="C180">
            <v>2.2900000000000001E-5</v>
          </cell>
          <cell r="D180"/>
          <cell r="E180">
            <v>11850</v>
          </cell>
          <cell r="F180">
            <v>3613</v>
          </cell>
          <cell r="G180">
            <v>6475</v>
          </cell>
          <cell r="H180">
            <v>2245</v>
          </cell>
          <cell r="I180">
            <v>0</v>
          </cell>
        </row>
        <row r="181">
          <cell r="A181">
            <v>91701</v>
          </cell>
          <cell r="B181" t="str">
            <v>CASWELL COUNTY</v>
          </cell>
          <cell r="C181">
            <v>1.1343E-3</v>
          </cell>
          <cell r="D181"/>
          <cell r="E181">
            <v>543279</v>
          </cell>
          <cell r="F181">
            <v>156901</v>
          </cell>
          <cell r="G181">
            <v>265728</v>
          </cell>
          <cell r="H181">
            <v>61073</v>
          </cell>
          <cell r="I181">
            <v>0</v>
          </cell>
        </row>
        <row r="182">
          <cell r="A182">
            <v>91704</v>
          </cell>
          <cell r="B182" t="str">
            <v>CASWELL COUNTY ABC BOARD</v>
          </cell>
          <cell r="C182">
            <v>1.7600000000000001E-5</v>
          </cell>
          <cell r="D182"/>
          <cell r="E182">
            <v>8798</v>
          </cell>
          <cell r="F182">
            <v>2843</v>
          </cell>
          <cell r="G182">
            <v>4834</v>
          </cell>
          <cell r="H182">
            <v>1475</v>
          </cell>
          <cell r="I182">
            <v>0</v>
          </cell>
        </row>
        <row r="183">
          <cell r="A183">
            <v>91706</v>
          </cell>
          <cell r="B183" t="str">
            <v>CASWELL CO DEPT OF SOCIAL SERVICES</v>
          </cell>
          <cell r="C183">
            <v>2.543E-4</v>
          </cell>
          <cell r="D183"/>
          <cell r="E183">
            <v>140680</v>
          </cell>
          <cell r="F183">
            <v>55770</v>
          </cell>
          <cell r="G183">
            <v>82578</v>
          </cell>
          <cell r="H183">
            <v>26898</v>
          </cell>
          <cell r="I183">
            <v>0</v>
          </cell>
        </row>
        <row r="184">
          <cell r="A184">
            <v>91719</v>
          </cell>
          <cell r="B184" t="str">
            <v>TOWN OF YANCEYVILLE</v>
          </cell>
          <cell r="C184">
            <v>5.6700000000000003E-5</v>
          </cell>
          <cell r="D184"/>
          <cell r="E184">
            <v>25709</v>
          </cell>
          <cell r="F184">
            <v>6762</v>
          </cell>
          <cell r="G184">
            <v>13783</v>
          </cell>
          <cell r="H184">
            <v>2929</v>
          </cell>
          <cell r="I184">
            <v>0</v>
          </cell>
        </row>
        <row r="185">
          <cell r="A185">
            <v>91801</v>
          </cell>
          <cell r="B185" t="str">
            <v>CATAWBA COUNTY</v>
          </cell>
          <cell r="C185">
            <v>7.5972000000000001E-3</v>
          </cell>
          <cell r="D185"/>
          <cell r="E185">
            <v>3550816</v>
          </cell>
          <cell r="F185">
            <v>1003487</v>
          </cell>
          <cell r="G185">
            <v>1909741</v>
          </cell>
          <cell r="H185">
            <v>507383</v>
          </cell>
          <cell r="I185">
            <v>0</v>
          </cell>
        </row>
        <row r="186">
          <cell r="A186">
            <v>91804</v>
          </cell>
          <cell r="B186" t="str">
            <v>CATAWBA COUNTY ABC BOARD</v>
          </cell>
          <cell r="C186">
            <v>1.2459999999999999E-4</v>
          </cell>
          <cell r="D186"/>
          <cell r="E186">
            <v>83438</v>
          </cell>
          <cell r="F186">
            <v>35746</v>
          </cell>
          <cell r="G186">
            <v>45070</v>
          </cell>
          <cell r="H186">
            <v>12498</v>
          </cell>
          <cell r="I186">
            <v>0</v>
          </cell>
        </row>
        <row r="187">
          <cell r="A187">
            <v>91811</v>
          </cell>
          <cell r="B187" t="str">
            <v>CITY OF HICKORY</v>
          </cell>
          <cell r="C187">
            <v>4.2429E-3</v>
          </cell>
          <cell r="D187"/>
          <cell r="E187">
            <v>1866154</v>
          </cell>
          <cell r="F187">
            <v>507867</v>
          </cell>
          <cell r="G187">
            <v>1031428</v>
          </cell>
          <cell r="H187">
            <v>272948</v>
          </cell>
          <cell r="I187">
            <v>0</v>
          </cell>
        </row>
        <row r="188">
          <cell r="A188">
            <v>91812</v>
          </cell>
          <cell r="B188" t="str">
            <v>HICKORY CONOVER TOURISM DEV AUTH</v>
          </cell>
          <cell r="C188">
            <v>4.5599999999999997E-5</v>
          </cell>
          <cell r="D188"/>
          <cell r="E188">
            <v>24034</v>
          </cell>
          <cell r="F188">
            <v>6509</v>
          </cell>
          <cell r="G188">
            <v>12378</v>
          </cell>
          <cell r="H188">
            <v>2826</v>
          </cell>
          <cell r="I188">
            <v>0</v>
          </cell>
        </row>
        <row r="189">
          <cell r="A189">
            <v>91813</v>
          </cell>
          <cell r="B189" t="str">
            <v>HICKORY PUBLIC HOUSING AUTHORITY</v>
          </cell>
          <cell r="C189">
            <v>7.1500000000000003E-5</v>
          </cell>
          <cell r="D189"/>
          <cell r="E189">
            <v>31296</v>
          </cell>
          <cell r="F189">
            <v>5976</v>
          </cell>
          <cell r="G189">
            <v>16856</v>
          </cell>
          <cell r="H189">
            <v>3813</v>
          </cell>
          <cell r="I189">
            <v>0</v>
          </cell>
        </row>
        <row r="190">
          <cell r="A190">
            <v>91818</v>
          </cell>
          <cell r="B190" t="str">
            <v>WESTERN PIEDMONT COUNCIL OF GVMTS</v>
          </cell>
          <cell r="C190">
            <v>4.0620000000000001E-4</v>
          </cell>
          <cell r="D190"/>
          <cell r="E190">
            <v>359360</v>
          </cell>
          <cell r="F190">
            <v>177202</v>
          </cell>
          <cell r="G190">
            <v>167016</v>
          </cell>
          <cell r="H190">
            <v>36303</v>
          </cell>
          <cell r="I190">
            <v>0</v>
          </cell>
        </row>
        <row r="191">
          <cell r="A191">
            <v>91819</v>
          </cell>
          <cell r="B191" t="str">
            <v>WESTERN PIEDMONT REGIONAL TRANSIT AUTHORITY</v>
          </cell>
          <cell r="C191">
            <v>3.1260000000000001E-4</v>
          </cell>
          <cell r="D191"/>
          <cell r="E191">
            <v>163334</v>
          </cell>
          <cell r="F191">
            <v>59246</v>
          </cell>
          <cell r="G191">
            <v>92778</v>
          </cell>
          <cell r="H191">
            <v>28553</v>
          </cell>
          <cell r="I191">
            <v>0</v>
          </cell>
        </row>
        <row r="192">
          <cell r="A192">
            <v>91821</v>
          </cell>
          <cell r="B192" t="str">
            <v>CITY OF CLAREMONT</v>
          </cell>
          <cell r="C192">
            <v>1.6750000000000001E-4</v>
          </cell>
          <cell r="D192"/>
          <cell r="E192">
            <v>78725</v>
          </cell>
          <cell r="F192">
            <v>22590</v>
          </cell>
          <cell r="G192">
            <v>41623</v>
          </cell>
          <cell r="H192">
            <v>12252</v>
          </cell>
          <cell r="I192">
            <v>0</v>
          </cell>
        </row>
        <row r="193">
          <cell r="A193">
            <v>91831</v>
          </cell>
          <cell r="B193" t="str">
            <v>TOWN OF MAIDEN</v>
          </cell>
          <cell r="C193">
            <v>3.7990000000000002E-4</v>
          </cell>
          <cell r="D193"/>
          <cell r="E193">
            <v>184640</v>
          </cell>
          <cell r="F193">
            <v>58609</v>
          </cell>
          <cell r="G193">
            <v>103534</v>
          </cell>
          <cell r="H193">
            <v>28248</v>
          </cell>
          <cell r="I193">
            <v>0</v>
          </cell>
        </row>
        <row r="194">
          <cell r="A194">
            <v>91841</v>
          </cell>
          <cell r="B194" t="str">
            <v>THE TOWN OF LONGVIEW</v>
          </cell>
          <cell r="C194">
            <v>2.5090000000000003E-4</v>
          </cell>
          <cell r="D194"/>
          <cell r="E194">
            <v>121695</v>
          </cell>
          <cell r="F194">
            <v>37594</v>
          </cell>
          <cell r="G194">
            <v>65736</v>
          </cell>
          <cell r="H194">
            <v>17124</v>
          </cell>
          <cell r="I194">
            <v>0</v>
          </cell>
        </row>
        <row r="195">
          <cell r="A195">
            <v>91851</v>
          </cell>
          <cell r="B195" t="str">
            <v>TOWN OF CONOVER</v>
          </cell>
          <cell r="C195">
            <v>7.004E-4</v>
          </cell>
          <cell r="D195"/>
          <cell r="E195">
            <v>327309</v>
          </cell>
          <cell r="F195">
            <v>100126</v>
          </cell>
          <cell r="G195">
            <v>178503</v>
          </cell>
          <cell r="H195">
            <v>48462</v>
          </cell>
          <cell r="I195">
            <v>0</v>
          </cell>
        </row>
        <row r="196">
          <cell r="A196">
            <v>91861</v>
          </cell>
          <cell r="B196" t="str">
            <v>TOWN OF BROOKFORD</v>
          </cell>
          <cell r="C196">
            <v>7.7000000000000008E-6</v>
          </cell>
          <cell r="D196"/>
          <cell r="E196">
            <v>1607</v>
          </cell>
          <cell r="F196">
            <v>-1118</v>
          </cell>
          <cell r="G196">
            <v>-2</v>
          </cell>
          <cell r="H196">
            <v>-358</v>
          </cell>
          <cell r="I196">
            <v>0</v>
          </cell>
        </row>
        <row r="197">
          <cell r="A197">
            <v>91871</v>
          </cell>
          <cell r="B197" t="str">
            <v>CITY OF NEWTON</v>
          </cell>
          <cell r="C197">
            <v>1.3121000000000001E-3</v>
          </cell>
          <cell r="D197"/>
          <cell r="E197">
            <v>621461</v>
          </cell>
          <cell r="F197">
            <v>191395</v>
          </cell>
          <cell r="G197">
            <v>335148</v>
          </cell>
          <cell r="H197">
            <v>95194</v>
          </cell>
          <cell r="I197">
            <v>0</v>
          </cell>
        </row>
        <row r="198">
          <cell r="A198">
            <v>91881</v>
          </cell>
          <cell r="B198" t="str">
            <v>TOWN OF CATAWBA</v>
          </cell>
          <cell r="C198">
            <v>2.1399999999999998E-5</v>
          </cell>
          <cell r="D198"/>
          <cell r="E198">
            <v>11962</v>
          </cell>
          <cell r="F198">
            <v>5807</v>
          </cell>
          <cell r="G198">
            <v>7957</v>
          </cell>
          <cell r="H198">
            <v>3898</v>
          </cell>
          <cell r="I198">
            <v>0</v>
          </cell>
        </row>
        <row r="199">
          <cell r="A199">
            <v>91901</v>
          </cell>
          <cell r="B199" t="str">
            <v>CHATHAM COUNTY</v>
          </cell>
          <cell r="C199">
            <v>3.6947999999999998E-3</v>
          </cell>
          <cell r="D199"/>
          <cell r="E199">
            <v>1786986</v>
          </cell>
          <cell r="F199">
            <v>533241</v>
          </cell>
          <cell r="G199">
            <v>958038</v>
          </cell>
          <cell r="H199">
            <v>268182</v>
          </cell>
          <cell r="I199">
            <v>0</v>
          </cell>
        </row>
        <row r="200">
          <cell r="A200">
            <v>91903</v>
          </cell>
          <cell r="B200" t="str">
            <v>CHATHAM CO HOUSING AUTH</v>
          </cell>
          <cell r="C200">
            <v>7.1999999999999997E-6</v>
          </cell>
          <cell r="D200"/>
          <cell r="E200">
            <v>4665</v>
          </cell>
          <cell r="F200">
            <v>2201</v>
          </cell>
          <cell r="G200">
            <v>2620</v>
          </cell>
          <cell r="H200">
            <v>794</v>
          </cell>
          <cell r="I200">
            <v>0</v>
          </cell>
        </row>
        <row r="201">
          <cell r="A201">
            <v>91904</v>
          </cell>
          <cell r="B201" t="str">
            <v>CHATHAM COUNTY ABC BOARD</v>
          </cell>
          <cell r="C201">
            <v>3.26E-5</v>
          </cell>
          <cell r="D201"/>
          <cell r="E201">
            <v>19239</v>
          </cell>
          <cell r="F201">
            <v>6901</v>
          </cell>
          <cell r="G201">
            <v>9341</v>
          </cell>
          <cell r="H201">
            <v>3284</v>
          </cell>
          <cell r="I201">
            <v>0</v>
          </cell>
        </row>
        <row r="202">
          <cell r="A202">
            <v>91908</v>
          </cell>
          <cell r="B202" t="str">
            <v>GOLDSTON-GULF SANITARY DISTRICT</v>
          </cell>
          <cell r="C202">
            <v>1.59E-5</v>
          </cell>
          <cell r="D202"/>
          <cell r="E202">
            <v>5823</v>
          </cell>
          <cell r="F202">
            <v>1229</v>
          </cell>
          <cell r="G202">
            <v>3013</v>
          </cell>
          <cell r="H202">
            <v>754</v>
          </cell>
          <cell r="I202">
            <v>0</v>
          </cell>
        </row>
        <row r="203">
          <cell r="A203">
            <v>91911</v>
          </cell>
          <cell r="B203" t="str">
            <v>TOWN OF SILER CITY</v>
          </cell>
          <cell r="C203">
            <v>4.46E-4</v>
          </cell>
          <cell r="D203"/>
          <cell r="E203">
            <v>217735</v>
          </cell>
          <cell r="F203">
            <v>65292</v>
          </cell>
          <cell r="G203">
            <v>114428</v>
          </cell>
          <cell r="H203">
            <v>26005</v>
          </cell>
          <cell r="I203">
            <v>0</v>
          </cell>
        </row>
        <row r="204">
          <cell r="A204">
            <v>91917</v>
          </cell>
          <cell r="B204" t="str">
            <v>SILER CITY ABC BOARD</v>
          </cell>
          <cell r="C204">
            <v>1.31E-5</v>
          </cell>
          <cell r="D204"/>
          <cell r="E204">
            <v>7258</v>
          </cell>
          <cell r="F204">
            <v>2709</v>
          </cell>
          <cell r="G204">
            <v>4282</v>
          </cell>
          <cell r="H204">
            <v>1751</v>
          </cell>
          <cell r="I204">
            <v>0</v>
          </cell>
        </row>
        <row r="205">
          <cell r="A205">
            <v>91921</v>
          </cell>
          <cell r="B205" t="str">
            <v>TOWN OF PITTSBORO</v>
          </cell>
          <cell r="C205">
            <v>3.8479999999999997E-4</v>
          </cell>
          <cell r="D205"/>
          <cell r="E205">
            <v>185005</v>
          </cell>
          <cell r="F205">
            <v>55550</v>
          </cell>
          <cell r="G205">
            <v>100040</v>
          </cell>
          <cell r="H205">
            <v>32638</v>
          </cell>
          <cell r="I205">
            <v>0</v>
          </cell>
        </row>
        <row r="206">
          <cell r="A206">
            <v>92001</v>
          </cell>
          <cell r="B206" t="str">
            <v>CHEROKEE COUNTY</v>
          </cell>
          <cell r="C206">
            <v>1.7757000000000001E-3</v>
          </cell>
          <cell r="D206"/>
          <cell r="E206">
            <v>830368</v>
          </cell>
          <cell r="F206">
            <v>217899</v>
          </cell>
          <cell r="G206">
            <v>453020</v>
          </cell>
          <cell r="H206">
            <v>120696</v>
          </cell>
          <cell r="I206">
            <v>0</v>
          </cell>
        </row>
        <row r="207">
          <cell r="A207">
            <v>92005</v>
          </cell>
          <cell r="B207" t="str">
            <v>NANTAHALA REGIONAL LIBRARY</v>
          </cell>
          <cell r="C207">
            <v>3.5299999999999997E-5</v>
          </cell>
          <cell r="D207"/>
          <cell r="E207">
            <v>17305</v>
          </cell>
          <cell r="F207">
            <v>5010</v>
          </cell>
          <cell r="G207">
            <v>9494</v>
          </cell>
          <cell r="H207">
            <v>2007</v>
          </cell>
          <cell r="I207">
            <v>0</v>
          </cell>
        </row>
        <row r="208">
          <cell r="A208">
            <v>92011</v>
          </cell>
          <cell r="B208" t="str">
            <v>TOWN OF MURPHY</v>
          </cell>
          <cell r="C208">
            <v>1.9100000000000001E-4</v>
          </cell>
          <cell r="D208"/>
          <cell r="E208">
            <v>93155</v>
          </cell>
          <cell r="F208">
            <v>28074</v>
          </cell>
          <cell r="G208">
            <v>47821</v>
          </cell>
          <cell r="H208">
            <v>13152</v>
          </cell>
          <cell r="I208">
            <v>0</v>
          </cell>
        </row>
        <row r="209">
          <cell r="A209">
            <v>92017</v>
          </cell>
          <cell r="B209" t="str">
            <v>MURPHY ABC BOARD</v>
          </cell>
          <cell r="C209">
            <v>3.1900000000000003E-5</v>
          </cell>
          <cell r="D209"/>
          <cell r="E209">
            <v>16061</v>
          </cell>
          <cell r="F209">
            <v>5475</v>
          </cell>
          <cell r="G209">
            <v>9011</v>
          </cell>
          <cell r="H209">
            <v>2732</v>
          </cell>
          <cell r="I209">
            <v>0</v>
          </cell>
        </row>
        <row r="210">
          <cell r="A210">
            <v>92021</v>
          </cell>
          <cell r="B210" t="str">
            <v>TOWN OF ANDREWS</v>
          </cell>
          <cell r="C210">
            <v>1.054E-4</v>
          </cell>
          <cell r="D210"/>
          <cell r="E210">
            <v>46047</v>
          </cell>
          <cell r="F210">
            <v>4473</v>
          </cell>
          <cell r="G210">
            <v>13868</v>
          </cell>
          <cell r="H210">
            <v>-949</v>
          </cell>
          <cell r="I210">
            <v>0</v>
          </cell>
        </row>
        <row r="211">
          <cell r="A211">
            <v>92101</v>
          </cell>
          <cell r="B211" t="str">
            <v>CHOWAN COUNTY</v>
          </cell>
          <cell r="C211">
            <v>7.8700000000000005E-4</v>
          </cell>
          <cell r="D211"/>
          <cell r="E211">
            <v>348552</v>
          </cell>
          <cell r="F211">
            <v>93443</v>
          </cell>
          <cell r="G211">
            <v>190359</v>
          </cell>
          <cell r="H211">
            <v>50604</v>
          </cell>
          <cell r="I211">
            <v>0</v>
          </cell>
        </row>
        <row r="212">
          <cell r="A212">
            <v>92104</v>
          </cell>
          <cell r="B212" t="str">
            <v>CHOWAN COUNTY ABC BOARD</v>
          </cell>
          <cell r="C212">
            <v>7.0999999999999998E-6</v>
          </cell>
          <cell r="D212"/>
          <cell r="E212">
            <v>4265</v>
          </cell>
          <cell r="F212">
            <v>1613</v>
          </cell>
          <cell r="G212">
            <v>2207</v>
          </cell>
          <cell r="H212">
            <v>649</v>
          </cell>
          <cell r="I212">
            <v>0</v>
          </cell>
        </row>
        <row r="213">
          <cell r="A213">
            <v>92109</v>
          </cell>
          <cell r="B213" t="str">
            <v>ALBEMARLE REGNL PLANNING &amp; DEVELOPMENT COMM</v>
          </cell>
          <cell r="C213">
            <v>1.6799999999999999E-4</v>
          </cell>
          <cell r="D213"/>
          <cell r="E213">
            <v>77626</v>
          </cell>
          <cell r="F213">
            <v>20853</v>
          </cell>
          <cell r="G213">
            <v>39894</v>
          </cell>
          <cell r="H213">
            <v>11476</v>
          </cell>
          <cell r="I213">
            <v>0</v>
          </cell>
        </row>
        <row r="214">
          <cell r="A214">
            <v>92111</v>
          </cell>
          <cell r="B214" t="str">
            <v>TOWN OF EDENTON</v>
          </cell>
          <cell r="C214">
            <v>4.9209999999999998E-4</v>
          </cell>
          <cell r="D214"/>
          <cell r="E214">
            <v>230019</v>
          </cell>
          <cell r="F214">
            <v>68113</v>
          </cell>
          <cell r="G214">
            <v>123507</v>
          </cell>
          <cell r="H214">
            <v>30129</v>
          </cell>
          <cell r="I214">
            <v>0</v>
          </cell>
        </row>
        <row r="215">
          <cell r="A215">
            <v>92113</v>
          </cell>
          <cell r="B215" t="str">
            <v>THE NEW EDENTON HOUSING AUTH</v>
          </cell>
          <cell r="C215">
            <v>1.7099999999999999E-5</v>
          </cell>
          <cell r="D215"/>
          <cell r="E215">
            <v>13499</v>
          </cell>
          <cell r="F215">
            <v>4522</v>
          </cell>
          <cell r="G215">
            <v>7013</v>
          </cell>
          <cell r="H215">
            <v>2595</v>
          </cell>
          <cell r="I215">
            <v>0</v>
          </cell>
        </row>
        <row r="216">
          <cell r="A216">
            <v>92201</v>
          </cell>
          <cell r="B216" t="str">
            <v>CLAY COUNTY</v>
          </cell>
          <cell r="C216">
            <v>8.3589999999999999E-4</v>
          </cell>
          <cell r="D216"/>
          <cell r="E216">
            <v>389929</v>
          </cell>
          <cell r="F216">
            <v>105507</v>
          </cell>
          <cell r="G216">
            <v>211514</v>
          </cell>
          <cell r="H216">
            <v>53409</v>
          </cell>
          <cell r="I216">
            <v>0</v>
          </cell>
        </row>
        <row r="217">
          <cell r="A217">
            <v>92214</v>
          </cell>
          <cell r="B217" t="str">
            <v>CLAY COUNTY ABC BOARD</v>
          </cell>
          <cell r="C217">
            <v>2.02E-5</v>
          </cell>
          <cell r="D217"/>
          <cell r="E217">
            <v>13539</v>
          </cell>
          <cell r="F217">
            <v>6730</v>
          </cell>
          <cell r="G217">
            <v>9027</v>
          </cell>
          <cell r="H217">
            <v>1706</v>
          </cell>
          <cell r="I217">
            <v>0</v>
          </cell>
        </row>
        <row r="218">
          <cell r="A218">
            <v>92301</v>
          </cell>
          <cell r="B218" t="str">
            <v>CLEVELAND COUNTY</v>
          </cell>
          <cell r="C218">
            <v>5.6146E-3</v>
          </cell>
          <cell r="D218"/>
          <cell r="E218">
            <v>2777646</v>
          </cell>
          <cell r="F218">
            <v>876221</v>
          </cell>
          <cell r="G218">
            <v>1523469</v>
          </cell>
          <cell r="H218">
            <v>452960</v>
          </cell>
          <cell r="I218">
            <v>0</v>
          </cell>
        </row>
        <row r="219">
          <cell r="A219">
            <v>92302</v>
          </cell>
          <cell r="B219" t="str">
            <v>CLEVELAND CO SANITARY DIST</v>
          </cell>
          <cell r="C219">
            <v>3.0249999999999998E-4</v>
          </cell>
          <cell r="D219"/>
          <cell r="E219">
            <v>137033</v>
          </cell>
          <cell r="F219">
            <v>35331</v>
          </cell>
          <cell r="G219">
            <v>75516</v>
          </cell>
          <cell r="H219">
            <v>16702</v>
          </cell>
          <cell r="I219">
            <v>0</v>
          </cell>
        </row>
        <row r="220">
          <cell r="A220">
            <v>92311</v>
          </cell>
          <cell r="B220" t="str">
            <v>CITY OF SHELBY</v>
          </cell>
          <cell r="C220">
            <v>2.2645999999999999E-3</v>
          </cell>
          <cell r="D220"/>
          <cell r="E220">
            <v>1090134</v>
          </cell>
          <cell r="F220">
            <v>330398</v>
          </cell>
          <cell r="G220">
            <v>586142</v>
          </cell>
          <cell r="H220">
            <v>173389</v>
          </cell>
          <cell r="I220">
            <v>0</v>
          </cell>
        </row>
        <row r="221">
          <cell r="A221">
            <v>92317</v>
          </cell>
          <cell r="B221" t="str">
            <v>SHELBY ABC BOARD</v>
          </cell>
          <cell r="C221">
            <v>2.97E-5</v>
          </cell>
          <cell r="D221"/>
          <cell r="E221">
            <v>21860</v>
          </cell>
          <cell r="F221">
            <v>10822</v>
          </cell>
          <cell r="G221">
            <v>12386</v>
          </cell>
          <cell r="H221">
            <v>5675</v>
          </cell>
          <cell r="I221">
            <v>0</v>
          </cell>
        </row>
        <row r="222">
          <cell r="A222">
            <v>92321</v>
          </cell>
          <cell r="B222" t="str">
            <v>CITY OF KINGS MOUNTAIN</v>
          </cell>
          <cell r="C222">
            <v>1.2122999999999999E-3</v>
          </cell>
          <cell r="D222"/>
          <cell r="E222">
            <v>594263</v>
          </cell>
          <cell r="F222">
            <v>185871</v>
          </cell>
          <cell r="G222">
            <v>328816</v>
          </cell>
          <cell r="H222">
            <v>89316</v>
          </cell>
          <cell r="I222">
            <v>0</v>
          </cell>
        </row>
        <row r="223">
          <cell r="A223">
            <v>92327</v>
          </cell>
          <cell r="B223" t="str">
            <v>KINGS MOUNTAIN ABC BOARD</v>
          </cell>
          <cell r="C223">
            <v>6.4999999999999996E-6</v>
          </cell>
          <cell r="D223"/>
          <cell r="E223">
            <v>5441</v>
          </cell>
          <cell r="F223">
            <v>2941</v>
          </cell>
          <cell r="G223">
            <v>3395</v>
          </cell>
          <cell r="H223">
            <v>1225</v>
          </cell>
          <cell r="I223">
            <v>0</v>
          </cell>
        </row>
        <row r="224">
          <cell r="A224">
            <v>92331</v>
          </cell>
          <cell r="B224" t="str">
            <v>TOWN OF BOILING SPRINGS</v>
          </cell>
          <cell r="C224">
            <v>1.351E-4</v>
          </cell>
          <cell r="D224"/>
          <cell r="E224">
            <v>64389</v>
          </cell>
          <cell r="F224">
            <v>20412</v>
          </cell>
          <cell r="G224">
            <v>36378</v>
          </cell>
          <cell r="H224">
            <v>11922</v>
          </cell>
          <cell r="I224">
            <v>0</v>
          </cell>
        </row>
        <row r="225">
          <cell r="A225">
            <v>92341</v>
          </cell>
          <cell r="B225" t="str">
            <v>TOWN OF LAWNDALE</v>
          </cell>
          <cell r="C225">
            <v>8.4999999999999999E-6</v>
          </cell>
          <cell r="D225"/>
          <cell r="E225">
            <v>3542</v>
          </cell>
          <cell r="F225">
            <v>617</v>
          </cell>
          <cell r="G225">
            <v>1529</v>
          </cell>
          <cell r="H225">
            <v>275</v>
          </cell>
          <cell r="I225">
            <v>0</v>
          </cell>
        </row>
        <row r="226">
          <cell r="A226">
            <v>92351</v>
          </cell>
          <cell r="B226" t="str">
            <v>TOWN OF GROVER</v>
          </cell>
          <cell r="C226">
            <v>1.7499999999999998E-5</v>
          </cell>
          <cell r="D226"/>
          <cell r="E226">
            <v>8216</v>
          </cell>
          <cell r="F226">
            <v>3304</v>
          </cell>
          <cell r="G226">
            <v>5253</v>
          </cell>
          <cell r="H226">
            <v>1143</v>
          </cell>
          <cell r="I226">
            <v>0</v>
          </cell>
        </row>
        <row r="227">
          <cell r="A227">
            <v>92401</v>
          </cell>
          <cell r="B227" t="str">
            <v>COLUMBUS COUNTY</v>
          </cell>
          <cell r="C227">
            <v>2.6340000000000001E-3</v>
          </cell>
          <cell r="D227"/>
          <cell r="E227">
            <v>1331047</v>
          </cell>
          <cell r="F227">
            <v>442787</v>
          </cell>
          <cell r="G227">
            <v>738152</v>
          </cell>
          <cell r="H227">
            <v>253686</v>
          </cell>
          <cell r="I227">
            <v>0</v>
          </cell>
        </row>
        <row r="228">
          <cell r="A228">
            <v>92403</v>
          </cell>
          <cell r="B228" t="str">
            <v>WHITEVILLE HOUSING AUTHORITY</v>
          </cell>
          <cell r="C228">
            <v>9.0999999999999993E-6</v>
          </cell>
          <cell r="D228"/>
          <cell r="E228">
            <v>4670</v>
          </cell>
          <cell r="F228">
            <v>1998</v>
          </cell>
          <cell r="G228">
            <v>2653</v>
          </cell>
          <cell r="H228">
            <v>847</v>
          </cell>
          <cell r="I228">
            <v>0</v>
          </cell>
        </row>
        <row r="229">
          <cell r="A229">
            <v>92411</v>
          </cell>
          <cell r="B229" t="str">
            <v>CITY OF WHITEVILLE</v>
          </cell>
          <cell r="C229">
            <v>4.5199999999999998E-4</v>
          </cell>
          <cell r="D229"/>
          <cell r="E229">
            <v>198970</v>
          </cell>
          <cell r="F229">
            <v>56582</v>
          </cell>
          <cell r="G229">
            <v>109547</v>
          </cell>
          <cell r="H229">
            <v>35699</v>
          </cell>
          <cell r="I229">
            <v>0</v>
          </cell>
        </row>
        <row r="230">
          <cell r="A230">
            <v>92414</v>
          </cell>
          <cell r="B230" t="str">
            <v>TOWN OF BOLTON</v>
          </cell>
          <cell r="C230">
            <v>0</v>
          </cell>
          <cell r="D230"/>
          <cell r="E230">
            <v>-1184</v>
          </cell>
          <cell r="F230">
            <v>0</v>
          </cell>
          <cell r="G230">
            <v>0</v>
          </cell>
          <cell r="H230">
            <v>0</v>
          </cell>
          <cell r="I230">
            <v>0</v>
          </cell>
        </row>
        <row r="231">
          <cell r="A231">
            <v>92417</v>
          </cell>
          <cell r="B231" t="str">
            <v>WHITEVILLE ABC BOARD</v>
          </cell>
          <cell r="C231">
            <v>1.73E-5</v>
          </cell>
          <cell r="D231"/>
          <cell r="E231">
            <v>6480</v>
          </cell>
          <cell r="F231">
            <v>867</v>
          </cell>
          <cell r="G231">
            <v>3221</v>
          </cell>
          <cell r="H231">
            <v>414</v>
          </cell>
          <cell r="I231">
            <v>0</v>
          </cell>
        </row>
        <row r="232">
          <cell r="A232">
            <v>92421</v>
          </cell>
          <cell r="B232" t="str">
            <v>TOWN OF BRUNSWICK</v>
          </cell>
          <cell r="C232">
            <v>1.6399999999999999E-5</v>
          </cell>
          <cell r="D232"/>
          <cell r="E232">
            <v>10865</v>
          </cell>
          <cell r="F232">
            <v>5682</v>
          </cell>
          <cell r="G232">
            <v>6871</v>
          </cell>
          <cell r="H232">
            <v>2777</v>
          </cell>
          <cell r="I232">
            <v>0</v>
          </cell>
        </row>
        <row r="233">
          <cell r="A233">
            <v>92427</v>
          </cell>
          <cell r="B233" t="str">
            <v>LAKE WACCAMAW ABC BOARD</v>
          </cell>
          <cell r="C233">
            <v>1.9E-6</v>
          </cell>
          <cell r="D233"/>
          <cell r="E233">
            <v>1877</v>
          </cell>
          <cell r="F233">
            <v>1057</v>
          </cell>
          <cell r="G233">
            <v>1068</v>
          </cell>
          <cell r="H233">
            <v>282</v>
          </cell>
          <cell r="I233">
            <v>0</v>
          </cell>
        </row>
        <row r="234">
          <cell r="A234">
            <v>92431</v>
          </cell>
          <cell r="B234" t="str">
            <v>TOWN OF FAIR BLUFF</v>
          </cell>
          <cell r="C234">
            <v>2.6999999999999999E-5</v>
          </cell>
          <cell r="D234"/>
          <cell r="E234">
            <v>17359</v>
          </cell>
          <cell r="F234">
            <v>9195</v>
          </cell>
          <cell r="G234">
            <v>8546</v>
          </cell>
          <cell r="H234">
            <v>3860</v>
          </cell>
          <cell r="I234">
            <v>0</v>
          </cell>
        </row>
        <row r="235">
          <cell r="A235">
            <v>92441</v>
          </cell>
          <cell r="B235" t="str">
            <v>TOWN OF CHADBOURN</v>
          </cell>
          <cell r="C235">
            <v>8.6500000000000002E-5</v>
          </cell>
          <cell r="D235"/>
          <cell r="E235">
            <v>39815</v>
          </cell>
          <cell r="F235">
            <v>11760</v>
          </cell>
          <cell r="G235">
            <v>23532</v>
          </cell>
          <cell r="H235">
            <v>3341</v>
          </cell>
          <cell r="I235">
            <v>0</v>
          </cell>
        </row>
        <row r="236">
          <cell r="A236">
            <v>92444</v>
          </cell>
          <cell r="B236" t="str">
            <v>WEST COLUMBUS ABC BOARD</v>
          </cell>
          <cell r="C236">
            <v>5.1000000000000003E-6</v>
          </cell>
          <cell r="D236"/>
          <cell r="E236">
            <v>4421</v>
          </cell>
          <cell r="F236">
            <v>2473</v>
          </cell>
          <cell r="G236">
            <v>2832</v>
          </cell>
          <cell r="H236">
            <v>1415</v>
          </cell>
          <cell r="I236">
            <v>0</v>
          </cell>
        </row>
        <row r="237">
          <cell r="A237">
            <v>92451</v>
          </cell>
          <cell r="B237" t="str">
            <v>TOWN OF TABOR CITY</v>
          </cell>
          <cell r="C237">
            <v>1.143E-4</v>
          </cell>
          <cell r="D237"/>
          <cell r="E237">
            <v>67254</v>
          </cell>
          <cell r="F237">
            <v>23500</v>
          </cell>
          <cell r="G237">
            <v>35427</v>
          </cell>
          <cell r="H237">
            <v>10972</v>
          </cell>
          <cell r="I237">
            <v>0</v>
          </cell>
        </row>
        <row r="238">
          <cell r="A238">
            <v>92461</v>
          </cell>
          <cell r="B238" t="str">
            <v>TOWN OF LAKE WACCAMAW</v>
          </cell>
          <cell r="C238">
            <v>5.8400000000000003E-5</v>
          </cell>
          <cell r="D238"/>
          <cell r="E238">
            <v>33881</v>
          </cell>
          <cell r="F238">
            <v>11886</v>
          </cell>
          <cell r="G238">
            <v>17208</v>
          </cell>
          <cell r="H238">
            <v>4800</v>
          </cell>
          <cell r="I238">
            <v>0</v>
          </cell>
        </row>
        <row r="239">
          <cell r="A239">
            <v>92501</v>
          </cell>
          <cell r="B239" t="str">
            <v>CRAVEN COUNTY</v>
          </cell>
          <cell r="C239">
            <v>3.7055999999999999E-3</v>
          </cell>
          <cell r="D239"/>
          <cell r="E239">
            <v>1883183</v>
          </cell>
          <cell r="F239">
            <v>627480</v>
          </cell>
          <cell r="G239">
            <v>1024813</v>
          </cell>
          <cell r="H239">
            <v>301797</v>
          </cell>
          <cell r="I239">
            <v>0</v>
          </cell>
        </row>
        <row r="240">
          <cell r="A240">
            <v>92502</v>
          </cell>
          <cell r="B240" t="str">
            <v>FIRST CRAVEN SANITARY DIST</v>
          </cell>
          <cell r="C240">
            <v>2.3600000000000001E-5</v>
          </cell>
          <cell r="D240"/>
          <cell r="E240">
            <v>13229</v>
          </cell>
          <cell r="F240">
            <v>4196</v>
          </cell>
          <cell r="G240">
            <v>6792</v>
          </cell>
          <cell r="H240">
            <v>2122</v>
          </cell>
          <cell r="I240">
            <v>0</v>
          </cell>
        </row>
        <row r="241">
          <cell r="A241">
            <v>92504</v>
          </cell>
          <cell r="B241" t="str">
            <v>CRAVEN CO ABC BD</v>
          </cell>
          <cell r="C241">
            <v>7.6299999999999998E-5</v>
          </cell>
          <cell r="D241"/>
          <cell r="E241">
            <v>46748</v>
          </cell>
          <cell r="F241">
            <v>19562</v>
          </cell>
          <cell r="G241">
            <v>24129</v>
          </cell>
          <cell r="H241">
            <v>8282</v>
          </cell>
          <cell r="I241">
            <v>0</v>
          </cell>
        </row>
        <row r="242">
          <cell r="A242">
            <v>92505</v>
          </cell>
          <cell r="B242" t="str">
            <v>CRAVEN-PAMLICO-CARTERET REGIONAL LIBRARY</v>
          </cell>
          <cell r="C242">
            <v>1.7090000000000001E-4</v>
          </cell>
          <cell r="D242"/>
          <cell r="E242">
            <v>106928</v>
          </cell>
          <cell r="F242">
            <v>45235</v>
          </cell>
          <cell r="G242">
            <v>57644</v>
          </cell>
          <cell r="H242">
            <v>19330</v>
          </cell>
          <cell r="I242">
            <v>0</v>
          </cell>
        </row>
        <row r="243">
          <cell r="A243">
            <v>92506</v>
          </cell>
          <cell r="B243" t="str">
            <v>COASTAL CAROLINA REGIONAL AIRPORT</v>
          </cell>
          <cell r="C243">
            <v>5.38E-5</v>
          </cell>
          <cell r="D243"/>
          <cell r="E243">
            <v>32405</v>
          </cell>
          <cell r="F243">
            <v>12699</v>
          </cell>
          <cell r="G243">
            <v>17233</v>
          </cell>
          <cell r="H243">
            <v>3737</v>
          </cell>
          <cell r="I243">
            <v>0</v>
          </cell>
        </row>
        <row r="244">
          <cell r="A244">
            <v>92507</v>
          </cell>
          <cell r="B244" t="str">
            <v>NEUSE RIVER COUNCIL OF GOVERNMENTS</v>
          </cell>
          <cell r="C244">
            <v>1.01E-4</v>
          </cell>
          <cell r="D244"/>
          <cell r="E244">
            <v>47558</v>
          </cell>
          <cell r="F244">
            <v>16359</v>
          </cell>
          <cell r="G244">
            <v>25326</v>
          </cell>
          <cell r="H244">
            <v>8098</v>
          </cell>
          <cell r="I244">
            <v>0</v>
          </cell>
        </row>
        <row r="245">
          <cell r="A245">
            <v>92508</v>
          </cell>
          <cell r="B245" t="str">
            <v>COASTAL REGIONAL SOLID WASTE MNGT AUTH</v>
          </cell>
          <cell r="C245">
            <v>3.102E-4</v>
          </cell>
          <cell r="D245"/>
          <cell r="E245">
            <v>160214</v>
          </cell>
          <cell r="F245">
            <v>56063</v>
          </cell>
          <cell r="G245">
            <v>90999</v>
          </cell>
          <cell r="H245">
            <v>30918</v>
          </cell>
          <cell r="I245">
            <v>0</v>
          </cell>
        </row>
        <row r="246">
          <cell r="A246">
            <v>92509</v>
          </cell>
          <cell r="B246" t="str">
            <v>EAST CAROLINA BEHAVORIAL HEALTHCARE</v>
          </cell>
          <cell r="C246">
            <v>0</v>
          </cell>
          <cell r="D246"/>
          <cell r="E246">
            <v>-260868</v>
          </cell>
          <cell r="F246">
            <v>0</v>
          </cell>
          <cell r="G246">
            <v>0</v>
          </cell>
          <cell r="H246">
            <v>0</v>
          </cell>
          <cell r="I246">
            <v>0</v>
          </cell>
        </row>
        <row r="247">
          <cell r="A247">
            <v>92511</v>
          </cell>
          <cell r="B247" t="str">
            <v>CITY OF NEW BERN</v>
          </cell>
          <cell r="C247">
            <v>3.5699999999999998E-3</v>
          </cell>
          <cell r="D247"/>
          <cell r="E247">
            <v>1732826</v>
          </cell>
          <cell r="F247">
            <v>569271</v>
          </cell>
          <cell r="G247">
            <v>991509</v>
          </cell>
          <cell r="H247">
            <v>313556</v>
          </cell>
          <cell r="I247">
            <v>0</v>
          </cell>
        </row>
        <row r="248">
          <cell r="A248">
            <v>92513</v>
          </cell>
          <cell r="B248" t="str">
            <v>TRILLIUM HEALTH RESOURCES</v>
          </cell>
          <cell r="C248">
            <v>3.9484999999999998E-3</v>
          </cell>
          <cell r="D248"/>
          <cell r="E248">
            <v>2270024</v>
          </cell>
          <cell r="F248">
            <v>493411</v>
          </cell>
          <cell r="G248">
            <v>969597</v>
          </cell>
          <cell r="H248">
            <v>275126</v>
          </cell>
          <cell r="I248">
            <v>0</v>
          </cell>
        </row>
        <row r="249">
          <cell r="A249">
            <v>92521</v>
          </cell>
          <cell r="B249" t="str">
            <v>TOWN OF TRENT WOODS</v>
          </cell>
          <cell r="C249">
            <v>7.7399999999999998E-5</v>
          </cell>
          <cell r="D249"/>
          <cell r="E249">
            <v>33044</v>
          </cell>
          <cell r="F249">
            <v>8507</v>
          </cell>
          <cell r="G249">
            <v>18310</v>
          </cell>
          <cell r="H249">
            <v>4113</v>
          </cell>
          <cell r="I249">
            <v>0</v>
          </cell>
        </row>
        <row r="250">
          <cell r="A250">
            <v>92531</v>
          </cell>
          <cell r="B250" t="str">
            <v>CITY OF HAVELOCK</v>
          </cell>
          <cell r="C250">
            <v>8.2580000000000001E-4</v>
          </cell>
          <cell r="D250"/>
          <cell r="E250">
            <v>359951</v>
          </cell>
          <cell r="F250">
            <v>99488</v>
          </cell>
          <cell r="G250">
            <v>196685</v>
          </cell>
          <cell r="H250">
            <v>52735</v>
          </cell>
          <cell r="I250">
            <v>0</v>
          </cell>
        </row>
        <row r="251">
          <cell r="A251">
            <v>92541</v>
          </cell>
          <cell r="B251" t="str">
            <v>TOWN OF RIVER BEND</v>
          </cell>
          <cell r="C251">
            <v>1.3740000000000001E-4</v>
          </cell>
          <cell r="D251"/>
          <cell r="E251">
            <v>65993</v>
          </cell>
          <cell r="F251">
            <v>18405</v>
          </cell>
          <cell r="G251">
            <v>35258</v>
          </cell>
          <cell r="H251">
            <v>13037</v>
          </cell>
          <cell r="I251">
            <v>0</v>
          </cell>
        </row>
        <row r="252">
          <cell r="A252">
            <v>92551</v>
          </cell>
          <cell r="B252" t="str">
            <v>TOWN OF VANCEBORO</v>
          </cell>
          <cell r="C252">
            <v>5.7099999999999999E-5</v>
          </cell>
          <cell r="D252"/>
          <cell r="E252">
            <v>27296</v>
          </cell>
          <cell r="F252">
            <v>9684</v>
          </cell>
          <cell r="G252">
            <v>15153</v>
          </cell>
          <cell r="H252">
            <v>6124</v>
          </cell>
          <cell r="I252">
            <v>0</v>
          </cell>
        </row>
        <row r="253">
          <cell r="A253">
            <v>92561</v>
          </cell>
          <cell r="B253" t="str">
            <v>TOWN OF BRIDGETON</v>
          </cell>
          <cell r="C253">
            <v>1.7900000000000001E-5</v>
          </cell>
          <cell r="D253"/>
          <cell r="E253">
            <v>9029</v>
          </cell>
          <cell r="F253">
            <v>2252</v>
          </cell>
          <cell r="G253">
            <v>4103</v>
          </cell>
          <cell r="H253">
            <v>750</v>
          </cell>
          <cell r="I253">
            <v>0</v>
          </cell>
        </row>
        <row r="254">
          <cell r="A254">
            <v>92571</v>
          </cell>
          <cell r="B254" t="str">
            <v>TOWN OF COVE CITY</v>
          </cell>
          <cell r="C254">
            <v>8.1999999999999994E-6</v>
          </cell>
          <cell r="D254"/>
          <cell r="E254">
            <v>6632</v>
          </cell>
          <cell r="F254">
            <v>3101</v>
          </cell>
          <cell r="G254">
            <v>2490</v>
          </cell>
          <cell r="H254">
            <v>672</v>
          </cell>
          <cell r="I254">
            <v>0</v>
          </cell>
        </row>
        <row r="255">
          <cell r="A255">
            <v>92601</v>
          </cell>
          <cell r="B255" t="str">
            <v>CUMBERLAND COUNTY</v>
          </cell>
          <cell r="C255">
            <v>1.32598E-2</v>
          </cell>
          <cell r="D255"/>
          <cell r="E255">
            <v>6172772</v>
          </cell>
          <cell r="F255">
            <v>1698386</v>
          </cell>
          <cell r="G255">
            <v>3219553</v>
          </cell>
          <cell r="H255">
            <v>1001449</v>
          </cell>
          <cell r="I255">
            <v>0</v>
          </cell>
        </row>
        <row r="256">
          <cell r="A256">
            <v>92602</v>
          </cell>
          <cell r="B256" t="str">
            <v>WESTAREA VOLUNTEER FIRE DEPT</v>
          </cell>
          <cell r="C256">
            <v>4.8999999999999997E-6</v>
          </cell>
          <cell r="D256"/>
          <cell r="E256">
            <v>1368</v>
          </cell>
          <cell r="F256">
            <v>-247</v>
          </cell>
          <cell r="G256">
            <v>336</v>
          </cell>
          <cell r="H256">
            <v>-115</v>
          </cell>
          <cell r="I256">
            <v>0</v>
          </cell>
        </row>
        <row r="257">
          <cell r="A257">
            <v>92604</v>
          </cell>
          <cell r="B257" t="str">
            <v>CUMBERLAND CO ABC BOARD</v>
          </cell>
          <cell r="C257">
            <v>3.501E-4</v>
          </cell>
          <cell r="D257"/>
          <cell r="E257">
            <v>195578</v>
          </cell>
          <cell r="F257">
            <v>70688</v>
          </cell>
          <cell r="G257">
            <v>106586</v>
          </cell>
          <cell r="H257">
            <v>35406</v>
          </cell>
          <cell r="I257">
            <v>0</v>
          </cell>
        </row>
        <row r="258">
          <cell r="A258">
            <v>92607</v>
          </cell>
          <cell r="B258" t="str">
            <v>MID-CAROLINA COUNCIL OF GOVERNMENTS</v>
          </cell>
          <cell r="C258">
            <v>5.6700000000000003E-5</v>
          </cell>
          <cell r="D258"/>
          <cell r="E258">
            <v>30160</v>
          </cell>
          <cell r="F258">
            <v>10547</v>
          </cell>
          <cell r="G258">
            <v>16081</v>
          </cell>
          <cell r="H258">
            <v>4099</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5439266</v>
          </cell>
          <cell r="F260">
            <v>1431113</v>
          </cell>
          <cell r="G260">
            <v>2939487</v>
          </cell>
          <cell r="H260">
            <v>769993</v>
          </cell>
          <cell r="I260">
            <v>0</v>
          </cell>
        </row>
        <row r="261">
          <cell r="A261">
            <v>92613</v>
          </cell>
          <cell r="B261" t="str">
            <v>FAYETTEVILLE METROPOLITAN HOUSING AUTH</v>
          </cell>
          <cell r="C261">
            <v>2.23E-4</v>
          </cell>
          <cell r="D261"/>
          <cell r="E261">
            <v>114191</v>
          </cell>
          <cell r="F261">
            <v>35870</v>
          </cell>
          <cell r="G261">
            <v>59691</v>
          </cell>
          <cell r="H261">
            <v>17799</v>
          </cell>
          <cell r="I261">
            <v>0</v>
          </cell>
        </row>
        <row r="262">
          <cell r="A262">
            <v>92614</v>
          </cell>
          <cell r="B262" t="str">
            <v>PUBLIC WORKS COMM CTY OF FAYETTEVILLE</v>
          </cell>
          <cell r="C262">
            <v>5.7201999999999999E-3</v>
          </cell>
          <cell r="D262"/>
          <cell r="E262">
            <v>4535359</v>
          </cell>
          <cell r="F262">
            <v>2240982</v>
          </cell>
          <cell r="G262">
            <v>2447005</v>
          </cell>
          <cell r="H262">
            <v>950653</v>
          </cell>
          <cell r="I262">
            <v>0</v>
          </cell>
        </row>
        <row r="263">
          <cell r="A263">
            <v>92621</v>
          </cell>
          <cell r="B263" t="str">
            <v>TOWN OF STEDMAN</v>
          </cell>
          <cell r="C263">
            <v>2.8900000000000001E-5</v>
          </cell>
          <cell r="D263"/>
          <cell r="E263">
            <v>13364</v>
          </cell>
          <cell r="F263">
            <v>3851</v>
          </cell>
          <cell r="G263">
            <v>8330</v>
          </cell>
          <cell r="H263">
            <v>3030</v>
          </cell>
          <cell r="I263">
            <v>0</v>
          </cell>
        </row>
        <row r="264">
          <cell r="A264">
            <v>92631</v>
          </cell>
          <cell r="B264" t="str">
            <v>TOWN OF HOPE MILLS</v>
          </cell>
          <cell r="C264">
            <v>9.3329999999999997E-4</v>
          </cell>
          <cell r="D264"/>
          <cell r="E264">
            <v>411404</v>
          </cell>
          <cell r="F264">
            <v>111372</v>
          </cell>
          <cell r="G264">
            <v>236682</v>
          </cell>
          <cell r="H264">
            <v>69896</v>
          </cell>
          <cell r="I264">
            <v>0</v>
          </cell>
        </row>
        <row r="265">
          <cell r="A265">
            <v>92641</v>
          </cell>
          <cell r="B265" t="str">
            <v>TOWN OF WADE</v>
          </cell>
          <cell r="C265">
            <v>1.11E-5</v>
          </cell>
          <cell r="D265"/>
          <cell r="E265">
            <v>6777</v>
          </cell>
          <cell r="F265">
            <v>2959</v>
          </cell>
          <cell r="G265">
            <v>4033</v>
          </cell>
          <cell r="H265">
            <v>1578</v>
          </cell>
          <cell r="I265">
            <v>0</v>
          </cell>
        </row>
        <row r="266">
          <cell r="A266">
            <v>92651</v>
          </cell>
          <cell r="B266" t="str">
            <v>TOWN OF LINDEN</v>
          </cell>
          <cell r="C266">
            <v>4.3000000000000003E-6</v>
          </cell>
          <cell r="D266"/>
          <cell r="E266">
            <v>3268</v>
          </cell>
          <cell r="F266">
            <v>1507</v>
          </cell>
          <cell r="G266">
            <v>1605</v>
          </cell>
          <cell r="H266">
            <v>390</v>
          </cell>
          <cell r="I266">
            <v>0</v>
          </cell>
        </row>
        <row r="267">
          <cell r="A267">
            <v>92661</v>
          </cell>
          <cell r="B267" t="str">
            <v>TOWN OF SPRING LAKE</v>
          </cell>
          <cell r="C267">
            <v>6.2509999999999996E-4</v>
          </cell>
          <cell r="D267"/>
          <cell r="E267">
            <v>486220</v>
          </cell>
          <cell r="F267">
            <v>236178</v>
          </cell>
          <cell r="G267">
            <v>247185</v>
          </cell>
          <cell r="H267">
            <v>93587</v>
          </cell>
          <cell r="I267">
            <v>0</v>
          </cell>
        </row>
        <row r="268">
          <cell r="A268">
            <v>92671</v>
          </cell>
          <cell r="B268" t="str">
            <v>TOWN OF FALCON</v>
          </cell>
          <cell r="C268">
            <v>2.0999999999999998E-6</v>
          </cell>
          <cell r="D268"/>
          <cell r="E268">
            <v>3993</v>
          </cell>
          <cell r="F268">
            <v>2724</v>
          </cell>
          <cell r="G268">
            <v>2195</v>
          </cell>
          <cell r="H268">
            <v>985</v>
          </cell>
          <cell r="I268">
            <v>0</v>
          </cell>
        </row>
        <row r="269">
          <cell r="A269">
            <v>92681</v>
          </cell>
          <cell r="B269" t="str">
            <v>TOWN OF EASTOVER</v>
          </cell>
          <cell r="C269">
            <v>1.1800000000000001E-5</v>
          </cell>
          <cell r="D269"/>
          <cell r="E269">
            <v>10659</v>
          </cell>
          <cell r="F269">
            <v>5149</v>
          </cell>
          <cell r="G269">
            <v>4980</v>
          </cell>
          <cell r="H269">
            <v>1456</v>
          </cell>
          <cell r="I269">
            <v>0</v>
          </cell>
        </row>
        <row r="270">
          <cell r="A270">
            <v>92701</v>
          </cell>
          <cell r="B270" t="str">
            <v>CURRITUCK COUNTY</v>
          </cell>
          <cell r="C270">
            <v>3.0688999999999998E-3</v>
          </cell>
          <cell r="D270"/>
          <cell r="E270">
            <v>1498148</v>
          </cell>
          <cell r="F270">
            <v>459736</v>
          </cell>
          <cell r="G270">
            <v>800073</v>
          </cell>
          <cell r="H270">
            <v>257479</v>
          </cell>
          <cell r="I270">
            <v>0</v>
          </cell>
        </row>
        <row r="271">
          <cell r="A271">
            <v>92704</v>
          </cell>
          <cell r="B271" t="str">
            <v>CURRITUCK CO ABC BOARD</v>
          </cell>
          <cell r="C271">
            <v>3.6900000000000002E-5</v>
          </cell>
          <cell r="D271"/>
          <cell r="E271">
            <v>15807</v>
          </cell>
          <cell r="F271">
            <v>3791</v>
          </cell>
          <cell r="G271">
            <v>9056</v>
          </cell>
          <cell r="H271">
            <v>2408</v>
          </cell>
          <cell r="I271">
            <v>0</v>
          </cell>
        </row>
        <row r="272">
          <cell r="A272">
            <v>92801</v>
          </cell>
          <cell r="B272" t="str">
            <v>DARE COUNTY</v>
          </cell>
          <cell r="C272">
            <v>5.4352999999999997E-3</v>
          </cell>
          <cell r="D272"/>
          <cell r="E272">
            <v>2764256</v>
          </cell>
          <cell r="F272">
            <v>922817</v>
          </cell>
          <cell r="G272">
            <v>1538619</v>
          </cell>
          <cell r="H272">
            <v>469350</v>
          </cell>
          <cell r="I272">
            <v>0</v>
          </cell>
        </row>
        <row r="273">
          <cell r="A273">
            <v>92802</v>
          </cell>
          <cell r="B273" t="str">
            <v>DARE COUNTY TOURISM BOARD</v>
          </cell>
          <cell r="C273">
            <v>1.198E-4</v>
          </cell>
          <cell r="D273"/>
          <cell r="E273">
            <v>51047</v>
          </cell>
          <cell r="F273">
            <v>12855</v>
          </cell>
          <cell r="G273">
            <v>27975</v>
          </cell>
          <cell r="H273">
            <v>6612</v>
          </cell>
          <cell r="I273">
            <v>0</v>
          </cell>
        </row>
        <row r="274">
          <cell r="A274">
            <v>92804</v>
          </cell>
          <cell r="B274" t="str">
            <v>DARE COUNTY ABC BOARD</v>
          </cell>
          <cell r="C274">
            <v>1.427E-4</v>
          </cell>
          <cell r="D274"/>
          <cell r="E274">
            <v>66853</v>
          </cell>
          <cell r="F274">
            <v>17458</v>
          </cell>
          <cell r="G274">
            <v>36483</v>
          </cell>
          <cell r="H274">
            <v>8376</v>
          </cell>
          <cell r="I274">
            <v>0</v>
          </cell>
        </row>
        <row r="275">
          <cell r="A275">
            <v>92811</v>
          </cell>
          <cell r="B275" t="str">
            <v>TOWN OF NAGS HEAD</v>
          </cell>
          <cell r="C275">
            <v>9.1160000000000004E-4</v>
          </cell>
          <cell r="D275"/>
          <cell r="E275">
            <v>409780</v>
          </cell>
          <cell r="F275">
            <v>123693</v>
          </cell>
          <cell r="G275">
            <v>228098</v>
          </cell>
          <cell r="H275">
            <v>60837</v>
          </cell>
          <cell r="I275">
            <v>0</v>
          </cell>
        </row>
        <row r="276">
          <cell r="A276">
            <v>92821</v>
          </cell>
          <cell r="B276" t="str">
            <v>TOWN OF KILL DEVIL HILLS</v>
          </cell>
          <cell r="C276">
            <v>9.8409999999999991E-4</v>
          </cell>
          <cell r="D276"/>
          <cell r="E276">
            <v>489676</v>
          </cell>
          <cell r="F276">
            <v>154727</v>
          </cell>
          <cell r="G276">
            <v>265177</v>
          </cell>
          <cell r="H276">
            <v>75534</v>
          </cell>
          <cell r="I276">
            <v>0</v>
          </cell>
        </row>
        <row r="277">
          <cell r="A277">
            <v>92831</v>
          </cell>
          <cell r="B277" t="str">
            <v>TOWN OF MANTEO</v>
          </cell>
          <cell r="C277">
            <v>2.5230000000000001E-4</v>
          </cell>
          <cell r="D277"/>
          <cell r="E277">
            <v>139242</v>
          </cell>
          <cell r="F277">
            <v>50633</v>
          </cell>
          <cell r="G277">
            <v>79898</v>
          </cell>
          <cell r="H277">
            <v>25322</v>
          </cell>
          <cell r="I277">
            <v>0</v>
          </cell>
        </row>
        <row r="278">
          <cell r="A278">
            <v>92841</v>
          </cell>
          <cell r="B278" t="str">
            <v>TOWN OF SOUTHERN SHORES</v>
          </cell>
          <cell r="C278">
            <v>2.4340000000000001E-4</v>
          </cell>
          <cell r="D278"/>
          <cell r="E278">
            <v>109687</v>
          </cell>
          <cell r="F278">
            <v>28188</v>
          </cell>
          <cell r="G278">
            <v>58627</v>
          </cell>
          <cell r="H278">
            <v>16459</v>
          </cell>
          <cell r="I278">
            <v>0</v>
          </cell>
        </row>
        <row r="279">
          <cell r="A279">
            <v>92851</v>
          </cell>
          <cell r="B279" t="str">
            <v>TOWN OF KITTY HAWK</v>
          </cell>
          <cell r="C279">
            <v>4.2850000000000001E-4</v>
          </cell>
          <cell r="D279"/>
          <cell r="E279">
            <v>184767</v>
          </cell>
          <cell r="F279">
            <v>47734</v>
          </cell>
          <cell r="G279">
            <v>97762</v>
          </cell>
          <cell r="H279">
            <v>25177</v>
          </cell>
          <cell r="I279">
            <v>0</v>
          </cell>
        </row>
        <row r="280">
          <cell r="A280">
            <v>92861</v>
          </cell>
          <cell r="B280" t="str">
            <v>TOWN OF DUCK</v>
          </cell>
          <cell r="C280">
            <v>3.6309999999999999E-4</v>
          </cell>
          <cell r="D280"/>
          <cell r="E280">
            <v>145778</v>
          </cell>
          <cell r="F280">
            <v>34819</v>
          </cell>
          <cell r="G280">
            <v>80842</v>
          </cell>
          <cell r="H280">
            <v>18969</v>
          </cell>
          <cell r="I280">
            <v>0</v>
          </cell>
        </row>
        <row r="281">
          <cell r="A281">
            <v>92901</v>
          </cell>
          <cell r="B281" t="str">
            <v>DAVIDSON COUNTY</v>
          </cell>
          <cell r="C281">
            <v>5.4326000000000001E-3</v>
          </cell>
          <cell r="D281"/>
          <cell r="E281">
            <v>2626324</v>
          </cell>
          <cell r="F281">
            <v>810290</v>
          </cell>
          <cell r="G281">
            <v>1447236</v>
          </cell>
          <cell r="H281">
            <v>420798</v>
          </cell>
          <cell r="I281">
            <v>0</v>
          </cell>
        </row>
        <row r="282">
          <cell r="A282">
            <v>92911</v>
          </cell>
          <cell r="B282" t="str">
            <v>CITY OF THOMASVILLE</v>
          </cell>
          <cell r="C282">
            <v>1.9161E-3</v>
          </cell>
          <cell r="D282"/>
          <cell r="E282">
            <v>941970</v>
          </cell>
          <cell r="F282">
            <v>308616</v>
          </cell>
          <cell r="G282">
            <v>519658</v>
          </cell>
          <cell r="H282">
            <v>152923</v>
          </cell>
          <cell r="I282">
            <v>0</v>
          </cell>
        </row>
        <row r="283">
          <cell r="A283">
            <v>92913</v>
          </cell>
          <cell r="B283" t="str">
            <v>THOMASVILLE HOUSING AUTHORITY</v>
          </cell>
          <cell r="C283">
            <v>2.0400000000000001E-5</v>
          </cell>
          <cell r="D283"/>
          <cell r="E283">
            <v>46393</v>
          </cell>
          <cell r="F283">
            <v>32002</v>
          </cell>
          <cell r="G283">
            <v>25080</v>
          </cell>
          <cell r="H283">
            <v>12018</v>
          </cell>
          <cell r="I283">
            <v>0</v>
          </cell>
        </row>
        <row r="284">
          <cell r="A284">
            <v>92914</v>
          </cell>
          <cell r="B284" t="str">
            <v>THOMASVILLE ABC BOARD</v>
          </cell>
          <cell r="C284">
            <v>2.55E-5</v>
          </cell>
          <cell r="D284"/>
          <cell r="E284">
            <v>16832</v>
          </cell>
          <cell r="F284">
            <v>8235</v>
          </cell>
          <cell r="G284">
            <v>6848</v>
          </cell>
          <cell r="H284">
            <v>2336</v>
          </cell>
          <cell r="I284">
            <v>0</v>
          </cell>
        </row>
        <row r="285">
          <cell r="A285">
            <v>92917</v>
          </cell>
          <cell r="B285" t="str">
            <v>LEXINGTON ABC BOARD</v>
          </cell>
          <cell r="C285">
            <v>1.9199999999999999E-5</v>
          </cell>
          <cell r="D285"/>
          <cell r="E285">
            <v>15431</v>
          </cell>
          <cell r="F285">
            <v>7580</v>
          </cell>
          <cell r="G285">
            <v>8782</v>
          </cell>
          <cell r="H285">
            <v>3276</v>
          </cell>
          <cell r="I285">
            <v>0</v>
          </cell>
        </row>
        <row r="286">
          <cell r="A286">
            <v>92921</v>
          </cell>
          <cell r="B286" t="str">
            <v>TOWN OF DENTON</v>
          </cell>
          <cell r="C286">
            <v>9.6600000000000003E-5</v>
          </cell>
          <cell r="D286"/>
          <cell r="E286">
            <v>55769</v>
          </cell>
          <cell r="F286">
            <v>23971</v>
          </cell>
          <cell r="G286">
            <v>31656</v>
          </cell>
          <cell r="H286">
            <v>9714</v>
          </cell>
          <cell r="I286">
            <v>0</v>
          </cell>
        </row>
        <row r="287">
          <cell r="A287">
            <v>92931</v>
          </cell>
          <cell r="B287" t="str">
            <v>CITY OF LEXINGTON</v>
          </cell>
          <cell r="C287">
            <v>2.2504999999999999E-3</v>
          </cell>
          <cell r="D287"/>
          <cell r="E287">
            <v>1022051</v>
          </cell>
          <cell r="F287">
            <v>282763</v>
          </cell>
          <cell r="G287">
            <v>555078</v>
          </cell>
          <cell r="H287">
            <v>122507</v>
          </cell>
          <cell r="I287">
            <v>0</v>
          </cell>
        </row>
        <row r="288">
          <cell r="A288">
            <v>92941</v>
          </cell>
          <cell r="B288" t="str">
            <v>TOWN OF MIDWAY</v>
          </cell>
          <cell r="C288">
            <v>4.1999999999999996E-6</v>
          </cell>
          <cell r="D288"/>
          <cell r="E288">
            <v>1409</v>
          </cell>
          <cell r="F288">
            <v>-233</v>
          </cell>
          <cell r="G288">
            <v>689</v>
          </cell>
          <cell r="H288">
            <v>585</v>
          </cell>
          <cell r="I288">
            <v>0</v>
          </cell>
        </row>
        <row r="289">
          <cell r="A289">
            <v>93001</v>
          </cell>
          <cell r="B289" t="str">
            <v>DAVIE COUNTY</v>
          </cell>
          <cell r="C289">
            <v>2.2536000000000001E-3</v>
          </cell>
          <cell r="D289"/>
          <cell r="E289">
            <v>1068457</v>
          </cell>
          <cell r="F289">
            <v>314558</v>
          </cell>
          <cell r="G289">
            <v>587586</v>
          </cell>
          <cell r="H289">
            <v>158789</v>
          </cell>
          <cell r="I289">
            <v>0</v>
          </cell>
        </row>
        <row r="290">
          <cell r="A290">
            <v>93009</v>
          </cell>
          <cell r="B290" t="str">
            <v>DAVIE SOIL AND WATER CONSERVATION DIST</v>
          </cell>
          <cell r="C290">
            <v>1.2799999999999999E-5</v>
          </cell>
          <cell r="D290"/>
          <cell r="E290">
            <v>4642</v>
          </cell>
          <cell r="F290">
            <v>711</v>
          </cell>
          <cell r="G290">
            <v>2562</v>
          </cell>
          <cell r="H290">
            <v>500</v>
          </cell>
          <cell r="I290">
            <v>0</v>
          </cell>
        </row>
        <row r="291">
          <cell r="A291">
            <v>93011</v>
          </cell>
          <cell r="B291" t="str">
            <v>TOWN OF MOCKSVILLE</v>
          </cell>
          <cell r="C291">
            <v>3.0909999999999998E-4</v>
          </cell>
          <cell r="D291"/>
          <cell r="E291">
            <v>166605</v>
          </cell>
          <cell r="F291">
            <v>63096</v>
          </cell>
          <cell r="G291">
            <v>101227</v>
          </cell>
          <cell r="H291">
            <v>30043</v>
          </cell>
          <cell r="I291">
            <v>0</v>
          </cell>
        </row>
        <row r="292">
          <cell r="A292">
            <v>93021</v>
          </cell>
          <cell r="B292" t="str">
            <v>TOWN OF BERMUDA RUN</v>
          </cell>
          <cell r="C292">
            <v>3.0499999999999999E-5</v>
          </cell>
          <cell r="D292"/>
          <cell r="E292">
            <v>12273</v>
          </cell>
          <cell r="F292">
            <v>3487</v>
          </cell>
          <cell r="G292">
            <v>6610</v>
          </cell>
          <cell r="H292">
            <v>1462</v>
          </cell>
          <cell r="I292">
            <v>0</v>
          </cell>
        </row>
        <row r="293">
          <cell r="A293">
            <v>93027</v>
          </cell>
          <cell r="B293" t="str">
            <v>COOLEEMEE ABC BOARD</v>
          </cell>
          <cell r="C293">
            <v>0</v>
          </cell>
          <cell r="D293"/>
          <cell r="E293">
            <v>-3398</v>
          </cell>
          <cell r="F293">
            <v>-3601</v>
          </cell>
          <cell r="G293">
            <v>-3720</v>
          </cell>
          <cell r="H293">
            <v>-3192</v>
          </cell>
          <cell r="I293">
            <v>0</v>
          </cell>
        </row>
        <row r="294">
          <cell r="A294">
            <v>93028</v>
          </cell>
          <cell r="B294" t="str">
            <v>MOCKSVILLE-COOLEEMEE ABC BOARD</v>
          </cell>
          <cell r="C294">
            <v>0</v>
          </cell>
          <cell r="D294"/>
          <cell r="E294">
            <v>924</v>
          </cell>
          <cell r="F294">
            <v>924</v>
          </cell>
          <cell r="G294">
            <v>924</v>
          </cell>
          <cell r="H294">
            <v>924</v>
          </cell>
          <cell r="I294">
            <v>0</v>
          </cell>
        </row>
        <row r="295">
          <cell r="A295">
            <v>93031</v>
          </cell>
          <cell r="B295" t="str">
            <v>TOWN OF COOLEEMEE</v>
          </cell>
          <cell r="C295">
            <v>7.7000000000000008E-6</v>
          </cell>
          <cell r="D295"/>
          <cell r="E295">
            <v>10853</v>
          </cell>
          <cell r="F295">
            <v>5353</v>
          </cell>
          <cell r="G295">
            <v>4261</v>
          </cell>
          <cell r="H295">
            <v>921</v>
          </cell>
          <cell r="I295">
            <v>0</v>
          </cell>
        </row>
        <row r="296">
          <cell r="A296">
            <v>93101</v>
          </cell>
          <cell r="B296" t="str">
            <v>DUPLIN COUNTY</v>
          </cell>
          <cell r="C296">
            <v>3.1914999999999999E-3</v>
          </cell>
          <cell r="D296"/>
          <cell r="E296">
            <v>1457211</v>
          </cell>
          <cell r="F296">
            <v>371997</v>
          </cell>
          <cell r="G296">
            <v>764189</v>
          </cell>
          <cell r="H296">
            <v>215660</v>
          </cell>
          <cell r="I296">
            <v>0</v>
          </cell>
        </row>
        <row r="297">
          <cell r="A297">
            <v>93103</v>
          </cell>
          <cell r="B297" t="str">
            <v>DUPLIN COUNTY TOURISM DEVELOPMENT AUTHORITY</v>
          </cell>
          <cell r="C297">
            <v>1.56E-5</v>
          </cell>
          <cell r="D297"/>
          <cell r="E297">
            <v>7772</v>
          </cell>
          <cell r="F297">
            <v>774</v>
          </cell>
          <cell r="G297">
            <v>3000</v>
          </cell>
          <cell r="H297">
            <v>553</v>
          </cell>
          <cell r="I297">
            <v>0</v>
          </cell>
        </row>
        <row r="298">
          <cell r="A298">
            <v>93108</v>
          </cell>
          <cell r="B298" t="str">
            <v>EASTPOINTE HUMAN SERVICES</v>
          </cell>
          <cell r="C298">
            <v>2.2694E-3</v>
          </cell>
          <cell r="D298"/>
          <cell r="E298">
            <v>1059459</v>
          </cell>
          <cell r="F298">
            <v>279939</v>
          </cell>
          <cell r="G298">
            <v>528798</v>
          </cell>
          <cell r="H298">
            <v>145112</v>
          </cell>
          <cell r="I298">
            <v>0</v>
          </cell>
        </row>
        <row r="299">
          <cell r="A299">
            <v>93111</v>
          </cell>
          <cell r="B299" t="str">
            <v>TOWN OF BEULAVILLE</v>
          </cell>
          <cell r="C299">
            <v>5.8199999999999998E-5</v>
          </cell>
          <cell r="D299"/>
          <cell r="E299">
            <v>24461</v>
          </cell>
          <cell r="F299">
            <v>5975</v>
          </cell>
          <cell r="G299">
            <v>14607</v>
          </cell>
          <cell r="H299">
            <v>3450</v>
          </cell>
          <cell r="I299">
            <v>0</v>
          </cell>
        </row>
        <row r="300">
          <cell r="A300">
            <v>93121</v>
          </cell>
          <cell r="B300" t="str">
            <v>TOWN OF KENANSVILLE</v>
          </cell>
          <cell r="C300">
            <v>6.2199999999999994E-5</v>
          </cell>
          <cell r="D300"/>
          <cell r="E300">
            <v>30138</v>
          </cell>
          <cell r="F300">
            <v>11472</v>
          </cell>
          <cell r="G300">
            <v>18044</v>
          </cell>
          <cell r="H300">
            <v>6902</v>
          </cell>
          <cell r="I300">
            <v>0</v>
          </cell>
        </row>
        <row r="301">
          <cell r="A301">
            <v>93127</v>
          </cell>
          <cell r="B301" t="str">
            <v>KENANSVILLE ABC BOARD</v>
          </cell>
          <cell r="C301">
            <v>5.9000000000000003E-6</v>
          </cell>
          <cell r="D301"/>
          <cell r="E301">
            <v>2555</v>
          </cell>
          <cell r="F301">
            <v>682</v>
          </cell>
          <cell r="G301">
            <v>1321</v>
          </cell>
          <cell r="H301">
            <v>244</v>
          </cell>
          <cell r="I301">
            <v>0</v>
          </cell>
        </row>
        <row r="302">
          <cell r="A302">
            <v>93131</v>
          </cell>
          <cell r="B302" t="str">
            <v>TOWN OF WARSAW</v>
          </cell>
          <cell r="C302">
            <v>1.7799999999999999E-4</v>
          </cell>
          <cell r="D302"/>
          <cell r="E302">
            <v>72654</v>
          </cell>
          <cell r="F302">
            <v>14067</v>
          </cell>
          <cell r="G302">
            <v>38626</v>
          </cell>
          <cell r="H302">
            <v>9575</v>
          </cell>
          <cell r="I302">
            <v>0</v>
          </cell>
        </row>
        <row r="303">
          <cell r="A303">
            <v>93137</v>
          </cell>
          <cell r="B303" t="str">
            <v>WARSAW ABC BOARD</v>
          </cell>
          <cell r="C303">
            <v>4.7999999999999998E-6</v>
          </cell>
          <cell r="D303"/>
          <cell r="E303">
            <v>3495</v>
          </cell>
          <cell r="F303">
            <v>1685</v>
          </cell>
          <cell r="G303">
            <v>1796</v>
          </cell>
          <cell r="H303">
            <v>498</v>
          </cell>
          <cell r="I303">
            <v>0</v>
          </cell>
        </row>
        <row r="304">
          <cell r="A304">
            <v>93141</v>
          </cell>
          <cell r="B304" t="str">
            <v>TOWN OF FAISON</v>
          </cell>
          <cell r="C304">
            <v>3.2499999999999997E-5</v>
          </cell>
          <cell r="D304"/>
          <cell r="E304">
            <v>13277</v>
          </cell>
          <cell r="F304">
            <v>2456</v>
          </cell>
          <cell r="G304">
            <v>7430</v>
          </cell>
          <cell r="H304">
            <v>2800</v>
          </cell>
          <cell r="I304">
            <v>0</v>
          </cell>
        </row>
        <row r="305">
          <cell r="A305">
            <v>93151</v>
          </cell>
          <cell r="B305" t="str">
            <v>TOWN OF WALLACE</v>
          </cell>
          <cell r="C305">
            <v>3.7100000000000002E-4</v>
          </cell>
          <cell r="D305"/>
          <cell r="E305">
            <v>177934</v>
          </cell>
          <cell r="F305">
            <v>53551</v>
          </cell>
          <cell r="G305">
            <v>99816</v>
          </cell>
          <cell r="H305">
            <v>32579</v>
          </cell>
          <cell r="I305">
            <v>0</v>
          </cell>
        </row>
        <row r="306">
          <cell r="A306">
            <v>93157</v>
          </cell>
          <cell r="B306" t="str">
            <v>WALLACE ABC BD</v>
          </cell>
          <cell r="C306">
            <v>7.9000000000000006E-6</v>
          </cell>
          <cell r="D306"/>
          <cell r="E306">
            <v>7840</v>
          </cell>
          <cell r="F306">
            <v>4512</v>
          </cell>
          <cell r="G306">
            <v>4568</v>
          </cell>
          <cell r="H306">
            <v>2071</v>
          </cell>
          <cell r="I306">
            <v>0</v>
          </cell>
        </row>
        <row r="307">
          <cell r="A307">
            <v>93161</v>
          </cell>
          <cell r="B307" t="str">
            <v>TOWN OF ROSE HILL</v>
          </cell>
          <cell r="C307">
            <v>1.2180000000000001E-4</v>
          </cell>
          <cell r="D307"/>
          <cell r="E307">
            <v>68879</v>
          </cell>
          <cell r="F307">
            <v>27107</v>
          </cell>
          <cell r="G307">
            <v>33992</v>
          </cell>
          <cell r="H307">
            <v>10226</v>
          </cell>
          <cell r="I307">
            <v>0</v>
          </cell>
        </row>
        <row r="308">
          <cell r="A308">
            <v>93171</v>
          </cell>
          <cell r="B308" t="str">
            <v>TOWN OF CALYPSO</v>
          </cell>
          <cell r="C308">
            <v>5.3000000000000001E-6</v>
          </cell>
          <cell r="D308"/>
          <cell r="E308">
            <v>3749</v>
          </cell>
          <cell r="F308">
            <v>1755</v>
          </cell>
          <cell r="G308">
            <v>2160</v>
          </cell>
          <cell r="H308">
            <v>1404</v>
          </cell>
          <cell r="I308">
            <v>0</v>
          </cell>
        </row>
        <row r="309">
          <cell r="A309">
            <v>93181</v>
          </cell>
          <cell r="B309" t="str">
            <v>TOWN OF TEACHEY</v>
          </cell>
          <cell r="C309">
            <v>1.04E-5</v>
          </cell>
          <cell r="D309"/>
          <cell r="E309">
            <v>5258</v>
          </cell>
          <cell r="F309">
            <v>1718</v>
          </cell>
          <cell r="G309">
            <v>2812</v>
          </cell>
          <cell r="H309">
            <v>819</v>
          </cell>
          <cell r="I309">
            <v>0</v>
          </cell>
        </row>
        <row r="310">
          <cell r="A310">
            <v>93191</v>
          </cell>
          <cell r="B310" t="str">
            <v>TOWN OF MAGNOLIA</v>
          </cell>
          <cell r="C310">
            <v>2.34E-5</v>
          </cell>
          <cell r="D310"/>
          <cell r="E310">
            <v>13034</v>
          </cell>
          <cell r="F310">
            <v>5138</v>
          </cell>
          <cell r="G310">
            <v>8251</v>
          </cell>
          <cell r="H310">
            <v>3086</v>
          </cell>
          <cell r="I310">
            <v>0</v>
          </cell>
        </row>
        <row r="311">
          <cell r="A311">
            <v>93201</v>
          </cell>
          <cell r="B311" t="str">
            <v>DURHAM COUNTY</v>
          </cell>
          <cell r="C311">
            <v>1.5197799999999999E-2</v>
          </cell>
          <cell r="D311"/>
          <cell r="E311">
            <v>7434917</v>
          </cell>
          <cell r="F311">
            <v>2213405</v>
          </cell>
          <cell r="G311">
            <v>3995309</v>
          </cell>
          <cell r="H311">
            <v>1062807</v>
          </cell>
          <cell r="I311">
            <v>0</v>
          </cell>
        </row>
        <row r="312">
          <cell r="A312">
            <v>93202</v>
          </cell>
          <cell r="B312" t="str">
            <v>PARKWOOD FIRE DEPARTMENT</v>
          </cell>
          <cell r="C312">
            <v>0</v>
          </cell>
          <cell r="D312"/>
          <cell r="E312">
            <v>-25055</v>
          </cell>
          <cell r="F312">
            <v>0</v>
          </cell>
          <cell r="G312">
            <v>0</v>
          </cell>
          <cell r="H312">
            <v>0</v>
          </cell>
          <cell r="I312">
            <v>0</v>
          </cell>
        </row>
        <row r="313">
          <cell r="A313">
            <v>93204</v>
          </cell>
          <cell r="B313" t="str">
            <v>DURHAM COUNTY ABC BOARD</v>
          </cell>
          <cell r="C313">
            <v>2.9710000000000001E-4</v>
          </cell>
          <cell r="D313"/>
          <cell r="E313">
            <v>152816</v>
          </cell>
          <cell r="F313">
            <v>54068</v>
          </cell>
          <cell r="G313">
            <v>82847</v>
          </cell>
          <cell r="H313">
            <v>20307</v>
          </cell>
          <cell r="I313">
            <v>0</v>
          </cell>
        </row>
        <row r="314">
          <cell r="A314">
            <v>93209</v>
          </cell>
          <cell r="B314" t="str">
            <v>ALLIANCE BEHAVIORAL HEALTHCRE</v>
          </cell>
          <cell r="C314">
            <v>5.5938000000000003E-3</v>
          </cell>
          <cell r="D314"/>
          <cell r="E314">
            <v>2905290</v>
          </cell>
          <cell r="F314">
            <v>933074</v>
          </cell>
          <cell r="G314">
            <v>1553278</v>
          </cell>
          <cell r="H314">
            <v>447345</v>
          </cell>
          <cell r="I314">
            <v>0</v>
          </cell>
        </row>
        <row r="315">
          <cell r="A315">
            <v>93211</v>
          </cell>
          <cell r="B315" t="str">
            <v>CITY OF DURHAM</v>
          </cell>
          <cell r="C315">
            <v>2.16165E-2</v>
          </cell>
          <cell r="D315"/>
          <cell r="E315">
            <v>10595715</v>
          </cell>
          <cell r="F315">
            <v>3464907</v>
          </cell>
          <cell r="G315">
            <v>5944520</v>
          </cell>
          <cell r="H315">
            <v>1752590</v>
          </cell>
          <cell r="I315">
            <v>0</v>
          </cell>
        </row>
        <row r="316">
          <cell r="A316">
            <v>93212</v>
          </cell>
          <cell r="B316" t="str">
            <v>DURHAM CONVENTION &amp; VISITORS BUREAU</v>
          </cell>
          <cell r="C316">
            <v>2.3910000000000001E-4</v>
          </cell>
          <cell r="D316"/>
          <cell r="E316">
            <v>198517</v>
          </cell>
          <cell r="F316">
            <v>103822</v>
          </cell>
          <cell r="G316">
            <v>109948</v>
          </cell>
          <cell r="H316">
            <v>33047</v>
          </cell>
          <cell r="I316">
            <v>0</v>
          </cell>
        </row>
        <row r="317">
          <cell r="A317">
            <v>93219</v>
          </cell>
          <cell r="B317" t="str">
            <v>TRIANGLE J COUNCIL OF GOVERNMENTS</v>
          </cell>
          <cell r="C317">
            <v>2.6229999999999998E-4</v>
          </cell>
          <cell r="D317"/>
          <cell r="E317">
            <v>135835</v>
          </cell>
          <cell r="F317">
            <v>48441</v>
          </cell>
          <cell r="G317">
            <v>72655</v>
          </cell>
          <cell r="H317">
            <v>23673</v>
          </cell>
          <cell r="I317">
            <v>0</v>
          </cell>
        </row>
        <row r="318">
          <cell r="A318">
            <v>93301</v>
          </cell>
          <cell r="B318" t="str">
            <v>EDGECOMBE COUNTY</v>
          </cell>
          <cell r="C318">
            <v>2.2057999999999999E-3</v>
          </cell>
          <cell r="D318"/>
          <cell r="E318">
            <v>1029015</v>
          </cell>
          <cell r="F318">
            <v>271155</v>
          </cell>
          <cell r="G318">
            <v>524790</v>
          </cell>
          <cell r="H318">
            <v>150996</v>
          </cell>
          <cell r="I318">
            <v>0</v>
          </cell>
        </row>
        <row r="319">
          <cell r="A319">
            <v>93304</v>
          </cell>
          <cell r="B319" t="str">
            <v>EDGECOMBE COUNTY ABC BOARD</v>
          </cell>
          <cell r="C319">
            <v>3.9400000000000002E-5</v>
          </cell>
          <cell r="D319"/>
          <cell r="E319">
            <v>23213</v>
          </cell>
          <cell r="F319">
            <v>9419</v>
          </cell>
          <cell r="G319">
            <v>13720</v>
          </cell>
          <cell r="H319">
            <v>4809</v>
          </cell>
          <cell r="I319">
            <v>0</v>
          </cell>
        </row>
        <row r="320">
          <cell r="A320">
            <v>93305</v>
          </cell>
          <cell r="B320" t="str">
            <v>EDGECOMBE COUNTY MEMORIAL LIBRARY</v>
          </cell>
          <cell r="C320">
            <v>4.0299999999999997E-5</v>
          </cell>
          <cell r="D320"/>
          <cell r="E320">
            <v>16736</v>
          </cell>
          <cell r="F320">
            <v>3706</v>
          </cell>
          <cell r="G320">
            <v>9095</v>
          </cell>
          <cell r="H320">
            <v>2064</v>
          </cell>
          <cell r="I320">
            <v>0</v>
          </cell>
        </row>
        <row r="321">
          <cell r="A321">
            <v>93309</v>
          </cell>
          <cell r="B321" t="str">
            <v>UPPER COASTAL PLAIN COUNCIL OF GOVERNMENTS</v>
          </cell>
          <cell r="C321">
            <v>1.6239999999999999E-4</v>
          </cell>
          <cell r="D321"/>
          <cell r="E321">
            <v>91409</v>
          </cell>
          <cell r="F321">
            <v>32867</v>
          </cell>
          <cell r="G321">
            <v>49955</v>
          </cell>
          <cell r="H321">
            <v>15189</v>
          </cell>
          <cell r="I321">
            <v>0</v>
          </cell>
        </row>
        <row r="322">
          <cell r="A322">
            <v>93311</v>
          </cell>
          <cell r="B322" t="str">
            <v>TOWN OF TARBORO</v>
          </cell>
          <cell r="C322">
            <v>1.2413999999999999E-3</v>
          </cell>
          <cell r="D322"/>
          <cell r="E322">
            <v>579270</v>
          </cell>
          <cell r="F322">
            <v>178810</v>
          </cell>
          <cell r="G322">
            <v>319720</v>
          </cell>
          <cell r="H322">
            <v>79626</v>
          </cell>
          <cell r="I322">
            <v>0</v>
          </cell>
        </row>
        <row r="323">
          <cell r="A323">
            <v>93317</v>
          </cell>
          <cell r="B323" t="str">
            <v>TARBORO REDEVELOPMENT COMMISSION</v>
          </cell>
          <cell r="C323">
            <v>4.1199999999999999E-5</v>
          </cell>
          <cell r="D323"/>
          <cell r="E323">
            <v>18589</v>
          </cell>
          <cell r="F323">
            <v>4585</v>
          </cell>
          <cell r="G323">
            <v>9186</v>
          </cell>
          <cell r="H323">
            <v>2085</v>
          </cell>
          <cell r="I323">
            <v>0</v>
          </cell>
        </row>
        <row r="324">
          <cell r="A324">
            <v>93321</v>
          </cell>
          <cell r="B324" t="str">
            <v>CITY OF ROCKY MOUNT</v>
          </cell>
          <cell r="C324">
            <v>6.7971999999999998E-3</v>
          </cell>
          <cell r="D324"/>
          <cell r="E324">
            <v>3061527</v>
          </cell>
          <cell r="F324">
            <v>839671</v>
          </cell>
          <cell r="G324">
            <v>1666677</v>
          </cell>
          <cell r="H324">
            <v>449150</v>
          </cell>
          <cell r="I324">
            <v>0</v>
          </cell>
        </row>
        <row r="325">
          <cell r="A325">
            <v>93323</v>
          </cell>
          <cell r="B325" t="str">
            <v>ROCKY MOUNT-WILSON AIRPORT AUTHORITY</v>
          </cell>
          <cell r="C325">
            <v>2.0100000000000001E-5</v>
          </cell>
          <cell r="D325"/>
          <cell r="E325">
            <v>10580</v>
          </cell>
          <cell r="F325">
            <v>4134</v>
          </cell>
          <cell r="G325">
            <v>4690</v>
          </cell>
          <cell r="H325">
            <v>1355</v>
          </cell>
          <cell r="I325">
            <v>0</v>
          </cell>
        </row>
        <row r="326">
          <cell r="A326">
            <v>93331</v>
          </cell>
          <cell r="B326" t="str">
            <v>TOWN OF PINETOPS</v>
          </cell>
          <cell r="C326">
            <v>1.161E-4</v>
          </cell>
          <cell r="D326"/>
          <cell r="E326">
            <v>55134</v>
          </cell>
          <cell r="F326">
            <v>15821</v>
          </cell>
          <cell r="G326">
            <v>30438</v>
          </cell>
          <cell r="H326">
            <v>7158</v>
          </cell>
          <cell r="I326">
            <v>0</v>
          </cell>
        </row>
        <row r="327">
          <cell r="A327">
            <v>93333</v>
          </cell>
          <cell r="B327" t="str">
            <v>ROCKY MT HOUSING AUTHORITY</v>
          </cell>
          <cell r="C327">
            <v>1.6660000000000001E-4</v>
          </cell>
          <cell r="D327"/>
          <cell r="E327">
            <v>128526</v>
          </cell>
          <cell r="F327">
            <v>53088</v>
          </cell>
          <cell r="G327">
            <v>53842</v>
          </cell>
          <cell r="H327">
            <v>20247</v>
          </cell>
          <cell r="I327">
            <v>0</v>
          </cell>
        </row>
        <row r="328">
          <cell r="A328">
            <v>93341</v>
          </cell>
          <cell r="B328" t="str">
            <v>TOWN OF MACCLESFIELD</v>
          </cell>
          <cell r="C328">
            <v>2.9300000000000001E-5</v>
          </cell>
          <cell r="D328"/>
          <cell r="E328">
            <v>15839</v>
          </cell>
          <cell r="F328">
            <v>5600</v>
          </cell>
          <cell r="G328">
            <v>9148</v>
          </cell>
          <cell r="H328">
            <v>2719</v>
          </cell>
          <cell r="I328">
            <v>0</v>
          </cell>
        </row>
        <row r="329">
          <cell r="A329">
            <v>93351</v>
          </cell>
          <cell r="B329" t="str">
            <v>TOWN OF PRINCEVILLE</v>
          </cell>
          <cell r="C329">
            <v>3.1600000000000002E-5</v>
          </cell>
          <cell r="D329"/>
          <cell r="E329">
            <v>19385</v>
          </cell>
          <cell r="F329">
            <v>6857</v>
          </cell>
          <cell r="G329">
            <v>7294</v>
          </cell>
          <cell r="H329">
            <v>4000</v>
          </cell>
          <cell r="I329">
            <v>0</v>
          </cell>
        </row>
        <row r="330">
          <cell r="A330">
            <v>93401</v>
          </cell>
          <cell r="B330" t="str">
            <v>FORSYTH COUNTY</v>
          </cell>
          <cell r="C330">
            <v>1.3690799999999999E-2</v>
          </cell>
          <cell r="D330"/>
          <cell r="E330">
            <v>6622459</v>
          </cell>
          <cell r="F330">
            <v>2036507</v>
          </cell>
          <cell r="G330">
            <v>3588235</v>
          </cell>
          <cell r="H330">
            <v>968118</v>
          </cell>
          <cell r="I330">
            <v>0</v>
          </cell>
        </row>
        <row r="331">
          <cell r="A331">
            <v>93402</v>
          </cell>
          <cell r="B331" t="str">
            <v>AIRPORT COMMISSION OF FORSYTH COUNTY</v>
          </cell>
          <cell r="C331">
            <v>0</v>
          </cell>
          <cell r="D331"/>
          <cell r="E331">
            <v>-19132</v>
          </cell>
          <cell r="F331">
            <v>-18552</v>
          </cell>
          <cell r="G331">
            <v>-18172</v>
          </cell>
          <cell r="H331">
            <v>-16204</v>
          </cell>
          <cell r="I331">
            <v>0</v>
          </cell>
        </row>
        <row r="332">
          <cell r="A332">
            <v>93406</v>
          </cell>
          <cell r="B332" t="str">
            <v>PIEDMONT TRIAD REGIONAL COUNCIL</v>
          </cell>
          <cell r="C332">
            <v>4.9350000000000002E-4</v>
          </cell>
          <cell r="D332"/>
          <cell r="E332">
            <v>207741</v>
          </cell>
          <cell r="F332">
            <v>39879</v>
          </cell>
          <cell r="G332">
            <v>108102</v>
          </cell>
          <cell r="H332">
            <v>38226</v>
          </cell>
          <cell r="I332">
            <v>0</v>
          </cell>
        </row>
        <row r="333">
          <cell r="A333">
            <v>93408</v>
          </cell>
          <cell r="B333" t="str">
            <v>CENTERPOINT HUMAN SERVICES</v>
          </cell>
          <cell r="C333">
            <v>0</v>
          </cell>
          <cell r="D333"/>
          <cell r="E333">
            <v>-421153</v>
          </cell>
          <cell r="F333">
            <v>-303143</v>
          </cell>
          <cell r="G333">
            <v>0</v>
          </cell>
          <cell r="H333">
            <v>0</v>
          </cell>
          <cell r="I333">
            <v>0</v>
          </cell>
        </row>
        <row r="334">
          <cell r="A334">
            <v>93411</v>
          </cell>
          <cell r="B334" t="str">
            <v>CITY OF WINSTON-SALEM</v>
          </cell>
          <cell r="C334">
            <v>1.77345E-2</v>
          </cell>
          <cell r="D334"/>
          <cell r="E334">
            <v>8697729</v>
          </cell>
          <cell r="F334">
            <v>2810941</v>
          </cell>
          <cell r="G334">
            <v>4767372</v>
          </cell>
          <cell r="H334">
            <v>1276263</v>
          </cell>
          <cell r="I334">
            <v>0</v>
          </cell>
        </row>
        <row r="335">
          <cell r="A335">
            <v>93413</v>
          </cell>
          <cell r="B335" t="str">
            <v>WINSTON-SALEM HOUSING AUTHORITY</v>
          </cell>
          <cell r="C335">
            <v>6.9559999999999999E-4</v>
          </cell>
          <cell r="D335"/>
          <cell r="E335">
            <v>331569</v>
          </cell>
          <cell r="F335">
            <v>101623</v>
          </cell>
          <cell r="G335">
            <v>180955</v>
          </cell>
          <cell r="H335">
            <v>53026</v>
          </cell>
          <cell r="I335">
            <v>0</v>
          </cell>
        </row>
        <row r="336">
          <cell r="A336">
            <v>93417</v>
          </cell>
          <cell r="B336" t="str">
            <v>TRIAD MUNICIPAL ABC BOARD</v>
          </cell>
          <cell r="C336">
            <v>2.8659999999999997E-4</v>
          </cell>
          <cell r="D336"/>
          <cell r="E336">
            <v>133628</v>
          </cell>
          <cell r="F336">
            <v>36581</v>
          </cell>
          <cell r="G336">
            <v>77477</v>
          </cell>
          <cell r="H336">
            <v>20921</v>
          </cell>
          <cell r="I336">
            <v>0</v>
          </cell>
        </row>
        <row r="337">
          <cell r="A337">
            <v>93421</v>
          </cell>
          <cell r="B337" t="str">
            <v>TOWN OF KERNERSVILLE</v>
          </cell>
          <cell r="C337">
            <v>2.0569E-3</v>
          </cell>
          <cell r="D337"/>
          <cell r="E337">
            <v>905391</v>
          </cell>
          <cell r="F337">
            <v>238630</v>
          </cell>
          <cell r="G337">
            <v>495545</v>
          </cell>
          <cell r="H337">
            <v>123744</v>
          </cell>
          <cell r="I337">
            <v>0</v>
          </cell>
        </row>
        <row r="338">
          <cell r="A338">
            <v>93431</v>
          </cell>
          <cell r="B338" t="str">
            <v>TOWN OF RURAL HALL</v>
          </cell>
          <cell r="C338">
            <v>1.381E-4</v>
          </cell>
          <cell r="D338"/>
          <cell r="E338">
            <v>71030</v>
          </cell>
          <cell r="F338">
            <v>25845</v>
          </cell>
          <cell r="G338">
            <v>38628</v>
          </cell>
          <cell r="H338">
            <v>10307</v>
          </cell>
          <cell r="I338">
            <v>0</v>
          </cell>
        </row>
        <row r="339">
          <cell r="A339">
            <v>93441</v>
          </cell>
          <cell r="B339" t="str">
            <v>VILLAGE OF CLEMMONS</v>
          </cell>
          <cell r="C339">
            <v>1.6559999999999999E-4</v>
          </cell>
          <cell r="D339"/>
          <cell r="E339">
            <v>87318</v>
          </cell>
          <cell r="F339">
            <v>27615</v>
          </cell>
          <cell r="G339">
            <v>44301</v>
          </cell>
          <cell r="H339">
            <v>11509</v>
          </cell>
          <cell r="I339">
            <v>0</v>
          </cell>
        </row>
        <row r="340">
          <cell r="A340">
            <v>93442</v>
          </cell>
          <cell r="B340" t="str">
            <v>CLEMMONS FIRE DEPARTMENT</v>
          </cell>
          <cell r="C340">
            <v>1.561E-4</v>
          </cell>
          <cell r="D340"/>
          <cell r="E340">
            <v>67874</v>
          </cell>
          <cell r="F340">
            <v>20830</v>
          </cell>
          <cell r="G340">
            <v>38389</v>
          </cell>
          <cell r="H340">
            <v>10396</v>
          </cell>
          <cell r="I340">
            <v>0</v>
          </cell>
        </row>
        <row r="341">
          <cell r="A341">
            <v>93451</v>
          </cell>
          <cell r="B341" t="str">
            <v>TOWN OF LEWISVILLE</v>
          </cell>
          <cell r="C341">
            <v>6.6600000000000006E-5</v>
          </cell>
          <cell r="D341"/>
          <cell r="E341">
            <v>37851</v>
          </cell>
          <cell r="F341">
            <v>13550</v>
          </cell>
          <cell r="G341">
            <v>20290</v>
          </cell>
          <cell r="H341">
            <v>4791</v>
          </cell>
          <cell r="I341">
            <v>0</v>
          </cell>
        </row>
        <row r="342">
          <cell r="A342">
            <v>93461</v>
          </cell>
          <cell r="B342" t="str">
            <v>TOWN OF WALKERTOWN</v>
          </cell>
          <cell r="C342">
            <v>1.5500000000000001E-5</v>
          </cell>
          <cell r="D342"/>
          <cell r="E342">
            <v>7684</v>
          </cell>
          <cell r="F342">
            <v>2389</v>
          </cell>
          <cell r="G342">
            <v>4124</v>
          </cell>
          <cell r="H342">
            <v>1097</v>
          </cell>
          <cell r="I342">
            <v>0</v>
          </cell>
        </row>
        <row r="343">
          <cell r="A343">
            <v>93471</v>
          </cell>
          <cell r="B343" t="str">
            <v>VILLAGE OF TOBACCOVILLE</v>
          </cell>
          <cell r="C343">
            <v>1.1399999999999999E-5</v>
          </cell>
          <cell r="D343"/>
          <cell r="E343">
            <v>7559</v>
          </cell>
          <cell r="F343">
            <v>3367</v>
          </cell>
          <cell r="G343">
            <v>3985</v>
          </cell>
          <cell r="H343">
            <v>1462</v>
          </cell>
          <cell r="I343">
            <v>0</v>
          </cell>
        </row>
        <row r="344">
          <cell r="A344">
            <v>93501</v>
          </cell>
          <cell r="B344" t="str">
            <v>FRANKLIN COUNTY</v>
          </cell>
          <cell r="C344">
            <v>3.8463999999999998E-3</v>
          </cell>
          <cell r="D344"/>
          <cell r="E344">
            <v>1929368</v>
          </cell>
          <cell r="F344">
            <v>649991</v>
          </cell>
          <cell r="G344">
            <v>1052511</v>
          </cell>
          <cell r="H344">
            <v>312306</v>
          </cell>
          <cell r="I344">
            <v>0</v>
          </cell>
        </row>
        <row r="345">
          <cell r="A345">
            <v>93511</v>
          </cell>
          <cell r="B345" t="str">
            <v>TOWN OF FRANKLINTON</v>
          </cell>
          <cell r="C345">
            <v>8.7899999999999995E-5</v>
          </cell>
          <cell r="D345"/>
          <cell r="E345">
            <v>43040</v>
          </cell>
          <cell r="F345">
            <v>15241</v>
          </cell>
          <cell r="G345">
            <v>26139</v>
          </cell>
          <cell r="H345">
            <v>8116</v>
          </cell>
          <cell r="I345">
            <v>0</v>
          </cell>
        </row>
        <row r="346">
          <cell r="A346">
            <v>93517</v>
          </cell>
          <cell r="B346" t="str">
            <v>FRANKLINTON ABC BOARD</v>
          </cell>
          <cell r="C346">
            <v>4.3000000000000003E-6</v>
          </cell>
          <cell r="D346"/>
          <cell r="E346">
            <v>3191</v>
          </cell>
          <cell r="F346">
            <v>1512</v>
          </cell>
          <cell r="G346">
            <v>1758</v>
          </cell>
          <cell r="H346">
            <v>706</v>
          </cell>
          <cell r="I346">
            <v>0</v>
          </cell>
        </row>
        <row r="347">
          <cell r="A347">
            <v>93521</v>
          </cell>
          <cell r="B347" t="str">
            <v>TOWN OF LOUISBURG</v>
          </cell>
          <cell r="C347">
            <v>4.7340000000000001E-4</v>
          </cell>
          <cell r="D347"/>
          <cell r="E347">
            <v>219467</v>
          </cell>
          <cell r="F347">
            <v>57720</v>
          </cell>
          <cell r="G347">
            <v>128876</v>
          </cell>
          <cell r="H347">
            <v>38795</v>
          </cell>
          <cell r="I347">
            <v>0</v>
          </cell>
        </row>
        <row r="348">
          <cell r="A348">
            <v>93527</v>
          </cell>
          <cell r="B348" t="str">
            <v>LOUISBURG ABC BOARD</v>
          </cell>
          <cell r="C348">
            <v>9.5999999999999996E-6</v>
          </cell>
          <cell r="D348"/>
          <cell r="E348">
            <v>9050</v>
          </cell>
          <cell r="F348">
            <v>4739</v>
          </cell>
          <cell r="G348">
            <v>3899</v>
          </cell>
          <cell r="H348">
            <v>1007</v>
          </cell>
          <cell r="I348">
            <v>0</v>
          </cell>
        </row>
        <row r="349">
          <cell r="A349">
            <v>93531</v>
          </cell>
          <cell r="B349" t="str">
            <v>TOWN OF BUNN</v>
          </cell>
          <cell r="C349">
            <v>2.23E-5</v>
          </cell>
          <cell r="D349"/>
          <cell r="E349">
            <v>10983</v>
          </cell>
          <cell r="F349">
            <v>3230</v>
          </cell>
          <cell r="G349">
            <v>6177</v>
          </cell>
          <cell r="H349">
            <v>157</v>
          </cell>
          <cell r="I349">
            <v>0</v>
          </cell>
        </row>
        <row r="350">
          <cell r="A350">
            <v>93537</v>
          </cell>
          <cell r="B350" t="str">
            <v>ABC BOARD - TOWN OF BUNN</v>
          </cell>
          <cell r="C350">
            <v>1.08E-5</v>
          </cell>
          <cell r="D350"/>
          <cell r="E350">
            <v>4255</v>
          </cell>
          <cell r="F350">
            <v>788</v>
          </cell>
          <cell r="G350">
            <v>2318</v>
          </cell>
          <cell r="H350">
            <v>539</v>
          </cell>
          <cell r="I350">
            <v>0</v>
          </cell>
        </row>
        <row r="351">
          <cell r="A351">
            <v>93541</v>
          </cell>
          <cell r="B351" t="str">
            <v>TOWN OF YOUNGSVILLE</v>
          </cell>
          <cell r="C351">
            <v>9.9699999999999998E-5</v>
          </cell>
          <cell r="D351"/>
          <cell r="E351">
            <v>49825</v>
          </cell>
          <cell r="F351">
            <v>16299</v>
          </cell>
          <cell r="G351">
            <v>27573</v>
          </cell>
          <cell r="H351">
            <v>9908</v>
          </cell>
          <cell r="I351">
            <v>0</v>
          </cell>
        </row>
        <row r="352">
          <cell r="A352">
            <v>93601</v>
          </cell>
          <cell r="B352" t="str">
            <v>GASTON COUNTY</v>
          </cell>
          <cell r="C352">
            <v>1.1220300000000001E-2</v>
          </cell>
          <cell r="D352"/>
          <cell r="E352">
            <v>5573431</v>
          </cell>
          <cell r="F352">
            <v>1771092</v>
          </cell>
          <cell r="G352">
            <v>3095446</v>
          </cell>
          <cell r="H352">
            <v>876967</v>
          </cell>
          <cell r="I352">
            <v>0</v>
          </cell>
        </row>
        <row r="353">
          <cell r="A353">
            <v>93602</v>
          </cell>
          <cell r="B353" t="str">
            <v>TOWN OF STANLEY</v>
          </cell>
          <cell r="C353">
            <v>1.918E-4</v>
          </cell>
          <cell r="D353"/>
          <cell r="E353">
            <v>96745</v>
          </cell>
          <cell r="F353">
            <v>34895</v>
          </cell>
          <cell r="G353">
            <v>55829</v>
          </cell>
          <cell r="H353">
            <v>17792</v>
          </cell>
          <cell r="I353">
            <v>0</v>
          </cell>
        </row>
        <row r="354">
          <cell r="A354">
            <v>93604</v>
          </cell>
          <cell r="B354" t="str">
            <v>CRAMERTON ABC BOARD</v>
          </cell>
          <cell r="C354">
            <v>2.6400000000000001E-5</v>
          </cell>
          <cell r="D354"/>
          <cell r="E354">
            <v>19602</v>
          </cell>
          <cell r="F354">
            <v>10701</v>
          </cell>
          <cell r="G354">
            <v>13709</v>
          </cell>
          <cell r="H354">
            <v>3816</v>
          </cell>
          <cell r="I354">
            <v>0</v>
          </cell>
        </row>
        <row r="355">
          <cell r="A355">
            <v>93609</v>
          </cell>
          <cell r="B355" t="str">
            <v>PARTNERS BEHAVIORAL HEALTH MANAGEMENT</v>
          </cell>
          <cell r="C355">
            <v>3.7919E-3</v>
          </cell>
          <cell r="D355"/>
          <cell r="E355">
            <v>1981974</v>
          </cell>
          <cell r="F355">
            <v>670999</v>
          </cell>
          <cell r="G355">
            <v>981081</v>
          </cell>
          <cell r="H355">
            <v>254812</v>
          </cell>
          <cell r="I355">
            <v>0</v>
          </cell>
        </row>
        <row r="356">
          <cell r="A356">
            <v>93610</v>
          </cell>
          <cell r="B356" t="str">
            <v>TOWN OF MCADENVILLE</v>
          </cell>
          <cell r="C356">
            <v>1.63E-5</v>
          </cell>
          <cell r="D356"/>
          <cell r="E356">
            <v>8075</v>
          </cell>
          <cell r="F356">
            <v>3592</v>
          </cell>
          <cell r="G356">
            <v>4361</v>
          </cell>
          <cell r="H356">
            <v>1112</v>
          </cell>
          <cell r="I356">
            <v>0</v>
          </cell>
        </row>
        <row r="357">
          <cell r="A357">
            <v>93611</v>
          </cell>
          <cell r="B357" t="str">
            <v>CITY OF GASTONIA</v>
          </cell>
          <cell r="C357">
            <v>6.9186999999999999E-3</v>
          </cell>
          <cell r="D357"/>
          <cell r="E357">
            <v>3374854</v>
          </cell>
          <cell r="F357">
            <v>1048737</v>
          </cell>
          <cell r="G357">
            <v>1821156</v>
          </cell>
          <cell r="H357">
            <v>521563</v>
          </cell>
          <cell r="I357">
            <v>0</v>
          </cell>
        </row>
        <row r="358">
          <cell r="A358">
            <v>93617</v>
          </cell>
          <cell r="B358" t="str">
            <v>GASTONIA ABC BOARD</v>
          </cell>
          <cell r="C358">
            <v>7.8899999999999993E-5</v>
          </cell>
          <cell r="D358"/>
          <cell r="E358">
            <v>46273</v>
          </cell>
          <cell r="F358">
            <v>16528</v>
          </cell>
          <cell r="G358">
            <v>25337</v>
          </cell>
          <cell r="H358">
            <v>7361</v>
          </cell>
          <cell r="I358">
            <v>0</v>
          </cell>
        </row>
        <row r="359">
          <cell r="A359">
            <v>93618</v>
          </cell>
          <cell r="B359" t="str">
            <v>GASTON COUNTY ECONOMIC DEV. COMMISSION</v>
          </cell>
          <cell r="C359">
            <v>9.5000000000000005E-6</v>
          </cell>
          <cell r="D359"/>
          <cell r="E359">
            <v>19622</v>
          </cell>
          <cell r="F359">
            <v>13084</v>
          </cell>
          <cell r="G359">
            <v>10491</v>
          </cell>
          <cell r="H359">
            <v>4837</v>
          </cell>
          <cell r="I359">
            <v>0</v>
          </cell>
        </row>
        <row r="360">
          <cell r="A360">
            <v>93621</v>
          </cell>
          <cell r="B360" t="str">
            <v>CITY OF BELMONT</v>
          </cell>
          <cell r="C360">
            <v>1.0563E-3</v>
          </cell>
          <cell r="D360"/>
          <cell r="E360">
            <v>513114</v>
          </cell>
          <cell r="F360">
            <v>173501</v>
          </cell>
          <cell r="G360">
            <v>281690</v>
          </cell>
          <cell r="H360">
            <v>78249</v>
          </cell>
          <cell r="I360">
            <v>0</v>
          </cell>
        </row>
        <row r="361">
          <cell r="A361">
            <v>93623</v>
          </cell>
          <cell r="B361" t="str">
            <v>BELMONT HOUSING AUTHORITY</v>
          </cell>
          <cell r="C361">
            <v>1.1E-5</v>
          </cell>
          <cell r="D361"/>
          <cell r="E361">
            <v>6911</v>
          </cell>
          <cell r="F361">
            <v>2643</v>
          </cell>
          <cell r="G361">
            <v>3275</v>
          </cell>
          <cell r="H361">
            <v>839</v>
          </cell>
          <cell r="I361">
            <v>0</v>
          </cell>
        </row>
        <row r="362">
          <cell r="A362">
            <v>93631</v>
          </cell>
          <cell r="B362" t="str">
            <v>TOWN OF CRAMERTON</v>
          </cell>
          <cell r="C362">
            <v>2.4130000000000001E-4</v>
          </cell>
          <cell r="D362"/>
          <cell r="E362">
            <v>114284</v>
          </cell>
          <cell r="F362">
            <v>34840</v>
          </cell>
          <cell r="G362">
            <v>64434</v>
          </cell>
          <cell r="H362">
            <v>19859</v>
          </cell>
          <cell r="I362">
            <v>0</v>
          </cell>
        </row>
        <row r="363">
          <cell r="A363">
            <v>93641</v>
          </cell>
          <cell r="B363" t="str">
            <v>CITY OF CHERRYVILLE</v>
          </cell>
          <cell r="C363">
            <v>3.7300000000000001E-4</v>
          </cell>
          <cell r="D363"/>
          <cell r="E363">
            <v>186117</v>
          </cell>
          <cell r="F363">
            <v>59159</v>
          </cell>
          <cell r="G363">
            <v>104389</v>
          </cell>
          <cell r="H363">
            <v>34409</v>
          </cell>
          <cell r="I363">
            <v>0</v>
          </cell>
        </row>
        <row r="364">
          <cell r="A364">
            <v>93647</v>
          </cell>
          <cell r="B364" t="str">
            <v>CHERRYVILLE ABC BOARD</v>
          </cell>
          <cell r="C364">
            <v>5.2000000000000002E-6</v>
          </cell>
          <cell r="D364"/>
          <cell r="E364">
            <v>7413</v>
          </cell>
          <cell r="F364">
            <v>4712</v>
          </cell>
          <cell r="G364">
            <v>4062</v>
          </cell>
          <cell r="H364">
            <v>1692</v>
          </cell>
          <cell r="I364">
            <v>0</v>
          </cell>
        </row>
        <row r="365">
          <cell r="A365">
            <v>93651</v>
          </cell>
          <cell r="B365" t="str">
            <v>TOWN OF DALLAS</v>
          </cell>
          <cell r="C365">
            <v>4.3790000000000002E-4</v>
          </cell>
          <cell r="D365"/>
          <cell r="E365">
            <v>203330</v>
          </cell>
          <cell r="F365">
            <v>58039</v>
          </cell>
          <cell r="G365">
            <v>109276</v>
          </cell>
          <cell r="H365">
            <v>27524</v>
          </cell>
          <cell r="I365">
            <v>0</v>
          </cell>
        </row>
        <row r="366">
          <cell r="A366">
            <v>93661</v>
          </cell>
          <cell r="B366" t="str">
            <v>CITY OF LOWELL</v>
          </cell>
          <cell r="C366">
            <v>1.2850000000000001E-4</v>
          </cell>
          <cell r="D366"/>
          <cell r="E366">
            <v>64044</v>
          </cell>
          <cell r="F366">
            <v>19017</v>
          </cell>
          <cell r="G366">
            <v>32758</v>
          </cell>
          <cell r="H366">
            <v>7355</v>
          </cell>
          <cell r="I366">
            <v>0</v>
          </cell>
        </row>
        <row r="367">
          <cell r="A367">
            <v>93671</v>
          </cell>
          <cell r="B367" t="str">
            <v>BESSEMER CITY</v>
          </cell>
          <cell r="C367">
            <v>3.4840000000000001E-4</v>
          </cell>
          <cell r="D367"/>
          <cell r="E367">
            <v>175706</v>
          </cell>
          <cell r="F367">
            <v>58665</v>
          </cell>
          <cell r="G367">
            <v>98713</v>
          </cell>
          <cell r="H367">
            <v>31324</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62124</v>
          </cell>
          <cell r="F369">
            <v>21127</v>
          </cell>
          <cell r="G369">
            <v>36106</v>
          </cell>
          <cell r="H369">
            <v>10208</v>
          </cell>
          <cell r="I369">
            <v>0</v>
          </cell>
        </row>
        <row r="370">
          <cell r="A370">
            <v>93691</v>
          </cell>
          <cell r="B370" t="str">
            <v>CITY OF MOUNT HOLLY</v>
          </cell>
          <cell r="C370">
            <v>1.0889999999999999E-3</v>
          </cell>
          <cell r="D370"/>
          <cell r="E370">
            <v>502501</v>
          </cell>
          <cell r="F370">
            <v>145987</v>
          </cell>
          <cell r="G370">
            <v>283415</v>
          </cell>
          <cell r="H370">
            <v>88050</v>
          </cell>
          <cell r="I370">
            <v>0</v>
          </cell>
        </row>
        <row r="371">
          <cell r="A371">
            <v>93701</v>
          </cell>
          <cell r="B371" t="str">
            <v>COUNTY OF GATES</v>
          </cell>
          <cell r="C371">
            <v>4.3600000000000003E-4</v>
          </cell>
          <cell r="D371"/>
          <cell r="E371">
            <v>200918</v>
          </cell>
          <cell r="F371">
            <v>56395</v>
          </cell>
          <cell r="G371">
            <v>108394</v>
          </cell>
          <cell r="H371">
            <v>26187</v>
          </cell>
          <cell r="I371">
            <v>0</v>
          </cell>
        </row>
        <row r="372">
          <cell r="A372">
            <v>93704</v>
          </cell>
          <cell r="B372" t="str">
            <v>GATES COUNTY ABC BOARD</v>
          </cell>
          <cell r="C372">
            <v>2.2000000000000001E-6</v>
          </cell>
          <cell r="D372"/>
          <cell r="E372">
            <v>1390</v>
          </cell>
          <cell r="F372">
            <v>567</v>
          </cell>
          <cell r="G372">
            <v>752</v>
          </cell>
          <cell r="H372">
            <v>246</v>
          </cell>
          <cell r="I372">
            <v>0</v>
          </cell>
        </row>
        <row r="373">
          <cell r="A373">
            <v>93801</v>
          </cell>
          <cell r="B373" t="str">
            <v>GRAHAM COUNTY</v>
          </cell>
          <cell r="C373">
            <v>4.191E-4</v>
          </cell>
          <cell r="D373"/>
          <cell r="E373">
            <v>209782</v>
          </cell>
          <cell r="F373">
            <v>39019</v>
          </cell>
          <cell r="G373">
            <v>100051</v>
          </cell>
          <cell r="H373">
            <v>30037</v>
          </cell>
          <cell r="I373">
            <v>0</v>
          </cell>
        </row>
        <row r="374">
          <cell r="A374">
            <v>93803</v>
          </cell>
          <cell r="B374" t="str">
            <v>GRAHAM CO HEALTH DEPT</v>
          </cell>
          <cell r="C374">
            <v>9.0799999999999998E-5</v>
          </cell>
          <cell r="D374"/>
          <cell r="E374">
            <v>28859</v>
          </cell>
          <cell r="F374">
            <v>1600</v>
          </cell>
          <cell r="G374">
            <v>17060</v>
          </cell>
          <cell r="H374">
            <v>2396</v>
          </cell>
          <cell r="I374">
            <v>0</v>
          </cell>
        </row>
        <row r="375">
          <cell r="A375">
            <v>93806</v>
          </cell>
          <cell r="B375" t="str">
            <v>GRAHAM COUNTY DEPT OF S S</v>
          </cell>
          <cell r="C375">
            <v>7.9599999999999997E-5</v>
          </cell>
          <cell r="D375"/>
          <cell r="E375">
            <v>40009</v>
          </cell>
          <cell r="F375">
            <v>13339</v>
          </cell>
          <cell r="G375">
            <v>19371</v>
          </cell>
          <cell r="H375">
            <v>6439</v>
          </cell>
          <cell r="I375">
            <v>0</v>
          </cell>
        </row>
        <row r="376">
          <cell r="A376">
            <v>93821</v>
          </cell>
          <cell r="B376" t="str">
            <v>TOWN OF ROBBINSVILLE</v>
          </cell>
          <cell r="C376">
            <v>6.9200000000000002E-5</v>
          </cell>
          <cell r="D376"/>
          <cell r="E376">
            <v>50432</v>
          </cell>
          <cell r="F376">
            <v>22721</v>
          </cell>
          <cell r="G376">
            <v>30683</v>
          </cell>
          <cell r="H376">
            <v>7417</v>
          </cell>
          <cell r="I376">
            <v>0</v>
          </cell>
        </row>
        <row r="377">
          <cell r="A377">
            <v>93901</v>
          </cell>
          <cell r="B377" t="str">
            <v>GRANVILLE COUNTY</v>
          </cell>
          <cell r="C377">
            <v>1.7884999999999999E-3</v>
          </cell>
          <cell r="D377"/>
          <cell r="E377">
            <v>931763</v>
          </cell>
          <cell r="F377">
            <v>321180</v>
          </cell>
          <cell r="G377">
            <v>513827</v>
          </cell>
          <cell r="H377">
            <v>161772</v>
          </cell>
          <cell r="I377">
            <v>0</v>
          </cell>
        </row>
        <row r="378">
          <cell r="A378">
            <v>93904</v>
          </cell>
          <cell r="B378" t="str">
            <v>GRANVILLE CO ABC BD</v>
          </cell>
          <cell r="C378">
            <v>3.18E-5</v>
          </cell>
          <cell r="D378"/>
          <cell r="E378">
            <v>20033</v>
          </cell>
          <cell r="F378">
            <v>8932</v>
          </cell>
          <cell r="G378">
            <v>10959</v>
          </cell>
          <cell r="H378">
            <v>3501</v>
          </cell>
          <cell r="I378">
            <v>0</v>
          </cell>
        </row>
        <row r="379">
          <cell r="A379">
            <v>93906</v>
          </cell>
          <cell r="B379" t="str">
            <v>GRANVILLE COUNTY HOSPITAL</v>
          </cell>
          <cell r="C379">
            <v>3.1308E-3</v>
          </cell>
          <cell r="D379"/>
          <cell r="E379">
            <v>1430277</v>
          </cell>
          <cell r="F379">
            <v>385658</v>
          </cell>
          <cell r="G379">
            <v>766564</v>
          </cell>
          <cell r="H379">
            <v>217730</v>
          </cell>
          <cell r="I379">
            <v>0</v>
          </cell>
        </row>
        <row r="380">
          <cell r="A380">
            <v>93908</v>
          </cell>
          <cell r="B380" t="str">
            <v>GRANVILLE-VANCE HEALTH DIST</v>
          </cell>
          <cell r="C380">
            <v>4.9540000000000001E-4</v>
          </cell>
          <cell r="D380"/>
          <cell r="E380">
            <v>242576</v>
          </cell>
          <cell r="F380">
            <v>76290</v>
          </cell>
          <cell r="G380">
            <v>130656</v>
          </cell>
          <cell r="H380">
            <v>41862</v>
          </cell>
          <cell r="I380">
            <v>0</v>
          </cell>
        </row>
        <row r="381">
          <cell r="A381">
            <v>93910</v>
          </cell>
          <cell r="B381" t="str">
            <v>SOUTH GRANVILLE WATER AND SEWER AUTHORITY</v>
          </cell>
          <cell r="C381">
            <v>2.285E-4</v>
          </cell>
          <cell r="D381"/>
          <cell r="E381">
            <v>96489</v>
          </cell>
          <cell r="F381">
            <v>21708</v>
          </cell>
          <cell r="G381">
            <v>51921</v>
          </cell>
          <cell r="H381">
            <v>12686</v>
          </cell>
          <cell r="I381">
            <v>0</v>
          </cell>
        </row>
        <row r="382">
          <cell r="A382">
            <v>93911</v>
          </cell>
          <cell r="B382" t="str">
            <v>CITY OF OXFORD</v>
          </cell>
          <cell r="C382">
            <v>6.4320000000000002E-4</v>
          </cell>
          <cell r="D382"/>
          <cell r="E382">
            <v>302275</v>
          </cell>
          <cell r="F382">
            <v>91359</v>
          </cell>
          <cell r="G382">
            <v>173259</v>
          </cell>
          <cell r="H382">
            <v>48076</v>
          </cell>
          <cell r="I382">
            <v>0</v>
          </cell>
        </row>
        <row r="383">
          <cell r="A383">
            <v>93913</v>
          </cell>
          <cell r="B383" t="str">
            <v>OXFORD HOUSING AUTHORITY</v>
          </cell>
          <cell r="C383">
            <v>4.9799999999999998E-5</v>
          </cell>
          <cell r="D383"/>
          <cell r="E383">
            <v>25317</v>
          </cell>
          <cell r="F383">
            <v>7658</v>
          </cell>
          <cell r="G383">
            <v>13379</v>
          </cell>
          <cell r="H383">
            <v>3233</v>
          </cell>
          <cell r="I383">
            <v>0</v>
          </cell>
        </row>
        <row r="384">
          <cell r="A384">
            <v>93914</v>
          </cell>
          <cell r="B384" t="str">
            <v>TOWN OF STOVALL</v>
          </cell>
          <cell r="C384">
            <v>6.1E-6</v>
          </cell>
          <cell r="D384"/>
          <cell r="E384">
            <v>4593</v>
          </cell>
          <cell r="F384">
            <v>2273</v>
          </cell>
          <cell r="G384">
            <v>2573</v>
          </cell>
          <cell r="H384">
            <v>931</v>
          </cell>
          <cell r="I384">
            <v>0</v>
          </cell>
        </row>
        <row r="385">
          <cell r="A385">
            <v>93921</v>
          </cell>
          <cell r="B385" t="str">
            <v>CITY OF CREEDMOOR</v>
          </cell>
          <cell r="C385">
            <v>2.251E-4</v>
          </cell>
          <cell r="D385"/>
          <cell r="E385">
            <v>99498</v>
          </cell>
          <cell r="F385">
            <v>25125</v>
          </cell>
          <cell r="G385">
            <v>48870</v>
          </cell>
          <cell r="H385">
            <v>7818</v>
          </cell>
          <cell r="I385">
            <v>0</v>
          </cell>
        </row>
        <row r="386">
          <cell r="A386">
            <v>93931</v>
          </cell>
          <cell r="B386" t="str">
            <v>TOWN OF BUTNER</v>
          </cell>
          <cell r="C386">
            <v>5.1590000000000002E-4</v>
          </cell>
          <cell r="D386"/>
          <cell r="E386">
            <v>233550</v>
          </cell>
          <cell r="F386">
            <v>62764</v>
          </cell>
          <cell r="G386">
            <v>128648</v>
          </cell>
          <cell r="H386">
            <v>28788</v>
          </cell>
          <cell r="I386">
            <v>0</v>
          </cell>
        </row>
        <row r="387">
          <cell r="A387">
            <v>94001</v>
          </cell>
          <cell r="B387" t="str">
            <v>GREENE COUNTY</v>
          </cell>
          <cell r="C387">
            <v>9.3720000000000001E-4</v>
          </cell>
          <cell r="D387"/>
          <cell r="E387">
            <v>477231</v>
          </cell>
          <cell r="F387">
            <v>153178</v>
          </cell>
          <cell r="G387">
            <v>255234</v>
          </cell>
          <cell r="H387">
            <v>74631</v>
          </cell>
          <cell r="I387">
            <v>0</v>
          </cell>
        </row>
        <row r="388">
          <cell r="A388">
            <v>94002</v>
          </cell>
          <cell r="B388" t="str">
            <v>MAURY SANITARY LAND DISTRICT</v>
          </cell>
          <cell r="C388">
            <v>5.2000000000000002E-6</v>
          </cell>
          <cell r="D388"/>
          <cell r="E388">
            <v>3356</v>
          </cell>
          <cell r="F388">
            <v>1469</v>
          </cell>
          <cell r="G388">
            <v>1859</v>
          </cell>
          <cell r="H388">
            <v>709</v>
          </cell>
          <cell r="I388">
            <v>0</v>
          </cell>
        </row>
        <row r="389">
          <cell r="A389">
            <v>94004</v>
          </cell>
          <cell r="B389" t="str">
            <v>GREENE COUNTY ABC BOARD</v>
          </cell>
          <cell r="C389">
            <v>7.4000000000000003E-6</v>
          </cell>
          <cell r="D389"/>
          <cell r="E389">
            <v>5300</v>
          </cell>
          <cell r="F389">
            <v>2468</v>
          </cell>
          <cell r="G389">
            <v>2397</v>
          </cell>
          <cell r="H389">
            <v>790</v>
          </cell>
          <cell r="I389">
            <v>0</v>
          </cell>
        </row>
        <row r="390">
          <cell r="A390">
            <v>94005</v>
          </cell>
          <cell r="B390" t="str">
            <v>NEUSE REGIONAL LIBRARY-GREENE COUNTY</v>
          </cell>
          <cell r="C390">
            <v>1.9E-6</v>
          </cell>
          <cell r="D390"/>
          <cell r="E390">
            <v>149</v>
          </cell>
          <cell r="F390">
            <v>7</v>
          </cell>
          <cell r="G390">
            <v>1031</v>
          </cell>
          <cell r="H390">
            <v>-197</v>
          </cell>
          <cell r="I390">
            <v>0</v>
          </cell>
        </row>
        <row r="391">
          <cell r="A391">
            <v>94011</v>
          </cell>
          <cell r="B391" t="str">
            <v>TOWN OF HOOKERTON</v>
          </cell>
          <cell r="C391">
            <v>2.6699999999999998E-5</v>
          </cell>
          <cell r="D391"/>
          <cell r="E391">
            <v>13167</v>
          </cell>
          <cell r="F391">
            <v>3196</v>
          </cell>
          <cell r="G391">
            <v>6892</v>
          </cell>
          <cell r="H391">
            <v>1396</v>
          </cell>
          <cell r="I391">
            <v>0</v>
          </cell>
        </row>
        <row r="392">
          <cell r="A392">
            <v>94021</v>
          </cell>
          <cell r="B392" t="str">
            <v>TOWN OF SNOW HILL</v>
          </cell>
          <cell r="C392">
            <v>8.3300000000000005E-5</v>
          </cell>
          <cell r="D392"/>
          <cell r="E392">
            <v>45471</v>
          </cell>
          <cell r="F392">
            <v>16579</v>
          </cell>
          <cell r="G392">
            <v>23211</v>
          </cell>
          <cell r="H392">
            <v>7355</v>
          </cell>
          <cell r="I392">
            <v>0</v>
          </cell>
        </row>
        <row r="393">
          <cell r="A393">
            <v>94031</v>
          </cell>
          <cell r="B393" t="str">
            <v>TOWN OF WALSTONBURG</v>
          </cell>
          <cell r="C393">
            <v>4.6E-6</v>
          </cell>
          <cell r="D393"/>
          <cell r="E393">
            <v>5432</v>
          </cell>
          <cell r="F393">
            <v>2961</v>
          </cell>
          <cell r="G393">
            <v>3077</v>
          </cell>
          <cell r="H393">
            <v>1355</v>
          </cell>
          <cell r="I393">
            <v>0</v>
          </cell>
        </row>
        <row r="394">
          <cell r="A394">
            <v>94101</v>
          </cell>
          <cell r="B394" t="str">
            <v>GUILFORD COUNTY</v>
          </cell>
          <cell r="C394">
            <v>1.7750700000000001E-2</v>
          </cell>
          <cell r="D394"/>
          <cell r="E394">
            <v>8495628</v>
          </cell>
          <cell r="F394">
            <v>2639351</v>
          </cell>
          <cell r="G394">
            <v>4669716</v>
          </cell>
          <cell r="H394">
            <v>1305037</v>
          </cell>
          <cell r="I394">
            <v>0</v>
          </cell>
        </row>
        <row r="395">
          <cell r="A395">
            <v>94102</v>
          </cell>
          <cell r="B395" t="str">
            <v>GUIL-RAND FIRE DEPARTMENT</v>
          </cell>
          <cell r="C395">
            <v>3.3849999999999999E-4</v>
          </cell>
          <cell r="D395"/>
          <cell r="E395">
            <v>152404</v>
          </cell>
          <cell r="F395">
            <v>42746</v>
          </cell>
          <cell r="G395">
            <v>84110</v>
          </cell>
          <cell r="H395">
            <v>27759</v>
          </cell>
          <cell r="I395">
            <v>0</v>
          </cell>
        </row>
        <row r="396">
          <cell r="A396">
            <v>94108</v>
          </cell>
          <cell r="B396" t="str">
            <v>PINECROFT-SEDGEFIELD FIRE DIST INC</v>
          </cell>
          <cell r="C396">
            <v>3.8289999999999998E-4</v>
          </cell>
          <cell r="D396"/>
          <cell r="E396">
            <v>157519</v>
          </cell>
          <cell r="F396">
            <v>43499</v>
          </cell>
          <cell r="G396">
            <v>94033</v>
          </cell>
          <cell r="H396">
            <v>18236</v>
          </cell>
          <cell r="I396">
            <v>0</v>
          </cell>
        </row>
        <row r="397">
          <cell r="A397">
            <v>94109</v>
          </cell>
          <cell r="B397" t="str">
            <v>ALAMANCE COMM FIRE DIST</v>
          </cell>
          <cell r="C397">
            <v>1.048E-4</v>
          </cell>
          <cell r="D397"/>
          <cell r="E397">
            <v>37902</v>
          </cell>
          <cell r="F397">
            <v>8539</v>
          </cell>
          <cell r="G397">
            <v>24670</v>
          </cell>
          <cell r="H397">
            <v>6299</v>
          </cell>
          <cell r="I397">
            <v>0</v>
          </cell>
        </row>
        <row r="398">
          <cell r="A398">
            <v>94111</v>
          </cell>
          <cell r="B398" t="str">
            <v>CITY OF GREENSBORO</v>
          </cell>
          <cell r="C398">
            <v>2.50095E-2</v>
          </cell>
          <cell r="D398"/>
          <cell r="E398">
            <v>11660647</v>
          </cell>
          <cell r="F398">
            <v>3492228</v>
          </cell>
          <cell r="G398">
            <v>6433776</v>
          </cell>
          <cell r="H398">
            <v>1872282</v>
          </cell>
          <cell r="I398">
            <v>0</v>
          </cell>
        </row>
        <row r="399">
          <cell r="A399">
            <v>94112</v>
          </cell>
          <cell r="B399" t="str">
            <v>PIEDMONT TRIAD REG WATER AUTH</v>
          </cell>
          <cell r="C399">
            <v>1.6870000000000001E-4</v>
          </cell>
          <cell r="D399"/>
          <cell r="E399">
            <v>76805</v>
          </cell>
          <cell r="F399">
            <v>22036</v>
          </cell>
          <cell r="G399">
            <v>42564</v>
          </cell>
          <cell r="H399">
            <v>11554</v>
          </cell>
          <cell r="I399">
            <v>0</v>
          </cell>
        </row>
        <row r="400">
          <cell r="A400">
            <v>94117</v>
          </cell>
          <cell r="B400" t="str">
            <v>GREENSBORO ABC BD</v>
          </cell>
          <cell r="C400">
            <v>3.232E-4</v>
          </cell>
          <cell r="D400"/>
          <cell r="E400">
            <v>145623</v>
          </cell>
          <cell r="F400">
            <v>38813</v>
          </cell>
          <cell r="G400">
            <v>77721</v>
          </cell>
          <cell r="H400">
            <v>22564</v>
          </cell>
          <cell r="I400">
            <v>0</v>
          </cell>
        </row>
        <row r="401">
          <cell r="A401">
            <v>94118</v>
          </cell>
          <cell r="B401" t="str">
            <v>GUILFORD FIRE DISTRICT # 13 INC</v>
          </cell>
          <cell r="C401">
            <v>1.6009999999999999E-4</v>
          </cell>
          <cell r="D401"/>
          <cell r="E401">
            <v>63479</v>
          </cell>
          <cell r="F401">
            <v>15452</v>
          </cell>
          <cell r="G401">
            <v>38230</v>
          </cell>
          <cell r="H401">
            <v>8807</v>
          </cell>
          <cell r="I401">
            <v>0</v>
          </cell>
        </row>
        <row r="402">
          <cell r="A402">
            <v>94121</v>
          </cell>
          <cell r="B402" t="str">
            <v>CITY OF HIGH POINT</v>
          </cell>
          <cell r="C402">
            <v>1.1113E-2</v>
          </cell>
          <cell r="D402"/>
          <cell r="E402">
            <v>5411522</v>
          </cell>
          <cell r="F402">
            <v>1722881</v>
          </cell>
          <cell r="G402">
            <v>2978643</v>
          </cell>
          <cell r="H402">
            <v>842943</v>
          </cell>
          <cell r="I402">
            <v>0</v>
          </cell>
        </row>
        <row r="403">
          <cell r="A403">
            <v>94127</v>
          </cell>
          <cell r="B403" t="str">
            <v>HIGH POINT ABC BD</v>
          </cell>
          <cell r="C403">
            <v>1.4310000000000001E-4</v>
          </cell>
          <cell r="D403"/>
          <cell r="E403">
            <v>67360</v>
          </cell>
          <cell r="F403">
            <v>18520</v>
          </cell>
          <cell r="G403">
            <v>33282</v>
          </cell>
          <cell r="H403">
            <v>9347</v>
          </cell>
          <cell r="I403">
            <v>0</v>
          </cell>
        </row>
        <row r="404">
          <cell r="A404">
            <v>94131</v>
          </cell>
          <cell r="B404" t="str">
            <v>TOWN OF JAMESTOWN</v>
          </cell>
          <cell r="C404">
            <v>2.1029999999999999E-4</v>
          </cell>
          <cell r="D404"/>
          <cell r="E404">
            <v>108195</v>
          </cell>
          <cell r="F404">
            <v>37134</v>
          </cell>
          <cell r="G404">
            <v>63203</v>
          </cell>
          <cell r="H404">
            <v>17273</v>
          </cell>
          <cell r="I404">
            <v>0</v>
          </cell>
        </row>
        <row r="405">
          <cell r="A405">
            <v>94151</v>
          </cell>
          <cell r="B405" t="str">
            <v>TOWN OF GIBSONVILLE</v>
          </cell>
          <cell r="C405">
            <v>4.6660000000000001E-4</v>
          </cell>
          <cell r="D405"/>
          <cell r="E405">
            <v>218216</v>
          </cell>
          <cell r="F405">
            <v>62683</v>
          </cell>
          <cell r="G405">
            <v>121893</v>
          </cell>
          <cell r="H405">
            <v>30631</v>
          </cell>
          <cell r="I405">
            <v>0</v>
          </cell>
        </row>
        <row r="406">
          <cell r="A406">
            <v>94157</v>
          </cell>
          <cell r="B406" t="str">
            <v>GIBSONVILLE ABC BOARD</v>
          </cell>
          <cell r="C406">
            <v>8.6000000000000007E-6</v>
          </cell>
          <cell r="D406"/>
          <cell r="E406">
            <v>5151</v>
          </cell>
          <cell r="F406">
            <v>1911</v>
          </cell>
          <cell r="G406">
            <v>2755</v>
          </cell>
          <cell r="H406">
            <v>998</v>
          </cell>
          <cell r="I406">
            <v>0</v>
          </cell>
        </row>
        <row r="407">
          <cell r="A407">
            <v>94161</v>
          </cell>
          <cell r="B407" t="str">
            <v>TOWN OF OAK RIDGE</v>
          </cell>
          <cell r="C407">
            <v>4.8600000000000002E-5</v>
          </cell>
          <cell r="D407"/>
          <cell r="E407">
            <v>24551</v>
          </cell>
          <cell r="F407">
            <v>7915</v>
          </cell>
          <cell r="G407">
            <v>14233</v>
          </cell>
          <cell r="H407">
            <v>6909</v>
          </cell>
          <cell r="I407">
            <v>0</v>
          </cell>
        </row>
        <row r="408">
          <cell r="A408">
            <v>94168</v>
          </cell>
          <cell r="B408" t="str">
            <v>COLFAX VOLUNTEER FIRE DEPARTMENT</v>
          </cell>
          <cell r="C408">
            <v>5.5099999999999998E-5</v>
          </cell>
          <cell r="D408"/>
          <cell r="E408">
            <v>29194</v>
          </cell>
          <cell r="F408">
            <v>11887</v>
          </cell>
          <cell r="G408">
            <v>18962</v>
          </cell>
          <cell r="H408">
            <v>4554</v>
          </cell>
          <cell r="I408">
            <v>0</v>
          </cell>
        </row>
        <row r="409">
          <cell r="A409">
            <v>94171</v>
          </cell>
          <cell r="B409" t="str">
            <v>TOWN OF SUMMERFIELD</v>
          </cell>
          <cell r="C409">
            <v>6.1799999999999998E-5</v>
          </cell>
          <cell r="D409"/>
          <cell r="E409">
            <v>28108</v>
          </cell>
          <cell r="F409">
            <v>7068</v>
          </cell>
          <cell r="G409">
            <v>12671</v>
          </cell>
          <cell r="H409">
            <v>530</v>
          </cell>
          <cell r="I409">
            <v>0</v>
          </cell>
        </row>
        <row r="410">
          <cell r="A410">
            <v>94172</v>
          </cell>
          <cell r="B410" t="str">
            <v>SUMMERFIELD FIRE DISTRICT</v>
          </cell>
          <cell r="C410">
            <v>2.8210000000000003E-4</v>
          </cell>
          <cell r="D410"/>
          <cell r="E410">
            <v>110304</v>
          </cell>
          <cell r="F410">
            <v>25952</v>
          </cell>
          <cell r="G410">
            <v>64585</v>
          </cell>
          <cell r="H410">
            <v>14475</v>
          </cell>
          <cell r="I410">
            <v>0</v>
          </cell>
        </row>
        <row r="411">
          <cell r="A411">
            <v>94201</v>
          </cell>
          <cell r="B411" t="str">
            <v>HALIFAX COUNTY</v>
          </cell>
          <cell r="C411">
            <v>3.2504999999999999E-3</v>
          </cell>
          <cell r="D411"/>
          <cell r="E411">
            <v>1567527</v>
          </cell>
          <cell r="F411">
            <v>467560</v>
          </cell>
          <cell r="G411">
            <v>854804</v>
          </cell>
          <cell r="H411">
            <v>248563</v>
          </cell>
          <cell r="I411">
            <v>0</v>
          </cell>
        </row>
        <row r="412">
          <cell r="A412">
            <v>94204</v>
          </cell>
          <cell r="B412" t="str">
            <v>HALIFAX COUNTY ABC BOARD</v>
          </cell>
          <cell r="C412">
            <v>2.97E-5</v>
          </cell>
          <cell r="D412"/>
          <cell r="E412">
            <v>19118</v>
          </cell>
          <cell r="F412">
            <v>8089</v>
          </cell>
          <cell r="G412">
            <v>10197</v>
          </cell>
          <cell r="H412">
            <v>3308</v>
          </cell>
          <cell r="I412">
            <v>0</v>
          </cell>
        </row>
        <row r="413">
          <cell r="A413">
            <v>94205</v>
          </cell>
          <cell r="B413" t="str">
            <v>HALIFAX COUNTY TOURISM DEVELOPMENT AUTHORITY</v>
          </cell>
          <cell r="C413">
            <v>1.6200000000000001E-5</v>
          </cell>
          <cell r="D413"/>
          <cell r="E413">
            <v>8091</v>
          </cell>
          <cell r="F413">
            <v>2436</v>
          </cell>
          <cell r="G413">
            <v>4706</v>
          </cell>
          <cell r="H413">
            <v>1511</v>
          </cell>
          <cell r="I413">
            <v>0</v>
          </cell>
        </row>
        <row r="414">
          <cell r="A414">
            <v>94209</v>
          </cell>
          <cell r="B414" t="str">
            <v>ROANOKE RAPIDS SANITARY DISTRICT</v>
          </cell>
          <cell r="C414">
            <v>3.2519999999999999E-4</v>
          </cell>
          <cell r="D414"/>
          <cell r="E414">
            <v>156203</v>
          </cell>
          <cell r="F414">
            <v>48736</v>
          </cell>
          <cell r="G414">
            <v>83606</v>
          </cell>
          <cell r="H414">
            <v>26388</v>
          </cell>
          <cell r="I414">
            <v>0</v>
          </cell>
        </row>
        <row r="415">
          <cell r="A415">
            <v>94211</v>
          </cell>
          <cell r="B415" t="str">
            <v>TOWN OF ENFIELD</v>
          </cell>
          <cell r="C415">
            <v>1.5359999999999999E-4</v>
          </cell>
          <cell r="D415"/>
          <cell r="E415">
            <v>76576</v>
          </cell>
          <cell r="F415">
            <v>24722</v>
          </cell>
          <cell r="G415">
            <v>40304</v>
          </cell>
          <cell r="H415">
            <v>9828</v>
          </cell>
          <cell r="I415">
            <v>0</v>
          </cell>
        </row>
        <row r="416">
          <cell r="A416">
            <v>94221</v>
          </cell>
          <cell r="B416" t="str">
            <v>CITY OF ROANOKE RAPIDS</v>
          </cell>
          <cell r="C416">
            <v>9.8189999999999996E-4</v>
          </cell>
          <cell r="D416"/>
          <cell r="E416">
            <v>433955</v>
          </cell>
          <cell r="F416">
            <v>119602</v>
          </cell>
          <cell r="G416">
            <v>239874</v>
          </cell>
          <cell r="H416">
            <v>60122</v>
          </cell>
          <cell r="I416">
            <v>0</v>
          </cell>
        </row>
        <row r="417">
          <cell r="A417">
            <v>94231</v>
          </cell>
          <cell r="B417" t="str">
            <v>TOWN OF WELDON</v>
          </cell>
          <cell r="C417">
            <v>1.485E-4</v>
          </cell>
          <cell r="D417"/>
          <cell r="E417">
            <v>58439</v>
          </cell>
          <cell r="F417">
            <v>7936</v>
          </cell>
          <cell r="G417">
            <v>23119</v>
          </cell>
          <cell r="H417">
            <v>1231</v>
          </cell>
          <cell r="I417">
            <v>0</v>
          </cell>
        </row>
        <row r="418">
          <cell r="A418">
            <v>94241</v>
          </cell>
          <cell r="B418" t="str">
            <v>TOWN OF SCOTLAND NECK</v>
          </cell>
          <cell r="C418">
            <v>1.106E-4</v>
          </cell>
          <cell r="D418"/>
          <cell r="E418">
            <v>56592</v>
          </cell>
          <cell r="F418">
            <v>18892</v>
          </cell>
          <cell r="G418">
            <v>25312</v>
          </cell>
          <cell r="H418">
            <v>6100</v>
          </cell>
          <cell r="I418">
            <v>0</v>
          </cell>
        </row>
        <row r="419">
          <cell r="A419">
            <v>94251</v>
          </cell>
          <cell r="B419" t="str">
            <v>TOWN OF HOBGOOD</v>
          </cell>
          <cell r="C419">
            <v>1.7799999999999999E-5</v>
          </cell>
          <cell r="D419"/>
          <cell r="E419">
            <v>8729</v>
          </cell>
          <cell r="F419">
            <v>3662</v>
          </cell>
          <cell r="G419">
            <v>4863</v>
          </cell>
          <cell r="H419">
            <v>1763</v>
          </cell>
          <cell r="I419">
            <v>0</v>
          </cell>
        </row>
        <row r="420">
          <cell r="A420">
            <v>94261</v>
          </cell>
          <cell r="B420" t="str">
            <v>TOWN OF LITTLETON</v>
          </cell>
          <cell r="C420">
            <v>4.6600000000000001E-5</v>
          </cell>
          <cell r="D420"/>
          <cell r="E420">
            <v>27813</v>
          </cell>
          <cell r="F420">
            <v>10300</v>
          </cell>
          <cell r="G420">
            <v>13836</v>
          </cell>
          <cell r="H420">
            <v>5221</v>
          </cell>
          <cell r="I420">
            <v>0</v>
          </cell>
        </row>
        <row r="421">
          <cell r="A421">
            <v>94301</v>
          </cell>
          <cell r="B421" t="str">
            <v>HARNETT COUNTY</v>
          </cell>
          <cell r="C421">
            <v>6.3099000000000002E-3</v>
          </cell>
          <cell r="D421"/>
          <cell r="E421">
            <v>3050936</v>
          </cell>
          <cell r="F421">
            <v>944035</v>
          </cell>
          <cell r="G421">
            <v>1643282</v>
          </cell>
          <cell r="H421">
            <v>449028</v>
          </cell>
          <cell r="I421">
            <v>0</v>
          </cell>
        </row>
        <row r="422">
          <cell r="A422">
            <v>94311</v>
          </cell>
          <cell r="B422" t="str">
            <v>CITY OF DUNN</v>
          </cell>
          <cell r="C422">
            <v>7.7700000000000002E-4</v>
          </cell>
          <cell r="D422"/>
          <cell r="E422">
            <v>378009</v>
          </cell>
          <cell r="F422">
            <v>126032</v>
          </cell>
          <cell r="G422">
            <v>208650</v>
          </cell>
          <cell r="H422">
            <v>67676</v>
          </cell>
          <cell r="I422">
            <v>0</v>
          </cell>
        </row>
        <row r="423">
          <cell r="A423">
            <v>94313</v>
          </cell>
          <cell r="B423" t="str">
            <v>DUNN HOUSING AUTHORITY</v>
          </cell>
          <cell r="C423">
            <v>1.4399999999999999E-5</v>
          </cell>
          <cell r="D423"/>
          <cell r="E423">
            <v>9684</v>
          </cell>
          <cell r="F423">
            <v>3872</v>
          </cell>
          <cell r="G423">
            <v>4961</v>
          </cell>
          <cell r="H423">
            <v>988</v>
          </cell>
          <cell r="I423">
            <v>0</v>
          </cell>
        </row>
        <row r="424">
          <cell r="A424">
            <v>94317</v>
          </cell>
          <cell r="B424" t="str">
            <v>DUNN ABC BOARD</v>
          </cell>
          <cell r="C424">
            <v>1.0699999999999999E-5</v>
          </cell>
          <cell r="D424"/>
          <cell r="E424">
            <v>8557</v>
          </cell>
          <cell r="F424">
            <v>4276</v>
          </cell>
          <cell r="G424">
            <v>4687</v>
          </cell>
          <cell r="H424">
            <v>1739</v>
          </cell>
          <cell r="I424">
            <v>0</v>
          </cell>
        </row>
        <row r="425">
          <cell r="A425">
            <v>94321</v>
          </cell>
          <cell r="B425" t="str">
            <v>TOWN OF LILLINGTON</v>
          </cell>
          <cell r="C425">
            <v>2.8079999999999999E-4</v>
          </cell>
          <cell r="D425"/>
          <cell r="E425">
            <v>129151</v>
          </cell>
          <cell r="F425">
            <v>37638</v>
          </cell>
          <cell r="G425">
            <v>70858</v>
          </cell>
          <cell r="H425">
            <v>20477</v>
          </cell>
          <cell r="I425">
            <v>0</v>
          </cell>
        </row>
        <row r="426">
          <cell r="A426">
            <v>94331</v>
          </cell>
          <cell r="B426" t="str">
            <v>TOWN OF ERWIN</v>
          </cell>
          <cell r="C426">
            <v>1.5190000000000001E-4</v>
          </cell>
          <cell r="D426"/>
          <cell r="E426">
            <v>74019</v>
          </cell>
          <cell r="F426">
            <v>24201</v>
          </cell>
          <cell r="G426">
            <v>42981</v>
          </cell>
          <cell r="H426">
            <v>9663</v>
          </cell>
          <cell r="I426">
            <v>0</v>
          </cell>
        </row>
        <row r="427">
          <cell r="A427">
            <v>94341</v>
          </cell>
          <cell r="B427" t="str">
            <v>TOWN OF COATS</v>
          </cell>
          <cell r="C427">
            <v>9.8800000000000003E-5</v>
          </cell>
          <cell r="D427"/>
          <cell r="E427">
            <v>47569</v>
          </cell>
          <cell r="F427">
            <v>15400</v>
          </cell>
          <cell r="G427">
            <v>25339</v>
          </cell>
          <cell r="H427">
            <v>9126</v>
          </cell>
          <cell r="I427">
            <v>0</v>
          </cell>
        </row>
        <row r="428">
          <cell r="A428">
            <v>94347</v>
          </cell>
          <cell r="B428" t="str">
            <v>TOWN OF ANGIER ABC BOARD</v>
          </cell>
          <cell r="C428">
            <v>1.17E-5</v>
          </cell>
          <cell r="D428"/>
          <cell r="E428">
            <v>7795</v>
          </cell>
          <cell r="F428">
            <v>3608</v>
          </cell>
          <cell r="G428">
            <v>4339</v>
          </cell>
          <cell r="H428">
            <v>2362</v>
          </cell>
          <cell r="I428">
            <v>0</v>
          </cell>
        </row>
        <row r="429">
          <cell r="A429">
            <v>94351</v>
          </cell>
          <cell r="B429" t="str">
            <v>TOWN OF ANGIER</v>
          </cell>
          <cell r="C429">
            <v>2.2680000000000001E-4</v>
          </cell>
          <cell r="D429"/>
          <cell r="E429">
            <v>104589</v>
          </cell>
          <cell r="F429">
            <v>28487</v>
          </cell>
          <cell r="G429">
            <v>54780</v>
          </cell>
          <cell r="H429">
            <v>12996</v>
          </cell>
          <cell r="I429">
            <v>0</v>
          </cell>
        </row>
        <row r="430">
          <cell r="A430">
            <v>94401</v>
          </cell>
          <cell r="B430" t="str">
            <v>HAYWOOD CO</v>
          </cell>
          <cell r="C430">
            <v>3.4440999999999999E-3</v>
          </cell>
          <cell r="D430"/>
          <cell r="E430">
            <v>1687858</v>
          </cell>
          <cell r="F430">
            <v>524494</v>
          </cell>
          <cell r="G430">
            <v>937475</v>
          </cell>
          <cell r="H430">
            <v>284005</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24908</v>
          </cell>
          <cell r="F432">
            <v>12298</v>
          </cell>
          <cell r="G432">
            <v>12899</v>
          </cell>
          <cell r="H432">
            <v>3866</v>
          </cell>
          <cell r="I432">
            <v>0</v>
          </cell>
        </row>
        <row r="433">
          <cell r="A433">
            <v>94408</v>
          </cell>
          <cell r="B433" t="str">
            <v>JUNALUSKA SANITARY DISTRICT</v>
          </cell>
          <cell r="C433">
            <v>6.2000000000000003E-5</v>
          </cell>
          <cell r="D433"/>
          <cell r="E433">
            <v>33738</v>
          </cell>
          <cell r="F433">
            <v>10770</v>
          </cell>
          <cell r="G433">
            <v>18390</v>
          </cell>
          <cell r="H433">
            <v>6937</v>
          </cell>
          <cell r="I433">
            <v>0</v>
          </cell>
        </row>
        <row r="434">
          <cell r="A434">
            <v>94411</v>
          </cell>
          <cell r="B434" t="str">
            <v>TOWN OF WAYNESVILLE</v>
          </cell>
          <cell r="C434">
            <v>1.2472E-3</v>
          </cell>
          <cell r="D434"/>
          <cell r="E434">
            <v>604518</v>
          </cell>
          <cell r="F434">
            <v>185284</v>
          </cell>
          <cell r="G434">
            <v>314507</v>
          </cell>
          <cell r="H434">
            <v>85937</v>
          </cell>
          <cell r="I434">
            <v>0</v>
          </cell>
        </row>
        <row r="435">
          <cell r="A435">
            <v>94412</v>
          </cell>
          <cell r="B435" t="str">
            <v>WAYNESVILLE ABC BOARD</v>
          </cell>
          <cell r="C435">
            <v>1.7E-5</v>
          </cell>
          <cell r="D435"/>
          <cell r="E435">
            <v>13310</v>
          </cell>
          <cell r="F435">
            <v>6447</v>
          </cell>
          <cell r="G435">
            <v>7359</v>
          </cell>
          <cell r="H435">
            <v>2761</v>
          </cell>
          <cell r="I435">
            <v>0</v>
          </cell>
        </row>
        <row r="436">
          <cell r="A436">
            <v>94421</v>
          </cell>
          <cell r="B436" t="str">
            <v>TOWN OF MAGGIE VALLEY</v>
          </cell>
          <cell r="C436">
            <v>1.4880000000000001E-4</v>
          </cell>
          <cell r="D436"/>
          <cell r="E436">
            <v>69922</v>
          </cell>
          <cell r="F436">
            <v>20322</v>
          </cell>
          <cell r="G436">
            <v>36797</v>
          </cell>
          <cell r="H436">
            <v>9928</v>
          </cell>
          <cell r="I436">
            <v>0</v>
          </cell>
        </row>
        <row r="437">
          <cell r="A437">
            <v>94427</v>
          </cell>
          <cell r="B437" t="str">
            <v>MAGGIE VALLEY ABC BOARD</v>
          </cell>
          <cell r="C437">
            <v>2.7500000000000001E-5</v>
          </cell>
          <cell r="D437"/>
          <cell r="E437">
            <v>17690</v>
          </cell>
          <cell r="F437">
            <v>8530</v>
          </cell>
          <cell r="G437">
            <v>10768</v>
          </cell>
          <cell r="H437">
            <v>4905</v>
          </cell>
          <cell r="I437">
            <v>0</v>
          </cell>
        </row>
        <row r="438">
          <cell r="A438">
            <v>94428</v>
          </cell>
          <cell r="B438" t="str">
            <v>MAGGIE VALLEY SANITARY DIST</v>
          </cell>
          <cell r="C438">
            <v>7.1400000000000001E-5</v>
          </cell>
          <cell r="D438"/>
          <cell r="E438">
            <v>36016</v>
          </cell>
          <cell r="F438">
            <v>11766</v>
          </cell>
          <cell r="G438">
            <v>20733</v>
          </cell>
          <cell r="H438">
            <v>5694</v>
          </cell>
          <cell r="I438">
            <v>0</v>
          </cell>
        </row>
        <row r="439">
          <cell r="A439">
            <v>94431</v>
          </cell>
          <cell r="B439" t="str">
            <v>TOWN OF CANTON</v>
          </cell>
          <cell r="C439">
            <v>4.1829999999999998E-4</v>
          </cell>
          <cell r="D439"/>
          <cell r="E439">
            <v>296090</v>
          </cell>
          <cell r="F439">
            <v>134661</v>
          </cell>
          <cell r="G439">
            <v>154467</v>
          </cell>
          <cell r="H439">
            <v>59035</v>
          </cell>
          <cell r="I439">
            <v>0</v>
          </cell>
        </row>
        <row r="440">
          <cell r="A440">
            <v>94437</v>
          </cell>
          <cell r="B440" t="str">
            <v>CANTON ABC BOARD</v>
          </cell>
          <cell r="C440">
            <v>1.49E-5</v>
          </cell>
          <cell r="D440"/>
          <cell r="E440">
            <v>12107</v>
          </cell>
          <cell r="F440">
            <v>5850</v>
          </cell>
          <cell r="G440">
            <v>6061</v>
          </cell>
          <cell r="H440">
            <v>1977</v>
          </cell>
          <cell r="I440">
            <v>0</v>
          </cell>
        </row>
        <row r="441">
          <cell r="A441">
            <v>94501</v>
          </cell>
          <cell r="B441" t="str">
            <v>COUNTY OF HENDERSON</v>
          </cell>
          <cell r="C441">
            <v>5.9772999999999996E-3</v>
          </cell>
          <cell r="D441"/>
          <cell r="E441">
            <v>2963503</v>
          </cell>
          <cell r="F441">
            <v>943059</v>
          </cell>
          <cell r="G441">
            <v>1626480</v>
          </cell>
          <cell r="H441">
            <v>469991</v>
          </cell>
          <cell r="I441">
            <v>0</v>
          </cell>
        </row>
        <row r="442">
          <cell r="A442">
            <v>94511</v>
          </cell>
          <cell r="B442" t="str">
            <v>CITY OF HENDERSONVILLE</v>
          </cell>
          <cell r="C442">
            <v>2.0183000000000002E-3</v>
          </cell>
          <cell r="D442"/>
          <cell r="E442">
            <v>978768</v>
          </cell>
          <cell r="F442">
            <v>307871</v>
          </cell>
          <cell r="G442">
            <v>534719</v>
          </cell>
          <cell r="H442">
            <v>148315</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36644</v>
          </cell>
          <cell r="F444">
            <v>16719</v>
          </cell>
          <cell r="G444">
            <v>21316</v>
          </cell>
          <cell r="H444">
            <v>10176</v>
          </cell>
          <cell r="I444">
            <v>0</v>
          </cell>
        </row>
        <row r="445">
          <cell r="A445">
            <v>94521</v>
          </cell>
          <cell r="B445" t="str">
            <v>TOWN OF LAUREL PARK</v>
          </cell>
          <cell r="C445">
            <v>1.4990000000000001E-4</v>
          </cell>
          <cell r="D445"/>
          <cell r="E445">
            <v>65934</v>
          </cell>
          <cell r="F445">
            <v>19569</v>
          </cell>
          <cell r="G445">
            <v>33676</v>
          </cell>
          <cell r="H445">
            <v>6663</v>
          </cell>
          <cell r="I445">
            <v>0</v>
          </cell>
        </row>
        <row r="446">
          <cell r="A446">
            <v>94527</v>
          </cell>
          <cell r="B446" t="str">
            <v>LAUREL PARK ABC BOARD</v>
          </cell>
          <cell r="C446">
            <v>6.8000000000000001E-6</v>
          </cell>
          <cell r="D446"/>
          <cell r="E446">
            <v>2524</v>
          </cell>
          <cell r="F446">
            <v>1012</v>
          </cell>
          <cell r="G446">
            <v>1973</v>
          </cell>
          <cell r="H446">
            <v>522</v>
          </cell>
          <cell r="I446">
            <v>0</v>
          </cell>
        </row>
        <row r="447">
          <cell r="A447">
            <v>94531</v>
          </cell>
          <cell r="B447" t="str">
            <v>THE VILLAGE OF FLAT ROCK</v>
          </cell>
          <cell r="C447">
            <v>2.3099999999999999E-5</v>
          </cell>
          <cell r="D447"/>
          <cell r="E447">
            <v>16275</v>
          </cell>
          <cell r="F447">
            <v>7980</v>
          </cell>
          <cell r="G447">
            <v>9790</v>
          </cell>
          <cell r="H447">
            <v>4432</v>
          </cell>
          <cell r="I447">
            <v>0</v>
          </cell>
        </row>
        <row r="448">
          <cell r="A448">
            <v>94532</v>
          </cell>
          <cell r="B448" t="str">
            <v>BLUE RIDGE FIRE DEPARTMENT</v>
          </cell>
          <cell r="C448">
            <v>1.0060000000000001E-4</v>
          </cell>
          <cell r="D448"/>
          <cell r="E448">
            <v>49474</v>
          </cell>
          <cell r="F448">
            <v>17596</v>
          </cell>
          <cell r="G448">
            <v>29163</v>
          </cell>
          <cell r="H448">
            <v>7751</v>
          </cell>
          <cell r="I448">
            <v>0</v>
          </cell>
        </row>
        <row r="449">
          <cell r="A449">
            <v>94541</v>
          </cell>
          <cell r="B449" t="str">
            <v>TOWN OF FLETCHER</v>
          </cell>
          <cell r="C449">
            <v>2.7750000000000002E-4</v>
          </cell>
          <cell r="D449"/>
          <cell r="E449">
            <v>124624</v>
          </cell>
          <cell r="F449">
            <v>32883</v>
          </cell>
          <cell r="G449">
            <v>67409</v>
          </cell>
          <cell r="H449">
            <v>18611</v>
          </cell>
          <cell r="I449">
            <v>0</v>
          </cell>
        </row>
        <row r="450">
          <cell r="A450">
            <v>94547</v>
          </cell>
          <cell r="B450" t="str">
            <v>FLETCHER ABC BOARD</v>
          </cell>
          <cell r="C450">
            <v>1.1E-5</v>
          </cell>
          <cell r="D450"/>
          <cell r="E450">
            <v>7931</v>
          </cell>
          <cell r="F450">
            <v>3955</v>
          </cell>
          <cell r="G450">
            <v>4864</v>
          </cell>
          <cell r="H450">
            <v>2077</v>
          </cell>
          <cell r="I450">
            <v>0</v>
          </cell>
        </row>
        <row r="451">
          <cell r="A451">
            <v>94551</v>
          </cell>
          <cell r="B451" t="str">
            <v>TOWN OF MILLS RIVER</v>
          </cell>
          <cell r="C451">
            <v>5.3000000000000001E-5</v>
          </cell>
          <cell r="D451"/>
          <cell r="E451">
            <v>31183</v>
          </cell>
          <cell r="F451">
            <v>10898</v>
          </cell>
          <cell r="G451">
            <v>16464</v>
          </cell>
          <cell r="H451">
            <v>4807</v>
          </cell>
          <cell r="I451">
            <v>0</v>
          </cell>
        </row>
        <row r="452">
          <cell r="A452">
            <v>94601</v>
          </cell>
          <cell r="B452" t="str">
            <v>HERTFORD COUNTY</v>
          </cell>
          <cell r="C452">
            <v>9.1859999999999999E-4</v>
          </cell>
          <cell r="D452"/>
          <cell r="E452">
            <v>447091</v>
          </cell>
          <cell r="F452">
            <v>129974</v>
          </cell>
          <cell r="G452">
            <v>221707</v>
          </cell>
          <cell r="H452">
            <v>43514</v>
          </cell>
          <cell r="I452">
            <v>0</v>
          </cell>
        </row>
        <row r="453">
          <cell r="A453">
            <v>94604</v>
          </cell>
          <cell r="B453" t="str">
            <v>HERTFORD COUNTY ABC BOARD</v>
          </cell>
          <cell r="C453">
            <v>2.6100000000000001E-5</v>
          </cell>
          <cell r="D453"/>
          <cell r="E453">
            <v>13811</v>
          </cell>
          <cell r="F453">
            <v>4823</v>
          </cell>
          <cell r="G453">
            <v>7372</v>
          </cell>
          <cell r="H453">
            <v>1979</v>
          </cell>
          <cell r="I453">
            <v>0</v>
          </cell>
        </row>
        <row r="454">
          <cell r="A454">
            <v>94606</v>
          </cell>
          <cell r="B454" t="str">
            <v>HERTFORD COUNTY PUBLIC HEALTH AUTHORITY</v>
          </cell>
          <cell r="C454">
            <v>0</v>
          </cell>
          <cell r="D454"/>
          <cell r="E454">
            <v>-55480</v>
          </cell>
          <cell r="F454">
            <v>-51492</v>
          </cell>
          <cell r="G454">
            <v>-46761</v>
          </cell>
          <cell r="H454">
            <v>-40452</v>
          </cell>
          <cell r="I454">
            <v>0</v>
          </cell>
        </row>
        <row r="455">
          <cell r="A455">
            <v>94611</v>
          </cell>
          <cell r="B455" t="str">
            <v>TOWN OF AHOSKIE</v>
          </cell>
          <cell r="C455">
            <v>3.4459999999999997E-4</v>
          </cell>
          <cell r="D455"/>
          <cell r="E455">
            <v>158455</v>
          </cell>
          <cell r="F455">
            <v>42258</v>
          </cell>
          <cell r="G455">
            <v>89739</v>
          </cell>
          <cell r="H455">
            <v>24593</v>
          </cell>
          <cell r="I455">
            <v>0</v>
          </cell>
        </row>
        <row r="456">
          <cell r="A456">
            <v>94621</v>
          </cell>
          <cell r="B456" t="str">
            <v>TOWN OF MURFREESBORO</v>
          </cell>
          <cell r="C456">
            <v>1.3320000000000001E-4</v>
          </cell>
          <cell r="D456"/>
          <cell r="E456">
            <v>74506</v>
          </cell>
          <cell r="F456">
            <v>30265</v>
          </cell>
          <cell r="G456">
            <v>46715</v>
          </cell>
          <cell r="H456">
            <v>16600</v>
          </cell>
          <cell r="I456">
            <v>0</v>
          </cell>
        </row>
        <row r="457">
          <cell r="A457">
            <v>94631</v>
          </cell>
          <cell r="B457" t="str">
            <v>TOWN OF WINTON</v>
          </cell>
          <cell r="C457">
            <v>4.2599999999999999E-5</v>
          </cell>
          <cell r="D457"/>
          <cell r="E457">
            <v>22359</v>
          </cell>
          <cell r="F457">
            <v>7437</v>
          </cell>
          <cell r="G457">
            <v>11504</v>
          </cell>
          <cell r="H457">
            <v>2705</v>
          </cell>
          <cell r="I457">
            <v>0</v>
          </cell>
        </row>
        <row r="458">
          <cell r="A458">
            <v>94641</v>
          </cell>
          <cell r="B458" t="str">
            <v>TOWN OF COFIELD</v>
          </cell>
          <cell r="C458">
            <v>1.04E-5</v>
          </cell>
          <cell r="D458"/>
          <cell r="E458">
            <v>8541</v>
          </cell>
          <cell r="F458">
            <v>4575</v>
          </cell>
          <cell r="G458">
            <v>5250</v>
          </cell>
          <cell r="H458">
            <v>2740</v>
          </cell>
          <cell r="I458">
            <v>0</v>
          </cell>
        </row>
        <row r="459">
          <cell r="A459">
            <v>94701</v>
          </cell>
          <cell r="B459" t="str">
            <v>HOKE COUNTY</v>
          </cell>
          <cell r="C459">
            <v>2.4202999999999998E-3</v>
          </cell>
          <cell r="D459"/>
          <cell r="E459">
            <v>1132383</v>
          </cell>
          <cell r="F459">
            <v>338941</v>
          </cell>
          <cell r="G459">
            <v>621599</v>
          </cell>
          <cell r="H459">
            <v>193588</v>
          </cell>
          <cell r="I459">
            <v>0</v>
          </cell>
        </row>
        <row r="460">
          <cell r="A460">
            <v>94704</v>
          </cell>
          <cell r="B460" t="str">
            <v>HOKE COUNTY ABC BOARD</v>
          </cell>
          <cell r="C460">
            <v>1.5299999999999999E-5</v>
          </cell>
          <cell r="D460"/>
          <cell r="E460">
            <v>8659</v>
          </cell>
          <cell r="F460">
            <v>3522</v>
          </cell>
          <cell r="G460">
            <v>5271</v>
          </cell>
          <cell r="H460">
            <v>1147</v>
          </cell>
          <cell r="I460">
            <v>0</v>
          </cell>
        </row>
        <row r="461">
          <cell r="A461">
            <v>94711</v>
          </cell>
          <cell r="B461" t="str">
            <v>TOWN OF RAEFORD</v>
          </cell>
          <cell r="C461">
            <v>3.3819999999999998E-4</v>
          </cell>
          <cell r="D461"/>
          <cell r="E461">
            <v>166758</v>
          </cell>
          <cell r="F461">
            <v>53636</v>
          </cell>
          <cell r="G461">
            <v>92458</v>
          </cell>
          <cell r="H461">
            <v>27792</v>
          </cell>
          <cell r="I461">
            <v>0</v>
          </cell>
        </row>
        <row r="462">
          <cell r="A462">
            <v>94801</v>
          </cell>
          <cell r="B462" t="str">
            <v>HYDE COUNTY</v>
          </cell>
          <cell r="C462">
            <v>6.8429999999999999E-4</v>
          </cell>
          <cell r="D462"/>
          <cell r="E462">
            <v>328930</v>
          </cell>
          <cell r="F462">
            <v>95298</v>
          </cell>
          <cell r="G462">
            <v>178109</v>
          </cell>
          <cell r="H462">
            <v>54289</v>
          </cell>
          <cell r="I462">
            <v>0</v>
          </cell>
        </row>
        <row r="463">
          <cell r="A463">
            <v>94804</v>
          </cell>
          <cell r="B463" t="str">
            <v>HYDE COUNTY ABC BOARD</v>
          </cell>
          <cell r="C463">
            <v>2.7999999999999999E-6</v>
          </cell>
          <cell r="D463"/>
          <cell r="E463">
            <v>1867</v>
          </cell>
          <cell r="F463">
            <v>990</v>
          </cell>
          <cell r="G463">
            <v>1112</v>
          </cell>
          <cell r="H463">
            <v>444</v>
          </cell>
          <cell r="I463">
            <v>0</v>
          </cell>
        </row>
        <row r="464">
          <cell r="A464">
            <v>94812</v>
          </cell>
          <cell r="B464" t="str">
            <v>OCRACOKE SANITARY DIST</v>
          </cell>
          <cell r="C464">
            <v>3.0000000000000001E-5</v>
          </cell>
          <cell r="D464"/>
          <cell r="E464">
            <v>18391</v>
          </cell>
          <cell r="F464">
            <v>6954</v>
          </cell>
          <cell r="G464">
            <v>9550</v>
          </cell>
          <cell r="H464">
            <v>3031</v>
          </cell>
          <cell r="I464">
            <v>0</v>
          </cell>
        </row>
        <row r="465">
          <cell r="A465">
            <v>94901</v>
          </cell>
          <cell r="B465" t="str">
            <v>IREDELL COUNTY</v>
          </cell>
          <cell r="C465">
            <v>7.2372000000000001E-3</v>
          </cell>
          <cell r="D465"/>
          <cell r="E465">
            <v>3585298</v>
          </cell>
          <cell r="F465">
            <v>1143226</v>
          </cell>
          <cell r="G465">
            <v>1986300</v>
          </cell>
          <cell r="H465">
            <v>562852</v>
          </cell>
          <cell r="I465">
            <v>0</v>
          </cell>
        </row>
        <row r="466">
          <cell r="A466">
            <v>94908</v>
          </cell>
          <cell r="B466" t="str">
            <v>GREATER STATESVILLE DEVELOPMENT CORP</v>
          </cell>
          <cell r="C466">
            <v>5.9000000000000003E-6</v>
          </cell>
          <cell r="D466"/>
          <cell r="E466">
            <v>316</v>
          </cell>
          <cell r="F466">
            <v>-1312</v>
          </cell>
          <cell r="G466">
            <v>3875</v>
          </cell>
          <cell r="H466">
            <v>2858</v>
          </cell>
          <cell r="I466">
            <v>0</v>
          </cell>
        </row>
        <row r="467">
          <cell r="A467">
            <v>94911</v>
          </cell>
          <cell r="B467" t="str">
            <v>CITY OF STATESVILLE</v>
          </cell>
          <cell r="C467">
            <v>2.8782E-3</v>
          </cell>
          <cell r="D467"/>
          <cell r="E467">
            <v>1404620</v>
          </cell>
          <cell r="F467">
            <v>444205</v>
          </cell>
          <cell r="G467">
            <v>763168</v>
          </cell>
          <cell r="H467">
            <v>196181</v>
          </cell>
          <cell r="I467">
            <v>0</v>
          </cell>
        </row>
        <row r="468">
          <cell r="A468">
            <v>94917</v>
          </cell>
          <cell r="B468" t="str">
            <v>STATESVILLE ABC BOARD</v>
          </cell>
          <cell r="C468">
            <v>3.0700000000000001E-5</v>
          </cell>
          <cell r="D468"/>
          <cell r="E468">
            <v>22586</v>
          </cell>
          <cell r="F468">
            <v>11053</v>
          </cell>
          <cell r="G468">
            <v>12732</v>
          </cell>
          <cell r="H468">
            <v>5137</v>
          </cell>
          <cell r="I468">
            <v>0</v>
          </cell>
        </row>
        <row r="469">
          <cell r="A469">
            <v>94921</v>
          </cell>
          <cell r="B469" t="str">
            <v>CITY OF MOORESVILLE</v>
          </cell>
          <cell r="C469">
            <v>3.8489000000000002E-3</v>
          </cell>
          <cell r="D469"/>
          <cell r="E469">
            <v>1736853</v>
          </cell>
          <cell r="F469">
            <v>509981</v>
          </cell>
          <cell r="G469">
            <v>943385</v>
          </cell>
          <cell r="H469">
            <v>251636</v>
          </cell>
          <cell r="I469">
            <v>0</v>
          </cell>
        </row>
        <row r="470">
          <cell r="A470">
            <v>94923</v>
          </cell>
          <cell r="B470" t="str">
            <v>MOORESVILLE HOUSING AUTHORITY</v>
          </cell>
          <cell r="C470">
            <v>2.7800000000000001E-5</v>
          </cell>
          <cell r="D470"/>
          <cell r="E470">
            <v>15195</v>
          </cell>
          <cell r="F470">
            <v>5692</v>
          </cell>
          <cell r="G470">
            <v>7673</v>
          </cell>
          <cell r="H470">
            <v>2358</v>
          </cell>
          <cell r="I470">
            <v>0</v>
          </cell>
        </row>
        <row r="471">
          <cell r="A471">
            <v>94927</v>
          </cell>
          <cell r="B471" t="str">
            <v>MOORESVILLE ABC BOARD</v>
          </cell>
          <cell r="C471">
            <v>2.5299999999999998E-5</v>
          </cell>
          <cell r="D471"/>
          <cell r="E471">
            <v>15101</v>
          </cell>
          <cell r="F471">
            <v>5956</v>
          </cell>
          <cell r="G471">
            <v>8733</v>
          </cell>
          <cell r="H471">
            <v>3172</v>
          </cell>
          <cell r="I471">
            <v>0</v>
          </cell>
        </row>
        <row r="472">
          <cell r="A472">
            <v>94931</v>
          </cell>
          <cell r="B472" t="str">
            <v>TOWN OF TROUTMAN</v>
          </cell>
          <cell r="C472">
            <v>2.142E-4</v>
          </cell>
          <cell r="D472"/>
          <cell r="E472">
            <v>101971</v>
          </cell>
          <cell r="F472">
            <v>33019</v>
          </cell>
          <cell r="G472">
            <v>57167</v>
          </cell>
          <cell r="H472">
            <v>18663</v>
          </cell>
          <cell r="I472">
            <v>0</v>
          </cell>
        </row>
        <row r="473">
          <cell r="A473">
            <v>94937</v>
          </cell>
          <cell r="B473" t="str">
            <v>TOWN OF TROUTMAN ABC BOARD</v>
          </cell>
          <cell r="C473">
            <v>6.9E-6</v>
          </cell>
          <cell r="D473"/>
          <cell r="E473">
            <v>4851</v>
          </cell>
          <cell r="F473">
            <v>2525</v>
          </cell>
          <cell r="G473">
            <v>3311</v>
          </cell>
          <cell r="H473">
            <v>2006</v>
          </cell>
          <cell r="I473">
            <v>0</v>
          </cell>
        </row>
        <row r="474">
          <cell r="A474">
            <v>94941</v>
          </cell>
          <cell r="B474" t="str">
            <v>MI CONNECTION COMMUNICATIONS SYSTEM</v>
          </cell>
          <cell r="C474">
            <v>5.865E-4</v>
          </cell>
          <cell r="D474"/>
          <cell r="E474">
            <v>283895</v>
          </cell>
          <cell r="F474">
            <v>86060</v>
          </cell>
          <cell r="G474">
            <v>149141</v>
          </cell>
          <cell r="H474">
            <v>48077</v>
          </cell>
          <cell r="I474">
            <v>0</v>
          </cell>
        </row>
        <row r="475">
          <cell r="A475">
            <v>94947</v>
          </cell>
          <cell r="B475" t="str">
            <v>VALDESE ABC BOARD</v>
          </cell>
          <cell r="C475">
            <v>5.9000000000000003E-6</v>
          </cell>
          <cell r="D475"/>
          <cell r="E475">
            <v>4455</v>
          </cell>
          <cell r="F475">
            <v>2466</v>
          </cell>
          <cell r="G475">
            <v>3138</v>
          </cell>
          <cell r="H475">
            <v>2023</v>
          </cell>
          <cell r="I475">
            <v>0</v>
          </cell>
        </row>
        <row r="476">
          <cell r="A476">
            <v>95001</v>
          </cell>
          <cell r="B476" t="str">
            <v>JACKSON COUNTY</v>
          </cell>
          <cell r="C476">
            <v>2.2818999999999999E-3</v>
          </cell>
          <cell r="D476"/>
          <cell r="E476">
            <v>1162075</v>
          </cell>
          <cell r="F476">
            <v>382868</v>
          </cell>
          <cell r="G476">
            <v>613522</v>
          </cell>
          <cell r="H476">
            <v>194431</v>
          </cell>
          <cell r="I476">
            <v>0</v>
          </cell>
        </row>
        <row r="477">
          <cell r="A477">
            <v>95002</v>
          </cell>
          <cell r="B477" t="str">
            <v>TUCKASEIGEE WATER AUTHORITY</v>
          </cell>
          <cell r="C477">
            <v>1.805E-4</v>
          </cell>
          <cell r="D477"/>
          <cell r="E477">
            <v>97745</v>
          </cell>
          <cell r="F477">
            <v>34180</v>
          </cell>
          <cell r="G477">
            <v>53827</v>
          </cell>
          <cell r="H477">
            <v>17361</v>
          </cell>
          <cell r="I477">
            <v>0</v>
          </cell>
        </row>
        <row r="478">
          <cell r="A478">
            <v>95005</v>
          </cell>
          <cell r="B478" t="str">
            <v>FONTANA REGIONAL LIBRARY</v>
          </cell>
          <cell r="C478">
            <v>1.8819999999999999E-4</v>
          </cell>
          <cell r="D478"/>
          <cell r="E478">
            <v>88812</v>
          </cell>
          <cell r="F478">
            <v>25456</v>
          </cell>
          <cell r="G478">
            <v>47218</v>
          </cell>
          <cell r="H478">
            <v>12339</v>
          </cell>
          <cell r="I478">
            <v>0</v>
          </cell>
        </row>
        <row r="479">
          <cell r="A479">
            <v>95008</v>
          </cell>
          <cell r="B479" t="str">
            <v>SOUTHWESTERN NC PLANNING &amp; ECON.DEV.COMMIS.</v>
          </cell>
          <cell r="C479">
            <v>1.193E-4</v>
          </cell>
          <cell r="D479"/>
          <cell r="E479">
            <v>62682</v>
          </cell>
          <cell r="F479">
            <v>24338</v>
          </cell>
          <cell r="G479">
            <v>36219</v>
          </cell>
          <cell r="H479">
            <v>11025</v>
          </cell>
          <cell r="I479">
            <v>0</v>
          </cell>
        </row>
        <row r="480">
          <cell r="A480">
            <v>95009</v>
          </cell>
          <cell r="B480" t="str">
            <v>SMOKY MOUNTAIN M H C</v>
          </cell>
          <cell r="C480">
            <v>4.0723000000000001E-3</v>
          </cell>
          <cell r="D480"/>
          <cell r="E480">
            <v>2026157</v>
          </cell>
          <cell r="F480">
            <v>606000</v>
          </cell>
          <cell r="G480">
            <v>1034947</v>
          </cell>
          <cell r="H480">
            <v>293245</v>
          </cell>
          <cell r="I480">
            <v>0</v>
          </cell>
        </row>
        <row r="481">
          <cell r="A481">
            <v>95011</v>
          </cell>
          <cell r="B481" t="str">
            <v>TOWN OF SYLVA</v>
          </cell>
          <cell r="C481">
            <v>1.9230000000000001E-4</v>
          </cell>
          <cell r="D481"/>
          <cell r="E481">
            <v>94012</v>
          </cell>
          <cell r="F481">
            <v>30911</v>
          </cell>
          <cell r="G481">
            <v>51988</v>
          </cell>
          <cell r="H481">
            <v>14815</v>
          </cell>
          <cell r="I481">
            <v>0</v>
          </cell>
        </row>
        <row r="482">
          <cell r="A482">
            <v>95017</v>
          </cell>
          <cell r="B482" t="str">
            <v>JACKSON COUNTY ABC BOARD</v>
          </cell>
          <cell r="C482">
            <v>5.1E-5</v>
          </cell>
          <cell r="D482"/>
          <cell r="E482">
            <v>25919</v>
          </cell>
          <cell r="F482">
            <v>7981</v>
          </cell>
          <cell r="G482">
            <v>13780</v>
          </cell>
          <cell r="H482">
            <v>3864</v>
          </cell>
          <cell r="I482">
            <v>0</v>
          </cell>
        </row>
        <row r="483">
          <cell r="A483">
            <v>95101</v>
          </cell>
          <cell r="B483" t="str">
            <v>JOHNSTON COUNTY</v>
          </cell>
          <cell r="C483">
            <v>8.8515E-3</v>
          </cell>
          <cell r="D483"/>
          <cell r="E483">
            <v>4279680</v>
          </cell>
          <cell r="F483">
            <v>1316628</v>
          </cell>
          <cell r="G483">
            <v>2335496</v>
          </cell>
          <cell r="H483">
            <v>680428</v>
          </cell>
          <cell r="I483">
            <v>0</v>
          </cell>
        </row>
        <row r="484">
          <cell r="A484">
            <v>95103</v>
          </cell>
          <cell r="B484" t="str">
            <v>BENSON HOUSING AUTHORITY</v>
          </cell>
          <cell r="C484">
            <v>5.0599999999999997E-5</v>
          </cell>
          <cell r="D484"/>
          <cell r="E484">
            <v>30661</v>
          </cell>
          <cell r="F484">
            <v>11824</v>
          </cell>
          <cell r="G484">
            <v>17346</v>
          </cell>
          <cell r="H484">
            <v>6923</v>
          </cell>
          <cell r="I484">
            <v>0</v>
          </cell>
        </row>
        <row r="485">
          <cell r="A485">
            <v>95104</v>
          </cell>
          <cell r="B485" t="str">
            <v>JOHNSTON COUNTY ABC BOARD</v>
          </cell>
          <cell r="C485">
            <v>1.149E-4</v>
          </cell>
          <cell r="D485"/>
          <cell r="E485">
            <v>68112</v>
          </cell>
          <cell r="F485">
            <v>28283</v>
          </cell>
          <cell r="G485">
            <v>39410</v>
          </cell>
          <cell r="H485">
            <v>15715</v>
          </cell>
          <cell r="I485">
            <v>0</v>
          </cell>
        </row>
        <row r="486">
          <cell r="A486">
            <v>95105</v>
          </cell>
          <cell r="B486" t="str">
            <v>PUBLIC LIBRARY OF JOHNSTON CO AND SMITHFIELD</v>
          </cell>
          <cell r="C486">
            <v>7.1500000000000003E-5</v>
          </cell>
          <cell r="D486"/>
          <cell r="E486">
            <v>39276</v>
          </cell>
          <cell r="F486">
            <v>14541</v>
          </cell>
          <cell r="G486">
            <v>22058</v>
          </cell>
          <cell r="H486">
            <v>6985</v>
          </cell>
          <cell r="I486">
            <v>0</v>
          </cell>
        </row>
        <row r="487">
          <cell r="A487">
            <v>95106</v>
          </cell>
          <cell r="B487" t="str">
            <v>TOWN OF ARCHER LODGE</v>
          </cell>
          <cell r="C487">
            <v>1.29E-5</v>
          </cell>
          <cell r="D487"/>
          <cell r="E487">
            <v>7434</v>
          </cell>
          <cell r="F487">
            <v>2384</v>
          </cell>
          <cell r="G487">
            <v>4213</v>
          </cell>
          <cell r="H487">
            <v>1199</v>
          </cell>
          <cell r="I487">
            <v>0</v>
          </cell>
        </row>
        <row r="488">
          <cell r="A488">
            <v>95110</v>
          </cell>
          <cell r="B488" t="str">
            <v>JOHNSTON HEALTH CENTER</v>
          </cell>
          <cell r="C488">
            <v>3.1538E-3</v>
          </cell>
          <cell r="D488"/>
          <cell r="E488">
            <v>1247003</v>
          </cell>
          <cell r="F488">
            <v>305225</v>
          </cell>
          <cell r="G488">
            <v>693715</v>
          </cell>
          <cell r="H488">
            <v>184700</v>
          </cell>
          <cell r="I488">
            <v>0</v>
          </cell>
        </row>
        <row r="489">
          <cell r="A489">
            <v>95111</v>
          </cell>
          <cell r="B489" t="str">
            <v>TOWN OF SMITHFIELD</v>
          </cell>
          <cell r="C489">
            <v>1.0529000000000001E-3</v>
          </cell>
          <cell r="D489"/>
          <cell r="E489">
            <v>470623</v>
          </cell>
          <cell r="F489">
            <v>132741</v>
          </cell>
          <cell r="G489">
            <v>256413</v>
          </cell>
          <cell r="H489">
            <v>60227</v>
          </cell>
          <cell r="I489">
            <v>0</v>
          </cell>
        </row>
        <row r="490">
          <cell r="A490">
            <v>95113</v>
          </cell>
          <cell r="B490" t="str">
            <v>SMITHFIELD HOUSING AUTHORITY</v>
          </cell>
          <cell r="C490">
            <v>4.5300000000000003E-5</v>
          </cell>
          <cell r="D490"/>
          <cell r="E490">
            <v>60465</v>
          </cell>
          <cell r="F490">
            <v>37231</v>
          </cell>
          <cell r="G490">
            <v>33574</v>
          </cell>
          <cell r="H490">
            <v>14834</v>
          </cell>
          <cell r="I490">
            <v>0</v>
          </cell>
        </row>
        <row r="491">
          <cell r="A491">
            <v>95121</v>
          </cell>
          <cell r="B491" t="str">
            <v>TOWN OF SELMA</v>
          </cell>
          <cell r="C491">
            <v>4.6769999999999998E-4</v>
          </cell>
          <cell r="D491"/>
          <cell r="E491">
            <v>221157</v>
          </cell>
          <cell r="F491">
            <v>61441</v>
          </cell>
          <cell r="G491">
            <v>115118</v>
          </cell>
          <cell r="H491">
            <v>25086</v>
          </cell>
          <cell r="I491">
            <v>0</v>
          </cell>
        </row>
        <row r="492">
          <cell r="A492">
            <v>95122</v>
          </cell>
          <cell r="B492" t="str">
            <v>TOWN OF MICRO</v>
          </cell>
          <cell r="C492">
            <v>1.5400000000000002E-5</v>
          </cell>
          <cell r="D492"/>
          <cell r="E492">
            <v>10887</v>
          </cell>
          <cell r="F492">
            <v>5475</v>
          </cell>
          <cell r="G492">
            <v>6586</v>
          </cell>
          <cell r="H492">
            <v>3380</v>
          </cell>
          <cell r="I492">
            <v>0</v>
          </cell>
        </row>
        <row r="493">
          <cell r="A493">
            <v>95123</v>
          </cell>
          <cell r="B493" t="str">
            <v>SELMA HOUSING AUTHORITY</v>
          </cell>
          <cell r="C493">
            <v>4.8999999999999998E-5</v>
          </cell>
          <cell r="D493"/>
          <cell r="E493">
            <v>25302</v>
          </cell>
          <cell r="F493">
            <v>7705</v>
          </cell>
          <cell r="G493">
            <v>12598</v>
          </cell>
          <cell r="H493">
            <v>3296</v>
          </cell>
          <cell r="I493">
            <v>0</v>
          </cell>
        </row>
        <row r="494">
          <cell r="A494">
            <v>95131</v>
          </cell>
          <cell r="B494" t="str">
            <v>TOWN OF CLAYTON</v>
          </cell>
          <cell r="C494">
            <v>1.7905E-3</v>
          </cell>
          <cell r="D494"/>
          <cell r="E494">
            <v>903918</v>
          </cell>
          <cell r="F494">
            <v>296309</v>
          </cell>
          <cell r="G494">
            <v>482748</v>
          </cell>
          <cell r="H494">
            <v>138017</v>
          </cell>
          <cell r="I494">
            <v>0</v>
          </cell>
        </row>
        <row r="495">
          <cell r="A495">
            <v>95141</v>
          </cell>
          <cell r="B495" t="str">
            <v>TOWN OF BENSON</v>
          </cell>
          <cell r="C495">
            <v>3.6099999999999999E-4</v>
          </cell>
          <cell r="D495"/>
          <cell r="E495">
            <v>176433</v>
          </cell>
          <cell r="F495">
            <v>55139</v>
          </cell>
          <cell r="G495">
            <v>98942</v>
          </cell>
          <cell r="H495">
            <v>32404</v>
          </cell>
          <cell r="I495">
            <v>0</v>
          </cell>
        </row>
        <row r="496">
          <cell r="A496">
            <v>95151</v>
          </cell>
          <cell r="B496" t="str">
            <v>TOWN OF FOUR OAKS</v>
          </cell>
          <cell r="C496">
            <v>1.1010000000000001E-4</v>
          </cell>
          <cell r="D496"/>
          <cell r="E496">
            <v>50246</v>
          </cell>
          <cell r="F496">
            <v>13247</v>
          </cell>
          <cell r="G496">
            <v>27583</v>
          </cell>
          <cell r="H496">
            <v>6704</v>
          </cell>
          <cell r="I496">
            <v>0</v>
          </cell>
        </row>
        <row r="497">
          <cell r="A497">
            <v>95161</v>
          </cell>
          <cell r="B497" t="str">
            <v>TOWN OF PINE LEVEL</v>
          </cell>
          <cell r="C497">
            <v>7.1199999999999996E-5</v>
          </cell>
          <cell r="D497"/>
          <cell r="E497">
            <v>39193</v>
          </cell>
          <cell r="F497">
            <v>13933</v>
          </cell>
          <cell r="G497">
            <v>21801</v>
          </cell>
          <cell r="H497">
            <v>6681</v>
          </cell>
          <cell r="I497">
            <v>0</v>
          </cell>
        </row>
        <row r="498">
          <cell r="A498">
            <v>95171</v>
          </cell>
          <cell r="B498" t="str">
            <v>TOWN OF KENLY</v>
          </cell>
          <cell r="C498">
            <v>1.089E-4</v>
          </cell>
          <cell r="D498"/>
          <cell r="E498">
            <v>53230</v>
          </cell>
          <cell r="F498">
            <v>17437</v>
          </cell>
          <cell r="G498">
            <v>31738</v>
          </cell>
          <cell r="H498">
            <v>13209</v>
          </cell>
          <cell r="I498">
            <v>0</v>
          </cell>
        </row>
        <row r="499">
          <cell r="A499">
            <v>95181</v>
          </cell>
          <cell r="B499" t="str">
            <v>TOWN OF PRINCETON</v>
          </cell>
          <cell r="C499">
            <v>5.9700000000000001E-5</v>
          </cell>
          <cell r="D499"/>
          <cell r="E499">
            <v>22594</v>
          </cell>
          <cell r="F499">
            <v>3793</v>
          </cell>
          <cell r="G499">
            <v>11783</v>
          </cell>
          <cell r="H499">
            <v>1428</v>
          </cell>
          <cell r="I499">
            <v>0</v>
          </cell>
        </row>
        <row r="500">
          <cell r="A500">
            <v>95191</v>
          </cell>
          <cell r="B500" t="str">
            <v>TOWN OF WILSON'S MILLS</v>
          </cell>
          <cell r="C500">
            <v>7.3800000000000005E-5</v>
          </cell>
          <cell r="D500"/>
          <cell r="E500">
            <v>44641</v>
          </cell>
          <cell r="F500">
            <v>21353</v>
          </cell>
          <cell r="G500">
            <v>28449</v>
          </cell>
          <cell r="H500">
            <v>13680</v>
          </cell>
          <cell r="I500">
            <v>0</v>
          </cell>
        </row>
        <row r="501">
          <cell r="A501">
            <v>95201</v>
          </cell>
          <cell r="B501" t="str">
            <v>JONES COUNTY</v>
          </cell>
          <cell r="C501">
            <v>6.5070000000000004E-4</v>
          </cell>
          <cell r="D501"/>
          <cell r="E501">
            <v>303918</v>
          </cell>
          <cell r="F501">
            <v>82672</v>
          </cell>
          <cell r="G501">
            <v>156701</v>
          </cell>
          <cell r="H501">
            <v>38829</v>
          </cell>
          <cell r="I501">
            <v>0</v>
          </cell>
        </row>
        <row r="502">
          <cell r="A502">
            <v>95204</v>
          </cell>
          <cell r="B502" t="str">
            <v>JONES COUNTY ABC BOARD</v>
          </cell>
          <cell r="C502">
            <v>5.6999999999999996E-6</v>
          </cell>
          <cell r="D502"/>
          <cell r="E502">
            <v>2523</v>
          </cell>
          <cell r="F502">
            <v>778</v>
          </cell>
          <cell r="G502">
            <v>973</v>
          </cell>
          <cell r="H502">
            <v>-35</v>
          </cell>
          <cell r="I502">
            <v>0</v>
          </cell>
        </row>
        <row r="503">
          <cell r="A503">
            <v>95205</v>
          </cell>
          <cell r="B503" t="str">
            <v>NEUSE REGIONAL LIBRARY-JONES COUNTY</v>
          </cell>
          <cell r="C503">
            <v>2.7E-6</v>
          </cell>
          <cell r="D503"/>
          <cell r="E503">
            <v>1619</v>
          </cell>
          <cell r="F503">
            <v>648</v>
          </cell>
          <cell r="G503">
            <v>929</v>
          </cell>
          <cell r="H503">
            <v>658</v>
          </cell>
          <cell r="I503">
            <v>0</v>
          </cell>
        </row>
        <row r="504">
          <cell r="A504">
            <v>95211</v>
          </cell>
          <cell r="B504" t="str">
            <v>TOWN OF POLLOCKSVILLE</v>
          </cell>
          <cell r="C504">
            <v>5.1000000000000003E-6</v>
          </cell>
          <cell r="D504"/>
          <cell r="E504">
            <v>2494</v>
          </cell>
          <cell r="F504">
            <v>339</v>
          </cell>
          <cell r="G504">
            <v>980</v>
          </cell>
          <cell r="H504">
            <v>404</v>
          </cell>
          <cell r="I504">
            <v>0</v>
          </cell>
        </row>
        <row r="505">
          <cell r="A505">
            <v>95221</v>
          </cell>
          <cell r="B505" t="str">
            <v>TOWN OF MAYSVILLE</v>
          </cell>
          <cell r="C505">
            <v>5.4400000000000001E-5</v>
          </cell>
          <cell r="D505"/>
          <cell r="E505">
            <v>28976</v>
          </cell>
          <cell r="F505">
            <v>12784</v>
          </cell>
          <cell r="G505">
            <v>14395</v>
          </cell>
          <cell r="H505">
            <v>2494</v>
          </cell>
          <cell r="I505">
            <v>0</v>
          </cell>
        </row>
        <row r="506">
          <cell r="A506">
            <v>95301</v>
          </cell>
          <cell r="B506" t="str">
            <v>LEE COUNTY</v>
          </cell>
          <cell r="C506">
            <v>2.1561000000000002E-3</v>
          </cell>
          <cell r="D506"/>
          <cell r="E506">
            <v>1034055</v>
          </cell>
          <cell r="F506">
            <v>303957</v>
          </cell>
          <cell r="G506">
            <v>543155</v>
          </cell>
          <cell r="H506">
            <v>141801</v>
          </cell>
          <cell r="I506">
            <v>0</v>
          </cell>
        </row>
        <row r="507">
          <cell r="A507">
            <v>95311</v>
          </cell>
          <cell r="B507" t="str">
            <v>CITY OF SANFORD</v>
          </cell>
          <cell r="C507">
            <v>2.578E-3</v>
          </cell>
          <cell r="D507"/>
          <cell r="E507">
            <v>1242896</v>
          </cell>
          <cell r="F507">
            <v>401010</v>
          </cell>
          <cell r="G507">
            <v>685602</v>
          </cell>
          <cell r="H507">
            <v>195082</v>
          </cell>
          <cell r="I507">
            <v>0</v>
          </cell>
        </row>
        <row r="508">
          <cell r="A508">
            <v>95317</v>
          </cell>
          <cell r="B508" t="str">
            <v>SANFORD ABC BOARD</v>
          </cell>
          <cell r="C508">
            <v>4.1999999999999998E-5</v>
          </cell>
          <cell r="D508"/>
          <cell r="E508">
            <v>23063</v>
          </cell>
          <cell r="F508">
            <v>8524</v>
          </cell>
          <cell r="G508">
            <v>12711</v>
          </cell>
          <cell r="H508">
            <v>4518</v>
          </cell>
          <cell r="I508">
            <v>0</v>
          </cell>
        </row>
        <row r="509">
          <cell r="A509">
            <v>95321</v>
          </cell>
          <cell r="B509" t="str">
            <v>TOWN OF BROADWAY</v>
          </cell>
          <cell r="C509">
            <v>4.85E-5</v>
          </cell>
          <cell r="D509"/>
          <cell r="E509">
            <v>24833</v>
          </cell>
          <cell r="F509">
            <v>8275</v>
          </cell>
          <cell r="G509">
            <v>14333</v>
          </cell>
          <cell r="H509">
            <v>3884</v>
          </cell>
          <cell r="I509">
            <v>0</v>
          </cell>
        </row>
        <row r="510">
          <cell r="A510">
            <v>95401</v>
          </cell>
          <cell r="B510" t="str">
            <v>LENOIR COUNTY</v>
          </cell>
          <cell r="C510">
            <v>2.9023E-3</v>
          </cell>
          <cell r="D510"/>
          <cell r="E510">
            <v>1385510</v>
          </cell>
          <cell r="F510">
            <v>402303</v>
          </cell>
          <cell r="G510">
            <v>737712</v>
          </cell>
          <cell r="H510">
            <v>218397</v>
          </cell>
          <cell r="I510">
            <v>0</v>
          </cell>
        </row>
        <row r="511">
          <cell r="A511">
            <v>95404</v>
          </cell>
          <cell r="B511" t="str">
            <v>LENOIR COUNTY ABC BOARD</v>
          </cell>
          <cell r="C511">
            <v>4.4799999999999998E-5</v>
          </cell>
          <cell r="D511"/>
          <cell r="E511">
            <v>21401</v>
          </cell>
          <cell r="F511">
            <v>5029</v>
          </cell>
          <cell r="G511">
            <v>10025</v>
          </cell>
          <cell r="H511">
            <v>2387</v>
          </cell>
          <cell r="I511">
            <v>0</v>
          </cell>
        </row>
        <row r="512">
          <cell r="A512">
            <v>95405</v>
          </cell>
          <cell r="B512" t="str">
            <v>NEUSE REGIONAL LIBRARY</v>
          </cell>
          <cell r="C512">
            <v>3.3399999999999999E-5</v>
          </cell>
          <cell r="D512"/>
          <cell r="E512">
            <v>25261</v>
          </cell>
          <cell r="F512">
            <v>12471</v>
          </cell>
          <cell r="G512">
            <v>14551</v>
          </cell>
          <cell r="H512">
            <v>6193</v>
          </cell>
          <cell r="I512">
            <v>0</v>
          </cell>
        </row>
        <row r="513">
          <cell r="A513">
            <v>95411</v>
          </cell>
          <cell r="B513" t="str">
            <v>CITY OF KINSTON</v>
          </cell>
          <cell r="C513">
            <v>2.0365000000000001E-3</v>
          </cell>
          <cell r="D513"/>
          <cell r="E513">
            <v>971621</v>
          </cell>
          <cell r="F513">
            <v>281480</v>
          </cell>
          <cell r="G513">
            <v>523743</v>
          </cell>
          <cell r="H513">
            <v>140317</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170653</v>
          </cell>
          <cell r="F515">
            <v>62743</v>
          </cell>
          <cell r="G515">
            <v>63484</v>
          </cell>
          <cell r="H515">
            <v>15195</v>
          </cell>
          <cell r="I515">
            <v>0</v>
          </cell>
        </row>
        <row r="516">
          <cell r="A516">
            <v>95415</v>
          </cell>
          <cell r="B516" t="str">
            <v>KINSTON-LENOIR CO PUB LIBRARY</v>
          </cell>
          <cell r="C516">
            <v>5.7599999999999997E-5</v>
          </cell>
          <cell r="D516"/>
          <cell r="E516">
            <v>23103</v>
          </cell>
          <cell r="F516">
            <v>4055</v>
          </cell>
          <cell r="G516">
            <v>13541</v>
          </cell>
          <cell r="H516">
            <v>1864</v>
          </cell>
          <cell r="I516">
            <v>0</v>
          </cell>
        </row>
        <row r="517">
          <cell r="A517">
            <v>95421</v>
          </cell>
          <cell r="B517" t="str">
            <v>TOWN OF PINK HILL</v>
          </cell>
          <cell r="C517">
            <v>3.6699999999999998E-5</v>
          </cell>
          <cell r="D517"/>
          <cell r="E517">
            <v>16649</v>
          </cell>
          <cell r="F517">
            <v>5787</v>
          </cell>
          <cell r="G517">
            <v>9909</v>
          </cell>
          <cell r="H517">
            <v>2872</v>
          </cell>
          <cell r="I517">
            <v>0</v>
          </cell>
        </row>
        <row r="518">
          <cell r="A518">
            <v>95431</v>
          </cell>
          <cell r="B518" t="str">
            <v>TOWN OF LAGRANGE</v>
          </cell>
          <cell r="C518">
            <v>1.3689999999999999E-4</v>
          </cell>
          <cell r="D518"/>
          <cell r="E518">
            <v>53999</v>
          </cell>
          <cell r="F518">
            <v>9493</v>
          </cell>
          <cell r="G518">
            <v>31295</v>
          </cell>
          <cell r="H518">
            <v>7703</v>
          </cell>
          <cell r="I518">
            <v>0</v>
          </cell>
        </row>
        <row r="519">
          <cell r="A519">
            <v>95501</v>
          </cell>
          <cell r="B519" t="str">
            <v>LINCOLN COUNTY</v>
          </cell>
          <cell r="C519">
            <v>5.0283999999999997E-3</v>
          </cell>
          <cell r="D519"/>
          <cell r="E519">
            <v>2436870</v>
          </cell>
          <cell r="F519">
            <v>760863</v>
          </cell>
          <cell r="G519">
            <v>1345942</v>
          </cell>
          <cell r="H519">
            <v>409515</v>
          </cell>
          <cell r="I519">
            <v>0</v>
          </cell>
        </row>
        <row r="520">
          <cell r="A520">
            <v>95504</v>
          </cell>
          <cell r="B520" t="str">
            <v>LINCOLN COUNTY ABC BOARD</v>
          </cell>
          <cell r="C520">
            <v>1.49E-5</v>
          </cell>
          <cell r="D520"/>
          <cell r="E520">
            <v>12454</v>
          </cell>
          <cell r="F520">
            <v>7196</v>
          </cell>
          <cell r="G520">
            <v>7810</v>
          </cell>
          <cell r="H520">
            <v>3904</v>
          </cell>
          <cell r="I520">
            <v>0</v>
          </cell>
        </row>
        <row r="521">
          <cell r="A521">
            <v>95511</v>
          </cell>
          <cell r="B521" t="str">
            <v>CITY OF LINCOLNTON</v>
          </cell>
          <cell r="C521">
            <v>9.4910000000000003E-4</v>
          </cell>
          <cell r="D521"/>
          <cell r="E521">
            <v>473130</v>
          </cell>
          <cell r="F521">
            <v>166568</v>
          </cell>
          <cell r="G521">
            <v>264909</v>
          </cell>
          <cell r="H521">
            <v>80689</v>
          </cell>
          <cell r="I521">
            <v>0</v>
          </cell>
        </row>
        <row r="522">
          <cell r="A522">
            <v>95513</v>
          </cell>
          <cell r="B522" t="str">
            <v>LINCOLNTON HOUSING AUTHORITY</v>
          </cell>
          <cell r="C522">
            <v>3.9700000000000003E-5</v>
          </cell>
          <cell r="D522"/>
          <cell r="E522">
            <v>27252</v>
          </cell>
          <cell r="F522">
            <v>12057</v>
          </cell>
          <cell r="G522">
            <v>14305</v>
          </cell>
          <cell r="H522">
            <v>4600</v>
          </cell>
          <cell r="I522">
            <v>0</v>
          </cell>
        </row>
        <row r="523">
          <cell r="A523">
            <v>95517</v>
          </cell>
          <cell r="B523" t="str">
            <v>TOWN OF LINCOLNTON ABC BOARD</v>
          </cell>
          <cell r="C523">
            <v>1.84E-5</v>
          </cell>
          <cell r="D523"/>
          <cell r="E523">
            <v>12302</v>
          </cell>
          <cell r="F523">
            <v>4347</v>
          </cell>
          <cell r="G523">
            <v>4229</v>
          </cell>
          <cell r="H523">
            <v>1388</v>
          </cell>
          <cell r="I523">
            <v>0</v>
          </cell>
        </row>
        <row r="524">
          <cell r="A524">
            <v>95601</v>
          </cell>
          <cell r="B524" t="str">
            <v>MACON COUNTY</v>
          </cell>
          <cell r="C524">
            <v>2.4459999999999998E-3</v>
          </cell>
          <cell r="D524"/>
          <cell r="E524">
            <v>1157017</v>
          </cell>
          <cell r="F524">
            <v>322260</v>
          </cell>
          <cell r="G524">
            <v>605514</v>
          </cell>
          <cell r="H524">
            <v>147864</v>
          </cell>
          <cell r="I524">
            <v>0</v>
          </cell>
        </row>
        <row r="525">
          <cell r="A525">
            <v>95611</v>
          </cell>
          <cell r="B525" t="str">
            <v>TOWN OF FRANKLIN</v>
          </cell>
          <cell r="C525">
            <v>3.7889999999999999E-4</v>
          </cell>
          <cell r="D525"/>
          <cell r="E525">
            <v>186875</v>
          </cell>
          <cell r="F525">
            <v>59163</v>
          </cell>
          <cell r="G525">
            <v>100481</v>
          </cell>
          <cell r="H525">
            <v>29502</v>
          </cell>
          <cell r="I525">
            <v>0</v>
          </cell>
        </row>
        <row r="526">
          <cell r="A526">
            <v>95617</v>
          </cell>
          <cell r="B526" t="str">
            <v>HIGHLANDS ABC BOARD</v>
          </cell>
          <cell r="C526">
            <v>1.49E-5</v>
          </cell>
          <cell r="D526"/>
          <cell r="E526">
            <v>7658</v>
          </cell>
          <cell r="F526">
            <v>2559</v>
          </cell>
          <cell r="G526">
            <v>4140</v>
          </cell>
          <cell r="H526">
            <v>1222</v>
          </cell>
          <cell r="I526">
            <v>0</v>
          </cell>
        </row>
        <row r="527">
          <cell r="A527">
            <v>95621</v>
          </cell>
          <cell r="B527" t="str">
            <v>TOWN OF HIGHLANDS</v>
          </cell>
          <cell r="C527">
            <v>4.5750000000000001E-4</v>
          </cell>
          <cell r="D527"/>
          <cell r="E527">
            <v>227756</v>
          </cell>
          <cell r="F527">
            <v>73623</v>
          </cell>
          <cell r="G527">
            <v>126250</v>
          </cell>
          <cell r="H527">
            <v>29154</v>
          </cell>
          <cell r="I527">
            <v>0</v>
          </cell>
        </row>
        <row r="528">
          <cell r="A528">
            <v>95701</v>
          </cell>
          <cell r="B528" t="str">
            <v>MADISON COUNTY</v>
          </cell>
          <cell r="C528">
            <v>1.2156000000000001E-3</v>
          </cell>
          <cell r="D528"/>
          <cell r="E528">
            <v>562220</v>
          </cell>
          <cell r="F528">
            <v>149084</v>
          </cell>
          <cell r="G528">
            <v>279552</v>
          </cell>
          <cell r="H528">
            <v>69021</v>
          </cell>
          <cell r="I528">
            <v>0</v>
          </cell>
        </row>
        <row r="529">
          <cell r="A529">
            <v>95711</v>
          </cell>
          <cell r="B529" t="str">
            <v>TOWN OF MARS HILL</v>
          </cell>
          <cell r="C529">
            <v>1.4320000000000001E-4</v>
          </cell>
          <cell r="D529"/>
          <cell r="E529">
            <v>65721</v>
          </cell>
          <cell r="F529">
            <v>17219</v>
          </cell>
          <cell r="G529">
            <v>34964</v>
          </cell>
          <cell r="H529">
            <v>9083</v>
          </cell>
          <cell r="I529">
            <v>0</v>
          </cell>
        </row>
        <row r="530">
          <cell r="A530">
            <v>95721</v>
          </cell>
          <cell r="B530" t="str">
            <v>TOWN OF MARSHALL</v>
          </cell>
          <cell r="C530">
            <v>6.58E-5</v>
          </cell>
          <cell r="D530"/>
          <cell r="E530">
            <v>29023</v>
          </cell>
          <cell r="F530">
            <v>7800</v>
          </cell>
          <cell r="G530">
            <v>16242</v>
          </cell>
          <cell r="H530">
            <v>4193</v>
          </cell>
          <cell r="I530">
            <v>0</v>
          </cell>
        </row>
        <row r="531">
          <cell r="A531">
            <v>95733</v>
          </cell>
          <cell r="B531" t="str">
            <v>HOT SPRINGS HOUSING AUTHORITY</v>
          </cell>
          <cell r="C531">
            <v>1.43E-5</v>
          </cell>
          <cell r="D531"/>
          <cell r="E531">
            <v>6655</v>
          </cell>
          <cell r="F531">
            <v>1893</v>
          </cell>
          <cell r="G531">
            <v>3588</v>
          </cell>
          <cell r="H531">
            <v>872</v>
          </cell>
          <cell r="I531">
            <v>0</v>
          </cell>
        </row>
        <row r="532">
          <cell r="A532">
            <v>95801</v>
          </cell>
          <cell r="B532" t="str">
            <v>MARTIN COUNTY</v>
          </cell>
          <cell r="C532">
            <v>9.5739999999999996E-4</v>
          </cell>
          <cell r="D532"/>
          <cell r="E532">
            <v>485009</v>
          </cell>
          <cell r="F532">
            <v>162329</v>
          </cell>
          <cell r="G532">
            <v>258138</v>
          </cell>
          <cell r="H532">
            <v>71482</v>
          </cell>
          <cell r="I532">
            <v>0</v>
          </cell>
        </row>
        <row r="533">
          <cell r="A533">
            <v>95802</v>
          </cell>
          <cell r="B533" t="str">
            <v>MARTIN CO TRAVEL &amp; TOURISM AUTH</v>
          </cell>
          <cell r="C533">
            <v>4.5000000000000001E-6</v>
          </cell>
          <cell r="D533"/>
          <cell r="E533">
            <v>3905</v>
          </cell>
          <cell r="F533">
            <v>2066</v>
          </cell>
          <cell r="G533">
            <v>2228</v>
          </cell>
          <cell r="H533">
            <v>876</v>
          </cell>
          <cell r="I533">
            <v>0</v>
          </cell>
        </row>
        <row r="534">
          <cell r="A534">
            <v>95804</v>
          </cell>
          <cell r="B534" t="str">
            <v>MARTIN COUNTY ABC BOARD</v>
          </cell>
          <cell r="C534">
            <v>2.5999999999999998E-5</v>
          </cell>
          <cell r="D534"/>
          <cell r="E534">
            <v>12862</v>
          </cell>
          <cell r="F534">
            <v>3988</v>
          </cell>
          <cell r="G534">
            <v>6506</v>
          </cell>
          <cell r="H534">
            <v>2181</v>
          </cell>
          <cell r="I534">
            <v>0</v>
          </cell>
        </row>
        <row r="535">
          <cell r="A535">
            <v>95811</v>
          </cell>
          <cell r="B535" t="str">
            <v>TOWN OF WILLIAMSTON</v>
          </cell>
          <cell r="C535">
            <v>5.287E-4</v>
          </cell>
          <cell r="D535"/>
          <cell r="E535">
            <v>258580</v>
          </cell>
          <cell r="F535">
            <v>79967</v>
          </cell>
          <cell r="G535">
            <v>140632</v>
          </cell>
          <cell r="H535">
            <v>40467</v>
          </cell>
          <cell r="I535">
            <v>0</v>
          </cell>
        </row>
        <row r="536">
          <cell r="A536">
            <v>95813</v>
          </cell>
          <cell r="B536" t="str">
            <v>WILLIAMSTON HOUSING AUTHORITY</v>
          </cell>
          <cell r="C536">
            <v>4.4100000000000001E-5</v>
          </cell>
          <cell r="D536"/>
          <cell r="E536">
            <v>53483</v>
          </cell>
          <cell r="F536">
            <v>31717</v>
          </cell>
          <cell r="G536">
            <v>27822</v>
          </cell>
          <cell r="H536">
            <v>9822</v>
          </cell>
          <cell r="I536">
            <v>0</v>
          </cell>
        </row>
        <row r="537">
          <cell r="A537">
            <v>95821</v>
          </cell>
          <cell r="B537" t="str">
            <v>TOWN OF OAK CITY</v>
          </cell>
          <cell r="C537">
            <v>6.3999999999999997E-6</v>
          </cell>
          <cell r="D537"/>
          <cell r="E537">
            <v>4808</v>
          </cell>
          <cell r="F537">
            <v>2422</v>
          </cell>
          <cell r="G537">
            <v>3316</v>
          </cell>
          <cell r="H537">
            <v>1702</v>
          </cell>
          <cell r="I537">
            <v>0</v>
          </cell>
        </row>
        <row r="538">
          <cell r="A538">
            <v>95831</v>
          </cell>
          <cell r="B538" t="str">
            <v>TOWN OF HAMILTON</v>
          </cell>
          <cell r="C538">
            <v>1.9899999999999999E-5</v>
          </cell>
          <cell r="D538"/>
          <cell r="E538">
            <v>18765</v>
          </cell>
          <cell r="F538">
            <v>10371</v>
          </cell>
          <cell r="G538">
            <v>9236</v>
          </cell>
          <cell r="H538">
            <v>2890</v>
          </cell>
          <cell r="I538">
            <v>0</v>
          </cell>
        </row>
        <row r="539">
          <cell r="A539">
            <v>95841</v>
          </cell>
          <cell r="B539" t="str">
            <v>TOWN OF JAMESVILLE</v>
          </cell>
          <cell r="C539">
            <v>2.58E-5</v>
          </cell>
          <cell r="D539"/>
          <cell r="E539">
            <v>14454</v>
          </cell>
          <cell r="F539">
            <v>5541</v>
          </cell>
          <cell r="G539">
            <v>8260</v>
          </cell>
          <cell r="H539">
            <v>2952</v>
          </cell>
          <cell r="I539">
            <v>0</v>
          </cell>
        </row>
        <row r="540">
          <cell r="A540">
            <v>95851</v>
          </cell>
          <cell r="B540" t="str">
            <v>TOWN OF ROBERSONVILLE</v>
          </cell>
          <cell r="C540">
            <v>1.26E-4</v>
          </cell>
          <cell r="D540"/>
          <cell r="E540">
            <v>117842</v>
          </cell>
          <cell r="F540">
            <v>63821</v>
          </cell>
          <cell r="G540">
            <v>61424</v>
          </cell>
          <cell r="H540">
            <v>21376</v>
          </cell>
          <cell r="I540">
            <v>0</v>
          </cell>
        </row>
        <row r="541">
          <cell r="A541">
            <v>95853</v>
          </cell>
          <cell r="B541" t="str">
            <v>ROBERSONVILLE HOUSING AUTHORITY</v>
          </cell>
          <cell r="C541">
            <v>3.0300000000000001E-5</v>
          </cell>
          <cell r="D541"/>
          <cell r="E541">
            <v>17287</v>
          </cell>
          <cell r="F541">
            <v>6225</v>
          </cell>
          <cell r="G541">
            <v>8787</v>
          </cell>
          <cell r="H541">
            <v>2146</v>
          </cell>
          <cell r="I541">
            <v>0</v>
          </cell>
        </row>
        <row r="542">
          <cell r="A542">
            <v>95901</v>
          </cell>
          <cell r="B542" t="str">
            <v>MCDOWELL COUNTY</v>
          </cell>
          <cell r="C542">
            <v>1.9935E-3</v>
          </cell>
          <cell r="D542"/>
          <cell r="E542">
            <v>967879</v>
          </cell>
          <cell r="F542">
            <v>298372</v>
          </cell>
          <cell r="G542">
            <v>526525</v>
          </cell>
          <cell r="H542">
            <v>150227</v>
          </cell>
          <cell r="I542">
            <v>0</v>
          </cell>
        </row>
        <row r="543">
          <cell r="A543">
            <v>95908</v>
          </cell>
          <cell r="B543" t="str">
            <v>PLEASANT GARDEN FIRE DEPT</v>
          </cell>
          <cell r="C543">
            <v>7.1500000000000003E-5</v>
          </cell>
          <cell r="D543"/>
          <cell r="E543">
            <v>30269</v>
          </cell>
          <cell r="F543">
            <v>7019</v>
          </cell>
          <cell r="G543">
            <v>16839</v>
          </cell>
          <cell r="H543">
            <v>5944</v>
          </cell>
          <cell r="I543">
            <v>0</v>
          </cell>
        </row>
        <row r="544">
          <cell r="A544">
            <v>95911</v>
          </cell>
          <cell r="B544" t="str">
            <v>TOWN OF MARION</v>
          </cell>
          <cell r="C544">
            <v>5.6829999999999999E-4</v>
          </cell>
          <cell r="D544"/>
          <cell r="E544">
            <v>259159</v>
          </cell>
          <cell r="F544">
            <v>75134</v>
          </cell>
          <cell r="G544">
            <v>142826</v>
          </cell>
          <cell r="H544">
            <v>41629</v>
          </cell>
          <cell r="I544">
            <v>0</v>
          </cell>
        </row>
        <row r="545">
          <cell r="A545">
            <v>95917</v>
          </cell>
          <cell r="B545" t="str">
            <v>MARION ABC BOARD</v>
          </cell>
          <cell r="C545">
            <v>1.8600000000000001E-5</v>
          </cell>
          <cell r="D545"/>
          <cell r="E545">
            <v>8724</v>
          </cell>
          <cell r="F545">
            <v>2607</v>
          </cell>
          <cell r="G545">
            <v>4256</v>
          </cell>
          <cell r="H545">
            <v>1536</v>
          </cell>
          <cell r="I545">
            <v>0</v>
          </cell>
        </row>
        <row r="546">
          <cell r="A546">
            <v>95921</v>
          </cell>
          <cell r="B546" t="str">
            <v>TOWN OF OLD FORT</v>
          </cell>
          <cell r="C546">
            <v>5.4200000000000003E-5</v>
          </cell>
          <cell r="D546"/>
          <cell r="E546">
            <v>29133</v>
          </cell>
          <cell r="F546">
            <v>9959</v>
          </cell>
          <cell r="G546">
            <v>16067</v>
          </cell>
          <cell r="H546">
            <v>5283</v>
          </cell>
          <cell r="I546">
            <v>0</v>
          </cell>
        </row>
        <row r="547">
          <cell r="A547">
            <v>96001</v>
          </cell>
          <cell r="B547" t="str">
            <v>MECKLENBURG COUNTY</v>
          </cell>
          <cell r="C547">
            <v>4.3367500000000003E-2</v>
          </cell>
          <cell r="D547"/>
          <cell r="E547">
            <v>20892387</v>
          </cell>
          <cell r="F547">
            <v>6335363</v>
          </cell>
          <cell r="G547">
            <v>11339949</v>
          </cell>
          <cell r="H547">
            <v>3229760</v>
          </cell>
          <cell r="I547">
            <v>0</v>
          </cell>
        </row>
        <row r="548">
          <cell r="A548">
            <v>96003</v>
          </cell>
          <cell r="B548" t="str">
            <v>CHARLOTTE HOUSING AUTHORITY</v>
          </cell>
          <cell r="C548">
            <v>1.6620000000000001E-3</v>
          </cell>
          <cell r="D548"/>
          <cell r="E548">
            <v>770456</v>
          </cell>
          <cell r="F548">
            <v>223982</v>
          </cell>
          <cell r="G548">
            <v>429412</v>
          </cell>
          <cell r="H548">
            <v>136046</v>
          </cell>
          <cell r="I548">
            <v>0</v>
          </cell>
        </row>
        <row r="549">
          <cell r="A549">
            <v>96004</v>
          </cell>
          <cell r="B549" t="str">
            <v>MECKLENBURG COUNTY ABC BOARD</v>
          </cell>
          <cell r="C549">
            <v>9.3959999999999996E-4</v>
          </cell>
          <cell r="D549"/>
          <cell r="E549">
            <v>516712</v>
          </cell>
          <cell r="F549">
            <v>186136</v>
          </cell>
          <cell r="G549">
            <v>279842</v>
          </cell>
          <cell r="H549">
            <v>88864</v>
          </cell>
          <cell r="I549">
            <v>0</v>
          </cell>
        </row>
        <row r="550">
          <cell r="A550">
            <v>96005</v>
          </cell>
          <cell r="B550" t="str">
            <v>CHARLOTTE MECKLENBURG PUBLIC LIBRARY</v>
          </cell>
          <cell r="C550">
            <v>2.4467E-3</v>
          </cell>
          <cell r="D550"/>
          <cell r="E550">
            <v>1177905</v>
          </cell>
          <cell r="F550">
            <v>350159</v>
          </cell>
          <cell r="G550">
            <v>621483</v>
          </cell>
          <cell r="H550">
            <v>161082</v>
          </cell>
          <cell r="I550">
            <v>0</v>
          </cell>
        </row>
        <row r="551">
          <cell r="A551">
            <v>96008</v>
          </cell>
          <cell r="B551" t="str">
            <v>MECKLENBURG EMER MED SVCS AGCY</v>
          </cell>
          <cell r="C551">
            <v>6.1741000000000001E-3</v>
          </cell>
          <cell r="D551"/>
          <cell r="E551">
            <v>2576125</v>
          </cell>
          <cell r="F551">
            <v>542618</v>
          </cell>
          <cell r="G551">
            <v>1371522</v>
          </cell>
          <cell r="H551">
            <v>311379</v>
          </cell>
          <cell r="I551">
            <v>0</v>
          </cell>
        </row>
        <row r="552">
          <cell r="A552">
            <v>96009</v>
          </cell>
          <cell r="B552" t="str">
            <v>CENTRALINA COUNCIL OF GOVERNMENTS</v>
          </cell>
          <cell r="C552">
            <v>3.5409999999999999E-4</v>
          </cell>
          <cell r="D552"/>
          <cell r="E552">
            <v>183800</v>
          </cell>
          <cell r="F552">
            <v>65204</v>
          </cell>
          <cell r="G552">
            <v>98910</v>
          </cell>
          <cell r="H552">
            <v>25440</v>
          </cell>
          <cell r="I552">
            <v>0</v>
          </cell>
        </row>
        <row r="553">
          <cell r="A553">
            <v>96011</v>
          </cell>
          <cell r="B553" t="str">
            <v>CITY OF CHARLOTTE</v>
          </cell>
          <cell r="C553">
            <v>6.3204399999999994E-2</v>
          </cell>
          <cell r="D553"/>
          <cell r="E553">
            <v>31434252</v>
          </cell>
          <cell r="F553">
            <v>10141926</v>
          </cell>
          <cell r="G553">
            <v>17165799</v>
          </cell>
          <cell r="H553">
            <v>4990814</v>
          </cell>
          <cell r="I553">
            <v>0</v>
          </cell>
        </row>
        <row r="554">
          <cell r="A554">
            <v>96012</v>
          </cell>
          <cell r="B554" t="str">
            <v>CHARLOTTE REGIONAL VISITORS AUTHORITY</v>
          </cell>
          <cell r="C554">
            <v>2.5593E-3</v>
          </cell>
          <cell r="D554"/>
          <cell r="E554">
            <v>1277375</v>
          </cell>
          <cell r="F554">
            <v>398907</v>
          </cell>
          <cell r="G554">
            <v>690521</v>
          </cell>
          <cell r="H554">
            <v>192968</v>
          </cell>
          <cell r="I554">
            <v>0</v>
          </cell>
        </row>
        <row r="555">
          <cell r="A555">
            <v>96018</v>
          </cell>
          <cell r="B555" t="str">
            <v>CHARLOTTE FIREMEN'S RET SYS</v>
          </cell>
          <cell r="C555">
            <v>3.4199999999999998E-5</v>
          </cell>
          <cell r="D555"/>
          <cell r="E555">
            <v>15406</v>
          </cell>
          <cell r="F555">
            <v>3808</v>
          </cell>
          <cell r="G555">
            <v>6858</v>
          </cell>
          <cell r="H555">
            <v>382</v>
          </cell>
          <cell r="I555">
            <v>0</v>
          </cell>
        </row>
        <row r="556">
          <cell r="A556">
            <v>96021</v>
          </cell>
          <cell r="B556" t="str">
            <v>TOWN OF PINEVILLE</v>
          </cell>
          <cell r="C556">
            <v>7.7490000000000002E-4</v>
          </cell>
          <cell r="D556"/>
          <cell r="E556">
            <v>349511</v>
          </cell>
          <cell r="F556">
            <v>95668</v>
          </cell>
          <cell r="G556">
            <v>207576</v>
          </cell>
          <cell r="H556">
            <v>60652</v>
          </cell>
          <cell r="I556">
            <v>0</v>
          </cell>
        </row>
        <row r="557">
          <cell r="A557">
            <v>96031</v>
          </cell>
          <cell r="B557" t="str">
            <v>TOWN OF MINT HILL</v>
          </cell>
          <cell r="C557">
            <v>8.3790000000000004E-4</v>
          </cell>
          <cell r="D557"/>
          <cell r="E557">
            <v>355523</v>
          </cell>
          <cell r="F557">
            <v>80196</v>
          </cell>
          <cell r="G557">
            <v>199073</v>
          </cell>
          <cell r="H557">
            <v>50760</v>
          </cell>
          <cell r="I557">
            <v>0</v>
          </cell>
        </row>
        <row r="558">
          <cell r="A558">
            <v>96041</v>
          </cell>
          <cell r="B558" t="str">
            <v>TOWN OF HUNTERSVILLE</v>
          </cell>
          <cell r="C558">
            <v>1.7466000000000001E-3</v>
          </cell>
          <cell r="D558"/>
          <cell r="E558">
            <v>809555</v>
          </cell>
          <cell r="F558">
            <v>231251</v>
          </cell>
          <cell r="G558">
            <v>444564</v>
          </cell>
          <cell r="H558">
            <v>135061</v>
          </cell>
          <cell r="I558">
            <v>0</v>
          </cell>
        </row>
        <row r="559">
          <cell r="A559">
            <v>96051</v>
          </cell>
          <cell r="B559" t="str">
            <v>TOWN OF CORNELIUS</v>
          </cell>
          <cell r="C559">
            <v>9.6909999999999997E-4</v>
          </cell>
          <cell r="D559"/>
          <cell r="E559">
            <v>422130</v>
          </cell>
          <cell r="F559">
            <v>104742</v>
          </cell>
          <cell r="G559">
            <v>227075</v>
          </cell>
          <cell r="H559">
            <v>49927</v>
          </cell>
          <cell r="I559">
            <v>0</v>
          </cell>
        </row>
        <row r="560">
          <cell r="A560">
            <v>96061</v>
          </cell>
          <cell r="B560" t="str">
            <v>TOWN OF STALLINGS</v>
          </cell>
          <cell r="C560">
            <v>3.4220000000000002E-4</v>
          </cell>
          <cell r="D560"/>
          <cell r="E560">
            <v>172811</v>
          </cell>
          <cell r="F560">
            <v>59207</v>
          </cell>
          <cell r="G560">
            <v>93065</v>
          </cell>
          <cell r="H560">
            <v>30863</v>
          </cell>
          <cell r="I560">
            <v>0</v>
          </cell>
        </row>
        <row r="561">
          <cell r="A561">
            <v>96071</v>
          </cell>
          <cell r="B561" t="str">
            <v>TOWN OF MATTHEWS</v>
          </cell>
          <cell r="C561">
            <v>1.3016E-3</v>
          </cell>
          <cell r="D561"/>
          <cell r="E561">
            <v>668968</v>
          </cell>
          <cell r="F561">
            <v>248608</v>
          </cell>
          <cell r="G561">
            <v>388919</v>
          </cell>
          <cell r="H561">
            <v>130724</v>
          </cell>
          <cell r="I561">
            <v>0</v>
          </cell>
        </row>
        <row r="562">
          <cell r="A562">
            <v>96081</v>
          </cell>
          <cell r="B562" t="str">
            <v>TOWN OF DAVIDSON</v>
          </cell>
          <cell r="C562">
            <v>5.419E-4</v>
          </cell>
          <cell r="D562"/>
          <cell r="E562">
            <v>262601</v>
          </cell>
          <cell r="F562">
            <v>79404</v>
          </cell>
          <cell r="G562">
            <v>140367</v>
          </cell>
          <cell r="H562">
            <v>36214</v>
          </cell>
          <cell r="I562">
            <v>0</v>
          </cell>
        </row>
        <row r="563">
          <cell r="A563">
            <v>96101</v>
          </cell>
          <cell r="B563" t="str">
            <v>MITCHELL COUNTY</v>
          </cell>
          <cell r="C563">
            <v>6.4729999999999996E-4</v>
          </cell>
          <cell r="D563"/>
          <cell r="E563">
            <v>304775</v>
          </cell>
          <cell r="F563">
            <v>87608</v>
          </cell>
          <cell r="G563">
            <v>155974</v>
          </cell>
          <cell r="H563">
            <v>25073</v>
          </cell>
          <cell r="I563">
            <v>0</v>
          </cell>
        </row>
        <row r="564">
          <cell r="A564">
            <v>96102</v>
          </cell>
          <cell r="B564" t="str">
            <v>MITCHELL SOIL &amp; WATER CONSERVATION DIST</v>
          </cell>
          <cell r="C564">
            <v>1.1600000000000001E-5</v>
          </cell>
          <cell r="D564"/>
          <cell r="E564">
            <v>4217</v>
          </cell>
          <cell r="F564">
            <v>437</v>
          </cell>
          <cell r="G564">
            <v>2090</v>
          </cell>
          <cell r="H564">
            <v>436</v>
          </cell>
          <cell r="I564">
            <v>0</v>
          </cell>
        </row>
        <row r="565">
          <cell r="A565">
            <v>96111</v>
          </cell>
          <cell r="B565" t="str">
            <v>TOWN OF SPRUCE PINE</v>
          </cell>
          <cell r="C565">
            <v>1.5809999999999999E-4</v>
          </cell>
          <cell r="D565"/>
          <cell r="E565">
            <v>84263</v>
          </cell>
          <cell r="F565">
            <v>30184</v>
          </cell>
          <cell r="G565">
            <v>48602</v>
          </cell>
          <cell r="H565">
            <v>16519</v>
          </cell>
          <cell r="I565">
            <v>0</v>
          </cell>
        </row>
        <row r="566">
          <cell r="A566">
            <v>96121</v>
          </cell>
          <cell r="B566" t="str">
            <v>TOWN OF BAKERSVILLE</v>
          </cell>
          <cell r="C566">
            <v>2.4300000000000001E-5</v>
          </cell>
          <cell r="D566"/>
          <cell r="E566">
            <v>11525</v>
          </cell>
          <cell r="F566">
            <v>3212</v>
          </cell>
          <cell r="G566">
            <v>6171</v>
          </cell>
          <cell r="H566">
            <v>1932</v>
          </cell>
          <cell r="I566">
            <v>0</v>
          </cell>
        </row>
        <row r="567">
          <cell r="A567">
            <v>96201</v>
          </cell>
          <cell r="B567" t="str">
            <v>MONTGOMERY COUNTY</v>
          </cell>
          <cell r="C567">
            <v>1.0575000000000001E-3</v>
          </cell>
          <cell r="D567"/>
          <cell r="E567">
            <v>478164</v>
          </cell>
          <cell r="F567">
            <v>128099</v>
          </cell>
          <cell r="G567">
            <v>259834</v>
          </cell>
          <cell r="H567">
            <v>72543</v>
          </cell>
          <cell r="I567">
            <v>0</v>
          </cell>
        </row>
        <row r="568">
          <cell r="A568">
            <v>96204</v>
          </cell>
          <cell r="B568" t="str">
            <v>MONTGOMERY-MUNICIPAL ABC BOARD</v>
          </cell>
          <cell r="C568">
            <v>1.42E-5</v>
          </cell>
          <cell r="D568"/>
          <cell r="E568">
            <v>8426</v>
          </cell>
          <cell r="F568">
            <v>3343</v>
          </cell>
          <cell r="G568">
            <v>4699</v>
          </cell>
          <cell r="H568">
            <v>1708</v>
          </cell>
          <cell r="I568">
            <v>0</v>
          </cell>
        </row>
        <row r="569">
          <cell r="A569">
            <v>96211</v>
          </cell>
          <cell r="B569" t="str">
            <v>TOWN OF STAR</v>
          </cell>
          <cell r="C569">
            <v>2.4000000000000001E-5</v>
          </cell>
          <cell r="D569"/>
          <cell r="E569">
            <v>13858</v>
          </cell>
          <cell r="F569">
            <v>5117</v>
          </cell>
          <cell r="G569">
            <v>7672</v>
          </cell>
          <cell r="H569">
            <v>2034</v>
          </cell>
          <cell r="I569">
            <v>0</v>
          </cell>
        </row>
        <row r="570">
          <cell r="A570">
            <v>96221</v>
          </cell>
          <cell r="B570" t="str">
            <v>TOWN OF TROY</v>
          </cell>
          <cell r="C570">
            <v>2.141E-4</v>
          </cell>
          <cell r="D570"/>
          <cell r="E570">
            <v>95214</v>
          </cell>
          <cell r="F570">
            <v>25000</v>
          </cell>
          <cell r="G570">
            <v>50327</v>
          </cell>
          <cell r="H570">
            <v>11934</v>
          </cell>
          <cell r="I570">
            <v>0</v>
          </cell>
        </row>
        <row r="571">
          <cell r="A571">
            <v>96231</v>
          </cell>
          <cell r="B571" t="str">
            <v>TOWN OF BISCOE</v>
          </cell>
          <cell r="C571">
            <v>1.2349999999999999E-4</v>
          </cell>
          <cell r="D571"/>
          <cell r="E571">
            <v>51774</v>
          </cell>
          <cell r="F571">
            <v>12473</v>
          </cell>
          <cell r="G571">
            <v>25895</v>
          </cell>
          <cell r="H571">
            <v>6312</v>
          </cell>
          <cell r="I571">
            <v>0</v>
          </cell>
        </row>
        <row r="572">
          <cell r="A572">
            <v>96241</v>
          </cell>
          <cell r="B572" t="str">
            <v>TOWN OF CANDOR</v>
          </cell>
          <cell r="C572">
            <v>6.4499999999999996E-5</v>
          </cell>
          <cell r="D572"/>
          <cell r="E572">
            <v>32266</v>
          </cell>
          <cell r="F572">
            <v>11838</v>
          </cell>
          <cell r="G572">
            <v>18963</v>
          </cell>
          <cell r="H572">
            <v>5700</v>
          </cell>
          <cell r="I572">
            <v>0</v>
          </cell>
        </row>
        <row r="573">
          <cell r="A573">
            <v>96251</v>
          </cell>
          <cell r="B573" t="str">
            <v>TOWN OF MOUNT GILEAD</v>
          </cell>
          <cell r="C573">
            <v>1.004E-4</v>
          </cell>
          <cell r="D573"/>
          <cell r="E573">
            <v>45942</v>
          </cell>
          <cell r="F573">
            <v>14145</v>
          </cell>
          <cell r="G573">
            <v>24027</v>
          </cell>
          <cell r="H573">
            <v>5584</v>
          </cell>
          <cell r="I573">
            <v>0</v>
          </cell>
        </row>
        <row r="574">
          <cell r="A574">
            <v>96301</v>
          </cell>
          <cell r="B574" t="str">
            <v>MOORE COUNTY</v>
          </cell>
          <cell r="C574">
            <v>4.6904E-3</v>
          </cell>
          <cell r="D574"/>
          <cell r="E574">
            <v>2284733</v>
          </cell>
          <cell r="F574">
            <v>728821</v>
          </cell>
          <cell r="G574">
            <v>1277746</v>
          </cell>
          <cell r="H574">
            <v>397855</v>
          </cell>
          <cell r="I574">
            <v>0</v>
          </cell>
        </row>
        <row r="575">
          <cell r="A575">
            <v>96302</v>
          </cell>
          <cell r="B575" t="str">
            <v>TOWN OF TAYLORTOWN</v>
          </cell>
          <cell r="C575">
            <v>2.3600000000000001E-5</v>
          </cell>
          <cell r="D575"/>
          <cell r="E575">
            <v>13302</v>
          </cell>
          <cell r="F575">
            <v>4967</v>
          </cell>
          <cell r="G575">
            <v>6535</v>
          </cell>
          <cell r="H575">
            <v>2262</v>
          </cell>
          <cell r="I575">
            <v>0</v>
          </cell>
        </row>
        <row r="576">
          <cell r="A576">
            <v>96304</v>
          </cell>
          <cell r="B576" t="str">
            <v>MOORE COUNTY ABC BOARD</v>
          </cell>
          <cell r="C576">
            <v>4.3900000000000003E-5</v>
          </cell>
          <cell r="D576"/>
          <cell r="E576">
            <v>24392</v>
          </cell>
          <cell r="F576">
            <v>8748</v>
          </cell>
          <cell r="G576">
            <v>13991</v>
          </cell>
          <cell r="H576">
            <v>4189</v>
          </cell>
          <cell r="I576">
            <v>0</v>
          </cell>
        </row>
        <row r="577">
          <cell r="A577">
            <v>96305</v>
          </cell>
          <cell r="B577" t="str">
            <v>MOORE COUNTY TOURISM DEVELOPMENT AUTHORITY</v>
          </cell>
          <cell r="C577">
            <v>4.1199999999999999E-5</v>
          </cell>
          <cell r="D577"/>
          <cell r="E577">
            <v>26553</v>
          </cell>
          <cell r="F577">
            <v>11418</v>
          </cell>
          <cell r="G577">
            <v>14633</v>
          </cell>
          <cell r="H577">
            <v>4917</v>
          </cell>
          <cell r="I577">
            <v>0</v>
          </cell>
        </row>
        <row r="578">
          <cell r="A578">
            <v>96310</v>
          </cell>
          <cell r="B578" t="str">
            <v>MOORE COUNTY AIRPORT AUTHORITY</v>
          </cell>
          <cell r="C578">
            <v>4.49E-5</v>
          </cell>
          <cell r="D578"/>
          <cell r="E578">
            <v>21648</v>
          </cell>
          <cell r="F578">
            <v>7431</v>
          </cell>
          <cell r="G578">
            <v>10737</v>
          </cell>
          <cell r="H578">
            <v>3239</v>
          </cell>
          <cell r="I578">
            <v>0</v>
          </cell>
        </row>
        <row r="579">
          <cell r="A579">
            <v>96311</v>
          </cell>
          <cell r="B579" t="str">
            <v>TOWN OF SOUTHERN PINES</v>
          </cell>
          <cell r="C579">
            <v>1.3112E-3</v>
          </cell>
          <cell r="D579"/>
          <cell r="E579">
            <v>591765</v>
          </cell>
          <cell r="F579">
            <v>165180</v>
          </cell>
          <cell r="G579">
            <v>332095</v>
          </cell>
          <cell r="H579">
            <v>88834</v>
          </cell>
          <cell r="I579">
            <v>0</v>
          </cell>
        </row>
        <row r="580">
          <cell r="A580">
            <v>96312</v>
          </cell>
          <cell r="B580" t="str">
            <v>TOWN OF CAMERON</v>
          </cell>
          <cell r="C580">
            <v>5.8000000000000004E-6</v>
          </cell>
          <cell r="D580"/>
          <cell r="E580">
            <v>2916</v>
          </cell>
          <cell r="F580">
            <v>1108</v>
          </cell>
          <cell r="G580">
            <v>-138</v>
          </cell>
          <cell r="H580">
            <v>437</v>
          </cell>
          <cell r="I580">
            <v>0</v>
          </cell>
        </row>
        <row r="581">
          <cell r="A581">
            <v>96318</v>
          </cell>
          <cell r="B581" t="str">
            <v>SANDHILLS CENTER</v>
          </cell>
          <cell r="C581">
            <v>2.2319000000000002E-3</v>
          </cell>
          <cell r="D581"/>
          <cell r="E581">
            <v>3451415</v>
          </cell>
          <cell r="F581">
            <v>474572</v>
          </cell>
          <cell r="G581">
            <v>650117</v>
          </cell>
          <cell r="H581">
            <v>202133</v>
          </cell>
          <cell r="I581">
            <v>0</v>
          </cell>
        </row>
        <row r="582">
          <cell r="A582">
            <v>96321</v>
          </cell>
          <cell r="B582" t="str">
            <v>TOWN OF VASS</v>
          </cell>
          <cell r="C582">
            <v>3.65E-5</v>
          </cell>
          <cell r="D582"/>
          <cell r="E582">
            <v>17752</v>
          </cell>
          <cell r="F582">
            <v>6089</v>
          </cell>
          <cell r="G582">
            <v>9970</v>
          </cell>
          <cell r="H582">
            <v>2827</v>
          </cell>
          <cell r="I582">
            <v>0</v>
          </cell>
        </row>
        <row r="583">
          <cell r="A583">
            <v>96331</v>
          </cell>
          <cell r="B583" t="str">
            <v>TOWN OF ABERDEEN</v>
          </cell>
          <cell r="C583">
            <v>7.4430000000000004E-4</v>
          </cell>
          <cell r="D583"/>
          <cell r="E583">
            <v>340337</v>
          </cell>
          <cell r="F583">
            <v>99997</v>
          </cell>
          <cell r="G583">
            <v>186979</v>
          </cell>
          <cell r="H583">
            <v>55694</v>
          </cell>
          <cell r="I583">
            <v>0</v>
          </cell>
        </row>
        <row r="584">
          <cell r="A584">
            <v>96341</v>
          </cell>
          <cell r="B584" t="str">
            <v>TOWN OF ROBBINS</v>
          </cell>
          <cell r="C584">
            <v>7.8200000000000003E-5</v>
          </cell>
          <cell r="D584"/>
          <cell r="E584">
            <v>34257</v>
          </cell>
          <cell r="F584">
            <v>7517</v>
          </cell>
          <cell r="G584">
            <v>18416</v>
          </cell>
          <cell r="H584">
            <v>2834</v>
          </cell>
          <cell r="I584">
            <v>0</v>
          </cell>
        </row>
        <row r="585">
          <cell r="A585">
            <v>96351</v>
          </cell>
          <cell r="B585" t="str">
            <v>VILLAGE OF PINEHURST</v>
          </cell>
          <cell r="C585">
            <v>1.0093000000000001E-3</v>
          </cell>
          <cell r="D585"/>
          <cell r="E585">
            <v>474483</v>
          </cell>
          <cell r="F585">
            <v>140653</v>
          </cell>
          <cell r="G585">
            <v>257356</v>
          </cell>
          <cell r="H585">
            <v>70470</v>
          </cell>
          <cell r="I585">
            <v>0</v>
          </cell>
        </row>
        <row r="586">
          <cell r="A586">
            <v>96361</v>
          </cell>
          <cell r="B586" t="str">
            <v>TOWN OF PINEBLUFF</v>
          </cell>
          <cell r="C586">
            <v>4.1100000000000003E-5</v>
          </cell>
          <cell r="D586"/>
          <cell r="E586">
            <v>18130</v>
          </cell>
          <cell r="F586">
            <v>3560</v>
          </cell>
          <cell r="G586">
            <v>9029</v>
          </cell>
          <cell r="H586">
            <v>1997</v>
          </cell>
          <cell r="I586">
            <v>0</v>
          </cell>
        </row>
        <row r="587">
          <cell r="A587">
            <v>96371</v>
          </cell>
          <cell r="B587" t="str">
            <v>VILLAGE OF WHISPERING PINES</v>
          </cell>
          <cell r="C587">
            <v>1.5100000000000001E-4</v>
          </cell>
          <cell r="D587"/>
          <cell r="E587">
            <v>70436</v>
          </cell>
          <cell r="F587">
            <v>20783</v>
          </cell>
          <cell r="G587">
            <v>40385</v>
          </cell>
          <cell r="H587">
            <v>13234</v>
          </cell>
          <cell r="I587">
            <v>0</v>
          </cell>
        </row>
        <row r="588">
          <cell r="A588">
            <v>96381</v>
          </cell>
          <cell r="B588" t="str">
            <v>FOXFIRE VILLAGE</v>
          </cell>
          <cell r="C588">
            <v>3.2799999999999998E-5</v>
          </cell>
          <cell r="D588"/>
          <cell r="E588">
            <v>15978</v>
          </cell>
          <cell r="F588">
            <v>4897</v>
          </cell>
          <cell r="G588">
            <v>8591</v>
          </cell>
          <cell r="H588">
            <v>2003</v>
          </cell>
          <cell r="I588">
            <v>0</v>
          </cell>
        </row>
        <row r="589">
          <cell r="A589">
            <v>96391</v>
          </cell>
          <cell r="B589" t="str">
            <v>TOWN OF CARTHAGE</v>
          </cell>
          <cell r="C589">
            <v>2.0560000000000001E-4</v>
          </cell>
          <cell r="D589"/>
          <cell r="E589">
            <v>88900</v>
          </cell>
          <cell r="F589">
            <v>22714</v>
          </cell>
          <cell r="G589">
            <v>46127</v>
          </cell>
          <cell r="H589">
            <v>9824</v>
          </cell>
          <cell r="I589">
            <v>0</v>
          </cell>
        </row>
        <row r="590">
          <cell r="A590">
            <v>96401</v>
          </cell>
          <cell r="B590" t="str">
            <v>NASH COUNTY</v>
          </cell>
          <cell r="C590">
            <v>4.3956000000000004E-3</v>
          </cell>
          <cell r="D590"/>
          <cell r="E590">
            <v>2087137</v>
          </cell>
          <cell r="F590">
            <v>608895</v>
          </cell>
          <cell r="G590">
            <v>1124490</v>
          </cell>
          <cell r="H590">
            <v>319497</v>
          </cell>
          <cell r="I590">
            <v>0</v>
          </cell>
        </row>
        <row r="591">
          <cell r="A591">
            <v>96404</v>
          </cell>
          <cell r="B591" t="str">
            <v>NASH COUNTY ABC BOARD</v>
          </cell>
          <cell r="C591">
            <v>9.8300000000000004E-5</v>
          </cell>
          <cell r="D591"/>
          <cell r="E591">
            <v>58561</v>
          </cell>
          <cell r="F591">
            <v>22720</v>
          </cell>
          <cell r="G591">
            <v>31125</v>
          </cell>
          <cell r="H591">
            <v>10236</v>
          </cell>
          <cell r="I591">
            <v>0</v>
          </cell>
        </row>
        <row r="592">
          <cell r="A592">
            <v>96405</v>
          </cell>
          <cell r="B592" t="str">
            <v>BRASWELL MEMORIAL LIBRARY</v>
          </cell>
          <cell r="C592">
            <v>1.4569999999999999E-4</v>
          </cell>
          <cell r="D592"/>
          <cell r="E592">
            <v>76913</v>
          </cell>
          <cell r="F592">
            <v>27942</v>
          </cell>
          <cell r="G592">
            <v>44742</v>
          </cell>
          <cell r="H592">
            <v>17350</v>
          </cell>
          <cell r="I592">
            <v>0</v>
          </cell>
        </row>
        <row r="593">
          <cell r="A593">
            <v>96411</v>
          </cell>
          <cell r="B593" t="str">
            <v>TOWN OF SPRING HOPE</v>
          </cell>
          <cell r="C593">
            <v>7.0900000000000002E-5</v>
          </cell>
          <cell r="D593"/>
          <cell r="E593">
            <v>33757</v>
          </cell>
          <cell r="F593">
            <v>10730</v>
          </cell>
          <cell r="G593">
            <v>17050</v>
          </cell>
          <cell r="H593">
            <v>4601</v>
          </cell>
          <cell r="I593">
            <v>0</v>
          </cell>
        </row>
        <row r="594">
          <cell r="A594">
            <v>96421</v>
          </cell>
          <cell r="B594" t="str">
            <v>TOWN OF NASHVILLE</v>
          </cell>
          <cell r="C594">
            <v>3.8010000000000002E-4</v>
          </cell>
          <cell r="D594"/>
          <cell r="E594">
            <v>152832</v>
          </cell>
          <cell r="F594">
            <v>33232</v>
          </cell>
          <cell r="G594">
            <v>82028</v>
          </cell>
          <cell r="H594">
            <v>14405</v>
          </cell>
          <cell r="I594">
            <v>0</v>
          </cell>
        </row>
        <row r="595">
          <cell r="A595">
            <v>96431</v>
          </cell>
          <cell r="B595" t="str">
            <v>TOWN OF MIDDLESEX</v>
          </cell>
          <cell r="C595">
            <v>3.3599999999999997E-5</v>
          </cell>
          <cell r="D595"/>
          <cell r="E595">
            <v>17555</v>
          </cell>
          <cell r="F595">
            <v>4337</v>
          </cell>
          <cell r="G595">
            <v>10065</v>
          </cell>
          <cell r="H595">
            <v>4518</v>
          </cell>
          <cell r="I595">
            <v>0</v>
          </cell>
        </row>
        <row r="596">
          <cell r="A596">
            <v>96441</v>
          </cell>
          <cell r="B596" t="str">
            <v>TOWN OF WHITAKERS</v>
          </cell>
          <cell r="C596">
            <v>1.8499999999999999E-5</v>
          </cell>
          <cell r="D596"/>
          <cell r="E596">
            <v>8790</v>
          </cell>
          <cell r="F596">
            <v>2580</v>
          </cell>
          <cell r="G596">
            <v>3924</v>
          </cell>
          <cell r="H596">
            <v>401</v>
          </cell>
          <cell r="I596">
            <v>0</v>
          </cell>
        </row>
        <row r="597">
          <cell r="A597">
            <v>96451</v>
          </cell>
          <cell r="B597" t="str">
            <v>TOWN OF BAILEY</v>
          </cell>
          <cell r="C597">
            <v>7.4000000000000003E-6</v>
          </cell>
          <cell r="D597"/>
          <cell r="E597">
            <v>3381</v>
          </cell>
          <cell r="F597">
            <v>80</v>
          </cell>
          <cell r="G597">
            <v>-16</v>
          </cell>
          <cell r="H597">
            <v>-1009</v>
          </cell>
          <cell r="I597">
            <v>0</v>
          </cell>
        </row>
        <row r="598">
          <cell r="A598">
            <v>96461</v>
          </cell>
          <cell r="B598" t="str">
            <v>TOWN OF SHARPSBURG</v>
          </cell>
          <cell r="C598">
            <v>1.361E-4</v>
          </cell>
          <cell r="D598"/>
          <cell r="E598">
            <v>61941</v>
          </cell>
          <cell r="F598">
            <v>18390</v>
          </cell>
          <cell r="G598">
            <v>33260</v>
          </cell>
          <cell r="H598">
            <v>5007</v>
          </cell>
          <cell r="I598">
            <v>0</v>
          </cell>
        </row>
        <row r="599">
          <cell r="A599">
            <v>96501</v>
          </cell>
          <cell r="B599" t="str">
            <v>NEW HANOVER COUNTY</v>
          </cell>
          <cell r="C599">
            <v>1.46477E-2</v>
          </cell>
          <cell r="D599"/>
          <cell r="E599">
            <v>7061393</v>
          </cell>
          <cell r="F599">
            <v>2211458</v>
          </cell>
          <cell r="G599">
            <v>3875045</v>
          </cell>
          <cell r="H599">
            <v>1128076</v>
          </cell>
          <cell r="I599">
            <v>0</v>
          </cell>
        </row>
        <row r="600">
          <cell r="A600">
            <v>96502</v>
          </cell>
          <cell r="B600" t="str">
            <v>NEW HANOVER AIRPORT AUTH</v>
          </cell>
          <cell r="C600">
            <v>4.082E-4</v>
          </cell>
          <cell r="D600"/>
          <cell r="E600">
            <v>207983</v>
          </cell>
          <cell r="F600">
            <v>65922</v>
          </cell>
          <cell r="G600">
            <v>111525</v>
          </cell>
          <cell r="H600">
            <v>34281</v>
          </cell>
          <cell r="I600">
            <v>0</v>
          </cell>
        </row>
        <row r="601">
          <cell r="A601">
            <v>96503</v>
          </cell>
          <cell r="B601" t="str">
            <v>HOUSING AUTH OF THE CITY OF WILMINGTON</v>
          </cell>
          <cell r="C601">
            <v>3.1940000000000001E-4</v>
          </cell>
          <cell r="D601"/>
          <cell r="E601">
            <v>286524</v>
          </cell>
          <cell r="F601">
            <v>155261</v>
          </cell>
          <cell r="G601">
            <v>166570</v>
          </cell>
          <cell r="H601">
            <v>72698</v>
          </cell>
          <cell r="I601">
            <v>0</v>
          </cell>
        </row>
        <row r="602">
          <cell r="A602">
            <v>96504</v>
          </cell>
          <cell r="B602" t="str">
            <v>NEW HANOVER COUNTY ABC BOARD</v>
          </cell>
          <cell r="C602">
            <v>4.3649999999999998E-4</v>
          </cell>
          <cell r="D602"/>
          <cell r="E602">
            <v>225914</v>
          </cell>
          <cell r="F602">
            <v>80029</v>
          </cell>
          <cell r="G602">
            <v>120499</v>
          </cell>
          <cell r="H602">
            <v>38145</v>
          </cell>
          <cell r="I602">
            <v>0</v>
          </cell>
        </row>
        <row r="603">
          <cell r="A603">
            <v>96507</v>
          </cell>
          <cell r="B603" t="str">
            <v>CAPE FEAR PUBLIC UTILITY AUTHORITY</v>
          </cell>
          <cell r="C603">
            <v>2.3281999999999999E-3</v>
          </cell>
          <cell r="D603"/>
          <cell r="E603">
            <v>1184343</v>
          </cell>
          <cell r="F603">
            <v>383553</v>
          </cell>
          <cell r="G603">
            <v>654319</v>
          </cell>
          <cell r="H603">
            <v>205602</v>
          </cell>
          <cell r="I603">
            <v>0</v>
          </cell>
        </row>
        <row r="604">
          <cell r="A604">
            <v>96508</v>
          </cell>
          <cell r="B604" t="str">
            <v>LOWER CAPE FEAR WATER &amp; SEWER AUTH</v>
          </cell>
          <cell r="C604">
            <v>5.9000000000000003E-6</v>
          </cell>
          <cell r="D604"/>
          <cell r="E604">
            <v>8040</v>
          </cell>
          <cell r="F604">
            <v>5067</v>
          </cell>
          <cell r="G604">
            <v>4511</v>
          </cell>
          <cell r="H604">
            <v>1991</v>
          </cell>
          <cell r="I604">
            <v>0</v>
          </cell>
        </row>
        <row r="605">
          <cell r="A605">
            <v>96511</v>
          </cell>
          <cell r="B605" t="str">
            <v>TOWN OF WRIGHTSVILLE BEACH</v>
          </cell>
          <cell r="C605">
            <v>6.0519999999999997E-4</v>
          </cell>
          <cell r="D605"/>
          <cell r="E605">
            <v>269176</v>
          </cell>
          <cell r="F605">
            <v>82665</v>
          </cell>
          <cell r="G605">
            <v>153581</v>
          </cell>
          <cell r="H605">
            <v>41438</v>
          </cell>
          <cell r="I605">
            <v>0</v>
          </cell>
        </row>
        <row r="606">
          <cell r="A606">
            <v>96512</v>
          </cell>
          <cell r="B606" t="str">
            <v>CAPE FEAR PUBLIC TRANSPORTATION AUTHORITY</v>
          </cell>
          <cell r="C606">
            <v>1.528E-4</v>
          </cell>
          <cell r="D606"/>
          <cell r="E606">
            <v>74219</v>
          </cell>
          <cell r="F606">
            <v>22020</v>
          </cell>
          <cell r="G606">
            <v>41908</v>
          </cell>
          <cell r="H606">
            <v>11236</v>
          </cell>
          <cell r="I606">
            <v>0</v>
          </cell>
        </row>
        <row r="607">
          <cell r="A607">
            <v>96519</v>
          </cell>
          <cell r="B607" t="str">
            <v>COASTALCARE</v>
          </cell>
          <cell r="C607">
            <v>0</v>
          </cell>
          <cell r="D607"/>
          <cell r="E607">
            <v>-207555</v>
          </cell>
          <cell r="F607">
            <v>0</v>
          </cell>
          <cell r="G607">
            <v>0</v>
          </cell>
          <cell r="H607">
            <v>0</v>
          </cell>
          <cell r="I607">
            <v>0</v>
          </cell>
        </row>
        <row r="608">
          <cell r="A608">
            <v>96521</v>
          </cell>
          <cell r="B608" t="str">
            <v>TOWN OF CAROLINA BEACH</v>
          </cell>
          <cell r="C608">
            <v>9.3479999999999995E-4</v>
          </cell>
          <cell r="D608"/>
          <cell r="E608">
            <v>423212</v>
          </cell>
          <cell r="F608">
            <v>113250</v>
          </cell>
          <cell r="G608">
            <v>221106</v>
          </cell>
          <cell r="H608">
            <v>57176</v>
          </cell>
          <cell r="I608">
            <v>0</v>
          </cell>
        </row>
        <row r="609">
          <cell r="A609">
            <v>96531</v>
          </cell>
          <cell r="B609" t="str">
            <v>CITY OF WILMINGTON</v>
          </cell>
          <cell r="C609">
            <v>8.6105999999999995E-3</v>
          </cell>
          <cell r="D609"/>
          <cell r="E609">
            <v>4017961</v>
          </cell>
          <cell r="F609">
            <v>1191781</v>
          </cell>
          <cell r="G609">
            <v>2208430</v>
          </cell>
          <cell r="H609">
            <v>602623</v>
          </cell>
          <cell r="I609">
            <v>0</v>
          </cell>
        </row>
        <row r="610">
          <cell r="A610">
            <v>96541</v>
          </cell>
          <cell r="B610" t="str">
            <v>TOWN OF KURE BEACH</v>
          </cell>
          <cell r="C610">
            <v>3.8709999999999998E-4</v>
          </cell>
          <cell r="D610"/>
          <cell r="E610">
            <v>193424</v>
          </cell>
          <cell r="F610">
            <v>62426</v>
          </cell>
          <cell r="G610">
            <v>103487</v>
          </cell>
          <cell r="H610">
            <v>31581</v>
          </cell>
          <cell r="I610">
            <v>0</v>
          </cell>
        </row>
        <row r="611">
          <cell r="A611">
            <v>96601</v>
          </cell>
          <cell r="B611" t="str">
            <v>NORTHAMPTON COUNTY</v>
          </cell>
          <cell r="C611">
            <v>1.7417999999999999E-3</v>
          </cell>
          <cell r="D611"/>
          <cell r="E611">
            <v>841098</v>
          </cell>
          <cell r="F611">
            <v>252254</v>
          </cell>
          <cell r="G611">
            <v>445748</v>
          </cell>
          <cell r="H611">
            <v>135479</v>
          </cell>
          <cell r="I611">
            <v>0</v>
          </cell>
        </row>
        <row r="612">
          <cell r="A612">
            <v>96604</v>
          </cell>
          <cell r="B612" t="str">
            <v>NORTHAMPTON COUNTY ABC BOARD</v>
          </cell>
          <cell r="C612">
            <v>5.3000000000000001E-6</v>
          </cell>
          <cell r="D612"/>
          <cell r="E612">
            <v>3465</v>
          </cell>
          <cell r="F612">
            <v>1481</v>
          </cell>
          <cell r="G612">
            <v>1827</v>
          </cell>
          <cell r="H612">
            <v>753</v>
          </cell>
          <cell r="I612">
            <v>0</v>
          </cell>
        </row>
        <row r="613">
          <cell r="A613">
            <v>96611</v>
          </cell>
          <cell r="B613" t="str">
            <v>TOWN OF RICH SQUARE</v>
          </cell>
          <cell r="C613">
            <v>1.3900000000000001E-5</v>
          </cell>
          <cell r="D613"/>
          <cell r="E613">
            <v>4359</v>
          </cell>
          <cell r="F613">
            <v>-449</v>
          </cell>
          <cell r="G613">
            <v>2099</v>
          </cell>
          <cell r="H613">
            <v>2</v>
          </cell>
          <cell r="I613">
            <v>0</v>
          </cell>
        </row>
        <row r="614">
          <cell r="A614">
            <v>96612</v>
          </cell>
          <cell r="B614" t="str">
            <v>CHOANOKE PUBLIC TRANSPORTATION AUTH</v>
          </cell>
          <cell r="C614">
            <v>5.5099999999999998E-5</v>
          </cell>
          <cell r="D614"/>
          <cell r="E614">
            <v>29613</v>
          </cell>
          <cell r="F614">
            <v>10268</v>
          </cell>
          <cell r="G614">
            <v>15886</v>
          </cell>
          <cell r="H614">
            <v>6034</v>
          </cell>
          <cell r="I614">
            <v>0</v>
          </cell>
        </row>
        <row r="615">
          <cell r="A615">
            <v>96621</v>
          </cell>
          <cell r="B615" t="str">
            <v>TOWN OF WOODLAND</v>
          </cell>
          <cell r="C615">
            <v>2.09E-5</v>
          </cell>
          <cell r="D615"/>
          <cell r="E615">
            <v>9383</v>
          </cell>
          <cell r="F615">
            <v>3257</v>
          </cell>
          <cell r="G615">
            <v>5461</v>
          </cell>
          <cell r="H615">
            <v>2083</v>
          </cell>
          <cell r="I615">
            <v>0</v>
          </cell>
        </row>
        <row r="616">
          <cell r="A616">
            <v>96631</v>
          </cell>
          <cell r="B616" t="str">
            <v>TOWN OF GARYSBURG</v>
          </cell>
          <cell r="C616">
            <v>2.1800000000000001E-5</v>
          </cell>
          <cell r="D616"/>
          <cell r="E616">
            <v>10345</v>
          </cell>
          <cell r="F616">
            <v>3031</v>
          </cell>
          <cell r="G616">
            <v>5566</v>
          </cell>
          <cell r="H616">
            <v>1516</v>
          </cell>
          <cell r="I616">
            <v>0</v>
          </cell>
        </row>
        <row r="617">
          <cell r="A617">
            <v>96641</v>
          </cell>
          <cell r="B617" t="str">
            <v>TOWN OF CONWAY</v>
          </cell>
          <cell r="C617">
            <v>3.3800000000000002E-5</v>
          </cell>
          <cell r="D617"/>
          <cell r="E617">
            <v>22517</v>
          </cell>
          <cell r="F617">
            <v>10057</v>
          </cell>
          <cell r="G617">
            <v>11819</v>
          </cell>
          <cell r="H617">
            <v>4184</v>
          </cell>
          <cell r="I617">
            <v>0</v>
          </cell>
        </row>
        <row r="618">
          <cell r="A618">
            <v>96651</v>
          </cell>
          <cell r="B618" t="str">
            <v>TOWN OF GASTON</v>
          </cell>
          <cell r="C618">
            <v>1.8499999999999999E-5</v>
          </cell>
          <cell r="D618"/>
          <cell r="E618">
            <v>9039</v>
          </cell>
          <cell r="F618">
            <v>2628</v>
          </cell>
          <cell r="G618">
            <v>4384</v>
          </cell>
          <cell r="H618">
            <v>515</v>
          </cell>
          <cell r="I618">
            <v>0</v>
          </cell>
        </row>
        <row r="619">
          <cell r="A619">
            <v>96661</v>
          </cell>
          <cell r="B619" t="str">
            <v>TOWN OF JACKSON</v>
          </cell>
          <cell r="C619">
            <v>1.8099999999999999E-5</v>
          </cell>
          <cell r="D619"/>
          <cell r="E619">
            <v>9852</v>
          </cell>
          <cell r="F619">
            <v>3272</v>
          </cell>
          <cell r="G619">
            <v>4942</v>
          </cell>
          <cell r="H619">
            <v>1327</v>
          </cell>
          <cell r="I619">
            <v>0</v>
          </cell>
        </row>
        <row r="620">
          <cell r="A620">
            <v>96671</v>
          </cell>
          <cell r="B620" t="str">
            <v>TOWN OF SEVERN</v>
          </cell>
          <cell r="C620">
            <v>1.26E-5</v>
          </cell>
          <cell r="D620"/>
          <cell r="E620">
            <v>7860</v>
          </cell>
          <cell r="F620">
            <v>2638</v>
          </cell>
          <cell r="G620">
            <v>3860</v>
          </cell>
          <cell r="H620">
            <v>1241</v>
          </cell>
          <cell r="I620">
            <v>0</v>
          </cell>
        </row>
        <row r="621">
          <cell r="A621">
            <v>96681</v>
          </cell>
          <cell r="B621" t="str">
            <v>TOWN OF SEABOARD</v>
          </cell>
          <cell r="C621">
            <v>2.2399999999999999E-5</v>
          </cell>
          <cell r="D621"/>
          <cell r="E621">
            <v>13455</v>
          </cell>
          <cell r="F621">
            <v>4375</v>
          </cell>
          <cell r="G621">
            <v>8996</v>
          </cell>
          <cell r="H621">
            <v>3124</v>
          </cell>
          <cell r="I621">
            <v>0</v>
          </cell>
        </row>
        <row r="622">
          <cell r="A622">
            <v>96701</v>
          </cell>
          <cell r="B622" t="str">
            <v>ONSLOW COUNTY</v>
          </cell>
          <cell r="C622">
            <v>8.4864999999999993E-3</v>
          </cell>
          <cell r="D622"/>
          <cell r="E622">
            <v>4075656</v>
          </cell>
          <cell r="F622">
            <v>1225701</v>
          </cell>
          <cell r="G622">
            <v>2127081</v>
          </cell>
          <cell r="H622">
            <v>546200</v>
          </cell>
          <cell r="I622">
            <v>0</v>
          </cell>
        </row>
        <row r="623">
          <cell r="A623">
            <v>96704</v>
          </cell>
          <cell r="B623" t="str">
            <v>ONSLOW COUNTY ABC BOARD</v>
          </cell>
          <cell r="C623">
            <v>1.873E-4</v>
          </cell>
          <cell r="D623"/>
          <cell r="E623">
            <v>109934</v>
          </cell>
          <cell r="F623">
            <v>46032</v>
          </cell>
          <cell r="G623">
            <v>61503</v>
          </cell>
          <cell r="H623">
            <v>21356</v>
          </cell>
          <cell r="I623">
            <v>0</v>
          </cell>
        </row>
        <row r="624">
          <cell r="A624">
            <v>96708</v>
          </cell>
          <cell r="B624" t="str">
            <v>ONSLOW WATER &amp; SEWER AUTHORITY</v>
          </cell>
          <cell r="C624">
            <v>8.7410000000000005E-4</v>
          </cell>
          <cell r="D624"/>
          <cell r="E624">
            <v>450493</v>
          </cell>
          <cell r="F624">
            <v>161803</v>
          </cell>
          <cell r="G624">
            <v>246306</v>
          </cell>
          <cell r="H624">
            <v>74711</v>
          </cell>
          <cell r="I624">
            <v>0</v>
          </cell>
        </row>
        <row r="625">
          <cell r="A625">
            <v>96711</v>
          </cell>
          <cell r="B625" t="str">
            <v>CITY OF JACKSONVILLE</v>
          </cell>
          <cell r="C625">
            <v>3.7919E-3</v>
          </cell>
          <cell r="D625"/>
          <cell r="E625">
            <v>1725707</v>
          </cell>
          <cell r="F625">
            <v>464045</v>
          </cell>
          <cell r="G625">
            <v>954917</v>
          </cell>
          <cell r="H625">
            <v>266947</v>
          </cell>
          <cell r="I625">
            <v>0</v>
          </cell>
        </row>
        <row r="626">
          <cell r="A626">
            <v>96721</v>
          </cell>
          <cell r="B626" t="str">
            <v>TOWN OF SWANSBORO</v>
          </cell>
          <cell r="C626">
            <v>2.1719999999999999E-4</v>
          </cell>
          <cell r="D626"/>
          <cell r="E626">
            <v>100042</v>
          </cell>
          <cell r="F626">
            <v>34499</v>
          </cell>
          <cell r="G626">
            <v>56945</v>
          </cell>
          <cell r="H626">
            <v>15546</v>
          </cell>
          <cell r="I626">
            <v>0</v>
          </cell>
        </row>
        <row r="627">
          <cell r="A627">
            <v>96731</v>
          </cell>
          <cell r="B627" t="str">
            <v>TOWN OF HOLLY RIDGE</v>
          </cell>
          <cell r="C627">
            <v>1.763E-4</v>
          </cell>
          <cell r="D627"/>
          <cell r="E627">
            <v>90448</v>
          </cell>
          <cell r="F627">
            <v>28364</v>
          </cell>
          <cell r="G627">
            <v>46392</v>
          </cell>
          <cell r="H627">
            <v>13504</v>
          </cell>
          <cell r="I627">
            <v>0</v>
          </cell>
        </row>
        <row r="628">
          <cell r="A628">
            <v>96733</v>
          </cell>
          <cell r="B628" t="str">
            <v>HOLLY RIDGE HOUSING AUTHORITY</v>
          </cell>
          <cell r="C628">
            <v>6.4999999999999996E-6</v>
          </cell>
          <cell r="D628"/>
          <cell r="E628">
            <v>3063</v>
          </cell>
          <cell r="F628">
            <v>-17</v>
          </cell>
          <cell r="G628">
            <v>857</v>
          </cell>
          <cell r="H628">
            <v>-920</v>
          </cell>
          <cell r="I628">
            <v>0</v>
          </cell>
        </row>
        <row r="629">
          <cell r="A629">
            <v>96741</v>
          </cell>
          <cell r="B629" t="str">
            <v>TOWN OF RICHLANDS</v>
          </cell>
          <cell r="C629">
            <v>9.6799999999999995E-5</v>
          </cell>
          <cell r="D629"/>
          <cell r="E629">
            <v>46214</v>
          </cell>
          <cell r="F629">
            <v>13929</v>
          </cell>
          <cell r="G629">
            <v>25262</v>
          </cell>
          <cell r="H629">
            <v>6260</v>
          </cell>
          <cell r="I629">
            <v>0</v>
          </cell>
        </row>
        <row r="630">
          <cell r="A630">
            <v>96751</v>
          </cell>
          <cell r="B630" t="str">
            <v>TOWN OF N TOPSAIL BEACH</v>
          </cell>
          <cell r="C630">
            <v>3.054E-4</v>
          </cell>
          <cell r="D630"/>
          <cell r="E630">
            <v>147518</v>
          </cell>
          <cell r="F630">
            <v>51011</v>
          </cell>
          <cell r="G630">
            <v>86871</v>
          </cell>
          <cell r="H630">
            <v>28698</v>
          </cell>
          <cell r="I630">
            <v>0</v>
          </cell>
        </row>
        <row r="631">
          <cell r="A631">
            <v>96801</v>
          </cell>
          <cell r="B631" t="str">
            <v>ORANGE COUNTY</v>
          </cell>
          <cell r="C631">
            <v>7.6207000000000002E-3</v>
          </cell>
          <cell r="D631"/>
          <cell r="E631">
            <v>3772341</v>
          </cell>
          <cell r="F631">
            <v>1144845</v>
          </cell>
          <cell r="G631">
            <v>2030773</v>
          </cell>
          <cell r="H631">
            <v>571847</v>
          </cell>
          <cell r="I631">
            <v>0</v>
          </cell>
        </row>
        <row r="632">
          <cell r="A632">
            <v>96804</v>
          </cell>
          <cell r="B632" t="str">
            <v>ORANGE COUNTY ABC BOARD</v>
          </cell>
          <cell r="C632">
            <v>2.4230000000000001E-4</v>
          </cell>
          <cell r="D632"/>
          <cell r="E632">
            <v>109973</v>
          </cell>
          <cell r="F632">
            <v>28260</v>
          </cell>
          <cell r="G632">
            <v>54509</v>
          </cell>
          <cell r="H632">
            <v>13552</v>
          </cell>
          <cell r="I632">
            <v>0</v>
          </cell>
        </row>
        <row r="633">
          <cell r="A633">
            <v>96808</v>
          </cell>
          <cell r="B633" t="str">
            <v>ORANGE WATER AND SEWER AUTHORITY</v>
          </cell>
          <cell r="C633">
            <v>1.2175E-3</v>
          </cell>
          <cell r="D633"/>
          <cell r="E633">
            <v>589307</v>
          </cell>
          <cell r="F633">
            <v>172531</v>
          </cell>
          <cell r="G633">
            <v>312068</v>
          </cell>
          <cell r="H633">
            <v>84933</v>
          </cell>
          <cell r="I633">
            <v>0</v>
          </cell>
        </row>
        <row r="634">
          <cell r="A634">
            <v>96811</v>
          </cell>
          <cell r="B634" t="str">
            <v>TOWN OF CHAPEL HILL</v>
          </cell>
          <cell r="C634">
            <v>5.8506000000000001E-3</v>
          </cell>
          <cell r="D634"/>
          <cell r="E634">
            <v>2799855</v>
          </cell>
          <cell r="F634">
            <v>837141</v>
          </cell>
          <cell r="G634">
            <v>1493888</v>
          </cell>
          <cell r="H634">
            <v>400920</v>
          </cell>
          <cell r="I634">
            <v>0</v>
          </cell>
        </row>
        <row r="635">
          <cell r="A635">
            <v>96821</v>
          </cell>
          <cell r="B635" t="str">
            <v>TOWN OF CARRBORO</v>
          </cell>
          <cell r="C635">
            <v>1.2505999999999999E-3</v>
          </cell>
          <cell r="D635"/>
          <cell r="E635">
            <v>582959</v>
          </cell>
          <cell r="F635">
            <v>183044</v>
          </cell>
          <cell r="G635">
            <v>332700</v>
          </cell>
          <cell r="H635">
            <v>118570</v>
          </cell>
          <cell r="I635">
            <v>0</v>
          </cell>
        </row>
        <row r="636">
          <cell r="A636">
            <v>96831</v>
          </cell>
          <cell r="B636" t="str">
            <v>TOWN OF HILLSBOROUGH</v>
          </cell>
          <cell r="C636">
            <v>9.0549999999999995E-4</v>
          </cell>
          <cell r="D636"/>
          <cell r="E636">
            <v>439272</v>
          </cell>
          <cell r="F636">
            <v>128279</v>
          </cell>
          <cell r="G636">
            <v>231248</v>
          </cell>
          <cell r="H636">
            <v>61491</v>
          </cell>
          <cell r="I636">
            <v>0</v>
          </cell>
        </row>
        <row r="637">
          <cell r="A637">
            <v>96901</v>
          </cell>
          <cell r="B637" t="str">
            <v>PAMLICO COUNTY</v>
          </cell>
          <cell r="C637">
            <v>9.5589999999999998E-4</v>
          </cell>
          <cell r="D637"/>
          <cell r="E637">
            <v>494886</v>
          </cell>
          <cell r="F637">
            <v>168183</v>
          </cell>
          <cell r="G637">
            <v>263373</v>
          </cell>
          <cell r="H637">
            <v>79634</v>
          </cell>
          <cell r="I637">
            <v>0</v>
          </cell>
        </row>
        <row r="638">
          <cell r="A638">
            <v>96911</v>
          </cell>
          <cell r="B638" t="str">
            <v>TOWN OF BAYBORO</v>
          </cell>
          <cell r="C638">
            <v>2.3E-6</v>
          </cell>
          <cell r="D638"/>
          <cell r="E638">
            <v>820</v>
          </cell>
          <cell r="F638">
            <v>872</v>
          </cell>
          <cell r="G638">
            <v>1186</v>
          </cell>
          <cell r="H638">
            <v>501</v>
          </cell>
          <cell r="I638">
            <v>0</v>
          </cell>
        </row>
        <row r="639">
          <cell r="A639">
            <v>96912</v>
          </cell>
          <cell r="B639" t="str">
            <v>TOWN OF ORIENTAL</v>
          </cell>
          <cell r="C639">
            <v>7.2000000000000002E-5</v>
          </cell>
          <cell r="D639"/>
          <cell r="E639">
            <v>34027</v>
          </cell>
          <cell r="F639">
            <v>9979</v>
          </cell>
          <cell r="G639">
            <v>18922</v>
          </cell>
          <cell r="H639">
            <v>5198</v>
          </cell>
          <cell r="I639">
            <v>0</v>
          </cell>
        </row>
        <row r="640">
          <cell r="A640">
            <v>96918</v>
          </cell>
          <cell r="B640" t="str">
            <v>BAY RIVER METRO SEWERAGE DISTRICT</v>
          </cell>
          <cell r="C640">
            <v>2.9799999999999999E-5</v>
          </cell>
          <cell r="D640"/>
          <cell r="E640">
            <v>13498</v>
          </cell>
          <cell r="F640">
            <v>3717</v>
          </cell>
          <cell r="G640">
            <v>6960</v>
          </cell>
          <cell r="H640">
            <v>2156</v>
          </cell>
          <cell r="I640">
            <v>0</v>
          </cell>
        </row>
        <row r="641">
          <cell r="A641">
            <v>97001</v>
          </cell>
          <cell r="B641" t="str">
            <v>PASQUOTANK COUNTY</v>
          </cell>
          <cell r="C641">
            <v>1.3541E-3</v>
          </cell>
          <cell r="D641"/>
          <cell r="E641">
            <v>712452</v>
          </cell>
          <cell r="F641">
            <v>237521</v>
          </cell>
          <cell r="G641">
            <v>373759</v>
          </cell>
          <cell r="H641">
            <v>107362</v>
          </cell>
          <cell r="I641">
            <v>0</v>
          </cell>
        </row>
        <row r="642">
          <cell r="A642">
            <v>97002</v>
          </cell>
          <cell r="B642" t="str">
            <v>PASQUOTANK-CAMDEN AMBULANCE SERVICE</v>
          </cell>
          <cell r="C642">
            <v>5.04E-4</v>
          </cell>
          <cell r="D642"/>
          <cell r="E642">
            <v>219881</v>
          </cell>
          <cell r="F642">
            <v>48179</v>
          </cell>
          <cell r="G642">
            <v>107313</v>
          </cell>
          <cell r="H642">
            <v>29592</v>
          </cell>
          <cell r="I642">
            <v>0</v>
          </cell>
        </row>
        <row r="643">
          <cell r="A643">
            <v>97004</v>
          </cell>
          <cell r="B643" t="str">
            <v>PASQUOTANK CO ABC BOARD</v>
          </cell>
          <cell r="C643">
            <v>1.5400000000000002E-5</v>
          </cell>
          <cell r="D643"/>
          <cell r="E643">
            <v>10749</v>
          </cell>
          <cell r="F643">
            <v>5507</v>
          </cell>
          <cell r="G643">
            <v>6692</v>
          </cell>
          <cell r="H643">
            <v>3082</v>
          </cell>
          <cell r="I643">
            <v>0</v>
          </cell>
        </row>
        <row r="644">
          <cell r="A644">
            <v>97005</v>
          </cell>
          <cell r="B644" t="str">
            <v>EAST ALBEMARLE REGIONAL LIBRARY</v>
          </cell>
          <cell r="C644">
            <v>2.0100000000000001E-5</v>
          </cell>
          <cell r="D644"/>
          <cell r="E644">
            <v>11977</v>
          </cell>
          <cell r="F644">
            <v>5526</v>
          </cell>
          <cell r="G644">
            <v>5031</v>
          </cell>
          <cell r="H644">
            <v>1069</v>
          </cell>
          <cell r="I644">
            <v>0</v>
          </cell>
        </row>
        <row r="645">
          <cell r="A645">
            <v>97008</v>
          </cell>
          <cell r="B645" t="str">
            <v>ALBEMARLE DISTRICT JAIL COMMISSION</v>
          </cell>
          <cell r="C645">
            <v>2.8699999999999998E-4</v>
          </cell>
          <cell r="D645"/>
          <cell r="E645">
            <v>142968</v>
          </cell>
          <cell r="F645">
            <v>46580</v>
          </cell>
          <cell r="G645">
            <v>77984</v>
          </cell>
          <cell r="H645">
            <v>24629</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848075</v>
          </cell>
          <cell r="F647">
            <v>250568</v>
          </cell>
          <cell r="G647">
            <v>460094</v>
          </cell>
          <cell r="H647">
            <v>114670</v>
          </cell>
          <cell r="I647">
            <v>0</v>
          </cell>
        </row>
        <row r="648">
          <cell r="A648">
            <v>97012</v>
          </cell>
          <cell r="B648" t="str">
            <v>ELIZABETH CITY-PASQUOTANK CO AIRPORT AUTH</v>
          </cell>
          <cell r="C648">
            <v>2.97E-5</v>
          </cell>
          <cell r="D648"/>
          <cell r="E648">
            <v>17082</v>
          </cell>
          <cell r="F648">
            <v>6307</v>
          </cell>
          <cell r="G648">
            <v>9082</v>
          </cell>
          <cell r="H648">
            <v>2651</v>
          </cell>
          <cell r="I648">
            <v>0</v>
          </cell>
        </row>
        <row r="649">
          <cell r="A649">
            <v>97013</v>
          </cell>
          <cell r="B649" t="str">
            <v>ELIZABETH CITY PASQUOTANK COUNTY TDA</v>
          </cell>
          <cell r="C649">
            <v>9.0000000000000002E-6</v>
          </cell>
          <cell r="D649"/>
          <cell r="E649">
            <v>4447</v>
          </cell>
          <cell r="F649">
            <v>349</v>
          </cell>
          <cell r="G649">
            <v>1175</v>
          </cell>
          <cell r="H649">
            <v>-1430</v>
          </cell>
          <cell r="I649">
            <v>0</v>
          </cell>
        </row>
        <row r="650">
          <cell r="A650">
            <v>97015</v>
          </cell>
          <cell r="B650" t="str">
            <v>PASQUOTANK-CAMDEN LIBRARY</v>
          </cell>
          <cell r="C650">
            <v>4.3900000000000003E-5</v>
          </cell>
          <cell r="D650"/>
          <cell r="E650">
            <v>21544</v>
          </cell>
          <cell r="F650">
            <v>6050</v>
          </cell>
          <cell r="G650">
            <v>12298</v>
          </cell>
          <cell r="H650">
            <v>2172</v>
          </cell>
          <cell r="I650">
            <v>0</v>
          </cell>
        </row>
        <row r="651">
          <cell r="A651">
            <v>97018</v>
          </cell>
          <cell r="B651" t="str">
            <v>ELIZABETH CTY-PASQUOTANK CO INDUSTRL DEVELOPMENT C</v>
          </cell>
          <cell r="C651">
            <v>1.6399999999999999E-5</v>
          </cell>
          <cell r="D651"/>
          <cell r="E651">
            <v>11722</v>
          </cell>
          <cell r="F651">
            <v>5593</v>
          </cell>
          <cell r="G651">
            <v>6755</v>
          </cell>
          <cell r="H651">
            <v>2875</v>
          </cell>
          <cell r="I651">
            <v>0</v>
          </cell>
        </row>
        <row r="652">
          <cell r="A652">
            <v>97101</v>
          </cell>
          <cell r="B652" t="str">
            <v>PENDER COUNTY</v>
          </cell>
          <cell r="C652">
            <v>2.7334E-3</v>
          </cell>
          <cell r="D652"/>
          <cell r="E652">
            <v>1408201</v>
          </cell>
          <cell r="F652">
            <v>485567</v>
          </cell>
          <cell r="G652">
            <v>795871</v>
          </cell>
          <cell r="H652">
            <v>273260</v>
          </cell>
          <cell r="I652">
            <v>0</v>
          </cell>
        </row>
        <row r="653">
          <cell r="A653">
            <v>97104</v>
          </cell>
          <cell r="B653" t="str">
            <v>PENDER COUNTY ABC BOARD</v>
          </cell>
          <cell r="C653">
            <v>5.41E-5</v>
          </cell>
          <cell r="D653"/>
          <cell r="E653">
            <v>29826</v>
          </cell>
          <cell r="F653">
            <v>10517</v>
          </cell>
          <cell r="G653">
            <v>16253</v>
          </cell>
          <cell r="H653">
            <v>4617</v>
          </cell>
          <cell r="I653">
            <v>0</v>
          </cell>
        </row>
        <row r="654">
          <cell r="A654">
            <v>97111</v>
          </cell>
          <cell r="B654" t="str">
            <v>TOWN OF BURGAW</v>
          </cell>
          <cell r="C654">
            <v>2.8489999999999999E-4</v>
          </cell>
          <cell r="D654"/>
          <cell r="E654">
            <v>131183</v>
          </cell>
          <cell r="F654">
            <v>34835</v>
          </cell>
          <cell r="G654">
            <v>69545</v>
          </cell>
          <cell r="H654">
            <v>17622</v>
          </cell>
          <cell r="I654">
            <v>0</v>
          </cell>
        </row>
        <row r="655">
          <cell r="A655">
            <v>97121</v>
          </cell>
          <cell r="B655" t="str">
            <v>TOWN OF TOPSAIL BEACH</v>
          </cell>
          <cell r="C655">
            <v>1.493E-4</v>
          </cell>
          <cell r="D655"/>
          <cell r="E655">
            <v>80983</v>
          </cell>
          <cell r="F655">
            <v>33163</v>
          </cell>
          <cell r="G655">
            <v>46750</v>
          </cell>
          <cell r="H655">
            <v>17166</v>
          </cell>
          <cell r="I655">
            <v>0</v>
          </cell>
        </row>
        <row r="656">
          <cell r="A656">
            <v>97131</v>
          </cell>
          <cell r="B656" t="str">
            <v>TOWN OF SURF CITY</v>
          </cell>
          <cell r="C656">
            <v>6.5379999999999995E-4</v>
          </cell>
          <cell r="D656"/>
          <cell r="E656">
            <v>297103</v>
          </cell>
          <cell r="F656">
            <v>77384</v>
          </cell>
          <cell r="G656">
            <v>145498</v>
          </cell>
          <cell r="H656">
            <v>51192</v>
          </cell>
          <cell r="I656">
            <v>0</v>
          </cell>
        </row>
        <row r="657">
          <cell r="A657">
            <v>97201</v>
          </cell>
          <cell r="B657" t="str">
            <v>PERQUIMANS COUNTY</v>
          </cell>
          <cell r="C657">
            <v>5.8529999999999997E-4</v>
          </cell>
          <cell r="D657"/>
          <cell r="E657">
            <v>311169</v>
          </cell>
          <cell r="F657">
            <v>109295</v>
          </cell>
          <cell r="G657">
            <v>169220</v>
          </cell>
          <cell r="H657">
            <v>58862</v>
          </cell>
          <cell r="I657">
            <v>0</v>
          </cell>
        </row>
        <row r="658">
          <cell r="A658">
            <v>97211</v>
          </cell>
          <cell r="B658" t="str">
            <v>TOWN OF HERTFORD</v>
          </cell>
          <cell r="C658">
            <v>8.14E-5</v>
          </cell>
          <cell r="D658"/>
          <cell r="E658">
            <v>30121</v>
          </cell>
          <cell r="F658">
            <v>6273</v>
          </cell>
          <cell r="G658">
            <v>12117</v>
          </cell>
          <cell r="H658">
            <v>-2065</v>
          </cell>
          <cell r="I658">
            <v>0</v>
          </cell>
        </row>
        <row r="659">
          <cell r="A659">
            <v>97213</v>
          </cell>
          <cell r="B659" t="str">
            <v>HERTFORD HOUSING AUTH</v>
          </cell>
          <cell r="C659">
            <v>3.5500000000000002E-5</v>
          </cell>
          <cell r="D659"/>
          <cell r="E659">
            <v>18447</v>
          </cell>
          <cell r="F659">
            <v>6629</v>
          </cell>
          <cell r="G659">
            <v>9192</v>
          </cell>
          <cell r="H659">
            <v>1449</v>
          </cell>
          <cell r="I659">
            <v>0</v>
          </cell>
        </row>
        <row r="660">
          <cell r="A660">
            <v>97217</v>
          </cell>
          <cell r="B660" t="str">
            <v>TOWN OF HERTFORD ABC BOARD</v>
          </cell>
          <cell r="C660">
            <v>5.5999999999999997E-6</v>
          </cell>
          <cell r="D660"/>
          <cell r="E660">
            <v>6082</v>
          </cell>
          <cell r="F660">
            <v>3470</v>
          </cell>
          <cell r="G660">
            <v>3200</v>
          </cell>
          <cell r="H660">
            <v>1279</v>
          </cell>
          <cell r="I660">
            <v>0</v>
          </cell>
        </row>
        <row r="661">
          <cell r="A661">
            <v>97221</v>
          </cell>
          <cell r="B661" t="str">
            <v>TOWN OF WINFALL</v>
          </cell>
          <cell r="C661">
            <v>1.24E-5</v>
          </cell>
          <cell r="D661"/>
          <cell r="E661">
            <v>9876</v>
          </cell>
          <cell r="F661">
            <v>4991</v>
          </cell>
          <cell r="G661">
            <v>5340</v>
          </cell>
          <cell r="H661">
            <v>2719</v>
          </cell>
          <cell r="I661">
            <v>0</v>
          </cell>
        </row>
        <row r="662">
          <cell r="A662">
            <v>97301</v>
          </cell>
          <cell r="B662" t="str">
            <v>PERSON COUNTY</v>
          </cell>
          <cell r="C662">
            <v>2.3942E-3</v>
          </cell>
          <cell r="D662"/>
          <cell r="E662">
            <v>1145350</v>
          </cell>
          <cell r="F662">
            <v>348467</v>
          </cell>
          <cell r="G662">
            <v>624613</v>
          </cell>
          <cell r="H662">
            <v>175939</v>
          </cell>
          <cell r="I662">
            <v>0</v>
          </cell>
        </row>
        <row r="663">
          <cell r="A663">
            <v>97302</v>
          </cell>
          <cell r="B663" t="str">
            <v>ROXBORO HOUSING AUTHORITY</v>
          </cell>
          <cell r="C663">
            <v>0</v>
          </cell>
          <cell r="D663"/>
          <cell r="E663">
            <v>2721</v>
          </cell>
          <cell r="F663">
            <v>2721</v>
          </cell>
          <cell r="G663">
            <v>2721</v>
          </cell>
          <cell r="H663">
            <v>2722</v>
          </cell>
          <cell r="I663">
            <v>0</v>
          </cell>
        </row>
        <row r="664">
          <cell r="A664">
            <v>97304</v>
          </cell>
          <cell r="B664" t="str">
            <v>PERSON CO ABC BD</v>
          </cell>
          <cell r="C664">
            <v>1.4399999999999999E-5</v>
          </cell>
          <cell r="D664"/>
          <cell r="E664">
            <v>11116</v>
          </cell>
          <cell r="F664">
            <v>5541</v>
          </cell>
          <cell r="G664">
            <v>6181</v>
          </cell>
          <cell r="H664">
            <v>2473</v>
          </cell>
          <cell r="I664">
            <v>0</v>
          </cell>
        </row>
        <row r="665">
          <cell r="A665">
            <v>97311</v>
          </cell>
          <cell r="B665" t="str">
            <v>CITY OF ROXBORO</v>
          </cell>
          <cell r="C665">
            <v>9.0109999999999995E-4</v>
          </cell>
          <cell r="D665"/>
          <cell r="E665">
            <v>410585</v>
          </cell>
          <cell r="F665">
            <v>120730</v>
          </cell>
          <cell r="G665">
            <v>231546</v>
          </cell>
          <cell r="H665">
            <v>68156</v>
          </cell>
          <cell r="I665">
            <v>0</v>
          </cell>
        </row>
        <row r="666">
          <cell r="A666">
            <v>97401</v>
          </cell>
          <cell r="B666" t="str">
            <v>PITT COUNTY</v>
          </cell>
          <cell r="C666">
            <v>7.0562999999999997E-3</v>
          </cell>
          <cell r="D666"/>
          <cell r="E666">
            <v>3494143</v>
          </cell>
          <cell r="F666">
            <v>1120477</v>
          </cell>
          <cell r="G666">
            <v>1886008</v>
          </cell>
          <cell r="H666">
            <v>531526</v>
          </cell>
          <cell r="I666">
            <v>0</v>
          </cell>
        </row>
        <row r="667">
          <cell r="A667">
            <v>97402</v>
          </cell>
          <cell r="B667" t="str">
            <v>PITT-GREENVILLE CONV &amp; VISTORS</v>
          </cell>
          <cell r="C667">
            <v>4.1999999999999998E-5</v>
          </cell>
          <cell r="D667"/>
          <cell r="E667">
            <v>25295</v>
          </cell>
          <cell r="F667">
            <v>8140</v>
          </cell>
          <cell r="G667">
            <v>11732</v>
          </cell>
          <cell r="H667">
            <v>3168</v>
          </cell>
          <cell r="I667">
            <v>0</v>
          </cell>
        </row>
        <row r="668">
          <cell r="A668">
            <v>97404</v>
          </cell>
          <cell r="B668" t="str">
            <v>PITT COUNTY ABC BOARD</v>
          </cell>
          <cell r="C668">
            <v>2.1240000000000001E-4</v>
          </cell>
          <cell r="D668"/>
          <cell r="E668">
            <v>95958</v>
          </cell>
          <cell r="F668">
            <v>26835</v>
          </cell>
          <cell r="G668">
            <v>53444</v>
          </cell>
          <cell r="H668">
            <v>16272</v>
          </cell>
          <cell r="I668">
            <v>0</v>
          </cell>
        </row>
        <row r="669">
          <cell r="A669">
            <v>97405</v>
          </cell>
          <cell r="B669" t="str">
            <v>SHEPPARD MEMORIAL LIBRARY</v>
          </cell>
          <cell r="C669">
            <v>1.106E-4</v>
          </cell>
          <cell r="D669"/>
          <cell r="E669">
            <v>65204</v>
          </cell>
          <cell r="F669">
            <v>25942</v>
          </cell>
          <cell r="G669">
            <v>35342</v>
          </cell>
          <cell r="H669">
            <v>10358</v>
          </cell>
          <cell r="I669">
            <v>0</v>
          </cell>
        </row>
        <row r="670">
          <cell r="A670">
            <v>97408</v>
          </cell>
          <cell r="B670" t="str">
            <v>CONTENNEA METROPOLITAN SEWERAGE DIST</v>
          </cell>
          <cell r="C670">
            <v>3.8999999999999999E-5</v>
          </cell>
          <cell r="D670"/>
          <cell r="E670">
            <v>21996</v>
          </cell>
          <cell r="F670">
            <v>7708</v>
          </cell>
          <cell r="G670">
            <v>11538</v>
          </cell>
          <cell r="H670">
            <v>3613</v>
          </cell>
          <cell r="I670">
            <v>0</v>
          </cell>
        </row>
        <row r="671">
          <cell r="A671">
            <v>97411</v>
          </cell>
          <cell r="B671" t="str">
            <v>CITY OF GREENVILLE</v>
          </cell>
          <cell r="C671">
            <v>6.3997999999999998E-3</v>
          </cell>
          <cell r="D671"/>
          <cell r="E671">
            <v>2940340</v>
          </cell>
          <cell r="F671">
            <v>869280</v>
          </cell>
          <cell r="G671">
            <v>1626461</v>
          </cell>
          <cell r="H671">
            <v>492681</v>
          </cell>
          <cell r="I671">
            <v>0</v>
          </cell>
        </row>
        <row r="672">
          <cell r="A672">
            <v>97412</v>
          </cell>
          <cell r="B672" t="str">
            <v>GREENVILLE UTILITIES COMMISSION</v>
          </cell>
          <cell r="C672">
            <v>4.4903E-3</v>
          </cell>
          <cell r="D672"/>
          <cell r="E672">
            <v>2240027</v>
          </cell>
          <cell r="F672">
            <v>707771</v>
          </cell>
          <cell r="G672">
            <v>1187686</v>
          </cell>
          <cell r="H672">
            <v>316415</v>
          </cell>
          <cell r="I672">
            <v>0</v>
          </cell>
        </row>
        <row r="673">
          <cell r="A673">
            <v>97413</v>
          </cell>
          <cell r="B673" t="str">
            <v>GREENVILLE HOUSING AUTHORITY</v>
          </cell>
          <cell r="C673">
            <v>2.812E-4</v>
          </cell>
          <cell r="D673"/>
          <cell r="E673">
            <v>150447</v>
          </cell>
          <cell r="F673">
            <v>55241</v>
          </cell>
          <cell r="G673">
            <v>85736</v>
          </cell>
          <cell r="H673">
            <v>28582</v>
          </cell>
          <cell r="I673">
            <v>0</v>
          </cell>
        </row>
        <row r="674">
          <cell r="A674">
            <v>97421</v>
          </cell>
          <cell r="B674" t="str">
            <v>TOWN OF FARMVILLE</v>
          </cell>
          <cell r="C674">
            <v>4.3120000000000002E-4</v>
          </cell>
          <cell r="D674"/>
          <cell r="E674">
            <v>206881</v>
          </cell>
          <cell r="F674">
            <v>62749</v>
          </cell>
          <cell r="G674">
            <v>109801</v>
          </cell>
          <cell r="H674">
            <v>26632</v>
          </cell>
          <cell r="I674">
            <v>0</v>
          </cell>
        </row>
        <row r="675">
          <cell r="A675">
            <v>97423</v>
          </cell>
          <cell r="B675" t="str">
            <v>FARMVILLE HOUSING AUTHORITY</v>
          </cell>
          <cell r="C675">
            <v>4.3000000000000002E-5</v>
          </cell>
          <cell r="D675"/>
          <cell r="E675">
            <v>37644</v>
          </cell>
          <cell r="F675">
            <v>19777</v>
          </cell>
          <cell r="G675">
            <v>20448</v>
          </cell>
          <cell r="H675">
            <v>8830</v>
          </cell>
          <cell r="I675">
            <v>0</v>
          </cell>
        </row>
        <row r="676">
          <cell r="A676">
            <v>97431</v>
          </cell>
          <cell r="B676" t="str">
            <v>TOWN OF GRIFTON</v>
          </cell>
          <cell r="C676">
            <v>8.92E-5</v>
          </cell>
          <cell r="D676"/>
          <cell r="E676">
            <v>46384</v>
          </cell>
          <cell r="F676">
            <v>16011</v>
          </cell>
          <cell r="G676">
            <v>25052</v>
          </cell>
          <cell r="H676">
            <v>4971</v>
          </cell>
          <cell r="I676">
            <v>0</v>
          </cell>
        </row>
        <row r="677">
          <cell r="A677">
            <v>97441</v>
          </cell>
          <cell r="B677" t="str">
            <v>TOWN OF BETHEL</v>
          </cell>
          <cell r="C677">
            <v>5.7899999999999998E-5</v>
          </cell>
          <cell r="D677"/>
          <cell r="E677">
            <v>20924</v>
          </cell>
          <cell r="F677">
            <v>2237</v>
          </cell>
          <cell r="G677">
            <v>9850</v>
          </cell>
          <cell r="H677">
            <v>3862</v>
          </cell>
          <cell r="I677">
            <v>0</v>
          </cell>
        </row>
        <row r="678">
          <cell r="A678">
            <v>97451</v>
          </cell>
          <cell r="B678" t="str">
            <v>TOWN OF WINTERVILLE</v>
          </cell>
          <cell r="C678">
            <v>6.6290000000000001E-4</v>
          </cell>
          <cell r="D678"/>
          <cell r="E678">
            <v>319392</v>
          </cell>
          <cell r="F678">
            <v>91502</v>
          </cell>
          <cell r="G678">
            <v>177933</v>
          </cell>
          <cell r="H678">
            <v>49690</v>
          </cell>
          <cell r="I678">
            <v>0</v>
          </cell>
        </row>
        <row r="679">
          <cell r="A679">
            <v>97461</v>
          </cell>
          <cell r="B679" t="str">
            <v>TOWN OF AYDEN</v>
          </cell>
          <cell r="C679">
            <v>5.7600000000000001E-4</v>
          </cell>
          <cell r="D679"/>
          <cell r="E679">
            <v>271138</v>
          </cell>
          <cell r="F679">
            <v>81320</v>
          </cell>
          <cell r="G679">
            <v>145991</v>
          </cell>
          <cell r="H679">
            <v>46771</v>
          </cell>
          <cell r="I679">
            <v>0</v>
          </cell>
        </row>
        <row r="680">
          <cell r="A680">
            <v>97463</v>
          </cell>
          <cell r="B680" t="str">
            <v>AYDEN HOUSING AUTHORITY</v>
          </cell>
          <cell r="C680">
            <v>0</v>
          </cell>
          <cell r="D680"/>
          <cell r="E680">
            <v>-8957</v>
          </cell>
          <cell r="F680">
            <v>-7626</v>
          </cell>
          <cell r="G680">
            <v>-5607</v>
          </cell>
          <cell r="H680">
            <v>0</v>
          </cell>
          <cell r="I680">
            <v>0</v>
          </cell>
        </row>
        <row r="681">
          <cell r="A681">
            <v>97471</v>
          </cell>
          <cell r="B681" t="str">
            <v>TOWN OF GRIMESLAND</v>
          </cell>
          <cell r="C681">
            <v>1.6399999999999999E-5</v>
          </cell>
          <cell r="D681"/>
          <cell r="E681">
            <v>11926</v>
          </cell>
          <cell r="F681">
            <v>5872</v>
          </cell>
          <cell r="G681">
            <v>6893</v>
          </cell>
          <cell r="H681">
            <v>2168</v>
          </cell>
          <cell r="I681">
            <v>0</v>
          </cell>
        </row>
        <row r="682">
          <cell r="A682">
            <v>97481</v>
          </cell>
          <cell r="B682" t="str">
            <v>VILLAGE OF SIMPSON</v>
          </cell>
          <cell r="C682">
            <v>8.9999999999999996E-7</v>
          </cell>
          <cell r="D682"/>
          <cell r="E682">
            <v>-1887</v>
          </cell>
          <cell r="F682">
            <v>-2636</v>
          </cell>
          <cell r="G682">
            <v>-1756</v>
          </cell>
          <cell r="H682">
            <v>-2055</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623360</v>
          </cell>
          <cell r="F684">
            <v>223266</v>
          </cell>
          <cell r="G684">
            <v>333049</v>
          </cell>
          <cell r="H684">
            <v>110436</v>
          </cell>
          <cell r="I684">
            <v>0</v>
          </cell>
        </row>
        <row r="685">
          <cell r="A685">
            <v>97511</v>
          </cell>
          <cell r="B685" t="str">
            <v>TOWN OF TRYON</v>
          </cell>
          <cell r="C685">
            <v>1.9120000000000001E-4</v>
          </cell>
          <cell r="D685"/>
          <cell r="E685">
            <v>94541</v>
          </cell>
          <cell r="F685">
            <v>27872</v>
          </cell>
          <cell r="G685">
            <v>48378</v>
          </cell>
          <cell r="H685">
            <v>19098</v>
          </cell>
          <cell r="I685">
            <v>0</v>
          </cell>
        </row>
        <row r="686">
          <cell r="A686">
            <v>97521</v>
          </cell>
          <cell r="B686" t="str">
            <v>TOWN OF COLUMBUS</v>
          </cell>
          <cell r="C686">
            <v>1.139E-4</v>
          </cell>
          <cell r="D686"/>
          <cell r="E686">
            <v>48699</v>
          </cell>
          <cell r="F686">
            <v>12532</v>
          </cell>
          <cell r="G686">
            <v>26078</v>
          </cell>
          <cell r="H686">
            <v>5657</v>
          </cell>
          <cell r="I686">
            <v>0</v>
          </cell>
        </row>
        <row r="687">
          <cell r="A687">
            <v>97527</v>
          </cell>
          <cell r="B687" t="str">
            <v>COLUMBUS ABC BOARD</v>
          </cell>
          <cell r="C687">
            <v>1.7E-5</v>
          </cell>
          <cell r="D687"/>
          <cell r="E687">
            <v>11729</v>
          </cell>
          <cell r="F687">
            <v>5997</v>
          </cell>
          <cell r="G687">
            <v>7931</v>
          </cell>
          <cell r="H687">
            <v>3852</v>
          </cell>
          <cell r="I687">
            <v>0</v>
          </cell>
        </row>
        <row r="688">
          <cell r="A688">
            <v>97531</v>
          </cell>
          <cell r="B688" t="str">
            <v>CITY OF SALUDA</v>
          </cell>
          <cell r="C688">
            <v>8.1299999999999997E-5</v>
          </cell>
          <cell r="D688"/>
          <cell r="E688">
            <v>49991</v>
          </cell>
          <cell r="F688">
            <v>21865</v>
          </cell>
          <cell r="G688">
            <v>28924</v>
          </cell>
          <cell r="H688">
            <v>11012</v>
          </cell>
          <cell r="I688">
            <v>0</v>
          </cell>
        </row>
        <row r="689">
          <cell r="A689">
            <v>97601</v>
          </cell>
          <cell r="B689" t="str">
            <v>RANDOLPH COUNTY</v>
          </cell>
          <cell r="C689">
            <v>5.2946E-3</v>
          </cell>
          <cell r="D689"/>
          <cell r="E689">
            <v>2597988</v>
          </cell>
          <cell r="F689">
            <v>827880</v>
          </cell>
          <cell r="G689">
            <v>1382948</v>
          </cell>
          <cell r="H689">
            <v>384546</v>
          </cell>
          <cell r="I689">
            <v>0</v>
          </cell>
        </row>
        <row r="690">
          <cell r="A690">
            <v>97607</v>
          </cell>
          <cell r="B690" t="str">
            <v>ASHEBORO ABC BOARD</v>
          </cell>
          <cell r="C690">
            <v>2.0699999999999998E-5</v>
          </cell>
          <cell r="D690"/>
          <cell r="E690">
            <v>15569</v>
          </cell>
          <cell r="F690">
            <v>8071</v>
          </cell>
          <cell r="G690">
            <v>8437</v>
          </cell>
          <cell r="H690">
            <v>3091</v>
          </cell>
          <cell r="I690">
            <v>0</v>
          </cell>
        </row>
        <row r="691">
          <cell r="A691">
            <v>97611</v>
          </cell>
          <cell r="B691" t="str">
            <v>CITY OF ASHEBORO</v>
          </cell>
          <cell r="C691">
            <v>2.3218000000000002E-3</v>
          </cell>
          <cell r="D691"/>
          <cell r="E691">
            <v>1047700</v>
          </cell>
          <cell r="F691">
            <v>300342</v>
          </cell>
          <cell r="G691">
            <v>586874</v>
          </cell>
          <cell r="H691">
            <v>173401</v>
          </cell>
          <cell r="I691">
            <v>0</v>
          </cell>
        </row>
        <row r="692">
          <cell r="A692">
            <v>97613</v>
          </cell>
          <cell r="B692" t="str">
            <v>ASHEBORO HOUSING AUTH</v>
          </cell>
          <cell r="C692">
            <v>8.8599999999999999E-5</v>
          </cell>
          <cell r="D692"/>
          <cell r="E692">
            <v>43106</v>
          </cell>
          <cell r="F692">
            <v>12045</v>
          </cell>
          <cell r="G692">
            <v>22169</v>
          </cell>
          <cell r="H692">
            <v>4244</v>
          </cell>
          <cell r="I692">
            <v>0</v>
          </cell>
        </row>
        <row r="693">
          <cell r="A693">
            <v>97621</v>
          </cell>
          <cell r="B693" t="str">
            <v>CITY OF RANDLEMAN</v>
          </cell>
          <cell r="C693">
            <v>4.3960000000000001E-4</v>
          </cell>
          <cell r="D693"/>
          <cell r="E693">
            <v>181434</v>
          </cell>
          <cell r="F693">
            <v>42932</v>
          </cell>
          <cell r="G693">
            <v>102425</v>
          </cell>
          <cell r="H693">
            <v>26399</v>
          </cell>
          <cell r="I693">
            <v>0</v>
          </cell>
        </row>
        <row r="694">
          <cell r="A694">
            <v>97623</v>
          </cell>
          <cell r="B694" t="str">
            <v>CITY OF RANDLEMAN HOUSING AUTHORITY</v>
          </cell>
          <cell r="C694">
            <v>2.5400000000000001E-5</v>
          </cell>
          <cell r="D694"/>
          <cell r="E694">
            <v>11343</v>
          </cell>
          <cell r="F694">
            <v>2517</v>
          </cell>
          <cell r="G694">
            <v>5843</v>
          </cell>
          <cell r="H694">
            <v>2093</v>
          </cell>
          <cell r="I694">
            <v>0</v>
          </cell>
        </row>
        <row r="695">
          <cell r="A695">
            <v>97627</v>
          </cell>
          <cell r="B695" t="str">
            <v>CITY OF RANDLEMAN ABC BOARD</v>
          </cell>
          <cell r="C695">
            <v>9.3000000000000007E-6</v>
          </cell>
          <cell r="D695"/>
          <cell r="E695">
            <v>4964</v>
          </cell>
          <cell r="F695">
            <v>1706</v>
          </cell>
          <cell r="G695">
            <v>2736</v>
          </cell>
          <cell r="H695">
            <v>850</v>
          </cell>
          <cell r="I695">
            <v>0</v>
          </cell>
        </row>
        <row r="696">
          <cell r="A696">
            <v>97631</v>
          </cell>
          <cell r="B696" t="str">
            <v>TOWN OF LIBERTY</v>
          </cell>
          <cell r="C696">
            <v>1.972E-4</v>
          </cell>
          <cell r="D696"/>
          <cell r="E696">
            <v>91769</v>
          </cell>
          <cell r="F696">
            <v>24109</v>
          </cell>
          <cell r="G696">
            <v>47489</v>
          </cell>
          <cell r="H696">
            <v>11478</v>
          </cell>
          <cell r="I696">
            <v>0</v>
          </cell>
        </row>
        <row r="697">
          <cell r="A697">
            <v>97637</v>
          </cell>
          <cell r="B697" t="str">
            <v>LIBERTY ABC BOARD</v>
          </cell>
          <cell r="C697">
            <v>3.1999999999999999E-6</v>
          </cell>
          <cell r="D697"/>
          <cell r="E697">
            <v>2118</v>
          </cell>
          <cell r="F697">
            <v>1049</v>
          </cell>
          <cell r="G697">
            <v>1279</v>
          </cell>
          <cell r="H697">
            <v>481</v>
          </cell>
          <cell r="I697">
            <v>0</v>
          </cell>
        </row>
        <row r="698">
          <cell r="A698">
            <v>97641</v>
          </cell>
          <cell r="B698" t="str">
            <v>TOWN OF RAMSEUR</v>
          </cell>
          <cell r="C698">
            <v>4.5399999999999999E-5</v>
          </cell>
          <cell r="D698"/>
          <cell r="E698">
            <v>23390</v>
          </cell>
          <cell r="F698">
            <v>5638</v>
          </cell>
          <cell r="G698">
            <v>10311</v>
          </cell>
          <cell r="H698">
            <v>3798</v>
          </cell>
          <cell r="I698">
            <v>0</v>
          </cell>
        </row>
        <row r="699">
          <cell r="A699">
            <v>97651</v>
          </cell>
          <cell r="B699" t="str">
            <v>CITY OF ARCHDALE</v>
          </cell>
          <cell r="C699">
            <v>5.2329999999999998E-4</v>
          </cell>
          <cell r="D699"/>
          <cell r="E699">
            <v>236642</v>
          </cell>
          <cell r="F699">
            <v>67128</v>
          </cell>
          <cell r="G699">
            <v>129271</v>
          </cell>
          <cell r="H699">
            <v>34704</v>
          </cell>
          <cell r="I699">
            <v>0</v>
          </cell>
        </row>
        <row r="700">
          <cell r="A700">
            <v>97661</v>
          </cell>
          <cell r="B700" t="str">
            <v>CITY OF TRINITY</v>
          </cell>
          <cell r="C700">
            <v>5.3300000000000001E-5</v>
          </cell>
          <cell r="D700"/>
          <cell r="E700">
            <v>30365</v>
          </cell>
          <cell r="F700">
            <v>10817</v>
          </cell>
          <cell r="G700">
            <v>15460</v>
          </cell>
          <cell r="H700">
            <v>5866</v>
          </cell>
          <cell r="I700">
            <v>0</v>
          </cell>
        </row>
        <row r="701">
          <cell r="A701">
            <v>97701</v>
          </cell>
          <cell r="B701" t="str">
            <v>RICHMOND COUNTY</v>
          </cell>
          <cell r="C701">
            <v>2.4578E-3</v>
          </cell>
          <cell r="D701"/>
          <cell r="E701">
            <v>1192282</v>
          </cell>
          <cell r="F701">
            <v>359369</v>
          </cell>
          <cell r="G701">
            <v>639050</v>
          </cell>
          <cell r="H701">
            <v>164842</v>
          </cell>
          <cell r="I701">
            <v>0</v>
          </cell>
        </row>
        <row r="702">
          <cell r="A702">
            <v>97705</v>
          </cell>
          <cell r="B702" t="str">
            <v>SANDHILL REGIONAL LIBRARY</v>
          </cell>
          <cell r="C702">
            <v>3.1699999999999998E-5</v>
          </cell>
          <cell r="D702"/>
          <cell r="E702">
            <v>11766</v>
          </cell>
          <cell r="F702">
            <v>365</v>
          </cell>
          <cell r="G702">
            <v>6662</v>
          </cell>
          <cell r="H702">
            <v>795</v>
          </cell>
          <cell r="I702">
            <v>0</v>
          </cell>
        </row>
        <row r="703">
          <cell r="A703">
            <v>97711</v>
          </cell>
          <cell r="B703" t="str">
            <v>CITY OF ROCKINGHAM</v>
          </cell>
          <cell r="C703">
            <v>8.5930000000000002E-4</v>
          </cell>
          <cell r="D703"/>
          <cell r="E703">
            <v>405260</v>
          </cell>
          <cell r="F703">
            <v>121012</v>
          </cell>
          <cell r="G703">
            <v>222302</v>
          </cell>
          <cell r="H703">
            <v>57081</v>
          </cell>
          <cell r="I703">
            <v>0</v>
          </cell>
        </row>
        <row r="704">
          <cell r="A704">
            <v>97713</v>
          </cell>
          <cell r="B704" t="str">
            <v>ROCKINGHAM HOUSING AUTHORITY</v>
          </cell>
          <cell r="C704">
            <v>5.0399999999999999E-5</v>
          </cell>
          <cell r="D704"/>
          <cell r="E704">
            <v>22105</v>
          </cell>
          <cell r="F704">
            <v>6128</v>
          </cell>
          <cell r="G704">
            <v>14279</v>
          </cell>
          <cell r="H704">
            <v>3642</v>
          </cell>
          <cell r="I704">
            <v>0</v>
          </cell>
        </row>
        <row r="705">
          <cell r="A705">
            <v>97717</v>
          </cell>
          <cell r="B705" t="str">
            <v>HAMLET ABC BOARD</v>
          </cell>
          <cell r="C705">
            <v>5.4E-6</v>
          </cell>
          <cell r="D705"/>
          <cell r="E705">
            <v>2619</v>
          </cell>
          <cell r="F705">
            <v>473</v>
          </cell>
          <cell r="G705">
            <v>1494</v>
          </cell>
          <cell r="H705">
            <v>389</v>
          </cell>
          <cell r="I705">
            <v>0</v>
          </cell>
        </row>
        <row r="706">
          <cell r="A706">
            <v>97721</v>
          </cell>
          <cell r="B706" t="str">
            <v>CITY OF HAMLET</v>
          </cell>
          <cell r="C706">
            <v>5.5699999999999999E-4</v>
          </cell>
          <cell r="D706"/>
          <cell r="E706">
            <v>263407</v>
          </cell>
          <cell r="F706">
            <v>72060</v>
          </cell>
          <cell r="G706">
            <v>137378</v>
          </cell>
          <cell r="H706">
            <v>31194</v>
          </cell>
          <cell r="I706">
            <v>0</v>
          </cell>
        </row>
        <row r="707">
          <cell r="A707">
            <v>97727</v>
          </cell>
          <cell r="B707" t="str">
            <v>CITY OF ROCKINGHAM ABC BOARD</v>
          </cell>
          <cell r="C707">
            <v>1.8600000000000001E-5</v>
          </cell>
          <cell r="D707"/>
          <cell r="E707">
            <v>8595</v>
          </cell>
          <cell r="F707">
            <v>2583</v>
          </cell>
          <cell r="G707">
            <v>4757</v>
          </cell>
          <cell r="H707">
            <v>1398</v>
          </cell>
          <cell r="I707">
            <v>0</v>
          </cell>
        </row>
        <row r="708">
          <cell r="A708">
            <v>97731</v>
          </cell>
          <cell r="B708" t="str">
            <v>TOWN OF ELLERBE</v>
          </cell>
          <cell r="C708">
            <v>3.82E-5</v>
          </cell>
          <cell r="D708"/>
          <cell r="E708">
            <v>21356</v>
          </cell>
          <cell r="F708">
            <v>7708</v>
          </cell>
          <cell r="G708">
            <v>11890</v>
          </cell>
          <cell r="H708">
            <v>4345</v>
          </cell>
          <cell r="I708">
            <v>0</v>
          </cell>
        </row>
        <row r="709">
          <cell r="A709">
            <v>97801</v>
          </cell>
          <cell r="B709" t="str">
            <v>COUNTY OF ROBESON</v>
          </cell>
          <cell r="C709">
            <v>6.0489000000000003E-3</v>
          </cell>
          <cell r="D709"/>
          <cell r="E709">
            <v>2724652</v>
          </cell>
          <cell r="F709">
            <v>710002</v>
          </cell>
          <cell r="G709">
            <v>1466794</v>
          </cell>
          <cell r="H709">
            <v>380025</v>
          </cell>
          <cell r="I709">
            <v>0</v>
          </cell>
        </row>
        <row r="710">
          <cell r="A710">
            <v>97802</v>
          </cell>
          <cell r="B710" t="str">
            <v>LUMBER RIVER COUNCIL OF GOVERNMENTS</v>
          </cell>
          <cell r="C710">
            <v>1.9029999999999999E-4</v>
          </cell>
          <cell r="D710"/>
          <cell r="E710">
            <v>95198</v>
          </cell>
          <cell r="F710">
            <v>31695</v>
          </cell>
          <cell r="G710">
            <v>56791</v>
          </cell>
          <cell r="H710">
            <v>17624</v>
          </cell>
          <cell r="I710">
            <v>0</v>
          </cell>
        </row>
        <row r="711">
          <cell r="A711">
            <v>97803</v>
          </cell>
          <cell r="B711" t="str">
            <v>ROBESON COUNTY HOUSING AUTHORITY</v>
          </cell>
          <cell r="C711">
            <v>7.7899999999999996E-5</v>
          </cell>
          <cell r="D711"/>
          <cell r="E711">
            <v>38770</v>
          </cell>
          <cell r="F711">
            <v>12017</v>
          </cell>
          <cell r="G711">
            <v>20786</v>
          </cell>
          <cell r="H711">
            <v>5054</v>
          </cell>
          <cell r="I711">
            <v>0</v>
          </cell>
        </row>
        <row r="712">
          <cell r="A712">
            <v>97805</v>
          </cell>
          <cell r="B712" t="str">
            <v>ROBESON COUNTY PUBLIC LIBRARY</v>
          </cell>
          <cell r="C712">
            <v>8.6500000000000002E-5</v>
          </cell>
          <cell r="D712"/>
          <cell r="E712">
            <v>45840</v>
          </cell>
          <cell r="F712">
            <v>14866</v>
          </cell>
          <cell r="G712">
            <v>24647</v>
          </cell>
          <cell r="H712">
            <v>7364</v>
          </cell>
          <cell r="I712">
            <v>0</v>
          </cell>
        </row>
        <row r="713">
          <cell r="A713">
            <v>97811</v>
          </cell>
          <cell r="B713" t="str">
            <v>CITY OF LUMBERTON</v>
          </cell>
          <cell r="C713">
            <v>2.4080999999999998E-3</v>
          </cell>
          <cell r="D713"/>
          <cell r="E713">
            <v>1140769</v>
          </cell>
          <cell r="F713">
            <v>356618</v>
          </cell>
          <cell r="G713">
            <v>631066</v>
          </cell>
          <cell r="H713">
            <v>176881</v>
          </cell>
          <cell r="I713">
            <v>0</v>
          </cell>
        </row>
        <row r="714">
          <cell r="A714">
            <v>97817</v>
          </cell>
          <cell r="B714" t="str">
            <v>LUMBERTON ABC BOARD</v>
          </cell>
          <cell r="C714">
            <v>1.7499999999999998E-5</v>
          </cell>
          <cell r="D714"/>
          <cell r="E714">
            <v>14226</v>
          </cell>
          <cell r="F714">
            <v>7701</v>
          </cell>
          <cell r="G714">
            <v>5854</v>
          </cell>
          <cell r="H714">
            <v>2284</v>
          </cell>
          <cell r="I714">
            <v>0</v>
          </cell>
        </row>
        <row r="715">
          <cell r="A715">
            <v>97818</v>
          </cell>
          <cell r="B715" t="str">
            <v>LUMBERTON AIRPORT COMM</v>
          </cell>
          <cell r="C715">
            <v>2.4899999999999999E-5</v>
          </cell>
          <cell r="D715"/>
          <cell r="E715">
            <v>14464</v>
          </cell>
          <cell r="F715">
            <v>4531</v>
          </cell>
          <cell r="G715">
            <v>7291</v>
          </cell>
          <cell r="H715">
            <v>2830</v>
          </cell>
          <cell r="I715">
            <v>0</v>
          </cell>
        </row>
        <row r="716">
          <cell r="A716">
            <v>97821</v>
          </cell>
          <cell r="B716" t="str">
            <v>TOWN OF FAIRMONT</v>
          </cell>
          <cell r="C716">
            <v>1.329E-4</v>
          </cell>
          <cell r="D716"/>
          <cell r="E716">
            <v>72896</v>
          </cell>
          <cell r="F716">
            <v>29407</v>
          </cell>
          <cell r="G716">
            <v>43201</v>
          </cell>
          <cell r="H716">
            <v>15926</v>
          </cell>
          <cell r="I716">
            <v>0</v>
          </cell>
        </row>
        <row r="717">
          <cell r="A717">
            <v>97823</v>
          </cell>
          <cell r="B717" t="str">
            <v>FAIRMONT HOUSING AUTHORITY</v>
          </cell>
          <cell r="C717">
            <v>1.5400000000000002E-5</v>
          </cell>
          <cell r="D717"/>
          <cell r="E717">
            <v>7985</v>
          </cell>
          <cell r="F717">
            <v>2632</v>
          </cell>
          <cell r="G717">
            <v>4127</v>
          </cell>
          <cell r="H717">
            <v>1738</v>
          </cell>
          <cell r="I717">
            <v>0</v>
          </cell>
        </row>
        <row r="718">
          <cell r="A718">
            <v>97831</v>
          </cell>
          <cell r="B718" t="str">
            <v>TOWN OF ST PAULS</v>
          </cell>
          <cell r="C718">
            <v>1.6359999999999999E-4</v>
          </cell>
          <cell r="D718"/>
          <cell r="E718">
            <v>86798</v>
          </cell>
          <cell r="F718">
            <v>31929</v>
          </cell>
          <cell r="G718">
            <v>46736</v>
          </cell>
          <cell r="H718">
            <v>16628</v>
          </cell>
          <cell r="I718">
            <v>0</v>
          </cell>
        </row>
        <row r="719">
          <cell r="A719">
            <v>97837</v>
          </cell>
          <cell r="B719" t="str">
            <v>ST PAUL'S BRD OF ALCOHOLIC CTL</v>
          </cell>
          <cell r="C719">
            <v>1.0000000000000001E-5</v>
          </cell>
          <cell r="D719"/>
          <cell r="E719">
            <v>5826</v>
          </cell>
          <cell r="F719">
            <v>2517</v>
          </cell>
          <cell r="G719">
            <v>3147</v>
          </cell>
          <cell r="H719">
            <v>905</v>
          </cell>
          <cell r="I719">
            <v>0</v>
          </cell>
        </row>
        <row r="720">
          <cell r="A720">
            <v>97840</v>
          </cell>
          <cell r="B720" t="str">
            <v>TOWN OF MAXTON</v>
          </cell>
          <cell r="C720">
            <v>1.0560000000000001E-4</v>
          </cell>
          <cell r="D720"/>
          <cell r="E720">
            <v>81482</v>
          </cell>
          <cell r="F720">
            <v>39548</v>
          </cell>
          <cell r="G720">
            <v>43530</v>
          </cell>
          <cell r="H720">
            <v>12977</v>
          </cell>
          <cell r="I720">
            <v>0</v>
          </cell>
        </row>
        <row r="721">
          <cell r="A721">
            <v>97841</v>
          </cell>
          <cell r="B721" t="str">
            <v>TOWN OF PARKTON</v>
          </cell>
          <cell r="C721">
            <v>1.2099999999999999E-5</v>
          </cell>
          <cell r="D721"/>
          <cell r="E721">
            <v>5662</v>
          </cell>
          <cell r="F721">
            <v>1703</v>
          </cell>
          <cell r="G721">
            <v>3233</v>
          </cell>
          <cell r="H721">
            <v>964</v>
          </cell>
          <cell r="I721">
            <v>0</v>
          </cell>
        </row>
        <row r="722">
          <cell r="A722">
            <v>97847</v>
          </cell>
          <cell r="B722" t="str">
            <v>MAXTON ABC BOARD</v>
          </cell>
          <cell r="C722">
            <v>1.7E-6</v>
          </cell>
          <cell r="D722"/>
          <cell r="E722">
            <v>1711</v>
          </cell>
          <cell r="F722">
            <v>1035</v>
          </cell>
          <cell r="G722">
            <v>985</v>
          </cell>
          <cell r="H722">
            <v>408</v>
          </cell>
          <cell r="I722">
            <v>0</v>
          </cell>
        </row>
        <row r="723">
          <cell r="A723">
            <v>97851</v>
          </cell>
          <cell r="B723" t="str">
            <v>TOWN OF PEMBROKE</v>
          </cell>
          <cell r="C723">
            <v>2.7540000000000003E-4</v>
          </cell>
          <cell r="D723"/>
          <cell r="E723">
            <v>123436</v>
          </cell>
          <cell r="F723">
            <v>32106</v>
          </cell>
          <cell r="G723">
            <v>65133</v>
          </cell>
          <cell r="H723">
            <v>17209</v>
          </cell>
          <cell r="I723">
            <v>0</v>
          </cell>
        </row>
        <row r="724">
          <cell r="A724">
            <v>97853</v>
          </cell>
          <cell r="B724" t="str">
            <v>PEMBROKE HOUSING AUTHORITY</v>
          </cell>
          <cell r="C724">
            <v>7.9900000000000004E-5</v>
          </cell>
          <cell r="D724"/>
          <cell r="E724">
            <v>31691</v>
          </cell>
          <cell r="F724">
            <v>7685</v>
          </cell>
          <cell r="G724">
            <v>15529</v>
          </cell>
          <cell r="H724">
            <v>3338</v>
          </cell>
          <cell r="I724">
            <v>0</v>
          </cell>
        </row>
        <row r="725">
          <cell r="A725">
            <v>97861</v>
          </cell>
          <cell r="B725" t="str">
            <v>TOWN OF ROWLAND</v>
          </cell>
          <cell r="C725">
            <v>4.5500000000000001E-5</v>
          </cell>
          <cell r="D725"/>
          <cell r="E725">
            <v>19600</v>
          </cell>
          <cell r="F725">
            <v>4535</v>
          </cell>
          <cell r="G725">
            <v>10613</v>
          </cell>
          <cell r="H725">
            <v>5141</v>
          </cell>
          <cell r="I725">
            <v>0</v>
          </cell>
        </row>
        <row r="726">
          <cell r="A726">
            <v>97871</v>
          </cell>
          <cell r="B726" t="str">
            <v>TOWN OF RED SPRINGS</v>
          </cell>
          <cell r="C726">
            <v>3.0079999999999999E-4</v>
          </cell>
          <cell r="D726"/>
          <cell r="E726">
            <v>249954</v>
          </cell>
          <cell r="F726">
            <v>127667</v>
          </cell>
          <cell r="G726">
            <v>137293</v>
          </cell>
          <cell r="H726">
            <v>49759</v>
          </cell>
          <cell r="I726">
            <v>0</v>
          </cell>
        </row>
        <row r="727">
          <cell r="A727">
            <v>97877</v>
          </cell>
          <cell r="B727" t="str">
            <v>RED SPRINGS ABC BOARD</v>
          </cell>
          <cell r="C727">
            <v>7.6000000000000001E-6</v>
          </cell>
          <cell r="D727"/>
          <cell r="E727">
            <v>5804</v>
          </cell>
          <cell r="F727">
            <v>3110</v>
          </cell>
          <cell r="G727">
            <v>3780</v>
          </cell>
          <cell r="H727">
            <v>1982</v>
          </cell>
          <cell r="I727">
            <v>0</v>
          </cell>
        </row>
        <row r="728">
          <cell r="A728">
            <v>97901</v>
          </cell>
          <cell r="B728" t="str">
            <v>ROCKINGHAM COUNTY</v>
          </cell>
          <cell r="C728">
            <v>4.0067999999999996E-3</v>
          </cell>
          <cell r="D728"/>
          <cell r="E728">
            <v>1888293</v>
          </cell>
          <cell r="F728">
            <v>541997</v>
          </cell>
          <cell r="G728">
            <v>987719</v>
          </cell>
          <cell r="H728">
            <v>234782</v>
          </cell>
          <cell r="I728">
            <v>0</v>
          </cell>
        </row>
        <row r="729">
          <cell r="A729">
            <v>97911</v>
          </cell>
          <cell r="B729" t="str">
            <v>CITY OF REIDSVILLE</v>
          </cell>
          <cell r="C729">
            <v>1.2121E-3</v>
          </cell>
          <cell r="D729"/>
          <cell r="E729">
            <v>577297</v>
          </cell>
          <cell r="F729">
            <v>177228</v>
          </cell>
          <cell r="G729">
            <v>315083</v>
          </cell>
          <cell r="H729">
            <v>85760</v>
          </cell>
          <cell r="I729">
            <v>0</v>
          </cell>
        </row>
        <row r="730">
          <cell r="A730">
            <v>97913</v>
          </cell>
          <cell r="B730" t="str">
            <v>THE NEW REIDSVILLE HOUSING AUTH</v>
          </cell>
          <cell r="C730">
            <v>2.8600000000000001E-5</v>
          </cell>
          <cell r="D730"/>
          <cell r="E730">
            <v>20051</v>
          </cell>
          <cell r="F730">
            <v>8921</v>
          </cell>
          <cell r="G730">
            <v>10213</v>
          </cell>
          <cell r="H730">
            <v>3040</v>
          </cell>
          <cell r="I730">
            <v>0</v>
          </cell>
        </row>
        <row r="731">
          <cell r="A731">
            <v>97917</v>
          </cell>
          <cell r="B731" t="str">
            <v>REIDSVILLE ABC BOARD</v>
          </cell>
          <cell r="C731">
            <v>1.84E-5</v>
          </cell>
          <cell r="D731"/>
          <cell r="E731">
            <v>11868</v>
          </cell>
          <cell r="F731">
            <v>5088</v>
          </cell>
          <cell r="G731">
            <v>6227</v>
          </cell>
          <cell r="H731">
            <v>2154</v>
          </cell>
          <cell r="I731">
            <v>0</v>
          </cell>
        </row>
        <row r="732">
          <cell r="A732">
            <v>97921</v>
          </cell>
          <cell r="B732" t="str">
            <v>TOWN OF MAYODAN</v>
          </cell>
          <cell r="C732">
            <v>2.073E-4</v>
          </cell>
          <cell r="D732"/>
          <cell r="E732">
            <v>98470</v>
          </cell>
          <cell r="F732">
            <v>29814</v>
          </cell>
          <cell r="G732">
            <v>53494</v>
          </cell>
          <cell r="H732">
            <v>12399</v>
          </cell>
          <cell r="I732">
            <v>0</v>
          </cell>
        </row>
        <row r="733">
          <cell r="A733">
            <v>97931</v>
          </cell>
          <cell r="B733" t="str">
            <v>TOWN OF STONEVILLE</v>
          </cell>
          <cell r="C733">
            <v>6.6699999999999995E-5</v>
          </cell>
          <cell r="D733"/>
          <cell r="E733">
            <v>33104</v>
          </cell>
          <cell r="F733">
            <v>11237</v>
          </cell>
          <cell r="G733">
            <v>17450</v>
          </cell>
          <cell r="H733">
            <v>5277</v>
          </cell>
          <cell r="I733">
            <v>0</v>
          </cell>
        </row>
        <row r="734">
          <cell r="A734">
            <v>97941</v>
          </cell>
          <cell r="B734" t="str">
            <v>TOWN OF MADISON</v>
          </cell>
          <cell r="C734">
            <v>2.143E-4</v>
          </cell>
          <cell r="D734"/>
          <cell r="E734">
            <v>111055</v>
          </cell>
          <cell r="F734">
            <v>37981</v>
          </cell>
          <cell r="G734">
            <v>64568</v>
          </cell>
          <cell r="H734">
            <v>21334</v>
          </cell>
          <cell r="I734">
            <v>0</v>
          </cell>
        </row>
        <row r="735">
          <cell r="A735">
            <v>97947</v>
          </cell>
          <cell r="B735" t="str">
            <v>MADISON ABC BOARD</v>
          </cell>
          <cell r="C735">
            <v>1.52E-5</v>
          </cell>
          <cell r="D735"/>
          <cell r="E735">
            <v>12157</v>
          </cell>
          <cell r="F735">
            <v>5667</v>
          </cell>
          <cell r="G735">
            <v>6648</v>
          </cell>
          <cell r="H735">
            <v>2441</v>
          </cell>
          <cell r="I735">
            <v>0</v>
          </cell>
        </row>
        <row r="736">
          <cell r="A736">
            <v>97948</v>
          </cell>
          <cell r="B736" t="str">
            <v>MADISON-MAYODAN RECREATION COMM</v>
          </cell>
          <cell r="C736">
            <v>2.6100000000000001E-5</v>
          </cell>
          <cell r="D736"/>
          <cell r="E736">
            <v>11716</v>
          </cell>
          <cell r="F736">
            <v>2947</v>
          </cell>
          <cell r="G736">
            <v>7974</v>
          </cell>
          <cell r="H736">
            <v>2945</v>
          </cell>
          <cell r="I736">
            <v>0</v>
          </cell>
        </row>
        <row r="737">
          <cell r="A737">
            <v>97951</v>
          </cell>
          <cell r="B737" t="str">
            <v>CITY OF EDEN</v>
          </cell>
          <cell r="C737">
            <v>1.1746E-3</v>
          </cell>
          <cell r="D737"/>
          <cell r="E737">
            <v>587505</v>
          </cell>
          <cell r="F737">
            <v>190310</v>
          </cell>
          <cell r="G737">
            <v>319643</v>
          </cell>
          <cell r="H737">
            <v>97579</v>
          </cell>
          <cell r="I737">
            <v>0</v>
          </cell>
        </row>
        <row r="738">
          <cell r="A738">
            <v>97957</v>
          </cell>
          <cell r="B738" t="str">
            <v>EDEN ABC BOARD</v>
          </cell>
          <cell r="C738">
            <v>1.49E-5</v>
          </cell>
          <cell r="D738"/>
          <cell r="E738">
            <v>9808</v>
          </cell>
          <cell r="F738">
            <v>4290</v>
          </cell>
          <cell r="G738">
            <v>5283</v>
          </cell>
          <cell r="H738">
            <v>1808</v>
          </cell>
          <cell r="I738">
            <v>0</v>
          </cell>
        </row>
        <row r="739">
          <cell r="A739">
            <v>98001</v>
          </cell>
          <cell r="B739" t="str">
            <v>ROWAN COUNTY</v>
          </cell>
          <cell r="C739">
            <v>5.3171E-3</v>
          </cell>
          <cell r="D739"/>
          <cell r="E739">
            <v>2654189</v>
          </cell>
          <cell r="F739">
            <v>860968</v>
          </cell>
          <cell r="G739">
            <v>1437607</v>
          </cell>
          <cell r="H739">
            <v>388620</v>
          </cell>
          <cell r="I739">
            <v>0</v>
          </cell>
        </row>
        <row r="740">
          <cell r="A740">
            <v>98002</v>
          </cell>
          <cell r="B740" t="str">
            <v>ROWAN CONVENTION &amp; VISTORS BUREAU</v>
          </cell>
          <cell r="C740">
            <v>6.1999999999999999E-6</v>
          </cell>
          <cell r="D740"/>
          <cell r="E740">
            <v>3914</v>
          </cell>
          <cell r="F740">
            <v>1699</v>
          </cell>
          <cell r="G740">
            <v>2296</v>
          </cell>
          <cell r="H740">
            <v>848</v>
          </cell>
          <cell r="I740">
            <v>0</v>
          </cell>
        </row>
        <row r="741">
          <cell r="A741">
            <v>98003</v>
          </cell>
          <cell r="B741" t="str">
            <v>ROWAN CO HOUSING AUTHORITY</v>
          </cell>
          <cell r="C741">
            <v>6.9499999999999995E-5</v>
          </cell>
          <cell r="D741"/>
          <cell r="E741">
            <v>59347</v>
          </cell>
          <cell r="F741">
            <v>29494</v>
          </cell>
          <cell r="G741">
            <v>30997</v>
          </cell>
          <cell r="H741">
            <v>11283</v>
          </cell>
          <cell r="I741">
            <v>0</v>
          </cell>
        </row>
        <row r="742">
          <cell r="A742">
            <v>98004</v>
          </cell>
          <cell r="B742" t="str">
            <v>ROWAN COUNTY ABC BOARD</v>
          </cell>
          <cell r="C742">
            <v>1.2530000000000001E-4</v>
          </cell>
          <cell r="D742"/>
          <cell r="E742">
            <v>80345</v>
          </cell>
          <cell r="F742">
            <v>34865</v>
          </cell>
          <cell r="G742">
            <v>44828</v>
          </cell>
          <cell r="H742">
            <v>16274</v>
          </cell>
          <cell r="I742">
            <v>0</v>
          </cell>
        </row>
        <row r="743">
          <cell r="A743">
            <v>98008</v>
          </cell>
          <cell r="B743" t="str">
            <v>ROWAN CO SOIL &amp; WATER CONV DIST</v>
          </cell>
          <cell r="C743">
            <v>7.1999999999999997E-6</v>
          </cell>
          <cell r="D743"/>
          <cell r="E743">
            <v>3284</v>
          </cell>
          <cell r="F743">
            <v>954</v>
          </cell>
          <cell r="G743">
            <v>1765</v>
          </cell>
          <cell r="H743">
            <v>465</v>
          </cell>
          <cell r="I743">
            <v>0</v>
          </cell>
        </row>
        <row r="744">
          <cell r="A744">
            <v>98011</v>
          </cell>
          <cell r="B744" t="str">
            <v>CITY OF SALISBURY</v>
          </cell>
          <cell r="C744">
            <v>3.4512000000000002E-3</v>
          </cell>
          <cell r="D744"/>
          <cell r="E744">
            <v>1645808</v>
          </cell>
          <cell r="F744">
            <v>542164</v>
          </cell>
          <cell r="G744">
            <v>942646</v>
          </cell>
          <cell r="H744">
            <v>269777</v>
          </cell>
          <cell r="I744">
            <v>0</v>
          </cell>
        </row>
        <row r="745">
          <cell r="A745">
            <v>98013</v>
          </cell>
          <cell r="B745" t="str">
            <v>HOUSING AUTH OF THE CTY OF SALISBURY</v>
          </cell>
          <cell r="C745">
            <v>1.3990000000000001E-4</v>
          </cell>
          <cell r="D745"/>
          <cell r="E745">
            <v>124479</v>
          </cell>
          <cell r="F745">
            <v>65264</v>
          </cell>
          <cell r="G745">
            <v>66664</v>
          </cell>
          <cell r="H745">
            <v>26285</v>
          </cell>
          <cell r="I745">
            <v>0</v>
          </cell>
        </row>
        <row r="746">
          <cell r="A746">
            <v>98021</v>
          </cell>
          <cell r="B746" t="str">
            <v>TOWN OF EAST SPENCER</v>
          </cell>
          <cell r="C746">
            <v>4.2400000000000001E-5</v>
          </cell>
          <cell r="D746"/>
          <cell r="E746">
            <v>15491</v>
          </cell>
          <cell r="F746">
            <v>1545</v>
          </cell>
          <cell r="G746">
            <v>6721</v>
          </cell>
          <cell r="H746">
            <v>5742</v>
          </cell>
          <cell r="I746">
            <v>0</v>
          </cell>
        </row>
        <row r="747">
          <cell r="A747">
            <v>98023</v>
          </cell>
          <cell r="B747" t="str">
            <v>EAST SPENCER HOUSING AUTHORITY</v>
          </cell>
          <cell r="C747">
            <v>8.8000000000000004E-6</v>
          </cell>
          <cell r="D747"/>
          <cell r="E747">
            <v>1780</v>
          </cell>
          <cell r="F747">
            <v>-384</v>
          </cell>
          <cell r="G747">
            <v>592</v>
          </cell>
          <cell r="H747">
            <v>-1480</v>
          </cell>
          <cell r="I747">
            <v>0</v>
          </cell>
        </row>
        <row r="748">
          <cell r="A748">
            <v>98031</v>
          </cell>
          <cell r="B748" t="str">
            <v>TOWN OF SPENCER</v>
          </cell>
          <cell r="C748">
            <v>1.5410000000000001E-4</v>
          </cell>
          <cell r="D748"/>
          <cell r="E748">
            <v>69400</v>
          </cell>
          <cell r="F748">
            <v>18719</v>
          </cell>
          <cell r="G748">
            <v>37097</v>
          </cell>
          <cell r="H748">
            <v>6668</v>
          </cell>
          <cell r="I748">
            <v>0</v>
          </cell>
        </row>
        <row r="749">
          <cell r="A749">
            <v>98041</v>
          </cell>
          <cell r="B749" t="str">
            <v>TOWN OF CHINA GROVE</v>
          </cell>
          <cell r="C749">
            <v>2.3560000000000001E-4</v>
          </cell>
          <cell r="D749"/>
          <cell r="E749">
            <v>121794</v>
          </cell>
          <cell r="F749">
            <v>40714</v>
          </cell>
          <cell r="G749">
            <v>64624</v>
          </cell>
          <cell r="H749">
            <v>17196</v>
          </cell>
          <cell r="I749">
            <v>0</v>
          </cell>
        </row>
        <row r="750">
          <cell r="A750">
            <v>98051</v>
          </cell>
          <cell r="B750" t="str">
            <v>TOWN OF LANDIS</v>
          </cell>
          <cell r="C750">
            <v>2.9750000000000002E-4</v>
          </cell>
          <cell r="D750"/>
          <cell r="E750">
            <v>151383</v>
          </cell>
          <cell r="F750">
            <v>47495</v>
          </cell>
          <cell r="G750">
            <v>83216</v>
          </cell>
          <cell r="H750">
            <v>26902</v>
          </cell>
          <cell r="I750">
            <v>0</v>
          </cell>
        </row>
        <row r="751">
          <cell r="A751">
            <v>98061</v>
          </cell>
          <cell r="B751" t="str">
            <v>TOWN OF GRANITE QUARRY</v>
          </cell>
          <cell r="C751">
            <v>1.208E-4</v>
          </cell>
          <cell r="D751"/>
          <cell r="E751">
            <v>54820</v>
          </cell>
          <cell r="F751">
            <v>18006</v>
          </cell>
          <cell r="G751">
            <v>30805</v>
          </cell>
          <cell r="H751">
            <v>5123</v>
          </cell>
          <cell r="I751">
            <v>0</v>
          </cell>
        </row>
        <row r="752">
          <cell r="A752">
            <v>98071</v>
          </cell>
          <cell r="B752" t="str">
            <v>TOWN OF ROCKWELL</v>
          </cell>
          <cell r="C752">
            <v>4.74E-5</v>
          </cell>
          <cell r="D752"/>
          <cell r="E752">
            <v>34491</v>
          </cell>
          <cell r="F752">
            <v>16464</v>
          </cell>
          <cell r="G752">
            <v>18941</v>
          </cell>
          <cell r="H752">
            <v>8155</v>
          </cell>
          <cell r="I752">
            <v>0</v>
          </cell>
        </row>
        <row r="753">
          <cell r="A753">
            <v>98081</v>
          </cell>
          <cell r="B753" t="str">
            <v>TOWN OF FAITH</v>
          </cell>
          <cell r="C753">
            <v>1.5800000000000001E-5</v>
          </cell>
          <cell r="D753"/>
          <cell r="E753">
            <v>6397</v>
          </cell>
          <cell r="F753">
            <v>1471</v>
          </cell>
          <cell r="G753">
            <v>3625</v>
          </cell>
          <cell r="H753">
            <v>915</v>
          </cell>
          <cell r="I753">
            <v>0</v>
          </cell>
        </row>
        <row r="754">
          <cell r="A754">
            <v>98091</v>
          </cell>
          <cell r="B754" t="str">
            <v>TOWN OF CLEVELAND</v>
          </cell>
          <cell r="C754">
            <v>6.7000000000000002E-5</v>
          </cell>
          <cell r="D754"/>
          <cell r="E754">
            <v>35943</v>
          </cell>
          <cell r="F754">
            <v>13308</v>
          </cell>
          <cell r="G754">
            <v>20820</v>
          </cell>
          <cell r="H754">
            <v>6887</v>
          </cell>
          <cell r="I754">
            <v>0</v>
          </cell>
        </row>
        <row r="755">
          <cell r="A755">
            <v>98101</v>
          </cell>
          <cell r="B755" t="str">
            <v>RUTHERFORD COUNTY</v>
          </cell>
          <cell r="C755">
            <v>2.6901E-3</v>
          </cell>
          <cell r="D755"/>
          <cell r="E755">
            <v>1284671</v>
          </cell>
          <cell r="F755">
            <v>383094</v>
          </cell>
          <cell r="G755">
            <v>693063</v>
          </cell>
          <cell r="H755">
            <v>230360</v>
          </cell>
          <cell r="I755">
            <v>0</v>
          </cell>
        </row>
        <row r="756">
          <cell r="A756">
            <v>98102</v>
          </cell>
          <cell r="B756" t="str">
            <v>BROAD RIVER WATER AUTHORITY</v>
          </cell>
          <cell r="C756">
            <v>1.573E-4</v>
          </cell>
          <cell r="D756"/>
          <cell r="E756">
            <v>75409</v>
          </cell>
          <cell r="F756">
            <v>22937</v>
          </cell>
          <cell r="G756">
            <v>42743</v>
          </cell>
          <cell r="H756">
            <v>14102</v>
          </cell>
          <cell r="I756">
            <v>0</v>
          </cell>
        </row>
        <row r="757">
          <cell r="A757">
            <v>98103</v>
          </cell>
          <cell r="B757" t="str">
            <v>RUTHERFORD POLK MCDOWELL DIST BRD OF HEALTH</v>
          </cell>
          <cell r="C757">
            <v>5.04E-4</v>
          </cell>
          <cell r="D757"/>
          <cell r="E757">
            <v>244879</v>
          </cell>
          <cell r="F757">
            <v>77006</v>
          </cell>
          <cell r="G757">
            <v>131953</v>
          </cell>
          <cell r="H757">
            <v>44651</v>
          </cell>
          <cell r="I757">
            <v>0</v>
          </cell>
        </row>
        <row r="758">
          <cell r="A758">
            <v>98107</v>
          </cell>
          <cell r="B758" t="str">
            <v>FOREST CITY ABC BOARD 168</v>
          </cell>
          <cell r="C758">
            <v>9.3999999999999998E-6</v>
          </cell>
          <cell r="D758"/>
          <cell r="E758">
            <v>7926</v>
          </cell>
          <cell r="F758">
            <v>4095</v>
          </cell>
          <cell r="G758">
            <v>4307</v>
          </cell>
          <cell r="H758">
            <v>1759</v>
          </cell>
          <cell r="I758">
            <v>0</v>
          </cell>
        </row>
        <row r="759">
          <cell r="A759">
            <v>98109</v>
          </cell>
          <cell r="B759" t="str">
            <v>ISOTHERMAL PLANNING AND DEV COMM</v>
          </cell>
          <cell r="C759">
            <v>1.595E-4</v>
          </cell>
          <cell r="D759"/>
          <cell r="E759">
            <v>80220</v>
          </cell>
          <cell r="F759">
            <v>32635</v>
          </cell>
          <cell r="G759">
            <v>48239</v>
          </cell>
          <cell r="H759">
            <v>17972</v>
          </cell>
          <cell r="I759">
            <v>0</v>
          </cell>
        </row>
        <row r="760">
          <cell r="A760">
            <v>98111</v>
          </cell>
          <cell r="B760" t="str">
            <v>TOWN OF FOREST CITY</v>
          </cell>
          <cell r="C760">
            <v>1.0231999999999999E-3</v>
          </cell>
          <cell r="D760"/>
          <cell r="E760">
            <v>466102</v>
          </cell>
          <cell r="F760">
            <v>131077</v>
          </cell>
          <cell r="G760">
            <v>255000</v>
          </cell>
          <cell r="H760">
            <v>69309</v>
          </cell>
          <cell r="I760">
            <v>0</v>
          </cell>
        </row>
        <row r="761">
          <cell r="A761">
            <v>98113</v>
          </cell>
          <cell r="B761" t="str">
            <v>FOREST CITY HOUSING AUTHORITY</v>
          </cell>
          <cell r="C761">
            <v>3.3899999999999997E-5</v>
          </cell>
          <cell r="D761"/>
          <cell r="E761">
            <v>19117</v>
          </cell>
          <cell r="F761">
            <v>7267</v>
          </cell>
          <cell r="G761">
            <v>9463</v>
          </cell>
          <cell r="H761">
            <v>3159</v>
          </cell>
          <cell r="I761">
            <v>0</v>
          </cell>
        </row>
        <row r="762">
          <cell r="A762">
            <v>98121</v>
          </cell>
          <cell r="B762" t="str">
            <v>TOWN OF SPINDALE</v>
          </cell>
          <cell r="C762">
            <v>2.1259999999999999E-4</v>
          </cell>
          <cell r="D762"/>
          <cell r="E762">
            <v>96531</v>
          </cell>
          <cell r="F762">
            <v>24704</v>
          </cell>
          <cell r="G762">
            <v>54198</v>
          </cell>
          <cell r="H762">
            <v>12696</v>
          </cell>
          <cell r="I762">
            <v>0</v>
          </cell>
        </row>
        <row r="763">
          <cell r="A763">
            <v>98131</v>
          </cell>
          <cell r="B763" t="str">
            <v>TOWN OF LAKE LURE</v>
          </cell>
          <cell r="C763">
            <v>2.519E-4</v>
          </cell>
          <cell r="D763"/>
          <cell r="E763">
            <v>116718</v>
          </cell>
          <cell r="F763">
            <v>34747</v>
          </cell>
          <cell r="G763">
            <v>69925</v>
          </cell>
          <cell r="H763">
            <v>25005</v>
          </cell>
          <cell r="I763">
            <v>0</v>
          </cell>
        </row>
        <row r="764">
          <cell r="A764">
            <v>98141</v>
          </cell>
          <cell r="B764" t="str">
            <v>TOWN OF RUTHERFORDTON</v>
          </cell>
          <cell r="C764">
            <v>2.8699999999999998E-4</v>
          </cell>
          <cell r="D764"/>
          <cell r="E764">
            <v>130157</v>
          </cell>
          <cell r="F764">
            <v>37674</v>
          </cell>
          <cell r="G764">
            <v>69283</v>
          </cell>
          <cell r="H764">
            <v>17833</v>
          </cell>
          <cell r="I764">
            <v>0</v>
          </cell>
        </row>
        <row r="765">
          <cell r="A765">
            <v>98147</v>
          </cell>
          <cell r="B765" t="str">
            <v>TOWN OF RUTHERFORDTON ABC BRD</v>
          </cell>
          <cell r="C765">
            <v>1.0699999999999999E-5</v>
          </cell>
          <cell r="D765"/>
          <cell r="E765">
            <v>8636</v>
          </cell>
          <cell r="F765">
            <v>4092</v>
          </cell>
          <cell r="G765">
            <v>4512</v>
          </cell>
          <cell r="H765">
            <v>1729</v>
          </cell>
          <cell r="I765">
            <v>0</v>
          </cell>
        </row>
        <row r="766">
          <cell r="A766">
            <v>98161</v>
          </cell>
          <cell r="B766" t="str">
            <v>TOWN OF ELLENBORO</v>
          </cell>
          <cell r="C766">
            <v>6.1999999999999999E-6</v>
          </cell>
          <cell r="D766"/>
          <cell r="E766">
            <v>4261</v>
          </cell>
          <cell r="F766">
            <v>1950</v>
          </cell>
          <cell r="G766">
            <v>2331</v>
          </cell>
          <cell r="H766">
            <v>850</v>
          </cell>
          <cell r="I766">
            <v>0</v>
          </cell>
        </row>
        <row r="767">
          <cell r="A767">
            <v>98201</v>
          </cell>
          <cell r="B767" t="str">
            <v>SAMPSON COUNTY</v>
          </cell>
          <cell r="C767">
            <v>3.3482999999999998E-3</v>
          </cell>
          <cell r="D767"/>
          <cell r="E767">
            <v>1662461</v>
          </cell>
          <cell r="F767">
            <v>537669</v>
          </cell>
          <cell r="G767">
            <v>902985</v>
          </cell>
          <cell r="H767">
            <v>277906</v>
          </cell>
          <cell r="I767">
            <v>0</v>
          </cell>
        </row>
        <row r="768">
          <cell r="A768">
            <v>98205</v>
          </cell>
          <cell r="B768" t="str">
            <v>J C HOLIDAY MEM LIBRARY</v>
          </cell>
          <cell r="C768">
            <v>4.0899999999999998E-5</v>
          </cell>
          <cell r="D768"/>
          <cell r="E768">
            <v>19941</v>
          </cell>
          <cell r="F768">
            <v>5611</v>
          </cell>
          <cell r="G768">
            <v>10620</v>
          </cell>
          <cell r="H768">
            <v>4000</v>
          </cell>
          <cell r="I768">
            <v>0</v>
          </cell>
        </row>
        <row r="769">
          <cell r="A769">
            <v>98211</v>
          </cell>
          <cell r="B769" t="str">
            <v>CITY OF CLINTON</v>
          </cell>
          <cell r="C769">
            <v>9.0399999999999996E-4</v>
          </cell>
          <cell r="D769"/>
          <cell r="E769">
            <v>411808</v>
          </cell>
          <cell r="F769">
            <v>121517</v>
          </cell>
          <cell r="G769">
            <v>239239</v>
          </cell>
          <cell r="H769">
            <v>74706</v>
          </cell>
          <cell r="I769">
            <v>0</v>
          </cell>
        </row>
        <row r="770">
          <cell r="A770">
            <v>98218</v>
          </cell>
          <cell r="B770" t="str">
            <v>CLINTON ABC BOARD</v>
          </cell>
          <cell r="C770">
            <v>1.8099999999999999E-5</v>
          </cell>
          <cell r="D770"/>
          <cell r="E770">
            <v>10394</v>
          </cell>
          <cell r="F770">
            <v>4326</v>
          </cell>
          <cell r="G770">
            <v>5933</v>
          </cell>
          <cell r="H770">
            <v>1910</v>
          </cell>
          <cell r="I770">
            <v>0</v>
          </cell>
        </row>
        <row r="771">
          <cell r="A771">
            <v>98221</v>
          </cell>
          <cell r="B771" t="str">
            <v>TOWN OF SALEMBURG</v>
          </cell>
          <cell r="C771">
            <v>2.72E-5</v>
          </cell>
          <cell r="D771"/>
          <cell r="E771">
            <v>16223</v>
          </cell>
          <cell r="F771">
            <v>6485</v>
          </cell>
          <cell r="G771">
            <v>9016</v>
          </cell>
          <cell r="H771">
            <v>3536</v>
          </cell>
          <cell r="I771">
            <v>0</v>
          </cell>
        </row>
        <row r="772">
          <cell r="A772">
            <v>98231</v>
          </cell>
          <cell r="B772" t="str">
            <v>TOWN OF NEWTON GROVE</v>
          </cell>
          <cell r="C772">
            <v>3.1699999999999998E-5</v>
          </cell>
          <cell r="D772"/>
          <cell r="E772">
            <v>15569</v>
          </cell>
          <cell r="F772">
            <v>5398</v>
          </cell>
          <cell r="G772">
            <v>10345</v>
          </cell>
          <cell r="H772">
            <v>2605</v>
          </cell>
          <cell r="I772">
            <v>0</v>
          </cell>
        </row>
        <row r="773">
          <cell r="A773">
            <v>98237</v>
          </cell>
          <cell r="B773" t="str">
            <v>ROSEBORO ABC BOARD</v>
          </cell>
          <cell r="C773">
            <v>6.7000000000000002E-6</v>
          </cell>
          <cell r="D773"/>
          <cell r="E773">
            <v>4877</v>
          </cell>
          <cell r="F773">
            <v>2346</v>
          </cell>
          <cell r="G773">
            <v>2239</v>
          </cell>
          <cell r="H773">
            <v>811</v>
          </cell>
          <cell r="I773">
            <v>0</v>
          </cell>
        </row>
        <row r="774">
          <cell r="A774">
            <v>98241</v>
          </cell>
          <cell r="B774" t="str">
            <v>TOWN OF GARLAND</v>
          </cell>
          <cell r="C774">
            <v>1.7799999999999999E-5</v>
          </cell>
          <cell r="D774"/>
          <cell r="E774">
            <v>10634</v>
          </cell>
          <cell r="F774">
            <v>3548</v>
          </cell>
          <cell r="G774">
            <v>6070</v>
          </cell>
          <cell r="H774">
            <v>2922</v>
          </cell>
          <cell r="I774">
            <v>0</v>
          </cell>
        </row>
        <row r="775">
          <cell r="A775">
            <v>98251</v>
          </cell>
          <cell r="B775" t="str">
            <v>TOWN OF TURKEY</v>
          </cell>
          <cell r="C775">
            <v>2.5000000000000002E-6</v>
          </cell>
          <cell r="D775"/>
          <cell r="E775">
            <v>1859</v>
          </cell>
          <cell r="F775">
            <v>911</v>
          </cell>
          <cell r="G775">
            <v>1048</v>
          </cell>
          <cell r="H775">
            <v>415</v>
          </cell>
          <cell r="I775">
            <v>0</v>
          </cell>
        </row>
        <row r="776">
          <cell r="A776">
            <v>98261</v>
          </cell>
          <cell r="B776" t="str">
            <v>TOWN OF ROSEBORO</v>
          </cell>
          <cell r="C776">
            <v>3.3699999999999999E-5</v>
          </cell>
          <cell r="D776"/>
          <cell r="E776">
            <v>16980</v>
          </cell>
          <cell r="F776">
            <v>7100</v>
          </cell>
          <cell r="G776">
            <v>10026</v>
          </cell>
          <cell r="H776">
            <v>3030</v>
          </cell>
          <cell r="I776">
            <v>0</v>
          </cell>
        </row>
        <row r="777">
          <cell r="A777">
            <v>98271</v>
          </cell>
          <cell r="B777" t="str">
            <v>TOWN OF AUTRYVILLE</v>
          </cell>
          <cell r="C777">
            <v>5.2000000000000002E-6</v>
          </cell>
          <cell r="D777"/>
          <cell r="E777">
            <v>3682</v>
          </cell>
          <cell r="F777">
            <v>1581</v>
          </cell>
          <cell r="G777">
            <v>2005</v>
          </cell>
          <cell r="H777">
            <v>719</v>
          </cell>
          <cell r="I777">
            <v>0</v>
          </cell>
        </row>
        <row r="778">
          <cell r="A778">
            <v>98301</v>
          </cell>
          <cell r="B778" t="str">
            <v>SCOTLAND COUNTY</v>
          </cell>
          <cell r="C778">
            <v>1.7742000000000001E-3</v>
          </cell>
          <cell r="D778"/>
          <cell r="E778">
            <v>891955</v>
          </cell>
          <cell r="F778">
            <v>289376</v>
          </cell>
          <cell r="G778">
            <v>491201</v>
          </cell>
          <cell r="H778">
            <v>148132</v>
          </cell>
          <cell r="I778">
            <v>0</v>
          </cell>
        </row>
        <row r="779">
          <cell r="A779">
            <v>98304</v>
          </cell>
          <cell r="B779" t="str">
            <v>SCOTLAND COUNTY ABC BOARD</v>
          </cell>
          <cell r="C779">
            <v>2.0699999999999998E-5</v>
          </cell>
          <cell r="D779"/>
          <cell r="E779">
            <v>12438</v>
          </cell>
          <cell r="F779">
            <v>5303</v>
          </cell>
          <cell r="G779">
            <v>7357</v>
          </cell>
          <cell r="H779">
            <v>2845</v>
          </cell>
          <cell r="I779">
            <v>0</v>
          </cell>
        </row>
        <row r="780">
          <cell r="A780">
            <v>98308</v>
          </cell>
          <cell r="B780" t="str">
            <v>LAURINBURG-MAXTON AIRPORT COMMISSION</v>
          </cell>
          <cell r="C780">
            <v>1.6099999999999998E-5</v>
          </cell>
          <cell r="D780"/>
          <cell r="E780">
            <v>10177</v>
          </cell>
          <cell r="F780">
            <v>4090</v>
          </cell>
          <cell r="G780">
            <v>5331</v>
          </cell>
          <cell r="H780">
            <v>1404</v>
          </cell>
          <cell r="I780">
            <v>0</v>
          </cell>
        </row>
        <row r="781">
          <cell r="A781">
            <v>98311</v>
          </cell>
          <cell r="B781" t="str">
            <v>CITY OF LAURINBURG</v>
          </cell>
          <cell r="C781">
            <v>1.1073999999999999E-3</v>
          </cell>
          <cell r="D781"/>
          <cell r="E781">
            <v>492808</v>
          </cell>
          <cell r="F781">
            <v>132653</v>
          </cell>
          <cell r="G781">
            <v>270631</v>
          </cell>
          <cell r="H781">
            <v>82601</v>
          </cell>
          <cell r="I781">
            <v>0</v>
          </cell>
        </row>
        <row r="782">
          <cell r="A782">
            <v>98313</v>
          </cell>
          <cell r="B782" t="str">
            <v>LAURINBURG HOUSING AUTHORITY</v>
          </cell>
          <cell r="C782">
            <v>2.1000000000000001E-4</v>
          </cell>
          <cell r="D782"/>
          <cell r="E782">
            <v>210568</v>
          </cell>
          <cell r="F782">
            <v>116440</v>
          </cell>
          <cell r="G782">
            <v>111291</v>
          </cell>
          <cell r="H782">
            <v>39564</v>
          </cell>
          <cell r="I782">
            <v>0</v>
          </cell>
        </row>
        <row r="783">
          <cell r="A783">
            <v>98321</v>
          </cell>
          <cell r="B783" t="str">
            <v>TOWN OF WAGRAM</v>
          </cell>
          <cell r="C783">
            <v>1.6900000000000001E-5</v>
          </cell>
          <cell r="D783"/>
          <cell r="E783">
            <v>7236</v>
          </cell>
          <cell r="F783">
            <v>2388</v>
          </cell>
          <cell r="G783">
            <v>4292</v>
          </cell>
          <cell r="H783">
            <v>1096</v>
          </cell>
          <cell r="I783">
            <v>0</v>
          </cell>
        </row>
        <row r="784">
          <cell r="A784">
            <v>98331</v>
          </cell>
          <cell r="B784" t="str">
            <v>TOWN OF GIBSON</v>
          </cell>
          <cell r="C784">
            <v>8.3999999999999992E-6</v>
          </cell>
          <cell r="D784"/>
          <cell r="E784">
            <v>5366</v>
          </cell>
          <cell r="F784">
            <v>2177</v>
          </cell>
          <cell r="G784">
            <v>2862</v>
          </cell>
          <cell r="H784">
            <v>938</v>
          </cell>
          <cell r="I784">
            <v>0</v>
          </cell>
        </row>
        <row r="785">
          <cell r="A785">
            <v>98401</v>
          </cell>
          <cell r="B785" t="str">
            <v>STANLY COUNTY</v>
          </cell>
          <cell r="C785">
            <v>2.9618000000000001E-3</v>
          </cell>
          <cell r="D785"/>
          <cell r="E785">
            <v>1551265</v>
          </cell>
          <cell r="F785">
            <v>554680</v>
          </cell>
          <cell r="G785">
            <v>864482</v>
          </cell>
          <cell r="H785">
            <v>281668</v>
          </cell>
          <cell r="I785">
            <v>0</v>
          </cell>
        </row>
        <row r="786">
          <cell r="A786">
            <v>98404</v>
          </cell>
          <cell r="B786" t="str">
            <v>LOCUST ABC BOARD</v>
          </cell>
          <cell r="C786">
            <v>1.43E-5</v>
          </cell>
          <cell r="D786"/>
          <cell r="E786">
            <v>9397</v>
          </cell>
          <cell r="F786">
            <v>4575</v>
          </cell>
          <cell r="G786">
            <v>3881</v>
          </cell>
          <cell r="H786">
            <v>998</v>
          </cell>
          <cell r="I786">
            <v>0</v>
          </cell>
        </row>
        <row r="787">
          <cell r="A787">
            <v>98411</v>
          </cell>
          <cell r="B787" t="str">
            <v>CITY OF ALBEMARLE</v>
          </cell>
          <cell r="C787">
            <v>1.9082000000000001E-3</v>
          </cell>
          <cell r="D787"/>
          <cell r="E787">
            <v>879015</v>
          </cell>
          <cell r="F787">
            <v>239619</v>
          </cell>
          <cell r="G787">
            <v>469196</v>
          </cell>
          <cell r="H787">
            <v>124874</v>
          </cell>
          <cell r="I787">
            <v>0</v>
          </cell>
        </row>
        <row r="788">
          <cell r="A788">
            <v>98414</v>
          </cell>
          <cell r="B788" t="str">
            <v>VILLAGE OF MISENHEIMER</v>
          </cell>
          <cell r="C788">
            <v>3.01E-5</v>
          </cell>
          <cell r="D788"/>
          <cell r="E788">
            <v>18201</v>
          </cell>
          <cell r="F788">
            <v>8052</v>
          </cell>
          <cell r="G788">
            <v>7864</v>
          </cell>
          <cell r="H788">
            <v>253</v>
          </cell>
          <cell r="I788">
            <v>0</v>
          </cell>
        </row>
        <row r="789">
          <cell r="A789">
            <v>98417</v>
          </cell>
          <cell r="B789" t="str">
            <v>ALBEMARLE ABC BOARD</v>
          </cell>
          <cell r="C789">
            <v>2.23E-5</v>
          </cell>
          <cell r="D789"/>
          <cell r="E789">
            <v>13569</v>
          </cell>
          <cell r="F789">
            <v>5792</v>
          </cell>
          <cell r="G789">
            <v>7944</v>
          </cell>
          <cell r="H789">
            <v>2994</v>
          </cell>
          <cell r="I789">
            <v>0</v>
          </cell>
        </row>
        <row r="790">
          <cell r="A790">
            <v>98421</v>
          </cell>
          <cell r="B790" t="str">
            <v>TOWN OF NORWOOD</v>
          </cell>
          <cell r="C790">
            <v>1.121E-4</v>
          </cell>
          <cell r="D790"/>
          <cell r="E790">
            <v>56080</v>
          </cell>
          <cell r="F790">
            <v>18194</v>
          </cell>
          <cell r="G790">
            <v>33979</v>
          </cell>
          <cell r="H790">
            <v>8902</v>
          </cell>
          <cell r="I790">
            <v>0</v>
          </cell>
        </row>
        <row r="791">
          <cell r="A791">
            <v>98427</v>
          </cell>
          <cell r="B791" t="str">
            <v>NORWOOD ABC BD</v>
          </cell>
          <cell r="C791">
            <v>3.1E-6</v>
          </cell>
          <cell r="D791"/>
          <cell r="E791">
            <v>2371</v>
          </cell>
          <cell r="F791">
            <v>1219</v>
          </cell>
          <cell r="G791">
            <v>1391</v>
          </cell>
          <cell r="H791">
            <v>587</v>
          </cell>
          <cell r="I791">
            <v>0</v>
          </cell>
        </row>
        <row r="792">
          <cell r="A792">
            <v>98431</v>
          </cell>
          <cell r="B792" t="str">
            <v>CITY OF LOCUST</v>
          </cell>
          <cell r="C792">
            <v>1.997E-4</v>
          </cell>
          <cell r="D792"/>
          <cell r="E792">
            <v>86312</v>
          </cell>
          <cell r="F792">
            <v>22120</v>
          </cell>
          <cell r="G792">
            <v>47093</v>
          </cell>
          <cell r="H792">
            <v>13718</v>
          </cell>
          <cell r="I792">
            <v>0</v>
          </cell>
        </row>
        <row r="793">
          <cell r="A793">
            <v>98441</v>
          </cell>
          <cell r="B793" t="str">
            <v>TOWN OF OAKBORO</v>
          </cell>
          <cell r="C793">
            <v>1.0230000000000001E-4</v>
          </cell>
          <cell r="D793"/>
          <cell r="E793">
            <v>46448</v>
          </cell>
          <cell r="F793">
            <v>14172</v>
          </cell>
          <cell r="G793">
            <v>27689</v>
          </cell>
          <cell r="H793">
            <v>5329</v>
          </cell>
          <cell r="I793">
            <v>0</v>
          </cell>
        </row>
        <row r="794">
          <cell r="A794">
            <v>98451</v>
          </cell>
          <cell r="B794" t="str">
            <v>TOWN OF BADIN</v>
          </cell>
          <cell r="C794">
            <v>4.6100000000000002E-5</v>
          </cell>
          <cell r="D794"/>
          <cell r="E794">
            <v>21454</v>
          </cell>
          <cell r="F794">
            <v>6218</v>
          </cell>
          <cell r="G794">
            <v>11342</v>
          </cell>
          <cell r="H794">
            <v>3529</v>
          </cell>
          <cell r="I794">
            <v>0</v>
          </cell>
        </row>
        <row r="795">
          <cell r="A795">
            <v>98471</v>
          </cell>
          <cell r="B795" t="str">
            <v>TOWN OF NEW LONDON</v>
          </cell>
          <cell r="C795">
            <v>6.3999999999999997E-6</v>
          </cell>
          <cell r="D795"/>
          <cell r="E795">
            <v>4686</v>
          </cell>
          <cell r="F795">
            <v>2527</v>
          </cell>
          <cell r="G795">
            <v>3257</v>
          </cell>
          <cell r="H795">
            <v>765</v>
          </cell>
          <cell r="I795">
            <v>0</v>
          </cell>
        </row>
        <row r="796">
          <cell r="A796">
            <v>98481</v>
          </cell>
          <cell r="B796" t="str">
            <v>TOWN OF STANFIELD</v>
          </cell>
          <cell r="C796">
            <v>6.1600000000000007E-5</v>
          </cell>
          <cell r="D796"/>
          <cell r="E796">
            <v>26951</v>
          </cell>
          <cell r="F796">
            <v>6635</v>
          </cell>
          <cell r="G796">
            <v>14715</v>
          </cell>
          <cell r="H796">
            <v>2522</v>
          </cell>
          <cell r="I796">
            <v>0</v>
          </cell>
        </row>
        <row r="797">
          <cell r="A797">
            <v>98501</v>
          </cell>
          <cell r="B797" t="str">
            <v>STOKES COUNTY</v>
          </cell>
          <cell r="C797">
            <v>1.655E-3</v>
          </cell>
          <cell r="D797"/>
          <cell r="E797">
            <v>858748</v>
          </cell>
          <cell r="F797">
            <v>291160</v>
          </cell>
          <cell r="G797">
            <v>468978</v>
          </cell>
          <cell r="H797">
            <v>143526</v>
          </cell>
          <cell r="I797">
            <v>0</v>
          </cell>
        </row>
        <row r="798">
          <cell r="A798">
            <v>98511</v>
          </cell>
          <cell r="B798" t="str">
            <v>TOWN OF WALNUT COVE</v>
          </cell>
          <cell r="C798">
            <v>4.9400000000000001E-5</v>
          </cell>
          <cell r="D798"/>
          <cell r="E798">
            <v>26635</v>
          </cell>
          <cell r="F798">
            <v>8980</v>
          </cell>
          <cell r="G798">
            <v>13955</v>
          </cell>
          <cell r="H798">
            <v>5298</v>
          </cell>
          <cell r="I798">
            <v>0</v>
          </cell>
        </row>
        <row r="799">
          <cell r="A799">
            <v>98517</v>
          </cell>
          <cell r="B799" t="str">
            <v>WALNUT COVE ABC BOARD</v>
          </cell>
          <cell r="C799">
            <v>2.3999999999999999E-6</v>
          </cell>
          <cell r="D799"/>
          <cell r="E799">
            <v>2413</v>
          </cell>
          <cell r="F799">
            <v>1493</v>
          </cell>
          <cell r="G799">
            <v>1527</v>
          </cell>
          <cell r="H799">
            <v>643</v>
          </cell>
          <cell r="I799">
            <v>0</v>
          </cell>
        </row>
        <row r="800">
          <cell r="A800">
            <v>98521</v>
          </cell>
          <cell r="B800" t="str">
            <v>CITY OF KING</v>
          </cell>
          <cell r="C800">
            <v>6.3349999999999995E-4</v>
          </cell>
          <cell r="D800"/>
          <cell r="E800">
            <v>296001</v>
          </cell>
          <cell r="F800">
            <v>92841</v>
          </cell>
          <cell r="G800">
            <v>156271</v>
          </cell>
          <cell r="H800">
            <v>43296</v>
          </cell>
          <cell r="I800">
            <v>0</v>
          </cell>
        </row>
        <row r="801">
          <cell r="A801">
            <v>98601</v>
          </cell>
          <cell r="B801" t="str">
            <v>SURRY COUNTY</v>
          </cell>
          <cell r="C801">
            <v>3.5866000000000001E-3</v>
          </cell>
          <cell r="D801"/>
          <cell r="E801">
            <v>1716857</v>
          </cell>
          <cell r="F801">
            <v>513034</v>
          </cell>
          <cell r="G801">
            <v>951384</v>
          </cell>
          <cell r="H801">
            <v>275486</v>
          </cell>
          <cell r="I801">
            <v>0</v>
          </cell>
        </row>
        <row r="802">
          <cell r="A802">
            <v>98604</v>
          </cell>
          <cell r="B802" t="str">
            <v>YADKIN VALLEY ABC BOARD</v>
          </cell>
          <cell r="C802">
            <v>1.2099999999999999E-5</v>
          </cell>
          <cell r="D802"/>
          <cell r="E802">
            <v>8122</v>
          </cell>
          <cell r="F802">
            <v>2247</v>
          </cell>
          <cell r="G802">
            <v>3754</v>
          </cell>
          <cell r="H802">
            <v>1247</v>
          </cell>
          <cell r="I802">
            <v>0</v>
          </cell>
        </row>
        <row r="803">
          <cell r="A803">
            <v>98607</v>
          </cell>
          <cell r="B803" t="str">
            <v>PILOT MOUNTAIN ABC BOARD</v>
          </cell>
          <cell r="C803">
            <v>5.4E-6</v>
          </cell>
          <cell r="D803"/>
          <cell r="E803">
            <v>2786</v>
          </cell>
          <cell r="F803">
            <v>984</v>
          </cell>
          <cell r="G803">
            <v>1586</v>
          </cell>
          <cell r="H803">
            <v>220</v>
          </cell>
          <cell r="I803">
            <v>0</v>
          </cell>
        </row>
        <row r="804">
          <cell r="A804">
            <v>98608</v>
          </cell>
          <cell r="B804" t="str">
            <v>YADKIN VALLEY SEWER AUTHORITY</v>
          </cell>
          <cell r="C804">
            <v>5.1799999999999999E-5</v>
          </cell>
          <cell r="D804"/>
          <cell r="E804">
            <v>26302</v>
          </cell>
          <cell r="F804">
            <v>10456</v>
          </cell>
          <cell r="G804">
            <v>15701</v>
          </cell>
          <cell r="H804">
            <v>6161</v>
          </cell>
          <cell r="I804">
            <v>0</v>
          </cell>
        </row>
        <row r="805">
          <cell r="A805">
            <v>98611</v>
          </cell>
          <cell r="B805" t="str">
            <v>TOWN OF PILOT MOUNTAIN</v>
          </cell>
          <cell r="C805">
            <v>1.1959999999999999E-4</v>
          </cell>
          <cell r="D805"/>
          <cell r="E805">
            <v>64366</v>
          </cell>
          <cell r="F805">
            <v>26909</v>
          </cell>
          <cell r="G805">
            <v>38483</v>
          </cell>
          <cell r="H805">
            <v>10598</v>
          </cell>
          <cell r="I805">
            <v>0</v>
          </cell>
        </row>
        <row r="806">
          <cell r="A806">
            <v>98621</v>
          </cell>
          <cell r="B806" t="str">
            <v>TOWN OF DOBSON</v>
          </cell>
          <cell r="C806">
            <v>1.2899999999999999E-4</v>
          </cell>
          <cell r="D806"/>
          <cell r="E806">
            <v>59466</v>
          </cell>
          <cell r="F806">
            <v>16909</v>
          </cell>
          <cell r="G806">
            <v>32651</v>
          </cell>
          <cell r="H806">
            <v>8203</v>
          </cell>
          <cell r="I806">
            <v>0</v>
          </cell>
        </row>
        <row r="807">
          <cell r="A807">
            <v>98627</v>
          </cell>
          <cell r="B807" t="str">
            <v>DOBSON ABC BD</v>
          </cell>
          <cell r="C807">
            <v>7.7999999999999999E-6</v>
          </cell>
          <cell r="D807"/>
          <cell r="E807">
            <v>3319</v>
          </cell>
          <cell r="F807">
            <v>592</v>
          </cell>
          <cell r="G807">
            <v>1727</v>
          </cell>
          <cell r="H807">
            <v>420</v>
          </cell>
          <cell r="I807">
            <v>0</v>
          </cell>
        </row>
        <row r="808">
          <cell r="A808">
            <v>98631</v>
          </cell>
          <cell r="B808" t="str">
            <v>CITY OF MOUNT AIRY</v>
          </cell>
          <cell r="C808">
            <v>1.0042E-3</v>
          </cell>
          <cell r="D808"/>
          <cell r="E808">
            <v>472307</v>
          </cell>
          <cell r="F808">
            <v>148159</v>
          </cell>
          <cell r="G808">
            <v>267543</v>
          </cell>
          <cell r="H808">
            <v>72925</v>
          </cell>
          <cell r="I808">
            <v>0</v>
          </cell>
        </row>
        <row r="809">
          <cell r="A809">
            <v>98637</v>
          </cell>
          <cell r="B809" t="str">
            <v>MOUNT AIRY ALCOHOLIC BOARD OF CONTROL</v>
          </cell>
          <cell r="C809">
            <v>1.5800000000000001E-5</v>
          </cell>
          <cell r="D809"/>
          <cell r="E809">
            <v>11537</v>
          </cell>
          <cell r="F809">
            <v>5502</v>
          </cell>
          <cell r="G809">
            <v>6300</v>
          </cell>
          <cell r="H809">
            <v>2159</v>
          </cell>
          <cell r="I809">
            <v>0</v>
          </cell>
        </row>
        <row r="810">
          <cell r="A810">
            <v>98641</v>
          </cell>
          <cell r="B810" t="str">
            <v>TOWN OF ELKIN</v>
          </cell>
          <cell r="C810">
            <v>2.7090000000000003E-4</v>
          </cell>
          <cell r="D810"/>
          <cell r="E810">
            <v>128748</v>
          </cell>
          <cell r="F810">
            <v>39782</v>
          </cell>
          <cell r="G810">
            <v>70332</v>
          </cell>
          <cell r="H810">
            <v>18840</v>
          </cell>
          <cell r="I810">
            <v>0</v>
          </cell>
        </row>
        <row r="811">
          <cell r="A811">
            <v>98647</v>
          </cell>
          <cell r="B811" t="str">
            <v>ELKIN ABC BOARD</v>
          </cell>
          <cell r="C811">
            <v>0</v>
          </cell>
          <cell r="D811"/>
          <cell r="E811">
            <v>-1498</v>
          </cell>
          <cell r="F811">
            <v>0</v>
          </cell>
          <cell r="G811">
            <v>0</v>
          </cell>
          <cell r="H811">
            <v>0</v>
          </cell>
          <cell r="I811">
            <v>0</v>
          </cell>
        </row>
        <row r="812">
          <cell r="A812">
            <v>98701</v>
          </cell>
          <cell r="B812" t="str">
            <v>SWAIN COUNTY</v>
          </cell>
          <cell r="C812">
            <v>9.7790000000000008E-4</v>
          </cell>
          <cell r="D812"/>
          <cell r="E812">
            <v>440042</v>
          </cell>
          <cell r="F812">
            <v>109342</v>
          </cell>
          <cell r="G812">
            <v>229614</v>
          </cell>
          <cell r="H812">
            <v>54613</v>
          </cell>
          <cell r="I812">
            <v>0</v>
          </cell>
        </row>
        <row r="813">
          <cell r="A813">
            <v>98711</v>
          </cell>
          <cell r="B813" t="str">
            <v>TOWN OF BRYSON CITY</v>
          </cell>
          <cell r="C813">
            <v>1.671E-4</v>
          </cell>
          <cell r="D813"/>
          <cell r="E813">
            <v>70574</v>
          </cell>
          <cell r="F813">
            <v>15751</v>
          </cell>
          <cell r="G813">
            <v>37022</v>
          </cell>
          <cell r="H813">
            <v>10456</v>
          </cell>
          <cell r="I813">
            <v>0</v>
          </cell>
        </row>
        <row r="814">
          <cell r="A814">
            <v>98717</v>
          </cell>
          <cell r="B814" t="str">
            <v>BRYSON CITY ABC BOARD</v>
          </cell>
          <cell r="C814">
            <v>2.2399999999999999E-5</v>
          </cell>
          <cell r="D814"/>
          <cell r="E814">
            <v>10978</v>
          </cell>
          <cell r="F814">
            <v>3555</v>
          </cell>
          <cell r="G814">
            <v>5868</v>
          </cell>
          <cell r="H814">
            <v>2067</v>
          </cell>
          <cell r="I814">
            <v>0</v>
          </cell>
        </row>
        <row r="815">
          <cell r="A815">
            <v>98801</v>
          </cell>
          <cell r="B815" t="str">
            <v>TRANSYLVANIA COUNTY</v>
          </cell>
          <cell r="C815">
            <v>2.1632999999999999E-3</v>
          </cell>
          <cell r="D815"/>
          <cell r="E815">
            <v>1076485</v>
          </cell>
          <cell r="F815">
            <v>342419</v>
          </cell>
          <cell r="G815">
            <v>566967</v>
          </cell>
          <cell r="H815">
            <v>176956</v>
          </cell>
          <cell r="I815">
            <v>0</v>
          </cell>
        </row>
        <row r="816">
          <cell r="A816">
            <v>98811</v>
          </cell>
          <cell r="B816" t="str">
            <v>CITY OF BREVARD</v>
          </cell>
          <cell r="C816">
            <v>6.8610000000000003E-4</v>
          </cell>
          <cell r="D816"/>
          <cell r="E816">
            <v>337092</v>
          </cell>
          <cell r="F816">
            <v>113681</v>
          </cell>
          <cell r="G816">
            <v>196963</v>
          </cell>
          <cell r="H816">
            <v>65401</v>
          </cell>
          <cell r="I816">
            <v>0</v>
          </cell>
        </row>
        <row r="817">
          <cell r="A817">
            <v>98817</v>
          </cell>
          <cell r="B817" t="str">
            <v>BREVARD ABC BOARD</v>
          </cell>
          <cell r="C817">
            <v>1.7E-5</v>
          </cell>
          <cell r="D817"/>
          <cell r="E817">
            <v>8551</v>
          </cell>
          <cell r="F817">
            <v>2767</v>
          </cell>
          <cell r="G817">
            <v>3786</v>
          </cell>
          <cell r="H817">
            <v>334</v>
          </cell>
          <cell r="I817">
            <v>0</v>
          </cell>
        </row>
        <row r="818">
          <cell r="A818">
            <v>98901</v>
          </cell>
          <cell r="B818" t="str">
            <v>TYRRELL COUNTY</v>
          </cell>
          <cell r="C818">
            <v>2.8390000000000002E-4</v>
          </cell>
          <cell r="D818"/>
          <cell r="E818">
            <v>134570</v>
          </cell>
          <cell r="F818">
            <v>39434</v>
          </cell>
          <cell r="G818">
            <v>70216</v>
          </cell>
          <cell r="H818">
            <v>22048</v>
          </cell>
          <cell r="I818">
            <v>0</v>
          </cell>
        </row>
        <row r="819">
          <cell r="A819">
            <v>98904</v>
          </cell>
          <cell r="B819" t="str">
            <v>TYRRELL CO ABC BOARD</v>
          </cell>
          <cell r="C819">
            <v>3.9999999999999998E-6</v>
          </cell>
          <cell r="D819"/>
          <cell r="E819">
            <v>1543</v>
          </cell>
          <cell r="F819">
            <v>359</v>
          </cell>
          <cell r="G819">
            <v>1149</v>
          </cell>
          <cell r="H819">
            <v>242</v>
          </cell>
          <cell r="I819">
            <v>0</v>
          </cell>
        </row>
        <row r="820">
          <cell r="A820">
            <v>98911</v>
          </cell>
          <cell r="B820" t="str">
            <v>TOWN OF COLUMBIA</v>
          </cell>
          <cell r="C820">
            <v>1.59E-5</v>
          </cell>
          <cell r="D820"/>
          <cell r="E820">
            <v>10943</v>
          </cell>
          <cell r="F820">
            <v>4374</v>
          </cell>
          <cell r="G820">
            <v>5275</v>
          </cell>
          <cell r="H820">
            <v>914</v>
          </cell>
          <cell r="I820">
            <v>0</v>
          </cell>
        </row>
        <row r="821">
          <cell r="A821">
            <v>99001</v>
          </cell>
          <cell r="B821" t="str">
            <v>UNION COUNTY</v>
          </cell>
          <cell r="C821">
            <v>8.8266000000000004E-3</v>
          </cell>
          <cell r="D821"/>
          <cell r="E821">
            <v>4468648</v>
          </cell>
          <cell r="F821">
            <v>1471105</v>
          </cell>
          <cell r="G821">
            <v>2456566</v>
          </cell>
          <cell r="H821">
            <v>777884</v>
          </cell>
          <cell r="I821">
            <v>0</v>
          </cell>
        </row>
        <row r="822">
          <cell r="A822">
            <v>99011</v>
          </cell>
          <cell r="B822" t="str">
            <v>CITY OF MONROE</v>
          </cell>
          <cell r="C822">
            <v>3.8520999999999998E-3</v>
          </cell>
          <cell r="D822"/>
          <cell r="E822">
            <v>1821690</v>
          </cell>
          <cell r="F822">
            <v>579727</v>
          </cell>
          <cell r="G822">
            <v>1025471</v>
          </cell>
          <cell r="H822">
            <v>296915</v>
          </cell>
          <cell r="I822">
            <v>0</v>
          </cell>
        </row>
        <row r="823">
          <cell r="A823">
            <v>99013</v>
          </cell>
          <cell r="B823" t="str">
            <v>CITY OF MONROE HOUSING AUTHORITY</v>
          </cell>
          <cell r="C823">
            <v>4.7599999999999998E-5</v>
          </cell>
          <cell r="D823"/>
          <cell r="E823">
            <v>21649</v>
          </cell>
          <cell r="F823">
            <v>7286</v>
          </cell>
          <cell r="G823">
            <v>13126</v>
          </cell>
          <cell r="H823">
            <v>4482</v>
          </cell>
          <cell r="I823">
            <v>0</v>
          </cell>
        </row>
        <row r="824">
          <cell r="A824">
            <v>99014</v>
          </cell>
          <cell r="B824" t="str">
            <v>INDIAN TRAIL ABC BOARD</v>
          </cell>
          <cell r="C824">
            <v>2.1299999999999999E-5</v>
          </cell>
          <cell r="D824"/>
          <cell r="E824">
            <v>16781</v>
          </cell>
          <cell r="F824">
            <v>6101</v>
          </cell>
          <cell r="G824">
            <v>8258</v>
          </cell>
          <cell r="H824">
            <v>4287</v>
          </cell>
          <cell r="I824">
            <v>0</v>
          </cell>
        </row>
        <row r="825">
          <cell r="A825">
            <v>99017</v>
          </cell>
          <cell r="B825" t="str">
            <v>MONROE ABC BOARD</v>
          </cell>
          <cell r="C825">
            <v>4.8600000000000002E-5</v>
          </cell>
          <cell r="D825"/>
          <cell r="E825">
            <v>25039</v>
          </cell>
          <cell r="F825">
            <v>7896</v>
          </cell>
          <cell r="G825">
            <v>12408</v>
          </cell>
          <cell r="H825">
            <v>4046</v>
          </cell>
          <cell r="I825">
            <v>0</v>
          </cell>
        </row>
        <row r="826">
          <cell r="A826">
            <v>99021</v>
          </cell>
          <cell r="B826" t="str">
            <v>TOWN OF MARSHVILLE</v>
          </cell>
          <cell r="C826">
            <v>1.405E-4</v>
          </cell>
          <cell r="D826"/>
          <cell r="E826">
            <v>67951</v>
          </cell>
          <cell r="F826">
            <v>20804</v>
          </cell>
          <cell r="G826">
            <v>34816</v>
          </cell>
          <cell r="H826">
            <v>11554</v>
          </cell>
          <cell r="I826">
            <v>0</v>
          </cell>
        </row>
        <row r="827">
          <cell r="A827">
            <v>99022</v>
          </cell>
          <cell r="B827" t="str">
            <v>TOWN OF MINERAL SPRINGS</v>
          </cell>
          <cell r="C827">
            <v>8.8000000000000004E-6</v>
          </cell>
          <cell r="D827"/>
          <cell r="E827">
            <v>8852</v>
          </cell>
          <cell r="F827">
            <v>5064</v>
          </cell>
          <cell r="G827">
            <v>4948</v>
          </cell>
          <cell r="H827">
            <v>2021</v>
          </cell>
          <cell r="I827">
            <v>0</v>
          </cell>
        </row>
        <row r="828">
          <cell r="A828">
            <v>99031</v>
          </cell>
          <cell r="B828" t="str">
            <v>TOWN OF WINGATE</v>
          </cell>
          <cell r="C828">
            <v>1.208E-4</v>
          </cell>
          <cell r="D828"/>
          <cell r="E828">
            <v>48933</v>
          </cell>
          <cell r="F828">
            <v>7356</v>
          </cell>
          <cell r="G828">
            <v>24405</v>
          </cell>
          <cell r="H828">
            <v>5721</v>
          </cell>
          <cell r="I828">
            <v>0</v>
          </cell>
        </row>
        <row r="829">
          <cell r="A829">
            <v>99041</v>
          </cell>
          <cell r="B829" t="str">
            <v>TOWN OF WAXHAW</v>
          </cell>
          <cell r="C829">
            <v>6.3840000000000001E-4</v>
          </cell>
          <cell r="D829"/>
          <cell r="E829">
            <v>305269</v>
          </cell>
          <cell r="F829">
            <v>88376</v>
          </cell>
          <cell r="G829">
            <v>156481</v>
          </cell>
          <cell r="H829">
            <v>39052</v>
          </cell>
          <cell r="I829">
            <v>0</v>
          </cell>
        </row>
        <row r="830">
          <cell r="A830">
            <v>99047</v>
          </cell>
          <cell r="B830" t="str">
            <v>WAXHAW ABC BOARD</v>
          </cell>
          <cell r="C830">
            <v>1.33E-5</v>
          </cell>
          <cell r="D830"/>
          <cell r="E830">
            <v>9024</v>
          </cell>
          <cell r="F830">
            <v>4389</v>
          </cell>
          <cell r="G830">
            <v>4817</v>
          </cell>
          <cell r="H830">
            <v>1625</v>
          </cell>
          <cell r="I830">
            <v>0</v>
          </cell>
        </row>
        <row r="831">
          <cell r="A831">
            <v>99051</v>
          </cell>
          <cell r="B831" t="str">
            <v>TOWN OF INDIAN TRAIL</v>
          </cell>
          <cell r="C831">
            <v>3.4049999999999998E-4</v>
          </cell>
          <cell r="D831"/>
          <cell r="E831">
            <v>160686</v>
          </cell>
          <cell r="F831">
            <v>43686</v>
          </cell>
          <cell r="G831">
            <v>83089</v>
          </cell>
          <cell r="H831">
            <v>21581</v>
          </cell>
          <cell r="I831">
            <v>0</v>
          </cell>
        </row>
        <row r="832">
          <cell r="A832">
            <v>99061</v>
          </cell>
          <cell r="B832" t="str">
            <v>TOWN OF UNIONVILLE</v>
          </cell>
          <cell r="C832">
            <v>6.1E-6</v>
          </cell>
          <cell r="D832"/>
          <cell r="E832">
            <v>5269</v>
          </cell>
          <cell r="F832">
            <v>2564</v>
          </cell>
          <cell r="G832">
            <v>2472</v>
          </cell>
          <cell r="H832">
            <v>475</v>
          </cell>
          <cell r="I832">
            <v>0</v>
          </cell>
        </row>
        <row r="833">
          <cell r="A833">
            <v>99071</v>
          </cell>
          <cell r="B833" t="str">
            <v>TOWN OF WEDDINGTON</v>
          </cell>
          <cell r="C833">
            <v>2.4499999999999999E-5</v>
          </cell>
          <cell r="D833"/>
          <cell r="E833">
            <v>12292</v>
          </cell>
          <cell r="F833">
            <v>4190</v>
          </cell>
          <cell r="G833">
            <v>6772</v>
          </cell>
          <cell r="H833">
            <v>2989</v>
          </cell>
          <cell r="I833">
            <v>0</v>
          </cell>
        </row>
        <row r="834">
          <cell r="A834">
            <v>99081</v>
          </cell>
          <cell r="B834" t="str">
            <v>VILLAGE OF MARVIN</v>
          </cell>
          <cell r="C834">
            <v>3.65E-5</v>
          </cell>
          <cell r="D834"/>
          <cell r="E834">
            <v>19728</v>
          </cell>
          <cell r="F834">
            <v>8395</v>
          </cell>
          <cell r="G834">
            <v>14635</v>
          </cell>
          <cell r="H834">
            <v>6675</v>
          </cell>
          <cell r="I834">
            <v>0</v>
          </cell>
        </row>
        <row r="835">
          <cell r="A835">
            <v>99091</v>
          </cell>
          <cell r="B835" t="str">
            <v>VILLAGE OF WESLEY CHAPEL</v>
          </cell>
          <cell r="C835">
            <v>5.4E-6</v>
          </cell>
          <cell r="D835"/>
          <cell r="E835">
            <v>5669</v>
          </cell>
          <cell r="F835">
            <v>3490</v>
          </cell>
          <cell r="G835">
            <v>3536</v>
          </cell>
          <cell r="H835">
            <v>1952</v>
          </cell>
          <cell r="I835">
            <v>0</v>
          </cell>
        </row>
        <row r="836">
          <cell r="A836">
            <v>99101</v>
          </cell>
          <cell r="B836" t="str">
            <v>VANCE COUNTY</v>
          </cell>
          <cell r="C836">
            <v>2.1218000000000001E-3</v>
          </cell>
          <cell r="D836"/>
          <cell r="E836">
            <v>1001234</v>
          </cell>
          <cell r="F836">
            <v>293948</v>
          </cell>
          <cell r="G836">
            <v>524704</v>
          </cell>
          <cell r="H836">
            <v>132708</v>
          </cell>
          <cell r="I836">
            <v>0</v>
          </cell>
        </row>
        <row r="837">
          <cell r="A837">
            <v>99104</v>
          </cell>
          <cell r="B837" t="str">
            <v>VANCE COUNTY ABC BD</v>
          </cell>
          <cell r="C837">
            <v>3.2700000000000002E-5</v>
          </cell>
          <cell r="D837"/>
          <cell r="E837">
            <v>22809</v>
          </cell>
          <cell r="F837">
            <v>9934</v>
          </cell>
          <cell r="G837">
            <v>12377</v>
          </cell>
          <cell r="H837">
            <v>4325</v>
          </cell>
          <cell r="I837">
            <v>0</v>
          </cell>
        </row>
        <row r="838">
          <cell r="A838">
            <v>99109</v>
          </cell>
          <cell r="B838" t="str">
            <v>KERR-TAR REGIONAL COUNCIL OF GOVTS</v>
          </cell>
          <cell r="C838">
            <v>1.169E-4</v>
          </cell>
          <cell r="D838"/>
          <cell r="E838">
            <v>53708</v>
          </cell>
          <cell r="F838">
            <v>17177</v>
          </cell>
          <cell r="G838">
            <v>29730</v>
          </cell>
          <cell r="H838">
            <v>8309</v>
          </cell>
          <cell r="I838">
            <v>0</v>
          </cell>
        </row>
        <row r="839">
          <cell r="A839">
            <v>99110</v>
          </cell>
          <cell r="B839" t="str">
            <v>KERR AREA TRANSPORTATION AUTHORITY</v>
          </cell>
          <cell r="C839">
            <v>1.437E-4</v>
          </cell>
          <cell r="D839"/>
          <cell r="E839">
            <v>93979</v>
          </cell>
          <cell r="F839">
            <v>39554</v>
          </cell>
          <cell r="G839">
            <v>49317</v>
          </cell>
          <cell r="H839">
            <v>14783</v>
          </cell>
          <cell r="I839">
            <v>0</v>
          </cell>
        </row>
        <row r="840">
          <cell r="A840">
            <v>99111</v>
          </cell>
          <cell r="B840" t="str">
            <v>CITY OF HENDERSON</v>
          </cell>
          <cell r="C840">
            <v>1.3064999999999999E-3</v>
          </cell>
          <cell r="D840"/>
          <cell r="E840">
            <v>606137</v>
          </cell>
          <cell r="F840">
            <v>178736</v>
          </cell>
          <cell r="G840">
            <v>336952</v>
          </cell>
          <cell r="H840">
            <v>92372</v>
          </cell>
          <cell r="I840">
            <v>0</v>
          </cell>
        </row>
        <row r="841">
          <cell r="A841">
            <v>99201</v>
          </cell>
          <cell r="B841" t="str">
            <v>WAKE COUNTY</v>
          </cell>
          <cell r="C841">
            <v>3.5284299999999998E-2</v>
          </cell>
          <cell r="D841"/>
          <cell r="E841">
            <v>17767424</v>
          </cell>
          <cell r="F841">
            <v>5767275</v>
          </cell>
          <cell r="G841">
            <v>9643328</v>
          </cell>
          <cell r="H841">
            <v>2830177</v>
          </cell>
          <cell r="I841">
            <v>0</v>
          </cell>
        </row>
        <row r="842">
          <cell r="A842">
            <v>99202</v>
          </cell>
          <cell r="B842" t="str">
            <v>TOWN OF HOLLY SPRINGS</v>
          </cell>
          <cell r="C842">
            <v>2.8322E-3</v>
          </cell>
          <cell r="D842"/>
          <cell r="E842">
            <v>1336577</v>
          </cell>
          <cell r="F842">
            <v>413203</v>
          </cell>
          <cell r="G842">
            <v>746614</v>
          </cell>
          <cell r="H842">
            <v>213319</v>
          </cell>
          <cell r="I842">
            <v>0</v>
          </cell>
        </row>
        <row r="843">
          <cell r="A843">
            <v>99203</v>
          </cell>
          <cell r="B843" t="str">
            <v>TOWN OF ROLESVILLE</v>
          </cell>
          <cell r="C843">
            <v>3.5179999999999999E-4</v>
          </cell>
          <cell r="D843"/>
          <cell r="E843">
            <v>176264</v>
          </cell>
          <cell r="F843">
            <v>53970</v>
          </cell>
          <cell r="G843">
            <v>99201</v>
          </cell>
          <cell r="H843">
            <v>35351</v>
          </cell>
          <cell r="I843">
            <v>0</v>
          </cell>
        </row>
        <row r="844">
          <cell r="A844">
            <v>99204</v>
          </cell>
          <cell r="B844" t="str">
            <v>WAKE COUNTY ABC BOARD</v>
          </cell>
          <cell r="C844">
            <v>9.4149999999999995E-4</v>
          </cell>
          <cell r="D844"/>
          <cell r="E844">
            <v>499504</v>
          </cell>
          <cell r="F844">
            <v>169430</v>
          </cell>
          <cell r="G844">
            <v>263799</v>
          </cell>
          <cell r="H844">
            <v>71988</v>
          </cell>
          <cell r="I844">
            <v>0</v>
          </cell>
        </row>
        <row r="845">
          <cell r="A845">
            <v>99206</v>
          </cell>
          <cell r="B845" t="str">
            <v>TOWN OF MORRISVILLE</v>
          </cell>
          <cell r="C845">
            <v>1.6375999999999999E-3</v>
          </cell>
          <cell r="D845"/>
          <cell r="E845">
            <v>1009816</v>
          </cell>
          <cell r="F845">
            <v>416864</v>
          </cell>
          <cell r="G845">
            <v>512056</v>
          </cell>
          <cell r="H845">
            <v>98680</v>
          </cell>
          <cell r="I845">
            <v>0</v>
          </cell>
        </row>
        <row r="846">
          <cell r="A846">
            <v>99207</v>
          </cell>
          <cell r="B846" t="str">
            <v>HOUSING AUTHORITY OF THE COUNTY OF WAKE</v>
          </cell>
          <cell r="C846">
            <v>1.206E-4</v>
          </cell>
          <cell r="D846"/>
          <cell r="E846">
            <v>138774</v>
          </cell>
          <cell r="F846">
            <v>87212</v>
          </cell>
          <cell r="G846">
            <v>78334</v>
          </cell>
          <cell r="H846">
            <v>32534</v>
          </cell>
          <cell r="I846">
            <v>0</v>
          </cell>
        </row>
        <row r="847">
          <cell r="A847">
            <v>99208</v>
          </cell>
          <cell r="B847" t="str">
            <v>BAYLEAF FIRE DEPARTMENT</v>
          </cell>
          <cell r="C847">
            <v>3.0939999999999999E-4</v>
          </cell>
          <cell r="D847"/>
          <cell r="E847">
            <v>164164</v>
          </cell>
          <cell r="F847">
            <v>66432</v>
          </cell>
          <cell r="G847">
            <v>101967</v>
          </cell>
          <cell r="H847">
            <v>30952</v>
          </cell>
          <cell r="I847">
            <v>0</v>
          </cell>
        </row>
        <row r="848">
          <cell r="A848">
            <v>99210</v>
          </cell>
          <cell r="B848" t="str">
            <v>ELECTRICITIES OF NC</v>
          </cell>
          <cell r="C848">
            <v>1.7913E-3</v>
          </cell>
          <cell r="D848"/>
          <cell r="E848">
            <v>957519</v>
          </cell>
          <cell r="F848">
            <v>348466</v>
          </cell>
          <cell r="G848">
            <v>540913</v>
          </cell>
          <cell r="H848">
            <v>179274</v>
          </cell>
          <cell r="I848">
            <v>0</v>
          </cell>
        </row>
        <row r="849">
          <cell r="A849">
            <v>99211</v>
          </cell>
          <cell r="B849" t="str">
            <v>CITY OF RALEIGH</v>
          </cell>
          <cell r="C849">
            <v>3.8786099999999997E-2</v>
          </cell>
          <cell r="D849"/>
          <cell r="E849">
            <v>18521703</v>
          </cell>
          <cell r="F849">
            <v>5643245</v>
          </cell>
          <cell r="G849">
            <v>10264045</v>
          </cell>
          <cell r="H849">
            <v>2767940</v>
          </cell>
          <cell r="I849">
            <v>0</v>
          </cell>
        </row>
        <row r="850">
          <cell r="A850">
            <v>99212</v>
          </cell>
          <cell r="B850" t="str">
            <v>DURHAM HWY FIRE PROTECTION ASSOC</v>
          </cell>
          <cell r="C850">
            <v>6.7999999999999999E-5</v>
          </cell>
          <cell r="D850"/>
          <cell r="E850">
            <v>22629</v>
          </cell>
          <cell r="F850">
            <v>6863</v>
          </cell>
          <cell r="G850">
            <v>14548</v>
          </cell>
          <cell r="H850">
            <v>3993</v>
          </cell>
          <cell r="I850">
            <v>0</v>
          </cell>
        </row>
        <row r="851">
          <cell r="A851">
            <v>99213</v>
          </cell>
          <cell r="B851" t="str">
            <v>CITY OF RALEIGH HOUSING AUTHORITY</v>
          </cell>
          <cell r="C851">
            <v>6.7770000000000005E-4</v>
          </cell>
          <cell r="D851"/>
          <cell r="E851">
            <v>306211</v>
          </cell>
          <cell r="F851">
            <v>81948</v>
          </cell>
          <cell r="G851">
            <v>166692</v>
          </cell>
          <cell r="H851">
            <v>34893</v>
          </cell>
          <cell r="I851">
            <v>0</v>
          </cell>
        </row>
        <row r="852">
          <cell r="A852">
            <v>99218</v>
          </cell>
          <cell r="B852" t="str">
            <v>RALEIGH-DURHAM AIRPORT AUTHORITY</v>
          </cell>
          <cell r="C852">
            <v>3.4424E-3</v>
          </cell>
          <cell r="D852"/>
          <cell r="E852">
            <v>1802223</v>
          </cell>
          <cell r="F852">
            <v>611324</v>
          </cell>
          <cell r="G852">
            <v>991869</v>
          </cell>
          <cell r="H852">
            <v>293943</v>
          </cell>
          <cell r="I852">
            <v>0</v>
          </cell>
        </row>
        <row r="853">
          <cell r="A853">
            <v>99221</v>
          </cell>
          <cell r="B853" t="str">
            <v>TOWN OF CARY</v>
          </cell>
          <cell r="C853">
            <v>1.26739E-2</v>
          </cell>
          <cell r="D853"/>
          <cell r="E853">
            <v>5963234</v>
          </cell>
          <cell r="F853">
            <v>1796448</v>
          </cell>
          <cell r="G853">
            <v>3290616</v>
          </cell>
          <cell r="H853">
            <v>934795</v>
          </cell>
          <cell r="I853">
            <v>0</v>
          </cell>
        </row>
        <row r="854">
          <cell r="A854">
            <v>99222</v>
          </cell>
          <cell r="B854" t="str">
            <v>CENTENNIAL AUTHORITY</v>
          </cell>
          <cell r="C854">
            <v>3.5599999999999998E-5</v>
          </cell>
          <cell r="D854"/>
          <cell r="E854">
            <v>15183</v>
          </cell>
          <cell r="F854">
            <v>3453</v>
          </cell>
          <cell r="G854">
            <v>8173</v>
          </cell>
          <cell r="H854">
            <v>2110</v>
          </cell>
          <cell r="I854">
            <v>0</v>
          </cell>
        </row>
        <row r="855">
          <cell r="A855">
            <v>99231</v>
          </cell>
          <cell r="B855" t="str">
            <v>TOWN OF WENDELL</v>
          </cell>
          <cell r="C855">
            <v>3.5159999999999998E-4</v>
          </cell>
          <cell r="D855"/>
          <cell r="E855">
            <v>161099</v>
          </cell>
          <cell r="F855">
            <v>44098</v>
          </cell>
          <cell r="G855">
            <v>88043</v>
          </cell>
          <cell r="H855">
            <v>24504</v>
          </cell>
          <cell r="I855">
            <v>0</v>
          </cell>
        </row>
        <row r="856">
          <cell r="A856">
            <v>99241</v>
          </cell>
          <cell r="B856" t="str">
            <v>TOWN OF ZEBULON</v>
          </cell>
          <cell r="C856">
            <v>5.6070000000000002E-4</v>
          </cell>
          <cell r="D856"/>
          <cell r="E856">
            <v>252598</v>
          </cell>
          <cell r="F856">
            <v>73391</v>
          </cell>
          <cell r="G856">
            <v>144011</v>
          </cell>
          <cell r="H856">
            <v>41131</v>
          </cell>
          <cell r="I856">
            <v>0</v>
          </cell>
        </row>
        <row r="857">
          <cell r="A857">
            <v>99251</v>
          </cell>
          <cell r="B857" t="str">
            <v>TOWN OF GARNER</v>
          </cell>
          <cell r="C857">
            <v>1.6358E-3</v>
          </cell>
          <cell r="D857"/>
          <cell r="E857">
            <v>791121</v>
          </cell>
          <cell r="F857">
            <v>239240</v>
          </cell>
          <cell r="G857">
            <v>431515</v>
          </cell>
          <cell r="H857">
            <v>126142</v>
          </cell>
          <cell r="I857">
            <v>0</v>
          </cell>
        </row>
        <row r="858">
          <cell r="A858">
            <v>99252</v>
          </cell>
          <cell r="B858" t="str">
            <v>GARNER FIRE DEPT</v>
          </cell>
          <cell r="C858">
            <v>6.6200000000000005E-4</v>
          </cell>
          <cell r="D858"/>
          <cell r="E858">
            <v>254771</v>
          </cell>
          <cell r="F858">
            <v>62098</v>
          </cell>
          <cell r="G858">
            <v>146238</v>
          </cell>
          <cell r="H858">
            <v>28684</v>
          </cell>
          <cell r="I858">
            <v>0</v>
          </cell>
        </row>
        <row r="859">
          <cell r="A859">
            <v>99261</v>
          </cell>
          <cell r="B859" t="str">
            <v>TOWN OF FUQUAY-VARINA</v>
          </cell>
          <cell r="C859">
            <v>2.2407E-3</v>
          </cell>
          <cell r="D859"/>
          <cell r="E859">
            <v>1061154</v>
          </cell>
          <cell r="F859">
            <v>324893</v>
          </cell>
          <cell r="G859">
            <v>588009</v>
          </cell>
          <cell r="H859">
            <v>170014</v>
          </cell>
          <cell r="I859">
            <v>0</v>
          </cell>
        </row>
        <row r="860">
          <cell r="A860">
            <v>99271</v>
          </cell>
          <cell r="B860" t="str">
            <v>TOWN OF APEX</v>
          </cell>
          <cell r="C860">
            <v>4.2773000000000004E-3</v>
          </cell>
          <cell r="D860"/>
          <cell r="E860">
            <v>2053202</v>
          </cell>
          <cell r="F860">
            <v>639632</v>
          </cell>
          <cell r="G860">
            <v>1129899</v>
          </cell>
          <cell r="H860">
            <v>302551</v>
          </cell>
          <cell r="I860">
            <v>0</v>
          </cell>
        </row>
        <row r="861">
          <cell r="A861">
            <v>99281</v>
          </cell>
          <cell r="B861" t="str">
            <v>TOWN OF WAKE FOREST</v>
          </cell>
          <cell r="C861">
            <v>2.4237E-3</v>
          </cell>
          <cell r="D861"/>
          <cell r="E861">
            <v>1157108</v>
          </cell>
          <cell r="F861">
            <v>358578</v>
          </cell>
          <cell r="G861">
            <v>646408</v>
          </cell>
          <cell r="H861">
            <v>183376</v>
          </cell>
          <cell r="I861">
            <v>0</v>
          </cell>
        </row>
        <row r="862">
          <cell r="A862">
            <v>99291</v>
          </cell>
          <cell r="B862" t="str">
            <v>TOWN OF KNIGHTDALE</v>
          </cell>
          <cell r="C862">
            <v>8.4909999999999998E-4</v>
          </cell>
          <cell r="D862"/>
          <cell r="E862">
            <v>381806</v>
          </cell>
          <cell r="F862">
            <v>108731</v>
          </cell>
          <cell r="G862">
            <v>219275</v>
          </cell>
          <cell r="H862">
            <v>55586</v>
          </cell>
          <cell r="I862">
            <v>0</v>
          </cell>
        </row>
        <row r="863">
          <cell r="A863">
            <v>99301</v>
          </cell>
          <cell r="B863" t="str">
            <v>WARREN COUNTY</v>
          </cell>
          <cell r="C863">
            <v>1.6092999999999999E-3</v>
          </cell>
          <cell r="D863"/>
          <cell r="E863">
            <v>728351</v>
          </cell>
          <cell r="F863">
            <v>186040</v>
          </cell>
          <cell r="G863">
            <v>385350</v>
          </cell>
          <cell r="H863">
            <v>96451</v>
          </cell>
          <cell r="I863">
            <v>0</v>
          </cell>
        </row>
        <row r="864">
          <cell r="A864">
            <v>99304</v>
          </cell>
          <cell r="B864" t="str">
            <v>WARREN COUNTY ABC BOARD</v>
          </cell>
          <cell r="C864">
            <v>7.6000000000000001E-6</v>
          </cell>
          <cell r="D864"/>
          <cell r="E864">
            <v>6085</v>
          </cell>
          <cell r="F864">
            <v>3096</v>
          </cell>
          <cell r="G864">
            <v>3416</v>
          </cell>
          <cell r="H864">
            <v>1287</v>
          </cell>
          <cell r="I864">
            <v>0</v>
          </cell>
        </row>
        <row r="865">
          <cell r="A865">
            <v>99311</v>
          </cell>
          <cell r="B865" t="str">
            <v>TOWN OF NORLINA</v>
          </cell>
          <cell r="C865">
            <v>5.9700000000000001E-5</v>
          </cell>
          <cell r="D865"/>
          <cell r="E865">
            <v>27634</v>
          </cell>
          <cell r="F865">
            <v>8505</v>
          </cell>
          <cell r="G865">
            <v>15768</v>
          </cell>
          <cell r="H865">
            <v>3458</v>
          </cell>
          <cell r="I865">
            <v>0</v>
          </cell>
        </row>
        <row r="866">
          <cell r="A866">
            <v>99321</v>
          </cell>
          <cell r="B866" t="str">
            <v>TOWN OF WARRENTON</v>
          </cell>
          <cell r="C866">
            <v>8.6399999999999999E-5</v>
          </cell>
          <cell r="D866"/>
          <cell r="E866">
            <v>77620</v>
          </cell>
          <cell r="F866">
            <v>38801</v>
          </cell>
          <cell r="G866">
            <v>40564</v>
          </cell>
          <cell r="H866">
            <v>17708</v>
          </cell>
          <cell r="I866">
            <v>0</v>
          </cell>
        </row>
        <row r="867">
          <cell r="A867">
            <v>99401</v>
          </cell>
          <cell r="B867" t="str">
            <v>WASHINGTON COUNTY</v>
          </cell>
          <cell r="C867">
            <v>7.7590000000000005E-4</v>
          </cell>
          <cell r="D867"/>
          <cell r="E867">
            <v>355657</v>
          </cell>
          <cell r="F867">
            <v>90947</v>
          </cell>
          <cell r="G867">
            <v>183685</v>
          </cell>
          <cell r="H867">
            <v>51545</v>
          </cell>
          <cell r="I867">
            <v>0</v>
          </cell>
        </row>
        <row r="868">
          <cell r="A868">
            <v>99404</v>
          </cell>
          <cell r="B868" t="str">
            <v>WASHINGTON COUNTY ABC BOARD</v>
          </cell>
          <cell r="C868">
            <v>8.4999999999999999E-6</v>
          </cell>
          <cell r="D868"/>
          <cell r="E868">
            <v>4845</v>
          </cell>
          <cell r="F868">
            <v>1854</v>
          </cell>
          <cell r="G868">
            <v>2640</v>
          </cell>
          <cell r="H868">
            <v>844</v>
          </cell>
          <cell r="I868">
            <v>0</v>
          </cell>
        </row>
        <row r="869">
          <cell r="A869">
            <v>99405</v>
          </cell>
          <cell r="B869" t="str">
            <v>PETTIGREW REGIONAL LIBRARY</v>
          </cell>
          <cell r="C869">
            <v>5.9799999999999997E-5</v>
          </cell>
          <cell r="D869"/>
          <cell r="E869">
            <v>36712</v>
          </cell>
          <cell r="F869">
            <v>15658</v>
          </cell>
          <cell r="G869">
            <v>19895</v>
          </cell>
          <cell r="H869">
            <v>8022</v>
          </cell>
          <cell r="I869">
            <v>0</v>
          </cell>
        </row>
        <row r="870">
          <cell r="A870">
            <v>99411</v>
          </cell>
          <cell r="B870" t="str">
            <v>TOWN OF PLYMOUTH</v>
          </cell>
          <cell r="C870">
            <v>1.7139999999999999E-4</v>
          </cell>
          <cell r="D870"/>
          <cell r="E870">
            <v>97629</v>
          </cell>
          <cell r="F870">
            <v>36020</v>
          </cell>
          <cell r="G870">
            <v>49340</v>
          </cell>
          <cell r="H870">
            <v>13813</v>
          </cell>
          <cell r="I870">
            <v>0</v>
          </cell>
        </row>
        <row r="871">
          <cell r="A871">
            <v>99413</v>
          </cell>
          <cell r="B871" t="str">
            <v>PLYMOUTH HOUSING AUTHORITY</v>
          </cell>
          <cell r="C871">
            <v>2.0400000000000001E-5</v>
          </cell>
          <cell r="D871"/>
          <cell r="E871">
            <v>11351</v>
          </cell>
          <cell r="F871">
            <v>5107</v>
          </cell>
          <cell r="G871">
            <v>5995</v>
          </cell>
          <cell r="H871">
            <v>2993</v>
          </cell>
          <cell r="I871">
            <v>0</v>
          </cell>
        </row>
        <row r="872">
          <cell r="A872">
            <v>99421</v>
          </cell>
          <cell r="B872" t="str">
            <v>TOWN OF ROPER</v>
          </cell>
          <cell r="C872">
            <v>1.3499999999999999E-5</v>
          </cell>
          <cell r="D872"/>
          <cell r="E872">
            <v>5620</v>
          </cell>
          <cell r="F872">
            <v>1856</v>
          </cell>
          <cell r="G872">
            <v>3877</v>
          </cell>
          <cell r="H872">
            <v>1094</v>
          </cell>
          <cell r="I872">
            <v>0</v>
          </cell>
        </row>
        <row r="873">
          <cell r="A873">
            <v>99431</v>
          </cell>
          <cell r="B873" t="str">
            <v>TOWN OF CRESWELL</v>
          </cell>
          <cell r="C873">
            <v>1.4800000000000001E-5</v>
          </cell>
          <cell r="D873"/>
          <cell r="E873">
            <v>4526</v>
          </cell>
          <cell r="F873">
            <v>-188</v>
          </cell>
          <cell r="G873">
            <v>1917</v>
          </cell>
          <cell r="H873">
            <v>-342</v>
          </cell>
          <cell r="I873">
            <v>0</v>
          </cell>
        </row>
        <row r="874">
          <cell r="A874">
            <v>99501</v>
          </cell>
          <cell r="B874" t="str">
            <v>WATAUGA COUNTY</v>
          </cell>
          <cell r="C874">
            <v>1.6478E-3</v>
          </cell>
          <cell r="D874"/>
          <cell r="E874">
            <v>815227</v>
          </cell>
          <cell r="F874">
            <v>259403</v>
          </cell>
          <cell r="G874">
            <v>452383</v>
          </cell>
          <cell r="H874">
            <v>134746</v>
          </cell>
          <cell r="I874">
            <v>0</v>
          </cell>
        </row>
        <row r="875">
          <cell r="A875">
            <v>99502</v>
          </cell>
          <cell r="B875" t="str">
            <v>REGION D COUNCIL OF GOVERNMENTS</v>
          </cell>
          <cell r="C875">
            <v>1.4459999999999999E-4</v>
          </cell>
          <cell r="D875"/>
          <cell r="E875">
            <v>72571</v>
          </cell>
          <cell r="F875">
            <v>21331</v>
          </cell>
          <cell r="G875">
            <v>37318</v>
          </cell>
          <cell r="H875">
            <v>7699</v>
          </cell>
          <cell r="I875">
            <v>0</v>
          </cell>
        </row>
        <row r="876">
          <cell r="A876">
            <v>99508</v>
          </cell>
          <cell r="B876" t="str">
            <v>BLOWING ROCK TOURISM DEVELOPMENT AUTHORITY</v>
          </cell>
          <cell r="C876">
            <v>2.0999999999999999E-5</v>
          </cell>
          <cell r="D876"/>
          <cell r="E876">
            <v>9916</v>
          </cell>
          <cell r="F876">
            <v>3042</v>
          </cell>
          <cell r="G876">
            <v>5425</v>
          </cell>
          <cell r="H876">
            <v>1517</v>
          </cell>
          <cell r="I876">
            <v>0</v>
          </cell>
        </row>
        <row r="877">
          <cell r="A877">
            <v>99509</v>
          </cell>
          <cell r="B877" t="str">
            <v>WATAUGA COUNTY DISTRICT U TDA</v>
          </cell>
          <cell r="C877">
            <v>2.5199999999999999E-5</v>
          </cell>
          <cell r="D877"/>
          <cell r="E877">
            <v>11034</v>
          </cell>
          <cell r="F877">
            <v>2781</v>
          </cell>
          <cell r="G877">
            <v>6120</v>
          </cell>
          <cell r="H877">
            <v>1727</v>
          </cell>
          <cell r="I877">
            <v>0</v>
          </cell>
        </row>
        <row r="878">
          <cell r="A878">
            <v>99511</v>
          </cell>
          <cell r="B878" t="str">
            <v>TOWN OF BOONE</v>
          </cell>
          <cell r="C878">
            <v>1.3293999999999999E-3</v>
          </cell>
          <cell r="D878"/>
          <cell r="E878">
            <v>591884</v>
          </cell>
          <cell r="F878">
            <v>159371</v>
          </cell>
          <cell r="G878">
            <v>316887</v>
          </cell>
          <cell r="H878">
            <v>86045</v>
          </cell>
          <cell r="I878">
            <v>0</v>
          </cell>
        </row>
        <row r="879">
          <cell r="A879">
            <v>99521</v>
          </cell>
          <cell r="B879" t="str">
            <v>TOWN OF BLOWING ROCK</v>
          </cell>
          <cell r="C879">
            <v>4.8200000000000001E-4</v>
          </cell>
          <cell r="D879"/>
          <cell r="E879">
            <v>227351</v>
          </cell>
          <cell r="F879">
            <v>68510</v>
          </cell>
          <cell r="G879">
            <v>123062</v>
          </cell>
          <cell r="H879">
            <v>26622</v>
          </cell>
          <cell r="I879">
            <v>0</v>
          </cell>
        </row>
        <row r="880">
          <cell r="A880">
            <v>99527</v>
          </cell>
          <cell r="B880" t="str">
            <v>BLOWING ROCK ABC BD</v>
          </cell>
          <cell r="C880">
            <v>1.1E-5</v>
          </cell>
          <cell r="D880"/>
          <cell r="E880">
            <v>5828</v>
          </cell>
          <cell r="F880">
            <v>2032</v>
          </cell>
          <cell r="G880">
            <v>3224</v>
          </cell>
          <cell r="H880">
            <v>1007</v>
          </cell>
          <cell r="I880">
            <v>0</v>
          </cell>
        </row>
        <row r="881">
          <cell r="A881">
            <v>99531</v>
          </cell>
          <cell r="B881" t="str">
            <v>TOWN OF SEVEN DEVILS</v>
          </cell>
          <cell r="C881">
            <v>8.6299999999999997E-5</v>
          </cell>
          <cell r="D881"/>
          <cell r="E881">
            <v>66713</v>
          </cell>
          <cell r="F881">
            <v>32125</v>
          </cell>
          <cell r="G881">
            <v>35069</v>
          </cell>
          <cell r="H881">
            <v>12967</v>
          </cell>
          <cell r="I881">
            <v>0</v>
          </cell>
        </row>
        <row r="882">
          <cell r="A882">
            <v>99601</v>
          </cell>
          <cell r="B882" t="str">
            <v>WAYNE COUNTY</v>
          </cell>
          <cell r="C882">
            <v>5.9021999999999998E-3</v>
          </cell>
          <cell r="D882"/>
          <cell r="E882">
            <v>2873336</v>
          </cell>
          <cell r="F882">
            <v>904051</v>
          </cell>
          <cell r="G882">
            <v>1513458</v>
          </cell>
          <cell r="H882">
            <v>396143</v>
          </cell>
          <cell r="I882">
            <v>0</v>
          </cell>
        </row>
        <row r="883">
          <cell r="A883">
            <v>99602</v>
          </cell>
          <cell r="B883" t="str">
            <v>FORK TOWNSHIP SANITARY DIST</v>
          </cell>
          <cell r="C883">
            <v>6.1500000000000004E-5</v>
          </cell>
          <cell r="D883"/>
          <cell r="E883">
            <v>31065</v>
          </cell>
          <cell r="F883">
            <v>9893</v>
          </cell>
          <cell r="G883">
            <v>15235</v>
          </cell>
          <cell r="H883">
            <v>3712</v>
          </cell>
          <cell r="I883">
            <v>0</v>
          </cell>
        </row>
        <row r="884">
          <cell r="A884">
            <v>99603</v>
          </cell>
          <cell r="B884" t="str">
            <v>EASTERN CAROLINA REG'L HOUSING AUTH</v>
          </cell>
          <cell r="C884">
            <v>1.5540000000000001E-4</v>
          </cell>
          <cell r="D884"/>
          <cell r="E884">
            <v>97613</v>
          </cell>
          <cell r="F884">
            <v>31848</v>
          </cell>
          <cell r="G884">
            <v>43685</v>
          </cell>
          <cell r="H884">
            <v>9855</v>
          </cell>
          <cell r="I884">
            <v>0</v>
          </cell>
        </row>
        <row r="885">
          <cell r="A885">
            <v>99604</v>
          </cell>
          <cell r="B885" t="str">
            <v>WAYNE COUNTY ABC BOARD</v>
          </cell>
          <cell r="C885">
            <v>9.1100000000000005E-5</v>
          </cell>
          <cell r="D885"/>
          <cell r="E885">
            <v>50410</v>
          </cell>
          <cell r="F885">
            <v>18244</v>
          </cell>
          <cell r="G885">
            <v>26737</v>
          </cell>
          <cell r="H885">
            <v>7098</v>
          </cell>
          <cell r="I885">
            <v>0</v>
          </cell>
        </row>
        <row r="886">
          <cell r="A886">
            <v>99609</v>
          </cell>
          <cell r="B886" t="str">
            <v>SOUTHERN WAYNE SANITARY DISTRICT</v>
          </cell>
          <cell r="C886">
            <v>2.8799999999999999E-5</v>
          </cell>
          <cell r="D886"/>
          <cell r="E886">
            <v>16485</v>
          </cell>
          <cell r="F886">
            <v>6251</v>
          </cell>
          <cell r="G886">
            <v>9911</v>
          </cell>
          <cell r="H886">
            <v>3429</v>
          </cell>
          <cell r="I886">
            <v>0</v>
          </cell>
        </row>
        <row r="887">
          <cell r="A887">
            <v>99610</v>
          </cell>
          <cell r="B887" t="str">
            <v>EASTERN WAYNE SANITARY DIST</v>
          </cell>
          <cell r="C887">
            <v>1.683E-4</v>
          </cell>
          <cell r="D887"/>
          <cell r="E887">
            <v>77978</v>
          </cell>
          <cell r="F887">
            <v>20843</v>
          </cell>
          <cell r="G887">
            <v>40836</v>
          </cell>
          <cell r="H887">
            <v>10312</v>
          </cell>
          <cell r="I887">
            <v>0</v>
          </cell>
        </row>
        <row r="888">
          <cell r="A888">
            <v>99611</v>
          </cell>
          <cell r="B888" t="str">
            <v>CITY OF GOLDSBORO</v>
          </cell>
          <cell r="C888">
            <v>3.2022000000000001E-3</v>
          </cell>
          <cell r="D888"/>
          <cell r="E888">
            <v>1514058</v>
          </cell>
          <cell r="F888">
            <v>474049</v>
          </cell>
          <cell r="G888">
            <v>829499</v>
          </cell>
          <cell r="H888">
            <v>215424</v>
          </cell>
          <cell r="I888">
            <v>0</v>
          </cell>
        </row>
        <row r="889">
          <cell r="A889">
            <v>99613</v>
          </cell>
          <cell r="B889" t="str">
            <v>HOUSING AUTHORITY OF GOLDSBORO</v>
          </cell>
          <cell r="C889">
            <v>3.3720000000000001E-4</v>
          </cell>
          <cell r="D889"/>
          <cell r="E889">
            <v>265698</v>
          </cell>
          <cell r="F889">
            <v>116770</v>
          </cell>
          <cell r="G889">
            <v>124505</v>
          </cell>
          <cell r="H889">
            <v>21918</v>
          </cell>
          <cell r="I889">
            <v>0</v>
          </cell>
        </row>
        <row r="890">
          <cell r="A890">
            <v>99621</v>
          </cell>
          <cell r="B890" t="str">
            <v>TOWN OF MOUNT OLIVE</v>
          </cell>
          <cell r="C890">
            <v>3.5530000000000002E-4</v>
          </cell>
          <cell r="D890"/>
          <cell r="E890">
            <v>177338</v>
          </cell>
          <cell r="F890">
            <v>53918</v>
          </cell>
          <cell r="G890">
            <v>88048</v>
          </cell>
          <cell r="H890">
            <v>21302</v>
          </cell>
          <cell r="I890">
            <v>0</v>
          </cell>
        </row>
        <row r="891">
          <cell r="A891">
            <v>99623</v>
          </cell>
          <cell r="B891" t="str">
            <v>MT OLIVE HOUSING AUTHORITY</v>
          </cell>
          <cell r="C891">
            <v>1.08E-5</v>
          </cell>
          <cell r="D891"/>
          <cell r="E891">
            <v>54</v>
          </cell>
          <cell r="F891">
            <v>-3884</v>
          </cell>
          <cell r="G891">
            <v>-1983</v>
          </cell>
          <cell r="H891">
            <v>-4016</v>
          </cell>
          <cell r="I891">
            <v>0</v>
          </cell>
        </row>
        <row r="892">
          <cell r="A892">
            <v>99631</v>
          </cell>
          <cell r="B892" t="str">
            <v>TOWN OF FREMONT</v>
          </cell>
          <cell r="C892">
            <v>1.078E-4</v>
          </cell>
          <cell r="D892"/>
          <cell r="E892">
            <v>49802</v>
          </cell>
          <cell r="F892">
            <v>13740</v>
          </cell>
          <cell r="G892">
            <v>25749</v>
          </cell>
          <cell r="H892">
            <v>5747</v>
          </cell>
          <cell r="I892">
            <v>0</v>
          </cell>
        </row>
        <row r="893">
          <cell r="A893">
            <v>99651</v>
          </cell>
          <cell r="B893" t="str">
            <v>TOWN OF PIKEVILLE</v>
          </cell>
          <cell r="C893">
            <v>6.5300000000000002E-5</v>
          </cell>
          <cell r="D893"/>
          <cell r="E893">
            <v>32749</v>
          </cell>
          <cell r="F893">
            <v>10104</v>
          </cell>
          <cell r="G893">
            <v>17644</v>
          </cell>
          <cell r="H893">
            <v>6852</v>
          </cell>
          <cell r="I893">
            <v>0</v>
          </cell>
        </row>
        <row r="894">
          <cell r="A894">
            <v>99661</v>
          </cell>
          <cell r="B894" t="str">
            <v>VILLAGE OF WALNUT CREEK</v>
          </cell>
          <cell r="C894">
            <v>3.4799999999999999E-5</v>
          </cell>
          <cell r="D894"/>
          <cell r="E894">
            <v>37088</v>
          </cell>
          <cell r="F894">
            <v>21797</v>
          </cell>
          <cell r="G894">
            <v>22335</v>
          </cell>
          <cell r="H894">
            <v>10851</v>
          </cell>
          <cell r="I894">
            <v>0</v>
          </cell>
        </row>
        <row r="895">
          <cell r="A895">
            <v>99701</v>
          </cell>
          <cell r="B895" t="str">
            <v>WILKES COUNTY</v>
          </cell>
          <cell r="C895">
            <v>2.9930999999999998E-3</v>
          </cell>
          <cell r="D895"/>
          <cell r="E895">
            <v>1454277</v>
          </cell>
          <cell r="F895">
            <v>442609</v>
          </cell>
          <cell r="G895">
            <v>785344</v>
          </cell>
          <cell r="H895">
            <v>223062</v>
          </cell>
          <cell r="I895">
            <v>0</v>
          </cell>
        </row>
        <row r="896">
          <cell r="A896">
            <v>99705</v>
          </cell>
          <cell r="B896" t="str">
            <v>APPALACHIAN REGIONAL LIBRARY</v>
          </cell>
          <cell r="C896">
            <v>1.5530000000000001E-4</v>
          </cell>
          <cell r="D896"/>
          <cell r="E896">
            <v>81153</v>
          </cell>
          <cell r="F896">
            <v>28266</v>
          </cell>
          <cell r="G896">
            <v>44728</v>
          </cell>
          <cell r="H896">
            <v>14288</v>
          </cell>
          <cell r="I896">
            <v>0</v>
          </cell>
        </row>
        <row r="897">
          <cell r="A897">
            <v>99711</v>
          </cell>
          <cell r="B897" t="str">
            <v>TOWN OF N WILKESBORO</v>
          </cell>
          <cell r="C897">
            <v>4.2489999999999997E-4</v>
          </cell>
          <cell r="D897"/>
          <cell r="E897">
            <v>207882</v>
          </cell>
          <cell r="F897">
            <v>65347</v>
          </cell>
          <cell r="G897">
            <v>110346</v>
          </cell>
          <cell r="H897">
            <v>30040</v>
          </cell>
          <cell r="I897">
            <v>0</v>
          </cell>
        </row>
        <row r="898">
          <cell r="A898">
            <v>99717</v>
          </cell>
          <cell r="B898" t="str">
            <v>TOWN OF N WILKESBORO ABC BOARD</v>
          </cell>
          <cell r="C898">
            <v>2.6599999999999999E-5</v>
          </cell>
          <cell r="D898"/>
          <cell r="E898">
            <v>11980</v>
          </cell>
          <cell r="F898">
            <v>3255</v>
          </cell>
          <cell r="G898">
            <v>6903</v>
          </cell>
          <cell r="H898">
            <v>2226</v>
          </cell>
          <cell r="I898">
            <v>0</v>
          </cell>
        </row>
        <row r="899">
          <cell r="A899">
            <v>99721</v>
          </cell>
          <cell r="B899" t="str">
            <v>TOWN OF WILKESBORO</v>
          </cell>
          <cell r="C899">
            <v>6.1160000000000001E-4</v>
          </cell>
          <cell r="D899"/>
          <cell r="E899">
            <v>285667</v>
          </cell>
          <cell r="F899">
            <v>81052</v>
          </cell>
          <cell r="G899">
            <v>161017</v>
          </cell>
          <cell r="H899">
            <v>46856</v>
          </cell>
          <cell r="I899">
            <v>0</v>
          </cell>
        </row>
        <row r="900">
          <cell r="A900">
            <v>99727</v>
          </cell>
          <cell r="B900" t="str">
            <v>WILKESBORO ABC BOARD</v>
          </cell>
          <cell r="C900">
            <v>1.98E-5</v>
          </cell>
          <cell r="D900"/>
          <cell r="E900">
            <v>36652</v>
          </cell>
          <cell r="F900">
            <v>24187</v>
          </cell>
          <cell r="G900">
            <v>19607</v>
          </cell>
          <cell r="H900">
            <v>8489</v>
          </cell>
          <cell r="I900">
            <v>0</v>
          </cell>
        </row>
        <row r="901">
          <cell r="A901">
            <v>99801</v>
          </cell>
          <cell r="B901" t="str">
            <v>WILSON COUNTY</v>
          </cell>
          <cell r="C901">
            <v>4.7737999999999999E-3</v>
          </cell>
          <cell r="D901"/>
          <cell r="E901">
            <v>2173023</v>
          </cell>
          <cell r="F901">
            <v>570826</v>
          </cell>
          <cell r="G901">
            <v>1140152</v>
          </cell>
          <cell r="H901">
            <v>297576</v>
          </cell>
          <cell r="I901">
            <v>0</v>
          </cell>
        </row>
        <row r="902">
          <cell r="A902">
            <v>99802</v>
          </cell>
          <cell r="B902" t="str">
            <v>WILSON COUNTY TOURISM DEVELOPMENT AUTH</v>
          </cell>
          <cell r="C902">
            <v>1.1600000000000001E-5</v>
          </cell>
          <cell r="D902"/>
          <cell r="E902">
            <v>7515</v>
          </cell>
          <cell r="F902">
            <v>3558</v>
          </cell>
          <cell r="G902">
            <v>4596</v>
          </cell>
          <cell r="H902">
            <v>1162</v>
          </cell>
          <cell r="I902">
            <v>0</v>
          </cell>
        </row>
        <row r="903">
          <cell r="A903">
            <v>99804</v>
          </cell>
          <cell r="B903" t="str">
            <v>WILSON COUNTY ABC BOARD</v>
          </cell>
          <cell r="C903">
            <v>7.2200000000000007E-5</v>
          </cell>
          <cell r="D903"/>
          <cell r="E903">
            <v>38217</v>
          </cell>
          <cell r="F903">
            <v>12984</v>
          </cell>
          <cell r="G903">
            <v>19509</v>
          </cell>
          <cell r="H903">
            <v>5893</v>
          </cell>
          <cell r="I903">
            <v>0</v>
          </cell>
        </row>
        <row r="904">
          <cell r="A904">
            <v>99811</v>
          </cell>
          <cell r="B904" t="str">
            <v>CITY OF WILSON</v>
          </cell>
          <cell r="C904">
            <v>6.4218000000000001E-3</v>
          </cell>
          <cell r="D904"/>
          <cell r="E904">
            <v>2914143</v>
          </cell>
          <cell r="F904">
            <v>807842</v>
          </cell>
          <cell r="G904">
            <v>1600792</v>
          </cell>
          <cell r="H904">
            <v>447394</v>
          </cell>
          <cell r="I904">
            <v>0</v>
          </cell>
        </row>
        <row r="905">
          <cell r="A905">
            <v>99812</v>
          </cell>
          <cell r="B905" t="str">
            <v>WILSON ECONOMIC DEV COUNCIL</v>
          </cell>
          <cell r="C905">
            <v>1.88E-5</v>
          </cell>
          <cell r="D905"/>
          <cell r="E905">
            <v>15941</v>
          </cell>
          <cell r="F905">
            <v>8496</v>
          </cell>
          <cell r="G905">
            <v>9240</v>
          </cell>
          <cell r="H905">
            <v>3759</v>
          </cell>
          <cell r="I905">
            <v>0</v>
          </cell>
        </row>
        <row r="906">
          <cell r="A906">
            <v>99818</v>
          </cell>
          <cell r="B906" t="str">
            <v>CITY OF WILSON CEMETERY COMMISSION</v>
          </cell>
          <cell r="C906">
            <v>3.5599999999999998E-5</v>
          </cell>
          <cell r="D906"/>
          <cell r="E906">
            <v>15139</v>
          </cell>
          <cell r="F906">
            <v>3805</v>
          </cell>
          <cell r="G906">
            <v>8905</v>
          </cell>
          <cell r="H906">
            <v>2433</v>
          </cell>
          <cell r="I906">
            <v>0</v>
          </cell>
        </row>
        <row r="907">
          <cell r="A907">
            <v>99821</v>
          </cell>
          <cell r="B907" t="str">
            <v>TOWN OF STANTONSBURG</v>
          </cell>
          <cell r="C907">
            <v>9.8200000000000002E-5</v>
          </cell>
          <cell r="D907"/>
          <cell r="E907">
            <v>55015</v>
          </cell>
          <cell r="F907">
            <v>20547</v>
          </cell>
          <cell r="G907">
            <v>28955</v>
          </cell>
          <cell r="H907">
            <v>9057</v>
          </cell>
          <cell r="I907">
            <v>0</v>
          </cell>
        </row>
        <row r="908">
          <cell r="A908">
            <v>99831</v>
          </cell>
          <cell r="B908" t="str">
            <v>TOWN OF BLACK CREEK</v>
          </cell>
          <cell r="C908">
            <v>5.5399999999999998E-5</v>
          </cell>
          <cell r="D908"/>
          <cell r="E908">
            <v>28911</v>
          </cell>
          <cell r="F908">
            <v>9509</v>
          </cell>
          <cell r="G908">
            <v>14732</v>
          </cell>
          <cell r="H908">
            <v>6056</v>
          </cell>
          <cell r="I908">
            <v>0</v>
          </cell>
        </row>
        <row r="909">
          <cell r="A909">
            <v>99841</v>
          </cell>
          <cell r="B909" t="str">
            <v>TOWN OF LUCAMA</v>
          </cell>
          <cell r="C909">
            <v>1.59E-5</v>
          </cell>
          <cell r="D909"/>
          <cell r="E909">
            <v>3134</v>
          </cell>
          <cell r="F909">
            <v>-1994</v>
          </cell>
          <cell r="G909">
            <v>369</v>
          </cell>
          <cell r="H909">
            <v>-960</v>
          </cell>
          <cell r="I909">
            <v>0</v>
          </cell>
        </row>
        <row r="910">
          <cell r="A910">
            <v>99851</v>
          </cell>
          <cell r="B910" t="str">
            <v>TOWN OF ELM CITY</v>
          </cell>
          <cell r="C910">
            <v>7.9000000000000006E-6</v>
          </cell>
          <cell r="D910"/>
          <cell r="E910">
            <v>-437</v>
          </cell>
          <cell r="F910">
            <v>-2796</v>
          </cell>
          <cell r="G910">
            <v>-1358</v>
          </cell>
          <cell r="H910">
            <v>-2365</v>
          </cell>
          <cell r="I910">
            <v>0</v>
          </cell>
        </row>
        <row r="911">
          <cell r="A911">
            <v>99901</v>
          </cell>
          <cell r="B911" t="str">
            <v>YADKIN COUNTY</v>
          </cell>
          <cell r="C911">
            <v>1.5942E-3</v>
          </cell>
          <cell r="D911"/>
          <cell r="E911">
            <v>767498</v>
          </cell>
          <cell r="F911">
            <v>223386</v>
          </cell>
          <cell r="G911">
            <v>400591</v>
          </cell>
          <cell r="H911">
            <v>119172</v>
          </cell>
          <cell r="I911">
            <v>0</v>
          </cell>
        </row>
        <row r="912">
          <cell r="A912">
            <v>99911</v>
          </cell>
          <cell r="B912" t="str">
            <v>TOWN OF YADKINVILLE</v>
          </cell>
          <cell r="C912">
            <v>2.219E-4</v>
          </cell>
          <cell r="D912"/>
          <cell r="E912">
            <v>106678</v>
          </cell>
          <cell r="F912">
            <v>34113</v>
          </cell>
          <cell r="G912">
            <v>58044</v>
          </cell>
          <cell r="H912">
            <v>17828</v>
          </cell>
          <cell r="I912">
            <v>0</v>
          </cell>
        </row>
        <row r="913">
          <cell r="A913">
            <v>99921</v>
          </cell>
          <cell r="B913" t="str">
            <v>TOWN OF JONESVILLE</v>
          </cell>
          <cell r="C913">
            <v>1.315E-4</v>
          </cell>
          <cell r="D913"/>
          <cell r="E913">
            <v>59792</v>
          </cell>
          <cell r="F913">
            <v>15099</v>
          </cell>
          <cell r="G913">
            <v>30984</v>
          </cell>
          <cell r="H913">
            <v>10327</v>
          </cell>
          <cell r="I913">
            <v>0</v>
          </cell>
        </row>
        <row r="914">
          <cell r="A914">
            <v>99931</v>
          </cell>
          <cell r="B914" t="str">
            <v>TOWN OF EAST BEND</v>
          </cell>
          <cell r="C914">
            <v>2.1699999999999999E-5</v>
          </cell>
          <cell r="D914"/>
          <cell r="E914">
            <v>10777</v>
          </cell>
          <cell r="F914">
            <v>3732</v>
          </cell>
          <cell r="G914">
            <v>7436</v>
          </cell>
          <cell r="H914">
            <v>2931</v>
          </cell>
          <cell r="I914">
            <v>0</v>
          </cell>
        </row>
        <row r="915">
          <cell r="A915">
            <v>99941</v>
          </cell>
          <cell r="B915" t="str">
            <v>TOWN OF BOONVILLE</v>
          </cell>
          <cell r="C915">
            <v>7.7399999999999998E-5</v>
          </cell>
          <cell r="D915"/>
          <cell r="E915">
            <v>33492</v>
          </cell>
          <cell r="F915">
            <v>9312</v>
          </cell>
          <cell r="G915">
            <v>18984</v>
          </cell>
          <cell r="H915">
            <v>4852</v>
          </cell>
          <cell r="I915">
            <v>0</v>
          </cell>
        </row>
        <row r="916">
          <cell r="A916">
            <v>99991</v>
          </cell>
          <cell r="B916" t="str">
            <v>N C ASSOC OF CO COMMISSIONERS</v>
          </cell>
          <cell r="C916">
            <v>5.0869999999999995E-4</v>
          </cell>
          <cell r="D916"/>
          <cell r="E916">
            <v>238917</v>
          </cell>
          <cell r="F916">
            <v>64313</v>
          </cell>
          <cell r="G916">
            <v>129284</v>
          </cell>
          <cell r="H916">
            <v>34714</v>
          </cell>
          <cell r="I916">
            <v>0</v>
          </cell>
        </row>
        <row r="917">
          <cell r="A917">
            <v>99999</v>
          </cell>
          <cell r="B917" t="str">
            <v>N C LEAGUE OF MUNICIPALITIES</v>
          </cell>
          <cell r="C917">
            <v>1.0093000000000001E-3</v>
          </cell>
          <cell r="D917"/>
          <cell r="E917">
            <v>560734</v>
          </cell>
          <cell r="F917">
            <v>206945</v>
          </cell>
          <cell r="G917">
            <v>322994</v>
          </cell>
          <cell r="H917">
            <v>108341</v>
          </cell>
          <cell r="I917">
            <v>0</v>
          </cell>
        </row>
      </sheetData>
    </sheetDataSet>
  </externalBook>
</externalLink>
</file>

<file path=xl/persons/person.xml><?xml version="1.0" encoding="utf-8"?>
<personList xmlns="http://schemas.microsoft.com/office/spreadsheetml/2018/threadedcomments" xmlns:x="http://schemas.openxmlformats.org/spreadsheetml/2006/main">
  <person displayName="Kendra Boyle" id="{4689EE39-4D50-4DDB-A6A9-D3B21C1FA47D}"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0-04-06T13:38:06.21" personId="{4689EE39-4D50-4DDB-A6A9-D3B21C1FA47D}" id="{DA29CE89-0254-40DA-8C5A-3D363D4CCC88}">
    <text>Appropriate schedules in the Office of State Auditor Report</text>
  </threadedComment>
  <threadedComment ref="B7" dT="2020-04-06T13:40:03.06" personId="{4689EE39-4D50-4DDB-A6A9-D3B21C1FA47D}" id="{A54EBF66-8521-48EC-9B4E-F6143D5706CD}">
    <text>Make sure this list matches the CY Office of State Auditor list and list from FOD</text>
  </threadedComment>
  <threadedComment ref="B7" dT="2020-04-06T13:42:05.82" personId="{4689EE39-4D50-4DDB-A6A9-D3B21C1FA47D}" id="{B914AB3D-9719-4BE9-A676-C78692A7255E}" parentId="{A54EBF66-8521-48EC-9B4E-F6143D5706CD}">
    <text/>
  </threadedComment>
  <threadedComment ref="C7" dT="2020-04-06T12:50:19.78" personId="{4689EE39-4D50-4DDB-A6A9-D3B21C1FA47D}" id="{796B3168-B70D-4088-AA44-E66CE30D881F}">
    <text>LGERS Schedule 1 in State Auditors Report</text>
  </threadedComment>
  <threadedComment ref="D7" dT="2020-04-06T13:39:02.88" personId="{4689EE39-4D50-4DDB-A6A9-D3B21C1FA47D}" id="{91547CDF-F917-489D-8001-94F250BD98D5}">
    <text>use vlookup to pull # from PY summary</text>
  </threadedComment>
  <threadedComment ref="D7" dT="2020-04-06T13:45:49.26" personId="{4689EE39-4D50-4DDB-A6A9-D3B21C1FA47D}" id="{87319072-FD1A-4E32-856E-1DE3D3C62541}" parentId="{91547CDF-F917-489D-8001-94F250BD98D5}">
    <text>Clean up any N/A that result from Vlookup and the copy and paste values in this column over the vlookup formula</text>
  </threadedComment>
  <threadedComment ref="E7" dT="2020-04-06T13:43:01.61" personId="{4689EE39-4D50-4DDB-A6A9-D3B21C1FA47D}" id="{FF883F4D-3E3A-4419-BF84-894DBA1C51EE}">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B4" dT="2020-04-06T13:38:06.21" personId="{4689EE39-4D50-4DDB-A6A9-D3B21C1FA47D}" id="{67B810F5-8127-4574-BA1F-C8609E87121B}">
    <text>Appropriate schedules in the Office of State Auditor Report</text>
  </threadedComment>
  <threadedComment ref="B7" dT="2020-04-06T13:40:03.06" personId="{4689EE39-4D50-4DDB-A6A9-D3B21C1FA47D}" id="{836613E1-F3C2-4EC8-80D2-8FF78D05DD24}">
    <text>Make sure this list matches the CY Office of State Auditor list and list from FOD</text>
  </threadedComment>
  <threadedComment ref="B7" dT="2020-04-06T13:42:05.82" personId="{4689EE39-4D50-4DDB-A6A9-D3B21C1FA47D}" id="{4159B1CC-5CA1-468D-869C-6004AD2DEEA5}" parentId="{836613E1-F3C2-4EC8-80D2-8FF78D05DD24}">
    <text/>
  </threadedComment>
  <threadedComment ref="C7" dT="2020-04-06T12:50:19.78" personId="{4689EE39-4D50-4DDB-A6A9-D3B21C1FA47D}" id="{20A03AFD-60B4-48CB-BE69-82FE8981B168}">
    <text>LGERS Schedule 1 in State Auditors Report</text>
  </threadedComment>
  <threadedComment ref="D7" dT="2020-04-06T13:39:02.88" personId="{4689EE39-4D50-4DDB-A6A9-D3B21C1FA47D}" id="{14A0C853-62CF-4651-B81B-43AEB6D38BEB}">
    <text>use vlookup to pull # from PY summary</text>
  </threadedComment>
  <threadedComment ref="D7" dT="2020-04-06T13:45:49.26" personId="{4689EE39-4D50-4DDB-A6A9-D3B21C1FA47D}" id="{63803BFB-5D4A-45B6-8387-97AA0798EC4E}" parentId="{14A0C853-62CF-4651-B81B-43AEB6D38BEB}">
    <text>Clean up any N/A that result from Vlookup and the copy and paste values in this column over the vlookup formula</text>
  </threadedComment>
  <threadedComment ref="E7" dT="2020-04-06T13:43:01.61" personId="{4689EE39-4D50-4DDB-A6A9-D3B21C1FA47D}" id="{F0F2B8F8-BEC0-48AD-8A20-AC785F4F9B02}">
    <text>All # come from Office of State Auditor Report Schedule 2</text>
  </threadedComment>
</ThreadedComments>
</file>

<file path=xl/threadedComments/threadedComment3.xml><?xml version="1.0" encoding="utf-8"?>
<ThreadedComments xmlns="http://schemas.microsoft.com/office/spreadsheetml/2018/threadedcomments" xmlns:x="http://schemas.openxmlformats.org/spreadsheetml/2006/main">
  <threadedComment ref="B4" dT="2020-04-06T13:38:06.21" personId="{4689EE39-4D50-4DDB-A6A9-D3B21C1FA47D}" id="{7395AA7C-AAFB-4098-8276-18A30E02F89D}">
    <text>Appropriate schedules in the Office of State Auditor Report</text>
  </threadedComment>
  <threadedComment ref="C7" dT="2020-04-06T12:50:19.78" personId="{4689EE39-4D50-4DDB-A6A9-D3B21C1FA47D}" id="{DD829B44-77F1-4A05-A0BF-0F131EE4B043}">
    <text>LGERS Schedule 1 in State Auditors Report</text>
  </threadedComment>
  <threadedComment ref="D7" dT="2020-04-06T13:39:02.88" personId="{4689EE39-4D50-4DDB-A6A9-D3B21C1FA47D}" id="{339A4D02-736C-4C2A-BAD2-822A5AE5D37D}">
    <text>use vlookup to pull # from PY summary</text>
  </threadedComment>
  <threadedComment ref="D7" dT="2020-04-06T13:45:49.26" personId="{4689EE39-4D50-4DDB-A6A9-D3B21C1FA47D}" id="{3E7DC725-339D-4CD5-8FC7-E6BA7ABA3DA3}" parentId="{339A4D02-736C-4C2A-BAD2-822A5AE5D37D}">
    <text>Clean up any N/A that result from Vlookup and the copy and paste values in this column over the vlookup formula</text>
  </threadedComment>
  <threadedComment ref="E7" dT="2020-04-06T13:43:01.61" personId="{4689EE39-4D50-4DDB-A6A9-D3B21C1FA47D}" id="{28AF635C-2109-40AE-B7C6-6E334C9B3DCB}">
    <text>All # come from Office of State Auditor Report Schedule 2</text>
  </threadedComment>
</ThreadedComments>
</file>

<file path=xl/threadedComments/threadedComment4.xml><?xml version="1.0" encoding="utf-8"?>
<ThreadedComments xmlns="http://schemas.microsoft.com/office/spreadsheetml/2018/threadedcomments" xmlns:x="http://schemas.openxmlformats.org/spreadsheetml/2006/main">
  <threadedComment ref="B2" dT="2020-04-06T13:46:20.76" personId="{4689EE39-4D50-4DDB-A6A9-D3B21C1FA47D}" id="{6448F355-600E-4E29-B075-D21259E27CCD}">
    <text>Make sure this list matches the CY Office of State Auditor list and list from FOD</text>
  </threadedComment>
  <threadedComment ref="C2" dT="2020-04-06T13:44:20.55" personId="{4689EE39-4D50-4DDB-A6A9-D3B21C1FA47D}" id="{85AC0FA1-26E3-4313-8938-B769A43A0766}">
    <text># come from NCST FOD</text>
  </threadedComment>
</ThreadedComments>
</file>

<file path=xl/threadedComments/threadedComment5.xml><?xml version="1.0" encoding="utf-8"?>
<ThreadedComments xmlns="http://schemas.microsoft.com/office/spreadsheetml/2018/threadedcomments" xmlns:x="http://schemas.openxmlformats.org/spreadsheetml/2006/main">
  <threadedComment ref="B2" dT="2020-04-06T13:46:20.76" personId="{4689EE39-4D50-4DDB-A6A9-D3B21C1FA47D}" id="{74FD9AF4-4B3B-41DD-9327-7112CFA4739F}">
    <text>Make sure this list matches the CY Office of State Auditor list and list from FOD</text>
  </threadedComment>
  <threadedComment ref="C2" dT="2020-04-06T13:44:20.55" personId="{4689EE39-4D50-4DDB-A6A9-D3B21C1FA47D}" id="{85737AA7-88DC-4526-A5B6-9AD463D3B7A4}">
    <text># come from NCST FOD</text>
  </threadedComment>
</ThreadedComments>
</file>

<file path=xl/threadedComments/threadedComment6.xml><?xml version="1.0" encoding="utf-8"?>
<ThreadedComments xmlns="http://schemas.microsoft.com/office/spreadsheetml/2018/threadedcomments" xmlns:x="http://schemas.openxmlformats.org/spreadsheetml/2006/main">
  <threadedComment ref="B7" dT="2020-04-06T13:46:35.67" personId="{4689EE39-4D50-4DDB-A6A9-D3B21C1FA47D}" id="{BB9D73FA-157F-4F30-B723-18CABBDBA039}">
    <text>Make sure this list matches the CY Office of State Auditor list and list from FOD</text>
  </threadedComment>
</ThreadedComments>
</file>

<file path=xl/threadedComments/threadedComment7.xml><?xml version="1.0" encoding="utf-8"?>
<ThreadedComments xmlns="http://schemas.microsoft.com/office/spreadsheetml/2018/threadedcomments" xmlns:x="http://schemas.openxmlformats.org/spreadsheetml/2006/main">
  <threadedComment ref="B7" dT="2020-04-06T13:46:35.67" personId="{4689EE39-4D50-4DDB-A6A9-D3B21C1FA47D}" id="{91536C80-5DC2-4018-BE1E-49A22537B2C1}">
    <text>Make sure this list matches the CY Office of State Auditor list and list from FOD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 Id="rId4" Type="http://schemas.microsoft.com/office/2017/10/relationships/threadedComment" Target="../threadedComments/threadedComment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5.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16.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tabSelected="1" topLeftCell="C9" zoomScaleNormal="100" workbookViewId="0">
      <selection activeCell="L32" sqref="L32"/>
    </sheetView>
  </sheetViews>
  <sheetFormatPr defaultColWidth="9.140625" defaultRowHeight="12.75"/>
  <cols>
    <col min="1" max="1" width="54.28515625" style="46" customWidth="1"/>
    <col min="2" max="2" width="11.140625" style="46" customWidth="1"/>
    <col min="3" max="3" width="53.7109375" style="46" customWidth="1"/>
    <col min="4" max="4" width="45.42578125" style="46" bestFit="1" customWidth="1"/>
    <col min="5" max="8" width="9.140625" style="46"/>
    <col min="9" max="9" width="10.140625" style="29" bestFit="1" customWidth="1"/>
    <col min="10" max="11" width="9.140625" style="29"/>
    <col min="12" max="16384" width="9.140625" style="46"/>
  </cols>
  <sheetData>
    <row r="1" spans="1:11">
      <c r="A1" s="27" t="s">
        <v>231</v>
      </c>
      <c r="B1" s="27"/>
      <c r="C1" s="28"/>
      <c r="D1" s="28"/>
      <c r="E1" s="29"/>
    </row>
    <row r="2" spans="1:11">
      <c r="A2" s="27" t="s">
        <v>232</v>
      </c>
      <c r="B2" s="27"/>
      <c r="C2" s="28"/>
    </row>
    <row r="3" spans="1:11">
      <c r="A3" s="30" t="str">
        <f>+'Changes to Update Template '!C4</f>
        <v>Fiscal Year Ended June 30, 2022</v>
      </c>
      <c r="B3" s="30"/>
      <c r="C3" s="28"/>
      <c r="D3" s="28"/>
    </row>
    <row r="4" spans="1:11" s="59" customFormat="1">
      <c r="A4" s="30"/>
      <c r="B4" s="30"/>
      <c r="C4" s="28"/>
      <c r="D4" s="28"/>
      <c r="I4" s="29"/>
      <c r="J4" s="29"/>
      <c r="K4" s="29"/>
    </row>
    <row r="5" spans="1:11" s="59" customFormat="1">
      <c r="A5" s="30"/>
      <c r="B5" s="30"/>
      <c r="C5" s="28"/>
      <c r="D5" s="28"/>
      <c r="I5" s="29"/>
      <c r="J5" s="29"/>
      <c r="K5" s="29"/>
    </row>
    <row r="6" spans="1:11" s="59" customFormat="1">
      <c r="A6" s="30" t="s">
        <v>693</v>
      </c>
      <c r="B6" s="30"/>
      <c r="C6" s="28"/>
      <c r="D6" s="28"/>
      <c r="I6" s="29"/>
      <c r="J6" s="29"/>
      <c r="K6" s="29"/>
    </row>
    <row r="7" spans="1:11" s="59" customFormat="1">
      <c r="A7" s="30"/>
      <c r="B7" s="30"/>
      <c r="C7" s="28"/>
      <c r="D7" s="28"/>
      <c r="I7" s="29"/>
      <c r="J7" s="29"/>
      <c r="K7" s="29"/>
    </row>
    <row r="8" spans="1:11" s="59" customFormat="1">
      <c r="A8" s="62" t="s">
        <v>1918</v>
      </c>
      <c r="B8" s="30"/>
      <c r="C8" s="28"/>
      <c r="D8" s="28"/>
      <c r="I8" s="29"/>
      <c r="J8" s="29"/>
      <c r="K8" s="29"/>
    </row>
    <row r="9" spans="1:11" s="59" customFormat="1" ht="12.75" customHeight="1">
      <c r="A9" s="62" t="s">
        <v>699</v>
      </c>
      <c r="B9" s="30"/>
      <c r="C9" s="28"/>
      <c r="D9" s="28"/>
      <c r="I9" s="29"/>
      <c r="J9" s="29"/>
      <c r="K9" s="29"/>
    </row>
    <row r="10" spans="1:11" s="59" customFormat="1">
      <c r="A10" s="63" t="s">
        <v>700</v>
      </c>
      <c r="B10" s="30"/>
      <c r="C10" s="28"/>
      <c r="D10" s="28"/>
      <c r="I10" s="29"/>
      <c r="J10" s="29"/>
      <c r="K10" s="29"/>
    </row>
    <row r="11" spans="1:11" s="59" customFormat="1">
      <c r="A11" s="62" t="s">
        <v>1921</v>
      </c>
      <c r="B11" s="30"/>
      <c r="C11" s="28"/>
      <c r="D11" s="28"/>
      <c r="I11" s="29"/>
      <c r="J11" s="29"/>
      <c r="K11" s="29"/>
    </row>
    <row r="12" spans="1:11" s="271" customFormat="1">
      <c r="A12" s="128" t="s">
        <v>3503</v>
      </c>
      <c r="B12" s="272"/>
      <c r="I12" s="128"/>
      <c r="J12" s="128"/>
      <c r="K12" s="128"/>
    </row>
    <row r="13" spans="1:11" s="59" customFormat="1">
      <c r="A13" s="62" t="s">
        <v>1927</v>
      </c>
      <c r="B13" s="30"/>
      <c r="C13" s="28"/>
      <c r="D13" s="28"/>
      <c r="I13" s="29"/>
      <c r="J13" s="29"/>
      <c r="K13" s="29"/>
    </row>
    <row r="14" spans="1:11" s="59" customFormat="1">
      <c r="A14" s="63" t="s">
        <v>694</v>
      </c>
      <c r="B14" s="30"/>
      <c r="C14" s="28"/>
      <c r="D14" s="28"/>
      <c r="I14" s="29"/>
      <c r="J14" s="29"/>
      <c r="K14" s="29"/>
    </row>
    <row r="15" spans="1:11" s="271" customFormat="1">
      <c r="A15" s="128" t="s">
        <v>3738</v>
      </c>
      <c r="B15" s="272"/>
      <c r="C15" s="280" t="str">
        <f>+'Changes to Update Template '!C5</f>
        <v>Info, JE Template, 2022 summary, 2021 summary, 2020 summary, LGERS Contributions FY 2021, LGERS Contributions FY 2020, and Deferred Amort MD 6-30-21 then go to File, Options,</v>
      </c>
      <c r="I15" s="128"/>
      <c r="J15" s="128"/>
      <c r="K15" s="128"/>
    </row>
    <row r="16" spans="1:11" s="59" customFormat="1">
      <c r="A16" s="62" t="s">
        <v>698</v>
      </c>
      <c r="B16" s="30"/>
      <c r="C16" s="28"/>
      <c r="D16" s="28"/>
      <c r="I16" s="29"/>
      <c r="J16" s="29"/>
      <c r="K16" s="29"/>
    </row>
    <row r="17" spans="1:11" s="59" customFormat="1">
      <c r="B17" s="30"/>
      <c r="C17" s="28"/>
      <c r="D17" s="28"/>
      <c r="I17" s="29"/>
      <c r="J17" s="29"/>
      <c r="K17" s="29"/>
    </row>
    <row r="18" spans="1:11" ht="18">
      <c r="A18" s="30"/>
      <c r="B18" s="30"/>
      <c r="C18" s="28"/>
      <c r="D18" s="31"/>
    </row>
    <row r="19" spans="1:11">
      <c r="A19" s="28"/>
      <c r="B19" s="28"/>
      <c r="C19" s="28"/>
      <c r="D19" s="28"/>
    </row>
    <row r="20" spans="1:11">
      <c r="A20" s="114" t="s">
        <v>233</v>
      </c>
      <c r="B20" s="114"/>
      <c r="C20" s="115" t="s">
        <v>3777</v>
      </c>
      <c r="D20" s="32" t="s">
        <v>695</v>
      </c>
    </row>
    <row r="21" spans="1:11" s="59" customFormat="1">
      <c r="A21" s="114" t="s">
        <v>689</v>
      </c>
      <c r="B21" s="114"/>
      <c r="C21" s="115" t="s">
        <v>691</v>
      </c>
      <c r="D21" s="32" t="s">
        <v>697</v>
      </c>
      <c r="I21" s="29"/>
      <c r="J21" s="29"/>
      <c r="K21" s="29"/>
    </row>
    <row r="22" spans="1:11" ht="12.75" customHeight="1">
      <c r="A22" s="116"/>
      <c r="B22" s="116"/>
      <c r="C22" s="117"/>
      <c r="D22" s="34"/>
    </row>
    <row r="23" spans="1:11">
      <c r="A23" s="116" t="s">
        <v>234</v>
      </c>
      <c r="B23" s="116"/>
      <c r="C23" s="132" t="str">
        <f>VLOOKUP(C20,'2022 summary'!$B$945:$C$1859,2,FALSE)</f>
        <v>N/A</v>
      </c>
      <c r="D23" s="35"/>
    </row>
    <row r="24" spans="1:11" s="59" customFormat="1">
      <c r="A24" s="116" t="s">
        <v>688</v>
      </c>
      <c r="B24" s="116"/>
      <c r="C24" s="132" t="str">
        <f>VLOOKUP(C21,'2022 summary'!$B$945:$C$1859,2,FALSE)</f>
        <v>N/A</v>
      </c>
      <c r="D24" s="133" t="s">
        <v>1919</v>
      </c>
      <c r="I24" s="29"/>
      <c r="J24" s="29"/>
      <c r="K24" s="29"/>
    </row>
    <row r="25" spans="1:11">
      <c r="A25" s="116"/>
      <c r="B25" s="116"/>
      <c r="C25" s="117"/>
      <c r="D25" s="35"/>
    </row>
    <row r="26" spans="1:11">
      <c r="A26" s="116" t="s">
        <v>276</v>
      </c>
      <c r="B26" s="116"/>
      <c r="C26" s="299">
        <v>44742</v>
      </c>
      <c r="D26" s="375" t="s">
        <v>3761</v>
      </c>
    </row>
    <row r="27" spans="1:11" s="67" customFormat="1" hidden="1">
      <c r="A27" s="116"/>
      <c r="B27" s="116"/>
      <c r="C27" s="329" t="e">
        <f>VLOOKUP(C26,I46:M49,5,FALSE)</f>
        <v>#N/A</v>
      </c>
      <c r="D27" s="32"/>
      <c r="I27" s="29"/>
      <c r="J27" s="29"/>
      <c r="K27" s="29"/>
    </row>
    <row r="28" spans="1:11" s="64" customFormat="1" ht="22.5" customHeight="1">
      <c r="A28" s="118" t="s">
        <v>701</v>
      </c>
      <c r="B28" s="116"/>
      <c r="C28" s="119">
        <v>44742</v>
      </c>
      <c r="D28" s="32"/>
      <c r="I28" s="29"/>
      <c r="J28" s="29"/>
      <c r="K28" s="29"/>
    </row>
    <row r="29" spans="1:11" s="64" customFormat="1" ht="27" customHeight="1">
      <c r="A29" s="120" t="str">
        <f>VLOOKUP(C26,I49:M52,2,FALSE)</f>
        <v>7/1/2020 through 6/30/2021</v>
      </c>
      <c r="B29" s="121"/>
      <c r="C29" s="122">
        <v>0</v>
      </c>
      <c r="D29" s="32" t="s">
        <v>696</v>
      </c>
      <c r="I29" s="29"/>
      <c r="J29" s="29"/>
      <c r="K29" s="29"/>
    </row>
    <row r="30" spans="1:11" s="72" customFormat="1" ht="10.5" customHeight="1">
      <c r="A30" s="123"/>
      <c r="B30" s="124"/>
      <c r="C30" s="73"/>
      <c r="D30" s="32"/>
      <c r="I30" s="29"/>
      <c r="J30" s="29"/>
      <c r="K30" s="29"/>
    </row>
    <row r="31" spans="1:11" s="72" customFormat="1" ht="18" customHeight="1">
      <c r="A31" s="125" t="str">
        <f>(VLOOKUP(C26,A50:B53,2,FALSE))</f>
        <v>N/A</v>
      </c>
      <c r="B31" s="124"/>
      <c r="C31" s="127"/>
      <c r="D31" s="32" t="str">
        <f>+'Changes to Update Template '!C6</f>
        <v>&lt;&lt; This will be blank if you have a 6/30/2022 fiscal year end.   STEP 4</v>
      </c>
      <c r="I31" s="29"/>
      <c r="J31" s="29"/>
      <c r="K31" s="29"/>
    </row>
    <row r="32" spans="1:11" s="64" customFormat="1">
      <c r="A32" s="116"/>
      <c r="B32" s="116"/>
      <c r="C32" s="119"/>
      <c r="D32" s="32"/>
      <c r="I32" s="29"/>
      <c r="J32" s="29"/>
      <c r="K32" s="29"/>
    </row>
    <row r="33" spans="1:16">
      <c r="A33" s="116" t="str">
        <f>CONCATENATE("Your employer contributions from 7/1/2021 through ",(TEXT(C26,"MM/DD/YYYY")))</f>
        <v>Your employer contributions from 7/1/2021 through 06/30/2022</v>
      </c>
      <c r="B33" s="126"/>
      <c r="C33" s="127"/>
      <c r="D33" s="32" t="s">
        <v>696</v>
      </c>
    </row>
    <row r="34" spans="1:16">
      <c r="A34" s="116"/>
      <c r="B34" s="126"/>
      <c r="C34" s="117"/>
      <c r="D34" s="32"/>
    </row>
    <row r="35" spans="1:16">
      <c r="A35" s="28"/>
      <c r="B35" s="28"/>
      <c r="C35" s="33"/>
      <c r="D35" s="35"/>
    </row>
    <row r="36" spans="1:16" ht="30.75" customHeight="1">
      <c r="A36" s="425" t="s">
        <v>1923</v>
      </c>
      <c r="B36" s="426"/>
      <c r="C36" s="427"/>
      <c r="D36" s="28"/>
    </row>
    <row r="37" spans="1:16" ht="21.75" customHeight="1">
      <c r="A37" s="428" t="s">
        <v>1924</v>
      </c>
      <c r="B37" s="429"/>
      <c r="C37" s="430"/>
      <c r="D37" s="28"/>
    </row>
    <row r="38" spans="1:16" ht="30" customHeight="1">
      <c r="A38" s="431" t="s">
        <v>1925</v>
      </c>
      <c r="B38" s="432"/>
      <c r="C38" s="433"/>
      <c r="D38" s="28"/>
    </row>
    <row r="39" spans="1:16">
      <c r="A39" s="174"/>
      <c r="B39" s="175"/>
      <c r="C39" s="176"/>
      <c r="D39" s="28"/>
    </row>
    <row r="40" spans="1:16">
      <c r="A40" s="28"/>
      <c r="B40" s="28"/>
      <c r="C40" s="28"/>
      <c r="D40" s="62"/>
      <c r="E40" s="29"/>
      <c r="F40" s="29"/>
      <c r="G40" s="29"/>
      <c r="H40" s="29"/>
      <c r="L40" s="29"/>
      <c r="M40" s="29"/>
      <c r="N40" s="29"/>
      <c r="O40" s="29"/>
      <c r="P40" s="29"/>
    </row>
    <row r="41" spans="1:16">
      <c r="A41" s="28"/>
      <c r="B41" s="28"/>
      <c r="C41" s="28"/>
      <c r="D41" s="62"/>
      <c r="E41" s="29"/>
      <c r="F41" s="68"/>
      <c r="G41" s="68"/>
      <c r="H41" s="68"/>
      <c r="L41" s="68"/>
      <c r="M41" s="68"/>
      <c r="N41" s="29"/>
      <c r="O41" s="29"/>
      <c r="P41" s="29"/>
    </row>
    <row r="42" spans="1:16" ht="44.45" customHeight="1">
      <c r="A42" s="28"/>
      <c r="B42" s="28"/>
      <c r="C42" s="28"/>
      <c r="D42" s="62"/>
      <c r="E42" s="29"/>
      <c r="F42" s="68"/>
      <c r="G42" s="68"/>
      <c r="H42" s="68"/>
      <c r="L42" s="68"/>
      <c r="M42" s="68"/>
      <c r="N42" s="29"/>
      <c r="O42" s="29"/>
      <c r="P42" s="29"/>
    </row>
    <row r="43" spans="1:16">
      <c r="A43" s="28"/>
      <c r="B43" s="28"/>
      <c r="C43" s="28"/>
      <c r="D43" s="62"/>
      <c r="E43" s="29"/>
      <c r="F43" s="68"/>
      <c r="G43" s="66"/>
      <c r="H43" s="66"/>
      <c r="L43" s="66"/>
      <c r="M43" s="66"/>
      <c r="N43" s="66"/>
      <c r="O43" s="29"/>
      <c r="P43" s="29"/>
    </row>
    <row r="44" spans="1:16" ht="41.45" customHeight="1" thickBot="1">
      <c r="A44" s="28"/>
      <c r="B44" s="28"/>
      <c r="C44" s="28"/>
      <c r="D44" s="62"/>
      <c r="E44" s="29"/>
      <c r="F44" s="68"/>
      <c r="G44" s="66"/>
      <c r="H44" s="66"/>
      <c r="L44" s="66"/>
      <c r="M44" s="66"/>
      <c r="N44" s="66"/>
      <c r="O44" s="29"/>
      <c r="P44" s="29"/>
    </row>
    <row r="45" spans="1:16">
      <c r="A45" s="28"/>
      <c r="B45" s="28"/>
      <c r="C45" s="28"/>
      <c r="D45" s="62"/>
      <c r="E45" s="29"/>
      <c r="F45" s="68"/>
      <c r="G45" s="66"/>
      <c r="H45" s="66"/>
      <c r="I45" s="331"/>
      <c r="J45" s="332"/>
      <c r="K45" s="332"/>
      <c r="L45" s="333"/>
      <c r="M45" s="334"/>
      <c r="N45" s="66"/>
      <c r="O45" s="29"/>
      <c r="P45" s="29"/>
    </row>
    <row r="46" spans="1:16">
      <c r="A46" s="28"/>
      <c r="B46" s="28"/>
      <c r="C46" s="28"/>
      <c r="D46" s="62"/>
      <c r="E46" s="29"/>
      <c r="F46" s="68"/>
      <c r="G46" s="66"/>
      <c r="H46" s="66"/>
      <c r="I46" s="335"/>
      <c r="J46" s="336"/>
      <c r="K46" s="336"/>
      <c r="L46" s="336"/>
      <c r="M46" s="337">
        <v>0</v>
      </c>
      <c r="N46" s="66"/>
      <c r="O46" s="29"/>
      <c r="P46" s="29"/>
    </row>
    <row r="47" spans="1:16">
      <c r="A47" s="28"/>
      <c r="B47" s="28"/>
      <c r="C47" s="28"/>
      <c r="D47" s="62"/>
      <c r="E47" s="29"/>
      <c r="F47" s="68"/>
      <c r="G47" s="66"/>
      <c r="H47" s="66"/>
      <c r="I47" s="335"/>
      <c r="J47" s="336"/>
      <c r="K47" s="336"/>
      <c r="L47" s="336"/>
      <c r="M47" s="337">
        <v>0</v>
      </c>
      <c r="N47" s="66"/>
      <c r="O47" s="29"/>
      <c r="P47" s="29"/>
    </row>
    <row r="48" spans="1:16" hidden="1">
      <c r="A48" s="28"/>
      <c r="B48" s="28"/>
      <c r="C48" s="28"/>
      <c r="D48" s="62"/>
      <c r="E48" s="29"/>
      <c r="F48" s="68"/>
      <c r="G48" s="66"/>
      <c r="H48" s="66"/>
      <c r="I48" s="335"/>
      <c r="J48" s="336"/>
      <c r="K48" s="336"/>
      <c r="L48" s="336"/>
      <c r="M48" s="337">
        <v>0</v>
      </c>
      <c r="N48" s="66"/>
      <c r="O48" s="29"/>
      <c r="P48" s="29"/>
    </row>
    <row r="49" spans="1:16" s="116" customFormat="1" ht="15" hidden="1" customHeight="1" thickBot="1">
      <c r="A49" s="285"/>
      <c r="B49" s="285"/>
      <c r="C49" s="285"/>
      <c r="D49" s="286"/>
      <c r="E49" s="286"/>
      <c r="F49" s="287"/>
      <c r="G49" s="288"/>
      <c r="H49" s="288"/>
      <c r="I49" s="338">
        <f>+'Changes to Update Template '!C20</f>
        <v>44469</v>
      </c>
      <c r="J49" s="339" t="str">
        <f>+'Changes to Update Template '!C24</f>
        <v>7/1/2020 through 9/30/2020</v>
      </c>
      <c r="K49" s="339"/>
      <c r="L49" s="340"/>
      <c r="M49" s="341">
        <v>1</v>
      </c>
      <c r="N49" s="130"/>
      <c r="O49" s="128"/>
      <c r="P49" s="128"/>
    </row>
    <row r="50" spans="1:16" s="116" customFormat="1" ht="15" hidden="1" customHeight="1">
      <c r="A50" s="290">
        <f>+'Changes to Update Template '!C8</f>
        <v>44742</v>
      </c>
      <c r="B50" s="291" t="str">
        <f>+'Changes to Update Template '!C16</f>
        <v>N/A</v>
      </c>
      <c r="C50" s="285"/>
      <c r="D50" s="286" t="s">
        <v>3528</v>
      </c>
      <c r="E50" s="286"/>
      <c r="F50" s="287"/>
      <c r="G50" s="288"/>
      <c r="H50" s="288"/>
      <c r="I50" s="289">
        <f>+'Changes to Update Template '!C21</f>
        <v>44561</v>
      </c>
      <c r="J50" s="286" t="str">
        <f>+'Changes to Update Template '!C25</f>
        <v>7/1/2020 through 12/31/2020</v>
      </c>
      <c r="K50" s="286"/>
      <c r="L50" s="288"/>
      <c r="M50" s="130"/>
      <c r="N50" s="130"/>
      <c r="O50" s="128"/>
      <c r="P50" s="128"/>
    </row>
    <row r="51" spans="1:16" s="116" customFormat="1" ht="15" hidden="1" customHeight="1">
      <c r="A51" s="290">
        <f>+'Changes to Update Template '!C13</f>
        <v>44469</v>
      </c>
      <c r="B51" s="291" t="str">
        <f>+'Changes to Update Template '!C17</f>
        <v>10/1/2020 through 6/30/2021</v>
      </c>
      <c r="C51" s="285"/>
      <c r="D51" s="286"/>
      <c r="E51" s="286"/>
      <c r="F51" s="287"/>
      <c r="G51" s="288"/>
      <c r="H51" s="288"/>
      <c r="I51" s="289">
        <f>+'Changes to Update Template '!C22</f>
        <v>44651</v>
      </c>
      <c r="J51" s="286" t="str">
        <f>+'Changes to Update Template '!C26</f>
        <v>7/1/2020 through 3/31/2021</v>
      </c>
      <c r="K51" s="286"/>
      <c r="L51" s="288"/>
      <c r="M51" s="130"/>
      <c r="N51" s="130"/>
      <c r="O51" s="128"/>
      <c r="P51" s="128"/>
    </row>
    <row r="52" spans="1:16" s="116" customFormat="1" ht="15" hidden="1" customHeight="1">
      <c r="A52" s="290">
        <f>+'Changes to Update Template '!C14</f>
        <v>44561</v>
      </c>
      <c r="B52" s="291" t="str">
        <f>+'Changes to Update Template '!C18</f>
        <v>1/1/2021 through 6/30/2021</v>
      </c>
      <c r="C52" s="290"/>
      <c r="D52" s="286"/>
      <c r="E52" s="286"/>
      <c r="F52" s="287"/>
      <c r="G52" s="287"/>
      <c r="H52" s="287"/>
      <c r="I52" s="289">
        <f>+'Changes to Update Template '!C23</f>
        <v>44742</v>
      </c>
      <c r="J52" s="286" t="str">
        <f>+'Changes to Update Template '!C27</f>
        <v>7/1/2020 through 6/30/2021</v>
      </c>
      <c r="K52" s="286"/>
      <c r="L52" s="288"/>
      <c r="M52" s="129"/>
      <c r="N52" s="130"/>
      <c r="O52" s="128"/>
      <c r="P52" s="128"/>
    </row>
    <row r="53" spans="1:16" s="116" customFormat="1" ht="15" hidden="1" customHeight="1">
      <c r="A53" s="290">
        <f>+'Changes to Update Template '!C15</f>
        <v>44651</v>
      </c>
      <c r="B53" s="291" t="str">
        <f>+'Changes to Update Template '!C19</f>
        <v>4/1/2021 through 6/30/2021</v>
      </c>
      <c r="C53" s="290"/>
      <c r="D53" s="286"/>
      <c r="E53" s="286"/>
      <c r="F53" s="287"/>
      <c r="G53" s="287"/>
      <c r="H53" s="287"/>
      <c r="I53" s="286"/>
      <c r="J53" s="286"/>
      <c r="K53" s="286"/>
      <c r="L53" s="287"/>
      <c r="M53" s="129"/>
      <c r="N53" s="128"/>
      <c r="O53" s="128"/>
      <c r="P53" s="128"/>
    </row>
    <row r="54" spans="1:16" s="116" customFormat="1" ht="15" hidden="1" customHeight="1">
      <c r="A54" s="424"/>
      <c r="B54" s="424"/>
      <c r="C54" s="424"/>
      <c r="D54" s="286"/>
      <c r="E54" s="286"/>
      <c r="F54" s="286"/>
      <c r="G54" s="286"/>
      <c r="H54" s="286"/>
      <c r="I54" s="286"/>
      <c r="J54" s="286"/>
      <c r="K54" s="286"/>
      <c r="L54" s="286"/>
      <c r="M54" s="128"/>
      <c r="N54" s="128"/>
      <c r="O54" s="128"/>
      <c r="P54" s="128"/>
    </row>
    <row r="55" spans="1:16" hidden="1">
      <c r="A55" s="292"/>
      <c r="B55" s="292"/>
      <c r="C55" s="285"/>
      <c r="D55" s="286"/>
      <c r="E55" s="286"/>
      <c r="F55" s="286"/>
      <c r="G55" s="286"/>
      <c r="H55" s="286"/>
      <c r="I55" s="286"/>
      <c r="J55" s="286"/>
      <c r="K55" s="286"/>
      <c r="L55" s="286"/>
      <c r="M55" s="29"/>
      <c r="N55" s="29"/>
      <c r="O55" s="29"/>
      <c r="P55" s="29"/>
    </row>
    <row r="56" spans="1:16" hidden="1">
      <c r="A56" s="285"/>
      <c r="B56" s="285"/>
      <c r="C56" s="285"/>
      <c r="D56" s="286"/>
      <c r="E56" s="286"/>
      <c r="F56" s="286"/>
      <c r="G56" s="286"/>
      <c r="H56" s="286"/>
      <c r="I56" s="286"/>
      <c r="J56" s="286"/>
      <c r="K56" s="286"/>
      <c r="L56" s="286"/>
      <c r="M56" s="29"/>
      <c r="N56" s="29"/>
      <c r="O56" s="29"/>
      <c r="P56" s="29"/>
    </row>
    <row r="57" spans="1:16" hidden="1">
      <c r="A57" s="330" t="s">
        <v>3622</v>
      </c>
      <c r="B57" s="285"/>
      <c r="C57" s="285"/>
      <c r="D57" s="286"/>
      <c r="E57" s="286"/>
      <c r="F57" s="286"/>
      <c r="G57" s="286"/>
      <c r="H57" s="286"/>
      <c r="I57" s="286"/>
      <c r="J57" s="286"/>
      <c r="K57" s="286"/>
      <c r="L57" s="286"/>
      <c r="M57" s="29"/>
      <c r="N57" s="29"/>
      <c r="O57" s="29"/>
      <c r="P57" s="29"/>
    </row>
    <row r="58" spans="1:16" hidden="1">
      <c r="A58" s="290">
        <f>+'Changes to Update Template '!C28</f>
        <v>44469</v>
      </c>
      <c r="B58" s="285"/>
      <c r="C58" s="285"/>
      <c r="D58" s="286"/>
      <c r="E58" s="286"/>
      <c r="F58" s="286"/>
      <c r="G58" s="286"/>
      <c r="H58" s="286"/>
      <c r="I58" s="286"/>
      <c r="J58" s="286"/>
      <c r="K58" s="286"/>
      <c r="L58" s="286"/>
      <c r="M58" s="29"/>
      <c r="N58" s="29"/>
      <c r="O58" s="29"/>
      <c r="P58" s="29"/>
    </row>
    <row r="59" spans="1:16" hidden="1">
      <c r="A59" s="290">
        <f>+'Changes to Update Template '!C29</f>
        <v>44561</v>
      </c>
      <c r="B59" s="285"/>
      <c r="C59" s="285"/>
      <c r="D59" s="286"/>
      <c r="E59" s="286"/>
      <c r="F59" s="286"/>
      <c r="G59" s="286"/>
      <c r="H59" s="286"/>
      <c r="I59" s="286"/>
      <c r="J59" s="286"/>
      <c r="K59" s="286"/>
      <c r="L59" s="286"/>
      <c r="M59" s="29"/>
      <c r="N59" s="29"/>
      <c r="O59" s="29"/>
      <c r="P59" s="29"/>
    </row>
    <row r="60" spans="1:16" hidden="1">
      <c r="A60" s="290">
        <f>+'Changes to Update Template '!C30</f>
        <v>44651</v>
      </c>
      <c r="B60" s="285"/>
      <c r="C60" s="285"/>
      <c r="D60" s="286"/>
      <c r="E60" s="286"/>
      <c r="F60" s="286"/>
      <c r="G60" s="286"/>
      <c r="H60" s="286"/>
      <c r="I60" s="286"/>
      <c r="J60" s="286"/>
      <c r="K60" s="286"/>
      <c r="L60" s="286"/>
      <c r="M60" s="29"/>
      <c r="N60" s="29"/>
      <c r="O60" s="29"/>
      <c r="P60" s="29"/>
    </row>
    <row r="61" spans="1:16" hidden="1">
      <c r="A61" s="290">
        <f>+'Changes to Update Template '!C31</f>
        <v>44742</v>
      </c>
      <c r="B61" s="285"/>
      <c r="C61" s="285"/>
      <c r="D61" s="286"/>
      <c r="E61" s="286"/>
      <c r="F61" s="286"/>
      <c r="G61" s="286"/>
      <c r="H61" s="286"/>
      <c r="I61" s="286"/>
      <c r="J61" s="286"/>
      <c r="K61" s="286"/>
      <c r="L61" s="286"/>
      <c r="M61" s="29"/>
      <c r="N61" s="29"/>
      <c r="O61" s="29"/>
      <c r="P61" s="29"/>
    </row>
    <row r="62" spans="1:16" hidden="1">
      <c r="A62" s="285" t="s">
        <v>3635</v>
      </c>
      <c r="B62" s="285"/>
      <c r="C62" s="285"/>
      <c r="D62" s="286"/>
      <c r="E62" s="286"/>
      <c r="F62" s="286"/>
      <c r="G62" s="286"/>
      <c r="H62" s="286"/>
      <c r="I62" s="286"/>
      <c r="J62" s="286"/>
      <c r="K62" s="286"/>
      <c r="L62" s="286"/>
      <c r="M62" s="29"/>
      <c r="N62" s="29"/>
      <c r="O62" s="29"/>
      <c r="P62" s="29"/>
    </row>
    <row r="63" spans="1:16" hidden="1">
      <c r="A63" s="293">
        <v>1</v>
      </c>
      <c r="B63" s="285"/>
      <c r="C63" s="285"/>
      <c r="D63" s="286"/>
      <c r="E63" s="286"/>
      <c r="F63" s="286"/>
      <c r="G63" s="286"/>
      <c r="H63" s="286"/>
      <c r="I63" s="286"/>
      <c r="J63" s="286"/>
      <c r="K63" s="286"/>
      <c r="L63" s="286"/>
      <c r="M63" s="29"/>
      <c r="N63" s="29"/>
      <c r="O63" s="29"/>
      <c r="P63" s="29"/>
    </row>
    <row r="64" spans="1:16" hidden="1">
      <c r="A64" s="293">
        <v>2</v>
      </c>
      <c r="B64" s="285"/>
      <c r="C64" s="285"/>
      <c r="D64" s="286"/>
      <c r="E64" s="286"/>
      <c r="F64" s="286"/>
      <c r="G64" s="286"/>
      <c r="H64" s="286"/>
      <c r="I64" s="286"/>
      <c r="J64" s="286"/>
      <c r="K64" s="286"/>
      <c r="L64" s="286"/>
      <c r="M64" s="29"/>
      <c r="N64" s="29"/>
      <c r="O64" s="29"/>
      <c r="P64" s="29"/>
    </row>
    <row r="65" spans="1:16" hidden="1">
      <c r="A65" s="285"/>
      <c r="B65" s="285"/>
      <c r="C65" s="285"/>
      <c r="D65" s="286"/>
      <c r="E65" s="286"/>
      <c r="F65" s="286"/>
      <c r="G65" s="286"/>
      <c r="H65" s="286"/>
      <c r="I65" s="286"/>
      <c r="J65" s="286"/>
      <c r="K65" s="286"/>
      <c r="L65" s="286"/>
      <c r="M65" s="29"/>
      <c r="N65" s="29"/>
      <c r="O65" s="29"/>
      <c r="P65" s="29"/>
    </row>
    <row r="66" spans="1:16" hidden="1">
      <c r="D66" s="29"/>
      <c r="E66" s="29"/>
      <c r="F66" s="29"/>
      <c r="G66" s="29"/>
      <c r="H66" s="29"/>
      <c r="L66" s="29"/>
      <c r="M66" s="29"/>
      <c r="N66" s="29"/>
      <c r="O66" s="29"/>
      <c r="P66" s="29"/>
    </row>
    <row r="67" spans="1:16">
      <c r="D67" s="66"/>
      <c r="E67" s="66"/>
      <c r="F67" s="66"/>
      <c r="G67" s="66"/>
      <c r="H67" s="66"/>
      <c r="L67" s="66"/>
      <c r="M67" s="66"/>
      <c r="N67" s="66"/>
      <c r="O67" s="66"/>
      <c r="P67" s="66"/>
    </row>
    <row r="68" spans="1:16">
      <c r="D68" s="66"/>
      <c r="E68" s="66"/>
      <c r="F68" s="66"/>
      <c r="G68" s="66"/>
      <c r="H68" s="66"/>
      <c r="L68" s="66"/>
      <c r="M68" s="66"/>
      <c r="N68" s="66"/>
      <c r="O68" s="66"/>
      <c r="P68" s="66"/>
    </row>
    <row r="69" spans="1:16">
      <c r="D69" s="66"/>
      <c r="E69" s="66"/>
      <c r="F69" s="66"/>
      <c r="G69" s="66"/>
      <c r="H69" s="66"/>
      <c r="L69" s="66"/>
      <c r="M69" s="66"/>
      <c r="N69" s="66"/>
      <c r="O69" s="66"/>
      <c r="P69" s="66"/>
    </row>
    <row r="70" spans="1:16">
      <c r="D70" s="66"/>
      <c r="E70" s="66"/>
      <c r="F70" s="66"/>
      <c r="G70" s="66"/>
      <c r="H70" s="66"/>
      <c r="L70" s="66"/>
      <c r="M70" s="66"/>
      <c r="N70" s="66"/>
      <c r="O70" s="66"/>
      <c r="P70" s="66"/>
    </row>
    <row r="71" spans="1:16">
      <c r="D71" s="66"/>
      <c r="E71" s="66"/>
      <c r="F71" s="66"/>
      <c r="G71" s="66"/>
      <c r="H71" s="66"/>
      <c r="L71" s="66"/>
      <c r="M71" s="66"/>
      <c r="N71" s="66"/>
      <c r="O71" s="66"/>
      <c r="P71" s="66"/>
    </row>
    <row r="72" spans="1:16">
      <c r="D72" s="66"/>
      <c r="E72" s="66"/>
      <c r="F72" s="66"/>
      <c r="G72" s="66"/>
      <c r="H72" s="66"/>
      <c r="L72" s="66"/>
      <c r="M72" s="66"/>
      <c r="N72" s="66"/>
      <c r="O72" s="66"/>
      <c r="P72" s="66"/>
    </row>
    <row r="73" spans="1:16">
      <c r="D73" s="66"/>
      <c r="E73" s="66"/>
      <c r="F73" s="66"/>
      <c r="G73" s="66"/>
      <c r="H73" s="66"/>
      <c r="L73" s="66"/>
      <c r="M73" s="66"/>
      <c r="N73" s="66"/>
      <c r="O73" s="66"/>
      <c r="P73" s="66"/>
    </row>
    <row r="74" spans="1:16">
      <c r="D74" s="66"/>
      <c r="E74" s="66"/>
      <c r="F74" s="66"/>
      <c r="G74" s="66"/>
      <c r="H74" s="66"/>
      <c r="L74" s="66"/>
      <c r="M74" s="66"/>
      <c r="N74" s="66"/>
      <c r="O74" s="66"/>
      <c r="P74" s="66"/>
    </row>
    <row r="75" spans="1:16">
      <c r="D75" s="66"/>
      <c r="E75" s="66"/>
      <c r="F75" s="66"/>
      <c r="G75" s="66"/>
      <c r="H75" s="66"/>
      <c r="L75" s="66"/>
      <c r="M75" s="66"/>
      <c r="N75" s="66"/>
      <c r="O75" s="66"/>
      <c r="P75" s="66"/>
    </row>
    <row r="76" spans="1:16">
      <c r="D76" s="66"/>
      <c r="E76" s="66"/>
      <c r="F76" s="66"/>
      <c r="G76" s="66"/>
      <c r="H76" s="66"/>
      <c r="L76" s="66"/>
      <c r="M76" s="66"/>
      <c r="N76" s="66"/>
      <c r="O76" s="66"/>
      <c r="P76" s="66"/>
    </row>
    <row r="77" spans="1:16">
      <c r="D77" s="66"/>
      <c r="E77" s="66"/>
      <c r="F77" s="66"/>
      <c r="G77" s="66"/>
      <c r="H77" s="66"/>
      <c r="L77" s="66"/>
      <c r="M77" s="66"/>
      <c r="N77" s="66"/>
      <c r="O77" s="66"/>
      <c r="P77" s="66"/>
    </row>
    <row r="78" spans="1:16">
      <c r="D78" s="66"/>
      <c r="E78" s="66"/>
      <c r="F78" s="66"/>
      <c r="G78" s="66"/>
      <c r="H78" s="66"/>
      <c r="L78" s="66"/>
      <c r="M78" s="66"/>
      <c r="N78" s="66"/>
      <c r="O78" s="66"/>
      <c r="P78" s="66"/>
    </row>
    <row r="79" spans="1:16">
      <c r="D79" s="66"/>
      <c r="E79" s="66"/>
      <c r="F79" s="66"/>
      <c r="G79" s="66"/>
      <c r="H79" s="66"/>
      <c r="L79" s="66"/>
      <c r="M79" s="66"/>
      <c r="N79" s="66"/>
      <c r="O79" s="66"/>
      <c r="P79" s="66"/>
    </row>
    <row r="80" spans="1:16">
      <c r="D80" s="66"/>
      <c r="E80" s="66"/>
      <c r="F80" s="66"/>
      <c r="G80" s="66"/>
      <c r="H80" s="66"/>
      <c r="L80" s="66"/>
      <c r="M80" s="66"/>
      <c r="N80" s="66"/>
      <c r="O80" s="66"/>
      <c r="P80" s="66"/>
    </row>
    <row r="81" spans="4:16">
      <c r="D81" s="66"/>
      <c r="E81" s="66"/>
      <c r="F81" s="66"/>
      <c r="G81" s="66"/>
      <c r="H81" s="66"/>
      <c r="L81" s="66"/>
      <c r="M81" s="66"/>
      <c r="N81" s="66"/>
      <c r="O81" s="66"/>
      <c r="P81" s="66"/>
    </row>
    <row r="82" spans="4:16">
      <c r="D82" s="66"/>
      <c r="E82" s="66"/>
      <c r="F82" s="66"/>
      <c r="G82" s="66"/>
      <c r="H82" s="66"/>
      <c r="L82" s="66"/>
      <c r="M82" s="66"/>
      <c r="N82" s="66"/>
      <c r="O82" s="66"/>
      <c r="P82" s="66"/>
    </row>
    <row r="83" spans="4:16">
      <c r="D83" s="66"/>
      <c r="E83" s="66"/>
      <c r="F83" s="66"/>
      <c r="G83" s="66"/>
      <c r="H83" s="66"/>
      <c r="L83" s="66"/>
      <c r="M83" s="66"/>
      <c r="N83" s="66"/>
      <c r="O83" s="66"/>
      <c r="P83" s="66"/>
    </row>
    <row r="84" spans="4:16">
      <c r="D84" s="66"/>
      <c r="E84" s="66"/>
      <c r="F84" s="66"/>
      <c r="G84" s="66"/>
      <c r="H84" s="66"/>
      <c r="L84" s="66"/>
      <c r="M84" s="66"/>
      <c r="N84" s="66"/>
      <c r="O84" s="66"/>
      <c r="P84" s="66"/>
    </row>
    <row r="85" spans="4:16">
      <c r="D85" s="66"/>
      <c r="E85" s="66"/>
      <c r="F85" s="66"/>
      <c r="G85" s="66"/>
      <c r="H85" s="66"/>
      <c r="L85" s="66"/>
      <c r="M85" s="66"/>
      <c r="N85" s="66"/>
      <c r="O85" s="66"/>
      <c r="P85" s="66"/>
    </row>
  </sheetData>
  <mergeCells count="4">
    <mergeCell ref="A54:C54"/>
    <mergeCell ref="A36:C36"/>
    <mergeCell ref="A37:C37"/>
    <mergeCell ref="A38:C38"/>
  </mergeCells>
  <dataValidations count="1">
    <dataValidation type="list" allowBlank="1" showInputMessage="1" showErrorMessage="1" sqref="C26 C28" xr:uid="{00000000-0002-0000-0000-000000000000}">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'2022 summary'!$B$945:$B$1859</xm:f>
          </x14:formula1>
          <xm:sqref>C20:C21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4EA7-A7E4-4063-A2CA-350E89FA63D8}">
  <dimension ref="A1:C912"/>
  <sheetViews>
    <sheetView zoomScaleNormal="100" workbookViewId="0"/>
  </sheetViews>
  <sheetFormatPr defaultRowHeight="15"/>
  <cols>
    <col min="1" max="1" width="14.7109375" bestFit="1" customWidth="1"/>
    <col min="2" max="2" width="80.140625" customWidth="1"/>
    <col min="3" max="3" width="26.7109375" customWidth="1"/>
  </cols>
  <sheetData>
    <row r="1" spans="1:3" ht="80.45" customHeight="1">
      <c r="A1" s="412" t="s">
        <v>3742</v>
      </c>
      <c r="B1" s="413" t="s">
        <v>3743</v>
      </c>
      <c r="C1" s="412" t="s">
        <v>3744</v>
      </c>
    </row>
    <row r="2" spans="1:3" ht="23.25">
      <c r="A2" s="416" t="s">
        <v>692</v>
      </c>
      <c r="B2" s="416" t="s">
        <v>3763</v>
      </c>
      <c r="C2" s="417">
        <v>0</v>
      </c>
    </row>
    <row r="3" spans="1:3" ht="23.25">
      <c r="A3" s="414">
        <v>70505</v>
      </c>
      <c r="B3" s="414" t="s">
        <v>727</v>
      </c>
      <c r="C3" s="415">
        <v>204273.37</v>
      </c>
    </row>
    <row r="4" spans="1:3" ht="23.25">
      <c r="A4" s="414">
        <v>72265</v>
      </c>
      <c r="B4" s="414" t="s">
        <v>728</v>
      </c>
      <c r="C4" s="415">
        <v>130811.76</v>
      </c>
    </row>
    <row r="5" spans="1:3" ht="23.25">
      <c r="A5" s="414">
        <v>72593</v>
      </c>
      <c r="B5" s="414" t="s">
        <v>729</v>
      </c>
      <c r="C5" s="415">
        <v>3715.2000000000003</v>
      </c>
    </row>
    <row r="6" spans="1:3" ht="23.25">
      <c r="A6" s="414">
        <v>72657</v>
      </c>
      <c r="B6" s="414" t="s">
        <v>730</v>
      </c>
      <c r="C6" s="415">
        <v>22541.78</v>
      </c>
    </row>
    <row r="7" spans="1:3" ht="23.25">
      <c r="A7" s="414">
        <v>90001</v>
      </c>
      <c r="B7" s="414" t="s">
        <v>731</v>
      </c>
      <c r="C7" s="415">
        <v>807578.32</v>
      </c>
    </row>
    <row r="8" spans="1:3" ht="23.25">
      <c r="A8" s="414">
        <v>90002</v>
      </c>
      <c r="B8" s="414" t="s">
        <v>732</v>
      </c>
      <c r="C8" s="415">
        <v>9069.08</v>
      </c>
    </row>
    <row r="9" spans="1:3" ht="23.25">
      <c r="A9" s="414">
        <v>90011</v>
      </c>
      <c r="B9" s="414" t="s">
        <v>733</v>
      </c>
      <c r="C9" s="415">
        <v>143061.25</v>
      </c>
    </row>
    <row r="10" spans="1:3" ht="23.25">
      <c r="A10" s="414">
        <v>90092</v>
      </c>
      <c r="B10" s="414" t="s">
        <v>734</v>
      </c>
      <c r="C10" s="415">
        <v>296217.7</v>
      </c>
    </row>
    <row r="11" spans="1:3" ht="23.25">
      <c r="A11" s="414">
        <v>90096</v>
      </c>
      <c r="B11" s="414" t="s">
        <v>735</v>
      </c>
      <c r="C11" s="415">
        <v>875277.8</v>
      </c>
    </row>
    <row r="12" spans="1:3" ht="23.25">
      <c r="A12" s="414">
        <v>90098</v>
      </c>
      <c r="B12" s="414" t="s">
        <v>736</v>
      </c>
      <c r="C12" s="415">
        <v>191657.7</v>
      </c>
    </row>
    <row r="13" spans="1:3" ht="23.25">
      <c r="A13" s="414">
        <v>90099</v>
      </c>
      <c r="B13" s="414" t="s">
        <v>737</v>
      </c>
      <c r="C13" s="415">
        <v>516273.09</v>
      </c>
    </row>
    <row r="14" spans="1:3" ht="23.25">
      <c r="A14" s="414">
        <v>90101</v>
      </c>
      <c r="B14" s="414" t="s">
        <v>738</v>
      </c>
      <c r="C14" s="415">
        <v>4588184.16</v>
      </c>
    </row>
    <row r="15" spans="1:3" ht="23.25">
      <c r="A15" s="414">
        <v>90111</v>
      </c>
      <c r="B15" s="414" t="s">
        <v>739</v>
      </c>
      <c r="C15" s="415">
        <v>3379285.75</v>
      </c>
    </row>
    <row r="16" spans="1:3" ht="23.25">
      <c r="A16" s="414">
        <v>90114</v>
      </c>
      <c r="B16" s="414" t="s">
        <v>740</v>
      </c>
      <c r="C16" s="415">
        <v>1654963.38</v>
      </c>
    </row>
    <row r="17" spans="1:3" ht="23.25">
      <c r="A17" s="414">
        <v>90117</v>
      </c>
      <c r="B17" s="414" t="s">
        <v>741</v>
      </c>
      <c r="C17" s="415">
        <v>127436.24</v>
      </c>
    </row>
    <row r="18" spans="1:3" ht="23.25">
      <c r="A18" s="414">
        <v>90121</v>
      </c>
      <c r="B18" s="414" t="s">
        <v>742</v>
      </c>
      <c r="C18" s="415">
        <v>736524.22</v>
      </c>
    </row>
    <row r="19" spans="1:3" ht="23.25">
      <c r="A19" s="414">
        <v>90131</v>
      </c>
      <c r="B19" s="414" t="s">
        <v>743</v>
      </c>
      <c r="C19" s="415">
        <v>359769.33999999997</v>
      </c>
    </row>
    <row r="20" spans="1:3" ht="23.25">
      <c r="A20" s="414">
        <v>90141</v>
      </c>
      <c r="B20" s="414" t="s">
        <v>744</v>
      </c>
      <c r="C20" s="415">
        <v>102897.48</v>
      </c>
    </row>
    <row r="21" spans="1:3" ht="23.25">
      <c r="A21" s="414">
        <v>90151</v>
      </c>
      <c r="B21" s="414" t="s">
        <v>745</v>
      </c>
      <c r="C21" s="415">
        <v>4816.32</v>
      </c>
    </row>
    <row r="22" spans="1:3" ht="23.25">
      <c r="A22" s="414">
        <v>90161</v>
      </c>
      <c r="B22" s="414" t="s">
        <v>746</v>
      </c>
      <c r="C22" s="415">
        <v>17209.150000000001</v>
      </c>
    </row>
    <row r="23" spans="1:3" ht="23.25">
      <c r="A23" s="414">
        <v>90201</v>
      </c>
      <c r="B23" s="414" t="s">
        <v>747</v>
      </c>
      <c r="C23" s="415">
        <v>912824</v>
      </c>
    </row>
    <row r="24" spans="1:3" ht="23.25">
      <c r="A24" s="414">
        <v>90203</v>
      </c>
      <c r="B24" s="414" t="s">
        <v>748</v>
      </c>
      <c r="C24" s="415">
        <v>141670.21</v>
      </c>
    </row>
    <row r="25" spans="1:3" ht="23.25">
      <c r="A25" s="414">
        <v>90205</v>
      </c>
      <c r="B25" s="414" t="s">
        <v>749</v>
      </c>
      <c r="C25" s="415">
        <v>21794.74</v>
      </c>
    </row>
    <row r="26" spans="1:3" ht="23.25">
      <c r="A26" s="414">
        <v>90206</v>
      </c>
      <c r="B26" s="414" t="s">
        <v>750</v>
      </c>
      <c r="C26" s="415">
        <v>297558.69</v>
      </c>
    </row>
    <row r="27" spans="1:3" ht="23.25">
      <c r="A27" s="414">
        <v>90211</v>
      </c>
      <c r="B27" s="414" t="s">
        <v>751</v>
      </c>
      <c r="C27" s="415">
        <v>104736.34</v>
      </c>
    </row>
    <row r="28" spans="1:3" ht="23.25">
      <c r="A28" s="414">
        <v>90301</v>
      </c>
      <c r="B28" s="414" t="s">
        <v>752</v>
      </c>
      <c r="C28" s="415">
        <v>481888.88</v>
      </c>
    </row>
    <row r="29" spans="1:3" ht="23.25">
      <c r="A29" s="414">
        <v>90305</v>
      </c>
      <c r="B29" s="414" t="s">
        <v>753</v>
      </c>
      <c r="C29" s="415">
        <v>126848.46</v>
      </c>
    </row>
    <row r="30" spans="1:3" ht="23.25">
      <c r="A30" s="414">
        <v>90307</v>
      </c>
      <c r="B30" s="414" t="s">
        <v>754</v>
      </c>
      <c r="C30" s="415">
        <v>5356.74</v>
      </c>
    </row>
    <row r="31" spans="1:3" ht="23.25">
      <c r="A31" s="414">
        <v>90401</v>
      </c>
      <c r="B31" s="414" t="s">
        <v>755</v>
      </c>
      <c r="C31" s="415">
        <v>1112535.1199999999</v>
      </c>
    </row>
    <row r="32" spans="1:3" ht="23.25">
      <c r="A32" s="414">
        <v>90411</v>
      </c>
      <c r="B32" s="414" t="s">
        <v>756</v>
      </c>
      <c r="C32" s="415">
        <v>257816.34</v>
      </c>
    </row>
    <row r="33" spans="1:3" ht="23.25">
      <c r="A33" s="414">
        <v>90413</v>
      </c>
      <c r="B33" s="414" t="s">
        <v>757</v>
      </c>
      <c r="C33" s="415">
        <v>28343.34</v>
      </c>
    </row>
    <row r="34" spans="1:3" ht="23.25">
      <c r="A34" s="414">
        <v>90417</v>
      </c>
      <c r="B34" s="414" t="s">
        <v>758</v>
      </c>
      <c r="C34" s="415">
        <v>13599.91</v>
      </c>
    </row>
    <row r="35" spans="1:3" ht="23.25">
      <c r="A35" s="414">
        <v>90421</v>
      </c>
      <c r="B35" s="414" t="s">
        <v>759</v>
      </c>
      <c r="C35" s="415">
        <v>18504.63</v>
      </c>
    </row>
    <row r="36" spans="1:3" ht="23.25">
      <c r="A36" s="414">
        <v>90431</v>
      </c>
      <c r="B36" s="414" t="s">
        <v>760</v>
      </c>
      <c r="C36" s="415">
        <v>30534.06</v>
      </c>
    </row>
    <row r="37" spans="1:3" ht="23.25">
      <c r="A37" s="414">
        <v>90441</v>
      </c>
      <c r="B37" s="414" t="s">
        <v>761</v>
      </c>
      <c r="C37" s="415">
        <v>7690.73</v>
      </c>
    </row>
    <row r="38" spans="1:3" ht="23.25">
      <c r="A38" s="414">
        <v>90451</v>
      </c>
      <c r="B38" s="414" t="s">
        <v>762</v>
      </c>
      <c r="C38" s="415">
        <v>11603</v>
      </c>
    </row>
    <row r="39" spans="1:3" ht="23.25">
      <c r="A39" s="414">
        <v>90461</v>
      </c>
      <c r="B39" s="414" t="s">
        <v>763</v>
      </c>
      <c r="C39" s="415">
        <v>1770.58</v>
      </c>
    </row>
    <row r="40" spans="1:3" ht="23.25">
      <c r="A40" s="414">
        <v>90501</v>
      </c>
      <c r="B40" s="414" t="s">
        <v>764</v>
      </c>
      <c r="C40" s="415">
        <v>1091708.2899999998</v>
      </c>
    </row>
    <row r="41" spans="1:3" ht="23.25">
      <c r="A41" s="414">
        <v>90507</v>
      </c>
      <c r="B41" s="414" t="s">
        <v>34</v>
      </c>
      <c r="C41" s="415">
        <v>22608.21</v>
      </c>
    </row>
    <row r="42" spans="1:3" ht="23.25">
      <c r="A42" s="414">
        <v>90511</v>
      </c>
      <c r="B42" s="414" t="s">
        <v>765</v>
      </c>
      <c r="C42" s="415">
        <v>80836.430000000008</v>
      </c>
    </row>
    <row r="43" spans="1:3" ht="23.25">
      <c r="A43" s="414">
        <v>90521</v>
      </c>
      <c r="B43" s="414" t="s">
        <v>766</v>
      </c>
      <c r="C43" s="415">
        <v>90822.109999999986</v>
      </c>
    </row>
    <row r="44" spans="1:3" ht="23.25">
      <c r="A44" s="414">
        <v>90601</v>
      </c>
      <c r="B44" s="414" t="s">
        <v>767</v>
      </c>
      <c r="C44" s="415">
        <v>885245.77999999991</v>
      </c>
    </row>
    <row r="45" spans="1:3" ht="23.25">
      <c r="A45" s="414">
        <v>90602</v>
      </c>
      <c r="B45" s="414" t="s">
        <v>259</v>
      </c>
      <c r="C45" s="415">
        <v>68830.91</v>
      </c>
    </row>
    <row r="46" spans="1:3" ht="23.25">
      <c r="A46" s="414">
        <v>90605</v>
      </c>
      <c r="B46" s="414" t="s">
        <v>768</v>
      </c>
      <c r="C46" s="415">
        <v>36331.03</v>
      </c>
    </row>
    <row r="47" spans="1:3" ht="23.25">
      <c r="A47" s="414">
        <v>90611</v>
      </c>
      <c r="B47" s="414" t="s">
        <v>769</v>
      </c>
      <c r="C47" s="415">
        <v>98922.04</v>
      </c>
    </row>
    <row r="48" spans="1:3" ht="23.25">
      <c r="A48" s="414">
        <v>90617</v>
      </c>
      <c r="B48" s="414" t="s">
        <v>770</v>
      </c>
      <c r="C48" s="415">
        <v>21047.88</v>
      </c>
    </row>
    <row r="49" spans="1:3" ht="23.25">
      <c r="A49" s="414">
        <v>90621</v>
      </c>
      <c r="B49" s="414" t="s">
        <v>771</v>
      </c>
      <c r="C49" s="415">
        <v>48246.42</v>
      </c>
    </row>
    <row r="50" spans="1:3" ht="23.25">
      <c r="A50" s="414">
        <v>90631</v>
      </c>
      <c r="B50" s="414" t="s">
        <v>772</v>
      </c>
      <c r="C50" s="415">
        <v>296562.63</v>
      </c>
    </row>
    <row r="51" spans="1:3" ht="23.25">
      <c r="A51" s="414">
        <v>90641</v>
      </c>
      <c r="B51" s="414" t="s">
        <v>773</v>
      </c>
      <c r="C51" s="415">
        <v>9172.69</v>
      </c>
    </row>
    <row r="52" spans="1:3" ht="23.25">
      <c r="A52" s="414">
        <v>90651</v>
      </c>
      <c r="B52" s="414" t="s">
        <v>1936</v>
      </c>
      <c r="C52" s="415">
        <v>139656.38</v>
      </c>
    </row>
    <row r="53" spans="1:3" ht="23.25">
      <c r="A53" s="414">
        <v>90701</v>
      </c>
      <c r="B53" s="414" t="s">
        <v>775</v>
      </c>
      <c r="C53" s="415">
        <v>1822231.8499999999</v>
      </c>
    </row>
    <row r="54" spans="1:3" ht="23.25">
      <c r="A54" s="414">
        <v>90704</v>
      </c>
      <c r="B54" s="414" t="s">
        <v>776</v>
      </c>
      <c r="C54" s="415">
        <v>53434.340000000004</v>
      </c>
    </row>
    <row r="55" spans="1:3" ht="23.25">
      <c r="A55" s="414">
        <v>90705</v>
      </c>
      <c r="B55" s="414" t="s">
        <v>777</v>
      </c>
      <c r="C55" s="415">
        <v>32704.71</v>
      </c>
    </row>
    <row r="56" spans="1:3" ht="23.25">
      <c r="A56" s="414">
        <v>90709</v>
      </c>
      <c r="B56" s="414" t="s">
        <v>778</v>
      </c>
      <c r="C56" s="415">
        <v>119047.03</v>
      </c>
    </row>
    <row r="57" spans="1:3" ht="23.25">
      <c r="A57" s="414">
        <v>90711</v>
      </c>
      <c r="B57" s="414" t="s">
        <v>779</v>
      </c>
      <c r="C57" s="415">
        <v>1168221.9600000002</v>
      </c>
    </row>
    <row r="58" spans="1:3" ht="23.25">
      <c r="A58" s="414">
        <v>90721</v>
      </c>
      <c r="B58" s="414" t="s">
        <v>780</v>
      </c>
      <c r="C58" s="415">
        <v>21146.31</v>
      </c>
    </row>
    <row r="59" spans="1:3" ht="23.25">
      <c r="A59" s="414">
        <v>90731</v>
      </c>
      <c r="B59" s="414" t="s">
        <v>781</v>
      </c>
      <c r="C59" s="415">
        <v>115580.8</v>
      </c>
    </row>
    <row r="60" spans="1:3" ht="23.25">
      <c r="A60" s="414">
        <v>90741</v>
      </c>
      <c r="B60" s="414" t="s">
        <v>782</v>
      </c>
      <c r="C60" s="415">
        <v>10663.69</v>
      </c>
    </row>
    <row r="61" spans="1:3" ht="23.25">
      <c r="A61" s="414">
        <v>90751</v>
      </c>
      <c r="B61" s="414" t="s">
        <v>783</v>
      </c>
      <c r="C61" s="415">
        <v>49457.880000000005</v>
      </c>
    </row>
    <row r="62" spans="1:3" ht="23.25">
      <c r="A62" s="414">
        <v>90801</v>
      </c>
      <c r="B62" s="414" t="s">
        <v>784</v>
      </c>
      <c r="C62" s="415">
        <v>820594.64999999991</v>
      </c>
    </row>
    <row r="63" spans="1:3" ht="23.25">
      <c r="A63" s="414">
        <v>90804</v>
      </c>
      <c r="B63" s="414" t="s">
        <v>785</v>
      </c>
      <c r="C63" s="415">
        <v>4213.97</v>
      </c>
    </row>
    <row r="64" spans="1:3" ht="23.25">
      <c r="A64" s="414">
        <v>90805</v>
      </c>
      <c r="B64" s="414" t="s">
        <v>786</v>
      </c>
      <c r="C64" s="415">
        <v>60763.85</v>
      </c>
    </row>
    <row r="65" spans="1:3" ht="23.25">
      <c r="A65" s="414">
        <v>90808</v>
      </c>
      <c r="B65" s="414" t="s">
        <v>787</v>
      </c>
      <c r="C65" s="415">
        <v>103004.28</v>
      </c>
    </row>
    <row r="66" spans="1:3" ht="23.25">
      <c r="A66" s="414">
        <v>90811</v>
      </c>
      <c r="B66" s="414" t="s">
        <v>788</v>
      </c>
      <c r="C66" s="415">
        <v>23124.75</v>
      </c>
    </row>
    <row r="67" spans="1:3" ht="23.25">
      <c r="A67" s="414">
        <v>90812</v>
      </c>
      <c r="B67" s="414" t="s">
        <v>789</v>
      </c>
      <c r="C67" s="415">
        <v>155950.22</v>
      </c>
    </row>
    <row r="68" spans="1:3" ht="23.25">
      <c r="A68" s="414">
        <v>90813</v>
      </c>
      <c r="B68" s="414" t="s">
        <v>790</v>
      </c>
      <c r="C68" s="415">
        <v>2830.79</v>
      </c>
    </row>
    <row r="69" spans="1:3" ht="23.25">
      <c r="A69" s="414">
        <v>90861</v>
      </c>
      <c r="B69" s="414" t="s">
        <v>791</v>
      </c>
      <c r="C69" s="415">
        <v>5952.2000000000007</v>
      </c>
    </row>
    <row r="70" spans="1:3" ht="23.25">
      <c r="A70" s="414">
        <v>90901</v>
      </c>
      <c r="B70" s="414" t="s">
        <v>792</v>
      </c>
      <c r="C70" s="415">
        <v>1568209.2300000002</v>
      </c>
    </row>
    <row r="71" spans="1:3" ht="23.25">
      <c r="A71" s="414">
        <v>90911</v>
      </c>
      <c r="B71" s="414" t="s">
        <v>793</v>
      </c>
      <c r="C71" s="415">
        <v>240940.9</v>
      </c>
    </row>
    <row r="72" spans="1:3" ht="23.25">
      <c r="A72" s="414">
        <v>90917</v>
      </c>
      <c r="B72" s="414" t="s">
        <v>794</v>
      </c>
      <c r="C72" s="415">
        <v>9198.6200000000008</v>
      </c>
    </row>
    <row r="73" spans="1:3" ht="23.25">
      <c r="A73" s="414">
        <v>90918</v>
      </c>
      <c r="B73" s="414" t="s">
        <v>795</v>
      </c>
      <c r="C73" s="415">
        <v>7234.68</v>
      </c>
    </row>
    <row r="74" spans="1:3" ht="23.25">
      <c r="A74" s="414">
        <v>90921</v>
      </c>
      <c r="B74" s="414" t="s">
        <v>796</v>
      </c>
      <c r="C74" s="415">
        <v>93661.53</v>
      </c>
    </row>
    <row r="75" spans="1:3" ht="23.25">
      <c r="A75" s="414">
        <v>90931</v>
      </c>
      <c r="B75" s="414" t="s">
        <v>797</v>
      </c>
      <c r="C75" s="415">
        <v>23287.86</v>
      </c>
    </row>
    <row r="76" spans="1:3" ht="23.25">
      <c r="A76" s="414">
        <v>90941</v>
      </c>
      <c r="B76" s="414" t="s">
        <v>798</v>
      </c>
      <c r="C76" s="415">
        <v>55252.08</v>
      </c>
    </row>
    <row r="77" spans="1:3" ht="23.25">
      <c r="A77" s="414">
        <v>91001</v>
      </c>
      <c r="B77" s="414" t="s">
        <v>799</v>
      </c>
      <c r="C77" s="415">
        <v>4908396.6400000006</v>
      </c>
    </row>
    <row r="78" spans="1:3" ht="23.25">
      <c r="A78" s="414">
        <v>91002</v>
      </c>
      <c r="B78" s="414" t="s">
        <v>800</v>
      </c>
      <c r="C78" s="415">
        <v>833433.99</v>
      </c>
    </row>
    <row r="79" spans="1:3" ht="23.25">
      <c r="A79" s="414">
        <v>91003</v>
      </c>
      <c r="B79" s="414" t="s">
        <v>801</v>
      </c>
      <c r="C79" s="415">
        <v>446049.41</v>
      </c>
    </row>
    <row r="80" spans="1:3" ht="23.25">
      <c r="A80" s="414">
        <v>91004</v>
      </c>
      <c r="B80" s="414" t="s">
        <v>802</v>
      </c>
      <c r="C80" s="415">
        <v>27510.55</v>
      </c>
    </row>
    <row r="81" spans="1:3" ht="23.25">
      <c r="A81" s="414">
        <v>91006</v>
      </c>
      <c r="B81" s="414" t="s">
        <v>803</v>
      </c>
      <c r="C81" s="415">
        <v>710378.88</v>
      </c>
    </row>
    <row r="82" spans="1:3" ht="23.25">
      <c r="A82" s="414">
        <v>91007</v>
      </c>
      <c r="B82" s="414" t="s">
        <v>804</v>
      </c>
      <c r="C82" s="415">
        <v>7429.02</v>
      </c>
    </row>
    <row r="83" spans="1:3" ht="23.25">
      <c r="A83" s="414">
        <v>91008</v>
      </c>
      <c r="B83" s="414" t="s">
        <v>805</v>
      </c>
      <c r="C83" s="415">
        <v>119553</v>
      </c>
    </row>
    <row r="84" spans="1:3" ht="23.25">
      <c r="A84" s="414">
        <v>91009</v>
      </c>
      <c r="B84" s="414" t="s">
        <v>806</v>
      </c>
      <c r="C84" s="415">
        <v>14877.15</v>
      </c>
    </row>
    <row r="85" spans="1:3" ht="23.25">
      <c r="A85" s="414">
        <v>91010</v>
      </c>
      <c r="B85" s="414" t="s">
        <v>807</v>
      </c>
      <c r="C85" s="415">
        <v>46744.23</v>
      </c>
    </row>
    <row r="86" spans="1:3" ht="23.25">
      <c r="A86" s="414">
        <v>91011</v>
      </c>
      <c r="B86" s="414" t="s">
        <v>808</v>
      </c>
      <c r="C86" s="415">
        <v>318216.87</v>
      </c>
    </row>
    <row r="87" spans="1:3" ht="23.25">
      <c r="A87" s="414">
        <v>91012</v>
      </c>
      <c r="B87" s="414" t="s">
        <v>809</v>
      </c>
      <c r="C87" s="415">
        <v>12729.47</v>
      </c>
    </row>
    <row r="88" spans="1:3" ht="23.25">
      <c r="A88" s="414">
        <v>91013</v>
      </c>
      <c r="B88" s="414" t="s">
        <v>810</v>
      </c>
      <c r="C88" s="415">
        <v>45283.990000000005</v>
      </c>
    </row>
    <row r="89" spans="1:3" ht="23.25">
      <c r="A89" s="414">
        <v>91014</v>
      </c>
      <c r="B89" s="414" t="s">
        <v>811</v>
      </c>
      <c r="C89" s="415">
        <v>147001.77000000002</v>
      </c>
    </row>
    <row r="90" spans="1:3" ht="23.25">
      <c r="A90" s="414">
        <v>91015</v>
      </c>
      <c r="B90" s="414" t="s">
        <v>1640</v>
      </c>
      <c r="C90" s="415">
        <v>28046.35</v>
      </c>
    </row>
    <row r="91" spans="1:3" ht="23.25">
      <c r="A91" s="414">
        <v>91017</v>
      </c>
      <c r="B91" s="414" t="s">
        <v>2015</v>
      </c>
      <c r="C91" s="415">
        <v>21828.79</v>
      </c>
    </row>
    <row r="92" spans="1:3" ht="23.25">
      <c r="A92" s="414">
        <v>91020</v>
      </c>
      <c r="B92" s="414" t="s">
        <v>813</v>
      </c>
      <c r="C92" s="415">
        <v>19907.560000000001</v>
      </c>
    </row>
    <row r="93" spans="1:3" ht="23.25">
      <c r="A93" s="414">
        <v>91021</v>
      </c>
      <c r="B93" s="414" t="s">
        <v>814</v>
      </c>
      <c r="C93" s="415">
        <v>705775.04</v>
      </c>
    </row>
    <row r="94" spans="1:3" ht="23.25">
      <c r="A94" s="414">
        <v>91024</v>
      </c>
      <c r="B94" s="414" t="s">
        <v>815</v>
      </c>
      <c r="C94" s="415">
        <v>73127.490000000005</v>
      </c>
    </row>
    <row r="95" spans="1:3" ht="23.25">
      <c r="A95" s="414">
        <v>91026</v>
      </c>
      <c r="B95" s="414" t="s">
        <v>43</v>
      </c>
      <c r="C95" s="415">
        <v>52985.78</v>
      </c>
    </row>
    <row r="96" spans="1:3" ht="23.25">
      <c r="A96" s="414">
        <v>91027</v>
      </c>
      <c r="B96" s="414" t="s">
        <v>816</v>
      </c>
      <c r="C96" s="415">
        <v>21895.49</v>
      </c>
    </row>
    <row r="97" spans="1:3" ht="23.25">
      <c r="A97" s="414">
        <v>91032</v>
      </c>
      <c r="B97" s="414" t="s">
        <v>817</v>
      </c>
      <c r="C97" s="415">
        <v>30300.27</v>
      </c>
    </row>
    <row r="98" spans="1:3" ht="23.25">
      <c r="A98" s="414">
        <v>91041</v>
      </c>
      <c r="B98" s="414" t="s">
        <v>818</v>
      </c>
      <c r="C98" s="415">
        <v>284029.59000000003</v>
      </c>
    </row>
    <row r="99" spans="1:3" ht="23.25">
      <c r="A99" s="414">
        <v>91042</v>
      </c>
      <c r="B99" s="414" t="s">
        <v>819</v>
      </c>
      <c r="C99" s="415">
        <v>212995.37</v>
      </c>
    </row>
    <row r="100" spans="1:3" ht="23.25">
      <c r="A100" s="414">
        <v>91047</v>
      </c>
      <c r="B100" s="414" t="s">
        <v>820</v>
      </c>
      <c r="C100" s="415">
        <v>12186.09</v>
      </c>
    </row>
    <row r="101" spans="1:3" ht="23.25">
      <c r="A101" s="414">
        <v>91051</v>
      </c>
      <c r="B101" s="414" t="s">
        <v>821</v>
      </c>
      <c r="C101" s="415">
        <v>51715.02</v>
      </c>
    </row>
    <row r="102" spans="1:3" ht="23.25">
      <c r="A102" s="414">
        <v>91057</v>
      </c>
      <c r="B102" s="414" t="s">
        <v>822</v>
      </c>
      <c r="C102" s="415">
        <v>14784.97</v>
      </c>
    </row>
    <row r="103" spans="1:3" ht="23.25">
      <c r="A103" s="414">
        <v>91061</v>
      </c>
      <c r="B103" s="414" t="s">
        <v>823</v>
      </c>
      <c r="C103" s="415">
        <v>285416.26</v>
      </c>
    </row>
    <row r="104" spans="1:3" ht="23.25">
      <c r="A104" s="414">
        <v>91067</v>
      </c>
      <c r="B104" s="414" t="s">
        <v>824</v>
      </c>
      <c r="C104" s="415">
        <v>14571.06</v>
      </c>
    </row>
    <row r="105" spans="1:3" ht="23.25">
      <c r="A105" s="414">
        <v>91071</v>
      </c>
      <c r="B105" s="414" t="s">
        <v>825</v>
      </c>
      <c r="C105" s="415">
        <v>167370.41</v>
      </c>
    </row>
    <row r="106" spans="1:3" ht="23.25">
      <c r="A106" s="414">
        <v>91077</v>
      </c>
      <c r="B106" s="414" t="s">
        <v>826</v>
      </c>
      <c r="C106" s="415">
        <v>10075.1</v>
      </c>
    </row>
    <row r="107" spans="1:3" ht="23.25">
      <c r="A107" s="414">
        <v>91081</v>
      </c>
      <c r="B107" s="414" t="s">
        <v>827</v>
      </c>
      <c r="C107" s="415">
        <v>304978.93999999994</v>
      </c>
    </row>
    <row r="108" spans="1:3" ht="23.25">
      <c r="A108" s="414">
        <v>91091</v>
      </c>
      <c r="B108" s="414" t="s">
        <v>828</v>
      </c>
      <c r="C108" s="415">
        <v>403673.12999999995</v>
      </c>
    </row>
    <row r="109" spans="1:3" ht="23.25">
      <c r="A109" s="414">
        <v>91101</v>
      </c>
      <c r="B109" s="414" t="s">
        <v>829</v>
      </c>
      <c r="C109" s="415">
        <v>9320165.2699999996</v>
      </c>
    </row>
    <row r="110" spans="1:3" ht="23.25">
      <c r="A110" s="414">
        <v>91102</v>
      </c>
      <c r="B110" s="414" t="s">
        <v>830</v>
      </c>
      <c r="C110" s="415">
        <v>227089.91</v>
      </c>
    </row>
    <row r="111" spans="1:3" ht="23.25">
      <c r="A111" s="414">
        <v>91104</v>
      </c>
      <c r="B111" s="414" t="s">
        <v>831</v>
      </c>
      <c r="C111" s="415">
        <v>20704.300000000003</v>
      </c>
    </row>
    <row r="112" spans="1:3" ht="23.25">
      <c r="A112" s="414">
        <v>91107</v>
      </c>
      <c r="B112" s="414" t="s">
        <v>832</v>
      </c>
      <c r="C112" s="415">
        <v>42093.25</v>
      </c>
    </row>
    <row r="113" spans="1:3" ht="23.25">
      <c r="A113" s="414">
        <v>91108</v>
      </c>
      <c r="B113" s="414" t="s">
        <v>833</v>
      </c>
      <c r="C113" s="415">
        <v>921855.54</v>
      </c>
    </row>
    <row r="114" spans="1:3" ht="23.25">
      <c r="A114" s="414">
        <v>91109</v>
      </c>
      <c r="B114" s="414" t="s">
        <v>834</v>
      </c>
      <c r="C114" s="415">
        <v>73596.77</v>
      </c>
    </row>
    <row r="115" spans="1:3" ht="23.25">
      <c r="A115" s="414">
        <v>91111</v>
      </c>
      <c r="B115" s="414" t="s">
        <v>835</v>
      </c>
      <c r="C115" s="415">
        <v>163319.91000000003</v>
      </c>
    </row>
    <row r="116" spans="1:3" ht="23.25">
      <c r="A116" s="414">
        <v>91120</v>
      </c>
      <c r="B116" s="414" t="s">
        <v>836</v>
      </c>
      <c r="C116" s="415">
        <v>126441.42</v>
      </c>
    </row>
    <row r="117" spans="1:3" ht="23.25">
      <c r="A117" s="414">
        <v>91121</v>
      </c>
      <c r="B117" s="414" t="s">
        <v>837</v>
      </c>
      <c r="C117" s="415">
        <v>6917526.1299999999</v>
      </c>
    </row>
    <row r="118" spans="1:3" ht="23.25">
      <c r="A118" s="414">
        <v>91127</v>
      </c>
      <c r="B118" s="414" t="s">
        <v>838</v>
      </c>
      <c r="C118" s="415">
        <v>253785.72</v>
      </c>
    </row>
    <row r="119" spans="1:3" ht="23.25">
      <c r="A119" s="414">
        <v>91128</v>
      </c>
      <c r="B119" s="414" t="s">
        <v>839</v>
      </c>
      <c r="C119" s="415">
        <v>396529.94000000006</v>
      </c>
    </row>
    <row r="120" spans="1:3" ht="23.25">
      <c r="A120" s="414">
        <v>91138</v>
      </c>
      <c r="B120" s="414" t="s">
        <v>840</v>
      </c>
      <c r="C120" s="415">
        <v>339054.75</v>
      </c>
    </row>
    <row r="121" spans="1:3" ht="23.25">
      <c r="A121" s="414">
        <v>91141</v>
      </c>
      <c r="B121" s="414" t="s">
        <v>841</v>
      </c>
      <c r="C121" s="415">
        <v>412461.25</v>
      </c>
    </row>
    <row r="122" spans="1:3" ht="23.25">
      <c r="A122" s="414">
        <v>91147</v>
      </c>
      <c r="B122" s="414" t="s">
        <v>842</v>
      </c>
      <c r="C122" s="415">
        <v>26389.600000000002</v>
      </c>
    </row>
    <row r="123" spans="1:3" ht="23.25">
      <c r="A123" s="414">
        <v>91151</v>
      </c>
      <c r="B123" s="414" t="s">
        <v>843</v>
      </c>
      <c r="C123" s="415">
        <v>398646.62000000005</v>
      </c>
    </row>
    <row r="124" spans="1:3" ht="23.25">
      <c r="A124" s="414">
        <v>91154</v>
      </c>
      <c r="B124" s="414" t="s">
        <v>844</v>
      </c>
      <c r="C124" s="415">
        <v>15151.14</v>
      </c>
    </row>
    <row r="125" spans="1:3" ht="23.25">
      <c r="A125" s="414">
        <v>91161</v>
      </c>
      <c r="B125" s="414" t="s">
        <v>845</v>
      </c>
      <c r="C125" s="415">
        <v>65048.78</v>
      </c>
    </row>
    <row r="126" spans="1:3" ht="23.25">
      <c r="A126" s="414">
        <v>91171</v>
      </c>
      <c r="B126" s="414" t="s">
        <v>846</v>
      </c>
      <c r="C126" s="415">
        <v>173569.88000000003</v>
      </c>
    </row>
    <row r="127" spans="1:3" ht="23.25">
      <c r="A127" s="414">
        <v>91201</v>
      </c>
      <c r="B127" s="414" t="s">
        <v>847</v>
      </c>
      <c r="C127" s="415">
        <v>1800449.73</v>
      </c>
    </row>
    <row r="128" spans="1:3" ht="23.25">
      <c r="A128" s="414">
        <v>91203</v>
      </c>
      <c r="B128" s="414" t="s">
        <v>849</v>
      </c>
      <c r="C128" s="415">
        <v>199581.67</v>
      </c>
    </row>
    <row r="129" spans="1:3" ht="23.25">
      <c r="A129" s="414">
        <v>91206</v>
      </c>
      <c r="B129" s="414" t="s">
        <v>850</v>
      </c>
      <c r="C129" s="415">
        <v>677787.08</v>
      </c>
    </row>
    <row r="130" spans="1:3" ht="23.25">
      <c r="A130" s="414">
        <v>91208</v>
      </c>
      <c r="B130" s="414" t="s">
        <v>851</v>
      </c>
      <c r="C130" s="415">
        <v>13794.31</v>
      </c>
    </row>
    <row r="131" spans="1:3" ht="23.25">
      <c r="A131" s="414">
        <v>91211</v>
      </c>
      <c r="B131" s="414" t="s">
        <v>852</v>
      </c>
      <c r="C131" s="415">
        <v>318047.24000000005</v>
      </c>
    </row>
    <row r="132" spans="1:3" ht="23.25">
      <c r="A132" s="414">
        <v>91213</v>
      </c>
      <c r="B132" s="414" t="s">
        <v>853</v>
      </c>
      <c r="C132" s="415">
        <v>19338.650000000001</v>
      </c>
    </row>
    <row r="133" spans="1:3" ht="23.25">
      <c r="A133" s="414">
        <v>91214</v>
      </c>
      <c r="B133" s="414" t="s">
        <v>854</v>
      </c>
      <c r="C133" s="415">
        <v>19218.22</v>
      </c>
    </row>
    <row r="134" spans="1:3" ht="23.25">
      <c r="A134" s="414">
        <v>91217</v>
      </c>
      <c r="B134" s="414" t="s">
        <v>855</v>
      </c>
      <c r="C134" s="415">
        <v>24240.400000000001</v>
      </c>
    </row>
    <row r="135" spans="1:3" ht="23.25">
      <c r="A135" s="414">
        <v>91221</v>
      </c>
      <c r="B135" s="414" t="s">
        <v>856</v>
      </c>
      <c r="C135" s="415">
        <v>80793.659999999989</v>
      </c>
    </row>
    <row r="136" spans="1:3" ht="23.25">
      <c r="A136" s="414">
        <v>91231</v>
      </c>
      <c r="B136" s="414" t="s">
        <v>857</v>
      </c>
      <c r="C136" s="415">
        <v>1374985.07</v>
      </c>
    </row>
    <row r="137" spans="1:3" ht="23.25">
      <c r="A137" s="414">
        <v>91233</v>
      </c>
      <c r="B137" s="414" t="s">
        <v>858</v>
      </c>
      <c r="C137" s="415">
        <v>43373.11</v>
      </c>
    </row>
    <row r="138" spans="1:3" ht="23.25">
      <c r="A138" s="414">
        <v>91241</v>
      </c>
      <c r="B138" s="414" t="s">
        <v>859</v>
      </c>
      <c r="C138" s="415">
        <v>26237.989999999998</v>
      </c>
    </row>
    <row r="139" spans="1:3" ht="23.25">
      <c r="A139" s="414">
        <v>91251</v>
      </c>
      <c r="B139" s="414" t="s">
        <v>860</v>
      </c>
      <c r="C139" s="415">
        <v>18408.52</v>
      </c>
    </row>
    <row r="140" spans="1:3" ht="23.25">
      <c r="A140" s="414">
        <v>91261</v>
      </c>
      <c r="B140" s="414" t="s">
        <v>861</v>
      </c>
      <c r="C140" s="415">
        <v>5778.5</v>
      </c>
    </row>
    <row r="141" spans="1:3" ht="23.25">
      <c r="A141" s="414">
        <v>91301</v>
      </c>
      <c r="B141" s="414" t="s">
        <v>862</v>
      </c>
      <c r="C141" s="415">
        <v>6105993.9400000013</v>
      </c>
    </row>
    <row r="142" spans="1:3" ht="23.25">
      <c r="A142" s="414">
        <v>91302</v>
      </c>
      <c r="B142" s="414" t="s">
        <v>863</v>
      </c>
      <c r="C142" s="415">
        <v>383197.03</v>
      </c>
    </row>
    <row r="143" spans="1:3" ht="23.25">
      <c r="A143" s="414">
        <v>91306</v>
      </c>
      <c r="B143" s="414" t="s">
        <v>864</v>
      </c>
      <c r="C143" s="415">
        <v>1397971.06</v>
      </c>
    </row>
    <row r="144" spans="1:3" ht="23.25">
      <c r="A144" s="414">
        <v>91308</v>
      </c>
      <c r="B144" s="414" t="s">
        <v>865</v>
      </c>
      <c r="C144" s="415">
        <v>83903.930000000008</v>
      </c>
    </row>
    <row r="145" spans="1:3" ht="23.25">
      <c r="A145" s="414">
        <v>91311</v>
      </c>
      <c r="B145" s="414" t="s">
        <v>866</v>
      </c>
      <c r="C145" s="415">
        <v>6139152.3899999997</v>
      </c>
    </row>
    <row r="146" spans="1:3" ht="23.25">
      <c r="A146" s="414">
        <v>91317</v>
      </c>
      <c r="B146" s="414" t="s">
        <v>867</v>
      </c>
      <c r="C146" s="415">
        <v>113076.73</v>
      </c>
    </row>
    <row r="147" spans="1:3" ht="23.25">
      <c r="A147" s="414">
        <v>91321</v>
      </c>
      <c r="B147" s="414" t="s">
        <v>868</v>
      </c>
      <c r="C147" s="415">
        <v>50381.740000000005</v>
      </c>
    </row>
    <row r="148" spans="1:3" ht="23.25">
      <c r="A148" s="414">
        <v>91327</v>
      </c>
      <c r="B148" s="414" t="s">
        <v>869</v>
      </c>
      <c r="C148" s="415">
        <v>6511.59</v>
      </c>
    </row>
    <row r="149" spans="1:3" ht="23.25">
      <c r="A149" s="414">
        <v>91331</v>
      </c>
      <c r="B149" s="414" t="s">
        <v>870</v>
      </c>
      <c r="C149" s="415">
        <v>2153792.04</v>
      </c>
    </row>
    <row r="150" spans="1:3" ht="23.25">
      <c r="A150" s="414">
        <v>91341</v>
      </c>
      <c r="B150" s="414" t="s">
        <v>871</v>
      </c>
      <c r="C150" s="415">
        <v>22242.74</v>
      </c>
    </row>
    <row r="151" spans="1:3" ht="23.25">
      <c r="A151" s="414">
        <v>91401</v>
      </c>
      <c r="B151" s="414" t="s">
        <v>872</v>
      </c>
      <c r="C151" s="415">
        <v>2662680.0700000003</v>
      </c>
    </row>
    <row r="152" spans="1:3" ht="23.25">
      <c r="A152" s="414">
        <v>91411</v>
      </c>
      <c r="B152" s="414" t="s">
        <v>873</v>
      </c>
      <c r="C152" s="415">
        <v>311076.28999999998</v>
      </c>
    </row>
    <row r="153" spans="1:3" ht="23.25">
      <c r="A153" s="414">
        <v>91414</v>
      </c>
      <c r="B153" s="414" t="s">
        <v>3614</v>
      </c>
      <c r="C153" s="415">
        <v>22643.06</v>
      </c>
    </row>
    <row r="154" spans="1:3" ht="23.25">
      <c r="A154" s="414">
        <v>91417</v>
      </c>
      <c r="B154" s="414" t="s">
        <v>874</v>
      </c>
      <c r="C154" s="415">
        <v>11212.14</v>
      </c>
    </row>
    <row r="155" spans="1:3" ht="23.25">
      <c r="A155" s="414">
        <v>91421</v>
      </c>
      <c r="B155" s="414" t="s">
        <v>875</v>
      </c>
      <c r="C155" s="415">
        <v>52551.33</v>
      </c>
    </row>
    <row r="156" spans="1:3" ht="23.25">
      <c r="A156" s="414">
        <v>91423</v>
      </c>
      <c r="B156" s="414" t="s">
        <v>876</v>
      </c>
      <c r="C156" s="415">
        <v>38232.15</v>
      </c>
    </row>
    <row r="157" spans="1:3" ht="23.25">
      <c r="A157" s="414">
        <v>91431</v>
      </c>
      <c r="B157" s="414" t="s">
        <v>877</v>
      </c>
      <c r="C157" s="415">
        <v>135114.71</v>
      </c>
    </row>
    <row r="158" spans="1:3" ht="23.25">
      <c r="A158" s="414">
        <v>91441</v>
      </c>
      <c r="B158" s="414" t="s">
        <v>878</v>
      </c>
      <c r="C158" s="415">
        <v>606221.9</v>
      </c>
    </row>
    <row r="159" spans="1:3" ht="23.25">
      <c r="A159" s="414">
        <v>91451</v>
      </c>
      <c r="B159" s="414" t="s">
        <v>879</v>
      </c>
      <c r="C159" s="415">
        <v>1111147.8099999998</v>
      </c>
    </row>
    <row r="160" spans="1:3" ht="23.25">
      <c r="A160" s="414">
        <v>91457</v>
      </c>
      <c r="B160" s="414" t="s">
        <v>880</v>
      </c>
      <c r="C160" s="415">
        <v>42358.09</v>
      </c>
    </row>
    <row r="161" spans="1:3" ht="23.25">
      <c r="A161" s="414">
        <v>91501</v>
      </c>
      <c r="B161" s="414" t="s">
        <v>882</v>
      </c>
      <c r="C161" s="415">
        <v>376732.75</v>
      </c>
    </row>
    <row r="162" spans="1:3" ht="23.25">
      <c r="A162" s="414">
        <v>91504</v>
      </c>
      <c r="B162" s="414" t="s">
        <v>883</v>
      </c>
      <c r="C162" s="415">
        <v>11135.32</v>
      </c>
    </row>
    <row r="163" spans="1:3" ht="23.25">
      <c r="A163" s="414">
        <v>91601</v>
      </c>
      <c r="B163" s="414" t="s">
        <v>884</v>
      </c>
      <c r="C163" s="415">
        <v>2276701.39</v>
      </c>
    </row>
    <row r="164" spans="1:3" ht="23.25">
      <c r="A164" s="414">
        <v>91604</v>
      </c>
      <c r="B164" s="414" t="s">
        <v>885</v>
      </c>
      <c r="C164" s="415">
        <v>81071.76999999999</v>
      </c>
    </row>
    <row r="165" spans="1:3" ht="23.25">
      <c r="A165" s="414">
        <v>91608</v>
      </c>
      <c r="B165" s="414" t="s">
        <v>886</v>
      </c>
      <c r="C165" s="415">
        <v>98033.849999999991</v>
      </c>
    </row>
    <row r="166" spans="1:3" ht="23.25">
      <c r="A166" s="414">
        <v>91611</v>
      </c>
      <c r="B166" s="414" t="s">
        <v>887</v>
      </c>
      <c r="C166" s="415">
        <v>933491.02</v>
      </c>
    </row>
    <row r="167" spans="1:3" ht="23.25">
      <c r="A167" s="414">
        <v>91621</v>
      </c>
      <c r="B167" s="414" t="s">
        <v>888</v>
      </c>
      <c r="C167" s="415">
        <v>216362.16</v>
      </c>
    </row>
    <row r="168" spans="1:3" ht="23.25">
      <c r="A168" s="414">
        <v>91631</v>
      </c>
      <c r="B168" s="414" t="s">
        <v>889</v>
      </c>
      <c r="C168" s="415">
        <v>436292.16000000009</v>
      </c>
    </row>
    <row r="169" spans="1:3" ht="23.25">
      <c r="A169" s="414">
        <v>91633</v>
      </c>
      <c r="B169" s="414" t="s">
        <v>890</v>
      </c>
      <c r="C169" s="415">
        <v>19319.89</v>
      </c>
    </row>
    <row r="170" spans="1:3" ht="23.25">
      <c r="A170" s="414">
        <v>91641</v>
      </c>
      <c r="B170" s="414" t="s">
        <v>891</v>
      </c>
      <c r="C170" s="415">
        <v>207332.41999999998</v>
      </c>
    </row>
    <row r="171" spans="1:3" ht="23.25">
      <c r="A171" s="414">
        <v>91651</v>
      </c>
      <c r="B171" s="414" t="s">
        <v>892</v>
      </c>
      <c r="C171" s="415">
        <v>403810.33999999991</v>
      </c>
    </row>
    <row r="172" spans="1:3" ht="23.25">
      <c r="A172" s="414">
        <v>91661</v>
      </c>
      <c r="B172" s="414" t="s">
        <v>893</v>
      </c>
      <c r="C172" s="415">
        <v>113748.15000000001</v>
      </c>
    </row>
    <row r="173" spans="1:3" ht="23.25">
      <c r="A173" s="414">
        <v>91671</v>
      </c>
      <c r="B173" s="414" t="s">
        <v>894</v>
      </c>
      <c r="C173" s="415">
        <v>66579.100000000006</v>
      </c>
    </row>
    <row r="174" spans="1:3" ht="23.25">
      <c r="A174" s="414">
        <v>91681</v>
      </c>
      <c r="B174" s="414" t="s">
        <v>895</v>
      </c>
      <c r="C174" s="415">
        <v>524083.36000000004</v>
      </c>
    </row>
    <row r="175" spans="1:3" ht="23.25">
      <c r="A175" s="414">
        <v>91691</v>
      </c>
      <c r="B175" s="414" t="s">
        <v>896</v>
      </c>
      <c r="C175" s="415">
        <v>21953.759999999998</v>
      </c>
    </row>
    <row r="176" spans="1:3" ht="23.25">
      <c r="A176" s="414">
        <v>91701</v>
      </c>
      <c r="B176" s="414" t="s">
        <v>897</v>
      </c>
      <c r="C176" s="415">
        <v>867773.02999999991</v>
      </c>
    </row>
    <row r="177" spans="1:3" ht="23.25">
      <c r="A177" s="414">
        <v>91704</v>
      </c>
      <c r="B177" s="414" t="s">
        <v>898</v>
      </c>
      <c r="C177" s="415">
        <v>15032.4</v>
      </c>
    </row>
    <row r="178" spans="1:3" ht="23.25">
      <c r="A178" s="414">
        <v>91706</v>
      </c>
      <c r="B178" s="414" t="s">
        <v>899</v>
      </c>
      <c r="C178" s="415">
        <v>177671.46</v>
      </c>
    </row>
    <row r="179" spans="1:3" ht="23.25">
      <c r="A179" s="414">
        <v>91719</v>
      </c>
      <c r="B179" s="414" t="s">
        <v>900</v>
      </c>
      <c r="C179" s="415">
        <v>34773.620000000003</v>
      </c>
    </row>
    <row r="180" spans="1:3" ht="23.25">
      <c r="A180" s="414">
        <v>91801</v>
      </c>
      <c r="B180" s="414" t="s">
        <v>901</v>
      </c>
      <c r="C180" s="415">
        <v>5763805.3799999999</v>
      </c>
    </row>
    <row r="181" spans="1:3" ht="23.25">
      <c r="A181" s="414">
        <v>91804</v>
      </c>
      <c r="B181" s="414" t="s">
        <v>902</v>
      </c>
      <c r="C181" s="415">
        <v>159241.04</v>
      </c>
    </row>
    <row r="182" spans="1:3" ht="23.25">
      <c r="A182" s="414">
        <v>91811</v>
      </c>
      <c r="B182" s="414" t="s">
        <v>903</v>
      </c>
      <c r="C182" s="415">
        <v>3078603.2399999993</v>
      </c>
    </row>
    <row r="183" spans="1:3" ht="23.25">
      <c r="A183" s="414">
        <v>91812</v>
      </c>
      <c r="B183" s="414" t="s">
        <v>904</v>
      </c>
      <c r="C183" s="415">
        <v>44136.35</v>
      </c>
    </row>
    <row r="184" spans="1:3" ht="23.25">
      <c r="A184" s="414">
        <v>91813</v>
      </c>
      <c r="B184" s="414" t="s">
        <v>905</v>
      </c>
      <c r="C184" s="415">
        <v>57166.47</v>
      </c>
    </row>
    <row r="185" spans="1:3" ht="23.25">
      <c r="A185" s="414">
        <v>91818</v>
      </c>
      <c r="B185" s="414" t="s">
        <v>906</v>
      </c>
      <c r="C185" s="415">
        <v>347993.73</v>
      </c>
    </row>
    <row r="186" spans="1:3" ht="23.25">
      <c r="A186" s="414">
        <v>91819</v>
      </c>
      <c r="B186" s="414" t="s">
        <v>907</v>
      </c>
      <c r="C186" s="415">
        <v>198602.03</v>
      </c>
    </row>
    <row r="187" spans="1:3" ht="23.25">
      <c r="A187" s="414">
        <v>91821</v>
      </c>
      <c r="B187" s="414" t="s">
        <v>908</v>
      </c>
      <c r="C187" s="415">
        <v>117723.81999999999</v>
      </c>
    </row>
    <row r="188" spans="1:3" ht="23.25">
      <c r="A188" s="414">
        <v>91831</v>
      </c>
      <c r="B188" s="414" t="s">
        <v>909</v>
      </c>
      <c r="C188" s="415">
        <v>285954.22000000003</v>
      </c>
    </row>
    <row r="189" spans="1:3" ht="23.25">
      <c r="A189" s="414">
        <v>91841</v>
      </c>
      <c r="B189" s="414" t="s">
        <v>910</v>
      </c>
      <c r="C189" s="415">
        <v>204797.95</v>
      </c>
    </row>
    <row r="190" spans="1:3" ht="23.25">
      <c r="A190" s="414">
        <v>91851</v>
      </c>
      <c r="B190" s="414" t="s">
        <v>911</v>
      </c>
      <c r="C190" s="415">
        <v>527355.5</v>
      </c>
    </row>
    <row r="191" spans="1:3" ht="23.25">
      <c r="A191" s="414">
        <v>91861</v>
      </c>
      <c r="B191" s="414" t="s">
        <v>912</v>
      </c>
      <c r="C191" s="415">
        <v>4873.26</v>
      </c>
    </row>
    <row r="192" spans="1:3" ht="23.25">
      <c r="A192" s="414">
        <v>91871</v>
      </c>
      <c r="B192" s="414" t="s">
        <v>913</v>
      </c>
      <c r="C192" s="415">
        <v>940691.85999999987</v>
      </c>
    </row>
    <row r="193" spans="1:3" ht="23.25">
      <c r="A193" s="414">
        <v>91881</v>
      </c>
      <c r="B193" s="414" t="s">
        <v>914</v>
      </c>
      <c r="C193" s="415">
        <v>11408.56</v>
      </c>
    </row>
    <row r="194" spans="1:3" ht="23.25">
      <c r="A194" s="414">
        <v>91901</v>
      </c>
      <c r="B194" s="414" t="s">
        <v>915</v>
      </c>
      <c r="C194" s="415">
        <v>2642077.12</v>
      </c>
    </row>
    <row r="195" spans="1:3" ht="23.25">
      <c r="A195" s="414">
        <v>91903</v>
      </c>
      <c r="B195" s="414" t="s">
        <v>916</v>
      </c>
      <c r="C195" s="415">
        <v>8849.8799999999992</v>
      </c>
    </row>
    <row r="196" spans="1:3" ht="23.25">
      <c r="A196" s="414">
        <v>91904</v>
      </c>
      <c r="B196" s="414" t="s">
        <v>917</v>
      </c>
      <c r="C196" s="415">
        <v>44421.850000000006</v>
      </c>
    </row>
    <row r="197" spans="1:3" ht="23.25">
      <c r="A197" s="414">
        <v>91908</v>
      </c>
      <c r="B197" s="414" t="s">
        <v>918</v>
      </c>
      <c r="C197" s="415">
        <v>8203.5</v>
      </c>
    </row>
    <row r="198" spans="1:3" ht="23.25">
      <c r="A198" s="414">
        <v>91911</v>
      </c>
      <c r="B198" s="414" t="s">
        <v>919</v>
      </c>
      <c r="C198" s="415">
        <v>397973.83</v>
      </c>
    </row>
    <row r="199" spans="1:3" ht="23.25">
      <c r="A199" s="414">
        <v>91917</v>
      </c>
      <c r="B199" s="414" t="s">
        <v>920</v>
      </c>
      <c r="C199" s="415">
        <v>13678.47</v>
      </c>
    </row>
    <row r="200" spans="1:3" ht="23.25">
      <c r="A200" s="414">
        <v>91921</v>
      </c>
      <c r="B200" s="414" t="s">
        <v>921</v>
      </c>
      <c r="C200" s="415">
        <v>250427.37</v>
      </c>
    </row>
    <row r="201" spans="1:3" ht="23.25">
      <c r="A201" s="414">
        <v>92001</v>
      </c>
      <c r="B201" s="414" t="s">
        <v>922</v>
      </c>
      <c r="C201" s="415">
        <v>1324005.1200000003</v>
      </c>
    </row>
    <row r="202" spans="1:3" ht="23.25">
      <c r="A202" s="414">
        <v>92005</v>
      </c>
      <c r="B202" s="414" t="s">
        <v>923</v>
      </c>
      <c r="C202" s="415">
        <v>29967.43</v>
      </c>
    </row>
    <row r="203" spans="1:3" ht="23.25">
      <c r="A203" s="414">
        <v>92011</v>
      </c>
      <c r="B203" s="414" t="s">
        <v>924</v>
      </c>
      <c r="C203" s="415">
        <v>137326.04</v>
      </c>
    </row>
    <row r="204" spans="1:3" ht="23.25">
      <c r="A204" s="414">
        <v>92017</v>
      </c>
      <c r="B204" s="414" t="s">
        <v>925</v>
      </c>
      <c r="C204" s="415">
        <v>27594.04</v>
      </c>
    </row>
    <row r="205" spans="1:3" ht="23.25">
      <c r="A205" s="414">
        <v>92021</v>
      </c>
      <c r="B205" s="414" t="s">
        <v>926</v>
      </c>
      <c r="C205" s="415">
        <v>77352.260000000009</v>
      </c>
    </row>
    <row r="206" spans="1:3" ht="23.25">
      <c r="A206" s="414">
        <v>92101</v>
      </c>
      <c r="B206" s="414" t="s">
        <v>927</v>
      </c>
      <c r="C206" s="415">
        <v>539031</v>
      </c>
    </row>
    <row r="207" spans="1:3" ht="23.25">
      <c r="A207" s="414">
        <v>92104</v>
      </c>
      <c r="B207" s="414" t="s">
        <v>928</v>
      </c>
      <c r="C207" s="415">
        <v>7971.12</v>
      </c>
    </row>
    <row r="208" spans="1:3" ht="23.25">
      <c r="A208" s="414">
        <v>92109</v>
      </c>
      <c r="B208" s="414" t="s">
        <v>929</v>
      </c>
      <c r="C208" s="415">
        <v>144616.68</v>
      </c>
    </row>
    <row r="209" spans="1:3" ht="23.25">
      <c r="A209" s="414">
        <v>92111</v>
      </c>
      <c r="B209" s="414" t="s">
        <v>930</v>
      </c>
      <c r="C209" s="415">
        <v>378947.13</v>
      </c>
    </row>
    <row r="210" spans="1:3" ht="23.25">
      <c r="A210" s="414">
        <v>92113</v>
      </c>
      <c r="B210" s="414" t="s">
        <v>931</v>
      </c>
      <c r="C210" s="415">
        <v>17640.580000000002</v>
      </c>
    </row>
    <row r="211" spans="1:3" ht="23.25">
      <c r="A211" s="414">
        <v>92201</v>
      </c>
      <c r="B211" s="414" t="s">
        <v>932</v>
      </c>
      <c r="C211" s="415">
        <v>707670.4</v>
      </c>
    </row>
    <row r="212" spans="1:3" ht="23.25">
      <c r="A212" s="414">
        <v>92214</v>
      </c>
      <c r="B212" s="414" t="s">
        <v>1931</v>
      </c>
      <c r="C212" s="415">
        <v>16782.599999999999</v>
      </c>
    </row>
    <row r="213" spans="1:3" ht="23.25">
      <c r="A213" s="414">
        <v>92301</v>
      </c>
      <c r="B213" s="414" t="s">
        <v>933</v>
      </c>
      <c r="C213" s="415">
        <v>3543635.03</v>
      </c>
    </row>
    <row r="214" spans="1:3" ht="23.25">
      <c r="A214" s="414">
        <v>92302</v>
      </c>
      <c r="B214" s="414" t="s">
        <v>934</v>
      </c>
      <c r="C214" s="415">
        <v>213219</v>
      </c>
    </row>
    <row r="215" spans="1:3" ht="23.25">
      <c r="A215" s="414">
        <v>92311</v>
      </c>
      <c r="B215" s="414" t="s">
        <v>935</v>
      </c>
      <c r="C215" s="415">
        <v>1557217.23</v>
      </c>
    </row>
    <row r="216" spans="1:3" ht="23.25">
      <c r="A216" s="414">
        <v>92317</v>
      </c>
      <c r="B216" s="414" t="s">
        <v>936</v>
      </c>
      <c r="C216" s="415">
        <v>36326.69</v>
      </c>
    </row>
    <row r="217" spans="1:3" ht="23.25">
      <c r="A217" s="414">
        <v>92321</v>
      </c>
      <c r="B217" s="414" t="s">
        <v>937</v>
      </c>
      <c r="C217" s="415">
        <v>946617.83000000007</v>
      </c>
    </row>
    <row r="218" spans="1:3" ht="23.25">
      <c r="A218" s="414">
        <v>92327</v>
      </c>
      <c r="B218" s="414" t="s">
        <v>938</v>
      </c>
      <c r="C218" s="415">
        <v>10246.07</v>
      </c>
    </row>
    <row r="219" spans="1:3" ht="23.25">
      <c r="A219" s="414">
        <v>92331</v>
      </c>
      <c r="B219" s="414" t="s">
        <v>939</v>
      </c>
      <c r="C219" s="415">
        <v>121447.9</v>
      </c>
    </row>
    <row r="220" spans="1:3" ht="23.25">
      <c r="A220" s="414">
        <v>92341</v>
      </c>
      <c r="B220" s="414" t="s">
        <v>940</v>
      </c>
      <c r="C220" s="415">
        <v>4704.66</v>
      </c>
    </row>
    <row r="221" spans="1:3" ht="23.25">
      <c r="A221" s="414">
        <v>92351</v>
      </c>
      <c r="B221" s="414" t="s">
        <v>941</v>
      </c>
      <c r="C221" s="415">
        <v>18673.22</v>
      </c>
    </row>
    <row r="222" spans="1:3" ht="23.25">
      <c r="A222" s="414">
        <v>92401</v>
      </c>
      <c r="B222" s="414" t="s">
        <v>942</v>
      </c>
      <c r="C222" s="415">
        <v>2032065.3800000001</v>
      </c>
    </row>
    <row r="223" spans="1:3" ht="23.25">
      <c r="A223" s="414">
        <v>92403</v>
      </c>
      <c r="B223" s="414" t="s">
        <v>943</v>
      </c>
      <c r="C223" s="415">
        <v>14613.95</v>
      </c>
    </row>
    <row r="224" spans="1:3" ht="23.25">
      <c r="A224" s="414">
        <v>92411</v>
      </c>
      <c r="B224" s="414" t="s">
        <v>944</v>
      </c>
      <c r="C224" s="415">
        <v>329951.02999999997</v>
      </c>
    </row>
    <row r="225" spans="1:3" ht="23.25">
      <c r="A225" s="414">
        <v>92414</v>
      </c>
      <c r="B225" s="414" t="s">
        <v>70</v>
      </c>
      <c r="C225" s="415">
        <v>0</v>
      </c>
    </row>
    <row r="226" spans="1:3" ht="23.25">
      <c r="A226" s="414">
        <v>92417</v>
      </c>
      <c r="B226" s="414" t="s">
        <v>945</v>
      </c>
      <c r="C226" s="415">
        <v>5068.51</v>
      </c>
    </row>
    <row r="227" spans="1:3" ht="23.25">
      <c r="A227" s="414">
        <v>92421</v>
      </c>
      <c r="B227" s="414" t="s">
        <v>946</v>
      </c>
      <c r="C227" s="415">
        <v>12549.91</v>
      </c>
    </row>
    <row r="228" spans="1:3" ht="23.25">
      <c r="A228" s="414">
        <v>92427</v>
      </c>
      <c r="B228" s="414" t="s">
        <v>947</v>
      </c>
      <c r="C228" s="415">
        <v>2352.48</v>
      </c>
    </row>
    <row r="229" spans="1:3" ht="23.25">
      <c r="A229" s="414">
        <v>92431</v>
      </c>
      <c r="B229" s="414" t="s">
        <v>948</v>
      </c>
      <c r="C229" s="415">
        <v>24973.559999999998</v>
      </c>
    </row>
    <row r="230" spans="1:3" ht="23.25">
      <c r="A230" s="414">
        <v>92441</v>
      </c>
      <c r="B230" s="414" t="s">
        <v>949</v>
      </c>
      <c r="C230" s="415">
        <v>69280.89</v>
      </c>
    </row>
    <row r="231" spans="1:3" ht="23.25">
      <c r="A231" s="414">
        <v>92444</v>
      </c>
      <c r="B231" s="414" t="s">
        <v>950</v>
      </c>
      <c r="C231" s="415">
        <v>6780.12</v>
      </c>
    </row>
    <row r="232" spans="1:3" ht="23.25">
      <c r="A232" s="414">
        <v>92451</v>
      </c>
      <c r="B232" s="414" t="s">
        <v>951</v>
      </c>
      <c r="C232" s="415">
        <v>108275.36</v>
      </c>
    </row>
    <row r="233" spans="1:3" ht="23.25">
      <c r="A233" s="414">
        <v>92461</v>
      </c>
      <c r="B233" s="414" t="s">
        <v>952</v>
      </c>
      <c r="C233" s="415">
        <v>62330.5</v>
      </c>
    </row>
    <row r="234" spans="1:3" ht="23.25">
      <c r="A234" s="414">
        <v>92501</v>
      </c>
      <c r="B234" s="414" t="s">
        <v>953</v>
      </c>
      <c r="C234" s="415">
        <v>3031780.8000000003</v>
      </c>
    </row>
    <row r="235" spans="1:3" ht="23.25">
      <c r="A235" s="414">
        <v>92502</v>
      </c>
      <c r="B235" s="414" t="s">
        <v>954</v>
      </c>
      <c r="C235" s="415">
        <v>23600.83</v>
      </c>
    </row>
    <row r="236" spans="1:3" ht="23.25">
      <c r="A236" s="414">
        <v>92504</v>
      </c>
      <c r="B236" s="414" t="s">
        <v>955</v>
      </c>
      <c r="C236" s="415">
        <v>80068.39</v>
      </c>
    </row>
    <row r="237" spans="1:3" ht="23.25">
      <c r="A237" s="414">
        <v>92505</v>
      </c>
      <c r="B237" s="414" t="s">
        <v>956</v>
      </c>
      <c r="C237" s="415">
        <v>86965.6</v>
      </c>
    </row>
    <row r="238" spans="1:3" ht="23.25">
      <c r="A238" s="414">
        <v>92506</v>
      </c>
      <c r="B238" s="414" t="s">
        <v>957</v>
      </c>
      <c r="C238" s="415">
        <v>60378.239999999998</v>
      </c>
    </row>
    <row r="239" spans="1:3" ht="23.25">
      <c r="A239" s="414">
        <v>92507</v>
      </c>
      <c r="B239" s="414" t="s">
        <v>958</v>
      </c>
      <c r="C239" s="415">
        <v>70311.960000000006</v>
      </c>
    </row>
    <row r="240" spans="1:3" ht="23.25">
      <c r="A240" s="414">
        <v>92508</v>
      </c>
      <c r="B240" s="414" t="s">
        <v>959</v>
      </c>
      <c r="C240" s="415">
        <v>247085.96</v>
      </c>
    </row>
    <row r="241" spans="1:3" ht="23.25">
      <c r="A241" s="414">
        <v>92509</v>
      </c>
      <c r="B241" s="414" t="s">
        <v>3775</v>
      </c>
      <c r="C241" s="415">
        <v>0</v>
      </c>
    </row>
    <row r="242" spans="1:3" ht="23.25">
      <c r="A242" s="414">
        <v>92511</v>
      </c>
      <c r="B242" s="414" t="s">
        <v>960</v>
      </c>
      <c r="C242" s="415">
        <v>2391643.94</v>
      </c>
    </row>
    <row r="243" spans="1:3" ht="23.25">
      <c r="A243" s="414">
        <v>92513</v>
      </c>
      <c r="B243" s="414" t="s">
        <v>961</v>
      </c>
      <c r="C243" s="415">
        <v>2824939.16</v>
      </c>
    </row>
    <row r="244" spans="1:3" ht="23.25">
      <c r="A244" s="414">
        <v>92521</v>
      </c>
      <c r="B244" s="414" t="s">
        <v>962</v>
      </c>
      <c r="C244" s="415">
        <v>56055.3</v>
      </c>
    </row>
    <row r="245" spans="1:3" ht="23.25">
      <c r="A245" s="414">
        <v>92531</v>
      </c>
      <c r="B245" s="414" t="s">
        <v>963</v>
      </c>
      <c r="C245" s="415">
        <v>558905.56999999995</v>
      </c>
    </row>
    <row r="246" spans="1:3" ht="23.25">
      <c r="A246" s="414">
        <v>92541</v>
      </c>
      <c r="B246" s="414" t="s">
        <v>964</v>
      </c>
      <c r="C246" s="415">
        <v>106135.64000000001</v>
      </c>
    </row>
    <row r="247" spans="1:3" ht="23.25">
      <c r="A247" s="414">
        <v>92551</v>
      </c>
      <c r="B247" s="414" t="s">
        <v>965</v>
      </c>
      <c r="C247" s="415">
        <v>35651.64</v>
      </c>
    </row>
    <row r="248" spans="1:3" ht="23.25">
      <c r="A248" s="414">
        <v>92561</v>
      </c>
      <c r="B248" s="414" t="s">
        <v>966</v>
      </c>
      <c r="C248" s="415">
        <v>14939.15</v>
      </c>
    </row>
    <row r="249" spans="1:3" ht="23.25">
      <c r="A249" s="414">
        <v>92571</v>
      </c>
      <c r="B249" s="414" t="s">
        <v>967</v>
      </c>
      <c r="C249" s="415">
        <v>5898.23</v>
      </c>
    </row>
    <row r="250" spans="1:3" ht="23.25">
      <c r="A250" s="414">
        <v>92601</v>
      </c>
      <c r="B250" s="414" t="s">
        <v>968</v>
      </c>
      <c r="C250" s="415">
        <v>9614369.5199999996</v>
      </c>
    </row>
    <row r="251" spans="1:3" ht="23.25">
      <c r="A251" s="414">
        <v>92602</v>
      </c>
      <c r="B251" s="414" t="s">
        <v>969</v>
      </c>
      <c r="C251" s="415">
        <v>3549.66</v>
      </c>
    </row>
    <row r="252" spans="1:3" ht="23.25">
      <c r="A252" s="414">
        <v>92604</v>
      </c>
      <c r="B252" s="414" t="s">
        <v>970</v>
      </c>
      <c r="C252" s="415">
        <v>251028.08</v>
      </c>
    </row>
    <row r="253" spans="1:3" ht="23.25">
      <c r="A253" s="414">
        <v>92607</v>
      </c>
      <c r="B253" s="414" t="s">
        <v>971</v>
      </c>
      <c r="C253" s="415">
        <v>64604.480000000003</v>
      </c>
    </row>
    <row r="254" spans="1:3" ht="23.25">
      <c r="A254" s="414">
        <v>92608</v>
      </c>
      <c r="B254" s="414" t="s">
        <v>3718</v>
      </c>
      <c r="C254" s="415">
        <v>0</v>
      </c>
    </row>
    <row r="255" spans="1:3" ht="23.25">
      <c r="A255" s="414">
        <v>92611</v>
      </c>
      <c r="B255" s="414" t="s">
        <v>973</v>
      </c>
      <c r="C255" s="415">
        <v>8192297.0700000003</v>
      </c>
    </row>
    <row r="256" spans="1:3" ht="23.25">
      <c r="A256" s="414">
        <v>92613</v>
      </c>
      <c r="B256" s="414" t="s">
        <v>974</v>
      </c>
      <c r="C256" s="415">
        <v>205940.38</v>
      </c>
    </row>
    <row r="257" spans="1:3" ht="23.25">
      <c r="A257" s="414">
        <v>92614</v>
      </c>
      <c r="B257" s="414" t="s">
        <v>975</v>
      </c>
      <c r="C257" s="415">
        <v>7167580.71</v>
      </c>
    </row>
    <row r="258" spans="1:3" ht="23.25">
      <c r="A258" s="414">
        <v>92621</v>
      </c>
      <c r="B258" s="414" t="s">
        <v>976</v>
      </c>
      <c r="C258" s="415">
        <v>22969.690000000002</v>
      </c>
    </row>
    <row r="259" spans="1:3" ht="23.25">
      <c r="A259" s="414">
        <v>92631</v>
      </c>
      <c r="B259" s="414" t="s">
        <v>977</v>
      </c>
      <c r="C259" s="415">
        <v>608667.3600000001</v>
      </c>
    </row>
    <row r="260" spans="1:3" ht="23.25">
      <c r="A260" s="414">
        <v>92641</v>
      </c>
      <c r="B260" s="414" t="s">
        <v>978</v>
      </c>
      <c r="C260" s="415">
        <v>11238.19</v>
      </c>
    </row>
    <row r="261" spans="1:3" ht="23.25">
      <c r="A261" s="414">
        <v>92651</v>
      </c>
      <c r="B261" s="414" t="s">
        <v>979</v>
      </c>
      <c r="C261" s="415">
        <v>3976.88</v>
      </c>
    </row>
    <row r="262" spans="1:3" ht="23.25">
      <c r="A262" s="414">
        <v>92661</v>
      </c>
      <c r="B262" s="414" t="s">
        <v>980</v>
      </c>
      <c r="C262" s="415">
        <v>710996.62000000011</v>
      </c>
    </row>
    <row r="263" spans="1:3" ht="23.25">
      <c r="A263" s="414">
        <v>92671</v>
      </c>
      <c r="B263" s="414" t="s">
        <v>981</v>
      </c>
      <c r="C263" s="415">
        <v>7074.77</v>
      </c>
    </row>
    <row r="264" spans="1:3" ht="23.25">
      <c r="A264" s="414">
        <v>92681</v>
      </c>
      <c r="B264" s="414" t="s">
        <v>982</v>
      </c>
      <c r="C264" s="415">
        <v>4518.1000000000004</v>
      </c>
    </row>
    <row r="265" spans="1:3" ht="23.25">
      <c r="A265" s="414">
        <v>92701</v>
      </c>
      <c r="B265" s="414" t="s">
        <v>983</v>
      </c>
      <c r="C265" s="415">
        <v>2310409.62</v>
      </c>
    </row>
    <row r="266" spans="1:3" ht="23.25">
      <c r="A266" s="414">
        <v>92704</v>
      </c>
      <c r="B266" s="414" t="s">
        <v>984</v>
      </c>
      <c r="C266" s="415">
        <v>31479.279999999999</v>
      </c>
    </row>
    <row r="267" spans="1:3" ht="23.25">
      <c r="A267" s="414">
        <v>92801</v>
      </c>
      <c r="B267" s="414" t="s">
        <v>985</v>
      </c>
      <c r="C267" s="415">
        <v>4130075.35</v>
      </c>
    </row>
    <row r="268" spans="1:3" ht="23.25">
      <c r="A268" s="414">
        <v>92802</v>
      </c>
      <c r="B268" s="414" t="s">
        <v>986</v>
      </c>
      <c r="C268" s="415">
        <v>74585.990000000005</v>
      </c>
    </row>
    <row r="269" spans="1:3" ht="23.25">
      <c r="A269" s="414">
        <v>92804</v>
      </c>
      <c r="B269" s="414" t="s">
        <v>987</v>
      </c>
      <c r="C269" s="415">
        <v>96440.220000000016</v>
      </c>
    </row>
    <row r="270" spans="1:3" ht="23.25">
      <c r="A270" s="414">
        <v>92811</v>
      </c>
      <c r="B270" s="414" t="s">
        <v>988</v>
      </c>
      <c r="C270" s="415">
        <v>700764.22</v>
      </c>
    </row>
    <row r="271" spans="1:3" ht="23.25">
      <c r="A271" s="414">
        <v>92821</v>
      </c>
      <c r="B271" s="414" t="s">
        <v>989</v>
      </c>
      <c r="C271" s="415">
        <v>794202.36</v>
      </c>
    </row>
    <row r="272" spans="1:3" ht="23.25">
      <c r="A272" s="414">
        <v>92831</v>
      </c>
      <c r="B272" s="414" t="s">
        <v>990</v>
      </c>
      <c r="C272" s="415">
        <v>209598.74</v>
      </c>
    </row>
    <row r="273" spans="1:3" ht="23.25">
      <c r="A273" s="414">
        <v>92841</v>
      </c>
      <c r="B273" s="414" t="s">
        <v>991</v>
      </c>
      <c r="C273" s="415">
        <v>180450.93</v>
      </c>
    </row>
    <row r="274" spans="1:3" ht="23.25">
      <c r="A274" s="414">
        <v>92851</v>
      </c>
      <c r="B274" s="414" t="s">
        <v>992</v>
      </c>
      <c r="C274" s="415">
        <v>276729.8</v>
      </c>
    </row>
    <row r="275" spans="1:3" ht="23.25">
      <c r="A275" s="414">
        <v>92861</v>
      </c>
      <c r="B275" s="414" t="s">
        <v>993</v>
      </c>
      <c r="C275" s="415">
        <v>227071.46999999997</v>
      </c>
    </row>
    <row r="276" spans="1:3" ht="23.25">
      <c r="A276" s="414">
        <v>92901</v>
      </c>
      <c r="B276" s="414" t="s">
        <v>994</v>
      </c>
      <c r="C276" s="415">
        <v>4077202.2</v>
      </c>
    </row>
    <row r="277" spans="1:3" ht="23.25">
      <c r="A277" s="414">
        <v>92911</v>
      </c>
      <c r="B277" s="414" t="s">
        <v>995</v>
      </c>
      <c r="C277" s="415">
        <v>1478387.45</v>
      </c>
    </row>
    <row r="278" spans="1:3" ht="23.25">
      <c r="A278" s="414">
        <v>92913</v>
      </c>
      <c r="B278" s="414" t="s">
        <v>996</v>
      </c>
      <c r="C278" s="415">
        <v>73923</v>
      </c>
    </row>
    <row r="279" spans="1:3" ht="23.25">
      <c r="A279" s="414">
        <v>92914</v>
      </c>
      <c r="B279" s="414" t="s">
        <v>997</v>
      </c>
      <c r="C279" s="415">
        <v>29574.37</v>
      </c>
    </row>
    <row r="280" spans="1:3" ht="23.25">
      <c r="A280" s="414">
        <v>92917</v>
      </c>
      <c r="B280" s="414" t="s">
        <v>998</v>
      </c>
      <c r="C280" s="415">
        <v>26229.03</v>
      </c>
    </row>
    <row r="281" spans="1:3" ht="23.25">
      <c r="A281" s="414">
        <v>92921</v>
      </c>
      <c r="B281" s="414" t="s">
        <v>999</v>
      </c>
      <c r="C281" s="415">
        <v>69521.850000000006</v>
      </c>
    </row>
    <row r="282" spans="1:3" ht="23.25">
      <c r="A282" s="414">
        <v>92931</v>
      </c>
      <c r="B282" s="414" t="s">
        <v>1000</v>
      </c>
      <c r="C282" s="415">
        <v>1626612.1099999999</v>
      </c>
    </row>
    <row r="283" spans="1:3" ht="23.25">
      <c r="A283" s="414">
        <v>92941</v>
      </c>
      <c r="B283" s="414" t="s">
        <v>81</v>
      </c>
      <c r="C283" s="415">
        <v>4675.59</v>
      </c>
    </row>
    <row r="284" spans="1:3" ht="23.25">
      <c r="A284" s="414">
        <v>93001</v>
      </c>
      <c r="B284" s="414" t="s">
        <v>1001</v>
      </c>
      <c r="C284" s="415">
        <v>1673152.47</v>
      </c>
    </row>
    <row r="285" spans="1:3" ht="23.25">
      <c r="A285" s="414">
        <v>93009</v>
      </c>
      <c r="B285" s="414" t="s">
        <v>1002</v>
      </c>
      <c r="C285" s="415">
        <v>4317.72</v>
      </c>
    </row>
    <row r="286" spans="1:3" ht="23.25">
      <c r="A286" s="414">
        <v>93011</v>
      </c>
      <c r="B286" s="414" t="s">
        <v>1003</v>
      </c>
      <c r="C286" s="415">
        <v>207939.12</v>
      </c>
    </row>
    <row r="287" spans="1:3" ht="23.25">
      <c r="A287" s="414">
        <v>93021</v>
      </c>
      <c r="B287" s="414" t="s">
        <v>1004</v>
      </c>
      <c r="C287" s="415">
        <v>20395.46</v>
      </c>
    </row>
    <row r="288" spans="1:3" ht="23.25">
      <c r="A288" s="414">
        <v>93027</v>
      </c>
      <c r="B288" s="414" t="s">
        <v>1005</v>
      </c>
      <c r="C288" s="415">
        <v>0</v>
      </c>
    </row>
    <row r="289" spans="1:3" ht="23.25">
      <c r="A289" s="414">
        <v>93028</v>
      </c>
      <c r="B289" s="414" t="s">
        <v>3615</v>
      </c>
      <c r="C289" s="415">
        <v>11933.04</v>
      </c>
    </row>
    <row r="290" spans="1:3" ht="23.25">
      <c r="A290" s="414">
        <v>93031</v>
      </c>
      <c r="B290" s="414" t="s">
        <v>1006</v>
      </c>
      <c r="C290" s="415">
        <v>6908.7</v>
      </c>
    </row>
    <row r="291" spans="1:3" ht="23.25">
      <c r="A291" s="414">
        <v>93101</v>
      </c>
      <c r="B291" s="414" t="s">
        <v>1007</v>
      </c>
      <c r="C291" s="415">
        <v>2080427.4300000002</v>
      </c>
    </row>
    <row r="292" spans="1:3" ht="23.25">
      <c r="A292" s="414">
        <v>93108</v>
      </c>
      <c r="B292" s="414" t="s">
        <v>1008</v>
      </c>
      <c r="C292" s="415">
        <v>1796515.72</v>
      </c>
    </row>
    <row r="293" spans="1:3" ht="23.25">
      <c r="A293" s="414">
        <v>93111</v>
      </c>
      <c r="B293" s="414" t="s">
        <v>1009</v>
      </c>
      <c r="C293" s="415">
        <v>44992.93</v>
      </c>
    </row>
    <row r="294" spans="1:3" ht="23.25">
      <c r="A294" s="414">
        <v>93121</v>
      </c>
      <c r="B294" s="414" t="s">
        <v>1010</v>
      </c>
      <c r="C294" s="415">
        <v>45219.19</v>
      </c>
    </row>
    <row r="295" spans="1:3" ht="23.25">
      <c r="A295" s="414">
        <v>93127</v>
      </c>
      <c r="B295" s="414" t="s">
        <v>1011</v>
      </c>
      <c r="C295" s="415">
        <v>3648</v>
      </c>
    </row>
    <row r="296" spans="1:3" ht="23.25">
      <c r="A296" s="414">
        <v>93131</v>
      </c>
      <c r="B296" s="414" t="s">
        <v>1012</v>
      </c>
      <c r="C296" s="415">
        <v>136822.90999999997</v>
      </c>
    </row>
    <row r="297" spans="1:3" ht="23.25">
      <c r="A297" s="414">
        <v>93137</v>
      </c>
      <c r="B297" s="414" t="s">
        <v>1013</v>
      </c>
      <c r="C297" s="415">
        <v>5502.12</v>
      </c>
    </row>
    <row r="298" spans="1:3" ht="23.25">
      <c r="A298" s="414">
        <v>93141</v>
      </c>
      <c r="B298" s="414" t="s">
        <v>1014</v>
      </c>
      <c r="C298" s="415">
        <v>24148.49</v>
      </c>
    </row>
    <row r="299" spans="1:3" ht="23.25">
      <c r="A299" s="414">
        <v>93151</v>
      </c>
      <c r="B299" s="414" t="s">
        <v>1015</v>
      </c>
      <c r="C299" s="415">
        <v>259401.87</v>
      </c>
    </row>
    <row r="300" spans="1:3" ht="23.25">
      <c r="A300" s="414">
        <v>93157</v>
      </c>
      <c r="B300" s="414" t="s">
        <v>1016</v>
      </c>
      <c r="C300" s="415">
        <v>8350.82</v>
      </c>
    </row>
    <row r="301" spans="1:3" ht="23.25">
      <c r="A301" s="414">
        <v>93161</v>
      </c>
      <c r="B301" s="414" t="s">
        <v>1017</v>
      </c>
      <c r="C301" s="415">
        <v>64394.59</v>
      </c>
    </row>
    <row r="302" spans="1:3" ht="23.25">
      <c r="A302" s="414">
        <v>93171</v>
      </c>
      <c r="B302" s="414" t="s">
        <v>1018</v>
      </c>
      <c r="C302" s="415">
        <v>8153.02</v>
      </c>
    </row>
    <row r="303" spans="1:3" ht="23.25">
      <c r="A303" s="414">
        <v>93181</v>
      </c>
      <c r="B303" s="414" t="s">
        <v>1019</v>
      </c>
      <c r="C303" s="415">
        <v>9724.2800000000007</v>
      </c>
    </row>
    <row r="304" spans="1:3" ht="23.25">
      <c r="A304" s="414">
        <v>93191</v>
      </c>
      <c r="B304" s="414" t="s">
        <v>1020</v>
      </c>
      <c r="C304" s="415">
        <v>29503.21</v>
      </c>
    </row>
    <row r="305" spans="1:3" ht="23.25">
      <c r="A305" s="414">
        <v>93201</v>
      </c>
      <c r="B305" s="414" t="s">
        <v>1021</v>
      </c>
      <c r="C305" s="415">
        <v>11692797.4</v>
      </c>
    </row>
    <row r="306" spans="1:3" ht="23.25">
      <c r="A306" s="414">
        <v>93202</v>
      </c>
      <c r="B306" s="414" t="s">
        <v>1022</v>
      </c>
      <c r="C306" s="415">
        <v>0</v>
      </c>
    </row>
    <row r="307" spans="1:3" ht="23.25">
      <c r="A307" s="414">
        <v>93204</v>
      </c>
      <c r="B307" s="414" t="s">
        <v>1023</v>
      </c>
      <c r="C307" s="415">
        <v>244462.96</v>
      </c>
    </row>
    <row r="308" spans="1:3" ht="23.25">
      <c r="A308" s="414">
        <v>93209</v>
      </c>
      <c r="B308" s="414" t="s">
        <v>3729</v>
      </c>
      <c r="C308" s="415">
        <v>3925617.86</v>
      </c>
    </row>
    <row r="309" spans="1:3" ht="23.25">
      <c r="A309" s="414">
        <v>93211</v>
      </c>
      <c r="B309" s="414" t="s">
        <v>1025</v>
      </c>
      <c r="C309" s="415">
        <v>16307368.299999997</v>
      </c>
    </row>
    <row r="310" spans="1:3" ht="23.25">
      <c r="A310" s="414">
        <v>93212</v>
      </c>
      <c r="B310" s="414" t="s">
        <v>1026</v>
      </c>
      <c r="C310" s="415">
        <v>222825.08000000002</v>
      </c>
    </row>
    <row r="311" spans="1:3" ht="23.25">
      <c r="A311" s="414">
        <v>93219</v>
      </c>
      <c r="B311" s="414" t="s">
        <v>1027</v>
      </c>
      <c r="C311" s="415">
        <v>209479.32</v>
      </c>
    </row>
    <row r="312" spans="1:3" ht="23.25">
      <c r="A312" s="414">
        <v>93301</v>
      </c>
      <c r="B312" s="414" t="s">
        <v>1028</v>
      </c>
      <c r="C312" s="415">
        <v>1798254.48</v>
      </c>
    </row>
    <row r="313" spans="1:3" ht="23.25">
      <c r="A313" s="414">
        <v>93304</v>
      </c>
      <c r="B313" s="414" t="s">
        <v>1029</v>
      </c>
      <c r="C313" s="415">
        <v>39119.54</v>
      </c>
    </row>
    <row r="314" spans="1:3" ht="23.25">
      <c r="A314" s="414">
        <v>93305</v>
      </c>
      <c r="B314" s="414" t="s">
        <v>1030</v>
      </c>
      <c r="C314" s="415">
        <v>24104.26</v>
      </c>
    </row>
    <row r="315" spans="1:3" ht="23.25">
      <c r="A315" s="414">
        <v>93309</v>
      </c>
      <c r="B315" s="414" t="s">
        <v>1031</v>
      </c>
      <c r="C315" s="415">
        <v>134277.42000000001</v>
      </c>
    </row>
    <row r="316" spans="1:3" ht="23.25">
      <c r="A316" s="414">
        <v>93311</v>
      </c>
      <c r="B316" s="414" t="s">
        <v>1032</v>
      </c>
      <c r="C316" s="415">
        <v>806617.55</v>
      </c>
    </row>
    <row r="317" spans="1:3" ht="23.25">
      <c r="A317" s="414">
        <v>93317</v>
      </c>
      <c r="B317" s="414" t="s">
        <v>1033</v>
      </c>
      <c r="C317" s="415">
        <v>35786.870000000003</v>
      </c>
    </row>
    <row r="318" spans="1:3" ht="23.25">
      <c r="A318" s="414">
        <v>93321</v>
      </c>
      <c r="B318" s="414" t="s">
        <v>1034</v>
      </c>
      <c r="C318" s="415">
        <v>4886773.0100000007</v>
      </c>
    </row>
    <row r="319" spans="1:3" ht="23.25">
      <c r="A319" s="414">
        <v>93323</v>
      </c>
      <c r="B319" s="414" t="s">
        <v>1035</v>
      </c>
      <c r="C319" s="415">
        <v>33522.61</v>
      </c>
    </row>
    <row r="320" spans="1:3" ht="23.25">
      <c r="A320" s="414">
        <v>93331</v>
      </c>
      <c r="B320" s="414" t="s">
        <v>1036</v>
      </c>
      <c r="C320" s="415">
        <v>83763.98</v>
      </c>
    </row>
    <row r="321" spans="1:3" ht="23.25">
      <c r="A321" s="414">
        <v>93333</v>
      </c>
      <c r="B321" s="414" t="s">
        <v>1037</v>
      </c>
      <c r="C321" s="415">
        <v>180252.96</v>
      </c>
    </row>
    <row r="322" spans="1:3" ht="23.25">
      <c r="A322" s="414">
        <v>93341</v>
      </c>
      <c r="B322" s="414" t="s">
        <v>1038</v>
      </c>
      <c r="C322" s="415">
        <v>22775.57</v>
      </c>
    </row>
    <row r="323" spans="1:3" ht="23.25">
      <c r="A323" s="414">
        <v>93351</v>
      </c>
      <c r="B323" s="414" t="s">
        <v>1039</v>
      </c>
      <c r="C323" s="415">
        <v>18972.37</v>
      </c>
    </row>
    <row r="324" spans="1:3" ht="23.25">
      <c r="A324" s="414">
        <v>93401</v>
      </c>
      <c r="B324" s="414" t="s">
        <v>1040</v>
      </c>
      <c r="C324" s="415">
        <v>9911446.8100000005</v>
      </c>
    </row>
    <row r="325" spans="1:3" ht="23.25">
      <c r="A325" s="414">
        <v>93402</v>
      </c>
      <c r="B325" s="414" t="s">
        <v>1041</v>
      </c>
      <c r="C325" s="415">
        <v>0</v>
      </c>
    </row>
    <row r="326" spans="1:3" ht="23.25">
      <c r="A326" s="414">
        <v>93406</v>
      </c>
      <c r="B326" s="414" t="s">
        <v>1042</v>
      </c>
      <c r="C326" s="415">
        <v>440626.79</v>
      </c>
    </row>
    <row r="327" spans="1:3" ht="23.25">
      <c r="A327" s="414">
        <v>93408</v>
      </c>
      <c r="B327" s="414" t="s">
        <v>1043</v>
      </c>
      <c r="C327" s="415">
        <v>0</v>
      </c>
    </row>
    <row r="328" spans="1:3" ht="23.25">
      <c r="A328" s="414">
        <v>93411</v>
      </c>
      <c r="B328" s="414" t="s">
        <v>1044</v>
      </c>
      <c r="C328" s="415">
        <v>12702344.119999997</v>
      </c>
    </row>
    <row r="329" spans="1:3" ht="23.25">
      <c r="A329" s="414">
        <v>93413</v>
      </c>
      <c r="B329" s="414" t="s">
        <v>1045</v>
      </c>
      <c r="C329" s="415">
        <v>520159.82</v>
      </c>
    </row>
    <row r="330" spans="1:3" ht="23.25">
      <c r="A330" s="414">
        <v>93417</v>
      </c>
      <c r="B330" s="414" t="s">
        <v>1046</v>
      </c>
      <c r="C330" s="415">
        <v>264517.35000000003</v>
      </c>
    </row>
    <row r="331" spans="1:3" ht="23.25">
      <c r="A331" s="414">
        <v>93421</v>
      </c>
      <c r="B331" s="414" t="s">
        <v>1047</v>
      </c>
      <c r="C331" s="415">
        <v>1371412.16</v>
      </c>
    </row>
    <row r="332" spans="1:3" ht="23.25">
      <c r="A332" s="414">
        <v>93431</v>
      </c>
      <c r="B332" s="414" t="s">
        <v>1048</v>
      </c>
      <c r="C332" s="415">
        <v>117477.76999999999</v>
      </c>
    </row>
    <row r="333" spans="1:3" ht="23.25">
      <c r="A333" s="414">
        <v>93441</v>
      </c>
      <c r="B333" s="414" t="s">
        <v>1049</v>
      </c>
      <c r="C333" s="415">
        <v>120629.89</v>
      </c>
    </row>
    <row r="334" spans="1:3" ht="23.25">
      <c r="A334" s="414">
        <v>93442</v>
      </c>
      <c r="B334" s="414" t="s">
        <v>1050</v>
      </c>
      <c r="C334" s="415">
        <v>99785.58</v>
      </c>
    </row>
    <row r="335" spans="1:3" ht="23.25">
      <c r="A335" s="414">
        <v>93451</v>
      </c>
      <c r="B335" s="414" t="s">
        <v>1051</v>
      </c>
      <c r="C335" s="415">
        <v>59770.76</v>
      </c>
    </row>
    <row r="336" spans="1:3" ht="23.25">
      <c r="A336" s="414">
        <v>93461</v>
      </c>
      <c r="B336" s="414" t="s">
        <v>1052</v>
      </c>
      <c r="C336" s="415">
        <v>11232.12</v>
      </c>
    </row>
    <row r="337" spans="1:3" ht="23.25">
      <c r="A337" s="414">
        <v>93471</v>
      </c>
      <c r="B337" s="414" t="s">
        <v>1053</v>
      </c>
      <c r="C337" s="415">
        <v>14443.85</v>
      </c>
    </row>
    <row r="338" spans="1:3" ht="23.25">
      <c r="A338" s="414">
        <v>93501</v>
      </c>
      <c r="B338" s="414" t="s">
        <v>1054</v>
      </c>
      <c r="C338" s="415">
        <v>2703784.07</v>
      </c>
    </row>
    <row r="339" spans="1:3" ht="23.25">
      <c r="A339" s="414">
        <v>93511</v>
      </c>
      <c r="B339" s="414" t="s">
        <v>1055</v>
      </c>
      <c r="C339" s="415">
        <v>73664.94</v>
      </c>
    </row>
    <row r="340" spans="1:3" ht="23.25">
      <c r="A340" s="414">
        <v>93517</v>
      </c>
      <c r="B340" s="414" t="s">
        <v>1056</v>
      </c>
      <c r="C340" s="415">
        <v>6935.52</v>
      </c>
    </row>
    <row r="341" spans="1:3" ht="23.25">
      <c r="A341" s="414">
        <v>93521</v>
      </c>
      <c r="B341" s="414" t="s">
        <v>1057</v>
      </c>
      <c r="C341" s="415">
        <v>361309.19</v>
      </c>
    </row>
    <row r="342" spans="1:3" ht="23.25">
      <c r="A342" s="414">
        <v>93527</v>
      </c>
      <c r="B342" s="414" t="s">
        <v>1058</v>
      </c>
      <c r="C342" s="415">
        <v>17060.580000000002</v>
      </c>
    </row>
    <row r="343" spans="1:3" ht="23.25">
      <c r="A343" s="414">
        <v>93531</v>
      </c>
      <c r="B343" s="414" t="s">
        <v>1059</v>
      </c>
      <c r="C343" s="415">
        <v>21746.12</v>
      </c>
    </row>
    <row r="344" spans="1:3" ht="23.25">
      <c r="A344" s="414">
        <v>93537</v>
      </c>
      <c r="B344" s="414" t="s">
        <v>1060</v>
      </c>
      <c r="C344" s="415">
        <v>5989.3</v>
      </c>
    </row>
    <row r="345" spans="1:3" ht="23.25">
      <c r="A345" s="414">
        <v>93541</v>
      </c>
      <c r="B345" s="414" t="s">
        <v>1061</v>
      </c>
      <c r="C345" s="415">
        <v>119145.17</v>
      </c>
    </row>
    <row r="346" spans="1:3" ht="23.25">
      <c r="A346" s="414">
        <v>93601</v>
      </c>
      <c r="B346" s="414" t="s">
        <v>1062</v>
      </c>
      <c r="C346" s="415">
        <v>8340980.9400000013</v>
      </c>
    </row>
    <row r="347" spans="1:3" ht="23.25">
      <c r="A347" s="414">
        <v>93602</v>
      </c>
      <c r="B347" s="414" t="s">
        <v>1063</v>
      </c>
      <c r="C347" s="415">
        <v>146607.51999999999</v>
      </c>
    </row>
    <row r="348" spans="1:3" ht="23.25">
      <c r="A348" s="414">
        <v>93604</v>
      </c>
      <c r="B348" s="414" t="s">
        <v>1932</v>
      </c>
      <c r="C348" s="415">
        <v>15424.31</v>
      </c>
    </row>
    <row r="349" spans="1:3" ht="23.25">
      <c r="A349" s="414">
        <v>93609</v>
      </c>
      <c r="B349" s="414" t="s">
        <v>1064</v>
      </c>
      <c r="C349" s="415">
        <v>2874062.71</v>
      </c>
    </row>
    <row r="350" spans="1:3" ht="23.25">
      <c r="A350" s="414">
        <v>93610</v>
      </c>
      <c r="B350" s="414" t="s">
        <v>1065</v>
      </c>
      <c r="C350" s="415">
        <v>10922.55</v>
      </c>
    </row>
    <row r="351" spans="1:3" ht="23.25">
      <c r="A351" s="414">
        <v>93611</v>
      </c>
      <c r="B351" s="414" t="s">
        <v>1066</v>
      </c>
      <c r="C351" s="415">
        <v>4931007.88</v>
      </c>
    </row>
    <row r="352" spans="1:3" ht="23.25">
      <c r="A352" s="414">
        <v>93617</v>
      </c>
      <c r="B352" s="414" t="s">
        <v>1067</v>
      </c>
      <c r="C352" s="415">
        <v>88153</v>
      </c>
    </row>
    <row r="353" spans="1:3" ht="23.25">
      <c r="A353" s="414">
        <v>93618</v>
      </c>
      <c r="B353" s="414" t="s">
        <v>1068</v>
      </c>
      <c r="C353" s="415">
        <v>31261.199999999997</v>
      </c>
    </row>
    <row r="354" spans="1:3" ht="23.25">
      <c r="A354" s="414">
        <v>93621</v>
      </c>
      <c r="B354" s="414" t="s">
        <v>1069</v>
      </c>
      <c r="C354" s="415">
        <v>811224.95000000007</v>
      </c>
    </row>
    <row r="355" spans="1:3" ht="23.25">
      <c r="A355" s="414">
        <v>93623</v>
      </c>
      <c r="B355" s="414" t="s">
        <v>1070</v>
      </c>
      <c r="C355" s="415">
        <v>9882.64</v>
      </c>
    </row>
    <row r="356" spans="1:3" ht="23.25">
      <c r="A356" s="414">
        <v>93631</v>
      </c>
      <c r="B356" s="414" t="s">
        <v>1071</v>
      </c>
      <c r="C356" s="415">
        <v>178910.3</v>
      </c>
    </row>
    <row r="357" spans="1:3" ht="23.25">
      <c r="A357" s="414">
        <v>93641</v>
      </c>
      <c r="B357" s="414" t="s">
        <v>1072</v>
      </c>
      <c r="C357" s="415">
        <v>323791.48</v>
      </c>
    </row>
    <row r="358" spans="1:3" ht="23.25">
      <c r="A358" s="414">
        <v>93647</v>
      </c>
      <c r="B358" s="414" t="s">
        <v>1073</v>
      </c>
      <c r="C358" s="415">
        <v>12646.400000000001</v>
      </c>
    </row>
    <row r="359" spans="1:3" ht="23.25">
      <c r="A359" s="414">
        <v>93651</v>
      </c>
      <c r="B359" s="414" t="s">
        <v>1074</v>
      </c>
      <c r="C359" s="415">
        <v>297038.21999999997</v>
      </c>
    </row>
    <row r="360" spans="1:3" ht="23.25">
      <c r="A360" s="414">
        <v>93661</v>
      </c>
      <c r="B360" s="414" t="s">
        <v>1075</v>
      </c>
      <c r="C360" s="415">
        <v>106817.88999999998</v>
      </c>
    </row>
    <row r="361" spans="1:3" ht="23.25">
      <c r="A361" s="414">
        <v>93671</v>
      </c>
      <c r="B361" s="414" t="s">
        <v>1076</v>
      </c>
      <c r="C361" s="415">
        <v>280832.56999999995</v>
      </c>
    </row>
    <row r="362" spans="1:3" ht="23.25">
      <c r="A362" s="414">
        <v>93681</v>
      </c>
      <c r="B362" s="414" t="s">
        <v>1077</v>
      </c>
      <c r="C362" s="415">
        <v>128435.91</v>
      </c>
    </row>
    <row r="363" spans="1:3" ht="23.25">
      <c r="A363" s="414">
        <v>93691</v>
      </c>
      <c r="B363" s="414" t="s">
        <v>1078</v>
      </c>
      <c r="C363" s="415">
        <v>699260.96</v>
      </c>
    </row>
    <row r="364" spans="1:3" ht="23.25">
      <c r="A364" s="414">
        <v>93701</v>
      </c>
      <c r="B364" s="414" t="s">
        <v>1079</v>
      </c>
      <c r="C364" s="415">
        <v>309891.37</v>
      </c>
    </row>
    <row r="365" spans="1:3" ht="23.25">
      <c r="A365" s="414">
        <v>93704</v>
      </c>
      <c r="B365" s="414" t="s">
        <v>1080</v>
      </c>
      <c r="C365" s="415">
        <v>3143.94</v>
      </c>
    </row>
    <row r="366" spans="1:3" ht="23.25">
      <c r="A366" s="414">
        <v>93801</v>
      </c>
      <c r="B366" s="414" t="s">
        <v>1081</v>
      </c>
      <c r="C366" s="415">
        <v>330869.57</v>
      </c>
    </row>
    <row r="367" spans="1:3" ht="23.25">
      <c r="A367" s="414">
        <v>93803</v>
      </c>
      <c r="B367" s="414" t="s">
        <v>1082</v>
      </c>
      <c r="C367" s="415">
        <v>84514.49</v>
      </c>
    </row>
    <row r="368" spans="1:3" ht="23.25">
      <c r="A368" s="414">
        <v>93806</v>
      </c>
      <c r="B368" s="414" t="s">
        <v>1083</v>
      </c>
      <c r="C368" s="415">
        <v>61729.71</v>
      </c>
    </row>
    <row r="369" spans="1:3" ht="23.25">
      <c r="A369" s="414">
        <v>93821</v>
      </c>
      <c r="B369" s="414" t="s">
        <v>1084</v>
      </c>
      <c r="C369" s="415">
        <v>46613.7</v>
      </c>
    </row>
    <row r="370" spans="1:3" ht="23.25">
      <c r="A370" s="414">
        <v>93901</v>
      </c>
      <c r="B370" s="414" t="s">
        <v>1085</v>
      </c>
      <c r="C370" s="415">
        <v>1504983.29</v>
      </c>
    </row>
    <row r="371" spans="1:3" ht="23.25">
      <c r="A371" s="414">
        <v>93904</v>
      </c>
      <c r="B371" s="414" t="s">
        <v>1086</v>
      </c>
      <c r="C371" s="415">
        <v>32951.03</v>
      </c>
    </row>
    <row r="372" spans="1:3" ht="23.25">
      <c r="A372" s="414">
        <v>93906</v>
      </c>
      <c r="B372" s="414" t="s">
        <v>1087</v>
      </c>
      <c r="C372" s="415">
        <v>2320216.08</v>
      </c>
    </row>
    <row r="373" spans="1:3" ht="23.25">
      <c r="A373" s="414">
        <v>93908</v>
      </c>
      <c r="B373" s="414" t="s">
        <v>1088</v>
      </c>
      <c r="C373" s="415">
        <v>449687.51</v>
      </c>
    </row>
    <row r="374" spans="1:3" ht="23.25">
      <c r="A374" s="414">
        <v>93910</v>
      </c>
      <c r="B374" s="414" t="s">
        <v>1089</v>
      </c>
      <c r="C374" s="415">
        <v>242648.06</v>
      </c>
    </row>
    <row r="375" spans="1:3" ht="23.25">
      <c r="A375" s="414">
        <v>93911</v>
      </c>
      <c r="B375" s="414" t="s">
        <v>1090</v>
      </c>
      <c r="C375" s="415">
        <v>445640.93000000005</v>
      </c>
    </row>
    <row r="376" spans="1:3" ht="23.25">
      <c r="A376" s="414">
        <v>93913</v>
      </c>
      <c r="B376" s="414" t="s">
        <v>1091</v>
      </c>
      <c r="C376" s="415">
        <v>45143.91</v>
      </c>
    </row>
    <row r="377" spans="1:3" ht="23.25">
      <c r="A377" s="414">
        <v>93914</v>
      </c>
      <c r="B377" s="414" t="s">
        <v>1092</v>
      </c>
      <c r="C377" s="415">
        <v>6696.22</v>
      </c>
    </row>
    <row r="378" spans="1:3" ht="23.25">
      <c r="A378" s="414">
        <v>93921</v>
      </c>
      <c r="B378" s="414" t="s">
        <v>1093</v>
      </c>
      <c r="C378" s="415">
        <v>198242.91999999998</v>
      </c>
    </row>
    <row r="379" spans="1:3" ht="23.25">
      <c r="A379" s="414">
        <v>93931</v>
      </c>
      <c r="B379" s="414" t="s">
        <v>1094</v>
      </c>
      <c r="C379" s="415">
        <v>356609.69999999995</v>
      </c>
    </row>
    <row r="380" spans="1:3" ht="23.25">
      <c r="A380" s="414">
        <v>94001</v>
      </c>
      <c r="B380" s="414" t="s">
        <v>1095</v>
      </c>
      <c r="C380" s="415">
        <v>752426.34</v>
      </c>
    </row>
    <row r="381" spans="1:3" ht="23.25">
      <c r="A381" s="414">
        <v>94002</v>
      </c>
      <c r="B381" s="414" t="s">
        <v>1096</v>
      </c>
      <c r="C381" s="415">
        <v>6138.76</v>
      </c>
    </row>
    <row r="382" spans="1:3" ht="23.25">
      <c r="A382" s="414">
        <v>94004</v>
      </c>
      <c r="B382" s="414" t="s">
        <v>1097</v>
      </c>
      <c r="C382" s="415">
        <v>9562.7999999999993</v>
      </c>
    </row>
    <row r="383" spans="1:3" ht="23.25">
      <c r="A383" s="414">
        <v>94005</v>
      </c>
      <c r="B383" s="414" t="s">
        <v>1098</v>
      </c>
      <c r="C383" s="415">
        <v>5621.64</v>
      </c>
    </row>
    <row r="384" spans="1:3" ht="23.25">
      <c r="A384" s="414">
        <v>94011</v>
      </c>
      <c r="B384" s="414" t="s">
        <v>1099</v>
      </c>
      <c r="C384" s="415">
        <v>18324.78</v>
      </c>
    </row>
    <row r="385" spans="1:3" ht="23.25">
      <c r="A385" s="414">
        <v>94021</v>
      </c>
      <c r="B385" s="414" t="s">
        <v>1100</v>
      </c>
      <c r="C385" s="415">
        <v>69097.189999999988</v>
      </c>
    </row>
    <row r="386" spans="1:3" ht="23.25">
      <c r="A386" s="414">
        <v>94031</v>
      </c>
      <c r="B386" s="414" t="s">
        <v>1101</v>
      </c>
      <c r="C386" s="415">
        <v>9913.7199999999993</v>
      </c>
    </row>
    <row r="387" spans="1:3" ht="23.25">
      <c r="A387" s="414">
        <v>94101</v>
      </c>
      <c r="B387" s="414" t="s">
        <v>1102</v>
      </c>
      <c r="C387" s="415">
        <v>13670353.01</v>
      </c>
    </row>
    <row r="388" spans="1:3" ht="23.25">
      <c r="A388" s="414">
        <v>94102</v>
      </c>
      <c r="B388" s="414" t="s">
        <v>1103</v>
      </c>
      <c r="C388" s="415">
        <v>206466.76</v>
      </c>
    </row>
    <row r="389" spans="1:3" ht="23.25">
      <c r="A389" s="414">
        <v>94108</v>
      </c>
      <c r="B389" s="414" t="s">
        <v>1104</v>
      </c>
      <c r="C389" s="415">
        <v>232193.04</v>
      </c>
    </row>
    <row r="390" spans="1:3" ht="23.25">
      <c r="A390" s="414">
        <v>94109</v>
      </c>
      <c r="B390" s="414" t="s">
        <v>1105</v>
      </c>
      <c r="C390" s="415">
        <v>60449.47</v>
      </c>
    </row>
    <row r="391" spans="1:3" ht="23.25">
      <c r="A391" s="414">
        <v>94111</v>
      </c>
      <c r="B391" s="414" t="s">
        <v>1106</v>
      </c>
      <c r="C391" s="415">
        <v>17853252.09</v>
      </c>
    </row>
    <row r="392" spans="1:3" ht="23.25">
      <c r="A392" s="414">
        <v>94112</v>
      </c>
      <c r="B392" s="414" t="s">
        <v>1107</v>
      </c>
      <c r="C392" s="415">
        <v>100781.39</v>
      </c>
    </row>
    <row r="393" spans="1:3" ht="23.25">
      <c r="A393" s="414">
        <v>94117</v>
      </c>
      <c r="B393" s="414" t="s">
        <v>1108</v>
      </c>
      <c r="C393" s="415">
        <v>302079</v>
      </c>
    </row>
    <row r="394" spans="1:3" ht="23.25">
      <c r="A394" s="414">
        <v>94118</v>
      </c>
      <c r="B394" s="414" t="s">
        <v>1109</v>
      </c>
      <c r="C394" s="415">
        <v>105029.79</v>
      </c>
    </row>
    <row r="395" spans="1:3" ht="23.25">
      <c r="A395" s="414">
        <v>94121</v>
      </c>
      <c r="B395" s="414" t="s">
        <v>1110</v>
      </c>
      <c r="C395" s="415">
        <v>8563643.5499999989</v>
      </c>
    </row>
    <row r="396" spans="1:3" ht="23.25">
      <c r="A396" s="414">
        <v>94127</v>
      </c>
      <c r="B396" s="414" t="s">
        <v>1111</v>
      </c>
      <c r="C396" s="415">
        <v>142768.81</v>
      </c>
    </row>
    <row r="397" spans="1:3" ht="23.25">
      <c r="A397" s="414">
        <v>94131</v>
      </c>
      <c r="B397" s="414" t="s">
        <v>1112</v>
      </c>
      <c r="C397" s="415">
        <v>159162.31</v>
      </c>
    </row>
    <row r="398" spans="1:3" ht="23.25">
      <c r="A398" s="414">
        <v>94151</v>
      </c>
      <c r="B398" s="414" t="s">
        <v>1113</v>
      </c>
      <c r="C398" s="415">
        <v>317194.5</v>
      </c>
    </row>
    <row r="399" spans="1:3" ht="23.25">
      <c r="A399" s="414">
        <v>94157</v>
      </c>
      <c r="B399" s="414" t="s">
        <v>1114</v>
      </c>
      <c r="C399" s="415">
        <v>9486.07</v>
      </c>
    </row>
    <row r="400" spans="1:3" ht="23.25">
      <c r="A400" s="414">
        <v>94161</v>
      </c>
      <c r="B400" s="414" t="s">
        <v>1115</v>
      </c>
      <c r="C400" s="415">
        <v>43124.62</v>
      </c>
    </row>
    <row r="401" spans="1:3" ht="23.25">
      <c r="A401" s="414">
        <v>94168</v>
      </c>
      <c r="B401" s="414" t="s">
        <v>1116</v>
      </c>
      <c r="C401" s="415">
        <v>47862.22</v>
      </c>
    </row>
    <row r="402" spans="1:3" ht="23.25">
      <c r="A402" s="414">
        <v>94171</v>
      </c>
      <c r="B402" s="414" t="s">
        <v>1117</v>
      </c>
      <c r="C402" s="415">
        <v>47789.66</v>
      </c>
    </row>
    <row r="403" spans="1:3" ht="23.25">
      <c r="A403" s="414">
        <v>94172</v>
      </c>
      <c r="B403" s="414" t="s">
        <v>1118</v>
      </c>
      <c r="C403" s="415">
        <v>182380.93</v>
      </c>
    </row>
    <row r="404" spans="1:3" ht="23.25">
      <c r="A404" s="414">
        <v>94201</v>
      </c>
      <c r="B404" s="414" t="s">
        <v>1119</v>
      </c>
      <c r="C404" s="415">
        <v>2310593.9500000002</v>
      </c>
    </row>
    <row r="405" spans="1:3" ht="23.25">
      <c r="A405" s="414">
        <v>94204</v>
      </c>
      <c r="B405" s="414" t="s">
        <v>1120</v>
      </c>
      <c r="C405" s="415">
        <v>31351.34</v>
      </c>
    </row>
    <row r="406" spans="1:3" ht="23.25">
      <c r="A406" s="414">
        <v>94205</v>
      </c>
      <c r="B406" s="414" t="s">
        <v>1121</v>
      </c>
      <c r="C406" s="415">
        <v>16583.86</v>
      </c>
    </row>
    <row r="407" spans="1:3" ht="23.25">
      <c r="A407" s="414">
        <v>94209</v>
      </c>
      <c r="B407" s="414" t="s">
        <v>1122</v>
      </c>
      <c r="C407" s="415">
        <v>232953.61</v>
      </c>
    </row>
    <row r="408" spans="1:3" ht="23.25">
      <c r="A408" s="414">
        <v>94211</v>
      </c>
      <c r="B408" s="414" t="s">
        <v>1123</v>
      </c>
      <c r="C408" s="415">
        <v>104746.13</v>
      </c>
    </row>
    <row r="409" spans="1:3" ht="23.25">
      <c r="A409" s="414">
        <v>94221</v>
      </c>
      <c r="B409" s="414" t="s">
        <v>1124</v>
      </c>
      <c r="C409" s="415">
        <v>624168.30000000005</v>
      </c>
    </row>
    <row r="410" spans="1:3" ht="23.25">
      <c r="A410" s="414">
        <v>94231</v>
      </c>
      <c r="B410" s="414" t="s">
        <v>1125</v>
      </c>
      <c r="C410" s="415">
        <v>116123.87999999999</v>
      </c>
    </row>
    <row r="411" spans="1:3" ht="23.25">
      <c r="A411" s="414">
        <v>94241</v>
      </c>
      <c r="B411" s="414" t="s">
        <v>1126</v>
      </c>
      <c r="C411" s="415">
        <v>120949.40999999999</v>
      </c>
    </row>
    <row r="412" spans="1:3" ht="23.25">
      <c r="A412" s="414">
        <v>94251</v>
      </c>
      <c r="B412" s="414" t="s">
        <v>1127</v>
      </c>
      <c r="C412" s="415">
        <v>12746.36</v>
      </c>
    </row>
    <row r="413" spans="1:3" ht="23.25">
      <c r="A413" s="414">
        <v>94261</v>
      </c>
      <c r="B413" s="414" t="s">
        <v>1128</v>
      </c>
      <c r="C413" s="415">
        <v>25265.979999999996</v>
      </c>
    </row>
    <row r="414" spans="1:3" ht="23.25">
      <c r="A414" s="414">
        <v>94301</v>
      </c>
      <c r="B414" s="414" t="s">
        <v>1129</v>
      </c>
      <c r="C414" s="415">
        <v>4330623.4800000004</v>
      </c>
    </row>
    <row r="415" spans="1:3" ht="23.25">
      <c r="A415" s="414">
        <v>94311</v>
      </c>
      <c r="B415" s="414" t="s">
        <v>1130</v>
      </c>
      <c r="C415" s="415">
        <v>580419.24</v>
      </c>
    </row>
    <row r="416" spans="1:3" ht="23.25">
      <c r="A416" s="414">
        <v>94313</v>
      </c>
      <c r="B416" s="414" t="s">
        <v>1131</v>
      </c>
      <c r="C416" s="415">
        <v>22189.439999999999</v>
      </c>
    </row>
    <row r="417" spans="1:3" ht="23.25">
      <c r="A417" s="414">
        <v>94317</v>
      </c>
      <c r="B417" s="414" t="s">
        <v>1132</v>
      </c>
      <c r="C417" s="415">
        <v>15391.96</v>
      </c>
    </row>
    <row r="418" spans="1:3" ht="23.25">
      <c r="A418" s="414">
        <v>94321</v>
      </c>
      <c r="B418" s="414" t="s">
        <v>1133</v>
      </c>
      <c r="C418" s="415">
        <v>230920.68000000002</v>
      </c>
    </row>
    <row r="419" spans="1:3" ht="23.25">
      <c r="A419" s="414">
        <v>94331</v>
      </c>
      <c r="B419" s="414" t="s">
        <v>1134</v>
      </c>
      <c r="C419" s="415">
        <v>107127.79</v>
      </c>
    </row>
    <row r="420" spans="1:3" ht="23.25">
      <c r="A420" s="414">
        <v>94341</v>
      </c>
      <c r="B420" s="414" t="s">
        <v>1135</v>
      </c>
      <c r="C420" s="415">
        <v>57972.52</v>
      </c>
    </row>
    <row r="421" spans="1:3" ht="23.25">
      <c r="A421" s="414">
        <v>94347</v>
      </c>
      <c r="B421" s="414" t="s">
        <v>1136</v>
      </c>
      <c r="C421" s="415">
        <v>11339.94</v>
      </c>
    </row>
    <row r="422" spans="1:3" ht="23.25">
      <c r="A422" s="414">
        <v>94351</v>
      </c>
      <c r="B422" s="414" t="s">
        <v>1137</v>
      </c>
      <c r="C422" s="415">
        <v>215789.63999999998</v>
      </c>
    </row>
    <row r="423" spans="1:3" ht="23.25">
      <c r="A423" s="414">
        <v>94401</v>
      </c>
      <c r="B423" s="414" t="s">
        <v>1138</v>
      </c>
      <c r="C423" s="415">
        <v>2419565.8899999997</v>
      </c>
    </row>
    <row r="424" spans="1:3" ht="23.25">
      <c r="A424" s="414">
        <v>94403</v>
      </c>
      <c r="B424" s="414" t="s">
        <v>1140</v>
      </c>
      <c r="C424" s="415">
        <v>31742.3</v>
      </c>
    </row>
    <row r="425" spans="1:3" ht="23.25">
      <c r="A425" s="414">
        <v>94402</v>
      </c>
      <c r="B425" s="414" t="s">
        <v>1139</v>
      </c>
      <c r="C425" s="415">
        <v>0</v>
      </c>
    </row>
    <row r="426" spans="1:3" ht="23.25">
      <c r="A426" s="414">
        <v>94408</v>
      </c>
      <c r="B426" s="414" t="s">
        <v>1141</v>
      </c>
      <c r="C426" s="415">
        <v>43147.5</v>
      </c>
    </row>
    <row r="427" spans="1:3" ht="23.25">
      <c r="A427" s="414">
        <v>94411</v>
      </c>
      <c r="B427" s="414" t="s">
        <v>1142</v>
      </c>
      <c r="C427" s="415">
        <v>805862.06</v>
      </c>
    </row>
    <row r="428" spans="1:3" ht="23.25">
      <c r="A428" s="414">
        <v>94412</v>
      </c>
      <c r="B428" s="414" t="s">
        <v>1143</v>
      </c>
      <c r="C428" s="415">
        <v>18667.14</v>
      </c>
    </row>
    <row r="429" spans="1:3" ht="23.25">
      <c r="A429" s="414">
        <v>94421</v>
      </c>
      <c r="B429" s="414" t="s">
        <v>1144</v>
      </c>
      <c r="C429" s="415">
        <v>118945.54999999999</v>
      </c>
    </row>
    <row r="430" spans="1:3" ht="23.25">
      <c r="A430" s="414">
        <v>94427</v>
      </c>
      <c r="B430" s="414" t="s">
        <v>1145</v>
      </c>
      <c r="C430" s="415">
        <v>24270.11</v>
      </c>
    </row>
    <row r="431" spans="1:3" ht="23.25">
      <c r="A431" s="414">
        <v>94428</v>
      </c>
      <c r="B431" s="414" t="s">
        <v>1146</v>
      </c>
      <c r="C431" s="415">
        <v>57601.17</v>
      </c>
    </row>
    <row r="432" spans="1:3" ht="23.25">
      <c r="A432" s="414">
        <v>94431</v>
      </c>
      <c r="B432" s="414" t="s">
        <v>1147</v>
      </c>
      <c r="C432" s="415">
        <v>278501.69</v>
      </c>
    </row>
    <row r="433" spans="1:3" ht="23.25">
      <c r="A433" s="414">
        <v>94437</v>
      </c>
      <c r="B433" s="414" t="s">
        <v>1148</v>
      </c>
      <c r="C433" s="415">
        <v>19953.489999999998</v>
      </c>
    </row>
    <row r="434" spans="1:3" ht="23.25">
      <c r="A434" s="414">
        <v>94501</v>
      </c>
      <c r="B434" s="414" t="s">
        <v>2025</v>
      </c>
      <c r="C434" s="415">
        <v>4369581.4499999993</v>
      </c>
    </row>
    <row r="435" spans="1:3" ht="23.25">
      <c r="A435" s="414">
        <v>94511</v>
      </c>
      <c r="B435" s="414" t="s">
        <v>1150</v>
      </c>
      <c r="C435" s="415">
        <v>1409433.47</v>
      </c>
    </row>
    <row r="436" spans="1:3" ht="23.25">
      <c r="A436" s="414">
        <v>94512</v>
      </c>
      <c r="B436" s="414" t="s">
        <v>3774</v>
      </c>
      <c r="C436" s="415">
        <v>0</v>
      </c>
    </row>
    <row r="437" spans="1:3" ht="23.25">
      <c r="A437" s="414">
        <v>94517</v>
      </c>
      <c r="B437" s="414" t="s">
        <v>1152</v>
      </c>
      <c r="C437" s="415">
        <v>60119.68</v>
      </c>
    </row>
    <row r="438" spans="1:3" ht="23.25">
      <c r="A438" s="414">
        <v>94521</v>
      </c>
      <c r="B438" s="414" t="s">
        <v>1153</v>
      </c>
      <c r="C438" s="415">
        <v>91988.51</v>
      </c>
    </row>
    <row r="439" spans="1:3" ht="23.25">
      <c r="A439" s="414">
        <v>94527</v>
      </c>
      <c r="B439" s="414" t="s">
        <v>1154</v>
      </c>
      <c r="C439" s="415">
        <v>4993.87</v>
      </c>
    </row>
    <row r="440" spans="1:3" ht="23.25">
      <c r="A440" s="414">
        <v>94531</v>
      </c>
      <c r="B440" s="414" t="s">
        <v>1155</v>
      </c>
      <c r="C440" s="415">
        <v>22101.94</v>
      </c>
    </row>
    <row r="441" spans="1:3" ht="23.25">
      <c r="A441" s="414">
        <v>94532</v>
      </c>
      <c r="B441" s="414" t="s">
        <v>1156</v>
      </c>
      <c r="C441" s="415">
        <v>85306.35</v>
      </c>
    </row>
    <row r="442" spans="1:3" ht="23.25">
      <c r="A442" s="414">
        <v>94541</v>
      </c>
      <c r="B442" s="414" t="s">
        <v>1157</v>
      </c>
      <c r="C442" s="415">
        <v>201370.00999999998</v>
      </c>
    </row>
    <row r="443" spans="1:3" ht="23.25">
      <c r="A443" s="414">
        <v>94547</v>
      </c>
      <c r="B443" s="414" t="s">
        <v>1158</v>
      </c>
      <c r="C443" s="415">
        <v>20264.66</v>
      </c>
    </row>
    <row r="444" spans="1:3" ht="23.25">
      <c r="A444" s="414">
        <v>94551</v>
      </c>
      <c r="B444" s="414" t="s">
        <v>1159</v>
      </c>
      <c r="C444" s="415">
        <v>43357.15</v>
      </c>
    </row>
    <row r="445" spans="1:3" ht="23.25">
      <c r="A445" s="414">
        <v>94601</v>
      </c>
      <c r="B445" s="414" t="s">
        <v>1160</v>
      </c>
      <c r="C445" s="415">
        <v>729627.45000000007</v>
      </c>
    </row>
    <row r="446" spans="1:3" ht="23.25">
      <c r="A446" s="414">
        <v>94604</v>
      </c>
      <c r="B446" s="414" t="s">
        <v>1161</v>
      </c>
      <c r="C446" s="415">
        <v>21702.42</v>
      </c>
    </row>
    <row r="447" spans="1:3" ht="23.25">
      <c r="A447" s="414">
        <v>94606</v>
      </c>
      <c r="B447" s="414" t="s">
        <v>1162</v>
      </c>
      <c r="C447" s="415">
        <v>0</v>
      </c>
    </row>
    <row r="448" spans="1:3" ht="23.25">
      <c r="A448" s="414">
        <v>94611</v>
      </c>
      <c r="B448" s="414" t="s">
        <v>1163</v>
      </c>
      <c r="C448" s="415">
        <v>243323.65</v>
      </c>
    </row>
    <row r="449" spans="1:3" ht="23.25">
      <c r="A449" s="414">
        <v>94621</v>
      </c>
      <c r="B449" s="414" t="s">
        <v>1164</v>
      </c>
      <c r="C449" s="415">
        <v>82020.399999999994</v>
      </c>
    </row>
    <row r="450" spans="1:3" ht="23.25">
      <c r="A450" s="414">
        <v>94631</v>
      </c>
      <c r="B450" s="414" t="s">
        <v>1165</v>
      </c>
      <c r="C450" s="415">
        <v>30842.51</v>
      </c>
    </row>
    <row r="451" spans="1:3" ht="23.25">
      <c r="A451" s="414">
        <v>94641</v>
      </c>
      <c r="B451" s="414" t="s">
        <v>1166</v>
      </c>
      <c r="C451" s="415">
        <v>14873.73</v>
      </c>
    </row>
    <row r="452" spans="1:3" ht="23.25">
      <c r="A452" s="414">
        <v>94701</v>
      </c>
      <c r="B452" s="414" t="s">
        <v>1167</v>
      </c>
      <c r="C452" s="415">
        <v>1793576.57</v>
      </c>
    </row>
    <row r="453" spans="1:3" ht="23.25">
      <c r="A453" s="414">
        <v>94704</v>
      </c>
      <c r="B453" s="414" t="s">
        <v>1168</v>
      </c>
      <c r="C453" s="415">
        <v>15094.18</v>
      </c>
    </row>
    <row r="454" spans="1:3" ht="23.25">
      <c r="A454" s="414">
        <v>94711</v>
      </c>
      <c r="B454" s="414" t="s">
        <v>1169</v>
      </c>
      <c r="C454" s="415">
        <v>267081.21000000002</v>
      </c>
    </row>
    <row r="455" spans="1:3" ht="23.25">
      <c r="A455" s="414">
        <v>94801</v>
      </c>
      <c r="B455" s="414" t="s">
        <v>1170</v>
      </c>
      <c r="C455" s="415">
        <v>486503.50999999995</v>
      </c>
    </row>
    <row r="456" spans="1:3" ht="23.25">
      <c r="A456" s="414">
        <v>94804</v>
      </c>
      <c r="B456" s="414" t="s">
        <v>1171</v>
      </c>
      <c r="C456" s="415">
        <v>5644.18</v>
      </c>
    </row>
    <row r="457" spans="1:3" ht="23.25">
      <c r="A457" s="414">
        <v>94812</v>
      </c>
      <c r="B457" s="414" t="s">
        <v>1172</v>
      </c>
      <c r="C457" s="415">
        <v>24924.21</v>
      </c>
    </row>
    <row r="458" spans="1:3" ht="23.25">
      <c r="A458" s="414">
        <v>94901</v>
      </c>
      <c r="B458" s="414" t="s">
        <v>1173</v>
      </c>
      <c r="C458" s="415">
        <v>5381988</v>
      </c>
    </row>
    <row r="459" spans="1:3" ht="23.25">
      <c r="A459" s="414">
        <v>94908</v>
      </c>
      <c r="B459" s="414" t="s">
        <v>3616</v>
      </c>
      <c r="C459" s="415">
        <v>43055.42</v>
      </c>
    </row>
    <row r="460" spans="1:3" ht="23.25">
      <c r="A460" s="414">
        <v>94911</v>
      </c>
      <c r="B460" s="414" t="s">
        <v>1175</v>
      </c>
      <c r="C460" s="415">
        <v>2138207.1799999997</v>
      </c>
    </row>
    <row r="461" spans="1:3" ht="23.25">
      <c r="A461" s="414">
        <v>94917</v>
      </c>
      <c r="B461" s="414" t="s">
        <v>1176</v>
      </c>
      <c r="C461" s="415">
        <v>42175.9</v>
      </c>
    </row>
    <row r="462" spans="1:3" ht="23.25">
      <c r="A462" s="414">
        <v>94921</v>
      </c>
      <c r="B462" s="414" t="s">
        <v>1177</v>
      </c>
      <c r="C462" s="415">
        <v>2765846.39</v>
      </c>
    </row>
    <row r="463" spans="1:3" ht="23.25">
      <c r="A463" s="414">
        <v>94923</v>
      </c>
      <c r="B463" s="414" t="s">
        <v>1178</v>
      </c>
      <c r="C463" s="415">
        <v>25773.82</v>
      </c>
    </row>
    <row r="464" spans="1:3" ht="23.25">
      <c r="A464" s="414">
        <v>94927</v>
      </c>
      <c r="B464" s="414" t="s">
        <v>1179</v>
      </c>
      <c r="C464" s="415">
        <v>38059.160000000003</v>
      </c>
    </row>
    <row r="465" spans="1:3" ht="23.25">
      <c r="A465" s="414">
        <v>94931</v>
      </c>
      <c r="B465" s="414" t="s">
        <v>1180</v>
      </c>
      <c r="C465" s="415">
        <v>157875.37</v>
      </c>
    </row>
    <row r="466" spans="1:3" ht="23.25">
      <c r="A466" s="414">
        <v>94937</v>
      </c>
      <c r="B466" s="414" t="s">
        <v>1933</v>
      </c>
      <c r="C466" s="415">
        <v>5577.48</v>
      </c>
    </row>
    <row r="467" spans="1:3" ht="23.25">
      <c r="A467" s="414">
        <v>94941</v>
      </c>
      <c r="B467" s="414" t="s">
        <v>1181</v>
      </c>
      <c r="C467" s="415">
        <v>9265.64</v>
      </c>
    </row>
    <row r="468" spans="1:3" ht="23.25">
      <c r="A468" s="414">
        <v>94947</v>
      </c>
      <c r="B468" s="414" t="s">
        <v>1934</v>
      </c>
      <c r="C468" s="415">
        <v>6505.35</v>
      </c>
    </row>
    <row r="469" spans="1:3" ht="23.25">
      <c r="A469" s="414">
        <v>95001</v>
      </c>
      <c r="B469" s="414" t="s">
        <v>1182</v>
      </c>
      <c r="C469" s="415">
        <v>1797306.42</v>
      </c>
    </row>
    <row r="470" spans="1:3" ht="23.25">
      <c r="A470" s="414">
        <v>95002</v>
      </c>
      <c r="B470" s="414" t="s">
        <v>1183</v>
      </c>
      <c r="C470" s="415">
        <v>157423.9</v>
      </c>
    </row>
    <row r="471" spans="1:3" ht="23.25">
      <c r="A471" s="414">
        <v>95005</v>
      </c>
      <c r="B471" s="414" t="s">
        <v>1184</v>
      </c>
      <c r="C471" s="415">
        <v>159647.53</v>
      </c>
    </row>
    <row r="472" spans="1:3" ht="23.25">
      <c r="A472" s="414">
        <v>95008</v>
      </c>
      <c r="B472" s="414" t="s">
        <v>1185</v>
      </c>
      <c r="C472" s="415">
        <v>99406.29</v>
      </c>
    </row>
    <row r="473" spans="1:3" ht="23.25">
      <c r="A473" s="414">
        <v>95009</v>
      </c>
      <c r="B473" s="414" t="s">
        <v>1186</v>
      </c>
      <c r="C473" s="415">
        <v>2897594.99</v>
      </c>
    </row>
    <row r="474" spans="1:3" ht="23.25">
      <c r="A474" s="414">
        <v>95010</v>
      </c>
      <c r="B474" s="414" t="s">
        <v>3725</v>
      </c>
      <c r="C474" s="415">
        <v>12205.85</v>
      </c>
    </row>
    <row r="475" spans="1:3" ht="23.25">
      <c r="A475" s="414">
        <v>95011</v>
      </c>
      <c r="B475" s="414" t="s">
        <v>1187</v>
      </c>
      <c r="C475" s="415">
        <v>128810.36</v>
      </c>
    </row>
    <row r="476" spans="1:3" ht="23.25">
      <c r="A476" s="414">
        <v>95017</v>
      </c>
      <c r="B476" s="414" t="s">
        <v>1188</v>
      </c>
      <c r="C476" s="415">
        <v>28976.9</v>
      </c>
    </row>
    <row r="477" spans="1:3" ht="23.25">
      <c r="A477" s="414">
        <v>95101</v>
      </c>
      <c r="B477" s="414" t="s">
        <v>1189</v>
      </c>
      <c r="C477" s="415">
        <v>6338767.5199999996</v>
      </c>
    </row>
    <row r="478" spans="1:3" ht="23.25">
      <c r="A478" s="414">
        <v>95103</v>
      </c>
      <c r="B478" s="414" t="s">
        <v>1190</v>
      </c>
      <c r="C478" s="415">
        <v>46050.17</v>
      </c>
    </row>
    <row r="479" spans="1:3" ht="23.25">
      <c r="A479" s="414">
        <v>95104</v>
      </c>
      <c r="B479" s="414" t="s">
        <v>1191</v>
      </c>
      <c r="C479" s="415">
        <v>132620.57</v>
      </c>
    </row>
    <row r="480" spans="1:3" ht="23.25">
      <c r="A480" s="414">
        <v>95105</v>
      </c>
      <c r="B480" s="414" t="s">
        <v>1192</v>
      </c>
      <c r="C480" s="415">
        <v>41766.699999999997</v>
      </c>
    </row>
    <row r="481" spans="1:3" ht="23.25">
      <c r="A481" s="414">
        <v>95106</v>
      </c>
      <c r="B481" s="414" t="s">
        <v>1193</v>
      </c>
      <c r="C481" s="415">
        <v>17266.989999999998</v>
      </c>
    </row>
    <row r="482" spans="1:3" ht="23.25">
      <c r="A482" s="414">
        <v>95110</v>
      </c>
      <c r="B482" s="414" t="s">
        <v>1194</v>
      </c>
      <c r="C482" s="415">
        <v>2199564.9300000002</v>
      </c>
    </row>
    <row r="483" spans="1:3" ht="23.25">
      <c r="A483" s="414">
        <v>95111</v>
      </c>
      <c r="B483" s="414" t="s">
        <v>1195</v>
      </c>
      <c r="C483" s="415">
        <v>742628.34</v>
      </c>
    </row>
    <row r="484" spans="1:3" ht="23.25">
      <c r="A484" s="414">
        <v>95113</v>
      </c>
      <c r="B484" s="414" t="s">
        <v>1196</v>
      </c>
      <c r="C484" s="415">
        <v>96259.28</v>
      </c>
    </row>
    <row r="485" spans="1:3" ht="23.25">
      <c r="A485" s="414">
        <v>95121</v>
      </c>
      <c r="B485" s="414" t="s">
        <v>1197</v>
      </c>
      <c r="C485" s="415">
        <v>361230.64999999997</v>
      </c>
    </row>
    <row r="486" spans="1:3" ht="23.25">
      <c r="A486" s="414">
        <v>95122</v>
      </c>
      <c r="B486" s="414" t="s">
        <v>1198</v>
      </c>
      <c r="C486" s="415">
        <v>22054.95</v>
      </c>
    </row>
    <row r="487" spans="1:3" ht="23.25">
      <c r="A487" s="414">
        <v>95123</v>
      </c>
      <c r="B487" s="414" t="s">
        <v>1199</v>
      </c>
      <c r="C487" s="415">
        <v>34197.82</v>
      </c>
    </row>
    <row r="488" spans="1:3" ht="23.25">
      <c r="A488" s="414">
        <v>95131</v>
      </c>
      <c r="B488" s="414" t="s">
        <v>1200</v>
      </c>
      <c r="C488" s="415">
        <v>1372150.6300000001</v>
      </c>
    </row>
    <row r="489" spans="1:3" ht="23.25">
      <c r="A489" s="414">
        <v>95141</v>
      </c>
      <c r="B489" s="414" t="s">
        <v>1201</v>
      </c>
      <c r="C489" s="415">
        <v>256641.48000000004</v>
      </c>
    </row>
    <row r="490" spans="1:3" ht="23.25">
      <c r="A490" s="414">
        <v>95151</v>
      </c>
      <c r="B490" s="414" t="s">
        <v>1202</v>
      </c>
      <c r="C490" s="415">
        <v>80865.45</v>
      </c>
    </row>
    <row r="491" spans="1:3" ht="23.25">
      <c r="A491" s="414">
        <v>95161</v>
      </c>
      <c r="B491" s="414" t="s">
        <v>1203</v>
      </c>
      <c r="C491" s="415">
        <v>52987.59</v>
      </c>
    </row>
    <row r="492" spans="1:3" ht="23.25">
      <c r="A492" s="414">
        <v>95171</v>
      </c>
      <c r="B492" s="414" t="s">
        <v>1204</v>
      </c>
      <c r="C492" s="415">
        <v>77152.17</v>
      </c>
    </row>
    <row r="493" spans="1:3" ht="23.25">
      <c r="A493" s="414">
        <v>95181</v>
      </c>
      <c r="B493" s="414" t="s">
        <v>1205</v>
      </c>
      <c r="C493" s="415">
        <v>55002.079999999994</v>
      </c>
    </row>
    <row r="494" spans="1:3" ht="23.25">
      <c r="A494" s="414">
        <v>95191</v>
      </c>
      <c r="B494" s="414" t="s">
        <v>1206</v>
      </c>
      <c r="C494" s="415">
        <v>69972.739999999991</v>
      </c>
    </row>
    <row r="495" spans="1:3" ht="23.25">
      <c r="A495" s="414">
        <v>95201</v>
      </c>
      <c r="B495" s="414" t="s">
        <v>1207</v>
      </c>
      <c r="C495" s="415">
        <v>465894.93000000005</v>
      </c>
    </row>
    <row r="496" spans="1:3" ht="23.25">
      <c r="A496" s="414">
        <v>95204</v>
      </c>
      <c r="B496" s="414" t="s">
        <v>1208</v>
      </c>
      <c r="C496" s="415">
        <v>4503.13</v>
      </c>
    </row>
    <row r="497" spans="1:3" ht="23.25">
      <c r="A497" s="414">
        <v>95205</v>
      </c>
      <c r="B497" s="414" t="s">
        <v>1209</v>
      </c>
      <c r="C497" s="415">
        <v>2849.42</v>
      </c>
    </row>
    <row r="498" spans="1:3" ht="23.25">
      <c r="A498" s="414">
        <v>95211</v>
      </c>
      <c r="B498" s="414" t="s">
        <v>1210</v>
      </c>
      <c r="C498" s="415">
        <v>2281.65</v>
      </c>
    </row>
    <row r="499" spans="1:3" ht="23.25">
      <c r="A499" s="414">
        <v>95221</v>
      </c>
      <c r="B499" s="414" t="s">
        <v>1211</v>
      </c>
      <c r="C499" s="415">
        <v>32989.549999999996</v>
      </c>
    </row>
    <row r="500" spans="1:3" ht="23.25">
      <c r="A500" s="414">
        <v>95301</v>
      </c>
      <c r="B500" s="414" t="s">
        <v>1212</v>
      </c>
      <c r="C500" s="415">
        <v>1798122.5299999998</v>
      </c>
    </row>
    <row r="501" spans="1:3" ht="23.25">
      <c r="A501" s="414">
        <v>95311</v>
      </c>
      <c r="B501" s="414" t="s">
        <v>1213</v>
      </c>
      <c r="C501" s="415">
        <v>1888957.82</v>
      </c>
    </row>
    <row r="502" spans="1:3" ht="23.25">
      <c r="A502" s="414">
        <v>95317</v>
      </c>
      <c r="B502" s="414" t="s">
        <v>1214</v>
      </c>
      <c r="C502" s="415">
        <v>48430.74</v>
      </c>
    </row>
    <row r="503" spans="1:3" ht="23.25">
      <c r="A503" s="414">
        <v>95321</v>
      </c>
      <c r="B503" s="414" t="s">
        <v>1215</v>
      </c>
      <c r="C503" s="415">
        <v>45038.020000000004</v>
      </c>
    </row>
    <row r="504" spans="1:3" ht="23.25">
      <c r="A504" s="414">
        <v>95401</v>
      </c>
      <c r="B504" s="414" t="s">
        <v>1216</v>
      </c>
      <c r="C504" s="415">
        <v>1783017.52</v>
      </c>
    </row>
    <row r="505" spans="1:3" ht="23.25">
      <c r="A505" s="414">
        <v>95404</v>
      </c>
      <c r="B505" s="414" t="s">
        <v>1217</v>
      </c>
      <c r="C505" s="415">
        <v>34290.25</v>
      </c>
    </row>
    <row r="506" spans="1:3" ht="23.25">
      <c r="A506" s="414">
        <v>95405</v>
      </c>
      <c r="B506" s="414" t="s">
        <v>1218</v>
      </c>
      <c r="C506" s="415">
        <v>24712.2</v>
      </c>
    </row>
    <row r="507" spans="1:3" ht="23.25">
      <c r="A507" s="414">
        <v>95411</v>
      </c>
      <c r="B507" s="414" t="s">
        <v>1219</v>
      </c>
      <c r="C507" s="415">
        <v>1549539.23</v>
      </c>
    </row>
    <row r="508" spans="1:3" ht="23.25">
      <c r="A508" s="414">
        <v>95412</v>
      </c>
      <c r="B508" s="414" t="s">
        <v>3719</v>
      </c>
      <c r="C508" s="415">
        <v>0</v>
      </c>
    </row>
    <row r="509" spans="1:3" ht="23.25">
      <c r="A509" s="414">
        <v>95413</v>
      </c>
      <c r="B509" s="414" t="s">
        <v>1221</v>
      </c>
      <c r="C509" s="415">
        <v>180236.95</v>
      </c>
    </row>
    <row r="510" spans="1:3" ht="23.25">
      <c r="A510" s="414">
        <v>95415</v>
      </c>
      <c r="B510" s="414" t="s">
        <v>1222</v>
      </c>
      <c r="C510" s="415">
        <v>41865.03</v>
      </c>
    </row>
    <row r="511" spans="1:3" ht="23.25">
      <c r="A511" s="414">
        <v>95421</v>
      </c>
      <c r="B511" s="414" t="s">
        <v>1223</v>
      </c>
      <c r="C511" s="415">
        <v>20099.460000000003</v>
      </c>
    </row>
    <row r="512" spans="1:3" ht="23.25">
      <c r="A512" s="414">
        <v>95431</v>
      </c>
      <c r="B512" s="414" t="s">
        <v>1224</v>
      </c>
      <c r="C512" s="415">
        <v>114589.24</v>
      </c>
    </row>
    <row r="513" spans="1:3" ht="23.25">
      <c r="A513" s="414">
        <v>95501</v>
      </c>
      <c r="B513" s="414" t="s">
        <v>1225</v>
      </c>
      <c r="C513" s="415">
        <v>3813007.8399999994</v>
      </c>
    </row>
    <row r="514" spans="1:3" ht="23.25">
      <c r="A514" s="414">
        <v>95504</v>
      </c>
      <c r="B514" s="414" t="s">
        <v>1226</v>
      </c>
      <c r="C514" s="415">
        <v>24299.129999999997</v>
      </c>
    </row>
    <row r="515" spans="1:3" ht="23.25">
      <c r="A515" s="414">
        <v>95511</v>
      </c>
      <c r="B515" s="414" t="s">
        <v>1227</v>
      </c>
      <c r="C515" s="415">
        <v>810409.32</v>
      </c>
    </row>
    <row r="516" spans="1:3" ht="23.25">
      <c r="A516" s="414">
        <v>95513</v>
      </c>
      <c r="B516" s="414" t="s">
        <v>1228</v>
      </c>
      <c r="C516" s="415">
        <v>50709.65</v>
      </c>
    </row>
    <row r="517" spans="1:3" ht="23.25">
      <c r="A517" s="414">
        <v>95517</v>
      </c>
      <c r="B517" s="414" t="s">
        <v>1229</v>
      </c>
      <c r="C517" s="415">
        <v>13201.73</v>
      </c>
    </row>
    <row r="518" spans="1:3" ht="23.25">
      <c r="A518" s="414">
        <v>95601</v>
      </c>
      <c r="B518" s="414" t="s">
        <v>1230</v>
      </c>
      <c r="C518" s="415">
        <v>1722675.88</v>
      </c>
    </row>
    <row r="519" spans="1:3" ht="23.25">
      <c r="A519" s="414">
        <v>95611</v>
      </c>
      <c r="B519" s="414" t="s">
        <v>1231</v>
      </c>
      <c r="C519" s="415">
        <v>257273.72999999998</v>
      </c>
    </row>
    <row r="520" spans="1:3" ht="23.25">
      <c r="A520" s="414">
        <v>95617</v>
      </c>
      <c r="B520" s="414" t="s">
        <v>1232</v>
      </c>
      <c r="C520" s="415">
        <v>14696.9</v>
      </c>
    </row>
    <row r="521" spans="1:3" ht="23.25">
      <c r="A521" s="414">
        <v>95621</v>
      </c>
      <c r="B521" s="414" t="s">
        <v>1233</v>
      </c>
      <c r="C521" s="415">
        <v>369259.51999999996</v>
      </c>
    </row>
    <row r="522" spans="1:3" ht="23.25">
      <c r="A522" s="414">
        <v>95701</v>
      </c>
      <c r="B522" s="414" t="s">
        <v>1234</v>
      </c>
      <c r="C522" s="415">
        <v>867064.52</v>
      </c>
    </row>
    <row r="523" spans="1:3" ht="23.25">
      <c r="A523" s="414">
        <v>95711</v>
      </c>
      <c r="B523" s="414" t="s">
        <v>1235</v>
      </c>
      <c r="C523" s="415">
        <v>104668.79</v>
      </c>
    </row>
    <row r="524" spans="1:3" ht="23.25">
      <c r="A524" s="414">
        <v>95721</v>
      </c>
      <c r="B524" s="414" t="s">
        <v>1236</v>
      </c>
      <c r="C524" s="415">
        <v>48825.68</v>
      </c>
    </row>
    <row r="525" spans="1:3" ht="23.25">
      <c r="A525" s="414">
        <v>95733</v>
      </c>
      <c r="B525" s="414" t="s">
        <v>1237</v>
      </c>
      <c r="C525" s="415">
        <v>11208.2</v>
      </c>
    </row>
    <row r="526" spans="1:3" ht="23.25">
      <c r="A526" s="414">
        <v>95801</v>
      </c>
      <c r="B526" s="414" t="s">
        <v>1238</v>
      </c>
      <c r="C526" s="415">
        <v>711510.73999999987</v>
      </c>
    </row>
    <row r="527" spans="1:3" ht="23.25">
      <c r="A527" s="414">
        <v>95802</v>
      </c>
      <c r="B527" s="414" t="s">
        <v>1239</v>
      </c>
      <c r="C527" s="415">
        <v>8214.7199999999993</v>
      </c>
    </row>
    <row r="528" spans="1:3" ht="23.25">
      <c r="A528" s="414">
        <v>95804</v>
      </c>
      <c r="B528" s="414" t="s">
        <v>1240</v>
      </c>
      <c r="C528" s="415">
        <v>15976.57</v>
      </c>
    </row>
    <row r="529" spans="1:3" ht="23.25">
      <c r="A529" s="414">
        <v>95811</v>
      </c>
      <c r="B529" s="414" t="s">
        <v>1241</v>
      </c>
      <c r="C529" s="415">
        <v>383043.77999999997</v>
      </c>
    </row>
    <row r="530" spans="1:3" ht="23.25">
      <c r="A530" s="414">
        <v>95813</v>
      </c>
      <c r="B530" s="414" t="s">
        <v>1242</v>
      </c>
      <c r="C530" s="415">
        <v>44534.63</v>
      </c>
    </row>
    <row r="531" spans="1:3" ht="23.25">
      <c r="A531" s="414">
        <v>95821</v>
      </c>
      <c r="B531" s="414" t="s">
        <v>1243</v>
      </c>
      <c r="C531" s="415">
        <v>4099.68</v>
      </c>
    </row>
    <row r="532" spans="1:3" ht="23.25">
      <c r="A532" s="414">
        <v>95831</v>
      </c>
      <c r="B532" s="414" t="s">
        <v>1244</v>
      </c>
      <c r="C532" s="415">
        <v>20180.34</v>
      </c>
    </row>
    <row r="533" spans="1:3" ht="23.25">
      <c r="A533" s="414">
        <v>95841</v>
      </c>
      <c r="B533" s="414" t="s">
        <v>1245</v>
      </c>
      <c r="C533" s="415">
        <v>16358.94</v>
      </c>
    </row>
    <row r="534" spans="1:3" ht="23.25">
      <c r="A534" s="414">
        <v>95851</v>
      </c>
      <c r="B534" s="414" t="s">
        <v>1246</v>
      </c>
      <c r="C534" s="415">
        <v>79131.259999999995</v>
      </c>
    </row>
    <row r="535" spans="1:3" ht="23.25">
      <c r="A535" s="414">
        <v>95853</v>
      </c>
      <c r="B535" s="414" t="s">
        <v>1247</v>
      </c>
      <c r="C535" s="415">
        <v>22166.720000000001</v>
      </c>
    </row>
    <row r="536" spans="1:3" ht="23.25">
      <c r="A536" s="414">
        <v>95901</v>
      </c>
      <c r="B536" s="414" t="s">
        <v>1248</v>
      </c>
      <c r="C536" s="415">
        <v>1487252.2699999998</v>
      </c>
    </row>
    <row r="537" spans="1:3" ht="23.25">
      <c r="A537" s="414">
        <v>95908</v>
      </c>
      <c r="B537" s="414" t="s">
        <v>1249</v>
      </c>
      <c r="C537" s="415">
        <v>40649.06</v>
      </c>
    </row>
    <row r="538" spans="1:3" ht="23.25">
      <c r="A538" s="414">
        <v>95911</v>
      </c>
      <c r="B538" s="414" t="s">
        <v>1250</v>
      </c>
      <c r="C538" s="415">
        <v>384775.20999999996</v>
      </c>
    </row>
    <row r="539" spans="1:3" ht="23.25">
      <c r="A539" s="414">
        <v>95917</v>
      </c>
      <c r="B539" s="414" t="s">
        <v>1251</v>
      </c>
      <c r="C539" s="415">
        <v>21298.959999999999</v>
      </c>
    </row>
    <row r="540" spans="1:3" ht="23.25">
      <c r="A540" s="414">
        <v>95921</v>
      </c>
      <c r="B540" s="414" t="s">
        <v>1252</v>
      </c>
      <c r="C540" s="415">
        <v>35408.42</v>
      </c>
    </row>
    <row r="541" spans="1:3" ht="23.25">
      <c r="A541" s="414">
        <v>96001</v>
      </c>
      <c r="B541" s="414" t="s">
        <v>1253</v>
      </c>
      <c r="C541" s="415">
        <v>33539426.690000001</v>
      </c>
    </row>
    <row r="542" spans="1:3" ht="23.25">
      <c r="A542" s="414">
        <v>96003</v>
      </c>
      <c r="B542" s="414" t="s">
        <v>3730</v>
      </c>
      <c r="C542" s="415">
        <v>1393099.67</v>
      </c>
    </row>
    <row r="543" spans="1:3" ht="23.25">
      <c r="A543" s="414">
        <v>96004</v>
      </c>
      <c r="B543" s="414" t="s">
        <v>1255</v>
      </c>
      <c r="C543" s="415">
        <v>951693.04</v>
      </c>
    </row>
    <row r="544" spans="1:3" ht="23.25">
      <c r="A544" s="414">
        <v>96005</v>
      </c>
      <c r="B544" s="414" t="s">
        <v>1256</v>
      </c>
      <c r="C544" s="415">
        <v>1914086.35</v>
      </c>
    </row>
    <row r="545" spans="1:3" ht="23.25">
      <c r="A545" s="414">
        <v>96008</v>
      </c>
      <c r="B545" s="414" t="s">
        <v>1257</v>
      </c>
      <c r="C545" s="415">
        <v>3371198.9200000004</v>
      </c>
    </row>
    <row r="546" spans="1:3" ht="23.25">
      <c r="A546" s="414">
        <v>96009</v>
      </c>
      <c r="B546" s="414" t="s">
        <v>1258</v>
      </c>
      <c r="C546" s="415">
        <v>290433.46000000002</v>
      </c>
    </row>
    <row r="547" spans="1:3" ht="23.25">
      <c r="A547" s="414">
        <v>96011</v>
      </c>
      <c r="B547" s="414" t="s">
        <v>1259</v>
      </c>
      <c r="C547" s="415">
        <v>49435684.420000002</v>
      </c>
    </row>
    <row r="548" spans="1:3" ht="23.25">
      <c r="A548" s="414">
        <v>96012</v>
      </c>
      <c r="B548" s="414" t="s">
        <v>3731</v>
      </c>
      <c r="C548" s="415">
        <v>1637118.2</v>
      </c>
    </row>
    <row r="549" spans="1:3" ht="23.25">
      <c r="A549" s="414">
        <v>96018</v>
      </c>
      <c r="B549" s="414" t="s">
        <v>1261</v>
      </c>
      <c r="C549" s="415">
        <v>33105.14</v>
      </c>
    </row>
    <row r="550" spans="1:3" ht="23.25">
      <c r="A550" s="414">
        <v>96021</v>
      </c>
      <c r="B550" s="414" t="s">
        <v>1262</v>
      </c>
      <c r="C550" s="415">
        <v>510771.28</v>
      </c>
    </row>
    <row r="551" spans="1:3" ht="23.25">
      <c r="A551" s="414">
        <v>96031</v>
      </c>
      <c r="B551" s="414" t="s">
        <v>1263</v>
      </c>
      <c r="C551" s="415">
        <v>546935.68999999994</v>
      </c>
    </row>
    <row r="552" spans="1:3" ht="23.25">
      <c r="A552" s="414">
        <v>96041</v>
      </c>
      <c r="B552" s="414" t="s">
        <v>1264</v>
      </c>
      <c r="C552" s="415">
        <v>1277299.07</v>
      </c>
    </row>
    <row r="553" spans="1:3" ht="23.25">
      <c r="A553" s="414">
        <v>96051</v>
      </c>
      <c r="B553" s="414" t="s">
        <v>1265</v>
      </c>
      <c r="C553" s="415">
        <v>701352.92</v>
      </c>
    </row>
    <row r="554" spans="1:3" ht="23.25">
      <c r="A554" s="414">
        <v>96061</v>
      </c>
      <c r="B554" s="414" t="s">
        <v>1266</v>
      </c>
      <c r="C554" s="415">
        <v>233546.99000000002</v>
      </c>
    </row>
    <row r="555" spans="1:3" ht="23.25">
      <c r="A555" s="414">
        <v>96071</v>
      </c>
      <c r="B555" s="414" t="s">
        <v>1267</v>
      </c>
      <c r="C555" s="415">
        <v>976806.50999999989</v>
      </c>
    </row>
    <row r="556" spans="1:3" ht="23.25">
      <c r="A556" s="414">
        <v>96081</v>
      </c>
      <c r="B556" s="414" t="s">
        <v>1268</v>
      </c>
      <c r="C556" s="415">
        <v>416465.64999999997</v>
      </c>
    </row>
    <row r="557" spans="1:3" ht="23.25">
      <c r="A557" s="414">
        <v>96101</v>
      </c>
      <c r="B557" s="414" t="s">
        <v>1269</v>
      </c>
      <c r="C557" s="415">
        <v>541138.84</v>
      </c>
    </row>
    <row r="558" spans="1:3" ht="23.25">
      <c r="A558" s="414">
        <v>96102</v>
      </c>
      <c r="B558" s="414" t="s">
        <v>1270</v>
      </c>
      <c r="C558" s="415">
        <v>8084.38</v>
      </c>
    </row>
    <row r="559" spans="1:3" ht="23.25">
      <c r="A559" s="414">
        <v>96111</v>
      </c>
      <c r="B559" s="414" t="s">
        <v>1271</v>
      </c>
      <c r="C559" s="415">
        <v>138951.68999999997</v>
      </c>
    </row>
    <row r="560" spans="1:3" ht="23.25">
      <c r="A560" s="414">
        <v>96121</v>
      </c>
      <c r="B560" s="414" t="s">
        <v>1272</v>
      </c>
      <c r="C560" s="415">
        <v>11809.45</v>
      </c>
    </row>
    <row r="561" spans="1:3" ht="23.25">
      <c r="A561" s="414">
        <v>96201</v>
      </c>
      <c r="B561" s="414" t="s">
        <v>1273</v>
      </c>
      <c r="C561" s="415">
        <v>807648.0199999999</v>
      </c>
    </row>
    <row r="562" spans="1:3" ht="23.25">
      <c r="A562" s="414">
        <v>96204</v>
      </c>
      <c r="B562" s="414" t="s">
        <v>1274</v>
      </c>
      <c r="C562" s="415">
        <v>14581.37</v>
      </c>
    </row>
    <row r="563" spans="1:3" ht="23.25">
      <c r="A563" s="414">
        <v>96211</v>
      </c>
      <c r="B563" s="414" t="s">
        <v>1275</v>
      </c>
      <c r="C563" s="415">
        <v>24941.010000000002</v>
      </c>
    </row>
    <row r="564" spans="1:3" ht="23.25">
      <c r="A564" s="414">
        <v>96221</v>
      </c>
      <c r="B564" s="414" t="s">
        <v>1276</v>
      </c>
      <c r="C564" s="415">
        <v>140331.89000000001</v>
      </c>
    </row>
    <row r="565" spans="1:3" ht="23.25">
      <c r="A565" s="414">
        <v>96231</v>
      </c>
      <c r="B565" s="414" t="s">
        <v>1277</v>
      </c>
      <c r="C565" s="415">
        <v>74835.760000000009</v>
      </c>
    </row>
    <row r="566" spans="1:3" ht="23.25">
      <c r="A566" s="414">
        <v>96241</v>
      </c>
      <c r="B566" s="414" t="s">
        <v>1278</v>
      </c>
      <c r="C566" s="415">
        <v>33133.75</v>
      </c>
    </row>
    <row r="567" spans="1:3" ht="23.25">
      <c r="A567" s="414">
        <v>96251</v>
      </c>
      <c r="B567" s="414" t="s">
        <v>1279</v>
      </c>
      <c r="C567" s="415">
        <v>64775.1</v>
      </c>
    </row>
    <row r="568" spans="1:3" ht="23.25">
      <c r="A568" s="414">
        <v>96301</v>
      </c>
      <c r="B568" s="414" t="s">
        <v>1280</v>
      </c>
      <c r="C568" s="415">
        <v>3428289.9999999995</v>
      </c>
    </row>
    <row r="569" spans="1:3" ht="23.25">
      <c r="A569" s="414">
        <v>96302</v>
      </c>
      <c r="B569" s="414" t="s">
        <v>1281</v>
      </c>
      <c r="C569" s="415">
        <v>22405.93</v>
      </c>
    </row>
    <row r="570" spans="1:3" ht="23.25">
      <c r="A570" s="414">
        <v>96304</v>
      </c>
      <c r="B570" s="414" t="s">
        <v>1282</v>
      </c>
      <c r="C570" s="415">
        <v>37823.32</v>
      </c>
    </row>
    <row r="571" spans="1:3" ht="23.25">
      <c r="A571" s="414">
        <v>96305</v>
      </c>
      <c r="B571" s="414" t="s">
        <v>1283</v>
      </c>
      <c r="C571" s="415">
        <v>40727.230000000003</v>
      </c>
    </row>
    <row r="572" spans="1:3" ht="23.25">
      <c r="A572" s="414">
        <v>96310</v>
      </c>
      <c r="B572" s="414" t="s">
        <v>1284</v>
      </c>
      <c r="C572" s="415">
        <v>49566.2</v>
      </c>
    </row>
    <row r="573" spans="1:3" ht="23.25">
      <c r="A573" s="414">
        <v>96311</v>
      </c>
      <c r="B573" s="414" t="s">
        <v>1285</v>
      </c>
      <c r="C573" s="415">
        <v>943439.94</v>
      </c>
    </row>
    <row r="574" spans="1:3" ht="23.25">
      <c r="A574" s="414">
        <v>96312</v>
      </c>
      <c r="B574" s="414" t="s">
        <v>1286</v>
      </c>
      <c r="C574" s="415">
        <v>5679.07</v>
      </c>
    </row>
    <row r="575" spans="1:3" ht="23.25">
      <c r="A575" s="414">
        <v>96318</v>
      </c>
      <c r="B575" s="414" t="s">
        <v>1287</v>
      </c>
      <c r="C575" s="415">
        <v>1843927.34</v>
      </c>
    </row>
    <row r="576" spans="1:3" ht="23.25">
      <c r="A576" s="414">
        <v>96321</v>
      </c>
      <c r="B576" s="414" t="s">
        <v>1288</v>
      </c>
      <c r="C576" s="415">
        <v>29751</v>
      </c>
    </row>
    <row r="577" spans="1:3" ht="23.25">
      <c r="A577" s="414">
        <v>96331</v>
      </c>
      <c r="B577" s="414" t="s">
        <v>1289</v>
      </c>
      <c r="C577" s="415">
        <v>473642.17</v>
      </c>
    </row>
    <row r="578" spans="1:3" ht="23.25">
      <c r="A578" s="414">
        <v>96341</v>
      </c>
      <c r="B578" s="414" t="s">
        <v>1290</v>
      </c>
      <c r="C578" s="415">
        <v>47529.54</v>
      </c>
    </row>
    <row r="579" spans="1:3" ht="23.25">
      <c r="A579" s="414">
        <v>96351</v>
      </c>
      <c r="B579" s="414" t="s">
        <v>1291</v>
      </c>
      <c r="C579" s="415">
        <v>765575.99</v>
      </c>
    </row>
    <row r="580" spans="1:3" ht="23.25">
      <c r="A580" s="414">
        <v>96361</v>
      </c>
      <c r="B580" s="414" t="s">
        <v>1292</v>
      </c>
      <c r="C580" s="415">
        <v>35626.450000000004</v>
      </c>
    </row>
    <row r="581" spans="1:3" ht="23.25">
      <c r="A581" s="414">
        <v>96371</v>
      </c>
      <c r="B581" s="414" t="s">
        <v>1293</v>
      </c>
      <c r="C581" s="415">
        <v>108667.33</v>
      </c>
    </row>
    <row r="582" spans="1:3" ht="23.25">
      <c r="A582" s="414">
        <v>96381</v>
      </c>
      <c r="B582" s="414" t="s">
        <v>1294</v>
      </c>
      <c r="C582" s="415">
        <v>24007.41</v>
      </c>
    </row>
    <row r="583" spans="1:3" ht="23.25">
      <c r="A583" s="414">
        <v>96391</v>
      </c>
      <c r="B583" s="414" t="s">
        <v>1295</v>
      </c>
      <c r="C583" s="415">
        <v>115323.01999999999</v>
      </c>
    </row>
    <row r="584" spans="1:3" ht="23.25">
      <c r="A584" s="414">
        <v>96401</v>
      </c>
      <c r="B584" s="414" t="s">
        <v>1296</v>
      </c>
      <c r="C584" s="415">
        <v>3177511.01</v>
      </c>
    </row>
    <row r="585" spans="1:3" ht="23.25">
      <c r="A585" s="414">
        <v>96404</v>
      </c>
      <c r="B585" s="414" t="s">
        <v>1297</v>
      </c>
      <c r="C585" s="415">
        <v>97365.96</v>
      </c>
    </row>
    <row r="586" spans="1:3" ht="23.25">
      <c r="A586" s="414">
        <v>96405</v>
      </c>
      <c r="B586" s="414" t="s">
        <v>1298</v>
      </c>
      <c r="C586" s="415">
        <v>120920.35</v>
      </c>
    </row>
    <row r="587" spans="1:3" ht="23.25">
      <c r="A587" s="414">
        <v>96411</v>
      </c>
      <c r="B587" s="414" t="s">
        <v>1299</v>
      </c>
      <c r="C587" s="415">
        <v>44463.23</v>
      </c>
    </row>
    <row r="588" spans="1:3" ht="23.25">
      <c r="A588" s="414">
        <v>96421</v>
      </c>
      <c r="B588" s="414" t="s">
        <v>1300</v>
      </c>
      <c r="C588" s="415">
        <v>285986.14999999997</v>
      </c>
    </row>
    <row r="589" spans="1:3" ht="23.25">
      <c r="A589" s="414">
        <v>96431</v>
      </c>
      <c r="B589" s="414" t="s">
        <v>1301</v>
      </c>
      <c r="C589" s="415">
        <v>40890.490000000005</v>
      </c>
    </row>
    <row r="590" spans="1:3" ht="23.25">
      <c r="A590" s="414">
        <v>96441</v>
      </c>
      <c r="B590" s="414" t="s">
        <v>1302</v>
      </c>
      <c r="C590" s="415">
        <v>21584.17</v>
      </c>
    </row>
    <row r="591" spans="1:3" ht="23.25">
      <c r="A591" s="414">
        <v>96451</v>
      </c>
      <c r="B591" s="414" t="s">
        <v>1303</v>
      </c>
      <c r="C591" s="415">
        <v>10578.269999999999</v>
      </c>
    </row>
    <row r="592" spans="1:3" ht="23.25">
      <c r="A592" s="414">
        <v>96461</v>
      </c>
      <c r="B592" s="414" t="s">
        <v>1304</v>
      </c>
      <c r="C592" s="415">
        <v>107412.27</v>
      </c>
    </row>
    <row r="593" spans="1:3" ht="23.25">
      <c r="A593" s="414">
        <v>96501</v>
      </c>
      <c r="B593" s="414" t="s">
        <v>1305</v>
      </c>
      <c r="C593" s="415">
        <v>10616827.689999999</v>
      </c>
    </row>
    <row r="594" spans="1:3" ht="23.25">
      <c r="A594" s="414">
        <v>96502</v>
      </c>
      <c r="B594" s="414" t="s">
        <v>1306</v>
      </c>
      <c r="C594" s="415">
        <v>280741.27</v>
      </c>
    </row>
    <row r="595" spans="1:3" ht="23.25">
      <c r="A595" s="414">
        <v>96503</v>
      </c>
      <c r="B595" s="414" t="s">
        <v>1307</v>
      </c>
      <c r="C595" s="415">
        <v>496468.33999999997</v>
      </c>
    </row>
    <row r="596" spans="1:3" ht="23.25">
      <c r="A596" s="414">
        <v>96504</v>
      </c>
      <c r="B596" s="414" t="s">
        <v>1308</v>
      </c>
      <c r="C596" s="415">
        <v>287224.81</v>
      </c>
    </row>
    <row r="597" spans="1:3" ht="23.25">
      <c r="A597" s="414">
        <v>96507</v>
      </c>
      <c r="B597" s="414" t="s">
        <v>1309</v>
      </c>
      <c r="C597" s="415">
        <v>1839436.88</v>
      </c>
    </row>
    <row r="598" spans="1:3" ht="23.25">
      <c r="A598" s="414">
        <v>96508</v>
      </c>
      <c r="B598" s="414" t="s">
        <v>1310</v>
      </c>
      <c r="C598" s="415">
        <v>16374.25</v>
      </c>
    </row>
    <row r="599" spans="1:3" ht="23.25">
      <c r="A599" s="414">
        <v>96511</v>
      </c>
      <c r="B599" s="414" t="s">
        <v>1311</v>
      </c>
      <c r="C599" s="415">
        <v>410437.38000000006</v>
      </c>
    </row>
    <row r="600" spans="1:3" ht="23.25">
      <c r="A600" s="414">
        <v>96512</v>
      </c>
      <c r="B600" s="414" t="s">
        <v>1312</v>
      </c>
      <c r="C600" s="415">
        <v>117965.33</v>
      </c>
    </row>
    <row r="601" spans="1:3" ht="23.25">
      <c r="A601" s="414">
        <v>96519</v>
      </c>
      <c r="B601" s="414" t="s">
        <v>1619</v>
      </c>
      <c r="C601" s="415">
        <v>0</v>
      </c>
    </row>
    <row r="602" spans="1:3" ht="23.25">
      <c r="A602" s="414">
        <v>96521</v>
      </c>
      <c r="B602" s="414" t="s">
        <v>1313</v>
      </c>
      <c r="C602" s="415">
        <v>654647.65</v>
      </c>
    </row>
    <row r="603" spans="1:3" ht="23.25">
      <c r="A603" s="414">
        <v>96531</v>
      </c>
      <c r="B603" s="414" t="s">
        <v>1314</v>
      </c>
      <c r="C603" s="415">
        <v>5876873.6399999997</v>
      </c>
    </row>
    <row r="604" spans="1:3" ht="23.25">
      <c r="A604" s="414">
        <v>96541</v>
      </c>
      <c r="B604" s="414" t="s">
        <v>1315</v>
      </c>
      <c r="C604" s="415">
        <v>273212.43000000005</v>
      </c>
    </row>
    <row r="605" spans="1:3" ht="23.25">
      <c r="A605" s="414">
        <v>96601</v>
      </c>
      <c r="B605" s="414" t="s">
        <v>1316</v>
      </c>
      <c r="C605" s="415">
        <v>1194233.3400000001</v>
      </c>
    </row>
    <row r="606" spans="1:3" ht="23.25">
      <c r="A606" s="414">
        <v>96604</v>
      </c>
      <c r="B606" s="414" t="s">
        <v>1317</v>
      </c>
      <c r="C606" s="415">
        <v>6444.03</v>
      </c>
    </row>
    <row r="607" spans="1:3" ht="23.25">
      <c r="A607" s="414">
        <v>96611</v>
      </c>
      <c r="B607" s="414" t="s">
        <v>1318</v>
      </c>
      <c r="C607" s="415">
        <v>12079.12</v>
      </c>
    </row>
    <row r="608" spans="1:3" ht="23.25">
      <c r="A608" s="414">
        <v>96612</v>
      </c>
      <c r="B608" s="414" t="s">
        <v>1319</v>
      </c>
      <c r="C608" s="415">
        <v>43818.49</v>
      </c>
    </row>
    <row r="609" spans="1:3" ht="23.25">
      <c r="A609" s="414">
        <v>96621</v>
      </c>
      <c r="B609" s="414" t="s">
        <v>1320</v>
      </c>
      <c r="C609" s="415">
        <v>22342.94</v>
      </c>
    </row>
    <row r="610" spans="1:3" ht="23.25">
      <c r="A610" s="414">
        <v>96631</v>
      </c>
      <c r="B610" s="414" t="s">
        <v>1321</v>
      </c>
      <c r="C610" s="415">
        <v>19108.03</v>
      </c>
    </row>
    <row r="611" spans="1:3" ht="23.25">
      <c r="A611" s="414">
        <v>96641</v>
      </c>
      <c r="B611" s="414" t="s">
        <v>1322</v>
      </c>
      <c r="C611" s="415">
        <v>31429.339999999997</v>
      </c>
    </row>
    <row r="612" spans="1:3" ht="23.25">
      <c r="A612" s="414">
        <v>96651</v>
      </c>
      <c r="B612" s="414" t="s">
        <v>1323</v>
      </c>
      <c r="C612" s="415">
        <v>17459.810000000001</v>
      </c>
    </row>
    <row r="613" spans="1:3" ht="23.25">
      <c r="A613" s="414">
        <v>96661</v>
      </c>
      <c r="B613" s="414" t="s">
        <v>1324</v>
      </c>
      <c r="C613" s="415">
        <v>14294.259999999998</v>
      </c>
    </row>
    <row r="614" spans="1:3" ht="23.25">
      <c r="A614" s="414">
        <v>96671</v>
      </c>
      <c r="B614" s="414" t="s">
        <v>1325</v>
      </c>
      <c r="C614" s="415">
        <v>15272.52</v>
      </c>
    </row>
    <row r="615" spans="1:3" ht="23.25">
      <c r="A615" s="414">
        <v>96681</v>
      </c>
      <c r="B615" s="414" t="s">
        <v>1326</v>
      </c>
      <c r="C615" s="415">
        <v>21634</v>
      </c>
    </row>
    <row r="616" spans="1:3" ht="23.25">
      <c r="A616" s="414">
        <v>96701</v>
      </c>
      <c r="B616" s="414" t="s">
        <v>1327</v>
      </c>
      <c r="C616" s="415">
        <v>5463006.9000000004</v>
      </c>
    </row>
    <row r="617" spans="1:3" ht="23.25">
      <c r="A617" s="414">
        <v>96704</v>
      </c>
      <c r="B617" s="414" t="s">
        <v>1328</v>
      </c>
      <c r="C617" s="415">
        <v>189190.38</v>
      </c>
    </row>
    <row r="618" spans="1:3" ht="23.25">
      <c r="A618" s="414">
        <v>96708</v>
      </c>
      <c r="B618" s="414" t="s">
        <v>1329</v>
      </c>
      <c r="C618" s="415">
        <v>674807.51</v>
      </c>
    </row>
    <row r="619" spans="1:3" ht="23.25">
      <c r="A619" s="414">
        <v>96711</v>
      </c>
      <c r="B619" s="414" t="s">
        <v>1330</v>
      </c>
      <c r="C619" s="415">
        <v>2677164.41</v>
      </c>
    </row>
    <row r="620" spans="1:3" ht="23.25">
      <c r="A620" s="414">
        <v>96721</v>
      </c>
      <c r="B620" s="414" t="s">
        <v>1331</v>
      </c>
      <c r="C620" s="415">
        <v>171822.79</v>
      </c>
    </row>
    <row r="621" spans="1:3" ht="23.25">
      <c r="A621" s="414">
        <v>96731</v>
      </c>
      <c r="B621" s="414" t="s">
        <v>1332</v>
      </c>
      <c r="C621" s="415">
        <v>120837.66</v>
      </c>
    </row>
    <row r="622" spans="1:3" ht="23.25">
      <c r="A622" s="414">
        <v>96741</v>
      </c>
      <c r="B622" s="414" t="s">
        <v>1334</v>
      </c>
      <c r="C622" s="415">
        <v>60698.02</v>
      </c>
    </row>
    <row r="623" spans="1:3" ht="23.25">
      <c r="A623" s="414">
        <v>96751</v>
      </c>
      <c r="B623" s="414" t="s">
        <v>1335</v>
      </c>
      <c r="C623" s="415">
        <v>217087.21</v>
      </c>
    </row>
    <row r="624" spans="1:3" ht="23.25">
      <c r="A624" s="414">
        <v>96801</v>
      </c>
      <c r="B624" s="414" t="s">
        <v>1336</v>
      </c>
      <c r="C624" s="415">
        <v>5563511.0899999999</v>
      </c>
    </row>
    <row r="625" spans="1:3" ht="23.25">
      <c r="A625" s="414">
        <v>96804</v>
      </c>
      <c r="B625" s="414" t="s">
        <v>1337</v>
      </c>
      <c r="C625" s="415">
        <v>163105.97</v>
      </c>
    </row>
    <row r="626" spans="1:3" ht="23.25">
      <c r="A626" s="414">
        <v>96808</v>
      </c>
      <c r="B626" s="414" t="s">
        <v>1338</v>
      </c>
      <c r="C626" s="415">
        <v>958602.27</v>
      </c>
    </row>
    <row r="627" spans="1:3" ht="23.25">
      <c r="A627" s="414">
        <v>96811</v>
      </c>
      <c r="B627" s="414" t="s">
        <v>1339</v>
      </c>
      <c r="C627" s="415">
        <v>4082856.57</v>
      </c>
    </row>
    <row r="628" spans="1:3" ht="23.25">
      <c r="A628" s="414">
        <v>96821</v>
      </c>
      <c r="B628" s="414" t="s">
        <v>1340</v>
      </c>
      <c r="C628" s="415">
        <v>965594.23</v>
      </c>
    </row>
    <row r="629" spans="1:3" ht="23.25">
      <c r="A629" s="414">
        <v>96831</v>
      </c>
      <c r="B629" s="414" t="s">
        <v>1341</v>
      </c>
      <c r="C629" s="415">
        <v>642542.84</v>
      </c>
    </row>
    <row r="630" spans="1:3" ht="23.25">
      <c r="A630" s="414">
        <v>96901</v>
      </c>
      <c r="B630" s="414" t="s">
        <v>1342</v>
      </c>
      <c r="C630" s="415">
        <v>637266.42000000004</v>
      </c>
    </row>
    <row r="631" spans="1:3" ht="23.25">
      <c r="A631" s="414">
        <v>96911</v>
      </c>
      <c r="B631" s="414" t="s">
        <v>1343</v>
      </c>
      <c r="C631" s="415">
        <v>4026.95</v>
      </c>
    </row>
    <row r="632" spans="1:3" ht="23.25">
      <c r="A632" s="414">
        <v>96912</v>
      </c>
      <c r="B632" s="414" t="s">
        <v>1344</v>
      </c>
      <c r="C632" s="415">
        <v>48884.36</v>
      </c>
    </row>
    <row r="633" spans="1:3" ht="23.25">
      <c r="A633" s="414">
        <v>96918</v>
      </c>
      <c r="B633" s="414" t="s">
        <v>1345</v>
      </c>
      <c r="C633" s="415">
        <v>31789.86</v>
      </c>
    </row>
    <row r="634" spans="1:3" ht="23.25">
      <c r="A634" s="414">
        <v>97001</v>
      </c>
      <c r="B634" s="414" t="s">
        <v>1346</v>
      </c>
      <c r="C634" s="415">
        <v>1200689.69</v>
      </c>
    </row>
    <row r="635" spans="1:3" ht="23.25">
      <c r="A635" s="414">
        <v>97002</v>
      </c>
      <c r="B635" s="414" t="s">
        <v>1347</v>
      </c>
      <c r="C635" s="415">
        <v>275796.81</v>
      </c>
    </row>
    <row r="636" spans="1:3" ht="23.25">
      <c r="A636" s="414">
        <v>97004</v>
      </c>
      <c r="B636" s="414" t="s">
        <v>1348</v>
      </c>
      <c r="C636" s="415">
        <v>12933.45</v>
      </c>
    </row>
    <row r="637" spans="1:3" ht="23.25">
      <c r="A637" s="414">
        <v>97005</v>
      </c>
      <c r="B637" s="414" t="s">
        <v>1349</v>
      </c>
      <c r="C637" s="415">
        <v>23282.78</v>
      </c>
    </row>
    <row r="638" spans="1:3" ht="23.25">
      <c r="A638" s="414">
        <v>97008</v>
      </c>
      <c r="B638" s="414" t="s">
        <v>1350</v>
      </c>
      <c r="C638" s="415">
        <v>224894.29</v>
      </c>
    </row>
    <row r="639" spans="1:3" ht="23.25">
      <c r="A639" s="414">
        <v>97010</v>
      </c>
      <c r="B639" s="414" t="s">
        <v>1351</v>
      </c>
      <c r="C639" s="415">
        <v>0</v>
      </c>
    </row>
    <row r="640" spans="1:3" ht="23.25">
      <c r="A640" s="414">
        <v>97011</v>
      </c>
      <c r="B640" s="414" t="s">
        <v>1352</v>
      </c>
      <c r="C640" s="415">
        <v>1380151.48</v>
      </c>
    </row>
    <row r="641" spans="1:3" ht="23.25">
      <c r="A641" s="414">
        <v>97012</v>
      </c>
      <c r="B641" s="414" t="s">
        <v>1353</v>
      </c>
      <c r="C641" s="415">
        <v>23714.260000000002</v>
      </c>
    </row>
    <row r="642" spans="1:3" ht="23.25">
      <c r="A642" s="414">
        <v>97013</v>
      </c>
      <c r="B642" s="414" t="s">
        <v>1354</v>
      </c>
      <c r="C642" s="415">
        <v>18310.16</v>
      </c>
    </row>
    <row r="643" spans="1:3" ht="23.25">
      <c r="A643" s="414">
        <v>97015</v>
      </c>
      <c r="B643" s="414" t="s">
        <v>1355</v>
      </c>
      <c r="C643" s="415">
        <v>37329.53</v>
      </c>
    </row>
    <row r="644" spans="1:3" ht="23.25">
      <c r="A644" s="414">
        <v>97018</v>
      </c>
      <c r="B644" s="414" t="s">
        <v>1356</v>
      </c>
      <c r="C644" s="415">
        <v>8464.16</v>
      </c>
    </row>
    <row r="645" spans="1:3" ht="23.25">
      <c r="A645" s="414">
        <v>97101</v>
      </c>
      <c r="B645" s="414" t="s">
        <v>1357</v>
      </c>
      <c r="C645" s="415">
        <v>2116732.4299999997</v>
      </c>
    </row>
    <row r="646" spans="1:3" ht="23.25">
      <c r="A646" s="414">
        <v>97104</v>
      </c>
      <c r="B646" s="414" t="s">
        <v>1358</v>
      </c>
      <c r="C646" s="415">
        <v>53195.5</v>
      </c>
    </row>
    <row r="647" spans="1:3" ht="23.25">
      <c r="A647" s="414">
        <v>97111</v>
      </c>
      <c r="B647" s="414" t="s">
        <v>1359</v>
      </c>
      <c r="C647" s="415">
        <v>201826.72</v>
      </c>
    </row>
    <row r="648" spans="1:3" ht="23.25">
      <c r="A648" s="414">
        <v>97121</v>
      </c>
      <c r="B648" s="414" t="s">
        <v>1360</v>
      </c>
      <c r="C648" s="415">
        <v>141120.62</v>
      </c>
    </row>
    <row r="649" spans="1:3" ht="23.25">
      <c r="A649" s="414">
        <v>97131</v>
      </c>
      <c r="B649" s="414" t="s">
        <v>1361</v>
      </c>
      <c r="C649" s="415">
        <v>451873.81</v>
      </c>
    </row>
    <row r="650" spans="1:3" ht="23.25">
      <c r="A650" s="414">
        <v>97201</v>
      </c>
      <c r="B650" s="414" t="s">
        <v>1362</v>
      </c>
      <c r="C650" s="415">
        <v>417632.65000000008</v>
      </c>
    </row>
    <row r="651" spans="1:3" ht="23.25">
      <c r="A651" s="414">
        <v>97211</v>
      </c>
      <c r="B651" s="414" t="s">
        <v>1363</v>
      </c>
      <c r="C651" s="415">
        <v>118022.26000000001</v>
      </c>
    </row>
    <row r="652" spans="1:3" ht="23.25">
      <c r="A652" s="414">
        <v>97213</v>
      </c>
      <c r="B652" s="414" t="s">
        <v>1364</v>
      </c>
      <c r="C652" s="415">
        <v>28304.63</v>
      </c>
    </row>
    <row r="653" spans="1:3" ht="23.25">
      <c r="A653" s="414">
        <v>97217</v>
      </c>
      <c r="B653" s="414" t="s">
        <v>1365</v>
      </c>
      <c r="C653" s="415">
        <v>6621.11</v>
      </c>
    </row>
    <row r="654" spans="1:3" ht="23.25">
      <c r="A654" s="414">
        <v>97221</v>
      </c>
      <c r="B654" s="414" t="s">
        <v>1366</v>
      </c>
      <c r="C654" s="415">
        <v>9443.4399999999987</v>
      </c>
    </row>
    <row r="655" spans="1:3" ht="23.25">
      <c r="A655" s="414">
        <v>97301</v>
      </c>
      <c r="B655" s="414" t="s">
        <v>1367</v>
      </c>
      <c r="C655" s="415">
        <v>1906179.9200000002</v>
      </c>
    </row>
    <row r="656" spans="1:3" ht="23.25">
      <c r="A656" s="414">
        <v>97302</v>
      </c>
      <c r="B656" s="414" t="s">
        <v>3617</v>
      </c>
      <c r="C656" s="415">
        <v>42590.37</v>
      </c>
    </row>
    <row r="657" spans="1:3" ht="23.25">
      <c r="A657" s="414">
        <v>97304</v>
      </c>
      <c r="B657" s="414" t="s">
        <v>1368</v>
      </c>
      <c r="C657" s="415">
        <v>27631.98</v>
      </c>
    </row>
    <row r="658" spans="1:3" ht="23.25">
      <c r="A658" s="414">
        <v>97311</v>
      </c>
      <c r="B658" s="414" t="s">
        <v>1369</v>
      </c>
      <c r="C658" s="415">
        <v>636530.05000000005</v>
      </c>
    </row>
    <row r="659" spans="1:3" ht="23.25">
      <c r="A659" s="414">
        <v>97401</v>
      </c>
      <c r="B659" s="414" t="s">
        <v>1370</v>
      </c>
      <c r="C659" s="415">
        <v>5235543.67</v>
      </c>
    </row>
    <row r="660" spans="1:3" ht="23.25">
      <c r="A660" s="414">
        <v>97402</v>
      </c>
      <c r="B660" s="414" t="s">
        <v>1371</v>
      </c>
      <c r="C660" s="415">
        <v>38015.360000000001</v>
      </c>
    </row>
    <row r="661" spans="1:3" ht="23.25">
      <c r="A661" s="414">
        <v>97404</v>
      </c>
      <c r="B661" s="414" t="s">
        <v>1372</v>
      </c>
      <c r="C661" s="415">
        <v>162246.32999999999</v>
      </c>
    </row>
    <row r="662" spans="1:3" ht="23.25">
      <c r="A662" s="414">
        <v>97405</v>
      </c>
      <c r="B662" s="414" t="s">
        <v>1373</v>
      </c>
      <c r="C662" s="415">
        <v>91863.78</v>
      </c>
    </row>
    <row r="663" spans="1:3" ht="23.25">
      <c r="A663" s="414">
        <v>97408</v>
      </c>
      <c r="B663" s="414" t="s">
        <v>1374</v>
      </c>
      <c r="C663" s="415">
        <v>38723.67</v>
      </c>
    </row>
    <row r="664" spans="1:3" ht="23.25">
      <c r="A664" s="414">
        <v>97411</v>
      </c>
      <c r="B664" s="414" t="s">
        <v>1375</v>
      </c>
      <c r="C664" s="415">
        <v>4217238.6999999993</v>
      </c>
    </row>
    <row r="665" spans="1:3" ht="23.25">
      <c r="A665" s="414">
        <v>97412</v>
      </c>
      <c r="B665" s="414" t="s">
        <v>1376</v>
      </c>
      <c r="C665" s="415">
        <v>3300424.19</v>
      </c>
    </row>
    <row r="666" spans="1:3" ht="23.25">
      <c r="A666" s="414">
        <v>97413</v>
      </c>
      <c r="B666" s="414" t="s">
        <v>1377</v>
      </c>
      <c r="C666" s="415">
        <v>253890.41</v>
      </c>
    </row>
    <row r="667" spans="1:3" ht="23.25">
      <c r="A667" s="414">
        <v>97421</v>
      </c>
      <c r="B667" s="414" t="s">
        <v>1378</v>
      </c>
      <c r="C667" s="415">
        <v>299145.42</v>
      </c>
    </row>
    <row r="668" spans="1:3" ht="23.25">
      <c r="A668" s="414">
        <v>97423</v>
      </c>
      <c r="B668" s="414" t="s">
        <v>1379</v>
      </c>
      <c r="C668" s="415">
        <v>40958.14</v>
      </c>
    </row>
    <row r="669" spans="1:3" ht="23.25">
      <c r="A669" s="414">
        <v>97431</v>
      </c>
      <c r="B669" s="414" t="s">
        <v>1380</v>
      </c>
      <c r="C669" s="415">
        <v>69274.049999999988</v>
      </c>
    </row>
    <row r="670" spans="1:3" ht="23.25">
      <c r="A670" s="414">
        <v>97441</v>
      </c>
      <c r="B670" s="414" t="s">
        <v>1381</v>
      </c>
      <c r="C670" s="415">
        <v>33628.409999999996</v>
      </c>
    </row>
    <row r="671" spans="1:3" ht="23.25">
      <c r="A671" s="414">
        <v>97451</v>
      </c>
      <c r="B671" s="414" t="s">
        <v>1382</v>
      </c>
      <c r="C671" s="415">
        <v>452375.73000000004</v>
      </c>
    </row>
    <row r="672" spans="1:3" ht="23.25">
      <c r="A672" s="414">
        <v>97461</v>
      </c>
      <c r="B672" s="414" t="s">
        <v>1383</v>
      </c>
      <c r="C672" s="415">
        <v>371567.87000000005</v>
      </c>
    </row>
    <row r="673" spans="1:3" ht="23.25">
      <c r="A673" s="414">
        <v>97463</v>
      </c>
      <c r="B673" s="414" t="s">
        <v>1384</v>
      </c>
      <c r="C673" s="415">
        <v>0</v>
      </c>
    </row>
    <row r="674" spans="1:3" ht="23.25">
      <c r="A674" s="414">
        <v>97471</v>
      </c>
      <c r="B674" s="414" t="s">
        <v>1385</v>
      </c>
      <c r="C674" s="415">
        <v>18383.64</v>
      </c>
    </row>
    <row r="675" spans="1:3" ht="23.25">
      <c r="A675" s="414">
        <v>97481</v>
      </c>
      <c r="B675" s="414" t="s">
        <v>1386</v>
      </c>
      <c r="C675" s="415">
        <v>2620.15</v>
      </c>
    </row>
    <row r="676" spans="1:3" ht="23.25">
      <c r="A676" s="414">
        <v>97491</v>
      </c>
      <c r="B676" s="414" t="s">
        <v>3720</v>
      </c>
      <c r="C676" s="415">
        <v>0</v>
      </c>
    </row>
    <row r="677" spans="1:3" ht="23.25">
      <c r="A677" s="414">
        <v>97501</v>
      </c>
      <c r="B677" s="414" t="s">
        <v>1388</v>
      </c>
      <c r="C677" s="415">
        <v>932265.6</v>
      </c>
    </row>
    <row r="678" spans="1:3" ht="23.25">
      <c r="A678" s="414">
        <v>97511</v>
      </c>
      <c r="B678" s="414" t="s">
        <v>1389</v>
      </c>
      <c r="C678" s="415">
        <v>187266.74</v>
      </c>
    </row>
    <row r="679" spans="1:3" ht="23.25">
      <c r="A679" s="414">
        <v>97517</v>
      </c>
      <c r="B679" s="414" t="s">
        <v>3740</v>
      </c>
      <c r="C679" s="415">
        <v>1437.14</v>
      </c>
    </row>
    <row r="680" spans="1:3" ht="23.25">
      <c r="A680" s="414">
        <v>97521</v>
      </c>
      <c r="B680" s="414" t="s">
        <v>1390</v>
      </c>
      <c r="C680" s="415">
        <v>86912.21</v>
      </c>
    </row>
    <row r="681" spans="1:3" ht="23.25">
      <c r="A681" s="414">
        <v>97527</v>
      </c>
      <c r="B681" s="414" t="s">
        <v>1641</v>
      </c>
      <c r="C681" s="415">
        <v>7557.7999999999993</v>
      </c>
    </row>
    <row r="682" spans="1:3" ht="23.25">
      <c r="A682" s="414">
        <v>97531</v>
      </c>
      <c r="B682" s="414" t="s">
        <v>1391</v>
      </c>
      <c r="C682" s="415">
        <v>50820.24</v>
      </c>
    </row>
    <row r="683" spans="1:3" ht="23.25">
      <c r="A683" s="414">
        <v>97601</v>
      </c>
      <c r="B683" s="414" t="s">
        <v>1392</v>
      </c>
      <c r="C683" s="415">
        <v>3830373.25</v>
      </c>
    </row>
    <row r="684" spans="1:3" ht="23.25">
      <c r="A684" s="414">
        <v>97607</v>
      </c>
      <c r="B684" s="414" t="s">
        <v>1393</v>
      </c>
      <c r="C684" s="415">
        <v>22909.31</v>
      </c>
    </row>
    <row r="685" spans="1:3" ht="23.25">
      <c r="A685" s="414">
        <v>97611</v>
      </c>
      <c r="B685" s="414" t="s">
        <v>1394</v>
      </c>
      <c r="C685" s="415">
        <v>1802055.3699999999</v>
      </c>
    </row>
    <row r="686" spans="1:3" ht="23.25">
      <c r="A686" s="414">
        <v>97613</v>
      </c>
      <c r="B686" s="414" t="s">
        <v>1395</v>
      </c>
      <c r="C686" s="415">
        <v>93124.2</v>
      </c>
    </row>
    <row r="687" spans="1:3" ht="23.25">
      <c r="A687" s="414">
        <v>97621</v>
      </c>
      <c r="B687" s="414" t="s">
        <v>1396</v>
      </c>
      <c r="C687" s="415">
        <v>290044.55</v>
      </c>
    </row>
    <row r="688" spans="1:3" ht="23.25">
      <c r="A688" s="414">
        <v>97623</v>
      </c>
      <c r="B688" s="414" t="s">
        <v>1397</v>
      </c>
      <c r="C688" s="415">
        <v>20698.97</v>
      </c>
    </row>
    <row r="689" spans="1:3" ht="23.25">
      <c r="A689" s="414">
        <v>97627</v>
      </c>
      <c r="B689" s="414" t="s">
        <v>1398</v>
      </c>
      <c r="C689" s="415">
        <v>6732.74</v>
      </c>
    </row>
    <row r="690" spans="1:3" ht="23.25">
      <c r="A690" s="414">
        <v>97631</v>
      </c>
      <c r="B690" s="414" t="s">
        <v>1399</v>
      </c>
      <c r="C690" s="415">
        <v>145307.56</v>
      </c>
    </row>
    <row r="691" spans="1:3" ht="23.25">
      <c r="A691" s="414">
        <v>97637</v>
      </c>
      <c r="B691" s="414" t="s">
        <v>1400</v>
      </c>
      <c r="C691" s="415">
        <v>456.3</v>
      </c>
    </row>
    <row r="692" spans="1:3" ht="23.25">
      <c r="A692" s="414">
        <v>97641</v>
      </c>
      <c r="B692" s="414" t="s">
        <v>1401</v>
      </c>
      <c r="C692" s="415">
        <v>64166.200000000004</v>
      </c>
    </row>
    <row r="693" spans="1:3" ht="23.25">
      <c r="A693" s="414">
        <v>97651</v>
      </c>
      <c r="B693" s="414" t="s">
        <v>1402</v>
      </c>
      <c r="C693" s="415">
        <v>349866.24000000005</v>
      </c>
    </row>
    <row r="694" spans="1:3" ht="23.25">
      <c r="A694" s="414">
        <v>97661</v>
      </c>
      <c r="B694" s="414" t="s">
        <v>1403</v>
      </c>
      <c r="C694" s="415">
        <v>35483.89</v>
      </c>
    </row>
    <row r="695" spans="1:3" ht="23.25">
      <c r="A695" s="414">
        <v>97701</v>
      </c>
      <c r="B695" s="414" t="s">
        <v>1404</v>
      </c>
      <c r="C695" s="415">
        <v>1778148.31</v>
      </c>
    </row>
    <row r="696" spans="1:3" ht="23.25">
      <c r="A696" s="414">
        <v>97705</v>
      </c>
      <c r="B696" s="414" t="s">
        <v>1405</v>
      </c>
      <c r="C696" s="415">
        <v>31593.86</v>
      </c>
    </row>
    <row r="697" spans="1:3" ht="23.25">
      <c r="A697" s="414">
        <v>97711</v>
      </c>
      <c r="B697" s="414" t="s">
        <v>1406</v>
      </c>
      <c r="C697" s="415">
        <v>635249.56999999995</v>
      </c>
    </row>
    <row r="698" spans="1:3" ht="23.25">
      <c r="A698" s="414">
        <v>97713</v>
      </c>
      <c r="B698" s="414" t="s">
        <v>1407</v>
      </c>
      <c r="C698" s="415">
        <v>42981.05</v>
      </c>
    </row>
    <row r="699" spans="1:3" ht="23.25">
      <c r="A699" s="414">
        <v>97717</v>
      </c>
      <c r="B699" s="414" t="s">
        <v>1408</v>
      </c>
      <c r="C699" s="415">
        <v>11236.33</v>
      </c>
    </row>
    <row r="700" spans="1:3" ht="23.25">
      <c r="A700" s="414">
        <v>97721</v>
      </c>
      <c r="B700" s="414" t="s">
        <v>1409</v>
      </c>
      <c r="C700" s="415">
        <v>346485.58000000007</v>
      </c>
    </row>
    <row r="701" spans="1:3" ht="23.25">
      <c r="A701" s="414">
        <v>97727</v>
      </c>
      <c r="B701" s="414" t="s">
        <v>1410</v>
      </c>
      <c r="C701" s="415">
        <v>19007.28</v>
      </c>
    </row>
    <row r="702" spans="1:3" ht="23.25">
      <c r="A702" s="414">
        <v>97731</v>
      </c>
      <c r="B702" s="414" t="s">
        <v>1411</v>
      </c>
      <c r="C702" s="415">
        <v>28725.59</v>
      </c>
    </row>
    <row r="703" spans="1:3" ht="23.25">
      <c r="A703" s="414">
        <v>97801</v>
      </c>
      <c r="B703" s="414" t="s">
        <v>1412</v>
      </c>
      <c r="C703" s="415">
        <v>4860328.7</v>
      </c>
    </row>
    <row r="704" spans="1:3" ht="23.25">
      <c r="A704" s="414">
        <v>97802</v>
      </c>
      <c r="B704" s="414" t="s">
        <v>1413</v>
      </c>
      <c r="C704" s="415">
        <v>115528.22</v>
      </c>
    </row>
    <row r="705" spans="1:3" ht="23.25">
      <c r="A705" s="414">
        <v>97803</v>
      </c>
      <c r="B705" s="414" t="s">
        <v>1414</v>
      </c>
      <c r="C705" s="415">
        <v>62764.63</v>
      </c>
    </row>
    <row r="706" spans="1:3" ht="23.25">
      <c r="A706" s="414">
        <v>97805</v>
      </c>
      <c r="B706" s="414" t="s">
        <v>1415</v>
      </c>
      <c r="C706" s="415">
        <v>58567.1</v>
      </c>
    </row>
    <row r="707" spans="1:3" ht="23.25">
      <c r="A707" s="414">
        <v>97811</v>
      </c>
      <c r="B707" s="414" t="s">
        <v>1416</v>
      </c>
      <c r="C707" s="415">
        <v>1647851.33</v>
      </c>
    </row>
    <row r="708" spans="1:3" ht="23.25">
      <c r="A708" s="414">
        <v>97817</v>
      </c>
      <c r="B708" s="414" t="s">
        <v>1417</v>
      </c>
      <c r="C708" s="415">
        <v>20315.830000000002</v>
      </c>
    </row>
    <row r="709" spans="1:3" ht="23.25">
      <c r="A709" s="414">
        <v>97818</v>
      </c>
      <c r="B709" s="414" t="s">
        <v>1418</v>
      </c>
      <c r="C709" s="415">
        <v>16631.78</v>
      </c>
    </row>
    <row r="710" spans="1:3" ht="23.25">
      <c r="A710" s="414">
        <v>97821</v>
      </c>
      <c r="B710" s="414" t="s">
        <v>1419</v>
      </c>
      <c r="C710" s="415">
        <v>90604.88</v>
      </c>
    </row>
    <row r="711" spans="1:3" ht="23.25">
      <c r="A711" s="414">
        <v>97823</v>
      </c>
      <c r="B711" s="414" t="s">
        <v>1420</v>
      </c>
      <c r="C711" s="415">
        <v>17106.86</v>
      </c>
    </row>
    <row r="712" spans="1:3" ht="23.25">
      <c r="A712" s="414">
        <v>97831</v>
      </c>
      <c r="B712" s="414" t="s">
        <v>1421</v>
      </c>
      <c r="C712" s="415">
        <v>142213.27000000002</v>
      </c>
    </row>
    <row r="713" spans="1:3" ht="23.25">
      <c r="A713" s="414">
        <v>97837</v>
      </c>
      <c r="B713" s="414" t="s">
        <v>1422</v>
      </c>
      <c r="C713" s="415">
        <v>8088.16</v>
      </c>
    </row>
    <row r="714" spans="1:3" ht="23.25">
      <c r="A714" s="414">
        <v>97840</v>
      </c>
      <c r="B714" s="414" t="s">
        <v>1423</v>
      </c>
      <c r="C714" s="415">
        <v>161834.76</v>
      </c>
    </row>
    <row r="715" spans="1:3" ht="23.25">
      <c r="A715" s="414">
        <v>97841</v>
      </c>
      <c r="B715" s="414" t="s">
        <v>1424</v>
      </c>
      <c r="C715" s="415">
        <v>12575.65</v>
      </c>
    </row>
    <row r="716" spans="1:3" ht="23.25">
      <c r="A716" s="414">
        <v>97847</v>
      </c>
      <c r="B716" s="414" t="s">
        <v>1425</v>
      </c>
      <c r="C716" s="415">
        <v>3701.04</v>
      </c>
    </row>
    <row r="717" spans="1:3" ht="23.25">
      <c r="A717" s="414">
        <v>97851</v>
      </c>
      <c r="B717" s="414" t="s">
        <v>1426</v>
      </c>
      <c r="C717" s="415">
        <v>175045.41999999998</v>
      </c>
    </row>
    <row r="718" spans="1:3" ht="23.25">
      <c r="A718" s="414">
        <v>97853</v>
      </c>
      <c r="B718" s="414" t="s">
        <v>1427</v>
      </c>
      <c r="C718" s="415">
        <v>56136.37</v>
      </c>
    </row>
    <row r="719" spans="1:3" ht="23.25">
      <c r="A719" s="414">
        <v>97861</v>
      </c>
      <c r="B719" s="414" t="s">
        <v>1428</v>
      </c>
      <c r="C719" s="415">
        <v>44557.920000000006</v>
      </c>
    </row>
    <row r="720" spans="1:3" ht="23.25">
      <c r="A720" s="414">
        <v>97871</v>
      </c>
      <c r="B720" s="414" t="s">
        <v>1429</v>
      </c>
      <c r="C720" s="415">
        <v>381018.76</v>
      </c>
    </row>
    <row r="721" spans="1:3" ht="23.25">
      <c r="A721" s="414">
        <v>97877</v>
      </c>
      <c r="B721" s="414" t="s">
        <v>1430</v>
      </c>
      <c r="C721" s="415">
        <v>7865.3</v>
      </c>
    </row>
    <row r="722" spans="1:3" ht="23.25">
      <c r="A722" s="414">
        <v>97901</v>
      </c>
      <c r="B722" s="414" t="s">
        <v>1431</v>
      </c>
      <c r="C722" s="415">
        <v>2835494.7299999995</v>
      </c>
    </row>
    <row r="723" spans="1:3" ht="23.25">
      <c r="A723" s="414">
        <v>97911</v>
      </c>
      <c r="B723" s="414" t="s">
        <v>1432</v>
      </c>
      <c r="C723" s="415">
        <v>899537.74</v>
      </c>
    </row>
    <row r="724" spans="1:3" ht="23.25">
      <c r="A724" s="414">
        <v>97913</v>
      </c>
      <c r="B724" s="414" t="s">
        <v>1433</v>
      </c>
      <c r="C724" s="415">
        <v>38989.519999999997</v>
      </c>
    </row>
    <row r="725" spans="1:3" ht="23.25">
      <c r="A725" s="414">
        <v>97917</v>
      </c>
      <c r="B725" s="414" t="s">
        <v>1434</v>
      </c>
      <c r="C725" s="415">
        <v>23626.58</v>
      </c>
    </row>
    <row r="726" spans="1:3" ht="23.25">
      <c r="A726" s="414">
        <v>97921</v>
      </c>
      <c r="B726" s="414" t="s">
        <v>1435</v>
      </c>
      <c r="C726" s="415">
        <v>158750.93</v>
      </c>
    </row>
    <row r="727" spans="1:3" ht="23.25">
      <c r="A727" s="414">
        <v>97931</v>
      </c>
      <c r="B727" s="414" t="s">
        <v>1436</v>
      </c>
      <c r="C727" s="415">
        <v>51749.599999999999</v>
      </c>
    </row>
    <row r="728" spans="1:3" ht="23.25">
      <c r="A728" s="414">
        <v>97941</v>
      </c>
      <c r="B728" s="414" t="s">
        <v>1437</v>
      </c>
      <c r="C728" s="415">
        <v>146239.18</v>
      </c>
    </row>
    <row r="729" spans="1:3" ht="23.25">
      <c r="A729" s="414">
        <v>97947</v>
      </c>
      <c r="B729" s="414" t="s">
        <v>1438</v>
      </c>
      <c r="C729" s="415">
        <v>20131.05</v>
      </c>
    </row>
    <row r="730" spans="1:3" ht="23.25">
      <c r="A730" s="414">
        <v>97948</v>
      </c>
      <c r="B730" s="414" t="s">
        <v>1439</v>
      </c>
      <c r="C730" s="415">
        <v>16132.03</v>
      </c>
    </row>
    <row r="731" spans="1:3" ht="23.25">
      <c r="A731" s="414">
        <v>97951</v>
      </c>
      <c r="B731" s="414" t="s">
        <v>1440</v>
      </c>
      <c r="C731" s="415">
        <v>867812.84</v>
      </c>
    </row>
    <row r="732" spans="1:3" ht="23.25">
      <c r="A732" s="414">
        <v>97957</v>
      </c>
      <c r="B732" s="414" t="s">
        <v>1441</v>
      </c>
      <c r="C732" s="415">
        <v>18972.45</v>
      </c>
    </row>
    <row r="733" spans="1:3" ht="23.25">
      <c r="A733" s="414">
        <v>98001</v>
      </c>
      <c r="B733" s="414" t="s">
        <v>1442</v>
      </c>
      <c r="C733" s="415">
        <v>4028170.35</v>
      </c>
    </row>
    <row r="734" spans="1:3" ht="23.25">
      <c r="A734" s="414">
        <v>98002</v>
      </c>
      <c r="B734" s="414" t="s">
        <v>1443</v>
      </c>
      <c r="C734" s="415">
        <v>3498.98</v>
      </c>
    </row>
    <row r="735" spans="1:3" ht="23.25">
      <c r="A735" s="414">
        <v>98003</v>
      </c>
      <c r="B735" s="414" t="s">
        <v>1444</v>
      </c>
      <c r="C735" s="415">
        <v>93380.58</v>
      </c>
    </row>
    <row r="736" spans="1:3" ht="23.25">
      <c r="A736" s="414">
        <v>98004</v>
      </c>
      <c r="B736" s="414" t="s">
        <v>1445</v>
      </c>
      <c r="C736" s="415">
        <v>177230.67</v>
      </c>
    </row>
    <row r="737" spans="1:3" ht="23.25">
      <c r="A737" s="414">
        <v>98008</v>
      </c>
      <c r="B737" s="414" t="s">
        <v>1446</v>
      </c>
      <c r="C737" s="415">
        <v>5294.39</v>
      </c>
    </row>
    <row r="738" spans="1:3" ht="23.25">
      <c r="A738" s="414">
        <v>98011</v>
      </c>
      <c r="B738" s="414" t="s">
        <v>1447</v>
      </c>
      <c r="C738" s="415">
        <v>2212153.73</v>
      </c>
    </row>
    <row r="739" spans="1:3" ht="23.25">
      <c r="A739" s="414">
        <v>98013</v>
      </c>
      <c r="B739" s="414" t="s">
        <v>1448</v>
      </c>
      <c r="C739" s="415">
        <v>102944.07</v>
      </c>
    </row>
    <row r="740" spans="1:3" ht="23.25">
      <c r="A740" s="414">
        <v>98021</v>
      </c>
      <c r="B740" s="414" t="s">
        <v>1449</v>
      </c>
      <c r="C740" s="415">
        <v>41968.74</v>
      </c>
    </row>
    <row r="741" spans="1:3" ht="23.25">
      <c r="A741" s="414">
        <v>98023</v>
      </c>
      <c r="B741" s="414" t="s">
        <v>1450</v>
      </c>
      <c r="C741" s="415">
        <v>4024.92</v>
      </c>
    </row>
    <row r="742" spans="1:3" ht="23.25">
      <c r="A742" s="414">
        <v>98031</v>
      </c>
      <c r="B742" s="414" t="s">
        <v>1451</v>
      </c>
      <c r="C742" s="415">
        <v>115121.04000000001</v>
      </c>
    </row>
    <row r="743" spans="1:3" ht="23.25">
      <c r="A743" s="414">
        <v>98041</v>
      </c>
      <c r="B743" s="414" t="s">
        <v>1452</v>
      </c>
      <c r="C743" s="415">
        <v>153608.68</v>
      </c>
    </row>
    <row r="744" spans="1:3" ht="23.25">
      <c r="A744" s="414">
        <v>98051</v>
      </c>
      <c r="B744" s="414" t="s">
        <v>1453</v>
      </c>
      <c r="C744" s="415">
        <v>204138.96999999997</v>
      </c>
    </row>
    <row r="745" spans="1:3" ht="23.25">
      <c r="A745" s="414">
        <v>98061</v>
      </c>
      <c r="B745" s="414" t="s">
        <v>1454</v>
      </c>
      <c r="C745" s="415">
        <v>85750.12</v>
      </c>
    </row>
    <row r="746" spans="1:3" ht="23.25">
      <c r="A746" s="414">
        <v>98071</v>
      </c>
      <c r="B746" s="414" t="s">
        <v>1455</v>
      </c>
      <c r="C746" s="415">
        <v>53136.810000000005</v>
      </c>
    </row>
    <row r="747" spans="1:3" ht="23.25">
      <c r="A747" s="414">
        <v>98081</v>
      </c>
      <c r="B747" s="414" t="s">
        <v>1456</v>
      </c>
      <c r="C747" s="415">
        <v>11540.77</v>
      </c>
    </row>
    <row r="748" spans="1:3" ht="23.25">
      <c r="A748" s="414">
        <v>98091</v>
      </c>
      <c r="B748" s="414" t="s">
        <v>1457</v>
      </c>
      <c r="C748" s="415">
        <v>40475.829999999994</v>
      </c>
    </row>
    <row r="749" spans="1:3" ht="23.25">
      <c r="A749" s="414">
        <v>98101</v>
      </c>
      <c r="B749" s="414" t="s">
        <v>1458</v>
      </c>
      <c r="C749" s="415">
        <v>1941637.76</v>
      </c>
    </row>
    <row r="750" spans="1:3" ht="23.25">
      <c r="A750" s="414">
        <v>98102</v>
      </c>
      <c r="B750" s="414" t="s">
        <v>1459</v>
      </c>
      <c r="C750" s="415">
        <v>121275.43</v>
      </c>
    </row>
    <row r="751" spans="1:3" ht="23.25">
      <c r="A751" s="414">
        <v>98103</v>
      </c>
      <c r="B751" s="414" t="s">
        <v>3732</v>
      </c>
      <c r="C751" s="415">
        <v>364964.52</v>
      </c>
    </row>
    <row r="752" spans="1:3" ht="23.25">
      <c r="A752" s="414">
        <v>98107</v>
      </c>
      <c r="B752" s="414" t="s">
        <v>1461</v>
      </c>
      <c r="C752" s="415">
        <v>21484.05</v>
      </c>
    </row>
    <row r="753" spans="1:3" ht="23.25">
      <c r="A753" s="414">
        <v>98109</v>
      </c>
      <c r="B753" s="414" t="s">
        <v>1462</v>
      </c>
      <c r="C753" s="415">
        <v>129819.18</v>
      </c>
    </row>
    <row r="754" spans="1:3" ht="23.25">
      <c r="A754" s="414">
        <v>98111</v>
      </c>
      <c r="B754" s="414" t="s">
        <v>1463</v>
      </c>
      <c r="C754" s="415">
        <v>682357.61</v>
      </c>
    </row>
    <row r="755" spans="1:3" ht="23.25">
      <c r="A755" s="414">
        <v>98113</v>
      </c>
      <c r="B755" s="414" t="s">
        <v>1464</v>
      </c>
      <c r="C755" s="415">
        <v>33444.19</v>
      </c>
    </row>
    <row r="756" spans="1:3" ht="23.25">
      <c r="A756" s="414">
        <v>98121</v>
      </c>
      <c r="B756" s="414" t="s">
        <v>1465</v>
      </c>
      <c r="C756" s="415">
        <v>160224.01999999999</v>
      </c>
    </row>
    <row r="757" spans="1:3" ht="23.25">
      <c r="A757" s="414">
        <v>98131</v>
      </c>
      <c r="B757" s="414" t="s">
        <v>1466</v>
      </c>
      <c r="C757" s="415">
        <v>192921.94999999998</v>
      </c>
    </row>
    <row r="758" spans="1:3" ht="23.25">
      <c r="A758" s="414">
        <v>98141</v>
      </c>
      <c r="B758" s="414" t="s">
        <v>1467</v>
      </c>
      <c r="C758" s="415">
        <v>184635.1</v>
      </c>
    </row>
    <row r="759" spans="1:3" ht="23.25">
      <c r="A759" s="414">
        <v>98147</v>
      </c>
      <c r="B759" s="414" t="s">
        <v>1468</v>
      </c>
      <c r="C759" s="415">
        <v>14514.84</v>
      </c>
    </row>
    <row r="760" spans="1:3" ht="23.25">
      <c r="A760" s="414">
        <v>98161</v>
      </c>
      <c r="B760" s="414" t="s">
        <v>1469</v>
      </c>
      <c r="C760" s="415">
        <v>7303.51</v>
      </c>
    </row>
    <row r="761" spans="1:3" ht="23.25">
      <c r="A761" s="414">
        <v>98201</v>
      </c>
      <c r="B761" s="414" t="s">
        <v>1470</v>
      </c>
      <c r="C761" s="415">
        <v>2198039.87</v>
      </c>
    </row>
    <row r="762" spans="1:3" ht="23.25">
      <c r="A762" s="414">
        <v>98205</v>
      </c>
      <c r="B762" s="414" t="s">
        <v>1471</v>
      </c>
      <c r="C762" s="415">
        <v>25245.11</v>
      </c>
    </row>
    <row r="763" spans="1:3" ht="23.25">
      <c r="A763" s="414">
        <v>98211</v>
      </c>
      <c r="B763" s="414" t="s">
        <v>1472</v>
      </c>
      <c r="C763" s="415">
        <v>607013.65</v>
      </c>
    </row>
    <row r="764" spans="1:3" ht="23.25">
      <c r="A764" s="414">
        <v>98218</v>
      </c>
      <c r="B764" s="414" t="s">
        <v>1473</v>
      </c>
      <c r="C764" s="415">
        <v>13504.56</v>
      </c>
    </row>
    <row r="765" spans="1:3" ht="23.25">
      <c r="A765" s="414">
        <v>98221</v>
      </c>
      <c r="B765" s="414" t="s">
        <v>1474</v>
      </c>
      <c r="C765" s="415">
        <v>15733.52</v>
      </c>
    </row>
    <row r="766" spans="1:3" ht="23.25">
      <c r="A766" s="414">
        <v>98231</v>
      </c>
      <c r="B766" s="414" t="s">
        <v>1475</v>
      </c>
      <c r="C766" s="415">
        <v>25113.11</v>
      </c>
    </row>
    <row r="767" spans="1:3" ht="23.25">
      <c r="A767" s="414">
        <v>98237</v>
      </c>
      <c r="B767" s="414" t="s">
        <v>1476</v>
      </c>
      <c r="C767" s="415">
        <v>5095.92</v>
      </c>
    </row>
    <row r="768" spans="1:3" ht="23.25">
      <c r="A768" s="414">
        <v>98241</v>
      </c>
      <c r="B768" s="414" t="s">
        <v>1477</v>
      </c>
      <c r="C768" s="415">
        <v>6104.34</v>
      </c>
    </row>
    <row r="769" spans="1:3" ht="23.25">
      <c r="A769" s="414">
        <v>98251</v>
      </c>
      <c r="B769" s="414" t="s">
        <v>1478</v>
      </c>
      <c r="C769" s="415">
        <v>3717.36</v>
      </c>
    </row>
    <row r="770" spans="1:3" ht="23.25">
      <c r="A770" s="414">
        <v>98261</v>
      </c>
      <c r="B770" s="414" t="s">
        <v>1479</v>
      </c>
      <c r="C770" s="415">
        <v>26144.71</v>
      </c>
    </row>
    <row r="771" spans="1:3" ht="23.25">
      <c r="A771" s="414">
        <v>98271</v>
      </c>
      <c r="B771" s="414" t="s">
        <v>1480</v>
      </c>
      <c r="C771" s="415">
        <v>5030.62</v>
      </c>
    </row>
    <row r="772" spans="1:3" ht="23.25">
      <c r="A772" s="414">
        <v>98301</v>
      </c>
      <c r="B772" s="414" t="s">
        <v>1481</v>
      </c>
      <c r="C772" s="415">
        <v>1399410.37</v>
      </c>
    </row>
    <row r="773" spans="1:3" ht="23.25">
      <c r="A773" s="414">
        <v>98304</v>
      </c>
      <c r="B773" s="414" t="s">
        <v>1482</v>
      </c>
      <c r="C773" s="415">
        <v>20872.8</v>
      </c>
    </row>
    <row r="774" spans="1:3" ht="23.25">
      <c r="A774" s="414">
        <v>98308</v>
      </c>
      <c r="B774" s="414" t="s">
        <v>1483</v>
      </c>
      <c r="C774" s="415">
        <v>30526.14</v>
      </c>
    </row>
    <row r="775" spans="1:3" ht="23.25">
      <c r="A775" s="414">
        <v>98311</v>
      </c>
      <c r="B775" s="414" t="s">
        <v>1484</v>
      </c>
      <c r="C775" s="415">
        <v>722014.88</v>
      </c>
    </row>
    <row r="776" spans="1:3" ht="23.25">
      <c r="A776" s="414">
        <v>98313</v>
      </c>
      <c r="B776" s="414" t="s">
        <v>1485</v>
      </c>
      <c r="C776" s="415">
        <v>317098.03999999998</v>
      </c>
    </row>
    <row r="777" spans="1:3" ht="23.25">
      <c r="A777" s="414">
        <v>98321</v>
      </c>
      <c r="B777" s="414" t="s">
        <v>1486</v>
      </c>
      <c r="C777" s="415">
        <v>11813.84</v>
      </c>
    </row>
    <row r="778" spans="1:3" ht="23.25">
      <c r="A778" s="414">
        <v>98331</v>
      </c>
      <c r="B778" s="414" t="s">
        <v>1487</v>
      </c>
      <c r="C778" s="415">
        <v>6953.52</v>
      </c>
    </row>
    <row r="779" spans="1:3" ht="23.25">
      <c r="A779" s="414">
        <v>98401</v>
      </c>
      <c r="B779" s="414" t="s">
        <v>1488</v>
      </c>
      <c r="C779" s="415">
        <v>2252856.4300000002</v>
      </c>
    </row>
    <row r="780" spans="1:3" ht="23.25">
      <c r="A780" s="414">
        <v>98404</v>
      </c>
      <c r="B780" s="414" t="s">
        <v>1489</v>
      </c>
      <c r="C780" s="415">
        <v>16319.46</v>
      </c>
    </row>
    <row r="781" spans="1:3" ht="23.25">
      <c r="A781" s="414">
        <v>98411</v>
      </c>
      <c r="B781" s="414" t="s">
        <v>1490</v>
      </c>
      <c r="C781" s="415">
        <v>1281597.48</v>
      </c>
    </row>
    <row r="782" spans="1:3" ht="23.25">
      <c r="A782" s="414">
        <v>98414</v>
      </c>
      <c r="B782" s="414" t="s">
        <v>1491</v>
      </c>
      <c r="C782" s="415">
        <v>25943.37</v>
      </c>
    </row>
    <row r="783" spans="1:3" ht="23.25">
      <c r="A783" s="414">
        <v>98417</v>
      </c>
      <c r="B783" s="414" t="s">
        <v>1492</v>
      </c>
      <c r="C783" s="415">
        <v>26947.71</v>
      </c>
    </row>
    <row r="784" spans="1:3" ht="23.25">
      <c r="A784" s="414">
        <v>98421</v>
      </c>
      <c r="B784" s="414" t="s">
        <v>1493</v>
      </c>
      <c r="C784" s="415">
        <v>78084.69</v>
      </c>
    </row>
    <row r="785" spans="1:3" ht="23.25">
      <c r="A785" s="414">
        <v>98427</v>
      </c>
      <c r="B785" s="414" t="s">
        <v>1494</v>
      </c>
      <c r="C785" s="415">
        <v>4424.0600000000004</v>
      </c>
    </row>
    <row r="786" spans="1:3" ht="23.25">
      <c r="A786" s="414">
        <v>98431</v>
      </c>
      <c r="B786" s="414" t="s">
        <v>1495</v>
      </c>
      <c r="C786" s="415">
        <v>144826.63999999998</v>
      </c>
    </row>
    <row r="787" spans="1:3" ht="23.25">
      <c r="A787" s="414">
        <v>98441</v>
      </c>
      <c r="B787" s="414" t="s">
        <v>1496</v>
      </c>
      <c r="C787" s="415">
        <v>79540.59</v>
      </c>
    </row>
    <row r="788" spans="1:3" ht="23.25">
      <c r="A788" s="414">
        <v>98451</v>
      </c>
      <c r="B788" s="414" t="s">
        <v>1497</v>
      </c>
      <c r="C788" s="415">
        <v>39896.700000000004</v>
      </c>
    </row>
    <row r="789" spans="1:3" ht="23.25">
      <c r="A789" s="414">
        <v>98471</v>
      </c>
      <c r="B789" s="414" t="s">
        <v>1642</v>
      </c>
      <c r="C789" s="415">
        <v>5044.71</v>
      </c>
    </row>
    <row r="790" spans="1:3" ht="23.25">
      <c r="A790" s="414">
        <v>98481</v>
      </c>
      <c r="B790" s="414" t="s">
        <v>1498</v>
      </c>
      <c r="C790" s="415">
        <v>48298.649999999994</v>
      </c>
    </row>
    <row r="791" spans="1:3" ht="23.25">
      <c r="A791" s="414">
        <v>98501</v>
      </c>
      <c r="B791" s="414" t="s">
        <v>1499</v>
      </c>
      <c r="C791" s="415">
        <v>1487254.1500000001</v>
      </c>
    </row>
    <row r="792" spans="1:3" ht="23.25">
      <c r="A792" s="414">
        <v>98511</v>
      </c>
      <c r="B792" s="414" t="s">
        <v>1500</v>
      </c>
      <c r="C792" s="415">
        <v>39537.910000000003</v>
      </c>
    </row>
    <row r="793" spans="1:3" ht="23.25">
      <c r="A793" s="414">
        <v>98517</v>
      </c>
      <c r="B793" s="414" t="s">
        <v>1501</v>
      </c>
      <c r="C793" s="415">
        <v>3699</v>
      </c>
    </row>
    <row r="794" spans="1:3" ht="23.25">
      <c r="A794" s="414">
        <v>98521</v>
      </c>
      <c r="B794" s="414" t="s">
        <v>1502</v>
      </c>
      <c r="C794" s="415">
        <v>460975.93000000005</v>
      </c>
    </row>
    <row r="795" spans="1:3" ht="23.25">
      <c r="A795" s="414">
        <v>98601</v>
      </c>
      <c r="B795" s="414" t="s">
        <v>1503</v>
      </c>
      <c r="C795" s="415">
        <v>2594768.1599999997</v>
      </c>
    </row>
    <row r="796" spans="1:3" ht="23.25">
      <c r="A796" s="414">
        <v>98604</v>
      </c>
      <c r="B796" s="414" t="s">
        <v>1504</v>
      </c>
      <c r="C796" s="415">
        <v>13336.27</v>
      </c>
    </row>
    <row r="797" spans="1:3" ht="23.25">
      <c r="A797" s="414">
        <v>98607</v>
      </c>
      <c r="B797" s="414" t="s">
        <v>1505</v>
      </c>
      <c r="C797" s="415">
        <v>5415.57</v>
      </c>
    </row>
    <row r="798" spans="1:3" ht="23.25">
      <c r="A798" s="414">
        <v>98608</v>
      </c>
      <c r="B798" s="414" t="s">
        <v>1506</v>
      </c>
      <c r="C798" s="415">
        <v>52550.38</v>
      </c>
    </row>
    <row r="799" spans="1:3" ht="23.25">
      <c r="A799" s="414">
        <v>98611</v>
      </c>
      <c r="B799" s="414" t="s">
        <v>1507</v>
      </c>
      <c r="C799" s="415">
        <v>79856.05</v>
      </c>
    </row>
    <row r="800" spans="1:3" ht="23.25">
      <c r="A800" s="414">
        <v>98621</v>
      </c>
      <c r="B800" s="414" t="s">
        <v>1508</v>
      </c>
      <c r="C800" s="415">
        <v>98091.650000000009</v>
      </c>
    </row>
    <row r="801" spans="1:3" ht="23.25">
      <c r="A801" s="414">
        <v>98627</v>
      </c>
      <c r="B801" s="414" t="s">
        <v>1509</v>
      </c>
      <c r="C801" s="415">
        <v>7416.7</v>
      </c>
    </row>
    <row r="802" spans="1:3" ht="23.25">
      <c r="A802" s="414">
        <v>98631</v>
      </c>
      <c r="B802" s="414" t="s">
        <v>1510</v>
      </c>
      <c r="C802" s="415">
        <v>644070.71000000008</v>
      </c>
    </row>
    <row r="803" spans="1:3" ht="23.25">
      <c r="A803" s="414">
        <v>98637</v>
      </c>
      <c r="B803" s="414" t="s">
        <v>1511</v>
      </c>
      <c r="C803" s="415">
        <v>24656.880000000001</v>
      </c>
    </row>
    <row r="804" spans="1:3" ht="23.25">
      <c r="A804" s="414">
        <v>98641</v>
      </c>
      <c r="B804" s="414" t="s">
        <v>1512</v>
      </c>
      <c r="C804" s="415">
        <v>222392.72999999998</v>
      </c>
    </row>
    <row r="805" spans="1:3" ht="23.25">
      <c r="A805" s="414">
        <v>98647</v>
      </c>
      <c r="B805" s="414" t="s">
        <v>1620</v>
      </c>
      <c r="C805" s="415">
        <v>0</v>
      </c>
    </row>
    <row r="806" spans="1:3" ht="23.25">
      <c r="A806" s="414">
        <v>98701</v>
      </c>
      <c r="B806" s="414" t="s">
        <v>1513</v>
      </c>
      <c r="C806" s="415">
        <v>800361.30999999994</v>
      </c>
    </row>
    <row r="807" spans="1:3" ht="23.25">
      <c r="A807" s="414">
        <v>98711</v>
      </c>
      <c r="B807" s="414" t="s">
        <v>1514</v>
      </c>
      <c r="C807" s="415">
        <v>113306.77</v>
      </c>
    </row>
    <row r="808" spans="1:3" ht="23.25">
      <c r="A808" s="414">
        <v>98717</v>
      </c>
      <c r="B808" s="414" t="s">
        <v>1515</v>
      </c>
      <c r="C808" s="415">
        <v>12183.43</v>
      </c>
    </row>
    <row r="809" spans="1:3" ht="23.25">
      <c r="A809" s="414">
        <v>98801</v>
      </c>
      <c r="B809" s="414" t="s">
        <v>1516</v>
      </c>
      <c r="C809" s="415">
        <v>1858308.75</v>
      </c>
    </row>
    <row r="810" spans="1:3" ht="23.25">
      <c r="A810" s="414">
        <v>98811</v>
      </c>
      <c r="B810" s="414" t="s">
        <v>1517</v>
      </c>
      <c r="C810" s="415">
        <v>486761.39</v>
      </c>
    </row>
    <row r="811" spans="1:3" ht="23.25">
      <c r="A811" s="414">
        <v>98817</v>
      </c>
      <c r="B811" s="414" t="s">
        <v>1518</v>
      </c>
      <c r="C811" s="415">
        <v>15422.54</v>
      </c>
    </row>
    <row r="812" spans="1:3" ht="23.25">
      <c r="A812" s="414">
        <v>98901</v>
      </c>
      <c r="B812" s="414" t="s">
        <v>1519</v>
      </c>
      <c r="C812" s="415">
        <v>226102.56</v>
      </c>
    </row>
    <row r="813" spans="1:3" ht="23.25">
      <c r="A813" s="414">
        <v>98904</v>
      </c>
      <c r="B813" s="414" t="s">
        <v>1520</v>
      </c>
      <c r="C813" s="415">
        <v>2266.21</v>
      </c>
    </row>
    <row r="814" spans="1:3" ht="23.25">
      <c r="A814" s="414">
        <v>98911</v>
      </c>
      <c r="B814" s="414" t="s">
        <v>1521</v>
      </c>
      <c r="C814" s="415">
        <v>23451.119999999999</v>
      </c>
    </row>
    <row r="815" spans="1:3" ht="23.25">
      <c r="A815" s="414">
        <v>99001</v>
      </c>
      <c r="B815" s="414" t="s">
        <v>1522</v>
      </c>
      <c r="C815" s="415">
        <v>7028832.3599999994</v>
      </c>
    </row>
    <row r="816" spans="1:3" ht="23.25">
      <c r="A816" s="414">
        <v>99011</v>
      </c>
      <c r="B816" s="414" t="s">
        <v>1523</v>
      </c>
      <c r="C816" s="415">
        <v>2889411.0700000003</v>
      </c>
    </row>
    <row r="817" spans="1:3" ht="23.25">
      <c r="A817" s="414">
        <v>99013</v>
      </c>
      <c r="B817" s="414" t="s">
        <v>1524</v>
      </c>
      <c r="C817" s="415">
        <v>57415.89</v>
      </c>
    </row>
    <row r="818" spans="1:3" ht="23.25">
      <c r="A818" s="414">
        <v>99014</v>
      </c>
      <c r="B818" s="414" t="s">
        <v>1525</v>
      </c>
      <c r="C818" s="415">
        <v>18252.72</v>
      </c>
    </row>
    <row r="819" spans="1:3" ht="23.25">
      <c r="A819" s="414">
        <v>99017</v>
      </c>
      <c r="B819" s="414" t="s">
        <v>1526</v>
      </c>
      <c r="C819" s="415">
        <v>38345.919999999998</v>
      </c>
    </row>
    <row r="820" spans="1:3" ht="23.25">
      <c r="A820" s="414">
        <v>99021</v>
      </c>
      <c r="B820" s="414" t="s">
        <v>1527</v>
      </c>
      <c r="C820" s="415">
        <v>97572.99</v>
      </c>
    </row>
    <row r="821" spans="1:3" ht="23.25">
      <c r="A821" s="414">
        <v>99022</v>
      </c>
      <c r="B821" s="414" t="s">
        <v>211</v>
      </c>
      <c r="C821" s="415">
        <v>15927.48</v>
      </c>
    </row>
    <row r="822" spans="1:3" ht="23.25">
      <c r="A822" s="414">
        <v>99031</v>
      </c>
      <c r="B822" s="414" t="s">
        <v>1528</v>
      </c>
      <c r="C822" s="415">
        <v>77883.199999999997</v>
      </c>
    </row>
    <row r="823" spans="1:3" ht="23.25">
      <c r="A823" s="414">
        <v>99041</v>
      </c>
      <c r="B823" s="414" t="s">
        <v>1529</v>
      </c>
      <c r="C823" s="415">
        <v>459222.99</v>
      </c>
    </row>
    <row r="824" spans="1:3" ht="23.25">
      <c r="A824" s="414">
        <v>99047</v>
      </c>
      <c r="B824" s="414" t="s">
        <v>1530</v>
      </c>
      <c r="C824" s="415">
        <v>20066.87</v>
      </c>
    </row>
    <row r="825" spans="1:3" ht="23.25">
      <c r="A825" s="414">
        <v>99051</v>
      </c>
      <c r="B825" s="414" t="s">
        <v>1531</v>
      </c>
      <c r="C825" s="415">
        <v>241890.39</v>
      </c>
    </row>
    <row r="826" spans="1:3" ht="23.25">
      <c r="A826" s="414">
        <v>99061</v>
      </c>
      <c r="B826" s="414" t="s">
        <v>1532</v>
      </c>
      <c r="C826" s="415">
        <v>7046.62</v>
      </c>
    </row>
    <row r="827" spans="1:3" ht="23.25">
      <c r="A827" s="414">
        <v>99071</v>
      </c>
      <c r="B827" s="414" t="s">
        <v>1533</v>
      </c>
      <c r="C827" s="415">
        <v>23365.02</v>
      </c>
    </row>
    <row r="828" spans="1:3" ht="23.25">
      <c r="A828" s="414">
        <v>99081</v>
      </c>
      <c r="B828" s="414" t="s">
        <v>1534</v>
      </c>
      <c r="C828" s="415">
        <v>32557.91</v>
      </c>
    </row>
    <row r="829" spans="1:3" ht="23.25">
      <c r="A829" s="414">
        <v>99091</v>
      </c>
      <c r="B829" s="414" t="s">
        <v>1535</v>
      </c>
      <c r="C829" s="415">
        <v>10712.57</v>
      </c>
    </row>
    <row r="830" spans="1:3" ht="23.25">
      <c r="A830" s="414">
        <v>99101</v>
      </c>
      <c r="B830" s="414" t="s">
        <v>1536</v>
      </c>
      <c r="C830" s="415">
        <v>1400810.49</v>
      </c>
    </row>
    <row r="831" spans="1:3" ht="23.25">
      <c r="A831" s="414">
        <v>99104</v>
      </c>
      <c r="B831" s="414" t="s">
        <v>1537</v>
      </c>
      <c r="C831" s="415">
        <v>43852.21</v>
      </c>
    </row>
    <row r="832" spans="1:3" ht="23.25">
      <c r="A832" s="414">
        <v>99109</v>
      </c>
      <c r="B832" s="414" t="s">
        <v>1538</v>
      </c>
      <c r="C832" s="415">
        <v>86435.34</v>
      </c>
    </row>
    <row r="833" spans="1:3" ht="23.25">
      <c r="A833" s="414">
        <v>99110</v>
      </c>
      <c r="B833" s="414" t="s">
        <v>1539</v>
      </c>
      <c r="C833" s="415">
        <v>188418.22</v>
      </c>
    </row>
    <row r="834" spans="1:3" ht="23.25">
      <c r="A834" s="414">
        <v>99111</v>
      </c>
      <c r="B834" s="414" t="s">
        <v>1540</v>
      </c>
      <c r="C834" s="415">
        <v>895204.5</v>
      </c>
    </row>
    <row r="835" spans="1:3" ht="23.25">
      <c r="A835" s="414">
        <v>99201</v>
      </c>
      <c r="B835" s="414" t="s">
        <v>3745</v>
      </c>
      <c r="C835" s="415">
        <v>26493769.590000004</v>
      </c>
    </row>
    <row r="836" spans="1:3" ht="23.25">
      <c r="A836" s="414">
        <v>99202</v>
      </c>
      <c r="B836" s="414" t="s">
        <v>1542</v>
      </c>
      <c r="C836" s="415">
        <v>2014488.05</v>
      </c>
    </row>
    <row r="837" spans="1:3" ht="23.25">
      <c r="A837" s="414">
        <v>99203</v>
      </c>
      <c r="B837" s="414" t="s">
        <v>1543</v>
      </c>
      <c r="C837" s="415">
        <v>268040.83999999997</v>
      </c>
    </row>
    <row r="838" spans="1:3" ht="23.25">
      <c r="A838" s="414">
        <v>99204</v>
      </c>
      <c r="B838" s="414" t="s">
        <v>1544</v>
      </c>
      <c r="C838" s="415">
        <v>1097397.8900000001</v>
      </c>
    </row>
    <row r="839" spans="1:3" ht="23.25">
      <c r="A839" s="414">
        <v>99206</v>
      </c>
      <c r="B839" s="414" t="s">
        <v>1545</v>
      </c>
      <c r="C839" s="415">
        <v>1374889.4300000002</v>
      </c>
    </row>
    <row r="840" spans="1:3" ht="23.25">
      <c r="A840" s="414">
        <v>99207</v>
      </c>
      <c r="B840" s="414" t="s">
        <v>1546</v>
      </c>
      <c r="C840" s="415">
        <v>249159.94</v>
      </c>
    </row>
    <row r="841" spans="1:3" ht="23.25">
      <c r="A841" s="414">
        <v>99208</v>
      </c>
      <c r="B841" s="414" t="s">
        <v>1547</v>
      </c>
      <c r="C841" s="415">
        <v>192055.83</v>
      </c>
    </row>
    <row r="842" spans="1:3" ht="23.25">
      <c r="A842" s="414">
        <v>99210</v>
      </c>
      <c r="B842" s="414" t="s">
        <v>1548</v>
      </c>
      <c r="C842" s="415">
        <v>1464916.89</v>
      </c>
    </row>
    <row r="843" spans="1:3" ht="23.25">
      <c r="A843" s="414">
        <v>99211</v>
      </c>
      <c r="B843" s="414" t="s">
        <v>1549</v>
      </c>
      <c r="C843" s="415">
        <v>26708122.259999998</v>
      </c>
    </row>
    <row r="844" spans="1:3" ht="23.25">
      <c r="A844" s="414">
        <v>99212</v>
      </c>
      <c r="B844" s="414" t="s">
        <v>1550</v>
      </c>
      <c r="C844" s="415">
        <v>42848.4</v>
      </c>
    </row>
    <row r="845" spans="1:3" ht="23.25">
      <c r="A845" s="414">
        <v>99213</v>
      </c>
      <c r="B845" s="414" t="s">
        <v>1551</v>
      </c>
      <c r="C845" s="415">
        <v>514963.89</v>
      </c>
    </row>
    <row r="846" spans="1:3" ht="23.25">
      <c r="A846" s="414">
        <v>99218</v>
      </c>
      <c r="B846" s="414" t="s">
        <v>1552</v>
      </c>
      <c r="C846" s="415">
        <v>2750067.75</v>
      </c>
    </row>
    <row r="847" spans="1:3" ht="23.25">
      <c r="A847" s="414">
        <v>99221</v>
      </c>
      <c r="B847" s="414" t="s">
        <v>1553</v>
      </c>
      <c r="C847" s="415">
        <v>9070131.7799999993</v>
      </c>
    </row>
    <row r="848" spans="1:3" ht="23.25">
      <c r="A848" s="414">
        <v>99222</v>
      </c>
      <c r="B848" s="414" t="s">
        <v>1554</v>
      </c>
      <c r="C848" s="415">
        <v>24903.73</v>
      </c>
    </row>
    <row r="849" spans="1:3" ht="23.25">
      <c r="A849" s="414">
        <v>99231</v>
      </c>
      <c r="B849" s="414" t="s">
        <v>1555</v>
      </c>
      <c r="C849" s="415">
        <v>337911.55</v>
      </c>
    </row>
    <row r="850" spans="1:3" ht="23.25">
      <c r="A850" s="414">
        <v>99241</v>
      </c>
      <c r="B850" s="414" t="s">
        <v>1556</v>
      </c>
      <c r="C850" s="415">
        <v>395934.70999999996</v>
      </c>
    </row>
    <row r="851" spans="1:3" ht="23.25">
      <c r="A851" s="414">
        <v>99251</v>
      </c>
      <c r="B851" s="414" t="s">
        <v>1557</v>
      </c>
      <c r="C851" s="415">
        <v>1228148.6599999999</v>
      </c>
    </row>
    <row r="852" spans="1:3" ht="23.25">
      <c r="A852" s="414">
        <v>99252</v>
      </c>
      <c r="B852" s="414" t="s">
        <v>1558</v>
      </c>
      <c r="C852" s="415">
        <v>427885.82</v>
      </c>
    </row>
    <row r="853" spans="1:3" ht="23.25">
      <c r="A853" s="414">
        <v>99261</v>
      </c>
      <c r="B853" s="414" t="s">
        <v>1559</v>
      </c>
      <c r="C853" s="415">
        <v>1585647.29</v>
      </c>
    </row>
    <row r="854" spans="1:3" ht="23.25">
      <c r="A854" s="414">
        <v>99271</v>
      </c>
      <c r="B854" s="414" t="s">
        <v>1560</v>
      </c>
      <c r="C854" s="415">
        <v>3473976.3</v>
      </c>
    </row>
    <row r="855" spans="1:3" ht="23.25">
      <c r="A855" s="414">
        <v>99281</v>
      </c>
      <c r="B855" s="414" t="s">
        <v>1561</v>
      </c>
      <c r="C855" s="415">
        <v>2293860.7199999997</v>
      </c>
    </row>
    <row r="856" spans="1:3" ht="23.25">
      <c r="A856" s="414">
        <v>99291</v>
      </c>
      <c r="B856" s="414" t="s">
        <v>1562</v>
      </c>
      <c r="C856" s="415">
        <v>683454.82</v>
      </c>
    </row>
    <row r="857" spans="1:3" ht="23.25">
      <c r="A857" s="414">
        <v>99301</v>
      </c>
      <c r="B857" s="414" t="s">
        <v>1563</v>
      </c>
      <c r="C857" s="415">
        <v>1141992.95</v>
      </c>
    </row>
    <row r="858" spans="1:3" ht="23.25">
      <c r="A858" s="414">
        <v>99304</v>
      </c>
      <c r="B858" s="414" t="s">
        <v>1564</v>
      </c>
      <c r="C858" s="415">
        <v>12121.81</v>
      </c>
    </row>
    <row r="859" spans="1:3" ht="23.25">
      <c r="A859" s="414">
        <v>99311</v>
      </c>
      <c r="B859" s="414" t="s">
        <v>1565</v>
      </c>
      <c r="C859" s="415">
        <v>38889.449999999997</v>
      </c>
    </row>
    <row r="860" spans="1:3" ht="23.25">
      <c r="A860" s="414">
        <v>99321</v>
      </c>
      <c r="B860" s="414" t="s">
        <v>1566</v>
      </c>
      <c r="C860" s="415">
        <v>132742.59</v>
      </c>
    </row>
    <row r="861" spans="1:3" ht="23.25">
      <c r="A861" s="414">
        <v>99401</v>
      </c>
      <c r="B861" s="414" t="s">
        <v>1567</v>
      </c>
      <c r="C861" s="415">
        <v>602042.08000000007</v>
      </c>
    </row>
    <row r="862" spans="1:3" ht="23.25">
      <c r="A862" s="414">
        <v>99404</v>
      </c>
      <c r="B862" s="414" t="s">
        <v>1568</v>
      </c>
      <c r="C862" s="415">
        <v>8694.75</v>
      </c>
    </row>
    <row r="863" spans="1:3" ht="23.25">
      <c r="A863" s="414">
        <v>99405</v>
      </c>
      <c r="B863" s="414" t="s">
        <v>1569</v>
      </c>
      <c r="C863" s="415">
        <v>49522</v>
      </c>
    </row>
    <row r="864" spans="1:3" ht="23.25">
      <c r="A864" s="414">
        <v>99411</v>
      </c>
      <c r="B864" s="414" t="s">
        <v>1570</v>
      </c>
      <c r="C864" s="415">
        <v>116877.79000000001</v>
      </c>
    </row>
    <row r="865" spans="1:3" ht="23.25">
      <c r="A865" s="414">
        <v>99413</v>
      </c>
      <c r="B865" s="414" t="s">
        <v>1571</v>
      </c>
      <c r="C865" s="415">
        <v>36287.46</v>
      </c>
    </row>
    <row r="866" spans="1:3" ht="23.25">
      <c r="A866" s="414">
        <v>99421</v>
      </c>
      <c r="B866" s="414" t="s">
        <v>1572</v>
      </c>
      <c r="C866" s="415">
        <v>7869.34</v>
      </c>
    </row>
    <row r="867" spans="1:3" ht="23.25">
      <c r="A867" s="414">
        <v>99431</v>
      </c>
      <c r="B867" s="414" t="s">
        <v>1573</v>
      </c>
      <c r="C867" s="415">
        <v>12151.7</v>
      </c>
    </row>
    <row r="868" spans="1:3" ht="23.25">
      <c r="A868" s="414">
        <v>99501</v>
      </c>
      <c r="B868" s="414" t="s">
        <v>1574</v>
      </c>
      <c r="C868" s="415">
        <v>1277052.9400000002</v>
      </c>
    </row>
    <row r="869" spans="1:3" ht="23.25">
      <c r="A869" s="414">
        <v>99502</v>
      </c>
      <c r="B869" s="414" t="s">
        <v>1575</v>
      </c>
      <c r="C869" s="415">
        <v>109045.15</v>
      </c>
    </row>
    <row r="870" spans="1:3" ht="23.25">
      <c r="A870" s="414">
        <v>99508</v>
      </c>
      <c r="B870" s="414" t="s">
        <v>1576</v>
      </c>
      <c r="C870" s="415">
        <v>16471.12</v>
      </c>
    </row>
    <row r="871" spans="1:3" ht="23.25">
      <c r="A871" s="414">
        <v>99509</v>
      </c>
      <c r="B871" s="414" t="s">
        <v>1577</v>
      </c>
      <c r="C871" s="415">
        <v>18311.3</v>
      </c>
    </row>
    <row r="872" spans="1:3" ht="23.25">
      <c r="A872" s="414">
        <v>99511</v>
      </c>
      <c r="B872" s="414" t="s">
        <v>1578</v>
      </c>
      <c r="C872" s="415">
        <v>886133.77</v>
      </c>
    </row>
    <row r="873" spans="1:3" ht="23.25">
      <c r="A873" s="414">
        <v>99521</v>
      </c>
      <c r="B873" s="414" t="s">
        <v>1579</v>
      </c>
      <c r="C873" s="415">
        <v>314969.13</v>
      </c>
    </row>
    <row r="874" spans="1:3" ht="23.25">
      <c r="A874" s="414">
        <v>99527</v>
      </c>
      <c r="B874" s="414" t="s">
        <v>1580</v>
      </c>
      <c r="C874" s="415">
        <v>11334.64</v>
      </c>
    </row>
    <row r="875" spans="1:3" ht="23.25">
      <c r="A875" s="414">
        <v>99531</v>
      </c>
      <c r="B875" s="414" t="s">
        <v>1581</v>
      </c>
      <c r="C875" s="415">
        <v>103312.3</v>
      </c>
    </row>
    <row r="876" spans="1:3" ht="23.25">
      <c r="A876" s="414">
        <v>99601</v>
      </c>
      <c r="B876" s="414" t="s">
        <v>1582</v>
      </c>
      <c r="C876" s="415">
        <v>3824410.57</v>
      </c>
    </row>
    <row r="877" spans="1:3" ht="23.25">
      <c r="A877" s="414">
        <v>99602</v>
      </c>
      <c r="B877" s="414" t="s">
        <v>1583</v>
      </c>
      <c r="C877" s="415">
        <v>40829.64</v>
      </c>
    </row>
    <row r="878" spans="1:3" ht="23.25">
      <c r="A878" s="414">
        <v>99603</v>
      </c>
      <c r="B878" s="414" t="s">
        <v>1584</v>
      </c>
      <c r="C878" s="415">
        <v>133944.35999999999</v>
      </c>
    </row>
    <row r="879" spans="1:3" ht="23.25">
      <c r="A879" s="414">
        <v>99604</v>
      </c>
      <c r="B879" s="414" t="s">
        <v>1585</v>
      </c>
      <c r="C879" s="415">
        <v>89480.25</v>
      </c>
    </row>
    <row r="880" spans="1:3" ht="23.25">
      <c r="A880" s="414">
        <v>99609</v>
      </c>
      <c r="B880" s="414" t="s">
        <v>1586</v>
      </c>
      <c r="C880" s="415">
        <v>20335.09</v>
      </c>
    </row>
    <row r="881" spans="1:3" ht="23.25">
      <c r="A881" s="414">
        <v>99610</v>
      </c>
      <c r="B881" s="414" t="s">
        <v>1587</v>
      </c>
      <c r="C881" s="415">
        <v>140943.84</v>
      </c>
    </row>
    <row r="882" spans="1:3" ht="23.25">
      <c r="A882" s="414">
        <v>99611</v>
      </c>
      <c r="B882" s="414" t="s">
        <v>1588</v>
      </c>
      <c r="C882" s="415">
        <v>2192046.4499999997</v>
      </c>
    </row>
    <row r="883" spans="1:3" ht="23.25">
      <c r="A883" s="414">
        <v>99613</v>
      </c>
      <c r="B883" s="414" t="s">
        <v>1589</v>
      </c>
      <c r="C883" s="415">
        <v>254564.7</v>
      </c>
    </row>
    <row r="884" spans="1:3" ht="23.25">
      <c r="A884" s="414">
        <v>99621</v>
      </c>
      <c r="B884" s="414" t="s">
        <v>1590</v>
      </c>
      <c r="C884" s="415">
        <v>257370.30000000002</v>
      </c>
    </row>
    <row r="885" spans="1:3" ht="23.25">
      <c r="A885" s="414">
        <v>99623</v>
      </c>
      <c r="B885" s="414" t="s">
        <v>1591</v>
      </c>
      <c r="C885" s="415">
        <v>11572.95</v>
      </c>
    </row>
    <row r="886" spans="1:3" ht="23.25">
      <c r="A886" s="414">
        <v>99631</v>
      </c>
      <c r="B886" s="414" t="s">
        <v>1592</v>
      </c>
      <c r="C886" s="415">
        <v>61163.369999999995</v>
      </c>
    </row>
    <row r="887" spans="1:3" ht="23.25">
      <c r="A887" s="414">
        <v>99651</v>
      </c>
      <c r="B887" s="414" t="s">
        <v>1593</v>
      </c>
      <c r="C887" s="415">
        <v>38074.42</v>
      </c>
    </row>
    <row r="888" spans="1:3" ht="23.25">
      <c r="A888" s="414">
        <v>99661</v>
      </c>
      <c r="B888" s="414" t="s">
        <v>1594</v>
      </c>
      <c r="C888" s="415">
        <v>37176.32</v>
      </c>
    </row>
    <row r="889" spans="1:3" ht="23.25">
      <c r="A889" s="414">
        <v>99701</v>
      </c>
      <c r="B889" s="414" t="s">
        <v>1595</v>
      </c>
      <c r="C889" s="415">
        <v>2132996.94</v>
      </c>
    </row>
    <row r="890" spans="1:3" ht="23.25">
      <c r="A890" s="414">
        <v>99705</v>
      </c>
      <c r="B890" s="414" t="s">
        <v>1596</v>
      </c>
      <c r="C890" s="415">
        <v>143647.79999999999</v>
      </c>
    </row>
    <row r="891" spans="1:3" ht="23.25">
      <c r="A891" s="414">
        <v>99711</v>
      </c>
      <c r="B891" s="414" t="s">
        <v>1597</v>
      </c>
      <c r="C891" s="415">
        <v>304379.68</v>
      </c>
    </row>
    <row r="892" spans="1:3" ht="23.25">
      <c r="A892" s="414">
        <v>99717</v>
      </c>
      <c r="B892" s="414" t="s">
        <v>1598</v>
      </c>
      <c r="C892" s="415">
        <v>14041.98</v>
      </c>
    </row>
    <row r="893" spans="1:3" ht="23.25">
      <c r="A893" s="414">
        <v>99721</v>
      </c>
      <c r="B893" s="414" t="s">
        <v>1599</v>
      </c>
      <c r="C893" s="415">
        <v>435471.74000000005</v>
      </c>
    </row>
    <row r="894" spans="1:3" ht="23.25">
      <c r="A894" s="414">
        <v>99727</v>
      </c>
      <c r="B894" s="414" t="s">
        <v>1600</v>
      </c>
      <c r="C894" s="415">
        <v>19882.87</v>
      </c>
    </row>
    <row r="895" spans="1:3" ht="23.25">
      <c r="A895" s="414">
        <v>99801</v>
      </c>
      <c r="B895" s="414" t="s">
        <v>1601</v>
      </c>
      <c r="C895" s="415">
        <v>3322130.7299999995</v>
      </c>
    </row>
    <row r="896" spans="1:3" ht="23.25">
      <c r="A896" s="414">
        <v>99802</v>
      </c>
      <c r="B896" s="414" t="s">
        <v>1602</v>
      </c>
      <c r="C896" s="415">
        <v>7149.34</v>
      </c>
    </row>
    <row r="897" spans="1:3" ht="23.25">
      <c r="A897" s="414">
        <v>99804</v>
      </c>
      <c r="B897" s="414" t="s">
        <v>1603</v>
      </c>
      <c r="C897" s="415">
        <v>82384.81</v>
      </c>
    </row>
    <row r="898" spans="1:3" ht="23.25">
      <c r="A898" s="414">
        <v>99811</v>
      </c>
      <c r="B898" s="414" t="s">
        <v>1604</v>
      </c>
      <c r="C898" s="415">
        <v>4575321.03</v>
      </c>
    </row>
    <row r="899" spans="1:3" ht="23.25">
      <c r="A899" s="414">
        <v>99812</v>
      </c>
      <c r="B899" s="414" t="s">
        <v>1605</v>
      </c>
      <c r="C899" s="415">
        <v>31471.96</v>
      </c>
    </row>
    <row r="900" spans="1:3" ht="23.25">
      <c r="A900" s="414">
        <v>99818</v>
      </c>
      <c r="B900" s="414" t="s">
        <v>1606</v>
      </c>
      <c r="C900" s="415">
        <v>18878.04</v>
      </c>
    </row>
    <row r="901" spans="1:3" ht="23.25">
      <c r="A901" s="414">
        <v>99821</v>
      </c>
      <c r="B901" s="414" t="s">
        <v>1607</v>
      </c>
      <c r="C901" s="415">
        <v>77616.570000000007</v>
      </c>
    </row>
    <row r="902" spans="1:3" ht="23.25">
      <c r="A902" s="414">
        <v>99831</v>
      </c>
      <c r="B902" s="414" t="s">
        <v>1608</v>
      </c>
      <c r="C902" s="415">
        <v>37763.879999999997</v>
      </c>
    </row>
    <row r="903" spans="1:3" ht="23.25">
      <c r="A903" s="414">
        <v>99841</v>
      </c>
      <c r="B903" s="414" t="s">
        <v>1609</v>
      </c>
      <c r="C903" s="415">
        <v>40159.49</v>
      </c>
    </row>
    <row r="904" spans="1:3" ht="23.25">
      <c r="A904" s="414">
        <v>99851</v>
      </c>
      <c r="B904" s="414" t="s">
        <v>1610</v>
      </c>
      <c r="C904" s="415">
        <v>4717.66</v>
      </c>
    </row>
    <row r="905" spans="1:3" ht="23.25">
      <c r="A905" s="414">
        <v>99901</v>
      </c>
      <c r="B905" s="414" t="s">
        <v>1611</v>
      </c>
      <c r="C905" s="415">
        <v>1102323.75</v>
      </c>
    </row>
    <row r="906" spans="1:3" ht="23.25">
      <c r="A906" s="414">
        <v>99911</v>
      </c>
      <c r="B906" s="414" t="s">
        <v>1612</v>
      </c>
      <c r="C906" s="415">
        <v>202648.11000000002</v>
      </c>
    </row>
    <row r="907" spans="1:3" ht="23.25">
      <c r="A907" s="414">
        <v>99921</v>
      </c>
      <c r="B907" s="414" t="s">
        <v>1613</v>
      </c>
      <c r="C907" s="415">
        <v>99067.71</v>
      </c>
    </row>
    <row r="908" spans="1:3" ht="23.25">
      <c r="A908" s="414">
        <v>99931</v>
      </c>
      <c r="B908" s="414" t="s">
        <v>1614</v>
      </c>
      <c r="C908" s="415">
        <v>18086.530000000002</v>
      </c>
    </row>
    <row r="909" spans="1:3" ht="23.25">
      <c r="A909" s="414">
        <v>99941</v>
      </c>
      <c r="B909" s="414" t="s">
        <v>1615</v>
      </c>
      <c r="C909" s="415">
        <v>39732.76</v>
      </c>
    </row>
    <row r="910" spans="1:3" ht="23.25">
      <c r="A910" s="414">
        <v>99991</v>
      </c>
      <c r="B910" s="414" t="s">
        <v>1616</v>
      </c>
      <c r="C910" s="415">
        <v>350300.64</v>
      </c>
    </row>
    <row r="911" spans="1:3" ht="23.25">
      <c r="A911" s="414">
        <v>99999</v>
      </c>
      <c r="B911" s="414" t="s">
        <v>1617</v>
      </c>
      <c r="C911" s="415">
        <v>845835.22</v>
      </c>
    </row>
    <row r="912" spans="1:3" ht="23.25">
      <c r="C912" s="415">
        <v>741748136.1499995</v>
      </c>
    </row>
  </sheetData>
  <sheetProtection algorithmName="SHA-512" hashValue="jHlNxeEX7UvPxzfF6ewrDq9zvErmme6Dh7DWo2N9VKUSKY91fnprFXzp4y2GlvJSczhKmgts+tvyRJSLhVscEA==" saltValue="ShM1vsdxGKEEMs59a7e9tg=="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A318-06CE-4255-892C-D968AD23DE52}">
  <dimension ref="A1:O2375"/>
  <sheetViews>
    <sheetView zoomScaleNormal="100" workbookViewId="0"/>
  </sheetViews>
  <sheetFormatPr defaultRowHeight="15"/>
  <cols>
    <col min="1" max="1" width="12.140625" style="225" bestFit="1" customWidth="1"/>
    <col min="2" max="2" width="55.5703125" style="225" bestFit="1" customWidth="1"/>
    <col min="3" max="3" width="27" style="100" bestFit="1" customWidth="1"/>
    <col min="4" max="4" width="9.140625" style="225"/>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240">
        <f>SUM(C3:C936)</f>
        <v>627119908.3599999</v>
      </c>
      <c r="E1" s="69"/>
      <c r="F1" s="240"/>
      <c r="G1" s="69"/>
      <c r="M1" s="69"/>
      <c r="N1" s="3"/>
      <c r="O1" s="69"/>
    </row>
    <row r="2" spans="1:15" ht="15.75" thickTop="1">
      <c r="A2" s="97" t="s">
        <v>1637</v>
      </c>
      <c r="B2" s="97" t="s">
        <v>1638</v>
      </c>
      <c r="C2" s="98" t="s">
        <v>3736</v>
      </c>
      <c r="D2" s="225" t="s">
        <v>1639</v>
      </c>
      <c r="K2" s="314"/>
      <c r="L2" s="314"/>
      <c r="M2" s="315"/>
    </row>
    <row r="3" spans="1:15">
      <c r="A3" s="104" t="s">
        <v>692</v>
      </c>
      <c r="B3" s="103" t="s">
        <v>691</v>
      </c>
      <c r="C3" s="102"/>
      <c r="K3" s="295"/>
      <c r="L3" s="295"/>
      <c r="M3" s="327"/>
    </row>
    <row r="4" spans="1:15">
      <c r="A4">
        <v>70505</v>
      </c>
      <c r="B4" t="s">
        <v>727</v>
      </c>
      <c r="C4" s="69">
        <v>228109.77000000002</v>
      </c>
      <c r="D4"/>
    </row>
    <row r="5" spans="1:15">
      <c r="A5">
        <v>72265</v>
      </c>
      <c r="B5" t="s">
        <v>728</v>
      </c>
      <c r="C5" s="69">
        <v>99097.329999999987</v>
      </c>
      <c r="D5"/>
    </row>
    <row r="6" spans="1:15">
      <c r="A6">
        <v>72593</v>
      </c>
      <c r="B6" t="s">
        <v>729</v>
      </c>
      <c r="C6" s="69">
        <v>3367.9199999999996</v>
      </c>
      <c r="D6"/>
    </row>
    <row r="7" spans="1:15">
      <c r="A7">
        <v>72657</v>
      </c>
      <c r="B7" t="s">
        <v>730</v>
      </c>
      <c r="C7" s="69">
        <v>20397.61</v>
      </c>
      <c r="D7"/>
    </row>
    <row r="8" spans="1:15">
      <c r="A8">
        <v>90001</v>
      </c>
      <c r="B8" t="s">
        <v>731</v>
      </c>
      <c r="C8" s="69">
        <v>567667.92000000004</v>
      </c>
      <c r="D8"/>
    </row>
    <row r="9" spans="1:15">
      <c r="A9">
        <v>90002</v>
      </c>
      <c r="B9" t="s">
        <v>732</v>
      </c>
      <c r="C9" s="69">
        <v>7949.2800000000016</v>
      </c>
      <c r="D9"/>
    </row>
    <row r="10" spans="1:15">
      <c r="A10">
        <v>90011</v>
      </c>
      <c r="B10" t="s">
        <v>733</v>
      </c>
      <c r="C10" s="69">
        <v>114792.79999999999</v>
      </c>
      <c r="D10"/>
    </row>
    <row r="11" spans="1:15">
      <c r="A11">
        <v>90092</v>
      </c>
      <c r="B11" t="s">
        <v>734</v>
      </c>
      <c r="C11" s="69">
        <v>267280.76</v>
      </c>
      <c r="D11"/>
    </row>
    <row r="12" spans="1:15">
      <c r="A12">
        <v>90096</v>
      </c>
      <c r="B12" t="s">
        <v>735</v>
      </c>
      <c r="C12" s="69">
        <v>722594.62000000011</v>
      </c>
      <c r="D12"/>
    </row>
    <row r="13" spans="1:15">
      <c r="A13">
        <v>90098</v>
      </c>
      <c r="B13" t="s">
        <v>736</v>
      </c>
      <c r="C13" s="69">
        <v>171593.89</v>
      </c>
      <c r="D13"/>
    </row>
    <row r="14" spans="1:15">
      <c r="A14">
        <v>90099</v>
      </c>
      <c r="B14" t="s">
        <v>737</v>
      </c>
      <c r="C14" s="69">
        <v>391399.31</v>
      </c>
      <c r="D14"/>
    </row>
    <row r="15" spans="1:15">
      <c r="A15">
        <v>90101</v>
      </c>
      <c r="B15" t="s">
        <v>738</v>
      </c>
      <c r="C15" s="69">
        <v>3958426.9400000004</v>
      </c>
      <c r="D15"/>
    </row>
    <row r="16" spans="1:15">
      <c r="A16">
        <v>90111</v>
      </c>
      <c r="B16" t="s">
        <v>739</v>
      </c>
      <c r="C16" s="69">
        <v>2988584.08</v>
      </c>
      <c r="D16"/>
    </row>
    <row r="17" spans="1:4">
      <c r="A17">
        <v>90114</v>
      </c>
      <c r="B17" t="s">
        <v>740</v>
      </c>
      <c r="C17" s="69">
        <v>696039.63000000012</v>
      </c>
      <c r="D17"/>
    </row>
    <row r="18" spans="1:4">
      <c r="A18">
        <v>90117</v>
      </c>
      <c r="B18" t="s">
        <v>741</v>
      </c>
      <c r="C18" s="69">
        <v>111978.9</v>
      </c>
      <c r="D18"/>
    </row>
    <row r="19" spans="1:4">
      <c r="A19">
        <v>90121</v>
      </c>
      <c r="B19" t="s">
        <v>742</v>
      </c>
      <c r="C19" s="69">
        <v>637436.5900000002</v>
      </c>
      <c r="D19"/>
    </row>
    <row r="20" spans="1:4">
      <c r="A20">
        <v>90131</v>
      </c>
      <c r="B20" t="s">
        <v>743</v>
      </c>
      <c r="C20" s="69">
        <v>300583.01999999996</v>
      </c>
      <c r="D20"/>
    </row>
    <row r="21" spans="1:4">
      <c r="A21">
        <v>90141</v>
      </c>
      <c r="B21" t="s">
        <v>744</v>
      </c>
      <c r="C21" s="69">
        <v>95381.779999999984</v>
      </c>
      <c r="D21"/>
    </row>
    <row r="22" spans="1:4">
      <c r="A22">
        <v>90151</v>
      </c>
      <c r="B22" t="s">
        <v>745</v>
      </c>
      <c r="C22" s="69">
        <v>4163.1599999999989</v>
      </c>
      <c r="D22"/>
    </row>
    <row r="23" spans="1:4">
      <c r="A23">
        <v>90161</v>
      </c>
      <c r="B23" t="s">
        <v>746</v>
      </c>
      <c r="C23" s="69">
        <v>18427.77</v>
      </c>
      <c r="D23"/>
    </row>
    <row r="24" spans="1:4">
      <c r="A24">
        <v>90201</v>
      </c>
      <c r="B24" t="s">
        <v>747</v>
      </c>
      <c r="C24" s="69">
        <v>797001.1</v>
      </c>
      <c r="D24"/>
    </row>
    <row r="25" spans="1:4">
      <c r="A25">
        <v>90203</v>
      </c>
      <c r="B25" t="s">
        <v>748</v>
      </c>
      <c r="C25" s="69">
        <v>122079.84999999998</v>
      </c>
      <c r="D25"/>
    </row>
    <row r="26" spans="1:4">
      <c r="A26">
        <v>90205</v>
      </c>
      <c r="B26" t="s">
        <v>749</v>
      </c>
      <c r="C26" s="69">
        <v>20358.22</v>
      </c>
      <c r="D26"/>
    </row>
    <row r="27" spans="1:4">
      <c r="A27">
        <v>90206</v>
      </c>
      <c r="B27" t="s">
        <v>750</v>
      </c>
      <c r="C27" s="69">
        <v>255137.53000000003</v>
      </c>
      <c r="D27"/>
    </row>
    <row r="28" spans="1:4">
      <c r="A28">
        <v>90211</v>
      </c>
      <c r="B28" t="s">
        <v>751</v>
      </c>
      <c r="C28" s="69">
        <v>103257.50999999998</v>
      </c>
      <c r="D28"/>
    </row>
    <row r="29" spans="1:4">
      <c r="A29">
        <v>90301</v>
      </c>
      <c r="B29" t="s">
        <v>752</v>
      </c>
      <c r="C29" s="69">
        <v>455164.13</v>
      </c>
      <c r="D29"/>
    </row>
    <row r="30" spans="1:4">
      <c r="A30">
        <v>90305</v>
      </c>
      <c r="B30" t="s">
        <v>753</v>
      </c>
      <c r="C30" s="69">
        <v>108110.69999999998</v>
      </c>
      <c r="D30"/>
    </row>
    <row r="31" spans="1:4">
      <c r="A31">
        <v>90307</v>
      </c>
      <c r="B31" t="s">
        <v>754</v>
      </c>
      <c r="C31" s="69">
        <v>5120.7100000000009</v>
      </c>
      <c r="D31"/>
    </row>
    <row r="32" spans="1:4">
      <c r="A32">
        <v>90401</v>
      </c>
      <c r="B32" t="s">
        <v>755</v>
      </c>
      <c r="C32" s="69">
        <v>917699.35000000009</v>
      </c>
      <c r="D32"/>
    </row>
    <row r="33" spans="1:4">
      <c r="A33">
        <v>90411</v>
      </c>
      <c r="B33" t="s">
        <v>756</v>
      </c>
      <c r="C33" s="69">
        <v>217249.95</v>
      </c>
      <c r="D33"/>
    </row>
    <row r="34" spans="1:4">
      <c r="A34">
        <v>90413</v>
      </c>
      <c r="B34" t="s">
        <v>757</v>
      </c>
      <c r="C34" s="69">
        <v>24275.679999999997</v>
      </c>
      <c r="D34"/>
    </row>
    <row r="35" spans="1:4">
      <c r="A35">
        <v>90417</v>
      </c>
      <c r="B35" t="s">
        <v>758</v>
      </c>
      <c r="C35" s="69">
        <v>10428.19</v>
      </c>
      <c r="D35"/>
    </row>
    <row r="36" spans="1:4">
      <c r="A36">
        <v>90421</v>
      </c>
      <c r="B36" t="s">
        <v>759</v>
      </c>
      <c r="C36" s="69">
        <v>17739.28</v>
      </c>
      <c r="D36"/>
    </row>
    <row r="37" spans="1:4">
      <c r="A37">
        <v>90431</v>
      </c>
      <c r="B37" t="s">
        <v>760</v>
      </c>
      <c r="C37" s="69">
        <v>29582.35</v>
      </c>
      <c r="D37"/>
    </row>
    <row r="38" spans="1:4">
      <c r="A38">
        <v>90441</v>
      </c>
      <c r="B38" t="s">
        <v>761</v>
      </c>
      <c r="C38" s="69">
        <v>6402.2499999999982</v>
      </c>
      <c r="D38"/>
    </row>
    <row r="39" spans="1:4">
      <c r="A39">
        <v>90451</v>
      </c>
      <c r="B39" t="s">
        <v>762</v>
      </c>
      <c r="C39" s="69">
        <v>13205.579999999998</v>
      </c>
      <c r="D39"/>
    </row>
    <row r="40" spans="1:4">
      <c r="A40">
        <v>90461</v>
      </c>
      <c r="B40" t="s">
        <v>763</v>
      </c>
      <c r="C40" s="69">
        <v>8283.15</v>
      </c>
      <c r="D40"/>
    </row>
    <row r="41" spans="1:4">
      <c r="A41">
        <v>90501</v>
      </c>
      <c r="B41" t="s">
        <v>764</v>
      </c>
      <c r="C41" s="69">
        <v>944552.57</v>
      </c>
      <c r="D41"/>
    </row>
    <row r="42" spans="1:4">
      <c r="A42">
        <v>90507</v>
      </c>
      <c r="B42" t="s">
        <v>34</v>
      </c>
      <c r="C42" s="69">
        <v>10352.599999999999</v>
      </c>
      <c r="D42"/>
    </row>
    <row r="43" spans="1:4">
      <c r="A43">
        <v>90511</v>
      </c>
      <c r="B43" t="s">
        <v>765</v>
      </c>
      <c r="C43" s="69">
        <v>69867.41</v>
      </c>
      <c r="D43"/>
    </row>
    <row r="44" spans="1:4">
      <c r="A44">
        <v>90521</v>
      </c>
      <c r="B44" t="s">
        <v>766</v>
      </c>
      <c r="C44" s="69">
        <v>76200.12999999999</v>
      </c>
      <c r="D44"/>
    </row>
    <row r="45" spans="1:4">
      <c r="A45">
        <v>90601</v>
      </c>
      <c r="B45" t="s">
        <v>767</v>
      </c>
      <c r="C45" s="69">
        <v>754018.47</v>
      </c>
      <c r="D45"/>
    </row>
    <row r="46" spans="1:4">
      <c r="A46">
        <v>90602</v>
      </c>
      <c r="B46" t="s">
        <v>259</v>
      </c>
      <c r="C46" s="69">
        <v>34526.67</v>
      </c>
      <c r="D46"/>
    </row>
    <row r="47" spans="1:4">
      <c r="A47">
        <v>90605</v>
      </c>
      <c r="B47" t="s">
        <v>768</v>
      </c>
      <c r="C47" s="69">
        <v>32065.01</v>
      </c>
      <c r="D47"/>
    </row>
    <row r="48" spans="1:4">
      <c r="A48">
        <v>90611</v>
      </c>
      <c r="B48" t="s">
        <v>769</v>
      </c>
      <c r="C48" s="69">
        <v>83091.570000000007</v>
      </c>
      <c r="D48"/>
    </row>
    <row r="49" spans="1:4">
      <c r="A49">
        <v>90617</v>
      </c>
      <c r="B49" t="s">
        <v>770</v>
      </c>
      <c r="C49" s="69">
        <v>22630.399999999998</v>
      </c>
      <c r="D49"/>
    </row>
    <row r="50" spans="1:4">
      <c r="A50">
        <v>90621</v>
      </c>
      <c r="B50" t="s">
        <v>771</v>
      </c>
      <c r="C50" s="69">
        <v>43471.360000000001</v>
      </c>
      <c r="D50"/>
    </row>
    <row r="51" spans="1:4">
      <c r="A51">
        <v>90631</v>
      </c>
      <c r="B51" t="s">
        <v>772</v>
      </c>
      <c r="C51" s="69">
        <v>242029.37</v>
      </c>
      <c r="D51"/>
    </row>
    <row r="52" spans="1:4">
      <c r="A52">
        <v>90641</v>
      </c>
      <c r="B52" t="s">
        <v>773</v>
      </c>
      <c r="C52" s="69">
        <v>7880.8599999999988</v>
      </c>
      <c r="D52"/>
    </row>
    <row r="53" spans="1:4">
      <c r="A53">
        <v>90651</v>
      </c>
      <c r="B53" t="s">
        <v>1936</v>
      </c>
      <c r="C53" s="69">
        <v>70405.84</v>
      </c>
      <c r="D53"/>
    </row>
    <row r="54" spans="1:4">
      <c r="A54">
        <v>90701</v>
      </c>
      <c r="B54" t="s">
        <v>775</v>
      </c>
      <c r="C54" s="69">
        <v>1483141.0700000003</v>
      </c>
      <c r="D54"/>
    </row>
    <row r="55" spans="1:4">
      <c r="A55">
        <v>90704</v>
      </c>
      <c r="B55" t="s">
        <v>776</v>
      </c>
      <c r="C55" s="69">
        <v>39475.06</v>
      </c>
      <c r="D55"/>
    </row>
    <row r="56" spans="1:4">
      <c r="A56">
        <v>90705</v>
      </c>
      <c r="B56" t="s">
        <v>777</v>
      </c>
      <c r="C56" s="69">
        <v>29726.5</v>
      </c>
      <c r="D56"/>
    </row>
    <row r="57" spans="1:4">
      <c r="A57">
        <v>90709</v>
      </c>
      <c r="B57" t="s">
        <v>778</v>
      </c>
      <c r="C57" s="69">
        <v>99472.919999999984</v>
      </c>
      <c r="D57"/>
    </row>
    <row r="58" spans="1:4">
      <c r="A58">
        <v>90711</v>
      </c>
      <c r="B58" t="s">
        <v>779</v>
      </c>
      <c r="C58" s="69">
        <v>974799.16</v>
      </c>
      <c r="D58"/>
    </row>
    <row r="59" spans="1:4">
      <c r="A59">
        <v>90721</v>
      </c>
      <c r="B59" t="s">
        <v>780</v>
      </c>
      <c r="C59" s="69">
        <v>18429.37</v>
      </c>
      <c r="D59"/>
    </row>
    <row r="60" spans="1:4">
      <c r="A60">
        <v>90731</v>
      </c>
      <c r="B60" t="s">
        <v>781</v>
      </c>
      <c r="C60" s="69">
        <v>100560.37</v>
      </c>
      <c r="D60"/>
    </row>
    <row r="61" spans="1:4">
      <c r="A61">
        <v>90741</v>
      </c>
      <c r="B61" t="s">
        <v>782</v>
      </c>
      <c r="C61" s="69">
        <v>9028.3900000000012</v>
      </c>
      <c r="D61"/>
    </row>
    <row r="62" spans="1:4">
      <c r="A62">
        <v>90751</v>
      </c>
      <c r="B62" t="s">
        <v>783</v>
      </c>
      <c r="C62" s="69">
        <v>39556.060000000005</v>
      </c>
      <c r="D62"/>
    </row>
    <row r="63" spans="1:4">
      <c r="A63">
        <v>90801</v>
      </c>
      <c r="B63" t="s">
        <v>784</v>
      </c>
      <c r="C63" s="69">
        <v>702954.6</v>
      </c>
      <c r="D63"/>
    </row>
    <row r="64" spans="1:4">
      <c r="A64">
        <v>90804</v>
      </c>
      <c r="B64" t="s">
        <v>785</v>
      </c>
      <c r="C64" s="69">
        <v>3620.7</v>
      </c>
      <c r="D64"/>
    </row>
    <row r="65" spans="1:4">
      <c r="A65">
        <v>90805</v>
      </c>
      <c r="B65" t="s">
        <v>786</v>
      </c>
      <c r="C65" s="69">
        <v>51294.539999999994</v>
      </c>
      <c r="D65"/>
    </row>
    <row r="66" spans="1:4">
      <c r="A66">
        <v>90808</v>
      </c>
      <c r="B66" t="s">
        <v>787</v>
      </c>
      <c r="C66" s="69">
        <v>96871.390000000014</v>
      </c>
      <c r="D66"/>
    </row>
    <row r="67" spans="1:4">
      <c r="A67">
        <v>90811</v>
      </c>
      <c r="B67" t="s">
        <v>788</v>
      </c>
      <c r="C67" s="69">
        <v>21095.75</v>
      </c>
      <c r="D67"/>
    </row>
    <row r="68" spans="1:4">
      <c r="A68">
        <v>90812</v>
      </c>
      <c r="B68" t="s">
        <v>789</v>
      </c>
      <c r="C68" s="69">
        <v>130788.65</v>
      </c>
      <c r="D68"/>
    </row>
    <row r="69" spans="1:4">
      <c r="A69">
        <v>90813</v>
      </c>
      <c r="B69" t="s">
        <v>790</v>
      </c>
      <c r="C69" s="69">
        <v>2486.2199999999998</v>
      </c>
      <c r="D69"/>
    </row>
    <row r="70" spans="1:4">
      <c r="A70">
        <v>90861</v>
      </c>
      <c r="B70" t="s">
        <v>791</v>
      </c>
      <c r="C70" s="69">
        <v>4655.95</v>
      </c>
      <c r="D70"/>
    </row>
    <row r="71" spans="1:4">
      <c r="A71">
        <v>90901</v>
      </c>
      <c r="B71" t="s">
        <v>792</v>
      </c>
      <c r="C71" s="69">
        <v>1348006.36</v>
      </c>
      <c r="D71"/>
    </row>
    <row r="72" spans="1:4">
      <c r="A72">
        <v>90911</v>
      </c>
      <c r="B72" t="s">
        <v>793</v>
      </c>
      <c r="C72" s="69">
        <v>221450.94999999995</v>
      </c>
      <c r="D72"/>
    </row>
    <row r="73" spans="1:4">
      <c r="A73">
        <v>90917</v>
      </c>
      <c r="B73" t="s">
        <v>794</v>
      </c>
      <c r="C73" s="69">
        <v>7985.6299999999992</v>
      </c>
      <c r="D73"/>
    </row>
    <row r="74" spans="1:4">
      <c r="A74">
        <v>90918</v>
      </c>
      <c r="B74" t="s">
        <v>795</v>
      </c>
      <c r="C74" s="69">
        <v>6315.1200000000017</v>
      </c>
      <c r="D74"/>
    </row>
    <row r="75" spans="1:4">
      <c r="A75">
        <v>90921</v>
      </c>
      <c r="B75" t="s">
        <v>796</v>
      </c>
      <c r="C75" s="69">
        <v>80977.25</v>
      </c>
      <c r="D75"/>
    </row>
    <row r="76" spans="1:4">
      <c r="A76">
        <v>90931</v>
      </c>
      <c r="B76" t="s">
        <v>797</v>
      </c>
      <c r="C76" s="69">
        <v>20331.980000000003</v>
      </c>
      <c r="D76"/>
    </row>
    <row r="77" spans="1:4">
      <c r="A77">
        <v>90941</v>
      </c>
      <c r="B77" t="s">
        <v>798</v>
      </c>
      <c r="C77" s="69">
        <v>50129.59</v>
      </c>
      <c r="D77"/>
    </row>
    <row r="78" spans="1:4">
      <c r="A78">
        <v>91001</v>
      </c>
      <c r="B78" t="s">
        <v>799</v>
      </c>
      <c r="C78" s="69">
        <v>4240219.43</v>
      </c>
      <c r="D78"/>
    </row>
    <row r="79" spans="1:4">
      <c r="A79">
        <v>91002</v>
      </c>
      <c r="B79" t="s">
        <v>800</v>
      </c>
      <c r="C79" s="69">
        <v>620629.49</v>
      </c>
      <c r="D79"/>
    </row>
    <row r="80" spans="1:4">
      <c r="A80">
        <v>91003</v>
      </c>
      <c r="B80" t="s">
        <v>801</v>
      </c>
      <c r="C80" s="69">
        <v>365320.99</v>
      </c>
      <c r="D80"/>
    </row>
    <row r="81" spans="1:4">
      <c r="A81">
        <v>91004</v>
      </c>
      <c r="B81" t="s">
        <v>802</v>
      </c>
      <c r="C81" s="69">
        <v>20274.399999999998</v>
      </c>
      <c r="D81"/>
    </row>
    <row r="82" spans="1:4">
      <c r="A82">
        <v>91006</v>
      </c>
      <c r="B82" t="s">
        <v>803</v>
      </c>
      <c r="C82" s="69">
        <v>613206.68000000005</v>
      </c>
      <c r="D82"/>
    </row>
    <row r="83" spans="1:4">
      <c r="A83">
        <v>91007</v>
      </c>
      <c r="B83" t="s">
        <v>804</v>
      </c>
      <c r="C83" s="69">
        <v>6942.9800000000005</v>
      </c>
      <c r="D83"/>
    </row>
    <row r="84" spans="1:4">
      <c r="A84">
        <v>91008</v>
      </c>
      <c r="B84" t="s">
        <v>805</v>
      </c>
      <c r="C84" s="69">
        <v>93581.14</v>
      </c>
      <c r="D84"/>
    </row>
    <row r="85" spans="1:4">
      <c r="A85">
        <v>91009</v>
      </c>
      <c r="B85" t="s">
        <v>806</v>
      </c>
      <c r="C85" s="69">
        <v>13166.050000000003</v>
      </c>
      <c r="D85"/>
    </row>
    <row r="86" spans="1:4">
      <c r="A86">
        <v>91010</v>
      </c>
      <c r="B86" t="s">
        <v>807</v>
      </c>
      <c r="C86" s="69">
        <v>38054.639999999999</v>
      </c>
      <c r="D86"/>
    </row>
    <row r="87" spans="1:4">
      <c r="A87">
        <v>91011</v>
      </c>
      <c r="B87" t="s">
        <v>808</v>
      </c>
      <c r="C87" s="69">
        <v>255068.83999999997</v>
      </c>
      <c r="D87"/>
    </row>
    <row r="88" spans="1:4">
      <c r="A88">
        <v>91012</v>
      </c>
      <c r="B88" t="s">
        <v>809</v>
      </c>
      <c r="C88" s="69">
        <v>8374.3300000000017</v>
      </c>
      <c r="D88"/>
    </row>
    <row r="89" spans="1:4">
      <c r="A89">
        <v>91013</v>
      </c>
      <c r="B89" t="s">
        <v>810</v>
      </c>
      <c r="C89" s="69">
        <v>24503.97</v>
      </c>
      <c r="D89"/>
    </row>
    <row r="90" spans="1:4">
      <c r="A90">
        <v>91014</v>
      </c>
      <c r="B90" t="s">
        <v>811</v>
      </c>
      <c r="C90" s="69">
        <v>116583.84000000001</v>
      </c>
      <c r="D90"/>
    </row>
    <row r="91" spans="1:4">
      <c r="A91">
        <v>91015</v>
      </c>
      <c r="B91" t="s">
        <v>1640</v>
      </c>
      <c r="C91" s="69">
        <v>23988.41</v>
      </c>
      <c r="D91"/>
    </row>
    <row r="92" spans="1:4">
      <c r="A92">
        <v>91017</v>
      </c>
      <c r="B92" t="s">
        <v>2015</v>
      </c>
      <c r="C92" s="69">
        <v>17977.420000000002</v>
      </c>
      <c r="D92"/>
    </row>
    <row r="93" spans="1:4">
      <c r="A93">
        <v>91020</v>
      </c>
      <c r="B93" t="s">
        <v>813</v>
      </c>
      <c r="C93" s="69">
        <v>13498.830000000002</v>
      </c>
      <c r="D93"/>
    </row>
    <row r="94" spans="1:4">
      <c r="A94">
        <v>91021</v>
      </c>
      <c r="B94" t="s">
        <v>814</v>
      </c>
      <c r="C94" s="69">
        <v>611753.05000000005</v>
      </c>
      <c r="D94"/>
    </row>
    <row r="95" spans="1:4">
      <c r="A95">
        <v>91024</v>
      </c>
      <c r="B95" t="s">
        <v>815</v>
      </c>
      <c r="C95" s="69">
        <v>66521.609999999986</v>
      </c>
      <c r="D95"/>
    </row>
    <row r="96" spans="1:4">
      <c r="A96">
        <v>91026</v>
      </c>
      <c r="B96" t="s">
        <v>43</v>
      </c>
      <c r="C96" s="69">
        <v>26747.000000000004</v>
      </c>
      <c r="D96"/>
    </row>
    <row r="97" spans="1:4">
      <c r="A97">
        <v>91027</v>
      </c>
      <c r="B97" t="s">
        <v>816</v>
      </c>
      <c r="C97" s="69">
        <v>19819.649999999998</v>
      </c>
      <c r="D97"/>
    </row>
    <row r="98" spans="1:4">
      <c r="A98">
        <v>91032</v>
      </c>
      <c r="B98" t="s">
        <v>817</v>
      </c>
      <c r="C98" s="69">
        <v>29375.329999999998</v>
      </c>
      <c r="D98"/>
    </row>
    <row r="99" spans="1:4">
      <c r="A99">
        <v>91041</v>
      </c>
      <c r="B99" t="s">
        <v>818</v>
      </c>
      <c r="C99" s="69">
        <v>252703.71999999997</v>
      </c>
      <c r="D99"/>
    </row>
    <row r="100" spans="1:4">
      <c r="A100">
        <v>91042</v>
      </c>
      <c r="B100" t="s">
        <v>819</v>
      </c>
      <c r="C100" s="69">
        <v>161005.98000000001</v>
      </c>
      <c r="D100"/>
    </row>
    <row r="101" spans="1:4">
      <c r="A101">
        <v>91047</v>
      </c>
      <c r="B101" t="s">
        <v>820</v>
      </c>
      <c r="C101" s="69">
        <v>8535.76</v>
      </c>
      <c r="D101"/>
    </row>
    <row r="102" spans="1:4">
      <c r="A102">
        <v>91051</v>
      </c>
      <c r="B102" t="s">
        <v>821</v>
      </c>
      <c r="C102" s="69">
        <v>42855.680000000008</v>
      </c>
      <c r="D102"/>
    </row>
    <row r="103" spans="1:4">
      <c r="A103">
        <v>91057</v>
      </c>
      <c r="B103" t="s">
        <v>822</v>
      </c>
      <c r="C103" s="69">
        <v>11789.189999999999</v>
      </c>
      <c r="D103"/>
    </row>
    <row r="104" spans="1:4">
      <c r="A104">
        <v>91061</v>
      </c>
      <c r="B104" t="s">
        <v>823</v>
      </c>
      <c r="C104" s="69">
        <v>223550.15999999997</v>
      </c>
      <c r="D104"/>
    </row>
    <row r="105" spans="1:4">
      <c r="A105">
        <v>91067</v>
      </c>
      <c r="B105" t="s">
        <v>824</v>
      </c>
      <c r="C105" s="69">
        <v>11886.330000000002</v>
      </c>
      <c r="D105"/>
    </row>
    <row r="106" spans="1:4">
      <c r="A106">
        <v>91071</v>
      </c>
      <c r="B106" t="s">
        <v>825</v>
      </c>
      <c r="C106" s="69">
        <v>146304.33999999997</v>
      </c>
      <c r="D106"/>
    </row>
    <row r="107" spans="1:4">
      <c r="A107">
        <v>91077</v>
      </c>
      <c r="B107" t="s">
        <v>826</v>
      </c>
      <c r="C107" s="69">
        <v>8913.6200000000008</v>
      </c>
      <c r="D107"/>
    </row>
    <row r="108" spans="1:4">
      <c r="A108">
        <v>91081</v>
      </c>
      <c r="B108" t="s">
        <v>827</v>
      </c>
      <c r="C108" s="69">
        <v>259611.80000000002</v>
      </c>
      <c r="D108"/>
    </row>
    <row r="109" spans="1:4">
      <c r="A109">
        <v>91091</v>
      </c>
      <c r="B109" t="s">
        <v>828</v>
      </c>
      <c r="C109" s="69">
        <v>349771.16000000003</v>
      </c>
      <c r="D109"/>
    </row>
    <row r="110" spans="1:4">
      <c r="A110">
        <v>91101</v>
      </c>
      <c r="B110" t="s">
        <v>829</v>
      </c>
      <c r="C110" s="69">
        <v>7892694.2800000012</v>
      </c>
      <c r="D110"/>
    </row>
    <row r="111" spans="1:4">
      <c r="A111">
        <v>91102</v>
      </c>
      <c r="B111" t="s">
        <v>830</v>
      </c>
      <c r="C111" s="69">
        <v>187922.74000000002</v>
      </c>
      <c r="D111"/>
    </row>
    <row r="112" spans="1:4">
      <c r="A112">
        <v>91104</v>
      </c>
      <c r="B112" t="s">
        <v>831</v>
      </c>
      <c r="C112" s="69">
        <v>12654.26</v>
      </c>
      <c r="D112"/>
    </row>
    <row r="113" spans="1:4">
      <c r="A113">
        <v>91107</v>
      </c>
      <c r="B113" t="s">
        <v>832</v>
      </c>
      <c r="C113" s="69">
        <v>40263.25</v>
      </c>
      <c r="D113"/>
    </row>
    <row r="114" spans="1:4">
      <c r="A114">
        <v>91108</v>
      </c>
      <c r="B114" t="s">
        <v>833</v>
      </c>
      <c r="C114" s="69">
        <v>753800.65999999992</v>
      </c>
      <c r="D114"/>
    </row>
    <row r="115" spans="1:4">
      <c r="A115">
        <v>91109</v>
      </c>
      <c r="B115" t="s">
        <v>834</v>
      </c>
      <c r="C115" s="69">
        <v>61771.900000000009</v>
      </c>
      <c r="D115"/>
    </row>
    <row r="116" spans="1:4">
      <c r="A116">
        <v>91111</v>
      </c>
      <c r="B116" t="s">
        <v>835</v>
      </c>
      <c r="C116" s="69">
        <v>144050.06</v>
      </c>
      <c r="D116"/>
    </row>
    <row r="117" spans="1:4">
      <c r="A117">
        <v>91120</v>
      </c>
      <c r="B117" t="s">
        <v>836</v>
      </c>
      <c r="C117" s="69">
        <v>103233.74000000002</v>
      </c>
      <c r="D117"/>
    </row>
    <row r="118" spans="1:4">
      <c r="A118">
        <v>91121</v>
      </c>
      <c r="B118" t="s">
        <v>837</v>
      </c>
      <c r="C118" s="69">
        <v>6093467.3300000001</v>
      </c>
      <c r="D118"/>
    </row>
    <row r="119" spans="1:4">
      <c r="A119">
        <v>91127</v>
      </c>
      <c r="B119" t="s">
        <v>838</v>
      </c>
      <c r="C119" s="69">
        <v>206624.81</v>
      </c>
      <c r="D119"/>
    </row>
    <row r="120" spans="1:4">
      <c r="A120">
        <v>91128</v>
      </c>
      <c r="B120" t="s">
        <v>839</v>
      </c>
      <c r="C120" s="69">
        <v>335931.77</v>
      </c>
      <c r="D120"/>
    </row>
    <row r="121" spans="1:4">
      <c r="A121">
        <v>91138</v>
      </c>
      <c r="B121" t="s">
        <v>840</v>
      </c>
      <c r="C121" s="69">
        <v>250780.59999999998</v>
      </c>
      <c r="D121"/>
    </row>
    <row r="122" spans="1:4">
      <c r="A122">
        <v>91141</v>
      </c>
      <c r="B122" t="s">
        <v>841</v>
      </c>
      <c r="C122" s="69">
        <v>333594.46000000002</v>
      </c>
      <c r="D122"/>
    </row>
    <row r="123" spans="1:4">
      <c r="A123">
        <v>91147</v>
      </c>
      <c r="B123" t="s">
        <v>842</v>
      </c>
      <c r="C123" s="69">
        <v>19839.480000000003</v>
      </c>
      <c r="D123"/>
    </row>
    <row r="124" spans="1:4">
      <c r="A124">
        <v>91151</v>
      </c>
      <c r="B124" t="s">
        <v>843</v>
      </c>
      <c r="C124" s="69">
        <v>341844.29</v>
      </c>
      <c r="D124"/>
    </row>
    <row r="125" spans="1:4">
      <c r="A125">
        <v>91154</v>
      </c>
      <c r="B125" t="s">
        <v>844</v>
      </c>
      <c r="C125" s="69">
        <v>14001.71</v>
      </c>
      <c r="D125"/>
    </row>
    <row r="126" spans="1:4">
      <c r="A126">
        <v>91161</v>
      </c>
      <c r="B126" t="s">
        <v>845</v>
      </c>
      <c r="C126" s="69">
        <v>60476.19</v>
      </c>
      <c r="D126"/>
    </row>
    <row r="127" spans="1:4">
      <c r="A127">
        <v>91171</v>
      </c>
      <c r="B127" t="s">
        <v>846</v>
      </c>
      <c r="C127" s="69">
        <v>149495.01999999999</v>
      </c>
      <c r="D127"/>
    </row>
    <row r="128" spans="1:4">
      <c r="A128">
        <v>91201</v>
      </c>
      <c r="B128" t="s">
        <v>847</v>
      </c>
      <c r="C128" s="69">
        <v>1512325.4200000002</v>
      </c>
      <c r="D128"/>
    </row>
    <row r="129" spans="1:4">
      <c r="A129">
        <v>91202</v>
      </c>
      <c r="B129" t="s">
        <v>848</v>
      </c>
      <c r="C129" s="69">
        <v>62875.78</v>
      </c>
      <c r="D129"/>
    </row>
    <row r="130" spans="1:4">
      <c r="A130">
        <v>91203</v>
      </c>
      <c r="B130" t="s">
        <v>849</v>
      </c>
      <c r="C130" s="69">
        <v>169870.97</v>
      </c>
      <c r="D130"/>
    </row>
    <row r="131" spans="1:4">
      <c r="A131">
        <v>91206</v>
      </c>
      <c r="B131" t="s">
        <v>850</v>
      </c>
      <c r="C131" s="69">
        <v>577486.09</v>
      </c>
      <c r="D131"/>
    </row>
    <row r="132" spans="1:4">
      <c r="A132">
        <v>91208</v>
      </c>
      <c r="B132" t="s">
        <v>851</v>
      </c>
      <c r="C132" s="69">
        <v>11198.96</v>
      </c>
      <c r="D132"/>
    </row>
    <row r="133" spans="1:4">
      <c r="A133">
        <v>91211</v>
      </c>
      <c r="B133" t="s">
        <v>852</v>
      </c>
      <c r="C133" s="69">
        <v>288252.84000000003</v>
      </c>
      <c r="D133"/>
    </row>
    <row r="134" spans="1:4">
      <c r="A134">
        <v>91213</v>
      </c>
      <c r="B134" t="s">
        <v>853</v>
      </c>
      <c r="C134" s="69">
        <v>17975.29</v>
      </c>
      <c r="D134"/>
    </row>
    <row r="135" spans="1:4">
      <c r="A135">
        <v>91214</v>
      </c>
      <c r="B135" t="s">
        <v>854</v>
      </c>
      <c r="C135" s="69">
        <v>16466.2</v>
      </c>
      <c r="D135"/>
    </row>
    <row r="136" spans="1:4">
      <c r="A136">
        <v>91217</v>
      </c>
      <c r="B136" t="s">
        <v>855</v>
      </c>
      <c r="C136" s="69">
        <v>21568.42</v>
      </c>
      <c r="D136"/>
    </row>
    <row r="137" spans="1:4">
      <c r="A137">
        <v>91221</v>
      </c>
      <c r="B137" t="s">
        <v>856</v>
      </c>
      <c r="C137" s="69">
        <v>70256.72</v>
      </c>
      <c r="D137"/>
    </row>
    <row r="138" spans="1:4">
      <c r="A138">
        <v>91231</v>
      </c>
      <c r="B138" t="s">
        <v>857</v>
      </c>
      <c r="C138" s="69">
        <v>1202188.5000000002</v>
      </c>
      <c r="D138"/>
    </row>
    <row r="139" spans="1:4">
      <c r="A139">
        <v>91233</v>
      </c>
      <c r="B139" t="s">
        <v>858</v>
      </c>
      <c r="C139" s="69">
        <v>36066.29</v>
      </c>
      <c r="D139"/>
    </row>
    <row r="140" spans="1:4">
      <c r="A140">
        <v>91241</v>
      </c>
      <c r="B140" t="s">
        <v>859</v>
      </c>
      <c r="C140" s="69">
        <v>22648.079999999998</v>
      </c>
      <c r="D140"/>
    </row>
    <row r="141" spans="1:4">
      <c r="A141">
        <v>91251</v>
      </c>
      <c r="B141" t="s">
        <v>860</v>
      </c>
      <c r="C141" s="69">
        <v>13597.38</v>
      </c>
      <c r="D141"/>
    </row>
    <row r="142" spans="1:4">
      <c r="A142">
        <v>91261</v>
      </c>
      <c r="B142" t="s">
        <v>861</v>
      </c>
      <c r="C142" s="69">
        <v>4693.8099999999995</v>
      </c>
      <c r="D142"/>
    </row>
    <row r="143" spans="1:4">
      <c r="A143">
        <v>91301</v>
      </c>
      <c r="B143" t="s">
        <v>862</v>
      </c>
      <c r="C143" s="69">
        <v>5061130.8100000005</v>
      </c>
      <c r="D143"/>
    </row>
    <row r="144" spans="1:4">
      <c r="A144">
        <v>91302</v>
      </c>
      <c r="B144" t="s">
        <v>863</v>
      </c>
      <c r="C144" s="69">
        <v>324314.06999999995</v>
      </c>
      <c r="D144"/>
    </row>
    <row r="145" spans="1:4">
      <c r="A145">
        <v>91306</v>
      </c>
      <c r="B145" t="s">
        <v>864</v>
      </c>
      <c r="C145" s="69">
        <v>1127451.7</v>
      </c>
      <c r="D145"/>
    </row>
    <row r="146" spans="1:4">
      <c r="A146">
        <v>91308</v>
      </c>
      <c r="B146" t="s">
        <v>865</v>
      </c>
      <c r="C146" s="69">
        <v>92592.539999999979</v>
      </c>
      <c r="D146"/>
    </row>
    <row r="147" spans="1:4">
      <c r="A147">
        <v>91311</v>
      </c>
      <c r="B147" t="s">
        <v>866</v>
      </c>
      <c r="C147" s="69">
        <v>5109671.4000000013</v>
      </c>
      <c r="D147"/>
    </row>
    <row r="148" spans="1:4">
      <c r="A148">
        <v>91317</v>
      </c>
      <c r="B148" t="s">
        <v>867</v>
      </c>
      <c r="C148" s="69">
        <v>93167.349999999977</v>
      </c>
      <c r="D148"/>
    </row>
    <row r="149" spans="1:4">
      <c r="A149">
        <v>91321</v>
      </c>
      <c r="B149" t="s">
        <v>868</v>
      </c>
      <c r="C149" s="69">
        <v>38308.909999999996</v>
      </c>
      <c r="D149"/>
    </row>
    <row r="150" spans="1:4">
      <c r="A150">
        <v>91327</v>
      </c>
      <c r="B150" t="s">
        <v>869</v>
      </c>
      <c r="C150" s="69">
        <v>2029</v>
      </c>
      <c r="D150"/>
    </row>
    <row r="151" spans="1:4">
      <c r="A151">
        <v>91331</v>
      </c>
      <c r="B151" t="s">
        <v>870</v>
      </c>
      <c r="C151" s="69">
        <v>1769984.74</v>
      </c>
      <c r="D151"/>
    </row>
    <row r="152" spans="1:4">
      <c r="A152">
        <v>91341</v>
      </c>
      <c r="B152" t="s">
        <v>871</v>
      </c>
      <c r="C152" s="69">
        <v>19595.179999999997</v>
      </c>
      <c r="D152"/>
    </row>
    <row r="153" spans="1:4">
      <c r="A153">
        <v>91401</v>
      </c>
      <c r="B153" t="s">
        <v>872</v>
      </c>
      <c r="C153" s="69">
        <v>2311790.8200000003</v>
      </c>
      <c r="D153"/>
    </row>
    <row r="154" spans="1:4">
      <c r="A154">
        <v>91411</v>
      </c>
      <c r="B154" t="s">
        <v>873</v>
      </c>
      <c r="C154" s="69">
        <v>248579.93</v>
      </c>
      <c r="D154"/>
    </row>
    <row r="155" spans="1:4">
      <c r="A155">
        <v>91414</v>
      </c>
      <c r="B155" t="s">
        <v>3614</v>
      </c>
      <c r="C155" s="69">
        <v>19052.500000000004</v>
      </c>
      <c r="D155"/>
    </row>
    <row r="156" spans="1:4">
      <c r="A156">
        <v>91417</v>
      </c>
      <c r="B156" t="s">
        <v>874</v>
      </c>
      <c r="C156" s="69">
        <v>7164.2800000000007</v>
      </c>
      <c r="D156"/>
    </row>
    <row r="157" spans="1:4">
      <c r="A157">
        <v>91421</v>
      </c>
      <c r="B157" t="s">
        <v>875</v>
      </c>
      <c r="C157" s="69">
        <v>47439.079999999994</v>
      </c>
      <c r="D157"/>
    </row>
    <row r="158" spans="1:4">
      <c r="A158">
        <v>91423</v>
      </c>
      <c r="B158" t="s">
        <v>876</v>
      </c>
      <c r="C158" s="69">
        <v>32239.479999999996</v>
      </c>
      <c r="D158"/>
    </row>
    <row r="159" spans="1:4">
      <c r="A159">
        <v>91431</v>
      </c>
      <c r="B159" t="s">
        <v>877</v>
      </c>
      <c r="C159" s="69">
        <v>115940.69</v>
      </c>
      <c r="D159"/>
    </row>
    <row r="160" spans="1:4">
      <c r="A160">
        <v>91441</v>
      </c>
      <c r="B160" t="s">
        <v>878</v>
      </c>
      <c r="C160" s="69">
        <v>494673.83</v>
      </c>
      <c r="D160"/>
    </row>
    <row r="161" spans="1:4">
      <c r="A161">
        <v>91451</v>
      </c>
      <c r="B161" t="s">
        <v>879</v>
      </c>
      <c r="C161" s="69">
        <v>961281.15</v>
      </c>
      <c r="D161"/>
    </row>
    <row r="162" spans="1:4">
      <c r="A162">
        <v>91457</v>
      </c>
      <c r="B162" t="s">
        <v>880</v>
      </c>
      <c r="C162" s="69">
        <v>17579.830000000002</v>
      </c>
      <c r="D162"/>
    </row>
    <row r="163" spans="1:4">
      <c r="A163">
        <v>91461</v>
      </c>
      <c r="B163" t="s">
        <v>881</v>
      </c>
      <c r="C163" s="69">
        <v>167.62</v>
      </c>
      <c r="D163"/>
    </row>
    <row r="164" spans="1:4">
      <c r="A164">
        <v>91501</v>
      </c>
      <c r="B164" t="s">
        <v>882</v>
      </c>
      <c r="C164" s="69">
        <v>314151.51999999996</v>
      </c>
      <c r="D164"/>
    </row>
    <row r="165" spans="1:4">
      <c r="A165">
        <v>91504</v>
      </c>
      <c r="B165" t="s">
        <v>883</v>
      </c>
      <c r="C165" s="69">
        <v>8590.5499999999993</v>
      </c>
      <c r="D165"/>
    </row>
    <row r="166" spans="1:4">
      <c r="A166">
        <v>91601</v>
      </c>
      <c r="B166" t="s">
        <v>884</v>
      </c>
      <c r="C166" s="69">
        <v>1891528.9999999998</v>
      </c>
      <c r="D166"/>
    </row>
    <row r="167" spans="1:4">
      <c r="A167">
        <v>91604</v>
      </c>
      <c r="B167" t="s">
        <v>885</v>
      </c>
      <c r="C167" s="69">
        <v>71719.930000000008</v>
      </c>
      <c r="D167"/>
    </row>
    <row r="168" spans="1:4">
      <c r="A168">
        <v>91608</v>
      </c>
      <c r="B168" t="s">
        <v>886</v>
      </c>
      <c r="C168" s="69">
        <v>77188.729999999981</v>
      </c>
      <c r="D168"/>
    </row>
    <row r="169" spans="1:4">
      <c r="A169">
        <v>91611</v>
      </c>
      <c r="B169" t="s">
        <v>887</v>
      </c>
      <c r="C169" s="69">
        <v>855551.17</v>
      </c>
      <c r="D169"/>
    </row>
    <row r="170" spans="1:4">
      <c r="A170">
        <v>91621</v>
      </c>
      <c r="B170" t="s">
        <v>888</v>
      </c>
      <c r="C170" s="69">
        <v>164850.61000000004</v>
      </c>
      <c r="D170"/>
    </row>
    <row r="171" spans="1:4">
      <c r="A171">
        <v>91631</v>
      </c>
      <c r="B171" t="s">
        <v>889</v>
      </c>
      <c r="C171" s="69">
        <v>383883.55000000005</v>
      </c>
      <c r="D171"/>
    </row>
    <row r="172" spans="1:4">
      <c r="A172">
        <v>91633</v>
      </c>
      <c r="B172" t="s">
        <v>890</v>
      </c>
      <c r="C172" s="69">
        <v>17232.259999999998</v>
      </c>
      <c r="D172"/>
    </row>
    <row r="173" spans="1:4">
      <c r="A173">
        <v>91641</v>
      </c>
      <c r="B173" t="s">
        <v>891</v>
      </c>
      <c r="C173" s="69">
        <v>163192.47</v>
      </c>
      <c r="D173"/>
    </row>
    <row r="174" spans="1:4">
      <c r="A174">
        <v>91651</v>
      </c>
      <c r="B174" t="s">
        <v>892</v>
      </c>
      <c r="C174" s="69">
        <v>334230.95999999996</v>
      </c>
      <c r="D174"/>
    </row>
    <row r="175" spans="1:4">
      <c r="A175">
        <v>91661</v>
      </c>
      <c r="B175" t="s">
        <v>893</v>
      </c>
      <c r="C175" s="69">
        <v>94610.609999999986</v>
      </c>
      <c r="D175"/>
    </row>
    <row r="176" spans="1:4">
      <c r="A176">
        <v>91671</v>
      </c>
      <c r="B176" t="s">
        <v>894</v>
      </c>
      <c r="C176" s="69">
        <v>54157.16</v>
      </c>
      <c r="D176"/>
    </row>
    <row r="177" spans="1:4">
      <c r="A177">
        <v>91681</v>
      </c>
      <c r="B177" t="s">
        <v>895</v>
      </c>
      <c r="C177" s="69">
        <v>271347.85000000003</v>
      </c>
      <c r="D177"/>
    </row>
    <row r="178" spans="1:4">
      <c r="A178">
        <v>91691</v>
      </c>
      <c r="B178" t="s">
        <v>896</v>
      </c>
      <c r="C178" s="69">
        <v>17989.63</v>
      </c>
      <c r="D178"/>
    </row>
    <row r="179" spans="1:4">
      <c r="A179">
        <v>91701</v>
      </c>
      <c r="B179" t="s">
        <v>897</v>
      </c>
      <c r="C179" s="69">
        <v>716303.44999999984</v>
      </c>
      <c r="D179"/>
    </row>
    <row r="180" spans="1:4">
      <c r="A180">
        <v>91704</v>
      </c>
      <c r="B180" t="s">
        <v>898</v>
      </c>
      <c r="C180" s="69">
        <v>12132.17</v>
      </c>
      <c r="D180"/>
    </row>
    <row r="181" spans="1:4">
      <c r="A181">
        <v>91706</v>
      </c>
      <c r="B181" t="s">
        <v>899</v>
      </c>
      <c r="C181" s="69">
        <v>160220.74</v>
      </c>
      <c r="D181"/>
    </row>
    <row r="182" spans="1:4">
      <c r="A182">
        <v>91719</v>
      </c>
      <c r="B182" t="s">
        <v>900</v>
      </c>
      <c r="C182" s="69">
        <v>29118.39</v>
      </c>
      <c r="D182"/>
    </row>
    <row r="183" spans="1:4">
      <c r="A183">
        <v>91801</v>
      </c>
      <c r="B183" t="s">
        <v>901</v>
      </c>
      <c r="C183" s="69">
        <v>4864579.03</v>
      </c>
      <c r="D183"/>
    </row>
    <row r="184" spans="1:4">
      <c r="A184">
        <v>91804</v>
      </c>
      <c r="B184" t="s">
        <v>902</v>
      </c>
      <c r="C184" s="69">
        <v>136223.12</v>
      </c>
      <c r="D184"/>
    </row>
    <row r="185" spans="1:4">
      <c r="A185">
        <v>91811</v>
      </c>
      <c r="B185" t="s">
        <v>903</v>
      </c>
      <c r="C185" s="69">
        <v>2669664.64</v>
      </c>
      <c r="D185"/>
    </row>
    <row r="186" spans="1:4">
      <c r="A186">
        <v>91812</v>
      </c>
      <c r="B186" t="s">
        <v>904</v>
      </c>
      <c r="C186" s="69">
        <v>41765.819999999992</v>
      </c>
      <c r="D186"/>
    </row>
    <row r="187" spans="1:4">
      <c r="A187">
        <v>91813</v>
      </c>
      <c r="B187" t="s">
        <v>905</v>
      </c>
      <c r="C187" s="69">
        <v>55402.630000000005</v>
      </c>
      <c r="D187"/>
    </row>
    <row r="188" spans="1:4">
      <c r="A188">
        <v>91818</v>
      </c>
      <c r="B188" t="s">
        <v>906</v>
      </c>
      <c r="C188" s="69">
        <v>282995.20000000001</v>
      </c>
      <c r="D188"/>
    </row>
    <row r="189" spans="1:4">
      <c r="A189">
        <v>91819</v>
      </c>
      <c r="B189" t="s">
        <v>907</v>
      </c>
      <c r="C189" s="69">
        <v>188575.83000000002</v>
      </c>
      <c r="D189"/>
    </row>
    <row r="190" spans="1:4">
      <c r="A190">
        <v>91821</v>
      </c>
      <c r="B190" t="s">
        <v>908</v>
      </c>
      <c r="C190" s="69">
        <v>95923.86</v>
      </c>
      <c r="D190"/>
    </row>
    <row r="191" spans="1:4">
      <c r="A191">
        <v>91831</v>
      </c>
      <c r="B191" t="s">
        <v>909</v>
      </c>
      <c r="C191" s="69">
        <v>253038.24000000002</v>
      </c>
      <c r="D191"/>
    </row>
    <row r="192" spans="1:4">
      <c r="A192">
        <v>91841</v>
      </c>
      <c r="B192" t="s">
        <v>910</v>
      </c>
      <c r="C192" s="69">
        <v>170180.13</v>
      </c>
      <c r="D192"/>
    </row>
    <row r="193" spans="1:4">
      <c r="A193">
        <v>91851</v>
      </c>
      <c r="B193" t="s">
        <v>911</v>
      </c>
      <c r="C193" s="69">
        <v>458587.1</v>
      </c>
      <c r="D193"/>
    </row>
    <row r="194" spans="1:4">
      <c r="A194">
        <v>91861</v>
      </c>
      <c r="B194" t="s">
        <v>912</v>
      </c>
      <c r="C194" s="69">
        <v>4376.1099999999997</v>
      </c>
      <c r="D194"/>
    </row>
    <row r="195" spans="1:4">
      <c r="A195">
        <v>91871</v>
      </c>
      <c r="B195" t="s">
        <v>913</v>
      </c>
      <c r="C195" s="69">
        <v>824136.25000000012</v>
      </c>
      <c r="D195"/>
    </row>
    <row r="196" spans="1:4">
      <c r="A196">
        <v>91881</v>
      </c>
      <c r="B196" t="s">
        <v>914</v>
      </c>
      <c r="C196" s="69">
        <v>11127.06</v>
      </c>
      <c r="D196"/>
    </row>
    <row r="197" spans="1:4">
      <c r="A197">
        <v>91901</v>
      </c>
      <c r="B197" t="s">
        <v>915</v>
      </c>
      <c r="C197" s="69">
        <v>2277508.2700000005</v>
      </c>
      <c r="D197"/>
    </row>
    <row r="198" spans="1:4">
      <c r="A198">
        <v>91903</v>
      </c>
      <c r="B198" t="s">
        <v>916</v>
      </c>
      <c r="C198" s="69">
        <v>7802.52</v>
      </c>
      <c r="D198"/>
    </row>
    <row r="199" spans="1:4">
      <c r="A199">
        <v>91904</v>
      </c>
      <c r="B199" t="s">
        <v>917</v>
      </c>
      <c r="C199" s="69">
        <v>27229.47</v>
      </c>
      <c r="D199"/>
    </row>
    <row r="200" spans="1:4">
      <c r="A200">
        <v>91908</v>
      </c>
      <c r="B200" t="s">
        <v>918</v>
      </c>
      <c r="C200" s="69">
        <v>6293.5000000000009</v>
      </c>
      <c r="D200"/>
    </row>
    <row r="201" spans="1:4">
      <c r="A201">
        <v>91911</v>
      </c>
      <c r="B201" t="s">
        <v>919</v>
      </c>
      <c r="C201" s="69">
        <v>331077.67</v>
      </c>
      <c r="D201"/>
    </row>
    <row r="202" spans="1:4">
      <c r="A202">
        <v>91917</v>
      </c>
      <c r="B202" t="s">
        <v>920</v>
      </c>
      <c r="C202" s="69">
        <v>10118.109999999999</v>
      </c>
      <c r="D202"/>
    </row>
    <row r="203" spans="1:4">
      <c r="A203">
        <v>91921</v>
      </c>
      <c r="B203" t="s">
        <v>921</v>
      </c>
      <c r="C203" s="69">
        <v>233100.02000000002</v>
      </c>
      <c r="D203"/>
    </row>
    <row r="204" spans="1:4">
      <c r="A204">
        <v>92001</v>
      </c>
      <c r="B204" t="s">
        <v>922</v>
      </c>
      <c r="C204" s="69">
        <v>1108734.2599999998</v>
      </c>
      <c r="D204"/>
    </row>
    <row r="205" spans="1:4">
      <c r="A205">
        <v>92005</v>
      </c>
      <c r="B205" t="s">
        <v>923</v>
      </c>
      <c r="C205" s="69">
        <v>25779.030000000002</v>
      </c>
      <c r="D205"/>
    </row>
    <row r="206" spans="1:4">
      <c r="A206">
        <v>92011</v>
      </c>
      <c r="B206" t="s">
        <v>924</v>
      </c>
      <c r="C206" s="69">
        <v>119422.65000000001</v>
      </c>
      <c r="D206"/>
    </row>
    <row r="207" spans="1:4">
      <c r="A207">
        <v>92017</v>
      </c>
      <c r="B207" t="s">
        <v>925</v>
      </c>
      <c r="C207" s="69">
        <v>24320.480000000003</v>
      </c>
      <c r="D207"/>
    </row>
    <row r="208" spans="1:4">
      <c r="A208">
        <v>92021</v>
      </c>
      <c r="B208" t="s">
        <v>926</v>
      </c>
      <c r="C208" s="69">
        <v>65514.12999999999</v>
      </c>
      <c r="D208"/>
    </row>
    <row r="209" spans="1:4">
      <c r="A209">
        <v>92101</v>
      </c>
      <c r="B209" t="s">
        <v>927</v>
      </c>
      <c r="C209" s="69">
        <v>491207.57999999996</v>
      </c>
      <c r="D209"/>
    </row>
    <row r="210" spans="1:4">
      <c r="A210">
        <v>92104</v>
      </c>
      <c r="B210" t="s">
        <v>928</v>
      </c>
      <c r="C210" s="69">
        <v>6913.6500000000015</v>
      </c>
      <c r="D210"/>
    </row>
    <row r="211" spans="1:4">
      <c r="A211">
        <v>92109</v>
      </c>
      <c r="B211" t="s">
        <v>929</v>
      </c>
      <c r="C211" s="69">
        <v>112580.98000000001</v>
      </c>
      <c r="D211"/>
    </row>
    <row r="212" spans="1:4">
      <c r="A212">
        <v>92111</v>
      </c>
      <c r="B212" t="s">
        <v>930</v>
      </c>
      <c r="C212" s="69">
        <v>319891.04000000004</v>
      </c>
      <c r="D212"/>
    </row>
    <row r="213" spans="1:4">
      <c r="A213">
        <v>92113</v>
      </c>
      <c r="B213" t="s">
        <v>931</v>
      </c>
      <c r="C213" s="69">
        <v>16522.97</v>
      </c>
      <c r="D213"/>
    </row>
    <row r="214" spans="1:4">
      <c r="A214">
        <v>92201</v>
      </c>
      <c r="B214" t="s">
        <v>932</v>
      </c>
      <c r="C214" s="69">
        <v>600417.24</v>
      </c>
      <c r="D214"/>
    </row>
    <row r="215" spans="1:4">
      <c r="A215">
        <v>92214</v>
      </c>
      <c r="B215" t="s">
        <v>1931</v>
      </c>
      <c r="C215" s="69">
        <v>12000.039999999999</v>
      </c>
      <c r="D215"/>
    </row>
    <row r="216" spans="1:4">
      <c r="A216">
        <v>92301</v>
      </c>
      <c r="B216" t="s">
        <v>933</v>
      </c>
      <c r="C216" s="69">
        <v>3314829.22</v>
      </c>
      <c r="D216"/>
    </row>
    <row r="217" spans="1:4">
      <c r="A217">
        <v>92302</v>
      </c>
      <c r="B217" t="s">
        <v>934</v>
      </c>
      <c r="C217" s="69">
        <v>187889.39</v>
      </c>
      <c r="D217"/>
    </row>
    <row r="218" spans="1:4">
      <c r="A218">
        <v>92311</v>
      </c>
      <c r="B218" t="s">
        <v>935</v>
      </c>
      <c r="C218" s="69">
        <v>1405326.9200000002</v>
      </c>
      <c r="D218"/>
    </row>
    <row r="219" spans="1:4">
      <c r="A219">
        <v>92317</v>
      </c>
      <c r="B219" t="s">
        <v>936</v>
      </c>
      <c r="C219" s="69">
        <v>30422.369999999995</v>
      </c>
      <c r="D219"/>
    </row>
    <row r="220" spans="1:4">
      <c r="A220">
        <v>92321</v>
      </c>
      <c r="B220" t="s">
        <v>937</v>
      </c>
      <c r="C220" s="69">
        <v>836037.19</v>
      </c>
      <c r="D220"/>
    </row>
    <row r="221" spans="1:4">
      <c r="A221">
        <v>92327</v>
      </c>
      <c r="B221" t="s">
        <v>938</v>
      </c>
      <c r="C221" s="69">
        <v>9362.6899999999987</v>
      </c>
      <c r="D221"/>
    </row>
    <row r="222" spans="1:4">
      <c r="A222">
        <v>92331</v>
      </c>
      <c r="B222" t="s">
        <v>939</v>
      </c>
      <c r="C222" s="69">
        <v>107013.37</v>
      </c>
      <c r="D222"/>
    </row>
    <row r="223" spans="1:4">
      <c r="A223">
        <v>92341</v>
      </c>
      <c r="B223" t="s">
        <v>940</v>
      </c>
      <c r="C223" s="69">
        <v>3979.12</v>
      </c>
      <c r="D223"/>
    </row>
    <row r="224" spans="1:4">
      <c r="A224">
        <v>92351</v>
      </c>
      <c r="B224" t="s">
        <v>941</v>
      </c>
      <c r="C224" s="69">
        <v>16488.38</v>
      </c>
      <c r="D224"/>
    </row>
    <row r="225" spans="1:4">
      <c r="A225">
        <v>92401</v>
      </c>
      <c r="B225" t="s">
        <v>942</v>
      </c>
      <c r="C225" s="69">
        <v>1620314.7599999998</v>
      </c>
      <c r="D225"/>
    </row>
    <row r="226" spans="1:4">
      <c r="A226">
        <v>92403</v>
      </c>
      <c r="B226" t="s">
        <v>943</v>
      </c>
      <c r="C226" s="69">
        <v>9547.0499999999993</v>
      </c>
      <c r="D226"/>
    </row>
    <row r="227" spans="1:4">
      <c r="A227">
        <v>92411</v>
      </c>
      <c r="B227" t="s">
        <v>944</v>
      </c>
      <c r="C227" s="69">
        <v>279728.70999999996</v>
      </c>
      <c r="D227"/>
    </row>
    <row r="228" spans="1:4">
      <c r="A228">
        <v>92417</v>
      </c>
      <c r="B228" t="s">
        <v>945</v>
      </c>
      <c r="C228" s="69">
        <v>6472.33</v>
      </c>
      <c r="D228"/>
    </row>
    <row r="229" spans="1:4">
      <c r="A229">
        <v>92421</v>
      </c>
      <c r="B229" t="s">
        <v>946</v>
      </c>
      <c r="C229" s="69">
        <v>10478.530000000001</v>
      </c>
      <c r="D229"/>
    </row>
    <row r="230" spans="1:4">
      <c r="A230">
        <v>92427</v>
      </c>
      <c r="B230" t="s">
        <v>947</v>
      </c>
      <c r="C230" s="69">
        <v>2074.0799999999995</v>
      </c>
      <c r="D230"/>
    </row>
    <row r="231" spans="1:4">
      <c r="A231">
        <v>92431</v>
      </c>
      <c r="B231" t="s">
        <v>948</v>
      </c>
      <c r="C231" s="69">
        <v>21856.260000000002</v>
      </c>
      <c r="D231"/>
    </row>
    <row r="232" spans="1:4">
      <c r="A232">
        <v>92441</v>
      </c>
      <c r="B232" t="s">
        <v>949</v>
      </c>
      <c r="C232" s="69">
        <v>60545.869999999995</v>
      </c>
      <c r="D232"/>
    </row>
    <row r="233" spans="1:4">
      <c r="A233">
        <v>92444</v>
      </c>
      <c r="B233" t="s">
        <v>950</v>
      </c>
      <c r="C233" s="69">
        <v>5366.8200000000006</v>
      </c>
      <c r="D233"/>
    </row>
    <row r="234" spans="1:4">
      <c r="A234">
        <v>92451</v>
      </c>
      <c r="B234" t="s">
        <v>951</v>
      </c>
      <c r="C234" s="69">
        <v>94890.77</v>
      </c>
      <c r="D234"/>
    </row>
    <row r="235" spans="1:4">
      <c r="A235">
        <v>92461</v>
      </c>
      <c r="B235" t="s">
        <v>952</v>
      </c>
      <c r="C235" s="69">
        <v>49359.790000000008</v>
      </c>
      <c r="D235"/>
    </row>
    <row r="236" spans="1:4">
      <c r="A236">
        <v>92501</v>
      </c>
      <c r="B236" t="s">
        <v>953</v>
      </c>
      <c r="C236" s="69">
        <v>2704272.2500000005</v>
      </c>
      <c r="D236"/>
    </row>
    <row r="237" spans="1:4">
      <c r="A237">
        <v>92502</v>
      </c>
      <c r="B237" t="s">
        <v>954</v>
      </c>
      <c r="C237" s="69">
        <v>17990</v>
      </c>
      <c r="D237"/>
    </row>
    <row r="238" spans="1:4">
      <c r="A238">
        <v>92504</v>
      </c>
      <c r="B238" t="s">
        <v>955</v>
      </c>
      <c r="C238" s="69">
        <v>67212.990000000005</v>
      </c>
      <c r="D238"/>
    </row>
    <row r="239" spans="1:4">
      <c r="A239">
        <v>92505</v>
      </c>
      <c r="B239" t="s">
        <v>956</v>
      </c>
      <c r="C239" s="69">
        <v>161996.82000000004</v>
      </c>
      <c r="D239"/>
    </row>
    <row r="240" spans="1:4">
      <c r="A240">
        <v>92506</v>
      </c>
      <c r="B240" t="s">
        <v>957</v>
      </c>
      <c r="C240" s="69">
        <v>48154.380000000005</v>
      </c>
      <c r="D240"/>
    </row>
    <row r="241" spans="1:4">
      <c r="A241">
        <v>92507</v>
      </c>
      <c r="B241" t="s">
        <v>958</v>
      </c>
      <c r="C241" s="69">
        <v>60642.869999999995</v>
      </c>
      <c r="D241"/>
    </row>
    <row r="242" spans="1:4">
      <c r="A242">
        <v>92508</v>
      </c>
      <c r="B242" t="s">
        <v>959</v>
      </c>
      <c r="C242" s="69">
        <v>222925.09</v>
      </c>
      <c r="D242"/>
    </row>
    <row r="243" spans="1:4">
      <c r="A243">
        <v>92509</v>
      </c>
      <c r="B243" t="s">
        <v>3775</v>
      </c>
      <c r="C243" s="69">
        <v>0</v>
      </c>
      <c r="D243"/>
    </row>
    <row r="244" spans="1:4">
      <c r="A244">
        <v>92511</v>
      </c>
      <c r="B244" t="s">
        <v>960</v>
      </c>
      <c r="C244" s="69">
        <v>2099499.12</v>
      </c>
      <c r="D244"/>
    </row>
    <row r="245" spans="1:4">
      <c r="A245">
        <v>92513</v>
      </c>
      <c r="B245" t="s">
        <v>961</v>
      </c>
      <c r="C245" s="69">
        <v>2336920.4300000002</v>
      </c>
      <c r="D245"/>
    </row>
    <row r="246" spans="1:4">
      <c r="A246">
        <v>92521</v>
      </c>
      <c r="B246" t="s">
        <v>962</v>
      </c>
      <c r="C246" s="69">
        <v>49229.399999999994</v>
      </c>
      <c r="D246"/>
    </row>
    <row r="247" spans="1:4">
      <c r="A247">
        <v>92531</v>
      </c>
      <c r="B247" t="s">
        <v>963</v>
      </c>
      <c r="C247" s="69">
        <v>491813.33</v>
      </c>
      <c r="D247"/>
    </row>
    <row r="248" spans="1:4">
      <c r="A248">
        <v>92541</v>
      </c>
      <c r="B248" t="s">
        <v>964</v>
      </c>
      <c r="C248" s="69">
        <v>88984.900000000009</v>
      </c>
      <c r="D248"/>
    </row>
    <row r="249" spans="1:4">
      <c r="A249">
        <v>92551</v>
      </c>
      <c r="B249" t="s">
        <v>965</v>
      </c>
      <c r="C249" s="69">
        <v>29437.090000000004</v>
      </c>
      <c r="D249"/>
    </row>
    <row r="250" spans="1:4">
      <c r="A250">
        <v>92561</v>
      </c>
      <c r="B250" t="s">
        <v>966</v>
      </c>
      <c r="C250" s="69">
        <v>10293.59</v>
      </c>
      <c r="D250"/>
    </row>
    <row r="251" spans="1:4">
      <c r="A251">
        <v>92571</v>
      </c>
      <c r="B251" t="s">
        <v>967</v>
      </c>
      <c r="C251" s="69">
        <v>5037.6000000000004</v>
      </c>
      <c r="D251"/>
    </row>
    <row r="252" spans="1:4">
      <c r="A252">
        <v>92601</v>
      </c>
      <c r="B252" t="s">
        <v>968</v>
      </c>
      <c r="C252" s="69">
        <v>8352943</v>
      </c>
      <c r="D252"/>
    </row>
    <row r="253" spans="1:4">
      <c r="A253">
        <v>92602</v>
      </c>
      <c r="B253" t="s">
        <v>969</v>
      </c>
      <c r="C253" s="69">
        <v>2986.6799999999994</v>
      </c>
      <c r="D253"/>
    </row>
    <row r="254" spans="1:4">
      <c r="A254">
        <v>92604</v>
      </c>
      <c r="B254" t="s">
        <v>970</v>
      </c>
      <c r="C254" s="69">
        <v>242790.09000000003</v>
      </c>
      <c r="D254"/>
    </row>
    <row r="255" spans="1:4">
      <c r="A255">
        <v>92607</v>
      </c>
      <c r="B255" t="s">
        <v>971</v>
      </c>
      <c r="C255" s="69">
        <v>48044.23</v>
      </c>
      <c r="D255"/>
    </row>
    <row r="256" spans="1:4">
      <c r="A256">
        <v>92608</v>
      </c>
      <c r="B256" t="s">
        <v>3718</v>
      </c>
      <c r="C256" s="69">
        <v>0</v>
      </c>
      <c r="D256"/>
    </row>
    <row r="257" spans="1:4">
      <c r="A257">
        <v>92611</v>
      </c>
      <c r="B257" t="s">
        <v>973</v>
      </c>
      <c r="C257" s="69">
        <v>7063777.96</v>
      </c>
      <c r="D257"/>
    </row>
    <row r="258" spans="1:4">
      <c r="A258">
        <v>92613</v>
      </c>
      <c r="B258" t="s">
        <v>974</v>
      </c>
      <c r="C258" s="69">
        <v>180590.88</v>
      </c>
      <c r="D258"/>
    </row>
    <row r="259" spans="1:4">
      <c r="A259">
        <v>92614</v>
      </c>
      <c r="B259" t="s">
        <v>975</v>
      </c>
      <c r="C259" s="69">
        <v>3960299.05</v>
      </c>
      <c r="D259"/>
    </row>
    <row r="260" spans="1:4">
      <c r="A260">
        <v>92621</v>
      </c>
      <c r="B260" t="s">
        <v>976</v>
      </c>
      <c r="C260" s="69">
        <v>19069.68</v>
      </c>
      <c r="D260"/>
    </row>
    <row r="261" spans="1:4">
      <c r="A261">
        <v>92631</v>
      </c>
      <c r="B261" t="s">
        <v>977</v>
      </c>
      <c r="C261" s="69">
        <v>532576.46</v>
      </c>
      <c r="D261"/>
    </row>
    <row r="262" spans="1:4">
      <c r="A262">
        <v>92641</v>
      </c>
      <c r="B262" t="s">
        <v>978</v>
      </c>
      <c r="C262" s="69">
        <v>9750.8999999999978</v>
      </c>
      <c r="D262"/>
    </row>
    <row r="263" spans="1:4">
      <c r="A263">
        <v>92651</v>
      </c>
      <c r="B263" t="s">
        <v>979</v>
      </c>
      <c r="C263" s="69">
        <v>3127.24</v>
      </c>
      <c r="D263"/>
    </row>
    <row r="264" spans="1:4">
      <c r="A264">
        <v>92661</v>
      </c>
      <c r="B264" t="s">
        <v>980</v>
      </c>
      <c r="C264" s="69">
        <v>394907.72000000009</v>
      </c>
      <c r="D264"/>
    </row>
    <row r="265" spans="1:4">
      <c r="A265">
        <v>92671</v>
      </c>
      <c r="B265" t="s">
        <v>981</v>
      </c>
      <c r="C265" s="69">
        <v>3726.4700000000003</v>
      </c>
      <c r="D265"/>
    </row>
    <row r="266" spans="1:4">
      <c r="A266">
        <v>92681</v>
      </c>
      <c r="B266" t="s">
        <v>982</v>
      </c>
      <c r="C266" s="69">
        <v>5684.579999999999</v>
      </c>
      <c r="D266"/>
    </row>
    <row r="267" spans="1:4">
      <c r="A267">
        <v>92701</v>
      </c>
      <c r="B267" t="s">
        <v>983</v>
      </c>
      <c r="C267" s="69">
        <v>1773313.1899999997</v>
      </c>
      <c r="D267"/>
    </row>
    <row r="268" spans="1:4">
      <c r="A268">
        <v>92704</v>
      </c>
      <c r="B268" t="s">
        <v>984</v>
      </c>
      <c r="C268" s="69">
        <v>24562.93</v>
      </c>
      <c r="D268"/>
    </row>
    <row r="269" spans="1:4">
      <c r="A269">
        <v>92801</v>
      </c>
      <c r="B269" t="s">
        <v>985</v>
      </c>
      <c r="C269" s="69">
        <v>3495037.6999999997</v>
      </c>
      <c r="D269"/>
    </row>
    <row r="270" spans="1:4">
      <c r="A270">
        <v>92802</v>
      </c>
      <c r="B270" t="s">
        <v>986</v>
      </c>
      <c r="C270" s="69">
        <v>70964.25</v>
      </c>
      <c r="D270"/>
    </row>
    <row r="271" spans="1:4">
      <c r="A271">
        <v>92804</v>
      </c>
      <c r="B271" t="s">
        <v>987</v>
      </c>
      <c r="C271" s="69">
        <v>87958.780000000013</v>
      </c>
      <c r="D271"/>
    </row>
    <row r="272" spans="1:4">
      <c r="A272">
        <v>92811</v>
      </c>
      <c r="B272" t="s">
        <v>988</v>
      </c>
      <c r="C272" s="69">
        <v>605801.36</v>
      </c>
      <c r="D272"/>
    </row>
    <row r="273" spans="1:4">
      <c r="A273">
        <v>92821</v>
      </c>
      <c r="B273" t="s">
        <v>989</v>
      </c>
      <c r="C273" s="69">
        <v>663912.71</v>
      </c>
      <c r="D273"/>
    </row>
    <row r="274" spans="1:4">
      <c r="A274">
        <v>92831</v>
      </c>
      <c r="B274" t="s">
        <v>990</v>
      </c>
      <c r="C274" s="69">
        <v>188011.19</v>
      </c>
      <c r="D274"/>
    </row>
    <row r="275" spans="1:4">
      <c r="A275">
        <v>92841</v>
      </c>
      <c r="B275" t="s">
        <v>991</v>
      </c>
      <c r="C275" s="69">
        <v>143849.45000000001</v>
      </c>
      <c r="D275"/>
    </row>
    <row r="276" spans="1:4">
      <c r="A276">
        <v>92851</v>
      </c>
      <c r="B276" t="s">
        <v>992</v>
      </c>
      <c r="C276" s="69">
        <v>233969.76999999996</v>
      </c>
      <c r="D276"/>
    </row>
    <row r="277" spans="1:4">
      <c r="A277">
        <v>92861</v>
      </c>
      <c r="B277" t="s">
        <v>993</v>
      </c>
      <c r="C277" s="69">
        <v>202744.57000000004</v>
      </c>
      <c r="D277"/>
    </row>
    <row r="278" spans="1:4">
      <c r="A278">
        <v>92901</v>
      </c>
      <c r="B278" t="s">
        <v>994</v>
      </c>
      <c r="C278" s="69">
        <v>3521298.9499999997</v>
      </c>
      <c r="D278"/>
    </row>
    <row r="279" spans="1:4">
      <c r="A279">
        <v>92911</v>
      </c>
      <c r="B279" t="s">
        <v>995</v>
      </c>
      <c r="C279" s="69">
        <v>1269653.29</v>
      </c>
      <c r="D279"/>
    </row>
    <row r="280" spans="1:4">
      <c r="A280">
        <v>92913</v>
      </c>
      <c r="B280" t="s">
        <v>996</v>
      </c>
      <c r="C280" s="69">
        <v>22305.5</v>
      </c>
      <c r="D280"/>
    </row>
    <row r="281" spans="1:4">
      <c r="A281">
        <v>92914</v>
      </c>
      <c r="B281" t="s">
        <v>997</v>
      </c>
      <c r="C281" s="69">
        <v>22153.519999999997</v>
      </c>
      <c r="D281"/>
    </row>
    <row r="282" spans="1:4">
      <c r="A282">
        <v>92917</v>
      </c>
      <c r="B282" t="s">
        <v>998</v>
      </c>
      <c r="C282" s="69">
        <v>19303.399999999998</v>
      </c>
      <c r="D282"/>
    </row>
    <row r="283" spans="1:4">
      <c r="A283">
        <v>92921</v>
      </c>
      <c r="B283" t="s">
        <v>999</v>
      </c>
      <c r="C283" s="69">
        <v>67647.76999999999</v>
      </c>
      <c r="D283"/>
    </row>
    <row r="284" spans="1:4">
      <c r="A284">
        <v>92931</v>
      </c>
      <c r="B284" t="s">
        <v>1000</v>
      </c>
      <c r="C284" s="69">
        <v>1422920.1700000002</v>
      </c>
      <c r="D284"/>
    </row>
    <row r="285" spans="1:4">
      <c r="A285">
        <v>92941</v>
      </c>
      <c r="B285" t="s">
        <v>81</v>
      </c>
      <c r="C285" s="69">
        <v>3380.9600000000005</v>
      </c>
      <c r="D285"/>
    </row>
    <row r="286" spans="1:4">
      <c r="A286">
        <v>93001</v>
      </c>
      <c r="B286" t="s">
        <v>1001</v>
      </c>
      <c r="C286" s="69">
        <v>1412038.75</v>
      </c>
      <c r="D286"/>
    </row>
    <row r="287" spans="1:4">
      <c r="A287">
        <v>93009</v>
      </c>
      <c r="B287" t="s">
        <v>1002</v>
      </c>
      <c r="C287" s="69">
        <v>6656.2899999999991</v>
      </c>
      <c r="D287"/>
    </row>
    <row r="288" spans="1:4">
      <c r="A288">
        <v>93011</v>
      </c>
      <c r="B288" t="s">
        <v>1003</v>
      </c>
      <c r="C288" s="69">
        <v>184720.22</v>
      </c>
      <c r="D288"/>
    </row>
    <row r="289" spans="1:4">
      <c r="A289">
        <v>93021</v>
      </c>
      <c r="B289" t="s">
        <v>1004</v>
      </c>
      <c r="C289" s="69">
        <v>17952.760000000002</v>
      </c>
      <c r="D289"/>
    </row>
    <row r="290" spans="1:4">
      <c r="A290">
        <v>93028</v>
      </c>
      <c r="B290" t="s">
        <v>3615</v>
      </c>
      <c r="C290" s="69">
        <v>11299.000000000002</v>
      </c>
      <c r="D290"/>
    </row>
    <row r="291" spans="1:4">
      <c r="A291">
        <v>93027</v>
      </c>
      <c r="B291" t="s">
        <v>1005</v>
      </c>
      <c r="C291" s="69">
        <v>0</v>
      </c>
      <c r="D291"/>
    </row>
    <row r="292" spans="1:4">
      <c r="A292">
        <v>93031</v>
      </c>
      <c r="B292" t="s">
        <v>1006</v>
      </c>
      <c r="C292" s="69">
        <v>3464.6000000000004</v>
      </c>
      <c r="D292"/>
    </row>
    <row r="293" spans="1:4">
      <c r="A293">
        <v>93101</v>
      </c>
      <c r="B293" t="s">
        <v>1007</v>
      </c>
      <c r="C293" s="69">
        <v>1849535.31</v>
      </c>
      <c r="D293"/>
    </row>
    <row r="294" spans="1:4">
      <c r="A294">
        <v>93103</v>
      </c>
      <c r="B294" t="s">
        <v>260</v>
      </c>
      <c r="C294" s="69">
        <v>4420.3600000000006</v>
      </c>
      <c r="D294"/>
    </row>
    <row r="295" spans="1:4">
      <c r="A295">
        <v>93108</v>
      </c>
      <c r="B295" t="s">
        <v>1008</v>
      </c>
      <c r="C295" s="69">
        <v>1456240.4399999997</v>
      </c>
      <c r="D295"/>
    </row>
    <row r="296" spans="1:4">
      <c r="A296">
        <v>93111</v>
      </c>
      <c r="B296" t="s">
        <v>1009</v>
      </c>
      <c r="C296" s="69">
        <v>35185.159999999996</v>
      </c>
      <c r="D296"/>
    </row>
    <row r="297" spans="1:4">
      <c r="A297">
        <v>93121</v>
      </c>
      <c r="B297" t="s">
        <v>1010</v>
      </c>
      <c r="C297" s="69">
        <v>39979.32</v>
      </c>
      <c r="D297"/>
    </row>
    <row r="298" spans="1:4">
      <c r="A298">
        <v>93127</v>
      </c>
      <c r="B298" t="s">
        <v>1011</v>
      </c>
      <c r="C298" s="69">
        <v>4166.3100000000004</v>
      </c>
      <c r="D298"/>
    </row>
    <row r="299" spans="1:4">
      <c r="A299">
        <v>93131</v>
      </c>
      <c r="B299" t="s">
        <v>1012</v>
      </c>
      <c r="C299" s="69">
        <v>118911.71999999999</v>
      </c>
      <c r="D299"/>
    </row>
    <row r="300" spans="1:4">
      <c r="A300">
        <v>93137</v>
      </c>
      <c r="B300" t="s">
        <v>1013</v>
      </c>
      <c r="C300" s="69">
        <v>3744.45</v>
      </c>
      <c r="D300"/>
    </row>
    <row r="301" spans="1:4">
      <c r="A301">
        <v>93141</v>
      </c>
      <c r="B301" t="s">
        <v>1014</v>
      </c>
      <c r="C301" s="69">
        <v>21807.799999999996</v>
      </c>
      <c r="D301"/>
    </row>
    <row r="302" spans="1:4">
      <c r="A302">
        <v>93151</v>
      </c>
      <c r="B302" t="s">
        <v>1015</v>
      </c>
      <c r="C302" s="69">
        <v>200116.66000000003</v>
      </c>
      <c r="D302"/>
    </row>
    <row r="303" spans="1:4">
      <c r="A303">
        <v>93157</v>
      </c>
      <c r="B303" t="s">
        <v>1016</v>
      </c>
      <c r="C303" s="69">
        <v>7181.4</v>
      </c>
      <c r="D303"/>
    </row>
    <row r="304" spans="1:4">
      <c r="A304">
        <v>93161</v>
      </c>
      <c r="B304" t="s">
        <v>1017</v>
      </c>
      <c r="C304" s="69">
        <v>64015.369999999995</v>
      </c>
      <c r="D304"/>
    </row>
    <row r="305" spans="1:4">
      <c r="A305">
        <v>93171</v>
      </c>
      <c r="B305" t="s">
        <v>1018</v>
      </c>
      <c r="C305" s="69">
        <v>7023.5500000000011</v>
      </c>
      <c r="D305"/>
    </row>
    <row r="306" spans="1:4">
      <c r="A306">
        <v>93181</v>
      </c>
      <c r="B306" t="s">
        <v>1019</v>
      </c>
      <c r="C306" s="69">
        <v>7608.1399999999994</v>
      </c>
      <c r="D306"/>
    </row>
    <row r="307" spans="1:4">
      <c r="A307">
        <v>93191</v>
      </c>
      <c r="B307" t="s">
        <v>1020</v>
      </c>
      <c r="C307" s="69">
        <v>23171.02</v>
      </c>
      <c r="D307"/>
    </row>
    <row r="308" spans="1:4">
      <c r="A308">
        <v>93201</v>
      </c>
      <c r="B308" t="s">
        <v>1021</v>
      </c>
      <c r="C308" s="69">
        <v>9167962.3000000007</v>
      </c>
      <c r="D308"/>
    </row>
    <row r="309" spans="1:4">
      <c r="A309">
        <v>93202</v>
      </c>
      <c r="B309" t="s">
        <v>1022</v>
      </c>
      <c r="C309" s="69">
        <v>0</v>
      </c>
      <c r="D309"/>
    </row>
    <row r="310" spans="1:4">
      <c r="A310">
        <v>93204</v>
      </c>
      <c r="B310" t="s">
        <v>1023</v>
      </c>
      <c r="C310" s="69">
        <v>192514.34</v>
      </c>
      <c r="D310"/>
    </row>
    <row r="311" spans="1:4">
      <c r="A311">
        <v>93209</v>
      </c>
      <c r="B311" t="s">
        <v>3729</v>
      </c>
      <c r="C311" s="69">
        <v>3147884.7800000007</v>
      </c>
      <c r="D311"/>
    </row>
    <row r="312" spans="1:4">
      <c r="A312">
        <v>93211</v>
      </c>
      <c r="B312" t="s">
        <v>1025</v>
      </c>
      <c r="C312" s="69">
        <v>14075156.090000002</v>
      </c>
      <c r="D312"/>
    </row>
    <row r="313" spans="1:4">
      <c r="A313">
        <v>93212</v>
      </c>
      <c r="B313" t="s">
        <v>1026</v>
      </c>
      <c r="C313" s="69">
        <v>167505.19</v>
      </c>
      <c r="D313"/>
    </row>
    <row r="314" spans="1:4">
      <c r="A314">
        <v>93219</v>
      </c>
      <c r="B314" t="s">
        <v>1027</v>
      </c>
      <c r="C314" s="69">
        <v>177379.81000000003</v>
      </c>
      <c r="D314"/>
    </row>
    <row r="315" spans="1:4">
      <c r="A315">
        <v>93301</v>
      </c>
      <c r="B315" t="s">
        <v>1028</v>
      </c>
      <c r="C315" s="69">
        <v>1426685.5400000005</v>
      </c>
      <c r="D315"/>
    </row>
    <row r="316" spans="1:4">
      <c r="A316">
        <v>93304</v>
      </c>
      <c r="B316" t="s">
        <v>1029</v>
      </c>
      <c r="C316" s="69">
        <v>33727.629999999997</v>
      </c>
      <c r="D316"/>
    </row>
    <row r="317" spans="1:4">
      <c r="A317">
        <v>93305</v>
      </c>
      <c r="B317" t="s">
        <v>1030</v>
      </c>
      <c r="C317" s="69">
        <v>23197.780000000006</v>
      </c>
      <c r="D317"/>
    </row>
    <row r="318" spans="1:4">
      <c r="A318">
        <v>93309</v>
      </c>
      <c r="B318" t="s">
        <v>1031</v>
      </c>
      <c r="C318" s="69">
        <v>116550.99</v>
      </c>
      <c r="D318"/>
    </row>
    <row r="319" spans="1:4">
      <c r="A319">
        <v>93311</v>
      </c>
      <c r="B319" t="s">
        <v>1032</v>
      </c>
      <c r="C319" s="69">
        <v>757305.33</v>
      </c>
      <c r="D319"/>
    </row>
    <row r="320" spans="1:4">
      <c r="A320">
        <v>93317</v>
      </c>
      <c r="B320" t="s">
        <v>1033</v>
      </c>
      <c r="C320" s="69">
        <v>30804.35</v>
      </c>
      <c r="D320"/>
    </row>
    <row r="321" spans="1:4">
      <c r="A321">
        <v>93321</v>
      </c>
      <c r="B321" t="s">
        <v>1034</v>
      </c>
      <c r="C321" s="69">
        <v>4185162.5599999996</v>
      </c>
      <c r="D321"/>
    </row>
    <row r="322" spans="1:4">
      <c r="A322">
        <v>93323</v>
      </c>
      <c r="B322" t="s">
        <v>1035</v>
      </c>
      <c r="C322" s="69">
        <v>21465.690000000002</v>
      </c>
      <c r="D322"/>
    </row>
    <row r="323" spans="1:4">
      <c r="A323">
        <v>93331</v>
      </c>
      <c r="B323" t="s">
        <v>1036</v>
      </c>
      <c r="C323" s="69">
        <v>85382.45</v>
      </c>
      <c r="D323"/>
    </row>
    <row r="324" spans="1:4">
      <c r="A324">
        <v>93333</v>
      </c>
      <c r="B324" t="s">
        <v>1037</v>
      </c>
      <c r="C324" s="69">
        <v>154397.54000000004</v>
      </c>
      <c r="D324"/>
    </row>
    <row r="325" spans="1:4">
      <c r="A325">
        <v>93341</v>
      </c>
      <c r="B325" t="s">
        <v>1038</v>
      </c>
      <c r="C325" s="69">
        <v>17829.22</v>
      </c>
      <c r="D325"/>
    </row>
    <row r="326" spans="1:4">
      <c r="A326">
        <v>93351</v>
      </c>
      <c r="B326" t="s">
        <v>1039</v>
      </c>
      <c r="C326" s="69">
        <v>18333.82</v>
      </c>
      <c r="D326"/>
    </row>
    <row r="327" spans="1:4">
      <c r="A327">
        <v>93401</v>
      </c>
      <c r="B327" t="s">
        <v>1040</v>
      </c>
      <c r="C327" s="69">
        <v>8768293.9100000001</v>
      </c>
      <c r="D327"/>
    </row>
    <row r="328" spans="1:4">
      <c r="A328">
        <v>93402</v>
      </c>
      <c r="B328" t="s">
        <v>1041</v>
      </c>
      <c r="C328" s="69">
        <v>0</v>
      </c>
      <c r="D328"/>
    </row>
    <row r="329" spans="1:4">
      <c r="A329">
        <v>93406</v>
      </c>
      <c r="B329" t="s">
        <v>1042</v>
      </c>
      <c r="C329" s="69">
        <v>352185.08</v>
      </c>
      <c r="D329"/>
    </row>
    <row r="330" spans="1:4">
      <c r="A330">
        <v>93408</v>
      </c>
      <c r="B330" t="s">
        <v>1043</v>
      </c>
      <c r="C330" s="69">
        <v>0</v>
      </c>
      <c r="D330"/>
    </row>
    <row r="331" spans="1:4">
      <c r="A331">
        <v>93411</v>
      </c>
      <c r="B331" t="s">
        <v>1044</v>
      </c>
      <c r="C331" s="69">
        <v>11404697.990000002</v>
      </c>
      <c r="D331"/>
    </row>
    <row r="332" spans="1:4">
      <c r="A332">
        <v>93413</v>
      </c>
      <c r="B332" t="s">
        <v>1045</v>
      </c>
      <c r="C332" s="69">
        <v>441702.75</v>
      </c>
      <c r="D332"/>
    </row>
    <row r="333" spans="1:4">
      <c r="A333">
        <v>93417</v>
      </c>
      <c r="B333" t="s">
        <v>1046</v>
      </c>
      <c r="C333" s="69">
        <v>231214.15000000005</v>
      </c>
      <c r="D333"/>
    </row>
    <row r="334" spans="1:4">
      <c r="A334">
        <v>93421</v>
      </c>
      <c r="B334" t="s">
        <v>1047</v>
      </c>
      <c r="C334" s="69">
        <v>1203990.0999999999</v>
      </c>
      <c r="D334"/>
    </row>
    <row r="335" spans="1:4">
      <c r="A335">
        <v>93431</v>
      </c>
      <c r="B335" t="s">
        <v>1048</v>
      </c>
      <c r="C335" s="69">
        <v>85286.31</v>
      </c>
      <c r="D335"/>
    </row>
    <row r="336" spans="1:4">
      <c r="A336">
        <v>93441</v>
      </c>
      <c r="B336" t="s">
        <v>1049</v>
      </c>
      <c r="C336" s="69">
        <v>101953.15999999999</v>
      </c>
      <c r="D336"/>
    </row>
    <row r="337" spans="1:4">
      <c r="A337">
        <v>93442</v>
      </c>
      <c r="B337" t="s">
        <v>1050</v>
      </c>
      <c r="C337" s="69">
        <v>79845.62000000001</v>
      </c>
      <c r="D337"/>
    </row>
    <row r="338" spans="1:4">
      <c r="A338">
        <v>93451</v>
      </c>
      <c r="B338" t="s">
        <v>1051</v>
      </c>
      <c r="C338" s="69">
        <v>55842.22</v>
      </c>
      <c r="D338"/>
    </row>
    <row r="339" spans="1:4">
      <c r="A339">
        <v>93461</v>
      </c>
      <c r="B339" t="s">
        <v>1052</v>
      </c>
      <c r="C339" s="69">
        <v>9651</v>
      </c>
      <c r="D339"/>
    </row>
    <row r="340" spans="1:4">
      <c r="A340">
        <v>93471</v>
      </c>
      <c r="B340" t="s">
        <v>1053</v>
      </c>
      <c r="C340" s="69">
        <v>12867</v>
      </c>
      <c r="D340"/>
    </row>
    <row r="341" spans="1:4">
      <c r="A341">
        <v>93501</v>
      </c>
      <c r="B341" t="s">
        <v>1054</v>
      </c>
      <c r="C341" s="69">
        <v>2319860.36</v>
      </c>
      <c r="D341"/>
    </row>
    <row r="342" spans="1:4">
      <c r="A342">
        <v>93511</v>
      </c>
      <c r="B342" t="s">
        <v>1055</v>
      </c>
      <c r="C342" s="69">
        <v>54716.619999999995</v>
      </c>
      <c r="D342"/>
    </row>
    <row r="343" spans="1:4">
      <c r="A343">
        <v>93517</v>
      </c>
      <c r="B343" t="s">
        <v>1056</v>
      </c>
      <c r="C343" s="69">
        <v>5688.1200000000017</v>
      </c>
      <c r="D343"/>
    </row>
    <row r="344" spans="1:4">
      <c r="A344">
        <v>93521</v>
      </c>
      <c r="B344" t="s">
        <v>1057</v>
      </c>
      <c r="C344" s="69">
        <v>278759.18000000005</v>
      </c>
      <c r="D344"/>
    </row>
    <row r="345" spans="1:4">
      <c r="A345">
        <v>93527</v>
      </c>
      <c r="B345" t="s">
        <v>1058</v>
      </c>
      <c r="C345" s="69">
        <v>11868.65</v>
      </c>
      <c r="D345"/>
    </row>
    <row r="346" spans="1:4">
      <c r="A346">
        <v>93531</v>
      </c>
      <c r="B346" t="s">
        <v>1059</v>
      </c>
      <c r="C346" s="69">
        <v>17968.18</v>
      </c>
      <c r="D346"/>
    </row>
    <row r="347" spans="1:4">
      <c r="A347">
        <v>93537</v>
      </c>
      <c r="B347" t="s">
        <v>1060</v>
      </c>
      <c r="C347" s="69">
        <v>4967.9399999999996</v>
      </c>
      <c r="D347"/>
    </row>
    <row r="348" spans="1:4">
      <c r="A348">
        <v>93541</v>
      </c>
      <c r="B348" t="s">
        <v>1061</v>
      </c>
      <c r="C348" s="69">
        <v>88067.93</v>
      </c>
      <c r="D348"/>
    </row>
    <row r="349" spans="1:4">
      <c r="A349">
        <v>93601</v>
      </c>
      <c r="B349" t="s">
        <v>1062</v>
      </c>
      <c r="C349" s="69">
        <v>7106613.419999999</v>
      </c>
      <c r="D349"/>
    </row>
    <row r="350" spans="1:4">
      <c r="A350">
        <v>93602</v>
      </c>
      <c r="B350" t="s">
        <v>1063</v>
      </c>
      <c r="C350" s="69">
        <v>125015.62</v>
      </c>
      <c r="D350"/>
    </row>
    <row r="351" spans="1:4">
      <c r="A351">
        <v>93604</v>
      </c>
      <c r="B351" t="s">
        <v>1932</v>
      </c>
      <c r="C351" s="69">
        <v>13311.88</v>
      </c>
      <c r="D351"/>
    </row>
    <row r="352" spans="1:4">
      <c r="A352">
        <v>93609</v>
      </c>
      <c r="B352" t="s">
        <v>1064</v>
      </c>
      <c r="C352" s="69">
        <v>2309630.7299999995</v>
      </c>
      <c r="D352"/>
    </row>
    <row r="353" spans="1:4">
      <c r="A353">
        <v>93610</v>
      </c>
      <c r="B353" t="s">
        <v>1065</v>
      </c>
      <c r="C353" s="69">
        <v>8740.65</v>
      </c>
      <c r="D353"/>
    </row>
    <row r="354" spans="1:4">
      <c r="A354">
        <v>93611</v>
      </c>
      <c r="B354" t="s">
        <v>1066</v>
      </c>
      <c r="C354" s="69">
        <v>4322762.2</v>
      </c>
      <c r="D354"/>
    </row>
    <row r="355" spans="1:4">
      <c r="A355">
        <v>93617</v>
      </c>
      <c r="B355" t="s">
        <v>1067</v>
      </c>
      <c r="C355" s="69">
        <v>69801.01999999999</v>
      </c>
      <c r="D355"/>
    </row>
    <row r="356" spans="1:4">
      <c r="A356">
        <v>93618</v>
      </c>
      <c r="B356" t="s">
        <v>1068</v>
      </c>
      <c r="C356" s="69">
        <v>13464.500000000004</v>
      </c>
      <c r="D356"/>
    </row>
    <row r="357" spans="1:4">
      <c r="A357">
        <v>93621</v>
      </c>
      <c r="B357" t="s">
        <v>1069</v>
      </c>
      <c r="C357" s="69">
        <v>665609.78</v>
      </c>
      <c r="D357"/>
    </row>
    <row r="358" spans="1:4">
      <c r="A358">
        <v>93623</v>
      </c>
      <c r="B358" t="s">
        <v>1070</v>
      </c>
      <c r="C358" s="69">
        <v>8410.32</v>
      </c>
      <c r="D358"/>
    </row>
    <row r="359" spans="1:4">
      <c r="A359">
        <v>93631</v>
      </c>
      <c r="B359" t="s">
        <v>1071</v>
      </c>
      <c r="C359" s="69">
        <v>148435.76</v>
      </c>
      <c r="D359"/>
    </row>
    <row r="360" spans="1:4">
      <c r="A360">
        <v>93641</v>
      </c>
      <c r="B360" t="s">
        <v>1072</v>
      </c>
      <c r="C360" s="69">
        <v>269907.09000000003</v>
      </c>
      <c r="D360"/>
    </row>
    <row r="361" spans="1:4">
      <c r="A361">
        <v>93647</v>
      </c>
      <c r="B361" t="s">
        <v>1073</v>
      </c>
      <c r="C361" s="69">
        <v>4758.3399999999992</v>
      </c>
      <c r="D361"/>
    </row>
    <row r="362" spans="1:4">
      <c r="A362">
        <v>93651</v>
      </c>
      <c r="B362" t="s">
        <v>1074</v>
      </c>
      <c r="C362" s="69">
        <v>268053</v>
      </c>
      <c r="D362"/>
    </row>
    <row r="363" spans="1:4">
      <c r="A363">
        <v>93661</v>
      </c>
      <c r="B363" t="s">
        <v>1075</v>
      </c>
      <c r="C363" s="69">
        <v>95750.85</v>
      </c>
      <c r="D363"/>
    </row>
    <row r="364" spans="1:4">
      <c r="A364">
        <v>93671</v>
      </c>
      <c r="B364" t="s">
        <v>1076</v>
      </c>
      <c r="C364" s="69">
        <v>253498.22999999998</v>
      </c>
      <c r="D364"/>
    </row>
    <row r="365" spans="1:4">
      <c r="A365">
        <v>93681</v>
      </c>
      <c r="B365" t="s">
        <v>1077</v>
      </c>
      <c r="C365" s="69">
        <v>95612.6</v>
      </c>
      <c r="D365"/>
    </row>
    <row r="366" spans="1:4">
      <c r="A366">
        <v>93691</v>
      </c>
      <c r="B366" t="s">
        <v>1078</v>
      </c>
      <c r="C366" s="69">
        <v>644273.03</v>
      </c>
      <c r="D366"/>
    </row>
    <row r="367" spans="1:4">
      <c r="A367">
        <v>93701</v>
      </c>
      <c r="B367" t="s">
        <v>1079</v>
      </c>
      <c r="C367" s="69">
        <v>273541.55</v>
      </c>
      <c r="D367"/>
    </row>
    <row r="368" spans="1:4">
      <c r="A368">
        <v>93704</v>
      </c>
      <c r="B368" t="s">
        <v>1080</v>
      </c>
      <c r="C368" s="69">
        <v>2691.3600000000006</v>
      </c>
      <c r="D368"/>
    </row>
    <row r="369" spans="1:4">
      <c r="A369">
        <v>93801</v>
      </c>
      <c r="B369" t="s">
        <v>1081</v>
      </c>
      <c r="C369" s="69">
        <v>269237.62</v>
      </c>
      <c r="D369"/>
    </row>
    <row r="370" spans="1:4">
      <c r="A370">
        <v>93803</v>
      </c>
      <c r="B370" t="s">
        <v>1082</v>
      </c>
      <c r="C370" s="69">
        <v>63472.03</v>
      </c>
      <c r="D370"/>
    </row>
    <row r="371" spans="1:4">
      <c r="A371">
        <v>93806</v>
      </c>
      <c r="B371" t="s">
        <v>1083</v>
      </c>
      <c r="C371" s="69">
        <v>39372.76</v>
      </c>
      <c r="D371"/>
    </row>
    <row r="372" spans="1:4">
      <c r="A372">
        <v>93821</v>
      </c>
      <c r="B372" t="s">
        <v>1084</v>
      </c>
      <c r="C372" s="69">
        <v>38449.390000000007</v>
      </c>
      <c r="D372"/>
    </row>
    <row r="373" spans="1:4">
      <c r="A373">
        <v>93901</v>
      </c>
      <c r="B373" t="s">
        <v>1085</v>
      </c>
      <c r="C373" s="69">
        <v>1251915.0799999998</v>
      </c>
      <c r="D373"/>
    </row>
    <row r="374" spans="1:4">
      <c r="A374">
        <v>93904</v>
      </c>
      <c r="B374" t="s">
        <v>1086</v>
      </c>
      <c r="C374" s="69">
        <v>29568.940000000002</v>
      </c>
      <c r="D374"/>
    </row>
    <row r="375" spans="1:4">
      <c r="A375">
        <v>93906</v>
      </c>
      <c r="B375" t="s">
        <v>1087</v>
      </c>
      <c r="C375" s="69">
        <v>1949080.2000000002</v>
      </c>
      <c r="D375"/>
    </row>
    <row r="376" spans="1:4">
      <c r="A376">
        <v>93908</v>
      </c>
      <c r="B376" t="s">
        <v>1088</v>
      </c>
      <c r="C376" s="69">
        <v>321745.96999999997</v>
      </c>
      <c r="D376"/>
    </row>
    <row r="377" spans="1:4">
      <c r="A377">
        <v>93910</v>
      </c>
      <c r="B377" t="s">
        <v>1089</v>
      </c>
      <c r="C377" s="69">
        <v>178540.22999999998</v>
      </c>
      <c r="D377"/>
    </row>
    <row r="378" spans="1:4">
      <c r="A378">
        <v>93911</v>
      </c>
      <c r="B378" t="s">
        <v>1090</v>
      </c>
      <c r="C378" s="69">
        <v>396959.29</v>
      </c>
      <c r="D378"/>
    </row>
    <row r="379" spans="1:4">
      <c r="A379">
        <v>93913</v>
      </c>
      <c r="B379" t="s">
        <v>1091</v>
      </c>
      <c r="C379" s="69">
        <v>39299.860000000008</v>
      </c>
      <c r="D379"/>
    </row>
    <row r="380" spans="1:4">
      <c r="A380">
        <v>93914</v>
      </c>
      <c r="B380" t="s">
        <v>1092</v>
      </c>
      <c r="C380" s="69">
        <v>6897.26</v>
      </c>
      <c r="D380"/>
    </row>
    <row r="381" spans="1:4">
      <c r="A381">
        <v>93921</v>
      </c>
      <c r="B381" t="s">
        <v>1093</v>
      </c>
      <c r="C381" s="69">
        <v>159317.15999999997</v>
      </c>
      <c r="D381"/>
    </row>
    <row r="382" spans="1:4">
      <c r="A382">
        <v>93931</v>
      </c>
      <c r="B382" t="s">
        <v>1094</v>
      </c>
      <c r="C382" s="69">
        <v>304238.15000000002</v>
      </c>
      <c r="D382"/>
    </row>
    <row r="383" spans="1:4">
      <c r="A383">
        <v>94001</v>
      </c>
      <c r="B383" t="s">
        <v>1095</v>
      </c>
      <c r="C383" s="69">
        <v>651175.66</v>
      </c>
      <c r="D383"/>
    </row>
    <row r="384" spans="1:4">
      <c r="A384">
        <v>94002</v>
      </c>
      <c r="B384" t="s">
        <v>1096</v>
      </c>
      <c r="C384" s="69">
        <v>5253.1900000000005</v>
      </c>
      <c r="D384"/>
    </row>
    <row r="385" spans="1:4">
      <c r="A385">
        <v>94004</v>
      </c>
      <c r="B385" t="s">
        <v>1097</v>
      </c>
      <c r="C385" s="69">
        <v>6637.5500000000011</v>
      </c>
      <c r="D385"/>
    </row>
    <row r="386" spans="1:4">
      <c r="A386">
        <v>94005</v>
      </c>
      <c r="B386" t="s">
        <v>1098</v>
      </c>
      <c r="C386" s="69">
        <v>2911.1899999999996</v>
      </c>
      <c r="D386"/>
    </row>
    <row r="387" spans="1:4">
      <c r="A387">
        <v>94011</v>
      </c>
      <c r="B387" t="s">
        <v>1099</v>
      </c>
      <c r="C387" s="69">
        <v>14121.25</v>
      </c>
      <c r="D387"/>
    </row>
    <row r="388" spans="1:4">
      <c r="A388">
        <v>94021</v>
      </c>
      <c r="B388" t="s">
        <v>1100</v>
      </c>
      <c r="C388" s="69">
        <v>62910.11</v>
      </c>
      <c r="D388"/>
    </row>
    <row r="389" spans="1:4">
      <c r="A389">
        <v>94031</v>
      </c>
      <c r="B389" t="s">
        <v>1101</v>
      </c>
      <c r="C389" s="69">
        <v>4754.2599999999984</v>
      </c>
      <c r="D389"/>
    </row>
    <row r="390" spans="1:4">
      <c r="A390">
        <v>94101</v>
      </c>
      <c r="B390" t="s">
        <v>1102</v>
      </c>
      <c r="C390" s="69">
        <v>11425931.260000004</v>
      </c>
      <c r="D390"/>
    </row>
    <row r="391" spans="1:4">
      <c r="A391">
        <v>94102</v>
      </c>
      <c r="B391" t="s">
        <v>1103</v>
      </c>
      <c r="C391" s="69">
        <v>179350.33000000002</v>
      </c>
      <c r="D391"/>
    </row>
    <row r="392" spans="1:4">
      <c r="A392">
        <v>94108</v>
      </c>
      <c r="B392" t="s">
        <v>1104</v>
      </c>
      <c r="C392" s="69">
        <v>191914.03</v>
      </c>
      <c r="D392"/>
    </row>
    <row r="393" spans="1:4">
      <c r="A393">
        <v>94109</v>
      </c>
      <c r="B393" t="s">
        <v>1105</v>
      </c>
      <c r="C393" s="69">
        <v>50945.999999999993</v>
      </c>
      <c r="D393"/>
    </row>
    <row r="394" spans="1:4">
      <c r="A394">
        <v>94111</v>
      </c>
      <c r="B394" t="s">
        <v>1106</v>
      </c>
      <c r="C394" s="69">
        <v>15252102.369999999</v>
      </c>
      <c r="D394"/>
    </row>
    <row r="395" spans="1:4">
      <c r="A395">
        <v>94112</v>
      </c>
      <c r="B395" t="s">
        <v>1107</v>
      </c>
      <c r="C395" s="69">
        <v>95390.629999999976</v>
      </c>
      <c r="D395"/>
    </row>
    <row r="396" spans="1:4">
      <c r="A396">
        <v>94117</v>
      </c>
      <c r="B396" t="s">
        <v>1108</v>
      </c>
      <c r="C396" s="69">
        <v>248885.21000000002</v>
      </c>
      <c r="D396"/>
    </row>
    <row r="397" spans="1:4">
      <c r="A397">
        <v>94118</v>
      </c>
      <c r="B397" t="s">
        <v>1109</v>
      </c>
      <c r="C397" s="69">
        <v>82956.559999999983</v>
      </c>
      <c r="D397"/>
    </row>
    <row r="398" spans="1:4">
      <c r="A398">
        <v>94121</v>
      </c>
      <c r="B398" t="s">
        <v>1110</v>
      </c>
      <c r="C398" s="69">
        <v>7286061.9299999997</v>
      </c>
      <c r="D398"/>
    </row>
    <row r="399" spans="1:4">
      <c r="A399">
        <v>94127</v>
      </c>
      <c r="B399" t="s">
        <v>1111</v>
      </c>
      <c r="C399" s="69">
        <v>103757.32999999999</v>
      </c>
      <c r="D399"/>
    </row>
    <row r="400" spans="1:4">
      <c r="A400">
        <v>94131</v>
      </c>
      <c r="B400" t="s">
        <v>1112</v>
      </c>
      <c r="C400" s="69">
        <v>134711.16</v>
      </c>
      <c r="D400"/>
    </row>
    <row r="401" spans="1:4">
      <c r="A401">
        <v>94151</v>
      </c>
      <c r="B401" t="s">
        <v>1113</v>
      </c>
      <c r="C401" s="69">
        <v>262874.72000000003</v>
      </c>
      <c r="D401"/>
    </row>
    <row r="402" spans="1:4">
      <c r="A402">
        <v>94157</v>
      </c>
      <c r="B402" t="s">
        <v>1114</v>
      </c>
      <c r="C402" s="69">
        <v>6972.26</v>
      </c>
      <c r="D402"/>
    </row>
    <row r="403" spans="1:4">
      <c r="A403">
        <v>94161</v>
      </c>
      <c r="B403" t="s">
        <v>1115</v>
      </c>
      <c r="C403" s="69">
        <v>34380.449999999997</v>
      </c>
      <c r="D403"/>
    </row>
    <row r="404" spans="1:4">
      <c r="A404">
        <v>94168</v>
      </c>
      <c r="B404" t="s">
        <v>1116</v>
      </c>
      <c r="C404" s="69">
        <v>37502.270000000004</v>
      </c>
      <c r="D404"/>
    </row>
    <row r="405" spans="1:4">
      <c r="A405">
        <v>94171</v>
      </c>
      <c r="B405" t="s">
        <v>1117</v>
      </c>
      <c r="C405" s="69">
        <v>37751.379999999997</v>
      </c>
      <c r="D405"/>
    </row>
    <row r="406" spans="1:4">
      <c r="A406">
        <v>94172</v>
      </c>
      <c r="B406" t="s">
        <v>1118</v>
      </c>
      <c r="C406" s="69">
        <v>135252.52000000002</v>
      </c>
      <c r="D406"/>
    </row>
    <row r="407" spans="1:4">
      <c r="A407">
        <v>94201</v>
      </c>
      <c r="B407" t="s">
        <v>1119</v>
      </c>
      <c r="C407" s="69">
        <v>1986945.0300000003</v>
      </c>
      <c r="D407"/>
    </row>
    <row r="408" spans="1:4">
      <c r="A408">
        <v>94204</v>
      </c>
      <c r="B408" t="s">
        <v>1120</v>
      </c>
      <c r="C408" s="69">
        <v>26342.97</v>
      </c>
      <c r="D408"/>
    </row>
    <row r="409" spans="1:4">
      <c r="A409">
        <v>94205</v>
      </c>
      <c r="B409" t="s">
        <v>1121</v>
      </c>
      <c r="C409" s="69">
        <v>14160.929999999997</v>
      </c>
      <c r="D409"/>
    </row>
    <row r="410" spans="1:4">
      <c r="A410">
        <v>94209</v>
      </c>
      <c r="B410" t="s">
        <v>1122</v>
      </c>
      <c r="C410" s="69">
        <v>203485.05999999997</v>
      </c>
      <c r="D410"/>
    </row>
    <row r="411" spans="1:4">
      <c r="A411">
        <v>94211</v>
      </c>
      <c r="B411" t="s">
        <v>1123</v>
      </c>
      <c r="C411" s="69">
        <v>95954.71</v>
      </c>
      <c r="D411"/>
    </row>
    <row r="412" spans="1:4">
      <c r="A412">
        <v>94221</v>
      </c>
      <c r="B412" t="s">
        <v>1124</v>
      </c>
      <c r="C412" s="69">
        <v>577320.13</v>
      </c>
      <c r="D412"/>
    </row>
    <row r="413" spans="1:4">
      <c r="A413">
        <v>94231</v>
      </c>
      <c r="B413" t="s">
        <v>1125</v>
      </c>
      <c r="C413" s="69">
        <v>95288.34</v>
      </c>
      <c r="D413"/>
    </row>
    <row r="414" spans="1:4">
      <c r="A414">
        <v>94241</v>
      </c>
      <c r="B414" t="s">
        <v>1126</v>
      </c>
      <c r="C414" s="69">
        <v>99811.420000000013</v>
      </c>
      <c r="D414"/>
    </row>
    <row r="415" spans="1:4">
      <c r="A415">
        <v>94251</v>
      </c>
      <c r="B415" t="s">
        <v>1127</v>
      </c>
      <c r="C415" s="69">
        <v>11727.079999999998</v>
      </c>
      <c r="D415"/>
    </row>
    <row r="416" spans="1:4">
      <c r="A416">
        <v>94261</v>
      </c>
      <c r="B416" t="s">
        <v>1128</v>
      </c>
      <c r="C416" s="69">
        <v>24439.03</v>
      </c>
      <c r="D416"/>
    </row>
    <row r="417" spans="1:4">
      <c r="A417">
        <v>94301</v>
      </c>
      <c r="B417" t="s">
        <v>1129</v>
      </c>
      <c r="C417" s="69">
        <v>3813601.4700000007</v>
      </c>
      <c r="D417"/>
    </row>
    <row r="418" spans="1:4">
      <c r="A418">
        <v>94311</v>
      </c>
      <c r="B418" t="s">
        <v>1130</v>
      </c>
      <c r="C418" s="69">
        <v>503138.81</v>
      </c>
      <c r="D418"/>
    </row>
    <row r="419" spans="1:4">
      <c r="A419">
        <v>94313</v>
      </c>
      <c r="B419" t="s">
        <v>1131</v>
      </c>
      <c r="C419" s="69">
        <v>15582.38</v>
      </c>
      <c r="D419"/>
    </row>
    <row r="420" spans="1:4">
      <c r="A420">
        <v>94317</v>
      </c>
      <c r="B420" t="s">
        <v>1132</v>
      </c>
      <c r="C420" s="69">
        <v>11408.689999999999</v>
      </c>
      <c r="D420"/>
    </row>
    <row r="421" spans="1:4">
      <c r="A421">
        <v>94321</v>
      </c>
      <c r="B421" t="s">
        <v>1133</v>
      </c>
      <c r="C421" s="69">
        <v>187536.56</v>
      </c>
      <c r="D421"/>
    </row>
    <row r="422" spans="1:4">
      <c r="A422">
        <v>94331</v>
      </c>
      <c r="B422" t="s">
        <v>1134</v>
      </c>
      <c r="C422" s="69">
        <v>99030.139999999985</v>
      </c>
      <c r="D422"/>
    </row>
    <row r="423" spans="1:4">
      <c r="A423">
        <v>94341</v>
      </c>
      <c r="B423" t="s">
        <v>1135</v>
      </c>
      <c r="C423" s="69">
        <v>54993.2</v>
      </c>
      <c r="D423"/>
    </row>
    <row r="424" spans="1:4">
      <c r="A424">
        <v>94347</v>
      </c>
      <c r="B424" t="s">
        <v>1136</v>
      </c>
      <c r="C424" s="69">
        <v>15330.94</v>
      </c>
      <c r="D424"/>
    </row>
    <row r="425" spans="1:4">
      <c r="A425">
        <v>94351</v>
      </c>
      <c r="B425" t="s">
        <v>1137</v>
      </c>
      <c r="C425" s="69">
        <v>175618.77000000002</v>
      </c>
      <c r="D425"/>
    </row>
    <row r="426" spans="1:4">
      <c r="A426">
        <v>94401</v>
      </c>
      <c r="B426" t="s">
        <v>1138</v>
      </c>
      <c r="C426" s="69">
        <v>2099769.04</v>
      </c>
      <c r="D426"/>
    </row>
    <row r="427" spans="1:4">
      <c r="A427">
        <v>94403</v>
      </c>
      <c r="B427" t="s">
        <v>1140</v>
      </c>
      <c r="C427" s="69">
        <v>31010.050000000003</v>
      </c>
      <c r="D427"/>
    </row>
    <row r="428" spans="1:4">
      <c r="A428">
        <v>94402</v>
      </c>
      <c r="B428" t="s">
        <v>1139</v>
      </c>
      <c r="C428" s="69">
        <v>0</v>
      </c>
      <c r="D428"/>
    </row>
    <row r="429" spans="1:4">
      <c r="A429">
        <v>94408</v>
      </c>
      <c r="B429" t="s">
        <v>1141</v>
      </c>
      <c r="C429" s="69">
        <v>30414.460000000003</v>
      </c>
      <c r="D429"/>
    </row>
    <row r="430" spans="1:4">
      <c r="A430">
        <v>94411</v>
      </c>
      <c r="B430" t="s">
        <v>1142</v>
      </c>
      <c r="C430" s="69">
        <v>704782.68</v>
      </c>
      <c r="D430"/>
    </row>
    <row r="431" spans="1:4">
      <c r="A431">
        <v>94412</v>
      </c>
      <c r="B431" t="s">
        <v>1143</v>
      </c>
      <c r="C431" s="69">
        <v>18801.07</v>
      </c>
      <c r="D431"/>
    </row>
    <row r="432" spans="1:4">
      <c r="A432">
        <v>94421</v>
      </c>
      <c r="B432" t="s">
        <v>1144</v>
      </c>
      <c r="C432" s="69">
        <v>105016.68</v>
      </c>
      <c r="D432"/>
    </row>
    <row r="433" spans="1:4">
      <c r="A433">
        <v>94427</v>
      </c>
      <c r="B433" t="s">
        <v>1145</v>
      </c>
      <c r="C433" s="69">
        <v>20873.520000000004</v>
      </c>
      <c r="D433"/>
    </row>
    <row r="434" spans="1:4">
      <c r="A434">
        <v>94428</v>
      </c>
      <c r="B434" t="s">
        <v>1146</v>
      </c>
      <c r="C434" s="69">
        <v>49754.100000000006</v>
      </c>
      <c r="D434"/>
    </row>
    <row r="435" spans="1:4">
      <c r="A435">
        <v>94431</v>
      </c>
      <c r="B435" t="s">
        <v>1147</v>
      </c>
      <c r="C435" s="69">
        <v>234650.28000000003</v>
      </c>
      <c r="D435"/>
    </row>
    <row r="436" spans="1:4">
      <c r="A436">
        <v>94437</v>
      </c>
      <c r="B436" t="s">
        <v>1148</v>
      </c>
      <c r="C436" s="69">
        <v>10607.74</v>
      </c>
      <c r="D436"/>
    </row>
    <row r="437" spans="1:4">
      <c r="A437">
        <v>94501</v>
      </c>
      <c r="B437" t="s">
        <v>2025</v>
      </c>
      <c r="C437" s="69">
        <v>3791288.27</v>
      </c>
      <c r="D437"/>
    </row>
    <row r="438" spans="1:4">
      <c r="A438">
        <v>94511</v>
      </c>
      <c r="B438" t="s">
        <v>1150</v>
      </c>
      <c r="C438" s="69">
        <v>991334.72000000009</v>
      </c>
      <c r="D438"/>
    </row>
    <row r="439" spans="1:4">
      <c r="A439">
        <v>94517</v>
      </c>
      <c r="B439" t="s">
        <v>1152</v>
      </c>
      <c r="C439" s="69">
        <v>47005.710000000006</v>
      </c>
      <c r="D439"/>
    </row>
    <row r="440" spans="1:4">
      <c r="A440">
        <v>94521</v>
      </c>
      <c r="B440" t="s">
        <v>1153</v>
      </c>
      <c r="C440" s="69">
        <v>81241.570000000007</v>
      </c>
      <c r="D440"/>
    </row>
    <row r="441" spans="1:4">
      <c r="A441">
        <v>94527</v>
      </c>
      <c r="B441" t="s">
        <v>1154</v>
      </c>
      <c r="C441" s="69">
        <v>4444.1899999999996</v>
      </c>
      <c r="D441"/>
    </row>
    <row r="442" spans="1:4">
      <c r="A442">
        <v>94531</v>
      </c>
      <c r="B442" t="s">
        <v>1155</v>
      </c>
      <c r="C442" s="69">
        <v>18965.03</v>
      </c>
      <c r="D442"/>
    </row>
    <row r="443" spans="1:4">
      <c r="A443">
        <v>94532</v>
      </c>
      <c r="B443" t="s">
        <v>1156</v>
      </c>
      <c r="C443" s="69">
        <v>75283.709999999992</v>
      </c>
      <c r="D443"/>
    </row>
    <row r="444" spans="1:4">
      <c r="A444">
        <v>94541</v>
      </c>
      <c r="B444" t="s">
        <v>1157</v>
      </c>
      <c r="C444" s="69">
        <v>175460.75</v>
      </c>
      <c r="D444"/>
    </row>
    <row r="445" spans="1:4">
      <c r="A445">
        <v>94547</v>
      </c>
      <c r="B445" t="s">
        <v>1158</v>
      </c>
      <c r="C445" s="69">
        <v>14114.360000000002</v>
      </c>
      <c r="D445"/>
    </row>
    <row r="446" spans="1:4">
      <c r="A446">
        <v>94551</v>
      </c>
      <c r="B446" t="s">
        <v>1159</v>
      </c>
      <c r="C446" s="69">
        <v>36101.050000000003</v>
      </c>
      <c r="D446"/>
    </row>
    <row r="447" spans="1:4">
      <c r="A447">
        <v>94601</v>
      </c>
      <c r="B447" t="s">
        <v>1160</v>
      </c>
      <c r="C447" s="69">
        <v>615580.51</v>
      </c>
      <c r="D447"/>
    </row>
    <row r="448" spans="1:4">
      <c r="A448">
        <v>94604</v>
      </c>
      <c r="B448" t="s">
        <v>1161</v>
      </c>
      <c r="C448" s="69">
        <v>19212.239999999998</v>
      </c>
      <c r="D448"/>
    </row>
    <row r="449" spans="1:4">
      <c r="A449">
        <v>94606</v>
      </c>
      <c r="B449" t="s">
        <v>1162</v>
      </c>
      <c r="C449" s="69">
        <v>0</v>
      </c>
      <c r="D449"/>
    </row>
    <row r="450" spans="1:4">
      <c r="A450">
        <v>94611</v>
      </c>
      <c r="B450" t="s">
        <v>1163</v>
      </c>
      <c r="C450" s="69">
        <v>216481.24</v>
      </c>
      <c r="D450"/>
    </row>
    <row r="451" spans="1:4">
      <c r="A451">
        <v>94621</v>
      </c>
      <c r="B451" t="s">
        <v>1164</v>
      </c>
      <c r="C451" s="69">
        <v>75295.170000000013</v>
      </c>
      <c r="D451"/>
    </row>
    <row r="452" spans="1:4">
      <c r="A452">
        <v>94631</v>
      </c>
      <c r="B452" t="s">
        <v>1165</v>
      </c>
      <c r="C452" s="69">
        <v>26352.73</v>
      </c>
      <c r="D452"/>
    </row>
    <row r="453" spans="1:4">
      <c r="A453">
        <v>94641</v>
      </c>
      <c r="B453" t="s">
        <v>1166</v>
      </c>
      <c r="C453" s="69">
        <v>10419.14</v>
      </c>
      <c r="D453"/>
    </row>
    <row r="454" spans="1:4">
      <c r="A454">
        <v>94701</v>
      </c>
      <c r="B454" t="s">
        <v>1167</v>
      </c>
      <c r="C454" s="69">
        <v>1601947.2300000002</v>
      </c>
      <c r="D454"/>
    </row>
    <row r="455" spans="1:4">
      <c r="A455">
        <v>94704</v>
      </c>
      <c r="B455" t="s">
        <v>1168</v>
      </c>
      <c r="C455" s="69">
        <v>12102.720000000003</v>
      </c>
      <c r="D455"/>
    </row>
    <row r="456" spans="1:4">
      <c r="A456">
        <v>94711</v>
      </c>
      <c r="B456" t="s">
        <v>1169</v>
      </c>
      <c r="C456" s="69">
        <v>217889.26</v>
      </c>
      <c r="D456"/>
    </row>
    <row r="457" spans="1:4">
      <c r="A457">
        <v>94801</v>
      </c>
      <c r="B457" t="s">
        <v>1170</v>
      </c>
      <c r="C457" s="69">
        <v>450088.49000000005</v>
      </c>
      <c r="D457"/>
    </row>
    <row r="458" spans="1:4">
      <c r="A458">
        <v>94804</v>
      </c>
      <c r="B458" t="s">
        <v>1171</v>
      </c>
      <c r="C458" s="69">
        <v>3651.33</v>
      </c>
      <c r="D458"/>
    </row>
    <row r="459" spans="1:4">
      <c r="A459">
        <v>94812</v>
      </c>
      <c r="B459" t="s">
        <v>1172</v>
      </c>
      <c r="C459" s="69">
        <v>25882.320000000007</v>
      </c>
      <c r="D459"/>
    </row>
    <row r="460" spans="1:4">
      <c r="A460">
        <v>94901</v>
      </c>
      <c r="B460" t="s">
        <v>1173</v>
      </c>
      <c r="C460" s="69">
        <v>4639730.1099999994</v>
      </c>
      <c r="D460"/>
    </row>
    <row r="461" spans="1:4">
      <c r="A461">
        <v>94908</v>
      </c>
      <c r="B461" t="s">
        <v>3616</v>
      </c>
      <c r="C461" s="69">
        <v>37671.310000000005</v>
      </c>
      <c r="D461"/>
    </row>
    <row r="462" spans="1:4">
      <c r="A462">
        <v>94911</v>
      </c>
      <c r="B462" t="s">
        <v>1175</v>
      </c>
      <c r="C462" s="69">
        <v>1848023.0599999996</v>
      </c>
      <c r="D462"/>
    </row>
    <row r="463" spans="1:4">
      <c r="A463">
        <v>94917</v>
      </c>
      <c r="B463" t="s">
        <v>1176</v>
      </c>
      <c r="C463" s="69">
        <v>34812.5</v>
      </c>
      <c r="D463"/>
    </row>
    <row r="464" spans="1:4">
      <c r="A464">
        <v>94921</v>
      </c>
      <c r="B464" t="s">
        <v>1177</v>
      </c>
      <c r="C464" s="69">
        <v>2308551.3699999996</v>
      </c>
      <c r="D464"/>
    </row>
    <row r="465" spans="1:4">
      <c r="A465">
        <v>94923</v>
      </c>
      <c r="B465" t="s">
        <v>1178</v>
      </c>
      <c r="C465" s="69">
        <v>20806.629999999997</v>
      </c>
      <c r="D465"/>
    </row>
    <row r="466" spans="1:4">
      <c r="A466">
        <v>94927</v>
      </c>
      <c r="B466" t="s">
        <v>1179</v>
      </c>
      <c r="C466" s="69">
        <v>26926.6</v>
      </c>
      <c r="D466"/>
    </row>
    <row r="467" spans="1:4">
      <c r="A467">
        <v>94931</v>
      </c>
      <c r="B467" t="s">
        <v>1180</v>
      </c>
      <c r="C467" s="69">
        <v>130816.16</v>
      </c>
      <c r="D467"/>
    </row>
    <row r="468" spans="1:4">
      <c r="A468">
        <v>94937</v>
      </c>
      <c r="B468" t="s">
        <v>1933</v>
      </c>
      <c r="C468" s="69">
        <v>4719.8599999999997</v>
      </c>
      <c r="D468"/>
    </row>
    <row r="469" spans="1:4">
      <c r="A469">
        <v>94941</v>
      </c>
      <c r="B469" t="s">
        <v>1181</v>
      </c>
      <c r="C469" s="69">
        <v>191617.52</v>
      </c>
      <c r="D469"/>
    </row>
    <row r="470" spans="1:4">
      <c r="A470">
        <v>94947</v>
      </c>
      <c r="B470" t="s">
        <v>1934</v>
      </c>
      <c r="C470" s="69">
        <v>5621.49</v>
      </c>
      <c r="D470"/>
    </row>
    <row r="471" spans="1:4">
      <c r="A471">
        <v>95001</v>
      </c>
      <c r="B471" t="s">
        <v>1182</v>
      </c>
      <c r="C471" s="69">
        <v>1555365.33</v>
      </c>
      <c r="D471"/>
    </row>
    <row r="472" spans="1:4">
      <c r="A472">
        <v>95002</v>
      </c>
      <c r="B472" t="s">
        <v>1183</v>
      </c>
      <c r="C472" s="69">
        <v>136696.12</v>
      </c>
      <c r="D472"/>
    </row>
    <row r="473" spans="1:4">
      <c r="A473">
        <v>95005</v>
      </c>
      <c r="B473" t="s">
        <v>1184</v>
      </c>
      <c r="C473" s="69">
        <v>125915.69</v>
      </c>
      <c r="D473"/>
    </row>
    <row r="474" spans="1:4">
      <c r="A474">
        <v>95008</v>
      </c>
      <c r="B474" t="s">
        <v>1185</v>
      </c>
      <c r="C474" s="69">
        <v>88640.690000000017</v>
      </c>
      <c r="D474"/>
    </row>
    <row r="475" spans="1:4">
      <c r="A475">
        <v>95009</v>
      </c>
      <c r="B475" t="s">
        <v>1186</v>
      </c>
      <c r="C475" s="69">
        <v>2194144.8499999996</v>
      </c>
      <c r="D475"/>
    </row>
    <row r="476" spans="1:4">
      <c r="A476">
        <v>95010</v>
      </c>
      <c r="B476" t="s">
        <v>3725</v>
      </c>
      <c r="C476" s="69">
        <v>7629.0899999999992</v>
      </c>
      <c r="D476"/>
    </row>
    <row r="477" spans="1:4">
      <c r="A477">
        <v>95011</v>
      </c>
      <c r="B477" t="s">
        <v>1187</v>
      </c>
      <c r="C477" s="69">
        <v>108662.81</v>
      </c>
      <c r="D477"/>
    </row>
    <row r="478" spans="1:4">
      <c r="A478">
        <v>95017</v>
      </c>
      <c r="B478" t="s">
        <v>1188</v>
      </c>
      <c r="C478" s="69">
        <v>23827.68</v>
      </c>
      <c r="D478"/>
    </row>
    <row r="479" spans="1:4">
      <c r="A479">
        <v>95101</v>
      </c>
      <c r="B479" t="s">
        <v>1189</v>
      </c>
      <c r="C479" s="69">
        <v>5431113.6000000006</v>
      </c>
      <c r="D479"/>
    </row>
    <row r="480" spans="1:4">
      <c r="A480">
        <v>95103</v>
      </c>
      <c r="B480" t="s">
        <v>1190</v>
      </c>
      <c r="C480" s="69">
        <v>27716.330000000005</v>
      </c>
      <c r="D480"/>
    </row>
    <row r="481" spans="1:4">
      <c r="A481">
        <v>95104</v>
      </c>
      <c r="B481" t="s">
        <v>1191</v>
      </c>
      <c r="C481" s="69">
        <v>101794.30000000002</v>
      </c>
      <c r="D481"/>
    </row>
    <row r="482" spans="1:4">
      <c r="A482">
        <v>95105</v>
      </c>
      <c r="B482" t="s">
        <v>1192</v>
      </c>
      <c r="C482" s="69">
        <v>46632.649999999994</v>
      </c>
      <c r="D482"/>
    </row>
    <row r="483" spans="1:4">
      <c r="A483">
        <v>95106</v>
      </c>
      <c r="B483" t="s">
        <v>1193</v>
      </c>
      <c r="C483" s="69">
        <v>10485.969999999998</v>
      </c>
      <c r="D483"/>
    </row>
    <row r="484" spans="1:4">
      <c r="A484">
        <v>95110</v>
      </c>
      <c r="B484" t="s">
        <v>1194</v>
      </c>
      <c r="C484" s="69">
        <v>2041177.1000000003</v>
      </c>
      <c r="D484"/>
    </row>
    <row r="485" spans="1:4">
      <c r="A485">
        <v>95111</v>
      </c>
      <c r="B485" t="s">
        <v>1195</v>
      </c>
      <c r="C485" s="69">
        <v>638172.11</v>
      </c>
      <c r="D485"/>
    </row>
    <row r="486" spans="1:4">
      <c r="A486">
        <v>95113</v>
      </c>
      <c r="B486" t="s">
        <v>1196</v>
      </c>
      <c r="C486" s="69">
        <v>36511.710000000006</v>
      </c>
      <c r="D486"/>
    </row>
    <row r="487" spans="1:4">
      <c r="A487">
        <v>95121</v>
      </c>
      <c r="B487" t="s">
        <v>1197</v>
      </c>
      <c r="C487" s="69">
        <v>303015.45</v>
      </c>
      <c r="D487"/>
    </row>
    <row r="488" spans="1:4">
      <c r="A488">
        <v>95122</v>
      </c>
      <c r="B488" t="s">
        <v>1198</v>
      </c>
      <c r="C488" s="69">
        <v>14878.33</v>
      </c>
      <c r="D488"/>
    </row>
    <row r="489" spans="1:4">
      <c r="A489">
        <v>95123</v>
      </c>
      <c r="B489" t="s">
        <v>1199</v>
      </c>
      <c r="C489" s="69">
        <v>30244.190000000002</v>
      </c>
      <c r="D489"/>
    </row>
    <row r="490" spans="1:4">
      <c r="A490">
        <v>95131</v>
      </c>
      <c r="B490" t="s">
        <v>1200</v>
      </c>
      <c r="C490" s="69">
        <v>1162429.8500000001</v>
      </c>
      <c r="D490"/>
    </row>
    <row r="491" spans="1:4">
      <c r="A491">
        <v>95141</v>
      </c>
      <c r="B491" t="s">
        <v>1201</v>
      </c>
      <c r="C491" s="69">
        <v>221054.09</v>
      </c>
      <c r="D491"/>
    </row>
    <row r="492" spans="1:4">
      <c r="A492">
        <v>95151</v>
      </c>
      <c r="B492" t="s">
        <v>1202</v>
      </c>
      <c r="C492" s="69">
        <v>68096.349999999991</v>
      </c>
      <c r="D492"/>
    </row>
    <row r="493" spans="1:4">
      <c r="A493">
        <v>95161</v>
      </c>
      <c r="B493" t="s">
        <v>1203</v>
      </c>
      <c r="C493" s="69">
        <v>48605.66</v>
      </c>
      <c r="D493"/>
    </row>
    <row r="494" spans="1:4">
      <c r="A494">
        <v>95171</v>
      </c>
      <c r="B494" t="s">
        <v>1204</v>
      </c>
      <c r="C494" s="69">
        <v>76190.06</v>
      </c>
      <c r="D494"/>
    </row>
    <row r="495" spans="1:4">
      <c r="A495">
        <v>95181</v>
      </c>
      <c r="B495" t="s">
        <v>1205</v>
      </c>
      <c r="C495" s="69">
        <v>44080.2</v>
      </c>
      <c r="D495"/>
    </row>
    <row r="496" spans="1:4">
      <c r="A496">
        <v>95191</v>
      </c>
      <c r="B496" t="s">
        <v>1206</v>
      </c>
      <c r="C496" s="69">
        <v>48174.26999999999</v>
      </c>
      <c r="D496"/>
    </row>
    <row r="497" spans="1:4">
      <c r="A497">
        <v>95201</v>
      </c>
      <c r="B497" t="s">
        <v>1207</v>
      </c>
      <c r="C497" s="69">
        <v>404900.43000000005</v>
      </c>
      <c r="D497"/>
    </row>
    <row r="498" spans="1:4">
      <c r="A498">
        <v>95204</v>
      </c>
      <c r="B498" t="s">
        <v>1208</v>
      </c>
      <c r="C498" s="69">
        <v>6882.2099999999991</v>
      </c>
      <c r="D498"/>
    </row>
    <row r="499" spans="1:4">
      <c r="A499">
        <v>95205</v>
      </c>
      <c r="B499" t="s">
        <v>1209</v>
      </c>
      <c r="C499" s="69">
        <v>3498.0300000000007</v>
      </c>
      <c r="D499"/>
    </row>
    <row r="500" spans="1:4">
      <c r="A500">
        <v>95211</v>
      </c>
      <c r="B500" t="s">
        <v>1210</v>
      </c>
      <c r="C500" s="69">
        <v>2408.8999999999996</v>
      </c>
      <c r="D500"/>
    </row>
    <row r="501" spans="1:4">
      <c r="A501">
        <v>95221</v>
      </c>
      <c r="B501" t="s">
        <v>1211</v>
      </c>
      <c r="C501" s="69">
        <v>25139.919999999998</v>
      </c>
      <c r="D501"/>
    </row>
    <row r="502" spans="1:4">
      <c r="A502">
        <v>95301</v>
      </c>
      <c r="B502" t="s">
        <v>1212</v>
      </c>
      <c r="C502" s="69">
        <v>1472726.32</v>
      </c>
      <c r="D502"/>
    </row>
    <row r="503" spans="1:4">
      <c r="A503">
        <v>95311</v>
      </c>
      <c r="B503" t="s">
        <v>1213</v>
      </c>
      <c r="C503" s="69">
        <v>1646534.9700000002</v>
      </c>
      <c r="D503"/>
    </row>
    <row r="504" spans="1:4">
      <c r="A504">
        <v>95317</v>
      </c>
      <c r="B504" t="s">
        <v>1214</v>
      </c>
      <c r="C504" s="69">
        <v>37367.129999999997</v>
      </c>
      <c r="D504"/>
    </row>
    <row r="505" spans="1:4">
      <c r="A505">
        <v>95321</v>
      </c>
      <c r="B505" t="s">
        <v>1215</v>
      </c>
      <c r="C505" s="69">
        <v>35637.629999999997</v>
      </c>
      <c r="D505"/>
    </row>
    <row r="506" spans="1:4">
      <c r="A506">
        <v>95401</v>
      </c>
      <c r="B506" t="s">
        <v>1216</v>
      </c>
      <c r="C506" s="69">
        <v>1663275.34</v>
      </c>
      <c r="D506"/>
    </row>
    <row r="507" spans="1:4">
      <c r="A507">
        <v>95404</v>
      </c>
      <c r="B507" t="s">
        <v>1217</v>
      </c>
      <c r="C507" s="69">
        <v>30547.210000000003</v>
      </c>
      <c r="D507"/>
    </row>
    <row r="508" spans="1:4">
      <c r="A508">
        <v>95405</v>
      </c>
      <c r="B508" t="s">
        <v>1218</v>
      </c>
      <c r="C508" s="69">
        <v>21736.28</v>
      </c>
      <c r="D508"/>
    </row>
    <row r="509" spans="1:4">
      <c r="A509">
        <v>95411</v>
      </c>
      <c r="B509" t="s">
        <v>1219</v>
      </c>
      <c r="C509" s="69">
        <v>1255060.32</v>
      </c>
      <c r="D509"/>
    </row>
    <row r="510" spans="1:4">
      <c r="A510">
        <v>95412</v>
      </c>
      <c r="B510" t="s">
        <v>3719</v>
      </c>
      <c r="C510" s="69">
        <v>0</v>
      </c>
      <c r="D510"/>
    </row>
    <row r="511" spans="1:4">
      <c r="A511">
        <v>95413</v>
      </c>
      <c r="B511" t="s">
        <v>1221</v>
      </c>
      <c r="C511" s="69">
        <v>165050.02000000002</v>
      </c>
      <c r="D511"/>
    </row>
    <row r="512" spans="1:4">
      <c r="A512">
        <v>95415</v>
      </c>
      <c r="B512" t="s">
        <v>1222</v>
      </c>
      <c r="C512" s="69">
        <v>39256.01</v>
      </c>
      <c r="D512"/>
    </row>
    <row r="513" spans="1:4">
      <c r="A513">
        <v>95421</v>
      </c>
      <c r="B513" t="s">
        <v>1223</v>
      </c>
      <c r="C513" s="69">
        <v>17701.68</v>
      </c>
      <c r="D513"/>
    </row>
    <row r="514" spans="1:4">
      <c r="A514">
        <v>95431</v>
      </c>
      <c r="B514" t="s">
        <v>1224</v>
      </c>
      <c r="C514" s="69">
        <v>80673.990000000005</v>
      </c>
      <c r="D514"/>
    </row>
    <row r="515" spans="1:4">
      <c r="A515">
        <v>95501</v>
      </c>
      <c r="B515" t="s">
        <v>1225</v>
      </c>
      <c r="C515" s="69">
        <v>3268467.959999999</v>
      </c>
      <c r="D515"/>
    </row>
    <row r="516" spans="1:4">
      <c r="A516">
        <v>95504</v>
      </c>
      <c r="B516" t="s">
        <v>1226</v>
      </c>
      <c r="C516" s="69">
        <v>19168.43</v>
      </c>
      <c r="D516"/>
    </row>
    <row r="517" spans="1:4">
      <c r="A517">
        <v>95511</v>
      </c>
      <c r="B517" t="s">
        <v>1227</v>
      </c>
      <c r="C517" s="69">
        <v>682274.32000000007</v>
      </c>
      <c r="D517"/>
    </row>
    <row r="518" spans="1:4">
      <c r="A518">
        <v>95513</v>
      </c>
      <c r="B518" t="s">
        <v>1228</v>
      </c>
      <c r="C518" s="69">
        <v>45458.26</v>
      </c>
      <c r="D518"/>
    </row>
    <row r="519" spans="1:4">
      <c r="A519">
        <v>95517</v>
      </c>
      <c r="B519" t="s">
        <v>1229</v>
      </c>
      <c r="C519" s="69">
        <v>12834.680000000002</v>
      </c>
      <c r="D519"/>
    </row>
    <row r="520" spans="1:4">
      <c r="A520">
        <v>95601</v>
      </c>
      <c r="B520" t="s">
        <v>1230</v>
      </c>
      <c r="C520" s="69">
        <v>1533767.47</v>
      </c>
      <c r="D520"/>
    </row>
    <row r="521" spans="1:4">
      <c r="A521">
        <v>95611</v>
      </c>
      <c r="B521" t="s">
        <v>1231</v>
      </c>
      <c r="C521" s="69">
        <v>232044.53000000003</v>
      </c>
      <c r="D521"/>
    </row>
    <row r="522" spans="1:4">
      <c r="A522">
        <v>95617</v>
      </c>
      <c r="B522" t="s">
        <v>1232</v>
      </c>
      <c r="C522" s="69">
        <v>11355.27</v>
      </c>
      <c r="D522"/>
    </row>
    <row r="523" spans="1:4">
      <c r="A523">
        <v>95621</v>
      </c>
      <c r="B523" t="s">
        <v>1233</v>
      </c>
      <c r="C523" s="69">
        <v>322447.14</v>
      </c>
      <c r="D523"/>
    </row>
    <row r="524" spans="1:4">
      <c r="A524">
        <v>95701</v>
      </c>
      <c r="B524" t="s">
        <v>1234</v>
      </c>
      <c r="C524" s="69">
        <v>709537.42999999993</v>
      </c>
      <c r="D524"/>
    </row>
    <row r="525" spans="1:4">
      <c r="A525">
        <v>95711</v>
      </c>
      <c r="B525" t="s">
        <v>1235</v>
      </c>
      <c r="C525" s="69">
        <v>82491.69</v>
      </c>
      <c r="D525"/>
    </row>
    <row r="526" spans="1:4">
      <c r="A526">
        <v>95721</v>
      </c>
      <c r="B526" t="s">
        <v>1236</v>
      </c>
      <c r="C526" s="69">
        <v>38084.629999999997</v>
      </c>
      <c r="D526"/>
    </row>
    <row r="527" spans="1:4">
      <c r="A527">
        <v>95733</v>
      </c>
      <c r="B527" t="s">
        <v>1237</v>
      </c>
      <c r="C527" s="69">
        <v>9558.02</v>
      </c>
      <c r="D527"/>
    </row>
    <row r="528" spans="1:4">
      <c r="A528">
        <v>95801</v>
      </c>
      <c r="B528" t="s">
        <v>1238</v>
      </c>
      <c r="C528" s="69">
        <v>638922.77</v>
      </c>
      <c r="D528"/>
    </row>
    <row r="529" spans="1:4">
      <c r="A529">
        <v>95802</v>
      </c>
      <c r="B529" t="s">
        <v>1239</v>
      </c>
      <c r="C529" s="69">
        <v>7242.4799999999987</v>
      </c>
      <c r="D529"/>
    </row>
    <row r="530" spans="1:4">
      <c r="A530">
        <v>95804</v>
      </c>
      <c r="B530" t="s">
        <v>1240</v>
      </c>
      <c r="C530" s="69">
        <v>13253.65</v>
      </c>
      <c r="D530"/>
    </row>
    <row r="531" spans="1:4">
      <c r="A531">
        <v>95811</v>
      </c>
      <c r="B531" t="s">
        <v>1241</v>
      </c>
      <c r="C531" s="69">
        <v>329343.24</v>
      </c>
      <c r="D531"/>
    </row>
    <row r="532" spans="1:4">
      <c r="A532">
        <v>95813</v>
      </c>
      <c r="B532" t="s">
        <v>1242</v>
      </c>
      <c r="C532" s="69">
        <v>35096.51</v>
      </c>
      <c r="D532"/>
    </row>
    <row r="533" spans="1:4">
      <c r="A533">
        <v>95821</v>
      </c>
      <c r="B533" t="s">
        <v>1243</v>
      </c>
      <c r="C533" s="69">
        <v>3655.14</v>
      </c>
      <c r="D533"/>
    </row>
    <row r="534" spans="1:4">
      <c r="A534">
        <v>95831</v>
      </c>
      <c r="B534" t="s">
        <v>1244</v>
      </c>
      <c r="C534" s="69">
        <v>21341.29</v>
      </c>
      <c r="D534"/>
    </row>
    <row r="535" spans="1:4">
      <c r="A535">
        <v>95841</v>
      </c>
      <c r="B535" t="s">
        <v>1245</v>
      </c>
      <c r="C535" s="69">
        <v>14345.120000000003</v>
      </c>
      <c r="D535"/>
    </row>
    <row r="536" spans="1:4">
      <c r="A536">
        <v>95851</v>
      </c>
      <c r="B536" t="s">
        <v>1246</v>
      </c>
      <c r="C536" s="69">
        <v>77011.98000000001</v>
      </c>
      <c r="D536"/>
    </row>
    <row r="537" spans="1:4">
      <c r="A537">
        <v>95853</v>
      </c>
      <c r="B537" t="s">
        <v>1247</v>
      </c>
      <c r="C537" s="69">
        <v>19467.939999999999</v>
      </c>
      <c r="D537"/>
    </row>
    <row r="538" spans="1:4">
      <c r="A538">
        <v>95901</v>
      </c>
      <c r="B538" t="s">
        <v>1248</v>
      </c>
      <c r="C538" s="69">
        <v>1220774.92</v>
      </c>
      <c r="D538"/>
    </row>
    <row r="539" spans="1:4">
      <c r="A539">
        <v>95908</v>
      </c>
      <c r="B539" t="s">
        <v>1249</v>
      </c>
      <c r="C539" s="69">
        <v>33781.550000000003</v>
      </c>
      <c r="D539"/>
    </row>
    <row r="540" spans="1:4">
      <c r="A540">
        <v>95911</v>
      </c>
      <c r="B540" t="s">
        <v>1250</v>
      </c>
      <c r="C540" s="69">
        <v>334525.23000000004</v>
      </c>
      <c r="D540"/>
    </row>
    <row r="541" spans="1:4">
      <c r="A541">
        <v>95917</v>
      </c>
      <c r="B541" t="s">
        <v>1251</v>
      </c>
      <c r="C541" s="69">
        <v>16407.669999999998</v>
      </c>
      <c r="D541"/>
    </row>
    <row r="542" spans="1:4">
      <c r="A542">
        <v>95921</v>
      </c>
      <c r="B542" t="s">
        <v>1252</v>
      </c>
      <c r="C542" s="69">
        <v>36198.03</v>
      </c>
      <c r="D542"/>
    </row>
    <row r="543" spans="1:4">
      <c r="A543">
        <v>96001</v>
      </c>
      <c r="B543" t="s">
        <v>1253</v>
      </c>
      <c r="C543" s="69">
        <v>26462722.189999998</v>
      </c>
      <c r="D543"/>
    </row>
    <row r="544" spans="1:4">
      <c r="A544">
        <v>96003</v>
      </c>
      <c r="B544" t="s">
        <v>3730</v>
      </c>
      <c r="C544" s="69">
        <v>1140031.6800000002</v>
      </c>
      <c r="D544"/>
    </row>
    <row r="545" spans="1:4">
      <c r="A545">
        <v>96004</v>
      </c>
      <c r="B545" t="s">
        <v>1255</v>
      </c>
      <c r="C545" s="69">
        <v>707299.85</v>
      </c>
      <c r="D545"/>
    </row>
    <row r="546" spans="1:4">
      <c r="A546">
        <v>96005</v>
      </c>
      <c r="B546" t="s">
        <v>1256</v>
      </c>
      <c r="C546" s="69">
        <v>1642393.6199999999</v>
      </c>
      <c r="D546"/>
    </row>
    <row r="547" spans="1:4">
      <c r="A547">
        <v>96008</v>
      </c>
      <c r="B547" t="s">
        <v>1257</v>
      </c>
      <c r="C547" s="69">
        <v>2991265.0300000003</v>
      </c>
      <c r="D547"/>
    </row>
    <row r="548" spans="1:4">
      <c r="A548">
        <v>96009</v>
      </c>
      <c r="B548" t="s">
        <v>1258</v>
      </c>
      <c r="C548" s="69">
        <v>251286.88999999998</v>
      </c>
      <c r="D548"/>
    </row>
    <row r="549" spans="1:4">
      <c r="A549">
        <v>96011</v>
      </c>
      <c r="B549" t="s">
        <v>1259</v>
      </c>
      <c r="C549" s="69">
        <v>41643669.830000006</v>
      </c>
      <c r="D549"/>
    </row>
    <row r="550" spans="1:4">
      <c r="A550">
        <v>96012</v>
      </c>
      <c r="B550" t="s">
        <v>3731</v>
      </c>
      <c r="C550" s="69">
        <v>1558867.2</v>
      </c>
      <c r="D550"/>
    </row>
    <row r="551" spans="1:4">
      <c r="A551">
        <v>96018</v>
      </c>
      <c r="B551" t="s">
        <v>1261</v>
      </c>
      <c r="C551" s="69">
        <v>26128.499999999996</v>
      </c>
      <c r="D551"/>
    </row>
    <row r="552" spans="1:4">
      <c r="A552">
        <v>96021</v>
      </c>
      <c r="B552" t="s">
        <v>1262</v>
      </c>
      <c r="C552" s="69">
        <v>454405.49</v>
      </c>
      <c r="D552"/>
    </row>
    <row r="553" spans="1:4">
      <c r="A553">
        <v>96031</v>
      </c>
      <c r="B553" t="s">
        <v>1263</v>
      </c>
      <c r="C553" s="69">
        <v>428421.22000000003</v>
      </c>
      <c r="D553"/>
    </row>
    <row r="554" spans="1:4">
      <c r="A554">
        <v>96041</v>
      </c>
      <c r="B554" t="s">
        <v>1264</v>
      </c>
      <c r="C554" s="69">
        <v>1075469.8400000001</v>
      </c>
      <c r="D554"/>
    </row>
    <row r="555" spans="1:4">
      <c r="A555">
        <v>96051</v>
      </c>
      <c r="B555" t="s">
        <v>1265</v>
      </c>
      <c r="C555" s="69">
        <v>601561.31999999995</v>
      </c>
      <c r="D555"/>
    </row>
    <row r="556" spans="1:4">
      <c r="A556">
        <v>96061</v>
      </c>
      <c r="B556" t="s">
        <v>1266</v>
      </c>
      <c r="C556" s="69">
        <v>202484.07</v>
      </c>
      <c r="D556"/>
    </row>
    <row r="557" spans="1:4">
      <c r="A557">
        <v>96071</v>
      </c>
      <c r="B557" t="s">
        <v>1267</v>
      </c>
      <c r="C557" s="69">
        <v>864449.80999999994</v>
      </c>
      <c r="D557"/>
    </row>
    <row r="558" spans="1:4">
      <c r="A558">
        <v>96081</v>
      </c>
      <c r="B558" t="s">
        <v>1268</v>
      </c>
      <c r="C558" s="69">
        <v>337389.74</v>
      </c>
      <c r="D558"/>
    </row>
    <row r="559" spans="1:4">
      <c r="A559">
        <v>96101</v>
      </c>
      <c r="B559" t="s">
        <v>1269</v>
      </c>
      <c r="C559" s="69">
        <v>419690.98000000004</v>
      </c>
      <c r="D559"/>
    </row>
    <row r="560" spans="1:4">
      <c r="A560">
        <v>96102</v>
      </c>
      <c r="B560" t="s">
        <v>1270</v>
      </c>
      <c r="C560" s="69">
        <v>6325.55</v>
      </c>
      <c r="D560"/>
    </row>
    <row r="561" spans="1:4">
      <c r="A561">
        <v>96111</v>
      </c>
      <c r="B561" t="s">
        <v>1271</v>
      </c>
      <c r="C561" s="69">
        <v>115412.75</v>
      </c>
      <c r="D561"/>
    </row>
    <row r="562" spans="1:4">
      <c r="A562">
        <v>96121</v>
      </c>
      <c r="B562" t="s">
        <v>1272</v>
      </c>
      <c r="C562" s="69">
        <v>10657.320000000002</v>
      </c>
      <c r="D562"/>
    </row>
    <row r="563" spans="1:4">
      <c r="A563">
        <v>96201</v>
      </c>
      <c r="B563" t="s">
        <v>1273</v>
      </c>
      <c r="C563" s="69">
        <v>668465.32000000007</v>
      </c>
      <c r="D563"/>
    </row>
    <row r="564" spans="1:4">
      <c r="A564">
        <v>96204</v>
      </c>
      <c r="B564" t="s">
        <v>1274</v>
      </c>
      <c r="C564" s="69">
        <v>12911.069999999998</v>
      </c>
      <c r="D564"/>
    </row>
    <row r="565" spans="1:4">
      <c r="A565">
        <v>96211</v>
      </c>
      <c r="B565" t="s">
        <v>1275</v>
      </c>
      <c r="C565" s="69">
        <v>21705.64</v>
      </c>
      <c r="D565"/>
    </row>
    <row r="566" spans="1:4">
      <c r="A566">
        <v>96221</v>
      </c>
      <c r="B566" t="s">
        <v>1276</v>
      </c>
      <c r="C566" s="69">
        <v>129758.64</v>
      </c>
      <c r="D566"/>
    </row>
    <row r="567" spans="1:4">
      <c r="A567">
        <v>96231</v>
      </c>
      <c r="B567" t="s">
        <v>1277</v>
      </c>
      <c r="C567" s="69">
        <v>59754.000000000007</v>
      </c>
      <c r="D567"/>
    </row>
    <row r="568" spans="1:4">
      <c r="A568">
        <v>96241</v>
      </c>
      <c r="B568" t="s">
        <v>1278</v>
      </c>
      <c r="C568" s="69">
        <v>30224.740000000005</v>
      </c>
      <c r="D568"/>
    </row>
    <row r="569" spans="1:4">
      <c r="A569">
        <v>96251</v>
      </c>
      <c r="B569" t="s">
        <v>1279</v>
      </c>
      <c r="C569" s="69">
        <v>45868.47</v>
      </c>
      <c r="D569"/>
    </row>
    <row r="570" spans="1:4">
      <c r="A570">
        <v>96301</v>
      </c>
      <c r="B570" t="s">
        <v>1280</v>
      </c>
      <c r="C570" s="69">
        <v>2945655.1500000004</v>
      </c>
      <c r="D570"/>
    </row>
    <row r="571" spans="1:4">
      <c r="A571">
        <v>96302</v>
      </c>
      <c r="B571" t="s">
        <v>1281</v>
      </c>
      <c r="C571" s="69">
        <v>18801.04</v>
      </c>
      <c r="D571"/>
    </row>
    <row r="572" spans="1:4">
      <c r="A572">
        <v>96304</v>
      </c>
      <c r="B572" t="s">
        <v>1282</v>
      </c>
      <c r="C572" s="69">
        <v>33468.31</v>
      </c>
      <c r="D572"/>
    </row>
    <row r="573" spans="1:4">
      <c r="A573">
        <v>96305</v>
      </c>
      <c r="B573" t="s">
        <v>1283</v>
      </c>
      <c r="C573" s="69">
        <v>37629.969999999994</v>
      </c>
      <c r="D573"/>
    </row>
    <row r="574" spans="1:4">
      <c r="A574">
        <v>96310</v>
      </c>
      <c r="B574" t="s">
        <v>1284</v>
      </c>
      <c r="C574" s="69">
        <v>37430.43</v>
      </c>
      <c r="D574"/>
    </row>
    <row r="575" spans="1:4">
      <c r="A575">
        <v>96311</v>
      </c>
      <c r="B575" t="s">
        <v>1285</v>
      </c>
      <c r="C575" s="69">
        <v>834365.27</v>
      </c>
      <c r="D575"/>
    </row>
    <row r="576" spans="1:4">
      <c r="A576">
        <v>96312</v>
      </c>
      <c r="B576" t="s">
        <v>1286</v>
      </c>
      <c r="C576" s="69">
        <v>5873.54</v>
      </c>
      <c r="D576"/>
    </row>
    <row r="577" spans="1:4">
      <c r="A577">
        <v>96318</v>
      </c>
      <c r="B577" t="s">
        <v>1287</v>
      </c>
      <c r="C577" s="69">
        <v>1594395.79</v>
      </c>
      <c r="D577"/>
    </row>
    <row r="578" spans="1:4">
      <c r="A578">
        <v>96321</v>
      </c>
      <c r="B578" t="s">
        <v>1288</v>
      </c>
      <c r="C578" s="69">
        <v>24541.379999999997</v>
      </c>
      <c r="D578"/>
    </row>
    <row r="579" spans="1:4">
      <c r="A579">
        <v>96331</v>
      </c>
      <c r="B579" t="s">
        <v>1289</v>
      </c>
      <c r="C579" s="69">
        <v>404053.86</v>
      </c>
      <c r="D579"/>
    </row>
    <row r="580" spans="1:4">
      <c r="A580">
        <v>96341</v>
      </c>
      <c r="B580" t="s">
        <v>1290</v>
      </c>
      <c r="C580" s="69">
        <v>43370.689999999995</v>
      </c>
      <c r="D580"/>
    </row>
    <row r="581" spans="1:4">
      <c r="A581">
        <v>96351</v>
      </c>
      <c r="B581" t="s">
        <v>1291</v>
      </c>
      <c r="C581" s="69">
        <v>657328.12</v>
      </c>
      <c r="D581"/>
    </row>
    <row r="582" spans="1:4">
      <c r="A582">
        <v>96361</v>
      </c>
      <c r="B582" t="s">
        <v>1292</v>
      </c>
      <c r="C582" s="69">
        <v>30410.32</v>
      </c>
      <c r="D582"/>
    </row>
    <row r="583" spans="1:4">
      <c r="A583">
        <v>96371</v>
      </c>
      <c r="B583" t="s">
        <v>1293</v>
      </c>
      <c r="C583" s="69">
        <v>100267.8</v>
      </c>
      <c r="D583"/>
    </row>
    <row r="584" spans="1:4">
      <c r="A584">
        <v>96381</v>
      </c>
      <c r="B584" t="s">
        <v>1294</v>
      </c>
      <c r="C584" s="69">
        <v>20753.489999999998</v>
      </c>
      <c r="D584"/>
    </row>
    <row r="585" spans="1:4">
      <c r="A585">
        <v>96391</v>
      </c>
      <c r="B585" t="s">
        <v>1295</v>
      </c>
      <c r="C585" s="69">
        <v>103754.31</v>
      </c>
      <c r="D585"/>
    </row>
    <row r="586" spans="1:4">
      <c r="A586">
        <v>96401</v>
      </c>
      <c r="B586" t="s">
        <v>1296</v>
      </c>
      <c r="C586" s="69">
        <v>2788851.6799999997</v>
      </c>
      <c r="D586"/>
    </row>
    <row r="587" spans="1:4">
      <c r="A587">
        <v>96404</v>
      </c>
      <c r="B587" t="s">
        <v>1297</v>
      </c>
      <c r="C587" s="69">
        <v>78967.030000000028</v>
      </c>
      <c r="D587"/>
    </row>
    <row r="588" spans="1:4">
      <c r="A588">
        <v>96405</v>
      </c>
      <c r="B588" t="s">
        <v>1298</v>
      </c>
      <c r="C588" s="69">
        <v>90861.31</v>
      </c>
      <c r="D588"/>
    </row>
    <row r="589" spans="1:4">
      <c r="A589">
        <v>96411</v>
      </c>
      <c r="B589" t="s">
        <v>1299</v>
      </c>
      <c r="C589" s="69">
        <v>38020.869999999995</v>
      </c>
      <c r="D589"/>
    </row>
    <row r="590" spans="1:4">
      <c r="A590">
        <v>96421</v>
      </c>
      <c r="B590" t="s">
        <v>1300</v>
      </c>
      <c r="C590" s="69">
        <v>214469.91</v>
      </c>
      <c r="D590"/>
    </row>
    <row r="591" spans="1:4">
      <c r="A591">
        <v>96431</v>
      </c>
      <c r="B591" t="s">
        <v>1301</v>
      </c>
      <c r="C591" s="69">
        <v>34096.620000000003</v>
      </c>
      <c r="D591"/>
    </row>
    <row r="592" spans="1:4">
      <c r="A592">
        <v>96441</v>
      </c>
      <c r="B592" t="s">
        <v>1302</v>
      </c>
      <c r="C592" s="69">
        <v>16875.850000000002</v>
      </c>
      <c r="D592"/>
    </row>
    <row r="593" spans="1:4">
      <c r="A593">
        <v>96451</v>
      </c>
      <c r="B593" t="s">
        <v>1303</v>
      </c>
      <c r="C593" s="69">
        <v>11724.16</v>
      </c>
      <c r="D593"/>
    </row>
    <row r="594" spans="1:4">
      <c r="A594">
        <v>96461</v>
      </c>
      <c r="B594" t="s">
        <v>1304</v>
      </c>
      <c r="C594" s="69">
        <v>78511.930000000008</v>
      </c>
      <c r="D594"/>
    </row>
    <row r="595" spans="1:4">
      <c r="A595">
        <v>96501</v>
      </c>
      <c r="B595" t="s">
        <v>1305</v>
      </c>
      <c r="C595" s="69">
        <v>9238120.3300000001</v>
      </c>
      <c r="D595"/>
    </row>
    <row r="596" spans="1:4">
      <c r="A596">
        <v>96502</v>
      </c>
      <c r="B596" t="s">
        <v>1306</v>
      </c>
      <c r="C596" s="69">
        <v>242661.71000000002</v>
      </c>
      <c r="D596"/>
    </row>
    <row r="597" spans="1:4">
      <c r="A597">
        <v>96503</v>
      </c>
      <c r="B597" t="s">
        <v>1307</v>
      </c>
      <c r="C597" s="69">
        <v>230793.13</v>
      </c>
      <c r="D597"/>
    </row>
    <row r="598" spans="1:4">
      <c r="A598">
        <v>96504</v>
      </c>
      <c r="B598" t="s">
        <v>1308</v>
      </c>
      <c r="C598" s="69">
        <v>265829.33</v>
      </c>
      <c r="D598"/>
    </row>
    <row r="599" spans="1:4">
      <c r="A599">
        <v>96507</v>
      </c>
      <c r="B599" t="s">
        <v>1309</v>
      </c>
      <c r="C599" s="69">
        <v>1534618.12</v>
      </c>
      <c r="D599"/>
    </row>
    <row r="600" spans="1:4">
      <c r="A600">
        <v>96508</v>
      </c>
      <c r="B600" t="s">
        <v>1310</v>
      </c>
      <c r="C600" s="69">
        <v>11966.64</v>
      </c>
      <c r="D600"/>
    </row>
    <row r="601" spans="1:4">
      <c r="A601">
        <v>96511</v>
      </c>
      <c r="B601" t="s">
        <v>1311</v>
      </c>
      <c r="C601" s="69">
        <v>360747.05</v>
      </c>
      <c r="D601"/>
    </row>
    <row r="602" spans="1:4">
      <c r="A602">
        <v>96512</v>
      </c>
      <c r="B602" t="s">
        <v>1312</v>
      </c>
      <c r="C602" s="69">
        <v>97965.349999999991</v>
      </c>
      <c r="D602"/>
    </row>
    <row r="603" spans="1:4">
      <c r="A603">
        <v>96519</v>
      </c>
      <c r="B603" t="s">
        <v>1619</v>
      </c>
      <c r="C603" s="69">
        <v>0</v>
      </c>
      <c r="D603"/>
    </row>
    <row r="604" spans="1:4">
      <c r="A604">
        <v>96521</v>
      </c>
      <c r="B604" t="s">
        <v>1313</v>
      </c>
      <c r="C604" s="69">
        <v>531481.39</v>
      </c>
      <c r="D604"/>
    </row>
    <row r="605" spans="1:4">
      <c r="A605">
        <v>96531</v>
      </c>
      <c r="B605" t="s">
        <v>1314</v>
      </c>
      <c r="C605" s="69">
        <v>5152720.0599999996</v>
      </c>
      <c r="D605"/>
    </row>
    <row r="606" spans="1:4">
      <c r="A606">
        <v>96541</v>
      </c>
      <c r="B606" t="s">
        <v>1315</v>
      </c>
      <c r="C606" s="69">
        <v>234424.77000000002</v>
      </c>
      <c r="D606"/>
    </row>
    <row r="607" spans="1:4">
      <c r="A607">
        <v>96601</v>
      </c>
      <c r="B607" t="s">
        <v>1316</v>
      </c>
      <c r="C607" s="69">
        <v>1065106.1600000001</v>
      </c>
      <c r="D607"/>
    </row>
    <row r="608" spans="1:4">
      <c r="A608">
        <v>96604</v>
      </c>
      <c r="B608" t="s">
        <v>1317</v>
      </c>
      <c r="C608" s="69">
        <v>5279.7000000000007</v>
      </c>
      <c r="D608"/>
    </row>
    <row r="609" spans="1:4">
      <c r="A609">
        <v>96611</v>
      </c>
      <c r="B609" t="s">
        <v>1318</v>
      </c>
      <c r="C609" s="69">
        <v>13336.419999999998</v>
      </c>
      <c r="D609"/>
    </row>
    <row r="610" spans="1:4">
      <c r="A610">
        <v>96612</v>
      </c>
      <c r="B610" t="s">
        <v>1319</v>
      </c>
      <c r="C610" s="69">
        <v>43834.609999999993</v>
      </c>
      <c r="D610"/>
    </row>
    <row r="611" spans="1:4">
      <c r="A611">
        <v>96621</v>
      </c>
      <c r="B611" t="s">
        <v>1320</v>
      </c>
      <c r="C611" s="69">
        <v>16136.279999999999</v>
      </c>
      <c r="D611"/>
    </row>
    <row r="612" spans="1:4">
      <c r="A612">
        <v>96631</v>
      </c>
      <c r="B612" t="s">
        <v>1321</v>
      </c>
      <c r="C612" s="69">
        <v>14901.899999999998</v>
      </c>
      <c r="D612"/>
    </row>
    <row r="613" spans="1:4">
      <c r="A613">
        <v>96641</v>
      </c>
      <c r="B613" t="s">
        <v>1322</v>
      </c>
      <c r="C613" s="69">
        <v>28026.5</v>
      </c>
      <c r="D613"/>
    </row>
    <row r="614" spans="1:4">
      <c r="A614">
        <v>96651</v>
      </c>
      <c r="B614" t="s">
        <v>1323</v>
      </c>
      <c r="C614" s="69">
        <v>12070.1</v>
      </c>
      <c r="D614"/>
    </row>
    <row r="615" spans="1:4">
      <c r="A615">
        <v>96661</v>
      </c>
      <c r="B615" t="s">
        <v>1324</v>
      </c>
      <c r="C615" s="69">
        <v>14869.439999999999</v>
      </c>
      <c r="D615"/>
    </row>
    <row r="616" spans="1:4">
      <c r="A616">
        <v>96671</v>
      </c>
      <c r="B616" t="s">
        <v>1325</v>
      </c>
      <c r="C616" s="69">
        <v>12449.1</v>
      </c>
      <c r="D616"/>
    </row>
    <row r="617" spans="1:4">
      <c r="A617">
        <v>96681</v>
      </c>
      <c r="B617" t="s">
        <v>1326</v>
      </c>
      <c r="C617" s="69">
        <v>11987.35</v>
      </c>
      <c r="D617"/>
    </row>
    <row r="618" spans="1:4">
      <c r="A618">
        <v>96701</v>
      </c>
      <c r="B618" t="s">
        <v>1327</v>
      </c>
      <c r="C618" s="69">
        <v>4851952.0600000005</v>
      </c>
      <c r="D618"/>
    </row>
    <row r="619" spans="1:4">
      <c r="A619">
        <v>96704</v>
      </c>
      <c r="B619" t="s">
        <v>1328</v>
      </c>
      <c r="C619" s="69">
        <v>161470.68</v>
      </c>
      <c r="D619"/>
    </row>
    <row r="620" spans="1:4">
      <c r="A620">
        <v>96708</v>
      </c>
      <c r="B620" t="s">
        <v>1329</v>
      </c>
      <c r="C620" s="69">
        <v>519024.39999999997</v>
      </c>
      <c r="D620"/>
    </row>
    <row r="621" spans="1:4">
      <c r="A621">
        <v>96711</v>
      </c>
      <c r="B621" t="s">
        <v>1330</v>
      </c>
      <c r="C621" s="69">
        <v>2341286.7999999998</v>
      </c>
      <c r="D621"/>
    </row>
    <row r="622" spans="1:4">
      <c r="A622">
        <v>96721</v>
      </c>
      <c r="B622" t="s">
        <v>1331</v>
      </c>
      <c r="C622" s="69">
        <v>149086.53</v>
      </c>
      <c r="D622"/>
    </row>
    <row r="623" spans="1:4">
      <c r="A623">
        <v>96731</v>
      </c>
      <c r="B623" t="s">
        <v>1332</v>
      </c>
      <c r="C623" s="69">
        <v>105843.19</v>
      </c>
      <c r="D623"/>
    </row>
    <row r="624" spans="1:4">
      <c r="A624">
        <v>96741</v>
      </c>
      <c r="B624" t="s">
        <v>1334</v>
      </c>
      <c r="C624" s="69">
        <v>53515.66</v>
      </c>
      <c r="D624"/>
    </row>
    <row r="625" spans="1:4">
      <c r="A625">
        <v>96751</v>
      </c>
      <c r="B625" t="s">
        <v>1335</v>
      </c>
      <c r="C625" s="69">
        <v>182370.89</v>
      </c>
      <c r="D625"/>
    </row>
    <row r="626" spans="1:4">
      <c r="A626">
        <v>96801</v>
      </c>
      <c r="B626" t="s">
        <v>1336</v>
      </c>
      <c r="C626" s="69">
        <v>4813006.5699999994</v>
      </c>
      <c r="D626"/>
    </row>
    <row r="627" spans="1:4">
      <c r="A627">
        <v>96804</v>
      </c>
      <c r="B627" t="s">
        <v>1337</v>
      </c>
      <c r="C627" s="69">
        <v>140255.9</v>
      </c>
      <c r="D627"/>
    </row>
    <row r="628" spans="1:4">
      <c r="A628">
        <v>96808</v>
      </c>
      <c r="B628" t="s">
        <v>1338</v>
      </c>
      <c r="C628" s="69">
        <v>784961.79</v>
      </c>
      <c r="D628"/>
    </row>
    <row r="629" spans="1:4">
      <c r="A629">
        <v>96811</v>
      </c>
      <c r="B629" t="s">
        <v>1339</v>
      </c>
      <c r="C629" s="69">
        <v>3728781.1400000006</v>
      </c>
      <c r="D629"/>
    </row>
    <row r="630" spans="1:4">
      <c r="A630">
        <v>96821</v>
      </c>
      <c r="B630" t="s">
        <v>1340</v>
      </c>
      <c r="C630" s="69">
        <v>832841.02</v>
      </c>
      <c r="D630"/>
    </row>
    <row r="631" spans="1:4">
      <c r="A631">
        <v>96831</v>
      </c>
      <c r="B631" t="s">
        <v>1341</v>
      </c>
      <c r="C631" s="69">
        <v>584902.73</v>
      </c>
      <c r="D631"/>
    </row>
    <row r="632" spans="1:4">
      <c r="A632">
        <v>96901</v>
      </c>
      <c r="B632" t="s">
        <v>1342</v>
      </c>
      <c r="C632" s="69">
        <v>506652.34</v>
      </c>
      <c r="D632"/>
    </row>
    <row r="633" spans="1:4">
      <c r="A633">
        <v>96911</v>
      </c>
      <c r="B633" t="s">
        <v>1343</v>
      </c>
      <c r="C633" s="69">
        <v>3539.9399999999996</v>
      </c>
      <c r="D633"/>
    </row>
    <row r="634" spans="1:4">
      <c r="A634">
        <v>96912</v>
      </c>
      <c r="B634" t="s">
        <v>1344</v>
      </c>
      <c r="C634" s="69">
        <v>43950.87</v>
      </c>
      <c r="D634"/>
    </row>
    <row r="635" spans="1:4">
      <c r="A635">
        <v>96918</v>
      </c>
      <c r="B635" t="s">
        <v>1345</v>
      </c>
      <c r="C635" s="69">
        <v>27429.079999999998</v>
      </c>
      <c r="D635"/>
    </row>
    <row r="636" spans="1:4">
      <c r="A636">
        <v>97001</v>
      </c>
      <c r="B636" t="s">
        <v>1346</v>
      </c>
      <c r="C636" s="69">
        <v>952410.24</v>
      </c>
      <c r="D636"/>
    </row>
    <row r="637" spans="1:4">
      <c r="A637">
        <v>97002</v>
      </c>
      <c r="B637" t="s">
        <v>1347</v>
      </c>
      <c r="C637" s="69">
        <v>235303.54</v>
      </c>
      <c r="D637"/>
    </row>
    <row r="638" spans="1:4">
      <c r="A638">
        <v>97004</v>
      </c>
      <c r="B638" t="s">
        <v>1348</v>
      </c>
      <c r="C638" s="69">
        <v>11474.289999999999</v>
      </c>
      <c r="D638"/>
    </row>
    <row r="639" spans="1:4">
      <c r="A639">
        <v>97005</v>
      </c>
      <c r="B639" t="s">
        <v>1349</v>
      </c>
      <c r="C639" s="69">
        <v>18410.579999999998</v>
      </c>
      <c r="D639"/>
    </row>
    <row r="640" spans="1:4">
      <c r="A640">
        <v>97008</v>
      </c>
      <c r="B640" t="s">
        <v>1350</v>
      </c>
      <c r="C640" s="69">
        <v>183366.15999999997</v>
      </c>
      <c r="D640"/>
    </row>
    <row r="641" spans="1:4">
      <c r="A641">
        <v>97010</v>
      </c>
      <c r="B641" t="s">
        <v>1351</v>
      </c>
      <c r="C641" s="69">
        <v>0</v>
      </c>
      <c r="D641"/>
    </row>
    <row r="642" spans="1:4">
      <c r="A642">
        <v>97011</v>
      </c>
      <c r="B642" t="s">
        <v>1352</v>
      </c>
      <c r="C642" s="69">
        <v>1169716.42</v>
      </c>
      <c r="D642"/>
    </row>
    <row r="643" spans="1:4">
      <c r="A643">
        <v>97012</v>
      </c>
      <c r="B643" t="s">
        <v>1353</v>
      </c>
      <c r="C643" s="69">
        <v>16081.41</v>
      </c>
      <c r="D643"/>
    </row>
    <row r="644" spans="1:4">
      <c r="A644">
        <v>97013</v>
      </c>
      <c r="B644" t="s">
        <v>1354</v>
      </c>
      <c r="C644" s="69">
        <v>11474.8</v>
      </c>
      <c r="D644"/>
    </row>
    <row r="645" spans="1:4">
      <c r="A645">
        <v>97015</v>
      </c>
      <c r="B645" t="s">
        <v>1355</v>
      </c>
      <c r="C645" s="69">
        <v>33690.259999999995</v>
      </c>
      <c r="D645"/>
    </row>
    <row r="646" spans="1:4">
      <c r="A646">
        <v>97018</v>
      </c>
      <c r="B646" t="s">
        <v>1356</v>
      </c>
      <c r="C646" s="69">
        <v>11049.839999999998</v>
      </c>
      <c r="D646"/>
    </row>
    <row r="647" spans="1:4">
      <c r="A647">
        <v>97101</v>
      </c>
      <c r="B647" t="s">
        <v>1357</v>
      </c>
      <c r="C647" s="69">
        <v>1795779.8</v>
      </c>
      <c r="D647"/>
    </row>
    <row r="648" spans="1:4">
      <c r="A648">
        <v>97104</v>
      </c>
      <c r="B648" t="s">
        <v>1358</v>
      </c>
      <c r="C648" s="69">
        <v>38739.289999999994</v>
      </c>
      <c r="D648"/>
    </row>
    <row r="649" spans="1:4">
      <c r="A649">
        <v>97111</v>
      </c>
      <c r="B649" t="s">
        <v>1359</v>
      </c>
      <c r="C649" s="69">
        <v>181787.47999999998</v>
      </c>
      <c r="D649"/>
    </row>
    <row r="650" spans="1:4">
      <c r="A650">
        <v>97121</v>
      </c>
      <c r="B650" t="s">
        <v>1360</v>
      </c>
      <c r="C650" s="69">
        <v>118893.85</v>
      </c>
      <c r="D650"/>
    </row>
    <row r="651" spans="1:4">
      <c r="A651">
        <v>97131</v>
      </c>
      <c r="B651" t="s">
        <v>1361</v>
      </c>
      <c r="C651" s="69">
        <v>377963.18</v>
      </c>
      <c r="D651"/>
    </row>
    <row r="652" spans="1:4">
      <c r="A652">
        <v>97201</v>
      </c>
      <c r="B652" t="s">
        <v>1362</v>
      </c>
      <c r="C652" s="69">
        <v>353704.81999999995</v>
      </c>
      <c r="D652"/>
    </row>
    <row r="653" spans="1:4">
      <c r="A653">
        <v>97211</v>
      </c>
      <c r="B653" t="s">
        <v>1363</v>
      </c>
      <c r="C653" s="69">
        <v>97538.15</v>
      </c>
      <c r="D653"/>
    </row>
    <row r="654" spans="1:4">
      <c r="A654">
        <v>97213</v>
      </c>
      <c r="B654" t="s">
        <v>1364</v>
      </c>
      <c r="C654" s="69">
        <v>27226.28</v>
      </c>
      <c r="D654"/>
    </row>
    <row r="655" spans="1:4">
      <c r="A655">
        <v>97217</v>
      </c>
      <c r="B655" t="s">
        <v>1365</v>
      </c>
      <c r="C655" s="69">
        <v>7851.2800000000016</v>
      </c>
      <c r="D655"/>
    </row>
    <row r="656" spans="1:4">
      <c r="A656">
        <v>97221</v>
      </c>
      <c r="B656" t="s">
        <v>1366</v>
      </c>
      <c r="C656" s="69">
        <v>8596.6899999999987</v>
      </c>
      <c r="D656"/>
    </row>
    <row r="657" spans="1:4">
      <c r="A657">
        <v>97301</v>
      </c>
      <c r="B657" t="s">
        <v>1367</v>
      </c>
      <c r="C657" s="69">
        <v>1296799.6099999999</v>
      </c>
      <c r="D657"/>
    </row>
    <row r="658" spans="1:4">
      <c r="A658">
        <v>97302</v>
      </c>
      <c r="B658" t="s">
        <v>3617</v>
      </c>
      <c r="C658" s="69">
        <v>35925.22</v>
      </c>
      <c r="D658"/>
    </row>
    <row r="659" spans="1:4">
      <c r="A659">
        <v>97304</v>
      </c>
      <c r="B659" t="s">
        <v>1368</v>
      </c>
      <c r="C659" s="69">
        <v>18956.010000000002</v>
      </c>
      <c r="D659"/>
    </row>
    <row r="660" spans="1:4">
      <c r="A660">
        <v>97311</v>
      </c>
      <c r="B660" t="s">
        <v>1369</v>
      </c>
      <c r="C660" s="69">
        <v>542660.51000000013</v>
      </c>
      <c r="D660"/>
    </row>
    <row r="661" spans="1:4">
      <c r="A661">
        <v>97401</v>
      </c>
      <c r="B661" t="s">
        <v>1370</v>
      </c>
      <c r="C661" s="69">
        <v>4217404.47</v>
      </c>
      <c r="D661"/>
    </row>
    <row r="662" spans="1:4">
      <c r="A662">
        <v>97402</v>
      </c>
      <c r="B662" t="s">
        <v>1371</v>
      </c>
      <c r="C662" s="69">
        <v>37298.489999999991</v>
      </c>
      <c r="D662"/>
    </row>
    <row r="663" spans="1:4">
      <c r="A663">
        <v>97404</v>
      </c>
      <c r="B663" t="s">
        <v>1372</v>
      </c>
      <c r="C663" s="69">
        <v>124938.88</v>
      </c>
      <c r="D663"/>
    </row>
    <row r="664" spans="1:4">
      <c r="A664">
        <v>97405</v>
      </c>
      <c r="B664" t="s">
        <v>1373</v>
      </c>
      <c r="C664" s="69">
        <v>83347.530000000013</v>
      </c>
      <c r="D664"/>
    </row>
    <row r="665" spans="1:4">
      <c r="A665">
        <v>97408</v>
      </c>
      <c r="B665" t="s">
        <v>1374</v>
      </c>
      <c r="C665" s="69">
        <v>32564.699999999997</v>
      </c>
      <c r="D665"/>
    </row>
    <row r="666" spans="1:4">
      <c r="A666">
        <v>97411</v>
      </c>
      <c r="B666" t="s">
        <v>1375</v>
      </c>
      <c r="C666" s="69">
        <v>3801771.57</v>
      </c>
      <c r="D666"/>
    </row>
    <row r="667" spans="1:4">
      <c r="A667">
        <v>97412</v>
      </c>
      <c r="B667" t="s">
        <v>1376</v>
      </c>
      <c r="C667" s="69">
        <v>2845829.4899999998</v>
      </c>
      <c r="D667"/>
    </row>
    <row r="668" spans="1:4">
      <c r="A668">
        <v>97413</v>
      </c>
      <c r="B668" t="s">
        <v>1377</v>
      </c>
      <c r="C668" s="69">
        <v>202992.13999999998</v>
      </c>
      <c r="D668"/>
    </row>
    <row r="669" spans="1:4">
      <c r="A669">
        <v>97421</v>
      </c>
      <c r="B669" t="s">
        <v>1378</v>
      </c>
      <c r="C669" s="69">
        <v>251678.50999999998</v>
      </c>
      <c r="D669"/>
    </row>
    <row r="670" spans="1:4">
      <c r="A670">
        <v>97423</v>
      </c>
      <c r="B670" t="s">
        <v>1379</v>
      </c>
      <c r="C670" s="69">
        <v>24471.98</v>
      </c>
      <c r="D670"/>
    </row>
    <row r="671" spans="1:4">
      <c r="A671">
        <v>97431</v>
      </c>
      <c r="B671" t="s">
        <v>1380</v>
      </c>
      <c r="C671" s="69">
        <v>59547.149999999994</v>
      </c>
      <c r="D671"/>
    </row>
    <row r="672" spans="1:4">
      <c r="A672">
        <v>97441</v>
      </c>
      <c r="B672" t="s">
        <v>1381</v>
      </c>
      <c r="C672" s="69">
        <v>26814.92</v>
      </c>
      <c r="D672"/>
    </row>
    <row r="673" spans="1:4">
      <c r="A673">
        <v>97451</v>
      </c>
      <c r="B673" t="s">
        <v>1382</v>
      </c>
      <c r="C673" s="69">
        <v>413279.85000000009</v>
      </c>
      <c r="D673"/>
    </row>
    <row r="674" spans="1:4">
      <c r="A674">
        <v>97461</v>
      </c>
      <c r="B674" t="s">
        <v>1383</v>
      </c>
      <c r="C674" s="69">
        <v>326750.21999999997</v>
      </c>
      <c r="D674"/>
    </row>
    <row r="675" spans="1:4">
      <c r="A675">
        <v>97463</v>
      </c>
      <c r="B675" t="s">
        <v>1384</v>
      </c>
      <c r="C675" s="69">
        <v>0</v>
      </c>
      <c r="D675"/>
    </row>
    <row r="676" spans="1:4">
      <c r="A676">
        <v>97471</v>
      </c>
      <c r="B676" t="s">
        <v>1385</v>
      </c>
      <c r="C676" s="69">
        <v>16567.64</v>
      </c>
      <c r="D676"/>
    </row>
    <row r="677" spans="1:4">
      <c r="A677">
        <v>97481</v>
      </c>
      <c r="B677" t="s">
        <v>1386</v>
      </c>
      <c r="C677" s="69">
        <v>2860.7199999999993</v>
      </c>
      <c r="D677"/>
    </row>
    <row r="678" spans="1:4">
      <c r="A678">
        <v>97491</v>
      </c>
      <c r="B678" t="s">
        <v>3720</v>
      </c>
      <c r="C678" s="69">
        <v>0</v>
      </c>
      <c r="D678"/>
    </row>
    <row r="679" spans="1:4">
      <c r="A679">
        <v>97501</v>
      </c>
      <c r="B679" t="s">
        <v>1388</v>
      </c>
      <c r="C679" s="69">
        <v>773030.28999999992</v>
      </c>
      <c r="D679"/>
    </row>
    <row r="680" spans="1:4">
      <c r="A680">
        <v>97511</v>
      </c>
      <c r="B680" t="s">
        <v>1389</v>
      </c>
      <c r="C680" s="69">
        <v>143364.36000000002</v>
      </c>
      <c r="D680"/>
    </row>
    <row r="681" spans="1:4">
      <c r="A681">
        <v>97521</v>
      </c>
      <c r="B681" t="s">
        <v>1390</v>
      </c>
      <c r="C681" s="69">
        <v>78443.06</v>
      </c>
      <c r="D681"/>
    </row>
    <row r="682" spans="1:4">
      <c r="A682">
        <v>97527</v>
      </c>
      <c r="B682" t="s">
        <v>1641</v>
      </c>
      <c r="C682" s="69">
        <v>5611.6</v>
      </c>
      <c r="D682"/>
    </row>
    <row r="683" spans="1:4">
      <c r="A683">
        <v>97531</v>
      </c>
      <c r="B683" t="s">
        <v>1391</v>
      </c>
      <c r="C683" s="69">
        <v>41264.199999999997</v>
      </c>
      <c r="D683"/>
    </row>
    <row r="684" spans="1:4">
      <c r="A684">
        <v>97601</v>
      </c>
      <c r="B684" t="s">
        <v>1392</v>
      </c>
      <c r="C684" s="69">
        <v>3249056.79</v>
      </c>
      <c r="D684"/>
    </row>
    <row r="685" spans="1:4">
      <c r="A685">
        <v>97607</v>
      </c>
      <c r="B685" t="s">
        <v>1393</v>
      </c>
      <c r="C685" s="69">
        <v>23233.65</v>
      </c>
      <c r="D685"/>
    </row>
    <row r="686" spans="1:4">
      <c r="A686">
        <v>97611</v>
      </c>
      <c r="B686" t="s">
        <v>1394</v>
      </c>
      <c r="C686" s="69">
        <v>1540218.59</v>
      </c>
      <c r="D686"/>
    </row>
    <row r="687" spans="1:4">
      <c r="A687">
        <v>97613</v>
      </c>
      <c r="B687" t="s">
        <v>1395</v>
      </c>
      <c r="C687" s="69">
        <v>75660.020000000019</v>
      </c>
      <c r="D687"/>
    </row>
    <row r="688" spans="1:4">
      <c r="A688">
        <v>97621</v>
      </c>
      <c r="B688" t="s">
        <v>1396</v>
      </c>
      <c r="C688" s="69">
        <v>224570.36</v>
      </c>
      <c r="D688"/>
    </row>
    <row r="689" spans="1:4">
      <c r="A689">
        <v>97623</v>
      </c>
      <c r="B689" t="s">
        <v>1397</v>
      </c>
      <c r="C689" s="69">
        <v>17045.790000000005</v>
      </c>
      <c r="D689"/>
    </row>
    <row r="690" spans="1:4">
      <c r="A690">
        <v>97627</v>
      </c>
      <c r="B690" t="s">
        <v>1398</v>
      </c>
      <c r="C690" s="69">
        <v>5885.4900000000007</v>
      </c>
      <c r="D690"/>
    </row>
    <row r="691" spans="1:4">
      <c r="A691">
        <v>97631</v>
      </c>
      <c r="B691" t="s">
        <v>1399</v>
      </c>
      <c r="C691" s="69">
        <v>121338.65</v>
      </c>
      <c r="D691"/>
    </row>
    <row r="692" spans="1:4">
      <c r="A692">
        <v>97637</v>
      </c>
      <c r="B692" t="s">
        <v>1400</v>
      </c>
      <c r="C692" s="69">
        <v>1677.15</v>
      </c>
      <c r="D692"/>
    </row>
    <row r="693" spans="1:4">
      <c r="A693">
        <v>97641</v>
      </c>
      <c r="B693" t="s">
        <v>1401</v>
      </c>
      <c r="C693" s="69">
        <v>36973.49</v>
      </c>
      <c r="D693"/>
    </row>
    <row r="694" spans="1:4">
      <c r="A694">
        <v>97651</v>
      </c>
      <c r="B694" t="s">
        <v>1402</v>
      </c>
      <c r="C694" s="69">
        <v>302348.47000000003</v>
      </c>
      <c r="D694"/>
    </row>
    <row r="695" spans="1:4">
      <c r="A695">
        <v>97661</v>
      </c>
      <c r="B695" t="s">
        <v>1403</v>
      </c>
      <c r="C695" s="69">
        <v>32184.5</v>
      </c>
      <c r="D695"/>
    </row>
    <row r="696" spans="1:4">
      <c r="A696">
        <v>97701</v>
      </c>
      <c r="B696" t="s">
        <v>1404</v>
      </c>
      <c r="C696" s="69">
        <v>1532971.47</v>
      </c>
      <c r="D696"/>
    </row>
    <row r="697" spans="1:4">
      <c r="A697">
        <v>97705</v>
      </c>
      <c r="B697" t="s">
        <v>1405</v>
      </c>
      <c r="C697" s="69">
        <v>28700.879999999997</v>
      </c>
      <c r="D697"/>
    </row>
    <row r="698" spans="1:4">
      <c r="A698">
        <v>97711</v>
      </c>
      <c r="B698" t="s">
        <v>1406</v>
      </c>
      <c r="C698" s="69">
        <v>552187.30000000005</v>
      </c>
      <c r="D698"/>
    </row>
    <row r="699" spans="1:4">
      <c r="A699">
        <v>97713</v>
      </c>
      <c r="B699" t="s">
        <v>1407</v>
      </c>
      <c r="C699" s="69">
        <v>32149.64</v>
      </c>
      <c r="D699"/>
    </row>
    <row r="700" spans="1:4">
      <c r="A700">
        <v>97717</v>
      </c>
      <c r="B700" t="s">
        <v>1408</v>
      </c>
      <c r="C700" s="69">
        <v>4900.83</v>
      </c>
      <c r="D700"/>
    </row>
    <row r="701" spans="1:4">
      <c r="A701">
        <v>97721</v>
      </c>
      <c r="B701" t="s">
        <v>1409</v>
      </c>
      <c r="C701" s="69">
        <v>319351.13</v>
      </c>
      <c r="D701"/>
    </row>
    <row r="702" spans="1:4">
      <c r="A702">
        <v>97727</v>
      </c>
      <c r="B702" t="s">
        <v>1410</v>
      </c>
      <c r="C702" s="69">
        <v>14204.82</v>
      </c>
      <c r="D702"/>
    </row>
    <row r="703" spans="1:4">
      <c r="A703">
        <v>97731</v>
      </c>
      <c r="B703" t="s">
        <v>1411</v>
      </c>
      <c r="C703" s="69">
        <v>24986.82</v>
      </c>
      <c r="D703"/>
    </row>
    <row r="704" spans="1:4">
      <c r="A704">
        <v>97801</v>
      </c>
      <c r="B704" t="s">
        <v>1412</v>
      </c>
      <c r="C704" s="69">
        <v>4298880.84</v>
      </c>
      <c r="D704"/>
    </row>
    <row r="705" spans="1:4">
      <c r="A705">
        <v>97802</v>
      </c>
      <c r="B705" t="s">
        <v>1413</v>
      </c>
      <c r="C705" s="69">
        <v>101387.85</v>
      </c>
      <c r="D705"/>
    </row>
    <row r="706" spans="1:4">
      <c r="A706">
        <v>97803</v>
      </c>
      <c r="B706" t="s">
        <v>1414</v>
      </c>
      <c r="C706" s="69">
        <v>48800.020000000004</v>
      </c>
      <c r="D706"/>
    </row>
    <row r="707" spans="1:4">
      <c r="A707">
        <v>97805</v>
      </c>
      <c r="B707" t="s">
        <v>1415</v>
      </c>
      <c r="C707" s="69">
        <v>52602.69000000001</v>
      </c>
      <c r="D707"/>
    </row>
    <row r="708" spans="1:4">
      <c r="A708">
        <v>97811</v>
      </c>
      <c r="B708" t="s">
        <v>1416</v>
      </c>
      <c r="C708" s="69">
        <v>1477590.86</v>
      </c>
      <c r="D708"/>
    </row>
    <row r="709" spans="1:4">
      <c r="A709">
        <v>97817</v>
      </c>
      <c r="B709" t="s">
        <v>1417</v>
      </c>
      <c r="C709" s="69">
        <v>17021.07</v>
      </c>
      <c r="D709"/>
    </row>
    <row r="710" spans="1:4">
      <c r="A710">
        <v>97818</v>
      </c>
      <c r="B710" t="s">
        <v>1418</v>
      </c>
      <c r="C710" s="69">
        <v>16162.029999999999</v>
      </c>
      <c r="D710"/>
    </row>
    <row r="711" spans="1:4">
      <c r="A711">
        <v>97821</v>
      </c>
      <c r="B711" t="s">
        <v>1419</v>
      </c>
      <c r="C711" s="69">
        <v>79617.36</v>
      </c>
      <c r="D711"/>
    </row>
    <row r="712" spans="1:4">
      <c r="A712">
        <v>97823</v>
      </c>
      <c r="B712" t="s">
        <v>1420</v>
      </c>
      <c r="C712" s="69">
        <v>15825.5</v>
      </c>
      <c r="D712"/>
    </row>
    <row r="713" spans="1:4">
      <c r="A713">
        <v>97831</v>
      </c>
      <c r="B713" t="s">
        <v>1421</v>
      </c>
      <c r="C713" s="69">
        <v>123536.76</v>
      </c>
      <c r="D713"/>
    </row>
    <row r="714" spans="1:4">
      <c r="A714">
        <v>97837</v>
      </c>
      <c r="B714" t="s">
        <v>1422</v>
      </c>
      <c r="C714" s="69">
        <v>4753.6899999999996</v>
      </c>
      <c r="D714"/>
    </row>
    <row r="715" spans="1:4">
      <c r="A715">
        <v>97840</v>
      </c>
      <c r="B715" t="s">
        <v>1423</v>
      </c>
      <c r="C715" s="69">
        <v>85666.58</v>
      </c>
      <c r="D715"/>
    </row>
    <row r="716" spans="1:4">
      <c r="A716">
        <v>97841</v>
      </c>
      <c r="B716" t="s">
        <v>1424</v>
      </c>
      <c r="C716" s="69">
        <v>7193.93</v>
      </c>
      <c r="D716"/>
    </row>
    <row r="717" spans="1:4">
      <c r="A717">
        <v>97847</v>
      </c>
      <c r="B717" t="s">
        <v>1425</v>
      </c>
      <c r="C717" s="69">
        <v>3263.1599999999994</v>
      </c>
      <c r="D717"/>
    </row>
    <row r="718" spans="1:4">
      <c r="A718">
        <v>97851</v>
      </c>
      <c r="B718" t="s">
        <v>1426</v>
      </c>
      <c r="C718" s="69">
        <v>144132.03</v>
      </c>
      <c r="D718"/>
    </row>
    <row r="719" spans="1:4">
      <c r="A719">
        <v>97853</v>
      </c>
      <c r="B719" t="s">
        <v>1427</v>
      </c>
      <c r="C719" s="69">
        <v>43042.880000000005</v>
      </c>
      <c r="D719"/>
    </row>
    <row r="720" spans="1:4">
      <c r="A720">
        <v>97861</v>
      </c>
      <c r="B720" t="s">
        <v>1428</v>
      </c>
      <c r="C720" s="69">
        <v>39280.799999999996</v>
      </c>
      <c r="D720"/>
    </row>
    <row r="721" spans="1:4">
      <c r="A721">
        <v>97871</v>
      </c>
      <c r="B721" t="s">
        <v>1429</v>
      </c>
      <c r="C721" s="69">
        <v>188715.09999999998</v>
      </c>
      <c r="D721"/>
    </row>
    <row r="722" spans="1:4">
      <c r="A722">
        <v>97877</v>
      </c>
      <c r="B722" t="s">
        <v>1430</v>
      </c>
      <c r="C722" s="69">
        <v>6226.55</v>
      </c>
      <c r="D722"/>
    </row>
    <row r="723" spans="1:4">
      <c r="A723">
        <v>97901</v>
      </c>
      <c r="B723" t="s">
        <v>1431</v>
      </c>
      <c r="C723" s="69">
        <v>2499428.3600000003</v>
      </c>
      <c r="D723"/>
    </row>
    <row r="724" spans="1:4">
      <c r="A724">
        <v>97911</v>
      </c>
      <c r="B724" t="s">
        <v>1432</v>
      </c>
      <c r="C724" s="69">
        <v>826451.18</v>
      </c>
      <c r="D724"/>
    </row>
    <row r="725" spans="1:4">
      <c r="A725">
        <v>97913</v>
      </c>
      <c r="B725" t="s">
        <v>1433</v>
      </c>
      <c r="C725" s="69">
        <v>28547.219999999998</v>
      </c>
      <c r="D725"/>
    </row>
    <row r="726" spans="1:4">
      <c r="A726">
        <v>97917</v>
      </c>
      <c r="B726" t="s">
        <v>1434</v>
      </c>
      <c r="C726" s="69">
        <v>18097.11</v>
      </c>
      <c r="D726"/>
    </row>
    <row r="727" spans="1:4">
      <c r="A727">
        <v>97921</v>
      </c>
      <c r="B727" t="s">
        <v>1435</v>
      </c>
      <c r="C727" s="69">
        <v>134937.62</v>
      </c>
      <c r="D727"/>
    </row>
    <row r="728" spans="1:4">
      <c r="A728">
        <v>97931</v>
      </c>
      <c r="B728" t="s">
        <v>1436</v>
      </c>
      <c r="C728" s="69">
        <v>45280.45</v>
      </c>
      <c r="D728"/>
    </row>
    <row r="729" spans="1:4">
      <c r="A729">
        <v>97941</v>
      </c>
      <c r="B729" t="s">
        <v>1437</v>
      </c>
      <c r="C729" s="69">
        <v>142529.61000000002</v>
      </c>
      <c r="D729"/>
    </row>
    <row r="730" spans="1:4">
      <c r="A730">
        <v>97947</v>
      </c>
      <c r="B730" t="s">
        <v>1438</v>
      </c>
      <c r="C730" s="69">
        <v>11699.560000000001</v>
      </c>
      <c r="D730"/>
    </row>
    <row r="731" spans="1:4">
      <c r="A731">
        <v>97948</v>
      </c>
      <c r="B731" t="s">
        <v>1439</v>
      </c>
      <c r="C731" s="69">
        <v>15972.85</v>
      </c>
      <c r="D731"/>
    </row>
    <row r="732" spans="1:4">
      <c r="A732">
        <v>97951</v>
      </c>
      <c r="B732" t="s">
        <v>1440</v>
      </c>
      <c r="C732" s="69">
        <v>793142.60999999987</v>
      </c>
      <c r="D732"/>
    </row>
    <row r="733" spans="1:4">
      <c r="A733">
        <v>97957</v>
      </c>
      <c r="B733" t="s">
        <v>1441</v>
      </c>
      <c r="C733" s="69">
        <v>16306.619999999999</v>
      </c>
      <c r="D733"/>
    </row>
    <row r="734" spans="1:4">
      <c r="A734">
        <v>98001</v>
      </c>
      <c r="B734" t="s">
        <v>1442</v>
      </c>
      <c r="C734" s="69">
        <v>3451765.31</v>
      </c>
      <c r="D734"/>
    </row>
    <row r="735" spans="1:4">
      <c r="A735">
        <v>98002</v>
      </c>
      <c r="B735" t="s">
        <v>1443</v>
      </c>
      <c r="C735" s="69">
        <v>5144.7300000000005</v>
      </c>
      <c r="D735"/>
    </row>
    <row r="736" spans="1:4">
      <c r="A736">
        <v>98003</v>
      </c>
      <c r="B736" t="s">
        <v>1444</v>
      </c>
      <c r="C736" s="69">
        <v>54930.279999999992</v>
      </c>
      <c r="D736"/>
    </row>
    <row r="737" spans="1:4">
      <c r="A737">
        <v>98004</v>
      </c>
      <c r="B737" t="s">
        <v>1445</v>
      </c>
      <c r="C737" s="69">
        <v>131982.23000000001</v>
      </c>
      <c r="D737"/>
    </row>
    <row r="738" spans="1:4">
      <c r="A738">
        <v>98008</v>
      </c>
      <c r="B738" t="s">
        <v>1446</v>
      </c>
      <c r="C738" s="69">
        <v>4177.6099999999997</v>
      </c>
      <c r="D738"/>
    </row>
    <row r="739" spans="1:4">
      <c r="A739">
        <v>98011</v>
      </c>
      <c r="B739" t="s">
        <v>1447</v>
      </c>
      <c r="C739" s="69">
        <v>2007177.3</v>
      </c>
      <c r="D739"/>
    </row>
    <row r="740" spans="1:4">
      <c r="A740">
        <v>98013</v>
      </c>
      <c r="B740" t="s">
        <v>1448</v>
      </c>
      <c r="C740" s="69">
        <v>94637.53</v>
      </c>
      <c r="D740"/>
    </row>
    <row r="741" spans="1:4">
      <c r="A741">
        <v>98021</v>
      </c>
      <c r="B741" t="s">
        <v>1449</v>
      </c>
      <c r="C741" s="69">
        <v>35499.54</v>
      </c>
      <c r="D741"/>
    </row>
    <row r="742" spans="1:4">
      <c r="A742">
        <v>98023</v>
      </c>
      <c r="B742" t="s">
        <v>1450</v>
      </c>
      <c r="C742" s="69">
        <v>5447.8099999999995</v>
      </c>
      <c r="D742"/>
    </row>
    <row r="743" spans="1:4">
      <c r="A743">
        <v>98031</v>
      </c>
      <c r="B743" t="s">
        <v>1451</v>
      </c>
      <c r="C743" s="69">
        <v>84530.4</v>
      </c>
      <c r="D743"/>
    </row>
    <row r="744" spans="1:4">
      <c r="A744">
        <v>98041</v>
      </c>
      <c r="B744" t="s">
        <v>1452</v>
      </c>
      <c r="C744" s="69">
        <v>133515</v>
      </c>
      <c r="D744"/>
    </row>
    <row r="745" spans="1:4">
      <c r="A745">
        <v>98051</v>
      </c>
      <c r="B745" t="s">
        <v>1453</v>
      </c>
      <c r="C745" s="69">
        <v>153516.88</v>
      </c>
      <c r="D745"/>
    </row>
    <row r="746" spans="1:4">
      <c r="A746">
        <v>98061</v>
      </c>
      <c r="B746" t="s">
        <v>1454</v>
      </c>
      <c r="C746" s="69">
        <v>67745.440000000002</v>
      </c>
      <c r="D746"/>
    </row>
    <row r="747" spans="1:4">
      <c r="A747">
        <v>98071</v>
      </c>
      <c r="B747" t="s">
        <v>1455</v>
      </c>
      <c r="C747" s="69">
        <v>44621.25</v>
      </c>
      <c r="D747"/>
    </row>
    <row r="748" spans="1:4">
      <c r="A748">
        <v>98081</v>
      </c>
      <c r="B748" t="s">
        <v>1456</v>
      </c>
      <c r="C748" s="69">
        <v>9923.84</v>
      </c>
      <c r="D748"/>
    </row>
    <row r="749" spans="1:4">
      <c r="A749">
        <v>98091</v>
      </c>
      <c r="B749" t="s">
        <v>1457</v>
      </c>
      <c r="C749" s="69">
        <v>34137.9</v>
      </c>
      <c r="D749"/>
    </row>
    <row r="750" spans="1:4">
      <c r="A750">
        <v>98101</v>
      </c>
      <c r="B750" t="s">
        <v>1458</v>
      </c>
      <c r="C750" s="69">
        <v>1681231.53</v>
      </c>
      <c r="D750"/>
    </row>
    <row r="751" spans="1:4">
      <c r="A751">
        <v>98102</v>
      </c>
      <c r="B751" t="s">
        <v>1459</v>
      </c>
      <c r="C751" s="69">
        <v>95545.65</v>
      </c>
      <c r="D751"/>
    </row>
    <row r="752" spans="1:4">
      <c r="A752">
        <v>98103</v>
      </c>
      <c r="B752" t="s">
        <v>3732</v>
      </c>
      <c r="C752" s="69">
        <v>296461.66000000003</v>
      </c>
      <c r="D752"/>
    </row>
    <row r="753" spans="1:4">
      <c r="A753">
        <v>98107</v>
      </c>
      <c r="B753" t="s">
        <v>1461</v>
      </c>
      <c r="C753" s="69">
        <v>13669.209999999997</v>
      </c>
      <c r="D753"/>
    </row>
    <row r="754" spans="1:4">
      <c r="A754">
        <v>98109</v>
      </c>
      <c r="B754" t="s">
        <v>1462</v>
      </c>
      <c r="C754" s="69">
        <v>115224.28</v>
      </c>
      <c r="D754"/>
    </row>
    <row r="755" spans="1:4">
      <c r="A755">
        <v>98111</v>
      </c>
      <c r="B755" t="s">
        <v>1463</v>
      </c>
      <c r="C755" s="69">
        <v>586486.77</v>
      </c>
      <c r="D755"/>
    </row>
    <row r="756" spans="1:4">
      <c r="A756">
        <v>98113</v>
      </c>
      <c r="B756" t="s">
        <v>1464</v>
      </c>
      <c r="C756" s="69">
        <v>30544.589999999997</v>
      </c>
      <c r="D756"/>
    </row>
    <row r="757" spans="1:4">
      <c r="A757">
        <v>98121</v>
      </c>
      <c r="B757" t="s">
        <v>1465</v>
      </c>
      <c r="C757" s="69">
        <v>136664.24</v>
      </c>
      <c r="D757"/>
    </row>
    <row r="758" spans="1:4">
      <c r="A758">
        <v>98131</v>
      </c>
      <c r="B758" t="s">
        <v>1466</v>
      </c>
      <c r="C758" s="69">
        <v>167320.65</v>
      </c>
      <c r="D758"/>
    </row>
    <row r="759" spans="1:4">
      <c r="A759">
        <v>98141</v>
      </c>
      <c r="B759" t="s">
        <v>1467</v>
      </c>
      <c r="C759" s="69">
        <v>174887.64</v>
      </c>
      <c r="D759"/>
    </row>
    <row r="760" spans="1:4">
      <c r="A760">
        <v>98147</v>
      </c>
      <c r="B760" t="s">
        <v>1468</v>
      </c>
      <c r="C760" s="69">
        <v>12926.720000000001</v>
      </c>
      <c r="D760"/>
    </row>
    <row r="761" spans="1:4">
      <c r="A761">
        <v>98161</v>
      </c>
      <c r="B761" t="s">
        <v>1469</v>
      </c>
      <c r="C761" s="69">
        <v>6767.7599999999984</v>
      </c>
      <c r="D761"/>
    </row>
    <row r="762" spans="1:4">
      <c r="A762">
        <v>98201</v>
      </c>
      <c r="B762" t="s">
        <v>1470</v>
      </c>
      <c r="C762" s="69">
        <v>1961250.9900000002</v>
      </c>
      <c r="D762"/>
    </row>
    <row r="763" spans="1:4">
      <c r="A763">
        <v>98205</v>
      </c>
      <c r="B763" t="s">
        <v>1471</v>
      </c>
      <c r="C763" s="69">
        <v>21441.590000000007</v>
      </c>
      <c r="D763"/>
    </row>
    <row r="764" spans="1:4">
      <c r="A764">
        <v>98211</v>
      </c>
      <c r="B764" t="s">
        <v>1472</v>
      </c>
      <c r="C764" s="69">
        <v>510938.55</v>
      </c>
      <c r="D764"/>
    </row>
    <row r="765" spans="1:4">
      <c r="A765">
        <v>98218</v>
      </c>
      <c r="B765" t="s">
        <v>1473</v>
      </c>
      <c r="C765" s="69">
        <v>11264.579999999998</v>
      </c>
      <c r="D765"/>
    </row>
    <row r="766" spans="1:4">
      <c r="A766">
        <v>98221</v>
      </c>
      <c r="B766" t="s">
        <v>1474</v>
      </c>
      <c r="C766" s="69">
        <v>12825.900000000003</v>
      </c>
      <c r="D766"/>
    </row>
    <row r="767" spans="1:4">
      <c r="A767">
        <v>98231</v>
      </c>
      <c r="B767" t="s">
        <v>1475</v>
      </c>
      <c r="C767" s="69">
        <v>19768.260000000002</v>
      </c>
      <c r="D767"/>
    </row>
    <row r="768" spans="1:4">
      <c r="A768">
        <v>98237</v>
      </c>
      <c r="B768" t="s">
        <v>1476</v>
      </c>
      <c r="C768" s="69">
        <v>4492.9199999999992</v>
      </c>
      <c r="D768"/>
    </row>
    <row r="769" spans="1:4">
      <c r="A769">
        <v>98241</v>
      </c>
      <c r="B769" t="s">
        <v>1477</v>
      </c>
      <c r="C769" s="69">
        <v>7126.0400000000009</v>
      </c>
      <c r="D769"/>
    </row>
    <row r="770" spans="1:4">
      <c r="A770">
        <v>98251</v>
      </c>
      <c r="B770" t="s">
        <v>1478</v>
      </c>
      <c r="C770" s="69">
        <v>3340.4700000000003</v>
      </c>
      <c r="D770"/>
    </row>
    <row r="771" spans="1:4">
      <c r="A771">
        <v>98261</v>
      </c>
      <c r="B771" t="s">
        <v>1479</v>
      </c>
      <c r="C771" s="69">
        <v>22362.460000000006</v>
      </c>
      <c r="D771"/>
    </row>
    <row r="772" spans="1:4">
      <c r="A772">
        <v>98271</v>
      </c>
      <c r="B772" t="s">
        <v>1480</v>
      </c>
      <c r="C772" s="69">
        <v>3979.57</v>
      </c>
      <c r="D772"/>
    </row>
    <row r="773" spans="1:4">
      <c r="A773">
        <v>98301</v>
      </c>
      <c r="B773" t="s">
        <v>1481</v>
      </c>
      <c r="C773" s="69">
        <v>1180376.0400000003</v>
      </c>
      <c r="D773"/>
    </row>
    <row r="774" spans="1:4">
      <c r="A774">
        <v>98304</v>
      </c>
      <c r="B774" t="s">
        <v>1482</v>
      </c>
      <c r="C774" s="69">
        <v>17022.230000000003</v>
      </c>
      <c r="D774"/>
    </row>
    <row r="775" spans="1:4">
      <c r="A775">
        <v>98308</v>
      </c>
      <c r="B775" t="s">
        <v>1483</v>
      </c>
      <c r="C775" s="69">
        <v>21093.190000000002</v>
      </c>
      <c r="D775"/>
    </row>
    <row r="776" spans="1:4">
      <c r="A776">
        <v>98311</v>
      </c>
      <c r="B776" t="s">
        <v>1484</v>
      </c>
      <c r="C776" s="69">
        <v>640918.68999999994</v>
      </c>
      <c r="D776"/>
    </row>
    <row r="777" spans="1:4">
      <c r="A777">
        <v>98313</v>
      </c>
      <c r="B777" t="s">
        <v>1485</v>
      </c>
      <c r="C777" s="69">
        <v>168657.63</v>
      </c>
      <c r="D777"/>
    </row>
    <row r="778" spans="1:4">
      <c r="A778">
        <v>98321</v>
      </c>
      <c r="B778" t="s">
        <v>1486</v>
      </c>
      <c r="C778" s="69">
        <v>10330.06</v>
      </c>
      <c r="D778"/>
    </row>
    <row r="779" spans="1:4">
      <c r="A779">
        <v>98331</v>
      </c>
      <c r="B779" t="s">
        <v>1487</v>
      </c>
      <c r="C779" s="69">
        <v>3982.45</v>
      </c>
      <c r="D779"/>
    </row>
    <row r="780" spans="1:4">
      <c r="A780">
        <v>98401</v>
      </c>
      <c r="B780" t="s">
        <v>1488</v>
      </c>
      <c r="C780" s="69">
        <v>1924413.75</v>
      </c>
      <c r="D780"/>
    </row>
    <row r="781" spans="1:4">
      <c r="A781">
        <v>98404</v>
      </c>
      <c r="B781" t="s">
        <v>1489</v>
      </c>
      <c r="C781" s="69">
        <v>9834.64</v>
      </c>
      <c r="D781"/>
    </row>
    <row r="782" spans="1:4">
      <c r="A782">
        <v>98411</v>
      </c>
      <c r="B782" t="s">
        <v>1490</v>
      </c>
      <c r="C782" s="69">
        <v>1098322.25</v>
      </c>
      <c r="D782"/>
    </row>
    <row r="783" spans="1:4">
      <c r="A783">
        <v>98414</v>
      </c>
      <c r="B783" t="s">
        <v>1491</v>
      </c>
      <c r="C783" s="69">
        <v>23197.16</v>
      </c>
      <c r="D783"/>
    </row>
    <row r="784" spans="1:4">
      <c r="A784">
        <v>98417</v>
      </c>
      <c r="B784" t="s">
        <v>1492</v>
      </c>
      <c r="C784" s="69">
        <v>18256</v>
      </c>
      <c r="D784"/>
    </row>
    <row r="785" spans="1:4">
      <c r="A785">
        <v>98421</v>
      </c>
      <c r="B785" t="s">
        <v>1493</v>
      </c>
      <c r="C785" s="69">
        <v>61528.109999999993</v>
      </c>
      <c r="D785"/>
    </row>
    <row r="786" spans="1:4">
      <c r="A786">
        <v>98427</v>
      </c>
      <c r="B786" t="s">
        <v>1494</v>
      </c>
      <c r="C786" s="69">
        <v>4225.91</v>
      </c>
      <c r="D786"/>
    </row>
    <row r="787" spans="1:4">
      <c r="A787">
        <v>98431</v>
      </c>
      <c r="B787" t="s">
        <v>1495</v>
      </c>
      <c r="C787" s="69">
        <v>120440.17000000001</v>
      </c>
      <c r="D787"/>
    </row>
    <row r="788" spans="1:4">
      <c r="A788">
        <v>98441</v>
      </c>
      <c r="B788" t="s">
        <v>1496</v>
      </c>
      <c r="C788" s="69">
        <v>65300.319999999992</v>
      </c>
      <c r="D788"/>
    </row>
    <row r="789" spans="1:4">
      <c r="A789">
        <v>98451</v>
      </c>
      <c r="B789" t="s">
        <v>1497</v>
      </c>
      <c r="C789" s="69">
        <v>24999.889999999996</v>
      </c>
      <c r="D789"/>
    </row>
    <row r="790" spans="1:4">
      <c r="A790">
        <v>98471</v>
      </c>
      <c r="B790" t="s">
        <v>1642</v>
      </c>
      <c r="C790" s="69">
        <v>4927.3499999999995</v>
      </c>
      <c r="D790"/>
    </row>
    <row r="791" spans="1:4">
      <c r="A791">
        <v>98481</v>
      </c>
      <c r="B791" t="s">
        <v>1498</v>
      </c>
      <c r="C791" s="69">
        <v>40297.130000000005</v>
      </c>
      <c r="D791"/>
    </row>
    <row r="792" spans="1:4">
      <c r="A792">
        <v>98501</v>
      </c>
      <c r="B792" t="s">
        <v>1499</v>
      </c>
      <c r="C792" s="69">
        <v>1212827.6599999999</v>
      </c>
      <c r="D792"/>
    </row>
    <row r="793" spans="1:4">
      <c r="A793">
        <v>98511</v>
      </c>
      <c r="B793" t="s">
        <v>1500</v>
      </c>
      <c r="C793" s="69">
        <v>30184.560000000001</v>
      </c>
      <c r="D793"/>
    </row>
    <row r="794" spans="1:4">
      <c r="A794">
        <v>98517</v>
      </c>
      <c r="B794" t="s">
        <v>1501</v>
      </c>
      <c r="C794" s="69">
        <v>2893.8800000000006</v>
      </c>
      <c r="D794"/>
    </row>
    <row r="795" spans="1:4">
      <c r="A795">
        <v>98521</v>
      </c>
      <c r="B795" t="s">
        <v>1502</v>
      </c>
      <c r="C795" s="69">
        <v>406132.21</v>
      </c>
      <c r="D795"/>
    </row>
    <row r="796" spans="1:4">
      <c r="A796">
        <v>98601</v>
      </c>
      <c r="B796" t="s">
        <v>1503</v>
      </c>
      <c r="C796" s="69">
        <v>2259963.1700000004</v>
      </c>
      <c r="D796"/>
    </row>
    <row r="797" spans="1:4">
      <c r="A797">
        <v>98604</v>
      </c>
      <c r="B797" t="s">
        <v>1504</v>
      </c>
      <c r="C797" s="69">
        <v>11827</v>
      </c>
      <c r="D797"/>
    </row>
    <row r="798" spans="1:4">
      <c r="A798">
        <v>98607</v>
      </c>
      <c r="B798" t="s">
        <v>1505</v>
      </c>
      <c r="C798" s="69">
        <v>4394.71</v>
      </c>
      <c r="D798"/>
    </row>
    <row r="799" spans="1:4">
      <c r="A799">
        <v>98608</v>
      </c>
      <c r="B799" t="s">
        <v>1506</v>
      </c>
      <c r="C799" s="69">
        <v>45661.7</v>
      </c>
      <c r="D799"/>
    </row>
    <row r="800" spans="1:4">
      <c r="A800">
        <v>98611</v>
      </c>
      <c r="B800" t="s">
        <v>1507</v>
      </c>
      <c r="C800" s="69">
        <v>72804.799999999988</v>
      </c>
      <c r="D800"/>
    </row>
    <row r="801" spans="1:4">
      <c r="A801">
        <v>98621</v>
      </c>
      <c r="B801" t="s">
        <v>1508</v>
      </c>
      <c r="C801" s="69">
        <v>84927.16</v>
      </c>
      <c r="D801"/>
    </row>
    <row r="802" spans="1:4">
      <c r="A802">
        <v>98627</v>
      </c>
      <c r="B802" t="s">
        <v>1509</v>
      </c>
      <c r="C802" s="69">
        <v>4661.62</v>
      </c>
      <c r="D802"/>
    </row>
    <row r="803" spans="1:4">
      <c r="A803">
        <v>98631</v>
      </c>
      <c r="B803" t="s">
        <v>1510</v>
      </c>
      <c r="C803" s="69">
        <v>604567.32000000007</v>
      </c>
      <c r="D803"/>
    </row>
    <row r="804" spans="1:4">
      <c r="A804">
        <v>98637</v>
      </c>
      <c r="B804" t="s">
        <v>1511</v>
      </c>
      <c r="C804" s="69">
        <v>21560.880000000008</v>
      </c>
      <c r="D804"/>
    </row>
    <row r="805" spans="1:4">
      <c r="A805">
        <v>98641</v>
      </c>
      <c r="B805" t="s">
        <v>1512</v>
      </c>
      <c r="C805" s="69">
        <v>189047.20999999996</v>
      </c>
      <c r="D805"/>
    </row>
    <row r="806" spans="1:4">
      <c r="A806">
        <v>98701</v>
      </c>
      <c r="B806" t="s">
        <v>1513</v>
      </c>
      <c r="C806" s="69">
        <v>662629.93000000005</v>
      </c>
      <c r="D806"/>
    </row>
    <row r="807" spans="1:4">
      <c r="A807">
        <v>98711</v>
      </c>
      <c r="B807" t="s">
        <v>1514</v>
      </c>
      <c r="C807" s="69">
        <v>90865.189999999988</v>
      </c>
      <c r="D807"/>
    </row>
    <row r="808" spans="1:4">
      <c r="A808">
        <v>98717</v>
      </c>
      <c r="B808" t="s">
        <v>1515</v>
      </c>
      <c r="C808" s="69">
        <v>12176.759999999998</v>
      </c>
      <c r="D808"/>
    </row>
    <row r="809" spans="1:4">
      <c r="A809">
        <v>98801</v>
      </c>
      <c r="B809" t="s">
        <v>1516</v>
      </c>
      <c r="C809" s="69">
        <v>1583702.2800000003</v>
      </c>
      <c r="D809"/>
    </row>
    <row r="810" spans="1:4">
      <c r="A810">
        <v>98811</v>
      </c>
      <c r="B810" t="s">
        <v>1517</v>
      </c>
      <c r="C810" s="69">
        <v>459895.70999999996</v>
      </c>
      <c r="D810"/>
    </row>
    <row r="811" spans="1:4">
      <c r="A811">
        <v>98817</v>
      </c>
      <c r="B811" t="s">
        <v>1518</v>
      </c>
      <c r="C811" s="69">
        <v>12706.47</v>
      </c>
      <c r="D811"/>
    </row>
    <row r="812" spans="1:4">
      <c r="A812">
        <v>98901</v>
      </c>
      <c r="B812" t="s">
        <v>1519</v>
      </c>
      <c r="C812" s="69">
        <v>206299.63</v>
      </c>
      <c r="D812"/>
    </row>
    <row r="813" spans="1:4">
      <c r="A813">
        <v>98904</v>
      </c>
      <c r="B813" t="s">
        <v>1520</v>
      </c>
      <c r="C813" s="69">
        <v>2052.6799999999998</v>
      </c>
      <c r="D813"/>
    </row>
    <row r="814" spans="1:4">
      <c r="A814">
        <v>98911</v>
      </c>
      <c r="B814" t="s">
        <v>1521</v>
      </c>
      <c r="C814" s="69">
        <v>20047.64</v>
      </c>
      <c r="D814"/>
    </row>
    <row r="815" spans="1:4">
      <c r="A815">
        <v>99001</v>
      </c>
      <c r="B815" t="s">
        <v>1522</v>
      </c>
      <c r="C815" s="69">
        <v>5817530.629999999</v>
      </c>
      <c r="D815"/>
    </row>
    <row r="816" spans="1:4">
      <c r="A816">
        <v>99011</v>
      </c>
      <c r="B816" t="s">
        <v>1523</v>
      </c>
      <c r="C816" s="69">
        <v>2496618.0300000003</v>
      </c>
      <c r="D816"/>
    </row>
    <row r="817" spans="1:4">
      <c r="A817">
        <v>99013</v>
      </c>
      <c r="B817" t="s">
        <v>1524</v>
      </c>
      <c r="C817" s="69">
        <v>41575.909999999996</v>
      </c>
      <c r="D817"/>
    </row>
    <row r="818" spans="1:4">
      <c r="A818">
        <v>99014</v>
      </c>
      <c r="B818" t="s">
        <v>1525</v>
      </c>
      <c r="C818" s="69">
        <v>13208.62</v>
      </c>
      <c r="D818"/>
    </row>
    <row r="819" spans="1:4">
      <c r="A819">
        <v>99017</v>
      </c>
      <c r="B819" t="s">
        <v>1526</v>
      </c>
      <c r="C819" s="69">
        <v>26530.870000000003</v>
      </c>
      <c r="D819"/>
    </row>
    <row r="820" spans="1:4">
      <c r="A820">
        <v>99021</v>
      </c>
      <c r="B820" t="s">
        <v>1527</v>
      </c>
      <c r="C820" s="69">
        <v>84543.390000000014</v>
      </c>
      <c r="D820"/>
    </row>
    <row r="821" spans="1:4">
      <c r="A821">
        <v>99022</v>
      </c>
      <c r="B821" t="s">
        <v>211</v>
      </c>
      <c r="C821" s="69">
        <v>9316.2000000000025</v>
      </c>
      <c r="D821"/>
    </row>
    <row r="822" spans="1:4">
      <c r="A822">
        <v>99031</v>
      </c>
      <c r="B822" t="s">
        <v>1528</v>
      </c>
      <c r="C822" s="69">
        <v>68260.34</v>
      </c>
      <c r="D822"/>
    </row>
    <row r="823" spans="1:4">
      <c r="A823">
        <v>99041</v>
      </c>
      <c r="B823" t="s">
        <v>1529</v>
      </c>
      <c r="C823" s="69">
        <v>403286.20000000007</v>
      </c>
      <c r="D823"/>
    </row>
    <row r="824" spans="1:4">
      <c r="A824">
        <v>99047</v>
      </c>
      <c r="B824" t="s">
        <v>1530</v>
      </c>
      <c r="C824" s="69">
        <v>14452.820000000002</v>
      </c>
      <c r="D824"/>
    </row>
    <row r="825" spans="1:4">
      <c r="A825">
        <v>99051</v>
      </c>
      <c r="B825" t="s">
        <v>1531</v>
      </c>
      <c r="C825" s="69">
        <v>204309.23000000004</v>
      </c>
      <c r="D825"/>
    </row>
    <row r="826" spans="1:4">
      <c r="A826">
        <v>99061</v>
      </c>
      <c r="B826" t="s">
        <v>1532</v>
      </c>
      <c r="C826" s="69">
        <v>5736.7600000000011</v>
      </c>
      <c r="D826"/>
    </row>
    <row r="827" spans="1:4">
      <c r="A827">
        <v>99071</v>
      </c>
      <c r="B827" t="s">
        <v>1533</v>
      </c>
      <c r="C827" s="69">
        <v>14607.400000000001</v>
      </c>
      <c r="D827"/>
    </row>
    <row r="828" spans="1:4">
      <c r="A828">
        <v>99081</v>
      </c>
      <c r="B828" t="s">
        <v>1534</v>
      </c>
      <c r="C828" s="69">
        <v>20497.29</v>
      </c>
      <c r="D828"/>
    </row>
    <row r="829" spans="1:4">
      <c r="A829">
        <v>99091</v>
      </c>
      <c r="B829" t="s">
        <v>1535</v>
      </c>
      <c r="C829" s="69">
        <v>12937.9</v>
      </c>
      <c r="D829"/>
    </row>
    <row r="830" spans="1:4">
      <c r="A830">
        <v>99101</v>
      </c>
      <c r="B830" t="s">
        <v>1536</v>
      </c>
      <c r="C830" s="69">
        <v>1216986.4500000002</v>
      </c>
      <c r="D830"/>
    </row>
    <row r="831" spans="1:4">
      <c r="A831">
        <v>99104</v>
      </c>
      <c r="B831" t="s">
        <v>1537</v>
      </c>
      <c r="C831" s="69">
        <v>35633.020000000004</v>
      </c>
      <c r="D831"/>
    </row>
    <row r="832" spans="1:4">
      <c r="A832">
        <v>99109</v>
      </c>
      <c r="B832" t="s">
        <v>1538</v>
      </c>
      <c r="C832" s="69">
        <v>66762.909999999989</v>
      </c>
      <c r="D832"/>
    </row>
    <row r="833" spans="1:4">
      <c r="A833">
        <v>99110</v>
      </c>
      <c r="B833" t="s">
        <v>1539</v>
      </c>
      <c r="C833" s="69">
        <v>173589.96000000002</v>
      </c>
      <c r="D833"/>
    </row>
    <row r="834" spans="1:4">
      <c r="A834">
        <v>99111</v>
      </c>
      <c r="B834" t="s">
        <v>1540</v>
      </c>
      <c r="C834" s="69">
        <v>822410.19</v>
      </c>
      <c r="D834"/>
    </row>
    <row r="835" spans="1:4">
      <c r="A835">
        <v>99201</v>
      </c>
      <c r="B835" t="s">
        <v>3733</v>
      </c>
      <c r="C835" s="69">
        <v>22735348.970000003</v>
      </c>
      <c r="D835"/>
    </row>
    <row r="836" spans="1:4">
      <c r="A836">
        <v>99202</v>
      </c>
      <c r="B836" t="s">
        <v>1542</v>
      </c>
      <c r="C836" s="69">
        <v>1673808.1800000002</v>
      </c>
      <c r="D836"/>
    </row>
    <row r="837" spans="1:4">
      <c r="A837">
        <v>99203</v>
      </c>
      <c r="B837" t="s">
        <v>1543</v>
      </c>
      <c r="C837" s="69">
        <v>227847.71999999997</v>
      </c>
      <c r="D837"/>
    </row>
    <row r="838" spans="1:4">
      <c r="A838">
        <v>99204</v>
      </c>
      <c r="B838" t="s">
        <v>1544</v>
      </c>
      <c r="C838" s="69">
        <v>626371.46</v>
      </c>
      <c r="D838"/>
    </row>
    <row r="839" spans="1:4">
      <c r="A839">
        <v>99206</v>
      </c>
      <c r="B839" t="s">
        <v>1545</v>
      </c>
      <c r="C839" s="69">
        <v>1074546.0699999998</v>
      </c>
      <c r="D839"/>
    </row>
    <row r="840" spans="1:4">
      <c r="A840">
        <v>99207</v>
      </c>
      <c r="B840" t="s">
        <v>1546</v>
      </c>
      <c r="C840" s="69">
        <v>85532.26999999999</v>
      </c>
      <c r="D840"/>
    </row>
    <row r="841" spans="1:4">
      <c r="A841">
        <v>99208</v>
      </c>
      <c r="B841" t="s">
        <v>1547</v>
      </c>
      <c r="C841" s="69">
        <v>163492.52000000002</v>
      </c>
      <c r="D841"/>
    </row>
    <row r="842" spans="1:4">
      <c r="A842">
        <v>99210</v>
      </c>
      <c r="B842" t="s">
        <v>1548</v>
      </c>
      <c r="C842" s="69">
        <v>1246344.8800000001</v>
      </c>
      <c r="D842"/>
    </row>
    <row r="843" spans="1:4">
      <c r="A843">
        <v>99211</v>
      </c>
      <c r="B843" t="s">
        <v>1549</v>
      </c>
      <c r="C843" s="69">
        <v>23509859.619999997</v>
      </c>
      <c r="D843"/>
    </row>
    <row r="844" spans="1:4">
      <c r="A844">
        <v>99212</v>
      </c>
      <c r="B844" t="s">
        <v>1550</v>
      </c>
      <c r="C844" s="69">
        <v>39786.11</v>
      </c>
      <c r="D844"/>
    </row>
    <row r="845" spans="1:4">
      <c r="A845">
        <v>99213</v>
      </c>
      <c r="B845" t="s">
        <v>1551</v>
      </c>
      <c r="C845" s="69">
        <v>457248.59999999992</v>
      </c>
      <c r="D845"/>
    </row>
    <row r="846" spans="1:4">
      <c r="A846">
        <v>99218</v>
      </c>
      <c r="B846" t="s">
        <v>1552</v>
      </c>
      <c r="C846" s="69">
        <v>2484389.7700000005</v>
      </c>
      <c r="D846"/>
    </row>
    <row r="847" spans="1:4">
      <c r="A847">
        <v>99221</v>
      </c>
      <c r="B847" t="s">
        <v>1553</v>
      </c>
      <c r="C847" s="69">
        <v>7955776.1699999999</v>
      </c>
      <c r="D847"/>
    </row>
    <row r="848" spans="1:4">
      <c r="A848">
        <v>99222</v>
      </c>
      <c r="B848" t="s">
        <v>1554</v>
      </c>
      <c r="C848" s="69">
        <v>20820.670000000002</v>
      </c>
      <c r="D848"/>
    </row>
    <row r="849" spans="1:4">
      <c r="A849">
        <v>99231</v>
      </c>
      <c r="B849" t="s">
        <v>1555</v>
      </c>
      <c r="C849" s="69">
        <v>250431.53999999998</v>
      </c>
      <c r="D849"/>
    </row>
    <row r="850" spans="1:4">
      <c r="A850">
        <v>99241</v>
      </c>
      <c r="B850" t="s">
        <v>1556</v>
      </c>
      <c r="C850" s="69">
        <v>339377.78999999992</v>
      </c>
      <c r="D850"/>
    </row>
    <row r="851" spans="1:4">
      <c r="A851">
        <v>99251</v>
      </c>
      <c r="B851" t="s">
        <v>1557</v>
      </c>
      <c r="C851" s="69">
        <v>1028385.6</v>
      </c>
      <c r="D851"/>
    </row>
    <row r="852" spans="1:4">
      <c r="A852">
        <v>99252</v>
      </c>
      <c r="B852" t="s">
        <v>1558</v>
      </c>
      <c r="C852" s="69">
        <v>315773.00000000006</v>
      </c>
      <c r="D852"/>
    </row>
    <row r="853" spans="1:4">
      <c r="A853">
        <v>99261</v>
      </c>
      <c r="B853" t="s">
        <v>1559</v>
      </c>
      <c r="C853" s="69">
        <v>1271986.1300000001</v>
      </c>
      <c r="D853"/>
    </row>
    <row r="854" spans="1:4">
      <c r="A854">
        <v>99271</v>
      </c>
      <c r="B854" t="s">
        <v>1560</v>
      </c>
      <c r="C854" s="69">
        <v>2751337.8299999996</v>
      </c>
      <c r="D854"/>
    </row>
    <row r="855" spans="1:4">
      <c r="A855">
        <v>99281</v>
      </c>
      <c r="B855" t="s">
        <v>1561</v>
      </c>
      <c r="C855" s="69">
        <v>1438391.0099999998</v>
      </c>
      <c r="D855"/>
    </row>
    <row r="856" spans="1:4">
      <c r="A856">
        <v>99291</v>
      </c>
      <c r="B856" t="s">
        <v>1562</v>
      </c>
      <c r="C856" s="69">
        <v>471535.03</v>
      </c>
      <c r="D856"/>
    </row>
    <row r="857" spans="1:4">
      <c r="A857">
        <v>99301</v>
      </c>
      <c r="B857" t="s">
        <v>1563</v>
      </c>
      <c r="C857" s="69">
        <v>983916.54999999993</v>
      </c>
      <c r="D857"/>
    </row>
    <row r="858" spans="1:4">
      <c r="A858">
        <v>99304</v>
      </c>
      <c r="B858" t="s">
        <v>1564</v>
      </c>
      <c r="C858" s="69">
        <v>9945.7199999999993</v>
      </c>
      <c r="D858"/>
    </row>
    <row r="859" spans="1:4">
      <c r="A859">
        <v>99311</v>
      </c>
      <c r="B859" t="s">
        <v>1565</v>
      </c>
      <c r="C859" s="69">
        <v>32891.930000000008</v>
      </c>
      <c r="D859"/>
    </row>
    <row r="860" spans="1:4">
      <c r="A860">
        <v>99321</v>
      </c>
      <c r="B860" t="s">
        <v>1566</v>
      </c>
      <c r="C860" s="69">
        <v>68400.659999999989</v>
      </c>
      <c r="D860"/>
    </row>
    <row r="861" spans="1:4">
      <c r="A861">
        <v>99401</v>
      </c>
      <c r="B861" t="s">
        <v>1567</v>
      </c>
      <c r="C861" s="69">
        <v>505600.82999999996</v>
      </c>
      <c r="D861"/>
    </row>
    <row r="862" spans="1:4">
      <c r="A862">
        <v>99404</v>
      </c>
      <c r="B862" t="s">
        <v>1568</v>
      </c>
      <c r="C862" s="69">
        <v>7264.4799999999977</v>
      </c>
      <c r="D862"/>
    </row>
    <row r="863" spans="1:4">
      <c r="A863">
        <v>99405</v>
      </c>
      <c r="B863" t="s">
        <v>1569</v>
      </c>
      <c r="C863" s="69">
        <v>46882.22</v>
      </c>
      <c r="D863"/>
    </row>
    <row r="864" spans="1:4">
      <c r="A864">
        <v>99411</v>
      </c>
      <c r="B864" t="s">
        <v>1570</v>
      </c>
      <c r="C864" s="69">
        <v>119745.58</v>
      </c>
      <c r="D864"/>
    </row>
    <row r="865" spans="1:4">
      <c r="A865">
        <v>99413</v>
      </c>
      <c r="B865" t="s">
        <v>1571</v>
      </c>
      <c r="C865" s="69">
        <v>29160.469999999994</v>
      </c>
      <c r="D865"/>
    </row>
    <row r="866" spans="1:4">
      <c r="A866">
        <v>99421</v>
      </c>
      <c r="B866" t="s">
        <v>1572</v>
      </c>
      <c r="C866" s="69">
        <v>6678.9900000000007</v>
      </c>
      <c r="D866"/>
    </row>
    <row r="867" spans="1:4">
      <c r="A867">
        <v>99431</v>
      </c>
      <c r="B867" t="s">
        <v>1573</v>
      </c>
      <c r="C867" s="69">
        <v>10292.960000000001</v>
      </c>
      <c r="D867"/>
    </row>
    <row r="868" spans="1:4">
      <c r="A868">
        <v>99501</v>
      </c>
      <c r="B868" t="s">
        <v>1574</v>
      </c>
      <c r="C868" s="69">
        <v>1107872.78</v>
      </c>
      <c r="D868"/>
    </row>
    <row r="869" spans="1:4">
      <c r="A869">
        <v>99502</v>
      </c>
      <c r="B869" t="s">
        <v>1575</v>
      </c>
      <c r="C869" s="69">
        <v>91455.099999999991</v>
      </c>
      <c r="D869"/>
    </row>
    <row r="870" spans="1:4">
      <c r="A870">
        <v>99508</v>
      </c>
      <c r="B870" t="s">
        <v>1576</v>
      </c>
      <c r="C870" s="69">
        <v>12375.000000000004</v>
      </c>
      <c r="D870"/>
    </row>
    <row r="871" spans="1:4">
      <c r="A871">
        <v>99509</v>
      </c>
      <c r="B871" t="s">
        <v>1577</v>
      </c>
      <c r="C871" s="69">
        <v>15404.98</v>
      </c>
      <c r="D871"/>
    </row>
    <row r="872" spans="1:4">
      <c r="A872">
        <v>99511</v>
      </c>
      <c r="B872" t="s">
        <v>1578</v>
      </c>
      <c r="C872" s="69">
        <v>778673.3600000001</v>
      </c>
      <c r="D872"/>
    </row>
    <row r="873" spans="1:4">
      <c r="A873">
        <v>99521</v>
      </c>
      <c r="B873" t="s">
        <v>1579</v>
      </c>
      <c r="C873" s="69">
        <v>261007.28999999998</v>
      </c>
      <c r="D873"/>
    </row>
    <row r="874" spans="1:4">
      <c r="A874">
        <v>99527</v>
      </c>
      <c r="B874" t="s">
        <v>1580</v>
      </c>
      <c r="C874" s="69">
        <v>8790.1899999999987</v>
      </c>
      <c r="D874"/>
    </row>
    <row r="875" spans="1:4">
      <c r="A875">
        <v>99531</v>
      </c>
      <c r="B875" t="s">
        <v>1581</v>
      </c>
      <c r="C875" s="69">
        <v>58741.460000000006</v>
      </c>
      <c r="D875"/>
    </row>
    <row r="876" spans="1:4">
      <c r="A876">
        <v>99601</v>
      </c>
      <c r="B876" t="s">
        <v>1582</v>
      </c>
      <c r="C876" s="69">
        <v>3308221.9200000009</v>
      </c>
      <c r="D876"/>
    </row>
    <row r="877" spans="1:4">
      <c r="A877">
        <v>99602</v>
      </c>
      <c r="B877" t="s">
        <v>1583</v>
      </c>
      <c r="C877" s="69">
        <v>34247.919999999998</v>
      </c>
      <c r="D877"/>
    </row>
    <row r="878" spans="1:4">
      <c r="A878">
        <v>99603</v>
      </c>
      <c r="B878" t="s">
        <v>1584</v>
      </c>
      <c r="C878" s="69">
        <v>108465.34</v>
      </c>
      <c r="D878"/>
    </row>
    <row r="879" spans="1:4">
      <c r="A879">
        <v>99604</v>
      </c>
      <c r="B879" t="s">
        <v>1585</v>
      </c>
      <c r="C879" s="69">
        <v>73861.349999999991</v>
      </c>
      <c r="D879"/>
    </row>
    <row r="880" spans="1:4">
      <c r="A880">
        <v>99609</v>
      </c>
      <c r="B880" t="s">
        <v>1586</v>
      </c>
      <c r="C880" s="69">
        <v>16784.11</v>
      </c>
      <c r="D880"/>
    </row>
    <row r="881" spans="1:4">
      <c r="A881">
        <v>99610</v>
      </c>
      <c r="B881" t="s">
        <v>1587</v>
      </c>
      <c r="C881" s="69">
        <v>117083.56</v>
      </c>
      <c r="D881"/>
    </row>
    <row r="882" spans="1:4">
      <c r="A882">
        <v>99611</v>
      </c>
      <c r="B882" t="s">
        <v>1588</v>
      </c>
      <c r="C882" s="69">
        <v>1946913.8300000003</v>
      </c>
      <c r="D882"/>
    </row>
    <row r="883" spans="1:4">
      <c r="A883">
        <v>99613</v>
      </c>
      <c r="B883" t="s">
        <v>1589</v>
      </c>
      <c r="C883" s="69">
        <v>208157.98</v>
      </c>
      <c r="D883"/>
    </row>
    <row r="884" spans="1:4">
      <c r="A884">
        <v>99621</v>
      </c>
      <c r="B884" t="s">
        <v>1590</v>
      </c>
      <c r="C884" s="69">
        <v>224500.13000000003</v>
      </c>
      <c r="D884"/>
    </row>
    <row r="885" spans="1:4">
      <c r="A885">
        <v>99623</v>
      </c>
      <c r="B885" t="s">
        <v>1591</v>
      </c>
      <c r="C885" s="69">
        <v>11043.059999999998</v>
      </c>
      <c r="D885"/>
    </row>
    <row r="886" spans="1:4">
      <c r="A886">
        <v>99631</v>
      </c>
      <c r="B886" t="s">
        <v>1592</v>
      </c>
      <c r="C886" s="69">
        <v>52933.530000000006</v>
      </c>
      <c r="D886"/>
    </row>
    <row r="887" spans="1:4">
      <c r="A887">
        <v>99651</v>
      </c>
      <c r="B887" t="s">
        <v>1593</v>
      </c>
      <c r="C887" s="69">
        <v>36842.94</v>
      </c>
      <c r="D887"/>
    </row>
    <row r="888" spans="1:4">
      <c r="A888">
        <v>99661</v>
      </c>
      <c r="B888" t="s">
        <v>1594</v>
      </c>
      <c r="C888" s="69">
        <v>28850.380000000005</v>
      </c>
      <c r="D888"/>
    </row>
    <row r="889" spans="1:4">
      <c r="A889">
        <v>99701</v>
      </c>
      <c r="B889" t="s">
        <v>1595</v>
      </c>
      <c r="C889" s="69">
        <v>1872812.0599999998</v>
      </c>
      <c r="D889"/>
    </row>
    <row r="890" spans="1:4">
      <c r="A890">
        <v>99705</v>
      </c>
      <c r="B890" t="s">
        <v>1596</v>
      </c>
      <c r="C890" s="69">
        <v>128698.91999999998</v>
      </c>
      <c r="D890"/>
    </row>
    <row r="891" spans="1:4">
      <c r="A891">
        <v>99711</v>
      </c>
      <c r="B891" t="s">
        <v>1597</v>
      </c>
      <c r="C891" s="69">
        <v>276702.59000000003</v>
      </c>
      <c r="D891"/>
    </row>
    <row r="892" spans="1:4">
      <c r="A892">
        <v>99717</v>
      </c>
      <c r="B892" t="s">
        <v>1598</v>
      </c>
      <c r="C892" s="69">
        <v>11064.39</v>
      </c>
      <c r="D892"/>
    </row>
    <row r="893" spans="1:4">
      <c r="A893">
        <v>99721</v>
      </c>
      <c r="B893" t="s">
        <v>1599</v>
      </c>
      <c r="C893" s="69">
        <v>359503.97</v>
      </c>
      <c r="D893"/>
    </row>
    <row r="894" spans="1:4">
      <c r="A894">
        <v>99727</v>
      </c>
      <c r="B894" t="s">
        <v>1600</v>
      </c>
      <c r="C894" s="69">
        <v>17477.559999999998</v>
      </c>
      <c r="D894"/>
    </row>
    <row r="895" spans="1:4">
      <c r="A895">
        <v>99801</v>
      </c>
      <c r="B895" t="s">
        <v>1601</v>
      </c>
      <c r="C895" s="69">
        <v>2851736.9900000007</v>
      </c>
      <c r="D895"/>
    </row>
    <row r="896" spans="1:4">
      <c r="A896">
        <v>99802</v>
      </c>
      <c r="B896" t="s">
        <v>1602</v>
      </c>
      <c r="C896" s="69">
        <v>9348.1200000000008</v>
      </c>
      <c r="D896"/>
    </row>
    <row r="897" spans="1:13">
      <c r="A897">
        <v>99804</v>
      </c>
      <c r="B897" t="s">
        <v>1603</v>
      </c>
      <c r="C897" s="69">
        <v>62552.729999999996</v>
      </c>
      <c r="D897"/>
    </row>
    <row r="898" spans="1:13">
      <c r="A898">
        <v>99811</v>
      </c>
      <c r="B898" t="s">
        <v>1604</v>
      </c>
      <c r="C898" s="69">
        <v>3849361.85</v>
      </c>
      <c r="D898"/>
    </row>
    <row r="899" spans="1:13">
      <c r="A899">
        <v>99812</v>
      </c>
      <c r="B899" t="s">
        <v>1605</v>
      </c>
      <c r="C899" s="69">
        <v>26972.039999999994</v>
      </c>
      <c r="D899"/>
    </row>
    <row r="900" spans="1:13">
      <c r="A900">
        <v>99818</v>
      </c>
      <c r="B900" t="s">
        <v>1606</v>
      </c>
      <c r="C900" s="69">
        <v>20610.41</v>
      </c>
      <c r="D900"/>
    </row>
    <row r="901" spans="1:13">
      <c r="A901">
        <v>99821</v>
      </c>
      <c r="B901" t="s">
        <v>1607</v>
      </c>
      <c r="C901" s="69">
        <v>64459.609999999993</v>
      </c>
      <c r="D901"/>
    </row>
    <row r="902" spans="1:13">
      <c r="A902">
        <v>99831</v>
      </c>
      <c r="B902" t="s">
        <v>1608</v>
      </c>
      <c r="C902" s="69">
        <v>37746.449999999997</v>
      </c>
      <c r="D902"/>
    </row>
    <row r="903" spans="1:13">
      <c r="A903">
        <v>99841</v>
      </c>
      <c r="B903" t="s">
        <v>1609</v>
      </c>
      <c r="C903" s="69">
        <v>31425.800000000003</v>
      </c>
      <c r="D903"/>
    </row>
    <row r="904" spans="1:13">
      <c r="A904">
        <v>99851</v>
      </c>
      <c r="B904" t="s">
        <v>1610</v>
      </c>
      <c r="C904" s="69">
        <v>4050.1200000000008</v>
      </c>
      <c r="D904"/>
    </row>
    <row r="905" spans="1:13">
      <c r="A905">
        <v>99901</v>
      </c>
      <c r="B905" t="s">
        <v>1611</v>
      </c>
      <c r="C905" s="69">
        <v>953860.93</v>
      </c>
      <c r="D905"/>
    </row>
    <row r="906" spans="1:13">
      <c r="A906">
        <v>99911</v>
      </c>
      <c r="B906" t="s">
        <v>1612</v>
      </c>
      <c r="C906" s="69">
        <v>171194.43</v>
      </c>
      <c r="D906"/>
    </row>
    <row r="907" spans="1:13">
      <c r="A907">
        <v>99921</v>
      </c>
      <c r="B907" t="s">
        <v>1613</v>
      </c>
      <c r="C907" s="69">
        <v>91104.93</v>
      </c>
      <c r="D907"/>
    </row>
    <row r="908" spans="1:13">
      <c r="A908">
        <v>99931</v>
      </c>
      <c r="B908" t="s">
        <v>1614</v>
      </c>
      <c r="C908" s="69">
        <v>15266.980000000003</v>
      </c>
      <c r="D908"/>
    </row>
    <row r="909" spans="1:13">
      <c r="A909">
        <v>99941</v>
      </c>
      <c r="B909" t="s">
        <v>1615</v>
      </c>
      <c r="C909" s="69">
        <v>34964.390000000007</v>
      </c>
      <c r="D909"/>
    </row>
    <row r="910" spans="1:13">
      <c r="A910">
        <v>99991</v>
      </c>
      <c r="B910" t="s">
        <v>1616</v>
      </c>
      <c r="C910" s="69">
        <v>303961.75</v>
      </c>
      <c r="D910"/>
    </row>
    <row r="911" spans="1:13">
      <c r="A911">
        <v>99999</v>
      </c>
      <c r="B911" t="s">
        <v>1617</v>
      </c>
      <c r="C911" s="69">
        <v>715923.24</v>
      </c>
      <c r="D911"/>
    </row>
    <row r="912" spans="1:13">
      <c r="F912" s="69"/>
      <c r="M912" s="3"/>
    </row>
    <row r="937" spans="1:15" s="225" customFormat="1">
      <c r="A937" s="225" t="s">
        <v>3508</v>
      </c>
      <c r="C937" s="100"/>
      <c r="E937"/>
      <c r="F937"/>
      <c r="G937"/>
      <c r="H937"/>
      <c r="I937"/>
      <c r="J937"/>
      <c r="K937"/>
      <c r="L937"/>
      <c r="M937"/>
      <c r="N937"/>
      <c r="O937"/>
    </row>
    <row r="938" spans="1:15" s="225" customFormat="1">
      <c r="A938" s="225">
        <v>91119</v>
      </c>
      <c r="B938" s="225" t="s">
        <v>48</v>
      </c>
      <c r="C938" s="100">
        <v>0</v>
      </c>
      <c r="E938"/>
      <c r="F938"/>
      <c r="G938"/>
      <c r="H938"/>
      <c r="I938"/>
      <c r="J938"/>
      <c r="K938"/>
      <c r="L938"/>
      <c r="M938"/>
      <c r="N938"/>
      <c r="O938"/>
    </row>
    <row r="939" spans="1:15" s="225" customFormat="1">
      <c r="A939" s="225">
        <v>92414</v>
      </c>
      <c r="B939" s="225" t="s">
        <v>2060</v>
      </c>
      <c r="C939" s="100">
        <v>0</v>
      </c>
      <c r="E939"/>
      <c r="F939"/>
      <c r="G939"/>
      <c r="H939"/>
      <c r="I939"/>
      <c r="J939"/>
      <c r="K939"/>
      <c r="L939"/>
      <c r="M939"/>
      <c r="N939"/>
      <c r="O939"/>
    </row>
    <row r="940" spans="1:15" s="225" customFormat="1">
      <c r="A940" s="225">
        <v>92608</v>
      </c>
      <c r="B940" s="225" t="s">
        <v>972</v>
      </c>
      <c r="C940" s="100">
        <v>0</v>
      </c>
      <c r="E940"/>
      <c r="F940"/>
      <c r="G940"/>
      <c r="H940"/>
      <c r="I940"/>
      <c r="J940"/>
      <c r="K940"/>
      <c r="L940"/>
      <c r="M940"/>
      <c r="N940"/>
      <c r="O940"/>
    </row>
    <row r="941" spans="1:15" s="225" customFormat="1">
      <c r="A941" s="225">
        <v>93408</v>
      </c>
      <c r="B941" s="225" t="s">
        <v>1043</v>
      </c>
      <c r="C941" s="100">
        <v>0</v>
      </c>
      <c r="E941"/>
      <c r="F941"/>
      <c r="G941"/>
      <c r="H941"/>
      <c r="I941"/>
      <c r="J941"/>
      <c r="K941"/>
      <c r="L941"/>
      <c r="M941"/>
      <c r="N941"/>
      <c r="O941"/>
    </row>
    <row r="942" spans="1:15" s="225" customFormat="1">
      <c r="A942" s="225">
        <v>94402</v>
      </c>
      <c r="B942" s="225" t="s">
        <v>1139</v>
      </c>
      <c r="C942" s="100">
        <v>0</v>
      </c>
      <c r="E942"/>
      <c r="F942"/>
      <c r="G942"/>
      <c r="H942"/>
      <c r="I942"/>
      <c r="J942"/>
      <c r="K942"/>
      <c r="L942"/>
      <c r="M942"/>
      <c r="N942"/>
      <c r="O942"/>
    </row>
    <row r="943" spans="1:15" s="225" customFormat="1">
      <c r="A943" s="225">
        <v>95412</v>
      </c>
      <c r="B943" s="225" t="s">
        <v>1220</v>
      </c>
      <c r="C943" s="100">
        <v>0</v>
      </c>
      <c r="E943"/>
      <c r="F943"/>
      <c r="G943"/>
      <c r="H943"/>
      <c r="I943"/>
      <c r="J943"/>
      <c r="K943"/>
      <c r="L943"/>
      <c r="M943"/>
      <c r="N943"/>
      <c r="O943"/>
    </row>
    <row r="944" spans="1:15" s="225" customFormat="1">
      <c r="A944" s="225">
        <v>93202</v>
      </c>
      <c r="B944" s="225" t="s">
        <v>1022</v>
      </c>
      <c r="C944" s="100">
        <v>0</v>
      </c>
      <c r="E944"/>
      <c r="F944"/>
      <c r="G944"/>
      <c r="H944"/>
      <c r="I944"/>
      <c r="J944"/>
      <c r="K944"/>
      <c r="L944"/>
      <c r="M944"/>
      <c r="N944"/>
      <c r="O944"/>
    </row>
    <row r="945" spans="1:15" s="225" customFormat="1">
      <c r="A945" s="225">
        <v>93677</v>
      </c>
      <c r="B945" s="225" t="s">
        <v>98</v>
      </c>
      <c r="C945" s="100">
        <v>0</v>
      </c>
      <c r="E945"/>
      <c r="F945"/>
      <c r="G945"/>
      <c r="H945"/>
      <c r="I945"/>
      <c r="J945"/>
      <c r="K945"/>
      <c r="L945"/>
      <c r="M945"/>
      <c r="N945"/>
      <c r="O945"/>
    </row>
    <row r="946" spans="1:15" s="225" customFormat="1">
      <c r="A946" s="225">
        <v>94512</v>
      </c>
      <c r="B946" s="225" t="s">
        <v>1151</v>
      </c>
      <c r="C946" s="100">
        <v>0</v>
      </c>
      <c r="E946"/>
      <c r="F946"/>
      <c r="G946"/>
      <c r="H946"/>
      <c r="I946"/>
      <c r="J946"/>
      <c r="K946"/>
      <c r="L946"/>
      <c r="M946"/>
      <c r="N946"/>
      <c r="O946"/>
    </row>
    <row r="947" spans="1:15" s="225" customFormat="1">
      <c r="A947" s="225">
        <v>97010</v>
      </c>
      <c r="B947" s="225" t="s">
        <v>1351</v>
      </c>
      <c r="C947" s="100">
        <v>0</v>
      </c>
      <c r="E947"/>
      <c r="F947"/>
      <c r="G947"/>
      <c r="H947"/>
      <c r="I947"/>
      <c r="J947"/>
      <c r="K947"/>
      <c r="L947"/>
      <c r="M947"/>
      <c r="N947"/>
      <c r="O947"/>
    </row>
    <row r="948" spans="1:15" s="225" customFormat="1">
      <c r="A948" s="225">
        <v>97491</v>
      </c>
      <c r="B948" s="225" t="s">
        <v>3506</v>
      </c>
      <c r="C948" s="100"/>
      <c r="E948"/>
      <c r="F948"/>
      <c r="G948"/>
      <c r="H948"/>
      <c r="I948"/>
      <c r="J948"/>
      <c r="K948"/>
      <c r="L948"/>
      <c r="M948"/>
      <c r="N948"/>
      <c r="O948"/>
    </row>
    <row r="2375" spans="1:15" s="225" customFormat="1">
      <c r="A2375" s="101"/>
      <c r="C2375" s="100"/>
      <c r="E2375"/>
      <c r="F2375"/>
      <c r="G2375"/>
      <c r="H2375"/>
      <c r="I2375"/>
      <c r="J2375"/>
      <c r="K2375"/>
      <c r="L2375"/>
      <c r="M2375"/>
      <c r="N2375"/>
      <c r="O2375"/>
    </row>
  </sheetData>
  <sheetProtection algorithmName="SHA-512" hashValue="/NXEJz3SxXTzouzhPXQX+SSE7RnD64Zgnh4eHeDoVmuWLMMqLM6lb9f2mY8fEnKTa7FMSObp3cwTFfWP5U5PYQ==" saltValue="q4eRxxBkZREZb+/ALHufGA==" spinCount="100000" sheet="1" objects="1" scenarios="1"/>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697A-BD4E-4CAE-9F03-5422EEDA2716}">
  <dimension ref="A1:O2366"/>
  <sheetViews>
    <sheetView zoomScaleNormal="100" workbookViewId="0">
      <selection activeCell="D288" sqref="D288"/>
    </sheetView>
  </sheetViews>
  <sheetFormatPr defaultRowHeight="15"/>
  <cols>
    <col min="1" max="1" width="12.140625" style="225" bestFit="1" customWidth="1"/>
    <col min="2" max="2" width="55.5703125" style="225" bestFit="1" customWidth="1"/>
    <col min="3" max="3" width="27" style="100" bestFit="1" customWidth="1"/>
    <col min="4" max="4" width="9.140625" style="225"/>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240">
        <f>SUM(C3:C927)</f>
        <v>528347297.84999931</v>
      </c>
      <c r="E1" s="69"/>
      <c r="F1" s="240"/>
      <c r="G1" s="69"/>
      <c r="M1" s="69"/>
      <c r="N1" s="3"/>
      <c r="O1" s="69"/>
    </row>
    <row r="2" spans="1:15" ht="15.75" thickTop="1">
      <c r="A2" s="97" t="s">
        <v>1637</v>
      </c>
      <c r="B2" s="97" t="s">
        <v>1638</v>
      </c>
      <c r="C2" s="98" t="s">
        <v>3591</v>
      </c>
      <c r="D2" s="225" t="s">
        <v>1639</v>
      </c>
      <c r="K2" s="314"/>
      <c r="L2" s="314"/>
      <c r="M2" s="315"/>
    </row>
    <row r="3" spans="1:15">
      <c r="A3" s="104" t="s">
        <v>692</v>
      </c>
      <c r="B3" s="103" t="s">
        <v>691</v>
      </c>
      <c r="C3" s="102"/>
      <c r="K3" s="295"/>
      <c r="L3" s="295"/>
      <c r="M3" s="327"/>
    </row>
    <row r="4" spans="1:15">
      <c r="A4" s="225">
        <v>70505</v>
      </c>
      <c r="B4" s="225" t="s">
        <v>727</v>
      </c>
      <c r="C4" s="100">
        <v>183801.88</v>
      </c>
      <c r="F4" s="69"/>
      <c r="M4" s="3"/>
    </row>
    <row r="5" spans="1:15">
      <c r="A5" s="225">
        <v>72265</v>
      </c>
      <c r="B5" s="225" t="s">
        <v>728</v>
      </c>
      <c r="C5" s="100">
        <v>79299.899999999994</v>
      </c>
      <c r="F5" s="69"/>
      <c r="M5" s="3"/>
    </row>
    <row r="6" spans="1:15">
      <c r="A6" s="225">
        <v>72593</v>
      </c>
      <c r="B6" s="225" t="s">
        <v>729</v>
      </c>
      <c r="C6" s="100">
        <v>2615.2800000000002</v>
      </c>
      <c r="F6" s="69"/>
      <c r="M6" s="3"/>
    </row>
    <row r="7" spans="1:15">
      <c r="A7" s="225">
        <v>72657</v>
      </c>
      <c r="B7" s="225" t="s">
        <v>730</v>
      </c>
      <c r="C7" s="100">
        <v>17540.32</v>
      </c>
      <c r="F7" s="69"/>
      <c r="M7" s="3"/>
    </row>
    <row r="8" spans="1:15">
      <c r="A8" s="225">
        <v>90001</v>
      </c>
      <c r="B8" s="225" t="s">
        <v>731</v>
      </c>
      <c r="C8" s="100">
        <v>465715.38</v>
      </c>
      <c r="F8" s="69"/>
      <c r="M8" s="3"/>
    </row>
    <row r="9" spans="1:15">
      <c r="A9" s="225">
        <v>90002</v>
      </c>
      <c r="B9" s="225" t="s">
        <v>732</v>
      </c>
      <c r="C9" s="100">
        <v>6756.64</v>
      </c>
      <c r="F9" s="69"/>
      <c r="M9" s="3"/>
    </row>
    <row r="10" spans="1:15">
      <c r="A10" s="225">
        <v>90011</v>
      </c>
      <c r="B10" s="225" t="s">
        <v>733</v>
      </c>
      <c r="C10" s="100">
        <v>96277.11</v>
      </c>
      <c r="F10" s="69"/>
      <c r="M10" s="3"/>
    </row>
    <row r="11" spans="1:15">
      <c r="A11" s="225">
        <v>90092</v>
      </c>
      <c r="B11" s="225" t="s">
        <v>734</v>
      </c>
      <c r="C11" s="100">
        <v>217473.12</v>
      </c>
      <c r="F11" s="69"/>
      <c r="M11" s="3"/>
    </row>
    <row r="12" spans="1:15">
      <c r="A12" s="225">
        <v>90096</v>
      </c>
      <c r="B12" s="225" t="s">
        <v>735</v>
      </c>
      <c r="C12" s="100">
        <v>615648.71</v>
      </c>
      <c r="F12" s="69"/>
      <c r="M12" s="3"/>
    </row>
    <row r="13" spans="1:15">
      <c r="A13" s="225">
        <v>90098</v>
      </c>
      <c r="B13" s="225" t="s">
        <v>736</v>
      </c>
      <c r="C13" s="100">
        <v>143864.85999999999</v>
      </c>
      <c r="F13" s="69"/>
      <c r="M13" s="3"/>
    </row>
    <row r="14" spans="1:15">
      <c r="A14" s="225">
        <v>90099</v>
      </c>
      <c r="B14" s="225" t="s">
        <v>737</v>
      </c>
      <c r="C14" s="100">
        <v>310082.45</v>
      </c>
      <c r="F14" s="69"/>
      <c r="M14" s="3"/>
    </row>
    <row r="15" spans="1:15">
      <c r="A15" s="225">
        <v>90101</v>
      </c>
      <c r="B15" s="225" t="s">
        <v>738</v>
      </c>
      <c r="C15" s="100">
        <v>3260323.37</v>
      </c>
      <c r="F15" s="69"/>
      <c r="M15" s="3"/>
    </row>
    <row r="16" spans="1:15">
      <c r="A16" s="225">
        <v>90111</v>
      </c>
      <c r="B16" s="225" t="s">
        <v>739</v>
      </c>
      <c r="C16" s="100">
        <v>2548497.62</v>
      </c>
      <c r="F16" s="69"/>
      <c r="M16" s="3"/>
    </row>
    <row r="17" spans="1:13">
      <c r="A17" s="225">
        <v>90114</v>
      </c>
      <c r="B17" s="225" t="s">
        <v>740</v>
      </c>
      <c r="C17" s="100">
        <v>1328863.8500000001</v>
      </c>
      <c r="F17" s="69"/>
      <c r="M17" s="3"/>
    </row>
    <row r="18" spans="1:13">
      <c r="A18" s="225">
        <v>90117</v>
      </c>
      <c r="B18" s="225" t="s">
        <v>741</v>
      </c>
      <c r="C18" s="100">
        <v>93023.26</v>
      </c>
      <c r="F18" s="69"/>
      <c r="M18" s="3"/>
    </row>
    <row r="19" spans="1:13">
      <c r="A19" s="225">
        <v>90121</v>
      </c>
      <c r="B19" s="225" t="s">
        <v>742</v>
      </c>
      <c r="C19" s="100">
        <v>532416.04</v>
      </c>
      <c r="F19" s="69"/>
      <c r="M19" s="3"/>
    </row>
    <row r="20" spans="1:13">
      <c r="A20" s="225">
        <v>90131</v>
      </c>
      <c r="B20" s="225" t="s">
        <v>743</v>
      </c>
      <c r="C20" s="100">
        <v>249917.79</v>
      </c>
      <c r="F20" s="69"/>
      <c r="M20" s="3"/>
    </row>
    <row r="21" spans="1:13">
      <c r="A21" s="225">
        <v>90141</v>
      </c>
      <c r="B21" s="225" t="s">
        <v>744</v>
      </c>
      <c r="C21" s="100">
        <v>79960.899999999994</v>
      </c>
      <c r="F21" s="69"/>
      <c r="M21" s="3"/>
    </row>
    <row r="22" spans="1:13">
      <c r="A22" s="225">
        <v>90151</v>
      </c>
      <c r="B22" s="225" t="s">
        <v>745</v>
      </c>
      <c r="C22" s="100">
        <v>3499.32</v>
      </c>
      <c r="F22" s="69"/>
      <c r="M22" s="3"/>
    </row>
    <row r="23" spans="1:13">
      <c r="A23" s="225">
        <v>90161</v>
      </c>
      <c r="B23" s="225" t="s">
        <v>746</v>
      </c>
      <c r="C23" s="100">
        <v>19107.830000000002</v>
      </c>
      <c r="F23" s="69"/>
      <c r="M23" s="3"/>
    </row>
    <row r="24" spans="1:13">
      <c r="A24" s="225">
        <v>90201</v>
      </c>
      <c r="B24" s="225" t="s">
        <v>747</v>
      </c>
      <c r="C24" s="100">
        <v>650654.12</v>
      </c>
      <c r="F24" s="69"/>
      <c r="M24" s="3"/>
    </row>
    <row r="25" spans="1:13">
      <c r="A25" s="225">
        <v>90203</v>
      </c>
      <c r="B25" s="225" t="s">
        <v>748</v>
      </c>
      <c r="C25" s="100">
        <v>108275.74</v>
      </c>
      <c r="F25" s="69"/>
      <c r="M25" s="3"/>
    </row>
    <row r="26" spans="1:13">
      <c r="A26" s="225">
        <v>90205</v>
      </c>
      <c r="B26" s="225" t="s">
        <v>749</v>
      </c>
      <c r="C26" s="100">
        <v>17587.310000000001</v>
      </c>
      <c r="F26" s="69"/>
      <c r="M26" s="3"/>
    </row>
    <row r="27" spans="1:13">
      <c r="A27" s="225">
        <v>90206</v>
      </c>
      <c r="B27" s="225" t="s">
        <v>750</v>
      </c>
      <c r="C27" s="100">
        <v>198714.17</v>
      </c>
      <c r="F27" s="69"/>
      <c r="M27" s="3"/>
    </row>
    <row r="28" spans="1:13">
      <c r="A28" s="225">
        <v>90211</v>
      </c>
      <c r="B28" s="225" t="s">
        <v>751</v>
      </c>
      <c r="C28" s="100">
        <v>84374.14</v>
      </c>
      <c r="F28" s="69"/>
      <c r="M28" s="3"/>
    </row>
    <row r="29" spans="1:13">
      <c r="A29" s="225">
        <v>90301</v>
      </c>
      <c r="B29" s="225" t="s">
        <v>752</v>
      </c>
      <c r="C29" s="100">
        <v>357961.79</v>
      </c>
      <c r="F29" s="69"/>
      <c r="M29" s="3"/>
    </row>
    <row r="30" spans="1:13">
      <c r="A30" s="225">
        <v>90305</v>
      </c>
      <c r="B30" s="225" t="s">
        <v>753</v>
      </c>
      <c r="C30" s="100">
        <v>94586.76</v>
      </c>
      <c r="F30" s="69"/>
      <c r="M30" s="3"/>
    </row>
    <row r="31" spans="1:13">
      <c r="A31" s="225">
        <v>90307</v>
      </c>
      <c r="B31" s="225" t="s">
        <v>754</v>
      </c>
      <c r="C31" s="100">
        <v>4525.25</v>
      </c>
      <c r="F31" s="69"/>
      <c r="M31" s="3"/>
    </row>
    <row r="32" spans="1:13">
      <c r="A32" s="225">
        <v>90401</v>
      </c>
      <c r="B32" s="225" t="s">
        <v>755</v>
      </c>
      <c r="C32" s="100">
        <v>745992.05</v>
      </c>
      <c r="F32" s="69"/>
      <c r="M32" s="3"/>
    </row>
    <row r="33" spans="1:13">
      <c r="A33" s="225">
        <v>90411</v>
      </c>
      <c r="B33" s="225" t="s">
        <v>756</v>
      </c>
      <c r="C33" s="100">
        <v>170773.52</v>
      </c>
      <c r="F33" s="69"/>
      <c r="M33" s="3"/>
    </row>
    <row r="34" spans="1:13">
      <c r="A34" s="225">
        <v>90413</v>
      </c>
      <c r="B34" s="225" t="s">
        <v>757</v>
      </c>
      <c r="C34" s="100">
        <v>20234.72</v>
      </c>
      <c r="F34" s="69"/>
      <c r="M34" s="3"/>
    </row>
    <row r="35" spans="1:13">
      <c r="A35" s="225">
        <v>90417</v>
      </c>
      <c r="B35" s="225" t="s">
        <v>758</v>
      </c>
      <c r="C35" s="100">
        <v>8960.24</v>
      </c>
      <c r="F35" s="69"/>
      <c r="M35" s="3"/>
    </row>
    <row r="36" spans="1:13">
      <c r="A36" s="225">
        <v>90421</v>
      </c>
      <c r="B36" s="225" t="s">
        <v>759</v>
      </c>
      <c r="C36" s="100">
        <v>9929.2199999999993</v>
      </c>
      <c r="F36" s="69"/>
      <c r="M36" s="3"/>
    </row>
    <row r="37" spans="1:13">
      <c r="A37" s="225">
        <v>90431</v>
      </c>
      <c r="B37" s="225" t="s">
        <v>760</v>
      </c>
      <c r="C37" s="100">
        <v>25477.17</v>
      </c>
      <c r="F37" s="69"/>
      <c r="M37" s="3"/>
    </row>
    <row r="38" spans="1:13">
      <c r="A38" s="225">
        <v>90441</v>
      </c>
      <c r="B38" s="225" t="s">
        <v>761</v>
      </c>
      <c r="C38" s="100">
        <v>5476.02</v>
      </c>
      <c r="F38" s="69"/>
      <c r="M38" s="3"/>
    </row>
    <row r="39" spans="1:13">
      <c r="A39" s="225">
        <v>90451</v>
      </c>
      <c r="B39" s="225" t="s">
        <v>762</v>
      </c>
      <c r="C39" s="100">
        <v>11750.47</v>
      </c>
      <c r="F39" s="69"/>
      <c r="M39" s="3"/>
    </row>
    <row r="40" spans="1:13">
      <c r="A40" s="225">
        <v>90461</v>
      </c>
      <c r="B40" s="225" t="s">
        <v>763</v>
      </c>
      <c r="C40" s="100">
        <v>1556.14</v>
      </c>
      <c r="F40" s="69"/>
      <c r="M40" s="3"/>
    </row>
    <row r="41" spans="1:13">
      <c r="A41" s="225">
        <v>90501</v>
      </c>
      <c r="B41" s="225" t="s">
        <v>764</v>
      </c>
      <c r="C41" s="100">
        <v>786568.7</v>
      </c>
      <c r="F41" s="69"/>
      <c r="M41" s="3"/>
    </row>
    <row r="42" spans="1:13">
      <c r="A42" s="225">
        <v>90507</v>
      </c>
      <c r="B42" s="225" t="s">
        <v>34</v>
      </c>
      <c r="C42" s="100">
        <v>9157.0400000000009</v>
      </c>
      <c r="F42" s="69"/>
      <c r="M42" s="3"/>
    </row>
    <row r="43" spans="1:13">
      <c r="A43" s="225">
        <v>90511</v>
      </c>
      <c r="B43" s="225" t="s">
        <v>765</v>
      </c>
      <c r="C43" s="100">
        <v>60485.5</v>
      </c>
      <c r="F43" s="69"/>
      <c r="M43" s="3"/>
    </row>
    <row r="44" spans="1:13">
      <c r="A44" s="225">
        <v>90521</v>
      </c>
      <c r="B44" s="225" t="s">
        <v>766</v>
      </c>
      <c r="C44" s="100">
        <v>60331.17</v>
      </c>
      <c r="F44" s="69"/>
      <c r="M44" s="3"/>
    </row>
    <row r="45" spans="1:13">
      <c r="A45" s="225">
        <v>90601</v>
      </c>
      <c r="B45" s="225" t="s">
        <v>767</v>
      </c>
      <c r="C45" s="100">
        <v>625366.18999999994</v>
      </c>
      <c r="F45" s="69"/>
      <c r="M45" s="3"/>
    </row>
    <row r="46" spans="1:13">
      <c r="A46" s="225">
        <v>90602</v>
      </c>
      <c r="B46" s="225" t="s">
        <v>259</v>
      </c>
      <c r="C46" s="100">
        <v>55243.47</v>
      </c>
      <c r="F46" s="69"/>
      <c r="M46" s="3"/>
    </row>
    <row r="47" spans="1:13">
      <c r="A47" s="225">
        <v>90605</v>
      </c>
      <c r="B47" s="225" t="s">
        <v>768</v>
      </c>
      <c r="C47" s="100">
        <v>28705.34</v>
      </c>
      <c r="F47" s="69"/>
      <c r="M47" s="3"/>
    </row>
    <row r="48" spans="1:13">
      <c r="A48" s="225">
        <v>90611</v>
      </c>
      <c r="B48" s="225" t="s">
        <v>769</v>
      </c>
      <c r="C48" s="100">
        <v>73545.320000000007</v>
      </c>
      <c r="F48" s="69"/>
      <c r="M48" s="3"/>
    </row>
    <row r="49" spans="1:13">
      <c r="A49" s="225">
        <v>90617</v>
      </c>
      <c r="B49" s="225" t="s">
        <v>770</v>
      </c>
      <c r="C49" s="100">
        <v>16833.349999999999</v>
      </c>
      <c r="F49" s="69"/>
      <c r="M49" s="3"/>
    </row>
    <row r="50" spans="1:13">
      <c r="A50" s="225">
        <v>90621</v>
      </c>
      <c r="B50" s="225" t="s">
        <v>771</v>
      </c>
      <c r="C50" s="100">
        <v>35331.75</v>
      </c>
      <c r="F50" s="69"/>
      <c r="M50" s="3"/>
    </row>
    <row r="51" spans="1:13">
      <c r="A51" s="225">
        <v>90631</v>
      </c>
      <c r="B51" s="225" t="s">
        <v>772</v>
      </c>
      <c r="C51" s="100">
        <v>199949.25</v>
      </c>
      <c r="F51" s="69"/>
      <c r="M51" s="3"/>
    </row>
    <row r="52" spans="1:13">
      <c r="A52" s="225">
        <v>90641</v>
      </c>
      <c r="B52" s="225" t="s">
        <v>773</v>
      </c>
      <c r="C52" s="100">
        <v>7645.54</v>
      </c>
      <c r="F52" s="69"/>
      <c r="M52" s="3"/>
    </row>
    <row r="53" spans="1:13">
      <c r="A53" s="225">
        <v>90651</v>
      </c>
      <c r="B53" s="225" t="s">
        <v>1936</v>
      </c>
      <c r="C53" s="100">
        <v>110911.29</v>
      </c>
      <c r="F53" s="69"/>
      <c r="M53" s="3"/>
    </row>
    <row r="54" spans="1:13">
      <c r="A54" s="225">
        <v>90701</v>
      </c>
      <c r="B54" s="225" t="s">
        <v>775</v>
      </c>
      <c r="C54" s="100">
        <v>1289223.42</v>
      </c>
      <c r="F54" s="69"/>
      <c r="M54" s="3"/>
    </row>
    <row r="55" spans="1:13">
      <c r="A55" s="225">
        <v>90704</v>
      </c>
      <c r="B55" s="225" t="s">
        <v>776</v>
      </c>
      <c r="C55" s="100">
        <v>31057.26</v>
      </c>
      <c r="F55" s="69"/>
      <c r="M55" s="3"/>
    </row>
    <row r="56" spans="1:13">
      <c r="A56" s="225">
        <v>90705</v>
      </c>
      <c r="B56" s="225" t="s">
        <v>777</v>
      </c>
      <c r="C56" s="100">
        <v>26090.1</v>
      </c>
      <c r="F56" s="69"/>
      <c r="M56" s="3"/>
    </row>
    <row r="57" spans="1:13">
      <c r="A57" s="225">
        <v>90709</v>
      </c>
      <c r="B57" s="225" t="s">
        <v>778</v>
      </c>
      <c r="C57" s="100">
        <v>81763.95</v>
      </c>
      <c r="F57" s="69"/>
      <c r="M57" s="3"/>
    </row>
    <row r="58" spans="1:13">
      <c r="A58" s="225">
        <v>90711</v>
      </c>
      <c r="B58" s="225" t="s">
        <v>779</v>
      </c>
      <c r="C58" s="100">
        <v>820543.64</v>
      </c>
      <c r="F58" s="69"/>
      <c r="M58" s="3"/>
    </row>
    <row r="59" spans="1:13">
      <c r="A59" s="225">
        <v>90721</v>
      </c>
      <c r="B59" s="225" t="s">
        <v>780</v>
      </c>
      <c r="C59" s="100">
        <v>13312.1</v>
      </c>
      <c r="F59" s="69"/>
      <c r="M59" s="3"/>
    </row>
    <row r="60" spans="1:13">
      <c r="A60" s="225">
        <v>90731</v>
      </c>
      <c r="B60" s="225" t="s">
        <v>781</v>
      </c>
      <c r="C60" s="100">
        <v>83710.77</v>
      </c>
      <c r="F60" s="69"/>
      <c r="M60" s="3"/>
    </row>
    <row r="61" spans="1:13">
      <c r="A61" s="225">
        <v>90741</v>
      </c>
      <c r="B61" s="225" t="s">
        <v>782</v>
      </c>
      <c r="C61" s="100">
        <v>7545.18</v>
      </c>
      <c r="F61" s="69"/>
      <c r="M61" s="3"/>
    </row>
    <row r="62" spans="1:13">
      <c r="A62" s="225">
        <v>90751</v>
      </c>
      <c r="B62" s="225" t="s">
        <v>783</v>
      </c>
      <c r="C62" s="100">
        <v>30362.59</v>
      </c>
      <c r="F62" s="69"/>
      <c r="M62" s="3"/>
    </row>
    <row r="63" spans="1:13">
      <c r="A63" s="225">
        <v>90801</v>
      </c>
      <c r="B63" s="225" t="s">
        <v>784</v>
      </c>
      <c r="C63" s="100">
        <v>602531.56000000006</v>
      </c>
      <c r="F63" s="69"/>
      <c r="M63" s="3"/>
    </row>
    <row r="64" spans="1:13">
      <c r="A64" s="225">
        <v>90804</v>
      </c>
      <c r="B64" s="225" t="s">
        <v>785</v>
      </c>
      <c r="C64" s="100">
        <v>2986.02</v>
      </c>
      <c r="F64" s="69"/>
      <c r="M64" s="3"/>
    </row>
    <row r="65" spans="1:13">
      <c r="A65" s="225">
        <v>90805</v>
      </c>
      <c r="B65" s="225" t="s">
        <v>786</v>
      </c>
      <c r="C65" s="100">
        <v>44785.26</v>
      </c>
      <c r="F65" s="69"/>
      <c r="M65" s="3"/>
    </row>
    <row r="66" spans="1:13">
      <c r="A66" s="225">
        <v>90808</v>
      </c>
      <c r="B66" s="225" t="s">
        <v>787</v>
      </c>
      <c r="C66" s="100">
        <v>80247.5</v>
      </c>
      <c r="F66" s="69"/>
      <c r="M66" s="3"/>
    </row>
    <row r="67" spans="1:13">
      <c r="A67" s="225">
        <v>90811</v>
      </c>
      <c r="B67" s="225" t="s">
        <v>788</v>
      </c>
      <c r="C67" s="100">
        <v>15156.78</v>
      </c>
      <c r="F67" s="69"/>
      <c r="M67" s="3"/>
    </row>
    <row r="68" spans="1:13">
      <c r="A68" s="225">
        <v>90812</v>
      </c>
      <c r="B68" s="225" t="s">
        <v>789</v>
      </c>
      <c r="C68" s="100">
        <v>114046.68</v>
      </c>
      <c r="F68" s="69"/>
      <c r="M68" s="3"/>
    </row>
    <row r="69" spans="1:13">
      <c r="A69" s="225">
        <v>90813</v>
      </c>
      <c r="B69" s="225" t="s">
        <v>790</v>
      </c>
      <c r="C69" s="100">
        <v>2274.73</v>
      </c>
      <c r="F69" s="69"/>
      <c r="M69" s="3"/>
    </row>
    <row r="70" spans="1:13">
      <c r="A70" s="225">
        <v>90861</v>
      </c>
      <c r="B70" s="225" t="s">
        <v>791</v>
      </c>
      <c r="C70" s="100">
        <v>7984.29</v>
      </c>
      <c r="F70" s="69"/>
      <c r="M70" s="3"/>
    </row>
    <row r="71" spans="1:13">
      <c r="A71" s="225">
        <v>90901</v>
      </c>
      <c r="B71" s="225" t="s">
        <v>792</v>
      </c>
      <c r="C71" s="100">
        <v>1170638.6100000001</v>
      </c>
      <c r="F71" s="69"/>
      <c r="M71" s="3"/>
    </row>
    <row r="72" spans="1:13">
      <c r="A72" s="225">
        <v>90911</v>
      </c>
      <c r="B72" s="225" t="s">
        <v>793</v>
      </c>
      <c r="C72" s="100">
        <v>183906.7</v>
      </c>
      <c r="F72" s="69"/>
      <c r="M72" s="3"/>
    </row>
    <row r="73" spans="1:13">
      <c r="A73" s="225">
        <v>90917</v>
      </c>
      <c r="B73" s="225" t="s">
        <v>794</v>
      </c>
      <c r="C73" s="100">
        <v>5624.28</v>
      </c>
      <c r="F73" s="69"/>
      <c r="M73" s="3"/>
    </row>
    <row r="74" spans="1:13">
      <c r="A74" s="225">
        <v>90918</v>
      </c>
      <c r="B74" s="225" t="s">
        <v>795</v>
      </c>
      <c r="C74" s="100">
        <v>5360.4</v>
      </c>
      <c r="F74" s="69"/>
      <c r="M74" s="3"/>
    </row>
    <row r="75" spans="1:13">
      <c r="A75" s="225">
        <v>90921</v>
      </c>
      <c r="B75" s="225" t="s">
        <v>796</v>
      </c>
      <c r="C75" s="100">
        <v>69213.990000000005</v>
      </c>
      <c r="F75" s="69"/>
      <c r="M75" s="3"/>
    </row>
    <row r="76" spans="1:13">
      <c r="A76" s="225">
        <v>90931</v>
      </c>
      <c r="B76" s="225" t="s">
        <v>797</v>
      </c>
      <c r="C76" s="100">
        <v>17293.41</v>
      </c>
      <c r="F76" s="69"/>
      <c r="M76" s="3"/>
    </row>
    <row r="77" spans="1:13">
      <c r="A77" s="225">
        <v>90941</v>
      </c>
      <c r="B77" s="225" t="s">
        <v>798</v>
      </c>
      <c r="C77" s="100">
        <v>41268.82</v>
      </c>
      <c r="F77" s="69"/>
      <c r="M77" s="3"/>
    </row>
    <row r="78" spans="1:13">
      <c r="A78" s="225">
        <v>91001</v>
      </c>
      <c r="B78" s="225" t="s">
        <v>799</v>
      </c>
      <c r="C78" s="100">
        <v>3599383.6</v>
      </c>
      <c r="F78" s="69"/>
      <c r="M78" s="3"/>
    </row>
    <row r="79" spans="1:13">
      <c r="A79" s="225">
        <v>91002</v>
      </c>
      <c r="B79" s="225" t="s">
        <v>800</v>
      </c>
      <c r="C79" s="100">
        <v>540811.48</v>
      </c>
      <c r="F79" s="69"/>
      <c r="M79" s="3"/>
    </row>
    <row r="80" spans="1:13">
      <c r="A80" s="225">
        <v>91003</v>
      </c>
      <c r="B80" s="225" t="s">
        <v>801</v>
      </c>
      <c r="C80" s="100">
        <v>311787.37</v>
      </c>
      <c r="F80" s="69"/>
      <c r="M80" s="3"/>
    </row>
    <row r="81" spans="1:13">
      <c r="A81" s="225">
        <v>91004</v>
      </c>
      <c r="B81" s="225" t="s">
        <v>802</v>
      </c>
      <c r="C81" s="100">
        <v>16893.27</v>
      </c>
      <c r="F81" s="69"/>
      <c r="M81" s="3"/>
    </row>
    <row r="82" spans="1:13">
      <c r="A82" s="225">
        <v>91006</v>
      </c>
      <c r="B82" s="225" t="s">
        <v>803</v>
      </c>
      <c r="C82" s="100">
        <v>516576.22</v>
      </c>
      <c r="F82" s="69"/>
      <c r="M82" s="3"/>
    </row>
    <row r="83" spans="1:13">
      <c r="A83" s="225">
        <v>91007</v>
      </c>
      <c r="B83" s="225" t="s">
        <v>804</v>
      </c>
      <c r="C83" s="100">
        <v>5931.51</v>
      </c>
      <c r="F83" s="69"/>
      <c r="M83" s="3"/>
    </row>
    <row r="84" spans="1:13">
      <c r="A84" s="225">
        <v>91008</v>
      </c>
      <c r="B84" s="225" t="s">
        <v>805</v>
      </c>
      <c r="C84" s="100">
        <v>83066.720000000001</v>
      </c>
      <c r="F84" s="69"/>
      <c r="M84" s="3"/>
    </row>
    <row r="85" spans="1:13">
      <c r="A85" s="225">
        <v>91009</v>
      </c>
      <c r="B85" s="225" t="s">
        <v>806</v>
      </c>
      <c r="C85" s="100">
        <v>11664.57</v>
      </c>
      <c r="F85" s="69"/>
      <c r="M85" s="3"/>
    </row>
    <row r="86" spans="1:13">
      <c r="A86" s="225">
        <v>91010</v>
      </c>
      <c r="B86" s="225" t="s">
        <v>807</v>
      </c>
      <c r="C86" s="100">
        <v>31940.04</v>
      </c>
      <c r="F86" s="69"/>
      <c r="M86" s="3"/>
    </row>
    <row r="87" spans="1:13">
      <c r="A87" s="225">
        <v>91011</v>
      </c>
      <c r="B87" s="225" t="s">
        <v>808</v>
      </c>
      <c r="C87" s="100">
        <v>185354.96</v>
      </c>
      <c r="F87" s="69"/>
      <c r="M87" s="3"/>
    </row>
    <row r="88" spans="1:13">
      <c r="A88" s="225">
        <v>91012</v>
      </c>
      <c r="B88" s="225" t="s">
        <v>809</v>
      </c>
      <c r="C88" s="100">
        <v>9806.56</v>
      </c>
      <c r="F88" s="69"/>
      <c r="M88" s="3"/>
    </row>
    <row r="89" spans="1:13">
      <c r="A89" s="225">
        <v>91013</v>
      </c>
      <c r="B89" s="225" t="s">
        <v>810</v>
      </c>
      <c r="C89" s="100">
        <v>31452.44</v>
      </c>
      <c r="F89" s="69"/>
      <c r="M89" s="3"/>
    </row>
    <row r="90" spans="1:13">
      <c r="A90" s="225">
        <v>91014</v>
      </c>
      <c r="B90" s="225" t="s">
        <v>811</v>
      </c>
      <c r="C90" s="100">
        <v>103119.86</v>
      </c>
      <c r="F90" s="69"/>
      <c r="M90" s="3"/>
    </row>
    <row r="91" spans="1:13">
      <c r="A91" s="225">
        <v>91015</v>
      </c>
      <c r="B91" s="225" t="s">
        <v>1640</v>
      </c>
      <c r="C91" s="100">
        <v>19093.82</v>
      </c>
      <c r="F91" s="69"/>
      <c r="M91" s="3"/>
    </row>
    <row r="92" spans="1:13">
      <c r="A92" s="225">
        <v>91017</v>
      </c>
      <c r="B92" s="225" t="s">
        <v>812</v>
      </c>
      <c r="C92" s="100">
        <v>14504.34</v>
      </c>
      <c r="F92" s="69"/>
      <c r="M92" s="3"/>
    </row>
    <row r="93" spans="1:13">
      <c r="A93" s="225">
        <v>91020</v>
      </c>
      <c r="B93" s="225" t="s">
        <v>813</v>
      </c>
      <c r="C93" s="100">
        <v>11759.15</v>
      </c>
      <c r="F93" s="69"/>
      <c r="M93" s="3"/>
    </row>
    <row r="94" spans="1:13">
      <c r="A94" s="225">
        <v>91021</v>
      </c>
      <c r="B94" s="225" t="s">
        <v>814</v>
      </c>
      <c r="C94" s="100">
        <v>495808.35</v>
      </c>
      <c r="F94" s="69"/>
      <c r="M94" s="3"/>
    </row>
    <row r="95" spans="1:13">
      <c r="A95" s="225">
        <v>91024</v>
      </c>
      <c r="B95" s="225" t="s">
        <v>815</v>
      </c>
      <c r="C95" s="100">
        <v>55900.43</v>
      </c>
      <c r="F95" s="69"/>
      <c r="M95" s="3"/>
    </row>
    <row r="96" spans="1:13">
      <c r="A96" s="225">
        <v>91026</v>
      </c>
      <c r="B96" s="225" t="s">
        <v>43</v>
      </c>
      <c r="C96" s="100">
        <v>42355.97</v>
      </c>
      <c r="F96" s="69"/>
      <c r="M96" s="3"/>
    </row>
    <row r="97" spans="1:13">
      <c r="A97" s="225">
        <v>91027</v>
      </c>
      <c r="B97" s="225" t="s">
        <v>816</v>
      </c>
      <c r="C97" s="100">
        <v>15229.15</v>
      </c>
      <c r="F97" s="69"/>
      <c r="M97" s="3"/>
    </row>
    <row r="98" spans="1:13">
      <c r="A98" s="225">
        <v>91032</v>
      </c>
      <c r="B98" s="225" t="s">
        <v>817</v>
      </c>
      <c r="C98" s="100">
        <v>20379.63</v>
      </c>
      <c r="F98" s="69"/>
      <c r="M98" s="3"/>
    </row>
    <row r="99" spans="1:13">
      <c r="A99" s="225">
        <v>91041</v>
      </c>
      <c r="B99" s="225" t="s">
        <v>818</v>
      </c>
      <c r="C99" s="100">
        <v>202620.59</v>
      </c>
      <c r="F99" s="69"/>
      <c r="M99" s="3"/>
    </row>
    <row r="100" spans="1:13">
      <c r="A100" s="225">
        <v>91042</v>
      </c>
      <c r="B100" s="225" t="s">
        <v>819</v>
      </c>
      <c r="C100" s="100">
        <v>126574.18</v>
      </c>
      <c r="F100" s="69"/>
      <c r="M100" s="3"/>
    </row>
    <row r="101" spans="1:13">
      <c r="A101" s="225">
        <v>91047</v>
      </c>
      <c r="B101" s="225" t="s">
        <v>820</v>
      </c>
      <c r="C101" s="100">
        <v>18916.89</v>
      </c>
      <c r="F101" s="69"/>
      <c r="M101" s="3"/>
    </row>
    <row r="102" spans="1:13">
      <c r="A102" s="225">
        <v>91051</v>
      </c>
      <c r="B102" s="225" t="s">
        <v>821</v>
      </c>
      <c r="C102" s="100">
        <v>37336.839999999997</v>
      </c>
      <c r="F102" s="69"/>
      <c r="M102" s="3"/>
    </row>
    <row r="103" spans="1:13">
      <c r="A103" s="225">
        <v>91057</v>
      </c>
      <c r="B103" s="225" t="s">
        <v>822</v>
      </c>
      <c r="C103" s="100">
        <v>12550.04</v>
      </c>
      <c r="F103" s="69"/>
      <c r="M103" s="3"/>
    </row>
    <row r="104" spans="1:13">
      <c r="A104" s="225">
        <v>91061</v>
      </c>
      <c r="B104" s="225" t="s">
        <v>823</v>
      </c>
      <c r="C104" s="100">
        <v>190362.02</v>
      </c>
      <c r="F104" s="69"/>
      <c r="M104" s="3"/>
    </row>
    <row r="105" spans="1:13">
      <c r="A105" s="225">
        <v>91067</v>
      </c>
      <c r="B105" s="225" t="s">
        <v>824</v>
      </c>
      <c r="C105" s="100">
        <v>9898.82</v>
      </c>
      <c r="F105" s="69"/>
      <c r="M105" s="3"/>
    </row>
    <row r="106" spans="1:13">
      <c r="A106" s="225">
        <v>91071</v>
      </c>
      <c r="B106" s="225" t="s">
        <v>825</v>
      </c>
      <c r="C106" s="100">
        <v>117012.39</v>
      </c>
      <c r="F106" s="69"/>
      <c r="M106" s="3"/>
    </row>
    <row r="107" spans="1:13">
      <c r="A107" s="225">
        <v>91077</v>
      </c>
      <c r="B107" s="225" t="s">
        <v>826</v>
      </c>
      <c r="C107" s="100">
        <v>3114.97</v>
      </c>
      <c r="F107" s="69"/>
      <c r="M107" s="3"/>
    </row>
    <row r="108" spans="1:13">
      <c r="A108" s="225">
        <v>91081</v>
      </c>
      <c r="B108" s="225" t="s">
        <v>827</v>
      </c>
      <c r="C108" s="100">
        <v>203994.04</v>
      </c>
      <c r="F108" s="69"/>
      <c r="M108" s="3"/>
    </row>
    <row r="109" spans="1:13">
      <c r="A109" s="225">
        <v>91091</v>
      </c>
      <c r="B109" s="225" t="s">
        <v>828</v>
      </c>
      <c r="C109" s="100">
        <v>277328.65000000002</v>
      </c>
      <c r="F109" s="69"/>
      <c r="M109" s="3"/>
    </row>
    <row r="110" spans="1:13">
      <c r="A110" s="225">
        <v>91101</v>
      </c>
      <c r="B110" s="225" t="s">
        <v>829</v>
      </c>
      <c r="C110" s="100">
        <v>6681835.1600000001</v>
      </c>
      <c r="F110" s="69"/>
      <c r="M110" s="3"/>
    </row>
    <row r="111" spans="1:13">
      <c r="A111" s="225">
        <v>91102</v>
      </c>
      <c r="B111" s="225" t="s">
        <v>830</v>
      </c>
      <c r="C111" s="100">
        <v>170492.43</v>
      </c>
      <c r="F111" s="69"/>
      <c r="M111" s="3"/>
    </row>
    <row r="112" spans="1:13">
      <c r="A112" s="225">
        <v>91104</v>
      </c>
      <c r="B112" s="225" t="s">
        <v>831</v>
      </c>
      <c r="C112" s="100">
        <v>11960.62</v>
      </c>
      <c r="F112" s="69"/>
      <c r="M112" s="3"/>
    </row>
    <row r="113" spans="1:13">
      <c r="A113" s="225">
        <v>91107</v>
      </c>
      <c r="B113" s="225" t="s">
        <v>832</v>
      </c>
      <c r="C113" s="100">
        <v>44039.77</v>
      </c>
      <c r="F113" s="69"/>
      <c r="M113" s="3"/>
    </row>
    <row r="114" spans="1:13">
      <c r="A114" s="225">
        <v>91108</v>
      </c>
      <c r="B114" s="225" t="s">
        <v>833</v>
      </c>
      <c r="C114" s="100">
        <v>697770.01</v>
      </c>
      <c r="F114" s="69"/>
      <c r="M114" s="3"/>
    </row>
    <row r="115" spans="1:13">
      <c r="A115" s="225">
        <v>91109</v>
      </c>
      <c r="B115" s="225" t="s">
        <v>834</v>
      </c>
      <c r="C115" s="100">
        <v>54714.07</v>
      </c>
      <c r="F115" s="69"/>
      <c r="M115" s="3"/>
    </row>
    <row r="116" spans="1:13">
      <c r="A116" s="225">
        <v>91111</v>
      </c>
      <c r="B116" s="225" t="s">
        <v>835</v>
      </c>
      <c r="C116" s="100">
        <v>120216.67</v>
      </c>
      <c r="F116" s="69"/>
      <c r="M116" s="3"/>
    </row>
    <row r="117" spans="1:13">
      <c r="A117" s="225">
        <v>91120</v>
      </c>
      <c r="B117" s="225" t="s">
        <v>836</v>
      </c>
      <c r="C117" s="100">
        <v>81787.649999999994</v>
      </c>
      <c r="F117" s="69"/>
      <c r="M117" s="3"/>
    </row>
    <row r="118" spans="1:13">
      <c r="A118" s="225">
        <v>91121</v>
      </c>
      <c r="B118" s="225" t="s">
        <v>837</v>
      </c>
      <c r="C118" s="100">
        <v>5084445.32</v>
      </c>
      <c r="F118" s="69"/>
      <c r="M118" s="3"/>
    </row>
    <row r="119" spans="1:13">
      <c r="A119" s="225">
        <v>91127</v>
      </c>
      <c r="B119" s="225" t="s">
        <v>838</v>
      </c>
      <c r="C119" s="100">
        <v>171480.43</v>
      </c>
      <c r="F119" s="69"/>
      <c r="M119" s="3"/>
    </row>
    <row r="120" spans="1:13">
      <c r="A120" s="225">
        <v>91128</v>
      </c>
      <c r="B120" s="225" t="s">
        <v>839</v>
      </c>
      <c r="C120" s="100">
        <v>264000</v>
      </c>
      <c r="F120" s="69"/>
      <c r="M120" s="3"/>
    </row>
    <row r="121" spans="1:13">
      <c r="A121" s="225">
        <v>91138</v>
      </c>
      <c r="B121" s="225" t="s">
        <v>840</v>
      </c>
      <c r="C121" s="100">
        <v>221760.66</v>
      </c>
      <c r="F121" s="69"/>
      <c r="M121" s="3"/>
    </row>
    <row r="122" spans="1:13">
      <c r="A122" s="225">
        <v>91141</v>
      </c>
      <c r="B122" s="225" t="s">
        <v>841</v>
      </c>
      <c r="C122" s="100">
        <v>293398.83</v>
      </c>
      <c r="F122" s="69"/>
      <c r="M122" s="3"/>
    </row>
    <row r="123" spans="1:13">
      <c r="A123" s="225">
        <v>91147</v>
      </c>
      <c r="B123" s="225" t="s">
        <v>842</v>
      </c>
      <c r="C123" s="100">
        <v>16252.57</v>
      </c>
      <c r="F123" s="69"/>
      <c r="M123" s="3"/>
    </row>
    <row r="124" spans="1:13">
      <c r="A124" s="225">
        <v>91151</v>
      </c>
      <c r="B124" s="225" t="s">
        <v>843</v>
      </c>
      <c r="C124" s="100">
        <v>282767.11</v>
      </c>
      <c r="F124" s="69"/>
      <c r="M124" s="3"/>
    </row>
    <row r="125" spans="1:13">
      <c r="A125" s="225">
        <v>91154</v>
      </c>
      <c r="B125" s="225" t="s">
        <v>844</v>
      </c>
      <c r="C125" s="100">
        <v>9739.98</v>
      </c>
      <c r="F125" s="69"/>
      <c r="M125" s="3"/>
    </row>
    <row r="126" spans="1:13">
      <c r="A126" s="225">
        <v>91161</v>
      </c>
      <c r="B126" s="225" t="s">
        <v>845</v>
      </c>
      <c r="C126" s="100">
        <v>42773.66</v>
      </c>
      <c r="F126" s="69"/>
      <c r="M126" s="3"/>
    </row>
    <row r="127" spans="1:13">
      <c r="A127" s="225">
        <v>91171</v>
      </c>
      <c r="B127" s="225" t="s">
        <v>846</v>
      </c>
      <c r="C127" s="100">
        <v>120474.56</v>
      </c>
      <c r="F127" s="69"/>
      <c r="M127" s="3"/>
    </row>
    <row r="128" spans="1:13">
      <c r="A128" s="225">
        <v>91201</v>
      </c>
      <c r="B128" s="225" t="s">
        <v>847</v>
      </c>
      <c r="C128" s="100">
        <v>1140236.78</v>
      </c>
      <c r="F128" s="69"/>
      <c r="M128" s="3"/>
    </row>
    <row r="129" spans="1:13">
      <c r="A129" s="225">
        <v>91202</v>
      </c>
      <c r="B129" s="225" t="s">
        <v>848</v>
      </c>
      <c r="C129" s="100">
        <v>93531.29</v>
      </c>
      <c r="F129" s="69"/>
      <c r="M129" s="3"/>
    </row>
    <row r="130" spans="1:13">
      <c r="A130" s="225">
        <v>91203</v>
      </c>
      <c r="B130" s="225" t="s">
        <v>849</v>
      </c>
      <c r="C130" s="100">
        <v>140746.18</v>
      </c>
      <c r="F130" s="69"/>
      <c r="M130" s="3"/>
    </row>
    <row r="131" spans="1:13">
      <c r="A131" s="225">
        <v>91206</v>
      </c>
      <c r="B131" s="225" t="s">
        <v>850</v>
      </c>
      <c r="C131" s="100">
        <v>486171.91</v>
      </c>
      <c r="F131" s="69"/>
      <c r="M131" s="3"/>
    </row>
    <row r="132" spans="1:13">
      <c r="A132" s="225">
        <v>91208</v>
      </c>
      <c r="B132" s="225" t="s">
        <v>851</v>
      </c>
      <c r="C132" s="100">
        <v>10067.58</v>
      </c>
      <c r="F132" s="69"/>
      <c r="M132" s="3"/>
    </row>
    <row r="133" spans="1:13">
      <c r="A133" s="225">
        <v>91211</v>
      </c>
      <c r="B133" s="225" t="s">
        <v>852</v>
      </c>
      <c r="C133" s="100">
        <v>216785.86</v>
      </c>
      <c r="F133" s="69"/>
      <c r="M133" s="3"/>
    </row>
    <row r="134" spans="1:13">
      <c r="A134" s="225">
        <v>91213</v>
      </c>
      <c r="B134" s="225" t="s">
        <v>853</v>
      </c>
      <c r="C134" s="100">
        <v>13869.39</v>
      </c>
      <c r="F134" s="69"/>
      <c r="M134" s="3"/>
    </row>
    <row r="135" spans="1:13">
      <c r="A135" s="225">
        <v>91214</v>
      </c>
      <c r="B135" s="225" t="s">
        <v>854</v>
      </c>
      <c r="C135" s="100">
        <v>14049.48</v>
      </c>
      <c r="F135" s="69"/>
      <c r="M135" s="3"/>
    </row>
    <row r="136" spans="1:13">
      <c r="A136" s="225">
        <v>91217</v>
      </c>
      <c r="B136" s="225" t="s">
        <v>855</v>
      </c>
      <c r="C136" s="100">
        <v>17716.47</v>
      </c>
      <c r="F136" s="69"/>
      <c r="M136" s="3"/>
    </row>
    <row r="137" spans="1:13">
      <c r="A137" s="225">
        <v>91221</v>
      </c>
      <c r="B137" s="225" t="s">
        <v>856</v>
      </c>
      <c r="C137" s="100">
        <v>57689.2</v>
      </c>
      <c r="F137" s="69"/>
      <c r="M137" s="3"/>
    </row>
    <row r="138" spans="1:13">
      <c r="A138" s="225">
        <v>91231</v>
      </c>
      <c r="B138" s="225" t="s">
        <v>857</v>
      </c>
      <c r="C138" s="100">
        <v>990888.77</v>
      </c>
      <c r="F138" s="69"/>
      <c r="M138" s="3"/>
    </row>
    <row r="139" spans="1:13">
      <c r="A139" s="225">
        <v>91233</v>
      </c>
      <c r="B139" s="225" t="s">
        <v>858</v>
      </c>
      <c r="C139" s="100">
        <v>30147.15</v>
      </c>
      <c r="F139" s="69"/>
      <c r="M139" s="3"/>
    </row>
    <row r="140" spans="1:13">
      <c r="A140" s="225">
        <v>91241</v>
      </c>
      <c r="B140" s="225" t="s">
        <v>859</v>
      </c>
      <c r="C140" s="100">
        <v>19589.04</v>
      </c>
      <c r="F140" s="69"/>
      <c r="M140" s="3"/>
    </row>
    <row r="141" spans="1:13">
      <c r="A141" s="225">
        <v>91251</v>
      </c>
      <c r="B141" s="225" t="s">
        <v>860</v>
      </c>
      <c r="C141" s="100">
        <v>11627</v>
      </c>
      <c r="F141" s="69"/>
      <c r="M141" s="3"/>
    </row>
    <row r="142" spans="1:13">
      <c r="A142" s="225">
        <v>91261</v>
      </c>
      <c r="B142" s="225" t="s">
        <v>861</v>
      </c>
      <c r="C142" s="100">
        <v>3996.03</v>
      </c>
      <c r="F142" s="69"/>
      <c r="M142" s="3"/>
    </row>
    <row r="143" spans="1:13">
      <c r="A143" s="225">
        <v>91301</v>
      </c>
      <c r="B143" s="225" t="s">
        <v>862</v>
      </c>
      <c r="C143" s="100">
        <v>4058843.46</v>
      </c>
      <c r="F143" s="69"/>
      <c r="M143" s="3"/>
    </row>
    <row r="144" spans="1:13">
      <c r="A144" s="225">
        <v>91302</v>
      </c>
      <c r="B144" s="225" t="s">
        <v>863</v>
      </c>
      <c r="C144" s="100">
        <v>280327.90999999997</v>
      </c>
      <c r="F144" s="69"/>
      <c r="M144" s="3"/>
    </row>
    <row r="145" spans="1:13">
      <c r="A145" s="225">
        <v>91306</v>
      </c>
      <c r="B145" s="225" t="s">
        <v>864</v>
      </c>
      <c r="C145" s="100">
        <v>968202.18</v>
      </c>
      <c r="F145" s="69"/>
      <c r="M145" s="3"/>
    </row>
    <row r="146" spans="1:13">
      <c r="A146" s="225">
        <v>91308</v>
      </c>
      <c r="B146" s="225" t="s">
        <v>865</v>
      </c>
      <c r="C146" s="100">
        <v>89774.06</v>
      </c>
      <c r="F146" s="69"/>
      <c r="M146" s="3"/>
    </row>
    <row r="147" spans="1:13">
      <c r="A147" s="225">
        <v>91311</v>
      </c>
      <c r="B147" s="225" t="s">
        <v>866</v>
      </c>
      <c r="C147" s="100">
        <v>4083525.78</v>
      </c>
      <c r="F147" s="69"/>
      <c r="M147" s="3"/>
    </row>
    <row r="148" spans="1:13">
      <c r="A148" s="225">
        <v>91317</v>
      </c>
      <c r="B148" s="225" t="s">
        <v>867</v>
      </c>
      <c r="C148" s="100">
        <v>64698.080000000002</v>
      </c>
      <c r="F148" s="69"/>
      <c r="M148" s="3"/>
    </row>
    <row r="149" spans="1:13">
      <c r="A149" s="225">
        <v>91321</v>
      </c>
      <c r="B149" s="225" t="s">
        <v>868</v>
      </c>
      <c r="C149" s="100">
        <v>50002.73</v>
      </c>
      <c r="F149" s="69"/>
      <c r="M149" s="3"/>
    </row>
    <row r="150" spans="1:13">
      <c r="A150" s="225">
        <v>91327</v>
      </c>
      <c r="B150" s="225" t="s">
        <v>869</v>
      </c>
      <c r="C150" s="100">
        <v>5813.44</v>
      </c>
      <c r="F150" s="69"/>
      <c r="M150" s="3"/>
    </row>
    <row r="151" spans="1:13">
      <c r="A151" s="225">
        <v>91331</v>
      </c>
      <c r="B151" s="225" t="s">
        <v>870</v>
      </c>
      <c r="C151" s="100">
        <v>1420948.35</v>
      </c>
      <c r="F151" s="69"/>
      <c r="M151" s="3"/>
    </row>
    <row r="152" spans="1:13">
      <c r="A152" s="225">
        <v>91341</v>
      </c>
      <c r="B152" s="225" t="s">
        <v>871</v>
      </c>
      <c r="C152" s="100">
        <v>17049.3</v>
      </c>
      <c r="F152" s="69"/>
      <c r="M152" s="3"/>
    </row>
    <row r="153" spans="1:13">
      <c r="A153" s="225">
        <v>91401</v>
      </c>
      <c r="B153" s="225" t="s">
        <v>872</v>
      </c>
      <c r="C153" s="100">
        <v>1845497.32</v>
      </c>
      <c r="F153" s="69"/>
      <c r="M153" s="3"/>
    </row>
    <row r="154" spans="1:13">
      <c r="A154" s="225">
        <v>91411</v>
      </c>
      <c r="B154" s="225" t="s">
        <v>873</v>
      </c>
      <c r="C154" s="100">
        <v>198816.85</v>
      </c>
      <c r="F154" s="69"/>
      <c r="M154" s="3"/>
    </row>
    <row r="155" spans="1:13">
      <c r="A155" s="307">
        <v>91414</v>
      </c>
      <c r="B155" s="307" t="s">
        <v>3614</v>
      </c>
      <c r="C155" s="317">
        <v>9397.24</v>
      </c>
      <c r="D155" s="225" t="s">
        <v>3620</v>
      </c>
      <c r="F155" s="69"/>
      <c r="M155" s="3"/>
    </row>
    <row r="156" spans="1:13">
      <c r="A156" s="225">
        <v>91417</v>
      </c>
      <c r="B156" s="225" t="s">
        <v>874</v>
      </c>
      <c r="C156" s="100">
        <v>6068.11</v>
      </c>
      <c r="F156" s="69"/>
      <c r="M156" s="3"/>
    </row>
    <row r="157" spans="1:13">
      <c r="A157" s="225">
        <v>91421</v>
      </c>
      <c r="B157" s="225" t="s">
        <v>875</v>
      </c>
      <c r="C157" s="100">
        <v>40352.5</v>
      </c>
      <c r="F157" s="69"/>
      <c r="M157" s="3"/>
    </row>
    <row r="158" spans="1:13">
      <c r="A158" s="225">
        <v>91423</v>
      </c>
      <c r="B158" s="225" t="s">
        <v>876</v>
      </c>
      <c r="C158" s="100">
        <v>24726.67</v>
      </c>
      <c r="F158" s="69"/>
      <c r="M158" s="3"/>
    </row>
    <row r="159" spans="1:13">
      <c r="A159" s="225">
        <v>91431</v>
      </c>
      <c r="B159" s="225" t="s">
        <v>877</v>
      </c>
      <c r="C159" s="100">
        <v>97752.53</v>
      </c>
      <c r="F159" s="69"/>
      <c r="M159" s="3"/>
    </row>
    <row r="160" spans="1:13">
      <c r="A160" s="225">
        <v>91441</v>
      </c>
      <c r="B160" s="225" t="s">
        <v>878</v>
      </c>
      <c r="C160" s="100">
        <v>390490.98</v>
      </c>
      <c r="F160" s="69"/>
      <c r="M160" s="3"/>
    </row>
    <row r="161" spans="1:13">
      <c r="A161" s="225">
        <v>91451</v>
      </c>
      <c r="B161" s="225" t="s">
        <v>879</v>
      </c>
      <c r="C161" s="100">
        <v>787423.33</v>
      </c>
      <c r="F161" s="69"/>
      <c r="M161" s="3"/>
    </row>
    <row r="162" spans="1:13">
      <c r="A162" s="225">
        <v>91457</v>
      </c>
      <c r="B162" s="225" t="s">
        <v>880</v>
      </c>
      <c r="C162" s="100">
        <v>30830.720000000001</v>
      </c>
      <c r="F162" s="69"/>
      <c r="M162" s="3"/>
    </row>
    <row r="163" spans="1:13">
      <c r="A163" s="225">
        <v>91461</v>
      </c>
      <c r="B163" s="225" t="s">
        <v>881</v>
      </c>
      <c r="C163" s="100">
        <v>3334.67</v>
      </c>
      <c r="F163" s="69"/>
      <c r="M163" s="3"/>
    </row>
    <row r="164" spans="1:13">
      <c r="A164" s="225">
        <v>91501</v>
      </c>
      <c r="B164" s="225" t="s">
        <v>882</v>
      </c>
      <c r="C164" s="100">
        <v>257328.54</v>
      </c>
      <c r="F164" s="69"/>
      <c r="M164" s="3"/>
    </row>
    <row r="165" spans="1:13">
      <c r="A165" s="225">
        <v>91504</v>
      </c>
      <c r="B165" s="225" t="s">
        <v>883</v>
      </c>
      <c r="C165" s="100">
        <v>7298.46</v>
      </c>
      <c r="F165" s="69"/>
      <c r="M165" s="3"/>
    </row>
    <row r="166" spans="1:13">
      <c r="A166" s="225">
        <v>91601</v>
      </c>
      <c r="B166" s="225" t="s">
        <v>884</v>
      </c>
      <c r="C166" s="100">
        <v>1614794.34</v>
      </c>
      <c r="F166" s="69"/>
      <c r="M166" s="3"/>
    </row>
    <row r="167" spans="1:13">
      <c r="A167" s="225">
        <v>91604</v>
      </c>
      <c r="B167" s="225" t="s">
        <v>885</v>
      </c>
      <c r="C167" s="100">
        <v>61385.89</v>
      </c>
      <c r="F167" s="69"/>
      <c r="M167" s="3"/>
    </row>
    <row r="168" spans="1:13">
      <c r="A168" s="225">
        <v>91608</v>
      </c>
      <c r="B168" s="225" t="s">
        <v>886</v>
      </c>
      <c r="C168" s="100">
        <v>58326.21</v>
      </c>
      <c r="F168" s="69"/>
      <c r="M168" s="3"/>
    </row>
    <row r="169" spans="1:13">
      <c r="A169" s="225">
        <v>91611</v>
      </c>
      <c r="B169" s="225" t="s">
        <v>887</v>
      </c>
      <c r="C169" s="100">
        <v>679728.61</v>
      </c>
      <c r="F169" s="69"/>
      <c r="M169" s="3"/>
    </row>
    <row r="170" spans="1:13">
      <c r="A170" s="225">
        <v>91621</v>
      </c>
      <c r="B170" s="225" t="s">
        <v>888</v>
      </c>
      <c r="C170" s="100">
        <v>134331.6</v>
      </c>
      <c r="F170" s="69"/>
      <c r="M170" s="3"/>
    </row>
    <row r="171" spans="1:13">
      <c r="A171" s="225">
        <v>91631</v>
      </c>
      <c r="B171" s="225" t="s">
        <v>889</v>
      </c>
      <c r="C171" s="100">
        <v>283340.06</v>
      </c>
      <c r="F171" s="69"/>
      <c r="M171" s="3"/>
    </row>
    <row r="172" spans="1:13">
      <c r="A172" s="225">
        <v>91633</v>
      </c>
      <c r="B172" s="225" t="s">
        <v>890</v>
      </c>
      <c r="C172" s="100">
        <v>13682.34</v>
      </c>
      <c r="F172" s="69"/>
      <c r="M172" s="3"/>
    </row>
    <row r="173" spans="1:13">
      <c r="A173" s="225">
        <v>91641</v>
      </c>
      <c r="B173" s="225" t="s">
        <v>891</v>
      </c>
      <c r="C173" s="100">
        <v>131410.69</v>
      </c>
      <c r="F173" s="69"/>
      <c r="M173" s="3"/>
    </row>
    <row r="174" spans="1:13">
      <c r="A174" s="225">
        <v>91651</v>
      </c>
      <c r="B174" s="225" t="s">
        <v>892</v>
      </c>
      <c r="C174" s="100">
        <v>279577.11</v>
      </c>
      <c r="F174" s="69"/>
      <c r="M174" s="3"/>
    </row>
    <row r="175" spans="1:13">
      <c r="A175" s="225">
        <v>91661</v>
      </c>
      <c r="B175" s="225" t="s">
        <v>893</v>
      </c>
      <c r="C175" s="100">
        <v>76004.77</v>
      </c>
      <c r="F175" s="69"/>
      <c r="M175" s="3"/>
    </row>
    <row r="176" spans="1:13">
      <c r="A176" s="225">
        <v>91671</v>
      </c>
      <c r="B176" s="225" t="s">
        <v>894</v>
      </c>
      <c r="C176" s="100">
        <v>46142.85</v>
      </c>
      <c r="F176" s="69"/>
      <c r="M176" s="3"/>
    </row>
    <row r="177" spans="1:13">
      <c r="A177" s="225">
        <v>91681</v>
      </c>
      <c r="B177" s="225" t="s">
        <v>895</v>
      </c>
      <c r="C177" s="100">
        <v>420625.88</v>
      </c>
      <c r="F177" s="69"/>
      <c r="M177" s="3"/>
    </row>
    <row r="178" spans="1:13">
      <c r="A178" s="225">
        <v>91691</v>
      </c>
      <c r="B178" s="225" t="s">
        <v>896</v>
      </c>
      <c r="C178" s="100">
        <v>14332.32</v>
      </c>
      <c r="F178" s="69"/>
      <c r="M178" s="3"/>
    </row>
    <row r="179" spans="1:13">
      <c r="A179" s="225">
        <v>91701</v>
      </c>
      <c r="B179" s="225" t="s">
        <v>897</v>
      </c>
      <c r="C179" s="100">
        <v>582513.18000000005</v>
      </c>
      <c r="F179" s="69"/>
      <c r="M179" s="3"/>
    </row>
    <row r="180" spans="1:13">
      <c r="A180" s="225">
        <v>91704</v>
      </c>
      <c r="B180" s="225" t="s">
        <v>898</v>
      </c>
      <c r="C180" s="100">
        <v>9702.58</v>
      </c>
      <c r="F180" s="69"/>
      <c r="M180" s="3"/>
    </row>
    <row r="181" spans="1:13">
      <c r="A181" s="225">
        <v>91706</v>
      </c>
      <c r="B181" s="225" t="s">
        <v>899</v>
      </c>
      <c r="C181" s="100">
        <v>137653</v>
      </c>
      <c r="F181" s="69"/>
      <c r="M181" s="3"/>
    </row>
    <row r="182" spans="1:13">
      <c r="A182" s="225">
        <v>91719</v>
      </c>
      <c r="B182" s="225" t="s">
        <v>900</v>
      </c>
      <c r="C182" s="100">
        <v>23258.15</v>
      </c>
      <c r="F182" s="69"/>
      <c r="M182" s="3"/>
    </row>
    <row r="183" spans="1:13">
      <c r="A183" s="225">
        <v>91801</v>
      </c>
      <c r="B183" s="225" t="s">
        <v>901</v>
      </c>
      <c r="C183" s="100">
        <v>4066001.47</v>
      </c>
      <c r="F183" s="69"/>
      <c r="M183" s="3"/>
    </row>
    <row r="184" spans="1:13">
      <c r="A184" s="225">
        <v>91804</v>
      </c>
      <c r="B184" s="225" t="s">
        <v>902</v>
      </c>
      <c r="C184" s="100">
        <v>105747.53</v>
      </c>
      <c r="F184" s="69"/>
      <c r="M184" s="3"/>
    </row>
    <row r="185" spans="1:13">
      <c r="A185" s="225">
        <v>91811</v>
      </c>
      <c r="B185" s="225" t="s">
        <v>903</v>
      </c>
      <c r="C185" s="100">
        <v>2212364.4300000002</v>
      </c>
      <c r="F185" s="69"/>
      <c r="M185" s="3"/>
    </row>
    <row r="186" spans="1:13">
      <c r="A186" s="225">
        <v>91812</v>
      </c>
      <c r="B186" s="225" t="s">
        <v>904</v>
      </c>
      <c r="C186" s="100">
        <v>29488.98</v>
      </c>
      <c r="F186" s="69"/>
      <c r="M186" s="3"/>
    </row>
    <row r="187" spans="1:13">
      <c r="A187" s="225">
        <v>91813</v>
      </c>
      <c r="B187" s="225" t="s">
        <v>905</v>
      </c>
      <c r="C187" s="100">
        <v>40206.25</v>
      </c>
      <c r="F187" s="69"/>
      <c r="M187" s="3"/>
    </row>
    <row r="188" spans="1:13">
      <c r="A188" s="225">
        <v>91818</v>
      </c>
      <c r="B188" s="225" t="s">
        <v>906</v>
      </c>
      <c r="C188" s="100">
        <v>229803.71</v>
      </c>
      <c r="F188" s="69"/>
      <c r="M188" s="3"/>
    </row>
    <row r="189" spans="1:13">
      <c r="A189" s="225">
        <v>91819</v>
      </c>
      <c r="B189" s="225" t="s">
        <v>907</v>
      </c>
      <c r="C189" s="100">
        <v>181272.71</v>
      </c>
      <c r="F189" s="69"/>
      <c r="M189" s="3"/>
    </row>
    <row r="190" spans="1:13">
      <c r="A190" s="225">
        <v>91821</v>
      </c>
      <c r="B190" s="225" t="s">
        <v>908</v>
      </c>
      <c r="C190" s="100">
        <v>85967.16</v>
      </c>
      <c r="F190" s="69"/>
      <c r="M190" s="3"/>
    </row>
    <row r="191" spans="1:13">
      <c r="A191" s="225">
        <v>91831</v>
      </c>
      <c r="B191" s="225" t="s">
        <v>909</v>
      </c>
      <c r="C191" s="100">
        <v>195579.38</v>
      </c>
      <c r="F191" s="69"/>
      <c r="M191" s="3"/>
    </row>
    <row r="192" spans="1:13">
      <c r="A192" s="225">
        <v>91841</v>
      </c>
      <c r="B192" s="225" t="s">
        <v>910</v>
      </c>
      <c r="C192" s="100">
        <v>138048.41</v>
      </c>
      <c r="F192" s="69"/>
      <c r="M192" s="3"/>
    </row>
    <row r="193" spans="1:13">
      <c r="A193" s="225">
        <v>91851</v>
      </c>
      <c r="B193" s="225" t="s">
        <v>911</v>
      </c>
      <c r="C193" s="100">
        <v>379290.56</v>
      </c>
      <c r="F193" s="69"/>
      <c r="M193" s="3"/>
    </row>
    <row r="194" spans="1:13">
      <c r="A194" s="225">
        <v>91861</v>
      </c>
      <c r="B194" s="225" t="s">
        <v>912</v>
      </c>
      <c r="C194" s="100">
        <v>3719.82</v>
      </c>
      <c r="F194" s="69"/>
      <c r="M194" s="3"/>
    </row>
    <row r="195" spans="1:13">
      <c r="A195" s="225">
        <v>91871</v>
      </c>
      <c r="B195" s="225" t="s">
        <v>913</v>
      </c>
      <c r="C195" s="100">
        <v>683244.37</v>
      </c>
      <c r="F195" s="69"/>
      <c r="M195" s="3"/>
    </row>
    <row r="196" spans="1:13">
      <c r="A196" s="225">
        <v>91881</v>
      </c>
      <c r="B196" s="225" t="s">
        <v>914</v>
      </c>
      <c r="C196" s="100">
        <v>8550.19</v>
      </c>
      <c r="F196" s="69"/>
      <c r="M196" s="3"/>
    </row>
    <row r="197" spans="1:13">
      <c r="A197" s="225">
        <v>91901</v>
      </c>
      <c r="B197" s="225" t="s">
        <v>915</v>
      </c>
      <c r="C197" s="100">
        <v>1892443.88</v>
      </c>
      <c r="F197" s="69"/>
      <c r="M197" s="3"/>
    </row>
    <row r="198" spans="1:13">
      <c r="A198" s="225">
        <v>91903</v>
      </c>
      <c r="B198" s="225" t="s">
        <v>916</v>
      </c>
      <c r="C198" s="100">
        <v>6755.16</v>
      </c>
      <c r="F198" s="69"/>
      <c r="M198" s="3"/>
    </row>
    <row r="199" spans="1:13">
      <c r="A199" s="225">
        <v>91904</v>
      </c>
      <c r="B199" s="225" t="s">
        <v>917</v>
      </c>
      <c r="C199" s="100">
        <v>20041.36</v>
      </c>
      <c r="F199" s="69"/>
      <c r="M199" s="3"/>
    </row>
    <row r="200" spans="1:13">
      <c r="A200" s="225">
        <v>91908</v>
      </c>
      <c r="B200" s="225" t="s">
        <v>918</v>
      </c>
      <c r="C200" s="100">
        <v>5525.64</v>
      </c>
      <c r="F200" s="69"/>
      <c r="M200" s="3"/>
    </row>
    <row r="201" spans="1:13">
      <c r="A201" s="225">
        <v>91911</v>
      </c>
      <c r="B201" s="225" t="s">
        <v>919</v>
      </c>
      <c r="C201" s="100">
        <v>238722.17</v>
      </c>
      <c r="F201" s="69"/>
      <c r="M201" s="3"/>
    </row>
    <row r="202" spans="1:13">
      <c r="A202" s="225">
        <v>91917</v>
      </c>
      <c r="B202" s="225" t="s">
        <v>920</v>
      </c>
      <c r="C202" s="100">
        <v>7857.52</v>
      </c>
      <c r="F202" s="69"/>
      <c r="M202" s="3"/>
    </row>
    <row r="203" spans="1:13">
      <c r="A203" s="225">
        <v>91921</v>
      </c>
      <c r="B203" s="225" t="s">
        <v>921</v>
      </c>
      <c r="C203" s="100">
        <v>190506.58</v>
      </c>
      <c r="F203" s="69"/>
      <c r="M203" s="3"/>
    </row>
    <row r="204" spans="1:13">
      <c r="A204" s="225">
        <v>92001</v>
      </c>
      <c r="B204" s="225" t="s">
        <v>922</v>
      </c>
      <c r="C204" s="100">
        <v>931122.95</v>
      </c>
      <c r="F204" s="69"/>
      <c r="M204" s="3"/>
    </row>
    <row r="205" spans="1:13">
      <c r="A205" s="225">
        <v>92005</v>
      </c>
      <c r="B205" s="225" t="s">
        <v>923</v>
      </c>
      <c r="C205" s="100">
        <v>23193.23</v>
      </c>
      <c r="F205" s="69"/>
      <c r="M205" s="3"/>
    </row>
    <row r="206" spans="1:13">
      <c r="A206" s="225">
        <v>92011</v>
      </c>
      <c r="B206" s="225" t="s">
        <v>924</v>
      </c>
      <c r="C206" s="100">
        <v>95059.520000000004</v>
      </c>
      <c r="F206" s="69"/>
      <c r="M206" s="3"/>
    </row>
    <row r="207" spans="1:13">
      <c r="A207" s="225">
        <v>92017</v>
      </c>
      <c r="B207" s="225" t="s">
        <v>925</v>
      </c>
      <c r="C207" s="100">
        <v>19823.349999999999</v>
      </c>
      <c r="F207" s="69"/>
      <c r="M207" s="3"/>
    </row>
    <row r="208" spans="1:13">
      <c r="A208" s="225">
        <v>92021</v>
      </c>
      <c r="B208" s="225" t="s">
        <v>926</v>
      </c>
      <c r="C208" s="100">
        <v>53295.42</v>
      </c>
      <c r="F208" s="69"/>
      <c r="M208" s="3"/>
    </row>
    <row r="209" spans="1:13">
      <c r="A209" s="225">
        <v>92101</v>
      </c>
      <c r="B209" s="225" t="s">
        <v>927</v>
      </c>
      <c r="C209" s="100">
        <v>404383.2</v>
      </c>
      <c r="F209" s="69"/>
      <c r="M209" s="3"/>
    </row>
    <row r="210" spans="1:13">
      <c r="A210" s="225">
        <v>92104</v>
      </c>
      <c r="B210" s="225" t="s">
        <v>928</v>
      </c>
      <c r="C210" s="100">
        <v>5700.74</v>
      </c>
      <c r="F210" s="69"/>
      <c r="M210" s="3"/>
    </row>
    <row r="211" spans="1:13">
      <c r="A211" s="225">
        <v>92109</v>
      </c>
      <c r="B211" s="225" t="s">
        <v>929</v>
      </c>
      <c r="C211" s="100">
        <v>87268.86</v>
      </c>
      <c r="F211" s="69"/>
      <c r="M211" s="3"/>
    </row>
    <row r="212" spans="1:13">
      <c r="A212" s="225">
        <v>92111</v>
      </c>
      <c r="B212" s="225" t="s">
        <v>930</v>
      </c>
      <c r="C212" s="100">
        <v>256369.32</v>
      </c>
      <c r="F212" s="69"/>
      <c r="M212" s="3"/>
    </row>
    <row r="213" spans="1:13">
      <c r="A213" s="225">
        <v>92113</v>
      </c>
      <c r="B213" s="225" t="s">
        <v>931</v>
      </c>
      <c r="C213" s="100">
        <v>13944.88</v>
      </c>
      <c r="F213" s="69"/>
      <c r="M213" s="3"/>
    </row>
    <row r="214" spans="1:13">
      <c r="A214" s="225">
        <v>92201</v>
      </c>
      <c r="B214" s="225" t="s">
        <v>932</v>
      </c>
      <c r="C214" s="100">
        <v>472315.86</v>
      </c>
      <c r="F214" s="69"/>
      <c r="M214" s="3"/>
    </row>
    <row r="215" spans="1:13">
      <c r="A215" s="225">
        <v>92214</v>
      </c>
      <c r="B215" s="225" t="s">
        <v>1931</v>
      </c>
      <c r="C215" s="100">
        <v>10286.44</v>
      </c>
      <c r="F215" s="69"/>
      <c r="M215" s="3"/>
    </row>
    <row r="216" spans="1:13">
      <c r="A216" s="225">
        <v>92301</v>
      </c>
      <c r="B216" s="225" t="s">
        <v>933</v>
      </c>
      <c r="C216" s="100">
        <v>2653029.66</v>
      </c>
      <c r="F216" s="69"/>
      <c r="M216" s="3"/>
    </row>
    <row r="217" spans="1:13">
      <c r="A217" s="225">
        <v>92302</v>
      </c>
      <c r="B217" s="225" t="s">
        <v>934</v>
      </c>
      <c r="C217" s="100">
        <v>151867.91</v>
      </c>
      <c r="F217" s="69"/>
      <c r="M217" s="3"/>
    </row>
    <row r="218" spans="1:13">
      <c r="A218" s="225">
        <v>92311</v>
      </c>
      <c r="B218" s="225" t="s">
        <v>935</v>
      </c>
      <c r="C218" s="100">
        <v>1165521.82</v>
      </c>
      <c r="F218" s="69"/>
      <c r="M218" s="3"/>
    </row>
    <row r="219" spans="1:13">
      <c r="A219" s="225">
        <v>92317</v>
      </c>
      <c r="B219" s="225" t="s">
        <v>936</v>
      </c>
      <c r="C219" s="100">
        <v>24439.37</v>
      </c>
      <c r="F219" s="69"/>
      <c r="M219" s="3"/>
    </row>
    <row r="220" spans="1:13">
      <c r="A220" s="225">
        <v>92321</v>
      </c>
      <c r="B220" s="225" t="s">
        <v>937</v>
      </c>
      <c r="C220" s="100">
        <v>656427.5</v>
      </c>
      <c r="F220" s="69"/>
      <c r="M220" s="3"/>
    </row>
    <row r="221" spans="1:13">
      <c r="A221" s="225">
        <v>92327</v>
      </c>
      <c r="B221" s="225" t="s">
        <v>938</v>
      </c>
      <c r="C221" s="100">
        <v>7418.43</v>
      </c>
      <c r="F221" s="69"/>
      <c r="M221" s="3"/>
    </row>
    <row r="222" spans="1:13">
      <c r="A222" s="225">
        <v>92331</v>
      </c>
      <c r="B222" s="225" t="s">
        <v>939</v>
      </c>
      <c r="C222" s="100">
        <v>76059.83</v>
      </c>
      <c r="F222" s="69"/>
      <c r="M222" s="3"/>
    </row>
    <row r="223" spans="1:13">
      <c r="A223" s="225">
        <v>92341</v>
      </c>
      <c r="B223" s="225" t="s">
        <v>940</v>
      </c>
      <c r="C223" s="100">
        <v>3394.65</v>
      </c>
      <c r="F223" s="69"/>
      <c r="M223" s="3"/>
    </row>
    <row r="224" spans="1:13">
      <c r="A224" s="225">
        <v>92351</v>
      </c>
      <c r="B224" s="225" t="s">
        <v>941</v>
      </c>
      <c r="C224" s="100">
        <v>10362.44</v>
      </c>
      <c r="F224" s="69"/>
      <c r="M224" s="3"/>
    </row>
    <row r="225" spans="1:13">
      <c r="A225" s="225">
        <v>92401</v>
      </c>
      <c r="B225" s="225" t="s">
        <v>942</v>
      </c>
      <c r="C225" s="100">
        <v>1500671.12</v>
      </c>
      <c r="F225" s="69"/>
      <c r="M225" s="3"/>
    </row>
    <row r="226" spans="1:13">
      <c r="A226" s="225">
        <v>92403</v>
      </c>
      <c r="B226" s="225" t="s">
        <v>943</v>
      </c>
      <c r="C226" s="100">
        <v>6780.76</v>
      </c>
      <c r="F226" s="69"/>
      <c r="M226" s="3"/>
    </row>
    <row r="227" spans="1:13">
      <c r="A227" s="225">
        <v>92411</v>
      </c>
      <c r="B227" s="225" t="s">
        <v>944</v>
      </c>
      <c r="C227" s="100">
        <v>239607.87</v>
      </c>
      <c r="F227" s="69"/>
      <c r="M227" s="3"/>
    </row>
    <row r="228" spans="1:13">
      <c r="A228" s="225">
        <v>92417</v>
      </c>
      <c r="B228" s="225" t="s">
        <v>945</v>
      </c>
      <c r="C228" s="100">
        <v>6047.18</v>
      </c>
      <c r="F228" s="69"/>
      <c r="M228" s="3"/>
    </row>
    <row r="229" spans="1:13">
      <c r="A229" s="225">
        <v>92421</v>
      </c>
      <c r="B229" s="225" t="s">
        <v>946</v>
      </c>
      <c r="C229" s="100">
        <v>8159.51</v>
      </c>
      <c r="F229" s="69"/>
      <c r="M229" s="3"/>
    </row>
    <row r="230" spans="1:13">
      <c r="A230" s="225">
        <v>92427</v>
      </c>
      <c r="B230" s="225" t="s">
        <v>947</v>
      </c>
      <c r="C230" s="100">
        <v>1795.8</v>
      </c>
      <c r="F230" s="69"/>
      <c r="M230" s="3"/>
    </row>
    <row r="231" spans="1:13">
      <c r="A231" s="225">
        <v>92431</v>
      </c>
      <c r="B231" s="225" t="s">
        <v>948</v>
      </c>
      <c r="C231" s="100">
        <v>18033.13</v>
      </c>
      <c r="F231" s="69"/>
      <c r="M231" s="3"/>
    </row>
    <row r="232" spans="1:13">
      <c r="A232" s="225">
        <v>92441</v>
      </c>
      <c r="B232" s="225" t="s">
        <v>949</v>
      </c>
      <c r="C232" s="100">
        <v>44251.38</v>
      </c>
      <c r="F232" s="69"/>
      <c r="M232" s="3"/>
    </row>
    <row r="233" spans="1:13">
      <c r="A233" s="225">
        <v>92444</v>
      </c>
      <c r="B233" s="225" t="s">
        <v>950</v>
      </c>
      <c r="C233" s="100">
        <v>4223.66</v>
      </c>
      <c r="F233" s="69"/>
      <c r="M233" s="3"/>
    </row>
    <row r="234" spans="1:13">
      <c r="A234" s="225">
        <v>92451</v>
      </c>
      <c r="B234" s="225" t="s">
        <v>951</v>
      </c>
      <c r="C234" s="100">
        <v>84987.63</v>
      </c>
      <c r="F234" s="69"/>
      <c r="M234" s="3"/>
    </row>
    <row r="235" spans="1:13">
      <c r="A235" s="225">
        <v>92461</v>
      </c>
      <c r="B235" s="225" t="s">
        <v>952</v>
      </c>
      <c r="C235" s="100">
        <v>42433.85</v>
      </c>
      <c r="F235" s="69"/>
      <c r="M235" s="3"/>
    </row>
    <row r="236" spans="1:13">
      <c r="A236" s="225">
        <v>92501</v>
      </c>
      <c r="B236" s="225" t="s">
        <v>953</v>
      </c>
      <c r="C236" s="100">
        <v>2146475.44</v>
      </c>
      <c r="F236" s="69"/>
      <c r="M236" s="3"/>
    </row>
    <row r="237" spans="1:13">
      <c r="A237" s="225">
        <v>92502</v>
      </c>
      <c r="B237" s="225" t="s">
        <v>954</v>
      </c>
      <c r="C237" s="100">
        <v>16386.57</v>
      </c>
      <c r="F237" s="69"/>
      <c r="M237" s="3"/>
    </row>
    <row r="238" spans="1:13">
      <c r="A238" s="225">
        <v>92504</v>
      </c>
      <c r="B238" s="225" t="s">
        <v>955</v>
      </c>
      <c r="C238" s="100">
        <v>55299.13</v>
      </c>
      <c r="F238" s="69"/>
      <c r="M238" s="3"/>
    </row>
    <row r="239" spans="1:13">
      <c r="A239" s="225">
        <v>92505</v>
      </c>
      <c r="B239" s="225" t="s">
        <v>956</v>
      </c>
      <c r="C239" s="100">
        <v>135467.60999999999</v>
      </c>
      <c r="F239" s="69"/>
      <c r="M239" s="3"/>
    </row>
    <row r="240" spans="1:13">
      <c r="A240" s="225">
        <v>92506</v>
      </c>
      <c r="B240" s="225" t="s">
        <v>957</v>
      </c>
      <c r="C240" s="100">
        <v>33883.61</v>
      </c>
      <c r="F240" s="69"/>
      <c r="M240" s="3"/>
    </row>
    <row r="241" spans="1:13">
      <c r="A241" s="225">
        <v>92507</v>
      </c>
      <c r="B241" s="225" t="s">
        <v>958</v>
      </c>
      <c r="C241" s="100">
        <v>46922.79</v>
      </c>
      <c r="F241" s="69"/>
      <c r="M241" s="3"/>
    </row>
    <row r="242" spans="1:13">
      <c r="A242" s="225">
        <v>92508</v>
      </c>
      <c r="B242" s="225" t="s">
        <v>959</v>
      </c>
      <c r="C242" s="100">
        <v>198359.12</v>
      </c>
      <c r="F242" s="69"/>
      <c r="M242" s="3"/>
    </row>
    <row r="243" spans="1:13">
      <c r="A243" s="225">
        <v>92511</v>
      </c>
      <c r="B243" s="225" t="s">
        <v>960</v>
      </c>
      <c r="C243" s="100">
        <v>1842811.88</v>
      </c>
      <c r="F243" s="69"/>
      <c r="M243" s="3"/>
    </row>
    <row r="244" spans="1:13">
      <c r="A244" s="225">
        <v>92513</v>
      </c>
      <c r="B244" s="225" t="s">
        <v>961</v>
      </c>
      <c r="C244" s="100">
        <v>1930138.27</v>
      </c>
      <c r="F244" s="69"/>
      <c r="M244" s="3"/>
    </row>
    <row r="245" spans="1:13">
      <c r="A245" s="225">
        <v>92521</v>
      </c>
      <c r="B245" s="225" t="s">
        <v>962</v>
      </c>
      <c r="C245" s="100">
        <v>42170.84</v>
      </c>
      <c r="F245" s="69"/>
      <c r="M245" s="3"/>
    </row>
    <row r="246" spans="1:13">
      <c r="A246" s="225">
        <v>92531</v>
      </c>
      <c r="B246" s="225" t="s">
        <v>963</v>
      </c>
      <c r="C246" s="100">
        <v>406480.1</v>
      </c>
      <c r="F246" s="69"/>
      <c r="M246" s="3"/>
    </row>
    <row r="247" spans="1:13">
      <c r="A247" s="225">
        <v>92541</v>
      </c>
      <c r="B247" s="225" t="s">
        <v>964</v>
      </c>
      <c r="C247" s="100">
        <v>72187.839999999997</v>
      </c>
      <c r="F247" s="69"/>
      <c r="M247" s="3"/>
    </row>
    <row r="248" spans="1:13">
      <c r="A248" s="225">
        <v>92551</v>
      </c>
      <c r="B248" s="225" t="s">
        <v>965</v>
      </c>
      <c r="C248" s="100">
        <v>24611.03</v>
      </c>
      <c r="F248" s="69"/>
      <c r="M248" s="3"/>
    </row>
    <row r="249" spans="1:13">
      <c r="A249" s="225">
        <v>92561</v>
      </c>
      <c r="B249" s="225" t="s">
        <v>966</v>
      </c>
      <c r="C249" s="100">
        <v>10163.27</v>
      </c>
      <c r="F249" s="69"/>
      <c r="M249" s="3"/>
    </row>
    <row r="250" spans="1:13">
      <c r="A250" s="225">
        <v>92571</v>
      </c>
      <c r="B250" s="225" t="s">
        <v>967</v>
      </c>
      <c r="C250" s="100">
        <v>4473.1099999999997</v>
      </c>
      <c r="F250" s="69"/>
      <c r="M250" s="3"/>
    </row>
    <row r="251" spans="1:13">
      <c r="A251" s="225">
        <v>92601</v>
      </c>
      <c r="B251" s="225" t="s">
        <v>968</v>
      </c>
      <c r="C251" s="100">
        <v>7178367.8200000003</v>
      </c>
      <c r="F251" s="69"/>
      <c r="M251" s="3"/>
    </row>
    <row r="252" spans="1:13">
      <c r="A252" s="225">
        <v>92602</v>
      </c>
      <c r="B252" s="225" t="s">
        <v>969</v>
      </c>
      <c r="C252" s="100">
        <v>1757.57</v>
      </c>
      <c r="F252" s="69"/>
      <c r="M252" s="3"/>
    </row>
    <row r="253" spans="1:13">
      <c r="A253" s="225">
        <v>92604</v>
      </c>
      <c r="B253" s="225" t="s">
        <v>970</v>
      </c>
      <c r="C253" s="100">
        <v>214142.14</v>
      </c>
      <c r="F253" s="69"/>
      <c r="M253" s="3"/>
    </row>
    <row r="254" spans="1:13">
      <c r="A254" s="225">
        <v>92607</v>
      </c>
      <c r="B254" s="225" t="s">
        <v>971</v>
      </c>
      <c r="C254" s="100">
        <v>34326.629999999997</v>
      </c>
      <c r="F254" s="69"/>
      <c r="M254" s="3"/>
    </row>
    <row r="255" spans="1:13">
      <c r="A255" s="225">
        <v>92611</v>
      </c>
      <c r="B255" s="225" t="s">
        <v>973</v>
      </c>
      <c r="C255" s="100">
        <v>6167512.8799999999</v>
      </c>
      <c r="F255" s="69"/>
      <c r="M255" s="3"/>
    </row>
    <row r="256" spans="1:13">
      <c r="A256" s="225">
        <v>92613</v>
      </c>
      <c r="B256" s="225" t="s">
        <v>974</v>
      </c>
      <c r="C256" s="100">
        <v>136275.84</v>
      </c>
      <c r="F256" s="69"/>
      <c r="M256" s="3"/>
    </row>
    <row r="257" spans="1:13">
      <c r="A257" s="225">
        <v>92614</v>
      </c>
      <c r="B257" s="225" t="s">
        <v>975</v>
      </c>
      <c r="C257" s="100">
        <v>5457746.2199999997</v>
      </c>
      <c r="F257" s="69"/>
      <c r="M257" s="3"/>
    </row>
    <row r="258" spans="1:13">
      <c r="A258" s="225">
        <v>92621</v>
      </c>
      <c r="B258" s="225" t="s">
        <v>976</v>
      </c>
      <c r="C258" s="100">
        <v>14902.76</v>
      </c>
      <c r="F258" s="69"/>
      <c r="M258" s="3"/>
    </row>
    <row r="259" spans="1:13">
      <c r="A259" s="225">
        <v>92631</v>
      </c>
      <c r="B259" s="225" t="s">
        <v>977</v>
      </c>
      <c r="C259" s="100">
        <v>454395</v>
      </c>
      <c r="F259" s="69"/>
      <c r="M259" s="3"/>
    </row>
    <row r="260" spans="1:13">
      <c r="A260" s="225">
        <v>92641</v>
      </c>
      <c r="B260" s="225" t="s">
        <v>978</v>
      </c>
      <c r="C260" s="100">
        <v>8058.08</v>
      </c>
      <c r="F260" s="69"/>
      <c r="M260" s="3"/>
    </row>
    <row r="261" spans="1:13">
      <c r="A261" s="225">
        <v>92651</v>
      </c>
      <c r="B261" s="225" t="s">
        <v>979</v>
      </c>
      <c r="C261" s="100">
        <v>2707.48</v>
      </c>
      <c r="F261" s="69"/>
      <c r="M261" s="3"/>
    </row>
    <row r="262" spans="1:13">
      <c r="A262" s="225">
        <v>92661</v>
      </c>
      <c r="B262" s="225" t="s">
        <v>980</v>
      </c>
      <c r="C262" s="100">
        <v>570542.14</v>
      </c>
      <c r="F262" s="69"/>
      <c r="M262" s="3"/>
    </row>
    <row r="263" spans="1:13">
      <c r="A263" s="225">
        <v>92671</v>
      </c>
      <c r="B263" s="225" t="s">
        <v>981</v>
      </c>
      <c r="C263" s="100">
        <v>5567.28</v>
      </c>
      <c r="F263" s="69"/>
      <c r="M263" s="3"/>
    </row>
    <row r="264" spans="1:13">
      <c r="A264" s="225">
        <v>92681</v>
      </c>
      <c r="B264" s="225" t="s">
        <v>982</v>
      </c>
      <c r="C264" s="100">
        <v>9049.08</v>
      </c>
      <c r="F264" s="69"/>
      <c r="M264" s="3"/>
    </row>
    <row r="265" spans="1:13">
      <c r="A265" s="225">
        <v>92701</v>
      </c>
      <c r="B265" s="225" t="s">
        <v>983</v>
      </c>
      <c r="C265" s="100">
        <v>1554456.54</v>
      </c>
      <c r="F265" s="69"/>
      <c r="M265" s="3"/>
    </row>
    <row r="266" spans="1:13">
      <c r="A266" s="225">
        <v>92704</v>
      </c>
      <c r="B266" s="225" t="s">
        <v>984</v>
      </c>
      <c r="C266" s="100">
        <v>20231.41</v>
      </c>
      <c r="F266" s="69"/>
      <c r="M266" s="3"/>
    </row>
    <row r="267" spans="1:13">
      <c r="A267" s="225">
        <v>92801</v>
      </c>
      <c r="B267" s="225" t="s">
        <v>985</v>
      </c>
      <c r="C267" s="100">
        <v>2947668.95</v>
      </c>
      <c r="F267" s="69"/>
      <c r="M267" s="3"/>
    </row>
    <row r="268" spans="1:13">
      <c r="A268" s="225">
        <v>92802</v>
      </c>
      <c r="B268" s="225" t="s">
        <v>986</v>
      </c>
      <c r="C268" s="100">
        <v>59756.03</v>
      </c>
      <c r="F268" s="69"/>
      <c r="M268" s="3"/>
    </row>
    <row r="269" spans="1:13">
      <c r="A269" s="225">
        <v>92804</v>
      </c>
      <c r="B269" s="225" t="s">
        <v>987</v>
      </c>
      <c r="C269" s="100">
        <v>70943.360000000001</v>
      </c>
      <c r="F269" s="69"/>
      <c r="M269" s="3"/>
    </row>
    <row r="270" spans="1:13">
      <c r="A270" s="225">
        <v>92811</v>
      </c>
      <c r="B270" s="225" t="s">
        <v>988</v>
      </c>
      <c r="C270" s="100">
        <v>502097.06</v>
      </c>
      <c r="F270" s="69"/>
      <c r="M270" s="3"/>
    </row>
    <row r="271" spans="1:13">
      <c r="A271" s="225">
        <v>92821</v>
      </c>
      <c r="B271" s="225" t="s">
        <v>989</v>
      </c>
      <c r="C271" s="100">
        <v>542419.52</v>
      </c>
      <c r="F271" s="69"/>
      <c r="M271" s="3"/>
    </row>
    <row r="272" spans="1:13">
      <c r="A272" s="225">
        <v>92831</v>
      </c>
      <c r="B272" s="225" t="s">
        <v>990</v>
      </c>
      <c r="C272" s="100">
        <v>146906.98000000001</v>
      </c>
      <c r="F272" s="69"/>
      <c r="M272" s="3"/>
    </row>
    <row r="273" spans="1:13">
      <c r="A273" s="225">
        <v>92841</v>
      </c>
      <c r="B273" s="225" t="s">
        <v>991</v>
      </c>
      <c r="C273" s="100">
        <v>134012.69</v>
      </c>
      <c r="F273" s="69"/>
      <c r="M273" s="3"/>
    </row>
    <row r="274" spans="1:13">
      <c r="A274" s="225">
        <v>92851</v>
      </c>
      <c r="B274" s="225" t="s">
        <v>992</v>
      </c>
      <c r="C274" s="100">
        <v>201341.28</v>
      </c>
      <c r="F274" s="69"/>
      <c r="M274" s="3"/>
    </row>
    <row r="275" spans="1:13">
      <c r="A275" s="225">
        <v>92861</v>
      </c>
      <c r="B275" s="225" t="s">
        <v>993</v>
      </c>
      <c r="C275" s="100">
        <v>163355.29999999999</v>
      </c>
      <c r="F275" s="69"/>
      <c r="M275" s="3"/>
    </row>
    <row r="276" spans="1:13">
      <c r="A276" s="225">
        <v>92901</v>
      </c>
      <c r="B276" s="225" t="s">
        <v>994</v>
      </c>
      <c r="C276" s="100">
        <v>2911769.34</v>
      </c>
      <c r="F276" s="69"/>
      <c r="M276" s="3"/>
    </row>
    <row r="277" spans="1:13">
      <c r="A277" s="225">
        <v>92911</v>
      </c>
      <c r="B277" s="225" t="s">
        <v>995</v>
      </c>
      <c r="C277" s="100">
        <v>1069188.3799999999</v>
      </c>
      <c r="F277" s="69"/>
      <c r="M277" s="3"/>
    </row>
    <row r="278" spans="1:13">
      <c r="A278" s="225">
        <v>92913</v>
      </c>
      <c r="B278" s="225" t="s">
        <v>996</v>
      </c>
      <c r="C278" s="100">
        <v>64321.72</v>
      </c>
      <c r="F278" s="69"/>
      <c r="M278" s="3"/>
    </row>
    <row r="279" spans="1:13">
      <c r="A279" s="225">
        <v>92914</v>
      </c>
      <c r="B279" s="225" t="s">
        <v>997</v>
      </c>
      <c r="C279" s="100">
        <v>14864.82</v>
      </c>
      <c r="F279" s="69"/>
      <c r="M279" s="3"/>
    </row>
    <row r="280" spans="1:13">
      <c r="A280" s="225">
        <v>92917</v>
      </c>
      <c r="B280" s="225" t="s">
        <v>998</v>
      </c>
      <c r="C280" s="100">
        <v>15957.8</v>
      </c>
      <c r="F280" s="69"/>
      <c r="M280" s="3"/>
    </row>
    <row r="281" spans="1:13">
      <c r="A281" s="225">
        <v>92921</v>
      </c>
      <c r="B281" s="225" t="s">
        <v>999</v>
      </c>
      <c r="C281" s="100">
        <v>58694.86</v>
      </c>
      <c r="F281" s="69"/>
      <c r="M281" s="3"/>
    </row>
    <row r="282" spans="1:13">
      <c r="A282" s="225">
        <v>92931</v>
      </c>
      <c r="B282" s="225" t="s">
        <v>1000</v>
      </c>
      <c r="C282" s="100">
        <v>1173063.23</v>
      </c>
      <c r="F282" s="69"/>
      <c r="M282" s="3"/>
    </row>
    <row r="283" spans="1:13">
      <c r="A283" s="225">
        <v>92941</v>
      </c>
      <c r="B283" s="225" t="s">
        <v>81</v>
      </c>
      <c r="C283" s="100">
        <v>3668.61</v>
      </c>
      <c r="F283" s="69"/>
      <c r="M283" s="3"/>
    </row>
    <row r="284" spans="1:13">
      <c r="A284" s="225">
        <v>93001</v>
      </c>
      <c r="B284" s="225" t="s">
        <v>1001</v>
      </c>
      <c r="C284" s="100">
        <v>1157133.98</v>
      </c>
      <c r="F284" s="69"/>
      <c r="M284" s="3"/>
    </row>
    <row r="285" spans="1:13">
      <c r="A285" s="225">
        <v>93009</v>
      </c>
      <c r="B285" s="225" t="s">
        <v>1002</v>
      </c>
      <c r="C285" s="100">
        <v>5485.76</v>
      </c>
      <c r="F285" s="69"/>
      <c r="M285" s="3"/>
    </row>
    <row r="286" spans="1:13">
      <c r="A286" s="225">
        <v>93011</v>
      </c>
      <c r="B286" s="225" t="s">
        <v>1003</v>
      </c>
      <c r="C286" s="100">
        <v>161395.35</v>
      </c>
      <c r="F286" s="69"/>
      <c r="M286" s="3"/>
    </row>
    <row r="287" spans="1:13">
      <c r="A287" s="225">
        <v>93021</v>
      </c>
      <c r="B287" s="225" t="s">
        <v>1004</v>
      </c>
      <c r="C287" s="100">
        <v>14982.44</v>
      </c>
      <c r="F287" s="69"/>
      <c r="M287" s="3"/>
    </row>
    <row r="288" spans="1:13">
      <c r="A288" s="225">
        <v>93027</v>
      </c>
      <c r="B288" s="306" t="s">
        <v>3615</v>
      </c>
      <c r="C288" s="100">
        <v>4619.82</v>
      </c>
      <c r="D288" s="225" t="s">
        <v>3618</v>
      </c>
      <c r="F288" s="69"/>
      <c r="M288" s="3"/>
    </row>
    <row r="289" spans="1:13">
      <c r="A289" s="225">
        <v>93031</v>
      </c>
      <c r="B289" s="225" t="s">
        <v>1006</v>
      </c>
      <c r="C289" s="100">
        <v>10966.06</v>
      </c>
      <c r="F289" s="69"/>
      <c r="M289" s="3"/>
    </row>
    <row r="290" spans="1:13">
      <c r="A290" s="225">
        <v>93101</v>
      </c>
      <c r="B290" s="225" t="s">
        <v>1007</v>
      </c>
      <c r="C290" s="100">
        <v>1606115.76</v>
      </c>
      <c r="F290" s="69"/>
      <c r="M290" s="3"/>
    </row>
    <row r="291" spans="1:13">
      <c r="A291" s="225">
        <v>93103</v>
      </c>
      <c r="B291" s="225" t="s">
        <v>260</v>
      </c>
      <c r="C291" s="100">
        <v>6272.57</v>
      </c>
      <c r="F291" s="69"/>
      <c r="M291" s="3"/>
    </row>
    <row r="292" spans="1:13">
      <c r="A292" s="225">
        <v>93108</v>
      </c>
      <c r="B292" s="225" t="s">
        <v>1008</v>
      </c>
      <c r="C292" s="100">
        <v>1216604.81</v>
      </c>
      <c r="F292" s="69"/>
      <c r="M292" s="3"/>
    </row>
    <row r="293" spans="1:13">
      <c r="A293" s="225">
        <v>93111</v>
      </c>
      <c r="B293" s="225" t="s">
        <v>1009</v>
      </c>
      <c r="C293" s="100">
        <v>29490.03</v>
      </c>
      <c r="F293" s="69"/>
      <c r="M293" s="3"/>
    </row>
    <row r="294" spans="1:13">
      <c r="A294" s="225">
        <v>93121</v>
      </c>
      <c r="B294" s="225" t="s">
        <v>1010</v>
      </c>
      <c r="C294" s="100">
        <v>34376.699999999997</v>
      </c>
      <c r="F294" s="69"/>
      <c r="M294" s="3"/>
    </row>
    <row r="295" spans="1:13">
      <c r="A295" s="225">
        <v>93127</v>
      </c>
      <c r="B295" s="225" t="s">
        <v>1011</v>
      </c>
      <c r="C295" s="100">
        <v>3063.77</v>
      </c>
      <c r="F295" s="69"/>
      <c r="M295" s="3"/>
    </row>
    <row r="296" spans="1:13">
      <c r="A296" s="225">
        <v>93131</v>
      </c>
      <c r="B296" s="225" t="s">
        <v>1012</v>
      </c>
      <c r="C296" s="100">
        <v>99350.17</v>
      </c>
      <c r="F296" s="69"/>
      <c r="M296" s="3"/>
    </row>
    <row r="297" spans="1:13">
      <c r="A297" s="225">
        <v>93137</v>
      </c>
      <c r="B297" s="225" t="s">
        <v>1013</v>
      </c>
      <c r="C297" s="100">
        <v>3215.07</v>
      </c>
      <c r="F297" s="69"/>
      <c r="M297" s="3"/>
    </row>
    <row r="298" spans="1:13">
      <c r="A298" s="225">
        <v>93141</v>
      </c>
      <c r="B298" s="225" t="s">
        <v>1014</v>
      </c>
      <c r="C298" s="100">
        <v>18666</v>
      </c>
      <c r="F298" s="69"/>
      <c r="M298" s="3"/>
    </row>
    <row r="299" spans="1:13">
      <c r="A299" s="225">
        <v>93151</v>
      </c>
      <c r="B299" s="225" t="s">
        <v>1015</v>
      </c>
      <c r="C299" s="100">
        <v>168668.45</v>
      </c>
      <c r="F299" s="69"/>
      <c r="M299" s="3"/>
    </row>
    <row r="300" spans="1:13">
      <c r="A300" s="225">
        <v>93157</v>
      </c>
      <c r="B300" s="225" t="s">
        <v>1016</v>
      </c>
      <c r="C300" s="100">
        <v>6856.04</v>
      </c>
      <c r="F300" s="69"/>
      <c r="M300" s="3"/>
    </row>
    <row r="301" spans="1:13">
      <c r="A301" s="225">
        <v>93161</v>
      </c>
      <c r="B301" s="225" t="s">
        <v>1017</v>
      </c>
      <c r="C301" s="100">
        <v>57378.37</v>
      </c>
      <c r="F301" s="69"/>
      <c r="M301" s="3"/>
    </row>
    <row r="302" spans="1:13">
      <c r="A302" s="225">
        <v>93171</v>
      </c>
      <c r="B302" s="225" t="s">
        <v>1018</v>
      </c>
      <c r="C302" s="100">
        <v>5049.51</v>
      </c>
      <c r="F302" s="69"/>
      <c r="M302" s="3"/>
    </row>
    <row r="303" spans="1:13">
      <c r="A303" s="225">
        <v>93181</v>
      </c>
      <c r="B303" s="225" t="s">
        <v>1019</v>
      </c>
      <c r="C303" s="100">
        <v>6285.27</v>
      </c>
      <c r="F303" s="69"/>
      <c r="M303" s="3"/>
    </row>
    <row r="304" spans="1:13">
      <c r="A304" s="225">
        <v>93191</v>
      </c>
      <c r="B304" s="225" t="s">
        <v>1020</v>
      </c>
      <c r="C304" s="100">
        <v>17982.41</v>
      </c>
      <c r="F304" s="69"/>
      <c r="M304" s="3"/>
    </row>
    <row r="305" spans="1:13">
      <c r="A305" s="225">
        <v>93201</v>
      </c>
      <c r="B305" s="225" t="s">
        <v>1021</v>
      </c>
      <c r="C305" s="100">
        <v>8195205.0199999996</v>
      </c>
      <c r="F305" s="69"/>
      <c r="M305" s="3"/>
    </row>
    <row r="306" spans="1:13">
      <c r="A306" s="225">
        <v>93204</v>
      </c>
      <c r="B306" s="225" t="s">
        <v>1023</v>
      </c>
      <c r="C306" s="100">
        <v>178972.2</v>
      </c>
      <c r="F306" s="69"/>
      <c r="M306" s="3"/>
    </row>
    <row r="307" spans="1:13">
      <c r="A307" s="225">
        <v>93209</v>
      </c>
      <c r="B307" s="225" t="s">
        <v>1024</v>
      </c>
      <c r="C307" s="100">
        <v>2614374.9900000002</v>
      </c>
      <c r="F307" s="69"/>
      <c r="M307" s="3"/>
    </row>
    <row r="308" spans="1:13">
      <c r="A308" s="225">
        <v>93211</v>
      </c>
      <c r="B308" s="225" t="s">
        <v>1025</v>
      </c>
      <c r="C308" s="100">
        <v>11446327.32</v>
      </c>
      <c r="F308" s="69"/>
      <c r="M308" s="3"/>
    </row>
    <row r="309" spans="1:13">
      <c r="A309" s="225">
        <v>93212</v>
      </c>
      <c r="B309" s="225" t="s">
        <v>1026</v>
      </c>
      <c r="C309" s="100">
        <v>239714.07</v>
      </c>
      <c r="F309" s="69"/>
      <c r="M309" s="3"/>
    </row>
    <row r="310" spans="1:13">
      <c r="A310" s="225">
        <v>93219</v>
      </c>
      <c r="B310" s="225" t="s">
        <v>1027</v>
      </c>
      <c r="C310" s="100">
        <v>148151.73000000001</v>
      </c>
      <c r="F310" s="69"/>
      <c r="M310" s="3"/>
    </row>
    <row r="311" spans="1:13">
      <c r="A311" s="225">
        <v>93301</v>
      </c>
      <c r="B311" s="225" t="s">
        <v>1028</v>
      </c>
      <c r="C311" s="100">
        <v>1217879.82</v>
      </c>
      <c r="F311" s="69"/>
      <c r="M311" s="3"/>
    </row>
    <row r="312" spans="1:13">
      <c r="A312" s="225">
        <v>93304</v>
      </c>
      <c r="B312" s="225" t="s">
        <v>1029</v>
      </c>
      <c r="C312" s="100">
        <v>23575.84</v>
      </c>
      <c r="F312" s="69"/>
      <c r="M312" s="3"/>
    </row>
    <row r="313" spans="1:13">
      <c r="A313" s="225">
        <v>93305</v>
      </c>
      <c r="B313" s="225" t="s">
        <v>1030</v>
      </c>
      <c r="C313" s="100">
        <v>21160.73</v>
      </c>
      <c r="F313" s="69"/>
      <c r="M313" s="3"/>
    </row>
    <row r="314" spans="1:13">
      <c r="A314" s="225">
        <v>93309</v>
      </c>
      <c r="B314" s="225" t="s">
        <v>1031</v>
      </c>
      <c r="C314" s="100">
        <v>102326.45</v>
      </c>
      <c r="F314" s="69"/>
      <c r="M314" s="3"/>
    </row>
    <row r="315" spans="1:13">
      <c r="A315" s="225">
        <v>93311</v>
      </c>
      <c r="B315" s="225" t="s">
        <v>1032</v>
      </c>
      <c r="C315" s="100">
        <v>587024.14</v>
      </c>
      <c r="F315" s="69"/>
      <c r="M315" s="3"/>
    </row>
    <row r="316" spans="1:13">
      <c r="A316" s="225">
        <v>93317</v>
      </c>
      <c r="B316" s="225" t="s">
        <v>1033</v>
      </c>
      <c r="C316" s="100">
        <v>24153.43</v>
      </c>
      <c r="F316" s="69"/>
      <c r="M316" s="3"/>
    </row>
    <row r="317" spans="1:13">
      <c r="A317" s="225">
        <v>93321</v>
      </c>
      <c r="B317" s="225" t="s">
        <v>1034</v>
      </c>
      <c r="C317" s="100">
        <v>3551024.55</v>
      </c>
      <c r="F317" s="69"/>
      <c r="M317" s="3"/>
    </row>
    <row r="318" spans="1:13">
      <c r="A318" s="225">
        <v>93323</v>
      </c>
      <c r="B318" s="225" t="s">
        <v>1035</v>
      </c>
      <c r="C318" s="100">
        <v>8939.7000000000007</v>
      </c>
      <c r="F318" s="69"/>
      <c r="M318" s="3"/>
    </row>
    <row r="319" spans="1:13">
      <c r="A319" s="225">
        <v>93331</v>
      </c>
      <c r="B319" s="225" t="s">
        <v>1036</v>
      </c>
      <c r="C319" s="100">
        <v>59492.94</v>
      </c>
      <c r="F319" s="69"/>
      <c r="M319" s="3"/>
    </row>
    <row r="320" spans="1:13">
      <c r="A320" s="225">
        <v>93333</v>
      </c>
      <c r="B320" s="225" t="s">
        <v>1037</v>
      </c>
      <c r="C320" s="100">
        <v>128244.78</v>
      </c>
      <c r="F320" s="69"/>
      <c r="M320" s="3"/>
    </row>
    <row r="321" spans="1:13">
      <c r="A321" s="225">
        <v>93341</v>
      </c>
      <c r="B321" s="225" t="s">
        <v>1038</v>
      </c>
      <c r="C321" s="100">
        <v>16069</v>
      </c>
      <c r="F321" s="69"/>
      <c r="M321" s="3"/>
    </row>
    <row r="322" spans="1:13">
      <c r="A322" s="225">
        <v>93351</v>
      </c>
      <c r="B322" s="225" t="s">
        <v>1039</v>
      </c>
      <c r="C322" s="100">
        <v>9853.19</v>
      </c>
      <c r="F322" s="69"/>
      <c r="M322" s="3"/>
    </row>
    <row r="323" spans="1:13">
      <c r="A323" s="225">
        <v>93401</v>
      </c>
      <c r="B323" s="225" t="s">
        <v>1040</v>
      </c>
      <c r="C323" s="100">
        <v>7243217.04</v>
      </c>
      <c r="F323" s="69"/>
      <c r="M323" s="3"/>
    </row>
    <row r="324" spans="1:13">
      <c r="A324" s="225">
        <v>93402</v>
      </c>
      <c r="B324" s="225" t="s">
        <v>1041</v>
      </c>
      <c r="C324" s="100">
        <v>21492.240000000002</v>
      </c>
      <c r="F324" s="69"/>
      <c r="M324" s="3"/>
    </row>
    <row r="325" spans="1:13">
      <c r="A325" s="225">
        <v>93406</v>
      </c>
      <c r="B325" s="225" t="s">
        <v>1042</v>
      </c>
      <c r="C325" s="100">
        <v>280895.17</v>
      </c>
      <c r="F325" s="69"/>
      <c r="M325" s="3"/>
    </row>
    <row r="326" spans="1:13">
      <c r="A326" s="225">
        <v>93411</v>
      </c>
      <c r="B326" s="225" t="s">
        <v>1044</v>
      </c>
      <c r="C326" s="100">
        <v>9444604.1300000008</v>
      </c>
      <c r="F326" s="69"/>
      <c r="M326" s="3"/>
    </row>
    <row r="327" spans="1:13">
      <c r="A327" s="225">
        <v>93413</v>
      </c>
      <c r="B327" s="225" t="s">
        <v>1045</v>
      </c>
      <c r="C327" s="100">
        <v>395125.02</v>
      </c>
      <c r="F327" s="69"/>
      <c r="M327" s="3"/>
    </row>
    <row r="328" spans="1:13">
      <c r="A328" s="225">
        <v>93417</v>
      </c>
      <c r="B328" s="225" t="s">
        <v>1046</v>
      </c>
      <c r="C328" s="100">
        <v>191519.15</v>
      </c>
      <c r="F328" s="69"/>
      <c r="M328" s="3"/>
    </row>
    <row r="329" spans="1:13">
      <c r="A329" s="225">
        <v>93421</v>
      </c>
      <c r="B329" s="225" t="s">
        <v>1047</v>
      </c>
      <c r="C329" s="100">
        <v>1010882.32</v>
      </c>
      <c r="F329" s="69"/>
      <c r="M329" s="3"/>
    </row>
    <row r="330" spans="1:13">
      <c r="A330" s="225">
        <v>93431</v>
      </c>
      <c r="B330" s="225" t="s">
        <v>1048</v>
      </c>
      <c r="C330" s="100">
        <v>73539.02</v>
      </c>
      <c r="F330" s="69"/>
      <c r="M330" s="3"/>
    </row>
    <row r="331" spans="1:13">
      <c r="A331" s="225">
        <v>93441</v>
      </c>
      <c r="B331" s="225" t="s">
        <v>1049</v>
      </c>
      <c r="C331" s="100">
        <v>81856.039999999994</v>
      </c>
      <c r="F331" s="69"/>
      <c r="M331" s="3"/>
    </row>
    <row r="332" spans="1:13">
      <c r="A332" s="225">
        <v>93442</v>
      </c>
      <c r="B332" s="225" t="s">
        <v>1050</v>
      </c>
      <c r="C332" s="100">
        <v>70393.5</v>
      </c>
      <c r="F332" s="69"/>
      <c r="M332" s="3"/>
    </row>
    <row r="333" spans="1:13">
      <c r="A333" s="225">
        <v>93451</v>
      </c>
      <c r="B333" s="225" t="s">
        <v>1051</v>
      </c>
      <c r="C333" s="100">
        <v>47773.23</v>
      </c>
      <c r="F333" s="69"/>
      <c r="M333" s="3"/>
    </row>
    <row r="334" spans="1:13">
      <c r="A334" s="225">
        <v>93461</v>
      </c>
      <c r="B334" s="225" t="s">
        <v>1052</v>
      </c>
      <c r="C334" s="100">
        <v>8560.68</v>
      </c>
      <c r="F334" s="69"/>
      <c r="M334" s="3"/>
    </row>
    <row r="335" spans="1:13">
      <c r="A335" s="225">
        <v>93471</v>
      </c>
      <c r="B335" s="225" t="s">
        <v>1053</v>
      </c>
      <c r="C335" s="100">
        <v>9132.39</v>
      </c>
      <c r="F335" s="69"/>
      <c r="M335" s="3"/>
    </row>
    <row r="336" spans="1:13">
      <c r="A336" s="225">
        <v>93501</v>
      </c>
      <c r="B336" s="225" t="s">
        <v>1054</v>
      </c>
      <c r="C336" s="100">
        <v>1961932.46</v>
      </c>
      <c r="F336" s="69"/>
      <c r="M336" s="3"/>
    </row>
    <row r="337" spans="1:13">
      <c r="A337" s="225">
        <v>93511</v>
      </c>
      <c r="B337" s="225" t="s">
        <v>1055</v>
      </c>
      <c r="C337" s="100">
        <v>54732.4</v>
      </c>
      <c r="F337" s="69"/>
      <c r="M337" s="3"/>
    </row>
    <row r="338" spans="1:13">
      <c r="A338" s="225">
        <v>93517</v>
      </c>
      <c r="B338" s="225" t="s">
        <v>1056</v>
      </c>
      <c r="C338" s="100">
        <v>4924.68</v>
      </c>
      <c r="F338" s="69"/>
      <c r="M338" s="3"/>
    </row>
    <row r="339" spans="1:13">
      <c r="A339" s="225">
        <v>93521</v>
      </c>
      <c r="B339" s="225" t="s">
        <v>1057</v>
      </c>
      <c r="C339" s="100">
        <v>254897.06</v>
      </c>
      <c r="F339" s="69"/>
      <c r="M339" s="3"/>
    </row>
    <row r="340" spans="1:13">
      <c r="A340" s="225">
        <v>93527</v>
      </c>
      <c r="B340" s="225" t="s">
        <v>1058</v>
      </c>
      <c r="C340" s="100">
        <v>9872.25</v>
      </c>
      <c r="F340" s="69"/>
      <c r="M340" s="3"/>
    </row>
    <row r="341" spans="1:13">
      <c r="A341" s="225">
        <v>93531</v>
      </c>
      <c r="B341" s="225" t="s">
        <v>1059</v>
      </c>
      <c r="C341" s="100">
        <v>13068.48</v>
      </c>
      <c r="F341" s="69"/>
      <c r="M341" s="3"/>
    </row>
    <row r="342" spans="1:13">
      <c r="A342" s="225">
        <v>93537</v>
      </c>
      <c r="B342" s="225" t="s">
        <v>1060</v>
      </c>
      <c r="C342" s="100">
        <v>4533.1000000000004</v>
      </c>
      <c r="F342" s="69"/>
      <c r="M342" s="3"/>
    </row>
    <row r="343" spans="1:13">
      <c r="A343" s="225">
        <v>93541</v>
      </c>
      <c r="B343" s="225" t="s">
        <v>1061</v>
      </c>
      <c r="C343" s="100">
        <v>53968.15</v>
      </c>
      <c r="F343" s="69"/>
      <c r="M343" s="3"/>
    </row>
    <row r="344" spans="1:13">
      <c r="A344" s="225">
        <v>93601</v>
      </c>
      <c r="B344" s="225" t="s">
        <v>1062</v>
      </c>
      <c r="C344" s="100">
        <v>5992723.9199999999</v>
      </c>
      <c r="F344" s="69"/>
      <c r="M344" s="3"/>
    </row>
    <row r="345" spans="1:13">
      <c r="A345" s="225">
        <v>93602</v>
      </c>
      <c r="B345" s="225" t="s">
        <v>1063</v>
      </c>
      <c r="C345" s="100">
        <v>108807.1</v>
      </c>
      <c r="F345" s="69"/>
      <c r="M345" s="3"/>
    </row>
    <row r="346" spans="1:13">
      <c r="A346" s="225">
        <v>93604</v>
      </c>
      <c r="B346" s="225" t="s">
        <v>1932</v>
      </c>
      <c r="C346" s="100">
        <v>16339.22</v>
      </c>
      <c r="F346" s="69"/>
      <c r="M346" s="3"/>
    </row>
    <row r="347" spans="1:13">
      <c r="A347" s="225">
        <v>93609</v>
      </c>
      <c r="B347" s="225" t="s">
        <v>1064</v>
      </c>
      <c r="C347" s="100">
        <v>1968207.82</v>
      </c>
      <c r="F347" s="69"/>
      <c r="M347" s="3"/>
    </row>
    <row r="348" spans="1:13">
      <c r="A348" s="225">
        <v>93610</v>
      </c>
      <c r="B348" s="225" t="s">
        <v>1065</v>
      </c>
      <c r="C348" s="100">
        <v>7152.4</v>
      </c>
      <c r="F348" s="69"/>
      <c r="M348" s="3"/>
    </row>
    <row r="349" spans="1:13">
      <c r="A349" s="225">
        <v>93611</v>
      </c>
      <c r="B349" s="225" t="s">
        <v>1066</v>
      </c>
      <c r="C349" s="100">
        <v>3643954.74</v>
      </c>
      <c r="F349" s="69"/>
      <c r="M349" s="3"/>
    </row>
    <row r="350" spans="1:13">
      <c r="A350" s="225">
        <v>93617</v>
      </c>
      <c r="B350" s="225" t="s">
        <v>1067</v>
      </c>
      <c r="C350" s="100">
        <v>57791.91</v>
      </c>
      <c r="F350" s="69"/>
      <c r="M350" s="3"/>
    </row>
    <row r="351" spans="1:13">
      <c r="A351" s="225">
        <v>93618</v>
      </c>
      <c r="B351" s="225" t="s">
        <v>1068</v>
      </c>
      <c r="C351" s="100">
        <v>26457.360000000001</v>
      </c>
      <c r="F351" s="69"/>
      <c r="M351" s="3"/>
    </row>
    <row r="352" spans="1:13">
      <c r="A352" s="225">
        <v>93621</v>
      </c>
      <c r="B352" s="225" t="s">
        <v>1069</v>
      </c>
      <c r="C352" s="100">
        <v>518880.93</v>
      </c>
      <c r="F352" s="69"/>
      <c r="M352" s="3"/>
    </row>
    <row r="353" spans="1:13">
      <c r="A353" s="225">
        <v>93623</v>
      </c>
      <c r="B353" s="225" t="s">
        <v>1070</v>
      </c>
      <c r="C353" s="100">
        <v>6913.62</v>
      </c>
      <c r="F353" s="69"/>
      <c r="M353" s="3"/>
    </row>
    <row r="354" spans="1:13">
      <c r="A354" s="225">
        <v>93631</v>
      </c>
      <c r="B354" s="225" t="s">
        <v>1071</v>
      </c>
      <c r="C354" s="100">
        <v>116246.94</v>
      </c>
      <c r="F354" s="69"/>
      <c r="M354" s="3"/>
    </row>
    <row r="355" spans="1:13">
      <c r="A355" s="225">
        <v>93641</v>
      </c>
      <c r="B355" s="225" t="s">
        <v>1072</v>
      </c>
      <c r="C355" s="100">
        <v>227358.34</v>
      </c>
      <c r="F355" s="69"/>
      <c r="M355" s="3"/>
    </row>
    <row r="356" spans="1:13">
      <c r="A356" s="225">
        <v>93647</v>
      </c>
      <c r="B356" s="225" t="s">
        <v>1073</v>
      </c>
      <c r="C356" s="100">
        <v>10194.91</v>
      </c>
      <c r="F356" s="69"/>
      <c r="M356" s="3"/>
    </row>
    <row r="357" spans="1:13">
      <c r="A357" s="225">
        <v>93651</v>
      </c>
      <c r="B357" s="225" t="s">
        <v>1074</v>
      </c>
      <c r="C357" s="100">
        <v>216921.48</v>
      </c>
      <c r="F357" s="69"/>
      <c r="M357" s="3"/>
    </row>
    <row r="358" spans="1:13">
      <c r="A358" s="225">
        <v>93661</v>
      </c>
      <c r="B358" s="225" t="s">
        <v>1075</v>
      </c>
      <c r="C358" s="100">
        <v>73068.05</v>
      </c>
      <c r="F358" s="69"/>
      <c r="M358" s="3"/>
    </row>
    <row r="359" spans="1:13">
      <c r="A359" s="225">
        <v>93671</v>
      </c>
      <c r="B359" s="225" t="s">
        <v>1076</v>
      </c>
      <c r="C359" s="100">
        <v>199416.52</v>
      </c>
      <c r="F359" s="69"/>
      <c r="M359" s="3"/>
    </row>
    <row r="360" spans="1:13">
      <c r="A360" s="225">
        <v>93681</v>
      </c>
      <c r="B360" s="225" t="s">
        <v>1077</v>
      </c>
      <c r="C360" s="100">
        <v>62533.82</v>
      </c>
      <c r="F360" s="69"/>
      <c r="M360" s="3"/>
    </row>
    <row r="361" spans="1:13">
      <c r="A361" s="225">
        <v>93691</v>
      </c>
      <c r="B361" s="225" t="s">
        <v>1078</v>
      </c>
      <c r="C361" s="100">
        <v>547057.78</v>
      </c>
      <c r="F361" s="69"/>
      <c r="M361" s="3"/>
    </row>
    <row r="362" spans="1:13">
      <c r="A362" s="225">
        <v>93701</v>
      </c>
      <c r="B362" s="225" t="s">
        <v>1079</v>
      </c>
      <c r="C362" s="100">
        <v>230165.51</v>
      </c>
      <c r="F362" s="69"/>
      <c r="M362" s="3"/>
    </row>
    <row r="363" spans="1:13">
      <c r="A363" s="225">
        <v>93704</v>
      </c>
      <c r="B363" s="225" t="s">
        <v>1080</v>
      </c>
      <c r="C363" s="100">
        <v>2097.84</v>
      </c>
      <c r="F363" s="69"/>
      <c r="M363" s="3"/>
    </row>
    <row r="364" spans="1:13">
      <c r="A364" s="225">
        <v>93801</v>
      </c>
      <c r="B364" s="225" t="s">
        <v>1081</v>
      </c>
      <c r="C364" s="100">
        <v>230712.81</v>
      </c>
      <c r="F364" s="69"/>
      <c r="M364" s="3"/>
    </row>
    <row r="365" spans="1:13">
      <c r="A365" s="225">
        <v>93803</v>
      </c>
      <c r="B365" s="225" t="s">
        <v>1082</v>
      </c>
      <c r="C365" s="100">
        <v>48348.65</v>
      </c>
      <c r="F365" s="69"/>
      <c r="M365" s="3"/>
    </row>
    <row r="366" spans="1:13">
      <c r="A366" s="225">
        <v>93806</v>
      </c>
      <c r="B366" s="225" t="s">
        <v>1083</v>
      </c>
      <c r="C366" s="100">
        <v>40415.230000000003</v>
      </c>
      <c r="F366" s="69"/>
      <c r="M366" s="3"/>
    </row>
    <row r="367" spans="1:13">
      <c r="A367" s="225">
        <v>93821</v>
      </c>
      <c r="B367" s="225" t="s">
        <v>1084</v>
      </c>
      <c r="C367" s="100">
        <v>34266.559999999998</v>
      </c>
      <c r="F367" s="69"/>
      <c r="M367" s="3"/>
    </row>
    <row r="368" spans="1:13">
      <c r="A368" s="225">
        <v>93901</v>
      </c>
      <c r="B368" s="225" t="s">
        <v>1085</v>
      </c>
      <c r="C368" s="100">
        <v>1059410.22</v>
      </c>
      <c r="F368" s="69"/>
      <c r="M368" s="3"/>
    </row>
    <row r="369" spans="1:13">
      <c r="A369" s="225">
        <v>93904</v>
      </c>
      <c r="B369" s="225" t="s">
        <v>1086</v>
      </c>
      <c r="C369" s="100">
        <v>23658.09</v>
      </c>
      <c r="F369" s="69"/>
      <c r="M369" s="3"/>
    </row>
    <row r="370" spans="1:13">
      <c r="A370" s="225">
        <v>93906</v>
      </c>
      <c r="B370" s="225" t="s">
        <v>1087</v>
      </c>
      <c r="C370" s="100">
        <v>1598215.31</v>
      </c>
      <c r="F370" s="69"/>
      <c r="M370" s="3"/>
    </row>
    <row r="371" spans="1:13">
      <c r="A371" s="225">
        <v>93908</v>
      </c>
      <c r="B371" s="225" t="s">
        <v>1088</v>
      </c>
      <c r="C371" s="100">
        <v>255757.96</v>
      </c>
      <c r="F371" s="69"/>
      <c r="M371" s="3"/>
    </row>
    <row r="372" spans="1:13">
      <c r="A372" s="225">
        <v>93910</v>
      </c>
      <c r="B372" s="225" t="s">
        <v>1089</v>
      </c>
      <c r="C372" s="100">
        <v>128757.39</v>
      </c>
      <c r="F372" s="69"/>
      <c r="M372" s="3"/>
    </row>
    <row r="373" spans="1:13">
      <c r="A373" s="225">
        <v>93911</v>
      </c>
      <c r="B373" s="225" t="s">
        <v>1090</v>
      </c>
      <c r="C373" s="100">
        <v>344208.25</v>
      </c>
      <c r="F373" s="69"/>
      <c r="M373" s="3"/>
    </row>
    <row r="374" spans="1:13">
      <c r="A374" s="225">
        <v>93913</v>
      </c>
      <c r="B374" s="225" t="s">
        <v>1091</v>
      </c>
      <c r="C374" s="100">
        <v>33212.26</v>
      </c>
      <c r="F374" s="69"/>
      <c r="M374" s="3"/>
    </row>
    <row r="375" spans="1:13">
      <c r="A375" s="225">
        <v>93914</v>
      </c>
      <c r="B375" s="225" t="s">
        <v>1092</v>
      </c>
      <c r="C375" s="100">
        <v>6747.15</v>
      </c>
      <c r="F375" s="69"/>
      <c r="M375" s="3"/>
    </row>
    <row r="376" spans="1:13">
      <c r="A376" s="225">
        <v>93921</v>
      </c>
      <c r="B376" s="225" t="s">
        <v>1093</v>
      </c>
      <c r="C376" s="100">
        <v>134011.79999999999</v>
      </c>
      <c r="F376" s="69"/>
      <c r="M376" s="3"/>
    </row>
    <row r="377" spans="1:13">
      <c r="A377" s="225">
        <v>93931</v>
      </c>
      <c r="B377" s="225" t="s">
        <v>1094</v>
      </c>
      <c r="C377" s="100">
        <v>251850.67</v>
      </c>
      <c r="F377" s="69"/>
      <c r="M377" s="3"/>
    </row>
    <row r="378" spans="1:13">
      <c r="A378" s="225">
        <v>94001</v>
      </c>
      <c r="B378" s="225" t="s">
        <v>1095</v>
      </c>
      <c r="C378" s="100">
        <v>513110.87</v>
      </c>
      <c r="F378" s="69"/>
      <c r="M378" s="3"/>
    </row>
    <row r="379" spans="1:13">
      <c r="A379" s="225">
        <v>94002</v>
      </c>
      <c r="B379" s="225" t="s">
        <v>1096</v>
      </c>
      <c r="C379" s="100">
        <v>5071.04</v>
      </c>
      <c r="F379" s="69"/>
      <c r="M379" s="3"/>
    </row>
    <row r="380" spans="1:13">
      <c r="A380" s="225">
        <v>94004</v>
      </c>
      <c r="B380" s="225" t="s">
        <v>1097</v>
      </c>
      <c r="C380" s="100">
        <v>4962.3599999999997</v>
      </c>
      <c r="F380" s="69"/>
      <c r="M380" s="3"/>
    </row>
    <row r="381" spans="1:13">
      <c r="A381" s="225">
        <v>94005</v>
      </c>
      <c r="B381" s="225" t="s">
        <v>1098</v>
      </c>
      <c r="C381" s="100">
        <v>2273.25</v>
      </c>
      <c r="F381" s="69"/>
      <c r="M381" s="3"/>
    </row>
    <row r="382" spans="1:13">
      <c r="A382" s="225">
        <v>94011</v>
      </c>
      <c r="B382" s="225" t="s">
        <v>1099</v>
      </c>
      <c r="C382" s="100">
        <v>12786.57</v>
      </c>
      <c r="F382" s="69"/>
      <c r="M382" s="3"/>
    </row>
    <row r="383" spans="1:13">
      <c r="A383" s="225">
        <v>94021</v>
      </c>
      <c r="B383" s="225" t="s">
        <v>1100</v>
      </c>
      <c r="C383" s="100">
        <v>55111.8</v>
      </c>
      <c r="F383" s="69"/>
      <c r="M383" s="3"/>
    </row>
    <row r="384" spans="1:13">
      <c r="A384" s="225">
        <v>94031</v>
      </c>
      <c r="B384" s="225" t="s">
        <v>1101</v>
      </c>
      <c r="C384" s="100">
        <v>7792.36</v>
      </c>
      <c r="F384" s="69"/>
      <c r="M384" s="3"/>
    </row>
    <row r="385" spans="1:13">
      <c r="A385" s="225">
        <v>94101</v>
      </c>
      <c r="B385" s="225" t="s">
        <v>1102</v>
      </c>
      <c r="C385" s="100">
        <v>9599201.9600000009</v>
      </c>
      <c r="F385" s="69"/>
      <c r="M385" s="3"/>
    </row>
    <row r="386" spans="1:13">
      <c r="A386" s="225">
        <v>94102</v>
      </c>
      <c r="B386" s="225" t="s">
        <v>1103</v>
      </c>
      <c r="C386" s="100">
        <v>137042.84</v>
      </c>
      <c r="F386" s="69"/>
      <c r="M386" s="3"/>
    </row>
    <row r="387" spans="1:13">
      <c r="A387" s="225">
        <v>94108</v>
      </c>
      <c r="B387" s="225" t="s">
        <v>1104</v>
      </c>
      <c r="C387" s="100">
        <v>151392.94</v>
      </c>
      <c r="F387" s="69"/>
      <c r="M387" s="3"/>
    </row>
    <row r="388" spans="1:13">
      <c r="A388" s="225">
        <v>94109</v>
      </c>
      <c r="B388" s="225" t="s">
        <v>1105</v>
      </c>
      <c r="C388" s="100">
        <v>40200.71</v>
      </c>
      <c r="F388" s="69"/>
      <c r="M388" s="3"/>
    </row>
    <row r="389" spans="1:13">
      <c r="A389" s="225">
        <v>94111</v>
      </c>
      <c r="B389" s="225" t="s">
        <v>1106</v>
      </c>
      <c r="C389" s="100">
        <v>12978769.220000001</v>
      </c>
      <c r="F389" s="69"/>
      <c r="M389" s="3"/>
    </row>
    <row r="390" spans="1:13">
      <c r="A390" s="225">
        <v>94112</v>
      </c>
      <c r="B390" s="225" t="s">
        <v>1107</v>
      </c>
      <c r="C390" s="100">
        <v>82758.67</v>
      </c>
      <c r="F390" s="69"/>
      <c r="M390" s="3"/>
    </row>
    <row r="391" spans="1:13">
      <c r="A391" s="225">
        <v>94117</v>
      </c>
      <c r="B391" s="225" t="s">
        <v>1108</v>
      </c>
      <c r="C391" s="100">
        <v>194383.9</v>
      </c>
      <c r="F391" s="69"/>
      <c r="M391" s="3"/>
    </row>
    <row r="392" spans="1:13">
      <c r="A392" s="225">
        <v>94118</v>
      </c>
      <c r="B392" s="225" t="s">
        <v>1109</v>
      </c>
      <c r="C392" s="100">
        <v>68053.460000000006</v>
      </c>
      <c r="F392" s="69"/>
      <c r="M392" s="3"/>
    </row>
    <row r="393" spans="1:13">
      <c r="A393" s="225">
        <v>94121</v>
      </c>
      <c r="B393" s="225" t="s">
        <v>1110</v>
      </c>
      <c r="C393" s="100">
        <v>6095981.1100000003</v>
      </c>
      <c r="F393" s="69"/>
      <c r="M393" s="3"/>
    </row>
    <row r="394" spans="1:13">
      <c r="A394" s="225">
        <v>94127</v>
      </c>
      <c r="B394" s="225" t="s">
        <v>1111</v>
      </c>
      <c r="C394" s="100">
        <v>78842.539999999994</v>
      </c>
      <c r="F394" s="69"/>
      <c r="M394" s="3"/>
    </row>
    <row r="395" spans="1:13">
      <c r="A395" s="225">
        <v>94131</v>
      </c>
      <c r="B395" s="225" t="s">
        <v>1112</v>
      </c>
      <c r="C395" s="100">
        <v>111105.76</v>
      </c>
      <c r="F395" s="69"/>
      <c r="M395" s="3"/>
    </row>
    <row r="396" spans="1:13">
      <c r="A396" s="225">
        <v>94151</v>
      </c>
      <c r="B396" s="225" t="s">
        <v>1113</v>
      </c>
      <c r="C396" s="100">
        <v>221139.94</v>
      </c>
      <c r="F396" s="69"/>
      <c r="M396" s="3"/>
    </row>
    <row r="397" spans="1:13">
      <c r="A397" s="225">
        <v>94157</v>
      </c>
      <c r="B397" s="225" t="s">
        <v>1114</v>
      </c>
      <c r="C397" s="100">
        <v>6177.25</v>
      </c>
      <c r="F397" s="69"/>
      <c r="M397" s="3"/>
    </row>
    <row r="398" spans="1:13">
      <c r="A398" s="225">
        <v>94161</v>
      </c>
      <c r="B398" s="225" t="s">
        <v>1115</v>
      </c>
      <c r="C398" s="100">
        <v>27374.38</v>
      </c>
      <c r="F398" s="69"/>
      <c r="M398" s="3"/>
    </row>
    <row r="399" spans="1:13">
      <c r="A399" s="225">
        <v>94168</v>
      </c>
      <c r="B399" s="225" t="s">
        <v>1116</v>
      </c>
      <c r="C399" s="100">
        <v>26467.71</v>
      </c>
      <c r="F399" s="69"/>
      <c r="M399" s="3"/>
    </row>
    <row r="400" spans="1:13">
      <c r="A400" s="225">
        <v>94171</v>
      </c>
      <c r="B400" s="225" t="s">
        <v>1117</v>
      </c>
      <c r="C400" s="100">
        <v>31059.79</v>
      </c>
      <c r="F400" s="69"/>
      <c r="M400" s="3"/>
    </row>
    <row r="401" spans="1:13">
      <c r="A401" s="225">
        <v>94172</v>
      </c>
      <c r="B401" s="225" t="s">
        <v>1118</v>
      </c>
      <c r="C401" s="100">
        <v>115972.98</v>
      </c>
      <c r="F401" s="69"/>
      <c r="M401" s="3"/>
    </row>
    <row r="402" spans="1:13">
      <c r="A402" s="225">
        <v>94201</v>
      </c>
      <c r="B402" s="225" t="s">
        <v>1119</v>
      </c>
      <c r="C402" s="100">
        <v>1773966.15</v>
      </c>
      <c r="F402" s="69"/>
      <c r="M402" s="3"/>
    </row>
    <row r="403" spans="1:13">
      <c r="A403" s="225">
        <v>94204</v>
      </c>
      <c r="B403" s="225" t="s">
        <v>1120</v>
      </c>
      <c r="C403" s="100">
        <v>18440.93</v>
      </c>
      <c r="F403" s="69"/>
      <c r="M403" s="3"/>
    </row>
    <row r="404" spans="1:13">
      <c r="A404" s="225">
        <v>94205</v>
      </c>
      <c r="B404" s="225" t="s">
        <v>1121</v>
      </c>
      <c r="C404" s="100">
        <v>12212.83</v>
      </c>
      <c r="F404" s="69"/>
      <c r="M404" s="3"/>
    </row>
    <row r="405" spans="1:13">
      <c r="A405" s="225">
        <v>94209</v>
      </c>
      <c r="B405" s="225" t="s">
        <v>1122</v>
      </c>
      <c r="C405" s="100">
        <v>171999.81</v>
      </c>
      <c r="F405" s="69"/>
      <c r="M405" s="3"/>
    </row>
    <row r="406" spans="1:13">
      <c r="A406" s="225">
        <v>94211</v>
      </c>
      <c r="B406" s="225" t="s">
        <v>1123</v>
      </c>
      <c r="C406" s="100">
        <v>80589.19</v>
      </c>
      <c r="F406" s="69"/>
      <c r="M406" s="3"/>
    </row>
    <row r="407" spans="1:13">
      <c r="A407" s="225">
        <v>94221</v>
      </c>
      <c r="B407" s="225" t="s">
        <v>1124</v>
      </c>
      <c r="C407" s="100">
        <v>500342.06</v>
      </c>
      <c r="F407" s="69"/>
      <c r="M407" s="3"/>
    </row>
    <row r="408" spans="1:13">
      <c r="A408" s="225">
        <v>94231</v>
      </c>
      <c r="B408" s="225" t="s">
        <v>1125</v>
      </c>
      <c r="C408" s="100">
        <v>84160.17</v>
      </c>
      <c r="F408" s="69"/>
      <c r="M408" s="3"/>
    </row>
    <row r="409" spans="1:13">
      <c r="A409" s="225">
        <v>94241</v>
      </c>
      <c r="B409" s="225" t="s">
        <v>1126</v>
      </c>
      <c r="C409" s="100">
        <v>59958.92</v>
      </c>
      <c r="F409" s="69"/>
      <c r="M409" s="3"/>
    </row>
    <row r="410" spans="1:13">
      <c r="A410" s="225">
        <v>94251</v>
      </c>
      <c r="B410" s="225" t="s">
        <v>1127</v>
      </c>
      <c r="C410" s="100">
        <v>9463.89</v>
      </c>
      <c r="F410" s="69"/>
      <c r="M410" s="3"/>
    </row>
    <row r="411" spans="1:13">
      <c r="A411" s="225">
        <v>94261</v>
      </c>
      <c r="B411" s="225" t="s">
        <v>1128</v>
      </c>
      <c r="C411" s="100">
        <v>22035.81</v>
      </c>
      <c r="F411" s="69"/>
      <c r="M411" s="3"/>
    </row>
    <row r="412" spans="1:13">
      <c r="A412" s="225">
        <v>94301</v>
      </c>
      <c r="B412" s="225" t="s">
        <v>1129</v>
      </c>
      <c r="C412" s="100">
        <v>3239941.57</v>
      </c>
      <c r="F412" s="69"/>
      <c r="M412" s="3"/>
    </row>
    <row r="413" spans="1:13">
      <c r="A413" s="225">
        <v>94311</v>
      </c>
      <c r="B413" s="225" t="s">
        <v>1130</v>
      </c>
      <c r="C413" s="100">
        <v>419427.19</v>
      </c>
      <c r="F413" s="69"/>
      <c r="M413" s="3"/>
    </row>
    <row r="414" spans="1:13">
      <c r="A414" s="225">
        <v>94313</v>
      </c>
      <c r="B414" s="225" t="s">
        <v>1131</v>
      </c>
      <c r="C414" s="100">
        <v>14861.95</v>
      </c>
      <c r="F414" s="69"/>
      <c r="M414" s="3"/>
    </row>
    <row r="415" spans="1:13">
      <c r="A415" s="225">
        <v>94317</v>
      </c>
      <c r="B415" s="225" t="s">
        <v>1132</v>
      </c>
      <c r="C415" s="100">
        <v>11140.83</v>
      </c>
      <c r="F415" s="69"/>
      <c r="M415" s="3"/>
    </row>
    <row r="416" spans="1:13">
      <c r="A416" s="225">
        <v>94321</v>
      </c>
      <c r="B416" s="225" t="s">
        <v>1133</v>
      </c>
      <c r="C416" s="100">
        <v>145358.07999999999</v>
      </c>
      <c r="F416" s="69"/>
      <c r="M416" s="3"/>
    </row>
    <row r="417" spans="1:13">
      <c r="A417" s="225">
        <v>94331</v>
      </c>
      <c r="B417" s="225" t="s">
        <v>1134</v>
      </c>
      <c r="C417" s="100">
        <v>80679.83</v>
      </c>
      <c r="F417" s="69"/>
      <c r="M417" s="3"/>
    </row>
    <row r="418" spans="1:13">
      <c r="A418" s="225">
        <v>94341</v>
      </c>
      <c r="B418" s="225" t="s">
        <v>1135</v>
      </c>
      <c r="C418" s="100">
        <v>43965.35</v>
      </c>
      <c r="F418" s="69"/>
      <c r="M418" s="3"/>
    </row>
    <row r="419" spans="1:13">
      <c r="A419" s="225">
        <v>94347</v>
      </c>
      <c r="B419" s="225" t="s">
        <v>1136</v>
      </c>
      <c r="C419" s="100">
        <v>9634.7199999999993</v>
      </c>
      <c r="F419" s="69"/>
      <c r="M419" s="3"/>
    </row>
    <row r="420" spans="1:13">
      <c r="A420" s="225">
        <v>94351</v>
      </c>
      <c r="B420" s="225" t="s">
        <v>1137</v>
      </c>
      <c r="C420" s="100">
        <v>121230.09</v>
      </c>
      <c r="F420" s="69"/>
      <c r="M420" s="3"/>
    </row>
    <row r="421" spans="1:13">
      <c r="A421" s="225">
        <v>94401</v>
      </c>
      <c r="B421" s="225" t="s">
        <v>1138</v>
      </c>
      <c r="C421" s="100">
        <v>1750399.96</v>
      </c>
      <c r="F421" s="69"/>
      <c r="M421" s="3"/>
    </row>
    <row r="422" spans="1:13">
      <c r="A422" s="225">
        <v>94403</v>
      </c>
      <c r="B422" s="225" t="s">
        <v>1140</v>
      </c>
      <c r="C422" s="100">
        <v>19099.13</v>
      </c>
      <c r="F422" s="69"/>
      <c r="M422" s="3"/>
    </row>
    <row r="423" spans="1:13">
      <c r="A423" s="225">
        <v>94408</v>
      </c>
      <c r="B423" s="225" t="s">
        <v>1141</v>
      </c>
      <c r="C423" s="100">
        <v>26973.09</v>
      </c>
      <c r="F423" s="69"/>
      <c r="M423" s="3"/>
    </row>
    <row r="424" spans="1:13">
      <c r="A424" s="225">
        <v>94411</v>
      </c>
      <c r="B424" s="225" t="s">
        <v>1142</v>
      </c>
      <c r="C424" s="100">
        <v>632538.21</v>
      </c>
      <c r="F424" s="69"/>
      <c r="M424" s="3"/>
    </row>
    <row r="425" spans="1:13">
      <c r="A425" s="225">
        <v>94412</v>
      </c>
      <c r="B425" s="225" t="s">
        <v>1143</v>
      </c>
      <c r="C425" s="100">
        <v>14756.76</v>
      </c>
      <c r="F425" s="69"/>
      <c r="M425" s="3"/>
    </row>
    <row r="426" spans="1:13">
      <c r="A426" s="225">
        <v>94421</v>
      </c>
      <c r="B426" s="225" t="s">
        <v>1144</v>
      </c>
      <c r="C426" s="100">
        <v>84715.51</v>
      </c>
      <c r="F426" s="69"/>
      <c r="M426" s="3"/>
    </row>
    <row r="427" spans="1:13">
      <c r="A427" s="225">
        <v>94427</v>
      </c>
      <c r="B427" s="225" t="s">
        <v>1145</v>
      </c>
      <c r="C427" s="100">
        <v>16735.419999999998</v>
      </c>
      <c r="F427" s="69"/>
      <c r="M427" s="3"/>
    </row>
    <row r="428" spans="1:13">
      <c r="A428" s="225">
        <v>94428</v>
      </c>
      <c r="B428" s="225" t="s">
        <v>1146</v>
      </c>
      <c r="C428" s="100">
        <v>39816.58</v>
      </c>
      <c r="F428" s="69"/>
      <c r="M428" s="3"/>
    </row>
    <row r="429" spans="1:13">
      <c r="A429" s="225">
        <v>94431</v>
      </c>
      <c r="B429" s="225" t="s">
        <v>1147</v>
      </c>
      <c r="C429" s="100">
        <v>325914.23999999999</v>
      </c>
      <c r="F429" s="69"/>
      <c r="M429" s="3"/>
    </row>
    <row r="430" spans="1:13">
      <c r="A430" s="225">
        <v>94437</v>
      </c>
      <c r="B430" s="225" t="s">
        <v>1148</v>
      </c>
      <c r="C430" s="100">
        <v>13614.41</v>
      </c>
      <c r="F430" s="69"/>
      <c r="M430" s="3"/>
    </row>
    <row r="431" spans="1:13">
      <c r="A431" s="225">
        <v>94501</v>
      </c>
      <c r="B431" t="s">
        <v>2025</v>
      </c>
      <c r="C431" s="100">
        <v>3126089.6</v>
      </c>
      <c r="F431" s="69"/>
      <c r="M431" s="3"/>
    </row>
    <row r="432" spans="1:13">
      <c r="A432" s="225">
        <v>94511</v>
      </c>
      <c r="B432" s="225" t="s">
        <v>1150</v>
      </c>
      <c r="C432" s="100">
        <v>976940.66</v>
      </c>
      <c r="F432" s="69"/>
      <c r="M432" s="3"/>
    </row>
    <row r="433" spans="1:13">
      <c r="A433" s="225">
        <v>94517</v>
      </c>
      <c r="B433" s="225" t="s">
        <v>1152</v>
      </c>
      <c r="C433" s="100">
        <v>39314.54</v>
      </c>
      <c r="F433" s="69"/>
      <c r="M433" s="3"/>
    </row>
    <row r="434" spans="1:13">
      <c r="A434" s="225">
        <v>94521</v>
      </c>
      <c r="B434" s="225" t="s">
        <v>1153</v>
      </c>
      <c r="C434" s="100">
        <v>65267.58</v>
      </c>
      <c r="F434" s="69"/>
      <c r="M434" s="3"/>
    </row>
    <row r="435" spans="1:13">
      <c r="A435" s="225">
        <v>94527</v>
      </c>
      <c r="B435" s="225" t="s">
        <v>1154</v>
      </c>
      <c r="C435" s="100">
        <v>3414.86</v>
      </c>
      <c r="F435" s="69"/>
      <c r="M435" s="3"/>
    </row>
    <row r="436" spans="1:13">
      <c r="A436" s="225">
        <v>94531</v>
      </c>
      <c r="B436" s="225" t="s">
        <v>1155</v>
      </c>
      <c r="C436" s="100">
        <v>15948.37</v>
      </c>
      <c r="F436" s="69"/>
      <c r="M436" s="3"/>
    </row>
    <row r="437" spans="1:13">
      <c r="A437" s="225">
        <v>94532</v>
      </c>
      <c r="B437" s="225" t="s">
        <v>1156</v>
      </c>
      <c r="C437" s="100">
        <v>56192.27</v>
      </c>
      <c r="F437" s="69"/>
      <c r="M437" s="3"/>
    </row>
    <row r="438" spans="1:13">
      <c r="A438" s="225">
        <v>94541</v>
      </c>
      <c r="B438" s="225" t="s">
        <v>1157</v>
      </c>
      <c r="C438" s="100">
        <v>139679.82999999999</v>
      </c>
      <c r="F438" s="69"/>
      <c r="M438" s="3"/>
    </row>
    <row r="439" spans="1:13">
      <c r="A439" s="225">
        <v>94547</v>
      </c>
      <c r="B439" s="225" t="s">
        <v>1158</v>
      </c>
      <c r="C439" s="100">
        <v>11084.4</v>
      </c>
      <c r="F439" s="69"/>
      <c r="M439" s="3"/>
    </row>
    <row r="440" spans="1:13">
      <c r="A440" s="225">
        <v>94551</v>
      </c>
      <c r="B440" s="225" t="s">
        <v>1159</v>
      </c>
      <c r="C440" s="100">
        <v>27954.14</v>
      </c>
      <c r="F440" s="69"/>
      <c r="M440" s="3"/>
    </row>
    <row r="441" spans="1:13">
      <c r="A441" s="225">
        <v>94601</v>
      </c>
      <c r="B441" s="225" t="s">
        <v>1160</v>
      </c>
      <c r="C441" s="100">
        <v>517654.13</v>
      </c>
      <c r="F441" s="69"/>
      <c r="M441" s="3"/>
    </row>
    <row r="442" spans="1:13">
      <c r="A442" s="225">
        <v>94604</v>
      </c>
      <c r="B442" s="225" t="s">
        <v>1161</v>
      </c>
      <c r="C442" s="100">
        <v>15507.61</v>
      </c>
      <c r="F442" s="69"/>
      <c r="M442" s="3"/>
    </row>
    <row r="443" spans="1:13">
      <c r="A443" s="320">
        <v>94606</v>
      </c>
      <c r="B443" s="320" t="s">
        <v>1162</v>
      </c>
      <c r="C443" s="321"/>
      <c r="D443" s="225" t="s">
        <v>3619</v>
      </c>
      <c r="F443" s="69"/>
      <c r="M443" s="3"/>
    </row>
    <row r="444" spans="1:13">
      <c r="A444" s="225">
        <v>94611</v>
      </c>
      <c r="B444" s="225" t="s">
        <v>1163</v>
      </c>
      <c r="C444" s="100">
        <v>182000.53</v>
      </c>
      <c r="F444" s="69"/>
      <c r="M444" s="3"/>
    </row>
    <row r="445" spans="1:13">
      <c r="A445" s="225">
        <v>94621</v>
      </c>
      <c r="B445" s="225" t="s">
        <v>1164</v>
      </c>
      <c r="C445" s="100">
        <v>72451.59</v>
      </c>
      <c r="F445" s="69"/>
      <c r="M445" s="3"/>
    </row>
    <row r="446" spans="1:13">
      <c r="A446" s="225">
        <v>94631</v>
      </c>
      <c r="B446" s="225" t="s">
        <v>1165</v>
      </c>
      <c r="C446" s="100">
        <v>22253.85</v>
      </c>
      <c r="F446" s="69"/>
      <c r="M446" s="3"/>
    </row>
    <row r="447" spans="1:13">
      <c r="A447" s="225">
        <v>94641</v>
      </c>
      <c r="B447" s="225" t="s">
        <v>1166</v>
      </c>
      <c r="C447" s="100">
        <v>8021.25</v>
      </c>
      <c r="F447" s="69"/>
      <c r="M447" s="3"/>
    </row>
    <row r="448" spans="1:13">
      <c r="A448" s="225">
        <v>94701</v>
      </c>
      <c r="B448" s="225" t="s">
        <v>1167</v>
      </c>
      <c r="C448" s="100">
        <v>1308817.07</v>
      </c>
      <c r="F448" s="69"/>
      <c r="M448" s="3"/>
    </row>
    <row r="449" spans="1:13">
      <c r="A449" s="225">
        <v>94704</v>
      </c>
      <c r="B449" s="225" t="s">
        <v>1168</v>
      </c>
      <c r="C449" s="100">
        <v>9096.06</v>
      </c>
      <c r="F449" s="69"/>
      <c r="M449" s="3"/>
    </row>
    <row r="450" spans="1:13">
      <c r="A450" s="225">
        <v>94711</v>
      </c>
      <c r="B450" s="225" t="s">
        <v>1169</v>
      </c>
      <c r="C450" s="100">
        <v>187247.17</v>
      </c>
      <c r="F450" s="69"/>
      <c r="M450" s="3"/>
    </row>
    <row r="451" spans="1:13">
      <c r="A451" s="225">
        <v>94801</v>
      </c>
      <c r="B451" s="225" t="s">
        <v>1170</v>
      </c>
      <c r="C451" s="100">
        <v>366548.61</v>
      </c>
      <c r="F451" s="69"/>
      <c r="M451" s="3"/>
    </row>
    <row r="452" spans="1:13">
      <c r="A452" s="225">
        <v>94804</v>
      </c>
      <c r="B452" s="225" t="s">
        <v>1171</v>
      </c>
      <c r="C452" s="100">
        <v>3162.67</v>
      </c>
      <c r="F452" s="69"/>
      <c r="M452" s="3"/>
    </row>
    <row r="453" spans="1:13">
      <c r="A453" s="225">
        <v>94812</v>
      </c>
      <c r="B453" s="225" t="s">
        <v>1172</v>
      </c>
      <c r="C453" s="100">
        <v>21880.21</v>
      </c>
      <c r="F453" s="69"/>
      <c r="M453" s="3"/>
    </row>
    <row r="454" spans="1:13">
      <c r="A454" s="225">
        <v>94901</v>
      </c>
      <c r="B454" s="225" t="s">
        <v>1173</v>
      </c>
      <c r="C454" s="100">
        <v>3778993.09</v>
      </c>
      <c r="F454" s="69"/>
      <c r="M454" s="3"/>
    </row>
    <row r="455" spans="1:13">
      <c r="A455" s="318">
        <v>94908</v>
      </c>
      <c r="B455" s="307" t="s">
        <v>3616</v>
      </c>
      <c r="C455" s="319">
        <v>16141.53</v>
      </c>
      <c r="D455" s="225" t="s">
        <v>3620</v>
      </c>
      <c r="F455" s="69"/>
      <c r="M455" s="3"/>
    </row>
    <row r="456" spans="1:13">
      <c r="A456" s="225">
        <v>94911</v>
      </c>
      <c r="B456" s="225" t="s">
        <v>1175</v>
      </c>
      <c r="C456" s="100">
        <v>1525735.3</v>
      </c>
      <c r="F456" s="69"/>
      <c r="M456" s="3"/>
    </row>
    <row r="457" spans="1:13">
      <c r="A457" s="225">
        <v>94917</v>
      </c>
      <c r="B457" s="225" t="s">
        <v>1176</v>
      </c>
      <c r="C457" s="100">
        <v>30511.35</v>
      </c>
      <c r="F457" s="69"/>
      <c r="M457" s="3"/>
    </row>
    <row r="458" spans="1:13">
      <c r="A458" s="225">
        <v>94921</v>
      </c>
      <c r="B458" s="225" t="s">
        <v>1177</v>
      </c>
      <c r="C458" s="100">
        <v>1918754.97</v>
      </c>
      <c r="F458" s="69"/>
      <c r="M458" s="3"/>
    </row>
    <row r="459" spans="1:13">
      <c r="A459" s="225">
        <v>94923</v>
      </c>
      <c r="B459" s="225" t="s">
        <v>1178</v>
      </c>
      <c r="C459" s="100">
        <v>17339.73</v>
      </c>
      <c r="F459" s="69"/>
      <c r="M459" s="3"/>
    </row>
    <row r="460" spans="1:13">
      <c r="A460" s="225">
        <v>94927</v>
      </c>
      <c r="B460" s="225" t="s">
        <v>1179</v>
      </c>
      <c r="C460" s="100">
        <v>22103.27</v>
      </c>
      <c r="F460" s="69"/>
      <c r="M460" s="3"/>
    </row>
    <row r="461" spans="1:13">
      <c r="A461" s="225">
        <v>94931</v>
      </c>
      <c r="B461" s="225" t="s">
        <v>1180</v>
      </c>
      <c r="C461" s="100">
        <v>114081.33</v>
      </c>
      <c r="F461" s="69"/>
      <c r="M461" s="3"/>
    </row>
    <row r="462" spans="1:13">
      <c r="A462" s="225">
        <v>94937</v>
      </c>
      <c r="B462" s="225" t="s">
        <v>1933</v>
      </c>
      <c r="C462" s="100">
        <v>3727.86</v>
      </c>
      <c r="F462" s="69"/>
      <c r="M462" s="3"/>
    </row>
    <row r="463" spans="1:13">
      <c r="A463" s="225">
        <v>94941</v>
      </c>
      <c r="B463" s="225" t="s">
        <v>1181</v>
      </c>
      <c r="C463" s="100">
        <v>281477.42</v>
      </c>
      <c r="F463" s="69"/>
      <c r="M463" s="3"/>
    </row>
    <row r="464" spans="1:13">
      <c r="A464" s="225">
        <v>94947</v>
      </c>
      <c r="B464" s="225" t="s">
        <v>1934</v>
      </c>
      <c r="C464" s="100">
        <v>4724.1499999999996</v>
      </c>
      <c r="F464" s="69"/>
      <c r="M464" s="3"/>
    </row>
    <row r="465" spans="1:13">
      <c r="A465" s="225">
        <v>95001</v>
      </c>
      <c r="B465" s="225" t="s">
        <v>1182</v>
      </c>
      <c r="C465" s="100">
        <v>1334062.3400000001</v>
      </c>
      <c r="F465" s="69"/>
      <c r="M465" s="3"/>
    </row>
    <row r="466" spans="1:13">
      <c r="A466" s="225">
        <v>95002</v>
      </c>
      <c r="B466" s="225" t="s">
        <v>1183</v>
      </c>
      <c r="C466" s="100">
        <v>119638.08</v>
      </c>
      <c r="F466" s="69"/>
      <c r="M466" s="3"/>
    </row>
    <row r="467" spans="1:13">
      <c r="A467" s="225">
        <v>95005</v>
      </c>
      <c r="B467" s="225" t="s">
        <v>1184</v>
      </c>
      <c r="C467" s="100">
        <v>116417.87</v>
      </c>
      <c r="F467" s="69"/>
      <c r="M467" s="3"/>
    </row>
    <row r="468" spans="1:13">
      <c r="A468" s="225">
        <v>95008</v>
      </c>
      <c r="B468" s="225" t="s">
        <v>1185</v>
      </c>
      <c r="C468" s="100">
        <v>72497.58</v>
      </c>
      <c r="F468" s="69"/>
      <c r="M468" s="3"/>
    </row>
    <row r="469" spans="1:13">
      <c r="A469" s="225">
        <v>95009</v>
      </c>
      <c r="B469" s="225" t="s">
        <v>1186</v>
      </c>
      <c r="C469" s="100">
        <v>2029833.13</v>
      </c>
      <c r="F469" s="69"/>
      <c r="M469" s="3"/>
    </row>
    <row r="470" spans="1:13">
      <c r="A470" s="225">
        <v>95011</v>
      </c>
      <c r="B470" s="225" t="s">
        <v>1187</v>
      </c>
      <c r="C470" s="100">
        <v>97915.11</v>
      </c>
      <c r="F470" s="69"/>
      <c r="M470" s="3"/>
    </row>
    <row r="471" spans="1:13">
      <c r="A471" s="225">
        <v>95017</v>
      </c>
      <c r="B471" s="225" t="s">
        <v>1188</v>
      </c>
      <c r="C471" s="100">
        <v>21114.34</v>
      </c>
      <c r="F471" s="69"/>
      <c r="M471" s="3"/>
    </row>
    <row r="472" spans="1:13">
      <c r="A472" s="225">
        <v>95101</v>
      </c>
      <c r="B472" s="225" t="s">
        <v>1189</v>
      </c>
      <c r="C472" s="100">
        <v>4367964.8600000003</v>
      </c>
      <c r="F472" s="69"/>
      <c r="M472" s="3"/>
    </row>
    <row r="473" spans="1:13">
      <c r="A473" s="225">
        <v>95103</v>
      </c>
      <c r="B473" s="225" t="s">
        <v>1190</v>
      </c>
      <c r="C473" s="100">
        <v>35618.67</v>
      </c>
      <c r="F473" s="69"/>
      <c r="M473" s="3"/>
    </row>
    <row r="474" spans="1:13">
      <c r="A474" s="225">
        <v>95104</v>
      </c>
      <c r="B474" s="225" t="s">
        <v>1191</v>
      </c>
      <c r="C474" s="100">
        <v>78150.95</v>
      </c>
      <c r="F474" s="69"/>
      <c r="M474" s="3"/>
    </row>
    <row r="475" spans="1:13">
      <c r="A475" s="225">
        <v>95105</v>
      </c>
      <c r="B475" s="225" t="s">
        <v>1192</v>
      </c>
      <c r="C475" s="100">
        <v>39688.6</v>
      </c>
      <c r="F475" s="69"/>
      <c r="M475" s="3"/>
    </row>
    <row r="476" spans="1:13">
      <c r="A476" s="225">
        <v>95106</v>
      </c>
      <c r="B476" s="225" t="s">
        <v>1193</v>
      </c>
      <c r="C476" s="100">
        <v>8990.35</v>
      </c>
      <c r="F476" s="69"/>
      <c r="M476" s="3"/>
    </row>
    <row r="477" spans="1:13">
      <c r="A477" s="225">
        <v>95110</v>
      </c>
      <c r="B477" s="225" t="s">
        <v>1194</v>
      </c>
      <c r="C477" s="100">
        <v>1868496.58</v>
      </c>
      <c r="F477" s="69"/>
      <c r="M477" s="3"/>
    </row>
    <row r="478" spans="1:13">
      <c r="A478" s="225">
        <v>95111</v>
      </c>
      <c r="B478" s="225" t="s">
        <v>1195</v>
      </c>
      <c r="C478" s="100">
        <v>529283.68999999994</v>
      </c>
      <c r="F478" s="69"/>
      <c r="M478" s="3"/>
    </row>
    <row r="479" spans="1:13">
      <c r="A479" s="225">
        <v>95113</v>
      </c>
      <c r="B479" s="225" t="s">
        <v>1196</v>
      </c>
      <c r="C479" s="100">
        <v>80547.34</v>
      </c>
      <c r="F479" s="69"/>
      <c r="M479" s="3"/>
    </row>
    <row r="480" spans="1:13">
      <c r="A480" s="225">
        <v>95121</v>
      </c>
      <c r="B480" s="225" t="s">
        <v>1197</v>
      </c>
      <c r="C480" s="100">
        <v>251846.37</v>
      </c>
      <c r="F480" s="69"/>
      <c r="M480" s="3"/>
    </row>
    <row r="481" spans="1:13">
      <c r="A481" s="225">
        <v>95122</v>
      </c>
      <c r="B481" s="225" t="s">
        <v>1198</v>
      </c>
      <c r="C481" s="100">
        <v>9862.3799999999992</v>
      </c>
      <c r="F481" s="69"/>
      <c r="M481" s="3"/>
    </row>
    <row r="482" spans="1:13">
      <c r="A482" s="225">
        <v>95123</v>
      </c>
      <c r="B482" s="225" t="s">
        <v>1199</v>
      </c>
      <c r="C482" s="100">
        <v>29249.16</v>
      </c>
      <c r="F482" s="69"/>
      <c r="M482" s="3"/>
    </row>
    <row r="483" spans="1:13">
      <c r="A483" s="225">
        <v>95131</v>
      </c>
      <c r="B483" s="225" t="s">
        <v>1200</v>
      </c>
      <c r="C483" s="100">
        <v>924241.19</v>
      </c>
      <c r="F483" s="69"/>
      <c r="M483" s="3"/>
    </row>
    <row r="484" spans="1:13">
      <c r="A484" s="225">
        <v>95141</v>
      </c>
      <c r="B484" s="225" t="s">
        <v>1201</v>
      </c>
      <c r="C484" s="100">
        <v>176830.05</v>
      </c>
      <c r="F484" s="69"/>
      <c r="M484" s="3"/>
    </row>
    <row r="485" spans="1:13">
      <c r="A485" s="225">
        <v>95151</v>
      </c>
      <c r="B485" s="225" t="s">
        <v>1202</v>
      </c>
      <c r="C485" s="100">
        <v>56199.7</v>
      </c>
      <c r="F485" s="69"/>
      <c r="M485" s="3"/>
    </row>
    <row r="486" spans="1:13">
      <c r="A486" s="225">
        <v>95161</v>
      </c>
      <c r="B486" s="225" t="s">
        <v>1203</v>
      </c>
      <c r="C486" s="100">
        <v>41952.11</v>
      </c>
      <c r="F486" s="69"/>
      <c r="M486" s="3"/>
    </row>
    <row r="487" spans="1:13">
      <c r="A487" s="225">
        <v>95171</v>
      </c>
      <c r="B487" s="225" t="s">
        <v>1204</v>
      </c>
      <c r="C487" s="100">
        <v>60797.65</v>
      </c>
      <c r="F487" s="69"/>
      <c r="M487" s="3"/>
    </row>
    <row r="488" spans="1:13">
      <c r="A488" s="225">
        <v>95181</v>
      </c>
      <c r="B488" s="225" t="s">
        <v>1205</v>
      </c>
      <c r="C488" s="100">
        <v>35456.300000000003</v>
      </c>
      <c r="F488" s="69"/>
      <c r="M488" s="3"/>
    </row>
    <row r="489" spans="1:13">
      <c r="A489" s="225">
        <v>95191</v>
      </c>
      <c r="B489" s="225" t="s">
        <v>1206</v>
      </c>
      <c r="C489" s="100">
        <v>46287.75</v>
      </c>
      <c r="F489" s="69"/>
      <c r="M489" s="3"/>
    </row>
    <row r="490" spans="1:13">
      <c r="A490" s="225">
        <v>95201</v>
      </c>
      <c r="B490" s="225" t="s">
        <v>1207</v>
      </c>
      <c r="C490" s="100">
        <v>346949.91</v>
      </c>
      <c r="F490" s="69"/>
      <c r="M490" s="3"/>
    </row>
    <row r="491" spans="1:13">
      <c r="A491" s="225">
        <v>95204</v>
      </c>
      <c r="B491" s="225" t="s">
        <v>1208</v>
      </c>
      <c r="C491" s="100">
        <v>5885.4</v>
      </c>
      <c r="F491" s="69"/>
      <c r="M491" s="3"/>
    </row>
    <row r="492" spans="1:13">
      <c r="A492" s="225">
        <v>95205</v>
      </c>
      <c r="B492" s="225" t="s">
        <v>1209</v>
      </c>
      <c r="C492" s="100">
        <v>2624.79</v>
      </c>
      <c r="F492" s="69"/>
      <c r="M492" s="3"/>
    </row>
    <row r="493" spans="1:13">
      <c r="A493" s="225">
        <v>95211</v>
      </c>
      <c r="B493" s="225" t="s">
        <v>1210</v>
      </c>
      <c r="C493" s="100">
        <v>3206.18</v>
      </c>
      <c r="F493" s="69"/>
      <c r="M493" s="3"/>
    </row>
    <row r="494" spans="1:13">
      <c r="A494" s="225">
        <v>95221</v>
      </c>
      <c r="B494" s="225" t="s">
        <v>1211</v>
      </c>
      <c r="C494" s="100">
        <v>23396.71</v>
      </c>
      <c r="F494" s="69"/>
      <c r="M494" s="3"/>
    </row>
    <row r="495" spans="1:13">
      <c r="A495" s="225">
        <v>95301</v>
      </c>
      <c r="B495" s="225" t="s">
        <v>1212</v>
      </c>
      <c r="C495" s="100">
        <v>1223993.3400000001</v>
      </c>
      <c r="F495" s="69"/>
      <c r="M495" s="3"/>
    </row>
    <row r="496" spans="1:13">
      <c r="A496" s="225">
        <v>95311</v>
      </c>
      <c r="B496" s="225" t="s">
        <v>1213</v>
      </c>
      <c r="C496" s="100">
        <v>1417794.66</v>
      </c>
      <c r="F496" s="69"/>
      <c r="M496" s="3"/>
    </row>
    <row r="497" spans="1:13">
      <c r="A497" s="225">
        <v>95317</v>
      </c>
      <c r="B497" s="225" t="s">
        <v>1214</v>
      </c>
      <c r="C497" s="100">
        <v>30162.59</v>
      </c>
      <c r="F497" s="69"/>
      <c r="M497" s="3"/>
    </row>
    <row r="498" spans="1:13">
      <c r="A498" s="225">
        <v>95321</v>
      </c>
      <c r="B498" s="225" t="s">
        <v>1215</v>
      </c>
      <c r="C498" s="100">
        <v>30408.560000000001</v>
      </c>
      <c r="F498" s="69"/>
      <c r="M498" s="3"/>
    </row>
    <row r="499" spans="1:13">
      <c r="A499" s="225">
        <v>95401</v>
      </c>
      <c r="B499" s="225" t="s">
        <v>1216</v>
      </c>
      <c r="C499" s="100">
        <v>1502831.29</v>
      </c>
      <c r="F499" s="69"/>
      <c r="M499" s="3"/>
    </row>
    <row r="500" spans="1:13">
      <c r="A500" s="225">
        <v>95404</v>
      </c>
      <c r="B500" s="225" t="s">
        <v>1217</v>
      </c>
      <c r="C500" s="100">
        <v>24185.22</v>
      </c>
      <c r="F500" s="69"/>
      <c r="M500" s="3"/>
    </row>
    <row r="501" spans="1:13">
      <c r="A501" s="225">
        <v>95405</v>
      </c>
      <c r="B501" s="225" t="s">
        <v>1218</v>
      </c>
      <c r="C501" s="100">
        <v>19182.87</v>
      </c>
      <c r="F501" s="69"/>
      <c r="M501" s="3"/>
    </row>
    <row r="502" spans="1:13">
      <c r="A502" s="225">
        <v>95411</v>
      </c>
      <c r="B502" s="225" t="s">
        <v>1219</v>
      </c>
      <c r="C502" s="100">
        <v>1143335.5900000001</v>
      </c>
      <c r="F502" s="69"/>
      <c r="M502" s="3"/>
    </row>
    <row r="503" spans="1:13">
      <c r="A503" s="225">
        <v>95413</v>
      </c>
      <c r="B503" s="225" t="s">
        <v>1221</v>
      </c>
      <c r="C503" s="100">
        <v>137022.91</v>
      </c>
      <c r="F503" s="69"/>
      <c r="M503" s="3"/>
    </row>
    <row r="504" spans="1:13">
      <c r="A504" s="225">
        <v>95415</v>
      </c>
      <c r="B504" s="225" t="s">
        <v>1222</v>
      </c>
      <c r="C504" s="100">
        <v>32316.3</v>
      </c>
      <c r="F504" s="69"/>
      <c r="M504" s="3"/>
    </row>
    <row r="505" spans="1:13">
      <c r="A505" s="225">
        <v>95421</v>
      </c>
      <c r="B505" s="225" t="s">
        <v>1223</v>
      </c>
      <c r="C505" s="100">
        <v>21571.33</v>
      </c>
      <c r="F505" s="69"/>
      <c r="M505" s="3"/>
    </row>
    <row r="506" spans="1:13">
      <c r="A506" s="225">
        <v>95431</v>
      </c>
      <c r="B506" s="225" t="s">
        <v>1224</v>
      </c>
      <c r="C506" s="100">
        <v>69044.070000000007</v>
      </c>
      <c r="F506" s="69"/>
      <c r="M506" s="3"/>
    </row>
    <row r="507" spans="1:13">
      <c r="A507" s="225">
        <v>95501</v>
      </c>
      <c r="B507" s="225" t="s">
        <v>1225</v>
      </c>
      <c r="C507" s="100">
        <v>2654863.9300000002</v>
      </c>
      <c r="F507" s="69"/>
      <c r="M507" s="3"/>
    </row>
    <row r="508" spans="1:13">
      <c r="A508" s="225">
        <v>95504</v>
      </c>
      <c r="B508" s="225" t="s">
        <v>1226</v>
      </c>
      <c r="C508" s="100">
        <v>15268.96</v>
      </c>
      <c r="F508" s="69"/>
      <c r="M508" s="3"/>
    </row>
    <row r="509" spans="1:13">
      <c r="A509" s="225">
        <v>95511</v>
      </c>
      <c r="B509" s="225" t="s">
        <v>1227</v>
      </c>
      <c r="C509" s="100">
        <v>550402.27</v>
      </c>
      <c r="F509" s="69"/>
      <c r="M509" s="3"/>
    </row>
    <row r="510" spans="1:13">
      <c r="A510" s="225">
        <v>95513</v>
      </c>
      <c r="B510" s="225" t="s">
        <v>1228</v>
      </c>
      <c r="C510" s="100">
        <v>35024.910000000003</v>
      </c>
      <c r="F510" s="69"/>
      <c r="M510" s="3"/>
    </row>
    <row r="511" spans="1:13">
      <c r="A511" s="225">
        <v>95517</v>
      </c>
      <c r="B511" s="225" t="s">
        <v>1229</v>
      </c>
      <c r="C511" s="100">
        <v>10129.99</v>
      </c>
      <c r="F511" s="69"/>
      <c r="M511" s="3"/>
    </row>
    <row r="512" spans="1:13">
      <c r="A512" s="225">
        <v>95601</v>
      </c>
      <c r="B512" s="225" t="s">
        <v>1230</v>
      </c>
      <c r="C512" s="100">
        <v>1296850.42</v>
      </c>
      <c r="F512" s="69"/>
      <c r="M512" s="3"/>
    </row>
    <row r="513" spans="1:13">
      <c r="A513" s="225">
        <v>95611</v>
      </c>
      <c r="B513" s="225" t="s">
        <v>1231</v>
      </c>
      <c r="C513" s="100">
        <v>210213.02</v>
      </c>
      <c r="F513" s="69"/>
      <c r="M513" s="3"/>
    </row>
    <row r="514" spans="1:13">
      <c r="A514" s="225">
        <v>95617</v>
      </c>
      <c r="B514" s="225" t="s">
        <v>1232</v>
      </c>
      <c r="C514" s="100">
        <v>9404.7999999999993</v>
      </c>
      <c r="F514" s="69"/>
      <c r="M514" s="3"/>
    </row>
    <row r="515" spans="1:13">
      <c r="A515" s="225">
        <v>95621</v>
      </c>
      <c r="B515" s="225" t="s">
        <v>1233</v>
      </c>
      <c r="C515" s="100">
        <v>249183.18</v>
      </c>
      <c r="F515" s="69"/>
      <c r="M515" s="3"/>
    </row>
    <row r="516" spans="1:13">
      <c r="A516" s="225">
        <v>95701</v>
      </c>
      <c r="B516" s="225" t="s">
        <v>1234</v>
      </c>
      <c r="C516" s="100">
        <v>621911.68000000005</v>
      </c>
      <c r="F516" s="69"/>
      <c r="M516" s="3"/>
    </row>
    <row r="517" spans="1:13">
      <c r="A517" s="225">
        <v>95711</v>
      </c>
      <c r="B517" s="225" t="s">
        <v>1235</v>
      </c>
      <c r="C517" s="100">
        <v>67222.19</v>
      </c>
      <c r="F517" s="69"/>
      <c r="M517" s="3"/>
    </row>
    <row r="518" spans="1:13">
      <c r="A518" s="225">
        <v>95721</v>
      </c>
      <c r="B518" s="225" t="s">
        <v>1236</v>
      </c>
      <c r="C518" s="100">
        <v>32958.31</v>
      </c>
      <c r="F518" s="69"/>
      <c r="M518" s="3"/>
    </row>
    <row r="519" spans="1:13">
      <c r="A519" s="225">
        <v>95733</v>
      </c>
      <c r="B519" s="225" t="s">
        <v>1237</v>
      </c>
      <c r="C519" s="100">
        <v>7777.11</v>
      </c>
      <c r="F519" s="69"/>
      <c r="M519" s="3"/>
    </row>
    <row r="520" spans="1:13">
      <c r="A520" s="225">
        <v>95801</v>
      </c>
      <c r="B520" s="225" t="s">
        <v>1238</v>
      </c>
      <c r="C520" s="100">
        <v>525070.02</v>
      </c>
      <c r="F520" s="69"/>
      <c r="M520" s="3"/>
    </row>
    <row r="521" spans="1:13">
      <c r="A521" s="225">
        <v>95802</v>
      </c>
      <c r="B521" s="225" t="s">
        <v>1239</v>
      </c>
      <c r="C521" s="100">
        <v>6018.25</v>
      </c>
      <c r="F521" s="69"/>
      <c r="M521" s="3"/>
    </row>
    <row r="522" spans="1:13">
      <c r="A522" s="225">
        <v>95804</v>
      </c>
      <c r="B522" s="225" t="s">
        <v>1240</v>
      </c>
      <c r="C522" s="100">
        <v>10226.129999999999</v>
      </c>
      <c r="F522" s="69"/>
      <c r="M522" s="3"/>
    </row>
    <row r="523" spans="1:13">
      <c r="A523" s="225">
        <v>95811</v>
      </c>
      <c r="B523" s="225" t="s">
        <v>1241</v>
      </c>
      <c r="C523" s="100">
        <v>280162.51</v>
      </c>
      <c r="F523" s="69"/>
      <c r="M523" s="3"/>
    </row>
    <row r="524" spans="1:13">
      <c r="A524" s="225">
        <v>95813</v>
      </c>
      <c r="B524" s="225" t="s">
        <v>1242</v>
      </c>
      <c r="C524" s="100">
        <v>62736.36</v>
      </c>
      <c r="F524" s="69"/>
      <c r="M524" s="3"/>
    </row>
    <row r="525" spans="1:13">
      <c r="A525" s="225">
        <v>95821</v>
      </c>
      <c r="B525" s="225" t="s">
        <v>1243</v>
      </c>
      <c r="C525" s="100">
        <v>2663.96</v>
      </c>
      <c r="F525" s="69"/>
      <c r="M525" s="3"/>
    </row>
    <row r="526" spans="1:13">
      <c r="A526" s="225">
        <v>95831</v>
      </c>
      <c r="B526" s="225" t="s">
        <v>1244</v>
      </c>
      <c r="C526" s="100">
        <v>15426.48</v>
      </c>
      <c r="F526" s="69"/>
      <c r="M526" s="3"/>
    </row>
    <row r="527" spans="1:13">
      <c r="A527" s="225">
        <v>95841</v>
      </c>
      <c r="B527" s="225" t="s">
        <v>1245</v>
      </c>
      <c r="C527" s="100">
        <v>12462.81</v>
      </c>
      <c r="F527" s="69"/>
      <c r="M527" s="3"/>
    </row>
    <row r="528" spans="1:13">
      <c r="A528" s="225">
        <v>95851</v>
      </c>
      <c r="B528" s="225" t="s">
        <v>1246</v>
      </c>
      <c r="C528" s="100">
        <v>140981.32999999999</v>
      </c>
      <c r="F528" s="69"/>
      <c r="M528" s="3"/>
    </row>
    <row r="529" spans="1:13">
      <c r="A529" s="225">
        <v>95853</v>
      </c>
      <c r="B529" s="225" t="s">
        <v>1247</v>
      </c>
      <c r="C529" s="100">
        <v>16338.43</v>
      </c>
      <c r="F529" s="69"/>
      <c r="M529" s="3"/>
    </row>
    <row r="530" spans="1:13">
      <c r="A530" s="225">
        <v>95901</v>
      </c>
      <c r="B530" s="225" t="s">
        <v>1248</v>
      </c>
      <c r="C530" s="100">
        <v>967578.94</v>
      </c>
      <c r="F530" s="69"/>
      <c r="M530" s="3"/>
    </row>
    <row r="531" spans="1:13">
      <c r="A531" s="225">
        <v>95908</v>
      </c>
      <c r="B531" s="225" t="s">
        <v>1249</v>
      </c>
      <c r="C531" s="100">
        <v>29379.15</v>
      </c>
      <c r="F531" s="69"/>
      <c r="M531" s="3"/>
    </row>
    <row r="532" spans="1:13">
      <c r="A532" s="225">
        <v>95911</v>
      </c>
      <c r="B532" s="225" t="s">
        <v>1250</v>
      </c>
      <c r="C532" s="100">
        <v>282029.78000000003</v>
      </c>
      <c r="F532" s="69"/>
      <c r="M532" s="3"/>
    </row>
    <row r="533" spans="1:13">
      <c r="A533" s="225">
        <v>95917</v>
      </c>
      <c r="B533" s="225" t="s">
        <v>1251</v>
      </c>
      <c r="C533" s="100">
        <v>12484.48</v>
      </c>
      <c r="F533" s="69"/>
      <c r="M533" s="3"/>
    </row>
    <row r="534" spans="1:13">
      <c r="A534" s="225">
        <v>95921</v>
      </c>
      <c r="B534" s="225" t="s">
        <v>1252</v>
      </c>
      <c r="C534" s="100">
        <v>29858.92</v>
      </c>
      <c r="F534" s="69"/>
      <c r="M534" s="3"/>
    </row>
    <row r="535" spans="1:13">
      <c r="A535" s="225">
        <v>96001</v>
      </c>
      <c r="B535" s="225" t="s">
        <v>1253</v>
      </c>
      <c r="C535" s="100">
        <v>23157786.77</v>
      </c>
      <c r="F535" s="69"/>
      <c r="M535" s="3"/>
    </row>
    <row r="536" spans="1:13">
      <c r="A536" s="225">
        <v>96003</v>
      </c>
      <c r="B536" s="225" t="s">
        <v>1254</v>
      </c>
      <c r="C536" s="100">
        <v>884055.93</v>
      </c>
      <c r="F536" s="69"/>
      <c r="M536" s="3"/>
    </row>
    <row r="537" spans="1:13">
      <c r="A537" s="225">
        <v>96004</v>
      </c>
      <c r="B537" s="225" t="s">
        <v>1255</v>
      </c>
      <c r="C537" s="100">
        <v>547641.63</v>
      </c>
      <c r="F537" s="69"/>
      <c r="M537" s="3"/>
    </row>
    <row r="538" spans="1:13">
      <c r="A538" s="225">
        <v>96005</v>
      </c>
      <c r="B538" s="225" t="s">
        <v>1256</v>
      </c>
      <c r="C538" s="100">
        <v>1353903.59</v>
      </c>
      <c r="F538" s="69"/>
      <c r="M538" s="3"/>
    </row>
    <row r="539" spans="1:13">
      <c r="A539" s="225">
        <v>96008</v>
      </c>
      <c r="B539" s="225" t="s">
        <v>1257</v>
      </c>
      <c r="C539" s="100">
        <v>2498363.63</v>
      </c>
      <c r="F539" s="69"/>
      <c r="M539" s="3"/>
    </row>
    <row r="540" spans="1:13">
      <c r="A540" s="225">
        <v>96009</v>
      </c>
      <c r="B540" s="225" t="s">
        <v>1258</v>
      </c>
      <c r="C540" s="100">
        <v>212749.71</v>
      </c>
      <c r="F540" s="69"/>
      <c r="M540" s="3"/>
    </row>
    <row r="541" spans="1:13">
      <c r="A541" s="225">
        <v>96011</v>
      </c>
      <c r="B541" s="225" t="s">
        <v>1259</v>
      </c>
      <c r="C541" s="100">
        <v>33715331.130000003</v>
      </c>
      <c r="F541" s="69"/>
      <c r="M541" s="3"/>
    </row>
    <row r="542" spans="1:13">
      <c r="A542" s="225">
        <v>96012</v>
      </c>
      <c r="B542" s="225" t="s">
        <v>1260</v>
      </c>
      <c r="C542" s="100">
        <v>1317958.1000000001</v>
      </c>
      <c r="F542" s="69"/>
      <c r="M542" s="3"/>
    </row>
    <row r="543" spans="1:13">
      <c r="A543" s="225">
        <v>96018</v>
      </c>
      <c r="B543" s="225" t="s">
        <v>1261</v>
      </c>
      <c r="C543" s="100">
        <v>18528.07</v>
      </c>
      <c r="F543" s="69"/>
      <c r="M543" s="3"/>
    </row>
    <row r="544" spans="1:13">
      <c r="A544" s="225">
        <v>96021</v>
      </c>
      <c r="B544" s="225" t="s">
        <v>1262</v>
      </c>
      <c r="C544" s="100">
        <v>379841.01</v>
      </c>
      <c r="F544" s="69"/>
      <c r="M544" s="3"/>
    </row>
    <row r="545" spans="1:13">
      <c r="A545" s="225">
        <v>96031</v>
      </c>
      <c r="B545" s="225" t="s">
        <v>1263</v>
      </c>
      <c r="C545" s="100">
        <v>394183.36</v>
      </c>
      <c r="F545" s="69"/>
      <c r="M545" s="3"/>
    </row>
    <row r="546" spans="1:13">
      <c r="A546" s="225">
        <v>96041</v>
      </c>
      <c r="B546" s="225" t="s">
        <v>1264</v>
      </c>
      <c r="C546" s="100">
        <v>888201.47</v>
      </c>
      <c r="F546" s="69"/>
      <c r="M546" s="3"/>
    </row>
    <row r="547" spans="1:13">
      <c r="A547" s="225">
        <v>96051</v>
      </c>
      <c r="B547" s="225" t="s">
        <v>1265</v>
      </c>
      <c r="C547" s="100">
        <v>472545.74</v>
      </c>
      <c r="F547" s="69"/>
      <c r="M547" s="3"/>
    </row>
    <row r="548" spans="1:13">
      <c r="A548" s="225">
        <v>96061</v>
      </c>
      <c r="B548" s="225" t="s">
        <v>1266</v>
      </c>
      <c r="C548" s="100">
        <v>177363.46</v>
      </c>
      <c r="F548" s="69"/>
      <c r="M548" s="3"/>
    </row>
    <row r="549" spans="1:13">
      <c r="A549" s="225">
        <v>96071</v>
      </c>
      <c r="B549" s="225" t="s">
        <v>1267</v>
      </c>
      <c r="C549" s="100">
        <v>714369.61</v>
      </c>
      <c r="F549" s="69"/>
      <c r="M549" s="3"/>
    </row>
    <row r="550" spans="1:13">
      <c r="A550" s="225">
        <v>96081</v>
      </c>
      <c r="B550" s="225" t="s">
        <v>1268</v>
      </c>
      <c r="C550" s="100">
        <v>270137.93</v>
      </c>
      <c r="F550" s="69"/>
      <c r="M550" s="3"/>
    </row>
    <row r="551" spans="1:13">
      <c r="A551" s="225">
        <v>96101</v>
      </c>
      <c r="B551" s="225" t="s">
        <v>1269</v>
      </c>
      <c r="C551" s="100">
        <v>382092.66</v>
      </c>
      <c r="F551" s="69"/>
      <c r="M551" s="3"/>
    </row>
    <row r="552" spans="1:13">
      <c r="A552" s="225">
        <v>96102</v>
      </c>
      <c r="B552" s="225" t="s">
        <v>1270</v>
      </c>
      <c r="C552" s="100">
        <v>5415.94</v>
      </c>
      <c r="F552" s="69"/>
      <c r="M552" s="3"/>
    </row>
    <row r="553" spans="1:13">
      <c r="A553" s="225">
        <v>96111</v>
      </c>
      <c r="B553" s="225" t="s">
        <v>1271</v>
      </c>
      <c r="C553" s="100">
        <v>94508.97</v>
      </c>
      <c r="F553" s="69"/>
      <c r="M553" s="3"/>
    </row>
    <row r="554" spans="1:13">
      <c r="A554" s="225">
        <v>96121</v>
      </c>
      <c r="B554" s="225" t="s">
        <v>1272</v>
      </c>
      <c r="C554" s="100">
        <v>10535.27</v>
      </c>
      <c r="F554" s="69"/>
      <c r="M554" s="3"/>
    </row>
    <row r="555" spans="1:13">
      <c r="A555" s="225">
        <v>96201</v>
      </c>
      <c r="B555" s="225" t="s">
        <v>1273</v>
      </c>
      <c r="C555" s="100">
        <v>572083.99</v>
      </c>
      <c r="F555" s="69"/>
      <c r="M555" s="3"/>
    </row>
    <row r="556" spans="1:13">
      <c r="A556" s="225">
        <v>96204</v>
      </c>
      <c r="B556" s="225" t="s">
        <v>1274</v>
      </c>
      <c r="C556" s="100">
        <v>10681.13</v>
      </c>
      <c r="F556" s="69"/>
      <c r="M556" s="3"/>
    </row>
    <row r="557" spans="1:13">
      <c r="A557" s="225">
        <v>96211</v>
      </c>
      <c r="B557" s="225" t="s">
        <v>1275</v>
      </c>
      <c r="C557" s="100">
        <v>18137.73</v>
      </c>
      <c r="F557" s="69"/>
      <c r="M557" s="3"/>
    </row>
    <row r="558" spans="1:13">
      <c r="A558" s="225">
        <v>96221</v>
      </c>
      <c r="B558" s="225" t="s">
        <v>1276</v>
      </c>
      <c r="C558" s="100">
        <v>106685.32</v>
      </c>
      <c r="F558" s="69"/>
      <c r="M558" s="3"/>
    </row>
    <row r="559" spans="1:13">
      <c r="A559" s="225">
        <v>96231</v>
      </c>
      <c r="B559" s="225" t="s">
        <v>1277</v>
      </c>
      <c r="C559" s="100">
        <v>52111.32</v>
      </c>
      <c r="F559" s="69"/>
      <c r="M559" s="3"/>
    </row>
    <row r="560" spans="1:13">
      <c r="A560" s="225">
        <v>96241</v>
      </c>
      <c r="B560" s="225" t="s">
        <v>1278</v>
      </c>
      <c r="C560" s="100">
        <v>27329.8</v>
      </c>
      <c r="F560" s="69"/>
      <c r="M560" s="3"/>
    </row>
    <row r="561" spans="1:13">
      <c r="A561" s="225">
        <v>96251</v>
      </c>
      <c r="B561" s="225" t="s">
        <v>1279</v>
      </c>
      <c r="C561" s="100">
        <v>43730.29</v>
      </c>
      <c r="F561" s="69"/>
      <c r="M561" s="3"/>
    </row>
    <row r="562" spans="1:13">
      <c r="A562" s="225">
        <v>96301</v>
      </c>
      <c r="B562" s="225" t="s">
        <v>1280</v>
      </c>
      <c r="C562" s="100">
        <v>2405174.9</v>
      </c>
      <c r="F562" s="69"/>
      <c r="M562" s="3"/>
    </row>
    <row r="563" spans="1:13">
      <c r="A563" s="225">
        <v>96302</v>
      </c>
      <c r="B563" s="225" t="s">
        <v>1281</v>
      </c>
      <c r="C563" s="100">
        <v>14739.66</v>
      </c>
      <c r="F563" s="69"/>
      <c r="M563" s="3"/>
    </row>
    <row r="564" spans="1:13">
      <c r="A564" s="225">
        <v>96304</v>
      </c>
      <c r="B564" s="225" t="s">
        <v>1282</v>
      </c>
      <c r="C564" s="100">
        <v>31357.46</v>
      </c>
      <c r="F564" s="69"/>
      <c r="M564" s="3"/>
    </row>
    <row r="565" spans="1:13">
      <c r="A565" s="225">
        <v>96305</v>
      </c>
      <c r="B565" s="225" t="s">
        <v>1283</v>
      </c>
      <c r="C565" s="100">
        <v>30657.06</v>
      </c>
      <c r="F565" s="69"/>
      <c r="M565" s="3"/>
    </row>
    <row r="566" spans="1:13">
      <c r="A566" s="225">
        <v>96310</v>
      </c>
      <c r="B566" s="225" t="s">
        <v>1284</v>
      </c>
      <c r="C566" s="100">
        <v>28567.53</v>
      </c>
      <c r="F566" s="69"/>
      <c r="M566" s="3"/>
    </row>
    <row r="567" spans="1:13">
      <c r="A567" s="225">
        <v>96311</v>
      </c>
      <c r="B567" s="225" t="s">
        <v>1285</v>
      </c>
      <c r="C567" s="100">
        <v>663857.11</v>
      </c>
      <c r="F567" s="69"/>
      <c r="M567" s="3"/>
    </row>
    <row r="568" spans="1:13">
      <c r="A568" s="225">
        <v>96312</v>
      </c>
      <c r="B568" s="225" t="s">
        <v>1286</v>
      </c>
      <c r="C568" s="100">
        <v>3369.29</v>
      </c>
      <c r="F568" s="69"/>
      <c r="M568" s="3"/>
    </row>
    <row r="569" spans="1:13">
      <c r="A569" s="225">
        <v>96318</v>
      </c>
      <c r="B569" s="225" t="s">
        <v>1287</v>
      </c>
      <c r="C569" s="100">
        <v>1322106.74</v>
      </c>
      <c r="F569" s="69"/>
      <c r="M569" s="3"/>
    </row>
    <row r="570" spans="1:13">
      <c r="A570" s="225">
        <v>96321</v>
      </c>
      <c r="B570" s="225" t="s">
        <v>1288</v>
      </c>
      <c r="C570" s="100">
        <v>20461.060000000001</v>
      </c>
      <c r="F570" s="69"/>
      <c r="M570" s="3"/>
    </row>
    <row r="571" spans="1:13">
      <c r="A571" s="225">
        <v>96331</v>
      </c>
      <c r="B571" s="225" t="s">
        <v>1289</v>
      </c>
      <c r="C571" s="100">
        <v>345366.52</v>
      </c>
      <c r="F571" s="69"/>
      <c r="M571" s="3"/>
    </row>
    <row r="572" spans="1:13">
      <c r="A572" s="225">
        <v>96341</v>
      </c>
      <c r="B572" s="225" t="s">
        <v>1290</v>
      </c>
      <c r="C572" s="100">
        <v>39947.449999999997</v>
      </c>
      <c r="F572" s="69"/>
      <c r="M572" s="3"/>
    </row>
    <row r="573" spans="1:13">
      <c r="A573" s="225">
        <v>96351</v>
      </c>
      <c r="B573" s="225" t="s">
        <v>1291</v>
      </c>
      <c r="C573" s="100">
        <v>542365.87</v>
      </c>
      <c r="F573" s="69"/>
      <c r="M573" s="3"/>
    </row>
    <row r="574" spans="1:13">
      <c r="A574" s="225">
        <v>96361</v>
      </c>
      <c r="B574" s="225" t="s">
        <v>1292</v>
      </c>
      <c r="C574" s="100">
        <v>24978.34</v>
      </c>
      <c r="F574" s="69"/>
      <c r="M574" s="3"/>
    </row>
    <row r="575" spans="1:13">
      <c r="A575" s="225">
        <v>96371</v>
      </c>
      <c r="B575" s="225" t="s">
        <v>1293</v>
      </c>
      <c r="C575" s="100">
        <v>79261.78</v>
      </c>
      <c r="F575" s="69"/>
      <c r="M575" s="3"/>
    </row>
    <row r="576" spans="1:13">
      <c r="A576" s="225">
        <v>96381</v>
      </c>
      <c r="B576" s="225" t="s">
        <v>1294</v>
      </c>
      <c r="C576" s="100">
        <v>17491.009999999998</v>
      </c>
      <c r="F576" s="69"/>
      <c r="M576" s="3"/>
    </row>
    <row r="577" spans="1:13">
      <c r="A577" s="225">
        <v>96391</v>
      </c>
      <c r="B577" s="225" t="s">
        <v>1295</v>
      </c>
      <c r="C577" s="100">
        <v>88368.9</v>
      </c>
      <c r="F577" s="69"/>
      <c r="M577" s="3"/>
    </row>
    <row r="578" spans="1:13">
      <c r="A578" s="225">
        <v>96401</v>
      </c>
      <c r="B578" s="225" t="s">
        <v>1296</v>
      </c>
      <c r="C578" s="100">
        <v>2342959.77</v>
      </c>
      <c r="F578" s="69"/>
      <c r="M578" s="3"/>
    </row>
    <row r="579" spans="1:13">
      <c r="A579" s="225">
        <v>96404</v>
      </c>
      <c r="B579" s="225" t="s">
        <v>1297</v>
      </c>
      <c r="C579" s="100">
        <v>67522.3</v>
      </c>
      <c r="F579" s="69"/>
      <c r="M579" s="3"/>
    </row>
    <row r="580" spans="1:13">
      <c r="A580" s="225">
        <v>96405</v>
      </c>
      <c r="B580" s="225" t="s">
        <v>1298</v>
      </c>
      <c r="C580" s="100">
        <v>94249.49</v>
      </c>
      <c r="F580" s="69"/>
      <c r="M580" s="3"/>
    </row>
    <row r="581" spans="1:13">
      <c r="A581" s="225">
        <v>96411</v>
      </c>
      <c r="B581" s="225" t="s">
        <v>1299</v>
      </c>
      <c r="C581" s="100">
        <v>34708.199999999997</v>
      </c>
      <c r="F581" s="69"/>
      <c r="M581" s="3"/>
    </row>
    <row r="582" spans="1:13">
      <c r="A582" s="225">
        <v>96421</v>
      </c>
      <c r="B582" s="225" t="s">
        <v>1300</v>
      </c>
      <c r="C582" s="100">
        <v>180831.57</v>
      </c>
      <c r="F582" s="69"/>
      <c r="M582" s="3"/>
    </row>
    <row r="583" spans="1:13">
      <c r="A583" s="225">
        <v>96431</v>
      </c>
      <c r="B583" s="225" t="s">
        <v>1301</v>
      </c>
      <c r="C583" s="100">
        <v>24442.02</v>
      </c>
      <c r="F583" s="69"/>
      <c r="M583" s="3"/>
    </row>
    <row r="584" spans="1:13">
      <c r="A584" s="225">
        <v>96441</v>
      </c>
      <c r="B584" s="225" t="s">
        <v>1302</v>
      </c>
      <c r="C584" s="100">
        <v>14878.04</v>
      </c>
      <c r="F584" s="69"/>
      <c r="M584" s="3"/>
    </row>
    <row r="585" spans="1:13">
      <c r="A585" s="225">
        <v>96451</v>
      </c>
      <c r="B585" s="225" t="s">
        <v>1303</v>
      </c>
      <c r="C585" s="100">
        <v>8090.47</v>
      </c>
      <c r="F585" s="69"/>
      <c r="M585" s="3"/>
    </row>
    <row r="586" spans="1:13">
      <c r="A586" s="225">
        <v>96461</v>
      </c>
      <c r="B586" s="225" t="s">
        <v>1304</v>
      </c>
      <c r="C586" s="100">
        <v>64279.5</v>
      </c>
      <c r="F586" s="69"/>
      <c r="M586" s="3"/>
    </row>
    <row r="587" spans="1:13">
      <c r="A587" s="225">
        <v>96501</v>
      </c>
      <c r="B587" s="225" t="s">
        <v>1305</v>
      </c>
      <c r="C587" s="100">
        <v>7712694.7999999998</v>
      </c>
      <c r="F587" s="69"/>
      <c r="M587" s="3"/>
    </row>
    <row r="588" spans="1:13">
      <c r="A588" s="225">
        <v>96502</v>
      </c>
      <c r="B588" s="225" t="s">
        <v>1306</v>
      </c>
      <c r="C588" s="100">
        <v>230207.83</v>
      </c>
      <c r="F588" s="69"/>
      <c r="M588" s="3"/>
    </row>
    <row r="589" spans="1:13">
      <c r="A589" s="225">
        <v>96503</v>
      </c>
      <c r="B589" s="225" t="s">
        <v>1307</v>
      </c>
      <c r="C589" s="100">
        <v>375468.31</v>
      </c>
      <c r="F589" s="69"/>
      <c r="M589" s="3"/>
    </row>
    <row r="590" spans="1:13">
      <c r="A590" s="225">
        <v>96504</v>
      </c>
      <c r="B590" s="225" t="s">
        <v>1308</v>
      </c>
      <c r="C590" s="100">
        <v>226955.75</v>
      </c>
      <c r="F590" s="69"/>
      <c r="M590" s="3"/>
    </row>
    <row r="591" spans="1:13">
      <c r="A591" s="225">
        <v>96507</v>
      </c>
      <c r="B591" s="225" t="s">
        <v>1309</v>
      </c>
      <c r="C591" s="100">
        <v>1259684.01</v>
      </c>
      <c r="F591" s="69"/>
      <c r="M591" s="3"/>
    </row>
    <row r="592" spans="1:13">
      <c r="A592" s="225">
        <v>96508</v>
      </c>
      <c r="B592" s="225" t="s">
        <v>1310</v>
      </c>
      <c r="C592" s="100">
        <v>12428.64</v>
      </c>
      <c r="F592" s="69"/>
      <c r="M592" s="3"/>
    </row>
    <row r="593" spans="1:13">
      <c r="A593" s="225">
        <v>96511</v>
      </c>
      <c r="B593" s="225" t="s">
        <v>1311</v>
      </c>
      <c r="C593" s="100">
        <v>309257.59999999998</v>
      </c>
      <c r="F593" s="69"/>
      <c r="M593" s="3"/>
    </row>
    <row r="594" spans="1:13">
      <c r="A594" s="225">
        <v>96512</v>
      </c>
      <c r="B594" s="225" t="s">
        <v>1312</v>
      </c>
      <c r="C594" s="100">
        <v>85706.67</v>
      </c>
      <c r="F594" s="69"/>
      <c r="M594" s="3"/>
    </row>
    <row r="595" spans="1:13">
      <c r="A595" s="225">
        <v>96521</v>
      </c>
      <c r="B595" s="225" t="s">
        <v>1313</v>
      </c>
      <c r="C595" s="100">
        <v>460571.24</v>
      </c>
      <c r="F595" s="69"/>
      <c r="M595" s="3"/>
    </row>
    <row r="596" spans="1:13">
      <c r="A596" s="225">
        <v>96531</v>
      </c>
      <c r="B596" s="225" t="s">
        <v>1314</v>
      </c>
      <c r="C596" s="100">
        <v>4419528.83</v>
      </c>
      <c r="F596" s="69"/>
      <c r="M596" s="3"/>
    </row>
    <row r="597" spans="1:13">
      <c r="A597" s="225">
        <v>96541</v>
      </c>
      <c r="B597" s="225" t="s">
        <v>1315</v>
      </c>
      <c r="C597" s="100">
        <v>184827.01</v>
      </c>
      <c r="F597" s="69"/>
      <c r="M597" s="3"/>
    </row>
    <row r="598" spans="1:13">
      <c r="A598" s="225">
        <v>96601</v>
      </c>
      <c r="B598" s="225" t="s">
        <v>1316</v>
      </c>
      <c r="C598" s="100">
        <v>934970.18</v>
      </c>
      <c r="F598" s="69"/>
      <c r="M598" s="3"/>
    </row>
    <row r="599" spans="1:13">
      <c r="A599" s="225">
        <v>96604</v>
      </c>
      <c r="B599" s="225" t="s">
        <v>1317</v>
      </c>
      <c r="C599" s="100">
        <v>4879.32</v>
      </c>
      <c r="F599" s="69"/>
      <c r="M599" s="3"/>
    </row>
    <row r="600" spans="1:13">
      <c r="A600" s="225">
        <v>96611</v>
      </c>
      <c r="B600" s="225" t="s">
        <v>1318</v>
      </c>
      <c r="C600" s="100">
        <v>12933.23</v>
      </c>
      <c r="F600" s="69"/>
      <c r="M600" s="3"/>
    </row>
    <row r="601" spans="1:13">
      <c r="A601" s="225">
        <v>96612</v>
      </c>
      <c r="B601" s="225" t="s">
        <v>1319</v>
      </c>
      <c r="C601" s="100">
        <v>37798.519999999997</v>
      </c>
      <c r="F601" s="69"/>
      <c r="M601" s="3"/>
    </row>
    <row r="602" spans="1:13">
      <c r="A602" s="225">
        <v>96621</v>
      </c>
      <c r="B602" s="225" t="s">
        <v>1320</v>
      </c>
      <c r="C602" s="100">
        <v>11740.14</v>
      </c>
      <c r="F602" s="69"/>
      <c r="M602" s="3"/>
    </row>
    <row r="603" spans="1:13">
      <c r="A603" s="225">
        <v>96631</v>
      </c>
      <c r="B603" s="225" t="s">
        <v>1321</v>
      </c>
      <c r="C603" s="100">
        <v>12770.71</v>
      </c>
      <c r="F603" s="69"/>
      <c r="M603" s="3"/>
    </row>
    <row r="604" spans="1:13">
      <c r="A604" s="225">
        <v>96641</v>
      </c>
      <c r="B604" s="225" t="s">
        <v>1322</v>
      </c>
      <c r="C604" s="100">
        <v>24181.47</v>
      </c>
      <c r="F604" s="69"/>
      <c r="M604" s="3"/>
    </row>
    <row r="605" spans="1:13">
      <c r="A605" s="225">
        <v>96651</v>
      </c>
      <c r="B605" s="225" t="s">
        <v>1323</v>
      </c>
      <c r="C605" s="100">
        <v>6302.25</v>
      </c>
      <c r="F605" s="69"/>
      <c r="M605" s="3"/>
    </row>
    <row r="606" spans="1:13">
      <c r="A606" s="225">
        <v>96661</v>
      </c>
      <c r="B606" s="225" t="s">
        <v>1324</v>
      </c>
      <c r="C606" s="100">
        <v>10314.379999999999</v>
      </c>
      <c r="F606" s="69"/>
      <c r="M606" s="3"/>
    </row>
    <row r="607" spans="1:13">
      <c r="A607" s="225">
        <v>96671</v>
      </c>
      <c r="B607" s="225" t="s">
        <v>1325</v>
      </c>
      <c r="C607" s="100">
        <v>9471.07</v>
      </c>
      <c r="F607" s="69"/>
      <c r="M607" s="3"/>
    </row>
    <row r="608" spans="1:13">
      <c r="A608" s="225">
        <v>96681</v>
      </c>
      <c r="B608" s="225" t="s">
        <v>1326</v>
      </c>
      <c r="C608" s="100">
        <v>17062.36</v>
      </c>
      <c r="F608" s="69"/>
      <c r="M608" s="3"/>
    </row>
    <row r="609" spans="1:13">
      <c r="A609" s="225">
        <v>96701</v>
      </c>
      <c r="B609" s="225" t="s">
        <v>1327</v>
      </c>
      <c r="C609" s="100">
        <v>4124754.67</v>
      </c>
      <c r="F609" s="69"/>
      <c r="M609" s="3"/>
    </row>
    <row r="610" spans="1:13">
      <c r="A610" s="225">
        <v>96704</v>
      </c>
      <c r="B610" s="225" t="s">
        <v>1328</v>
      </c>
      <c r="C610" s="100">
        <v>122330.28</v>
      </c>
      <c r="F610" s="69"/>
      <c r="M610" s="3"/>
    </row>
    <row r="611" spans="1:13">
      <c r="A611" s="225">
        <v>96708</v>
      </c>
      <c r="B611" s="225" t="s">
        <v>1329</v>
      </c>
      <c r="C611" s="100">
        <v>517121.77</v>
      </c>
      <c r="F611" s="69"/>
      <c r="M611" s="3"/>
    </row>
    <row r="612" spans="1:13">
      <c r="A612" s="225">
        <v>96711</v>
      </c>
      <c r="B612" s="225" t="s">
        <v>1330</v>
      </c>
      <c r="C612" s="100">
        <v>2019417.91</v>
      </c>
      <c r="F612" s="69"/>
      <c r="M612" s="3"/>
    </row>
    <row r="613" spans="1:13">
      <c r="A613" s="225">
        <v>96721</v>
      </c>
      <c r="B613" s="225" t="s">
        <v>1331</v>
      </c>
      <c r="C613" s="100">
        <v>111056.9</v>
      </c>
      <c r="F613" s="69"/>
      <c r="M613" s="3"/>
    </row>
    <row r="614" spans="1:13">
      <c r="A614" s="225">
        <v>96731</v>
      </c>
      <c r="B614" s="225" t="s">
        <v>1332</v>
      </c>
      <c r="C614" s="100">
        <v>87473.279999999999</v>
      </c>
      <c r="F614" s="69"/>
      <c r="M614" s="3"/>
    </row>
    <row r="615" spans="1:13">
      <c r="A615" s="225">
        <v>96733</v>
      </c>
      <c r="B615" s="225" t="s">
        <v>1333</v>
      </c>
      <c r="C615" s="100">
        <v>2001.93</v>
      </c>
      <c r="F615" s="69"/>
      <c r="M615" s="3"/>
    </row>
    <row r="616" spans="1:13">
      <c r="A616" s="225">
        <v>96741</v>
      </c>
      <c r="B616" s="225" t="s">
        <v>1334</v>
      </c>
      <c r="C616" s="100">
        <v>48053.03</v>
      </c>
      <c r="F616" s="69"/>
      <c r="M616" s="3"/>
    </row>
    <row r="617" spans="1:13">
      <c r="A617" s="225">
        <v>96751</v>
      </c>
      <c r="B617" s="225" t="s">
        <v>1335</v>
      </c>
      <c r="C617" s="100">
        <v>161440.89000000001</v>
      </c>
      <c r="F617" s="69"/>
      <c r="M617" s="3"/>
    </row>
    <row r="618" spans="1:13">
      <c r="A618" s="225">
        <v>96801</v>
      </c>
      <c r="B618" s="225" t="s">
        <v>1336</v>
      </c>
      <c r="C618" s="100">
        <v>4007411.43</v>
      </c>
      <c r="F618" s="69"/>
      <c r="M618" s="3"/>
    </row>
    <row r="619" spans="1:13">
      <c r="A619" s="225">
        <v>96804</v>
      </c>
      <c r="B619" s="225" t="s">
        <v>1337</v>
      </c>
      <c r="C619" s="100">
        <v>118045.31</v>
      </c>
      <c r="F619" s="69"/>
      <c r="M619" s="3"/>
    </row>
    <row r="620" spans="1:13">
      <c r="A620" s="225">
        <v>96808</v>
      </c>
      <c r="B620" s="225" t="s">
        <v>1338</v>
      </c>
      <c r="C620" s="100">
        <v>649544.71</v>
      </c>
      <c r="F620" s="69"/>
      <c r="M620" s="3"/>
    </row>
    <row r="621" spans="1:13">
      <c r="A621" s="225">
        <v>96811</v>
      </c>
      <c r="B621" s="225" t="s">
        <v>1339</v>
      </c>
      <c r="C621" s="100">
        <v>3174021.73</v>
      </c>
      <c r="F621" s="69"/>
      <c r="M621" s="3"/>
    </row>
    <row r="622" spans="1:13">
      <c r="A622" s="225">
        <v>96821</v>
      </c>
      <c r="B622" s="225" t="s">
        <v>1340</v>
      </c>
      <c r="C622" s="100">
        <v>676666.34</v>
      </c>
      <c r="F622" s="69"/>
      <c r="M622" s="3"/>
    </row>
    <row r="623" spans="1:13">
      <c r="A623" s="225">
        <v>96831</v>
      </c>
      <c r="B623" s="225" t="s">
        <v>1341</v>
      </c>
      <c r="C623" s="100">
        <v>470734.7</v>
      </c>
      <c r="F623" s="69"/>
      <c r="M623" s="3"/>
    </row>
    <row r="624" spans="1:13">
      <c r="A624" s="225">
        <v>96901</v>
      </c>
      <c r="B624" s="225" t="s">
        <v>1342</v>
      </c>
      <c r="C624" s="100">
        <v>493717.89</v>
      </c>
      <c r="F624" s="69"/>
      <c r="M624" s="3"/>
    </row>
    <row r="625" spans="1:13">
      <c r="A625" s="225">
        <v>96911</v>
      </c>
      <c r="B625" s="225" t="s">
        <v>1343</v>
      </c>
      <c r="C625" s="100">
        <v>2853.73</v>
      </c>
      <c r="F625" s="69"/>
      <c r="M625" s="3"/>
    </row>
    <row r="626" spans="1:13">
      <c r="A626" s="225">
        <v>96912</v>
      </c>
      <c r="B626" s="225" t="s">
        <v>1344</v>
      </c>
      <c r="C626" s="100">
        <v>32648.080000000002</v>
      </c>
      <c r="F626" s="69"/>
      <c r="M626" s="3"/>
    </row>
    <row r="627" spans="1:13">
      <c r="A627" s="225">
        <v>96918</v>
      </c>
      <c r="B627" s="225" t="s">
        <v>1345</v>
      </c>
      <c r="C627" s="100">
        <v>17912.900000000001</v>
      </c>
      <c r="F627" s="69"/>
      <c r="M627" s="3"/>
    </row>
    <row r="628" spans="1:13">
      <c r="A628" s="225">
        <v>97001</v>
      </c>
      <c r="B628" s="225" t="s">
        <v>1346</v>
      </c>
      <c r="C628" s="100">
        <v>721867.84</v>
      </c>
      <c r="F628" s="69"/>
      <c r="M628" s="3"/>
    </row>
    <row r="629" spans="1:13">
      <c r="A629" s="225">
        <v>97002</v>
      </c>
      <c r="B629" s="225" t="s">
        <v>1347</v>
      </c>
      <c r="C629" s="100">
        <v>204106.65</v>
      </c>
      <c r="F629" s="69"/>
      <c r="M629" s="3"/>
    </row>
    <row r="630" spans="1:13">
      <c r="A630" s="225">
        <v>97004</v>
      </c>
      <c r="B630" s="225" t="s">
        <v>1348</v>
      </c>
      <c r="C630" s="100">
        <v>10392.31</v>
      </c>
      <c r="F630" s="69"/>
      <c r="M630" s="3"/>
    </row>
    <row r="631" spans="1:13">
      <c r="A631" s="225">
        <v>97005</v>
      </c>
      <c r="B631" s="225" t="s">
        <v>1349</v>
      </c>
      <c r="C631" s="100">
        <v>16238.88</v>
      </c>
      <c r="F631" s="69"/>
      <c r="M631" s="3"/>
    </row>
    <row r="632" spans="1:13">
      <c r="A632" s="225">
        <v>97008</v>
      </c>
      <c r="B632" s="225" t="s">
        <v>1350</v>
      </c>
      <c r="C632" s="100">
        <v>155145</v>
      </c>
      <c r="F632" s="69"/>
      <c r="M632" s="3"/>
    </row>
    <row r="633" spans="1:13">
      <c r="A633" s="225">
        <v>97011</v>
      </c>
      <c r="B633" s="225" t="s">
        <v>1352</v>
      </c>
      <c r="C633" s="100">
        <v>961977.26</v>
      </c>
      <c r="F633" s="69"/>
      <c r="M633" s="3"/>
    </row>
    <row r="634" spans="1:13">
      <c r="A634" s="225">
        <v>97012</v>
      </c>
      <c r="B634" s="225" t="s">
        <v>1353</v>
      </c>
      <c r="C634" s="100">
        <v>18782.62</v>
      </c>
      <c r="F634" s="69"/>
      <c r="M634" s="3"/>
    </row>
    <row r="635" spans="1:13">
      <c r="A635" s="225">
        <v>97013</v>
      </c>
      <c r="B635" s="225" t="s">
        <v>1354</v>
      </c>
      <c r="C635" s="100">
        <v>7910.12</v>
      </c>
      <c r="F635" s="69"/>
      <c r="M635" s="3"/>
    </row>
    <row r="636" spans="1:13">
      <c r="A636" s="225">
        <v>97015</v>
      </c>
      <c r="B636" s="225" t="s">
        <v>1355</v>
      </c>
      <c r="C636" s="100">
        <v>25739.21</v>
      </c>
      <c r="F636" s="69"/>
      <c r="M636" s="3"/>
    </row>
    <row r="637" spans="1:13">
      <c r="A637" s="225">
        <v>97018</v>
      </c>
      <c r="B637" s="225" t="s">
        <v>1356</v>
      </c>
      <c r="C637" s="100">
        <v>7272.42</v>
      </c>
      <c r="F637" s="69"/>
      <c r="M637" s="3"/>
    </row>
    <row r="638" spans="1:13">
      <c r="A638" s="225">
        <v>97101</v>
      </c>
      <c r="B638" s="225" t="s">
        <v>1357</v>
      </c>
      <c r="C638" s="100">
        <v>1507424.15</v>
      </c>
      <c r="F638" s="69"/>
      <c r="M638" s="3"/>
    </row>
    <row r="639" spans="1:13">
      <c r="A639" s="225">
        <v>97104</v>
      </c>
      <c r="B639" s="225" t="s">
        <v>1358</v>
      </c>
      <c r="C639" s="100">
        <v>33330.050000000003</v>
      </c>
      <c r="F639" s="69"/>
      <c r="M639" s="3"/>
    </row>
    <row r="640" spans="1:13">
      <c r="A640" s="225">
        <v>97111</v>
      </c>
      <c r="B640" s="225" t="s">
        <v>1359</v>
      </c>
      <c r="C640" s="100">
        <v>123308.58</v>
      </c>
      <c r="F640" s="69"/>
      <c r="M640" s="3"/>
    </row>
    <row r="641" spans="1:13">
      <c r="A641" s="225">
        <v>97121</v>
      </c>
      <c r="B641" s="225" t="s">
        <v>1360</v>
      </c>
      <c r="C641" s="100">
        <v>87498.26</v>
      </c>
      <c r="F641" s="69"/>
      <c r="M641" s="3"/>
    </row>
    <row r="642" spans="1:13">
      <c r="A642" s="225">
        <v>97131</v>
      </c>
      <c r="B642" s="225" t="s">
        <v>1361</v>
      </c>
      <c r="C642" s="100">
        <v>304806.2</v>
      </c>
      <c r="F642" s="69"/>
      <c r="M642" s="3"/>
    </row>
    <row r="643" spans="1:13">
      <c r="A643" s="225">
        <v>97201</v>
      </c>
      <c r="B643" s="225" t="s">
        <v>1362</v>
      </c>
      <c r="C643" s="100">
        <v>304383.49</v>
      </c>
      <c r="F643" s="69"/>
      <c r="M643" s="3"/>
    </row>
    <row r="644" spans="1:13">
      <c r="A644" s="225">
        <v>97211</v>
      </c>
      <c r="B644" s="225" t="s">
        <v>1363</v>
      </c>
      <c r="C644" s="100">
        <v>70258.539999999994</v>
      </c>
      <c r="F644" s="69"/>
      <c r="M644" s="3"/>
    </row>
    <row r="645" spans="1:13">
      <c r="A645" s="225">
        <v>97213</v>
      </c>
      <c r="B645" s="225" t="s">
        <v>1364</v>
      </c>
      <c r="C645" s="100">
        <v>23304.04</v>
      </c>
      <c r="F645" s="69"/>
      <c r="M645" s="3"/>
    </row>
    <row r="646" spans="1:13">
      <c r="A646" s="225">
        <v>97217</v>
      </c>
      <c r="B646" s="225" t="s">
        <v>1365</v>
      </c>
      <c r="C646" s="100">
        <v>6485.94</v>
      </c>
      <c r="F646" s="69"/>
      <c r="M646" s="3"/>
    </row>
    <row r="647" spans="1:13">
      <c r="A647" s="225">
        <v>97221</v>
      </c>
      <c r="B647" s="225" t="s">
        <v>1366</v>
      </c>
      <c r="C647" s="100">
        <v>6527.57</v>
      </c>
      <c r="F647" s="69"/>
      <c r="M647" s="3"/>
    </row>
    <row r="648" spans="1:13">
      <c r="A648" s="225">
        <v>97301</v>
      </c>
      <c r="B648" s="225" t="s">
        <v>1367</v>
      </c>
      <c r="C648" s="100">
        <v>1310554.6299999999</v>
      </c>
      <c r="F648" s="69"/>
      <c r="M648" s="3"/>
    </row>
    <row r="649" spans="1:13">
      <c r="A649" s="307">
        <v>97302</v>
      </c>
      <c r="B649" s="307" t="s">
        <v>3617</v>
      </c>
      <c r="C649" s="317">
        <v>13605.94</v>
      </c>
      <c r="D649" s="225" t="s">
        <v>3620</v>
      </c>
      <c r="F649" s="69"/>
      <c r="M649" s="3"/>
    </row>
    <row r="650" spans="1:13">
      <c r="A650" s="225">
        <v>97304</v>
      </c>
      <c r="B650" s="225" t="s">
        <v>1368</v>
      </c>
      <c r="C650" s="100">
        <v>15484.61</v>
      </c>
      <c r="F650" s="69"/>
      <c r="M650" s="3"/>
    </row>
    <row r="651" spans="1:13">
      <c r="A651" s="225">
        <v>97311</v>
      </c>
      <c r="B651" s="225" t="s">
        <v>1369</v>
      </c>
      <c r="C651" s="100">
        <v>457999.83</v>
      </c>
      <c r="F651" s="69"/>
      <c r="M651" s="3"/>
    </row>
    <row r="652" spans="1:13">
      <c r="A652" s="225">
        <v>97401</v>
      </c>
      <c r="B652" s="225" t="s">
        <v>1370</v>
      </c>
      <c r="C652" s="100">
        <v>3809503.83</v>
      </c>
      <c r="F652" s="69"/>
      <c r="M652" s="3"/>
    </row>
    <row r="653" spans="1:13">
      <c r="A653" s="225">
        <v>97402</v>
      </c>
      <c r="B653" s="225" t="s">
        <v>1371</v>
      </c>
      <c r="C653" s="100">
        <v>28950.639999999999</v>
      </c>
      <c r="F653" s="69"/>
      <c r="M653" s="3"/>
    </row>
    <row r="654" spans="1:13">
      <c r="A654" s="225">
        <v>97404</v>
      </c>
      <c r="B654" s="225" t="s">
        <v>1372</v>
      </c>
      <c r="C654" s="100">
        <v>103441.72</v>
      </c>
      <c r="F654" s="69"/>
      <c r="M654" s="3"/>
    </row>
    <row r="655" spans="1:13">
      <c r="A655" s="225">
        <v>97405</v>
      </c>
      <c r="B655" s="225" t="s">
        <v>1373</v>
      </c>
      <c r="C655" s="100">
        <v>73694.429999999993</v>
      </c>
      <c r="F655" s="69"/>
      <c r="M655" s="3"/>
    </row>
    <row r="656" spans="1:13">
      <c r="A656" s="225">
        <v>97408</v>
      </c>
      <c r="B656" s="225" t="s">
        <v>1374</v>
      </c>
      <c r="C656" s="100">
        <v>28174.240000000002</v>
      </c>
      <c r="F656" s="69"/>
      <c r="M656" s="3"/>
    </row>
    <row r="657" spans="1:13">
      <c r="A657" s="225">
        <v>97411</v>
      </c>
      <c r="B657" s="225" t="s">
        <v>1375</v>
      </c>
      <c r="C657" s="100">
        <v>3251982.5</v>
      </c>
      <c r="F657" s="69"/>
      <c r="M657" s="3"/>
    </row>
    <row r="658" spans="1:13">
      <c r="A658" s="225">
        <v>97412</v>
      </c>
      <c r="B658" s="225" t="s">
        <v>1376</v>
      </c>
      <c r="C658" s="100">
        <v>2398436.5299999998</v>
      </c>
      <c r="F658" s="69"/>
      <c r="M658" s="3"/>
    </row>
    <row r="659" spans="1:13">
      <c r="A659" s="225">
        <v>97413</v>
      </c>
      <c r="B659" s="225" t="s">
        <v>1377</v>
      </c>
      <c r="C659" s="100">
        <v>173180.75</v>
      </c>
      <c r="F659" s="69"/>
      <c r="M659" s="3"/>
    </row>
    <row r="660" spans="1:13">
      <c r="A660" s="225">
        <v>97421</v>
      </c>
      <c r="B660" s="225" t="s">
        <v>1378</v>
      </c>
      <c r="C660" s="100">
        <v>215076.26</v>
      </c>
      <c r="F660" s="69"/>
      <c r="M660" s="3"/>
    </row>
    <row r="661" spans="1:13">
      <c r="A661" s="225">
        <v>97423</v>
      </c>
      <c r="B661" s="225" t="s">
        <v>1379</v>
      </c>
      <c r="C661" s="100">
        <v>46668.31</v>
      </c>
      <c r="F661" s="69"/>
      <c r="M661" s="3"/>
    </row>
    <row r="662" spans="1:13">
      <c r="A662" s="225">
        <v>97431</v>
      </c>
      <c r="B662" s="225" t="s">
        <v>1380</v>
      </c>
      <c r="C662" s="100">
        <v>53454.17</v>
      </c>
      <c r="F662" s="69"/>
      <c r="M662" s="3"/>
    </row>
    <row r="663" spans="1:13">
      <c r="A663" s="225">
        <v>97441</v>
      </c>
      <c r="B663" s="225" t="s">
        <v>1381</v>
      </c>
      <c r="C663" s="100">
        <v>22686.94</v>
      </c>
      <c r="F663" s="69"/>
      <c r="M663" s="3"/>
    </row>
    <row r="664" spans="1:13">
      <c r="A664" s="225">
        <v>97451</v>
      </c>
      <c r="B664" s="225" t="s">
        <v>1382</v>
      </c>
      <c r="C664" s="100">
        <v>316949.65000000002</v>
      </c>
      <c r="F664" s="69"/>
      <c r="M664" s="3"/>
    </row>
    <row r="665" spans="1:13">
      <c r="A665" s="324" t="s">
        <v>3513</v>
      </c>
      <c r="B665" s="325" t="s">
        <v>1383</v>
      </c>
      <c r="C665" s="326">
        <v>271562.37</v>
      </c>
      <c r="F665" s="69"/>
      <c r="M665" s="3"/>
    </row>
    <row r="666" spans="1:13">
      <c r="A666" s="324" t="s">
        <v>3514</v>
      </c>
      <c r="B666" s="325" t="s">
        <v>1384</v>
      </c>
      <c r="C666" s="326"/>
      <c r="F666" s="69"/>
      <c r="M666" s="3"/>
    </row>
    <row r="667" spans="1:13" ht="15.75" thickBot="1">
      <c r="A667" s="324">
        <v>97461</v>
      </c>
      <c r="B667" s="325" t="s">
        <v>1383</v>
      </c>
      <c r="C667" s="323"/>
      <c r="F667" s="69"/>
      <c r="M667" s="3"/>
    </row>
    <row r="668" spans="1:13" ht="15.75" thickTop="1">
      <c r="A668" s="225">
        <v>97471</v>
      </c>
      <c r="B668" s="225" t="s">
        <v>1385</v>
      </c>
      <c r="C668" s="100">
        <v>13513.06</v>
      </c>
      <c r="F668" s="69"/>
      <c r="M668" s="3"/>
    </row>
    <row r="669" spans="1:13">
      <c r="A669" s="225">
        <v>97481</v>
      </c>
      <c r="B669" s="225" t="s">
        <v>1386</v>
      </c>
      <c r="C669" s="100">
        <v>2293.6799999999998</v>
      </c>
      <c r="F669" s="69"/>
      <c r="M669" s="3"/>
    </row>
    <row r="670" spans="1:13">
      <c r="A670" s="225">
        <v>97501</v>
      </c>
      <c r="B670" s="225" t="s">
        <v>1388</v>
      </c>
      <c r="C670" s="100">
        <v>617897.54</v>
      </c>
      <c r="F670" s="69"/>
      <c r="M670" s="3"/>
    </row>
    <row r="671" spans="1:13">
      <c r="A671" s="225">
        <v>97511</v>
      </c>
      <c r="B671" s="225" t="s">
        <v>1389</v>
      </c>
      <c r="C671" s="100">
        <v>113224.63</v>
      </c>
      <c r="F671" s="69"/>
      <c r="M671" s="3"/>
    </row>
    <row r="672" spans="1:13">
      <c r="A672" s="225">
        <v>97521</v>
      </c>
      <c r="B672" s="225" t="s">
        <v>1390</v>
      </c>
      <c r="C672" s="100">
        <v>58675.13</v>
      </c>
      <c r="F672" s="69"/>
      <c r="M672" s="3"/>
    </row>
    <row r="673" spans="1:13">
      <c r="A673" s="225">
        <v>97527</v>
      </c>
      <c r="B673" s="225" t="s">
        <v>1641</v>
      </c>
      <c r="C673" s="100">
        <v>5220.5600000000004</v>
      </c>
      <c r="F673" s="69"/>
      <c r="M673" s="3"/>
    </row>
    <row r="674" spans="1:13">
      <c r="A674" s="225">
        <v>97531</v>
      </c>
      <c r="B674" s="225" t="s">
        <v>1391</v>
      </c>
      <c r="C674" s="100">
        <v>36951.83</v>
      </c>
      <c r="F674" s="69"/>
      <c r="M674" s="3"/>
    </row>
    <row r="675" spans="1:13">
      <c r="A675" s="225">
        <v>97601</v>
      </c>
      <c r="B675" s="225" t="s">
        <v>1392</v>
      </c>
      <c r="C675" s="100">
        <v>2666102.96</v>
      </c>
      <c r="F675" s="69"/>
      <c r="M675" s="3"/>
    </row>
    <row r="676" spans="1:13">
      <c r="A676" s="225">
        <v>97607</v>
      </c>
      <c r="B676" s="225" t="s">
        <v>1393</v>
      </c>
      <c r="C676" s="100">
        <v>20256.48</v>
      </c>
      <c r="F676" s="69"/>
      <c r="M676" s="3"/>
    </row>
    <row r="677" spans="1:13">
      <c r="A677" s="225">
        <v>97611</v>
      </c>
      <c r="B677" s="225" t="s">
        <v>1394</v>
      </c>
      <c r="C677" s="100">
        <v>1258191.96</v>
      </c>
      <c r="F677" s="69"/>
      <c r="M677" s="3"/>
    </row>
    <row r="678" spans="1:13">
      <c r="A678" s="225">
        <v>97613</v>
      </c>
      <c r="B678" s="225" t="s">
        <v>1395</v>
      </c>
      <c r="C678" s="100">
        <v>63114.559999999998</v>
      </c>
      <c r="F678" s="69"/>
      <c r="M678" s="3"/>
    </row>
    <row r="679" spans="1:13">
      <c r="A679" s="225">
        <v>97621</v>
      </c>
      <c r="B679" s="225" t="s">
        <v>1396</v>
      </c>
      <c r="C679" s="100">
        <v>205284.36</v>
      </c>
      <c r="F679" s="69"/>
      <c r="M679" s="3"/>
    </row>
    <row r="680" spans="1:13">
      <c r="A680" s="225">
        <v>97623</v>
      </c>
      <c r="B680" s="225" t="s">
        <v>1397</v>
      </c>
      <c r="C680" s="100">
        <v>12781.93</v>
      </c>
      <c r="F680" s="69"/>
      <c r="M680" s="3"/>
    </row>
    <row r="681" spans="1:13">
      <c r="A681" s="225">
        <v>97627</v>
      </c>
      <c r="B681" s="225" t="s">
        <v>1398</v>
      </c>
      <c r="C681" s="100">
        <v>5861.73</v>
      </c>
      <c r="F681" s="69"/>
      <c r="M681" s="3"/>
    </row>
    <row r="682" spans="1:13">
      <c r="A682" s="225">
        <v>97631</v>
      </c>
      <c r="B682" s="225" t="s">
        <v>1399</v>
      </c>
      <c r="C682" s="100">
        <v>99621.29</v>
      </c>
      <c r="F682" s="69"/>
      <c r="M682" s="3"/>
    </row>
    <row r="683" spans="1:13">
      <c r="A683" s="225">
        <v>97637</v>
      </c>
      <c r="B683" s="225" t="s">
        <v>1400</v>
      </c>
      <c r="C683" s="100">
        <v>3417.96</v>
      </c>
      <c r="F683" s="69"/>
      <c r="M683" s="3"/>
    </row>
    <row r="684" spans="1:13">
      <c r="A684" s="225">
        <v>97641</v>
      </c>
      <c r="B684" s="225" t="s">
        <v>1401</v>
      </c>
      <c r="C684" s="100">
        <v>32191.22</v>
      </c>
      <c r="F684" s="69"/>
      <c r="M684" s="3"/>
    </row>
    <row r="685" spans="1:13">
      <c r="A685" s="225">
        <v>97651</v>
      </c>
      <c r="B685" s="225" t="s">
        <v>1402</v>
      </c>
      <c r="C685" s="100">
        <v>247761.92000000001</v>
      </c>
      <c r="F685" s="69"/>
      <c r="M685" s="3"/>
    </row>
    <row r="686" spans="1:13">
      <c r="A686" s="225">
        <v>97661</v>
      </c>
      <c r="B686" s="225" t="s">
        <v>1403</v>
      </c>
      <c r="C686" s="100">
        <v>27440.38</v>
      </c>
      <c r="F686" s="69"/>
      <c r="M686" s="3"/>
    </row>
    <row r="687" spans="1:13">
      <c r="A687" s="225">
        <v>97701</v>
      </c>
      <c r="B687" s="225" t="s">
        <v>1404</v>
      </c>
      <c r="C687" s="100">
        <v>1300566.02</v>
      </c>
      <c r="F687" s="69"/>
      <c r="M687" s="3"/>
    </row>
    <row r="688" spans="1:13">
      <c r="A688" s="225">
        <v>97705</v>
      </c>
      <c r="B688" s="225" t="s">
        <v>1405</v>
      </c>
      <c r="C688" s="100">
        <v>23401.599999999999</v>
      </c>
      <c r="F688" s="69"/>
      <c r="M688" s="3"/>
    </row>
    <row r="689" spans="1:13">
      <c r="A689" s="225">
        <v>97711</v>
      </c>
      <c r="B689" s="225" t="s">
        <v>1406</v>
      </c>
      <c r="C689" s="100">
        <v>470783.95</v>
      </c>
      <c r="F689" s="69"/>
      <c r="M689" s="3"/>
    </row>
    <row r="690" spans="1:13">
      <c r="A690" s="225">
        <v>97713</v>
      </c>
      <c r="B690" s="225" t="s">
        <v>1407</v>
      </c>
      <c r="C690" s="100">
        <v>25874.71</v>
      </c>
      <c r="F690" s="69"/>
      <c r="M690" s="3"/>
    </row>
    <row r="691" spans="1:13">
      <c r="A691" s="225">
        <v>97717</v>
      </c>
      <c r="B691" s="225" t="s">
        <v>1408</v>
      </c>
      <c r="C691" s="100">
        <v>2655.27</v>
      </c>
      <c r="F691" s="69"/>
      <c r="M691" s="3"/>
    </row>
    <row r="692" spans="1:13">
      <c r="A692" s="225">
        <v>97721</v>
      </c>
      <c r="B692" s="225" t="s">
        <v>1409</v>
      </c>
      <c r="C692" s="100">
        <v>275367.78000000003</v>
      </c>
      <c r="F692" s="69"/>
      <c r="M692" s="3"/>
    </row>
    <row r="693" spans="1:13">
      <c r="A693" s="225">
        <v>97727</v>
      </c>
      <c r="B693" s="225" t="s">
        <v>1410</v>
      </c>
      <c r="C693" s="100">
        <v>11895.84</v>
      </c>
      <c r="F693" s="69"/>
      <c r="M693" s="3"/>
    </row>
    <row r="694" spans="1:13">
      <c r="A694" s="225">
        <v>97731</v>
      </c>
      <c r="B694" s="225" t="s">
        <v>1411</v>
      </c>
      <c r="C694" s="100">
        <v>22140.38</v>
      </c>
      <c r="F694" s="69"/>
      <c r="M694" s="3"/>
    </row>
    <row r="695" spans="1:13">
      <c r="A695" s="225">
        <v>97801</v>
      </c>
      <c r="B695" s="225" t="s">
        <v>1412</v>
      </c>
      <c r="C695" s="100">
        <v>3361962.07</v>
      </c>
      <c r="F695" s="69"/>
      <c r="M695" s="3"/>
    </row>
    <row r="696" spans="1:13">
      <c r="A696" s="225">
        <v>97802</v>
      </c>
      <c r="B696" s="225" t="s">
        <v>1413</v>
      </c>
      <c r="C696" s="100">
        <v>93376</v>
      </c>
      <c r="F696" s="69"/>
      <c r="M696" s="3"/>
    </row>
    <row r="697" spans="1:13">
      <c r="A697" s="225">
        <v>97803</v>
      </c>
      <c r="B697" s="225" t="s">
        <v>1414</v>
      </c>
      <c r="C697" s="100">
        <v>41006.910000000003</v>
      </c>
      <c r="F697" s="69"/>
      <c r="M697" s="3"/>
    </row>
    <row r="698" spans="1:13">
      <c r="A698" s="225">
        <v>97805</v>
      </c>
      <c r="B698" s="225" t="s">
        <v>1415</v>
      </c>
      <c r="C698" s="100">
        <v>45752.480000000003</v>
      </c>
      <c r="F698" s="69"/>
      <c r="M698" s="3"/>
    </row>
    <row r="699" spans="1:13">
      <c r="A699" s="225">
        <v>97811</v>
      </c>
      <c r="B699" s="225" t="s">
        <v>1416</v>
      </c>
      <c r="C699" s="100">
        <v>1273527.0900000001</v>
      </c>
      <c r="F699" s="69"/>
      <c r="M699" s="3"/>
    </row>
    <row r="700" spans="1:13">
      <c r="A700" s="225">
        <v>97817</v>
      </c>
      <c r="B700" s="225" t="s">
        <v>1417</v>
      </c>
      <c r="C700" s="100">
        <v>14797.59</v>
      </c>
      <c r="F700" s="69"/>
      <c r="M700" s="3"/>
    </row>
    <row r="701" spans="1:13">
      <c r="A701" s="225">
        <v>97818</v>
      </c>
      <c r="B701" s="225" t="s">
        <v>1418</v>
      </c>
      <c r="C701" s="100">
        <v>12986.46</v>
      </c>
      <c r="F701" s="69"/>
      <c r="M701" s="3"/>
    </row>
    <row r="702" spans="1:13">
      <c r="A702" s="225">
        <v>97821</v>
      </c>
      <c r="B702" s="225" t="s">
        <v>1419</v>
      </c>
      <c r="C702" s="100">
        <v>72126.17</v>
      </c>
      <c r="F702" s="69"/>
      <c r="M702" s="3"/>
    </row>
    <row r="703" spans="1:13">
      <c r="A703" s="225">
        <v>97823</v>
      </c>
      <c r="B703" s="225" t="s">
        <v>1420</v>
      </c>
      <c r="C703" s="100">
        <v>12923.82</v>
      </c>
      <c r="F703" s="69"/>
      <c r="M703" s="3"/>
    </row>
    <row r="704" spans="1:13">
      <c r="A704" s="225">
        <v>97831</v>
      </c>
      <c r="B704" s="225" t="s">
        <v>1421</v>
      </c>
      <c r="C704" s="100">
        <v>95356.43</v>
      </c>
      <c r="F704" s="69"/>
      <c r="M704" s="3"/>
    </row>
    <row r="705" spans="1:13">
      <c r="A705" s="225">
        <v>97837</v>
      </c>
      <c r="B705" s="225" t="s">
        <v>1422</v>
      </c>
      <c r="C705" s="100">
        <v>5278.85</v>
      </c>
      <c r="F705" s="69"/>
      <c r="M705" s="3"/>
    </row>
    <row r="706" spans="1:13">
      <c r="A706" s="225">
        <v>97840</v>
      </c>
      <c r="B706" s="225" t="s">
        <v>1423</v>
      </c>
      <c r="C706" s="100">
        <v>113061.3</v>
      </c>
      <c r="F706" s="69"/>
      <c r="M706" s="3"/>
    </row>
    <row r="707" spans="1:13">
      <c r="A707" s="225">
        <v>97841</v>
      </c>
      <c r="B707" s="225" t="s">
        <v>1424</v>
      </c>
      <c r="C707" s="100">
        <v>6519.48</v>
      </c>
      <c r="F707" s="69"/>
      <c r="M707" s="3"/>
    </row>
    <row r="708" spans="1:13">
      <c r="A708" s="225">
        <v>97847</v>
      </c>
      <c r="B708" s="225" t="s">
        <v>1425</v>
      </c>
      <c r="C708" s="100">
        <v>2620.02</v>
      </c>
      <c r="F708" s="69"/>
      <c r="M708" s="3"/>
    </row>
    <row r="709" spans="1:13">
      <c r="A709" s="225">
        <v>97851</v>
      </c>
      <c r="B709" s="225" t="s">
        <v>1426</v>
      </c>
      <c r="C709" s="100">
        <v>129599.1</v>
      </c>
      <c r="F709" s="69"/>
      <c r="M709" s="3"/>
    </row>
    <row r="710" spans="1:13">
      <c r="A710" s="225">
        <v>97853</v>
      </c>
      <c r="B710" s="225" t="s">
        <v>1427</v>
      </c>
      <c r="C710" s="100">
        <v>40368.82</v>
      </c>
      <c r="F710" s="69"/>
      <c r="M710" s="3"/>
    </row>
    <row r="711" spans="1:13">
      <c r="A711" s="225">
        <v>97861</v>
      </c>
      <c r="B711" s="225" t="s">
        <v>1428</v>
      </c>
      <c r="C711" s="100">
        <v>29878.78</v>
      </c>
      <c r="F711" s="69"/>
      <c r="M711" s="3"/>
    </row>
    <row r="712" spans="1:13">
      <c r="A712" s="225">
        <v>97871</v>
      </c>
      <c r="B712" s="225" t="s">
        <v>1429</v>
      </c>
      <c r="C712" s="100">
        <v>304564.14</v>
      </c>
      <c r="F712" s="69"/>
      <c r="M712" s="3"/>
    </row>
    <row r="713" spans="1:13">
      <c r="A713" s="225">
        <v>97877</v>
      </c>
      <c r="B713" s="225" t="s">
        <v>1430</v>
      </c>
      <c r="C713" s="100">
        <v>4873.97</v>
      </c>
      <c r="F713" s="69"/>
      <c r="M713" s="3"/>
    </row>
    <row r="714" spans="1:13">
      <c r="A714" s="225">
        <v>97901</v>
      </c>
      <c r="B714" s="225" t="s">
        <v>1431</v>
      </c>
      <c r="C714" s="100">
        <v>1996848.04</v>
      </c>
      <c r="F714" s="69"/>
      <c r="M714" s="3"/>
    </row>
    <row r="715" spans="1:13">
      <c r="A715" s="225">
        <v>97911</v>
      </c>
      <c r="B715" s="225" t="s">
        <v>1432</v>
      </c>
      <c r="C715" s="100">
        <v>686465.14</v>
      </c>
      <c r="F715" s="69"/>
      <c r="M715" s="3"/>
    </row>
    <row r="716" spans="1:13">
      <c r="A716" s="225">
        <v>97913</v>
      </c>
      <c r="B716" s="225" t="s">
        <v>1433</v>
      </c>
      <c r="C716" s="100">
        <v>25126.95</v>
      </c>
      <c r="F716" s="69"/>
      <c r="M716" s="3"/>
    </row>
    <row r="717" spans="1:13">
      <c r="A717" s="225">
        <v>97917</v>
      </c>
      <c r="B717" s="225" t="s">
        <v>1434</v>
      </c>
      <c r="C717" s="100">
        <v>14916.62</v>
      </c>
      <c r="F717" s="69"/>
      <c r="M717" s="3"/>
    </row>
    <row r="718" spans="1:13">
      <c r="A718" s="225">
        <v>97921</v>
      </c>
      <c r="B718" s="225" t="s">
        <v>1435</v>
      </c>
      <c r="C718" s="100">
        <v>114053.61</v>
      </c>
      <c r="F718" s="69"/>
      <c r="M718" s="3"/>
    </row>
    <row r="719" spans="1:13">
      <c r="A719" s="225">
        <v>97931</v>
      </c>
      <c r="B719" s="225" t="s">
        <v>1436</v>
      </c>
      <c r="C719" s="100">
        <v>37356.129999999997</v>
      </c>
      <c r="F719" s="69"/>
      <c r="M719" s="3"/>
    </row>
    <row r="720" spans="1:13">
      <c r="A720" s="225">
        <v>97941</v>
      </c>
      <c r="B720" s="225" t="s">
        <v>1437</v>
      </c>
      <c r="C720" s="100">
        <v>125305.7</v>
      </c>
      <c r="F720" s="69"/>
      <c r="M720" s="3"/>
    </row>
    <row r="721" spans="1:13">
      <c r="A721" s="225">
        <v>97947</v>
      </c>
      <c r="B721" s="225" t="s">
        <v>1438</v>
      </c>
      <c r="C721" s="100">
        <v>13950.1</v>
      </c>
      <c r="F721" s="69"/>
      <c r="M721" s="3"/>
    </row>
    <row r="722" spans="1:13">
      <c r="A722" s="225">
        <v>97948</v>
      </c>
      <c r="B722" s="225" t="s">
        <v>1439</v>
      </c>
      <c r="C722" s="100">
        <v>13531.02</v>
      </c>
      <c r="F722" s="69"/>
      <c r="M722" s="3"/>
    </row>
    <row r="723" spans="1:13">
      <c r="A723" s="225">
        <v>97951</v>
      </c>
      <c r="B723" s="225" t="s">
        <v>1440</v>
      </c>
      <c r="C723" s="100">
        <v>672611.52</v>
      </c>
      <c r="F723" s="69"/>
      <c r="M723" s="3"/>
    </row>
    <row r="724" spans="1:13">
      <c r="A724" s="225">
        <v>97957</v>
      </c>
      <c r="B724" s="225" t="s">
        <v>1441</v>
      </c>
      <c r="C724" s="100">
        <v>13718.14</v>
      </c>
      <c r="F724" s="69"/>
      <c r="M724" s="3"/>
    </row>
    <row r="725" spans="1:13">
      <c r="A725" s="225">
        <v>98001</v>
      </c>
      <c r="B725" s="225" t="s">
        <v>1442</v>
      </c>
      <c r="C725" s="100">
        <v>2800132.56</v>
      </c>
      <c r="F725" s="69"/>
      <c r="M725" s="3"/>
    </row>
    <row r="726" spans="1:13">
      <c r="A726" s="225">
        <v>98002</v>
      </c>
      <c r="B726" s="225" t="s">
        <v>1443</v>
      </c>
      <c r="C726" s="100">
        <v>5480.94</v>
      </c>
      <c r="F726" s="69"/>
      <c r="M726" s="3"/>
    </row>
    <row r="727" spans="1:13">
      <c r="A727" s="225">
        <v>98003</v>
      </c>
      <c r="B727" s="225" t="s">
        <v>1444</v>
      </c>
      <c r="C727" s="100">
        <v>74811.8</v>
      </c>
      <c r="F727" s="69"/>
      <c r="M727" s="3"/>
    </row>
    <row r="728" spans="1:13">
      <c r="A728" s="225">
        <v>98004</v>
      </c>
      <c r="B728" s="225" t="s">
        <v>1445</v>
      </c>
      <c r="C728" s="100">
        <v>93356.85</v>
      </c>
      <c r="F728" s="69"/>
      <c r="M728" s="3"/>
    </row>
    <row r="729" spans="1:13">
      <c r="A729" s="225">
        <v>98008</v>
      </c>
      <c r="B729" s="225" t="s">
        <v>1446</v>
      </c>
      <c r="C729" s="100">
        <v>3936.33</v>
      </c>
      <c r="F729" s="69"/>
      <c r="M729" s="3"/>
    </row>
    <row r="730" spans="1:13">
      <c r="A730" s="225">
        <v>98011</v>
      </c>
      <c r="B730" s="225" t="s">
        <v>1447</v>
      </c>
      <c r="C730" s="100">
        <v>1700205.21</v>
      </c>
      <c r="F730" s="69"/>
      <c r="M730" s="3"/>
    </row>
    <row r="731" spans="1:13">
      <c r="A731" s="225">
        <v>98013</v>
      </c>
      <c r="B731" s="225" t="s">
        <v>1448</v>
      </c>
      <c r="C731" s="100">
        <v>146569.63</v>
      </c>
      <c r="F731" s="69"/>
      <c r="M731" s="3"/>
    </row>
    <row r="732" spans="1:13">
      <c r="A732" s="225">
        <v>98021</v>
      </c>
      <c r="B732" s="225" t="s">
        <v>1449</v>
      </c>
      <c r="C732" s="100">
        <v>28375.53</v>
      </c>
      <c r="F732" s="69"/>
      <c r="M732" s="3"/>
    </row>
    <row r="733" spans="1:13">
      <c r="A733" s="225">
        <v>98023</v>
      </c>
      <c r="B733" s="225" t="s">
        <v>1450</v>
      </c>
      <c r="C733" s="100">
        <v>4560.75</v>
      </c>
      <c r="F733" s="69"/>
      <c r="M733" s="3"/>
    </row>
    <row r="734" spans="1:13">
      <c r="A734" s="225">
        <v>98031</v>
      </c>
      <c r="B734" s="225" t="s">
        <v>1451</v>
      </c>
      <c r="C734" s="100">
        <v>75174.78</v>
      </c>
      <c r="F734" s="69"/>
      <c r="M734" s="3"/>
    </row>
    <row r="735" spans="1:13">
      <c r="A735" s="225">
        <v>98041</v>
      </c>
      <c r="B735" s="225" t="s">
        <v>1452</v>
      </c>
      <c r="C735" s="100">
        <v>109208.83</v>
      </c>
      <c r="F735" s="69"/>
      <c r="M735" s="3"/>
    </row>
    <row r="736" spans="1:13">
      <c r="A736" s="225">
        <v>98051</v>
      </c>
      <c r="B736" s="225" t="s">
        <v>1453</v>
      </c>
      <c r="C736" s="100">
        <v>149784.16</v>
      </c>
      <c r="F736" s="69"/>
      <c r="M736" s="3"/>
    </row>
    <row r="737" spans="1:13">
      <c r="A737" s="225">
        <v>98061</v>
      </c>
      <c r="B737" s="225" t="s">
        <v>1454</v>
      </c>
      <c r="C737" s="100">
        <v>57980.75</v>
      </c>
      <c r="F737" s="69"/>
      <c r="M737" s="3"/>
    </row>
    <row r="738" spans="1:13">
      <c r="A738" s="225">
        <v>98071</v>
      </c>
      <c r="B738" s="225" t="s">
        <v>1455</v>
      </c>
      <c r="C738" s="100">
        <v>35560.61</v>
      </c>
      <c r="F738" s="69"/>
      <c r="M738" s="3"/>
    </row>
    <row r="739" spans="1:13">
      <c r="A739" s="225">
        <v>98081</v>
      </c>
      <c r="B739" s="225" t="s">
        <v>1456</v>
      </c>
      <c r="C739" s="100">
        <v>8432.65</v>
      </c>
      <c r="F739" s="69"/>
      <c r="M739" s="3"/>
    </row>
    <row r="740" spans="1:13">
      <c r="A740" s="225">
        <v>98091</v>
      </c>
      <c r="B740" s="225" t="s">
        <v>1457</v>
      </c>
      <c r="C740" s="100">
        <v>28107.68</v>
      </c>
      <c r="F740" s="69"/>
      <c r="M740" s="3"/>
    </row>
    <row r="741" spans="1:13">
      <c r="A741" s="225">
        <v>98101</v>
      </c>
      <c r="B741" s="225" t="s">
        <v>1458</v>
      </c>
      <c r="C741" s="100">
        <v>1512524.2</v>
      </c>
      <c r="F741" s="69"/>
      <c r="M741" s="3"/>
    </row>
    <row r="742" spans="1:13">
      <c r="A742" s="225">
        <v>98102</v>
      </c>
      <c r="B742" s="225" t="s">
        <v>1459</v>
      </c>
      <c r="C742" s="100">
        <v>85915.81</v>
      </c>
      <c r="F742" s="69"/>
      <c r="M742" s="3"/>
    </row>
    <row r="743" spans="1:13">
      <c r="A743" s="225">
        <v>98103</v>
      </c>
      <c r="B743" s="225" t="s">
        <v>1460</v>
      </c>
      <c r="C743" s="100">
        <v>278130.09000000003</v>
      </c>
      <c r="F743" s="69"/>
      <c r="M743" s="3"/>
    </row>
    <row r="744" spans="1:13">
      <c r="A744" s="225">
        <v>98107</v>
      </c>
      <c r="B744" s="225" t="s">
        <v>1461</v>
      </c>
      <c r="C744" s="100">
        <v>10953.72</v>
      </c>
      <c r="F744" s="69"/>
      <c r="M744" s="3"/>
    </row>
    <row r="745" spans="1:13">
      <c r="A745" s="225">
        <v>98109</v>
      </c>
      <c r="B745" s="225" t="s">
        <v>1462</v>
      </c>
      <c r="C745" s="100">
        <v>96341.54</v>
      </c>
      <c r="F745" s="69"/>
      <c r="M745" s="3"/>
    </row>
    <row r="746" spans="1:13">
      <c r="A746" s="225">
        <v>98111</v>
      </c>
      <c r="B746" s="225" t="s">
        <v>1463</v>
      </c>
      <c r="C746" s="100">
        <v>497398.92</v>
      </c>
      <c r="F746" s="69"/>
      <c r="M746" s="3"/>
    </row>
    <row r="747" spans="1:13">
      <c r="A747" s="225">
        <v>98113</v>
      </c>
      <c r="B747" s="225" t="s">
        <v>1464</v>
      </c>
      <c r="C747" s="100">
        <v>26297.14</v>
      </c>
      <c r="F747" s="69"/>
      <c r="M747" s="3"/>
    </row>
    <row r="748" spans="1:13">
      <c r="A748" s="225">
        <v>98121</v>
      </c>
      <c r="B748" s="225" t="s">
        <v>1465</v>
      </c>
      <c r="C748" s="100">
        <v>107607.24</v>
      </c>
      <c r="F748" s="69"/>
      <c r="M748" s="3"/>
    </row>
    <row r="749" spans="1:13">
      <c r="A749" s="225">
        <v>98131</v>
      </c>
      <c r="B749" s="225" t="s">
        <v>1466</v>
      </c>
      <c r="C749" s="100">
        <v>139198.78</v>
      </c>
      <c r="F749" s="69"/>
      <c r="M749" s="3"/>
    </row>
    <row r="750" spans="1:13">
      <c r="A750" s="225">
        <v>98141</v>
      </c>
      <c r="B750" s="225" t="s">
        <v>1467</v>
      </c>
      <c r="C750" s="100">
        <v>147750.82</v>
      </c>
      <c r="F750" s="69"/>
      <c r="M750" s="3"/>
    </row>
    <row r="751" spans="1:13">
      <c r="A751" s="225">
        <v>98147</v>
      </c>
      <c r="B751" s="225" t="s">
        <v>1468</v>
      </c>
      <c r="C751" s="100">
        <v>11095.36</v>
      </c>
      <c r="F751" s="69"/>
      <c r="M751" s="3"/>
    </row>
    <row r="752" spans="1:13">
      <c r="A752" s="225">
        <v>98161</v>
      </c>
      <c r="B752" s="225" t="s">
        <v>1469</v>
      </c>
      <c r="C752" s="100">
        <v>5704.32</v>
      </c>
      <c r="F752" s="69"/>
      <c r="M752" s="3"/>
    </row>
    <row r="753" spans="1:13">
      <c r="A753" s="225">
        <v>98201</v>
      </c>
      <c r="B753" s="225" t="s">
        <v>1470</v>
      </c>
      <c r="C753" s="100">
        <v>1704895.71</v>
      </c>
      <c r="F753" s="69"/>
      <c r="M753" s="3"/>
    </row>
    <row r="754" spans="1:13">
      <c r="A754" s="225">
        <v>98205</v>
      </c>
      <c r="B754" s="225" t="s">
        <v>1471</v>
      </c>
      <c r="C754" s="100">
        <v>21029.88</v>
      </c>
      <c r="F754" s="69"/>
      <c r="M754" s="3"/>
    </row>
    <row r="755" spans="1:13">
      <c r="A755" s="225">
        <v>98211</v>
      </c>
      <c r="B755" s="225" t="s">
        <v>1472</v>
      </c>
      <c r="C755" s="100">
        <v>456722.87</v>
      </c>
      <c r="F755" s="69"/>
      <c r="M755" s="3"/>
    </row>
    <row r="756" spans="1:13">
      <c r="A756" s="225">
        <v>98218</v>
      </c>
      <c r="B756" s="225" t="s">
        <v>1473</v>
      </c>
      <c r="C756" s="100">
        <v>9498.94</v>
      </c>
      <c r="F756" s="69"/>
      <c r="M756" s="3"/>
    </row>
    <row r="757" spans="1:13">
      <c r="A757" s="225">
        <v>98221</v>
      </c>
      <c r="B757" s="225" t="s">
        <v>1474</v>
      </c>
      <c r="C757" s="100">
        <v>12495.62</v>
      </c>
      <c r="F757" s="69"/>
      <c r="M757" s="3"/>
    </row>
    <row r="758" spans="1:13">
      <c r="A758" s="225">
        <v>98231</v>
      </c>
      <c r="B758" s="225" t="s">
        <v>1475</v>
      </c>
      <c r="C758" s="100">
        <v>17043.650000000001</v>
      </c>
      <c r="F758" s="69"/>
      <c r="M758" s="3"/>
    </row>
    <row r="759" spans="1:13">
      <c r="A759" s="225">
        <v>98237</v>
      </c>
      <c r="B759" s="225" t="s">
        <v>1476</v>
      </c>
      <c r="C759" s="100">
        <v>3889.8</v>
      </c>
      <c r="F759" s="69"/>
      <c r="M759" s="3"/>
    </row>
    <row r="760" spans="1:13">
      <c r="A760" s="225">
        <v>98241</v>
      </c>
      <c r="B760" s="225" t="s">
        <v>1477</v>
      </c>
      <c r="C760" s="100">
        <v>11328.54</v>
      </c>
      <c r="F760" s="69"/>
      <c r="M760" s="3"/>
    </row>
    <row r="761" spans="1:13">
      <c r="A761" s="225">
        <v>98251</v>
      </c>
      <c r="B761" s="225" t="s">
        <v>1478</v>
      </c>
      <c r="C761" s="100">
        <v>2656.4</v>
      </c>
      <c r="F761" s="69"/>
      <c r="M761" s="3"/>
    </row>
    <row r="762" spans="1:13">
      <c r="A762" s="225">
        <v>98261</v>
      </c>
      <c r="B762" s="225" t="s">
        <v>1479</v>
      </c>
      <c r="C762" s="100">
        <v>19562.740000000002</v>
      </c>
      <c r="F762" s="69"/>
      <c r="M762" s="3"/>
    </row>
    <row r="763" spans="1:13">
      <c r="A763" s="225">
        <v>98271</v>
      </c>
      <c r="B763" s="225" t="s">
        <v>1480</v>
      </c>
      <c r="C763" s="100">
        <v>4490.5</v>
      </c>
      <c r="F763" s="69"/>
      <c r="M763" s="3"/>
    </row>
    <row r="764" spans="1:13">
      <c r="A764" s="225">
        <v>98301</v>
      </c>
      <c r="B764" s="225" t="s">
        <v>1481</v>
      </c>
      <c r="C764" s="100">
        <v>980026.13</v>
      </c>
      <c r="F764" s="69"/>
      <c r="M764" s="3"/>
    </row>
    <row r="765" spans="1:13">
      <c r="A765" s="225">
        <v>98304</v>
      </c>
      <c r="B765" s="225" t="s">
        <v>1482</v>
      </c>
      <c r="C765" s="100">
        <v>15846.58</v>
      </c>
      <c r="F765" s="69"/>
      <c r="M765" s="3"/>
    </row>
    <row r="766" spans="1:13">
      <c r="A766" s="225">
        <v>98308</v>
      </c>
      <c r="B766" s="225" t="s">
        <v>1483</v>
      </c>
      <c r="C766" s="100">
        <v>16140.44</v>
      </c>
      <c r="F766" s="69"/>
      <c r="M766" s="3"/>
    </row>
    <row r="767" spans="1:13">
      <c r="A767" s="225">
        <v>98311</v>
      </c>
      <c r="B767" s="225" t="s">
        <v>1484</v>
      </c>
      <c r="C767" s="100">
        <v>564048.79</v>
      </c>
      <c r="F767" s="69"/>
      <c r="M767" s="3"/>
    </row>
    <row r="768" spans="1:13">
      <c r="A768" s="225">
        <v>98313</v>
      </c>
      <c r="B768" s="225" t="s">
        <v>1485</v>
      </c>
      <c r="C768" s="100">
        <v>263782.99</v>
      </c>
      <c r="F768" s="69"/>
      <c r="M768" s="3"/>
    </row>
    <row r="769" spans="1:13">
      <c r="A769" s="225">
        <v>98321</v>
      </c>
      <c r="B769" s="225" t="s">
        <v>1486</v>
      </c>
      <c r="C769" s="100">
        <v>10467.51</v>
      </c>
      <c r="F769" s="69"/>
      <c r="M769" s="3"/>
    </row>
    <row r="770" spans="1:13">
      <c r="A770" s="225">
        <v>98331</v>
      </c>
      <c r="B770" s="225" t="s">
        <v>1487</v>
      </c>
      <c r="C770" s="100">
        <v>6904.82</v>
      </c>
      <c r="F770" s="69"/>
      <c r="M770" s="3"/>
    </row>
    <row r="771" spans="1:13">
      <c r="A771" s="225">
        <v>98401</v>
      </c>
      <c r="B771" s="225" t="s">
        <v>1488</v>
      </c>
      <c r="C771" s="100">
        <v>1612340.34</v>
      </c>
      <c r="F771" s="69"/>
      <c r="M771" s="3"/>
    </row>
    <row r="772" spans="1:13">
      <c r="A772" s="225">
        <v>98404</v>
      </c>
      <c r="B772" s="225" t="s">
        <v>1489</v>
      </c>
      <c r="C772" s="100">
        <v>7986.34</v>
      </c>
      <c r="F772" s="69"/>
      <c r="M772" s="3"/>
    </row>
    <row r="773" spans="1:13">
      <c r="A773" s="225">
        <v>98411</v>
      </c>
      <c r="B773" s="225" t="s">
        <v>1490</v>
      </c>
      <c r="C773" s="100">
        <v>936688.33</v>
      </c>
      <c r="F773" s="69"/>
      <c r="M773" s="3"/>
    </row>
    <row r="774" spans="1:13">
      <c r="A774" s="225">
        <v>98414</v>
      </c>
      <c r="B774" s="225" t="s">
        <v>1491</v>
      </c>
      <c r="C774" s="100">
        <v>18009.400000000001</v>
      </c>
      <c r="F774" s="69"/>
      <c r="M774" s="3"/>
    </row>
    <row r="775" spans="1:13">
      <c r="A775" s="225">
        <v>98417</v>
      </c>
      <c r="B775" s="225" t="s">
        <v>1492</v>
      </c>
      <c r="C775" s="100">
        <v>17461.32</v>
      </c>
      <c r="F775" s="69"/>
      <c r="M775" s="3"/>
    </row>
    <row r="776" spans="1:13">
      <c r="A776" s="225">
        <v>98421</v>
      </c>
      <c r="B776" s="225" t="s">
        <v>1493</v>
      </c>
      <c r="C776" s="100">
        <v>54836.86</v>
      </c>
      <c r="F776" s="69"/>
      <c r="M776" s="3"/>
    </row>
    <row r="777" spans="1:13">
      <c r="A777" s="225">
        <v>98427</v>
      </c>
      <c r="B777" s="225" t="s">
        <v>1494</v>
      </c>
      <c r="C777" s="100">
        <v>3708.55</v>
      </c>
      <c r="F777" s="69"/>
      <c r="M777" s="3"/>
    </row>
    <row r="778" spans="1:13">
      <c r="A778" s="225">
        <v>98431</v>
      </c>
      <c r="B778" s="225" t="s">
        <v>1495</v>
      </c>
      <c r="C778" s="100">
        <v>94730.92</v>
      </c>
      <c r="F778" s="69"/>
      <c r="M778" s="3"/>
    </row>
    <row r="779" spans="1:13">
      <c r="A779" s="225">
        <v>98441</v>
      </c>
      <c r="B779" s="225" t="s">
        <v>1496</v>
      </c>
      <c r="C779" s="100">
        <v>49115.65</v>
      </c>
      <c r="F779" s="69"/>
      <c r="M779" s="3"/>
    </row>
    <row r="780" spans="1:13">
      <c r="A780" s="225">
        <v>98451</v>
      </c>
      <c r="B780" s="225" t="s">
        <v>1497</v>
      </c>
      <c r="C780" s="100">
        <v>27429.14</v>
      </c>
      <c r="F780" s="69"/>
      <c r="M780" s="3"/>
    </row>
    <row r="781" spans="1:13">
      <c r="A781" s="225">
        <v>98471</v>
      </c>
      <c r="B781" s="225" t="s">
        <v>1642</v>
      </c>
      <c r="C781" s="100">
        <v>4469.6499999999996</v>
      </c>
      <c r="F781" s="69"/>
      <c r="M781" s="3"/>
    </row>
    <row r="782" spans="1:13">
      <c r="A782" s="225">
        <v>98481</v>
      </c>
      <c r="B782" s="225" t="s">
        <v>1498</v>
      </c>
      <c r="C782" s="100">
        <v>32906.79</v>
      </c>
      <c r="F782" s="69"/>
      <c r="M782" s="3"/>
    </row>
    <row r="783" spans="1:13">
      <c r="A783" s="225">
        <v>98501</v>
      </c>
      <c r="B783" s="225" t="s">
        <v>1499</v>
      </c>
      <c r="C783" s="100">
        <v>932850.12</v>
      </c>
      <c r="F783" s="69"/>
      <c r="M783" s="3"/>
    </row>
    <row r="784" spans="1:13">
      <c r="A784" s="225">
        <v>98511</v>
      </c>
      <c r="B784" s="225" t="s">
        <v>1500</v>
      </c>
      <c r="C784" s="100">
        <v>23896.09</v>
      </c>
      <c r="F784" s="69"/>
      <c r="M784" s="3"/>
    </row>
    <row r="785" spans="1:13">
      <c r="A785" s="225">
        <v>98517</v>
      </c>
      <c r="B785" s="225" t="s">
        <v>1501</v>
      </c>
      <c r="C785" s="100">
        <v>3479.82</v>
      </c>
      <c r="F785" s="69"/>
      <c r="M785" s="3"/>
    </row>
    <row r="786" spans="1:13">
      <c r="A786" s="225">
        <v>98521</v>
      </c>
      <c r="B786" s="225" t="s">
        <v>1502</v>
      </c>
      <c r="C786" s="100">
        <v>326721.3</v>
      </c>
      <c r="F786" s="69"/>
      <c r="M786" s="3"/>
    </row>
    <row r="787" spans="1:13">
      <c r="A787" s="225">
        <v>98601</v>
      </c>
      <c r="B787" s="225" t="s">
        <v>1503</v>
      </c>
      <c r="C787" s="100">
        <v>1798525.15</v>
      </c>
      <c r="F787" s="69"/>
      <c r="M787" s="3"/>
    </row>
    <row r="788" spans="1:13">
      <c r="A788" s="225">
        <v>98604</v>
      </c>
      <c r="B788" s="225" t="s">
        <v>1504</v>
      </c>
      <c r="C788" s="100">
        <v>8906.5499999999993</v>
      </c>
      <c r="F788" s="69"/>
      <c r="M788" s="3"/>
    </row>
    <row r="789" spans="1:13">
      <c r="A789" s="225">
        <v>98607</v>
      </c>
      <c r="B789" s="225" t="s">
        <v>1505</v>
      </c>
      <c r="C789" s="100">
        <v>3495.24</v>
      </c>
      <c r="F789" s="69"/>
      <c r="M789" s="3"/>
    </row>
    <row r="790" spans="1:13">
      <c r="A790" s="225">
        <v>98608</v>
      </c>
      <c r="B790" s="225" t="s">
        <v>1506</v>
      </c>
      <c r="C790" s="100">
        <v>29312.71</v>
      </c>
      <c r="F790" s="69"/>
      <c r="M790" s="3"/>
    </row>
    <row r="791" spans="1:13">
      <c r="A791" s="225">
        <v>98611</v>
      </c>
      <c r="B791" s="225" t="s">
        <v>1507</v>
      </c>
      <c r="C791" s="100">
        <v>65307.22</v>
      </c>
      <c r="F791" s="69"/>
      <c r="M791" s="3"/>
    </row>
    <row r="792" spans="1:13">
      <c r="A792" s="225">
        <v>98621</v>
      </c>
      <c r="B792" s="225" t="s">
        <v>1508</v>
      </c>
      <c r="C792" s="100">
        <v>68981</v>
      </c>
      <c r="F792" s="69"/>
      <c r="M792" s="3"/>
    </row>
    <row r="793" spans="1:13">
      <c r="A793" s="225">
        <v>98627</v>
      </c>
      <c r="B793" s="225" t="s">
        <v>1509</v>
      </c>
      <c r="C793" s="100">
        <v>3807.08</v>
      </c>
      <c r="F793" s="69"/>
      <c r="M793" s="3"/>
    </row>
    <row r="794" spans="1:13">
      <c r="A794" s="225">
        <v>98631</v>
      </c>
      <c r="B794" s="225" t="s">
        <v>1510</v>
      </c>
      <c r="C794" s="100">
        <v>536120.5</v>
      </c>
      <c r="F794" s="69"/>
      <c r="M794" s="3"/>
    </row>
    <row r="795" spans="1:13">
      <c r="A795" s="225">
        <v>98637</v>
      </c>
      <c r="B795" s="225" t="s">
        <v>1511</v>
      </c>
      <c r="C795" s="100">
        <v>16562.830000000002</v>
      </c>
      <c r="F795" s="69"/>
      <c r="M795" s="3"/>
    </row>
    <row r="796" spans="1:13">
      <c r="A796" s="225">
        <v>98641</v>
      </c>
      <c r="B796" s="225" t="s">
        <v>1512</v>
      </c>
      <c r="C796" s="100">
        <v>155993.72</v>
      </c>
      <c r="F796" s="69"/>
      <c r="M796" s="3"/>
    </row>
    <row r="797" spans="1:13">
      <c r="A797" s="225">
        <v>98701</v>
      </c>
      <c r="B797" s="225" t="s">
        <v>1513</v>
      </c>
      <c r="C797" s="100">
        <v>535789.9</v>
      </c>
      <c r="F797" s="69"/>
      <c r="M797" s="3"/>
    </row>
    <row r="798" spans="1:13">
      <c r="A798" s="225">
        <v>98711</v>
      </c>
      <c r="B798" s="225" t="s">
        <v>1514</v>
      </c>
      <c r="C798" s="100">
        <v>77037.11</v>
      </c>
      <c r="F798" s="69"/>
      <c r="M798" s="3"/>
    </row>
    <row r="799" spans="1:13">
      <c r="A799" s="225">
        <v>98717</v>
      </c>
      <c r="B799" s="225" t="s">
        <v>1515</v>
      </c>
      <c r="C799" s="100">
        <v>10712.88</v>
      </c>
      <c r="F799" s="69"/>
      <c r="M799" s="3"/>
    </row>
    <row r="800" spans="1:13">
      <c r="A800" s="225">
        <v>98801</v>
      </c>
      <c r="B800" s="225" t="s">
        <v>1516</v>
      </c>
      <c r="C800" s="100">
        <v>1184009.6499999999</v>
      </c>
      <c r="F800" s="69"/>
      <c r="M800" s="3"/>
    </row>
    <row r="801" spans="1:13">
      <c r="A801" s="225">
        <v>98811</v>
      </c>
      <c r="B801" s="225" t="s">
        <v>1517</v>
      </c>
      <c r="C801" s="100">
        <v>373677.59</v>
      </c>
      <c r="F801" s="69"/>
      <c r="M801" s="3"/>
    </row>
    <row r="802" spans="1:13">
      <c r="A802" s="225">
        <v>98817</v>
      </c>
      <c r="B802" s="225" t="s">
        <v>1518</v>
      </c>
      <c r="C802" s="100">
        <v>11653.13</v>
      </c>
      <c r="F802" s="69"/>
      <c r="M802" s="3"/>
    </row>
    <row r="803" spans="1:13">
      <c r="A803" s="225">
        <v>98901</v>
      </c>
      <c r="B803" s="225" t="s">
        <v>1519</v>
      </c>
      <c r="C803" s="100">
        <v>173046.25</v>
      </c>
      <c r="F803" s="69"/>
      <c r="M803" s="3"/>
    </row>
    <row r="804" spans="1:13">
      <c r="A804" s="225">
        <v>98904</v>
      </c>
      <c r="B804" s="225" t="s">
        <v>1520</v>
      </c>
      <c r="C804" s="100">
        <v>1808.88</v>
      </c>
      <c r="F804" s="69"/>
      <c r="M804" s="3"/>
    </row>
    <row r="805" spans="1:13">
      <c r="A805" s="225">
        <v>98911</v>
      </c>
      <c r="B805" s="225" t="s">
        <v>1521</v>
      </c>
      <c r="C805" s="100">
        <v>20777.02</v>
      </c>
      <c r="F805" s="69"/>
      <c r="M805" s="3"/>
    </row>
    <row r="806" spans="1:13">
      <c r="A806" s="225">
        <v>99001</v>
      </c>
      <c r="B806" s="225" t="s">
        <v>1522</v>
      </c>
      <c r="C806" s="100">
        <v>4571287.33</v>
      </c>
      <c r="F806" s="69"/>
      <c r="M806" s="3"/>
    </row>
    <row r="807" spans="1:13">
      <c r="A807" s="225">
        <v>99011</v>
      </c>
      <c r="B807" s="225" t="s">
        <v>1523</v>
      </c>
      <c r="C807" s="100">
        <v>2077782.41</v>
      </c>
      <c r="F807" s="69"/>
      <c r="M807" s="3"/>
    </row>
    <row r="808" spans="1:13">
      <c r="A808" s="225">
        <v>99013</v>
      </c>
      <c r="B808" s="225" t="s">
        <v>1524</v>
      </c>
      <c r="C808" s="100">
        <v>30943.9</v>
      </c>
      <c r="F808" s="69"/>
      <c r="M808" s="3"/>
    </row>
    <row r="809" spans="1:13">
      <c r="A809" s="225">
        <v>99014</v>
      </c>
      <c r="B809" s="225" t="s">
        <v>1525</v>
      </c>
      <c r="C809" s="100">
        <v>17401.82</v>
      </c>
      <c r="F809" s="69"/>
      <c r="M809" s="3"/>
    </row>
    <row r="810" spans="1:13">
      <c r="A810" s="225">
        <v>99017</v>
      </c>
      <c r="B810" s="225" t="s">
        <v>1526</v>
      </c>
      <c r="C810" s="100">
        <v>24319.88</v>
      </c>
      <c r="F810" s="69"/>
      <c r="M810" s="3"/>
    </row>
    <row r="811" spans="1:13">
      <c r="A811" s="225">
        <v>99021</v>
      </c>
      <c r="B811" s="225" t="s">
        <v>1527</v>
      </c>
      <c r="C811" s="100">
        <v>69808.649999999994</v>
      </c>
      <c r="F811" s="69"/>
      <c r="M811" s="3"/>
    </row>
    <row r="812" spans="1:13">
      <c r="A812" s="225">
        <v>99022</v>
      </c>
      <c r="B812" s="225" t="s">
        <v>211</v>
      </c>
      <c r="C812" s="100">
        <v>12585.84</v>
      </c>
      <c r="F812" s="69"/>
      <c r="M812" s="3"/>
    </row>
    <row r="813" spans="1:13">
      <c r="A813" s="225">
        <v>99031</v>
      </c>
      <c r="B813" s="225" t="s">
        <v>1528</v>
      </c>
      <c r="C813" s="100">
        <v>63641.97</v>
      </c>
      <c r="F813" s="69"/>
      <c r="M813" s="3"/>
    </row>
    <row r="814" spans="1:13">
      <c r="A814" s="225">
        <v>99041</v>
      </c>
      <c r="B814" s="225" t="s">
        <v>1529</v>
      </c>
      <c r="C814" s="100">
        <v>318260.34000000003</v>
      </c>
      <c r="F814" s="69"/>
      <c r="M814" s="3"/>
    </row>
    <row r="815" spans="1:13">
      <c r="A815" s="225">
        <v>99047</v>
      </c>
      <c r="B815" s="225" t="s">
        <v>1530</v>
      </c>
      <c r="C815" s="100">
        <v>12566.55</v>
      </c>
      <c r="F815" s="69"/>
      <c r="M815" s="3"/>
    </row>
    <row r="816" spans="1:13">
      <c r="A816" s="225">
        <v>99051</v>
      </c>
      <c r="B816" s="225" t="s">
        <v>1531</v>
      </c>
      <c r="C816" s="100">
        <v>172602.91</v>
      </c>
      <c r="F816" s="69"/>
      <c r="M816" s="3"/>
    </row>
    <row r="817" spans="1:13">
      <c r="A817" s="225">
        <v>99061</v>
      </c>
      <c r="B817" s="225" t="s">
        <v>1532</v>
      </c>
      <c r="C817" s="100">
        <v>4790.1400000000003</v>
      </c>
      <c r="F817" s="69"/>
      <c r="M817" s="3"/>
    </row>
    <row r="818" spans="1:13">
      <c r="A818" s="225">
        <v>99071</v>
      </c>
      <c r="B818" s="225" t="s">
        <v>1533</v>
      </c>
      <c r="C818" s="100">
        <v>16812.310000000001</v>
      </c>
      <c r="F818" s="69"/>
      <c r="M818" s="3"/>
    </row>
    <row r="819" spans="1:13">
      <c r="A819" s="225">
        <v>99081</v>
      </c>
      <c r="B819" s="225" t="s">
        <v>1534</v>
      </c>
      <c r="C819" s="100">
        <v>15553.27</v>
      </c>
      <c r="F819" s="69"/>
      <c r="M819" s="3"/>
    </row>
    <row r="820" spans="1:13">
      <c r="A820" s="225">
        <v>99091</v>
      </c>
      <c r="B820" s="225" t="s">
        <v>1535</v>
      </c>
      <c r="C820" s="100">
        <v>8538.89</v>
      </c>
      <c r="F820" s="69"/>
      <c r="M820" s="3"/>
    </row>
    <row r="821" spans="1:13">
      <c r="A821" s="225">
        <v>99101</v>
      </c>
      <c r="B821" s="225" t="s">
        <v>1536</v>
      </c>
      <c r="C821" s="100">
        <v>1063529.71</v>
      </c>
      <c r="F821" s="69"/>
      <c r="M821" s="3"/>
    </row>
    <row r="822" spans="1:13">
      <c r="A822" s="225">
        <v>99104</v>
      </c>
      <c r="B822" s="225" t="s">
        <v>1537</v>
      </c>
      <c r="C822" s="100">
        <v>27904.52</v>
      </c>
      <c r="F822" s="69"/>
      <c r="M822" s="3"/>
    </row>
    <row r="823" spans="1:13">
      <c r="A823" s="225">
        <v>99109</v>
      </c>
      <c r="B823" s="225" t="s">
        <v>1538</v>
      </c>
      <c r="C823" s="100">
        <v>61735.47</v>
      </c>
      <c r="F823" s="69"/>
      <c r="M823" s="3"/>
    </row>
    <row r="824" spans="1:13">
      <c r="A824" s="225">
        <v>99110</v>
      </c>
      <c r="B824" s="225" t="s">
        <v>1539</v>
      </c>
      <c r="C824" s="100">
        <v>128752.07</v>
      </c>
      <c r="F824" s="69"/>
      <c r="M824" s="3"/>
    </row>
    <row r="825" spans="1:13">
      <c r="A825" s="225">
        <v>99111</v>
      </c>
      <c r="B825" s="225" t="s">
        <v>1540</v>
      </c>
      <c r="C825" s="100">
        <v>658079.44999999995</v>
      </c>
      <c r="F825" s="69"/>
      <c r="M825" s="3"/>
    </row>
    <row r="826" spans="1:13">
      <c r="A826" s="225">
        <v>99201</v>
      </c>
      <c r="B826" s="282" t="s">
        <v>1541</v>
      </c>
      <c r="C826" s="322">
        <v>18310367.219999999</v>
      </c>
      <c r="D826" s="225" t="s">
        <v>3621</v>
      </c>
      <c r="F826" s="69"/>
      <c r="M826" s="3"/>
    </row>
    <row r="827" spans="1:13">
      <c r="A827" s="225">
        <v>99202</v>
      </c>
      <c r="B827" s="225" t="s">
        <v>1542</v>
      </c>
      <c r="C827" s="100">
        <v>1352067.7</v>
      </c>
      <c r="F827" s="69"/>
      <c r="M827" s="3"/>
    </row>
    <row r="828" spans="1:13">
      <c r="A828" s="225">
        <v>99203</v>
      </c>
      <c r="B828" s="225" t="s">
        <v>1543</v>
      </c>
      <c r="C828" s="100">
        <v>171885.6</v>
      </c>
      <c r="F828" s="69"/>
      <c r="M828" s="3"/>
    </row>
    <row r="829" spans="1:13">
      <c r="A829" s="225">
        <v>99204</v>
      </c>
      <c r="B829" s="225" t="s">
        <v>1544</v>
      </c>
      <c r="C829" s="100">
        <v>483858.37</v>
      </c>
      <c r="F829" s="69"/>
      <c r="M829" s="3"/>
    </row>
    <row r="830" spans="1:13">
      <c r="A830" s="225">
        <v>99206</v>
      </c>
      <c r="B830" s="225" t="s">
        <v>1545</v>
      </c>
      <c r="C830" s="100">
        <v>845536.17</v>
      </c>
      <c r="F830" s="69"/>
      <c r="M830" s="3"/>
    </row>
    <row r="831" spans="1:13">
      <c r="A831" s="225">
        <v>99207</v>
      </c>
      <c r="B831" s="225" t="s">
        <v>1546</v>
      </c>
      <c r="C831" s="100">
        <v>201292.79999999999</v>
      </c>
      <c r="F831" s="69"/>
      <c r="M831" s="3"/>
    </row>
    <row r="832" spans="1:13">
      <c r="A832" s="225">
        <v>99208</v>
      </c>
      <c r="B832" s="225" t="s">
        <v>1547</v>
      </c>
      <c r="C832" s="100">
        <v>122693.87</v>
      </c>
      <c r="F832" s="69"/>
      <c r="M832" s="3"/>
    </row>
    <row r="833" spans="1:13">
      <c r="A833" s="225">
        <v>99210</v>
      </c>
      <c r="B833" s="225" t="s">
        <v>1548</v>
      </c>
      <c r="C833" s="100">
        <v>1026852.15</v>
      </c>
      <c r="F833" s="69"/>
      <c r="M833" s="3"/>
    </row>
    <row r="834" spans="1:13">
      <c r="A834" s="225">
        <v>99211</v>
      </c>
      <c r="B834" s="225" t="s">
        <v>1549</v>
      </c>
      <c r="C834" s="100">
        <v>19516825.870000001</v>
      </c>
      <c r="F834" s="69"/>
      <c r="M834" s="3"/>
    </row>
    <row r="835" spans="1:13">
      <c r="A835" s="225">
        <v>99212</v>
      </c>
      <c r="B835" s="225" t="s">
        <v>1550</v>
      </c>
      <c r="C835" s="100">
        <v>34625.85</v>
      </c>
      <c r="F835" s="69"/>
      <c r="M835" s="3"/>
    </row>
    <row r="836" spans="1:13">
      <c r="A836" s="225">
        <v>99213</v>
      </c>
      <c r="B836" s="225" t="s">
        <v>1551</v>
      </c>
      <c r="C836" s="100">
        <v>369196.19</v>
      </c>
      <c r="F836" s="69"/>
      <c r="M836" s="3"/>
    </row>
    <row r="837" spans="1:13">
      <c r="A837" s="225">
        <v>99218</v>
      </c>
      <c r="B837" s="225" t="s">
        <v>1552</v>
      </c>
      <c r="C837" s="100">
        <v>1864163.43</v>
      </c>
      <c r="F837" s="69"/>
      <c r="M837" s="3"/>
    </row>
    <row r="838" spans="1:13">
      <c r="A838" s="225">
        <v>99221</v>
      </c>
      <c r="B838" s="225" t="s">
        <v>1553</v>
      </c>
      <c r="C838" s="100">
        <v>6590863.1299999999</v>
      </c>
      <c r="F838" s="69"/>
      <c r="M838" s="3"/>
    </row>
    <row r="839" spans="1:13">
      <c r="A839" s="225">
        <v>99222</v>
      </c>
      <c r="B839" s="225" t="s">
        <v>1554</v>
      </c>
      <c r="C839" s="100">
        <v>17595.79</v>
      </c>
      <c r="F839" s="69"/>
      <c r="M839" s="3"/>
    </row>
    <row r="840" spans="1:13">
      <c r="A840" s="225">
        <v>99231</v>
      </c>
      <c r="B840" s="225" t="s">
        <v>1555</v>
      </c>
      <c r="C840" s="100">
        <v>187716.83</v>
      </c>
      <c r="F840" s="69"/>
      <c r="M840" s="3"/>
    </row>
    <row r="841" spans="1:13">
      <c r="A841" s="225">
        <v>99241</v>
      </c>
      <c r="B841" s="225" t="s">
        <v>1556</v>
      </c>
      <c r="C841" s="100">
        <v>277114.7</v>
      </c>
      <c r="F841" s="69"/>
      <c r="M841" s="3"/>
    </row>
    <row r="842" spans="1:13">
      <c r="A842" s="225">
        <v>99251</v>
      </c>
      <c r="B842" s="225" t="s">
        <v>1557</v>
      </c>
      <c r="C842" s="100">
        <v>831131.54</v>
      </c>
      <c r="F842" s="69"/>
      <c r="M842" s="3"/>
    </row>
    <row r="843" spans="1:13">
      <c r="A843" s="225">
        <v>99252</v>
      </c>
      <c r="B843" s="225" t="s">
        <v>1558</v>
      </c>
      <c r="C843" s="100">
        <v>253791.84</v>
      </c>
      <c r="F843" s="69"/>
      <c r="M843" s="3"/>
    </row>
    <row r="844" spans="1:13">
      <c r="A844" s="225">
        <v>99261</v>
      </c>
      <c r="B844" s="225" t="s">
        <v>1559</v>
      </c>
      <c r="C844" s="100">
        <v>1034040.67</v>
      </c>
      <c r="F844" s="69"/>
      <c r="M844" s="3"/>
    </row>
    <row r="845" spans="1:13">
      <c r="A845" s="225">
        <v>99271</v>
      </c>
      <c r="B845" s="225" t="s">
        <v>1560</v>
      </c>
      <c r="C845" s="100">
        <v>2116047.13</v>
      </c>
      <c r="F845" s="69"/>
      <c r="M845" s="3"/>
    </row>
    <row r="846" spans="1:13">
      <c r="A846" s="225">
        <v>99281</v>
      </c>
      <c r="B846" s="225" t="s">
        <v>1561</v>
      </c>
      <c r="C846" s="100">
        <v>1230835.01</v>
      </c>
      <c r="F846" s="69"/>
      <c r="M846" s="3"/>
    </row>
    <row r="847" spans="1:13">
      <c r="A847" s="225">
        <v>99291</v>
      </c>
      <c r="B847" s="225" t="s">
        <v>1562</v>
      </c>
      <c r="C847" s="100">
        <v>378307.26</v>
      </c>
      <c r="F847" s="69"/>
      <c r="M847" s="3"/>
    </row>
    <row r="848" spans="1:13">
      <c r="A848" s="225">
        <v>99301</v>
      </c>
      <c r="B848" s="225" t="s">
        <v>1563</v>
      </c>
      <c r="C848" s="100">
        <v>845563.06</v>
      </c>
      <c r="F848" s="69"/>
      <c r="M848" s="3"/>
    </row>
    <row r="849" spans="1:13">
      <c r="A849" s="225">
        <v>99304</v>
      </c>
      <c r="B849" s="225" t="s">
        <v>1564</v>
      </c>
      <c r="C849" s="100">
        <v>8536.4</v>
      </c>
      <c r="F849" s="69"/>
      <c r="M849" s="3"/>
    </row>
    <row r="850" spans="1:13">
      <c r="A850" s="225">
        <v>99311</v>
      </c>
      <c r="B850" s="225" t="s">
        <v>1565</v>
      </c>
      <c r="C850" s="100">
        <v>27314.45</v>
      </c>
      <c r="F850" s="69"/>
      <c r="M850" s="3"/>
    </row>
    <row r="851" spans="1:13">
      <c r="A851" s="225">
        <v>99321</v>
      </c>
      <c r="B851" s="225" t="s">
        <v>1566</v>
      </c>
      <c r="C851" s="100">
        <v>102142.15</v>
      </c>
      <c r="F851" s="69"/>
      <c r="M851" s="3"/>
    </row>
    <row r="852" spans="1:13">
      <c r="A852" s="225">
        <v>99401</v>
      </c>
      <c r="B852" s="225" t="s">
        <v>1567</v>
      </c>
      <c r="C852" s="100">
        <v>441768.67</v>
      </c>
      <c r="F852" s="69"/>
      <c r="M852" s="3"/>
    </row>
    <row r="853" spans="1:13">
      <c r="A853" s="225">
        <v>99404</v>
      </c>
      <c r="B853" s="225" t="s">
        <v>1568</v>
      </c>
      <c r="C853" s="100">
        <v>6125.76</v>
      </c>
      <c r="F853" s="69"/>
      <c r="M853" s="3"/>
    </row>
    <row r="854" spans="1:13">
      <c r="A854" s="225">
        <v>99405</v>
      </c>
      <c r="B854" s="225" t="s">
        <v>1569</v>
      </c>
      <c r="C854" s="100">
        <v>41002.129999999997</v>
      </c>
      <c r="F854" s="69"/>
      <c r="M854" s="3"/>
    </row>
    <row r="855" spans="1:13">
      <c r="A855" s="225">
        <v>99411</v>
      </c>
      <c r="B855" s="225" t="s">
        <v>1570</v>
      </c>
      <c r="C855" s="100">
        <v>95849.9</v>
      </c>
      <c r="F855" s="69"/>
      <c r="M855" s="3"/>
    </row>
    <row r="856" spans="1:13">
      <c r="A856" s="225">
        <v>99413</v>
      </c>
      <c r="B856" s="225" t="s">
        <v>1571</v>
      </c>
      <c r="C856" s="100">
        <v>17376.88</v>
      </c>
      <c r="F856" s="69"/>
      <c r="M856" s="3"/>
    </row>
    <row r="857" spans="1:13">
      <c r="A857" s="225">
        <v>99421</v>
      </c>
      <c r="B857" s="225" t="s">
        <v>1572</v>
      </c>
      <c r="C857" s="100">
        <v>6327.37</v>
      </c>
      <c r="F857" s="69"/>
      <c r="M857" s="3"/>
    </row>
    <row r="858" spans="1:13">
      <c r="A858" s="225">
        <v>99431</v>
      </c>
      <c r="B858" s="225" t="s">
        <v>1573</v>
      </c>
      <c r="C858" s="100">
        <v>8179.74</v>
      </c>
      <c r="F858" s="69"/>
      <c r="M858" s="3"/>
    </row>
    <row r="859" spans="1:13">
      <c r="A859" s="225">
        <v>99501</v>
      </c>
      <c r="B859" s="225" t="s">
        <v>1574</v>
      </c>
      <c r="C859" s="100">
        <v>929542.23</v>
      </c>
      <c r="F859" s="69"/>
      <c r="M859" s="3"/>
    </row>
    <row r="860" spans="1:13">
      <c r="A860" s="225">
        <v>99502</v>
      </c>
      <c r="B860" s="225" t="s">
        <v>1575</v>
      </c>
      <c r="C860" s="100">
        <v>73367.100000000006</v>
      </c>
      <c r="F860" s="69"/>
      <c r="M860" s="3"/>
    </row>
    <row r="861" spans="1:13">
      <c r="A861" s="225">
        <v>99508</v>
      </c>
      <c r="B861" s="225" t="s">
        <v>1576</v>
      </c>
      <c r="C861" s="100">
        <v>11474.81</v>
      </c>
      <c r="F861" s="69"/>
      <c r="M861" s="3"/>
    </row>
    <row r="862" spans="1:13">
      <c r="A862" s="225">
        <v>99509</v>
      </c>
      <c r="B862" s="225" t="s">
        <v>1577</v>
      </c>
      <c r="C862" s="100">
        <v>13482.37</v>
      </c>
      <c r="F862" s="69"/>
      <c r="M862" s="3"/>
    </row>
    <row r="863" spans="1:13">
      <c r="A863" s="225">
        <v>99511</v>
      </c>
      <c r="B863" s="225" t="s">
        <v>1578</v>
      </c>
      <c r="C863" s="100">
        <v>648161.24</v>
      </c>
      <c r="F863" s="69"/>
      <c r="M863" s="3"/>
    </row>
    <row r="864" spans="1:13">
      <c r="A864" s="225">
        <v>99521</v>
      </c>
      <c r="B864" s="225" t="s">
        <v>1579</v>
      </c>
      <c r="C864" s="100">
        <v>221063.9</v>
      </c>
      <c r="F864" s="69"/>
      <c r="M864" s="3"/>
    </row>
    <row r="865" spans="1:13">
      <c r="A865" s="225">
        <v>99527</v>
      </c>
      <c r="B865" s="225" t="s">
        <v>1580</v>
      </c>
      <c r="C865" s="100">
        <v>7218.65</v>
      </c>
      <c r="F865" s="69"/>
      <c r="M865" s="3"/>
    </row>
    <row r="866" spans="1:13">
      <c r="A866" s="225">
        <v>99531</v>
      </c>
      <c r="B866" s="225" t="s">
        <v>1581</v>
      </c>
      <c r="C866" s="100">
        <v>80439.8</v>
      </c>
      <c r="F866" s="69"/>
      <c r="M866" s="3"/>
    </row>
    <row r="867" spans="1:13">
      <c r="A867" s="225">
        <v>99601</v>
      </c>
      <c r="B867" s="225" t="s">
        <v>1582</v>
      </c>
      <c r="C867" s="100">
        <v>2929349</v>
      </c>
      <c r="F867" s="69"/>
      <c r="M867" s="3"/>
    </row>
    <row r="868" spans="1:13">
      <c r="A868" s="225">
        <v>99602</v>
      </c>
      <c r="B868" s="225" t="s">
        <v>1583</v>
      </c>
      <c r="C868" s="100">
        <v>27048.400000000001</v>
      </c>
      <c r="F868" s="69"/>
      <c r="M868" s="3"/>
    </row>
    <row r="869" spans="1:13">
      <c r="A869" s="225">
        <v>99603</v>
      </c>
      <c r="B869" s="225" t="s">
        <v>1584</v>
      </c>
      <c r="C869" s="100">
        <v>93955.91</v>
      </c>
      <c r="F869" s="69"/>
      <c r="M869" s="3"/>
    </row>
    <row r="870" spans="1:13">
      <c r="A870" s="225">
        <v>99604</v>
      </c>
      <c r="B870" s="225" t="s">
        <v>1585</v>
      </c>
      <c r="C870" s="100">
        <v>60756.54</v>
      </c>
      <c r="F870" s="69"/>
      <c r="M870" s="3"/>
    </row>
    <row r="871" spans="1:13">
      <c r="A871" s="225">
        <v>99609</v>
      </c>
      <c r="B871" s="225" t="s">
        <v>1586</v>
      </c>
      <c r="C871" s="100">
        <v>12222.47</v>
      </c>
      <c r="F871" s="69"/>
      <c r="M871" s="3"/>
    </row>
    <row r="872" spans="1:13">
      <c r="A872" s="225">
        <v>99610</v>
      </c>
      <c r="B872" s="225" t="s">
        <v>1587</v>
      </c>
      <c r="C872" s="100">
        <v>96910.04</v>
      </c>
      <c r="F872" s="69"/>
      <c r="M872" s="3"/>
    </row>
    <row r="873" spans="1:13">
      <c r="A873" s="225">
        <v>99611</v>
      </c>
      <c r="B873" s="225" t="s">
        <v>1588</v>
      </c>
      <c r="C873" s="100">
        <v>1650256.71</v>
      </c>
      <c r="F873" s="69"/>
      <c r="M873" s="3"/>
    </row>
    <row r="874" spans="1:13">
      <c r="A874" s="225">
        <v>99613</v>
      </c>
      <c r="B874" s="225" t="s">
        <v>1589</v>
      </c>
      <c r="C874" s="100">
        <v>181222.44</v>
      </c>
      <c r="F874" s="69"/>
      <c r="M874" s="3"/>
    </row>
    <row r="875" spans="1:13">
      <c r="A875" s="225">
        <v>99621</v>
      </c>
      <c r="B875" s="225" t="s">
        <v>1590</v>
      </c>
      <c r="C875" s="100">
        <v>179701.52</v>
      </c>
      <c r="F875" s="69"/>
      <c r="M875" s="3"/>
    </row>
    <row r="876" spans="1:13">
      <c r="A876" s="225">
        <v>99623</v>
      </c>
      <c r="B876" s="225" t="s">
        <v>1591</v>
      </c>
      <c r="C876" s="100">
        <v>7056.34</v>
      </c>
      <c r="F876" s="69"/>
      <c r="M876" s="3"/>
    </row>
    <row r="877" spans="1:13">
      <c r="A877" s="225">
        <v>99631</v>
      </c>
      <c r="B877" s="225" t="s">
        <v>1592</v>
      </c>
      <c r="C877" s="100">
        <v>48309.46</v>
      </c>
      <c r="F877" s="69"/>
      <c r="M877" s="3"/>
    </row>
    <row r="878" spans="1:13">
      <c r="A878" s="225">
        <v>99651</v>
      </c>
      <c r="B878" s="225" t="s">
        <v>1593</v>
      </c>
      <c r="C878" s="100">
        <v>35232.94</v>
      </c>
      <c r="F878" s="69"/>
      <c r="M878" s="3"/>
    </row>
    <row r="879" spans="1:13">
      <c r="A879" s="225">
        <v>99661</v>
      </c>
      <c r="B879" s="225" t="s">
        <v>1594</v>
      </c>
      <c r="C879" s="100">
        <v>50110.45</v>
      </c>
      <c r="F879" s="69"/>
      <c r="M879" s="3"/>
    </row>
    <row r="880" spans="1:13">
      <c r="A880" s="225">
        <v>99701</v>
      </c>
      <c r="B880" s="225" t="s">
        <v>1595</v>
      </c>
      <c r="C880" s="100">
        <v>1535406.56</v>
      </c>
      <c r="F880" s="69"/>
      <c r="M880" s="3"/>
    </row>
    <row r="881" spans="1:15">
      <c r="A881" s="225">
        <v>99705</v>
      </c>
      <c r="B881" s="225" t="s">
        <v>1596</v>
      </c>
      <c r="C881" s="100">
        <v>103448.72</v>
      </c>
      <c r="F881" s="69"/>
      <c r="M881" s="3"/>
    </row>
    <row r="882" spans="1:15">
      <c r="A882" s="225">
        <v>99711</v>
      </c>
      <c r="B882" s="225" t="s">
        <v>1597</v>
      </c>
      <c r="C882" s="100">
        <v>236603.96</v>
      </c>
      <c r="F882" s="69"/>
      <c r="M882" s="3"/>
    </row>
    <row r="883" spans="1:15">
      <c r="A883" s="225">
        <v>99717</v>
      </c>
      <c r="B883" s="225" t="s">
        <v>1598</v>
      </c>
      <c r="C883" s="100">
        <v>10021.69</v>
      </c>
      <c r="F883" s="69"/>
      <c r="M883" s="3"/>
    </row>
    <row r="884" spans="1:15">
      <c r="A884" s="225">
        <v>99721</v>
      </c>
      <c r="B884" s="225" t="s">
        <v>1599</v>
      </c>
      <c r="C884" s="100">
        <v>301573.78999999998</v>
      </c>
      <c r="F884" s="69"/>
      <c r="M884" s="3"/>
    </row>
    <row r="885" spans="1:15">
      <c r="A885" s="225">
        <v>99727</v>
      </c>
      <c r="B885" s="225" t="s">
        <v>1600</v>
      </c>
      <c r="C885" s="100">
        <v>47853.68</v>
      </c>
      <c r="F885" s="69"/>
      <c r="M885" s="3"/>
    </row>
    <row r="886" spans="1:15">
      <c r="A886" s="225">
        <v>99801</v>
      </c>
      <c r="B886" s="225" t="s">
        <v>1601</v>
      </c>
      <c r="C886" s="100">
        <v>2413658.79</v>
      </c>
      <c r="F886" s="69"/>
      <c r="M886" s="3"/>
    </row>
    <row r="887" spans="1:15">
      <c r="A887" s="225">
        <v>99802</v>
      </c>
      <c r="B887" s="225" t="s">
        <v>1602</v>
      </c>
      <c r="C887" s="100">
        <v>7863.72</v>
      </c>
      <c r="F887" s="69"/>
      <c r="M887" s="3"/>
    </row>
    <row r="888" spans="1:15">
      <c r="A888" s="225">
        <v>99804</v>
      </c>
      <c r="B888" s="225" t="s">
        <v>1603</v>
      </c>
      <c r="C888" s="100">
        <v>49647.28</v>
      </c>
      <c r="F888" s="69"/>
      <c r="M888" s="3"/>
    </row>
    <row r="889" spans="1:15">
      <c r="A889" s="225">
        <v>99811</v>
      </c>
      <c r="B889" s="225" t="s">
        <v>1604</v>
      </c>
      <c r="C889" s="100">
        <v>3255140.88</v>
      </c>
      <c r="F889" s="69"/>
      <c r="M889" s="3"/>
    </row>
    <row r="890" spans="1:15">
      <c r="A890" s="225">
        <v>99812</v>
      </c>
      <c r="B890" s="225" t="s">
        <v>1605</v>
      </c>
      <c r="C890" s="100">
        <v>22565.64</v>
      </c>
      <c r="F890" s="69"/>
      <c r="M890" s="3"/>
    </row>
    <row r="891" spans="1:15">
      <c r="A891" s="225">
        <v>99818</v>
      </c>
      <c r="B891" s="225" t="s">
        <v>1606</v>
      </c>
      <c r="C891" s="100">
        <v>15169.44</v>
      </c>
      <c r="F891" s="69"/>
      <c r="M891" s="3"/>
    </row>
    <row r="892" spans="1:15">
      <c r="A892" s="225">
        <v>99821</v>
      </c>
      <c r="B892" s="225" t="s">
        <v>1607</v>
      </c>
      <c r="C892" s="100">
        <v>54378.720000000001</v>
      </c>
      <c r="F892" s="69"/>
      <c r="M892" s="3"/>
    </row>
    <row r="893" spans="1:15">
      <c r="A893" s="225">
        <v>99831</v>
      </c>
      <c r="B893" s="225" t="s">
        <v>1608</v>
      </c>
      <c r="C893" s="100">
        <v>32536.22</v>
      </c>
      <c r="F893" s="69"/>
      <c r="M893" s="3"/>
    </row>
    <row r="894" spans="1:15">
      <c r="A894" s="225">
        <v>99841</v>
      </c>
      <c r="B894" s="225" t="s">
        <v>1609</v>
      </c>
      <c r="C894" s="100">
        <v>14928.34</v>
      </c>
      <c r="H894" s="69"/>
      <c r="M894" s="3"/>
      <c r="O894" s="3"/>
    </row>
    <row r="895" spans="1:15">
      <c r="A895" s="225">
        <v>99851</v>
      </c>
      <c r="B895" s="225" t="s">
        <v>1610</v>
      </c>
      <c r="C895" s="100">
        <v>5845.95</v>
      </c>
      <c r="F895" s="69"/>
      <c r="M895" s="3"/>
    </row>
    <row r="896" spans="1:15">
      <c r="A896" s="225">
        <v>99901</v>
      </c>
      <c r="B896" s="225" t="s">
        <v>1611</v>
      </c>
      <c r="C896" s="100">
        <v>808549.55</v>
      </c>
      <c r="F896" s="69"/>
      <c r="M896" s="3"/>
    </row>
    <row r="897" spans="1:13">
      <c r="A897" s="225">
        <v>99911</v>
      </c>
      <c r="B897" s="225" t="s">
        <v>1612</v>
      </c>
      <c r="C897" s="100">
        <v>140611.01</v>
      </c>
      <c r="F897" s="69"/>
      <c r="M897" s="3"/>
    </row>
    <row r="898" spans="1:13">
      <c r="A898" s="225">
        <v>99921</v>
      </c>
      <c r="B898" s="225" t="s">
        <v>1613</v>
      </c>
      <c r="C898" s="100">
        <v>71036.100000000006</v>
      </c>
      <c r="F898" s="69"/>
      <c r="M898" s="3"/>
    </row>
    <row r="899" spans="1:13">
      <c r="A899" s="225">
        <v>99931</v>
      </c>
      <c r="B899" s="225" t="s">
        <v>1614</v>
      </c>
      <c r="C899" s="100">
        <v>10998.46</v>
      </c>
      <c r="F899" s="69"/>
      <c r="M899" s="316"/>
    </row>
    <row r="900" spans="1:13">
      <c r="A900" s="225">
        <v>99941</v>
      </c>
      <c r="B900" s="225" t="s">
        <v>1615</v>
      </c>
      <c r="C900" s="100">
        <v>32467.22</v>
      </c>
      <c r="F900" s="69"/>
      <c r="M900" s="3"/>
    </row>
    <row r="901" spans="1:13">
      <c r="A901" s="225">
        <v>99991</v>
      </c>
      <c r="B901" s="225" t="s">
        <v>1616</v>
      </c>
      <c r="C901" s="100">
        <v>269354.76</v>
      </c>
      <c r="F901" s="69"/>
      <c r="M901" s="3"/>
    </row>
    <row r="902" spans="1:13">
      <c r="A902" s="225">
        <v>99999</v>
      </c>
      <c r="B902" s="225" t="s">
        <v>1617</v>
      </c>
      <c r="C902" s="100">
        <v>598364.74</v>
      </c>
      <c r="F902" s="69"/>
      <c r="M902" s="316"/>
    </row>
    <row r="903" spans="1:13">
      <c r="F903" s="69"/>
      <c r="M903" s="3"/>
    </row>
    <row r="928" spans="1:1">
      <c r="A928" s="225" t="s">
        <v>3508</v>
      </c>
    </row>
    <row r="929" spans="1:3">
      <c r="A929" s="225">
        <v>91119</v>
      </c>
      <c r="B929" s="225" t="s">
        <v>48</v>
      </c>
      <c r="C929" s="100">
        <v>0</v>
      </c>
    </row>
    <row r="930" spans="1:3">
      <c r="A930" s="225">
        <v>92414</v>
      </c>
      <c r="B930" s="225" t="s">
        <v>2060</v>
      </c>
      <c r="C930" s="100">
        <v>0</v>
      </c>
    </row>
    <row r="931" spans="1:3">
      <c r="A931" s="225">
        <v>92608</v>
      </c>
      <c r="B931" s="225" t="s">
        <v>972</v>
      </c>
      <c r="C931" s="100">
        <v>0</v>
      </c>
    </row>
    <row r="932" spans="1:3">
      <c r="A932" s="225">
        <v>93408</v>
      </c>
      <c r="B932" s="225" t="s">
        <v>1043</v>
      </c>
      <c r="C932" s="100">
        <v>0</v>
      </c>
    </row>
    <row r="933" spans="1:3">
      <c r="A933" s="225">
        <v>94402</v>
      </c>
      <c r="B933" s="225" t="s">
        <v>1139</v>
      </c>
      <c r="C933" s="100">
        <v>0</v>
      </c>
    </row>
    <row r="934" spans="1:3">
      <c r="A934" s="225">
        <v>95412</v>
      </c>
      <c r="B934" s="225" t="s">
        <v>1220</v>
      </c>
      <c r="C934" s="100">
        <v>0</v>
      </c>
    </row>
    <row r="935" spans="1:3">
      <c r="A935" s="225">
        <v>93202</v>
      </c>
      <c r="B935" s="225" t="s">
        <v>1022</v>
      </c>
      <c r="C935" s="100">
        <v>0</v>
      </c>
    </row>
    <row r="936" spans="1:3">
      <c r="A936" s="225">
        <v>93677</v>
      </c>
      <c r="B936" s="225" t="s">
        <v>98</v>
      </c>
      <c r="C936" s="100">
        <v>0</v>
      </c>
    </row>
    <row r="937" spans="1:3">
      <c r="A937" s="225">
        <v>94512</v>
      </c>
      <c r="B937" s="225" t="s">
        <v>1151</v>
      </c>
      <c r="C937" s="100">
        <v>0</v>
      </c>
    </row>
    <row r="938" spans="1:3">
      <c r="A938" s="225">
        <v>97010</v>
      </c>
      <c r="B938" s="225" t="s">
        <v>1351</v>
      </c>
      <c r="C938" s="100">
        <v>0</v>
      </c>
    </row>
    <row r="939" spans="1:3">
      <c r="A939" s="225">
        <v>97491</v>
      </c>
      <c r="B939" s="225" t="s">
        <v>3506</v>
      </c>
    </row>
    <row r="2366" spans="1:1">
      <c r="A2366" s="101"/>
    </row>
  </sheetData>
  <sheetProtection algorithmName="SHA-512" hashValue="8cYlT9yHoNmXPneqpdd2tCpGYYrrXozgKbV7XdQlpC0NP6mlLopuns9xdPFswMp/3G3a2gw6j0Z9J9m9UWZEFw==" saltValue="6bo7P+nPqCsaJPy3k0cmlA==" spinCount="100000" sheet="1" objects="1" scenarios="1"/>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50"/>
  <sheetViews>
    <sheetView zoomScaleNormal="100" workbookViewId="0"/>
  </sheetViews>
  <sheetFormatPr defaultRowHeight="15"/>
  <cols>
    <col min="1" max="1" width="12.140625" style="99" bestFit="1" customWidth="1"/>
    <col min="2" max="2" width="55.5703125" style="99" bestFit="1" customWidth="1"/>
    <col min="3" max="3" width="27" style="100" bestFit="1" customWidth="1"/>
    <col min="4" max="4" width="9.140625" style="99"/>
    <col min="6" max="6" width="21" customWidth="1"/>
  </cols>
  <sheetData>
    <row r="1" spans="1:6" ht="15.75" thickBot="1">
      <c r="C1" s="240">
        <f>SUM(C4:C900)-SUM(C663,C664)</f>
        <v>489372689.15926653</v>
      </c>
      <c r="F1" s="240"/>
    </row>
    <row r="2" spans="1:6" ht="15.75" thickTop="1">
      <c r="A2" s="97" t="s">
        <v>1637</v>
      </c>
      <c r="B2" s="97" t="s">
        <v>1638</v>
      </c>
      <c r="C2" s="98" t="s">
        <v>1935</v>
      </c>
      <c r="D2" s="99" t="s">
        <v>1639</v>
      </c>
    </row>
    <row r="3" spans="1:6">
      <c r="A3" s="104" t="s">
        <v>692</v>
      </c>
      <c r="B3" s="103" t="s">
        <v>691</v>
      </c>
      <c r="C3" s="102">
        <v>0</v>
      </c>
    </row>
    <row r="4" spans="1:6">
      <c r="A4" s="99">
        <v>70505</v>
      </c>
      <c r="B4" s="99" t="s">
        <v>727</v>
      </c>
      <c r="C4" s="100">
        <v>199598.35992399999</v>
      </c>
    </row>
    <row r="5" spans="1:6">
      <c r="A5" s="99">
        <v>72265</v>
      </c>
      <c r="B5" s="99" t="s">
        <v>728</v>
      </c>
      <c r="C5" s="100">
        <v>73112.032791999998</v>
      </c>
    </row>
    <row r="6" spans="1:6">
      <c r="A6" s="99">
        <v>72593</v>
      </c>
      <c r="B6" s="99" t="s">
        <v>729</v>
      </c>
      <c r="C6" s="100">
        <v>2108.5935119999999</v>
      </c>
    </row>
    <row r="7" spans="1:6">
      <c r="A7" s="99">
        <v>72657</v>
      </c>
      <c r="B7" s="99" t="s">
        <v>730</v>
      </c>
      <c r="C7" s="100">
        <v>17248.676455000001</v>
      </c>
    </row>
    <row r="8" spans="1:6">
      <c r="A8" s="99">
        <v>90001</v>
      </c>
      <c r="B8" s="99" t="s">
        <v>731</v>
      </c>
      <c r="C8" s="100">
        <v>422349.85847900005</v>
      </c>
    </row>
    <row r="9" spans="1:6">
      <c r="A9" s="99">
        <v>90002</v>
      </c>
      <c r="B9" s="99" t="s">
        <v>732</v>
      </c>
      <c r="C9" s="100">
        <v>6507.4400000000005</v>
      </c>
    </row>
    <row r="10" spans="1:6">
      <c r="A10" s="99">
        <v>90011</v>
      </c>
      <c r="B10" s="99" t="s">
        <v>733</v>
      </c>
      <c r="C10" s="100">
        <v>89505.698597999988</v>
      </c>
    </row>
    <row r="11" spans="1:6">
      <c r="A11" s="99">
        <v>90092</v>
      </c>
      <c r="B11" s="99" t="s">
        <v>734</v>
      </c>
      <c r="C11" s="100">
        <v>190866.46999999997</v>
      </c>
    </row>
    <row r="12" spans="1:6">
      <c r="A12" s="99">
        <v>90096</v>
      </c>
      <c r="B12" s="99" t="s">
        <v>735</v>
      </c>
      <c r="C12" s="100">
        <v>544431.75999999989</v>
      </c>
    </row>
    <row r="13" spans="1:6">
      <c r="A13" s="99">
        <v>90098</v>
      </c>
      <c r="B13" s="99" t="s">
        <v>736</v>
      </c>
      <c r="C13" s="100">
        <v>156011.64000000001</v>
      </c>
    </row>
    <row r="14" spans="1:6">
      <c r="A14" s="99">
        <v>90099</v>
      </c>
      <c r="B14" s="99" t="s">
        <v>737</v>
      </c>
      <c r="C14" s="100">
        <v>309544.27999999997</v>
      </c>
    </row>
    <row r="15" spans="1:6">
      <c r="A15" s="99">
        <v>90101</v>
      </c>
      <c r="B15" s="99" t="s">
        <v>738</v>
      </c>
      <c r="C15" s="100">
        <v>3133228.3914639996</v>
      </c>
    </row>
    <row r="16" spans="1:6">
      <c r="A16" s="99">
        <v>90111</v>
      </c>
      <c r="B16" s="99" t="s">
        <v>739</v>
      </c>
      <c r="C16" s="100">
        <v>2405333.1541330004</v>
      </c>
    </row>
    <row r="17" spans="1:3">
      <c r="A17" s="99">
        <v>90114</v>
      </c>
      <c r="B17" s="99" t="s">
        <v>740</v>
      </c>
      <c r="C17" s="100">
        <v>1198986.5376889999</v>
      </c>
    </row>
    <row r="18" spans="1:3">
      <c r="A18" s="99">
        <v>90117</v>
      </c>
      <c r="B18" s="99" t="s">
        <v>741</v>
      </c>
      <c r="C18" s="100">
        <v>88275.01999999999</v>
      </c>
    </row>
    <row r="19" spans="1:3">
      <c r="A19" s="99">
        <v>90121</v>
      </c>
      <c r="B19" s="99" t="s">
        <v>742</v>
      </c>
      <c r="C19" s="100">
        <v>462400.56641199999</v>
      </c>
    </row>
    <row r="20" spans="1:3">
      <c r="A20" s="99">
        <v>90131</v>
      </c>
      <c r="B20" s="99" t="s">
        <v>743</v>
      </c>
      <c r="C20" s="100">
        <v>219611.64030300002</v>
      </c>
    </row>
    <row r="21" spans="1:3">
      <c r="A21" s="99">
        <v>90141</v>
      </c>
      <c r="B21" s="99" t="s">
        <v>744</v>
      </c>
      <c r="C21" s="100">
        <v>68863.357900000003</v>
      </c>
    </row>
    <row r="22" spans="1:3">
      <c r="A22" s="99">
        <v>90151</v>
      </c>
      <c r="B22" s="99" t="s">
        <v>745</v>
      </c>
      <c r="C22" s="100">
        <v>3287.6400000000012</v>
      </c>
    </row>
    <row r="23" spans="1:3">
      <c r="A23" s="99">
        <v>90161</v>
      </c>
      <c r="B23" s="99" t="s">
        <v>746</v>
      </c>
      <c r="C23" s="100">
        <v>16093.92</v>
      </c>
    </row>
    <row r="24" spans="1:3">
      <c r="A24" s="99">
        <v>90201</v>
      </c>
      <c r="B24" s="99" t="s">
        <v>747</v>
      </c>
      <c r="C24" s="100">
        <v>578316.74769100011</v>
      </c>
    </row>
    <row r="25" spans="1:3">
      <c r="A25" s="99">
        <v>90203</v>
      </c>
      <c r="B25" s="99" t="s">
        <v>748</v>
      </c>
      <c r="C25" s="100">
        <v>101603.37</v>
      </c>
    </row>
    <row r="26" spans="1:3">
      <c r="A26" s="99">
        <v>90205</v>
      </c>
      <c r="B26" s="99" t="s">
        <v>749</v>
      </c>
      <c r="C26" s="100">
        <v>16633.099999999999</v>
      </c>
    </row>
    <row r="27" spans="1:3">
      <c r="A27" s="99">
        <v>90206</v>
      </c>
      <c r="B27" s="99" t="s">
        <v>750</v>
      </c>
      <c r="C27" s="100">
        <v>199183.31</v>
      </c>
    </row>
    <row r="28" spans="1:3">
      <c r="A28" s="99">
        <v>90211</v>
      </c>
      <c r="B28" s="99" t="s">
        <v>751</v>
      </c>
      <c r="C28" s="100">
        <v>79199.972299999994</v>
      </c>
    </row>
    <row r="29" spans="1:3">
      <c r="A29" s="99">
        <v>90301</v>
      </c>
      <c r="B29" s="99" t="s">
        <v>752</v>
      </c>
      <c r="C29" s="100">
        <v>305923.23929700005</v>
      </c>
    </row>
    <row r="30" spans="1:3">
      <c r="A30" s="99">
        <v>90305</v>
      </c>
      <c r="B30" s="99" t="s">
        <v>753</v>
      </c>
      <c r="C30" s="100">
        <v>86244.7</v>
      </c>
    </row>
    <row r="31" spans="1:3">
      <c r="A31" s="99">
        <v>90307</v>
      </c>
      <c r="B31" s="99" t="s">
        <v>754</v>
      </c>
      <c r="C31" s="100">
        <v>4263.0800000000008</v>
      </c>
    </row>
    <row r="32" spans="1:3">
      <c r="A32" s="99">
        <v>90401</v>
      </c>
      <c r="B32" s="99" t="s">
        <v>755</v>
      </c>
      <c r="C32" s="100">
        <v>665185.52275500016</v>
      </c>
    </row>
    <row r="33" spans="1:3">
      <c r="A33" s="99">
        <v>90411</v>
      </c>
      <c r="B33" s="99" t="s">
        <v>756</v>
      </c>
      <c r="C33" s="100">
        <v>159556.95428000001</v>
      </c>
    </row>
    <row r="34" spans="1:3">
      <c r="A34" s="99">
        <v>90413</v>
      </c>
      <c r="B34" s="99" t="s">
        <v>757</v>
      </c>
      <c r="C34" s="100">
        <v>19071.850000000002</v>
      </c>
    </row>
    <row r="35" spans="1:3">
      <c r="A35" s="99">
        <v>90417</v>
      </c>
      <c r="B35" s="99" t="s">
        <v>758</v>
      </c>
      <c r="C35" s="100">
        <v>8909.3100000000013</v>
      </c>
    </row>
    <row r="36" spans="1:3">
      <c r="A36" s="99">
        <v>90421</v>
      </c>
      <c r="B36" s="99" t="s">
        <v>759</v>
      </c>
      <c r="C36" s="100">
        <v>8994.8979870000003</v>
      </c>
    </row>
    <row r="37" spans="1:3">
      <c r="A37" s="99">
        <v>90431</v>
      </c>
      <c r="B37" s="99" t="s">
        <v>760</v>
      </c>
      <c r="C37" s="100">
        <v>23132.455287999997</v>
      </c>
    </row>
    <row r="38" spans="1:3">
      <c r="A38" s="99">
        <v>90441</v>
      </c>
      <c r="B38" s="99" t="s">
        <v>761</v>
      </c>
      <c r="C38" s="100">
        <v>5251.9900000000007</v>
      </c>
    </row>
    <row r="39" spans="1:3">
      <c r="A39" s="99">
        <v>90451</v>
      </c>
      <c r="B39" s="99" t="s">
        <v>762</v>
      </c>
      <c r="C39" s="100">
        <v>9876.260000000002</v>
      </c>
    </row>
    <row r="40" spans="1:3">
      <c r="A40" s="99">
        <v>90461</v>
      </c>
      <c r="B40" s="99" t="s">
        <v>763</v>
      </c>
      <c r="C40" s="100">
        <v>4462.0399999999991</v>
      </c>
    </row>
    <row r="41" spans="1:3">
      <c r="A41" s="99">
        <v>90501</v>
      </c>
      <c r="B41" s="99" t="s">
        <v>764</v>
      </c>
      <c r="C41" s="100">
        <v>706559.66756500001</v>
      </c>
    </row>
    <row r="42" spans="1:3">
      <c r="A42" s="99">
        <v>90507</v>
      </c>
      <c r="B42" s="99" t="s">
        <v>34</v>
      </c>
      <c r="C42" s="100">
        <v>10999.19</v>
      </c>
    </row>
    <row r="43" spans="1:3">
      <c r="A43" s="99">
        <v>90511</v>
      </c>
      <c r="B43" s="99" t="s">
        <v>765</v>
      </c>
      <c r="C43" s="100">
        <v>54677.298566999991</v>
      </c>
    </row>
    <row r="44" spans="1:3">
      <c r="A44" s="99">
        <v>90521</v>
      </c>
      <c r="B44" s="99" t="s">
        <v>766</v>
      </c>
      <c r="C44" s="100">
        <v>56165.444559999989</v>
      </c>
    </row>
    <row r="45" spans="1:3">
      <c r="A45" s="99">
        <v>90601</v>
      </c>
      <c r="B45" s="99" t="s">
        <v>767</v>
      </c>
      <c r="C45" s="100">
        <v>569631.02223500004</v>
      </c>
    </row>
    <row r="46" spans="1:3">
      <c r="A46" s="99">
        <v>90602</v>
      </c>
      <c r="B46" s="99" t="s">
        <v>259</v>
      </c>
      <c r="C46" s="100">
        <v>43992.960000000006</v>
      </c>
    </row>
    <row r="47" spans="1:3">
      <c r="A47" s="99">
        <v>90605</v>
      </c>
      <c r="B47" s="99" t="s">
        <v>768</v>
      </c>
      <c r="C47" s="100">
        <v>27630.29</v>
      </c>
    </row>
    <row r="48" spans="1:3">
      <c r="A48" s="99">
        <v>90611</v>
      </c>
      <c r="B48" s="99" t="s">
        <v>769</v>
      </c>
      <c r="C48" s="100">
        <v>65699.086356999993</v>
      </c>
    </row>
    <row r="49" spans="1:3">
      <c r="A49" s="99">
        <v>90617</v>
      </c>
      <c r="B49" s="99" t="s">
        <v>770</v>
      </c>
      <c r="C49" s="100">
        <v>14672.75</v>
      </c>
    </row>
    <row r="50" spans="1:3">
      <c r="A50" s="99">
        <v>90621</v>
      </c>
      <c r="B50" s="99" t="s">
        <v>771</v>
      </c>
      <c r="C50" s="100">
        <v>27186.651186999999</v>
      </c>
    </row>
    <row r="51" spans="1:3">
      <c r="A51" s="99">
        <v>90631</v>
      </c>
      <c r="B51" s="99" t="s">
        <v>772</v>
      </c>
      <c r="C51" s="100">
        <v>183176.35238399997</v>
      </c>
    </row>
    <row r="52" spans="1:3">
      <c r="A52" s="99">
        <v>90641</v>
      </c>
      <c r="B52" s="99" t="s">
        <v>773</v>
      </c>
      <c r="C52" s="100">
        <v>7183.64</v>
      </c>
    </row>
    <row r="53" spans="1:3">
      <c r="A53" s="99">
        <v>90651</v>
      </c>
      <c r="B53" s="99" t="s">
        <v>1936</v>
      </c>
      <c r="C53" s="100">
        <v>102653.53967900001</v>
      </c>
    </row>
    <row r="54" spans="1:3">
      <c r="A54" s="99">
        <v>90701</v>
      </c>
      <c r="B54" s="99" t="s">
        <v>775</v>
      </c>
      <c r="C54" s="100">
        <v>1197981.5530330001</v>
      </c>
    </row>
    <row r="55" spans="1:3">
      <c r="A55" s="99">
        <v>90704</v>
      </c>
      <c r="B55" s="99" t="s">
        <v>776</v>
      </c>
      <c r="C55" s="100">
        <v>27041.129999999997</v>
      </c>
    </row>
    <row r="56" spans="1:3">
      <c r="A56" s="99">
        <v>90705</v>
      </c>
      <c r="B56" s="99" t="s">
        <v>777</v>
      </c>
      <c r="C56" s="100">
        <v>23511.609999999997</v>
      </c>
    </row>
    <row r="57" spans="1:3">
      <c r="A57" s="99">
        <v>90709</v>
      </c>
      <c r="B57" s="99" t="s">
        <v>778</v>
      </c>
      <c r="C57" s="100">
        <v>93850.66</v>
      </c>
    </row>
    <row r="58" spans="1:3">
      <c r="A58" s="99">
        <v>90711</v>
      </c>
      <c r="B58" s="99" t="s">
        <v>779</v>
      </c>
      <c r="C58" s="100">
        <v>779300.719193</v>
      </c>
    </row>
    <row r="59" spans="1:3">
      <c r="A59" s="99">
        <v>90721</v>
      </c>
      <c r="B59" s="99" t="s">
        <v>780</v>
      </c>
      <c r="C59" s="100">
        <v>14420.602866000001</v>
      </c>
    </row>
    <row r="60" spans="1:3">
      <c r="A60" s="99">
        <v>90731</v>
      </c>
      <c r="B60" s="99" t="s">
        <v>781</v>
      </c>
      <c r="C60" s="100">
        <v>79076.148457999996</v>
      </c>
    </row>
    <row r="61" spans="1:3">
      <c r="A61" s="99">
        <v>90741</v>
      </c>
      <c r="B61" s="99" t="s">
        <v>782</v>
      </c>
      <c r="C61" s="100">
        <v>7000.1099999999988</v>
      </c>
    </row>
    <row r="62" spans="1:3">
      <c r="A62" s="99">
        <v>90751</v>
      </c>
      <c r="B62" s="99" t="s">
        <v>783</v>
      </c>
      <c r="C62" s="100">
        <v>32337.097335999999</v>
      </c>
    </row>
    <row r="63" spans="1:3">
      <c r="A63" s="99">
        <v>90801</v>
      </c>
      <c r="B63" s="99" t="s">
        <v>784</v>
      </c>
      <c r="C63" s="100">
        <v>563452.00778100011</v>
      </c>
    </row>
    <row r="64" spans="1:3">
      <c r="A64" s="99">
        <v>90804</v>
      </c>
      <c r="B64" s="99" t="s">
        <v>785</v>
      </c>
      <c r="C64" s="100">
        <v>2846.16</v>
      </c>
    </row>
    <row r="65" spans="1:3">
      <c r="A65" s="99">
        <v>90805</v>
      </c>
      <c r="B65" s="99" t="s">
        <v>786</v>
      </c>
      <c r="C65" s="100">
        <v>40885.439999999995</v>
      </c>
    </row>
    <row r="66" spans="1:3">
      <c r="A66" s="99">
        <v>90808</v>
      </c>
      <c r="B66" s="99" t="s">
        <v>787</v>
      </c>
      <c r="C66" s="100">
        <v>59800.12000000001</v>
      </c>
    </row>
    <row r="67" spans="1:3">
      <c r="A67" s="99">
        <v>90811</v>
      </c>
      <c r="B67" s="99" t="s">
        <v>788</v>
      </c>
      <c r="C67" s="100">
        <v>11840</v>
      </c>
    </row>
    <row r="68" spans="1:3">
      <c r="A68" s="99">
        <v>90812</v>
      </c>
      <c r="B68" s="99" t="s">
        <v>789</v>
      </c>
      <c r="C68" s="100">
        <v>108049.17192200001</v>
      </c>
    </row>
    <row r="69" spans="1:3">
      <c r="A69" s="99">
        <v>90813</v>
      </c>
      <c r="B69" s="99" t="s">
        <v>790</v>
      </c>
      <c r="C69" s="100">
        <v>2202.62</v>
      </c>
    </row>
    <row r="70" spans="1:3">
      <c r="A70" s="99">
        <v>90861</v>
      </c>
      <c r="B70" s="99" t="s">
        <v>791</v>
      </c>
      <c r="C70" s="100">
        <v>6397.6289590000006</v>
      </c>
    </row>
    <row r="71" spans="1:3">
      <c r="A71" s="99">
        <v>90901</v>
      </c>
      <c r="B71" s="99" t="s">
        <v>792</v>
      </c>
      <c r="C71" s="100">
        <v>1076135.984125</v>
      </c>
    </row>
    <row r="72" spans="1:3">
      <c r="A72" s="99">
        <v>90911</v>
      </c>
      <c r="B72" s="99" t="s">
        <v>793</v>
      </c>
      <c r="C72" s="100">
        <v>172044.33497899998</v>
      </c>
    </row>
    <row r="73" spans="1:3">
      <c r="A73" s="99">
        <v>90917</v>
      </c>
      <c r="B73" s="99" t="s">
        <v>794</v>
      </c>
      <c r="C73" s="100">
        <v>6378.0800000000008</v>
      </c>
    </row>
    <row r="74" spans="1:3">
      <c r="A74" s="99">
        <v>90918</v>
      </c>
      <c r="B74" s="99" t="s">
        <v>795</v>
      </c>
      <c r="C74" s="100">
        <v>5036.16</v>
      </c>
    </row>
    <row r="75" spans="1:3">
      <c r="A75" s="99">
        <v>90921</v>
      </c>
      <c r="B75" s="99" t="s">
        <v>796</v>
      </c>
      <c r="C75" s="100">
        <v>62914.783684999995</v>
      </c>
    </row>
    <row r="76" spans="1:3">
      <c r="A76" s="99">
        <v>90931</v>
      </c>
      <c r="B76" s="99" t="s">
        <v>797</v>
      </c>
      <c r="C76" s="100">
        <v>16352.750000000004</v>
      </c>
    </row>
    <row r="77" spans="1:3">
      <c r="A77" s="99">
        <v>90941</v>
      </c>
      <c r="B77" s="99" t="s">
        <v>798</v>
      </c>
      <c r="C77" s="100">
        <v>39056.296876000008</v>
      </c>
    </row>
    <row r="78" spans="1:3">
      <c r="A78" s="99">
        <v>91001</v>
      </c>
      <c r="B78" s="99" t="s">
        <v>799</v>
      </c>
      <c r="C78" s="100">
        <v>3090374.0773109999</v>
      </c>
    </row>
    <row r="79" spans="1:3">
      <c r="A79" s="99">
        <v>91002</v>
      </c>
      <c r="B79" s="99" t="s">
        <v>800</v>
      </c>
      <c r="C79" s="100">
        <v>407170.49087800004</v>
      </c>
    </row>
    <row r="80" spans="1:3">
      <c r="A80" s="99">
        <v>91003</v>
      </c>
      <c r="B80" s="99" t="s">
        <v>801</v>
      </c>
      <c r="C80" s="100">
        <v>270617.24</v>
      </c>
    </row>
    <row r="81" spans="1:3">
      <c r="A81" s="99">
        <v>91004</v>
      </c>
      <c r="B81" s="99" t="s">
        <v>802</v>
      </c>
      <c r="C81" s="100">
        <v>17386.820000000003</v>
      </c>
    </row>
    <row r="82" spans="1:3">
      <c r="A82" s="99">
        <v>91006</v>
      </c>
      <c r="B82" s="99" t="s">
        <v>803</v>
      </c>
      <c r="C82" s="100">
        <v>473853.03</v>
      </c>
    </row>
    <row r="83" spans="1:3">
      <c r="A83" s="99">
        <v>91007</v>
      </c>
      <c r="B83" s="99" t="s">
        <v>804</v>
      </c>
      <c r="C83" s="100">
        <v>5144.5400000000009</v>
      </c>
    </row>
    <row r="84" spans="1:3">
      <c r="A84" s="99">
        <v>91008</v>
      </c>
      <c r="B84" s="99" t="s">
        <v>805</v>
      </c>
      <c r="C84" s="100">
        <v>75095.399999999994</v>
      </c>
    </row>
    <row r="85" spans="1:3">
      <c r="A85" s="99">
        <v>91009</v>
      </c>
      <c r="B85" s="99" t="s">
        <v>806</v>
      </c>
      <c r="C85" s="100">
        <v>11581.200000000003</v>
      </c>
    </row>
    <row r="86" spans="1:3">
      <c r="A86" s="99">
        <v>91010</v>
      </c>
      <c r="B86" s="99" t="s">
        <v>807</v>
      </c>
      <c r="C86" s="100">
        <v>30525.269999999997</v>
      </c>
    </row>
    <row r="87" spans="1:3">
      <c r="A87" s="99">
        <v>91011</v>
      </c>
      <c r="B87" s="99" t="s">
        <v>808</v>
      </c>
      <c r="C87" s="100">
        <v>170093.98634800001</v>
      </c>
    </row>
    <row r="88" spans="1:3">
      <c r="A88" s="99">
        <v>91012</v>
      </c>
      <c r="B88" s="99" t="s">
        <v>809</v>
      </c>
      <c r="C88" s="100">
        <v>7628.7055959999998</v>
      </c>
    </row>
    <row r="89" spans="1:3">
      <c r="A89" s="99">
        <v>91013</v>
      </c>
      <c r="B89" s="99" t="s">
        <v>810</v>
      </c>
      <c r="C89" s="100">
        <v>33972.910000000003</v>
      </c>
    </row>
    <row r="90" spans="1:3">
      <c r="A90" s="99">
        <v>91014</v>
      </c>
      <c r="B90" s="99" t="s">
        <v>811</v>
      </c>
      <c r="C90" s="100">
        <v>98530.085821999994</v>
      </c>
    </row>
    <row r="91" spans="1:3">
      <c r="A91" s="99">
        <v>91015</v>
      </c>
      <c r="B91" s="99" t="s">
        <v>1640</v>
      </c>
      <c r="C91" s="100">
        <v>17475.47</v>
      </c>
    </row>
    <row r="92" spans="1:3">
      <c r="A92" s="99">
        <v>91017</v>
      </c>
      <c r="B92" s="99" t="s">
        <v>812</v>
      </c>
      <c r="C92" s="100">
        <v>13122.92</v>
      </c>
    </row>
    <row r="93" spans="1:3">
      <c r="A93" s="99">
        <v>91020</v>
      </c>
      <c r="B93" s="99" t="s">
        <v>813</v>
      </c>
      <c r="C93" s="100">
        <v>13714.619999999997</v>
      </c>
    </row>
    <row r="94" spans="1:3">
      <c r="A94" s="99">
        <v>91021</v>
      </c>
      <c r="B94" s="99" t="s">
        <v>814</v>
      </c>
      <c r="C94" s="100">
        <v>437293.87982500001</v>
      </c>
    </row>
    <row r="95" spans="1:3">
      <c r="A95" s="99">
        <v>91024</v>
      </c>
      <c r="B95" s="99" t="s">
        <v>815</v>
      </c>
      <c r="C95" s="100">
        <v>47198.869999999995</v>
      </c>
    </row>
    <row r="96" spans="1:3">
      <c r="A96" s="99">
        <v>91026</v>
      </c>
      <c r="B96" s="99" t="s">
        <v>43</v>
      </c>
      <c r="C96" s="100">
        <v>47235.526725000003</v>
      </c>
    </row>
    <row r="97" spans="1:3">
      <c r="A97" s="99">
        <v>91027</v>
      </c>
      <c r="B97" s="99" t="s">
        <v>816</v>
      </c>
      <c r="C97" s="100">
        <v>14495.89</v>
      </c>
    </row>
    <row r="98" spans="1:3">
      <c r="A98" s="99">
        <v>91032</v>
      </c>
      <c r="B98" s="99" t="s">
        <v>817</v>
      </c>
      <c r="C98" s="100">
        <v>19389.870000000003</v>
      </c>
    </row>
    <row r="99" spans="1:3">
      <c r="A99" s="99">
        <v>91041</v>
      </c>
      <c r="B99" s="99" t="s">
        <v>818</v>
      </c>
      <c r="C99" s="100">
        <v>178639.54427299998</v>
      </c>
    </row>
    <row r="100" spans="1:3">
      <c r="A100" s="99">
        <v>91042</v>
      </c>
      <c r="B100" s="99" t="s">
        <v>819</v>
      </c>
      <c r="C100" s="100">
        <v>115345.57</v>
      </c>
    </row>
    <row r="101" spans="1:3">
      <c r="A101" s="99">
        <v>91047</v>
      </c>
      <c r="B101" s="99" t="s">
        <v>820</v>
      </c>
      <c r="C101" s="100">
        <v>18028.489999999998</v>
      </c>
    </row>
    <row r="102" spans="1:3">
      <c r="A102" s="99">
        <v>91051</v>
      </c>
      <c r="B102" s="99" t="s">
        <v>821</v>
      </c>
      <c r="C102" s="100">
        <v>33299.517023</v>
      </c>
    </row>
    <row r="103" spans="1:3">
      <c r="A103" s="99">
        <v>91057</v>
      </c>
      <c r="B103" s="99" t="s">
        <v>822</v>
      </c>
      <c r="C103" s="100">
        <v>10701.43</v>
      </c>
    </row>
    <row r="104" spans="1:3">
      <c r="A104" s="99">
        <v>91061</v>
      </c>
      <c r="B104" s="99" t="s">
        <v>823</v>
      </c>
      <c r="C104" s="100">
        <v>185817.85657800001</v>
      </c>
    </row>
    <row r="105" spans="1:3">
      <c r="A105" s="99">
        <v>91067</v>
      </c>
      <c r="B105" s="99" t="s">
        <v>824</v>
      </c>
      <c r="C105" s="100">
        <v>9145.5</v>
      </c>
    </row>
    <row r="106" spans="1:3">
      <c r="A106" s="99">
        <v>91071</v>
      </c>
      <c r="B106" s="99" t="s">
        <v>825</v>
      </c>
      <c r="C106" s="100">
        <v>107390.015474</v>
      </c>
    </row>
    <row r="107" spans="1:3">
      <c r="A107" s="99">
        <v>91077</v>
      </c>
      <c r="B107" s="99" t="s">
        <v>826</v>
      </c>
      <c r="C107" s="100">
        <v>2844.7599999999998</v>
      </c>
    </row>
    <row r="108" spans="1:3">
      <c r="A108" s="99">
        <v>91081</v>
      </c>
      <c r="B108" s="99" t="s">
        <v>827</v>
      </c>
      <c r="C108" s="100">
        <v>190608.10537000003</v>
      </c>
    </row>
    <row r="109" spans="1:3">
      <c r="A109" s="99">
        <v>91091</v>
      </c>
      <c r="B109" s="99" t="s">
        <v>828</v>
      </c>
      <c r="C109" s="100">
        <v>242147.15292600001</v>
      </c>
    </row>
    <row r="110" spans="1:3">
      <c r="A110" s="99">
        <v>91101</v>
      </c>
      <c r="B110" s="99" t="s">
        <v>829</v>
      </c>
      <c r="C110" s="100">
        <v>6369471.7086690003</v>
      </c>
    </row>
    <row r="111" spans="1:3">
      <c r="A111" s="99">
        <v>91102</v>
      </c>
      <c r="B111" s="99" t="s">
        <v>830</v>
      </c>
      <c r="C111" s="100">
        <v>161217.86000000002</v>
      </c>
    </row>
    <row r="112" spans="1:3">
      <c r="A112" s="99">
        <v>91104</v>
      </c>
      <c r="B112" s="99" t="s">
        <v>831</v>
      </c>
      <c r="C112" s="100">
        <v>7841.5</v>
      </c>
    </row>
    <row r="113" spans="1:3">
      <c r="A113" s="99">
        <v>91107</v>
      </c>
      <c r="B113" s="99" t="s">
        <v>832</v>
      </c>
      <c r="C113" s="100">
        <v>35656.780000000006</v>
      </c>
    </row>
    <row r="114" spans="1:3">
      <c r="A114" s="99">
        <v>91108</v>
      </c>
      <c r="B114" s="99" t="s">
        <v>833</v>
      </c>
      <c r="C114" s="100">
        <v>653593.38</v>
      </c>
    </row>
    <row r="115" spans="1:3">
      <c r="A115" s="99">
        <v>91109</v>
      </c>
      <c r="B115" s="99" t="s">
        <v>834</v>
      </c>
      <c r="C115" s="100">
        <v>52821.479999999996</v>
      </c>
    </row>
    <row r="116" spans="1:3">
      <c r="A116" s="99">
        <v>91111</v>
      </c>
      <c r="B116" s="99" t="s">
        <v>835</v>
      </c>
      <c r="C116" s="100">
        <v>113814.13794499999</v>
      </c>
    </row>
    <row r="117" spans="1:3">
      <c r="A117" s="99">
        <v>91120</v>
      </c>
      <c r="B117" s="99" t="s">
        <v>836</v>
      </c>
      <c r="C117" s="100">
        <v>51466.63</v>
      </c>
    </row>
    <row r="118" spans="1:3">
      <c r="A118" s="99">
        <v>91121</v>
      </c>
      <c r="B118" s="99" t="s">
        <v>837</v>
      </c>
      <c r="C118" s="100">
        <v>4668215.2035659999</v>
      </c>
    </row>
    <row r="119" spans="1:3">
      <c r="A119" s="99">
        <v>91127</v>
      </c>
      <c r="B119" s="99" t="s">
        <v>838</v>
      </c>
      <c r="C119" s="100">
        <v>160012.03236899999</v>
      </c>
    </row>
    <row r="120" spans="1:3">
      <c r="A120" s="99">
        <v>91128</v>
      </c>
      <c r="B120" s="99" t="s">
        <v>839</v>
      </c>
      <c r="C120" s="100">
        <v>247626.74780499999</v>
      </c>
    </row>
    <row r="121" spans="1:3">
      <c r="A121" s="99">
        <v>91138</v>
      </c>
      <c r="B121" s="99" t="s">
        <v>840</v>
      </c>
      <c r="C121" s="100">
        <v>195822.78</v>
      </c>
    </row>
    <row r="122" spans="1:3">
      <c r="A122" s="99">
        <v>91141</v>
      </c>
      <c r="B122" s="99" t="s">
        <v>841</v>
      </c>
      <c r="C122" s="100">
        <v>259024.40575499999</v>
      </c>
    </row>
    <row r="123" spans="1:3">
      <c r="A123" s="99">
        <v>91147</v>
      </c>
      <c r="B123" s="99" t="s">
        <v>842</v>
      </c>
      <c r="C123" s="100">
        <v>14428.590000000002</v>
      </c>
    </row>
    <row r="124" spans="1:3">
      <c r="A124" s="99">
        <v>91151</v>
      </c>
      <c r="B124" s="99" t="s">
        <v>843</v>
      </c>
      <c r="C124" s="100">
        <v>265563.67061900004</v>
      </c>
    </row>
    <row r="125" spans="1:3">
      <c r="A125" s="99">
        <v>91154</v>
      </c>
      <c r="B125" s="99" t="s">
        <v>844</v>
      </c>
      <c r="C125" s="100">
        <v>11031.759999999998</v>
      </c>
    </row>
    <row r="126" spans="1:3">
      <c r="A126" s="99">
        <v>91161</v>
      </c>
      <c r="B126" s="99" t="s">
        <v>845</v>
      </c>
      <c r="C126" s="100">
        <v>39612.641166000009</v>
      </c>
    </row>
    <row r="127" spans="1:3">
      <c r="A127" s="99">
        <v>91171</v>
      </c>
      <c r="B127" s="99" t="s">
        <v>846</v>
      </c>
      <c r="C127" s="100">
        <v>108457.14567499999</v>
      </c>
    </row>
    <row r="128" spans="1:3">
      <c r="A128" s="99">
        <v>91201</v>
      </c>
      <c r="B128" s="99" t="s">
        <v>847</v>
      </c>
      <c r="C128" s="100">
        <v>1055634.8347090003</v>
      </c>
    </row>
    <row r="129" spans="1:3">
      <c r="A129" s="99">
        <v>91202</v>
      </c>
      <c r="B129" s="99" t="s">
        <v>848</v>
      </c>
      <c r="C129" s="100">
        <v>98483.79</v>
      </c>
    </row>
    <row r="130" spans="1:3">
      <c r="A130" s="99">
        <v>91203</v>
      </c>
      <c r="B130" s="99" t="s">
        <v>849</v>
      </c>
      <c r="C130" s="100">
        <v>137099.06</v>
      </c>
    </row>
    <row r="131" spans="1:3">
      <c r="A131" s="99">
        <v>91206</v>
      </c>
      <c r="B131" s="99" t="s">
        <v>850</v>
      </c>
      <c r="C131" s="100">
        <v>441655</v>
      </c>
    </row>
    <row r="132" spans="1:3">
      <c r="A132" s="99">
        <v>91208</v>
      </c>
      <c r="B132" s="99" t="s">
        <v>851</v>
      </c>
      <c r="C132" s="100">
        <v>6701.2</v>
      </c>
    </row>
    <row r="133" spans="1:3">
      <c r="A133" s="99">
        <v>91211</v>
      </c>
      <c r="B133" s="99" t="s">
        <v>852</v>
      </c>
      <c r="C133" s="100">
        <v>205268.22583000001</v>
      </c>
    </row>
    <row r="134" spans="1:3">
      <c r="A134" s="99">
        <v>91213</v>
      </c>
      <c r="B134" s="99" t="s">
        <v>853</v>
      </c>
      <c r="C134" s="100">
        <v>11721.010000000004</v>
      </c>
    </row>
    <row r="135" spans="1:3">
      <c r="A135" s="99">
        <v>91214</v>
      </c>
      <c r="B135" s="99" t="s">
        <v>854</v>
      </c>
      <c r="C135" s="100">
        <v>11806.909999999998</v>
      </c>
    </row>
    <row r="136" spans="1:3">
      <c r="A136" s="99">
        <v>91217</v>
      </c>
      <c r="B136" s="99" t="s">
        <v>855</v>
      </c>
      <c r="C136" s="100">
        <v>14531.739999999998</v>
      </c>
    </row>
    <row r="137" spans="1:3">
      <c r="A137" s="99">
        <v>91221</v>
      </c>
      <c r="B137" s="99" t="s">
        <v>856</v>
      </c>
      <c r="C137" s="100">
        <v>57643.743760000005</v>
      </c>
    </row>
    <row r="138" spans="1:3">
      <c r="A138" s="99">
        <v>91231</v>
      </c>
      <c r="B138" s="99" t="s">
        <v>857</v>
      </c>
      <c r="C138" s="100">
        <v>907952.11949399998</v>
      </c>
    </row>
    <row r="139" spans="1:3">
      <c r="A139" s="99">
        <v>91233</v>
      </c>
      <c r="B139" s="99" t="s">
        <v>858</v>
      </c>
      <c r="C139" s="100">
        <v>22381.89</v>
      </c>
    </row>
    <row r="140" spans="1:3">
      <c r="A140" s="99">
        <v>91241</v>
      </c>
      <c r="B140" s="99" t="s">
        <v>859</v>
      </c>
      <c r="C140" s="100">
        <v>29020.192139000002</v>
      </c>
    </row>
    <row r="141" spans="1:3">
      <c r="A141" s="99">
        <v>91251</v>
      </c>
      <c r="B141" s="99" t="s">
        <v>860</v>
      </c>
      <c r="C141" s="100">
        <v>17207.91</v>
      </c>
    </row>
    <row r="142" spans="1:3">
      <c r="A142" s="99">
        <v>91261</v>
      </c>
      <c r="B142" s="99" t="s">
        <v>861</v>
      </c>
      <c r="C142" s="100">
        <v>4921.62</v>
      </c>
    </row>
    <row r="143" spans="1:3">
      <c r="A143" s="99">
        <v>91301</v>
      </c>
      <c r="B143" s="99" t="s">
        <v>862</v>
      </c>
      <c r="C143" s="100">
        <v>3634284.4051430002</v>
      </c>
    </row>
    <row r="144" spans="1:3">
      <c r="A144" s="99">
        <v>91302</v>
      </c>
      <c r="B144" s="99" t="s">
        <v>863</v>
      </c>
      <c r="C144" s="100">
        <v>256040.47000000003</v>
      </c>
    </row>
    <row r="145" spans="1:3">
      <c r="A145" s="99">
        <v>91306</v>
      </c>
      <c r="B145" s="99" t="s">
        <v>864</v>
      </c>
      <c r="C145" s="100">
        <v>913944.23</v>
      </c>
    </row>
    <row r="146" spans="1:3">
      <c r="A146" s="99">
        <v>91308</v>
      </c>
      <c r="B146" s="99" t="s">
        <v>865</v>
      </c>
      <c r="C146" s="100">
        <v>81846.029999999984</v>
      </c>
    </row>
    <row r="147" spans="1:3">
      <c r="A147" s="99">
        <v>91311</v>
      </c>
      <c r="B147" s="99" t="s">
        <v>866</v>
      </c>
      <c r="C147" s="100">
        <v>3635419.9090130003</v>
      </c>
    </row>
    <row r="148" spans="1:3">
      <c r="A148" s="99">
        <v>91317</v>
      </c>
      <c r="B148" s="99" t="s">
        <v>867</v>
      </c>
      <c r="C148" s="100">
        <v>55268.480000000003</v>
      </c>
    </row>
    <row r="149" spans="1:3">
      <c r="A149" s="99">
        <v>91321</v>
      </c>
      <c r="B149" s="99" t="s">
        <v>868</v>
      </c>
      <c r="C149" s="100">
        <v>46430.78</v>
      </c>
    </row>
    <row r="150" spans="1:3">
      <c r="A150" s="99">
        <v>91327</v>
      </c>
      <c r="B150" s="99" t="s">
        <v>869</v>
      </c>
      <c r="C150" s="100">
        <v>4873.43</v>
      </c>
    </row>
    <row r="151" spans="1:3">
      <c r="A151" s="99">
        <v>91331</v>
      </c>
      <c r="B151" s="99" t="s">
        <v>870</v>
      </c>
      <c r="C151" s="100">
        <v>1293706.053027</v>
      </c>
    </row>
    <row r="152" spans="1:3">
      <c r="A152" s="99">
        <v>91341</v>
      </c>
      <c r="B152" s="99" t="s">
        <v>871</v>
      </c>
      <c r="C152" s="100">
        <v>14437.970000000001</v>
      </c>
    </row>
    <row r="153" spans="1:3">
      <c r="A153" s="99">
        <v>91401</v>
      </c>
      <c r="B153" s="99" t="s">
        <v>872</v>
      </c>
      <c r="C153" s="100">
        <v>1665858.4738169999</v>
      </c>
    </row>
    <row r="154" spans="1:3">
      <c r="A154" s="99">
        <v>91411</v>
      </c>
      <c r="B154" s="99" t="s">
        <v>873</v>
      </c>
      <c r="C154" s="100">
        <v>184234.82984200001</v>
      </c>
    </row>
    <row r="155" spans="1:3">
      <c r="A155" s="99">
        <v>91417</v>
      </c>
      <c r="B155" s="99" t="s">
        <v>874</v>
      </c>
      <c r="C155" s="100">
        <v>5523.8099999999986</v>
      </c>
    </row>
    <row r="156" spans="1:3">
      <c r="A156" s="99">
        <v>91421</v>
      </c>
      <c r="B156" s="99" t="s">
        <v>875</v>
      </c>
      <c r="C156" s="100">
        <v>38840.82</v>
      </c>
    </row>
    <row r="157" spans="1:3">
      <c r="A157" s="99">
        <v>91423</v>
      </c>
      <c r="B157" s="99" t="s">
        <v>876</v>
      </c>
      <c r="C157" s="100">
        <v>19786.169999999998</v>
      </c>
    </row>
    <row r="158" spans="1:3">
      <c r="A158" s="99">
        <v>91431</v>
      </c>
      <c r="B158" s="99" t="s">
        <v>877</v>
      </c>
      <c r="C158" s="100">
        <v>88726.048506000021</v>
      </c>
    </row>
    <row r="159" spans="1:3">
      <c r="A159" s="99">
        <v>91441</v>
      </c>
      <c r="B159" s="99" t="s">
        <v>878</v>
      </c>
      <c r="C159" s="100">
        <v>350488.21</v>
      </c>
    </row>
    <row r="160" spans="1:3">
      <c r="A160" s="99">
        <v>91451</v>
      </c>
      <c r="B160" s="99" t="s">
        <v>879</v>
      </c>
      <c r="C160" s="100">
        <v>719186.37605899991</v>
      </c>
    </row>
    <row r="161" spans="1:3">
      <c r="A161" s="99">
        <v>91457</v>
      </c>
      <c r="B161" s="99" t="s">
        <v>880</v>
      </c>
      <c r="C161" s="100">
        <v>29814.83</v>
      </c>
    </row>
    <row r="162" spans="1:3">
      <c r="A162" s="99">
        <v>91461</v>
      </c>
      <c r="B162" s="99" t="s">
        <v>881</v>
      </c>
      <c r="C162" s="100">
        <v>3124.4399999999991</v>
      </c>
    </row>
    <row r="163" spans="1:3">
      <c r="A163" s="99">
        <v>91501</v>
      </c>
      <c r="B163" s="99" t="s">
        <v>882</v>
      </c>
      <c r="C163" s="100">
        <v>236941.69474500002</v>
      </c>
    </row>
    <row r="164" spans="1:3">
      <c r="A164" s="99">
        <v>91504</v>
      </c>
      <c r="B164" s="99" t="s">
        <v>883</v>
      </c>
      <c r="C164" s="100">
        <v>6938.7900000000009</v>
      </c>
    </row>
    <row r="165" spans="1:3">
      <c r="A165" s="99">
        <v>91601</v>
      </c>
      <c r="B165" s="99" t="s">
        <v>884</v>
      </c>
      <c r="C165" s="100">
        <v>1390327.9244510001</v>
      </c>
    </row>
    <row r="166" spans="1:3">
      <c r="A166" s="99">
        <v>91604</v>
      </c>
      <c r="B166" s="99" t="s">
        <v>885</v>
      </c>
      <c r="C166" s="100">
        <v>55839.060480000007</v>
      </c>
    </row>
    <row r="167" spans="1:3">
      <c r="A167" s="99">
        <v>91608</v>
      </c>
      <c r="B167" s="99" t="s">
        <v>886</v>
      </c>
      <c r="C167" s="100">
        <v>52378.559999999998</v>
      </c>
    </row>
    <row r="168" spans="1:3">
      <c r="A168" s="99">
        <v>91611</v>
      </c>
      <c r="B168" s="99" t="s">
        <v>887</v>
      </c>
      <c r="C168" s="100">
        <v>614656.173435</v>
      </c>
    </row>
    <row r="169" spans="1:3">
      <c r="A169" s="99">
        <v>91621</v>
      </c>
      <c r="B169" s="99" t="s">
        <v>888</v>
      </c>
      <c r="C169" s="100">
        <v>124283.424576</v>
      </c>
    </row>
    <row r="170" spans="1:3">
      <c r="A170" s="99">
        <v>91631</v>
      </c>
      <c r="B170" s="99" t="s">
        <v>889</v>
      </c>
      <c r="C170" s="100">
        <v>239433.455605</v>
      </c>
    </row>
    <row r="171" spans="1:3">
      <c r="A171" s="99">
        <v>91633</v>
      </c>
      <c r="B171" s="99" t="s">
        <v>890</v>
      </c>
      <c r="C171" s="100">
        <v>10219.19</v>
      </c>
    </row>
    <row r="172" spans="1:3">
      <c r="A172" s="99">
        <v>91641</v>
      </c>
      <c r="B172" s="99" t="s">
        <v>891</v>
      </c>
      <c r="C172" s="100">
        <v>115065.09437900002</v>
      </c>
    </row>
    <row r="173" spans="1:3">
      <c r="A173" s="99">
        <v>91651</v>
      </c>
      <c r="B173" s="99" t="s">
        <v>892</v>
      </c>
      <c r="C173" s="100">
        <v>238247.14399899999</v>
      </c>
    </row>
    <row r="174" spans="1:3">
      <c r="A174" s="99">
        <v>91661</v>
      </c>
      <c r="B174" s="99" t="s">
        <v>893</v>
      </c>
      <c r="C174" s="100">
        <v>66913.817007000005</v>
      </c>
    </row>
    <row r="175" spans="1:3">
      <c r="A175" s="99">
        <v>91671</v>
      </c>
      <c r="B175" s="99" t="s">
        <v>894</v>
      </c>
      <c r="C175" s="100">
        <v>47244.936606999996</v>
      </c>
    </row>
    <row r="176" spans="1:3">
      <c r="A176" s="99">
        <v>91681</v>
      </c>
      <c r="B176" s="99" t="s">
        <v>895</v>
      </c>
      <c r="C176" s="100">
        <v>400102.45603499998</v>
      </c>
    </row>
    <row r="177" spans="1:3">
      <c r="A177" s="99">
        <v>91691</v>
      </c>
      <c r="B177" s="99" t="s">
        <v>896</v>
      </c>
      <c r="C177" s="100">
        <v>11105.62</v>
      </c>
    </row>
    <row r="178" spans="1:3">
      <c r="A178" s="99">
        <v>91701</v>
      </c>
      <c r="B178" s="99" t="s">
        <v>897</v>
      </c>
      <c r="C178" s="100">
        <v>564446.92984800017</v>
      </c>
    </row>
    <row r="179" spans="1:3">
      <c r="A179" s="99">
        <v>91704</v>
      </c>
      <c r="B179" s="99" t="s">
        <v>898</v>
      </c>
      <c r="C179" s="100">
        <v>8607.8599999999988</v>
      </c>
    </row>
    <row r="180" spans="1:3">
      <c r="A180" s="99">
        <v>91706</v>
      </c>
      <c r="B180" s="99" t="s">
        <v>899</v>
      </c>
      <c r="C180" s="100">
        <v>166002.11359999995</v>
      </c>
    </row>
    <row r="181" spans="1:3">
      <c r="A181" s="99">
        <v>91719</v>
      </c>
      <c r="B181" s="99" t="s">
        <v>900</v>
      </c>
      <c r="C181" s="100">
        <v>22115.769999999997</v>
      </c>
    </row>
    <row r="182" spans="1:3">
      <c r="A182" s="99">
        <v>91801</v>
      </c>
      <c r="B182" s="99" t="s">
        <v>901</v>
      </c>
      <c r="C182" s="100">
        <v>3845158.3544530002</v>
      </c>
    </row>
    <row r="183" spans="1:3">
      <c r="A183" s="99">
        <v>91804</v>
      </c>
      <c r="B183" s="99" t="s">
        <v>902</v>
      </c>
      <c r="C183" s="100">
        <v>105464.52</v>
      </c>
    </row>
    <row r="184" spans="1:3">
      <c r="A184" s="99">
        <v>91811</v>
      </c>
      <c r="B184" s="99" t="s">
        <v>903</v>
      </c>
      <c r="C184" s="100">
        <v>2056779.1234909997</v>
      </c>
    </row>
    <row r="185" spans="1:3">
      <c r="A185" s="99">
        <v>91812</v>
      </c>
      <c r="B185" s="99" t="s">
        <v>904</v>
      </c>
      <c r="C185" s="100">
        <v>28370.39</v>
      </c>
    </row>
    <row r="186" spans="1:3">
      <c r="A186" s="99">
        <v>91813</v>
      </c>
      <c r="B186" s="99" t="s">
        <v>905</v>
      </c>
      <c r="C186" s="100">
        <v>41692.790000000008</v>
      </c>
    </row>
    <row r="187" spans="1:3">
      <c r="A187" s="99">
        <v>91818</v>
      </c>
      <c r="B187" s="99" t="s">
        <v>906</v>
      </c>
      <c r="C187" s="100">
        <v>468317.05</v>
      </c>
    </row>
    <row r="188" spans="1:3">
      <c r="A188" s="99">
        <v>91819</v>
      </c>
      <c r="B188" s="99" t="s">
        <v>907</v>
      </c>
      <c r="C188" s="100">
        <v>156994.41</v>
      </c>
    </row>
    <row r="189" spans="1:3">
      <c r="A189" s="99">
        <v>91821</v>
      </c>
      <c r="B189" s="99" t="s">
        <v>908</v>
      </c>
      <c r="C189" s="100">
        <v>75806.766482999999</v>
      </c>
    </row>
    <row r="190" spans="1:3">
      <c r="A190" s="99">
        <v>91831</v>
      </c>
      <c r="B190" s="99" t="s">
        <v>909</v>
      </c>
      <c r="C190" s="100">
        <v>165489.25399200001</v>
      </c>
    </row>
    <row r="191" spans="1:3">
      <c r="A191" s="99">
        <v>91841</v>
      </c>
      <c r="B191" s="99" t="s">
        <v>910</v>
      </c>
      <c r="C191" s="100">
        <v>125257.58873600001</v>
      </c>
    </row>
    <row r="192" spans="1:3">
      <c r="A192" s="99">
        <v>91851</v>
      </c>
      <c r="B192" s="99" t="s">
        <v>911</v>
      </c>
      <c r="C192" s="100">
        <v>362200.99266299995</v>
      </c>
    </row>
    <row r="193" spans="1:3">
      <c r="A193" s="99">
        <v>91861</v>
      </c>
      <c r="B193" s="99" t="s">
        <v>912</v>
      </c>
      <c r="C193" s="100">
        <v>7332.8851999999997</v>
      </c>
    </row>
    <row r="194" spans="1:3">
      <c r="A194" s="99">
        <v>91871</v>
      </c>
      <c r="B194" s="99" t="s">
        <v>913</v>
      </c>
      <c r="C194" s="100">
        <v>615146.46365599998</v>
      </c>
    </row>
    <row r="195" spans="1:3">
      <c r="A195" s="99">
        <v>91881</v>
      </c>
      <c r="B195" s="99" t="s">
        <v>914</v>
      </c>
      <c r="C195" s="100">
        <v>5098.6400000000003</v>
      </c>
    </row>
    <row r="196" spans="1:3">
      <c r="A196" s="99">
        <v>91901</v>
      </c>
      <c r="B196" s="99" t="s">
        <v>915</v>
      </c>
      <c r="C196" s="100">
        <v>1743893.915302</v>
      </c>
    </row>
    <row r="197" spans="1:3">
      <c r="A197" s="99">
        <v>91903</v>
      </c>
      <c r="B197" s="99" t="s">
        <v>916</v>
      </c>
      <c r="C197" s="100">
        <v>6537</v>
      </c>
    </row>
    <row r="198" spans="1:3">
      <c r="A198" s="99">
        <v>91904</v>
      </c>
      <c r="B198" s="99" t="s">
        <v>917</v>
      </c>
      <c r="C198" s="100">
        <v>16612.080000000002</v>
      </c>
    </row>
    <row r="199" spans="1:3">
      <c r="A199" s="99">
        <v>91908</v>
      </c>
      <c r="B199" s="99" t="s">
        <v>918</v>
      </c>
      <c r="C199" s="100">
        <v>5166.92</v>
      </c>
    </row>
    <row r="200" spans="1:3">
      <c r="A200" s="99">
        <v>91911</v>
      </c>
      <c r="B200" s="99" t="s">
        <v>919</v>
      </c>
      <c r="C200" s="100">
        <v>231598.926331</v>
      </c>
    </row>
    <row r="201" spans="1:3">
      <c r="A201" s="99">
        <v>91917</v>
      </c>
      <c r="B201" s="99" t="s">
        <v>920</v>
      </c>
      <c r="C201" s="100">
        <v>6945.38</v>
      </c>
    </row>
    <row r="202" spans="1:3">
      <c r="A202" s="99">
        <v>91921</v>
      </c>
      <c r="B202" s="99" t="s">
        <v>921</v>
      </c>
      <c r="C202" s="100">
        <v>166029.18340599997</v>
      </c>
    </row>
    <row r="203" spans="1:3">
      <c r="A203" s="99">
        <v>92001</v>
      </c>
      <c r="B203" s="99" t="s">
        <v>922</v>
      </c>
      <c r="C203" s="100">
        <v>863075.17729200004</v>
      </c>
    </row>
    <row r="204" spans="1:3">
      <c r="A204" s="99">
        <v>92005</v>
      </c>
      <c r="B204" s="99" t="s">
        <v>923</v>
      </c>
      <c r="C204" s="100">
        <v>23807.88</v>
      </c>
    </row>
    <row r="205" spans="1:3">
      <c r="A205" s="99">
        <v>92011</v>
      </c>
      <c r="B205" s="99" t="s">
        <v>924</v>
      </c>
      <c r="C205" s="100">
        <v>94487.101011999999</v>
      </c>
    </row>
    <row r="206" spans="1:3">
      <c r="A206" s="99">
        <v>92017</v>
      </c>
      <c r="B206" s="99" t="s">
        <v>925</v>
      </c>
      <c r="C206" s="100">
        <v>18378.2</v>
      </c>
    </row>
    <row r="207" spans="1:3">
      <c r="A207" s="99">
        <v>92021</v>
      </c>
      <c r="B207" s="99" t="s">
        <v>926</v>
      </c>
      <c r="C207" s="100">
        <v>56797.989972000003</v>
      </c>
    </row>
    <row r="208" spans="1:3">
      <c r="A208" s="99">
        <v>92101</v>
      </c>
      <c r="B208" s="99" t="s">
        <v>927</v>
      </c>
      <c r="C208" s="100">
        <v>385403.0670380001</v>
      </c>
    </row>
    <row r="209" spans="1:3">
      <c r="A209" s="99">
        <v>92104</v>
      </c>
      <c r="B209" s="99" t="s">
        <v>928</v>
      </c>
      <c r="C209" s="100">
        <v>5362.8700000000017</v>
      </c>
    </row>
    <row r="210" spans="1:3">
      <c r="A210" s="99">
        <v>92109</v>
      </c>
      <c r="B210" s="99" t="s">
        <v>929</v>
      </c>
      <c r="C210" s="100">
        <v>81663.56</v>
      </c>
    </row>
    <row r="211" spans="1:3">
      <c r="A211" s="99">
        <v>92111</v>
      </c>
      <c r="B211" s="99" t="s">
        <v>930</v>
      </c>
      <c r="C211" s="100">
        <v>241524.02997399998</v>
      </c>
    </row>
    <row r="212" spans="1:3">
      <c r="A212" s="99">
        <v>92113</v>
      </c>
      <c r="B212" s="99" t="s">
        <v>931</v>
      </c>
      <c r="C212" s="100">
        <v>12477.000000000002</v>
      </c>
    </row>
    <row r="213" spans="1:3">
      <c r="A213" s="99">
        <v>92201</v>
      </c>
      <c r="B213" s="99" t="s">
        <v>932</v>
      </c>
      <c r="C213" s="100">
        <v>466555.8311270001</v>
      </c>
    </row>
    <row r="214" spans="1:3">
      <c r="A214" s="99">
        <v>92214</v>
      </c>
      <c r="B214" s="99" t="s">
        <v>1931</v>
      </c>
      <c r="C214" s="100">
        <v>9828.880000000001</v>
      </c>
    </row>
    <row r="215" spans="1:3">
      <c r="A215" s="99">
        <v>92301</v>
      </c>
      <c r="B215" s="99" t="s">
        <v>933</v>
      </c>
      <c r="C215" s="100">
        <v>2605917.5594340004</v>
      </c>
    </row>
    <row r="216" spans="1:3">
      <c r="A216" s="99">
        <v>92302</v>
      </c>
      <c r="B216" s="99" t="s">
        <v>934</v>
      </c>
      <c r="C216" s="100">
        <v>142815.22</v>
      </c>
    </row>
    <row r="217" spans="1:3">
      <c r="A217" s="99">
        <v>92311</v>
      </c>
      <c r="B217" s="99" t="s">
        <v>935</v>
      </c>
      <c r="C217" s="100">
        <v>1034114.674845</v>
      </c>
    </row>
    <row r="218" spans="1:3">
      <c r="A218" s="99">
        <v>92317</v>
      </c>
      <c r="B218" s="99" t="s">
        <v>936</v>
      </c>
      <c r="C218" s="100">
        <v>22934.21</v>
      </c>
    </row>
    <row r="219" spans="1:3">
      <c r="A219" s="99">
        <v>92321</v>
      </c>
      <c r="B219" s="99" t="s">
        <v>937</v>
      </c>
      <c r="C219" s="100">
        <v>602728.47985499993</v>
      </c>
    </row>
    <row r="220" spans="1:3">
      <c r="A220" s="99">
        <v>92327</v>
      </c>
      <c r="B220" s="99" t="s">
        <v>938</v>
      </c>
      <c r="C220" s="100">
        <v>7041.69</v>
      </c>
    </row>
    <row r="221" spans="1:3">
      <c r="A221" s="99">
        <v>92331</v>
      </c>
      <c r="B221" s="99" t="s">
        <v>939</v>
      </c>
      <c r="C221" s="100">
        <v>66231.381802000004</v>
      </c>
    </row>
    <row r="222" spans="1:3">
      <c r="A222" s="99">
        <v>92341</v>
      </c>
      <c r="B222" s="99" t="s">
        <v>940</v>
      </c>
      <c r="C222" s="100">
        <v>3267.72</v>
      </c>
    </row>
    <row r="223" spans="1:3">
      <c r="A223" s="99">
        <v>92351</v>
      </c>
      <c r="B223" s="99" t="s">
        <v>941</v>
      </c>
      <c r="C223" s="100">
        <v>12788.924762000002</v>
      </c>
    </row>
    <row r="224" spans="1:3">
      <c r="A224" s="99">
        <v>92401</v>
      </c>
      <c r="B224" s="99" t="s">
        <v>942</v>
      </c>
      <c r="C224" s="100">
        <v>1332379.2514169996</v>
      </c>
    </row>
    <row r="225" spans="1:3">
      <c r="A225" s="99">
        <v>92403</v>
      </c>
      <c r="B225" s="99" t="s">
        <v>943</v>
      </c>
      <c r="C225" s="100">
        <v>6224.4000000000015</v>
      </c>
    </row>
    <row r="226" spans="1:3">
      <c r="A226" s="99">
        <v>92411</v>
      </c>
      <c r="B226" s="99" t="s">
        <v>944</v>
      </c>
      <c r="C226" s="100">
        <v>212765.27583899998</v>
      </c>
    </row>
    <row r="227" spans="1:3">
      <c r="A227" s="99">
        <v>92417</v>
      </c>
      <c r="B227" s="99" t="s">
        <v>945</v>
      </c>
      <c r="C227" s="100">
        <v>6522.4100000000008</v>
      </c>
    </row>
    <row r="228" spans="1:3">
      <c r="A228" s="99">
        <v>92421</v>
      </c>
      <c r="B228" s="99" t="s">
        <v>946</v>
      </c>
      <c r="C228" s="100">
        <v>9320.2999999999993</v>
      </c>
    </row>
    <row r="229" spans="1:3">
      <c r="A229" s="99">
        <v>92427</v>
      </c>
      <c r="B229" s="99" t="s">
        <v>947</v>
      </c>
      <c r="C229" s="100">
        <v>1693.1599999999996</v>
      </c>
    </row>
    <row r="230" spans="1:3">
      <c r="A230" s="99">
        <v>92431</v>
      </c>
      <c r="B230" s="99" t="s">
        <v>948</v>
      </c>
      <c r="C230" s="100">
        <v>16532.620814000002</v>
      </c>
    </row>
    <row r="231" spans="1:3">
      <c r="A231" s="99">
        <v>92441</v>
      </c>
      <c r="B231" s="99" t="s">
        <v>949</v>
      </c>
      <c r="C231" s="100">
        <v>48364.150368000002</v>
      </c>
    </row>
    <row r="232" spans="1:3">
      <c r="A232" s="99">
        <v>92444</v>
      </c>
      <c r="B232" s="99" t="s">
        <v>950</v>
      </c>
      <c r="C232" s="100">
        <v>3182.4399999999996</v>
      </c>
    </row>
    <row r="233" spans="1:3">
      <c r="A233" s="99">
        <v>92451</v>
      </c>
      <c r="B233" s="99" t="s">
        <v>951</v>
      </c>
      <c r="C233" s="100">
        <v>79859.869124999997</v>
      </c>
    </row>
    <row r="234" spans="1:3">
      <c r="A234" s="99">
        <v>92461</v>
      </c>
      <c r="B234" s="99" t="s">
        <v>952</v>
      </c>
      <c r="C234" s="100">
        <v>43080.702709999998</v>
      </c>
    </row>
    <row r="235" spans="1:3">
      <c r="A235" s="99">
        <v>92501</v>
      </c>
      <c r="B235" s="99" t="s">
        <v>953</v>
      </c>
      <c r="C235" s="100">
        <v>2001121.777825</v>
      </c>
    </row>
    <row r="236" spans="1:3">
      <c r="A236" s="99">
        <v>92502</v>
      </c>
      <c r="B236" s="99" t="s">
        <v>954</v>
      </c>
      <c r="C236" s="100">
        <v>15228.840000000002</v>
      </c>
    </row>
    <row r="237" spans="1:3">
      <c r="A237" s="99">
        <v>92504</v>
      </c>
      <c r="B237" s="99" t="s">
        <v>955</v>
      </c>
      <c r="C237" s="100">
        <v>50659.740000000005</v>
      </c>
    </row>
    <row r="238" spans="1:3">
      <c r="A238" s="99">
        <v>92505</v>
      </c>
      <c r="B238" s="99" t="s">
        <v>956</v>
      </c>
      <c r="C238" s="100">
        <v>127842.43000000001</v>
      </c>
    </row>
    <row r="239" spans="1:3">
      <c r="A239" s="99">
        <v>92506</v>
      </c>
      <c r="B239" s="99" t="s">
        <v>957</v>
      </c>
      <c r="C239" s="100">
        <v>34609.71</v>
      </c>
    </row>
    <row r="240" spans="1:3">
      <c r="A240" s="99">
        <v>92507</v>
      </c>
      <c r="B240" s="99" t="s">
        <v>958</v>
      </c>
      <c r="C240" s="100">
        <v>38660.58</v>
      </c>
    </row>
    <row r="241" spans="1:3">
      <c r="A241" s="99">
        <v>92508</v>
      </c>
      <c r="B241" s="99" t="s">
        <v>959</v>
      </c>
      <c r="C241" s="100">
        <v>159816</v>
      </c>
    </row>
    <row r="242" spans="1:3">
      <c r="A242" s="99">
        <v>92511</v>
      </c>
      <c r="B242" s="99" t="s">
        <v>960</v>
      </c>
      <c r="C242" s="100">
        <v>1640990.8191569999</v>
      </c>
    </row>
    <row r="243" spans="1:3">
      <c r="A243" s="99">
        <v>92513</v>
      </c>
      <c r="B243" s="99" t="s">
        <v>961</v>
      </c>
      <c r="C243" s="100">
        <v>1761601.3599999999</v>
      </c>
    </row>
    <row r="244" spans="1:3">
      <c r="A244" s="99">
        <v>92521</v>
      </c>
      <c r="B244" s="99" t="s">
        <v>962</v>
      </c>
      <c r="C244" s="100">
        <v>40372.620280000003</v>
      </c>
    </row>
    <row r="245" spans="1:3">
      <c r="A245" s="99">
        <v>92531</v>
      </c>
      <c r="B245" s="99" t="s">
        <v>963</v>
      </c>
      <c r="C245" s="100">
        <v>370926.782618</v>
      </c>
    </row>
    <row r="246" spans="1:3">
      <c r="A246" s="99">
        <v>92541</v>
      </c>
      <c r="B246" s="99" t="s">
        <v>964</v>
      </c>
      <c r="C246" s="100">
        <v>60143.347958000013</v>
      </c>
    </row>
    <row r="247" spans="1:3">
      <c r="A247" s="99">
        <v>92551</v>
      </c>
      <c r="B247" s="99" t="s">
        <v>965</v>
      </c>
      <c r="C247" s="100">
        <v>21253.668636000002</v>
      </c>
    </row>
    <row r="248" spans="1:3">
      <c r="A248" s="99">
        <v>92561</v>
      </c>
      <c r="B248" s="99" t="s">
        <v>966</v>
      </c>
      <c r="C248" s="100">
        <v>11018.495680000002</v>
      </c>
    </row>
    <row r="249" spans="1:3">
      <c r="A249" s="99">
        <v>92571</v>
      </c>
      <c r="B249" s="99" t="s">
        <v>967</v>
      </c>
      <c r="C249" s="100">
        <v>7102.0999999999985</v>
      </c>
    </row>
    <row r="250" spans="1:3">
      <c r="A250" s="99">
        <v>92601</v>
      </c>
      <c r="B250" s="99" t="s">
        <v>968</v>
      </c>
      <c r="C250" s="100">
        <v>6697593.5252949996</v>
      </c>
    </row>
    <row r="251" spans="1:3">
      <c r="A251" s="99">
        <v>92602</v>
      </c>
      <c r="B251" s="99" t="s">
        <v>969</v>
      </c>
      <c r="C251" s="100">
        <v>2450.3199999999997</v>
      </c>
    </row>
    <row r="252" spans="1:3">
      <c r="A252" s="99">
        <v>92604</v>
      </c>
      <c r="B252" s="99" t="s">
        <v>970</v>
      </c>
      <c r="C252" s="100">
        <v>193974.42305799999</v>
      </c>
    </row>
    <row r="253" spans="1:3">
      <c r="A253" s="99">
        <v>92607</v>
      </c>
      <c r="B253" s="99" t="s">
        <v>971</v>
      </c>
      <c r="C253" s="100">
        <v>40699.430000000008</v>
      </c>
    </row>
    <row r="254" spans="1:3">
      <c r="A254" s="99">
        <v>92611</v>
      </c>
      <c r="B254" s="99" t="s">
        <v>973</v>
      </c>
      <c r="C254" s="100">
        <v>5875981.5031309994</v>
      </c>
    </row>
    <row r="255" spans="1:3">
      <c r="A255" s="99">
        <v>92613</v>
      </c>
      <c r="B255" s="99" t="s">
        <v>974</v>
      </c>
      <c r="C255" s="100">
        <v>139518.66</v>
      </c>
    </row>
    <row r="256" spans="1:3">
      <c r="A256" s="99">
        <v>92614</v>
      </c>
      <c r="B256" s="99" t="s">
        <v>975</v>
      </c>
      <c r="C256" s="100">
        <v>4938040.5999999996</v>
      </c>
    </row>
    <row r="257" spans="1:3">
      <c r="A257" s="99">
        <v>92621</v>
      </c>
      <c r="B257" s="99" t="s">
        <v>976</v>
      </c>
      <c r="C257" s="100">
        <v>13553.4208</v>
      </c>
    </row>
    <row r="258" spans="1:3">
      <c r="A258" s="99">
        <v>92631</v>
      </c>
      <c r="B258" s="99" t="s">
        <v>977</v>
      </c>
      <c r="C258" s="100">
        <v>416152.80942599999</v>
      </c>
    </row>
    <row r="259" spans="1:3">
      <c r="A259" s="99">
        <v>92641</v>
      </c>
      <c r="B259" s="99" t="s">
        <v>978</v>
      </c>
      <c r="C259" s="100">
        <v>6991.6799999999985</v>
      </c>
    </row>
    <row r="260" spans="1:3">
      <c r="A260" s="99">
        <v>92651</v>
      </c>
      <c r="B260" s="99" t="s">
        <v>979</v>
      </c>
      <c r="C260" s="100">
        <v>2540.5800000000004</v>
      </c>
    </row>
    <row r="261" spans="1:3">
      <c r="A261" s="99">
        <v>92661</v>
      </c>
      <c r="B261" s="99" t="s">
        <v>980</v>
      </c>
      <c r="C261" s="100">
        <v>546521.55185399996</v>
      </c>
    </row>
    <row r="262" spans="1:3">
      <c r="A262" s="99">
        <v>92671</v>
      </c>
      <c r="B262" s="99" t="s">
        <v>981</v>
      </c>
      <c r="C262" s="100">
        <v>5417.0499999999993</v>
      </c>
    </row>
    <row r="263" spans="1:3">
      <c r="A263" s="99">
        <v>92681</v>
      </c>
      <c r="B263" s="99" t="s">
        <v>982</v>
      </c>
      <c r="C263" s="100">
        <v>12159.02</v>
      </c>
    </row>
    <row r="264" spans="1:3">
      <c r="A264" s="99">
        <v>92701</v>
      </c>
      <c r="B264" s="99" t="s">
        <v>983</v>
      </c>
      <c r="C264" s="100">
        <v>1394893.7693140002</v>
      </c>
    </row>
    <row r="265" spans="1:3">
      <c r="A265" s="99">
        <v>92704</v>
      </c>
      <c r="B265" s="99" t="s">
        <v>984</v>
      </c>
      <c r="C265" s="100">
        <v>19607.260000000002</v>
      </c>
    </row>
    <row r="266" spans="1:3">
      <c r="A266" s="99">
        <v>92801</v>
      </c>
      <c r="B266" s="99" t="s">
        <v>985</v>
      </c>
      <c r="C266" s="100">
        <v>2645230.5612229998</v>
      </c>
    </row>
    <row r="267" spans="1:3">
      <c r="A267" s="99">
        <v>92802</v>
      </c>
      <c r="B267" s="99" t="s">
        <v>986</v>
      </c>
      <c r="C267" s="100">
        <v>57706.16</v>
      </c>
    </row>
    <row r="268" spans="1:3">
      <c r="A268" s="99">
        <v>92804</v>
      </c>
      <c r="B268" s="99" t="s">
        <v>987</v>
      </c>
      <c r="C268" s="100">
        <v>66559.106287999995</v>
      </c>
    </row>
    <row r="269" spans="1:3">
      <c r="A269" s="99">
        <v>92811</v>
      </c>
      <c r="B269" s="99" t="s">
        <v>988</v>
      </c>
      <c r="C269" s="100">
        <v>479568.66514800006</v>
      </c>
    </row>
    <row r="270" spans="1:3">
      <c r="A270" s="99">
        <v>92821</v>
      </c>
      <c r="B270" s="99" t="s">
        <v>989</v>
      </c>
      <c r="C270" s="100">
        <v>501804.138882</v>
      </c>
    </row>
    <row r="271" spans="1:3">
      <c r="A271" s="99">
        <v>92831</v>
      </c>
      <c r="B271" s="99" t="s">
        <v>990</v>
      </c>
      <c r="C271" s="100">
        <v>134107.661356</v>
      </c>
    </row>
    <row r="272" spans="1:3">
      <c r="A272" s="99">
        <v>92841</v>
      </c>
      <c r="B272" s="99" t="s">
        <v>991</v>
      </c>
      <c r="C272" s="100">
        <v>125072.28184900001</v>
      </c>
    </row>
    <row r="273" spans="1:3">
      <c r="A273" s="99">
        <v>92851</v>
      </c>
      <c r="B273" s="99" t="s">
        <v>992</v>
      </c>
      <c r="C273" s="100">
        <v>192126.15648500001</v>
      </c>
    </row>
    <row r="274" spans="1:3">
      <c r="A274" s="99">
        <v>92861</v>
      </c>
      <c r="B274" s="99" t="s">
        <v>993</v>
      </c>
      <c r="C274" s="100">
        <v>135764.57145600001</v>
      </c>
    </row>
    <row r="275" spans="1:3">
      <c r="A275" s="99">
        <v>92901</v>
      </c>
      <c r="B275" s="99" t="s">
        <v>994</v>
      </c>
      <c r="C275" s="100">
        <v>2725234.2818569997</v>
      </c>
    </row>
    <row r="276" spans="1:3">
      <c r="A276" s="99">
        <v>92911</v>
      </c>
      <c r="B276" s="99" t="s">
        <v>995</v>
      </c>
      <c r="C276" s="100">
        <v>988074.58866500016</v>
      </c>
    </row>
    <row r="277" spans="1:3">
      <c r="A277" s="99">
        <v>92913</v>
      </c>
      <c r="B277" s="99" t="s">
        <v>996</v>
      </c>
      <c r="C277" s="100">
        <v>56980.31</v>
      </c>
    </row>
    <row r="278" spans="1:3">
      <c r="A278" s="99">
        <v>92914</v>
      </c>
      <c r="B278" s="99" t="s">
        <v>997</v>
      </c>
      <c r="C278" s="100">
        <v>14201.86</v>
      </c>
    </row>
    <row r="279" spans="1:3">
      <c r="A279" s="99">
        <v>92917</v>
      </c>
      <c r="B279" s="99" t="s">
        <v>998</v>
      </c>
      <c r="C279" s="100">
        <v>16093.97</v>
      </c>
    </row>
    <row r="280" spans="1:3">
      <c r="A280" s="99">
        <v>92921</v>
      </c>
      <c r="B280" s="99" t="s">
        <v>999</v>
      </c>
      <c r="C280" s="100">
        <v>47485.890067</v>
      </c>
    </row>
    <row r="281" spans="1:3">
      <c r="A281" s="99">
        <v>92931</v>
      </c>
      <c r="B281" s="99" t="s">
        <v>1000</v>
      </c>
      <c r="C281" s="100">
        <v>1185078.8836500002</v>
      </c>
    </row>
    <row r="282" spans="1:3">
      <c r="A282" s="99">
        <v>92941</v>
      </c>
      <c r="B282" s="99" t="s">
        <v>81</v>
      </c>
      <c r="C282" s="100">
        <v>5800.37</v>
      </c>
    </row>
    <row r="283" spans="1:3">
      <c r="A283" s="99">
        <v>93001</v>
      </c>
      <c r="B283" s="99" t="s">
        <v>1001</v>
      </c>
      <c r="C283" s="100">
        <v>1079124.403707</v>
      </c>
    </row>
    <row r="284" spans="1:3">
      <c r="A284" s="99">
        <v>93009</v>
      </c>
      <c r="B284" s="99" t="s">
        <v>1002</v>
      </c>
      <c r="C284" s="100">
        <v>5770.45</v>
      </c>
    </row>
    <row r="285" spans="1:3">
      <c r="A285" s="99">
        <v>93011</v>
      </c>
      <c r="B285" s="99" t="s">
        <v>1003</v>
      </c>
      <c r="C285" s="100">
        <v>154957.61987699999</v>
      </c>
    </row>
    <row r="286" spans="1:3">
      <c r="A286" s="99">
        <v>93021</v>
      </c>
      <c r="B286" s="99" t="s">
        <v>1004</v>
      </c>
      <c r="C286" s="100">
        <v>13963.15</v>
      </c>
    </row>
    <row r="287" spans="1:3">
      <c r="A287" s="99">
        <v>93027</v>
      </c>
      <c r="B287" s="99" t="s">
        <v>1005</v>
      </c>
      <c r="C287" s="100">
        <v>6210.89</v>
      </c>
    </row>
    <row r="288" spans="1:3">
      <c r="A288" s="99">
        <v>93031</v>
      </c>
      <c r="B288" s="99" t="s">
        <v>1006</v>
      </c>
      <c r="C288" s="100">
        <v>23728.551101000001</v>
      </c>
    </row>
    <row r="289" spans="1:3">
      <c r="A289" s="99">
        <v>93101</v>
      </c>
      <c r="B289" s="99" t="s">
        <v>1007</v>
      </c>
      <c r="C289" s="100">
        <v>1558580.6954580003</v>
      </c>
    </row>
    <row r="290" spans="1:3">
      <c r="A290" s="99">
        <v>93103</v>
      </c>
      <c r="B290" s="99" t="s">
        <v>260</v>
      </c>
      <c r="C290" s="100">
        <v>6012.1600000000008</v>
      </c>
    </row>
    <row r="291" spans="1:3">
      <c r="A291" s="99">
        <v>93108</v>
      </c>
      <c r="B291" s="99" t="s">
        <v>1008</v>
      </c>
      <c r="C291" s="100">
        <v>1177629.3799999999</v>
      </c>
    </row>
    <row r="292" spans="1:3">
      <c r="A292" s="99">
        <v>93111</v>
      </c>
      <c r="B292" s="99" t="s">
        <v>1009</v>
      </c>
      <c r="C292" s="100">
        <v>28174.565187</v>
      </c>
    </row>
    <row r="293" spans="1:3">
      <c r="A293" s="99">
        <v>93121</v>
      </c>
      <c r="B293" s="99" t="s">
        <v>1010</v>
      </c>
      <c r="C293" s="100">
        <v>31032.584706000001</v>
      </c>
    </row>
    <row r="294" spans="1:3">
      <c r="A294" s="99">
        <v>93127</v>
      </c>
      <c r="B294" s="99" t="s">
        <v>1011</v>
      </c>
      <c r="C294" s="100">
        <v>3229.7599999999998</v>
      </c>
    </row>
    <row r="295" spans="1:3">
      <c r="A295" s="99">
        <v>93131</v>
      </c>
      <c r="B295" s="99" t="s">
        <v>1012</v>
      </c>
      <c r="C295" s="100">
        <v>93827.233336999998</v>
      </c>
    </row>
    <row r="296" spans="1:3">
      <c r="A296" s="99">
        <v>93137</v>
      </c>
      <c r="B296" s="99" t="s">
        <v>1013</v>
      </c>
      <c r="C296" s="100">
        <v>2953.4300000000003</v>
      </c>
    </row>
    <row r="297" spans="1:3">
      <c r="A297" s="99">
        <v>93141</v>
      </c>
      <c r="B297" s="99" t="s">
        <v>1014</v>
      </c>
      <c r="C297" s="100">
        <v>16087.869999999999</v>
      </c>
    </row>
    <row r="298" spans="1:3">
      <c r="A298" s="99">
        <v>93151</v>
      </c>
      <c r="B298" s="99" t="s">
        <v>1015</v>
      </c>
      <c r="C298" s="100">
        <v>160775.82038700001</v>
      </c>
    </row>
    <row r="299" spans="1:3">
      <c r="A299" s="99">
        <v>93157</v>
      </c>
      <c r="B299" s="99" t="s">
        <v>1016</v>
      </c>
      <c r="C299" s="100">
        <v>6823.3200000000006</v>
      </c>
    </row>
    <row r="300" spans="1:3">
      <c r="A300" s="99">
        <v>93161</v>
      </c>
      <c r="B300" s="99" t="s">
        <v>1017</v>
      </c>
      <c r="C300" s="100">
        <v>51773.468675000004</v>
      </c>
    </row>
    <row r="301" spans="1:3">
      <c r="A301" s="99">
        <v>93171</v>
      </c>
      <c r="B301" s="99" t="s">
        <v>1018</v>
      </c>
      <c r="C301" s="100">
        <v>2322.04</v>
      </c>
    </row>
    <row r="302" spans="1:3">
      <c r="A302" s="99">
        <v>93181</v>
      </c>
      <c r="B302" s="99" t="s">
        <v>1019</v>
      </c>
      <c r="C302" s="100">
        <v>5787.3099999999995</v>
      </c>
    </row>
    <row r="303" spans="1:3">
      <c r="A303" s="99">
        <v>93191</v>
      </c>
      <c r="B303" s="99" t="s">
        <v>1020</v>
      </c>
      <c r="C303" s="100">
        <v>16585.351130000003</v>
      </c>
    </row>
    <row r="304" spans="1:3">
      <c r="A304" s="99">
        <v>93201</v>
      </c>
      <c r="B304" s="99" t="s">
        <v>1021</v>
      </c>
      <c r="C304" s="100">
        <v>7788677.8221599991</v>
      </c>
    </row>
    <row r="305" spans="1:3">
      <c r="A305" s="99">
        <v>93204</v>
      </c>
      <c r="B305" s="99" t="s">
        <v>1023</v>
      </c>
      <c r="C305" s="100">
        <v>169803.69318300002</v>
      </c>
    </row>
    <row r="306" spans="1:3">
      <c r="A306" s="99">
        <v>93209</v>
      </c>
      <c r="B306" s="99" t="s">
        <v>1024</v>
      </c>
      <c r="C306" s="100">
        <v>2328064.71</v>
      </c>
    </row>
    <row r="307" spans="1:3">
      <c r="A307" s="99">
        <v>93211</v>
      </c>
      <c r="B307" s="99" t="s">
        <v>1025</v>
      </c>
      <c r="C307" s="100">
        <v>10204404.299964001</v>
      </c>
    </row>
    <row r="308" spans="1:3">
      <c r="A308" s="99">
        <v>93212</v>
      </c>
      <c r="B308" s="99" t="s">
        <v>1026</v>
      </c>
      <c r="C308" s="100">
        <v>244862.24000000002</v>
      </c>
    </row>
    <row r="309" spans="1:3">
      <c r="A309" s="99">
        <v>93219</v>
      </c>
      <c r="B309" s="99" t="s">
        <v>1027</v>
      </c>
      <c r="C309" s="100">
        <v>129471.25</v>
      </c>
    </row>
    <row r="310" spans="1:3">
      <c r="A310" s="99">
        <v>93301</v>
      </c>
      <c r="B310" s="99" t="s">
        <v>1028</v>
      </c>
      <c r="C310" s="100">
        <v>1097553.0844130001</v>
      </c>
    </row>
    <row r="311" spans="1:3">
      <c r="A311" s="99">
        <v>93304</v>
      </c>
      <c r="B311" s="99" t="s">
        <v>1029</v>
      </c>
      <c r="C311" s="100">
        <v>20870.68</v>
      </c>
    </row>
    <row r="312" spans="1:3">
      <c r="A312" s="99">
        <v>93305</v>
      </c>
      <c r="B312" s="99" t="s">
        <v>1030</v>
      </c>
      <c r="C312" s="100">
        <v>20942.880000000005</v>
      </c>
    </row>
    <row r="313" spans="1:3">
      <c r="A313" s="99">
        <v>93309</v>
      </c>
      <c r="B313" s="99" t="s">
        <v>1031</v>
      </c>
      <c r="C313" s="100">
        <v>99537.62</v>
      </c>
    </row>
    <row r="314" spans="1:3">
      <c r="A314" s="99">
        <v>93311</v>
      </c>
      <c r="B314" s="99" t="s">
        <v>1032</v>
      </c>
      <c r="C314" s="100">
        <v>566417.25526200002</v>
      </c>
    </row>
    <row r="315" spans="1:3">
      <c r="A315" s="99">
        <v>93317</v>
      </c>
      <c r="B315" s="99" t="s">
        <v>1033</v>
      </c>
      <c r="C315" s="100">
        <v>21797.59</v>
      </c>
    </row>
    <row r="316" spans="1:3">
      <c r="A316" s="99">
        <v>93321</v>
      </c>
      <c r="B316" s="99" t="s">
        <v>1034</v>
      </c>
      <c r="C316" s="100">
        <v>3382414.9624279998</v>
      </c>
    </row>
    <row r="317" spans="1:3">
      <c r="A317" s="99">
        <v>93323</v>
      </c>
      <c r="B317" s="99" t="s">
        <v>1035</v>
      </c>
      <c r="C317" s="100">
        <v>9435.43</v>
      </c>
    </row>
    <row r="318" spans="1:3">
      <c r="A318" s="99">
        <v>93331</v>
      </c>
      <c r="B318" s="99" t="s">
        <v>1036</v>
      </c>
      <c r="C318" s="100">
        <v>65250.991547999991</v>
      </c>
    </row>
    <row r="319" spans="1:3">
      <c r="A319" s="99">
        <v>93333</v>
      </c>
      <c r="B319" s="99" t="s">
        <v>1037</v>
      </c>
      <c r="C319" s="100">
        <v>102856.65</v>
      </c>
    </row>
    <row r="320" spans="1:3">
      <c r="A320" s="99">
        <v>93341</v>
      </c>
      <c r="B320" s="99" t="s">
        <v>1038</v>
      </c>
      <c r="C320" s="100">
        <v>14255.500000000002</v>
      </c>
    </row>
    <row r="321" spans="1:3">
      <c r="A321" s="99">
        <v>93351</v>
      </c>
      <c r="B321" s="99" t="s">
        <v>1039</v>
      </c>
      <c r="C321" s="100">
        <v>9872.36</v>
      </c>
    </row>
    <row r="322" spans="1:3">
      <c r="A322" s="99">
        <v>93401</v>
      </c>
      <c r="B322" s="99" t="s">
        <v>1040</v>
      </c>
      <c r="C322" s="100">
        <v>6853482.3910630001</v>
      </c>
    </row>
    <row r="323" spans="1:3">
      <c r="A323" s="99">
        <v>93402</v>
      </c>
      <c r="B323" s="99" t="s">
        <v>1041</v>
      </c>
      <c r="C323" s="100">
        <v>39484.560000000005</v>
      </c>
    </row>
    <row r="324" spans="1:3">
      <c r="A324" s="99">
        <v>93406</v>
      </c>
      <c r="B324" s="99" t="s">
        <v>1042</v>
      </c>
      <c r="C324" s="100">
        <v>258772.74000000005</v>
      </c>
    </row>
    <row r="325" spans="1:3">
      <c r="A325" s="99">
        <v>93411</v>
      </c>
      <c r="B325" s="99" t="s">
        <v>1044</v>
      </c>
      <c r="C325" s="100">
        <v>8965258.650173001</v>
      </c>
    </row>
    <row r="326" spans="1:3">
      <c r="A326" s="99">
        <v>93413</v>
      </c>
      <c r="B326" s="99" t="s">
        <v>1045</v>
      </c>
      <c r="C326" s="100">
        <v>379792.76</v>
      </c>
    </row>
    <row r="327" spans="1:3">
      <c r="A327" s="99">
        <v>93417</v>
      </c>
      <c r="B327" s="99" t="s">
        <v>1046</v>
      </c>
      <c r="C327" s="100">
        <v>186966.16600900004</v>
      </c>
    </row>
    <row r="328" spans="1:3">
      <c r="A328" s="99">
        <v>93421</v>
      </c>
      <c r="B328" s="99" t="s">
        <v>1047</v>
      </c>
      <c r="C328" s="100">
        <v>954135.29383600014</v>
      </c>
    </row>
    <row r="329" spans="1:3">
      <c r="A329" s="99">
        <v>93431</v>
      </c>
      <c r="B329" s="99" t="s">
        <v>1048</v>
      </c>
      <c r="C329" s="100">
        <v>68106.5</v>
      </c>
    </row>
    <row r="330" spans="1:3">
      <c r="A330" s="99">
        <v>93441</v>
      </c>
      <c r="B330" s="99" t="s">
        <v>1049</v>
      </c>
      <c r="C330" s="100">
        <v>78286.12</v>
      </c>
    </row>
    <row r="331" spans="1:3">
      <c r="A331" s="99">
        <v>93442</v>
      </c>
      <c r="B331" s="99" t="s">
        <v>1050</v>
      </c>
      <c r="C331" s="100">
        <v>65679.22</v>
      </c>
    </row>
    <row r="332" spans="1:3">
      <c r="A332" s="99">
        <v>93451</v>
      </c>
      <c r="B332" s="99" t="s">
        <v>1051</v>
      </c>
      <c r="C332" s="100">
        <v>45716</v>
      </c>
    </row>
    <row r="333" spans="1:3">
      <c r="A333" s="99">
        <v>93461</v>
      </c>
      <c r="B333" s="99" t="s">
        <v>1052</v>
      </c>
      <c r="C333" s="100">
        <v>8763.8399999999983</v>
      </c>
    </row>
    <row r="334" spans="1:3">
      <c r="A334" s="99">
        <v>93471</v>
      </c>
      <c r="B334" s="99" t="s">
        <v>1053</v>
      </c>
      <c r="C334" s="100">
        <v>8892.32</v>
      </c>
    </row>
    <row r="335" spans="1:3">
      <c r="A335" s="99">
        <v>93501</v>
      </c>
      <c r="B335" s="99" t="s">
        <v>1054</v>
      </c>
      <c r="C335" s="100">
        <v>1804126.7719120001</v>
      </c>
    </row>
    <row r="336" spans="1:3">
      <c r="A336" s="99">
        <v>93511</v>
      </c>
      <c r="B336" s="99" t="s">
        <v>1055</v>
      </c>
      <c r="C336" s="100">
        <v>50009.618969000003</v>
      </c>
    </row>
    <row r="337" spans="1:3">
      <c r="A337" s="99">
        <v>93517</v>
      </c>
      <c r="B337" s="99" t="s">
        <v>1056</v>
      </c>
      <c r="C337" s="100">
        <v>4538.6400000000012</v>
      </c>
    </row>
    <row r="338" spans="1:3">
      <c r="A338" s="99">
        <v>93521</v>
      </c>
      <c r="B338" s="99" t="s">
        <v>1057</v>
      </c>
      <c r="C338" s="100">
        <v>223246.95448500002</v>
      </c>
    </row>
    <row r="339" spans="1:3">
      <c r="A339" s="99">
        <v>93527</v>
      </c>
      <c r="B339" s="99" t="s">
        <v>1058</v>
      </c>
      <c r="C339" s="100">
        <v>11035.699999999999</v>
      </c>
    </row>
    <row r="340" spans="1:3">
      <c r="A340" s="99">
        <v>93531</v>
      </c>
      <c r="B340" s="99" t="s">
        <v>1059</v>
      </c>
      <c r="C340" s="100">
        <v>11788.282504000001</v>
      </c>
    </row>
    <row r="341" spans="1:3">
      <c r="A341" s="99">
        <v>93537</v>
      </c>
      <c r="B341" s="99" t="s">
        <v>1060</v>
      </c>
      <c r="C341" s="100">
        <v>4241.51</v>
      </c>
    </row>
    <row r="342" spans="1:3">
      <c r="A342" s="99">
        <v>93541</v>
      </c>
      <c r="B342" s="99" t="s">
        <v>1061</v>
      </c>
      <c r="C342" s="100">
        <v>52146.455994000004</v>
      </c>
    </row>
    <row r="343" spans="1:3">
      <c r="A343" s="99">
        <v>93601</v>
      </c>
      <c r="B343" s="99" t="s">
        <v>1062</v>
      </c>
      <c r="C343" s="100">
        <v>5558464.9640430007</v>
      </c>
    </row>
    <row r="344" spans="1:3">
      <c r="A344" s="99">
        <v>93602</v>
      </c>
      <c r="B344" s="99" t="s">
        <v>1063</v>
      </c>
      <c r="C344" s="100">
        <v>91453.953639000014</v>
      </c>
    </row>
    <row r="345" spans="1:3">
      <c r="A345" s="99">
        <v>93604</v>
      </c>
      <c r="B345" s="99" t="s">
        <v>1932</v>
      </c>
      <c r="C345" s="100">
        <v>16372.449999999999</v>
      </c>
    </row>
    <row r="346" spans="1:3">
      <c r="A346" s="99">
        <v>93609</v>
      </c>
      <c r="B346" s="99" t="s">
        <v>1064</v>
      </c>
      <c r="C346" s="100">
        <v>1828677.9100000001</v>
      </c>
    </row>
    <row r="347" spans="1:3">
      <c r="A347" s="99">
        <v>93610</v>
      </c>
      <c r="B347" s="99" t="s">
        <v>1065</v>
      </c>
      <c r="C347" s="100">
        <v>6459.07</v>
      </c>
    </row>
    <row r="348" spans="1:3">
      <c r="A348" s="99">
        <v>93611</v>
      </c>
      <c r="B348" s="99" t="s">
        <v>1066</v>
      </c>
      <c r="C348" s="100">
        <v>3375519.6241810001</v>
      </c>
    </row>
    <row r="349" spans="1:3">
      <c r="A349" s="99">
        <v>93617</v>
      </c>
      <c r="B349" s="99" t="s">
        <v>1067</v>
      </c>
      <c r="C349" s="100">
        <v>53912.520000000004</v>
      </c>
    </row>
    <row r="350" spans="1:3">
      <c r="A350" s="99">
        <v>93618</v>
      </c>
      <c r="B350" s="99" t="s">
        <v>1068</v>
      </c>
      <c r="C350" s="100">
        <v>25051.18</v>
      </c>
    </row>
    <row r="351" spans="1:3">
      <c r="A351" s="99">
        <v>93621</v>
      </c>
      <c r="B351" s="99" t="s">
        <v>1069</v>
      </c>
      <c r="C351" s="100">
        <v>458650.89991600008</v>
      </c>
    </row>
    <row r="352" spans="1:3">
      <c r="A352" s="99">
        <v>93623</v>
      </c>
      <c r="B352" s="99" t="s">
        <v>1070</v>
      </c>
      <c r="C352" s="100">
        <v>8365.67</v>
      </c>
    </row>
    <row r="353" spans="1:3">
      <c r="A353" s="99">
        <v>93631</v>
      </c>
      <c r="B353" s="99" t="s">
        <v>1071</v>
      </c>
      <c r="C353" s="100">
        <v>105757.276954</v>
      </c>
    </row>
    <row r="354" spans="1:3">
      <c r="A354" s="99">
        <v>93641</v>
      </c>
      <c r="B354" s="99" t="s">
        <v>1072</v>
      </c>
      <c r="C354" s="100">
        <v>208215.98405499998</v>
      </c>
    </row>
    <row r="355" spans="1:3">
      <c r="A355" s="99">
        <v>93647</v>
      </c>
      <c r="B355" s="99" t="s">
        <v>1073</v>
      </c>
      <c r="C355" s="100">
        <v>9827.48</v>
      </c>
    </row>
    <row r="356" spans="1:3">
      <c r="A356" s="99">
        <v>93651</v>
      </c>
      <c r="B356" s="99" t="s">
        <v>1074</v>
      </c>
      <c r="C356" s="100">
        <v>203987.41549400002</v>
      </c>
    </row>
    <row r="357" spans="1:3">
      <c r="A357" s="99">
        <v>93661</v>
      </c>
      <c r="B357" s="99" t="s">
        <v>1075</v>
      </c>
      <c r="C357" s="100">
        <v>66947.608879000007</v>
      </c>
    </row>
    <row r="358" spans="1:3">
      <c r="A358" s="99">
        <v>93671</v>
      </c>
      <c r="B358" s="99" t="s">
        <v>1076</v>
      </c>
      <c r="C358" s="100">
        <v>187843.31096800003</v>
      </c>
    </row>
    <row r="359" spans="1:3">
      <c r="A359" s="99">
        <v>93681</v>
      </c>
      <c r="B359" s="99" t="s">
        <v>1077</v>
      </c>
      <c r="C359" s="100">
        <v>59051.143360000002</v>
      </c>
    </row>
    <row r="360" spans="1:3">
      <c r="A360" s="99">
        <v>93691</v>
      </c>
      <c r="B360" s="99" t="s">
        <v>1078</v>
      </c>
      <c r="C360" s="100">
        <v>498869.78561799997</v>
      </c>
    </row>
    <row r="361" spans="1:3">
      <c r="A361" s="99">
        <v>93701</v>
      </c>
      <c r="B361" s="99" t="s">
        <v>1079</v>
      </c>
      <c r="C361" s="100">
        <v>219010.728294</v>
      </c>
    </row>
    <row r="362" spans="1:3">
      <c r="A362" s="99">
        <v>93704</v>
      </c>
      <c r="B362" s="99" t="s">
        <v>1080</v>
      </c>
      <c r="C362" s="100">
        <v>2030.1600000000005</v>
      </c>
    </row>
    <row r="363" spans="1:3">
      <c r="A363" s="99">
        <v>93801</v>
      </c>
      <c r="B363" s="99" t="s">
        <v>1081</v>
      </c>
      <c r="C363" s="100">
        <v>205695.24369</v>
      </c>
    </row>
    <row r="364" spans="1:3">
      <c r="A364" s="99">
        <v>93803</v>
      </c>
      <c r="B364" s="99" t="s">
        <v>1082</v>
      </c>
      <c r="C364" s="100">
        <v>48471.5</v>
      </c>
    </row>
    <row r="365" spans="1:3">
      <c r="A365" s="99">
        <v>93806</v>
      </c>
      <c r="B365" s="99" t="s">
        <v>1083</v>
      </c>
      <c r="C365" s="100">
        <v>42552.42</v>
      </c>
    </row>
    <row r="366" spans="1:3">
      <c r="A366" s="99">
        <v>93821</v>
      </c>
      <c r="B366" s="99" t="s">
        <v>1084</v>
      </c>
      <c r="C366" s="100">
        <v>54684.81</v>
      </c>
    </row>
    <row r="367" spans="1:3">
      <c r="A367" s="99">
        <v>93901</v>
      </c>
      <c r="B367" s="99" t="s">
        <v>1085</v>
      </c>
      <c r="C367" s="100">
        <v>959406.95326500002</v>
      </c>
    </row>
    <row r="368" spans="1:3">
      <c r="A368" s="99">
        <v>93904</v>
      </c>
      <c r="B368" s="99" t="s">
        <v>1086</v>
      </c>
      <c r="C368" s="100">
        <v>20649.140000000003</v>
      </c>
    </row>
    <row r="369" spans="1:3">
      <c r="A369" s="99">
        <v>93906</v>
      </c>
      <c r="B369" s="99" t="s">
        <v>1087</v>
      </c>
      <c r="C369" s="100">
        <v>1531380.48</v>
      </c>
    </row>
    <row r="370" spans="1:3">
      <c r="A370" s="99">
        <v>93908</v>
      </c>
      <c r="B370" s="99" t="s">
        <v>1088</v>
      </c>
      <c r="C370" s="100">
        <v>243682.52000000002</v>
      </c>
    </row>
    <row r="371" spans="1:3">
      <c r="A371" s="99">
        <v>93910</v>
      </c>
      <c r="B371" s="99" t="s">
        <v>1089</v>
      </c>
      <c r="C371" s="100">
        <v>124943.65000000001</v>
      </c>
    </row>
    <row r="372" spans="1:3">
      <c r="A372" s="99">
        <v>93911</v>
      </c>
      <c r="B372" s="99" t="s">
        <v>1090</v>
      </c>
      <c r="C372" s="100">
        <v>321853.03904099995</v>
      </c>
    </row>
    <row r="373" spans="1:3">
      <c r="A373" s="99">
        <v>93913</v>
      </c>
      <c r="B373" s="99" t="s">
        <v>1091</v>
      </c>
      <c r="C373" s="100">
        <v>32427.699999999997</v>
      </c>
    </row>
    <row r="374" spans="1:3">
      <c r="A374" s="99">
        <v>93914</v>
      </c>
      <c r="B374" s="99" t="s">
        <v>1092</v>
      </c>
      <c r="C374" s="100">
        <v>6762.079999999999</v>
      </c>
    </row>
    <row r="375" spans="1:3">
      <c r="A375" s="99">
        <v>93921</v>
      </c>
      <c r="B375" s="99" t="s">
        <v>1093</v>
      </c>
      <c r="C375" s="100">
        <v>137542.52074600002</v>
      </c>
    </row>
    <row r="376" spans="1:3">
      <c r="A376" s="99">
        <v>93931</v>
      </c>
      <c r="B376" s="99" t="s">
        <v>1094</v>
      </c>
      <c r="C376" s="100">
        <v>238501.86077800003</v>
      </c>
    </row>
    <row r="377" spans="1:3">
      <c r="A377" s="99">
        <v>94001</v>
      </c>
      <c r="B377" s="99" t="s">
        <v>1095</v>
      </c>
      <c r="C377" s="100">
        <v>461320.33028500003</v>
      </c>
    </row>
    <row r="378" spans="1:3">
      <c r="A378" s="99">
        <v>94002</v>
      </c>
      <c r="B378" s="99" t="s">
        <v>1096</v>
      </c>
      <c r="C378" s="100">
        <v>4785.87</v>
      </c>
    </row>
    <row r="379" spans="1:3">
      <c r="A379" s="99">
        <v>94004</v>
      </c>
      <c r="B379" s="99" t="s">
        <v>1097</v>
      </c>
      <c r="C379" s="100">
        <v>4601.3499999999995</v>
      </c>
    </row>
    <row r="380" spans="1:3">
      <c r="A380" s="99">
        <v>94005</v>
      </c>
      <c r="B380" s="99" t="s">
        <v>1098</v>
      </c>
      <c r="C380" s="100">
        <v>2452.52</v>
      </c>
    </row>
    <row r="381" spans="1:3">
      <c r="A381" s="99">
        <v>94011</v>
      </c>
      <c r="B381" s="99" t="s">
        <v>1099</v>
      </c>
      <c r="C381" s="100">
        <v>11857.95</v>
      </c>
    </row>
    <row r="382" spans="1:3">
      <c r="A382" s="99">
        <v>94021</v>
      </c>
      <c r="B382" s="99" t="s">
        <v>1100</v>
      </c>
      <c r="C382" s="100">
        <v>48100.269094000003</v>
      </c>
    </row>
    <row r="383" spans="1:3">
      <c r="A383" s="99">
        <v>94031</v>
      </c>
      <c r="B383" s="99" t="s">
        <v>1101</v>
      </c>
      <c r="C383" s="100">
        <v>7086.7199999999993</v>
      </c>
    </row>
    <row r="384" spans="1:3">
      <c r="A384" s="99">
        <v>94101</v>
      </c>
      <c r="B384" s="99" t="s">
        <v>1102</v>
      </c>
      <c r="C384" s="100">
        <v>9082874.8624590002</v>
      </c>
    </row>
    <row r="385" spans="1:3">
      <c r="A385" s="99">
        <v>94102</v>
      </c>
      <c r="B385" s="99" t="s">
        <v>1103</v>
      </c>
      <c r="C385" s="100">
        <v>109831.07999999999</v>
      </c>
    </row>
    <row r="386" spans="1:3">
      <c r="A386" s="99">
        <v>94108</v>
      </c>
      <c r="B386" s="99" t="s">
        <v>1104</v>
      </c>
      <c r="C386" s="100">
        <v>141635.36000000002</v>
      </c>
    </row>
    <row r="387" spans="1:3">
      <c r="A387" s="99">
        <v>94109</v>
      </c>
      <c r="B387" s="99" t="s">
        <v>1105</v>
      </c>
      <c r="C387" s="100">
        <v>34308.53</v>
      </c>
    </row>
    <row r="388" spans="1:3">
      <c r="A388" s="99">
        <v>94111</v>
      </c>
      <c r="B388" s="99" t="s">
        <v>1106</v>
      </c>
      <c r="C388" s="100">
        <v>12055216.264962999</v>
      </c>
    </row>
    <row r="389" spans="1:3">
      <c r="A389" s="99">
        <v>94112</v>
      </c>
      <c r="B389" s="99" t="s">
        <v>1107</v>
      </c>
      <c r="C389" s="100">
        <v>76727.231180999996</v>
      </c>
    </row>
    <row r="390" spans="1:3">
      <c r="A390" s="99">
        <v>94117</v>
      </c>
      <c r="B390" s="99" t="s">
        <v>1108</v>
      </c>
      <c r="C390" s="100">
        <v>182766.8</v>
      </c>
    </row>
    <row r="391" spans="1:3">
      <c r="A391" s="99">
        <v>94118</v>
      </c>
      <c r="B391" s="99" t="s">
        <v>1109</v>
      </c>
      <c r="C391" s="100">
        <v>64547.740000000005</v>
      </c>
    </row>
    <row r="392" spans="1:3">
      <c r="A392" s="99">
        <v>94121</v>
      </c>
      <c r="B392" s="99" t="s">
        <v>1110</v>
      </c>
      <c r="C392" s="100">
        <v>5648220.7370290002</v>
      </c>
    </row>
    <row r="393" spans="1:3">
      <c r="A393" s="99">
        <v>94127</v>
      </c>
      <c r="B393" s="99" t="s">
        <v>1111</v>
      </c>
      <c r="C393" s="100">
        <v>77193.210000000006</v>
      </c>
    </row>
    <row r="394" spans="1:3">
      <c r="A394" s="99">
        <v>94131</v>
      </c>
      <c r="B394" s="99" t="s">
        <v>1112</v>
      </c>
      <c r="C394" s="100">
        <v>104615.19999999998</v>
      </c>
    </row>
    <row r="395" spans="1:3">
      <c r="A395" s="99">
        <v>94151</v>
      </c>
      <c r="B395" s="99" t="s">
        <v>1113</v>
      </c>
      <c r="C395" s="100">
        <v>198961.67816499999</v>
      </c>
    </row>
    <row r="396" spans="1:3">
      <c r="A396" s="99">
        <v>94157</v>
      </c>
      <c r="B396" s="99" t="s">
        <v>1114</v>
      </c>
      <c r="C396" s="100">
        <v>5164.3099999999995</v>
      </c>
    </row>
    <row r="397" spans="1:3">
      <c r="A397" s="99">
        <v>94161</v>
      </c>
      <c r="B397" s="99" t="s">
        <v>1115</v>
      </c>
      <c r="C397" s="100">
        <v>22912.52</v>
      </c>
    </row>
    <row r="398" spans="1:3">
      <c r="A398" s="99">
        <v>94168</v>
      </c>
      <c r="B398" s="99" t="s">
        <v>1116</v>
      </c>
      <c r="C398" s="100">
        <v>22540.27</v>
      </c>
    </row>
    <row r="399" spans="1:3">
      <c r="A399" s="99">
        <v>94171</v>
      </c>
      <c r="B399" s="99" t="s">
        <v>1117</v>
      </c>
      <c r="C399" s="100">
        <v>32386.33</v>
      </c>
    </row>
    <row r="400" spans="1:3">
      <c r="A400" s="99">
        <v>94172</v>
      </c>
      <c r="B400" s="99" t="s">
        <v>1118</v>
      </c>
      <c r="C400" s="100">
        <v>104259.5</v>
      </c>
    </row>
    <row r="401" spans="1:3">
      <c r="A401" s="99">
        <v>94201</v>
      </c>
      <c r="B401" s="99" t="s">
        <v>1119</v>
      </c>
      <c r="C401" s="100">
        <v>1635512.1504599999</v>
      </c>
    </row>
    <row r="402" spans="1:3">
      <c r="A402" s="99">
        <v>94204</v>
      </c>
      <c r="B402" s="99" t="s">
        <v>1120</v>
      </c>
      <c r="C402" s="100">
        <v>18471.009999999998</v>
      </c>
    </row>
    <row r="403" spans="1:3">
      <c r="A403" s="99">
        <v>94205</v>
      </c>
      <c r="B403" s="99" t="s">
        <v>1121</v>
      </c>
      <c r="C403" s="100">
        <v>11769.760000000002</v>
      </c>
    </row>
    <row r="404" spans="1:3">
      <c r="A404" s="99">
        <v>94209</v>
      </c>
      <c r="B404" s="99" t="s">
        <v>1122</v>
      </c>
      <c r="C404" s="100">
        <v>156050.97000000003</v>
      </c>
    </row>
    <row r="405" spans="1:3">
      <c r="A405" s="99">
        <v>94211</v>
      </c>
      <c r="B405" s="99" t="s">
        <v>1123</v>
      </c>
      <c r="C405" s="100">
        <v>63943.500736000002</v>
      </c>
    </row>
    <row r="406" spans="1:3">
      <c r="A406" s="99">
        <v>94221</v>
      </c>
      <c r="B406" s="99" t="s">
        <v>1124</v>
      </c>
      <c r="C406" s="100">
        <v>486207.10264300008</v>
      </c>
    </row>
    <row r="407" spans="1:3">
      <c r="A407" s="99">
        <v>94231</v>
      </c>
      <c r="B407" s="99" t="s">
        <v>1125</v>
      </c>
      <c r="C407" s="100">
        <v>89897.245670000004</v>
      </c>
    </row>
    <row r="408" spans="1:3">
      <c r="A408" s="99">
        <v>94241</v>
      </c>
      <c r="B408" s="99" t="s">
        <v>1126</v>
      </c>
      <c r="C408" s="100">
        <v>55125.916629999992</v>
      </c>
    </row>
    <row r="409" spans="1:3">
      <c r="A409" s="99">
        <v>94251</v>
      </c>
      <c r="B409" s="99" t="s">
        <v>1127</v>
      </c>
      <c r="C409" s="100">
        <v>9677.590000000002</v>
      </c>
    </row>
    <row r="410" spans="1:3">
      <c r="A410" s="99">
        <v>94261</v>
      </c>
      <c r="B410" s="99" t="s">
        <v>1128</v>
      </c>
      <c r="C410" s="100">
        <v>19409.425063999999</v>
      </c>
    </row>
    <row r="411" spans="1:3">
      <c r="A411" s="99">
        <v>94301</v>
      </c>
      <c r="B411" s="99" t="s">
        <v>1129</v>
      </c>
      <c r="C411" s="100">
        <v>3065671.0452169999</v>
      </c>
    </row>
    <row r="412" spans="1:3">
      <c r="A412" s="99">
        <v>94311</v>
      </c>
      <c r="B412" s="99" t="s">
        <v>1130</v>
      </c>
      <c r="C412" s="100">
        <v>371563.20278200001</v>
      </c>
    </row>
    <row r="413" spans="1:3">
      <c r="A413" s="99">
        <v>94313</v>
      </c>
      <c r="B413" s="99" t="s">
        <v>1131</v>
      </c>
      <c r="C413" s="100">
        <v>14194.599999999999</v>
      </c>
    </row>
    <row r="414" spans="1:3">
      <c r="A414" s="99">
        <v>94317</v>
      </c>
      <c r="B414" s="99" t="s">
        <v>1132</v>
      </c>
      <c r="C414" s="100">
        <v>10719.349999999999</v>
      </c>
    </row>
    <row r="415" spans="1:3">
      <c r="A415" s="99">
        <v>94321</v>
      </c>
      <c r="B415" s="99" t="s">
        <v>1133</v>
      </c>
      <c r="C415" s="100">
        <v>120686.365425</v>
      </c>
    </row>
    <row r="416" spans="1:3">
      <c r="A416" s="99">
        <v>94331</v>
      </c>
      <c r="B416" s="99" t="s">
        <v>1134</v>
      </c>
      <c r="C416" s="100">
        <v>79182.118302999996</v>
      </c>
    </row>
    <row r="417" spans="1:3">
      <c r="A417" s="99">
        <v>94341</v>
      </c>
      <c r="B417" s="99" t="s">
        <v>1135</v>
      </c>
      <c r="C417" s="100">
        <v>38623.656577000002</v>
      </c>
    </row>
    <row r="418" spans="1:3">
      <c r="A418" s="99">
        <v>94347</v>
      </c>
      <c r="B418" s="99" t="s">
        <v>1136</v>
      </c>
      <c r="C418" s="100">
        <v>6483.8899999999985</v>
      </c>
    </row>
    <row r="419" spans="1:3">
      <c r="A419" s="99">
        <v>94351</v>
      </c>
      <c r="B419" s="99" t="s">
        <v>1137</v>
      </c>
      <c r="C419" s="100">
        <v>111785.12687100001</v>
      </c>
    </row>
    <row r="420" spans="1:3">
      <c r="A420" s="99">
        <v>94401</v>
      </c>
      <c r="B420" s="99" t="s">
        <v>1138</v>
      </c>
      <c r="C420" s="100">
        <v>1613627.2014980002</v>
      </c>
    </row>
    <row r="421" spans="1:3">
      <c r="A421" s="99">
        <v>94403</v>
      </c>
      <c r="B421" s="99" t="s">
        <v>1140</v>
      </c>
      <c r="C421" s="100">
        <v>16659.03</v>
      </c>
    </row>
    <row r="422" spans="1:3">
      <c r="A422" s="99">
        <v>94408</v>
      </c>
      <c r="B422" s="99" t="s">
        <v>1141</v>
      </c>
      <c r="C422" s="100">
        <v>17934.949999999997</v>
      </c>
    </row>
    <row r="423" spans="1:3">
      <c r="A423" s="99">
        <v>94411</v>
      </c>
      <c r="B423" s="99" t="s">
        <v>1142</v>
      </c>
      <c r="C423" s="100">
        <v>585990.54008499999</v>
      </c>
    </row>
    <row r="424" spans="1:3">
      <c r="A424" s="99">
        <v>94412</v>
      </c>
      <c r="B424" s="99" t="s">
        <v>1143</v>
      </c>
      <c r="C424" s="100">
        <v>14142.96</v>
      </c>
    </row>
    <row r="425" spans="1:3">
      <c r="A425" s="99">
        <v>94421</v>
      </c>
      <c r="B425" s="99" t="s">
        <v>1144</v>
      </c>
      <c r="C425" s="100">
        <v>77726.415248000005</v>
      </c>
    </row>
    <row r="426" spans="1:3">
      <c r="A426" s="99">
        <v>94427</v>
      </c>
      <c r="B426" s="99" t="s">
        <v>1145</v>
      </c>
      <c r="C426" s="100">
        <v>10757.710000000001</v>
      </c>
    </row>
    <row r="427" spans="1:3">
      <c r="A427" s="99">
        <v>94428</v>
      </c>
      <c r="B427" s="99" t="s">
        <v>1146</v>
      </c>
      <c r="C427" s="100">
        <v>36851.619999999995</v>
      </c>
    </row>
    <row r="428" spans="1:3">
      <c r="A428" s="99">
        <v>94431</v>
      </c>
      <c r="B428" s="99" t="s">
        <v>1147</v>
      </c>
      <c r="C428" s="100">
        <v>304045.349315</v>
      </c>
    </row>
    <row r="429" spans="1:3">
      <c r="A429" s="99">
        <v>94437</v>
      </c>
      <c r="B429" s="99" t="s">
        <v>1148</v>
      </c>
      <c r="C429" s="100">
        <v>13413.12</v>
      </c>
    </row>
    <row r="430" spans="1:3">
      <c r="A430" s="99">
        <v>94501</v>
      </c>
      <c r="B430" s="99" t="s">
        <v>1149</v>
      </c>
      <c r="C430" s="100">
        <v>2853870.5257239998</v>
      </c>
    </row>
    <row r="431" spans="1:3">
      <c r="A431" s="99">
        <v>94511</v>
      </c>
      <c r="B431" s="99" t="s">
        <v>1150</v>
      </c>
      <c r="C431" s="100">
        <v>890338.96471899992</v>
      </c>
    </row>
    <row r="432" spans="1:3">
      <c r="A432" s="99">
        <v>94517</v>
      </c>
      <c r="B432" s="99" t="s">
        <v>1152</v>
      </c>
      <c r="C432" s="100">
        <v>31791.789999999997</v>
      </c>
    </row>
    <row r="433" spans="1:3">
      <c r="A433" s="99">
        <v>94521</v>
      </c>
      <c r="B433" s="99" t="s">
        <v>1153</v>
      </c>
      <c r="C433" s="100">
        <v>64723.504390999995</v>
      </c>
    </row>
    <row r="434" spans="1:3">
      <c r="A434" s="99">
        <v>94527</v>
      </c>
      <c r="B434" s="99" t="s">
        <v>1154</v>
      </c>
      <c r="C434" s="100">
        <v>2986.9899999999993</v>
      </c>
    </row>
    <row r="435" spans="1:3">
      <c r="A435" s="99">
        <v>94531</v>
      </c>
      <c r="B435" s="99" t="s">
        <v>1155</v>
      </c>
      <c r="C435" s="100">
        <v>12698.630000000003</v>
      </c>
    </row>
    <row r="436" spans="1:3">
      <c r="A436" s="99">
        <v>94532</v>
      </c>
      <c r="B436" s="99" t="s">
        <v>1156</v>
      </c>
      <c r="C436" s="100">
        <v>48849.310000000005</v>
      </c>
    </row>
    <row r="437" spans="1:3">
      <c r="A437" s="99">
        <v>94541</v>
      </c>
      <c r="B437" s="99" t="s">
        <v>1157</v>
      </c>
      <c r="C437" s="100">
        <v>129411.980834</v>
      </c>
    </row>
    <row r="438" spans="1:3">
      <c r="A438" s="99">
        <v>94547</v>
      </c>
      <c r="B438" s="99" t="s">
        <v>1158</v>
      </c>
      <c r="C438" s="100">
        <v>9094.68</v>
      </c>
    </row>
    <row r="439" spans="1:3">
      <c r="A439" s="99">
        <v>94551</v>
      </c>
      <c r="B439" s="99" t="s">
        <v>1159</v>
      </c>
      <c r="C439" s="100">
        <v>25718.100000000006</v>
      </c>
    </row>
    <row r="440" spans="1:3">
      <c r="A440" s="99">
        <v>94601</v>
      </c>
      <c r="B440" s="99" t="s">
        <v>1160</v>
      </c>
      <c r="C440" s="100">
        <v>537000.54036600003</v>
      </c>
    </row>
    <row r="441" spans="1:3">
      <c r="A441" s="99">
        <v>94604</v>
      </c>
      <c r="B441" s="99" t="s">
        <v>1161</v>
      </c>
      <c r="C441" s="100">
        <v>14502</v>
      </c>
    </row>
    <row r="442" spans="1:3">
      <c r="A442" s="99">
        <v>94606</v>
      </c>
      <c r="B442" s="99" t="s">
        <v>1162</v>
      </c>
      <c r="C442" s="100">
        <v>102034.16</v>
      </c>
    </row>
    <row r="443" spans="1:3">
      <c r="A443" s="99">
        <v>94611</v>
      </c>
      <c r="B443" s="99" t="s">
        <v>1163</v>
      </c>
      <c r="C443" s="100">
        <v>187145.61872799997</v>
      </c>
    </row>
    <row r="444" spans="1:3">
      <c r="A444" s="99">
        <v>94621</v>
      </c>
      <c r="B444" s="99" t="s">
        <v>1164</v>
      </c>
      <c r="C444" s="100">
        <v>69631.412878000003</v>
      </c>
    </row>
    <row r="445" spans="1:3">
      <c r="A445" s="99">
        <v>94631</v>
      </c>
      <c r="B445" s="99" t="s">
        <v>1165</v>
      </c>
      <c r="C445" s="100">
        <v>20549.580000000002</v>
      </c>
    </row>
    <row r="446" spans="1:3">
      <c r="A446" s="99">
        <v>94641</v>
      </c>
      <c r="B446" s="99" t="s">
        <v>1166</v>
      </c>
      <c r="C446" s="100">
        <v>4762.91</v>
      </c>
    </row>
    <row r="447" spans="1:3">
      <c r="A447" s="99">
        <v>94701</v>
      </c>
      <c r="B447" s="99" t="s">
        <v>1167</v>
      </c>
      <c r="C447" s="100">
        <v>1155891.8361340002</v>
      </c>
    </row>
    <row r="448" spans="1:3">
      <c r="A448" s="99">
        <v>94704</v>
      </c>
      <c r="B448" s="99" t="s">
        <v>1168</v>
      </c>
      <c r="C448" s="100">
        <v>8058.28</v>
      </c>
    </row>
    <row r="449" spans="1:3">
      <c r="A449" s="99">
        <v>94711</v>
      </c>
      <c r="B449" s="99" t="s">
        <v>1169</v>
      </c>
      <c r="C449" s="100">
        <v>168065.41291000001</v>
      </c>
    </row>
    <row r="450" spans="1:3">
      <c r="A450" s="99">
        <v>94801</v>
      </c>
      <c r="B450" s="99" t="s">
        <v>1170</v>
      </c>
      <c r="C450" s="100">
        <v>345761.46429200005</v>
      </c>
    </row>
    <row r="451" spans="1:3">
      <c r="A451" s="99">
        <v>94804</v>
      </c>
      <c r="B451" s="99" t="s">
        <v>1171</v>
      </c>
      <c r="C451" s="100">
        <v>2753.83</v>
      </c>
    </row>
    <row r="452" spans="1:3">
      <c r="A452" s="99">
        <v>94812</v>
      </c>
      <c r="B452" s="99" t="s">
        <v>1172</v>
      </c>
      <c r="C452" s="100">
        <v>20766.419999999998</v>
      </c>
    </row>
    <row r="453" spans="1:3">
      <c r="A453" s="99">
        <v>94901</v>
      </c>
      <c r="B453" s="99" t="s">
        <v>1173</v>
      </c>
      <c r="C453" s="100">
        <v>3458043.8182469993</v>
      </c>
    </row>
    <row r="454" spans="1:3">
      <c r="A454" s="99">
        <v>94908</v>
      </c>
      <c r="B454" s="99" t="s">
        <v>1174</v>
      </c>
      <c r="C454" s="100">
        <v>3618.6299999999992</v>
      </c>
    </row>
    <row r="455" spans="1:3">
      <c r="A455" s="99">
        <v>94911</v>
      </c>
      <c r="B455" s="99" t="s">
        <v>1175</v>
      </c>
      <c r="C455" s="100">
        <v>1437336.824187</v>
      </c>
    </row>
    <row r="456" spans="1:3">
      <c r="A456" s="99">
        <v>94917</v>
      </c>
      <c r="B456" s="99" t="s">
        <v>1176</v>
      </c>
      <c r="C456" s="100">
        <v>27816</v>
      </c>
    </row>
    <row r="457" spans="1:3">
      <c r="A457" s="99">
        <v>94921</v>
      </c>
      <c r="B457" s="99" t="s">
        <v>1177</v>
      </c>
      <c r="C457" s="100">
        <v>1763659.6569050001</v>
      </c>
    </row>
    <row r="458" spans="1:3">
      <c r="A458" s="99">
        <v>94923</v>
      </c>
      <c r="B458" s="99" t="s">
        <v>1178</v>
      </c>
      <c r="C458" s="100">
        <v>15966.150000000001</v>
      </c>
    </row>
    <row r="459" spans="1:3">
      <c r="A459" s="99">
        <v>94927</v>
      </c>
      <c r="B459" s="99" t="s">
        <v>1179</v>
      </c>
      <c r="C459" s="100">
        <v>20061.34</v>
      </c>
    </row>
    <row r="460" spans="1:3">
      <c r="A460" s="99">
        <v>94931</v>
      </c>
      <c r="B460" s="99" t="s">
        <v>1180</v>
      </c>
      <c r="C460" s="100">
        <v>101032.52410899999</v>
      </c>
    </row>
    <row r="461" spans="1:3">
      <c r="A461" s="99">
        <v>94937</v>
      </c>
      <c r="B461" s="99" t="s">
        <v>1933</v>
      </c>
      <c r="C461" s="100">
        <v>1620.49</v>
      </c>
    </row>
    <row r="462" spans="1:3">
      <c r="A462" s="99">
        <v>94941</v>
      </c>
      <c r="B462" s="99" t="s">
        <v>1181</v>
      </c>
      <c r="C462" s="100">
        <v>248810.82</v>
      </c>
    </row>
    <row r="463" spans="1:3">
      <c r="A463" s="99">
        <v>94947</v>
      </c>
      <c r="B463" s="99" t="s">
        <v>1934</v>
      </c>
      <c r="C463" s="100">
        <v>1125.1799999999998</v>
      </c>
    </row>
    <row r="464" spans="1:3">
      <c r="A464" s="99">
        <v>95001</v>
      </c>
      <c r="B464" s="99" t="s">
        <v>1182</v>
      </c>
      <c r="C464" s="100">
        <v>1230480.6535930003</v>
      </c>
    </row>
    <row r="465" spans="1:3">
      <c r="A465" s="99">
        <v>95002</v>
      </c>
      <c r="B465" s="99" t="s">
        <v>1183</v>
      </c>
      <c r="C465" s="100">
        <v>106939.05000000002</v>
      </c>
    </row>
    <row r="466" spans="1:3">
      <c r="A466" s="99">
        <v>95005</v>
      </c>
      <c r="B466" s="99" t="s">
        <v>1184</v>
      </c>
      <c r="C466" s="100">
        <v>115399.53000000001</v>
      </c>
    </row>
    <row r="467" spans="1:3">
      <c r="A467" s="99">
        <v>95008</v>
      </c>
      <c r="B467" s="99" t="s">
        <v>1185</v>
      </c>
      <c r="C467" s="100">
        <v>68090.84</v>
      </c>
    </row>
    <row r="468" spans="1:3">
      <c r="A468" s="99">
        <v>95009</v>
      </c>
      <c r="B468" s="99" t="s">
        <v>1186</v>
      </c>
      <c r="C468" s="100">
        <v>2002290.1400000001</v>
      </c>
    </row>
    <row r="469" spans="1:3">
      <c r="A469" s="99">
        <v>95011</v>
      </c>
      <c r="B469" s="99" t="s">
        <v>1187</v>
      </c>
      <c r="C469" s="100">
        <v>89092.706494000013</v>
      </c>
    </row>
    <row r="470" spans="1:3">
      <c r="A470" s="99">
        <v>95017</v>
      </c>
      <c r="B470" s="99" t="s">
        <v>1188</v>
      </c>
      <c r="C470" s="100">
        <v>17647.989999999998</v>
      </c>
    </row>
    <row r="471" spans="1:3">
      <c r="A471" s="99">
        <v>95101</v>
      </c>
      <c r="B471" s="99" t="s">
        <v>1189</v>
      </c>
      <c r="C471" s="100">
        <v>3950764.8615039992</v>
      </c>
    </row>
    <row r="472" spans="1:3">
      <c r="A472" s="99">
        <v>95103</v>
      </c>
      <c r="B472" s="99" t="s">
        <v>1190</v>
      </c>
      <c r="C472" s="100">
        <v>30191.260000000002</v>
      </c>
    </row>
    <row r="473" spans="1:3">
      <c r="A473" s="99">
        <v>95104</v>
      </c>
      <c r="B473" s="99" t="s">
        <v>1191</v>
      </c>
      <c r="C473" s="100">
        <v>61268.85</v>
      </c>
    </row>
    <row r="474" spans="1:3">
      <c r="A474" s="99">
        <v>95105</v>
      </c>
      <c r="B474" s="99" t="s">
        <v>1192</v>
      </c>
      <c r="C474" s="100">
        <v>35729.96</v>
      </c>
    </row>
    <row r="475" spans="1:3">
      <c r="A475" s="99">
        <v>95106</v>
      </c>
      <c r="B475" s="99" t="s">
        <v>1193</v>
      </c>
      <c r="C475" s="100">
        <v>8073.19</v>
      </c>
    </row>
    <row r="476" spans="1:3">
      <c r="A476" s="99">
        <v>95110</v>
      </c>
      <c r="B476" s="99" t="s">
        <v>1194</v>
      </c>
      <c r="C476" s="100">
        <v>1943181.54</v>
      </c>
    </row>
    <row r="477" spans="1:3">
      <c r="A477" s="99">
        <v>95111</v>
      </c>
      <c r="B477" s="99" t="s">
        <v>1195</v>
      </c>
      <c r="C477" s="100">
        <v>496429.25490499998</v>
      </c>
    </row>
    <row r="478" spans="1:3">
      <c r="A478" s="99">
        <v>95113</v>
      </c>
      <c r="B478" s="99" t="s">
        <v>1196</v>
      </c>
      <c r="C478" s="100">
        <v>74446.760000000009</v>
      </c>
    </row>
    <row r="479" spans="1:3">
      <c r="A479" s="99">
        <v>95121</v>
      </c>
      <c r="B479" s="99" t="s">
        <v>1197</v>
      </c>
      <c r="C479" s="100">
        <v>242310.35318199999</v>
      </c>
    </row>
    <row r="480" spans="1:3">
      <c r="A480" s="99">
        <v>95122</v>
      </c>
      <c r="B480" s="99" t="s">
        <v>1198</v>
      </c>
      <c r="C480" s="100">
        <v>4596.5411730000005</v>
      </c>
    </row>
    <row r="481" spans="1:3">
      <c r="A481" s="99">
        <v>95123</v>
      </c>
      <c r="B481" s="99" t="s">
        <v>1199</v>
      </c>
      <c r="C481" s="100">
        <v>29610.61</v>
      </c>
    </row>
    <row r="482" spans="1:3">
      <c r="A482" s="99">
        <v>95131</v>
      </c>
      <c r="B482" s="99" t="s">
        <v>1200</v>
      </c>
      <c r="C482" s="100">
        <v>811028.85985000001</v>
      </c>
    </row>
    <row r="483" spans="1:3">
      <c r="A483" s="99">
        <v>95141</v>
      </c>
      <c r="B483" s="99" t="s">
        <v>1201</v>
      </c>
      <c r="C483" s="100">
        <v>148359.611664</v>
      </c>
    </row>
    <row r="484" spans="1:3">
      <c r="A484" s="99">
        <v>95151</v>
      </c>
      <c r="B484" s="99" t="s">
        <v>1202</v>
      </c>
      <c r="C484" s="100">
        <v>51039.874939999994</v>
      </c>
    </row>
    <row r="485" spans="1:3">
      <c r="A485" s="99">
        <v>95161</v>
      </c>
      <c r="B485" s="99" t="s">
        <v>1203</v>
      </c>
      <c r="C485" s="100">
        <v>41171.789152000005</v>
      </c>
    </row>
    <row r="486" spans="1:3">
      <c r="A486" s="99">
        <v>95171</v>
      </c>
      <c r="B486" s="99" t="s">
        <v>1204</v>
      </c>
      <c r="C486" s="100">
        <v>47352.804093999999</v>
      </c>
    </row>
    <row r="487" spans="1:3">
      <c r="A487" s="99">
        <v>95181</v>
      </c>
      <c r="B487" s="99" t="s">
        <v>1205</v>
      </c>
      <c r="C487" s="100">
        <v>32737.288664</v>
      </c>
    </row>
    <row r="488" spans="1:3">
      <c r="A488" s="99">
        <v>95191</v>
      </c>
      <c r="B488" s="99" t="s">
        <v>1206</v>
      </c>
      <c r="C488" s="100">
        <v>35124.826186999999</v>
      </c>
    </row>
    <row r="489" spans="1:3">
      <c r="A489" s="99">
        <v>95201</v>
      </c>
      <c r="B489" s="99" t="s">
        <v>1207</v>
      </c>
      <c r="C489" s="100">
        <v>324382.05364799994</v>
      </c>
    </row>
    <row r="490" spans="1:3">
      <c r="A490" s="99">
        <v>95204</v>
      </c>
      <c r="B490" s="99" t="s">
        <v>1208</v>
      </c>
      <c r="C490" s="100">
        <v>6627.0800000000008</v>
      </c>
    </row>
    <row r="491" spans="1:3">
      <c r="A491" s="99">
        <v>95205</v>
      </c>
      <c r="B491" s="99" t="s">
        <v>1209</v>
      </c>
      <c r="C491" s="100">
        <v>2149.2399999999998</v>
      </c>
    </row>
    <row r="492" spans="1:3">
      <c r="A492" s="99">
        <v>95211</v>
      </c>
      <c r="B492" s="99" t="s">
        <v>1210</v>
      </c>
      <c r="C492" s="100">
        <v>3345.4599999999996</v>
      </c>
    </row>
    <row r="493" spans="1:3">
      <c r="A493" s="99">
        <v>95221</v>
      </c>
      <c r="B493" s="99" t="s">
        <v>1211</v>
      </c>
      <c r="C493" s="100">
        <v>24433.534168000002</v>
      </c>
    </row>
    <row r="494" spans="1:3">
      <c r="A494" s="99">
        <v>95301</v>
      </c>
      <c r="B494" s="99" t="s">
        <v>1212</v>
      </c>
      <c r="C494" s="100">
        <v>1161384.1130920001</v>
      </c>
    </row>
    <row r="495" spans="1:3">
      <c r="A495" s="99">
        <v>95311</v>
      </c>
      <c r="B495" s="99" t="s">
        <v>1213</v>
      </c>
      <c r="C495" s="100">
        <v>1353611.392217</v>
      </c>
    </row>
    <row r="496" spans="1:3">
      <c r="A496" s="99">
        <v>95317</v>
      </c>
      <c r="B496" s="99" t="s">
        <v>1214</v>
      </c>
      <c r="C496" s="100">
        <v>27496.489999999998</v>
      </c>
    </row>
    <row r="497" spans="1:3">
      <c r="A497" s="99">
        <v>95321</v>
      </c>
      <c r="B497" s="99" t="s">
        <v>1215</v>
      </c>
      <c r="C497" s="100">
        <v>27476.224288000005</v>
      </c>
    </row>
    <row r="498" spans="1:3">
      <c r="A498" s="99">
        <v>95401</v>
      </c>
      <c r="B498" s="99" t="s">
        <v>1216</v>
      </c>
      <c r="C498" s="100">
        <v>1369020.6456399998</v>
      </c>
    </row>
    <row r="499" spans="1:3">
      <c r="A499" s="99">
        <v>95404</v>
      </c>
      <c r="B499" s="99" t="s">
        <v>1217</v>
      </c>
      <c r="C499" s="100">
        <v>23078.973571000002</v>
      </c>
    </row>
    <row r="500" spans="1:3">
      <c r="A500" s="99">
        <v>95405</v>
      </c>
      <c r="B500" s="99" t="s">
        <v>1218</v>
      </c>
      <c r="C500" s="100">
        <v>19532.45</v>
      </c>
    </row>
    <row r="501" spans="1:3">
      <c r="A501" s="99">
        <v>95411</v>
      </c>
      <c r="B501" s="99" t="s">
        <v>1219</v>
      </c>
      <c r="C501" s="100">
        <v>1098228.3794750001</v>
      </c>
    </row>
    <row r="502" spans="1:3">
      <c r="A502" s="99">
        <v>95413</v>
      </c>
      <c r="B502" s="99" t="s">
        <v>1221</v>
      </c>
      <c r="C502" s="100">
        <v>130765.98</v>
      </c>
    </row>
    <row r="503" spans="1:3">
      <c r="A503" s="99">
        <v>95415</v>
      </c>
      <c r="B503" s="99" t="s">
        <v>1222</v>
      </c>
      <c r="C503" s="100">
        <v>31391.19</v>
      </c>
    </row>
    <row r="504" spans="1:3">
      <c r="A504" s="99">
        <v>95421</v>
      </c>
      <c r="B504" s="99" t="s">
        <v>1223</v>
      </c>
      <c r="C504" s="100">
        <v>19590.324793999996</v>
      </c>
    </row>
    <row r="505" spans="1:3">
      <c r="A505" s="99">
        <v>95431</v>
      </c>
      <c r="B505" s="99" t="s">
        <v>1224</v>
      </c>
      <c r="C505" s="100">
        <v>66123.850000000006</v>
      </c>
    </row>
    <row r="506" spans="1:3">
      <c r="A506" s="99">
        <v>95501</v>
      </c>
      <c r="B506" s="99" t="s">
        <v>1225</v>
      </c>
      <c r="C506" s="100">
        <v>2309249.2911149999</v>
      </c>
    </row>
    <row r="507" spans="1:3">
      <c r="A507" s="99">
        <v>95504</v>
      </c>
      <c r="B507" s="99" t="s">
        <v>1226</v>
      </c>
      <c r="C507" s="100">
        <v>10287.07</v>
      </c>
    </row>
    <row r="508" spans="1:3">
      <c r="A508" s="99">
        <v>95511</v>
      </c>
      <c r="B508" s="99" t="s">
        <v>1227</v>
      </c>
      <c r="C508" s="100">
        <v>509340.01929100003</v>
      </c>
    </row>
    <row r="509" spans="1:3">
      <c r="A509" s="99">
        <v>95513</v>
      </c>
      <c r="B509" s="99" t="s">
        <v>1228</v>
      </c>
      <c r="C509" s="100">
        <v>34360.18</v>
      </c>
    </row>
    <row r="510" spans="1:3">
      <c r="A510" s="99">
        <v>95517</v>
      </c>
      <c r="B510" s="99" t="s">
        <v>1229</v>
      </c>
      <c r="C510" s="100">
        <v>11099.99</v>
      </c>
    </row>
    <row r="511" spans="1:3">
      <c r="A511" s="99">
        <v>95601</v>
      </c>
      <c r="B511" s="99" t="s">
        <v>1230</v>
      </c>
      <c r="C511" s="100">
        <v>1263012.7079670001</v>
      </c>
    </row>
    <row r="512" spans="1:3">
      <c r="A512" s="99">
        <v>95611</v>
      </c>
      <c r="B512" s="99" t="s">
        <v>1231</v>
      </c>
      <c r="C512" s="100">
        <v>204619.09372800001</v>
      </c>
    </row>
    <row r="513" spans="1:3">
      <c r="A513" s="99">
        <v>95617</v>
      </c>
      <c r="B513" s="99" t="s">
        <v>1232</v>
      </c>
      <c r="C513" s="100">
        <v>8730.31</v>
      </c>
    </row>
    <row r="514" spans="1:3">
      <c r="A514" s="99">
        <v>95621</v>
      </c>
      <c r="B514" s="99" t="s">
        <v>1233</v>
      </c>
      <c r="C514" s="100">
        <v>260138.01698299998</v>
      </c>
    </row>
    <row r="515" spans="1:3">
      <c r="A515" s="99">
        <v>95701</v>
      </c>
      <c r="B515" s="99" t="s">
        <v>1234</v>
      </c>
      <c r="C515" s="100">
        <v>604598.16698300012</v>
      </c>
    </row>
    <row r="516" spans="1:3">
      <c r="A516" s="99">
        <v>95711</v>
      </c>
      <c r="B516" s="99" t="s">
        <v>1235</v>
      </c>
      <c r="C516" s="100">
        <v>60575.800004000004</v>
      </c>
    </row>
    <row r="517" spans="1:3">
      <c r="A517" s="99">
        <v>95721</v>
      </c>
      <c r="B517" s="99" t="s">
        <v>1236</v>
      </c>
      <c r="C517" s="100">
        <v>31048.057717000003</v>
      </c>
    </row>
    <row r="518" spans="1:3">
      <c r="A518" s="99">
        <v>95733</v>
      </c>
      <c r="B518" s="99" t="s">
        <v>1237</v>
      </c>
      <c r="C518" s="100">
        <v>7565.119999999999</v>
      </c>
    </row>
    <row r="519" spans="1:3">
      <c r="A519" s="99">
        <v>95801</v>
      </c>
      <c r="B519" s="99" t="s">
        <v>1238</v>
      </c>
      <c r="C519" s="100">
        <v>492639.09959200007</v>
      </c>
    </row>
    <row r="520" spans="1:3">
      <c r="A520" s="99">
        <v>95802</v>
      </c>
      <c r="B520" s="99" t="s">
        <v>1239</v>
      </c>
      <c r="C520" s="100">
        <v>5777.0899999999992</v>
      </c>
    </row>
    <row r="521" spans="1:3">
      <c r="A521" s="99">
        <v>95804</v>
      </c>
      <c r="B521" s="99" t="s">
        <v>1240</v>
      </c>
      <c r="C521" s="100">
        <v>7856.5900000000011</v>
      </c>
    </row>
    <row r="522" spans="1:3">
      <c r="A522" s="99">
        <v>95811</v>
      </c>
      <c r="B522" s="99" t="s">
        <v>1241</v>
      </c>
      <c r="C522" s="100">
        <v>262611.95967199997</v>
      </c>
    </row>
    <row r="523" spans="1:3">
      <c r="A523" s="99">
        <v>95813</v>
      </c>
      <c r="B523" s="99" t="s">
        <v>1242</v>
      </c>
      <c r="C523" s="100">
        <v>71429.14</v>
      </c>
    </row>
    <row r="524" spans="1:3">
      <c r="A524" s="99">
        <v>95821</v>
      </c>
      <c r="B524" s="99" t="s">
        <v>1243</v>
      </c>
      <c r="C524" s="100">
        <v>2011.8399999999997</v>
      </c>
    </row>
    <row r="525" spans="1:3">
      <c r="A525" s="99">
        <v>95831</v>
      </c>
      <c r="B525" s="99" t="s">
        <v>1244</v>
      </c>
      <c r="C525" s="100">
        <v>20645.45</v>
      </c>
    </row>
    <row r="526" spans="1:3">
      <c r="A526" s="99">
        <v>95841</v>
      </c>
      <c r="B526" s="99" t="s">
        <v>1245</v>
      </c>
      <c r="C526" s="100">
        <v>12838.9</v>
      </c>
    </row>
    <row r="527" spans="1:3">
      <c r="A527" s="99">
        <v>95851</v>
      </c>
      <c r="B527" s="99" t="s">
        <v>1246</v>
      </c>
      <c r="C527" s="100">
        <v>142997.08512</v>
      </c>
    </row>
    <row r="528" spans="1:3">
      <c r="A528" s="99">
        <v>95853</v>
      </c>
      <c r="B528" s="99" t="s">
        <v>1247</v>
      </c>
      <c r="C528" s="100">
        <v>15957.000000000004</v>
      </c>
    </row>
    <row r="529" spans="1:3">
      <c r="A529" s="99">
        <v>95901</v>
      </c>
      <c r="B529" s="99" t="s">
        <v>1248</v>
      </c>
      <c r="C529" s="100">
        <v>894780.33160400006</v>
      </c>
    </row>
    <row r="530" spans="1:3">
      <c r="A530" s="99">
        <v>95908</v>
      </c>
      <c r="B530" s="99" t="s">
        <v>1249</v>
      </c>
      <c r="C530" s="100">
        <v>26699.760000000002</v>
      </c>
    </row>
    <row r="531" spans="1:3">
      <c r="A531" s="99">
        <v>95911</v>
      </c>
      <c r="B531" s="99" t="s">
        <v>1250</v>
      </c>
      <c r="C531" s="100">
        <v>256697.63696700003</v>
      </c>
    </row>
    <row r="532" spans="1:3">
      <c r="A532" s="99">
        <v>95917</v>
      </c>
      <c r="B532" s="99" t="s">
        <v>1251</v>
      </c>
      <c r="C532" s="100">
        <v>11591.120000000003</v>
      </c>
    </row>
    <row r="533" spans="1:3">
      <c r="A533" s="99">
        <v>95921</v>
      </c>
      <c r="B533" s="99" t="s">
        <v>1252</v>
      </c>
      <c r="C533" s="100">
        <v>25012.856937000004</v>
      </c>
    </row>
    <row r="534" spans="1:3">
      <c r="A534" s="99">
        <v>96001</v>
      </c>
      <c r="B534" s="99" t="s">
        <v>1253</v>
      </c>
      <c r="C534" s="100">
        <v>21493968.407084994</v>
      </c>
    </row>
    <row r="535" spans="1:3">
      <c r="A535" s="99">
        <v>96003</v>
      </c>
      <c r="B535" s="99" t="s">
        <v>1254</v>
      </c>
      <c r="C535" s="100">
        <v>717558.54999999993</v>
      </c>
    </row>
    <row r="536" spans="1:3">
      <c r="A536" s="99">
        <v>96004</v>
      </c>
      <c r="B536" s="99" t="s">
        <v>1255</v>
      </c>
      <c r="C536" s="100">
        <v>500331.48470999999</v>
      </c>
    </row>
    <row r="537" spans="1:3">
      <c r="A537" s="99">
        <v>96005</v>
      </c>
      <c r="B537" s="99" t="s">
        <v>1256</v>
      </c>
      <c r="C537" s="100">
        <v>1319874.8399999999</v>
      </c>
    </row>
    <row r="538" spans="1:3">
      <c r="A538" s="99">
        <v>96008</v>
      </c>
      <c r="B538" s="99" t="s">
        <v>1257</v>
      </c>
      <c r="C538" s="100">
        <v>2319759.66</v>
      </c>
    </row>
    <row r="539" spans="1:3">
      <c r="A539" s="99">
        <v>96009</v>
      </c>
      <c r="B539" s="99" t="s">
        <v>1258</v>
      </c>
      <c r="C539" s="100">
        <v>213205.53999999998</v>
      </c>
    </row>
    <row r="540" spans="1:3">
      <c r="A540" s="99">
        <v>96011</v>
      </c>
      <c r="B540" s="99" t="s">
        <v>1259</v>
      </c>
      <c r="C540" s="100">
        <v>30490654.807767</v>
      </c>
    </row>
    <row r="541" spans="1:3">
      <c r="A541" s="99">
        <v>96012</v>
      </c>
      <c r="B541" s="99" t="s">
        <v>1260</v>
      </c>
      <c r="C541" s="100">
        <v>1227286.1099999999</v>
      </c>
    </row>
    <row r="542" spans="1:3">
      <c r="A542" s="99">
        <v>96018</v>
      </c>
      <c r="B542" s="99" t="s">
        <v>1261</v>
      </c>
      <c r="C542" s="100">
        <v>20816.02</v>
      </c>
    </row>
    <row r="543" spans="1:3">
      <c r="A543" s="99">
        <v>96021</v>
      </c>
      <c r="B543" s="99" t="s">
        <v>1262</v>
      </c>
      <c r="C543" s="100">
        <v>348072.00480200001</v>
      </c>
    </row>
    <row r="544" spans="1:3">
      <c r="A544" s="99">
        <v>96031</v>
      </c>
      <c r="B544" s="99" t="s">
        <v>1263</v>
      </c>
      <c r="C544" s="100">
        <v>343067.936842</v>
      </c>
    </row>
    <row r="545" spans="1:3">
      <c r="A545" s="99">
        <v>96041</v>
      </c>
      <c r="B545" s="99" t="s">
        <v>1264</v>
      </c>
      <c r="C545" s="100">
        <v>760331.48927600007</v>
      </c>
    </row>
    <row r="546" spans="1:3">
      <c r="A546" s="99">
        <v>96051</v>
      </c>
      <c r="B546" s="99" t="s">
        <v>1265</v>
      </c>
      <c r="C546" s="100">
        <v>447496.18057800003</v>
      </c>
    </row>
    <row r="547" spans="1:3">
      <c r="A547" s="99">
        <v>96061</v>
      </c>
      <c r="B547" s="99" t="s">
        <v>1266</v>
      </c>
      <c r="C547" s="100">
        <v>163294.99957099999</v>
      </c>
    </row>
    <row r="548" spans="1:3">
      <c r="A548" s="99">
        <v>96071</v>
      </c>
      <c r="B548" s="99" t="s">
        <v>1267</v>
      </c>
      <c r="C548" s="100">
        <v>601187.62337699998</v>
      </c>
    </row>
    <row r="549" spans="1:3">
      <c r="A549" s="99">
        <v>96081</v>
      </c>
      <c r="B549" s="99" t="s">
        <v>1268</v>
      </c>
      <c r="C549" s="100">
        <v>241286.98223299999</v>
      </c>
    </row>
    <row r="550" spans="1:3">
      <c r="A550" s="99">
        <v>96101</v>
      </c>
      <c r="B550" s="99" t="s">
        <v>1269</v>
      </c>
      <c r="C550" s="100">
        <v>406062.01996300003</v>
      </c>
    </row>
    <row r="551" spans="1:3">
      <c r="A551" s="99">
        <v>96102</v>
      </c>
      <c r="B551" s="99" t="s">
        <v>1270</v>
      </c>
      <c r="C551" s="100">
        <v>4192.87</v>
      </c>
    </row>
    <row r="552" spans="1:3">
      <c r="A552" s="99">
        <v>96111</v>
      </c>
      <c r="B552" s="99" t="s">
        <v>1271</v>
      </c>
      <c r="C552" s="100">
        <v>88704.742486999996</v>
      </c>
    </row>
    <row r="553" spans="1:3">
      <c r="A553" s="99">
        <v>96121</v>
      </c>
      <c r="B553" s="99" t="s">
        <v>1272</v>
      </c>
      <c r="C553" s="100">
        <v>9550.9943999999996</v>
      </c>
    </row>
    <row r="554" spans="1:3">
      <c r="A554" s="99">
        <v>96201</v>
      </c>
      <c r="B554" s="99" t="s">
        <v>1273</v>
      </c>
      <c r="C554" s="100">
        <v>543344.09012499999</v>
      </c>
    </row>
    <row r="555" spans="1:3">
      <c r="A555" s="99">
        <v>96204</v>
      </c>
      <c r="B555" s="99" t="s">
        <v>1274</v>
      </c>
      <c r="C555" s="100">
        <v>9259.8799999999992</v>
      </c>
    </row>
    <row r="556" spans="1:3">
      <c r="A556" s="99">
        <v>96211</v>
      </c>
      <c r="B556" s="99" t="s">
        <v>1275</v>
      </c>
      <c r="C556" s="100">
        <v>17551.462957999996</v>
      </c>
    </row>
    <row r="557" spans="1:3">
      <c r="A557" s="99">
        <v>96221</v>
      </c>
      <c r="B557" s="99" t="s">
        <v>1276</v>
      </c>
      <c r="C557" s="100">
        <v>105993.03014400002</v>
      </c>
    </row>
    <row r="558" spans="1:3">
      <c r="A558" s="99">
        <v>96231</v>
      </c>
      <c r="B558" s="99" t="s">
        <v>1277</v>
      </c>
      <c r="C558" s="100">
        <v>49677.441377999996</v>
      </c>
    </row>
    <row r="559" spans="1:3">
      <c r="A559" s="99">
        <v>96241</v>
      </c>
      <c r="B559" s="99" t="s">
        <v>1278</v>
      </c>
      <c r="C559" s="100">
        <v>23317.604755</v>
      </c>
    </row>
    <row r="560" spans="1:3">
      <c r="A560" s="99">
        <v>96251</v>
      </c>
      <c r="B560" s="99" t="s">
        <v>1279</v>
      </c>
      <c r="C560" s="100">
        <v>40415.916930000007</v>
      </c>
    </row>
    <row r="561" spans="1:3">
      <c r="A561" s="99">
        <v>96301</v>
      </c>
      <c r="B561" s="99" t="s">
        <v>1280</v>
      </c>
      <c r="C561" s="100">
        <v>2084751.7592920002</v>
      </c>
    </row>
    <row r="562" spans="1:3">
      <c r="A562" s="99">
        <v>96302</v>
      </c>
      <c r="B562" s="99" t="s">
        <v>1281</v>
      </c>
      <c r="C562" s="100">
        <v>12087.686940999996</v>
      </c>
    </row>
    <row r="563" spans="1:3">
      <c r="A563" s="99">
        <v>96304</v>
      </c>
      <c r="B563" s="99" t="s">
        <v>1282</v>
      </c>
      <c r="C563" s="100">
        <v>28971.4</v>
      </c>
    </row>
    <row r="564" spans="1:3">
      <c r="A564" s="99">
        <v>96305</v>
      </c>
      <c r="B564" s="99" t="s">
        <v>1283</v>
      </c>
      <c r="C564" s="100">
        <v>33688.550000000003</v>
      </c>
    </row>
    <row r="565" spans="1:3">
      <c r="A565" s="99">
        <v>96310</v>
      </c>
      <c r="B565" s="99" t="s">
        <v>1284</v>
      </c>
      <c r="C565" s="100">
        <v>29357.230000000003</v>
      </c>
    </row>
    <row r="566" spans="1:3">
      <c r="A566" s="99">
        <v>96311</v>
      </c>
      <c r="B566" s="99" t="s">
        <v>1285</v>
      </c>
      <c r="C566" s="100">
        <v>609721.62974</v>
      </c>
    </row>
    <row r="567" spans="1:3">
      <c r="A567" s="99">
        <v>96312</v>
      </c>
      <c r="B567" s="99" t="s">
        <v>1286</v>
      </c>
      <c r="C567" s="100">
        <v>3479.0469029999999</v>
      </c>
    </row>
    <row r="568" spans="1:3">
      <c r="A568" s="99">
        <v>96318</v>
      </c>
      <c r="B568" s="99" t="s">
        <v>1287</v>
      </c>
      <c r="C568" s="100">
        <v>1174353.58</v>
      </c>
    </row>
    <row r="569" spans="1:3">
      <c r="A569" s="99">
        <v>96321</v>
      </c>
      <c r="B569" s="99" t="s">
        <v>1288</v>
      </c>
      <c r="C569" s="100">
        <v>19104.935067000002</v>
      </c>
    </row>
    <row r="570" spans="1:3">
      <c r="A570" s="99">
        <v>96331</v>
      </c>
      <c r="B570" s="99" t="s">
        <v>1289</v>
      </c>
      <c r="C570" s="100">
        <v>302018.86944099999</v>
      </c>
    </row>
    <row r="571" spans="1:3">
      <c r="A571" s="99">
        <v>96341</v>
      </c>
      <c r="B571" s="99" t="s">
        <v>1290</v>
      </c>
      <c r="C571" s="100">
        <v>41905.197740000011</v>
      </c>
    </row>
    <row r="572" spans="1:3">
      <c r="A572" s="99">
        <v>96351</v>
      </c>
      <c r="B572" s="99" t="s">
        <v>1291</v>
      </c>
      <c r="C572" s="100">
        <v>506250.23961299995</v>
      </c>
    </row>
    <row r="573" spans="1:3">
      <c r="A573" s="99">
        <v>96361</v>
      </c>
      <c r="B573" s="99" t="s">
        <v>1292</v>
      </c>
      <c r="C573" s="100">
        <v>26123.995480000001</v>
      </c>
    </row>
    <row r="574" spans="1:3">
      <c r="A574" s="99">
        <v>96371</v>
      </c>
      <c r="B574" s="99" t="s">
        <v>1293</v>
      </c>
      <c r="C574" s="100">
        <v>71861.673995999998</v>
      </c>
    </row>
    <row r="575" spans="1:3">
      <c r="A575" s="99">
        <v>96381</v>
      </c>
      <c r="B575" s="99" t="s">
        <v>1294</v>
      </c>
      <c r="C575" s="100">
        <v>16380.713872</v>
      </c>
    </row>
    <row r="576" spans="1:3">
      <c r="A576" s="99">
        <v>96391</v>
      </c>
      <c r="B576" s="99" t="s">
        <v>1295</v>
      </c>
      <c r="C576" s="100">
        <v>82140.897186000017</v>
      </c>
    </row>
    <row r="577" spans="1:3">
      <c r="A577" s="99">
        <v>96401</v>
      </c>
      <c r="B577" s="99" t="s">
        <v>1296</v>
      </c>
      <c r="C577" s="100">
        <v>2141133.3190009994</v>
      </c>
    </row>
    <row r="578" spans="1:3">
      <c r="A578" s="99">
        <v>96404</v>
      </c>
      <c r="B578" s="99" t="s">
        <v>1297</v>
      </c>
      <c r="C578" s="100">
        <v>62860.887276000001</v>
      </c>
    </row>
    <row r="579" spans="1:3">
      <c r="A579" s="99">
        <v>96405</v>
      </c>
      <c r="B579" s="99" t="s">
        <v>1298</v>
      </c>
      <c r="C579" s="100">
        <v>90010.86</v>
      </c>
    </row>
    <row r="580" spans="1:3">
      <c r="A580" s="99">
        <v>96411</v>
      </c>
      <c r="B580" s="99" t="s">
        <v>1299</v>
      </c>
      <c r="C580" s="100">
        <v>30766.532431</v>
      </c>
    </row>
    <row r="581" spans="1:3">
      <c r="A581" s="99">
        <v>96421</v>
      </c>
      <c r="B581" s="99" t="s">
        <v>1300</v>
      </c>
      <c r="C581" s="100">
        <v>185496.66045900001</v>
      </c>
    </row>
    <row r="582" spans="1:3">
      <c r="A582" s="99">
        <v>96431</v>
      </c>
      <c r="B582" s="99" t="s">
        <v>1301</v>
      </c>
      <c r="C582" s="100">
        <v>21848.792980999999</v>
      </c>
    </row>
    <row r="583" spans="1:3">
      <c r="A583" s="99">
        <v>96441</v>
      </c>
      <c r="B583" s="99" t="s">
        <v>1302</v>
      </c>
      <c r="C583" s="100">
        <v>15351.509181999998</v>
      </c>
    </row>
    <row r="584" spans="1:3">
      <c r="A584" s="99">
        <v>96451</v>
      </c>
      <c r="B584" s="99" t="s">
        <v>1303</v>
      </c>
      <c r="C584" s="100">
        <v>8535.726243000001</v>
      </c>
    </row>
    <row r="585" spans="1:3">
      <c r="A585" s="99">
        <v>96461</v>
      </c>
      <c r="B585" s="99" t="s">
        <v>1304</v>
      </c>
      <c r="C585" s="100">
        <v>72030.852744999997</v>
      </c>
    </row>
    <row r="586" spans="1:3">
      <c r="A586" s="99">
        <v>96501</v>
      </c>
      <c r="B586" s="99" t="s">
        <v>1305</v>
      </c>
      <c r="C586" s="100">
        <v>6947458.8347050007</v>
      </c>
    </row>
    <row r="587" spans="1:3">
      <c r="A587" s="99">
        <v>96502</v>
      </c>
      <c r="B587" s="99" t="s">
        <v>1306</v>
      </c>
      <c r="C587" s="100">
        <v>215466.08110699998</v>
      </c>
    </row>
    <row r="588" spans="1:3">
      <c r="A588" s="99">
        <v>96503</v>
      </c>
      <c r="B588" s="99" t="s">
        <v>1307</v>
      </c>
      <c r="C588" s="100">
        <v>320388.37</v>
      </c>
    </row>
    <row r="589" spans="1:3">
      <c r="A589" s="99">
        <v>96504</v>
      </c>
      <c r="B589" s="99" t="s">
        <v>1308</v>
      </c>
      <c r="C589" s="100">
        <v>206958.63999999996</v>
      </c>
    </row>
    <row r="590" spans="1:3">
      <c r="A590" s="99">
        <v>96507</v>
      </c>
      <c r="B590" s="99" t="s">
        <v>1309</v>
      </c>
      <c r="C590" s="100">
        <v>1125154.73</v>
      </c>
    </row>
    <row r="591" spans="1:3">
      <c r="A591" s="99">
        <v>96508</v>
      </c>
      <c r="B591" s="99" t="s">
        <v>1310</v>
      </c>
      <c r="C591" s="100">
        <v>11724.36</v>
      </c>
    </row>
    <row r="592" spans="1:3">
      <c r="A592" s="99">
        <v>96511</v>
      </c>
      <c r="B592" s="99" t="s">
        <v>1311</v>
      </c>
      <c r="C592" s="100">
        <v>294294.28148300003</v>
      </c>
    </row>
    <row r="593" spans="1:3">
      <c r="A593" s="99">
        <v>96512</v>
      </c>
      <c r="B593" s="99" t="s">
        <v>1312</v>
      </c>
      <c r="C593" s="100">
        <v>79724.989999999991</v>
      </c>
    </row>
    <row r="594" spans="1:3">
      <c r="A594" s="99">
        <v>96521</v>
      </c>
      <c r="B594" s="99" t="s">
        <v>1313</v>
      </c>
      <c r="C594" s="100">
        <v>427905.02673099993</v>
      </c>
    </row>
    <row r="595" spans="1:3">
      <c r="A595" s="99">
        <v>96531</v>
      </c>
      <c r="B595" s="99" t="s">
        <v>1314</v>
      </c>
      <c r="C595" s="100">
        <v>4035511.3833110007</v>
      </c>
    </row>
    <row r="596" spans="1:3">
      <c r="A596" s="99">
        <v>96541</v>
      </c>
      <c r="B596" s="99" t="s">
        <v>1315</v>
      </c>
      <c r="C596" s="100">
        <v>170179.71100099999</v>
      </c>
    </row>
    <row r="597" spans="1:3">
      <c r="A597" s="99">
        <v>96601</v>
      </c>
      <c r="B597" s="99" t="s">
        <v>1316</v>
      </c>
      <c r="C597" s="100">
        <v>825607.21463499987</v>
      </c>
    </row>
    <row r="598" spans="1:3">
      <c r="A598" s="99">
        <v>96604</v>
      </c>
      <c r="B598" s="99" t="s">
        <v>1317</v>
      </c>
      <c r="C598" s="100">
        <v>4896.1500000000005</v>
      </c>
    </row>
    <row r="599" spans="1:3">
      <c r="A599" s="99">
        <v>96611</v>
      </c>
      <c r="B599" s="99" t="s">
        <v>1318</v>
      </c>
      <c r="C599" s="100">
        <v>12911.224444000001</v>
      </c>
    </row>
    <row r="600" spans="1:3">
      <c r="A600" s="99">
        <v>96612</v>
      </c>
      <c r="B600" s="99" t="s">
        <v>1319</v>
      </c>
      <c r="C600" s="100">
        <v>31707.240000000005</v>
      </c>
    </row>
    <row r="601" spans="1:3">
      <c r="A601" s="99">
        <v>96621</v>
      </c>
      <c r="B601" s="99" t="s">
        <v>1320</v>
      </c>
      <c r="C601" s="100">
        <v>12605.038852000001</v>
      </c>
    </row>
    <row r="602" spans="1:3">
      <c r="A602" s="99">
        <v>96631</v>
      </c>
      <c r="B602" s="99" t="s">
        <v>1321</v>
      </c>
      <c r="C602" s="100">
        <v>12532.912876000002</v>
      </c>
    </row>
    <row r="603" spans="1:3">
      <c r="A603" s="99">
        <v>96641</v>
      </c>
      <c r="B603" s="99" t="s">
        <v>1322</v>
      </c>
      <c r="C603" s="100">
        <v>22010.236868000004</v>
      </c>
    </row>
    <row r="604" spans="1:3">
      <c r="A604" s="99">
        <v>96651</v>
      </c>
      <c r="B604" s="99" t="s">
        <v>1323</v>
      </c>
      <c r="C604" s="100">
        <v>9566.3388990000021</v>
      </c>
    </row>
    <row r="605" spans="1:3">
      <c r="A605" s="99">
        <v>96661</v>
      </c>
      <c r="B605" s="99" t="s">
        <v>1324</v>
      </c>
      <c r="C605" s="100">
        <v>10878.912887999999</v>
      </c>
    </row>
    <row r="606" spans="1:3">
      <c r="A606" s="99">
        <v>96671</v>
      </c>
      <c r="B606" s="99" t="s">
        <v>1325</v>
      </c>
      <c r="C606" s="100">
        <v>8886.5600000000013</v>
      </c>
    </row>
    <row r="607" spans="1:3">
      <c r="A607" s="99">
        <v>96681</v>
      </c>
      <c r="B607" s="99" t="s">
        <v>1326</v>
      </c>
      <c r="C607" s="100">
        <v>15491.968362</v>
      </c>
    </row>
    <row r="608" spans="1:3">
      <c r="A608" s="99">
        <v>96701</v>
      </c>
      <c r="B608" s="99" t="s">
        <v>1327</v>
      </c>
      <c r="C608" s="100">
        <v>3929619.0721519999</v>
      </c>
    </row>
    <row r="609" spans="1:3">
      <c r="A609" s="99">
        <v>96704</v>
      </c>
      <c r="B609" s="99" t="s">
        <v>1328</v>
      </c>
      <c r="C609" s="100">
        <v>106960.89000000001</v>
      </c>
    </row>
    <row r="610" spans="1:3">
      <c r="A610" s="99">
        <v>96708</v>
      </c>
      <c r="B610" s="99" t="s">
        <v>1329</v>
      </c>
      <c r="C610" s="100">
        <v>480567.68000000005</v>
      </c>
    </row>
    <row r="611" spans="1:3">
      <c r="A611" s="99">
        <v>96711</v>
      </c>
      <c r="B611" s="99" t="s">
        <v>1330</v>
      </c>
      <c r="C611" s="100">
        <v>1894102.2236530003</v>
      </c>
    </row>
    <row r="612" spans="1:3">
      <c r="A612" s="99">
        <v>96721</v>
      </c>
      <c r="B612" s="99" t="s">
        <v>1331</v>
      </c>
      <c r="C612" s="100">
        <v>104621.357858</v>
      </c>
    </row>
    <row r="613" spans="1:3">
      <c r="A613" s="99">
        <v>96731</v>
      </c>
      <c r="B613" s="99" t="s">
        <v>1332</v>
      </c>
      <c r="C613" s="100">
        <v>80631.545297000004</v>
      </c>
    </row>
    <row r="614" spans="1:3">
      <c r="A614" s="99">
        <v>96733</v>
      </c>
      <c r="B614" s="99" t="s">
        <v>1333</v>
      </c>
      <c r="C614" s="100">
        <v>4498.5200000000004</v>
      </c>
    </row>
    <row r="615" spans="1:3">
      <c r="A615" s="99">
        <v>96741</v>
      </c>
      <c r="B615" s="99" t="s">
        <v>1334</v>
      </c>
      <c r="C615" s="100">
        <v>44667.781470000002</v>
      </c>
    </row>
    <row r="616" spans="1:3">
      <c r="A616" s="99">
        <v>96751</v>
      </c>
      <c r="B616" s="99" t="s">
        <v>1335</v>
      </c>
      <c r="C616" s="100">
        <v>119909.425178</v>
      </c>
    </row>
    <row r="617" spans="1:3">
      <c r="A617" s="99">
        <v>96801</v>
      </c>
      <c r="B617" s="99" t="s">
        <v>1336</v>
      </c>
      <c r="C617" s="100">
        <v>3782424.636343</v>
      </c>
    </row>
    <row r="618" spans="1:3">
      <c r="A618" s="99">
        <v>96804</v>
      </c>
      <c r="B618" s="99" t="s">
        <v>1337</v>
      </c>
      <c r="C618" s="100">
        <v>109632.67000000001</v>
      </c>
    </row>
    <row r="619" spans="1:3">
      <c r="A619" s="99">
        <v>96808</v>
      </c>
      <c r="B619" s="99" t="s">
        <v>1338</v>
      </c>
      <c r="C619" s="100">
        <v>612313.69000000006</v>
      </c>
    </row>
    <row r="620" spans="1:3">
      <c r="A620" s="99">
        <v>96811</v>
      </c>
      <c r="B620" s="99" t="s">
        <v>1339</v>
      </c>
      <c r="C620" s="100">
        <v>2828120.4347119997</v>
      </c>
    </row>
    <row r="621" spans="1:3">
      <c r="A621" s="99">
        <v>96821</v>
      </c>
      <c r="B621" s="99" t="s">
        <v>1340</v>
      </c>
      <c r="C621" s="100">
        <v>606075.7397700001</v>
      </c>
    </row>
    <row r="622" spans="1:3">
      <c r="A622" s="99">
        <v>96831</v>
      </c>
      <c r="B622" s="99" t="s">
        <v>1341</v>
      </c>
      <c r="C622" s="100">
        <v>437767.04067599995</v>
      </c>
    </row>
    <row r="623" spans="1:3">
      <c r="A623" s="99">
        <v>96901</v>
      </c>
      <c r="B623" s="99" t="s">
        <v>1342</v>
      </c>
      <c r="C623" s="100">
        <v>449406.94321300002</v>
      </c>
    </row>
    <row r="624" spans="1:3">
      <c r="A624" s="99">
        <v>96911</v>
      </c>
      <c r="B624" s="99" t="s">
        <v>1343</v>
      </c>
      <c r="C624" s="100">
        <v>2452.13</v>
      </c>
    </row>
    <row r="625" spans="1:3">
      <c r="A625" s="99">
        <v>96912</v>
      </c>
      <c r="B625" s="99" t="s">
        <v>1344</v>
      </c>
      <c r="C625" s="100">
        <v>26729.281722000007</v>
      </c>
    </row>
    <row r="626" spans="1:3">
      <c r="A626" s="99">
        <v>96918</v>
      </c>
      <c r="B626" s="99" t="s">
        <v>1345</v>
      </c>
      <c r="C626" s="100">
        <v>16749.66</v>
      </c>
    </row>
    <row r="627" spans="1:3">
      <c r="A627" s="99">
        <v>97001</v>
      </c>
      <c r="B627" s="99" t="s">
        <v>1346</v>
      </c>
      <c r="C627" s="100">
        <v>742552.89960899996</v>
      </c>
    </row>
    <row r="628" spans="1:3">
      <c r="A628" s="99">
        <v>97002</v>
      </c>
      <c r="B628" s="99" t="s">
        <v>1347</v>
      </c>
      <c r="C628" s="100">
        <v>185928.28999999998</v>
      </c>
    </row>
    <row r="629" spans="1:3">
      <c r="A629" s="99">
        <v>97004</v>
      </c>
      <c r="B629" s="99" t="s">
        <v>1348</v>
      </c>
      <c r="C629" s="100">
        <v>8806.36</v>
      </c>
    </row>
    <row r="630" spans="1:3">
      <c r="A630" s="99">
        <v>97005</v>
      </c>
      <c r="B630" s="99" t="s">
        <v>1349</v>
      </c>
      <c r="C630" s="100">
        <v>14967.799999999997</v>
      </c>
    </row>
    <row r="631" spans="1:3">
      <c r="A631" s="99">
        <v>97008</v>
      </c>
      <c r="B631" s="99" t="s">
        <v>1350</v>
      </c>
      <c r="C631" s="100">
        <v>139745.68</v>
      </c>
    </row>
    <row r="632" spans="1:3">
      <c r="A632" s="99">
        <v>97011</v>
      </c>
      <c r="B632" s="99" t="s">
        <v>1352</v>
      </c>
      <c r="C632" s="100">
        <v>918572.95422800002</v>
      </c>
    </row>
    <row r="633" spans="1:3">
      <c r="A633" s="99">
        <v>97012</v>
      </c>
      <c r="B633" s="99" t="s">
        <v>1353</v>
      </c>
      <c r="C633" s="100">
        <v>18023.54</v>
      </c>
    </row>
    <row r="634" spans="1:3">
      <c r="A634" s="99">
        <v>97013</v>
      </c>
      <c r="B634" s="99" t="s">
        <v>1354</v>
      </c>
      <c r="C634" s="100">
        <v>11938.57</v>
      </c>
    </row>
    <row r="635" spans="1:3">
      <c r="A635" s="99">
        <v>97015</v>
      </c>
      <c r="B635" s="99" t="s">
        <v>1355</v>
      </c>
      <c r="C635" s="100">
        <v>25312.84</v>
      </c>
    </row>
    <row r="636" spans="1:3">
      <c r="A636" s="99">
        <v>97018</v>
      </c>
      <c r="B636" s="99" t="s">
        <v>1356</v>
      </c>
      <c r="C636" s="100">
        <v>8583.6</v>
      </c>
    </row>
    <row r="637" spans="1:3">
      <c r="A637" s="99">
        <v>97101</v>
      </c>
      <c r="B637" s="99" t="s">
        <v>1357</v>
      </c>
      <c r="C637" s="100">
        <v>1330859.4145580002</v>
      </c>
    </row>
    <row r="638" spans="1:3">
      <c r="A638" s="99">
        <v>97104</v>
      </c>
      <c r="B638" s="99" t="s">
        <v>1358</v>
      </c>
      <c r="C638" s="100">
        <v>32872.47</v>
      </c>
    </row>
    <row r="639" spans="1:3">
      <c r="A639" s="99">
        <v>97111</v>
      </c>
      <c r="B639" s="99" t="s">
        <v>1359</v>
      </c>
      <c r="C639" s="100">
        <v>129965.58805100001</v>
      </c>
    </row>
    <row r="640" spans="1:3">
      <c r="A640" s="99">
        <v>97121</v>
      </c>
      <c r="B640" s="99" t="s">
        <v>1360</v>
      </c>
      <c r="C640" s="100">
        <v>76175.851093000005</v>
      </c>
    </row>
    <row r="641" spans="1:3">
      <c r="A641" s="99">
        <v>97131</v>
      </c>
      <c r="B641" s="99" t="s">
        <v>1361</v>
      </c>
      <c r="C641" s="100">
        <v>265411.48868800001</v>
      </c>
    </row>
    <row r="642" spans="1:3">
      <c r="A642" s="99">
        <v>97201</v>
      </c>
      <c r="B642" s="99" t="s">
        <v>1362</v>
      </c>
      <c r="C642" s="100">
        <v>262236.91270099999</v>
      </c>
    </row>
    <row r="643" spans="1:3">
      <c r="A643" s="99">
        <v>97211</v>
      </c>
      <c r="B643" s="99" t="s">
        <v>1363</v>
      </c>
      <c r="C643" s="100">
        <v>77866.373638999998</v>
      </c>
    </row>
    <row r="644" spans="1:3">
      <c r="A644" s="99">
        <v>97213</v>
      </c>
      <c r="B644" s="99" t="s">
        <v>1364</v>
      </c>
      <c r="C644" s="100">
        <v>21662.31</v>
      </c>
    </row>
    <row r="645" spans="1:3">
      <c r="A645" s="99">
        <v>97217</v>
      </c>
      <c r="B645" s="99" t="s">
        <v>1365</v>
      </c>
      <c r="C645" s="100">
        <v>6450.300000000002</v>
      </c>
    </row>
    <row r="646" spans="1:3">
      <c r="A646" s="99">
        <v>97221</v>
      </c>
      <c r="B646" s="99" t="s">
        <v>1366</v>
      </c>
      <c r="C646" s="100">
        <v>6192.4740069999989</v>
      </c>
    </row>
    <row r="647" spans="1:3">
      <c r="A647" s="99">
        <v>97301</v>
      </c>
      <c r="B647" s="99" t="s">
        <v>1367</v>
      </c>
      <c r="C647" s="100">
        <v>1231027.8763949999</v>
      </c>
    </row>
    <row r="648" spans="1:3">
      <c r="A648" s="99">
        <v>97304</v>
      </c>
      <c r="B648" s="99" t="s">
        <v>1368</v>
      </c>
      <c r="C648" s="100">
        <v>13751.589999999997</v>
      </c>
    </row>
    <row r="649" spans="1:3">
      <c r="A649" s="99">
        <v>97311</v>
      </c>
      <c r="B649" s="99" t="s">
        <v>1369</v>
      </c>
      <c r="C649" s="100">
        <v>427971.83612300002</v>
      </c>
    </row>
    <row r="650" spans="1:3">
      <c r="A650" s="99">
        <v>97401</v>
      </c>
      <c r="B650" s="99" t="s">
        <v>1370</v>
      </c>
      <c r="C650" s="100">
        <v>3585248.7287780009</v>
      </c>
    </row>
    <row r="651" spans="1:3">
      <c r="A651" s="99">
        <v>97402</v>
      </c>
      <c r="B651" s="99" t="s">
        <v>1371</v>
      </c>
      <c r="C651" s="100">
        <v>26436.659999999996</v>
      </c>
    </row>
    <row r="652" spans="1:3">
      <c r="A652" s="99">
        <v>97404</v>
      </c>
      <c r="B652" s="99" t="s">
        <v>1372</v>
      </c>
      <c r="C652" s="100">
        <v>90667.806000000011</v>
      </c>
    </row>
    <row r="653" spans="1:3">
      <c r="A653" s="99">
        <v>97405</v>
      </c>
      <c r="B653" s="99" t="s">
        <v>1373</v>
      </c>
      <c r="C653" s="100">
        <v>71138.849999999991</v>
      </c>
    </row>
    <row r="654" spans="1:3">
      <c r="A654" s="99">
        <v>97408</v>
      </c>
      <c r="B654" s="99" t="s">
        <v>1374</v>
      </c>
      <c r="C654" s="100">
        <v>25129.97</v>
      </c>
    </row>
    <row r="655" spans="1:3">
      <c r="A655" s="99">
        <v>97411</v>
      </c>
      <c r="B655" s="99" t="s">
        <v>1375</v>
      </c>
      <c r="C655" s="100">
        <v>3028532.566662</v>
      </c>
    </row>
    <row r="656" spans="1:3">
      <c r="A656" s="99">
        <v>97412</v>
      </c>
      <c r="B656" s="99" t="s">
        <v>1376</v>
      </c>
      <c r="C656" s="100">
        <v>2270407.4099999997</v>
      </c>
    </row>
    <row r="657" spans="1:4">
      <c r="A657" s="99">
        <v>97413</v>
      </c>
      <c r="B657" s="99" t="s">
        <v>1377</v>
      </c>
      <c r="C657" s="100">
        <v>148219.56</v>
      </c>
    </row>
    <row r="658" spans="1:4">
      <c r="A658" s="99">
        <v>97421</v>
      </c>
      <c r="B658" s="99" t="s">
        <v>1378</v>
      </c>
      <c r="C658" s="100">
        <v>210610.71908099996</v>
      </c>
    </row>
    <row r="659" spans="1:4">
      <c r="A659" s="99">
        <v>97423</v>
      </c>
      <c r="B659" s="99" t="s">
        <v>1379</v>
      </c>
      <c r="C659" s="100">
        <v>40514.759999999995</v>
      </c>
    </row>
    <row r="660" spans="1:4">
      <c r="A660" s="99">
        <v>97431</v>
      </c>
      <c r="B660" s="99" t="s">
        <v>1380</v>
      </c>
      <c r="C660" s="100">
        <v>50715.322505000004</v>
      </c>
    </row>
    <row r="661" spans="1:4">
      <c r="A661" s="99">
        <v>97441</v>
      </c>
      <c r="B661" s="99" t="s">
        <v>1381</v>
      </c>
      <c r="C661" s="100">
        <v>21551.558476999999</v>
      </c>
    </row>
    <row r="662" spans="1:4">
      <c r="A662" s="99">
        <v>97451</v>
      </c>
      <c r="B662" s="99" t="s">
        <v>1382</v>
      </c>
      <c r="C662" s="100">
        <v>257107.70754799998</v>
      </c>
    </row>
    <row r="663" spans="1:4">
      <c r="A663" s="281" t="s">
        <v>3513</v>
      </c>
      <c r="B663" s="282" t="s">
        <v>1383</v>
      </c>
      <c r="C663" s="283">
        <v>234518.86547600001</v>
      </c>
    </row>
    <row r="664" spans="1:4">
      <c r="A664" s="281" t="s">
        <v>3514</v>
      </c>
      <c r="B664" s="282" t="s">
        <v>1384</v>
      </c>
      <c r="C664" s="283">
        <v>8702.26</v>
      </c>
    </row>
    <row r="665" spans="1:4" ht="15.75" thickBot="1">
      <c r="A665" s="281">
        <v>97461</v>
      </c>
      <c r="B665" s="282" t="s">
        <v>1383</v>
      </c>
      <c r="C665" s="284">
        <f>SUM(C663:C664)</f>
        <v>243221.12547600002</v>
      </c>
      <c r="D665" s="225"/>
    </row>
    <row r="666" spans="1:4" ht="15.75" thickTop="1">
      <c r="A666" s="99">
        <v>97471</v>
      </c>
      <c r="B666" s="99" t="s">
        <v>1385</v>
      </c>
      <c r="C666" s="100">
        <v>12311.93</v>
      </c>
    </row>
    <row r="667" spans="1:4">
      <c r="A667" s="99">
        <v>97481</v>
      </c>
      <c r="B667" s="99" t="s">
        <v>1386</v>
      </c>
      <c r="C667" s="100">
        <v>4407.6821639999998</v>
      </c>
    </row>
    <row r="668" spans="1:4">
      <c r="A668" s="99">
        <v>97501</v>
      </c>
      <c r="B668" s="99" t="s">
        <v>1388</v>
      </c>
      <c r="C668" s="100">
        <v>543678.36481499998</v>
      </c>
    </row>
    <row r="669" spans="1:4">
      <c r="A669" s="99">
        <v>97511</v>
      </c>
      <c r="B669" s="99" t="s">
        <v>1389</v>
      </c>
      <c r="C669" s="100">
        <v>102058.77313199999</v>
      </c>
    </row>
    <row r="670" spans="1:4">
      <c r="A670" s="99">
        <v>97521</v>
      </c>
      <c r="B670" s="99" t="s">
        <v>1390</v>
      </c>
      <c r="C670" s="100">
        <v>58326.600235000005</v>
      </c>
    </row>
    <row r="671" spans="1:4">
      <c r="A671" s="99">
        <v>97527</v>
      </c>
      <c r="B671" s="99" t="s">
        <v>1641</v>
      </c>
      <c r="C671" s="100">
        <v>3761.7300000000005</v>
      </c>
    </row>
    <row r="672" spans="1:4">
      <c r="A672" s="99">
        <v>97531</v>
      </c>
      <c r="B672" s="99" t="s">
        <v>1391</v>
      </c>
      <c r="C672" s="100">
        <v>29948.854805999999</v>
      </c>
    </row>
    <row r="673" spans="1:3">
      <c r="A673" s="99">
        <v>97601</v>
      </c>
      <c r="B673" s="99" t="s">
        <v>1392</v>
      </c>
      <c r="C673" s="100">
        <v>2483068.8812990007</v>
      </c>
    </row>
    <row r="674" spans="1:3">
      <c r="A674" s="99">
        <v>97607</v>
      </c>
      <c r="B674" s="99" t="s">
        <v>1393</v>
      </c>
      <c r="C674" s="100">
        <v>18882.38</v>
      </c>
    </row>
    <row r="675" spans="1:3">
      <c r="A675" s="99">
        <v>97611</v>
      </c>
      <c r="B675" s="99" t="s">
        <v>1394</v>
      </c>
      <c r="C675" s="100">
        <v>1130810.4033589999</v>
      </c>
    </row>
    <row r="676" spans="1:3">
      <c r="A676" s="99">
        <v>97613</v>
      </c>
      <c r="B676" s="99" t="s">
        <v>1395</v>
      </c>
      <c r="C676" s="100">
        <v>63111.42</v>
      </c>
    </row>
    <row r="677" spans="1:3">
      <c r="A677" s="99">
        <v>97621</v>
      </c>
      <c r="B677" s="99" t="s">
        <v>1396</v>
      </c>
      <c r="C677" s="100">
        <v>187775.93035600003</v>
      </c>
    </row>
    <row r="678" spans="1:3">
      <c r="A678" s="99">
        <v>97623</v>
      </c>
      <c r="B678" s="99" t="s">
        <v>1397</v>
      </c>
      <c r="C678" s="100">
        <v>11408.899999999998</v>
      </c>
    </row>
    <row r="679" spans="1:3">
      <c r="A679" s="99">
        <v>97627</v>
      </c>
      <c r="B679" s="99" t="s">
        <v>1398</v>
      </c>
      <c r="C679" s="100">
        <v>5463.33</v>
      </c>
    </row>
    <row r="680" spans="1:3">
      <c r="A680" s="99">
        <v>97631</v>
      </c>
      <c r="B680" s="99" t="s">
        <v>1399</v>
      </c>
      <c r="C680" s="100">
        <v>92382.765471000021</v>
      </c>
    </row>
    <row r="681" spans="1:3">
      <c r="A681" s="99">
        <v>97637</v>
      </c>
      <c r="B681" s="99" t="s">
        <v>1400</v>
      </c>
      <c r="C681" s="100">
        <v>3307.5600000000009</v>
      </c>
    </row>
    <row r="682" spans="1:3">
      <c r="A682" s="99">
        <v>97641</v>
      </c>
      <c r="B682" s="99" t="s">
        <v>1401</v>
      </c>
      <c r="C682" s="100">
        <v>30439.012708000002</v>
      </c>
    </row>
    <row r="683" spans="1:3">
      <c r="A683" s="99">
        <v>97651</v>
      </c>
      <c r="B683" s="99" t="s">
        <v>1402</v>
      </c>
      <c r="C683" s="100">
        <v>232693.75414700003</v>
      </c>
    </row>
    <row r="684" spans="1:3">
      <c r="A684" s="99">
        <v>97661</v>
      </c>
      <c r="B684" s="99" t="s">
        <v>1403</v>
      </c>
      <c r="C684" s="100">
        <v>25899.940000000006</v>
      </c>
    </row>
    <row r="685" spans="1:3">
      <c r="A685" s="99">
        <v>97701</v>
      </c>
      <c r="B685" s="99" t="s">
        <v>1404</v>
      </c>
      <c r="C685" s="100">
        <v>1244784.924385</v>
      </c>
    </row>
    <row r="686" spans="1:3">
      <c r="A686" s="99">
        <v>97705</v>
      </c>
      <c r="B686" s="99" t="s">
        <v>1405</v>
      </c>
      <c r="C686" s="100">
        <v>23599.25</v>
      </c>
    </row>
    <row r="687" spans="1:3">
      <c r="A687" s="99">
        <v>97711</v>
      </c>
      <c r="B687" s="99" t="s">
        <v>1406</v>
      </c>
      <c r="C687" s="100">
        <v>457009.620253</v>
      </c>
    </row>
    <row r="688" spans="1:3">
      <c r="A688" s="99">
        <v>97713</v>
      </c>
      <c r="B688" s="99" t="s">
        <v>1407</v>
      </c>
      <c r="C688" s="100">
        <v>21943.34</v>
      </c>
    </row>
    <row r="689" spans="1:3">
      <c r="A689" s="99">
        <v>97717</v>
      </c>
      <c r="B689" s="99" t="s">
        <v>1408</v>
      </c>
      <c r="C689" s="100">
        <v>2473.4699999999993</v>
      </c>
    </row>
    <row r="690" spans="1:3">
      <c r="A690" s="99">
        <v>97721</v>
      </c>
      <c r="B690" s="99" t="s">
        <v>1409</v>
      </c>
      <c r="C690" s="100">
        <v>271324.76205899997</v>
      </c>
    </row>
    <row r="691" spans="1:3">
      <c r="A691" s="99">
        <v>97727</v>
      </c>
      <c r="B691" s="99" t="s">
        <v>1410</v>
      </c>
      <c r="C691" s="100">
        <v>11178.52</v>
      </c>
    </row>
    <row r="692" spans="1:3">
      <c r="A692" s="99">
        <v>97731</v>
      </c>
      <c r="B692" s="99" t="s">
        <v>1411</v>
      </c>
      <c r="C692" s="100">
        <v>19915.729999999996</v>
      </c>
    </row>
    <row r="693" spans="1:3">
      <c r="A693" s="99">
        <v>97801</v>
      </c>
      <c r="B693" s="99" t="s">
        <v>1412</v>
      </c>
      <c r="C693" s="100">
        <v>3252423.910648</v>
      </c>
    </row>
    <row r="694" spans="1:3">
      <c r="A694" s="99">
        <v>97802</v>
      </c>
      <c r="B694" s="99" t="s">
        <v>1413</v>
      </c>
      <c r="C694" s="100">
        <v>84582.720000000001</v>
      </c>
    </row>
    <row r="695" spans="1:3">
      <c r="A695" s="99">
        <v>97803</v>
      </c>
      <c r="B695" s="99" t="s">
        <v>1414</v>
      </c>
      <c r="C695" s="100">
        <v>39273.499999999993</v>
      </c>
    </row>
    <row r="696" spans="1:3">
      <c r="A696" s="99">
        <v>97805</v>
      </c>
      <c r="B696" s="99" t="s">
        <v>1415</v>
      </c>
      <c r="C696" s="100">
        <v>42170.28</v>
      </c>
    </row>
    <row r="697" spans="1:3">
      <c r="A697" s="99">
        <v>97811</v>
      </c>
      <c r="B697" s="99" t="s">
        <v>1416</v>
      </c>
      <c r="C697" s="100">
        <v>1170323.8581959999</v>
      </c>
    </row>
    <row r="698" spans="1:3">
      <c r="A698" s="99">
        <v>97817</v>
      </c>
      <c r="B698" s="99" t="s">
        <v>1417</v>
      </c>
      <c r="C698" s="100">
        <v>13790.329999999998</v>
      </c>
    </row>
    <row r="699" spans="1:3">
      <c r="A699" s="99">
        <v>97818</v>
      </c>
      <c r="B699" s="99" t="s">
        <v>1418</v>
      </c>
      <c r="C699" s="100">
        <v>10225.219999999999</v>
      </c>
    </row>
    <row r="700" spans="1:3">
      <c r="A700" s="99">
        <v>97821</v>
      </c>
      <c r="B700" s="99" t="s">
        <v>1419</v>
      </c>
      <c r="C700" s="100">
        <v>68059.790704999992</v>
      </c>
    </row>
    <row r="701" spans="1:3">
      <c r="A701" s="99">
        <v>97823</v>
      </c>
      <c r="B701" s="99" t="s">
        <v>1420</v>
      </c>
      <c r="C701" s="100">
        <v>11236.359999999999</v>
      </c>
    </row>
    <row r="702" spans="1:3">
      <c r="A702" s="99">
        <v>97831</v>
      </c>
      <c r="B702" s="99" t="s">
        <v>1421</v>
      </c>
      <c r="C702" s="100">
        <v>86433.48887099998</v>
      </c>
    </row>
    <row r="703" spans="1:3">
      <c r="A703" s="99">
        <v>97837</v>
      </c>
      <c r="B703" s="99" t="s">
        <v>1422</v>
      </c>
      <c r="C703" s="100">
        <v>7118.4000000000015</v>
      </c>
    </row>
    <row r="704" spans="1:3">
      <c r="A704" s="99">
        <v>97840</v>
      </c>
      <c r="B704" s="99" t="s">
        <v>1423</v>
      </c>
      <c r="C704" s="100">
        <v>115822.16071700001</v>
      </c>
    </row>
    <row r="705" spans="1:3">
      <c r="A705" s="99">
        <v>97841</v>
      </c>
      <c r="B705" s="99" t="s">
        <v>1424</v>
      </c>
      <c r="C705" s="100">
        <v>6778.5800000000008</v>
      </c>
    </row>
    <row r="706" spans="1:3">
      <c r="A706" s="99">
        <v>97847</v>
      </c>
      <c r="B706" s="99" t="s">
        <v>1425</v>
      </c>
      <c r="C706" s="100">
        <v>2336.88</v>
      </c>
    </row>
    <row r="707" spans="1:3">
      <c r="A707" s="99">
        <v>97851</v>
      </c>
      <c r="B707" s="99" t="s">
        <v>1426</v>
      </c>
      <c r="C707" s="100">
        <v>115501.535951</v>
      </c>
    </row>
    <row r="708" spans="1:3">
      <c r="A708" s="99">
        <v>97853</v>
      </c>
      <c r="B708" s="99" t="s">
        <v>1427</v>
      </c>
      <c r="C708" s="100">
        <v>40633.69</v>
      </c>
    </row>
    <row r="709" spans="1:3">
      <c r="A709" s="99">
        <v>97861</v>
      </c>
      <c r="B709" s="99" t="s">
        <v>1428</v>
      </c>
      <c r="C709" s="100">
        <v>26837.610023000001</v>
      </c>
    </row>
    <row r="710" spans="1:3">
      <c r="A710" s="99">
        <v>97871</v>
      </c>
      <c r="B710" s="99" t="s">
        <v>1429</v>
      </c>
      <c r="C710" s="100">
        <v>295105.89454799995</v>
      </c>
    </row>
    <row r="711" spans="1:3">
      <c r="A711" s="99">
        <v>97877</v>
      </c>
      <c r="B711" s="99" t="s">
        <v>1430</v>
      </c>
      <c r="C711" s="100">
        <v>2779.9199999999992</v>
      </c>
    </row>
    <row r="712" spans="1:3">
      <c r="A712" s="99">
        <v>97901</v>
      </c>
      <c r="B712" s="99" t="s">
        <v>1431</v>
      </c>
      <c r="C712" s="100">
        <v>2084645.477739</v>
      </c>
    </row>
    <row r="713" spans="1:3">
      <c r="A713" s="99">
        <v>97911</v>
      </c>
      <c r="B713" s="99" t="s">
        <v>1432</v>
      </c>
      <c r="C713" s="100">
        <v>644048.34705700004</v>
      </c>
    </row>
    <row r="714" spans="1:3">
      <c r="A714" s="99">
        <v>97913</v>
      </c>
      <c r="B714" s="99" t="s">
        <v>1433</v>
      </c>
      <c r="C714" s="100">
        <v>27203.829999999998</v>
      </c>
    </row>
    <row r="715" spans="1:3">
      <c r="A715" s="99">
        <v>97917</v>
      </c>
      <c r="B715" s="99" t="s">
        <v>1434</v>
      </c>
      <c r="C715" s="100">
        <v>13764.359999999999</v>
      </c>
    </row>
    <row r="716" spans="1:3">
      <c r="A716" s="99">
        <v>97921</v>
      </c>
      <c r="B716" s="99" t="s">
        <v>1435</v>
      </c>
      <c r="C716" s="100">
        <v>111642.365724</v>
      </c>
    </row>
    <row r="717" spans="1:3">
      <c r="A717" s="99">
        <v>97931</v>
      </c>
      <c r="B717" s="99" t="s">
        <v>1436</v>
      </c>
      <c r="C717" s="100">
        <v>33195.635265999998</v>
      </c>
    </row>
    <row r="718" spans="1:3">
      <c r="A718" s="99">
        <v>97941</v>
      </c>
      <c r="B718" s="99" t="s">
        <v>1437</v>
      </c>
      <c r="C718" s="100">
        <v>115094.14091699998</v>
      </c>
    </row>
    <row r="719" spans="1:3">
      <c r="A719" s="99">
        <v>97947</v>
      </c>
      <c r="B719" s="99" t="s">
        <v>1438</v>
      </c>
      <c r="C719" s="100">
        <v>13148.629999999997</v>
      </c>
    </row>
    <row r="720" spans="1:3">
      <c r="A720" s="99">
        <v>97948</v>
      </c>
      <c r="B720" s="99" t="s">
        <v>1439</v>
      </c>
      <c r="C720" s="100">
        <v>11621.970000000001</v>
      </c>
    </row>
    <row r="721" spans="1:3">
      <c r="A721" s="99">
        <v>97951</v>
      </c>
      <c r="B721" s="99" t="s">
        <v>1440</v>
      </c>
      <c r="C721" s="100">
        <v>633574.64743600006</v>
      </c>
    </row>
    <row r="722" spans="1:3">
      <c r="A722" s="99">
        <v>97957</v>
      </c>
      <c r="B722" s="99" t="s">
        <v>1441</v>
      </c>
      <c r="C722" s="100">
        <v>13052.769999999999</v>
      </c>
    </row>
    <row r="723" spans="1:3">
      <c r="A723" s="99">
        <v>98001</v>
      </c>
      <c r="B723" s="99" t="s">
        <v>1442</v>
      </c>
      <c r="C723" s="100">
        <v>2616829.3018160001</v>
      </c>
    </row>
    <row r="724" spans="1:3">
      <c r="A724" s="99">
        <v>98002</v>
      </c>
      <c r="B724" s="99" t="s">
        <v>1443</v>
      </c>
      <c r="C724" s="100">
        <v>4737.4800000000005</v>
      </c>
    </row>
    <row r="725" spans="1:3">
      <c r="A725" s="99">
        <v>98003</v>
      </c>
      <c r="B725" s="99" t="s">
        <v>1444</v>
      </c>
      <c r="C725" s="100">
        <v>72872.41</v>
      </c>
    </row>
    <row r="726" spans="1:3">
      <c r="A726" s="99">
        <v>98004</v>
      </c>
      <c r="B726" s="99" t="s">
        <v>1445</v>
      </c>
      <c r="C726" s="100">
        <v>81879.760000000009</v>
      </c>
    </row>
    <row r="727" spans="1:3">
      <c r="A727" s="99">
        <v>98008</v>
      </c>
      <c r="B727" s="99" t="s">
        <v>1446</v>
      </c>
      <c r="C727" s="100">
        <v>3731.2499999999995</v>
      </c>
    </row>
    <row r="728" spans="1:3">
      <c r="A728" s="99">
        <v>98011</v>
      </c>
      <c r="B728" s="99" t="s">
        <v>1447</v>
      </c>
      <c r="C728" s="100">
        <v>1591661.2954150001</v>
      </c>
    </row>
    <row r="729" spans="1:3">
      <c r="A729" s="99">
        <v>98013</v>
      </c>
      <c r="B729" s="99" t="s">
        <v>1448</v>
      </c>
      <c r="C729" s="100">
        <v>141746.74</v>
      </c>
    </row>
    <row r="730" spans="1:3">
      <c r="A730" s="99">
        <v>98021</v>
      </c>
      <c r="B730" s="99" t="s">
        <v>1449</v>
      </c>
      <c r="C730" s="100">
        <v>27245.126285000002</v>
      </c>
    </row>
    <row r="731" spans="1:3">
      <c r="A731" s="99">
        <v>98023</v>
      </c>
      <c r="B731" s="99" t="s">
        <v>1450</v>
      </c>
      <c r="C731" s="100">
        <v>7199.7799999999979</v>
      </c>
    </row>
    <row r="732" spans="1:3">
      <c r="A732" s="99">
        <v>98031</v>
      </c>
      <c r="B732" s="99" t="s">
        <v>1451</v>
      </c>
      <c r="C732" s="100">
        <v>74400.470067999995</v>
      </c>
    </row>
    <row r="733" spans="1:3">
      <c r="A733" s="99">
        <v>98041</v>
      </c>
      <c r="B733" s="99" t="s">
        <v>1452</v>
      </c>
      <c r="C733" s="100">
        <v>95602.720112999988</v>
      </c>
    </row>
    <row r="734" spans="1:3">
      <c r="A734" s="99">
        <v>98051</v>
      </c>
      <c r="B734" s="99" t="s">
        <v>1453</v>
      </c>
      <c r="C734" s="100">
        <v>141617.46240799999</v>
      </c>
    </row>
    <row r="735" spans="1:3">
      <c r="A735" s="99">
        <v>98061</v>
      </c>
      <c r="B735" s="99" t="s">
        <v>1454</v>
      </c>
      <c r="C735" s="100">
        <v>55302.944039000002</v>
      </c>
    </row>
    <row r="736" spans="1:3">
      <c r="A736" s="99">
        <v>98071</v>
      </c>
      <c r="B736" s="99" t="s">
        <v>1455</v>
      </c>
      <c r="C736" s="100">
        <v>30464.183948000002</v>
      </c>
    </row>
    <row r="737" spans="1:3">
      <c r="A737" s="99">
        <v>98081</v>
      </c>
      <c r="B737" s="99" t="s">
        <v>1456</v>
      </c>
      <c r="C737" s="100">
        <v>8013.5100000000011</v>
      </c>
    </row>
    <row r="738" spans="1:3">
      <c r="A738" s="99">
        <v>98091</v>
      </c>
      <c r="B738" s="99" t="s">
        <v>1457</v>
      </c>
      <c r="C738" s="100">
        <v>27903.107450999996</v>
      </c>
    </row>
    <row r="739" spans="1:3">
      <c r="A739" s="99">
        <v>98101</v>
      </c>
      <c r="B739" s="99" t="s">
        <v>1458</v>
      </c>
      <c r="C739" s="100">
        <v>1264504.6722260001</v>
      </c>
    </row>
    <row r="740" spans="1:3">
      <c r="A740" s="99">
        <v>98102</v>
      </c>
      <c r="B740" s="99" t="s">
        <v>1459</v>
      </c>
      <c r="C740" s="100">
        <v>75316.099999999991</v>
      </c>
    </row>
    <row r="741" spans="1:3">
      <c r="A741" s="99">
        <v>98103</v>
      </c>
      <c r="B741" s="99" t="s">
        <v>1460</v>
      </c>
      <c r="C741" s="100">
        <v>250406.86000000002</v>
      </c>
    </row>
    <row r="742" spans="1:3">
      <c r="A742" s="99">
        <v>98107</v>
      </c>
      <c r="B742" s="99" t="s">
        <v>1461</v>
      </c>
      <c r="C742" s="100">
        <v>9422.630000000001</v>
      </c>
    </row>
    <row r="743" spans="1:3">
      <c r="A743" s="99">
        <v>98109</v>
      </c>
      <c r="B743" s="99" t="s">
        <v>1462</v>
      </c>
      <c r="C743" s="100">
        <v>83279.889999999985</v>
      </c>
    </row>
    <row r="744" spans="1:3">
      <c r="A744" s="99">
        <v>98111</v>
      </c>
      <c r="B744" s="99" t="s">
        <v>1463</v>
      </c>
      <c r="C744" s="100">
        <v>454903.80161200004</v>
      </c>
    </row>
    <row r="745" spans="1:3">
      <c r="A745" s="99">
        <v>98113</v>
      </c>
      <c r="B745" s="99" t="s">
        <v>1464</v>
      </c>
      <c r="C745" s="100">
        <v>25001.439999999999</v>
      </c>
    </row>
    <row r="746" spans="1:3">
      <c r="A746" s="99">
        <v>98121</v>
      </c>
      <c r="B746" s="99" t="s">
        <v>1465</v>
      </c>
      <c r="C746" s="100">
        <v>95547.883016000007</v>
      </c>
    </row>
    <row r="747" spans="1:3">
      <c r="A747" s="99">
        <v>98131</v>
      </c>
      <c r="B747" s="99" t="s">
        <v>1466</v>
      </c>
      <c r="C747" s="100">
        <v>119074.043886</v>
      </c>
    </row>
    <row r="748" spans="1:3">
      <c r="A748" s="99">
        <v>98141</v>
      </c>
      <c r="B748" s="99" t="s">
        <v>1467</v>
      </c>
      <c r="C748" s="100">
        <v>135297.05971</v>
      </c>
    </row>
    <row r="749" spans="1:3">
      <c r="A749" s="99">
        <v>98147</v>
      </c>
      <c r="B749" s="99" t="s">
        <v>1468</v>
      </c>
      <c r="C749" s="100">
        <v>10696.96</v>
      </c>
    </row>
    <row r="750" spans="1:3">
      <c r="A750" s="99">
        <v>98161</v>
      </c>
      <c r="B750" s="99" t="s">
        <v>1469</v>
      </c>
      <c r="C750" s="100">
        <v>5373.2200000000012</v>
      </c>
    </row>
    <row r="751" spans="1:3">
      <c r="A751" s="99">
        <v>98201</v>
      </c>
      <c r="B751" s="99" t="s">
        <v>1470</v>
      </c>
      <c r="C751" s="100">
        <v>1507010.8795479999</v>
      </c>
    </row>
    <row r="752" spans="1:3">
      <c r="A752" s="99">
        <v>98205</v>
      </c>
      <c r="B752" s="99" t="s">
        <v>1471</v>
      </c>
      <c r="C752" s="100">
        <v>21656.190000000002</v>
      </c>
    </row>
    <row r="753" spans="1:3">
      <c r="A753" s="99">
        <v>98211</v>
      </c>
      <c r="B753" s="99" t="s">
        <v>1472</v>
      </c>
      <c r="C753" s="100">
        <v>397199.49350499996</v>
      </c>
    </row>
    <row r="754" spans="1:3">
      <c r="A754" s="99">
        <v>98218</v>
      </c>
      <c r="B754" s="99" t="s">
        <v>1473</v>
      </c>
      <c r="C754" s="100">
        <v>8526.1</v>
      </c>
    </row>
    <row r="755" spans="1:3">
      <c r="A755" s="99">
        <v>98221</v>
      </c>
      <c r="B755" s="99" t="s">
        <v>1474</v>
      </c>
      <c r="C755" s="100">
        <v>11112.230000000001</v>
      </c>
    </row>
    <row r="756" spans="1:3">
      <c r="A756" s="99">
        <v>98231</v>
      </c>
      <c r="B756" s="99" t="s">
        <v>1475</v>
      </c>
      <c r="C756" s="100">
        <v>16564.943503000002</v>
      </c>
    </row>
    <row r="757" spans="1:3">
      <c r="A757" s="99">
        <v>98237</v>
      </c>
      <c r="B757" s="99" t="s">
        <v>1476</v>
      </c>
      <c r="C757" s="100">
        <v>3817.7399999999989</v>
      </c>
    </row>
    <row r="758" spans="1:3">
      <c r="A758" s="99">
        <v>98241</v>
      </c>
      <c r="B758" s="99" t="s">
        <v>1477</v>
      </c>
      <c r="C758" s="100">
        <v>7467.9403830000001</v>
      </c>
    </row>
    <row r="759" spans="1:3">
      <c r="A759" s="99">
        <v>98251</v>
      </c>
      <c r="B759" s="99" t="s">
        <v>1478</v>
      </c>
      <c r="C759" s="100">
        <v>2395.2399999999998</v>
      </c>
    </row>
    <row r="760" spans="1:3">
      <c r="A760" s="99">
        <v>98261</v>
      </c>
      <c r="B760" s="99" t="s">
        <v>1479</v>
      </c>
      <c r="C760" s="100">
        <v>19407.86</v>
      </c>
    </row>
    <row r="761" spans="1:3">
      <c r="A761" s="99">
        <v>98271</v>
      </c>
      <c r="B761" s="99" t="s">
        <v>1480</v>
      </c>
      <c r="C761" s="100">
        <v>3923.2000000000003</v>
      </c>
    </row>
    <row r="762" spans="1:3">
      <c r="A762" s="99">
        <v>98301</v>
      </c>
      <c r="B762" s="99" t="s">
        <v>1481</v>
      </c>
      <c r="C762" s="100">
        <v>898600.60064500012</v>
      </c>
    </row>
    <row r="763" spans="1:3">
      <c r="A763" s="99">
        <v>98304</v>
      </c>
      <c r="B763" s="99" t="s">
        <v>1482</v>
      </c>
      <c r="C763" s="100">
        <v>13953.179999999997</v>
      </c>
    </row>
    <row r="764" spans="1:3">
      <c r="A764" s="99">
        <v>98308</v>
      </c>
      <c r="B764" s="99" t="s">
        <v>1483</v>
      </c>
      <c r="C764" s="100">
        <v>16525.679999999997</v>
      </c>
    </row>
    <row r="765" spans="1:3">
      <c r="A765" s="99">
        <v>98311</v>
      </c>
      <c r="B765" s="99" t="s">
        <v>1484</v>
      </c>
      <c r="C765" s="100">
        <v>482185.966518</v>
      </c>
    </row>
    <row r="766" spans="1:3">
      <c r="A766" s="99">
        <v>98313</v>
      </c>
      <c r="B766" s="99" t="s">
        <v>1485</v>
      </c>
      <c r="C766" s="100">
        <v>272640.74</v>
      </c>
    </row>
    <row r="767" spans="1:3">
      <c r="A767" s="99">
        <v>98321</v>
      </c>
      <c r="B767" s="99" t="s">
        <v>1486</v>
      </c>
      <c r="C767" s="100">
        <v>10544.287824000003</v>
      </c>
    </row>
    <row r="768" spans="1:3">
      <c r="A768" s="99">
        <v>98331</v>
      </c>
      <c r="B768" s="99" t="s">
        <v>1487</v>
      </c>
      <c r="C768" s="100">
        <v>6678.170000000001</v>
      </c>
    </row>
    <row r="769" spans="1:3">
      <c r="A769" s="99">
        <v>98401</v>
      </c>
      <c r="B769" s="99" t="s">
        <v>1488</v>
      </c>
      <c r="C769" s="100">
        <v>1479388.468752</v>
      </c>
    </row>
    <row r="770" spans="1:3">
      <c r="A770" s="99">
        <v>98404</v>
      </c>
      <c r="B770" s="99" t="s">
        <v>1489</v>
      </c>
      <c r="C770" s="100">
        <v>8376.9200000000019</v>
      </c>
    </row>
    <row r="771" spans="1:3">
      <c r="A771" s="99">
        <v>98411</v>
      </c>
      <c r="B771" s="99" t="s">
        <v>1490</v>
      </c>
      <c r="C771" s="100">
        <v>907144.48832900007</v>
      </c>
    </row>
    <row r="772" spans="1:3">
      <c r="A772" s="99">
        <v>98414</v>
      </c>
      <c r="B772" s="99" t="s">
        <v>1491</v>
      </c>
      <c r="C772" s="100">
        <v>18061.768465000001</v>
      </c>
    </row>
    <row r="773" spans="1:3">
      <c r="A773" s="99">
        <v>98417</v>
      </c>
      <c r="B773" s="99" t="s">
        <v>1492</v>
      </c>
      <c r="C773" s="100">
        <v>15438.2</v>
      </c>
    </row>
    <row r="774" spans="1:3">
      <c r="A774" s="99">
        <v>98421</v>
      </c>
      <c r="B774" s="99" t="s">
        <v>1493</v>
      </c>
      <c r="C774" s="100">
        <v>50452.712249000004</v>
      </c>
    </row>
    <row r="775" spans="1:3">
      <c r="A775" s="99">
        <v>98427</v>
      </c>
      <c r="B775" s="99" t="s">
        <v>1494</v>
      </c>
      <c r="C775" s="100">
        <v>3303.88</v>
      </c>
    </row>
    <row r="776" spans="1:3">
      <c r="A776" s="99">
        <v>98431</v>
      </c>
      <c r="B776" s="99" t="s">
        <v>1495</v>
      </c>
      <c r="C776" s="100">
        <v>82786.555381000013</v>
      </c>
    </row>
    <row r="777" spans="1:3">
      <c r="A777" s="99">
        <v>98441</v>
      </c>
      <c r="B777" s="99" t="s">
        <v>1496</v>
      </c>
      <c r="C777" s="100">
        <v>44922.586191000002</v>
      </c>
    </row>
    <row r="778" spans="1:3">
      <c r="A778" s="99">
        <v>98451</v>
      </c>
      <c r="B778" s="99" t="s">
        <v>1497</v>
      </c>
      <c r="C778" s="100">
        <v>26696.438054999999</v>
      </c>
    </row>
    <row r="779" spans="1:3">
      <c r="A779" s="99">
        <v>98471</v>
      </c>
      <c r="B779" s="99" t="s">
        <v>1642</v>
      </c>
      <c r="C779" s="100">
        <v>3934.46</v>
      </c>
    </row>
    <row r="780" spans="1:3">
      <c r="A780" s="99">
        <v>98481</v>
      </c>
      <c r="B780" s="99" t="s">
        <v>1498</v>
      </c>
      <c r="C780" s="100">
        <v>30725.660583000001</v>
      </c>
    </row>
    <row r="781" spans="1:3">
      <c r="A781" s="99">
        <v>98501</v>
      </c>
      <c r="B781" s="99" t="s">
        <v>1499</v>
      </c>
      <c r="C781" s="100">
        <v>837926.02255999984</v>
      </c>
    </row>
    <row r="782" spans="1:3">
      <c r="A782" s="99">
        <v>98511</v>
      </c>
      <c r="B782" s="99" t="s">
        <v>1500</v>
      </c>
      <c r="C782" s="100">
        <v>23329.99</v>
      </c>
    </row>
    <row r="783" spans="1:3">
      <c r="A783" s="99">
        <v>98517</v>
      </c>
      <c r="B783" s="99" t="s">
        <v>1501</v>
      </c>
      <c r="C783" s="100">
        <v>3273.8199999999997</v>
      </c>
    </row>
    <row r="784" spans="1:3">
      <c r="A784" s="99">
        <v>98521</v>
      </c>
      <c r="B784" s="99" t="s">
        <v>1502</v>
      </c>
      <c r="C784" s="100">
        <v>295494.87465499999</v>
      </c>
    </row>
    <row r="785" spans="1:3">
      <c r="A785" s="99">
        <v>98601</v>
      </c>
      <c r="B785" s="99" t="s">
        <v>1503</v>
      </c>
      <c r="C785" s="100">
        <v>1634846.488222</v>
      </c>
    </row>
    <row r="786" spans="1:3">
      <c r="A786" s="99">
        <v>98604</v>
      </c>
      <c r="B786" s="99" t="s">
        <v>1504</v>
      </c>
      <c r="C786" s="100">
        <v>7854.38</v>
      </c>
    </row>
    <row r="787" spans="1:3">
      <c r="A787" s="99">
        <v>98607</v>
      </c>
      <c r="B787" s="99" t="s">
        <v>1505</v>
      </c>
      <c r="C787" s="100">
        <v>4218.6099999999997</v>
      </c>
    </row>
    <row r="788" spans="1:3">
      <c r="A788" s="99">
        <v>98608</v>
      </c>
      <c r="B788" s="99" t="s">
        <v>1506</v>
      </c>
      <c r="C788" s="100">
        <v>25288.2</v>
      </c>
    </row>
    <row r="789" spans="1:3">
      <c r="A789" s="99">
        <v>98611</v>
      </c>
      <c r="B789" s="99" t="s">
        <v>1507</v>
      </c>
      <c r="C789" s="100">
        <v>57797.358418000003</v>
      </c>
    </row>
    <row r="790" spans="1:3">
      <c r="A790" s="99">
        <v>98621</v>
      </c>
      <c r="B790" s="99" t="s">
        <v>1508</v>
      </c>
      <c r="C790" s="100">
        <v>62283.899115000007</v>
      </c>
    </row>
    <row r="791" spans="1:3">
      <c r="A791" s="99">
        <v>98627</v>
      </c>
      <c r="B791" s="99" t="s">
        <v>1509</v>
      </c>
      <c r="C791" s="100">
        <v>3575.5699999999993</v>
      </c>
    </row>
    <row r="792" spans="1:3">
      <c r="A792" s="99">
        <v>98631</v>
      </c>
      <c r="B792" s="99" t="s">
        <v>1510</v>
      </c>
      <c r="C792" s="100">
        <v>508131.29309599998</v>
      </c>
    </row>
    <row r="793" spans="1:3">
      <c r="A793" s="99">
        <v>98637</v>
      </c>
      <c r="B793" s="99" t="s">
        <v>1511</v>
      </c>
      <c r="C793" s="100">
        <v>16672.61</v>
      </c>
    </row>
    <row r="794" spans="1:3">
      <c r="A794" s="99">
        <v>98641</v>
      </c>
      <c r="B794" s="99" t="s">
        <v>1512</v>
      </c>
      <c r="C794" s="100">
        <v>148772.99192100001</v>
      </c>
    </row>
    <row r="795" spans="1:3">
      <c r="A795" s="99">
        <v>98701</v>
      </c>
      <c r="B795" s="99" t="s">
        <v>1513</v>
      </c>
      <c r="C795" s="100">
        <v>523932.84547599999</v>
      </c>
    </row>
    <row r="796" spans="1:3">
      <c r="A796" s="99">
        <v>98711</v>
      </c>
      <c r="B796" s="99" t="s">
        <v>1514</v>
      </c>
      <c r="C796" s="100">
        <v>71577.823066000012</v>
      </c>
    </row>
    <row r="797" spans="1:3">
      <c r="A797" s="99">
        <v>98717</v>
      </c>
      <c r="B797" s="99" t="s">
        <v>1515</v>
      </c>
      <c r="C797" s="100">
        <v>8771.7100000000009</v>
      </c>
    </row>
    <row r="798" spans="1:3">
      <c r="A798" s="99">
        <v>98801</v>
      </c>
      <c r="B798" s="99" t="s">
        <v>1516</v>
      </c>
      <c r="C798" s="100">
        <v>1082761.0962100001</v>
      </c>
    </row>
    <row r="799" spans="1:3">
      <c r="A799" s="99">
        <v>98811</v>
      </c>
      <c r="B799" s="99" t="s">
        <v>1517</v>
      </c>
      <c r="C799" s="100">
        <v>335491.14703300002</v>
      </c>
    </row>
    <row r="800" spans="1:3">
      <c r="A800" s="99">
        <v>98817</v>
      </c>
      <c r="B800" s="99" t="s">
        <v>1518</v>
      </c>
      <c r="C800" s="100">
        <v>14010.05</v>
      </c>
    </row>
    <row r="801" spans="1:3">
      <c r="A801" s="99">
        <v>98901</v>
      </c>
      <c r="B801" s="99" t="s">
        <v>1519</v>
      </c>
      <c r="C801" s="100">
        <v>163215.02211299998</v>
      </c>
    </row>
    <row r="802" spans="1:3">
      <c r="A802" s="99">
        <v>98904</v>
      </c>
      <c r="B802" s="99" t="s">
        <v>1520</v>
      </c>
      <c r="C802" s="100">
        <v>1642.5600000000004</v>
      </c>
    </row>
    <row r="803" spans="1:3">
      <c r="A803" s="99">
        <v>98911</v>
      </c>
      <c r="B803" s="99" t="s">
        <v>1521</v>
      </c>
      <c r="C803" s="100">
        <v>20020.239999999998</v>
      </c>
    </row>
    <row r="804" spans="1:3">
      <c r="A804" s="99">
        <v>99001</v>
      </c>
      <c r="B804" s="99" t="s">
        <v>1522</v>
      </c>
      <c r="C804" s="100">
        <v>3958566.494459</v>
      </c>
    </row>
    <row r="805" spans="1:3">
      <c r="A805" s="99">
        <v>99011</v>
      </c>
      <c r="B805" s="99" t="s">
        <v>1523</v>
      </c>
      <c r="C805" s="100">
        <v>1899632.2208419999</v>
      </c>
    </row>
    <row r="806" spans="1:3">
      <c r="A806" s="99">
        <v>99013</v>
      </c>
      <c r="B806" s="99" t="s">
        <v>1524</v>
      </c>
      <c r="C806" s="100">
        <v>28477.32</v>
      </c>
    </row>
    <row r="807" spans="1:3">
      <c r="A807" s="99">
        <v>99014</v>
      </c>
      <c r="B807" s="99" t="s">
        <v>1525</v>
      </c>
      <c r="C807" s="100">
        <v>11820.69</v>
      </c>
    </row>
    <row r="808" spans="1:3">
      <c r="A808" s="99">
        <v>99017</v>
      </c>
      <c r="B808" s="99" t="s">
        <v>1526</v>
      </c>
      <c r="C808" s="100">
        <v>23294.35</v>
      </c>
    </row>
    <row r="809" spans="1:3">
      <c r="A809" s="99">
        <v>99021</v>
      </c>
      <c r="B809" s="99" t="s">
        <v>1527</v>
      </c>
      <c r="C809" s="100">
        <v>66405.295536000005</v>
      </c>
    </row>
    <row r="810" spans="1:3">
      <c r="A810" s="99">
        <v>99022</v>
      </c>
      <c r="B810" s="99" t="s">
        <v>211</v>
      </c>
      <c r="C810" s="100">
        <v>11974.439999999999</v>
      </c>
    </row>
    <row r="811" spans="1:3">
      <c r="A811" s="99">
        <v>99031</v>
      </c>
      <c r="B811" s="99" t="s">
        <v>1528</v>
      </c>
      <c r="C811" s="100">
        <v>59595.821819999997</v>
      </c>
    </row>
    <row r="812" spans="1:3">
      <c r="A812" s="99">
        <v>99041</v>
      </c>
      <c r="B812" s="99" t="s">
        <v>1529</v>
      </c>
      <c r="C812" s="100">
        <v>282617.76438100002</v>
      </c>
    </row>
    <row r="813" spans="1:3">
      <c r="A813" s="99">
        <v>99047</v>
      </c>
      <c r="B813" s="99" t="s">
        <v>1530</v>
      </c>
      <c r="C813" s="100">
        <v>9763.6999999999989</v>
      </c>
    </row>
    <row r="814" spans="1:3">
      <c r="A814" s="99">
        <v>99051</v>
      </c>
      <c r="B814" s="99" t="s">
        <v>1531</v>
      </c>
      <c r="C814" s="100">
        <v>158783.9</v>
      </c>
    </row>
    <row r="815" spans="1:3">
      <c r="A815" s="99">
        <v>99061</v>
      </c>
      <c r="B815" s="99" t="s">
        <v>1532</v>
      </c>
      <c r="C815" s="100">
        <v>8410.9900000000016</v>
      </c>
    </row>
    <row r="816" spans="1:3">
      <c r="A816" s="99">
        <v>99071</v>
      </c>
      <c r="B816" s="99" t="s">
        <v>1533</v>
      </c>
      <c r="C816" s="100">
        <v>13710.689999999999</v>
      </c>
    </row>
    <row r="817" spans="1:3">
      <c r="A817" s="99">
        <v>99081</v>
      </c>
      <c r="B817" s="99" t="s">
        <v>1534</v>
      </c>
      <c r="C817" s="100">
        <v>9239.989999999998</v>
      </c>
    </row>
    <row r="818" spans="1:3">
      <c r="A818" s="99">
        <v>99091</v>
      </c>
      <c r="B818" s="99" t="s">
        <v>1535</v>
      </c>
      <c r="C818" s="100">
        <v>4994.4399999999996</v>
      </c>
    </row>
    <row r="819" spans="1:3">
      <c r="A819" s="99">
        <v>99101</v>
      </c>
      <c r="B819" s="99" t="s">
        <v>1536</v>
      </c>
      <c r="C819" s="100">
        <v>1006565.2704879999</v>
      </c>
    </row>
    <row r="820" spans="1:3">
      <c r="A820" s="99">
        <v>99104</v>
      </c>
      <c r="B820" s="99" t="s">
        <v>1537</v>
      </c>
      <c r="C820" s="100">
        <v>25543.919999999998</v>
      </c>
    </row>
    <row r="821" spans="1:3">
      <c r="A821" s="99">
        <v>99109</v>
      </c>
      <c r="B821" s="99" t="s">
        <v>1538</v>
      </c>
      <c r="C821" s="100">
        <v>58597.740000000005</v>
      </c>
    </row>
    <row r="822" spans="1:3">
      <c r="A822" s="99">
        <v>99110</v>
      </c>
      <c r="B822" s="99" t="s">
        <v>1539</v>
      </c>
      <c r="C822" s="100">
        <v>123992.64999999998</v>
      </c>
    </row>
    <row r="823" spans="1:3">
      <c r="A823" s="99">
        <v>99111</v>
      </c>
      <c r="B823" s="99" t="s">
        <v>1540</v>
      </c>
      <c r="C823" s="100">
        <v>587063.10155899997</v>
      </c>
    </row>
    <row r="824" spans="1:3">
      <c r="A824" s="99">
        <v>99201</v>
      </c>
      <c r="B824" s="99" t="s">
        <v>1541</v>
      </c>
      <c r="C824" s="100">
        <v>16630537.853003003</v>
      </c>
    </row>
    <row r="825" spans="1:3">
      <c r="A825" s="99">
        <v>99202</v>
      </c>
      <c r="B825" s="99" t="s">
        <v>1542</v>
      </c>
      <c r="C825" s="100">
        <v>1207449.7444930002</v>
      </c>
    </row>
    <row r="826" spans="1:3">
      <c r="A826" s="99">
        <v>99203</v>
      </c>
      <c r="B826" s="99" t="s">
        <v>1543</v>
      </c>
      <c r="C826" s="100">
        <v>138128.78276</v>
      </c>
    </row>
    <row r="827" spans="1:3">
      <c r="A827" s="99">
        <v>99204</v>
      </c>
      <c r="B827" s="99" t="s">
        <v>1544</v>
      </c>
      <c r="C827" s="100">
        <v>441547.83713100001</v>
      </c>
    </row>
    <row r="828" spans="1:3">
      <c r="A828" s="99">
        <v>99206</v>
      </c>
      <c r="B828" s="99" t="s">
        <v>1545</v>
      </c>
      <c r="C828" s="100">
        <v>1331612.9225729997</v>
      </c>
    </row>
    <row r="829" spans="1:3">
      <c r="A829" s="99">
        <v>99207</v>
      </c>
      <c r="B829" s="99" t="s">
        <v>1546</v>
      </c>
      <c r="C829" s="100">
        <v>177544.7</v>
      </c>
    </row>
    <row r="830" spans="1:3">
      <c r="A830" s="99">
        <v>99208</v>
      </c>
      <c r="B830" s="99" t="s">
        <v>1547</v>
      </c>
      <c r="C830" s="100">
        <v>97509.21</v>
      </c>
    </row>
    <row r="831" spans="1:3">
      <c r="A831" s="99">
        <v>99210</v>
      </c>
      <c r="B831" s="99" t="s">
        <v>1548</v>
      </c>
      <c r="C831" s="100">
        <v>867924.78000000014</v>
      </c>
    </row>
    <row r="832" spans="1:3">
      <c r="A832" s="99">
        <v>99211</v>
      </c>
      <c r="B832" s="99" t="s">
        <v>1549</v>
      </c>
      <c r="C832" s="100">
        <v>18340588.707863003</v>
      </c>
    </row>
    <row r="833" spans="1:3">
      <c r="A833" s="99">
        <v>99212</v>
      </c>
      <c r="B833" s="99" t="s">
        <v>1550</v>
      </c>
      <c r="C833" s="100">
        <v>32043.030000000002</v>
      </c>
    </row>
    <row r="834" spans="1:3">
      <c r="A834" s="99">
        <v>99213</v>
      </c>
      <c r="B834" s="99" t="s">
        <v>1551</v>
      </c>
      <c r="C834" s="100">
        <v>380592.3</v>
      </c>
    </row>
    <row r="835" spans="1:3">
      <c r="A835" s="99">
        <v>99218</v>
      </c>
      <c r="B835" s="99" t="s">
        <v>1552</v>
      </c>
      <c r="C835" s="100">
        <v>1674667.3670470002</v>
      </c>
    </row>
    <row r="836" spans="1:3">
      <c r="A836" s="99">
        <v>99221</v>
      </c>
      <c r="B836" s="99" t="s">
        <v>1553</v>
      </c>
      <c r="C836" s="100">
        <v>6080354.9568809997</v>
      </c>
    </row>
    <row r="837" spans="1:3">
      <c r="A837" s="99">
        <v>99222</v>
      </c>
      <c r="B837" s="99" t="s">
        <v>1554</v>
      </c>
      <c r="C837" s="100">
        <v>16571.340000000004</v>
      </c>
    </row>
    <row r="838" spans="1:3">
      <c r="A838" s="99">
        <v>99231</v>
      </c>
      <c r="B838" s="99" t="s">
        <v>1555</v>
      </c>
      <c r="C838" s="100">
        <v>170674.69717500001</v>
      </c>
    </row>
    <row r="839" spans="1:3">
      <c r="A839" s="99">
        <v>99241</v>
      </c>
      <c r="B839" s="99" t="s">
        <v>1556</v>
      </c>
      <c r="C839" s="100">
        <v>256913.26326000004</v>
      </c>
    </row>
    <row r="840" spans="1:3">
      <c r="A840" s="99">
        <v>99251</v>
      </c>
      <c r="B840" s="99" t="s">
        <v>1557</v>
      </c>
      <c r="C840" s="100">
        <v>772183.60207700008</v>
      </c>
    </row>
    <row r="841" spans="1:3">
      <c r="A841" s="99">
        <v>99252</v>
      </c>
      <c r="B841" s="99" t="s">
        <v>1558</v>
      </c>
      <c r="C841" s="100">
        <v>237606.74</v>
      </c>
    </row>
    <row r="842" spans="1:3">
      <c r="A842" s="99">
        <v>99261</v>
      </c>
      <c r="B842" s="99" t="s">
        <v>1559</v>
      </c>
      <c r="C842" s="100">
        <v>905361.50458199997</v>
      </c>
    </row>
    <row r="843" spans="1:3">
      <c r="A843" s="99">
        <v>99271</v>
      </c>
      <c r="B843" s="99" t="s">
        <v>1560</v>
      </c>
      <c r="C843" s="100">
        <v>1965196.7309130002</v>
      </c>
    </row>
    <row r="844" spans="1:3">
      <c r="A844" s="99">
        <v>99281</v>
      </c>
      <c r="B844" s="99" t="s">
        <v>1561</v>
      </c>
      <c r="C844" s="100">
        <v>1110975.8299230002</v>
      </c>
    </row>
    <row r="845" spans="1:3">
      <c r="A845" s="99">
        <v>99291</v>
      </c>
      <c r="B845" s="99" t="s">
        <v>1562</v>
      </c>
      <c r="C845" s="100">
        <v>339511.85297300003</v>
      </c>
    </row>
    <row r="846" spans="1:3">
      <c r="A846" s="99">
        <v>99301</v>
      </c>
      <c r="B846" s="99" t="s">
        <v>1563</v>
      </c>
      <c r="C846" s="100">
        <v>823901.36969700002</v>
      </c>
    </row>
    <row r="847" spans="1:3">
      <c r="A847" s="99">
        <v>99304</v>
      </c>
      <c r="B847" s="99" t="s">
        <v>1564</v>
      </c>
      <c r="C847" s="100">
        <v>8236.340000000002</v>
      </c>
    </row>
    <row r="848" spans="1:3">
      <c r="A848" s="99">
        <v>99311</v>
      </c>
      <c r="B848" s="99" t="s">
        <v>1565</v>
      </c>
      <c r="C848" s="100">
        <v>29080.849220999997</v>
      </c>
    </row>
    <row r="849" spans="1:3">
      <c r="A849" s="99">
        <v>99321</v>
      </c>
      <c r="B849" s="99" t="s">
        <v>1566</v>
      </c>
      <c r="C849" s="100">
        <v>95723.904901999995</v>
      </c>
    </row>
    <row r="850" spans="1:3">
      <c r="A850" s="99">
        <v>99401</v>
      </c>
      <c r="B850" s="99" t="s">
        <v>1567</v>
      </c>
      <c r="C850" s="100">
        <v>413423.38850099995</v>
      </c>
    </row>
    <row r="851" spans="1:3">
      <c r="A851" s="99">
        <v>99404</v>
      </c>
      <c r="B851" s="99" t="s">
        <v>1568</v>
      </c>
      <c r="C851" s="100">
        <v>5670.5700000000006</v>
      </c>
    </row>
    <row r="852" spans="1:3">
      <c r="A852" s="99">
        <v>99405</v>
      </c>
      <c r="B852" s="99" t="s">
        <v>1569</v>
      </c>
      <c r="C852" s="100">
        <v>37755.47</v>
      </c>
    </row>
    <row r="853" spans="1:3">
      <c r="A853" s="99">
        <v>99411</v>
      </c>
      <c r="B853" s="99" t="s">
        <v>1570</v>
      </c>
      <c r="C853" s="100">
        <v>87340.425698000006</v>
      </c>
    </row>
    <row r="854" spans="1:3">
      <c r="A854" s="99">
        <v>99413</v>
      </c>
      <c r="B854" s="99" t="s">
        <v>1571</v>
      </c>
      <c r="C854" s="100">
        <v>15517.459999999997</v>
      </c>
    </row>
    <row r="855" spans="1:3">
      <c r="A855" s="99">
        <v>99421</v>
      </c>
      <c r="B855" s="99" t="s">
        <v>1572</v>
      </c>
      <c r="C855" s="100">
        <v>5425.83</v>
      </c>
    </row>
    <row r="856" spans="1:3">
      <c r="A856" s="99">
        <v>99431</v>
      </c>
      <c r="B856" s="99" t="s">
        <v>1573</v>
      </c>
      <c r="C856" s="100">
        <v>8235.1600000000017</v>
      </c>
    </row>
    <row r="857" spans="1:3">
      <c r="A857" s="99">
        <v>99501</v>
      </c>
      <c r="B857" s="99" t="s">
        <v>1574</v>
      </c>
      <c r="C857" s="100">
        <v>860942.16577800014</v>
      </c>
    </row>
    <row r="858" spans="1:3">
      <c r="A858" s="99">
        <v>99502</v>
      </c>
      <c r="B858" s="99" t="s">
        <v>1575</v>
      </c>
      <c r="C858" s="100">
        <v>70621.81</v>
      </c>
    </row>
    <row r="859" spans="1:3">
      <c r="A859" s="99">
        <v>99508</v>
      </c>
      <c r="B859" s="99" t="s">
        <v>1576</v>
      </c>
      <c r="C859" s="100">
        <v>10663.91</v>
      </c>
    </row>
    <row r="860" spans="1:3">
      <c r="A860" s="99">
        <v>99509</v>
      </c>
      <c r="B860" s="99" t="s">
        <v>1577</v>
      </c>
      <c r="C860" s="100">
        <v>12210.75</v>
      </c>
    </row>
    <row r="861" spans="1:3">
      <c r="A861" s="99">
        <v>99511</v>
      </c>
      <c r="B861" s="99" t="s">
        <v>1578</v>
      </c>
      <c r="C861" s="100">
        <v>608442.87239699997</v>
      </c>
    </row>
    <row r="862" spans="1:3">
      <c r="A862" s="99">
        <v>99521</v>
      </c>
      <c r="B862" s="99" t="s">
        <v>1579</v>
      </c>
      <c r="C862" s="100">
        <v>207271.33775300003</v>
      </c>
    </row>
    <row r="863" spans="1:3">
      <c r="A863" s="99">
        <v>99527</v>
      </c>
      <c r="B863" s="99" t="s">
        <v>1580</v>
      </c>
      <c r="C863" s="100">
        <v>6662.9900000000016</v>
      </c>
    </row>
    <row r="864" spans="1:3">
      <c r="A864" s="99">
        <v>99531</v>
      </c>
      <c r="B864" s="99" t="s">
        <v>1581</v>
      </c>
      <c r="C864" s="100">
        <v>76574.203280999995</v>
      </c>
    </row>
    <row r="865" spans="1:3">
      <c r="A865" s="99">
        <v>99601</v>
      </c>
      <c r="B865" s="99" t="s">
        <v>1582</v>
      </c>
      <c r="C865" s="100">
        <v>2762866.0642520003</v>
      </c>
    </row>
    <row r="866" spans="1:3">
      <c r="A866" s="99">
        <v>99602</v>
      </c>
      <c r="B866" s="99" t="s">
        <v>1583</v>
      </c>
      <c r="C866" s="100">
        <v>30210.42</v>
      </c>
    </row>
    <row r="867" spans="1:3">
      <c r="A867" s="99">
        <v>99603</v>
      </c>
      <c r="B867" s="99" t="s">
        <v>1584</v>
      </c>
      <c r="C867" s="100">
        <v>95619.120000000024</v>
      </c>
    </row>
    <row r="868" spans="1:3">
      <c r="A868" s="99">
        <v>99604</v>
      </c>
      <c r="B868" s="99" t="s">
        <v>1585</v>
      </c>
      <c r="C868" s="100">
        <v>60989.76599</v>
      </c>
    </row>
    <row r="869" spans="1:3">
      <c r="A869" s="99">
        <v>99609</v>
      </c>
      <c r="B869" s="99" t="s">
        <v>1586</v>
      </c>
      <c r="C869" s="100">
        <v>10625.980000000001</v>
      </c>
    </row>
    <row r="870" spans="1:3">
      <c r="A870" s="99">
        <v>99610</v>
      </c>
      <c r="B870" s="99" t="s">
        <v>1587</v>
      </c>
      <c r="C870" s="100">
        <v>91548.229999999981</v>
      </c>
    </row>
    <row r="871" spans="1:3">
      <c r="A871" s="99">
        <v>99611</v>
      </c>
      <c r="B871" s="99" t="s">
        <v>1588</v>
      </c>
      <c r="C871" s="100">
        <v>1569191.0500429999</v>
      </c>
    </row>
    <row r="872" spans="1:3">
      <c r="A872" s="99">
        <v>99613</v>
      </c>
      <c r="B872" s="99" t="s">
        <v>1589</v>
      </c>
      <c r="C872" s="100">
        <v>343923.36</v>
      </c>
    </row>
    <row r="873" spans="1:3">
      <c r="A873" s="99">
        <v>99621</v>
      </c>
      <c r="B873" s="99" t="s">
        <v>1590</v>
      </c>
      <c r="C873" s="100">
        <v>177823.09483700001</v>
      </c>
    </row>
    <row r="874" spans="1:3">
      <c r="A874" s="99">
        <v>99623</v>
      </c>
      <c r="B874" s="99" t="s">
        <v>1591</v>
      </c>
      <c r="C874" s="100">
        <v>9487.02</v>
      </c>
    </row>
    <row r="875" spans="1:3">
      <c r="A875" s="99">
        <v>99631</v>
      </c>
      <c r="B875" s="99" t="s">
        <v>1592</v>
      </c>
      <c r="C875" s="100">
        <v>51697.480938000008</v>
      </c>
    </row>
    <row r="876" spans="1:3">
      <c r="A876" s="99">
        <v>99651</v>
      </c>
      <c r="B876" s="99" t="s">
        <v>1593</v>
      </c>
      <c r="C876" s="100">
        <v>29238.939019000005</v>
      </c>
    </row>
    <row r="877" spans="1:3">
      <c r="A877" s="99">
        <v>99661</v>
      </c>
      <c r="B877" s="99" t="s">
        <v>1594</v>
      </c>
      <c r="C877" s="100">
        <v>43148.812318999997</v>
      </c>
    </row>
    <row r="878" spans="1:3">
      <c r="A878" s="99">
        <v>99701</v>
      </c>
      <c r="B878" s="99" t="s">
        <v>1595</v>
      </c>
      <c r="C878" s="100">
        <v>1391279.4990909998</v>
      </c>
    </row>
    <row r="879" spans="1:3">
      <c r="A879" s="99">
        <v>99705</v>
      </c>
      <c r="B879" s="99" t="s">
        <v>1596</v>
      </c>
      <c r="C879" s="100">
        <v>93269.37999999999</v>
      </c>
    </row>
    <row r="880" spans="1:3">
      <c r="A880" s="99">
        <v>99711</v>
      </c>
      <c r="B880" s="99" t="s">
        <v>1597</v>
      </c>
      <c r="C880" s="100">
        <v>225681.88054700001</v>
      </c>
    </row>
    <row r="881" spans="1:3">
      <c r="A881" s="99">
        <v>99717</v>
      </c>
      <c r="B881" s="99" t="s">
        <v>1598</v>
      </c>
      <c r="C881" s="100">
        <v>8973.93</v>
      </c>
    </row>
    <row r="882" spans="1:3">
      <c r="A882" s="99">
        <v>99721</v>
      </c>
      <c r="B882" s="99" t="s">
        <v>1599</v>
      </c>
      <c r="C882" s="100">
        <v>270994.72852900001</v>
      </c>
    </row>
    <row r="883" spans="1:3">
      <c r="A883" s="99">
        <v>99727</v>
      </c>
      <c r="B883" s="99" t="s">
        <v>1600</v>
      </c>
      <c r="C883" s="100">
        <v>49308.209999999992</v>
      </c>
    </row>
    <row r="884" spans="1:3">
      <c r="A884" s="99">
        <v>99801</v>
      </c>
      <c r="B884" s="99" t="s">
        <v>1601</v>
      </c>
      <c r="C884" s="100">
        <v>2325185.9260170003</v>
      </c>
    </row>
    <row r="885" spans="1:3">
      <c r="A885" s="99">
        <v>99802</v>
      </c>
      <c r="B885" s="99" t="s">
        <v>1602</v>
      </c>
      <c r="C885" s="100">
        <v>6755.72</v>
      </c>
    </row>
    <row r="886" spans="1:3">
      <c r="A886" s="99">
        <v>99804</v>
      </c>
      <c r="B886" s="99" t="s">
        <v>1603</v>
      </c>
      <c r="C886" s="100">
        <v>47970.469999999994</v>
      </c>
    </row>
    <row r="887" spans="1:3">
      <c r="A887" s="99">
        <v>99811</v>
      </c>
      <c r="B887" s="99" t="s">
        <v>1604</v>
      </c>
      <c r="C887" s="100">
        <v>3068778.4669929994</v>
      </c>
    </row>
    <row r="888" spans="1:3">
      <c r="A888" s="99">
        <v>99812</v>
      </c>
      <c r="B888" s="99" t="s">
        <v>1605</v>
      </c>
      <c r="C888" s="100">
        <v>21421.979999999992</v>
      </c>
    </row>
    <row r="889" spans="1:3">
      <c r="A889" s="99">
        <v>99818</v>
      </c>
      <c r="B889" s="99" t="s">
        <v>1606</v>
      </c>
      <c r="C889" s="100">
        <v>13445.47</v>
      </c>
    </row>
    <row r="890" spans="1:3">
      <c r="A890" s="99">
        <v>99821</v>
      </c>
      <c r="B890" s="99" t="s">
        <v>1607</v>
      </c>
      <c r="C890" s="100">
        <v>50520.730636000008</v>
      </c>
    </row>
    <row r="891" spans="1:3">
      <c r="A891" s="99">
        <v>99831</v>
      </c>
      <c r="B891" s="99" t="s">
        <v>1608</v>
      </c>
      <c r="C891" s="100">
        <v>27477.871489000001</v>
      </c>
    </row>
    <row r="892" spans="1:3">
      <c r="A892" s="99">
        <v>99841</v>
      </c>
      <c r="B892" s="99" t="s">
        <v>1609</v>
      </c>
      <c r="C892" s="100">
        <v>17368.88</v>
      </c>
    </row>
    <row r="893" spans="1:3">
      <c r="A893" s="99">
        <v>99851</v>
      </c>
      <c r="B893" s="99" t="s">
        <v>1610</v>
      </c>
      <c r="C893" s="100">
        <v>8025.38</v>
      </c>
    </row>
    <row r="894" spans="1:3">
      <c r="A894" s="99">
        <v>99901</v>
      </c>
      <c r="B894" s="99" t="s">
        <v>1611</v>
      </c>
      <c r="C894" s="100">
        <v>758558.04820900003</v>
      </c>
    </row>
    <row r="895" spans="1:3">
      <c r="A895" s="99">
        <v>99911</v>
      </c>
      <c r="B895" s="99" t="s">
        <v>1612</v>
      </c>
      <c r="C895" s="100">
        <v>126859.94261799997</v>
      </c>
    </row>
    <row r="896" spans="1:3">
      <c r="A896" s="99">
        <v>99921</v>
      </c>
      <c r="B896" s="99" t="s">
        <v>1613</v>
      </c>
      <c r="C896" s="100">
        <v>60518.37122500001</v>
      </c>
    </row>
    <row r="897" spans="1:4">
      <c r="A897" s="99">
        <v>99931</v>
      </c>
      <c r="B897" s="99" t="s">
        <v>1614</v>
      </c>
      <c r="C897" s="100">
        <v>9991.6402880000005</v>
      </c>
    </row>
    <row r="898" spans="1:4">
      <c r="A898" s="99">
        <v>99941</v>
      </c>
      <c r="B898" s="99" t="s">
        <v>1615</v>
      </c>
      <c r="C898" s="100">
        <v>34874.077293000002</v>
      </c>
    </row>
    <row r="899" spans="1:4">
      <c r="A899" s="99">
        <v>99991</v>
      </c>
      <c r="B899" s="99" t="s">
        <v>1616</v>
      </c>
      <c r="C899" s="241">
        <v>256527.41</v>
      </c>
    </row>
    <row r="900" spans="1:4">
      <c r="A900" s="99">
        <v>99999</v>
      </c>
      <c r="B900" s="99" t="s">
        <v>1617</v>
      </c>
      <c r="C900" s="100">
        <v>529104.24</v>
      </c>
    </row>
    <row r="901" spans="1:4">
      <c r="A901" s="225"/>
      <c r="B901" s="225"/>
      <c r="D901" s="225"/>
    </row>
    <row r="902" spans="1:4">
      <c r="A902" s="225"/>
      <c r="B902" s="225"/>
      <c r="D902" s="225"/>
    </row>
    <row r="903" spans="1:4">
      <c r="A903" s="225"/>
      <c r="B903" s="225"/>
      <c r="D903" s="225"/>
    </row>
    <row r="904" spans="1:4">
      <c r="A904" s="225"/>
      <c r="B904" s="225"/>
      <c r="D904" s="225"/>
    </row>
    <row r="905" spans="1:4">
      <c r="A905" s="225"/>
      <c r="B905" s="225"/>
      <c r="D905" s="225"/>
    </row>
    <row r="906" spans="1:4">
      <c r="A906" s="225"/>
      <c r="B906" s="225"/>
      <c r="D906" s="225"/>
    </row>
    <row r="907" spans="1:4">
      <c r="A907" s="225"/>
      <c r="B907" s="225"/>
      <c r="D907" s="225"/>
    </row>
    <row r="908" spans="1:4">
      <c r="A908" s="225"/>
      <c r="B908" s="225"/>
      <c r="D908" s="225"/>
    </row>
    <row r="909" spans="1:4">
      <c r="A909" s="225"/>
      <c r="B909" s="225"/>
      <c r="D909" s="225"/>
    </row>
    <row r="910" spans="1:4">
      <c r="A910" s="225"/>
      <c r="B910" s="225"/>
      <c r="D910" s="225"/>
    </row>
    <row r="912" spans="1:4">
      <c r="A912" s="99" t="s">
        <v>3508</v>
      </c>
    </row>
    <row r="913" spans="1:3">
      <c r="A913" s="99">
        <v>91119</v>
      </c>
      <c r="B913" s="99" t="s">
        <v>48</v>
      </c>
      <c r="C913" s="100">
        <v>0</v>
      </c>
    </row>
    <row r="914" spans="1:3">
      <c r="A914" s="99">
        <v>92414</v>
      </c>
      <c r="B914" s="99" t="s">
        <v>2060</v>
      </c>
      <c r="C914" s="100">
        <v>0</v>
      </c>
    </row>
    <row r="915" spans="1:3">
      <c r="A915" s="99">
        <v>92608</v>
      </c>
      <c r="B915" s="99" t="s">
        <v>972</v>
      </c>
      <c r="C915" s="100">
        <v>0</v>
      </c>
    </row>
    <row r="916" spans="1:3">
      <c r="A916" s="99">
        <v>93408</v>
      </c>
      <c r="B916" s="225" t="s">
        <v>1043</v>
      </c>
      <c r="C916" s="100">
        <v>0</v>
      </c>
    </row>
    <row r="917" spans="1:3">
      <c r="A917" s="225">
        <v>94402</v>
      </c>
      <c r="B917" s="225" t="s">
        <v>1139</v>
      </c>
      <c r="C917" s="100">
        <v>0</v>
      </c>
    </row>
    <row r="918" spans="1:3">
      <c r="A918" s="225">
        <v>95412</v>
      </c>
      <c r="B918" s="225" t="s">
        <v>1220</v>
      </c>
      <c r="C918" s="100">
        <v>0</v>
      </c>
    </row>
    <row r="919" spans="1:3">
      <c r="A919" s="225">
        <v>93202</v>
      </c>
      <c r="B919" s="225" t="s">
        <v>1022</v>
      </c>
      <c r="C919" s="100">
        <v>0</v>
      </c>
    </row>
    <row r="920" spans="1:3">
      <c r="A920" s="225">
        <v>93677</v>
      </c>
      <c r="B920" s="225" t="s">
        <v>98</v>
      </c>
      <c r="C920" s="100">
        <v>0</v>
      </c>
    </row>
    <row r="921" spans="1:3">
      <c r="A921" s="225">
        <v>94512</v>
      </c>
      <c r="B921" s="225" t="s">
        <v>1151</v>
      </c>
      <c r="C921" s="100">
        <v>0</v>
      </c>
    </row>
    <row r="922" spans="1:3">
      <c r="A922" s="225">
        <v>97010</v>
      </c>
      <c r="B922" s="225" t="s">
        <v>1351</v>
      </c>
      <c r="C922" s="100">
        <v>0</v>
      </c>
    </row>
    <row r="923" spans="1:3">
      <c r="A923" s="225">
        <v>97491</v>
      </c>
      <c r="B923" s="225" t="s">
        <v>3506</v>
      </c>
    </row>
    <row r="2350" spans="1:1">
      <c r="A2350" s="10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45AC-DF22-4DA1-9327-84D086382A7A}">
  <dimension ref="A1:D2339"/>
  <sheetViews>
    <sheetView workbookViewId="0"/>
  </sheetViews>
  <sheetFormatPr defaultRowHeight="15"/>
  <cols>
    <col min="1" max="1" width="12.140625" style="225" bestFit="1" customWidth="1"/>
    <col min="2" max="2" width="55.5703125" style="225" bestFit="1" customWidth="1"/>
    <col min="3" max="3" width="27" style="100" bestFit="1" customWidth="1"/>
    <col min="4" max="4" width="9.140625" style="225"/>
  </cols>
  <sheetData>
    <row r="1" spans="1:4" ht="15.75" thickBot="1">
      <c r="A1" s="225" t="s">
        <v>3502</v>
      </c>
      <c r="C1" s="263">
        <f>SUM(C4:C897)</f>
        <v>459089443.14000028</v>
      </c>
    </row>
    <row r="2" spans="1:4" ht="15.75" thickTop="1">
      <c r="A2" s="97" t="s">
        <v>1637</v>
      </c>
      <c r="B2" s="97" t="s">
        <v>1638</v>
      </c>
      <c r="C2" s="98" t="s">
        <v>3501</v>
      </c>
      <c r="D2" s="225" t="s">
        <v>1639</v>
      </c>
    </row>
    <row r="3" spans="1:4">
      <c r="A3" s="104" t="s">
        <v>692</v>
      </c>
      <c r="B3" s="103" t="s">
        <v>691</v>
      </c>
      <c r="C3" s="102">
        <v>0</v>
      </c>
    </row>
    <row r="4" spans="1:4">
      <c r="A4" s="225">
        <v>70505</v>
      </c>
      <c r="B4" s="225" t="s">
        <v>727</v>
      </c>
      <c r="C4" s="100">
        <v>195765.21000000002</v>
      </c>
    </row>
    <row r="5" spans="1:4">
      <c r="A5" s="225">
        <v>71786</v>
      </c>
      <c r="B5" s="225" t="s">
        <v>1491</v>
      </c>
      <c r="C5" s="100">
        <v>7060.1</v>
      </c>
    </row>
    <row r="6" spans="1:4">
      <c r="A6" s="225">
        <v>72265</v>
      </c>
      <c r="B6" s="225" t="s">
        <v>728</v>
      </c>
      <c r="C6" s="100">
        <v>61817.369999999995</v>
      </c>
    </row>
    <row r="7" spans="1:4">
      <c r="A7" s="225">
        <v>72593</v>
      </c>
      <c r="B7" s="225" t="s">
        <v>729</v>
      </c>
      <c r="C7" s="100">
        <v>1530.78</v>
      </c>
    </row>
    <row r="8" spans="1:4">
      <c r="A8" s="225">
        <v>72657</v>
      </c>
      <c r="B8" s="225" t="s">
        <v>730</v>
      </c>
      <c r="C8" s="100">
        <v>16620.140000000003</v>
      </c>
    </row>
    <row r="9" spans="1:4">
      <c r="A9" s="225">
        <v>90001</v>
      </c>
      <c r="B9" s="225" t="s">
        <v>731</v>
      </c>
      <c r="C9" s="100">
        <v>386652.24000000005</v>
      </c>
    </row>
    <row r="10" spans="1:4">
      <c r="A10" s="225">
        <v>90002</v>
      </c>
      <c r="B10" s="225" t="s">
        <v>732</v>
      </c>
      <c r="C10" s="100">
        <v>6252.5200000000013</v>
      </c>
    </row>
    <row r="11" spans="1:4">
      <c r="A11" s="225">
        <v>90011</v>
      </c>
      <c r="B11" s="225" t="s">
        <v>733</v>
      </c>
      <c r="C11" s="100">
        <v>84204.77</v>
      </c>
    </row>
    <row r="12" spans="1:4">
      <c r="A12" s="225">
        <v>90092</v>
      </c>
      <c r="B12" s="225" t="s">
        <v>734</v>
      </c>
      <c r="C12" s="100">
        <v>186641.43</v>
      </c>
    </row>
    <row r="13" spans="1:4">
      <c r="A13" s="225">
        <v>90096</v>
      </c>
      <c r="B13" s="225" t="s">
        <v>735</v>
      </c>
      <c r="C13" s="100">
        <v>535126.60000000009</v>
      </c>
    </row>
    <row r="14" spans="1:4">
      <c r="A14" s="225">
        <v>90098</v>
      </c>
      <c r="B14" s="225" t="s">
        <v>736</v>
      </c>
      <c r="C14" s="100">
        <v>140183.54999999999</v>
      </c>
    </row>
    <row r="15" spans="1:4">
      <c r="A15" s="225">
        <v>90099</v>
      </c>
      <c r="B15" s="225" t="s">
        <v>737</v>
      </c>
      <c r="C15" s="100">
        <v>271208.03000000003</v>
      </c>
    </row>
    <row r="16" spans="1:4">
      <c r="A16" s="225">
        <v>90101</v>
      </c>
      <c r="B16" s="225" t="s">
        <v>738</v>
      </c>
      <c r="C16" s="100">
        <v>2960721.15</v>
      </c>
    </row>
    <row r="17" spans="1:3">
      <c r="A17" s="225">
        <v>90111</v>
      </c>
      <c r="B17" s="225" t="s">
        <v>739</v>
      </c>
      <c r="C17" s="100">
        <v>2229765.8200000003</v>
      </c>
    </row>
    <row r="18" spans="1:3">
      <c r="A18" s="225">
        <v>90114</v>
      </c>
      <c r="B18" s="225" t="s">
        <v>740</v>
      </c>
      <c r="C18" s="100">
        <v>1108463.6299999999</v>
      </c>
    </row>
    <row r="19" spans="1:3">
      <c r="A19" s="225">
        <v>90117</v>
      </c>
      <c r="B19" s="225" t="s">
        <v>741</v>
      </c>
      <c r="C19" s="100">
        <v>80146.720000000001</v>
      </c>
    </row>
    <row r="20" spans="1:3">
      <c r="A20" s="225">
        <v>90121</v>
      </c>
      <c r="B20" s="225" t="s">
        <v>742</v>
      </c>
      <c r="C20" s="100">
        <v>452142.02</v>
      </c>
    </row>
    <row r="21" spans="1:3">
      <c r="A21" s="225">
        <v>90131</v>
      </c>
      <c r="B21" s="225" t="s">
        <v>743</v>
      </c>
      <c r="C21" s="100">
        <v>207243.40000000002</v>
      </c>
    </row>
    <row r="22" spans="1:3">
      <c r="A22" s="225">
        <v>90141</v>
      </c>
      <c r="B22" s="225" t="s">
        <v>744</v>
      </c>
      <c r="C22" s="100">
        <v>62654.990000000005</v>
      </c>
    </row>
    <row r="23" spans="1:3">
      <c r="A23" s="225">
        <v>90151</v>
      </c>
      <c r="B23" s="225" t="s">
        <v>745</v>
      </c>
      <c r="C23" s="100">
        <v>3085.3200000000011</v>
      </c>
    </row>
    <row r="24" spans="1:3">
      <c r="A24" s="225">
        <v>90161</v>
      </c>
      <c r="B24" s="225" t="s">
        <v>746</v>
      </c>
      <c r="C24" s="100">
        <v>15626.57</v>
      </c>
    </row>
    <row r="25" spans="1:3">
      <c r="A25" s="225">
        <v>90201</v>
      </c>
      <c r="B25" s="225" t="s">
        <v>747</v>
      </c>
      <c r="C25" s="100">
        <v>536124.22</v>
      </c>
    </row>
    <row r="26" spans="1:3">
      <c r="A26" s="225">
        <v>90203</v>
      </c>
      <c r="B26" s="225" t="s">
        <v>748</v>
      </c>
      <c r="C26" s="100">
        <v>91056.15</v>
      </c>
    </row>
    <row r="27" spans="1:3">
      <c r="A27" s="225">
        <v>90205</v>
      </c>
      <c r="B27" s="225" t="s">
        <v>749</v>
      </c>
      <c r="C27" s="100">
        <v>14232.99</v>
      </c>
    </row>
    <row r="28" spans="1:3">
      <c r="A28" s="225">
        <v>90206</v>
      </c>
      <c r="B28" s="225" t="s">
        <v>750</v>
      </c>
      <c r="C28" s="100">
        <v>184249.21999999997</v>
      </c>
    </row>
    <row r="29" spans="1:3">
      <c r="A29" s="225">
        <v>90211</v>
      </c>
      <c r="B29" s="225" t="s">
        <v>751</v>
      </c>
      <c r="C29" s="100">
        <v>71260.37</v>
      </c>
    </row>
    <row r="30" spans="1:3">
      <c r="A30" s="225">
        <v>90301</v>
      </c>
      <c r="B30" s="225" t="s">
        <v>752</v>
      </c>
      <c r="C30" s="100">
        <v>280575.03000000003</v>
      </c>
    </row>
    <row r="31" spans="1:3">
      <c r="A31" s="225">
        <v>90305</v>
      </c>
      <c r="B31" s="225" t="s">
        <v>753</v>
      </c>
      <c r="C31" s="100">
        <v>85892.08</v>
      </c>
    </row>
    <row r="32" spans="1:3">
      <c r="A32" s="225">
        <v>90307</v>
      </c>
      <c r="B32" s="225" t="s">
        <v>754</v>
      </c>
      <c r="C32" s="100">
        <v>4130.3200000000006</v>
      </c>
    </row>
    <row r="33" spans="1:3">
      <c r="A33" s="225">
        <v>90401</v>
      </c>
      <c r="B33" s="225" t="s">
        <v>755</v>
      </c>
      <c r="C33" s="100">
        <v>624954.77000000014</v>
      </c>
    </row>
    <row r="34" spans="1:3">
      <c r="A34" s="225">
        <v>90411</v>
      </c>
      <c r="B34" s="225" t="s">
        <v>756</v>
      </c>
      <c r="C34" s="100">
        <v>152316.79999999999</v>
      </c>
    </row>
    <row r="35" spans="1:3">
      <c r="A35" s="225">
        <v>90413</v>
      </c>
      <c r="B35" s="225" t="s">
        <v>757</v>
      </c>
      <c r="C35" s="100">
        <v>17002.28</v>
      </c>
    </row>
    <row r="36" spans="1:3">
      <c r="A36" s="225">
        <v>90417</v>
      </c>
      <c r="B36" s="225" t="s">
        <v>758</v>
      </c>
      <c r="C36" s="100">
        <v>8372.39</v>
      </c>
    </row>
    <row r="37" spans="1:3">
      <c r="A37" s="225">
        <v>90421</v>
      </c>
      <c r="B37" s="225" t="s">
        <v>759</v>
      </c>
      <c r="C37" s="100">
        <v>8533.869999999999</v>
      </c>
    </row>
    <row r="38" spans="1:3">
      <c r="A38" s="225">
        <v>90431</v>
      </c>
      <c r="B38" s="225" t="s">
        <v>760</v>
      </c>
      <c r="C38" s="100">
        <v>21843.879999999997</v>
      </c>
    </row>
    <row r="39" spans="1:3">
      <c r="A39" s="225">
        <v>90441</v>
      </c>
      <c r="B39" s="225" t="s">
        <v>761</v>
      </c>
      <c r="C39" s="100">
        <v>4909.9899999999989</v>
      </c>
    </row>
    <row r="40" spans="1:3">
      <c r="A40" s="225">
        <v>90451</v>
      </c>
      <c r="B40" s="225" t="s">
        <v>762</v>
      </c>
      <c r="C40" s="100">
        <v>7776.4400000000014</v>
      </c>
    </row>
    <row r="41" spans="1:3">
      <c r="A41" s="225">
        <v>90461</v>
      </c>
      <c r="B41" s="225" t="s">
        <v>763</v>
      </c>
      <c r="C41" s="100">
        <v>3690.6500000000005</v>
      </c>
    </row>
    <row r="42" spans="1:3">
      <c r="A42" s="225">
        <v>90501</v>
      </c>
      <c r="B42" s="225" t="s">
        <v>764</v>
      </c>
      <c r="C42" s="100">
        <v>670210.41999999993</v>
      </c>
    </row>
    <row r="43" spans="1:3">
      <c r="A43" s="225">
        <v>90507</v>
      </c>
      <c r="B43" s="225" t="s">
        <v>34</v>
      </c>
      <c r="C43" s="100">
        <v>10407.639999999998</v>
      </c>
    </row>
    <row r="44" spans="1:3">
      <c r="A44" s="225">
        <v>90511</v>
      </c>
      <c r="B44" s="225" t="s">
        <v>765</v>
      </c>
      <c r="C44" s="100">
        <v>52403.39</v>
      </c>
    </row>
    <row r="45" spans="1:3">
      <c r="A45" s="225">
        <v>90521</v>
      </c>
      <c r="B45" s="225" t="s">
        <v>766</v>
      </c>
      <c r="C45" s="100">
        <v>56198.41</v>
      </c>
    </row>
    <row r="46" spans="1:3">
      <c r="A46" s="225">
        <v>90601</v>
      </c>
      <c r="B46" s="225" t="s">
        <v>767</v>
      </c>
      <c r="C46" s="100">
        <v>540984.88</v>
      </c>
    </row>
    <row r="47" spans="1:3">
      <c r="A47" s="225">
        <v>90602</v>
      </c>
      <c r="B47" s="225" t="s">
        <v>259</v>
      </c>
      <c r="C47" s="100">
        <v>34827.93</v>
      </c>
    </row>
    <row r="48" spans="1:3">
      <c r="A48" s="225">
        <v>90605</v>
      </c>
      <c r="B48" s="225" t="s">
        <v>768</v>
      </c>
      <c r="C48" s="100">
        <v>25460.899999999998</v>
      </c>
    </row>
    <row r="49" spans="1:3">
      <c r="A49" s="225">
        <v>90611</v>
      </c>
      <c r="B49" s="225" t="s">
        <v>769</v>
      </c>
      <c r="C49" s="100">
        <v>64370.780000000006</v>
      </c>
    </row>
    <row r="50" spans="1:3">
      <c r="A50" s="225">
        <v>90617</v>
      </c>
      <c r="B50" s="225" t="s">
        <v>770</v>
      </c>
      <c r="C50" s="100">
        <v>15820.72</v>
      </c>
    </row>
    <row r="51" spans="1:3">
      <c r="A51" s="225">
        <v>90621</v>
      </c>
      <c r="B51" s="225" t="s">
        <v>771</v>
      </c>
      <c r="C51" s="100">
        <v>27531.68</v>
      </c>
    </row>
    <row r="52" spans="1:3">
      <c r="A52" s="225">
        <v>90631</v>
      </c>
      <c r="B52" s="225" t="s">
        <v>772</v>
      </c>
      <c r="C52" s="100">
        <v>175401.58999999997</v>
      </c>
    </row>
    <row r="53" spans="1:3">
      <c r="A53" s="225">
        <v>90641</v>
      </c>
      <c r="B53" s="225" t="s">
        <v>773</v>
      </c>
      <c r="C53" s="100">
        <v>6943.8999999999987</v>
      </c>
    </row>
    <row r="54" spans="1:3">
      <c r="A54" s="225">
        <v>90651</v>
      </c>
      <c r="B54" s="225" t="s">
        <v>774</v>
      </c>
      <c r="C54" s="100">
        <v>98054.44</v>
      </c>
    </row>
    <row r="55" spans="1:3">
      <c r="A55" s="225">
        <v>90701</v>
      </c>
      <c r="B55" s="225" t="s">
        <v>775</v>
      </c>
      <c r="C55" s="100">
        <v>1110621.1499999994</v>
      </c>
    </row>
    <row r="56" spans="1:3">
      <c r="A56" s="225">
        <v>90704</v>
      </c>
      <c r="B56" s="225" t="s">
        <v>776</v>
      </c>
      <c r="C56" s="100">
        <v>23859.120000000003</v>
      </c>
    </row>
    <row r="57" spans="1:3">
      <c r="A57" s="225">
        <v>90705</v>
      </c>
      <c r="B57" s="225" t="s">
        <v>777</v>
      </c>
      <c r="C57" s="100">
        <v>23099.5</v>
      </c>
    </row>
    <row r="58" spans="1:3">
      <c r="A58" s="225">
        <v>90709</v>
      </c>
      <c r="B58" s="225" t="s">
        <v>778</v>
      </c>
      <c r="C58" s="100">
        <v>61709.799999999996</v>
      </c>
    </row>
    <row r="59" spans="1:3">
      <c r="A59" s="225">
        <v>90711</v>
      </c>
      <c r="B59" s="225" t="s">
        <v>779</v>
      </c>
      <c r="C59" s="100">
        <v>774256.15</v>
      </c>
    </row>
    <row r="60" spans="1:3">
      <c r="A60" s="225">
        <v>90721</v>
      </c>
      <c r="B60" s="225" t="s">
        <v>780</v>
      </c>
      <c r="C60" s="100">
        <v>15288.730000000001</v>
      </c>
    </row>
    <row r="61" spans="1:3">
      <c r="A61" s="225">
        <v>90731</v>
      </c>
      <c r="B61" s="225" t="s">
        <v>781</v>
      </c>
      <c r="C61" s="100">
        <v>79539.97</v>
      </c>
    </row>
    <row r="62" spans="1:3">
      <c r="A62" s="225">
        <v>90741</v>
      </c>
      <c r="B62" s="225" t="s">
        <v>782</v>
      </c>
      <c r="C62" s="100">
        <v>6432.99</v>
      </c>
    </row>
    <row r="63" spans="1:3">
      <c r="A63" s="225">
        <v>90751</v>
      </c>
      <c r="B63" s="225" t="s">
        <v>783</v>
      </c>
      <c r="C63" s="100">
        <v>27590.68</v>
      </c>
    </row>
    <row r="64" spans="1:3">
      <c r="A64" s="225">
        <v>90801</v>
      </c>
      <c r="B64" s="225" t="s">
        <v>784</v>
      </c>
      <c r="C64" s="100">
        <v>521155.69000000006</v>
      </c>
    </row>
    <row r="65" spans="1:3">
      <c r="A65" s="225">
        <v>90804</v>
      </c>
      <c r="B65" s="225" t="s">
        <v>785</v>
      </c>
      <c r="C65" s="100">
        <v>2751.1200000000008</v>
      </c>
    </row>
    <row r="66" spans="1:3">
      <c r="A66" s="225">
        <v>90805</v>
      </c>
      <c r="B66" s="225" t="s">
        <v>786</v>
      </c>
      <c r="C66" s="100">
        <v>35600.44</v>
      </c>
    </row>
    <row r="67" spans="1:3">
      <c r="A67" s="225">
        <v>90808</v>
      </c>
      <c r="B67" s="225" t="s">
        <v>787</v>
      </c>
      <c r="C67" s="100">
        <v>56029.3</v>
      </c>
    </row>
    <row r="68" spans="1:3">
      <c r="A68" s="225">
        <v>90811</v>
      </c>
      <c r="B68" s="225" t="s">
        <v>788</v>
      </c>
      <c r="C68" s="100">
        <v>11655.32</v>
      </c>
    </row>
    <row r="69" spans="1:3">
      <c r="A69" s="225">
        <v>90812</v>
      </c>
      <c r="B69" s="225" t="s">
        <v>789</v>
      </c>
      <c r="C69" s="100">
        <v>105039.99</v>
      </c>
    </row>
    <row r="70" spans="1:3">
      <c r="A70" s="225">
        <v>90813</v>
      </c>
      <c r="B70" s="225" t="s">
        <v>790</v>
      </c>
      <c r="C70" s="100">
        <v>2060.62</v>
      </c>
    </row>
    <row r="71" spans="1:3">
      <c r="A71" s="225">
        <v>90861</v>
      </c>
      <c r="B71" s="225" t="s">
        <v>791</v>
      </c>
      <c r="C71" s="100">
        <v>3702.7200000000007</v>
      </c>
    </row>
    <row r="72" spans="1:3">
      <c r="A72" s="225">
        <v>90901</v>
      </c>
      <c r="B72" s="225" t="s">
        <v>792</v>
      </c>
      <c r="C72" s="100">
        <v>980897.39</v>
      </c>
    </row>
    <row r="73" spans="1:3">
      <c r="A73" s="225">
        <v>90911</v>
      </c>
      <c r="B73" s="225" t="s">
        <v>793</v>
      </c>
      <c r="C73" s="100">
        <v>159535.13999999998</v>
      </c>
    </row>
    <row r="74" spans="1:3">
      <c r="A74" s="225">
        <v>90917</v>
      </c>
      <c r="B74" s="225" t="s">
        <v>794</v>
      </c>
      <c r="C74" s="100">
        <v>5783.6</v>
      </c>
    </row>
    <row r="75" spans="1:3">
      <c r="A75" s="225">
        <v>90918</v>
      </c>
      <c r="B75" s="225" t="s">
        <v>795</v>
      </c>
      <c r="C75" s="100">
        <v>4772.9300000000012</v>
      </c>
    </row>
    <row r="76" spans="1:3">
      <c r="A76" s="225">
        <v>90921</v>
      </c>
      <c r="B76" s="225" t="s">
        <v>796</v>
      </c>
      <c r="C76" s="100">
        <v>59485.69</v>
      </c>
    </row>
    <row r="77" spans="1:3">
      <c r="A77" s="225">
        <v>90931</v>
      </c>
      <c r="B77" s="225" t="s">
        <v>797</v>
      </c>
      <c r="C77" s="100">
        <v>16167.949999999997</v>
      </c>
    </row>
    <row r="78" spans="1:3">
      <c r="A78" s="225">
        <v>90941</v>
      </c>
      <c r="B78" s="225" t="s">
        <v>798</v>
      </c>
      <c r="C78" s="100">
        <v>35454.619999999995</v>
      </c>
    </row>
    <row r="79" spans="1:3">
      <c r="A79" s="225">
        <v>91001</v>
      </c>
      <c r="B79" s="225" t="s">
        <v>799</v>
      </c>
      <c r="C79" s="100">
        <v>2867177.59</v>
      </c>
    </row>
    <row r="80" spans="1:3">
      <c r="A80" s="225">
        <v>91002</v>
      </c>
      <c r="B80" s="225" t="s">
        <v>800</v>
      </c>
      <c r="C80" s="100">
        <v>257314.64999999997</v>
      </c>
    </row>
    <row r="81" spans="1:3">
      <c r="A81" s="225">
        <v>91003</v>
      </c>
      <c r="B81" s="225" t="s">
        <v>801</v>
      </c>
      <c r="C81" s="100">
        <v>268788.57</v>
      </c>
    </row>
    <row r="82" spans="1:3">
      <c r="A82" s="225">
        <v>91004</v>
      </c>
      <c r="B82" s="225" t="s">
        <v>802</v>
      </c>
      <c r="C82" s="100">
        <v>13567.85</v>
      </c>
    </row>
    <row r="83" spans="1:3">
      <c r="A83" s="225">
        <v>91006</v>
      </c>
      <c r="B83" s="225" t="s">
        <v>803</v>
      </c>
      <c r="C83" s="100">
        <v>446629.41</v>
      </c>
    </row>
    <row r="84" spans="1:3">
      <c r="A84" s="225">
        <v>91007</v>
      </c>
      <c r="B84" s="225" t="s">
        <v>804</v>
      </c>
      <c r="C84" s="100">
        <v>9502.15</v>
      </c>
    </row>
    <row r="85" spans="1:3">
      <c r="A85" s="225">
        <v>91008</v>
      </c>
      <c r="B85" s="225" t="s">
        <v>805</v>
      </c>
      <c r="C85" s="100">
        <v>68974.3</v>
      </c>
    </row>
    <row r="86" spans="1:3">
      <c r="A86" s="225">
        <v>91009</v>
      </c>
      <c r="B86" s="225" t="s">
        <v>806</v>
      </c>
      <c r="C86" s="100">
        <v>11391.89</v>
      </c>
    </row>
    <row r="87" spans="1:3">
      <c r="A87" s="225">
        <v>91010</v>
      </c>
      <c r="B87" s="225" t="s">
        <v>807</v>
      </c>
      <c r="C87" s="100">
        <v>32517.29</v>
      </c>
    </row>
    <row r="88" spans="1:3">
      <c r="A88" s="225">
        <v>91011</v>
      </c>
      <c r="B88" s="225" t="s">
        <v>808</v>
      </c>
      <c r="C88" s="100">
        <v>159847.21000000002</v>
      </c>
    </row>
    <row r="89" spans="1:3">
      <c r="A89" s="225">
        <v>91012</v>
      </c>
      <c r="B89" s="225" t="s">
        <v>809</v>
      </c>
      <c r="C89" s="100">
        <v>8622.4599999999991</v>
      </c>
    </row>
    <row r="90" spans="1:3">
      <c r="A90" s="225">
        <v>91013</v>
      </c>
      <c r="B90" s="225" t="s">
        <v>810</v>
      </c>
      <c r="C90" s="100">
        <v>29321.600000000002</v>
      </c>
    </row>
    <row r="91" spans="1:3">
      <c r="A91" s="225">
        <v>91014</v>
      </c>
      <c r="B91" s="225" t="s">
        <v>811</v>
      </c>
      <c r="C91" s="100">
        <v>97691.510000000009</v>
      </c>
    </row>
    <row r="92" spans="1:3">
      <c r="A92" s="225">
        <v>91015</v>
      </c>
      <c r="B92" s="225" t="s">
        <v>1640</v>
      </c>
      <c r="C92" s="100">
        <v>3402</v>
      </c>
    </row>
    <row r="93" spans="1:3">
      <c r="A93" s="225">
        <v>91017</v>
      </c>
      <c r="B93" s="225" t="s">
        <v>812</v>
      </c>
      <c r="C93" s="100">
        <v>12461.869999999999</v>
      </c>
    </row>
    <row r="94" spans="1:3">
      <c r="A94" s="225">
        <v>91020</v>
      </c>
      <c r="B94" s="225" t="s">
        <v>813</v>
      </c>
      <c r="C94" s="100">
        <v>10948.67</v>
      </c>
    </row>
    <row r="95" spans="1:3">
      <c r="A95" s="225">
        <v>91021</v>
      </c>
      <c r="B95" s="225" t="s">
        <v>814</v>
      </c>
      <c r="C95" s="100">
        <v>387781.66</v>
      </c>
    </row>
    <row r="96" spans="1:3">
      <c r="A96" s="225">
        <v>91024</v>
      </c>
      <c r="B96" s="225" t="s">
        <v>815</v>
      </c>
      <c r="C96" s="100">
        <v>34457.870000000003</v>
      </c>
    </row>
    <row r="97" spans="1:3">
      <c r="A97" s="225">
        <v>91026</v>
      </c>
      <c r="B97" s="225" t="s">
        <v>43</v>
      </c>
      <c r="C97" s="100">
        <v>40780.620000000003</v>
      </c>
    </row>
    <row r="98" spans="1:3">
      <c r="A98" s="225">
        <v>91027</v>
      </c>
      <c r="B98" s="225" t="s">
        <v>816</v>
      </c>
      <c r="C98" s="100">
        <v>15968.389999999998</v>
      </c>
    </row>
    <row r="99" spans="1:3">
      <c r="A99" s="225">
        <v>91032</v>
      </c>
      <c r="B99" s="225" t="s">
        <v>817</v>
      </c>
      <c r="C99" s="100">
        <v>16167.770000000002</v>
      </c>
    </row>
    <row r="100" spans="1:3">
      <c r="A100" s="225">
        <v>91041</v>
      </c>
      <c r="B100" s="225" t="s">
        <v>818</v>
      </c>
      <c r="C100" s="100">
        <v>157510.79</v>
      </c>
    </row>
    <row r="101" spans="1:3">
      <c r="A101" s="225">
        <v>91042</v>
      </c>
      <c r="B101" s="225" t="s">
        <v>819</v>
      </c>
      <c r="C101" s="100">
        <v>99550.59</v>
      </c>
    </row>
    <row r="102" spans="1:3">
      <c r="A102" s="225">
        <v>91047</v>
      </c>
      <c r="B102" s="225" t="s">
        <v>820</v>
      </c>
      <c r="C102" s="100">
        <v>16395.95</v>
      </c>
    </row>
    <row r="103" spans="1:3">
      <c r="A103" s="225">
        <v>91051</v>
      </c>
      <c r="B103" s="225" t="s">
        <v>821</v>
      </c>
      <c r="C103" s="100">
        <v>30963.920000000006</v>
      </c>
    </row>
    <row r="104" spans="1:3">
      <c r="A104" s="225">
        <v>91057</v>
      </c>
      <c r="B104" s="225" t="s">
        <v>822</v>
      </c>
      <c r="C104" s="100">
        <v>9616.17</v>
      </c>
    </row>
    <row r="105" spans="1:3">
      <c r="A105" s="225">
        <v>91061</v>
      </c>
      <c r="B105" s="225" t="s">
        <v>823</v>
      </c>
      <c r="C105" s="100">
        <v>172504.15000000002</v>
      </c>
    </row>
    <row r="106" spans="1:3">
      <c r="A106" s="225">
        <v>91067</v>
      </c>
      <c r="B106" s="225" t="s">
        <v>824</v>
      </c>
      <c r="C106" s="100">
        <v>9046.159999999998</v>
      </c>
    </row>
    <row r="107" spans="1:3">
      <c r="A107" s="225">
        <v>91071</v>
      </c>
      <c r="B107" s="225" t="s">
        <v>825</v>
      </c>
      <c r="C107" s="100">
        <v>93244.52</v>
      </c>
    </row>
    <row r="108" spans="1:3">
      <c r="A108" s="225">
        <v>91077</v>
      </c>
      <c r="B108" s="225" t="s">
        <v>826</v>
      </c>
      <c r="C108" s="100">
        <v>3277.2500000000005</v>
      </c>
    </row>
    <row r="109" spans="1:3">
      <c r="A109" s="225">
        <v>91081</v>
      </c>
      <c r="B109" s="225" t="s">
        <v>827</v>
      </c>
      <c r="C109" s="100">
        <v>169111.91999999998</v>
      </c>
    </row>
    <row r="110" spans="1:3">
      <c r="A110" s="225">
        <v>91091</v>
      </c>
      <c r="B110" s="225" t="s">
        <v>828</v>
      </c>
      <c r="C110" s="100">
        <v>225749.38999999998</v>
      </c>
    </row>
    <row r="111" spans="1:3">
      <c r="A111" s="225">
        <v>91101</v>
      </c>
      <c r="B111" s="225" t="s">
        <v>829</v>
      </c>
      <c r="C111" s="100">
        <v>5894550.5700000012</v>
      </c>
    </row>
    <row r="112" spans="1:3">
      <c r="A112" s="225">
        <v>91102</v>
      </c>
      <c r="B112" s="225" t="s">
        <v>830</v>
      </c>
      <c r="C112" s="100">
        <v>156560.34</v>
      </c>
    </row>
    <row r="113" spans="1:3">
      <c r="A113" s="225">
        <v>91104</v>
      </c>
      <c r="B113" s="225" t="s">
        <v>831</v>
      </c>
      <c r="C113" s="100">
        <v>5627.5300000000007</v>
      </c>
    </row>
    <row r="114" spans="1:3">
      <c r="A114" s="225">
        <v>91107</v>
      </c>
      <c r="B114" s="225" t="s">
        <v>832</v>
      </c>
      <c r="C114" s="100">
        <v>36616.22</v>
      </c>
    </row>
    <row r="115" spans="1:3">
      <c r="A115" s="225">
        <v>91108</v>
      </c>
      <c r="B115" s="225" t="s">
        <v>833</v>
      </c>
      <c r="C115" s="100">
        <v>613475.99</v>
      </c>
    </row>
    <row r="116" spans="1:3">
      <c r="A116" s="225">
        <v>91109</v>
      </c>
      <c r="B116" s="225" t="s">
        <v>834</v>
      </c>
      <c r="C116" s="100">
        <v>45066.209999999992</v>
      </c>
    </row>
    <row r="117" spans="1:3">
      <c r="A117" s="225">
        <v>91111</v>
      </c>
      <c r="B117" s="225" t="s">
        <v>835</v>
      </c>
      <c r="C117" s="100">
        <v>110902.83</v>
      </c>
    </row>
    <row r="118" spans="1:3">
      <c r="A118" s="225">
        <v>91120</v>
      </c>
      <c r="B118" s="225" t="s">
        <v>836</v>
      </c>
      <c r="C118" s="100">
        <v>45448.52</v>
      </c>
    </row>
    <row r="119" spans="1:3">
      <c r="A119" s="225">
        <v>91121</v>
      </c>
      <c r="B119" s="225" t="s">
        <v>837</v>
      </c>
      <c r="C119" s="100">
        <v>4272051.3500000006</v>
      </c>
    </row>
    <row r="120" spans="1:3">
      <c r="A120" s="225">
        <v>91127</v>
      </c>
      <c r="B120" s="225" t="s">
        <v>838</v>
      </c>
      <c r="C120" s="100">
        <v>146935.43</v>
      </c>
    </row>
    <row r="121" spans="1:3">
      <c r="A121" s="225">
        <v>91128</v>
      </c>
      <c r="B121" s="225" t="s">
        <v>839</v>
      </c>
      <c r="C121" s="100">
        <v>238305.36999999997</v>
      </c>
    </row>
    <row r="122" spans="1:3">
      <c r="A122" s="225">
        <v>91138</v>
      </c>
      <c r="B122" s="225" t="s">
        <v>840</v>
      </c>
      <c r="C122" s="100">
        <v>220646.32000000004</v>
      </c>
    </row>
    <row r="123" spans="1:3">
      <c r="A123" s="225">
        <v>91141</v>
      </c>
      <c r="B123" s="225" t="s">
        <v>841</v>
      </c>
      <c r="C123" s="100">
        <v>236315.18</v>
      </c>
    </row>
    <row r="124" spans="1:3">
      <c r="A124" s="225">
        <v>91147</v>
      </c>
      <c r="B124" s="225" t="s">
        <v>842</v>
      </c>
      <c r="C124" s="100">
        <v>12125.199999999999</v>
      </c>
    </row>
    <row r="125" spans="1:3">
      <c r="A125" s="225">
        <v>91151</v>
      </c>
      <c r="B125" s="225" t="s">
        <v>843</v>
      </c>
      <c r="C125" s="100">
        <v>254759.84000000003</v>
      </c>
    </row>
    <row r="126" spans="1:3">
      <c r="A126" s="225">
        <v>91154</v>
      </c>
      <c r="B126" s="225" t="s">
        <v>844</v>
      </c>
      <c r="C126" s="100">
        <v>10901.680000000002</v>
      </c>
    </row>
    <row r="127" spans="1:3">
      <c r="A127" s="225">
        <v>91161</v>
      </c>
      <c r="B127" s="225" t="s">
        <v>845</v>
      </c>
      <c r="C127" s="100">
        <v>44456.920000000006</v>
      </c>
    </row>
    <row r="128" spans="1:3">
      <c r="A128" s="225">
        <v>91171</v>
      </c>
      <c r="B128" s="225" t="s">
        <v>846</v>
      </c>
      <c r="C128" s="100">
        <v>93650.89</v>
      </c>
    </row>
    <row r="129" spans="1:3">
      <c r="A129" s="225">
        <v>91201</v>
      </c>
      <c r="B129" s="225" t="s">
        <v>847</v>
      </c>
      <c r="C129" s="100">
        <v>970290.71999999974</v>
      </c>
    </row>
    <row r="130" spans="1:3">
      <c r="A130" s="225">
        <v>91202</v>
      </c>
      <c r="B130" s="225" t="s">
        <v>848</v>
      </c>
      <c r="C130" s="100">
        <v>96478.459999999992</v>
      </c>
    </row>
    <row r="131" spans="1:3">
      <c r="A131" s="225">
        <v>91203</v>
      </c>
      <c r="B131" s="225" t="s">
        <v>849</v>
      </c>
      <c r="C131" s="100">
        <v>127249.16000000002</v>
      </c>
    </row>
    <row r="132" spans="1:3">
      <c r="A132" s="225">
        <v>91206</v>
      </c>
      <c r="B132" s="225" t="s">
        <v>850</v>
      </c>
      <c r="C132" s="100">
        <v>388200.35</v>
      </c>
    </row>
    <row r="133" spans="1:3">
      <c r="A133" s="225">
        <v>91208</v>
      </c>
      <c r="B133" s="225" t="s">
        <v>851</v>
      </c>
      <c r="C133" s="100">
        <v>6397.7599999999993</v>
      </c>
    </row>
    <row r="134" spans="1:3">
      <c r="A134" s="225">
        <v>91211</v>
      </c>
      <c r="B134" s="225" t="s">
        <v>852</v>
      </c>
      <c r="C134" s="100">
        <v>223513.02000000002</v>
      </c>
    </row>
    <row r="135" spans="1:3">
      <c r="A135" s="225">
        <v>91213</v>
      </c>
      <c r="B135" s="225" t="s">
        <v>853</v>
      </c>
      <c r="C135" s="100">
        <v>12090.400000000001</v>
      </c>
    </row>
    <row r="136" spans="1:3">
      <c r="A136" s="225">
        <v>91214</v>
      </c>
      <c r="B136" s="225" t="s">
        <v>854</v>
      </c>
      <c r="C136" s="100">
        <v>9668.68</v>
      </c>
    </row>
    <row r="137" spans="1:3">
      <c r="A137" s="225">
        <v>91217</v>
      </c>
      <c r="B137" s="225" t="s">
        <v>855</v>
      </c>
      <c r="C137" s="100">
        <v>14934.26</v>
      </c>
    </row>
    <row r="138" spans="1:3">
      <c r="A138" s="225">
        <v>91221</v>
      </c>
      <c r="B138" s="225" t="s">
        <v>856</v>
      </c>
      <c r="C138" s="100">
        <v>59449.12999999999</v>
      </c>
    </row>
    <row r="139" spans="1:3">
      <c r="A139" s="225">
        <v>91231</v>
      </c>
      <c r="B139" s="225" t="s">
        <v>857</v>
      </c>
      <c r="C139" s="100">
        <v>867955.41</v>
      </c>
    </row>
    <row r="140" spans="1:3">
      <c r="A140" s="225">
        <v>91233</v>
      </c>
      <c r="B140" s="225" t="s">
        <v>858</v>
      </c>
      <c r="C140" s="100">
        <v>21828.269999999997</v>
      </c>
    </row>
    <row r="141" spans="1:3">
      <c r="A141" s="225">
        <v>91241</v>
      </c>
      <c r="B141" s="225" t="s">
        <v>859</v>
      </c>
      <c r="C141" s="100">
        <v>17215.53</v>
      </c>
    </row>
    <row r="142" spans="1:3">
      <c r="A142" s="225">
        <v>91251</v>
      </c>
      <c r="B142" s="225" t="s">
        <v>860</v>
      </c>
      <c r="C142" s="100">
        <v>11338.78</v>
      </c>
    </row>
    <row r="143" spans="1:3">
      <c r="A143" s="225">
        <v>91261</v>
      </c>
      <c r="B143" s="225" t="s">
        <v>861</v>
      </c>
      <c r="C143" s="100">
        <v>4665.82</v>
      </c>
    </row>
    <row r="144" spans="1:3">
      <c r="A144" s="225">
        <v>91301</v>
      </c>
      <c r="B144" s="225" t="s">
        <v>862</v>
      </c>
      <c r="C144" s="100">
        <v>3428603.0299999993</v>
      </c>
    </row>
    <row r="145" spans="1:3">
      <c r="A145" s="225">
        <v>91302</v>
      </c>
      <c r="B145" s="225" t="s">
        <v>863</v>
      </c>
      <c r="C145" s="100">
        <v>259187.16</v>
      </c>
    </row>
    <row r="146" spans="1:3">
      <c r="A146" s="225">
        <v>91306</v>
      </c>
      <c r="B146" s="225" t="s">
        <v>864</v>
      </c>
      <c r="C146" s="100">
        <v>766697.58</v>
      </c>
    </row>
    <row r="147" spans="1:3">
      <c r="A147" s="225">
        <v>91308</v>
      </c>
      <c r="B147" s="225" t="s">
        <v>865</v>
      </c>
      <c r="C147" s="100">
        <v>80232.03</v>
      </c>
    </row>
    <row r="148" spans="1:3">
      <c r="A148" s="225">
        <v>91311</v>
      </c>
      <c r="B148" s="225" t="s">
        <v>866</v>
      </c>
      <c r="C148" s="100">
        <v>3305761.2899999996</v>
      </c>
    </row>
    <row r="149" spans="1:3">
      <c r="A149" s="225">
        <v>91317</v>
      </c>
      <c r="B149" s="225" t="s">
        <v>867</v>
      </c>
      <c r="C149" s="100">
        <v>50865.250000000007</v>
      </c>
    </row>
    <row r="150" spans="1:3">
      <c r="A150" s="225">
        <v>91321</v>
      </c>
      <c r="B150" s="225" t="s">
        <v>868</v>
      </c>
      <c r="C150" s="100">
        <v>37213.020000000004</v>
      </c>
    </row>
    <row r="151" spans="1:3">
      <c r="A151" s="225">
        <v>91327</v>
      </c>
      <c r="B151" s="225" t="s">
        <v>869</v>
      </c>
      <c r="C151" s="100">
        <v>4494.54</v>
      </c>
    </row>
    <row r="152" spans="1:3">
      <c r="A152" s="225">
        <v>91331</v>
      </c>
      <c r="B152" s="225" t="s">
        <v>870</v>
      </c>
      <c r="C152" s="100">
        <v>1190887.2599999998</v>
      </c>
    </row>
    <row r="153" spans="1:3">
      <c r="A153" s="225">
        <v>91341</v>
      </c>
      <c r="B153" s="225" t="s">
        <v>871</v>
      </c>
      <c r="C153" s="100">
        <v>9160.6</v>
      </c>
    </row>
    <row r="154" spans="1:3">
      <c r="A154" s="225">
        <v>91401</v>
      </c>
      <c r="B154" s="225" t="s">
        <v>872</v>
      </c>
      <c r="C154" s="100">
        <v>1559429.54</v>
      </c>
    </row>
    <row r="155" spans="1:3">
      <c r="A155" s="225">
        <v>91411</v>
      </c>
      <c r="B155" s="225" t="s">
        <v>873</v>
      </c>
      <c r="C155" s="100">
        <v>168365.22</v>
      </c>
    </row>
    <row r="156" spans="1:3">
      <c r="A156" s="225">
        <v>91417</v>
      </c>
      <c r="B156" s="225" t="s">
        <v>874</v>
      </c>
      <c r="C156" s="100">
        <v>5288.7199999999993</v>
      </c>
    </row>
    <row r="157" spans="1:3">
      <c r="A157" s="225">
        <v>91421</v>
      </c>
      <c r="B157" s="225" t="s">
        <v>875</v>
      </c>
      <c r="C157" s="100">
        <v>36488.130000000005</v>
      </c>
    </row>
    <row r="158" spans="1:3">
      <c r="A158" s="225">
        <v>91423</v>
      </c>
      <c r="B158" s="225" t="s">
        <v>876</v>
      </c>
      <c r="C158" s="100">
        <v>20619.55</v>
      </c>
    </row>
    <row r="159" spans="1:3">
      <c r="A159" s="225">
        <v>91431</v>
      </c>
      <c r="B159" s="225" t="s">
        <v>877</v>
      </c>
      <c r="C159" s="100">
        <v>80269.81</v>
      </c>
    </row>
    <row r="160" spans="1:3">
      <c r="A160" s="225">
        <v>91441</v>
      </c>
      <c r="B160" s="225" t="s">
        <v>878</v>
      </c>
      <c r="C160" s="100">
        <v>316617.68</v>
      </c>
    </row>
    <row r="161" spans="1:3">
      <c r="A161" s="225">
        <v>91451</v>
      </c>
      <c r="B161" s="225" t="s">
        <v>879</v>
      </c>
      <c r="C161" s="100">
        <v>670223.22</v>
      </c>
    </row>
    <row r="162" spans="1:3">
      <c r="A162" s="225">
        <v>91457</v>
      </c>
      <c r="B162" s="225" t="s">
        <v>880</v>
      </c>
      <c r="C162" s="100">
        <v>30669.55</v>
      </c>
    </row>
    <row r="163" spans="1:3">
      <c r="A163" s="225">
        <v>91461</v>
      </c>
      <c r="B163" s="225" t="s">
        <v>881</v>
      </c>
      <c r="C163" s="100">
        <v>2932.1999999999994</v>
      </c>
    </row>
    <row r="164" spans="1:3">
      <c r="A164" s="225">
        <v>91501</v>
      </c>
      <c r="B164" s="225" t="s">
        <v>882</v>
      </c>
      <c r="C164" s="100">
        <v>231245.95999999996</v>
      </c>
    </row>
    <row r="165" spans="1:3">
      <c r="A165" s="225">
        <v>91504</v>
      </c>
      <c r="B165" s="225" t="s">
        <v>883</v>
      </c>
      <c r="C165" s="100">
        <v>6531.2399999999989</v>
      </c>
    </row>
    <row r="166" spans="1:3">
      <c r="A166" s="225">
        <v>91601</v>
      </c>
      <c r="B166" s="225" t="s">
        <v>884</v>
      </c>
      <c r="C166" s="100">
        <v>1323805.4799999997</v>
      </c>
    </row>
    <row r="167" spans="1:3">
      <c r="A167" s="225">
        <v>91604</v>
      </c>
      <c r="B167" s="225" t="s">
        <v>885</v>
      </c>
      <c r="C167" s="100">
        <v>50507.07</v>
      </c>
    </row>
    <row r="168" spans="1:3">
      <c r="A168" s="225">
        <v>91608</v>
      </c>
      <c r="B168" s="225" t="s">
        <v>886</v>
      </c>
      <c r="C168" s="100">
        <v>45013.06</v>
      </c>
    </row>
    <row r="169" spans="1:3">
      <c r="A169" s="225">
        <v>91611</v>
      </c>
      <c r="B169" s="225" t="s">
        <v>887</v>
      </c>
      <c r="C169" s="100">
        <v>598448.54</v>
      </c>
    </row>
    <row r="170" spans="1:3">
      <c r="A170" s="225">
        <v>91621</v>
      </c>
      <c r="B170" s="225" t="s">
        <v>888</v>
      </c>
      <c r="C170" s="100">
        <v>108513.93999999999</v>
      </c>
    </row>
    <row r="171" spans="1:3">
      <c r="A171" s="225">
        <v>91631</v>
      </c>
      <c r="B171" s="225" t="s">
        <v>889</v>
      </c>
      <c r="C171" s="100">
        <v>219721.63</v>
      </c>
    </row>
    <row r="172" spans="1:3">
      <c r="A172" s="225">
        <v>91633</v>
      </c>
      <c r="B172" s="225" t="s">
        <v>890</v>
      </c>
      <c r="C172" s="100">
        <v>11021.91</v>
      </c>
    </row>
    <row r="173" spans="1:3">
      <c r="A173" s="225">
        <v>91641</v>
      </c>
      <c r="B173" s="225" t="s">
        <v>891</v>
      </c>
      <c r="C173" s="100">
        <v>104378.45</v>
      </c>
    </row>
    <row r="174" spans="1:3">
      <c r="A174" s="225">
        <v>91651</v>
      </c>
      <c r="B174" s="225" t="s">
        <v>892</v>
      </c>
      <c r="C174" s="100">
        <v>205102.34999999998</v>
      </c>
    </row>
    <row r="175" spans="1:3">
      <c r="A175" s="225">
        <v>91661</v>
      </c>
      <c r="B175" s="225" t="s">
        <v>893</v>
      </c>
      <c r="C175" s="100">
        <v>56240.800000000003</v>
      </c>
    </row>
    <row r="176" spans="1:3">
      <c r="A176" s="225">
        <v>91671</v>
      </c>
      <c r="B176" s="225" t="s">
        <v>894</v>
      </c>
      <c r="C176" s="100">
        <v>43651.26</v>
      </c>
    </row>
    <row r="177" spans="1:3">
      <c r="A177" s="225">
        <v>91681</v>
      </c>
      <c r="B177" s="225" t="s">
        <v>895</v>
      </c>
      <c r="C177" s="100">
        <v>387831.85</v>
      </c>
    </row>
    <row r="178" spans="1:3">
      <c r="A178" s="225">
        <v>91691</v>
      </c>
      <c r="B178" s="225" t="s">
        <v>896</v>
      </c>
      <c r="C178" s="100">
        <v>10219.230000000003</v>
      </c>
    </row>
    <row r="179" spans="1:3">
      <c r="A179" s="225">
        <v>91701</v>
      </c>
      <c r="B179" s="225" t="s">
        <v>897</v>
      </c>
      <c r="C179" s="100">
        <v>542905.62</v>
      </c>
    </row>
    <row r="180" spans="1:3">
      <c r="A180" s="225">
        <v>91704</v>
      </c>
      <c r="B180" s="225" t="s">
        <v>898</v>
      </c>
      <c r="C180" s="100">
        <v>7505.7499999999982</v>
      </c>
    </row>
    <row r="181" spans="1:3">
      <c r="A181" s="225">
        <v>91706</v>
      </c>
      <c r="B181" s="225" t="s">
        <v>899</v>
      </c>
      <c r="C181" s="100">
        <v>121962.5</v>
      </c>
    </row>
    <row r="182" spans="1:3">
      <c r="A182" s="225">
        <v>91719</v>
      </c>
      <c r="B182" s="225" t="s">
        <v>900</v>
      </c>
      <c r="C182" s="100">
        <v>19656.21</v>
      </c>
    </row>
    <row r="183" spans="1:3">
      <c r="A183" s="225">
        <v>91801</v>
      </c>
      <c r="B183" s="225" t="s">
        <v>901</v>
      </c>
      <c r="C183" s="100">
        <v>3752769.06</v>
      </c>
    </row>
    <row r="184" spans="1:3">
      <c r="A184" s="225">
        <v>91804</v>
      </c>
      <c r="B184" s="225" t="s">
        <v>902</v>
      </c>
      <c r="C184" s="100">
        <v>95886.299999999988</v>
      </c>
    </row>
    <row r="185" spans="1:3">
      <c r="A185" s="225">
        <v>91811</v>
      </c>
      <c r="B185" s="225" t="s">
        <v>903</v>
      </c>
      <c r="C185" s="100">
        <v>1964157.7199999997</v>
      </c>
    </row>
    <row r="186" spans="1:3">
      <c r="A186" s="225">
        <v>91812</v>
      </c>
      <c r="B186" s="225" t="s">
        <v>904</v>
      </c>
      <c r="C186" s="100">
        <v>26136.170000000006</v>
      </c>
    </row>
    <row r="187" spans="1:3">
      <c r="A187" s="225">
        <v>91813</v>
      </c>
      <c r="B187" s="225" t="s">
        <v>905</v>
      </c>
      <c r="C187" s="100">
        <v>44451.83</v>
      </c>
    </row>
    <row r="188" spans="1:3">
      <c r="A188" s="225">
        <v>91818</v>
      </c>
      <c r="B188" s="225" t="s">
        <v>906</v>
      </c>
      <c r="C188" s="100">
        <v>453408.54</v>
      </c>
    </row>
    <row r="189" spans="1:3">
      <c r="A189" s="225">
        <v>91819</v>
      </c>
      <c r="B189" s="225" t="s">
        <v>907</v>
      </c>
      <c r="C189" s="100">
        <v>138657.20000000001</v>
      </c>
    </row>
    <row r="190" spans="1:3">
      <c r="A190" s="225">
        <v>91821</v>
      </c>
      <c r="B190" s="225" t="s">
        <v>908</v>
      </c>
      <c r="C190" s="100">
        <v>71126.36</v>
      </c>
    </row>
    <row r="191" spans="1:3">
      <c r="A191" s="225">
        <v>91831</v>
      </c>
      <c r="B191" s="225" t="s">
        <v>909</v>
      </c>
      <c r="C191" s="100">
        <v>150177.89000000001</v>
      </c>
    </row>
    <row r="192" spans="1:3">
      <c r="A192" s="225">
        <v>91841</v>
      </c>
      <c r="B192" s="225" t="s">
        <v>910</v>
      </c>
      <c r="C192" s="100">
        <v>126479.15999999997</v>
      </c>
    </row>
    <row r="193" spans="1:3">
      <c r="A193" s="225">
        <v>91851</v>
      </c>
      <c r="B193" s="225" t="s">
        <v>911</v>
      </c>
      <c r="C193" s="100">
        <v>326836.36</v>
      </c>
    </row>
    <row r="194" spans="1:3">
      <c r="A194" s="225">
        <v>91861</v>
      </c>
      <c r="B194" s="225" t="s">
        <v>912</v>
      </c>
      <c r="C194" s="100">
        <v>8022.880000000001</v>
      </c>
    </row>
    <row r="195" spans="1:3">
      <c r="A195" s="225">
        <v>91871</v>
      </c>
      <c r="B195" s="225" t="s">
        <v>913</v>
      </c>
      <c r="C195" s="100">
        <v>588754.54</v>
      </c>
    </row>
    <row r="196" spans="1:3">
      <c r="A196" s="225">
        <v>91881</v>
      </c>
      <c r="B196" s="225" t="s">
        <v>914</v>
      </c>
      <c r="C196" s="100">
        <v>6384.2999999999993</v>
      </c>
    </row>
    <row r="197" spans="1:3">
      <c r="A197" s="225">
        <v>91901</v>
      </c>
      <c r="B197" s="225" t="s">
        <v>915</v>
      </c>
      <c r="C197" s="100">
        <v>1652492.4700000002</v>
      </c>
    </row>
    <row r="198" spans="1:3">
      <c r="A198" s="225">
        <v>91903</v>
      </c>
      <c r="B198" s="225" t="s">
        <v>916</v>
      </c>
      <c r="C198" s="100">
        <v>5738.8700000000008</v>
      </c>
    </row>
    <row r="199" spans="1:3">
      <c r="A199" s="225">
        <v>91904</v>
      </c>
      <c r="B199" s="225" t="s">
        <v>917</v>
      </c>
      <c r="C199" s="100">
        <v>13231.24</v>
      </c>
    </row>
    <row r="200" spans="1:3">
      <c r="A200" s="225">
        <v>91908</v>
      </c>
      <c r="B200" s="225" t="s">
        <v>918</v>
      </c>
      <c r="C200" s="100">
        <v>5210.9399999999996</v>
      </c>
    </row>
    <row r="201" spans="1:3">
      <c r="A201" s="225">
        <v>91911</v>
      </c>
      <c r="B201" s="225" t="s">
        <v>919</v>
      </c>
      <c r="C201" s="100">
        <v>224256.72000000003</v>
      </c>
    </row>
    <row r="202" spans="1:3">
      <c r="A202" s="225">
        <v>91917</v>
      </c>
      <c r="B202" s="225" t="s">
        <v>920</v>
      </c>
      <c r="C202" s="100">
        <v>6386.670000000001</v>
      </c>
    </row>
    <row r="203" spans="1:3">
      <c r="A203" s="225">
        <v>91921</v>
      </c>
      <c r="B203" s="225" t="s">
        <v>921</v>
      </c>
      <c r="C203" s="100">
        <v>160504.93</v>
      </c>
    </row>
    <row r="204" spans="1:3">
      <c r="A204" s="225">
        <v>92001</v>
      </c>
      <c r="B204" s="225" t="s">
        <v>922</v>
      </c>
      <c r="C204" s="100">
        <v>790603.02999999991</v>
      </c>
    </row>
    <row r="205" spans="1:3">
      <c r="A205" s="225">
        <v>92005</v>
      </c>
      <c r="B205" s="225" t="s">
        <v>923</v>
      </c>
      <c r="C205" s="100">
        <v>20947.199999999997</v>
      </c>
    </row>
    <row r="206" spans="1:3">
      <c r="A206" s="225">
        <v>92011</v>
      </c>
      <c r="B206" s="225" t="s">
        <v>924</v>
      </c>
      <c r="C206" s="100">
        <v>90382.9</v>
      </c>
    </row>
    <row r="207" spans="1:3">
      <c r="A207" s="225">
        <v>92017</v>
      </c>
      <c r="B207" s="225" t="s">
        <v>925</v>
      </c>
      <c r="C207" s="100">
        <v>16941.37</v>
      </c>
    </row>
    <row r="208" spans="1:3">
      <c r="A208" s="225">
        <v>92021</v>
      </c>
      <c r="B208" s="225" t="s">
        <v>926</v>
      </c>
      <c r="C208" s="100">
        <v>72634.77</v>
      </c>
    </row>
    <row r="209" spans="1:3">
      <c r="A209" s="225">
        <v>92101</v>
      </c>
      <c r="B209" s="225" t="s">
        <v>927</v>
      </c>
      <c r="C209" s="100">
        <v>368518.74</v>
      </c>
    </row>
    <row r="210" spans="1:3">
      <c r="A210" s="225">
        <v>92104</v>
      </c>
      <c r="B210" s="225" t="s">
        <v>928</v>
      </c>
      <c r="C210" s="100">
        <v>5180.28</v>
      </c>
    </row>
    <row r="211" spans="1:3">
      <c r="A211" s="225">
        <v>92109</v>
      </c>
      <c r="B211" s="225" t="s">
        <v>929</v>
      </c>
      <c r="C211" s="100">
        <v>79222.569999999992</v>
      </c>
    </row>
    <row r="212" spans="1:3">
      <c r="A212" s="225">
        <v>92111</v>
      </c>
      <c r="B212" s="225" t="s">
        <v>930</v>
      </c>
      <c r="C212" s="100">
        <v>231048.73</v>
      </c>
    </row>
    <row r="213" spans="1:3">
      <c r="A213" s="225">
        <v>92113</v>
      </c>
      <c r="B213" s="225" t="s">
        <v>931</v>
      </c>
      <c r="C213" s="100">
        <v>10340.590000000002</v>
      </c>
    </row>
    <row r="214" spans="1:3">
      <c r="A214" s="225">
        <v>92201</v>
      </c>
      <c r="B214" s="225" t="s">
        <v>932</v>
      </c>
      <c r="C214" s="100">
        <v>452317.97000000003</v>
      </c>
    </row>
    <row r="215" spans="1:3">
      <c r="A215" s="225">
        <v>92301</v>
      </c>
      <c r="B215" s="225" t="s">
        <v>933</v>
      </c>
      <c r="C215" s="100">
        <v>2376667.8199999994</v>
      </c>
    </row>
    <row r="216" spans="1:3">
      <c r="A216" s="225">
        <v>92302</v>
      </c>
      <c r="B216" s="225" t="s">
        <v>934</v>
      </c>
      <c r="C216" s="100">
        <v>124071.08</v>
      </c>
    </row>
    <row r="217" spans="1:3">
      <c r="A217" s="225">
        <v>92311</v>
      </c>
      <c r="B217" s="225" t="s">
        <v>935</v>
      </c>
      <c r="C217" s="100">
        <v>989308.2</v>
      </c>
    </row>
    <row r="218" spans="1:3">
      <c r="A218" s="225">
        <v>92317</v>
      </c>
      <c r="B218" s="225" t="s">
        <v>936</v>
      </c>
      <c r="C218" s="100">
        <v>22749.040000000001</v>
      </c>
    </row>
    <row r="219" spans="1:3">
      <c r="A219" s="225">
        <v>92321</v>
      </c>
      <c r="B219" s="225" t="s">
        <v>937</v>
      </c>
      <c r="C219" s="100">
        <v>553265.69999999995</v>
      </c>
    </row>
    <row r="220" spans="1:3">
      <c r="A220" s="225">
        <v>92327</v>
      </c>
      <c r="B220" s="225" t="s">
        <v>938</v>
      </c>
      <c r="C220" s="100">
        <v>5653.369999999999</v>
      </c>
    </row>
    <row r="221" spans="1:3">
      <c r="A221" s="225">
        <v>92331</v>
      </c>
      <c r="B221" s="225" t="s">
        <v>939</v>
      </c>
      <c r="C221" s="100">
        <v>60877.5</v>
      </c>
    </row>
    <row r="222" spans="1:3">
      <c r="A222" s="225">
        <v>92341</v>
      </c>
      <c r="B222" s="225" t="s">
        <v>940</v>
      </c>
      <c r="C222" s="100">
        <v>3179.09</v>
      </c>
    </row>
    <row r="223" spans="1:3">
      <c r="A223" s="225">
        <v>92351</v>
      </c>
      <c r="B223" s="225" t="s">
        <v>941</v>
      </c>
      <c r="C223" s="100">
        <v>9506.67</v>
      </c>
    </row>
    <row r="224" spans="1:3">
      <c r="A224" s="225">
        <v>92401</v>
      </c>
      <c r="B224" s="225" t="s">
        <v>942</v>
      </c>
      <c r="C224" s="100">
        <v>1303902.4800000002</v>
      </c>
    </row>
    <row r="225" spans="1:3">
      <c r="A225" s="225">
        <v>92403</v>
      </c>
      <c r="B225" s="225" t="s">
        <v>943</v>
      </c>
      <c r="C225" s="100">
        <v>5891.95</v>
      </c>
    </row>
    <row r="226" spans="1:3">
      <c r="A226" s="225">
        <v>92411</v>
      </c>
      <c r="B226" s="225" t="s">
        <v>944</v>
      </c>
      <c r="C226" s="100">
        <v>203731.75000000003</v>
      </c>
    </row>
    <row r="227" spans="1:3">
      <c r="A227" s="225">
        <v>92417</v>
      </c>
      <c r="B227" s="225" t="s">
        <v>945</v>
      </c>
      <c r="C227" s="100">
        <v>5972.1200000000008</v>
      </c>
    </row>
    <row r="228" spans="1:3">
      <c r="A228" s="225">
        <v>92421</v>
      </c>
      <c r="B228" s="225" t="s">
        <v>946</v>
      </c>
      <c r="C228" s="100">
        <v>7579.9000000000005</v>
      </c>
    </row>
    <row r="229" spans="1:3">
      <c r="A229" s="225">
        <v>92427</v>
      </c>
      <c r="B229" s="225" t="s">
        <v>947</v>
      </c>
      <c r="C229" s="100">
        <v>1462.7</v>
      </c>
    </row>
    <row r="230" spans="1:3">
      <c r="A230" s="225">
        <v>92431</v>
      </c>
      <c r="B230" s="225" t="s">
        <v>948</v>
      </c>
      <c r="C230" s="100">
        <v>22456.17</v>
      </c>
    </row>
    <row r="231" spans="1:3">
      <c r="A231" s="225">
        <v>92441</v>
      </c>
      <c r="B231" s="225" t="s">
        <v>949</v>
      </c>
      <c r="C231" s="100">
        <v>38184.479999999996</v>
      </c>
    </row>
    <row r="232" spans="1:3">
      <c r="A232" s="225">
        <v>92444</v>
      </c>
      <c r="B232" s="225" t="s">
        <v>950</v>
      </c>
      <c r="C232" s="100">
        <v>2108.3200000000002</v>
      </c>
    </row>
    <row r="233" spans="1:3">
      <c r="A233" s="225">
        <v>92451</v>
      </c>
      <c r="B233" s="225" t="s">
        <v>951</v>
      </c>
      <c r="C233" s="100">
        <v>77937.69</v>
      </c>
    </row>
    <row r="234" spans="1:3">
      <c r="A234" s="225">
        <v>92461</v>
      </c>
      <c r="B234" s="225" t="s">
        <v>952</v>
      </c>
      <c r="C234" s="100">
        <v>40871.760000000002</v>
      </c>
    </row>
    <row r="235" spans="1:3">
      <c r="A235" s="225">
        <v>92501</v>
      </c>
      <c r="B235" s="225" t="s">
        <v>953</v>
      </c>
      <c r="C235" s="100">
        <v>1869584.19</v>
      </c>
    </row>
    <row r="236" spans="1:3">
      <c r="A236" s="225">
        <v>92502</v>
      </c>
      <c r="B236" s="225" t="s">
        <v>954</v>
      </c>
      <c r="C236" s="100">
        <v>14163.860000000004</v>
      </c>
    </row>
    <row r="237" spans="1:3">
      <c r="A237" s="225">
        <v>92504</v>
      </c>
      <c r="B237" s="225" t="s">
        <v>955</v>
      </c>
      <c r="C237" s="100">
        <v>49663.95</v>
      </c>
    </row>
    <row r="238" spans="1:3">
      <c r="A238" s="225">
        <v>92505</v>
      </c>
      <c r="B238" s="225" t="s">
        <v>956</v>
      </c>
      <c r="C238" s="100">
        <v>119135.69999999998</v>
      </c>
    </row>
    <row r="239" spans="1:3">
      <c r="A239" s="225">
        <v>92506</v>
      </c>
      <c r="B239" s="225" t="s">
        <v>957</v>
      </c>
      <c r="C239" s="100">
        <v>26569.89</v>
      </c>
    </row>
    <row r="240" spans="1:3">
      <c r="A240" s="225">
        <v>92507</v>
      </c>
      <c r="B240" s="225" t="s">
        <v>958</v>
      </c>
      <c r="C240" s="100">
        <v>40749.97</v>
      </c>
    </row>
    <row r="241" spans="1:3">
      <c r="A241" s="225">
        <v>92508</v>
      </c>
      <c r="B241" s="225" t="s">
        <v>959</v>
      </c>
      <c r="C241" s="100">
        <v>152020.5</v>
      </c>
    </row>
    <row r="242" spans="1:3">
      <c r="A242" s="225">
        <v>92511</v>
      </c>
      <c r="B242" s="225" t="s">
        <v>960</v>
      </c>
      <c r="C242" s="100">
        <v>1524503.0899999999</v>
      </c>
    </row>
    <row r="243" spans="1:3">
      <c r="A243" s="225">
        <v>92513</v>
      </c>
      <c r="B243" s="225" t="s">
        <v>961</v>
      </c>
      <c r="C243" s="100">
        <v>1669953.62</v>
      </c>
    </row>
    <row r="244" spans="1:3">
      <c r="A244" s="225">
        <v>92521</v>
      </c>
      <c r="B244" s="225" t="s">
        <v>962</v>
      </c>
      <c r="C244" s="100">
        <v>37384.129999999997</v>
      </c>
    </row>
    <row r="245" spans="1:3">
      <c r="A245" s="225">
        <v>92531</v>
      </c>
      <c r="B245" s="225" t="s">
        <v>963</v>
      </c>
      <c r="C245" s="100">
        <v>358463.95999999996</v>
      </c>
    </row>
    <row r="246" spans="1:3">
      <c r="A246" s="225">
        <v>92541</v>
      </c>
      <c r="B246" s="225" t="s">
        <v>964</v>
      </c>
      <c r="C246" s="100">
        <v>58963.51999999999</v>
      </c>
    </row>
    <row r="247" spans="1:3">
      <c r="A247" s="225">
        <v>92551</v>
      </c>
      <c r="B247" s="225" t="s">
        <v>965</v>
      </c>
      <c r="C247" s="100">
        <v>19992.34</v>
      </c>
    </row>
    <row r="248" spans="1:3">
      <c r="A248" s="225">
        <v>92561</v>
      </c>
      <c r="B248" s="225" t="s">
        <v>966</v>
      </c>
      <c r="C248" s="100">
        <v>11715.66</v>
      </c>
    </row>
    <row r="249" spans="1:3">
      <c r="A249" s="225">
        <v>92571</v>
      </c>
      <c r="B249" s="225" t="s">
        <v>967</v>
      </c>
      <c r="C249" s="100">
        <v>6486.43</v>
      </c>
    </row>
    <row r="250" spans="1:3">
      <c r="A250" s="225">
        <v>92601</v>
      </c>
      <c r="B250" s="225" t="s">
        <v>968</v>
      </c>
      <c r="C250" s="100">
        <v>7108398.0499999998</v>
      </c>
    </row>
    <row r="251" spans="1:3">
      <c r="A251" s="225">
        <v>92602</v>
      </c>
      <c r="B251" s="225" t="s">
        <v>969</v>
      </c>
      <c r="C251" s="100">
        <v>3604.4900000000002</v>
      </c>
    </row>
    <row r="252" spans="1:3">
      <c r="A252" s="225">
        <v>92604</v>
      </c>
      <c r="B252" s="225" t="s">
        <v>970</v>
      </c>
      <c r="C252" s="100">
        <v>178690.81</v>
      </c>
    </row>
    <row r="253" spans="1:3">
      <c r="A253" s="225">
        <v>92607</v>
      </c>
      <c r="B253" s="225" t="s">
        <v>971</v>
      </c>
      <c r="C253" s="100">
        <v>38426.509999999995</v>
      </c>
    </row>
    <row r="254" spans="1:3">
      <c r="A254" s="225">
        <v>92611</v>
      </c>
      <c r="B254" s="225" t="s">
        <v>973</v>
      </c>
      <c r="C254" s="100">
        <v>5890415</v>
      </c>
    </row>
    <row r="255" spans="1:3">
      <c r="A255" s="225">
        <v>92613</v>
      </c>
      <c r="B255" s="225" t="s">
        <v>974</v>
      </c>
      <c r="C255" s="100">
        <v>143120.74</v>
      </c>
    </row>
    <row r="256" spans="1:3">
      <c r="A256" s="225">
        <v>92614</v>
      </c>
      <c r="B256" s="225" t="s">
        <v>975</v>
      </c>
      <c r="C256" s="100">
        <v>4788008.4000000004</v>
      </c>
    </row>
    <row r="257" spans="1:3">
      <c r="A257" s="225">
        <v>92621</v>
      </c>
      <c r="B257" s="225" t="s">
        <v>976</v>
      </c>
      <c r="C257" s="100">
        <v>11242.970000000001</v>
      </c>
    </row>
    <row r="258" spans="1:3">
      <c r="A258" s="225">
        <v>92631</v>
      </c>
      <c r="B258" s="225" t="s">
        <v>977</v>
      </c>
      <c r="C258" s="100">
        <v>397128.06999999995</v>
      </c>
    </row>
    <row r="259" spans="1:3">
      <c r="A259" s="225">
        <v>92641</v>
      </c>
      <c r="B259" s="225" t="s">
        <v>978</v>
      </c>
      <c r="C259" s="100">
        <v>5720.12</v>
      </c>
    </row>
    <row r="260" spans="1:3">
      <c r="A260" s="225">
        <v>92651</v>
      </c>
      <c r="B260" s="225" t="s">
        <v>979</v>
      </c>
      <c r="C260" s="100">
        <v>3150.9599999999996</v>
      </c>
    </row>
    <row r="261" spans="1:3">
      <c r="A261" s="225">
        <v>92661</v>
      </c>
      <c r="B261" s="225" t="s">
        <v>980</v>
      </c>
      <c r="C261" s="100">
        <v>591164.32000000007</v>
      </c>
    </row>
    <row r="262" spans="1:3">
      <c r="A262" s="225">
        <v>92671</v>
      </c>
      <c r="B262" s="225" t="s">
        <v>981</v>
      </c>
      <c r="C262" s="100">
        <v>5278.6399999999994</v>
      </c>
    </row>
    <row r="263" spans="1:3">
      <c r="A263" s="225">
        <v>92681</v>
      </c>
      <c r="B263" s="225" t="s">
        <v>982</v>
      </c>
      <c r="C263" s="100">
        <v>11572</v>
      </c>
    </row>
    <row r="264" spans="1:3">
      <c r="A264" s="225">
        <v>92701</v>
      </c>
      <c r="B264" s="225" t="s">
        <v>983</v>
      </c>
      <c r="C264" s="100">
        <v>1358590.69</v>
      </c>
    </row>
    <row r="265" spans="1:3">
      <c r="A265" s="225">
        <v>92704</v>
      </c>
      <c r="B265" s="225" t="s">
        <v>984</v>
      </c>
      <c r="C265" s="100">
        <v>18894.43</v>
      </c>
    </row>
    <row r="266" spans="1:3">
      <c r="A266" s="225">
        <v>92801</v>
      </c>
      <c r="B266" s="225" t="s">
        <v>985</v>
      </c>
      <c r="C266" s="100">
        <v>2417020.3099999996</v>
      </c>
    </row>
    <row r="267" spans="1:3">
      <c r="A267" s="225">
        <v>92802</v>
      </c>
      <c r="B267" s="225" t="s">
        <v>986</v>
      </c>
      <c r="C267" s="100">
        <v>55827.79</v>
      </c>
    </row>
    <row r="268" spans="1:3">
      <c r="A268" s="225">
        <v>92804</v>
      </c>
      <c r="B268" s="225" t="s">
        <v>987</v>
      </c>
      <c r="C268" s="100">
        <v>57776.62999999999</v>
      </c>
    </row>
    <row r="269" spans="1:3">
      <c r="A269" s="225">
        <v>92811</v>
      </c>
      <c r="B269" s="225" t="s">
        <v>988</v>
      </c>
      <c r="C269" s="100">
        <v>442634.87</v>
      </c>
    </row>
    <row r="270" spans="1:3">
      <c r="A270" s="225">
        <v>92821</v>
      </c>
      <c r="B270" s="225" t="s">
        <v>989</v>
      </c>
      <c r="C270" s="100">
        <v>481049.22</v>
      </c>
    </row>
    <row r="271" spans="1:3">
      <c r="A271" s="225">
        <v>92831</v>
      </c>
      <c r="B271" s="225" t="s">
        <v>990</v>
      </c>
      <c r="C271" s="100">
        <v>122075.53</v>
      </c>
    </row>
    <row r="272" spans="1:3">
      <c r="A272" s="225">
        <v>92841</v>
      </c>
      <c r="B272" s="225" t="s">
        <v>991</v>
      </c>
      <c r="C272" s="100">
        <v>116983.39</v>
      </c>
    </row>
    <row r="273" spans="1:3">
      <c r="A273" s="225">
        <v>92851</v>
      </c>
      <c r="B273" s="225" t="s">
        <v>992</v>
      </c>
      <c r="C273" s="100">
        <v>187164.34</v>
      </c>
    </row>
    <row r="274" spans="1:3">
      <c r="A274" s="225">
        <v>92861</v>
      </c>
      <c r="B274" s="225" t="s">
        <v>993</v>
      </c>
      <c r="C274" s="100">
        <v>121951.41999999998</v>
      </c>
    </row>
    <row r="275" spans="1:3">
      <c r="A275" s="225">
        <v>92901</v>
      </c>
      <c r="B275" s="225" t="s">
        <v>994</v>
      </c>
      <c r="C275" s="100">
        <v>2645958.38</v>
      </c>
    </row>
    <row r="276" spans="1:3">
      <c r="A276" s="225">
        <v>92911</v>
      </c>
      <c r="B276" s="225" t="s">
        <v>995</v>
      </c>
      <c r="C276" s="100">
        <v>924132.14000000013</v>
      </c>
    </row>
    <row r="277" spans="1:3">
      <c r="A277" s="225">
        <v>92913</v>
      </c>
      <c r="B277" s="225" t="s">
        <v>996</v>
      </c>
      <c r="C277" s="100">
        <v>57759.520000000004</v>
      </c>
    </row>
    <row r="278" spans="1:3">
      <c r="A278" s="225">
        <v>92914</v>
      </c>
      <c r="B278" s="225" t="s">
        <v>997</v>
      </c>
      <c r="C278" s="100">
        <v>10513.27</v>
      </c>
    </row>
    <row r="279" spans="1:3">
      <c r="A279" s="225">
        <v>92917</v>
      </c>
      <c r="B279" s="225" t="s">
        <v>998</v>
      </c>
      <c r="C279" s="100">
        <v>16081.77</v>
      </c>
    </row>
    <row r="280" spans="1:3">
      <c r="A280" s="225">
        <v>92921</v>
      </c>
      <c r="B280" s="225" t="s">
        <v>999</v>
      </c>
      <c r="C280" s="100">
        <v>41072.51</v>
      </c>
    </row>
    <row r="281" spans="1:3">
      <c r="A281" s="225">
        <v>92931</v>
      </c>
      <c r="B281" s="225" t="s">
        <v>1000</v>
      </c>
      <c r="C281" s="100">
        <v>1109331.3299999998</v>
      </c>
    </row>
    <row r="282" spans="1:3">
      <c r="A282" s="225">
        <v>92941</v>
      </c>
      <c r="B282" s="225" t="s">
        <v>81</v>
      </c>
      <c r="C282" s="100">
        <v>8546.51</v>
      </c>
    </row>
    <row r="283" spans="1:3">
      <c r="A283" s="225">
        <v>93001</v>
      </c>
      <c r="B283" s="225" t="s">
        <v>1001</v>
      </c>
      <c r="C283" s="100">
        <v>981066.02</v>
      </c>
    </row>
    <row r="284" spans="1:3">
      <c r="A284" s="225">
        <v>93009</v>
      </c>
      <c r="B284" s="225" t="s">
        <v>1002</v>
      </c>
      <c r="C284" s="100">
        <v>5347.5400000000009</v>
      </c>
    </row>
    <row r="285" spans="1:3">
      <c r="A285" s="225">
        <v>93011</v>
      </c>
      <c r="B285" s="225" t="s">
        <v>1003</v>
      </c>
      <c r="C285" s="100">
        <v>118523.35</v>
      </c>
    </row>
    <row r="286" spans="1:3">
      <c r="A286" s="225">
        <v>93021</v>
      </c>
      <c r="B286" s="225" t="s">
        <v>1004</v>
      </c>
      <c r="C286" s="100">
        <v>12993.630000000001</v>
      </c>
    </row>
    <row r="287" spans="1:3">
      <c r="A287" s="225">
        <v>93027</v>
      </c>
      <c r="B287" s="225" t="s">
        <v>1005</v>
      </c>
      <c r="C287" s="100">
        <v>8270.2200000000012</v>
      </c>
    </row>
    <row r="288" spans="1:3">
      <c r="A288" s="225">
        <v>93031</v>
      </c>
      <c r="B288" s="225" t="s">
        <v>1006</v>
      </c>
      <c r="C288" s="100">
        <v>20396.899999999998</v>
      </c>
    </row>
    <row r="289" spans="1:3">
      <c r="A289" s="225">
        <v>93101</v>
      </c>
      <c r="B289" s="225" t="s">
        <v>1007</v>
      </c>
      <c r="C289" s="100">
        <v>1521216.6700000002</v>
      </c>
    </row>
    <row r="290" spans="1:3">
      <c r="A290" s="225">
        <v>93103</v>
      </c>
      <c r="B290" s="225" t="s">
        <v>260</v>
      </c>
      <c r="C290" s="100">
        <v>5686.3199999999988</v>
      </c>
    </row>
    <row r="291" spans="1:3">
      <c r="A291" s="225">
        <v>93108</v>
      </c>
      <c r="B291" s="225" t="s">
        <v>1008</v>
      </c>
      <c r="C291" s="100">
        <v>1189196.73</v>
      </c>
    </row>
    <row r="292" spans="1:3">
      <c r="A292" s="225">
        <v>93111</v>
      </c>
      <c r="B292" s="225" t="s">
        <v>1009</v>
      </c>
      <c r="C292" s="100">
        <v>27143.07</v>
      </c>
    </row>
    <row r="293" spans="1:3">
      <c r="A293" s="225">
        <v>93121</v>
      </c>
      <c r="B293" s="225" t="s">
        <v>1010</v>
      </c>
      <c r="C293" s="100">
        <v>28305.74</v>
      </c>
    </row>
    <row r="294" spans="1:3">
      <c r="A294" s="225">
        <v>93127</v>
      </c>
      <c r="B294" s="225" t="s">
        <v>1011</v>
      </c>
      <c r="C294" s="100">
        <v>3239.02</v>
      </c>
    </row>
    <row r="295" spans="1:3">
      <c r="A295" s="225">
        <v>93131</v>
      </c>
      <c r="B295" s="225" t="s">
        <v>1012</v>
      </c>
      <c r="C295" s="100">
        <v>95091.23</v>
      </c>
    </row>
    <row r="296" spans="1:3">
      <c r="A296" s="225">
        <v>93137</v>
      </c>
      <c r="B296" s="225" t="s">
        <v>1013</v>
      </c>
      <c r="C296" s="100">
        <v>2530.41</v>
      </c>
    </row>
    <row r="297" spans="1:3">
      <c r="A297" s="225">
        <v>93141</v>
      </c>
      <c r="B297" s="225" t="s">
        <v>1014</v>
      </c>
      <c r="C297" s="100">
        <v>16198.560000000001</v>
      </c>
    </row>
    <row r="298" spans="1:3">
      <c r="A298" s="225">
        <v>93151</v>
      </c>
      <c r="B298" s="225" t="s">
        <v>1015</v>
      </c>
      <c r="C298" s="100">
        <v>156182.22000000003</v>
      </c>
    </row>
    <row r="299" spans="1:3">
      <c r="A299" s="225">
        <v>93157</v>
      </c>
      <c r="B299" s="225" t="s">
        <v>1016</v>
      </c>
      <c r="C299" s="100">
        <v>6044.9999999999991</v>
      </c>
    </row>
    <row r="300" spans="1:3">
      <c r="A300" s="225">
        <v>93161</v>
      </c>
      <c r="B300" s="225" t="s">
        <v>1017</v>
      </c>
      <c r="C300" s="100">
        <v>47956.099999999991</v>
      </c>
    </row>
    <row r="301" spans="1:3">
      <c r="A301" s="225">
        <v>93171</v>
      </c>
      <c r="B301" s="225" t="s">
        <v>1018</v>
      </c>
      <c r="C301" s="100">
        <v>3888.96</v>
      </c>
    </row>
    <row r="302" spans="1:3">
      <c r="A302" s="225">
        <v>93181</v>
      </c>
      <c r="B302" s="225" t="s">
        <v>1019</v>
      </c>
      <c r="C302" s="100">
        <v>5393.2499999999991</v>
      </c>
    </row>
    <row r="303" spans="1:3">
      <c r="A303" s="225">
        <v>93191</v>
      </c>
      <c r="B303" s="225" t="s">
        <v>1020</v>
      </c>
      <c r="C303" s="100">
        <v>16088.93</v>
      </c>
    </row>
    <row r="304" spans="1:3">
      <c r="A304" s="225">
        <v>93201</v>
      </c>
      <c r="B304" s="225" t="s">
        <v>1021</v>
      </c>
      <c r="C304" s="100">
        <v>7119269.8700000001</v>
      </c>
    </row>
    <row r="305" spans="1:3">
      <c r="A305" s="225">
        <v>93204</v>
      </c>
      <c r="B305" s="225" t="s">
        <v>1023</v>
      </c>
      <c r="C305" s="100">
        <v>157546.01999999999</v>
      </c>
    </row>
    <row r="306" spans="1:3">
      <c r="A306" s="225">
        <v>93209</v>
      </c>
      <c r="B306" s="225" t="s">
        <v>1024</v>
      </c>
      <c r="C306" s="100">
        <v>2094524.8200000003</v>
      </c>
    </row>
    <row r="307" spans="1:3">
      <c r="A307" s="225">
        <v>93211</v>
      </c>
      <c r="B307" s="225" t="s">
        <v>1025</v>
      </c>
      <c r="C307" s="100">
        <v>9330077.1099999994</v>
      </c>
    </row>
    <row r="308" spans="1:3">
      <c r="A308" s="225">
        <v>93212</v>
      </c>
      <c r="B308" s="225" t="s">
        <v>1026</v>
      </c>
      <c r="C308" s="100">
        <v>193583.83000000002</v>
      </c>
    </row>
    <row r="309" spans="1:3">
      <c r="A309" s="225">
        <v>93219</v>
      </c>
      <c r="B309" s="225" t="s">
        <v>1027</v>
      </c>
      <c r="C309" s="100">
        <v>120178.79000000001</v>
      </c>
    </row>
    <row r="310" spans="1:3">
      <c r="A310" s="225">
        <v>93301</v>
      </c>
      <c r="B310" s="225" t="s">
        <v>1028</v>
      </c>
      <c r="C310" s="100">
        <v>1153745.6500000001</v>
      </c>
    </row>
    <row r="311" spans="1:3">
      <c r="A311" s="225">
        <v>93304</v>
      </c>
      <c r="B311" s="225" t="s">
        <v>1029</v>
      </c>
      <c r="C311" s="100">
        <v>18289.23</v>
      </c>
    </row>
    <row r="312" spans="1:3">
      <c r="A312" s="225">
        <v>93305</v>
      </c>
      <c r="B312" s="225" t="s">
        <v>1030</v>
      </c>
      <c r="C312" s="100">
        <v>19564.66</v>
      </c>
    </row>
    <row r="313" spans="1:3">
      <c r="A313" s="225">
        <v>93309</v>
      </c>
      <c r="B313" s="225" t="s">
        <v>1031</v>
      </c>
      <c r="C313" s="100">
        <v>89050.64</v>
      </c>
    </row>
    <row r="314" spans="1:3">
      <c r="A314" s="225">
        <v>93311</v>
      </c>
      <c r="B314" s="225" t="s">
        <v>1032</v>
      </c>
      <c r="C314" s="100">
        <v>529431.75</v>
      </c>
    </row>
    <row r="315" spans="1:3">
      <c r="A315" s="225">
        <v>93317</v>
      </c>
      <c r="B315" s="225" t="s">
        <v>1033</v>
      </c>
      <c r="C315" s="100">
        <v>21779.42</v>
      </c>
    </row>
    <row r="316" spans="1:3">
      <c r="A316" s="225">
        <v>93321</v>
      </c>
      <c r="B316" s="225" t="s">
        <v>1034</v>
      </c>
      <c r="C316" s="100">
        <v>3205901.8899999997</v>
      </c>
    </row>
    <row r="317" spans="1:3">
      <c r="A317" s="225">
        <v>93323</v>
      </c>
      <c r="B317" s="225" t="s">
        <v>1035</v>
      </c>
      <c r="C317" s="100">
        <v>8923.11</v>
      </c>
    </row>
    <row r="318" spans="1:3">
      <c r="A318" s="225">
        <v>93331</v>
      </c>
      <c r="B318" s="225" t="s">
        <v>1036</v>
      </c>
      <c r="C318" s="100">
        <v>56936.17</v>
      </c>
    </row>
    <row r="319" spans="1:3">
      <c r="A319" s="225">
        <v>93333</v>
      </c>
      <c r="B319" s="225" t="s">
        <v>1037</v>
      </c>
      <c r="C319" s="100">
        <v>190543.43</v>
      </c>
    </row>
    <row r="320" spans="1:3">
      <c r="A320" s="225">
        <v>93341</v>
      </c>
      <c r="B320" s="225" t="s">
        <v>1038</v>
      </c>
      <c r="C320" s="100">
        <v>12932.78</v>
      </c>
    </row>
    <row r="321" spans="1:3">
      <c r="A321" s="225">
        <v>93351</v>
      </c>
      <c r="B321" s="225" t="s">
        <v>1039</v>
      </c>
      <c r="C321" s="100">
        <v>16318.86</v>
      </c>
    </row>
    <row r="322" spans="1:3">
      <c r="A322" s="225">
        <v>93401</v>
      </c>
      <c r="B322" s="225" t="s">
        <v>1040</v>
      </c>
      <c r="C322" s="100">
        <v>6356857.0799999982</v>
      </c>
    </row>
    <row r="323" spans="1:3">
      <c r="A323" s="225">
        <v>93402</v>
      </c>
      <c r="B323" s="225" t="s">
        <v>1041</v>
      </c>
      <c r="C323" s="100">
        <v>38603.799999999996</v>
      </c>
    </row>
    <row r="324" spans="1:3">
      <c r="A324" s="225">
        <v>93406</v>
      </c>
      <c r="B324" s="225" t="s">
        <v>1042</v>
      </c>
      <c r="C324" s="100">
        <v>289720.40000000002</v>
      </c>
    </row>
    <row r="325" spans="1:3">
      <c r="A325" s="225">
        <v>93408</v>
      </c>
      <c r="B325" s="225" t="s">
        <v>1043</v>
      </c>
      <c r="C325" s="100">
        <v>73961.63</v>
      </c>
    </row>
    <row r="326" spans="1:3">
      <c r="A326" s="225">
        <v>93411</v>
      </c>
      <c r="B326" s="225" t="s">
        <v>1044</v>
      </c>
      <c r="C326" s="100">
        <v>8222693.9100000001</v>
      </c>
    </row>
    <row r="327" spans="1:3">
      <c r="A327" s="225">
        <v>93413</v>
      </c>
      <c r="B327" s="225" t="s">
        <v>1045</v>
      </c>
      <c r="C327" s="100">
        <v>378795.94</v>
      </c>
    </row>
    <row r="328" spans="1:3">
      <c r="A328" s="225">
        <v>93417</v>
      </c>
      <c r="B328" s="225" t="s">
        <v>1046</v>
      </c>
      <c r="C328" s="100">
        <v>172878.16</v>
      </c>
    </row>
    <row r="329" spans="1:3">
      <c r="A329" s="225">
        <v>93421</v>
      </c>
      <c r="B329" s="225" t="s">
        <v>1047</v>
      </c>
      <c r="C329" s="100">
        <v>893357</v>
      </c>
    </row>
    <row r="330" spans="1:3">
      <c r="A330" s="225">
        <v>93431</v>
      </c>
      <c r="B330" s="225" t="s">
        <v>1048</v>
      </c>
      <c r="C330" s="100">
        <v>61080.389999999992</v>
      </c>
    </row>
    <row r="331" spans="1:3">
      <c r="A331" s="225">
        <v>93441</v>
      </c>
      <c r="B331" s="225" t="s">
        <v>1049</v>
      </c>
      <c r="C331" s="100">
        <v>77932.77</v>
      </c>
    </row>
    <row r="332" spans="1:3">
      <c r="A332" s="225">
        <v>93442</v>
      </c>
      <c r="B332" s="225" t="s">
        <v>1050</v>
      </c>
      <c r="C332" s="100">
        <v>57506.510000000009</v>
      </c>
    </row>
    <row r="333" spans="1:3">
      <c r="A333" s="225">
        <v>93451</v>
      </c>
      <c r="B333" s="225" t="s">
        <v>1051</v>
      </c>
      <c r="C333" s="100">
        <v>41774.850000000006</v>
      </c>
    </row>
    <row r="334" spans="1:3">
      <c r="A334" s="225">
        <v>93461</v>
      </c>
      <c r="B334" s="225" t="s">
        <v>1052</v>
      </c>
      <c r="C334" s="100">
        <v>8263.56</v>
      </c>
    </row>
    <row r="335" spans="1:3">
      <c r="A335" s="225">
        <v>93471</v>
      </c>
      <c r="B335" s="225" t="s">
        <v>1053</v>
      </c>
      <c r="C335" s="100">
        <v>8324.42</v>
      </c>
    </row>
    <row r="336" spans="1:3">
      <c r="A336" s="225">
        <v>93501</v>
      </c>
      <c r="B336" s="225" t="s">
        <v>1054</v>
      </c>
      <c r="C336" s="100">
        <v>1661032.8799999997</v>
      </c>
    </row>
    <row r="337" spans="1:3">
      <c r="A337" s="225">
        <v>93511</v>
      </c>
      <c r="B337" s="225" t="s">
        <v>1055</v>
      </c>
      <c r="C337" s="100">
        <v>45050.15</v>
      </c>
    </row>
    <row r="338" spans="1:3">
      <c r="A338" s="225">
        <v>93517</v>
      </c>
      <c r="B338" s="225" t="s">
        <v>1056</v>
      </c>
      <c r="C338" s="100">
        <v>4387.0800000000008</v>
      </c>
    </row>
    <row r="339" spans="1:3">
      <c r="A339" s="225">
        <v>93521</v>
      </c>
      <c r="B339" s="225" t="s">
        <v>1057</v>
      </c>
      <c r="C339" s="100">
        <v>213304.85</v>
      </c>
    </row>
    <row r="340" spans="1:3">
      <c r="A340" s="225">
        <v>93527</v>
      </c>
      <c r="B340" s="225" t="s">
        <v>1058</v>
      </c>
      <c r="C340" s="100">
        <v>9590.98</v>
      </c>
    </row>
    <row r="341" spans="1:3">
      <c r="A341" s="225">
        <v>93531</v>
      </c>
      <c r="B341" s="225" t="s">
        <v>1059</v>
      </c>
      <c r="C341" s="100">
        <v>11623.46</v>
      </c>
    </row>
    <row r="342" spans="1:3">
      <c r="A342" s="225">
        <v>93537</v>
      </c>
      <c r="B342" s="225" t="s">
        <v>1060</v>
      </c>
      <c r="C342" s="100">
        <v>4063.54</v>
      </c>
    </row>
    <row r="343" spans="1:3">
      <c r="A343" s="225">
        <v>93541</v>
      </c>
      <c r="B343" s="225" t="s">
        <v>1061</v>
      </c>
      <c r="C343" s="100">
        <v>49275.9</v>
      </c>
    </row>
    <row r="344" spans="1:3">
      <c r="A344" s="225">
        <v>93601</v>
      </c>
      <c r="B344" s="225" t="s">
        <v>1062</v>
      </c>
      <c r="C344" s="100">
        <v>5038239.96</v>
      </c>
    </row>
    <row r="345" spans="1:3">
      <c r="A345" s="225">
        <v>93602</v>
      </c>
      <c r="B345" s="225" t="s">
        <v>1063</v>
      </c>
      <c r="C345" s="100">
        <v>82188.28</v>
      </c>
    </row>
    <row r="346" spans="1:3">
      <c r="A346" s="225">
        <v>93609</v>
      </c>
      <c r="B346" s="225" t="s">
        <v>1064</v>
      </c>
      <c r="C346" s="100">
        <v>1743934.2899999998</v>
      </c>
    </row>
    <row r="347" spans="1:3">
      <c r="A347" s="225">
        <v>93610</v>
      </c>
      <c r="B347" s="225" t="s">
        <v>1065</v>
      </c>
      <c r="C347" s="100">
        <v>5845.829999999999</v>
      </c>
    </row>
    <row r="348" spans="1:3">
      <c r="A348" s="225">
        <v>93611</v>
      </c>
      <c r="B348" s="225" t="s">
        <v>1066</v>
      </c>
      <c r="C348" s="100">
        <v>3250732.8200000003</v>
      </c>
    </row>
    <row r="349" spans="1:3">
      <c r="A349" s="225">
        <v>93617</v>
      </c>
      <c r="B349" s="225" t="s">
        <v>1067</v>
      </c>
      <c r="C349" s="100">
        <v>49099.679999999993</v>
      </c>
    </row>
    <row r="350" spans="1:3">
      <c r="A350" s="225">
        <v>93618</v>
      </c>
      <c r="B350" s="225" t="s">
        <v>1068</v>
      </c>
      <c r="C350" s="100">
        <v>23981.690000000002</v>
      </c>
    </row>
    <row r="351" spans="1:3">
      <c r="A351" s="225">
        <v>93621</v>
      </c>
      <c r="B351" s="225" t="s">
        <v>1069</v>
      </c>
      <c r="C351" s="100">
        <v>412639.11999999994</v>
      </c>
    </row>
    <row r="352" spans="1:3">
      <c r="A352" s="225">
        <v>93623</v>
      </c>
      <c r="B352" s="225" t="s">
        <v>1070</v>
      </c>
      <c r="C352" s="100">
        <v>8719.73</v>
      </c>
    </row>
    <row r="353" spans="1:3">
      <c r="A353" s="225">
        <v>93631</v>
      </c>
      <c r="B353" s="225" t="s">
        <v>1071</v>
      </c>
      <c r="C353" s="100">
        <v>100500.61</v>
      </c>
    </row>
    <row r="354" spans="1:3">
      <c r="A354" s="225">
        <v>93641</v>
      </c>
      <c r="B354" s="225" t="s">
        <v>1072</v>
      </c>
      <c r="C354" s="100">
        <v>197852.16</v>
      </c>
    </row>
    <row r="355" spans="1:3">
      <c r="A355" s="225">
        <v>93647</v>
      </c>
      <c r="B355" s="225" t="s">
        <v>1073</v>
      </c>
      <c r="C355" s="100">
        <v>9062</v>
      </c>
    </row>
    <row r="356" spans="1:3">
      <c r="A356" s="225">
        <v>93651</v>
      </c>
      <c r="B356" s="225" t="s">
        <v>1074</v>
      </c>
      <c r="C356" s="100">
        <v>185953.30000000002</v>
      </c>
    </row>
    <row r="357" spans="1:3">
      <c r="A357" s="225">
        <v>93661</v>
      </c>
      <c r="B357" s="225" t="s">
        <v>1075</v>
      </c>
      <c r="C357" s="100">
        <v>66083.95</v>
      </c>
    </row>
    <row r="358" spans="1:3">
      <c r="A358" s="225">
        <v>93671</v>
      </c>
      <c r="B358" s="225" t="s">
        <v>1076</v>
      </c>
      <c r="C358" s="100">
        <v>172671.45</v>
      </c>
    </row>
    <row r="359" spans="1:3">
      <c r="A359" s="225">
        <v>93681</v>
      </c>
      <c r="B359" s="225" t="s">
        <v>1077</v>
      </c>
      <c r="C359" s="100">
        <v>48114.98</v>
      </c>
    </row>
    <row r="360" spans="1:3">
      <c r="A360" s="225">
        <v>93691</v>
      </c>
      <c r="B360" s="225" t="s">
        <v>1078</v>
      </c>
      <c r="C360" s="100">
        <v>464181.78</v>
      </c>
    </row>
    <row r="361" spans="1:3">
      <c r="A361" s="225">
        <v>93701</v>
      </c>
      <c r="B361" s="225" t="s">
        <v>1079</v>
      </c>
      <c r="C361" s="100">
        <v>201820.37</v>
      </c>
    </row>
    <row r="362" spans="1:3">
      <c r="A362" s="225">
        <v>93704</v>
      </c>
      <c r="B362" s="225" t="s">
        <v>1080</v>
      </c>
      <c r="C362" s="100">
        <v>1962.36</v>
      </c>
    </row>
    <row r="363" spans="1:3">
      <c r="A363" s="225">
        <v>93801</v>
      </c>
      <c r="B363" s="225" t="s">
        <v>1081</v>
      </c>
      <c r="C363" s="100">
        <v>205983.46000000002</v>
      </c>
    </row>
    <row r="364" spans="1:3">
      <c r="A364" s="225">
        <v>93803</v>
      </c>
      <c r="B364" s="225" t="s">
        <v>1082</v>
      </c>
      <c r="C364" s="100">
        <v>50572.67</v>
      </c>
    </row>
    <row r="365" spans="1:3">
      <c r="A365" s="225">
        <v>93806</v>
      </c>
      <c r="B365" s="225" t="s">
        <v>1083</v>
      </c>
      <c r="C365" s="100">
        <v>41336.410000000003</v>
      </c>
    </row>
    <row r="366" spans="1:3">
      <c r="A366" s="225">
        <v>93821</v>
      </c>
      <c r="B366" s="225" t="s">
        <v>1084</v>
      </c>
      <c r="C366" s="100">
        <v>36176.929999999993</v>
      </c>
    </row>
    <row r="367" spans="1:3">
      <c r="A367" s="225">
        <v>93901</v>
      </c>
      <c r="B367" s="225" t="s">
        <v>1085</v>
      </c>
      <c r="C367" s="100">
        <v>887169.47</v>
      </c>
    </row>
    <row r="368" spans="1:3">
      <c r="A368" s="225">
        <v>93904</v>
      </c>
      <c r="B368" s="225" t="s">
        <v>1086</v>
      </c>
      <c r="C368" s="100">
        <v>17302.099999999999</v>
      </c>
    </row>
    <row r="369" spans="1:3">
      <c r="A369" s="225">
        <v>93906</v>
      </c>
      <c r="B369" s="225" t="s">
        <v>1087</v>
      </c>
      <c r="C369" s="100">
        <v>1486050.9699999997</v>
      </c>
    </row>
    <row r="370" spans="1:3">
      <c r="A370" s="225">
        <v>93908</v>
      </c>
      <c r="B370" s="225" t="s">
        <v>1088</v>
      </c>
      <c r="C370" s="100">
        <v>237113.54</v>
      </c>
    </row>
    <row r="371" spans="1:3">
      <c r="A371" s="225">
        <v>93910</v>
      </c>
      <c r="B371" s="225" t="s">
        <v>1089</v>
      </c>
      <c r="C371" s="100">
        <v>117577.95</v>
      </c>
    </row>
    <row r="372" spans="1:3">
      <c r="A372" s="225">
        <v>93911</v>
      </c>
      <c r="B372" s="225" t="s">
        <v>1090</v>
      </c>
      <c r="C372" s="100">
        <v>301989.03999999998</v>
      </c>
    </row>
    <row r="373" spans="1:3">
      <c r="A373" s="225">
        <v>93913</v>
      </c>
      <c r="B373" s="225" t="s">
        <v>1091</v>
      </c>
      <c r="C373" s="100">
        <v>29910.369999999995</v>
      </c>
    </row>
    <row r="374" spans="1:3">
      <c r="A374" s="225">
        <v>93914</v>
      </c>
      <c r="B374" s="225" t="s">
        <v>1092</v>
      </c>
      <c r="C374" s="100">
        <v>6536.2399999999989</v>
      </c>
    </row>
    <row r="375" spans="1:3">
      <c r="A375" s="225">
        <v>93921</v>
      </c>
      <c r="B375" s="225" t="s">
        <v>1093</v>
      </c>
      <c r="C375" s="100">
        <v>126883.54999999999</v>
      </c>
    </row>
    <row r="376" spans="1:3">
      <c r="A376" s="225">
        <v>93931</v>
      </c>
      <c r="B376" s="225" t="s">
        <v>1094</v>
      </c>
      <c r="C376" s="100">
        <v>212622.69</v>
      </c>
    </row>
    <row r="377" spans="1:3">
      <c r="A377" s="225">
        <v>94001</v>
      </c>
      <c r="B377" s="225" t="s">
        <v>1095</v>
      </c>
      <c r="C377" s="100">
        <v>430502.87</v>
      </c>
    </row>
    <row r="378" spans="1:3">
      <c r="A378" s="225">
        <v>94002</v>
      </c>
      <c r="B378" s="225" t="s">
        <v>1096</v>
      </c>
      <c r="C378" s="100">
        <v>4692.72</v>
      </c>
    </row>
    <row r="379" spans="1:3">
      <c r="A379" s="225">
        <v>94004</v>
      </c>
      <c r="B379" s="225" t="s">
        <v>1097</v>
      </c>
      <c r="C379" s="100">
        <v>4145.3</v>
      </c>
    </row>
    <row r="380" spans="1:3">
      <c r="A380" s="225">
        <v>94005</v>
      </c>
      <c r="B380" s="225" t="s">
        <v>1098</v>
      </c>
      <c r="C380" s="100">
        <v>560.08000000000004</v>
      </c>
    </row>
    <row r="381" spans="1:3">
      <c r="A381" s="225">
        <v>94011</v>
      </c>
      <c r="B381" s="225" t="s">
        <v>1099</v>
      </c>
      <c r="C381" s="100">
        <v>9232.909999999998</v>
      </c>
    </row>
    <row r="382" spans="1:3">
      <c r="A382" s="225">
        <v>94021</v>
      </c>
      <c r="B382" s="225" t="s">
        <v>1100</v>
      </c>
      <c r="C382" s="100">
        <v>47346.080000000002</v>
      </c>
    </row>
    <row r="383" spans="1:3">
      <c r="A383" s="225">
        <v>94031</v>
      </c>
      <c r="B383" s="225" t="s">
        <v>1101</v>
      </c>
      <c r="C383" s="100">
        <v>6799.77</v>
      </c>
    </row>
    <row r="384" spans="1:3">
      <c r="A384" s="225">
        <v>94101</v>
      </c>
      <c r="B384" s="225" t="s">
        <v>1102</v>
      </c>
      <c r="C384" s="100">
        <v>8515875.1699999981</v>
      </c>
    </row>
    <row r="385" spans="1:3">
      <c r="A385" s="225">
        <v>94102</v>
      </c>
      <c r="B385" s="225" t="s">
        <v>1103</v>
      </c>
      <c r="C385" s="100">
        <v>104557.32</v>
      </c>
    </row>
    <row r="386" spans="1:3">
      <c r="A386" s="225">
        <v>94108</v>
      </c>
      <c r="B386" s="225" t="s">
        <v>1104</v>
      </c>
      <c r="C386" s="100">
        <v>112936.31999999999</v>
      </c>
    </row>
    <row r="387" spans="1:3">
      <c r="A387" s="225">
        <v>94109</v>
      </c>
      <c r="B387" s="225" t="s">
        <v>1105</v>
      </c>
      <c r="C387" s="100">
        <v>31710.15</v>
      </c>
    </row>
    <row r="388" spans="1:3">
      <c r="A388" s="225">
        <v>94111</v>
      </c>
      <c r="B388" s="225" t="s">
        <v>1106</v>
      </c>
      <c r="C388" s="100">
        <v>11270051.1</v>
      </c>
    </row>
    <row r="389" spans="1:3">
      <c r="A389" s="225">
        <v>94112</v>
      </c>
      <c r="B389" s="225" t="s">
        <v>1107</v>
      </c>
      <c r="C389" s="100">
        <v>68639.710000000006</v>
      </c>
    </row>
    <row r="390" spans="1:3">
      <c r="A390" s="225">
        <v>94117</v>
      </c>
      <c r="B390" s="225" t="s">
        <v>1108</v>
      </c>
      <c r="C390" s="100">
        <v>179744.38999999998</v>
      </c>
    </row>
    <row r="391" spans="1:3">
      <c r="A391" s="225">
        <v>94118</v>
      </c>
      <c r="B391" s="225" t="s">
        <v>1109</v>
      </c>
      <c r="C391" s="100">
        <v>57233.17</v>
      </c>
    </row>
    <row r="392" spans="1:3">
      <c r="A392" s="225">
        <v>94121</v>
      </c>
      <c r="B392" s="225" t="s">
        <v>1110</v>
      </c>
      <c r="C392" s="100">
        <v>5240634.4200000009</v>
      </c>
    </row>
    <row r="393" spans="1:3">
      <c r="A393" s="225">
        <v>94127</v>
      </c>
      <c r="B393" s="225" t="s">
        <v>1111</v>
      </c>
      <c r="C393" s="100">
        <v>70092.83</v>
      </c>
    </row>
    <row r="394" spans="1:3">
      <c r="A394" s="225">
        <v>94131</v>
      </c>
      <c r="B394" s="225" t="s">
        <v>1112</v>
      </c>
      <c r="C394" s="100">
        <v>91155.82</v>
      </c>
    </row>
    <row r="395" spans="1:3">
      <c r="A395" s="225">
        <v>94151</v>
      </c>
      <c r="B395" s="225" t="s">
        <v>1113</v>
      </c>
      <c r="C395" s="100">
        <v>171244.06</v>
      </c>
    </row>
    <row r="396" spans="1:3">
      <c r="A396" s="225">
        <v>94157</v>
      </c>
      <c r="B396" s="225" t="s">
        <v>1114</v>
      </c>
      <c r="C396" s="100">
        <v>5185.84</v>
      </c>
    </row>
    <row r="397" spans="1:3">
      <c r="A397" s="225">
        <v>94161</v>
      </c>
      <c r="B397" s="225" t="s">
        <v>1115</v>
      </c>
      <c r="C397" s="100">
        <v>24924.69</v>
      </c>
    </row>
    <row r="398" spans="1:3">
      <c r="A398" s="225">
        <v>94168</v>
      </c>
      <c r="B398" s="225" t="s">
        <v>1116</v>
      </c>
      <c r="C398" s="100">
        <v>14686.17</v>
      </c>
    </row>
    <row r="399" spans="1:3">
      <c r="A399" s="225">
        <v>94171</v>
      </c>
      <c r="B399" s="225" t="s">
        <v>1117</v>
      </c>
      <c r="C399" s="100">
        <v>26827.68</v>
      </c>
    </row>
    <row r="400" spans="1:3">
      <c r="A400" s="225">
        <v>94172</v>
      </c>
      <c r="B400" s="225" t="s">
        <v>1118</v>
      </c>
      <c r="C400" s="100">
        <v>91552.690000000017</v>
      </c>
    </row>
    <row r="401" spans="1:3">
      <c r="A401" s="225">
        <v>94201</v>
      </c>
      <c r="B401" s="225" t="s">
        <v>1119</v>
      </c>
      <c r="C401" s="100">
        <v>1556105.08</v>
      </c>
    </row>
    <row r="402" spans="1:3">
      <c r="A402" s="225">
        <v>94204</v>
      </c>
      <c r="B402" s="225" t="s">
        <v>1120</v>
      </c>
      <c r="C402" s="100">
        <v>17428.339999999997</v>
      </c>
    </row>
    <row r="403" spans="1:3">
      <c r="A403" s="225">
        <v>94205</v>
      </c>
      <c r="B403" s="225" t="s">
        <v>1121</v>
      </c>
      <c r="C403" s="100">
        <v>11901.920000000002</v>
      </c>
    </row>
    <row r="404" spans="1:3">
      <c r="A404" s="225">
        <v>94209</v>
      </c>
      <c r="B404" s="225" t="s">
        <v>1122</v>
      </c>
      <c r="C404" s="100">
        <v>157002.72</v>
      </c>
    </row>
    <row r="405" spans="1:3">
      <c r="A405" s="225">
        <v>94211</v>
      </c>
      <c r="B405" s="225" t="s">
        <v>1123</v>
      </c>
      <c r="C405" s="100">
        <v>61663.42</v>
      </c>
    </row>
    <row r="406" spans="1:3">
      <c r="A406" s="225">
        <v>94221</v>
      </c>
      <c r="B406" s="225" t="s">
        <v>1124</v>
      </c>
      <c r="C406" s="100">
        <v>459327.54000000004</v>
      </c>
    </row>
    <row r="407" spans="1:3">
      <c r="A407" s="225">
        <v>94231</v>
      </c>
      <c r="B407" s="225" t="s">
        <v>1125</v>
      </c>
      <c r="C407" s="100">
        <v>101171.11</v>
      </c>
    </row>
    <row r="408" spans="1:3">
      <c r="A408" s="225">
        <v>94241</v>
      </c>
      <c r="B408" s="225" t="s">
        <v>1126</v>
      </c>
      <c r="C408" s="100">
        <v>53316.480000000003</v>
      </c>
    </row>
    <row r="409" spans="1:3">
      <c r="A409" s="225">
        <v>94251</v>
      </c>
      <c r="B409" s="225" t="s">
        <v>1127</v>
      </c>
      <c r="C409" s="100">
        <v>8455.2699999999986</v>
      </c>
    </row>
    <row r="410" spans="1:3">
      <c r="A410" s="225">
        <v>94261</v>
      </c>
      <c r="B410" s="225" t="s">
        <v>1128</v>
      </c>
      <c r="C410" s="100">
        <v>18725.829999999998</v>
      </c>
    </row>
    <row r="411" spans="1:3">
      <c r="A411" s="225">
        <v>94301</v>
      </c>
      <c r="B411" s="225" t="s">
        <v>1129</v>
      </c>
      <c r="C411" s="100">
        <v>2799559.67</v>
      </c>
    </row>
    <row r="412" spans="1:3">
      <c r="A412" s="225">
        <v>94311</v>
      </c>
      <c r="B412" s="225" t="s">
        <v>1130</v>
      </c>
      <c r="C412" s="100">
        <v>355079.11</v>
      </c>
    </row>
    <row r="413" spans="1:3">
      <c r="A413" s="225">
        <v>94313</v>
      </c>
      <c r="B413" s="225" t="s">
        <v>1131</v>
      </c>
      <c r="C413" s="100">
        <v>12662.720000000001</v>
      </c>
    </row>
    <row r="414" spans="1:3">
      <c r="A414" s="225">
        <v>94317</v>
      </c>
      <c r="B414" s="225" t="s">
        <v>1132</v>
      </c>
      <c r="C414" s="100">
        <v>9618.07</v>
      </c>
    </row>
    <row r="415" spans="1:3">
      <c r="A415" s="225">
        <v>94321</v>
      </c>
      <c r="B415" s="225" t="s">
        <v>1133</v>
      </c>
      <c r="C415" s="100">
        <v>115394.56999999999</v>
      </c>
    </row>
    <row r="416" spans="1:3">
      <c r="A416" s="225">
        <v>94331</v>
      </c>
      <c r="B416" s="225" t="s">
        <v>1134</v>
      </c>
      <c r="C416" s="100">
        <v>68283.989999999991</v>
      </c>
    </row>
    <row r="417" spans="1:3">
      <c r="A417" s="225">
        <v>94341</v>
      </c>
      <c r="B417" s="225" t="s">
        <v>1135</v>
      </c>
      <c r="C417" s="100">
        <v>38534.320000000007</v>
      </c>
    </row>
    <row r="418" spans="1:3">
      <c r="A418" s="225">
        <v>94347</v>
      </c>
      <c r="B418" s="225" t="s">
        <v>1136</v>
      </c>
      <c r="C418" s="100">
        <v>8690.85</v>
      </c>
    </row>
    <row r="419" spans="1:3">
      <c r="A419" s="225">
        <v>94351</v>
      </c>
      <c r="B419" s="225" t="s">
        <v>1137</v>
      </c>
      <c r="C419" s="100">
        <v>104638.5</v>
      </c>
    </row>
    <row r="420" spans="1:3">
      <c r="A420" s="225">
        <v>94401</v>
      </c>
      <c r="B420" s="225" t="s">
        <v>1138</v>
      </c>
      <c r="C420" s="100">
        <v>1551159.3999999997</v>
      </c>
    </row>
    <row r="421" spans="1:3">
      <c r="A421" s="225">
        <v>94403</v>
      </c>
      <c r="B421" s="225" t="s">
        <v>1140</v>
      </c>
      <c r="C421" s="100">
        <v>9903.66</v>
      </c>
    </row>
    <row r="422" spans="1:3">
      <c r="A422" s="225">
        <v>94408</v>
      </c>
      <c r="B422" s="225" t="s">
        <v>1141</v>
      </c>
      <c r="C422" s="100">
        <v>14750.309999999998</v>
      </c>
    </row>
    <row r="423" spans="1:3">
      <c r="A423" s="225">
        <v>94411</v>
      </c>
      <c r="B423" s="225" t="s">
        <v>1142</v>
      </c>
      <c r="C423" s="100">
        <v>555106.06000000006</v>
      </c>
    </row>
    <row r="424" spans="1:3">
      <c r="A424" s="225">
        <v>94412</v>
      </c>
      <c r="B424" s="225" t="s">
        <v>1143</v>
      </c>
      <c r="C424" s="100">
        <v>13059</v>
      </c>
    </row>
    <row r="425" spans="1:3">
      <c r="A425" s="225">
        <v>94421</v>
      </c>
      <c r="B425" s="225" t="s">
        <v>1144</v>
      </c>
      <c r="C425" s="100">
        <v>80768.41</v>
      </c>
    </row>
    <row r="426" spans="1:3">
      <c r="A426" s="225">
        <v>94427</v>
      </c>
      <c r="B426" s="225" t="s">
        <v>1145</v>
      </c>
      <c r="C426" s="100">
        <v>9339.9599999999991</v>
      </c>
    </row>
    <row r="427" spans="1:3">
      <c r="A427" s="225">
        <v>94428</v>
      </c>
      <c r="B427" s="225" t="s">
        <v>1146</v>
      </c>
      <c r="C427" s="100">
        <v>33460.42</v>
      </c>
    </row>
    <row r="428" spans="1:3">
      <c r="A428" s="225">
        <v>94431</v>
      </c>
      <c r="B428" s="225" t="s">
        <v>1147</v>
      </c>
      <c r="C428" s="100">
        <v>293285.85000000003</v>
      </c>
    </row>
    <row r="429" spans="1:3">
      <c r="A429" s="225">
        <v>94437</v>
      </c>
      <c r="B429" s="225" t="s">
        <v>1148</v>
      </c>
      <c r="C429" s="100">
        <v>12848.36</v>
      </c>
    </row>
    <row r="430" spans="1:3">
      <c r="A430" s="225">
        <v>94501</v>
      </c>
      <c r="B430" s="225" t="s">
        <v>1149</v>
      </c>
      <c r="C430" s="100">
        <v>2726192.4300000006</v>
      </c>
    </row>
    <row r="431" spans="1:3">
      <c r="A431" s="225">
        <v>94511</v>
      </c>
      <c r="B431" s="225" t="s">
        <v>1150</v>
      </c>
      <c r="C431" s="100">
        <v>773013.39999999991</v>
      </c>
    </row>
    <row r="432" spans="1:3">
      <c r="A432" s="225">
        <v>94517</v>
      </c>
      <c r="B432" s="225" t="s">
        <v>1152</v>
      </c>
      <c r="C432" s="100">
        <v>31749.57</v>
      </c>
    </row>
    <row r="433" spans="1:3">
      <c r="A433" s="225">
        <v>94521</v>
      </c>
      <c r="B433" s="225" t="s">
        <v>1153</v>
      </c>
      <c r="C433" s="100">
        <v>61288.84</v>
      </c>
    </row>
    <row r="434" spans="1:3">
      <c r="A434" s="225">
        <v>94527</v>
      </c>
      <c r="B434" s="225" t="s">
        <v>1154</v>
      </c>
      <c r="C434" s="100">
        <v>2381.9599999999996</v>
      </c>
    </row>
    <row r="435" spans="1:3">
      <c r="A435" s="225">
        <v>94531</v>
      </c>
      <c r="B435" s="225" t="s">
        <v>1155</v>
      </c>
      <c r="C435" s="100">
        <v>11395.84</v>
      </c>
    </row>
    <row r="436" spans="1:3">
      <c r="A436" s="225">
        <v>94532</v>
      </c>
      <c r="B436" s="225" t="s">
        <v>1156</v>
      </c>
      <c r="C436" s="100">
        <v>45014.320000000007</v>
      </c>
    </row>
    <row r="437" spans="1:3">
      <c r="A437" s="225">
        <v>94541</v>
      </c>
      <c r="B437" s="225" t="s">
        <v>1157</v>
      </c>
      <c r="C437" s="100">
        <v>124372.05</v>
      </c>
    </row>
    <row r="438" spans="1:3">
      <c r="A438" s="225">
        <v>94547</v>
      </c>
      <c r="B438" s="225" t="s">
        <v>1158</v>
      </c>
      <c r="C438" s="100">
        <v>8019.29</v>
      </c>
    </row>
    <row r="439" spans="1:3">
      <c r="A439" s="225">
        <v>94551</v>
      </c>
      <c r="B439" s="225" t="s">
        <v>1159</v>
      </c>
      <c r="C439" s="100">
        <v>24928.989999999998</v>
      </c>
    </row>
    <row r="440" spans="1:3">
      <c r="A440" s="225">
        <v>94601</v>
      </c>
      <c r="B440" s="225" t="s">
        <v>1160</v>
      </c>
      <c r="C440" s="100">
        <v>501425.24999999994</v>
      </c>
    </row>
    <row r="441" spans="1:3">
      <c r="A441" s="225">
        <v>94604</v>
      </c>
      <c r="B441" s="225" t="s">
        <v>1161</v>
      </c>
      <c r="C441" s="100">
        <v>14408.029999999997</v>
      </c>
    </row>
    <row r="442" spans="1:3">
      <c r="A442" s="225">
        <v>94606</v>
      </c>
      <c r="B442" s="225" t="s">
        <v>1162</v>
      </c>
      <c r="C442" s="100">
        <v>106916.28000000001</v>
      </c>
    </row>
    <row r="443" spans="1:3">
      <c r="A443" s="225">
        <v>94611</v>
      </c>
      <c r="B443" s="225" t="s">
        <v>1163</v>
      </c>
      <c r="C443" s="100">
        <v>191640.99</v>
      </c>
    </row>
    <row r="444" spans="1:3">
      <c r="A444" s="225">
        <v>94621</v>
      </c>
      <c r="B444" s="225" t="s">
        <v>1164</v>
      </c>
      <c r="C444" s="100">
        <v>66540.759999999995</v>
      </c>
    </row>
    <row r="445" spans="1:3">
      <c r="A445" s="225">
        <v>94631</v>
      </c>
      <c r="B445" s="225" t="s">
        <v>1165</v>
      </c>
      <c r="C445" s="100">
        <v>22452.62</v>
      </c>
    </row>
    <row r="446" spans="1:3">
      <c r="A446" s="225">
        <v>94641</v>
      </c>
      <c r="B446" s="225" t="s">
        <v>1166</v>
      </c>
      <c r="C446" s="100">
        <v>5004.1500000000005</v>
      </c>
    </row>
    <row r="447" spans="1:3">
      <c r="A447" s="225">
        <v>94701</v>
      </c>
      <c r="B447" s="225" t="s">
        <v>1167</v>
      </c>
      <c r="C447" s="100">
        <v>1148600.2299999997</v>
      </c>
    </row>
    <row r="448" spans="1:3">
      <c r="A448" s="225">
        <v>94704</v>
      </c>
      <c r="B448" s="225" t="s">
        <v>1168</v>
      </c>
      <c r="C448" s="100">
        <v>5070.34</v>
      </c>
    </row>
    <row r="449" spans="1:3">
      <c r="A449" s="225">
        <v>94711</v>
      </c>
      <c r="B449" s="225" t="s">
        <v>1169</v>
      </c>
      <c r="C449" s="100">
        <v>165327.16</v>
      </c>
    </row>
    <row r="450" spans="1:3">
      <c r="A450" s="225">
        <v>94801</v>
      </c>
      <c r="B450" s="225" t="s">
        <v>1170</v>
      </c>
      <c r="C450" s="100">
        <v>342416</v>
      </c>
    </row>
    <row r="451" spans="1:3">
      <c r="A451" s="225">
        <v>94804</v>
      </c>
      <c r="B451" s="225" t="s">
        <v>1171</v>
      </c>
      <c r="C451" s="100">
        <v>2740.2299999999996</v>
      </c>
    </row>
    <row r="452" spans="1:3">
      <c r="A452" s="225">
        <v>94812</v>
      </c>
      <c r="B452" s="225" t="s">
        <v>1172</v>
      </c>
      <c r="C452" s="100">
        <v>19657.82</v>
      </c>
    </row>
    <row r="453" spans="1:3">
      <c r="A453" s="225">
        <v>94901</v>
      </c>
      <c r="B453" s="225" t="s">
        <v>1173</v>
      </c>
      <c r="C453" s="100">
        <v>3201092.7600000002</v>
      </c>
    </row>
    <row r="454" spans="1:3">
      <c r="A454" s="225">
        <v>94908</v>
      </c>
      <c r="B454" s="225" t="s">
        <v>1174</v>
      </c>
      <c r="C454" s="100">
        <v>7868.0999999999976</v>
      </c>
    </row>
    <row r="455" spans="1:3">
      <c r="A455" s="225">
        <v>94911</v>
      </c>
      <c r="B455" s="225" t="s">
        <v>1175</v>
      </c>
      <c r="C455" s="100">
        <v>1295988.0899999996</v>
      </c>
    </row>
    <row r="456" spans="1:3">
      <c r="A456" s="225">
        <v>94917</v>
      </c>
      <c r="B456" s="225" t="s">
        <v>1176</v>
      </c>
      <c r="C456" s="100">
        <v>27131.370000000006</v>
      </c>
    </row>
    <row r="457" spans="1:3">
      <c r="A457" s="225">
        <v>94921</v>
      </c>
      <c r="B457" s="225" t="s">
        <v>1177</v>
      </c>
      <c r="C457" s="100">
        <v>1632572.15</v>
      </c>
    </row>
    <row r="458" spans="1:3">
      <c r="A458" s="225">
        <v>94923</v>
      </c>
      <c r="B458" s="225" t="s">
        <v>1178</v>
      </c>
      <c r="C458" s="100">
        <v>14810.389999999998</v>
      </c>
    </row>
    <row r="459" spans="1:3">
      <c r="A459" s="225">
        <v>94927</v>
      </c>
      <c r="B459" s="225" t="s">
        <v>1179</v>
      </c>
      <c r="C459" s="100">
        <v>17352.640000000003</v>
      </c>
    </row>
    <row r="460" spans="1:3">
      <c r="A460" s="225">
        <v>94931</v>
      </c>
      <c r="B460" s="225" t="s">
        <v>1180</v>
      </c>
      <c r="C460" s="100">
        <v>96301.56</v>
      </c>
    </row>
    <row r="461" spans="1:3">
      <c r="A461" s="225">
        <v>94941</v>
      </c>
      <c r="B461" s="225" t="s">
        <v>1181</v>
      </c>
      <c r="C461" s="100">
        <v>242953.81</v>
      </c>
    </row>
    <row r="462" spans="1:3">
      <c r="A462" s="225">
        <v>95001</v>
      </c>
      <c r="B462" s="225" t="s">
        <v>1182</v>
      </c>
      <c r="C462" s="100">
        <v>1196131.2100000002</v>
      </c>
    </row>
    <row r="463" spans="1:3">
      <c r="A463" s="225">
        <v>95002</v>
      </c>
      <c r="B463" s="225" t="s">
        <v>1183</v>
      </c>
      <c r="C463" s="100">
        <v>100854.15</v>
      </c>
    </row>
    <row r="464" spans="1:3">
      <c r="A464" s="225">
        <v>95005</v>
      </c>
      <c r="B464" s="225" t="s">
        <v>1184</v>
      </c>
      <c r="C464" s="100">
        <v>111066.47</v>
      </c>
    </row>
    <row r="465" spans="1:3">
      <c r="A465" s="225">
        <v>95008</v>
      </c>
      <c r="B465" s="225" t="s">
        <v>1185</v>
      </c>
      <c r="C465" s="100">
        <v>62834.27</v>
      </c>
    </row>
    <row r="466" spans="1:3">
      <c r="A466" s="225">
        <v>95009</v>
      </c>
      <c r="B466" s="225" t="s">
        <v>1186</v>
      </c>
      <c r="C466" s="100">
        <v>1917855.8800000001</v>
      </c>
    </row>
    <row r="467" spans="1:3">
      <c r="A467" s="225">
        <v>95011</v>
      </c>
      <c r="B467" s="225" t="s">
        <v>1187</v>
      </c>
      <c r="C467" s="100">
        <v>78934.12999999999</v>
      </c>
    </row>
    <row r="468" spans="1:3">
      <c r="A468" s="225">
        <v>95017</v>
      </c>
      <c r="B468" s="225" t="s">
        <v>1188</v>
      </c>
      <c r="C468" s="100">
        <v>15329.869999999999</v>
      </c>
    </row>
    <row r="469" spans="1:3">
      <c r="A469" s="225">
        <v>95101</v>
      </c>
      <c r="B469" s="225" t="s">
        <v>1189</v>
      </c>
      <c r="C469" s="100">
        <v>3555097.08</v>
      </c>
    </row>
    <row r="470" spans="1:3">
      <c r="A470" s="225">
        <v>95103</v>
      </c>
      <c r="B470" s="225" t="s">
        <v>1190</v>
      </c>
      <c r="C470" s="100">
        <v>33036.130000000005</v>
      </c>
    </row>
    <row r="471" spans="1:3">
      <c r="A471" s="225">
        <v>95104</v>
      </c>
      <c r="B471" s="225" t="s">
        <v>1191</v>
      </c>
      <c r="C471" s="100">
        <v>55855.62</v>
      </c>
    </row>
    <row r="472" spans="1:3">
      <c r="A472" s="225">
        <v>95105</v>
      </c>
      <c r="B472" s="225" t="s">
        <v>1192</v>
      </c>
      <c r="C472" s="100">
        <v>33363.379999999997</v>
      </c>
    </row>
    <row r="473" spans="1:3">
      <c r="A473" s="225">
        <v>95106</v>
      </c>
      <c r="B473" s="225" t="s">
        <v>1193</v>
      </c>
      <c r="C473" s="100">
        <v>5271.8500000000013</v>
      </c>
    </row>
    <row r="474" spans="1:3">
      <c r="A474" s="225">
        <v>95110</v>
      </c>
      <c r="B474" s="225" t="s">
        <v>1194</v>
      </c>
      <c r="C474" s="100">
        <v>1965505.0899999999</v>
      </c>
    </row>
    <row r="475" spans="1:3">
      <c r="A475" s="225">
        <v>95111</v>
      </c>
      <c r="B475" s="225" t="s">
        <v>1195</v>
      </c>
      <c r="C475" s="100">
        <v>470002.71</v>
      </c>
    </row>
    <row r="476" spans="1:3">
      <c r="A476" s="225">
        <v>95113</v>
      </c>
      <c r="B476" s="225" t="s">
        <v>1196</v>
      </c>
      <c r="C476" s="100">
        <v>66186.569999999992</v>
      </c>
    </row>
    <row r="477" spans="1:3">
      <c r="A477" s="225">
        <v>95121</v>
      </c>
      <c r="B477" s="225" t="s">
        <v>1197</v>
      </c>
      <c r="C477" s="100">
        <v>224753.49</v>
      </c>
    </row>
    <row r="478" spans="1:3">
      <c r="A478" s="225">
        <v>95122</v>
      </c>
      <c r="B478" s="225" t="s">
        <v>1198</v>
      </c>
      <c r="C478" s="100">
        <v>3102.9799999999996</v>
      </c>
    </row>
    <row r="479" spans="1:3">
      <c r="A479" s="225">
        <v>95123</v>
      </c>
      <c r="B479" s="225" t="s">
        <v>1199</v>
      </c>
      <c r="C479" s="100">
        <v>29190.510000000002</v>
      </c>
    </row>
    <row r="480" spans="1:3">
      <c r="A480" s="225">
        <v>95131</v>
      </c>
      <c r="B480" s="225" t="s">
        <v>1200</v>
      </c>
      <c r="C480" s="100">
        <v>749707.41</v>
      </c>
    </row>
    <row r="481" spans="1:3">
      <c r="A481" s="225">
        <v>95141</v>
      </c>
      <c r="B481" s="225" t="s">
        <v>1201</v>
      </c>
      <c r="C481" s="100">
        <v>131053.08999999998</v>
      </c>
    </row>
    <row r="482" spans="1:3">
      <c r="A482" s="225">
        <v>95151</v>
      </c>
      <c r="B482" s="225" t="s">
        <v>1202</v>
      </c>
      <c r="C482" s="100">
        <v>46662.899999999994</v>
      </c>
    </row>
    <row r="483" spans="1:3">
      <c r="A483" s="225">
        <v>95161</v>
      </c>
      <c r="B483" s="225" t="s">
        <v>1203</v>
      </c>
      <c r="C483" s="100">
        <v>38087.31</v>
      </c>
    </row>
    <row r="484" spans="1:3">
      <c r="A484" s="225">
        <v>95171</v>
      </c>
      <c r="B484" s="225" t="s">
        <v>1204</v>
      </c>
      <c r="C484" s="100">
        <v>53916.920000000006</v>
      </c>
    </row>
    <row r="485" spans="1:3">
      <c r="A485" s="225">
        <v>95181</v>
      </c>
      <c r="B485" s="225" t="s">
        <v>1205</v>
      </c>
      <c r="C485" s="100">
        <v>30098.97</v>
      </c>
    </row>
    <row r="486" spans="1:3">
      <c r="A486" s="225">
        <v>95191</v>
      </c>
      <c r="B486" s="225" t="s">
        <v>1206</v>
      </c>
      <c r="C486" s="100">
        <v>31310.749999999996</v>
      </c>
    </row>
    <row r="487" spans="1:3">
      <c r="A487" s="225">
        <v>95201</v>
      </c>
      <c r="B487" s="225" t="s">
        <v>1207</v>
      </c>
      <c r="C487" s="100">
        <v>303948.90000000002</v>
      </c>
    </row>
    <row r="488" spans="1:3">
      <c r="A488" s="225">
        <v>95204</v>
      </c>
      <c r="B488" s="225" t="s">
        <v>1208</v>
      </c>
      <c r="C488" s="100">
        <v>7225.91</v>
      </c>
    </row>
    <row r="489" spans="1:3">
      <c r="A489" s="225">
        <v>95205</v>
      </c>
      <c r="B489" s="225" t="s">
        <v>1209</v>
      </c>
      <c r="C489" s="100">
        <v>2455.0900000000006</v>
      </c>
    </row>
    <row r="490" spans="1:3">
      <c r="A490" s="225">
        <v>95211</v>
      </c>
      <c r="B490" s="225" t="s">
        <v>1210</v>
      </c>
      <c r="C490" s="100">
        <v>4221.8500000000013</v>
      </c>
    </row>
    <row r="491" spans="1:3">
      <c r="A491" s="225">
        <v>95221</v>
      </c>
      <c r="B491" s="225" t="s">
        <v>1211</v>
      </c>
      <c r="C491" s="100">
        <v>20360.849999999999</v>
      </c>
    </row>
    <row r="492" spans="1:3">
      <c r="A492" s="225">
        <v>95301</v>
      </c>
      <c r="B492" s="225" t="s">
        <v>1212</v>
      </c>
      <c r="C492" s="100">
        <v>1141657.08</v>
      </c>
    </row>
    <row r="493" spans="1:3">
      <c r="A493" s="225">
        <v>95311</v>
      </c>
      <c r="B493" s="225" t="s">
        <v>1213</v>
      </c>
      <c r="C493" s="100">
        <v>1275633.6600000001</v>
      </c>
    </row>
    <row r="494" spans="1:3">
      <c r="A494" s="225">
        <v>95317</v>
      </c>
      <c r="B494" s="225" t="s">
        <v>1214</v>
      </c>
      <c r="C494" s="100">
        <v>27510.729999999996</v>
      </c>
    </row>
    <row r="495" spans="1:3">
      <c r="A495" s="225">
        <v>95321</v>
      </c>
      <c r="B495" s="225" t="s">
        <v>1215</v>
      </c>
      <c r="C495" s="100">
        <v>27222.019999999997</v>
      </c>
    </row>
    <row r="496" spans="1:3">
      <c r="A496" s="225">
        <v>95401</v>
      </c>
      <c r="B496" s="225" t="s">
        <v>1216</v>
      </c>
      <c r="C496" s="100">
        <v>1351002.1300000001</v>
      </c>
    </row>
    <row r="497" spans="1:3">
      <c r="A497" s="225">
        <v>95404</v>
      </c>
      <c r="B497" s="225" t="s">
        <v>1217</v>
      </c>
      <c r="C497" s="100">
        <v>22122.720000000001</v>
      </c>
    </row>
    <row r="498" spans="1:3">
      <c r="A498" s="225">
        <v>95405</v>
      </c>
      <c r="B498" s="225" t="s">
        <v>1218</v>
      </c>
      <c r="C498" s="100">
        <v>17052.539999999997</v>
      </c>
    </row>
    <row r="499" spans="1:3">
      <c r="A499" s="225">
        <v>95411</v>
      </c>
      <c r="B499" s="225" t="s">
        <v>1219</v>
      </c>
      <c r="C499" s="100">
        <v>1058017.01</v>
      </c>
    </row>
    <row r="500" spans="1:3">
      <c r="A500" s="225">
        <v>95413</v>
      </c>
      <c r="B500" s="225" t="s">
        <v>1221</v>
      </c>
      <c r="C500" s="100">
        <v>285392.24</v>
      </c>
    </row>
    <row r="501" spans="1:3">
      <c r="A501" s="225">
        <v>95415</v>
      </c>
      <c r="B501" s="225" t="s">
        <v>1222</v>
      </c>
      <c r="C501" s="100">
        <v>28157.95</v>
      </c>
    </row>
    <row r="502" spans="1:3">
      <c r="A502" s="225">
        <v>95421</v>
      </c>
      <c r="B502" s="225" t="s">
        <v>1223</v>
      </c>
      <c r="C502" s="100">
        <v>18384.72</v>
      </c>
    </row>
    <row r="503" spans="1:3">
      <c r="A503" s="225">
        <v>95431</v>
      </c>
      <c r="B503" s="225" t="s">
        <v>1224</v>
      </c>
      <c r="C503" s="100">
        <v>61885.41</v>
      </c>
    </row>
    <row r="504" spans="1:3">
      <c r="A504" s="225">
        <v>95501</v>
      </c>
      <c r="B504" s="225" t="s">
        <v>1225</v>
      </c>
      <c r="C504" s="100">
        <v>2104813.36</v>
      </c>
    </row>
    <row r="505" spans="1:3">
      <c r="A505" s="225">
        <v>95504</v>
      </c>
      <c r="B505" s="225" t="s">
        <v>1226</v>
      </c>
      <c r="C505" s="100">
        <v>9296.76</v>
      </c>
    </row>
    <row r="506" spans="1:3">
      <c r="A506" s="225">
        <v>95511</v>
      </c>
      <c r="B506" s="225" t="s">
        <v>1227</v>
      </c>
      <c r="C506" s="100">
        <v>484187.91000000003</v>
      </c>
    </row>
    <row r="507" spans="1:3">
      <c r="A507" s="225">
        <v>95513</v>
      </c>
      <c r="B507" s="225" t="s">
        <v>1228</v>
      </c>
      <c r="C507" s="100">
        <v>31793.059999999998</v>
      </c>
    </row>
    <row r="508" spans="1:3">
      <c r="A508" s="225">
        <v>95517</v>
      </c>
      <c r="B508" s="225" t="s">
        <v>1229</v>
      </c>
      <c r="C508" s="100">
        <v>15695.159999999998</v>
      </c>
    </row>
    <row r="509" spans="1:3">
      <c r="A509" s="225">
        <v>95601</v>
      </c>
      <c r="B509" s="225" t="s">
        <v>1230</v>
      </c>
      <c r="C509" s="100">
        <v>1208852.72</v>
      </c>
    </row>
    <row r="510" spans="1:3">
      <c r="A510" s="225">
        <v>95611</v>
      </c>
      <c r="B510" s="225" t="s">
        <v>1231</v>
      </c>
      <c r="C510" s="100">
        <v>186383.46999999997</v>
      </c>
    </row>
    <row r="511" spans="1:3">
      <c r="A511" s="225">
        <v>95617</v>
      </c>
      <c r="B511" s="225" t="s">
        <v>1232</v>
      </c>
      <c r="C511" s="100">
        <v>8201.3799999999992</v>
      </c>
    </row>
    <row r="512" spans="1:3">
      <c r="A512" s="225">
        <v>95621</v>
      </c>
      <c r="B512" s="225" t="s">
        <v>1233</v>
      </c>
      <c r="C512" s="100">
        <v>227836.40000000002</v>
      </c>
    </row>
    <row r="513" spans="1:3">
      <c r="A513" s="225">
        <v>95701</v>
      </c>
      <c r="B513" s="225" t="s">
        <v>1234</v>
      </c>
      <c r="C513" s="100">
        <v>600622.13</v>
      </c>
    </row>
    <row r="514" spans="1:3">
      <c r="A514" s="225">
        <v>95711</v>
      </c>
      <c r="B514" s="225" t="s">
        <v>1235</v>
      </c>
      <c r="C514" s="100">
        <v>55784.89</v>
      </c>
    </row>
    <row r="515" spans="1:3">
      <c r="A515" s="225">
        <v>95721</v>
      </c>
      <c r="B515" s="225" t="s">
        <v>1236</v>
      </c>
      <c r="C515" s="100">
        <v>25093.100000000002</v>
      </c>
    </row>
    <row r="516" spans="1:3">
      <c r="A516" s="225">
        <v>95733</v>
      </c>
      <c r="B516" s="225" t="s">
        <v>1237</v>
      </c>
      <c r="C516" s="100">
        <v>6897.59</v>
      </c>
    </row>
    <row r="517" spans="1:3">
      <c r="A517" s="225">
        <v>95801</v>
      </c>
      <c r="B517" s="225" t="s">
        <v>1238</v>
      </c>
      <c r="C517" s="100">
        <v>449778.57</v>
      </c>
    </row>
    <row r="518" spans="1:3">
      <c r="A518" s="225">
        <v>95802</v>
      </c>
      <c r="B518" s="225" t="s">
        <v>1239</v>
      </c>
      <c r="C518" s="100">
        <v>5123.8600000000006</v>
      </c>
    </row>
    <row r="519" spans="1:3">
      <c r="A519" s="225">
        <v>95804</v>
      </c>
      <c r="B519" s="225" t="s">
        <v>1240</v>
      </c>
      <c r="C519" s="100">
        <v>7566.2199999999993</v>
      </c>
    </row>
    <row r="520" spans="1:3">
      <c r="A520" s="225">
        <v>95811</v>
      </c>
      <c r="B520" s="225" t="s">
        <v>1241</v>
      </c>
      <c r="C520" s="100">
        <v>243909.30000000002</v>
      </c>
    </row>
    <row r="521" spans="1:3">
      <c r="A521" s="225">
        <v>95813</v>
      </c>
      <c r="B521" s="225" t="s">
        <v>1242</v>
      </c>
      <c r="C521" s="100">
        <v>63298.64</v>
      </c>
    </row>
    <row r="522" spans="1:3">
      <c r="A522" s="225">
        <v>95821</v>
      </c>
      <c r="B522" s="225" t="s">
        <v>1243</v>
      </c>
      <c r="C522" s="100">
        <v>609.75</v>
      </c>
    </row>
    <row r="523" spans="1:3">
      <c r="A523" s="225">
        <v>95831</v>
      </c>
      <c r="B523" s="225" t="s">
        <v>1244</v>
      </c>
      <c r="C523" s="100">
        <v>22033.83</v>
      </c>
    </row>
    <row r="524" spans="1:3">
      <c r="A524" s="225">
        <v>95841</v>
      </c>
      <c r="B524" s="225" t="s">
        <v>1245</v>
      </c>
      <c r="C524" s="100">
        <v>10804.930000000002</v>
      </c>
    </row>
    <row r="525" spans="1:3">
      <c r="A525" s="225">
        <v>95851</v>
      </c>
      <c r="B525" s="225" t="s">
        <v>1246</v>
      </c>
      <c r="C525" s="100">
        <v>142459.17000000001</v>
      </c>
    </row>
    <row r="526" spans="1:3">
      <c r="A526" s="225">
        <v>95853</v>
      </c>
      <c r="B526" s="225" t="s">
        <v>1247</v>
      </c>
      <c r="C526" s="100">
        <v>14343.84</v>
      </c>
    </row>
    <row r="527" spans="1:3">
      <c r="A527" s="225">
        <v>95901</v>
      </c>
      <c r="B527" s="225" t="s">
        <v>1248</v>
      </c>
      <c r="C527" s="100">
        <v>815701.69</v>
      </c>
    </row>
    <row r="528" spans="1:3">
      <c r="A528" s="225">
        <v>95908</v>
      </c>
      <c r="B528" s="225" t="s">
        <v>1249</v>
      </c>
      <c r="C528" s="100">
        <v>24597.75</v>
      </c>
    </row>
    <row r="529" spans="1:3">
      <c r="A529" s="225">
        <v>95911</v>
      </c>
      <c r="B529" s="225" t="s">
        <v>1250</v>
      </c>
      <c r="C529" s="100">
        <v>244844.94000000006</v>
      </c>
    </row>
    <row r="530" spans="1:3">
      <c r="A530" s="225">
        <v>95917</v>
      </c>
      <c r="B530" s="225" t="s">
        <v>1251</v>
      </c>
      <c r="C530" s="100">
        <v>11000.839999999998</v>
      </c>
    </row>
    <row r="531" spans="1:3">
      <c r="A531" s="225">
        <v>95921</v>
      </c>
      <c r="B531" s="225" t="s">
        <v>1252</v>
      </c>
      <c r="C531" s="100">
        <v>19771.79</v>
      </c>
    </row>
    <row r="532" spans="1:3">
      <c r="A532" s="225">
        <v>96001</v>
      </c>
      <c r="B532" s="225" t="s">
        <v>1253</v>
      </c>
      <c r="C532" s="100">
        <v>20012604.810000002</v>
      </c>
    </row>
    <row r="533" spans="1:3">
      <c r="A533" s="225">
        <v>96003</v>
      </c>
      <c r="B533" s="225" t="s">
        <v>1254</v>
      </c>
      <c r="C533" s="100">
        <v>743373.24000000011</v>
      </c>
    </row>
    <row r="534" spans="1:3">
      <c r="A534" s="225">
        <v>96004</v>
      </c>
      <c r="B534" s="225" t="s">
        <v>1255</v>
      </c>
      <c r="C534" s="100">
        <v>462351.75999999995</v>
      </c>
    </row>
    <row r="535" spans="1:3">
      <c r="A535" s="225">
        <v>96005</v>
      </c>
      <c r="B535" s="225" t="s">
        <v>1256</v>
      </c>
      <c r="C535" s="100">
        <v>1240289.72</v>
      </c>
    </row>
    <row r="536" spans="1:3">
      <c r="A536" s="225">
        <v>96008</v>
      </c>
      <c r="B536" s="225" t="s">
        <v>1257</v>
      </c>
      <c r="C536" s="100">
        <v>2075075.95</v>
      </c>
    </row>
    <row r="537" spans="1:3">
      <c r="A537" s="225">
        <v>96009</v>
      </c>
      <c r="B537" s="225" t="s">
        <v>1258</v>
      </c>
      <c r="C537" s="100">
        <v>192063.00000000003</v>
      </c>
    </row>
    <row r="538" spans="1:3">
      <c r="A538" s="225">
        <v>96011</v>
      </c>
      <c r="B538" s="225" t="s">
        <v>1259</v>
      </c>
      <c r="C538" s="100">
        <v>28379211.379999995</v>
      </c>
    </row>
    <row r="539" spans="1:3">
      <c r="A539" s="225">
        <v>96012</v>
      </c>
      <c r="B539" s="225" t="s">
        <v>1260</v>
      </c>
      <c r="C539" s="100">
        <v>1092788.4099999999</v>
      </c>
    </row>
    <row r="540" spans="1:3">
      <c r="A540" s="225">
        <v>96018</v>
      </c>
      <c r="B540" s="225" t="s">
        <v>1261</v>
      </c>
      <c r="C540" s="100">
        <v>18034.45</v>
      </c>
    </row>
    <row r="541" spans="1:3">
      <c r="A541" s="225">
        <v>96021</v>
      </c>
      <c r="B541" s="225" t="s">
        <v>1262</v>
      </c>
      <c r="C541" s="100">
        <v>327690.39</v>
      </c>
    </row>
    <row r="542" spans="1:3">
      <c r="A542" s="225">
        <v>96031</v>
      </c>
      <c r="B542" s="225" t="s">
        <v>1263</v>
      </c>
      <c r="C542" s="100">
        <v>325475.47000000003</v>
      </c>
    </row>
    <row r="543" spans="1:3">
      <c r="A543" s="225">
        <v>96041</v>
      </c>
      <c r="B543" s="225" t="s">
        <v>1264</v>
      </c>
      <c r="C543" s="100">
        <v>721544.05</v>
      </c>
    </row>
    <row r="544" spans="1:3">
      <c r="A544" s="225">
        <v>96051</v>
      </c>
      <c r="B544" s="225" t="s">
        <v>1265</v>
      </c>
      <c r="C544" s="100">
        <v>418345.63999999996</v>
      </c>
    </row>
    <row r="545" spans="1:3">
      <c r="A545" s="225">
        <v>96061</v>
      </c>
      <c r="B545" s="225" t="s">
        <v>1266</v>
      </c>
      <c r="C545" s="100">
        <v>154987.99</v>
      </c>
    </row>
    <row r="546" spans="1:3">
      <c r="A546" s="225">
        <v>96071</v>
      </c>
      <c r="B546" s="225" t="s">
        <v>1267</v>
      </c>
      <c r="C546" s="100">
        <v>554008.97</v>
      </c>
    </row>
    <row r="547" spans="1:3">
      <c r="A547" s="225">
        <v>96081</v>
      </c>
      <c r="B547" s="225" t="s">
        <v>1268</v>
      </c>
      <c r="C547" s="100">
        <v>211520.19</v>
      </c>
    </row>
    <row r="548" spans="1:3">
      <c r="A548" s="225">
        <v>96101</v>
      </c>
      <c r="B548" s="225" t="s">
        <v>1269</v>
      </c>
      <c r="C548" s="100">
        <v>371540.89999999997</v>
      </c>
    </row>
    <row r="549" spans="1:3">
      <c r="A549" s="225">
        <v>96102</v>
      </c>
      <c r="B549" s="225" t="s">
        <v>1270</v>
      </c>
      <c r="C549" s="100">
        <v>5077.9400000000005</v>
      </c>
    </row>
    <row r="550" spans="1:3">
      <c r="A550" s="225">
        <v>96111</v>
      </c>
      <c r="B550" s="225" t="s">
        <v>1271</v>
      </c>
      <c r="C550" s="100">
        <v>74819.210000000006</v>
      </c>
    </row>
    <row r="551" spans="1:3">
      <c r="A551" s="225">
        <v>96121</v>
      </c>
      <c r="B551" s="225" t="s">
        <v>1272</v>
      </c>
      <c r="C551" s="100">
        <v>9052.41</v>
      </c>
    </row>
    <row r="552" spans="1:3">
      <c r="A552" s="225">
        <v>96201</v>
      </c>
      <c r="B552" s="225" t="s">
        <v>1273</v>
      </c>
      <c r="C552" s="100">
        <v>527645.28999999992</v>
      </c>
    </row>
    <row r="553" spans="1:3">
      <c r="A553" s="225">
        <v>96204</v>
      </c>
      <c r="B553" s="225" t="s">
        <v>1274</v>
      </c>
      <c r="C553" s="100">
        <v>8503.01</v>
      </c>
    </row>
    <row r="554" spans="1:3">
      <c r="A554" s="225">
        <v>96211</v>
      </c>
      <c r="B554" s="225" t="s">
        <v>1275</v>
      </c>
      <c r="C554" s="100">
        <v>16678.379999999997</v>
      </c>
    </row>
    <row r="555" spans="1:3">
      <c r="A555" s="225">
        <v>96221</v>
      </c>
      <c r="B555" s="225" t="s">
        <v>1276</v>
      </c>
      <c r="C555" s="100">
        <v>98415.24</v>
      </c>
    </row>
    <row r="556" spans="1:3">
      <c r="A556" s="225">
        <v>96231</v>
      </c>
      <c r="B556" s="225" t="s">
        <v>1277</v>
      </c>
      <c r="C556" s="100">
        <v>48595.12</v>
      </c>
    </row>
    <row r="557" spans="1:3">
      <c r="A557" s="225">
        <v>96241</v>
      </c>
      <c r="B557" s="225" t="s">
        <v>1278</v>
      </c>
      <c r="C557" s="100">
        <v>22791.16</v>
      </c>
    </row>
    <row r="558" spans="1:3">
      <c r="A558" s="225">
        <v>96251</v>
      </c>
      <c r="B558" s="225" t="s">
        <v>1279</v>
      </c>
      <c r="C558" s="100">
        <v>36737.410000000003</v>
      </c>
    </row>
    <row r="559" spans="1:3">
      <c r="A559" s="225">
        <v>96301</v>
      </c>
      <c r="B559" s="225" t="s">
        <v>1280</v>
      </c>
      <c r="C559" s="100">
        <v>1938349.7399999998</v>
      </c>
    </row>
    <row r="560" spans="1:3">
      <c r="A560" s="225">
        <v>96302</v>
      </c>
      <c r="B560" s="225" t="s">
        <v>1281</v>
      </c>
      <c r="C560" s="100">
        <v>12120.929999999998</v>
      </c>
    </row>
    <row r="561" spans="1:3">
      <c r="A561" s="225">
        <v>96304</v>
      </c>
      <c r="B561" s="225" t="s">
        <v>1282</v>
      </c>
      <c r="C561" s="100">
        <v>27293.760000000002</v>
      </c>
    </row>
    <row r="562" spans="1:3">
      <c r="A562" s="225">
        <v>96305</v>
      </c>
      <c r="B562" s="225" t="s">
        <v>1283</v>
      </c>
      <c r="C562" s="100">
        <v>30519.599999999999</v>
      </c>
    </row>
    <row r="563" spans="1:3">
      <c r="A563" s="225">
        <v>96310</v>
      </c>
      <c r="B563" s="225" t="s">
        <v>1284</v>
      </c>
      <c r="C563" s="100">
        <v>26766.78</v>
      </c>
    </row>
    <row r="564" spans="1:3">
      <c r="A564" s="225">
        <v>96311</v>
      </c>
      <c r="B564" s="225" t="s">
        <v>1285</v>
      </c>
      <c r="C564" s="100">
        <v>595123.57999999996</v>
      </c>
    </row>
    <row r="565" spans="1:3">
      <c r="A565" s="225">
        <v>96312</v>
      </c>
      <c r="B565" s="225" t="s">
        <v>1286</v>
      </c>
      <c r="C565" s="100">
        <v>4819.92</v>
      </c>
    </row>
    <row r="566" spans="1:3">
      <c r="A566" s="225">
        <v>96318</v>
      </c>
      <c r="B566" s="225" t="s">
        <v>1287</v>
      </c>
      <c r="C566" s="100">
        <v>1061237.49</v>
      </c>
    </row>
    <row r="567" spans="1:3">
      <c r="A567" s="225">
        <v>96321</v>
      </c>
      <c r="B567" s="225" t="s">
        <v>1288</v>
      </c>
      <c r="C567" s="100">
        <v>18736.629999999997</v>
      </c>
    </row>
    <row r="568" spans="1:3">
      <c r="A568" s="225">
        <v>96331</v>
      </c>
      <c r="B568" s="225" t="s">
        <v>1289</v>
      </c>
      <c r="C568" s="100">
        <v>321182.36000000004</v>
      </c>
    </row>
    <row r="569" spans="1:3">
      <c r="A569" s="225">
        <v>96341</v>
      </c>
      <c r="B569" s="225" t="s">
        <v>1290</v>
      </c>
      <c r="C569" s="100">
        <v>35035.769999999997</v>
      </c>
    </row>
    <row r="570" spans="1:3">
      <c r="A570" s="225">
        <v>96351</v>
      </c>
      <c r="B570" s="225" t="s">
        <v>1291</v>
      </c>
      <c r="C570" s="100">
        <v>488440.63</v>
      </c>
    </row>
    <row r="571" spans="1:3">
      <c r="A571" s="225">
        <v>96361</v>
      </c>
      <c r="B571" s="225" t="s">
        <v>1292</v>
      </c>
      <c r="C571" s="100">
        <v>24289.03</v>
      </c>
    </row>
    <row r="572" spans="1:3">
      <c r="A572" s="225">
        <v>96371</v>
      </c>
      <c r="B572" s="225" t="s">
        <v>1293</v>
      </c>
      <c r="C572" s="100">
        <v>67275.76999999999</v>
      </c>
    </row>
    <row r="573" spans="1:3">
      <c r="A573" s="225">
        <v>96381</v>
      </c>
      <c r="B573" s="225" t="s">
        <v>1294</v>
      </c>
      <c r="C573" s="100">
        <v>15357.089999999997</v>
      </c>
    </row>
    <row r="574" spans="1:3">
      <c r="A574" s="225">
        <v>96391</v>
      </c>
      <c r="B574" s="225" t="s">
        <v>1295</v>
      </c>
      <c r="C574" s="100">
        <v>74519.070000000007</v>
      </c>
    </row>
    <row r="575" spans="1:3">
      <c r="A575" s="225">
        <v>96401</v>
      </c>
      <c r="B575" s="225" t="s">
        <v>1296</v>
      </c>
      <c r="C575" s="100">
        <v>2040109.23</v>
      </c>
    </row>
    <row r="576" spans="1:3">
      <c r="A576" s="225">
        <v>96404</v>
      </c>
      <c r="B576" s="225" t="s">
        <v>1297</v>
      </c>
      <c r="C576" s="100">
        <v>57854.709999999992</v>
      </c>
    </row>
    <row r="577" spans="1:3">
      <c r="A577" s="225">
        <v>96405</v>
      </c>
      <c r="B577" s="225" t="s">
        <v>1298</v>
      </c>
      <c r="C577" s="100">
        <v>86618.239999999991</v>
      </c>
    </row>
    <row r="578" spans="1:3">
      <c r="A578" s="225">
        <v>96411</v>
      </c>
      <c r="B578" s="225" t="s">
        <v>1299</v>
      </c>
      <c r="C578" s="100">
        <v>28784.39</v>
      </c>
    </row>
    <row r="579" spans="1:3">
      <c r="A579" s="225">
        <v>96421</v>
      </c>
      <c r="B579" s="225" t="s">
        <v>1300</v>
      </c>
      <c r="C579" s="100">
        <v>170403.58000000002</v>
      </c>
    </row>
    <row r="580" spans="1:3">
      <c r="A580" s="225">
        <v>96431</v>
      </c>
      <c r="B580" s="225" t="s">
        <v>1301</v>
      </c>
      <c r="C580" s="100">
        <v>21289.47</v>
      </c>
    </row>
    <row r="581" spans="1:3">
      <c r="A581" s="225">
        <v>96441</v>
      </c>
      <c r="B581" s="225" t="s">
        <v>1302</v>
      </c>
      <c r="C581" s="100">
        <v>18706.769999999997</v>
      </c>
    </row>
    <row r="582" spans="1:3">
      <c r="A582" s="225">
        <v>96451</v>
      </c>
      <c r="B582" s="225" t="s">
        <v>1303</v>
      </c>
      <c r="C582" s="100">
        <v>8566.18</v>
      </c>
    </row>
    <row r="583" spans="1:3">
      <c r="A583" s="225">
        <v>96461</v>
      </c>
      <c r="B583" s="225" t="s">
        <v>1304</v>
      </c>
      <c r="C583" s="100">
        <v>63932.05999999999</v>
      </c>
    </row>
    <row r="584" spans="1:3">
      <c r="A584" s="225">
        <v>96501</v>
      </c>
      <c r="B584" s="225" t="s">
        <v>1305</v>
      </c>
      <c r="C584" s="100">
        <v>6399555.9400000004</v>
      </c>
    </row>
    <row r="585" spans="1:3">
      <c r="A585" s="225">
        <v>96502</v>
      </c>
      <c r="B585" s="225" t="s">
        <v>1306</v>
      </c>
      <c r="C585" s="100">
        <v>198105.11</v>
      </c>
    </row>
    <row r="586" spans="1:3">
      <c r="A586" s="225">
        <v>96503</v>
      </c>
      <c r="B586" s="225" t="s">
        <v>1307</v>
      </c>
      <c r="C586" s="100">
        <v>293862.68000000005</v>
      </c>
    </row>
    <row r="587" spans="1:3">
      <c r="A587" s="225">
        <v>96504</v>
      </c>
      <c r="B587" s="225" t="s">
        <v>1308</v>
      </c>
      <c r="C587" s="100">
        <v>189891.95</v>
      </c>
    </row>
    <row r="588" spans="1:3">
      <c r="A588" s="225">
        <v>96507</v>
      </c>
      <c r="B588" s="225" t="s">
        <v>1309</v>
      </c>
      <c r="C588" s="100">
        <v>1026624.38</v>
      </c>
    </row>
    <row r="589" spans="1:3">
      <c r="A589" s="225">
        <v>96508</v>
      </c>
      <c r="B589" s="225" t="s">
        <v>1310</v>
      </c>
      <c r="C589" s="100">
        <v>11086.08</v>
      </c>
    </row>
    <row r="590" spans="1:3">
      <c r="A590" s="225">
        <v>96511</v>
      </c>
      <c r="B590" s="225" t="s">
        <v>1311</v>
      </c>
      <c r="C590" s="100">
        <v>276057.34999999998</v>
      </c>
    </row>
    <row r="591" spans="1:3">
      <c r="A591" s="225">
        <v>96512</v>
      </c>
      <c r="B591" s="225" t="s">
        <v>1312</v>
      </c>
      <c r="C591" s="100">
        <v>72714.91</v>
      </c>
    </row>
    <row r="592" spans="1:3">
      <c r="A592" s="225">
        <v>96521</v>
      </c>
      <c r="B592" s="225" t="s">
        <v>1313</v>
      </c>
      <c r="C592" s="100">
        <v>408177.79</v>
      </c>
    </row>
    <row r="593" spans="1:3">
      <c r="A593" s="225">
        <v>96531</v>
      </c>
      <c r="B593" s="225" t="s">
        <v>1314</v>
      </c>
      <c r="C593" s="100">
        <v>3779880.6199999996</v>
      </c>
    </row>
    <row r="594" spans="1:3">
      <c r="A594" s="225">
        <v>96541</v>
      </c>
      <c r="B594" s="225" t="s">
        <v>1315</v>
      </c>
      <c r="C594" s="100">
        <v>156792.44</v>
      </c>
    </row>
    <row r="595" spans="1:3">
      <c r="A595" s="225">
        <v>96601</v>
      </c>
      <c r="B595" s="225" t="s">
        <v>1316</v>
      </c>
      <c r="C595" s="100">
        <v>878871.7100000002</v>
      </c>
    </row>
    <row r="596" spans="1:3">
      <c r="A596" s="225">
        <v>96604</v>
      </c>
      <c r="B596" s="225" t="s">
        <v>1317</v>
      </c>
      <c r="C596" s="100">
        <v>5010.91</v>
      </c>
    </row>
    <row r="597" spans="1:3">
      <c r="A597" s="225">
        <v>96611</v>
      </c>
      <c r="B597" s="225" t="s">
        <v>1318</v>
      </c>
      <c r="C597" s="100">
        <v>12016.16</v>
      </c>
    </row>
    <row r="598" spans="1:3">
      <c r="A598" s="225">
        <v>96612</v>
      </c>
      <c r="B598" s="225" t="s">
        <v>1319</v>
      </c>
      <c r="C598" s="100">
        <v>32834.22</v>
      </c>
    </row>
    <row r="599" spans="1:3">
      <c r="A599" s="225">
        <v>96621</v>
      </c>
      <c r="B599" s="225" t="s">
        <v>1320</v>
      </c>
      <c r="C599" s="100">
        <v>13235.42</v>
      </c>
    </row>
    <row r="600" spans="1:3">
      <c r="A600" s="225">
        <v>96631</v>
      </c>
      <c r="B600" s="225" t="s">
        <v>1321</v>
      </c>
      <c r="C600" s="100">
        <v>11904.52</v>
      </c>
    </row>
    <row r="601" spans="1:3">
      <c r="A601" s="225">
        <v>96641</v>
      </c>
      <c r="B601" s="225" t="s">
        <v>1322</v>
      </c>
      <c r="C601" s="100">
        <v>20865.260000000002</v>
      </c>
    </row>
    <row r="602" spans="1:3">
      <c r="A602" s="225">
        <v>96651</v>
      </c>
      <c r="B602" s="225" t="s">
        <v>1323</v>
      </c>
      <c r="C602" s="100">
        <v>11419.39</v>
      </c>
    </row>
    <row r="603" spans="1:3">
      <c r="A603" s="225">
        <v>96661</v>
      </c>
      <c r="B603" s="225" t="s">
        <v>1324</v>
      </c>
      <c r="C603" s="100">
        <v>10399.49</v>
      </c>
    </row>
    <row r="604" spans="1:3">
      <c r="A604" s="225">
        <v>96671</v>
      </c>
      <c r="B604" s="225" t="s">
        <v>1325</v>
      </c>
      <c r="C604" s="100">
        <v>8399.93</v>
      </c>
    </row>
    <row r="605" spans="1:3">
      <c r="A605" s="225">
        <v>96681</v>
      </c>
      <c r="B605" s="225" t="s">
        <v>1326</v>
      </c>
      <c r="C605" s="100">
        <v>12178.619999999999</v>
      </c>
    </row>
    <row r="606" spans="1:3">
      <c r="A606" s="225">
        <v>96701</v>
      </c>
      <c r="B606" s="225" t="s">
        <v>1327</v>
      </c>
      <c r="C606" s="100">
        <v>3657207.7199999997</v>
      </c>
    </row>
    <row r="607" spans="1:3">
      <c r="A607" s="225">
        <v>96704</v>
      </c>
      <c r="B607" s="225" t="s">
        <v>1328</v>
      </c>
      <c r="C607" s="100">
        <v>92320.030000000013</v>
      </c>
    </row>
    <row r="608" spans="1:3">
      <c r="A608" s="225">
        <v>96708</v>
      </c>
      <c r="B608" s="225" t="s">
        <v>1329</v>
      </c>
      <c r="C608" s="100">
        <v>441727.00000000006</v>
      </c>
    </row>
    <row r="609" spans="1:3">
      <c r="A609" s="225">
        <v>96711</v>
      </c>
      <c r="B609" s="225" t="s">
        <v>1330</v>
      </c>
      <c r="C609" s="100">
        <v>1869918</v>
      </c>
    </row>
    <row r="610" spans="1:3">
      <c r="A610" s="225">
        <v>96721</v>
      </c>
      <c r="B610" s="225" t="s">
        <v>1331</v>
      </c>
      <c r="C610" s="100">
        <v>96163.239999999991</v>
      </c>
    </row>
    <row r="611" spans="1:3">
      <c r="A611" s="225">
        <v>96731</v>
      </c>
      <c r="B611" s="225" t="s">
        <v>1332</v>
      </c>
      <c r="C611" s="100">
        <v>72355.61</v>
      </c>
    </row>
    <row r="612" spans="1:3">
      <c r="A612" s="225">
        <v>96733</v>
      </c>
      <c r="B612" s="225" t="s">
        <v>1333</v>
      </c>
      <c r="C612" s="100">
        <v>4278.46</v>
      </c>
    </row>
    <row r="613" spans="1:3">
      <c r="A613" s="225">
        <v>96741</v>
      </c>
      <c r="B613" s="225" t="s">
        <v>1334</v>
      </c>
      <c r="C613" s="100">
        <v>41447.850000000006</v>
      </c>
    </row>
    <row r="614" spans="1:3">
      <c r="A614" s="225">
        <v>96751</v>
      </c>
      <c r="B614" s="225" t="s">
        <v>1335</v>
      </c>
      <c r="C614" s="100">
        <v>115659.57999999999</v>
      </c>
    </row>
    <row r="615" spans="1:3">
      <c r="A615" s="225">
        <v>96801</v>
      </c>
      <c r="B615" s="225" t="s">
        <v>1336</v>
      </c>
      <c r="C615" s="100">
        <v>3611119.7</v>
      </c>
    </row>
    <row r="616" spans="1:3">
      <c r="A616" s="225">
        <v>96804</v>
      </c>
      <c r="B616" s="225" t="s">
        <v>1337</v>
      </c>
      <c r="C616" s="100">
        <v>109175.44</v>
      </c>
    </row>
    <row r="617" spans="1:3">
      <c r="A617" s="225">
        <v>96808</v>
      </c>
      <c r="B617" s="225" t="s">
        <v>1338</v>
      </c>
      <c r="C617" s="100">
        <v>593249.02</v>
      </c>
    </row>
    <row r="618" spans="1:3">
      <c r="A618" s="225">
        <v>96811</v>
      </c>
      <c r="B618" s="225" t="s">
        <v>1339</v>
      </c>
      <c r="C618" s="100">
        <v>2786024.5599999996</v>
      </c>
    </row>
    <row r="619" spans="1:3">
      <c r="A619" s="225">
        <v>96821</v>
      </c>
      <c r="B619" s="225" t="s">
        <v>1340</v>
      </c>
      <c r="C619" s="100">
        <v>603955.94999999995</v>
      </c>
    </row>
    <row r="620" spans="1:3">
      <c r="A620" s="225">
        <v>96831</v>
      </c>
      <c r="B620" s="225" t="s">
        <v>1341</v>
      </c>
      <c r="C620" s="100">
        <v>426593.44000000012</v>
      </c>
    </row>
    <row r="621" spans="1:3">
      <c r="A621" s="225">
        <v>96901</v>
      </c>
      <c r="B621" s="225" t="s">
        <v>1342</v>
      </c>
      <c r="C621" s="100">
        <v>411770.29</v>
      </c>
    </row>
    <row r="622" spans="1:3">
      <c r="A622" s="225">
        <v>96911</v>
      </c>
      <c r="B622" s="225" t="s">
        <v>1343</v>
      </c>
      <c r="C622" s="100">
        <v>1941.5699999999997</v>
      </c>
    </row>
    <row r="623" spans="1:3">
      <c r="A623" s="225">
        <v>96912</v>
      </c>
      <c r="B623" s="225" t="s">
        <v>1344</v>
      </c>
      <c r="C623" s="100">
        <v>24609.720000000005</v>
      </c>
    </row>
    <row r="624" spans="1:3">
      <c r="A624" s="225">
        <v>96918</v>
      </c>
      <c r="B624" s="225" t="s">
        <v>1345</v>
      </c>
      <c r="C624" s="100">
        <v>20288.789999999994</v>
      </c>
    </row>
    <row r="625" spans="1:3">
      <c r="A625" s="225">
        <v>97001</v>
      </c>
      <c r="B625" s="225" t="s">
        <v>1346</v>
      </c>
      <c r="C625" s="100">
        <v>710694.22</v>
      </c>
    </row>
    <row r="626" spans="1:3">
      <c r="A626" s="225">
        <v>97002</v>
      </c>
      <c r="B626" s="225" t="s">
        <v>1347</v>
      </c>
      <c r="C626" s="100">
        <v>182319.24</v>
      </c>
    </row>
    <row r="627" spans="1:3">
      <c r="A627" s="225">
        <v>97004</v>
      </c>
      <c r="B627" s="225" t="s">
        <v>1348</v>
      </c>
      <c r="C627" s="100">
        <v>8257.23</v>
      </c>
    </row>
    <row r="628" spans="1:3">
      <c r="A628" s="225">
        <v>97005</v>
      </c>
      <c r="B628" s="225" t="s">
        <v>1349</v>
      </c>
      <c r="C628" s="100">
        <v>15091.840000000004</v>
      </c>
    </row>
    <row r="629" spans="1:3">
      <c r="A629" s="225">
        <v>97008</v>
      </c>
      <c r="B629" s="225" t="s">
        <v>1350</v>
      </c>
      <c r="C629" s="100">
        <v>128453.32</v>
      </c>
    </row>
    <row r="630" spans="1:3">
      <c r="A630" s="225">
        <v>97011</v>
      </c>
      <c r="B630" s="225" t="s">
        <v>1352</v>
      </c>
      <c r="C630" s="100">
        <v>907457.56999999983</v>
      </c>
    </row>
    <row r="631" spans="1:3">
      <c r="A631" s="225">
        <v>97012</v>
      </c>
      <c r="B631" s="225" t="s">
        <v>1353</v>
      </c>
      <c r="C631" s="100">
        <v>12374.49</v>
      </c>
    </row>
    <row r="632" spans="1:3">
      <c r="A632" s="225">
        <v>97013</v>
      </c>
      <c r="B632" s="225" t="s">
        <v>1354</v>
      </c>
      <c r="C632" s="100">
        <v>11432.48</v>
      </c>
    </row>
    <row r="633" spans="1:3">
      <c r="A633" s="225">
        <v>97015</v>
      </c>
      <c r="B633" s="225" t="s">
        <v>1355</v>
      </c>
      <c r="C633" s="100">
        <v>23035.67</v>
      </c>
    </row>
    <row r="634" spans="1:3">
      <c r="A634" s="225">
        <v>97018</v>
      </c>
      <c r="B634" s="225" t="s">
        <v>1356</v>
      </c>
      <c r="C634" s="100">
        <v>8134.56</v>
      </c>
    </row>
    <row r="635" spans="1:3">
      <c r="A635" s="225">
        <v>97101</v>
      </c>
      <c r="B635" s="225" t="s">
        <v>1357</v>
      </c>
      <c r="C635" s="100">
        <v>1208499.9099999999</v>
      </c>
    </row>
    <row r="636" spans="1:3">
      <c r="A636" s="225">
        <v>97104</v>
      </c>
      <c r="B636" s="225" t="s">
        <v>1358</v>
      </c>
      <c r="C636" s="100">
        <v>29146.929999999997</v>
      </c>
    </row>
    <row r="637" spans="1:3">
      <c r="A637" s="225">
        <v>97111</v>
      </c>
      <c r="B637" s="225" t="s">
        <v>1359</v>
      </c>
      <c r="C637" s="100">
        <v>108870.45999999999</v>
      </c>
    </row>
    <row r="638" spans="1:3">
      <c r="A638" s="225">
        <v>97121</v>
      </c>
      <c r="B638" s="225" t="s">
        <v>1360</v>
      </c>
      <c r="C638" s="100">
        <v>66521.84</v>
      </c>
    </row>
    <row r="639" spans="1:3">
      <c r="A639" s="225">
        <v>97131</v>
      </c>
      <c r="B639" s="225" t="s">
        <v>1361</v>
      </c>
      <c r="C639" s="100">
        <v>280483.40000000002</v>
      </c>
    </row>
    <row r="640" spans="1:3">
      <c r="A640" s="225">
        <v>97201</v>
      </c>
      <c r="B640" s="225" t="s">
        <v>1362</v>
      </c>
      <c r="C640" s="100">
        <v>248231.81000000003</v>
      </c>
    </row>
    <row r="641" spans="1:3">
      <c r="A641" s="225">
        <v>97211</v>
      </c>
      <c r="B641" s="225" t="s">
        <v>1363</v>
      </c>
      <c r="C641" s="100">
        <v>74901.72</v>
      </c>
    </row>
    <row r="642" spans="1:3">
      <c r="A642" s="225">
        <v>97213</v>
      </c>
      <c r="B642" s="225" t="s">
        <v>1364</v>
      </c>
      <c r="C642" s="100">
        <v>24679.989999999998</v>
      </c>
    </row>
    <row r="643" spans="1:3">
      <c r="A643" s="225">
        <v>97217</v>
      </c>
      <c r="B643" s="225" t="s">
        <v>1365</v>
      </c>
      <c r="C643" s="100">
        <v>6889.51</v>
      </c>
    </row>
    <row r="644" spans="1:3">
      <c r="A644" s="225">
        <v>97221</v>
      </c>
      <c r="B644" s="225" t="s">
        <v>1366</v>
      </c>
      <c r="C644" s="100">
        <v>7777.7399999999989</v>
      </c>
    </row>
    <row r="645" spans="1:3">
      <c r="A645" s="225">
        <v>97301</v>
      </c>
      <c r="B645" s="225" t="s">
        <v>1367</v>
      </c>
      <c r="C645" s="100">
        <v>1186932.25</v>
      </c>
    </row>
    <row r="646" spans="1:3">
      <c r="A646" s="225">
        <v>97304</v>
      </c>
      <c r="B646" s="225" t="s">
        <v>1368</v>
      </c>
      <c r="C646" s="100">
        <v>13381.54</v>
      </c>
    </row>
    <row r="647" spans="1:3">
      <c r="A647" s="225">
        <v>97311</v>
      </c>
      <c r="B647" s="225" t="s">
        <v>1369</v>
      </c>
      <c r="C647" s="100">
        <v>407124.39999999997</v>
      </c>
    </row>
    <row r="648" spans="1:3">
      <c r="A648" s="225">
        <v>97401</v>
      </c>
      <c r="B648" s="225" t="s">
        <v>1370</v>
      </c>
      <c r="C648" s="100">
        <v>3322668.7800000003</v>
      </c>
    </row>
    <row r="649" spans="1:3">
      <c r="A649" s="225">
        <v>97402</v>
      </c>
      <c r="B649" s="225" t="s">
        <v>1371</v>
      </c>
      <c r="C649" s="100">
        <v>25207.209999999995</v>
      </c>
    </row>
    <row r="650" spans="1:3">
      <c r="A650" s="225">
        <v>97404</v>
      </c>
      <c r="B650" s="225" t="s">
        <v>1372</v>
      </c>
      <c r="C650" s="100">
        <v>84648.55</v>
      </c>
    </row>
    <row r="651" spans="1:3">
      <c r="A651" s="225">
        <v>97405</v>
      </c>
      <c r="B651" s="225" t="s">
        <v>1373</v>
      </c>
      <c r="C651" s="100">
        <v>65705.47</v>
      </c>
    </row>
    <row r="652" spans="1:3">
      <c r="A652" s="225">
        <v>97408</v>
      </c>
      <c r="B652" s="225" t="s">
        <v>1374</v>
      </c>
      <c r="C652" s="100">
        <v>27498.809999999994</v>
      </c>
    </row>
    <row r="653" spans="1:3">
      <c r="A653" s="225">
        <v>97411</v>
      </c>
      <c r="B653" s="225" t="s">
        <v>1375</v>
      </c>
      <c r="C653" s="100">
        <v>2979172.5</v>
      </c>
    </row>
    <row r="654" spans="1:3">
      <c r="A654" s="225">
        <v>97412</v>
      </c>
      <c r="B654" s="225" t="s">
        <v>1376</v>
      </c>
      <c r="C654" s="100">
        <v>2155643.56</v>
      </c>
    </row>
    <row r="655" spans="1:3">
      <c r="A655" s="225">
        <v>97413</v>
      </c>
      <c r="B655" s="225" t="s">
        <v>1377</v>
      </c>
      <c r="C655" s="100">
        <v>140808.79999999999</v>
      </c>
    </row>
    <row r="656" spans="1:3">
      <c r="A656" s="225">
        <v>97421</v>
      </c>
      <c r="B656" s="225" t="s">
        <v>1378</v>
      </c>
      <c r="C656" s="100">
        <v>192260.81000000003</v>
      </c>
    </row>
    <row r="657" spans="1:3">
      <c r="A657" s="225">
        <v>97423</v>
      </c>
      <c r="B657" s="225" t="s">
        <v>1379</v>
      </c>
      <c r="C657" s="100">
        <v>42975.929999999993</v>
      </c>
    </row>
    <row r="658" spans="1:3">
      <c r="A658" s="225">
        <v>97431</v>
      </c>
      <c r="B658" s="225" t="s">
        <v>1380</v>
      </c>
      <c r="C658" s="100">
        <v>44546.02</v>
      </c>
    </row>
    <row r="659" spans="1:3">
      <c r="A659" s="225">
        <v>97441</v>
      </c>
      <c r="B659" s="225" t="s">
        <v>1381</v>
      </c>
      <c r="C659" s="100">
        <v>25243.599999999999</v>
      </c>
    </row>
    <row r="660" spans="1:3">
      <c r="A660" s="225">
        <v>97451</v>
      </c>
      <c r="B660" s="225" t="s">
        <v>1382</v>
      </c>
      <c r="C660" s="100">
        <v>245214.42</v>
      </c>
    </row>
    <row r="661" spans="1:3">
      <c r="A661" s="225">
        <v>97461</v>
      </c>
      <c r="B661" s="225" t="s">
        <v>1383</v>
      </c>
      <c r="C661" s="100">
        <v>228349.53999999998</v>
      </c>
    </row>
    <row r="662" spans="1:3">
      <c r="A662" s="225">
        <v>97463</v>
      </c>
      <c r="B662" s="225" t="s">
        <v>1384</v>
      </c>
      <c r="C662" s="100">
        <v>16311.75</v>
      </c>
    </row>
    <row r="663" spans="1:3">
      <c r="A663" s="225">
        <v>97471</v>
      </c>
      <c r="B663" s="225" t="s">
        <v>1385</v>
      </c>
      <c r="C663" s="100">
        <v>10246.98</v>
      </c>
    </row>
    <row r="664" spans="1:3">
      <c r="A664" s="225">
        <v>97481</v>
      </c>
      <c r="B664" s="225" t="s">
        <v>1386</v>
      </c>
      <c r="C664" s="100">
        <v>6015.34</v>
      </c>
    </row>
    <row r="665" spans="1:3">
      <c r="A665" s="225">
        <v>97501</v>
      </c>
      <c r="B665" s="225" t="s">
        <v>1388</v>
      </c>
      <c r="C665" s="100">
        <v>517522.17</v>
      </c>
    </row>
    <row r="666" spans="1:3">
      <c r="A666" s="225">
        <v>97511</v>
      </c>
      <c r="B666" s="225" t="s">
        <v>1389</v>
      </c>
      <c r="C666" s="100">
        <v>112043.93</v>
      </c>
    </row>
    <row r="667" spans="1:3">
      <c r="A667" s="225">
        <v>97521</v>
      </c>
      <c r="B667" s="225" t="s">
        <v>1390</v>
      </c>
      <c r="C667" s="100">
        <v>56687.740000000005</v>
      </c>
    </row>
    <row r="668" spans="1:3">
      <c r="A668" s="225">
        <v>97527</v>
      </c>
      <c r="B668" s="225" t="s">
        <v>1641</v>
      </c>
      <c r="C668" s="100">
        <v>532.1099999999999</v>
      </c>
    </row>
    <row r="669" spans="1:3">
      <c r="A669" s="225">
        <v>97531</v>
      </c>
      <c r="B669" s="225" t="s">
        <v>1391</v>
      </c>
      <c r="C669" s="100">
        <v>25035.190000000002</v>
      </c>
    </row>
    <row r="670" spans="1:3">
      <c r="A670" s="225">
        <v>97601</v>
      </c>
      <c r="B670" s="225" t="s">
        <v>1392</v>
      </c>
      <c r="C670" s="100">
        <v>2286999.6</v>
      </c>
    </row>
    <row r="671" spans="1:3">
      <c r="A671" s="225">
        <v>97607</v>
      </c>
      <c r="B671" s="225" t="s">
        <v>1393</v>
      </c>
      <c r="C671" s="100">
        <v>17254.64</v>
      </c>
    </row>
    <row r="672" spans="1:3">
      <c r="A672" s="225">
        <v>97611</v>
      </c>
      <c r="B672" s="225" t="s">
        <v>1394</v>
      </c>
      <c r="C672" s="100">
        <v>1108487.7400000002</v>
      </c>
    </row>
    <row r="673" spans="1:3">
      <c r="A673" s="225">
        <v>97613</v>
      </c>
      <c r="B673" s="225" t="s">
        <v>1395</v>
      </c>
      <c r="C673" s="100">
        <v>60156.710000000006</v>
      </c>
    </row>
    <row r="674" spans="1:3">
      <c r="A674" s="225">
        <v>97621</v>
      </c>
      <c r="B674" s="225" t="s">
        <v>1396</v>
      </c>
      <c r="C674" s="100">
        <v>179046.86000000002</v>
      </c>
    </row>
    <row r="675" spans="1:3">
      <c r="A675" s="225">
        <v>97623</v>
      </c>
      <c r="B675" s="225" t="s">
        <v>1397</v>
      </c>
      <c r="C675" s="100">
        <v>11113.43</v>
      </c>
    </row>
    <row r="676" spans="1:3">
      <c r="A676" s="225">
        <v>97627</v>
      </c>
      <c r="B676" s="225" t="s">
        <v>1398</v>
      </c>
      <c r="C676" s="100">
        <v>5007.6000000000004</v>
      </c>
    </row>
    <row r="677" spans="1:3">
      <c r="A677" s="225">
        <v>97631</v>
      </c>
      <c r="B677" s="225" t="s">
        <v>1399</v>
      </c>
      <c r="C677" s="100">
        <v>85999.290000000008</v>
      </c>
    </row>
    <row r="678" spans="1:3">
      <c r="A678" s="225">
        <v>97637</v>
      </c>
      <c r="B678" s="225" t="s">
        <v>1400</v>
      </c>
      <c r="C678" s="100">
        <v>3072.1200000000008</v>
      </c>
    </row>
    <row r="679" spans="1:3">
      <c r="A679" s="225">
        <v>97641</v>
      </c>
      <c r="B679" s="225" t="s">
        <v>1401</v>
      </c>
      <c r="C679" s="100">
        <v>35026.46</v>
      </c>
    </row>
    <row r="680" spans="1:3">
      <c r="A680" s="225">
        <v>97651</v>
      </c>
      <c r="B680" s="225" t="s">
        <v>1402</v>
      </c>
      <c r="C680" s="100">
        <v>222466.38999999996</v>
      </c>
    </row>
    <row r="681" spans="1:3">
      <c r="A681" s="225">
        <v>97661</v>
      </c>
      <c r="B681" s="225" t="s">
        <v>1403</v>
      </c>
      <c r="C681" s="100">
        <v>24365.61</v>
      </c>
    </row>
    <row r="682" spans="1:3">
      <c r="A682" s="225">
        <v>97701</v>
      </c>
      <c r="B682" s="225" t="s">
        <v>1404</v>
      </c>
      <c r="C682" s="100">
        <v>1156151.48</v>
      </c>
    </row>
    <row r="683" spans="1:3">
      <c r="A683" s="225">
        <v>97705</v>
      </c>
      <c r="B683" s="225" t="s">
        <v>1405</v>
      </c>
      <c r="C683" s="100">
        <v>22208.679999999997</v>
      </c>
    </row>
    <row r="684" spans="1:3">
      <c r="A684" s="225">
        <v>97711</v>
      </c>
      <c r="B684" s="225" t="s">
        <v>1406</v>
      </c>
      <c r="C684" s="100">
        <v>424323.98000000004</v>
      </c>
    </row>
    <row r="685" spans="1:3">
      <c r="A685" s="225">
        <v>97713</v>
      </c>
      <c r="B685" s="225" t="s">
        <v>1407</v>
      </c>
      <c r="C685" s="100">
        <v>17328.420000000002</v>
      </c>
    </row>
    <row r="686" spans="1:3">
      <c r="A686" s="225">
        <v>97717</v>
      </c>
      <c r="B686" s="225" t="s">
        <v>1408</v>
      </c>
      <c r="C686" s="100">
        <v>2478.17</v>
      </c>
    </row>
    <row r="687" spans="1:3">
      <c r="A687" s="225">
        <v>97721</v>
      </c>
      <c r="B687" s="225" t="s">
        <v>1409</v>
      </c>
      <c r="C687" s="100">
        <v>255784.57999999996</v>
      </c>
    </row>
    <row r="688" spans="1:3">
      <c r="A688" s="225">
        <v>97727</v>
      </c>
      <c r="B688" s="225" t="s">
        <v>1410</v>
      </c>
      <c r="C688" s="100">
        <v>10991.85</v>
      </c>
    </row>
    <row r="689" spans="1:3">
      <c r="A689" s="225">
        <v>97731</v>
      </c>
      <c r="B689" s="225" t="s">
        <v>1411</v>
      </c>
      <c r="C689" s="100">
        <v>18459.8</v>
      </c>
    </row>
    <row r="690" spans="1:3">
      <c r="A690" s="225">
        <v>97801</v>
      </c>
      <c r="B690" s="225" t="s">
        <v>1412</v>
      </c>
      <c r="C690" s="100">
        <v>3179608.4800000004</v>
      </c>
    </row>
    <row r="691" spans="1:3">
      <c r="A691" s="225">
        <v>97802</v>
      </c>
      <c r="B691" s="225" t="s">
        <v>1413</v>
      </c>
      <c r="C691" s="100">
        <v>76715.05</v>
      </c>
    </row>
    <row r="692" spans="1:3">
      <c r="A692" s="225">
        <v>97803</v>
      </c>
      <c r="B692" s="225" t="s">
        <v>1414</v>
      </c>
      <c r="C692" s="100">
        <v>38230.68</v>
      </c>
    </row>
    <row r="693" spans="1:3">
      <c r="A693" s="225">
        <v>97805</v>
      </c>
      <c r="B693" s="225" t="s">
        <v>1415</v>
      </c>
      <c r="C693" s="100">
        <v>39470.879999999997</v>
      </c>
    </row>
    <row r="694" spans="1:3">
      <c r="A694" s="225">
        <v>97811</v>
      </c>
      <c r="B694" s="225" t="s">
        <v>1416</v>
      </c>
      <c r="C694" s="100">
        <v>1101269.8</v>
      </c>
    </row>
    <row r="695" spans="1:3">
      <c r="A695" s="225">
        <v>97817</v>
      </c>
      <c r="B695" s="225" t="s">
        <v>1417</v>
      </c>
      <c r="C695" s="100">
        <v>14126.599999999999</v>
      </c>
    </row>
    <row r="696" spans="1:3">
      <c r="A696" s="225">
        <v>97818</v>
      </c>
      <c r="B696" s="225" t="s">
        <v>1418</v>
      </c>
      <c r="C696" s="100">
        <v>9809.0300000000007</v>
      </c>
    </row>
    <row r="697" spans="1:3">
      <c r="A697" s="225">
        <v>97821</v>
      </c>
      <c r="B697" s="225" t="s">
        <v>1419</v>
      </c>
      <c r="C697" s="100">
        <v>61404.089999999989</v>
      </c>
    </row>
    <row r="698" spans="1:3">
      <c r="A698" s="225">
        <v>97823</v>
      </c>
      <c r="B698" s="225" t="s">
        <v>1420</v>
      </c>
      <c r="C698" s="100">
        <v>13091.509999999998</v>
      </c>
    </row>
    <row r="699" spans="1:3">
      <c r="A699" s="225">
        <v>97831</v>
      </c>
      <c r="B699" s="225" t="s">
        <v>1421</v>
      </c>
      <c r="C699" s="100">
        <v>78812.62000000001</v>
      </c>
    </row>
    <row r="700" spans="1:3">
      <c r="A700" s="225">
        <v>97837</v>
      </c>
      <c r="B700" s="225" t="s">
        <v>1422</v>
      </c>
      <c r="C700" s="100">
        <v>6053.01</v>
      </c>
    </row>
    <row r="701" spans="1:3">
      <c r="A701" s="225">
        <v>97840</v>
      </c>
      <c r="B701" s="225" t="s">
        <v>1423</v>
      </c>
      <c r="C701" s="100">
        <v>107784.15999999999</v>
      </c>
    </row>
    <row r="702" spans="1:3">
      <c r="A702" s="225">
        <v>97841</v>
      </c>
      <c r="B702" s="225" t="s">
        <v>1424</v>
      </c>
      <c r="C702" s="100">
        <v>6425.33</v>
      </c>
    </row>
    <row r="703" spans="1:3">
      <c r="A703" s="225">
        <v>97847</v>
      </c>
      <c r="B703" s="225" t="s">
        <v>1425</v>
      </c>
      <c r="C703" s="100">
        <v>2258.88</v>
      </c>
    </row>
    <row r="704" spans="1:3">
      <c r="A704" s="225">
        <v>97851</v>
      </c>
      <c r="B704" s="225" t="s">
        <v>1426</v>
      </c>
      <c r="C704" s="100">
        <v>116408.28</v>
      </c>
    </row>
    <row r="705" spans="1:3">
      <c r="A705" s="225">
        <v>97853</v>
      </c>
      <c r="B705" s="225" t="s">
        <v>1427</v>
      </c>
      <c r="C705" s="100">
        <v>44042.97</v>
      </c>
    </row>
    <row r="706" spans="1:3">
      <c r="A706" s="225">
        <v>97861</v>
      </c>
      <c r="B706" s="225" t="s">
        <v>1428</v>
      </c>
      <c r="C706" s="100">
        <v>27517.030000000006</v>
      </c>
    </row>
    <row r="707" spans="1:3">
      <c r="A707" s="225">
        <v>97871</v>
      </c>
      <c r="B707" s="225" t="s">
        <v>1429</v>
      </c>
      <c r="C707" s="100">
        <v>273653.89999999997</v>
      </c>
    </row>
    <row r="708" spans="1:3">
      <c r="A708" s="225">
        <v>97877</v>
      </c>
      <c r="B708" s="225" t="s">
        <v>1430</v>
      </c>
      <c r="C708" s="100">
        <v>2104.1</v>
      </c>
    </row>
    <row r="709" spans="1:3">
      <c r="A709" s="225">
        <v>97901</v>
      </c>
      <c r="B709" s="225" t="s">
        <v>1431</v>
      </c>
      <c r="C709" s="100">
        <v>2091023.4500000002</v>
      </c>
    </row>
    <row r="710" spans="1:3">
      <c r="A710" s="225">
        <v>97911</v>
      </c>
      <c r="B710" s="225" t="s">
        <v>1432</v>
      </c>
      <c r="C710" s="100">
        <v>613264.97999999986</v>
      </c>
    </row>
    <row r="711" spans="1:3">
      <c r="A711" s="225">
        <v>97913</v>
      </c>
      <c r="B711" s="225" t="s">
        <v>1433</v>
      </c>
      <c r="C711" s="100">
        <v>27559.27</v>
      </c>
    </row>
    <row r="712" spans="1:3">
      <c r="A712" s="225">
        <v>97917</v>
      </c>
      <c r="B712" s="225" t="s">
        <v>1434</v>
      </c>
      <c r="C712" s="100">
        <v>13418.630000000001</v>
      </c>
    </row>
    <row r="713" spans="1:3">
      <c r="A713" s="225">
        <v>97921</v>
      </c>
      <c r="B713" s="225" t="s">
        <v>1435</v>
      </c>
      <c r="C713" s="100">
        <v>103162.98000000001</v>
      </c>
    </row>
    <row r="714" spans="1:3">
      <c r="A714" s="225">
        <v>97931</v>
      </c>
      <c r="B714" s="225" t="s">
        <v>1436</v>
      </c>
      <c r="C714" s="100">
        <v>31939.190000000002</v>
      </c>
    </row>
    <row r="715" spans="1:3">
      <c r="A715" s="225">
        <v>97941</v>
      </c>
      <c r="B715" s="225" t="s">
        <v>1437</v>
      </c>
      <c r="C715" s="100">
        <v>106969.88</v>
      </c>
    </row>
    <row r="716" spans="1:3">
      <c r="A716" s="225">
        <v>97947</v>
      </c>
      <c r="B716" s="225" t="s">
        <v>1438</v>
      </c>
      <c r="C716" s="100">
        <v>11470.6</v>
      </c>
    </row>
    <row r="717" spans="1:3">
      <c r="A717" s="225">
        <v>97948</v>
      </c>
      <c r="B717" s="225" t="s">
        <v>1439</v>
      </c>
      <c r="C717" s="100">
        <v>10840.35</v>
      </c>
    </row>
    <row r="718" spans="1:3">
      <c r="A718" s="225">
        <v>97951</v>
      </c>
      <c r="B718" s="225" t="s">
        <v>1440</v>
      </c>
      <c r="C718" s="100">
        <v>597832.21</v>
      </c>
    </row>
    <row r="719" spans="1:3">
      <c r="A719" s="225">
        <v>97957</v>
      </c>
      <c r="B719" s="225" t="s">
        <v>1441</v>
      </c>
      <c r="C719" s="100">
        <v>12857.2</v>
      </c>
    </row>
    <row r="720" spans="1:3">
      <c r="A720" s="225">
        <v>98001</v>
      </c>
      <c r="B720" s="225" t="s">
        <v>1442</v>
      </c>
      <c r="C720" s="100">
        <v>2367016.2000000007</v>
      </c>
    </row>
    <row r="721" spans="1:3">
      <c r="A721" s="225">
        <v>98002</v>
      </c>
      <c r="B721" s="225" t="s">
        <v>1443</v>
      </c>
      <c r="C721" s="100">
        <v>4125.92</v>
      </c>
    </row>
    <row r="722" spans="1:3">
      <c r="A722" s="225">
        <v>98003</v>
      </c>
      <c r="B722" s="225" t="s">
        <v>1444</v>
      </c>
      <c r="C722" s="100">
        <v>70273.84</v>
      </c>
    </row>
    <row r="723" spans="1:3">
      <c r="A723" s="225">
        <v>98004</v>
      </c>
      <c r="B723" s="225" t="s">
        <v>1445</v>
      </c>
      <c r="C723" s="100">
        <v>78049.56</v>
      </c>
    </row>
    <row r="724" spans="1:3">
      <c r="A724" s="225">
        <v>98008</v>
      </c>
      <c r="B724" s="225" t="s">
        <v>1446</v>
      </c>
      <c r="C724" s="100">
        <v>3536.6600000000012</v>
      </c>
    </row>
    <row r="725" spans="1:3">
      <c r="A725" s="225">
        <v>98011</v>
      </c>
      <c r="B725" s="225" t="s">
        <v>1447</v>
      </c>
      <c r="C725" s="100">
        <v>1430081.8599999999</v>
      </c>
    </row>
    <row r="726" spans="1:3">
      <c r="A726" s="225">
        <v>98013</v>
      </c>
      <c r="B726" s="225" t="s">
        <v>1448</v>
      </c>
      <c r="C726" s="100">
        <v>138520.69</v>
      </c>
    </row>
    <row r="727" spans="1:3">
      <c r="A727" s="225">
        <v>98021</v>
      </c>
      <c r="B727" s="225" t="s">
        <v>1449</v>
      </c>
      <c r="C727" s="100">
        <v>28536.179999999993</v>
      </c>
    </row>
    <row r="728" spans="1:3">
      <c r="A728" s="225">
        <v>98023</v>
      </c>
      <c r="B728" s="225" t="s">
        <v>1450</v>
      </c>
      <c r="C728" s="100">
        <v>6869.3899999999994</v>
      </c>
    </row>
    <row r="729" spans="1:3">
      <c r="A729" s="225">
        <v>98031</v>
      </c>
      <c r="B729" s="225" t="s">
        <v>1451</v>
      </c>
      <c r="C729" s="100">
        <v>67740.09</v>
      </c>
    </row>
    <row r="730" spans="1:3">
      <c r="A730" s="225">
        <v>98041</v>
      </c>
      <c r="B730" s="225" t="s">
        <v>1452</v>
      </c>
      <c r="C730" s="100">
        <v>80473.600000000006</v>
      </c>
    </row>
    <row r="731" spans="1:3">
      <c r="A731" s="225">
        <v>98051</v>
      </c>
      <c r="B731" s="225" t="s">
        <v>1453</v>
      </c>
      <c r="C731" s="100">
        <v>136144.79</v>
      </c>
    </row>
    <row r="732" spans="1:3">
      <c r="A732" s="225">
        <v>98061</v>
      </c>
      <c r="B732" s="225" t="s">
        <v>1454</v>
      </c>
      <c r="C732" s="100">
        <v>47389.56</v>
      </c>
    </row>
    <row r="733" spans="1:3">
      <c r="A733" s="225">
        <v>98071</v>
      </c>
      <c r="B733" s="225" t="s">
        <v>1455</v>
      </c>
      <c r="C733" s="100">
        <v>28232.940000000002</v>
      </c>
    </row>
    <row r="734" spans="1:3">
      <c r="A734" s="225">
        <v>98081</v>
      </c>
      <c r="B734" s="225" t="s">
        <v>1456</v>
      </c>
      <c r="C734" s="100">
        <v>7556.3200000000006</v>
      </c>
    </row>
    <row r="735" spans="1:3">
      <c r="A735" s="225">
        <v>98091</v>
      </c>
      <c r="B735" s="225" t="s">
        <v>1457</v>
      </c>
      <c r="C735" s="100">
        <v>25240.61</v>
      </c>
    </row>
    <row r="736" spans="1:3">
      <c r="A736" s="225">
        <v>98101</v>
      </c>
      <c r="B736" s="225" t="s">
        <v>1458</v>
      </c>
      <c r="C736" s="100">
        <v>1210233.97</v>
      </c>
    </row>
    <row r="737" spans="1:3">
      <c r="A737" s="225">
        <v>98102</v>
      </c>
      <c r="B737" s="225" t="s">
        <v>1459</v>
      </c>
      <c r="C737" s="100">
        <v>71621.289999999994</v>
      </c>
    </row>
    <row r="738" spans="1:3">
      <c r="A738" s="225">
        <v>98103</v>
      </c>
      <c r="B738" s="225" t="s">
        <v>1460</v>
      </c>
      <c r="C738" s="100">
        <v>255161.38</v>
      </c>
    </row>
    <row r="739" spans="1:3">
      <c r="A739" s="225">
        <v>98107</v>
      </c>
      <c r="B739" s="225" t="s">
        <v>1461</v>
      </c>
      <c r="C739" s="100">
        <v>9241.77</v>
      </c>
    </row>
    <row r="740" spans="1:3">
      <c r="A740" s="225">
        <v>98109</v>
      </c>
      <c r="B740" s="225" t="s">
        <v>1462</v>
      </c>
      <c r="C740" s="100">
        <v>76015.76999999999</v>
      </c>
    </row>
    <row r="741" spans="1:3">
      <c r="A741" s="225">
        <v>98111</v>
      </c>
      <c r="B741" s="225" t="s">
        <v>1463</v>
      </c>
      <c r="C741" s="100">
        <v>432530.07</v>
      </c>
    </row>
    <row r="742" spans="1:3">
      <c r="A742" s="225">
        <v>98113</v>
      </c>
      <c r="B742" s="225" t="s">
        <v>1464</v>
      </c>
      <c r="C742" s="100">
        <v>23491.619999999995</v>
      </c>
    </row>
    <row r="743" spans="1:3">
      <c r="A743" s="225">
        <v>98121</v>
      </c>
      <c r="B743" s="225" t="s">
        <v>1465</v>
      </c>
      <c r="C743" s="100">
        <v>89370.18</v>
      </c>
    </row>
    <row r="744" spans="1:3">
      <c r="A744" s="225">
        <v>98131</v>
      </c>
      <c r="B744" s="225" t="s">
        <v>1466</v>
      </c>
      <c r="C744" s="100">
        <v>119696.65</v>
      </c>
    </row>
    <row r="745" spans="1:3">
      <c r="A745" s="225">
        <v>98141</v>
      </c>
      <c r="B745" s="225" t="s">
        <v>1467</v>
      </c>
      <c r="C745" s="100">
        <v>133558.14000000001</v>
      </c>
    </row>
    <row r="746" spans="1:3">
      <c r="A746" s="225">
        <v>98147</v>
      </c>
      <c r="B746" s="225" t="s">
        <v>1468</v>
      </c>
      <c r="C746" s="100">
        <v>9893.14</v>
      </c>
    </row>
    <row r="747" spans="1:3">
      <c r="A747" s="225">
        <v>98161</v>
      </c>
      <c r="B747" s="225" t="s">
        <v>1469</v>
      </c>
      <c r="C747" s="100">
        <v>5046.24</v>
      </c>
    </row>
    <row r="748" spans="1:3">
      <c r="A748" s="225">
        <v>98201</v>
      </c>
      <c r="B748" s="225" t="s">
        <v>1470</v>
      </c>
      <c r="C748" s="100">
        <v>1424603.84</v>
      </c>
    </row>
    <row r="749" spans="1:3">
      <c r="A749" s="225">
        <v>98205</v>
      </c>
      <c r="B749" s="225" t="s">
        <v>1471</v>
      </c>
      <c r="C749" s="100">
        <v>23504.78</v>
      </c>
    </row>
    <row r="750" spans="1:3">
      <c r="A750" s="225">
        <v>98211</v>
      </c>
      <c r="B750" s="225" t="s">
        <v>1472</v>
      </c>
      <c r="C750" s="100">
        <v>365217.98</v>
      </c>
    </row>
    <row r="751" spans="1:3">
      <c r="A751" s="225">
        <v>98218</v>
      </c>
      <c r="B751" s="225" t="s">
        <v>1473</v>
      </c>
      <c r="C751" s="100">
        <v>5829.3</v>
      </c>
    </row>
    <row r="752" spans="1:3">
      <c r="A752" s="225">
        <v>98221</v>
      </c>
      <c r="B752" s="225" t="s">
        <v>1474</v>
      </c>
      <c r="C752" s="100">
        <v>9739.18</v>
      </c>
    </row>
    <row r="753" spans="1:3">
      <c r="A753" s="225">
        <v>98231</v>
      </c>
      <c r="B753" s="225" t="s">
        <v>1475</v>
      </c>
      <c r="C753" s="100">
        <v>11487.39</v>
      </c>
    </row>
    <row r="754" spans="1:3">
      <c r="A754" s="225">
        <v>98237</v>
      </c>
      <c r="B754" s="225" t="s">
        <v>1476</v>
      </c>
      <c r="C754" s="100">
        <v>4384.5800000000008</v>
      </c>
    </row>
    <row r="755" spans="1:3">
      <c r="A755" s="225">
        <v>98241</v>
      </c>
      <c r="B755" s="225" t="s">
        <v>1477</v>
      </c>
      <c r="C755" s="100">
        <v>8387.880000000001</v>
      </c>
    </row>
    <row r="756" spans="1:3">
      <c r="A756" s="225">
        <v>98251</v>
      </c>
      <c r="B756" s="225" t="s">
        <v>1478</v>
      </c>
      <c r="C756" s="100">
        <v>2206.3900000000003</v>
      </c>
    </row>
    <row r="757" spans="1:3">
      <c r="A757" s="225">
        <v>98261</v>
      </c>
      <c r="B757" s="225" t="s">
        <v>1479</v>
      </c>
      <c r="C757" s="100">
        <v>16864.510000000002</v>
      </c>
    </row>
    <row r="758" spans="1:3">
      <c r="A758" s="225">
        <v>98271</v>
      </c>
      <c r="B758" s="225" t="s">
        <v>1480</v>
      </c>
      <c r="C758" s="100">
        <v>2676.11</v>
      </c>
    </row>
    <row r="759" spans="1:3">
      <c r="A759" s="225">
        <v>98301</v>
      </c>
      <c r="B759" s="225" t="s">
        <v>1481</v>
      </c>
      <c r="C759" s="100">
        <v>825877.5199999999</v>
      </c>
    </row>
    <row r="760" spans="1:3">
      <c r="A760" s="225">
        <v>98304</v>
      </c>
      <c r="B760" s="225" t="s">
        <v>1482</v>
      </c>
      <c r="C760" s="100">
        <v>12751.149999999998</v>
      </c>
    </row>
    <row r="761" spans="1:3">
      <c r="A761" s="225">
        <v>98308</v>
      </c>
      <c r="B761" s="225" t="s">
        <v>1483</v>
      </c>
      <c r="C761" s="100">
        <v>15362.639999999998</v>
      </c>
    </row>
    <row r="762" spans="1:3">
      <c r="A762" s="225">
        <v>98311</v>
      </c>
      <c r="B762" s="225" t="s">
        <v>1484</v>
      </c>
      <c r="C762" s="100">
        <v>462216.84</v>
      </c>
    </row>
    <row r="763" spans="1:3">
      <c r="A763" s="225">
        <v>98313</v>
      </c>
      <c r="B763" s="225" t="s">
        <v>1485</v>
      </c>
      <c r="C763" s="100">
        <v>259158.18</v>
      </c>
    </row>
    <row r="764" spans="1:3">
      <c r="A764" s="225">
        <v>98321</v>
      </c>
      <c r="B764" s="225" t="s">
        <v>1486</v>
      </c>
      <c r="C764" s="100">
        <v>10270.049999999999</v>
      </c>
    </row>
    <row r="765" spans="1:3">
      <c r="A765" s="225">
        <v>98331</v>
      </c>
      <c r="B765" s="225" t="s">
        <v>1487</v>
      </c>
      <c r="C765" s="100">
        <v>6280.6999999999989</v>
      </c>
    </row>
    <row r="766" spans="1:3">
      <c r="A766" s="225">
        <v>98401</v>
      </c>
      <c r="B766" s="225" t="s">
        <v>1488</v>
      </c>
      <c r="C766" s="100">
        <v>1399311.01</v>
      </c>
    </row>
    <row r="767" spans="1:3">
      <c r="A767" s="225">
        <v>98404</v>
      </c>
      <c r="B767" s="225" t="s">
        <v>1489</v>
      </c>
      <c r="C767" s="100">
        <v>5851.8099999999995</v>
      </c>
    </row>
    <row r="768" spans="1:3">
      <c r="A768" s="225">
        <v>98411</v>
      </c>
      <c r="B768" s="225" t="s">
        <v>1490</v>
      </c>
      <c r="C768" s="100">
        <v>869963.94000000006</v>
      </c>
    </row>
    <row r="769" spans="1:3">
      <c r="A769" s="225">
        <v>98414</v>
      </c>
      <c r="B769" s="225" t="s">
        <v>1491</v>
      </c>
      <c r="C769" s="100">
        <v>7367.21</v>
      </c>
    </row>
    <row r="770" spans="1:3">
      <c r="A770" s="225">
        <v>98417</v>
      </c>
      <c r="B770" s="225" t="s">
        <v>1492</v>
      </c>
      <c r="C770" s="100">
        <v>14125.46</v>
      </c>
    </row>
    <row r="771" spans="1:3">
      <c r="A771" s="225">
        <v>98421</v>
      </c>
      <c r="B771" s="225" t="s">
        <v>1493</v>
      </c>
      <c r="C771" s="100">
        <v>44395.67</v>
      </c>
    </row>
    <row r="772" spans="1:3">
      <c r="A772" s="225">
        <v>98427</v>
      </c>
      <c r="B772" s="225" t="s">
        <v>1494</v>
      </c>
      <c r="C772" s="100">
        <v>3231.11</v>
      </c>
    </row>
    <row r="773" spans="1:3">
      <c r="A773" s="225">
        <v>98431</v>
      </c>
      <c r="B773" s="225" t="s">
        <v>1495</v>
      </c>
      <c r="C773" s="100">
        <v>78481.45</v>
      </c>
    </row>
    <row r="774" spans="1:3">
      <c r="A774" s="225">
        <v>98441</v>
      </c>
      <c r="B774" s="225" t="s">
        <v>1496</v>
      </c>
      <c r="C774" s="100">
        <v>35571.949999999997</v>
      </c>
    </row>
    <row r="775" spans="1:3">
      <c r="A775" s="225">
        <v>98451</v>
      </c>
      <c r="B775" s="225" t="s">
        <v>1497</v>
      </c>
      <c r="C775" s="100">
        <v>26131.939999999995</v>
      </c>
    </row>
    <row r="776" spans="1:3">
      <c r="A776" s="225">
        <v>98471</v>
      </c>
      <c r="B776" s="225" t="s">
        <v>1642</v>
      </c>
      <c r="C776" s="100">
        <v>1832.3100000000002</v>
      </c>
    </row>
    <row r="777" spans="1:3">
      <c r="A777" s="225">
        <v>98481</v>
      </c>
      <c r="B777" s="225" t="s">
        <v>1498</v>
      </c>
      <c r="C777" s="100">
        <v>27197.510000000002</v>
      </c>
    </row>
    <row r="778" spans="1:3">
      <c r="A778" s="225">
        <v>98501</v>
      </c>
      <c r="B778" s="225" t="s">
        <v>1499</v>
      </c>
      <c r="C778" s="100">
        <v>760833.22</v>
      </c>
    </row>
    <row r="779" spans="1:3">
      <c r="A779" s="225">
        <v>98511</v>
      </c>
      <c r="B779" s="225" t="s">
        <v>1500</v>
      </c>
      <c r="C779" s="100">
        <v>23435.010000000002</v>
      </c>
    </row>
    <row r="780" spans="1:3">
      <c r="A780" s="225">
        <v>98517</v>
      </c>
      <c r="B780" s="225" t="s">
        <v>1501</v>
      </c>
      <c r="C780" s="100">
        <v>2484.0799999999995</v>
      </c>
    </row>
    <row r="781" spans="1:3">
      <c r="A781" s="225">
        <v>98521</v>
      </c>
      <c r="B781" s="225" t="s">
        <v>1502</v>
      </c>
      <c r="C781" s="100">
        <v>270882.26</v>
      </c>
    </row>
    <row r="782" spans="1:3">
      <c r="A782" s="225">
        <v>98601</v>
      </c>
      <c r="B782" s="225" t="s">
        <v>1503</v>
      </c>
      <c r="C782" s="100">
        <v>1494584.0999999999</v>
      </c>
    </row>
    <row r="783" spans="1:3">
      <c r="A783" s="225">
        <v>98604</v>
      </c>
      <c r="B783" s="225" t="s">
        <v>1504</v>
      </c>
      <c r="C783" s="100">
        <v>7587.5999999999995</v>
      </c>
    </row>
    <row r="784" spans="1:3">
      <c r="A784" s="225">
        <v>98607</v>
      </c>
      <c r="B784" s="225" t="s">
        <v>1505</v>
      </c>
      <c r="C784" s="100">
        <v>2774.2099999999996</v>
      </c>
    </row>
    <row r="785" spans="1:3">
      <c r="A785" s="225">
        <v>98608</v>
      </c>
      <c r="B785" s="225" t="s">
        <v>1506</v>
      </c>
      <c r="C785" s="100">
        <v>20059.189999999999</v>
      </c>
    </row>
    <row r="786" spans="1:3">
      <c r="A786" s="225">
        <v>98611</v>
      </c>
      <c r="B786" s="225" t="s">
        <v>1507</v>
      </c>
      <c r="C786" s="100">
        <v>49930.89</v>
      </c>
    </row>
    <row r="787" spans="1:3">
      <c r="A787" s="225">
        <v>98621</v>
      </c>
      <c r="B787" s="225" t="s">
        <v>1508</v>
      </c>
      <c r="C787" s="100">
        <v>55891.290000000008</v>
      </c>
    </row>
    <row r="788" spans="1:3">
      <c r="A788" s="225">
        <v>98627</v>
      </c>
      <c r="B788" s="225" t="s">
        <v>1509</v>
      </c>
      <c r="C788" s="100">
        <v>3353.9299999999994</v>
      </c>
    </row>
    <row r="789" spans="1:3">
      <c r="A789" s="225">
        <v>98631</v>
      </c>
      <c r="B789" s="225" t="s">
        <v>1510</v>
      </c>
      <c r="C789" s="100">
        <v>466622.49000000005</v>
      </c>
    </row>
    <row r="790" spans="1:3">
      <c r="A790" s="225">
        <v>98637</v>
      </c>
      <c r="B790" s="225" t="s">
        <v>1511</v>
      </c>
      <c r="C790" s="100">
        <v>15729.22</v>
      </c>
    </row>
    <row r="791" spans="1:3">
      <c r="A791" s="225">
        <v>98641</v>
      </c>
      <c r="B791" s="225" t="s">
        <v>1512</v>
      </c>
      <c r="C791" s="100">
        <v>140670.05999999997</v>
      </c>
    </row>
    <row r="792" spans="1:3">
      <c r="A792" s="225">
        <v>98701</v>
      </c>
      <c r="B792" s="225" t="s">
        <v>1513</v>
      </c>
      <c r="C792" s="100">
        <v>514112.93000000005</v>
      </c>
    </row>
    <row r="793" spans="1:3">
      <c r="A793" s="225">
        <v>98711</v>
      </c>
      <c r="B793" s="225" t="s">
        <v>1514</v>
      </c>
      <c r="C793" s="100">
        <v>70342.11</v>
      </c>
    </row>
    <row r="794" spans="1:3">
      <c r="A794" s="225">
        <v>98717</v>
      </c>
      <c r="B794" s="225" t="s">
        <v>1515</v>
      </c>
      <c r="C794" s="100">
        <v>8758.7200000000012</v>
      </c>
    </row>
    <row r="795" spans="1:3">
      <c r="A795" s="225">
        <v>98801</v>
      </c>
      <c r="B795" s="225" t="s">
        <v>1516</v>
      </c>
      <c r="C795" s="100">
        <v>1067051.19</v>
      </c>
    </row>
    <row r="796" spans="1:3">
      <c r="A796" s="225">
        <v>98811</v>
      </c>
      <c r="B796" s="225" t="s">
        <v>1517</v>
      </c>
      <c r="C796" s="100">
        <v>323262.17000000004</v>
      </c>
    </row>
    <row r="797" spans="1:3">
      <c r="A797" s="225">
        <v>98817</v>
      </c>
      <c r="B797" s="225" t="s">
        <v>1518</v>
      </c>
      <c r="C797" s="100">
        <v>14663.340000000002</v>
      </c>
    </row>
    <row r="798" spans="1:3">
      <c r="A798" s="225">
        <v>98901</v>
      </c>
      <c r="B798" s="225" t="s">
        <v>1519</v>
      </c>
      <c r="C798" s="100">
        <v>159126.34999999998</v>
      </c>
    </row>
    <row r="799" spans="1:3">
      <c r="A799" s="225">
        <v>98904</v>
      </c>
      <c r="B799" s="225" t="s">
        <v>1520</v>
      </c>
      <c r="C799" s="100">
        <v>1607.9500000000003</v>
      </c>
    </row>
    <row r="800" spans="1:3">
      <c r="A800" s="225">
        <v>98911</v>
      </c>
      <c r="B800" s="225" t="s">
        <v>1521</v>
      </c>
      <c r="C800" s="100">
        <v>17944.88</v>
      </c>
    </row>
    <row r="801" spans="1:3">
      <c r="A801" s="225">
        <v>99001</v>
      </c>
      <c r="B801" s="225" t="s">
        <v>1522</v>
      </c>
      <c r="C801" s="100">
        <v>3574722.4899999998</v>
      </c>
    </row>
    <row r="802" spans="1:3">
      <c r="A802" s="225">
        <v>99011</v>
      </c>
      <c r="B802" s="225" t="s">
        <v>1523</v>
      </c>
      <c r="C802" s="100">
        <v>1767796.6799999997</v>
      </c>
    </row>
    <row r="803" spans="1:3">
      <c r="A803" s="225">
        <v>99013</v>
      </c>
      <c r="B803" s="225" t="s">
        <v>1524</v>
      </c>
      <c r="C803" s="100">
        <v>27132.690000000002</v>
      </c>
    </row>
    <row r="804" spans="1:3">
      <c r="A804" s="225">
        <v>99014</v>
      </c>
      <c r="B804" s="225" t="s">
        <v>1525</v>
      </c>
      <c r="C804" s="100">
        <v>13999.21</v>
      </c>
    </row>
    <row r="805" spans="1:3">
      <c r="A805" s="225">
        <v>99017</v>
      </c>
      <c r="B805" s="225" t="s">
        <v>1526</v>
      </c>
      <c r="C805" s="100">
        <v>25055.15</v>
      </c>
    </row>
    <row r="806" spans="1:3">
      <c r="A806" s="225">
        <v>99021</v>
      </c>
      <c r="B806" s="225" t="s">
        <v>1527</v>
      </c>
      <c r="C806" s="100">
        <v>64601.440000000002</v>
      </c>
    </row>
    <row r="807" spans="1:3">
      <c r="A807" s="225">
        <v>99022</v>
      </c>
      <c r="B807" s="225" t="s">
        <v>211</v>
      </c>
      <c r="C807" s="100">
        <v>11386.439999999999</v>
      </c>
    </row>
    <row r="808" spans="1:3">
      <c r="A808" s="225">
        <v>99031</v>
      </c>
      <c r="B808" s="225" t="s">
        <v>1528</v>
      </c>
      <c r="C808" s="100">
        <v>59832.479999999996</v>
      </c>
    </row>
    <row r="809" spans="1:3">
      <c r="A809" s="225">
        <v>99041</v>
      </c>
      <c r="B809" s="225" t="s">
        <v>1529</v>
      </c>
      <c r="C809" s="100">
        <v>254000.11</v>
      </c>
    </row>
    <row r="810" spans="1:3">
      <c r="A810" s="225">
        <v>99047</v>
      </c>
      <c r="B810" s="225" t="s">
        <v>1530</v>
      </c>
      <c r="C810" s="100">
        <v>7761.09</v>
      </c>
    </row>
    <row r="811" spans="1:3">
      <c r="A811" s="225">
        <v>99051</v>
      </c>
      <c r="B811" s="225" t="s">
        <v>1531</v>
      </c>
      <c r="C811" s="100">
        <v>142316.86000000002</v>
      </c>
    </row>
    <row r="812" spans="1:3">
      <c r="A812" s="225">
        <v>99061</v>
      </c>
      <c r="B812" s="225" t="s">
        <v>1532</v>
      </c>
      <c r="C812" s="100">
        <v>7897.3700000000008</v>
      </c>
    </row>
    <row r="813" spans="1:3">
      <c r="A813" s="225">
        <v>99071</v>
      </c>
      <c r="B813" s="225" t="s">
        <v>1533</v>
      </c>
      <c r="C813" s="100">
        <v>15062.04</v>
      </c>
    </row>
    <row r="814" spans="1:3">
      <c r="A814" s="225">
        <v>99081</v>
      </c>
      <c r="B814" s="225" t="s">
        <v>1534</v>
      </c>
      <c r="C814" s="100">
        <v>10194.719999999999</v>
      </c>
    </row>
    <row r="815" spans="1:3">
      <c r="A815" s="225">
        <v>99091</v>
      </c>
      <c r="B815" s="225" t="s">
        <v>1535</v>
      </c>
      <c r="C815" s="100">
        <v>4830.9500000000007</v>
      </c>
    </row>
    <row r="816" spans="1:3">
      <c r="A816" s="225">
        <v>99101</v>
      </c>
      <c r="B816" s="225" t="s">
        <v>1536</v>
      </c>
      <c r="C816" s="100">
        <v>914274.04000000015</v>
      </c>
    </row>
    <row r="817" spans="1:3">
      <c r="A817" s="225">
        <v>99104</v>
      </c>
      <c r="B817" s="225" t="s">
        <v>1537</v>
      </c>
      <c r="C817" s="100">
        <v>22873.95</v>
      </c>
    </row>
    <row r="818" spans="1:3">
      <c r="A818" s="225">
        <v>99109</v>
      </c>
      <c r="B818" s="225" t="s">
        <v>1538</v>
      </c>
      <c r="C818" s="100">
        <v>56338.229999999996</v>
      </c>
    </row>
    <row r="819" spans="1:3">
      <c r="A819" s="225">
        <v>99110</v>
      </c>
      <c r="B819" s="225" t="s">
        <v>1539</v>
      </c>
      <c r="C819" s="100">
        <v>119962.69</v>
      </c>
    </row>
    <row r="820" spans="1:3">
      <c r="A820" s="225">
        <v>99111</v>
      </c>
      <c r="B820" s="225" t="s">
        <v>1540</v>
      </c>
      <c r="C820" s="100">
        <v>543583.17000000004</v>
      </c>
    </row>
    <row r="821" spans="1:3">
      <c r="A821" s="225">
        <v>99201</v>
      </c>
      <c r="B821" s="225" t="s">
        <v>1541</v>
      </c>
      <c r="C821" s="100">
        <v>15084486.749999998</v>
      </c>
    </row>
    <row r="822" spans="1:3">
      <c r="A822" s="225">
        <v>99202</v>
      </c>
      <c r="B822" s="225" t="s">
        <v>1542</v>
      </c>
      <c r="C822" s="100">
        <v>1072067.46</v>
      </c>
    </row>
    <row r="823" spans="1:3">
      <c r="A823" s="225">
        <v>99203</v>
      </c>
      <c r="B823" s="225" t="s">
        <v>1543</v>
      </c>
      <c r="C823" s="100">
        <v>126936.26</v>
      </c>
    </row>
    <row r="824" spans="1:3">
      <c r="A824" s="225">
        <v>99204</v>
      </c>
      <c r="B824" s="225" t="s">
        <v>1544</v>
      </c>
      <c r="C824" s="100">
        <v>375261.16000000003</v>
      </c>
    </row>
    <row r="825" spans="1:3">
      <c r="A825" s="225">
        <v>99206</v>
      </c>
      <c r="B825" s="225" t="s">
        <v>1545</v>
      </c>
      <c r="C825" s="100">
        <v>1210224.8699999999</v>
      </c>
    </row>
    <row r="826" spans="1:3">
      <c r="A826" s="225">
        <v>99207</v>
      </c>
      <c r="B826" s="225" t="s">
        <v>1546</v>
      </c>
      <c r="C826" s="100">
        <v>175075.09</v>
      </c>
    </row>
    <row r="827" spans="1:3">
      <c r="A827" s="225">
        <v>99208</v>
      </c>
      <c r="B827" s="225" t="s">
        <v>1547</v>
      </c>
      <c r="C827" s="100">
        <v>57804.040000000008</v>
      </c>
    </row>
    <row r="828" spans="1:3">
      <c r="A828" s="225">
        <v>99210</v>
      </c>
      <c r="B828" s="225" t="s">
        <v>1548</v>
      </c>
      <c r="C828" s="100">
        <v>789521.27</v>
      </c>
    </row>
    <row r="829" spans="1:3">
      <c r="A829" s="225">
        <v>99211</v>
      </c>
      <c r="B829" s="225" t="s">
        <v>1549</v>
      </c>
      <c r="C829" s="100">
        <v>16957538.619999997</v>
      </c>
    </row>
    <row r="830" spans="1:3">
      <c r="A830" s="225">
        <v>99212</v>
      </c>
      <c r="B830" s="225" t="s">
        <v>1550</v>
      </c>
      <c r="C830" s="100">
        <v>31804.81</v>
      </c>
    </row>
    <row r="831" spans="1:3">
      <c r="A831" s="225">
        <v>99213</v>
      </c>
      <c r="B831" s="225" t="s">
        <v>1551</v>
      </c>
      <c r="C831" s="100">
        <v>353816.66000000003</v>
      </c>
    </row>
    <row r="832" spans="1:3">
      <c r="A832" s="225">
        <v>99218</v>
      </c>
      <c r="B832" s="225" t="s">
        <v>1552</v>
      </c>
      <c r="C832" s="100">
        <v>1493014.0800000003</v>
      </c>
    </row>
    <row r="833" spans="1:3">
      <c r="A833" s="225">
        <v>99221</v>
      </c>
      <c r="B833" s="225" t="s">
        <v>1553</v>
      </c>
      <c r="C833" s="100">
        <v>5876509.1199999992</v>
      </c>
    </row>
    <row r="834" spans="1:3">
      <c r="A834" s="225">
        <v>99222</v>
      </c>
      <c r="B834" s="225" t="s">
        <v>1554</v>
      </c>
      <c r="C834" s="100">
        <v>15445.649999999998</v>
      </c>
    </row>
    <row r="835" spans="1:3">
      <c r="A835" s="225">
        <v>99231</v>
      </c>
      <c r="B835" s="225" t="s">
        <v>1555</v>
      </c>
      <c r="C835" s="100">
        <v>156904.40000000002</v>
      </c>
    </row>
    <row r="836" spans="1:3">
      <c r="A836" s="225">
        <v>99241</v>
      </c>
      <c r="B836" s="225" t="s">
        <v>1556</v>
      </c>
      <c r="C836" s="100">
        <v>226042.02999999997</v>
      </c>
    </row>
    <row r="837" spans="1:3">
      <c r="A837" s="225">
        <v>99251</v>
      </c>
      <c r="B837" s="225" t="s">
        <v>1557</v>
      </c>
      <c r="C837" s="100">
        <v>745407.53999999992</v>
      </c>
    </row>
    <row r="838" spans="1:3">
      <c r="A838" s="225">
        <v>99252</v>
      </c>
      <c r="B838" s="225" t="s">
        <v>1558</v>
      </c>
      <c r="C838" s="100">
        <v>212385.68000000002</v>
      </c>
    </row>
    <row r="839" spans="1:3">
      <c r="A839" s="225">
        <v>99261</v>
      </c>
      <c r="B839" s="225" t="s">
        <v>1559</v>
      </c>
      <c r="C839" s="100">
        <v>808835.41</v>
      </c>
    </row>
    <row r="840" spans="1:3">
      <c r="A840" s="225">
        <v>99271</v>
      </c>
      <c r="B840" s="225" t="s">
        <v>1560</v>
      </c>
      <c r="C840" s="100">
        <v>1751675.0799999998</v>
      </c>
    </row>
    <row r="841" spans="1:3">
      <c r="A841" s="225">
        <v>99281</v>
      </c>
      <c r="B841" s="225" t="s">
        <v>1561</v>
      </c>
      <c r="C841" s="100">
        <v>984779.61999999988</v>
      </c>
    </row>
    <row r="842" spans="1:3">
      <c r="A842" s="225">
        <v>99291</v>
      </c>
      <c r="B842" s="225" t="s">
        <v>1562</v>
      </c>
      <c r="C842" s="100">
        <v>299576.14999999997</v>
      </c>
    </row>
    <row r="843" spans="1:3">
      <c r="A843" s="225">
        <v>99301</v>
      </c>
      <c r="B843" s="225" t="s">
        <v>1563</v>
      </c>
      <c r="C843" s="100">
        <v>788880.01</v>
      </c>
    </row>
    <row r="844" spans="1:3">
      <c r="A844" s="225">
        <v>99304</v>
      </c>
      <c r="B844" s="225" t="s">
        <v>1564</v>
      </c>
      <c r="C844" s="100">
        <v>7554.29</v>
      </c>
    </row>
    <row r="845" spans="1:3">
      <c r="A845" s="225">
        <v>99311</v>
      </c>
      <c r="B845" s="225" t="s">
        <v>1565</v>
      </c>
      <c r="C845" s="100">
        <v>25361.440000000002</v>
      </c>
    </row>
    <row r="846" spans="1:3">
      <c r="A846" s="225">
        <v>99321</v>
      </c>
      <c r="B846" s="225" t="s">
        <v>1566</v>
      </c>
      <c r="C846" s="100">
        <v>98498.340000000011</v>
      </c>
    </row>
    <row r="847" spans="1:3">
      <c r="A847" s="225">
        <v>99401</v>
      </c>
      <c r="B847" s="225" t="s">
        <v>1567</v>
      </c>
      <c r="C847" s="100">
        <v>414565.11</v>
      </c>
    </row>
    <row r="848" spans="1:3">
      <c r="A848" s="225">
        <v>99404</v>
      </c>
      <c r="B848" s="225" t="s">
        <v>1568</v>
      </c>
      <c r="C848" s="100">
        <v>5392.6400000000012</v>
      </c>
    </row>
    <row r="849" spans="1:3">
      <c r="A849" s="225">
        <v>99405</v>
      </c>
      <c r="B849" s="225" t="s">
        <v>1569</v>
      </c>
      <c r="C849" s="100">
        <v>37797.960000000006</v>
      </c>
    </row>
    <row r="850" spans="1:3">
      <c r="A850" s="225">
        <v>99411</v>
      </c>
      <c r="B850" s="225" t="s">
        <v>1570</v>
      </c>
      <c r="C850" s="100">
        <v>75832.59</v>
      </c>
    </row>
    <row r="851" spans="1:3">
      <c r="A851" s="225">
        <v>99413</v>
      </c>
      <c r="B851" s="225" t="s">
        <v>1571</v>
      </c>
      <c r="C851" s="100">
        <v>18530.430000000004</v>
      </c>
    </row>
    <row r="852" spans="1:3">
      <c r="A852" s="225">
        <v>99421</v>
      </c>
      <c r="B852" s="225" t="s">
        <v>1572</v>
      </c>
      <c r="C852" s="100">
        <v>6211.08</v>
      </c>
    </row>
    <row r="853" spans="1:3">
      <c r="A853" s="225">
        <v>99431</v>
      </c>
      <c r="B853" s="225" t="s">
        <v>1573</v>
      </c>
      <c r="C853" s="100">
        <v>7581.2800000000007</v>
      </c>
    </row>
    <row r="854" spans="1:3">
      <c r="A854" s="225">
        <v>99501</v>
      </c>
      <c r="B854" s="225" t="s">
        <v>1574</v>
      </c>
      <c r="C854" s="100">
        <v>794395.29</v>
      </c>
    </row>
    <row r="855" spans="1:3">
      <c r="A855" s="225">
        <v>99502</v>
      </c>
      <c r="B855" s="225" t="s">
        <v>1575</v>
      </c>
      <c r="C855" s="100">
        <v>65830.87999999999</v>
      </c>
    </row>
    <row r="856" spans="1:3">
      <c r="A856" s="225">
        <v>99508</v>
      </c>
      <c r="B856" s="225" t="s">
        <v>1576</v>
      </c>
      <c r="C856" s="100">
        <v>9857.3000000000011</v>
      </c>
    </row>
    <row r="857" spans="1:3">
      <c r="A857" s="225">
        <v>99509</v>
      </c>
      <c r="B857" s="225" t="s">
        <v>1577</v>
      </c>
      <c r="C857" s="100">
        <v>11410.270000000002</v>
      </c>
    </row>
    <row r="858" spans="1:3">
      <c r="A858" s="225">
        <v>99511</v>
      </c>
      <c r="B858" s="225" t="s">
        <v>1578</v>
      </c>
      <c r="C858" s="100">
        <v>579707.17999999993</v>
      </c>
    </row>
    <row r="859" spans="1:3">
      <c r="A859" s="225">
        <v>99521</v>
      </c>
      <c r="B859" s="225" t="s">
        <v>1579</v>
      </c>
      <c r="C859" s="100">
        <v>176535.9</v>
      </c>
    </row>
    <row r="860" spans="1:3">
      <c r="A860" s="225">
        <v>99527</v>
      </c>
      <c r="B860" s="225" t="s">
        <v>1580</v>
      </c>
      <c r="C860" s="100">
        <v>5941.3</v>
      </c>
    </row>
    <row r="861" spans="1:3">
      <c r="A861" s="225">
        <v>99531</v>
      </c>
      <c r="B861" s="225" t="s">
        <v>1581</v>
      </c>
      <c r="C861" s="100">
        <v>72389.700000000012</v>
      </c>
    </row>
    <row r="862" spans="1:3">
      <c r="A862" s="225">
        <v>99601</v>
      </c>
      <c r="B862" s="225" t="s">
        <v>1582</v>
      </c>
      <c r="C862" s="100">
        <v>2548953.7600000002</v>
      </c>
    </row>
    <row r="863" spans="1:3">
      <c r="A863" s="225">
        <v>99602</v>
      </c>
      <c r="B863" s="225" t="s">
        <v>1583</v>
      </c>
      <c r="C863" s="100">
        <v>28151.17</v>
      </c>
    </row>
    <row r="864" spans="1:3">
      <c r="A864" s="225">
        <v>99603</v>
      </c>
      <c r="B864" s="225" t="s">
        <v>1584</v>
      </c>
      <c r="C864" s="100">
        <v>87236.890000000014</v>
      </c>
    </row>
    <row r="865" spans="1:3">
      <c r="A865" s="225">
        <v>99604</v>
      </c>
      <c r="B865" s="225" t="s">
        <v>1585</v>
      </c>
      <c r="C865" s="100">
        <v>52378.14</v>
      </c>
    </row>
    <row r="866" spans="1:3">
      <c r="A866" s="225">
        <v>99609</v>
      </c>
      <c r="B866" s="225" t="s">
        <v>1586</v>
      </c>
      <c r="C866" s="100">
        <v>9934.65</v>
      </c>
    </row>
    <row r="867" spans="1:3">
      <c r="A867" s="225">
        <v>99610</v>
      </c>
      <c r="B867" s="225" t="s">
        <v>1587</v>
      </c>
      <c r="C867" s="100">
        <v>85099.670000000013</v>
      </c>
    </row>
    <row r="868" spans="1:3">
      <c r="A868" s="225">
        <v>99611</v>
      </c>
      <c r="B868" s="225" t="s">
        <v>1588</v>
      </c>
      <c r="C868" s="100">
        <v>1474036.82</v>
      </c>
    </row>
    <row r="869" spans="1:3">
      <c r="A869" s="225">
        <v>99613</v>
      </c>
      <c r="B869" s="225" t="s">
        <v>1589</v>
      </c>
      <c r="C869" s="100">
        <v>310914.55000000005</v>
      </c>
    </row>
    <row r="870" spans="1:3">
      <c r="A870" s="225">
        <v>99621</v>
      </c>
      <c r="B870" s="225" t="s">
        <v>1590</v>
      </c>
      <c r="C870" s="100">
        <v>166447.64000000001</v>
      </c>
    </row>
    <row r="871" spans="1:3">
      <c r="A871" s="225">
        <v>99623</v>
      </c>
      <c r="B871" s="225" t="s">
        <v>1591</v>
      </c>
      <c r="C871" s="100">
        <v>11102.830000000002</v>
      </c>
    </row>
    <row r="872" spans="1:3">
      <c r="A872" s="225">
        <v>99631</v>
      </c>
      <c r="B872" s="225" t="s">
        <v>1592</v>
      </c>
      <c r="C872" s="100">
        <v>46230.900000000009</v>
      </c>
    </row>
    <row r="873" spans="1:3">
      <c r="A873" s="225">
        <v>99651</v>
      </c>
      <c r="B873" s="225" t="s">
        <v>1593</v>
      </c>
      <c r="C873" s="100">
        <v>30231.079999999998</v>
      </c>
    </row>
    <row r="874" spans="1:3">
      <c r="A874" s="225">
        <v>99661</v>
      </c>
      <c r="B874" s="225" t="s">
        <v>1594</v>
      </c>
      <c r="C874" s="100">
        <v>34513.29</v>
      </c>
    </row>
    <row r="875" spans="1:3">
      <c r="A875" s="225">
        <v>99701</v>
      </c>
      <c r="B875" s="225" t="s">
        <v>1595</v>
      </c>
      <c r="C875" s="100">
        <v>1295370.6500000001</v>
      </c>
    </row>
    <row r="876" spans="1:3">
      <c r="A876" s="225">
        <v>99705</v>
      </c>
      <c r="B876" s="225" t="s">
        <v>1596</v>
      </c>
      <c r="C876" s="100">
        <v>85450.72</v>
      </c>
    </row>
    <row r="877" spans="1:3">
      <c r="A877" s="225">
        <v>99711</v>
      </c>
      <c r="B877" s="225" t="s">
        <v>1597</v>
      </c>
      <c r="C877" s="100">
        <v>209493.55</v>
      </c>
    </row>
    <row r="878" spans="1:3">
      <c r="A878" s="225">
        <v>99717</v>
      </c>
      <c r="B878" s="225" t="s">
        <v>1598</v>
      </c>
      <c r="C878" s="100">
        <v>8060.3599999999979</v>
      </c>
    </row>
    <row r="879" spans="1:3">
      <c r="A879" s="225">
        <v>99721</v>
      </c>
      <c r="B879" s="225" t="s">
        <v>1599</v>
      </c>
      <c r="C879" s="100">
        <v>252724.99000000002</v>
      </c>
    </row>
    <row r="880" spans="1:3">
      <c r="A880" s="225">
        <v>99727</v>
      </c>
      <c r="B880" s="225" t="s">
        <v>1600</v>
      </c>
      <c r="C880" s="100">
        <v>46314.63</v>
      </c>
    </row>
    <row r="881" spans="1:3">
      <c r="A881" s="225">
        <v>99801</v>
      </c>
      <c r="B881" s="225" t="s">
        <v>1601</v>
      </c>
      <c r="C881" s="100">
        <v>2259452.0700000003</v>
      </c>
    </row>
    <row r="882" spans="1:3">
      <c r="A882" s="225">
        <v>99802</v>
      </c>
      <c r="B882" s="225" t="s">
        <v>1602</v>
      </c>
      <c r="C882" s="100">
        <v>4580.8500000000013</v>
      </c>
    </row>
    <row r="883" spans="1:3">
      <c r="A883" s="225">
        <v>99804</v>
      </c>
      <c r="B883" s="225" t="s">
        <v>1603</v>
      </c>
      <c r="C883" s="100">
        <v>46756.41</v>
      </c>
    </row>
    <row r="884" spans="1:3">
      <c r="A884" s="225">
        <v>99811</v>
      </c>
      <c r="B884" s="225" t="s">
        <v>1604</v>
      </c>
      <c r="C884" s="100">
        <v>2884355.86</v>
      </c>
    </row>
    <row r="885" spans="1:3">
      <c r="A885" s="225">
        <v>99812</v>
      </c>
      <c r="B885" s="225" t="s">
        <v>1605</v>
      </c>
      <c r="C885" s="100">
        <v>20069.04</v>
      </c>
    </row>
    <row r="886" spans="1:3">
      <c r="A886" s="225">
        <v>99818</v>
      </c>
      <c r="B886" s="225" t="s">
        <v>1606</v>
      </c>
      <c r="C886" s="100">
        <v>14369.52</v>
      </c>
    </row>
    <row r="887" spans="1:3">
      <c r="A887" s="225">
        <v>99821</v>
      </c>
      <c r="B887" s="225" t="s">
        <v>1607</v>
      </c>
      <c r="C887" s="100">
        <v>48801.23</v>
      </c>
    </row>
    <row r="888" spans="1:3">
      <c r="A888" s="225">
        <v>99831</v>
      </c>
      <c r="B888" s="225" t="s">
        <v>1608</v>
      </c>
      <c r="C888" s="100">
        <v>28273.86</v>
      </c>
    </row>
    <row r="889" spans="1:3">
      <c r="A889" s="225">
        <v>99841</v>
      </c>
      <c r="B889" s="225" t="s">
        <v>1609</v>
      </c>
      <c r="C889" s="100">
        <v>19337.829999999998</v>
      </c>
    </row>
    <row r="890" spans="1:3">
      <c r="A890" s="225">
        <v>99851</v>
      </c>
      <c r="B890" s="225" t="s">
        <v>1610</v>
      </c>
      <c r="C890" s="100">
        <v>7302.38</v>
      </c>
    </row>
    <row r="891" spans="1:3">
      <c r="A891" s="225">
        <v>99901</v>
      </c>
      <c r="B891" s="225" t="s">
        <v>1611</v>
      </c>
      <c r="C891" s="100">
        <v>760400.05</v>
      </c>
    </row>
    <row r="892" spans="1:3">
      <c r="A892" s="225">
        <v>99911</v>
      </c>
      <c r="B892" s="225" t="s">
        <v>1612</v>
      </c>
      <c r="C892" s="100">
        <v>122065.53</v>
      </c>
    </row>
    <row r="893" spans="1:3">
      <c r="A893" s="225">
        <v>99921</v>
      </c>
      <c r="B893" s="225" t="s">
        <v>1613</v>
      </c>
      <c r="C893" s="100">
        <v>65164.7</v>
      </c>
    </row>
    <row r="894" spans="1:3">
      <c r="A894" s="225">
        <v>99931</v>
      </c>
      <c r="B894" s="225" t="s">
        <v>1614</v>
      </c>
      <c r="C894" s="100">
        <v>8881.11</v>
      </c>
    </row>
    <row r="895" spans="1:3">
      <c r="A895" s="225">
        <v>99941</v>
      </c>
      <c r="B895" s="225" t="s">
        <v>1615</v>
      </c>
      <c r="C895" s="100">
        <v>32663.02</v>
      </c>
    </row>
    <row r="896" spans="1:3">
      <c r="A896" s="225">
        <v>99991</v>
      </c>
      <c r="B896" s="225" t="s">
        <v>1616</v>
      </c>
      <c r="C896" s="100">
        <v>239781.13999999998</v>
      </c>
    </row>
    <row r="897" spans="1:3">
      <c r="A897" s="225">
        <v>99999</v>
      </c>
      <c r="B897" s="225" t="s">
        <v>1617</v>
      </c>
      <c r="C897" s="100">
        <v>509175.93000000005</v>
      </c>
    </row>
    <row r="899" spans="1:3">
      <c r="A899" s="225" t="s">
        <v>3507</v>
      </c>
    </row>
    <row r="900" spans="1:3">
      <c r="A900" s="225">
        <v>91119</v>
      </c>
      <c r="B900" s="225" t="s">
        <v>48</v>
      </c>
      <c r="C900" s="100">
        <v>0</v>
      </c>
    </row>
    <row r="901" spans="1:3">
      <c r="A901" s="225">
        <v>92414</v>
      </c>
      <c r="B901" s="225" t="s">
        <v>2060</v>
      </c>
      <c r="C901" s="100">
        <v>0</v>
      </c>
    </row>
    <row r="902" spans="1:3">
      <c r="A902" s="225">
        <v>92608</v>
      </c>
      <c r="B902" s="225" t="s">
        <v>972</v>
      </c>
      <c r="C902" s="100">
        <v>0</v>
      </c>
    </row>
    <row r="903" spans="1:3">
      <c r="A903" s="225">
        <v>93408</v>
      </c>
      <c r="B903" s="225" t="s">
        <v>1043</v>
      </c>
      <c r="C903" s="100">
        <v>0</v>
      </c>
    </row>
    <row r="904" spans="1:3">
      <c r="A904" s="225">
        <v>94402</v>
      </c>
      <c r="B904" s="225" t="s">
        <v>1139</v>
      </c>
      <c r="C904" s="100">
        <v>0</v>
      </c>
    </row>
    <row r="905" spans="1:3">
      <c r="A905" s="225">
        <v>95412</v>
      </c>
      <c r="B905" s="225" t="s">
        <v>1220</v>
      </c>
      <c r="C905" s="100">
        <v>0</v>
      </c>
    </row>
    <row r="906" spans="1:3">
      <c r="A906" s="225">
        <v>93202</v>
      </c>
      <c r="B906" s="225" t="s">
        <v>1022</v>
      </c>
      <c r="C906" s="100">
        <v>0</v>
      </c>
    </row>
    <row r="907" spans="1:3">
      <c r="A907" s="225">
        <v>93677</v>
      </c>
      <c r="B907" s="225" t="s">
        <v>98</v>
      </c>
      <c r="C907" s="100">
        <v>0</v>
      </c>
    </row>
    <row r="908" spans="1:3">
      <c r="A908" s="225">
        <v>94512</v>
      </c>
      <c r="B908" s="225" t="s">
        <v>1151</v>
      </c>
      <c r="C908" s="100">
        <v>0</v>
      </c>
    </row>
    <row r="909" spans="1:3">
      <c r="A909" s="225">
        <v>97010</v>
      </c>
      <c r="B909" s="225" t="s">
        <v>1351</v>
      </c>
      <c r="C909" s="100">
        <v>0</v>
      </c>
    </row>
    <row r="910" spans="1:3">
      <c r="A910" s="225">
        <v>97491</v>
      </c>
      <c r="B910" s="225" t="s">
        <v>3506</v>
      </c>
    </row>
    <row r="2339" spans="1:1">
      <c r="A2339" s="101"/>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6131-E89C-4538-BE53-8E5043487DDA}">
  <dimension ref="A1:AV933"/>
  <sheetViews>
    <sheetView topLeftCell="A2" workbookViewId="0">
      <selection activeCell="A2" sqref="A2"/>
    </sheetView>
  </sheetViews>
  <sheetFormatPr defaultRowHeight="15"/>
  <cols>
    <col min="1" max="1" width="10.7109375" style="379" customWidth="1"/>
    <col min="2" max="2" width="58.7109375" customWidth="1"/>
    <col min="3" max="3" width="14.7109375" customWidth="1"/>
    <col min="4" max="4" width="1.7109375" customWidth="1"/>
    <col min="5" max="5" width="22.140625" customWidth="1"/>
    <col min="6" max="9" width="18.7109375" customWidth="1"/>
    <col min="10" max="10" width="11" hidden="1" customWidth="1"/>
    <col min="11" max="11" width="2.5703125" customWidth="1"/>
    <col min="12" max="12" width="22" customWidth="1"/>
    <col min="13" max="13" width="18" customWidth="1"/>
    <col min="14" max="14" width="17.5703125" customWidth="1"/>
    <col min="15" max="15" width="11.28515625" customWidth="1"/>
    <col min="16" max="16" width="12.7109375" customWidth="1"/>
    <col min="17" max="17" width="16.140625" hidden="1" customWidth="1"/>
    <col min="18" max="18" width="2.85546875" customWidth="1"/>
    <col min="19" max="19" width="19.85546875" customWidth="1"/>
    <col min="20" max="20" width="20" customWidth="1"/>
    <col min="21" max="21" width="26.28515625" customWidth="1"/>
    <col min="22" max="22" width="22.7109375" customWidth="1"/>
    <col min="23" max="23" width="14" customWidth="1"/>
    <col min="24" max="24" width="0" hidden="1" customWidth="1"/>
    <col min="25" max="25" width="2.5703125" customWidth="1"/>
    <col min="26" max="26" width="16.85546875" customWidth="1"/>
    <col min="27" max="27" width="18.28515625" customWidth="1"/>
    <col min="28" max="28" width="15.85546875" customWidth="1"/>
    <col min="29" max="29" width="12.5703125" customWidth="1"/>
    <col min="30" max="30" width="14" customWidth="1"/>
    <col min="31" max="31" width="14.85546875" hidden="1" customWidth="1"/>
    <col min="32" max="32" width="2.5703125" customWidth="1"/>
    <col min="33" max="33" width="18.5703125" customWidth="1"/>
    <col min="34" max="35" width="18.28515625" customWidth="1"/>
    <col min="36" max="36" width="18.7109375" customWidth="1"/>
    <col min="37" max="37" width="18.5703125" customWidth="1"/>
    <col min="38" max="38" width="13.7109375" hidden="1" customWidth="1"/>
    <col min="39" max="39" width="2.28515625" customWidth="1"/>
    <col min="40" max="40" width="18.85546875" customWidth="1"/>
    <col min="41" max="41" width="20" customWidth="1"/>
    <col min="42" max="42" width="19.5703125" customWidth="1"/>
    <col min="43" max="43" width="18.85546875" customWidth="1"/>
    <col min="44" max="44" width="18.28515625" customWidth="1"/>
  </cols>
  <sheetData>
    <row r="1" spans="1:44" s="295" customFormat="1" hidden="1">
      <c r="A1" s="377"/>
    </row>
    <row r="2" spans="1:44" s="295" customFormat="1">
      <c r="A2" s="377"/>
      <c r="B2" s="295" t="s">
        <v>715</v>
      </c>
      <c r="C2" s="422">
        <f>SUM(C7:C919)</f>
        <v>1.0000000000000004</v>
      </c>
      <c r="E2" s="423">
        <f>SUM(E7:E919)</f>
        <v>143116385</v>
      </c>
      <c r="F2" s="423">
        <f t="shared" ref="F2:AR2" si="0">SUM(F7:F919)</f>
        <v>-45978117</v>
      </c>
      <c r="G2" s="423">
        <f t="shared" si="0"/>
        <v>-166196023</v>
      </c>
      <c r="H2" s="423">
        <f t="shared" si="0"/>
        <v>-670474008</v>
      </c>
      <c r="I2" s="423">
        <f t="shared" si="0"/>
        <v>0</v>
      </c>
      <c r="J2" s="423">
        <f t="shared" si="0"/>
        <v>1.0000000000000004</v>
      </c>
      <c r="K2" s="423">
        <f t="shared" si="0"/>
        <v>0</v>
      </c>
      <c r="L2" s="423">
        <f t="shared" si="0"/>
        <v>244807986</v>
      </c>
      <c r="M2" s="423">
        <f t="shared" si="0"/>
        <v>169071979</v>
      </c>
      <c r="N2" s="423">
        <f t="shared" si="0"/>
        <v>74012007</v>
      </c>
      <c r="O2" s="423">
        <f t="shared" si="0"/>
        <v>0</v>
      </c>
      <c r="P2" s="423">
        <f t="shared" si="0"/>
        <v>0</v>
      </c>
      <c r="Q2" s="423">
        <f t="shared" si="0"/>
        <v>1.0000000000000004</v>
      </c>
      <c r="R2" s="423">
        <f t="shared" si="0"/>
        <v>0</v>
      </c>
      <c r="S2" s="423">
        <f t="shared" si="0"/>
        <v>-502367976</v>
      </c>
      <c r="T2" s="423">
        <f t="shared" si="0"/>
        <v>-496555005</v>
      </c>
      <c r="U2" s="423">
        <f t="shared" si="0"/>
        <v>-521651015</v>
      </c>
      <c r="V2" s="423">
        <f t="shared" si="0"/>
        <v>-670474008</v>
      </c>
      <c r="W2" s="423">
        <f t="shared" si="0"/>
        <v>0</v>
      </c>
      <c r="X2" s="423">
        <f t="shared" si="0"/>
        <v>1.0000000000000004</v>
      </c>
      <c r="Y2" s="423">
        <f t="shared" si="0"/>
        <v>0</v>
      </c>
      <c r="Z2" s="423">
        <f t="shared" si="0"/>
        <v>400602003</v>
      </c>
      <c r="AA2" s="423">
        <f t="shared" si="0"/>
        <v>281445003</v>
      </c>
      <c r="AB2" s="423">
        <f t="shared" si="0"/>
        <v>281442998</v>
      </c>
      <c r="AC2" s="423">
        <f t="shared" si="0"/>
        <v>0</v>
      </c>
      <c r="AD2" s="423">
        <f t="shared" si="0"/>
        <v>0</v>
      </c>
      <c r="AE2" s="423">
        <f t="shared" si="0"/>
        <v>1.0000000000000004</v>
      </c>
      <c r="AF2" s="423">
        <f t="shared" si="0"/>
        <v>0</v>
      </c>
      <c r="AG2" s="423">
        <f t="shared" si="0"/>
        <v>27795704</v>
      </c>
      <c r="AH2" s="423">
        <f t="shared" si="0"/>
        <v>24193338</v>
      </c>
      <c r="AI2" s="423">
        <f t="shared" si="0"/>
        <v>12382210</v>
      </c>
      <c r="AJ2" s="423">
        <f t="shared" si="0"/>
        <v>0</v>
      </c>
      <c r="AK2" s="423">
        <f t="shared" si="0"/>
        <v>0</v>
      </c>
      <c r="AL2" s="423">
        <f t="shared" si="0"/>
        <v>1.0000000000000004</v>
      </c>
      <c r="AM2" s="422">
        <f t="shared" si="0"/>
        <v>0</v>
      </c>
      <c r="AN2" s="423">
        <f t="shared" si="0"/>
        <v>-27795592</v>
      </c>
      <c r="AO2" s="423">
        <f t="shared" si="0"/>
        <v>-24193280</v>
      </c>
      <c r="AP2" s="423">
        <f t="shared" si="0"/>
        <v>-12382223</v>
      </c>
      <c r="AQ2" s="423">
        <f t="shared" si="0"/>
        <v>0</v>
      </c>
      <c r="AR2" s="423">
        <f t="shared" si="0"/>
        <v>0</v>
      </c>
    </row>
    <row r="3" spans="1:44" s="295" customFormat="1">
      <c r="A3" s="377"/>
      <c r="B3" s="295" t="s">
        <v>3773</v>
      </c>
    </row>
    <row r="4" spans="1:44" s="295" customFormat="1">
      <c r="A4" s="377"/>
    </row>
    <row r="5" spans="1:44" s="295" customFormat="1">
      <c r="A5" s="377"/>
      <c r="E5" s="377">
        <v>2022</v>
      </c>
      <c r="F5" s="377">
        <v>2023</v>
      </c>
      <c r="G5" s="377">
        <v>2024</v>
      </c>
      <c r="H5" s="377">
        <v>2025</v>
      </c>
      <c r="I5" s="377">
        <v>2026</v>
      </c>
      <c r="L5" s="377">
        <v>2022</v>
      </c>
      <c r="M5" s="377">
        <v>2023</v>
      </c>
      <c r="N5" s="377">
        <v>2024</v>
      </c>
      <c r="O5" s="377">
        <v>2025</v>
      </c>
      <c r="P5" s="377">
        <v>2026</v>
      </c>
      <c r="S5" s="377">
        <v>2022</v>
      </c>
      <c r="T5" s="377">
        <v>2023</v>
      </c>
      <c r="U5" s="377">
        <v>2024</v>
      </c>
      <c r="V5" s="377">
        <v>2025</v>
      </c>
      <c r="W5" s="377">
        <v>2026</v>
      </c>
      <c r="Z5" s="377">
        <v>2022</v>
      </c>
      <c r="AA5" s="377">
        <v>2023</v>
      </c>
      <c r="AB5" s="377">
        <v>2024</v>
      </c>
      <c r="AC5" s="377">
        <v>2025</v>
      </c>
      <c r="AD5" s="377">
        <v>2026</v>
      </c>
      <c r="AG5" s="377">
        <v>2022</v>
      </c>
      <c r="AH5" s="377">
        <v>2023</v>
      </c>
      <c r="AI5" s="377">
        <v>2024</v>
      </c>
      <c r="AJ5" s="377">
        <v>2025</v>
      </c>
      <c r="AK5" s="377">
        <v>2026</v>
      </c>
      <c r="AN5" s="377">
        <v>2022</v>
      </c>
      <c r="AO5" s="377">
        <v>2023</v>
      </c>
      <c r="AP5" s="377">
        <v>2024</v>
      </c>
      <c r="AQ5" s="377">
        <v>2025</v>
      </c>
      <c r="AR5" s="377">
        <v>2026</v>
      </c>
    </row>
    <row r="6" spans="1:44" s="295" customFormat="1" ht="90" customHeight="1">
      <c r="A6" s="366" t="s">
        <v>0</v>
      </c>
      <c r="B6" s="366" t="s">
        <v>3768</v>
      </c>
      <c r="C6" s="366" t="s">
        <v>3769</v>
      </c>
      <c r="D6" s="366"/>
      <c r="E6" s="366" t="s">
        <v>702</v>
      </c>
      <c r="F6" s="366" t="s">
        <v>702</v>
      </c>
      <c r="G6" s="366" t="s">
        <v>702</v>
      </c>
      <c r="H6" s="366" t="s">
        <v>702</v>
      </c>
      <c r="I6" s="366" t="s">
        <v>702</v>
      </c>
      <c r="J6" s="366" t="s">
        <v>3769</v>
      </c>
      <c r="K6" s="366"/>
      <c r="L6" s="366" t="s">
        <v>3770</v>
      </c>
      <c r="M6" s="366" t="s">
        <v>3770</v>
      </c>
      <c r="N6" s="366" t="s">
        <v>3770</v>
      </c>
      <c r="O6" s="366" t="s">
        <v>3770</v>
      </c>
      <c r="P6" s="366" t="s">
        <v>3770</v>
      </c>
      <c r="Q6" s="366" t="s">
        <v>3769</v>
      </c>
      <c r="R6" s="366"/>
      <c r="S6" s="366" t="s">
        <v>6</v>
      </c>
      <c r="T6" s="366" t="s">
        <v>6</v>
      </c>
      <c r="U6" s="366" t="s">
        <v>6</v>
      </c>
      <c r="V6" s="366" t="s">
        <v>6</v>
      </c>
      <c r="W6" s="366" t="s">
        <v>6</v>
      </c>
      <c r="X6" s="366" t="s">
        <v>3769</v>
      </c>
      <c r="Y6" s="366"/>
      <c r="Z6" s="404" t="s">
        <v>7</v>
      </c>
      <c r="AA6" s="404" t="s">
        <v>7</v>
      </c>
      <c r="AB6" s="404" t="s">
        <v>7</v>
      </c>
      <c r="AC6" s="404" t="s">
        <v>7</v>
      </c>
      <c r="AD6" s="404" t="s">
        <v>7</v>
      </c>
      <c r="AE6" s="366" t="s">
        <v>3769</v>
      </c>
      <c r="AF6" s="366"/>
      <c r="AG6" s="404" t="s">
        <v>3771</v>
      </c>
      <c r="AH6" s="404" t="s">
        <v>3771</v>
      </c>
      <c r="AI6" s="404" t="s">
        <v>3771</v>
      </c>
      <c r="AJ6" s="404" t="s">
        <v>3771</v>
      </c>
      <c r="AK6" s="404" t="s">
        <v>3771</v>
      </c>
      <c r="AL6" s="366" t="s">
        <v>3769</v>
      </c>
      <c r="AM6" s="366"/>
      <c r="AN6" s="404" t="s">
        <v>3772</v>
      </c>
      <c r="AO6" s="404" t="s">
        <v>3772</v>
      </c>
      <c r="AP6" s="404" t="s">
        <v>3772</v>
      </c>
      <c r="AQ6" s="404" t="s">
        <v>3772</v>
      </c>
      <c r="AR6" s="404" t="s">
        <v>3772</v>
      </c>
    </row>
    <row r="7" spans="1:44">
      <c r="A7" s="379">
        <v>70505</v>
      </c>
      <c r="B7" t="s">
        <v>727</v>
      </c>
      <c r="C7" s="380">
        <v>2.8729999999999999E-4</v>
      </c>
      <c r="D7" s="380"/>
      <c r="E7" s="70">
        <v>20841</v>
      </c>
      <c r="F7" s="70">
        <v>-28874</v>
      </c>
      <c r="G7" s="70">
        <v>-52483</v>
      </c>
      <c r="H7" s="70">
        <v>-192627</v>
      </c>
      <c r="I7" s="70">
        <v>0</v>
      </c>
      <c r="J7" s="380">
        <v>2.8729999999999999E-4</v>
      </c>
      <c r="K7" s="380"/>
      <c r="L7" s="70">
        <v>70333</v>
      </c>
      <c r="M7" s="70">
        <v>48574</v>
      </c>
      <c r="N7" s="70">
        <v>21264</v>
      </c>
      <c r="O7" s="70">
        <v>0</v>
      </c>
      <c r="P7" s="70">
        <v>0</v>
      </c>
      <c r="Q7" s="380">
        <v>2.8729999999999999E-4</v>
      </c>
      <c r="R7" s="380"/>
      <c r="S7" s="70">
        <v>-144330</v>
      </c>
      <c r="T7" s="70">
        <v>-142660</v>
      </c>
      <c r="U7" s="70">
        <v>-149870</v>
      </c>
      <c r="V7" s="70">
        <v>-192627</v>
      </c>
      <c r="W7" s="70">
        <v>0</v>
      </c>
      <c r="X7" s="380">
        <v>2.8729999999999999E-4</v>
      </c>
      <c r="Z7" s="70">
        <v>115093</v>
      </c>
      <c r="AA7" s="70">
        <v>80859</v>
      </c>
      <c r="AB7" s="70">
        <v>80859</v>
      </c>
      <c r="AC7" s="70">
        <v>0</v>
      </c>
      <c r="AD7" s="70">
        <v>0</v>
      </c>
      <c r="AE7" s="380">
        <v>2.8729999999999999E-4</v>
      </c>
      <c r="AF7" s="380"/>
      <c r="AG7" s="70">
        <v>0</v>
      </c>
      <c r="AH7" s="70">
        <v>0</v>
      </c>
      <c r="AI7" s="70">
        <v>0</v>
      </c>
      <c r="AJ7" s="70">
        <v>0</v>
      </c>
      <c r="AK7" s="70">
        <v>0</v>
      </c>
      <c r="AL7" s="380">
        <v>2.8729999999999999E-4</v>
      </c>
      <c r="AM7" s="380"/>
      <c r="AN7" s="70">
        <v>-20255</v>
      </c>
      <c r="AO7" s="70">
        <v>-15647</v>
      </c>
      <c r="AP7" s="70">
        <v>-4736</v>
      </c>
      <c r="AQ7" s="70">
        <v>0</v>
      </c>
      <c r="AR7" s="70">
        <v>0</v>
      </c>
    </row>
    <row r="8" spans="1:44">
      <c r="A8" s="379">
        <v>72265</v>
      </c>
      <c r="B8" t="s">
        <v>728</v>
      </c>
      <c r="C8" s="380">
        <v>1.5090000000000001E-4</v>
      </c>
      <c r="D8" s="380"/>
      <c r="E8" s="419">
        <v>29607</v>
      </c>
      <c r="F8" s="419">
        <v>-942</v>
      </c>
      <c r="G8" s="419">
        <v>-23064</v>
      </c>
      <c r="H8" s="419">
        <v>-101175</v>
      </c>
      <c r="I8" s="419">
        <v>0</v>
      </c>
      <c r="J8" s="380">
        <v>1.5090000000000001E-4</v>
      </c>
      <c r="K8" s="380"/>
      <c r="L8" s="419">
        <v>36942</v>
      </c>
      <c r="M8" s="419">
        <v>25513</v>
      </c>
      <c r="N8" s="419">
        <v>11168</v>
      </c>
      <c r="O8" s="419">
        <v>0</v>
      </c>
      <c r="P8" s="419">
        <v>0</v>
      </c>
      <c r="Q8" s="380">
        <v>1.5090000000000001E-4</v>
      </c>
      <c r="R8" s="380"/>
      <c r="S8" s="419">
        <v>-75807</v>
      </c>
      <c r="T8" s="419">
        <v>-74930</v>
      </c>
      <c r="U8" s="419">
        <v>-78717</v>
      </c>
      <c r="V8" s="419">
        <v>-101175</v>
      </c>
      <c r="W8" s="419">
        <v>0</v>
      </c>
      <c r="X8" s="380">
        <v>1.5090000000000001E-4</v>
      </c>
      <c r="Z8" s="419">
        <v>60451</v>
      </c>
      <c r="AA8" s="419">
        <v>42470</v>
      </c>
      <c r="AB8" s="419">
        <v>42470</v>
      </c>
      <c r="AC8" s="419">
        <v>0</v>
      </c>
      <c r="AD8" s="419">
        <v>0</v>
      </c>
      <c r="AE8" s="380">
        <v>1.5090000000000001E-4</v>
      </c>
      <c r="AF8" s="380"/>
      <c r="AG8" s="419">
        <v>9462</v>
      </c>
      <c r="AH8" s="419">
        <v>7445</v>
      </c>
      <c r="AI8" s="419">
        <v>2015</v>
      </c>
      <c r="AJ8" s="419">
        <v>0</v>
      </c>
      <c r="AK8" s="419">
        <v>0</v>
      </c>
      <c r="AL8" s="380">
        <v>1.5090000000000001E-4</v>
      </c>
      <c r="AM8" s="380"/>
      <c r="AN8" s="419">
        <v>-1441</v>
      </c>
      <c r="AO8" s="419">
        <v>-1440</v>
      </c>
      <c r="AP8" s="419">
        <v>0</v>
      </c>
      <c r="AQ8" s="419">
        <v>0</v>
      </c>
      <c r="AR8" s="419">
        <v>0</v>
      </c>
    </row>
    <row r="9" spans="1:44">
      <c r="A9" s="379">
        <v>72593</v>
      </c>
      <c r="B9" t="s">
        <v>729</v>
      </c>
      <c r="C9" s="380">
        <v>6.7000000000000002E-6</v>
      </c>
      <c r="D9" s="380"/>
      <c r="E9" s="419">
        <v>452</v>
      </c>
      <c r="F9" s="419">
        <v>-669</v>
      </c>
      <c r="G9" s="419">
        <v>-1426</v>
      </c>
      <c r="H9" s="419">
        <v>-4492</v>
      </c>
      <c r="I9" s="419">
        <v>0</v>
      </c>
      <c r="J9" s="380">
        <v>6.7000000000000002E-6</v>
      </c>
      <c r="K9" s="380"/>
      <c r="L9" s="419">
        <v>1640</v>
      </c>
      <c r="M9" s="419">
        <v>1133</v>
      </c>
      <c r="N9" s="419">
        <v>496</v>
      </c>
      <c r="O9" s="419">
        <v>0</v>
      </c>
      <c r="P9" s="419">
        <v>0</v>
      </c>
      <c r="Q9" s="380">
        <v>6.7000000000000002E-6</v>
      </c>
      <c r="R9" s="380"/>
      <c r="S9" s="419">
        <v>-3366</v>
      </c>
      <c r="T9" s="419">
        <v>-3327</v>
      </c>
      <c r="U9" s="419">
        <v>-3495</v>
      </c>
      <c r="V9" s="419">
        <v>-4492</v>
      </c>
      <c r="W9" s="419">
        <v>0</v>
      </c>
      <c r="X9" s="380">
        <v>6.7000000000000002E-6</v>
      </c>
      <c r="Z9" s="419">
        <v>2684</v>
      </c>
      <c r="AA9" s="419">
        <v>1886</v>
      </c>
      <c r="AB9" s="419">
        <v>1886</v>
      </c>
      <c r="AC9" s="419">
        <v>0</v>
      </c>
      <c r="AD9" s="419">
        <v>0</v>
      </c>
      <c r="AE9" s="380">
        <v>6.7000000000000002E-6</v>
      </c>
      <c r="AF9" s="380"/>
      <c r="AG9" s="419">
        <v>54</v>
      </c>
      <c r="AH9" s="419">
        <v>55</v>
      </c>
      <c r="AI9" s="419">
        <v>0</v>
      </c>
      <c r="AJ9" s="419">
        <v>0</v>
      </c>
      <c r="AK9" s="419">
        <v>0</v>
      </c>
      <c r="AL9" s="380">
        <v>6.7000000000000002E-6</v>
      </c>
      <c r="AM9" s="380"/>
      <c r="AN9" s="419">
        <v>-560</v>
      </c>
      <c r="AO9" s="419">
        <v>-416</v>
      </c>
      <c r="AP9" s="419">
        <v>-313</v>
      </c>
      <c r="AQ9" s="419">
        <v>0</v>
      </c>
      <c r="AR9" s="419">
        <v>0</v>
      </c>
    </row>
    <row r="10" spans="1:44">
      <c r="A10" s="379">
        <v>72657</v>
      </c>
      <c r="B10" t="s">
        <v>730</v>
      </c>
      <c r="C10" s="380">
        <v>3.0800000000000003E-5</v>
      </c>
      <c r="D10" s="380"/>
      <c r="E10" s="419">
        <v>-1774</v>
      </c>
      <c r="F10" s="419">
        <v>-7088</v>
      </c>
      <c r="G10" s="419">
        <v>-9431</v>
      </c>
      <c r="H10" s="419">
        <v>-20651</v>
      </c>
      <c r="I10" s="419">
        <v>0</v>
      </c>
      <c r="J10" s="380">
        <v>3.0800000000000003E-5</v>
      </c>
      <c r="K10" s="380"/>
      <c r="L10" s="419">
        <v>7540</v>
      </c>
      <c r="M10" s="419">
        <v>5207</v>
      </c>
      <c r="N10" s="419">
        <v>2280</v>
      </c>
      <c r="O10" s="419">
        <v>0</v>
      </c>
      <c r="P10" s="419">
        <v>0</v>
      </c>
      <c r="Q10" s="380">
        <v>3.0800000000000003E-5</v>
      </c>
      <c r="R10" s="380"/>
      <c r="S10" s="419">
        <v>-15473</v>
      </c>
      <c r="T10" s="419">
        <v>-15294</v>
      </c>
      <c r="U10" s="419">
        <v>-16067</v>
      </c>
      <c r="V10" s="419">
        <v>-20651</v>
      </c>
      <c r="W10" s="419">
        <v>0</v>
      </c>
      <c r="X10" s="380">
        <v>3.0800000000000003E-5</v>
      </c>
      <c r="Z10" s="419">
        <v>12339</v>
      </c>
      <c r="AA10" s="419">
        <v>8669</v>
      </c>
      <c r="AB10" s="419">
        <v>8668</v>
      </c>
      <c r="AC10" s="419">
        <v>0</v>
      </c>
      <c r="AD10" s="419">
        <v>0</v>
      </c>
      <c r="AE10" s="380">
        <v>3.0800000000000003E-5</v>
      </c>
      <c r="AF10" s="380"/>
      <c r="AG10" s="419">
        <v>0</v>
      </c>
      <c r="AH10" s="419">
        <v>0</v>
      </c>
      <c r="AI10" s="419">
        <v>0</v>
      </c>
      <c r="AJ10" s="419">
        <v>0</v>
      </c>
      <c r="AK10" s="419">
        <v>0</v>
      </c>
      <c r="AL10" s="380">
        <v>3.0800000000000003E-5</v>
      </c>
      <c r="AM10" s="380"/>
      <c r="AN10" s="419">
        <v>-6180</v>
      </c>
      <c r="AO10" s="419">
        <v>-5670</v>
      </c>
      <c r="AP10" s="419">
        <v>-4312</v>
      </c>
      <c r="AQ10" s="419">
        <v>0</v>
      </c>
      <c r="AR10" s="419">
        <v>0</v>
      </c>
    </row>
    <row r="11" spans="1:44">
      <c r="A11" s="379">
        <v>90001</v>
      </c>
      <c r="B11" t="s">
        <v>731</v>
      </c>
      <c r="C11" s="380">
        <v>1.0636E-3</v>
      </c>
      <c r="D11" s="380"/>
      <c r="E11" s="419">
        <v>277809</v>
      </c>
      <c r="F11" s="419">
        <v>76380</v>
      </c>
      <c r="G11" s="419">
        <v>-67790</v>
      </c>
      <c r="H11" s="419">
        <v>-713116</v>
      </c>
      <c r="I11" s="419">
        <v>0</v>
      </c>
      <c r="J11" s="380">
        <v>1.0636E-3</v>
      </c>
      <c r="K11" s="380"/>
      <c r="L11" s="419">
        <v>260378</v>
      </c>
      <c r="M11" s="419">
        <v>179825</v>
      </c>
      <c r="N11" s="419">
        <v>78719</v>
      </c>
      <c r="O11" s="419">
        <v>0</v>
      </c>
      <c r="P11" s="419">
        <v>0</v>
      </c>
      <c r="Q11" s="380">
        <v>1.0636E-3</v>
      </c>
      <c r="R11" s="380"/>
      <c r="S11" s="419">
        <v>-534319</v>
      </c>
      <c r="T11" s="419">
        <v>-528136</v>
      </c>
      <c r="U11" s="419">
        <v>-554828</v>
      </c>
      <c r="V11" s="419">
        <v>-713116</v>
      </c>
      <c r="W11" s="419">
        <v>0</v>
      </c>
      <c r="X11" s="380">
        <v>1.0636E-3</v>
      </c>
      <c r="Z11" s="419">
        <v>426080</v>
      </c>
      <c r="AA11" s="419">
        <v>299345</v>
      </c>
      <c r="AB11" s="419">
        <v>299343</v>
      </c>
      <c r="AC11" s="419">
        <v>0</v>
      </c>
      <c r="AD11" s="419">
        <v>0</v>
      </c>
      <c r="AE11" s="380">
        <v>1.0636E-3</v>
      </c>
      <c r="AF11" s="380"/>
      <c r="AG11" s="419">
        <v>125670</v>
      </c>
      <c r="AH11" s="419">
        <v>125346</v>
      </c>
      <c r="AI11" s="419">
        <v>108976</v>
      </c>
      <c r="AJ11" s="419">
        <v>0</v>
      </c>
      <c r="AK11" s="419">
        <v>0</v>
      </c>
      <c r="AL11" s="380">
        <v>1.0636E-3</v>
      </c>
      <c r="AM11" s="380"/>
      <c r="AN11" s="419">
        <v>0</v>
      </c>
      <c r="AO11" s="419">
        <v>0</v>
      </c>
      <c r="AP11" s="419">
        <v>0</v>
      </c>
      <c r="AQ11" s="419">
        <v>0</v>
      </c>
      <c r="AR11" s="419">
        <v>0</v>
      </c>
    </row>
    <row r="12" spans="1:44">
      <c r="A12" s="379">
        <v>90002</v>
      </c>
      <c r="B12" t="s">
        <v>732</v>
      </c>
      <c r="C12" s="380">
        <v>6.9E-6</v>
      </c>
      <c r="D12" s="380"/>
      <c r="E12" s="419">
        <v>2352</v>
      </c>
      <c r="F12" s="419">
        <v>870</v>
      </c>
      <c r="G12" s="419">
        <v>-687</v>
      </c>
      <c r="H12" s="419">
        <v>-4626</v>
      </c>
      <c r="I12" s="419">
        <v>0</v>
      </c>
      <c r="J12" s="380">
        <v>6.9E-6</v>
      </c>
      <c r="K12" s="380"/>
      <c r="L12" s="419">
        <v>1689</v>
      </c>
      <c r="M12" s="419">
        <v>1167</v>
      </c>
      <c r="N12" s="419">
        <v>511</v>
      </c>
      <c r="O12" s="419">
        <v>0</v>
      </c>
      <c r="P12" s="419">
        <v>0</v>
      </c>
      <c r="Q12" s="380">
        <v>6.9E-6</v>
      </c>
      <c r="R12" s="380"/>
      <c r="S12" s="419">
        <v>-3466</v>
      </c>
      <c r="T12" s="419">
        <v>-3426</v>
      </c>
      <c r="U12" s="419">
        <v>-3599</v>
      </c>
      <c r="V12" s="419">
        <v>-4626</v>
      </c>
      <c r="W12" s="419">
        <v>0</v>
      </c>
      <c r="X12" s="380">
        <v>6.9E-6</v>
      </c>
      <c r="Z12" s="419">
        <v>2764</v>
      </c>
      <c r="AA12" s="419">
        <v>1942</v>
      </c>
      <c r="AB12" s="419">
        <v>1942</v>
      </c>
      <c r="AC12" s="419">
        <v>0</v>
      </c>
      <c r="AD12" s="419">
        <v>0</v>
      </c>
      <c r="AE12" s="380">
        <v>6.9E-6</v>
      </c>
      <c r="AF12" s="380"/>
      <c r="AG12" s="419">
        <v>1365</v>
      </c>
      <c r="AH12" s="419">
        <v>1187</v>
      </c>
      <c r="AI12" s="419">
        <v>459</v>
      </c>
      <c r="AJ12" s="419">
        <v>0</v>
      </c>
      <c r="AK12" s="419">
        <v>0</v>
      </c>
      <c r="AL12" s="380">
        <v>6.9E-6</v>
      </c>
      <c r="AM12" s="380"/>
      <c r="AN12" s="419">
        <v>0</v>
      </c>
      <c r="AO12" s="419">
        <v>0</v>
      </c>
      <c r="AP12" s="419">
        <v>0</v>
      </c>
      <c r="AQ12" s="419">
        <v>0</v>
      </c>
      <c r="AR12" s="419">
        <v>0</v>
      </c>
    </row>
    <row r="13" spans="1:44" ht="16.5" customHeight="1">
      <c r="A13" s="379">
        <v>90011</v>
      </c>
      <c r="B13" t="s">
        <v>733</v>
      </c>
      <c r="C13" s="380">
        <v>1.7770000000000001E-4</v>
      </c>
      <c r="D13" s="380"/>
      <c r="E13" s="419">
        <v>26887</v>
      </c>
      <c r="F13" s="419">
        <v>-4819</v>
      </c>
      <c r="G13" s="419">
        <v>-21013</v>
      </c>
      <c r="H13" s="419">
        <v>-119143</v>
      </c>
      <c r="I13" s="419">
        <v>0</v>
      </c>
      <c r="J13" s="380">
        <v>1.7770000000000001E-4</v>
      </c>
      <c r="K13" s="380"/>
      <c r="L13" s="419">
        <v>43502</v>
      </c>
      <c r="M13" s="419">
        <v>30044</v>
      </c>
      <c r="N13" s="419">
        <v>13152</v>
      </c>
      <c r="O13" s="419">
        <v>0</v>
      </c>
      <c r="P13" s="419">
        <v>0</v>
      </c>
      <c r="Q13" s="380">
        <v>1.7770000000000001E-4</v>
      </c>
      <c r="R13" s="380"/>
      <c r="S13" s="419">
        <v>-89271</v>
      </c>
      <c r="T13" s="419">
        <v>-88238</v>
      </c>
      <c r="U13" s="419">
        <v>-92697</v>
      </c>
      <c r="V13" s="419">
        <v>-119143</v>
      </c>
      <c r="W13" s="419">
        <v>0</v>
      </c>
      <c r="X13" s="380">
        <v>1.7770000000000001E-4</v>
      </c>
      <c r="Z13" s="419">
        <v>71187</v>
      </c>
      <c r="AA13" s="419">
        <v>50013</v>
      </c>
      <c r="AB13" s="419">
        <v>50012</v>
      </c>
      <c r="AC13" s="419">
        <v>0</v>
      </c>
      <c r="AD13" s="419">
        <v>0</v>
      </c>
      <c r="AE13" s="380">
        <v>1.7770000000000001E-4</v>
      </c>
      <c r="AF13" s="380"/>
      <c r="AG13" s="419">
        <v>8520</v>
      </c>
      <c r="AH13" s="419">
        <v>8520</v>
      </c>
      <c r="AI13" s="419">
        <v>8520</v>
      </c>
      <c r="AJ13" s="419">
        <v>0</v>
      </c>
      <c r="AK13" s="419">
        <v>0</v>
      </c>
      <c r="AL13" s="380">
        <v>1.7770000000000001E-4</v>
      </c>
      <c r="AM13" s="380"/>
      <c r="AN13" s="419">
        <v>-7051</v>
      </c>
      <c r="AO13" s="419">
        <v>-5158</v>
      </c>
      <c r="AP13" s="419">
        <v>0</v>
      </c>
      <c r="AQ13" s="419">
        <v>0</v>
      </c>
      <c r="AR13" s="419">
        <v>0</v>
      </c>
    </row>
    <row r="14" spans="1:44">
      <c r="A14" s="379">
        <v>90092</v>
      </c>
      <c r="B14" t="s">
        <v>734</v>
      </c>
      <c r="C14" s="380">
        <v>3.882E-4</v>
      </c>
      <c r="D14" s="380"/>
      <c r="E14" s="419">
        <v>64337</v>
      </c>
      <c r="F14" s="419">
        <v>-12736</v>
      </c>
      <c r="G14" s="419">
        <v>-81864</v>
      </c>
      <c r="H14" s="419">
        <v>-260278</v>
      </c>
      <c r="I14" s="419">
        <v>0</v>
      </c>
      <c r="J14" s="380">
        <v>3.882E-4</v>
      </c>
      <c r="K14" s="380"/>
      <c r="L14" s="419">
        <v>95034</v>
      </c>
      <c r="M14" s="419">
        <v>65634</v>
      </c>
      <c r="N14" s="419">
        <v>28731</v>
      </c>
      <c r="O14" s="419">
        <v>0</v>
      </c>
      <c r="P14" s="419">
        <v>0</v>
      </c>
      <c r="Q14" s="380">
        <v>3.882E-4</v>
      </c>
      <c r="R14" s="380"/>
      <c r="S14" s="419">
        <v>-195019</v>
      </c>
      <c r="T14" s="419">
        <v>-192763</v>
      </c>
      <c r="U14" s="419">
        <v>-202505</v>
      </c>
      <c r="V14" s="419">
        <v>-260278</v>
      </c>
      <c r="W14" s="419">
        <v>0</v>
      </c>
      <c r="X14" s="380">
        <v>3.882E-4</v>
      </c>
      <c r="Z14" s="419">
        <v>155514</v>
      </c>
      <c r="AA14" s="419">
        <v>109257</v>
      </c>
      <c r="AB14" s="419">
        <v>109256</v>
      </c>
      <c r="AC14" s="419">
        <v>0</v>
      </c>
      <c r="AD14" s="419">
        <v>0</v>
      </c>
      <c r="AE14" s="380">
        <v>3.882E-4</v>
      </c>
      <c r="AF14" s="380"/>
      <c r="AG14" s="419">
        <v>26156</v>
      </c>
      <c r="AH14" s="419">
        <v>22484</v>
      </c>
      <c r="AI14" s="419">
        <v>0</v>
      </c>
      <c r="AJ14" s="419">
        <v>0</v>
      </c>
      <c r="AK14" s="419">
        <v>0</v>
      </c>
      <c r="AL14" s="380">
        <v>3.882E-4</v>
      </c>
      <c r="AM14" s="380"/>
      <c r="AN14" s="419">
        <v>-17348</v>
      </c>
      <c r="AO14" s="419">
        <v>-17348</v>
      </c>
      <c r="AP14" s="419">
        <v>-17346</v>
      </c>
      <c r="AQ14" s="419">
        <v>0</v>
      </c>
      <c r="AR14" s="419">
        <v>0</v>
      </c>
    </row>
    <row r="15" spans="1:44">
      <c r="A15" s="379">
        <v>90096</v>
      </c>
      <c r="B15" t="s">
        <v>735</v>
      </c>
      <c r="C15" s="380">
        <v>9.4720000000000004E-4</v>
      </c>
      <c r="D15" s="380"/>
      <c r="E15" s="419">
        <v>236414</v>
      </c>
      <c r="F15" s="419">
        <v>48628</v>
      </c>
      <c r="G15" s="419">
        <v>-122307</v>
      </c>
      <c r="H15" s="419">
        <v>-635073</v>
      </c>
      <c r="I15" s="419">
        <v>0</v>
      </c>
      <c r="J15" s="380">
        <v>9.4720000000000004E-4</v>
      </c>
      <c r="K15" s="380"/>
      <c r="L15" s="419">
        <v>231882</v>
      </c>
      <c r="M15" s="419">
        <v>160145</v>
      </c>
      <c r="N15" s="419">
        <v>70104</v>
      </c>
      <c r="O15" s="419">
        <v>0</v>
      </c>
      <c r="P15" s="419">
        <v>0</v>
      </c>
      <c r="Q15" s="380">
        <v>9.4720000000000004E-4</v>
      </c>
      <c r="R15" s="380"/>
      <c r="S15" s="419">
        <v>-475843</v>
      </c>
      <c r="T15" s="419">
        <v>-470337</v>
      </c>
      <c r="U15" s="419">
        <v>-494108</v>
      </c>
      <c r="V15" s="419">
        <v>-635073</v>
      </c>
      <c r="W15" s="419">
        <v>0</v>
      </c>
      <c r="X15" s="380">
        <v>9.4720000000000004E-4</v>
      </c>
      <c r="Z15" s="419">
        <v>379450</v>
      </c>
      <c r="AA15" s="419">
        <v>266585</v>
      </c>
      <c r="AB15" s="419">
        <v>266583</v>
      </c>
      <c r="AC15" s="419">
        <v>0</v>
      </c>
      <c r="AD15" s="419">
        <v>0</v>
      </c>
      <c r="AE15" s="380">
        <v>9.4720000000000004E-4</v>
      </c>
      <c r="AF15" s="380"/>
      <c r="AG15" s="419">
        <v>100925</v>
      </c>
      <c r="AH15" s="419">
        <v>92235</v>
      </c>
      <c r="AI15" s="419">
        <v>35114</v>
      </c>
      <c r="AJ15" s="419">
        <v>0</v>
      </c>
      <c r="AK15" s="419">
        <v>0</v>
      </c>
      <c r="AL15" s="380">
        <v>9.4720000000000004E-4</v>
      </c>
      <c r="AM15" s="380"/>
      <c r="AN15" s="419">
        <v>0</v>
      </c>
      <c r="AO15" s="419">
        <v>0</v>
      </c>
      <c r="AP15" s="419">
        <v>0</v>
      </c>
      <c r="AQ15" s="419">
        <v>0</v>
      </c>
      <c r="AR15" s="419">
        <v>0</v>
      </c>
    </row>
    <row r="16" spans="1:44">
      <c r="A16" s="379">
        <v>90098</v>
      </c>
      <c r="B16" t="s">
        <v>736</v>
      </c>
      <c r="C16" s="380">
        <v>2.4110000000000001E-4</v>
      </c>
      <c r="D16" s="380"/>
      <c r="E16" s="419">
        <v>24832</v>
      </c>
      <c r="F16" s="419">
        <v>-24531</v>
      </c>
      <c r="G16" s="419">
        <v>-47689</v>
      </c>
      <c r="H16" s="419">
        <v>-161651</v>
      </c>
      <c r="I16" s="419">
        <v>0</v>
      </c>
      <c r="J16" s="380">
        <v>2.4110000000000001E-4</v>
      </c>
      <c r="K16" s="380"/>
      <c r="L16" s="419">
        <v>59023</v>
      </c>
      <c r="M16" s="419">
        <v>40763</v>
      </c>
      <c r="N16" s="419">
        <v>17844</v>
      </c>
      <c r="O16" s="419">
        <v>0</v>
      </c>
      <c r="P16" s="419">
        <v>0</v>
      </c>
      <c r="Q16" s="380">
        <v>2.4110000000000001E-4</v>
      </c>
      <c r="R16" s="380"/>
      <c r="S16" s="419">
        <v>-121121</v>
      </c>
      <c r="T16" s="419">
        <v>-119719</v>
      </c>
      <c r="U16" s="419">
        <v>-125770</v>
      </c>
      <c r="V16" s="419">
        <v>-161651</v>
      </c>
      <c r="W16" s="419">
        <v>0</v>
      </c>
      <c r="X16" s="380">
        <v>2.4110000000000001E-4</v>
      </c>
      <c r="Z16" s="419">
        <v>96585</v>
      </c>
      <c r="AA16" s="419">
        <v>67856</v>
      </c>
      <c r="AB16" s="419">
        <v>67856</v>
      </c>
      <c r="AC16" s="419">
        <v>0</v>
      </c>
      <c r="AD16" s="419">
        <v>0</v>
      </c>
      <c r="AE16" s="380">
        <v>2.4110000000000001E-4</v>
      </c>
      <c r="AF16" s="380"/>
      <c r="AG16" s="419">
        <v>9231</v>
      </c>
      <c r="AH16" s="419">
        <v>5453</v>
      </c>
      <c r="AI16" s="419">
        <v>0</v>
      </c>
      <c r="AJ16" s="419">
        <v>0</v>
      </c>
      <c r="AK16" s="419">
        <v>0</v>
      </c>
      <c r="AL16" s="380">
        <v>2.4110000000000001E-4</v>
      </c>
      <c r="AM16" s="380"/>
      <c r="AN16" s="419">
        <v>-18886</v>
      </c>
      <c r="AO16" s="419">
        <v>-18884</v>
      </c>
      <c r="AP16" s="419">
        <v>-7619</v>
      </c>
      <c r="AQ16" s="419">
        <v>0</v>
      </c>
      <c r="AR16" s="419">
        <v>0</v>
      </c>
    </row>
    <row r="17" spans="1:44">
      <c r="A17" s="379">
        <v>90099</v>
      </c>
      <c r="B17" t="s">
        <v>737</v>
      </c>
      <c r="C17" s="380">
        <v>7.6309999999999995E-4</v>
      </c>
      <c r="D17" s="380"/>
      <c r="E17" s="419">
        <v>126558</v>
      </c>
      <c r="F17" s="419">
        <v>-16717</v>
      </c>
      <c r="G17" s="419">
        <v>-89900</v>
      </c>
      <c r="H17" s="419">
        <v>-511639</v>
      </c>
      <c r="I17" s="419">
        <v>0</v>
      </c>
      <c r="J17" s="380">
        <v>7.6309999999999995E-4</v>
      </c>
      <c r="K17" s="380"/>
      <c r="L17" s="419">
        <v>186813</v>
      </c>
      <c r="M17" s="419">
        <v>129019</v>
      </c>
      <c r="N17" s="419">
        <v>56479</v>
      </c>
      <c r="O17" s="419">
        <v>0</v>
      </c>
      <c r="P17" s="419">
        <v>0</v>
      </c>
      <c r="Q17" s="380">
        <v>7.6309999999999995E-4</v>
      </c>
      <c r="R17" s="380"/>
      <c r="S17" s="419">
        <v>-383357</v>
      </c>
      <c r="T17" s="419">
        <v>-378921</v>
      </c>
      <c r="U17" s="419">
        <v>-398072</v>
      </c>
      <c r="V17" s="419">
        <v>-511639</v>
      </c>
      <c r="W17" s="419">
        <v>0</v>
      </c>
      <c r="X17" s="380">
        <v>7.6309999999999995E-4</v>
      </c>
      <c r="Z17" s="419">
        <v>305699</v>
      </c>
      <c r="AA17" s="419">
        <v>214771</v>
      </c>
      <c r="AB17" s="419">
        <v>214769</v>
      </c>
      <c r="AC17" s="419">
        <v>0</v>
      </c>
      <c r="AD17" s="419">
        <v>0</v>
      </c>
      <c r="AE17" s="380">
        <v>7.6309999999999995E-4</v>
      </c>
      <c r="AF17" s="380"/>
      <c r="AG17" s="419">
        <v>36923</v>
      </c>
      <c r="AH17" s="419">
        <v>36923</v>
      </c>
      <c r="AI17" s="419">
        <v>36924</v>
      </c>
      <c r="AJ17" s="419">
        <v>0</v>
      </c>
      <c r="AK17" s="419">
        <v>0</v>
      </c>
      <c r="AL17" s="380">
        <v>7.6309999999999995E-4</v>
      </c>
      <c r="AM17" s="380"/>
      <c r="AN17" s="419">
        <v>-19520</v>
      </c>
      <c r="AO17" s="419">
        <v>-18509</v>
      </c>
      <c r="AP17" s="419">
        <v>0</v>
      </c>
      <c r="AQ17" s="419">
        <v>0</v>
      </c>
      <c r="AR17" s="419">
        <v>0</v>
      </c>
    </row>
    <row r="18" spans="1:44">
      <c r="A18" s="379">
        <v>90101</v>
      </c>
      <c r="B18" t="s">
        <v>738</v>
      </c>
      <c r="C18" s="380">
        <v>6.2402999999999998E-3</v>
      </c>
      <c r="D18" s="380"/>
      <c r="E18" s="419">
        <v>797495</v>
      </c>
      <c r="F18" s="419">
        <v>-347237</v>
      </c>
      <c r="G18" s="419">
        <v>-1061780</v>
      </c>
      <c r="H18" s="419">
        <v>-4183959</v>
      </c>
      <c r="I18" s="419">
        <v>0</v>
      </c>
      <c r="J18" s="380">
        <v>6.2402999999999998E-3</v>
      </c>
      <c r="K18" s="380"/>
      <c r="L18" s="419">
        <v>1527675</v>
      </c>
      <c r="M18" s="419">
        <v>1055060</v>
      </c>
      <c r="N18" s="419">
        <v>461857</v>
      </c>
      <c r="O18" s="419">
        <v>0</v>
      </c>
      <c r="P18" s="419">
        <v>0</v>
      </c>
      <c r="Q18" s="380">
        <v>6.2402999999999998E-3</v>
      </c>
      <c r="R18" s="380"/>
      <c r="S18" s="419">
        <v>-3134927</v>
      </c>
      <c r="T18" s="419">
        <v>-3098652</v>
      </c>
      <c r="U18" s="419">
        <v>-3255259</v>
      </c>
      <c r="V18" s="419">
        <v>-4183959</v>
      </c>
      <c r="W18" s="419">
        <v>0</v>
      </c>
      <c r="X18" s="380">
        <v>6.2402999999999998E-3</v>
      </c>
      <c r="Z18" s="419">
        <v>2499877</v>
      </c>
      <c r="AA18" s="419">
        <v>1756301</v>
      </c>
      <c r="AB18" s="419">
        <v>1756289</v>
      </c>
      <c r="AC18" s="419">
        <v>0</v>
      </c>
      <c r="AD18" s="419">
        <v>0</v>
      </c>
      <c r="AE18" s="380">
        <v>6.2402999999999998E-3</v>
      </c>
      <c r="AF18" s="380"/>
      <c r="AG18" s="419">
        <v>22619</v>
      </c>
      <c r="AH18" s="419">
        <v>22620</v>
      </c>
      <c r="AI18" s="419">
        <v>0</v>
      </c>
      <c r="AJ18" s="419">
        <v>0</v>
      </c>
      <c r="AK18" s="419">
        <v>0</v>
      </c>
      <c r="AL18" s="380">
        <v>6.2402999999999998E-3</v>
      </c>
      <c r="AM18" s="380"/>
      <c r="AN18" s="419">
        <v>-117749</v>
      </c>
      <c r="AO18" s="419">
        <v>-82566</v>
      </c>
      <c r="AP18" s="419">
        <v>-24667</v>
      </c>
      <c r="AQ18" s="419">
        <v>0</v>
      </c>
      <c r="AR18" s="419">
        <v>0</v>
      </c>
    </row>
    <row r="19" spans="1:44">
      <c r="A19" s="379">
        <v>90111</v>
      </c>
      <c r="B19" t="s">
        <v>739</v>
      </c>
      <c r="C19" s="380">
        <v>4.7771000000000003E-3</v>
      </c>
      <c r="D19" s="380"/>
      <c r="E19" s="419">
        <v>483614</v>
      </c>
      <c r="F19" s="419">
        <v>-421389</v>
      </c>
      <c r="G19" s="419">
        <v>-918804</v>
      </c>
      <c r="H19" s="419">
        <v>-3202921</v>
      </c>
      <c r="I19" s="419">
        <v>0</v>
      </c>
      <c r="J19" s="380">
        <v>4.7771000000000003E-3</v>
      </c>
      <c r="K19" s="380"/>
      <c r="L19" s="419">
        <v>1169472</v>
      </c>
      <c r="M19" s="419">
        <v>807674</v>
      </c>
      <c r="N19" s="419">
        <v>353563</v>
      </c>
      <c r="O19" s="419">
        <v>0</v>
      </c>
      <c r="P19" s="419">
        <v>0</v>
      </c>
      <c r="Q19" s="380">
        <v>4.7771000000000003E-3</v>
      </c>
      <c r="R19" s="380"/>
      <c r="S19" s="419">
        <v>-2399862</v>
      </c>
      <c r="T19" s="419">
        <v>-2372093</v>
      </c>
      <c r="U19" s="419">
        <v>-2491979</v>
      </c>
      <c r="V19" s="419">
        <v>-3202921</v>
      </c>
      <c r="W19" s="419">
        <v>0</v>
      </c>
      <c r="X19" s="380">
        <v>4.7771000000000003E-3</v>
      </c>
      <c r="Z19" s="419">
        <v>1913716</v>
      </c>
      <c r="AA19" s="419">
        <v>1344491</v>
      </c>
      <c r="AB19" s="419">
        <v>1344481</v>
      </c>
      <c r="AC19" s="419">
        <v>0</v>
      </c>
      <c r="AD19" s="419">
        <v>0</v>
      </c>
      <c r="AE19" s="380">
        <v>4.7771000000000003E-3</v>
      </c>
      <c r="AF19" s="380"/>
      <c r="AG19" s="419">
        <v>1750</v>
      </c>
      <c r="AH19" s="419">
        <v>0</v>
      </c>
      <c r="AI19" s="419">
        <v>0</v>
      </c>
      <c r="AJ19" s="419">
        <v>0</v>
      </c>
      <c r="AK19" s="419">
        <v>0</v>
      </c>
      <c r="AL19" s="380">
        <v>4.7771000000000003E-3</v>
      </c>
      <c r="AM19" s="380"/>
      <c r="AN19" s="419">
        <v>-201462</v>
      </c>
      <c r="AO19" s="419">
        <v>-201461</v>
      </c>
      <c r="AP19" s="419">
        <v>-124869</v>
      </c>
      <c r="AQ19" s="419">
        <v>0</v>
      </c>
      <c r="AR19" s="419">
        <v>0</v>
      </c>
    </row>
    <row r="20" spans="1:44">
      <c r="A20" s="379">
        <v>90114</v>
      </c>
      <c r="B20" t="s">
        <v>740</v>
      </c>
      <c r="C20" s="380">
        <v>1.1787E-3</v>
      </c>
      <c r="D20" s="380"/>
      <c r="E20" s="419">
        <v>684703</v>
      </c>
      <c r="F20" s="419">
        <v>330395</v>
      </c>
      <c r="G20" s="419">
        <v>31630</v>
      </c>
      <c r="H20" s="419">
        <v>-790288</v>
      </c>
      <c r="I20" s="419">
        <v>0</v>
      </c>
      <c r="J20" s="380">
        <v>1.1787E-3</v>
      </c>
      <c r="K20" s="380"/>
      <c r="L20" s="419">
        <v>288555</v>
      </c>
      <c r="M20" s="419">
        <v>199285</v>
      </c>
      <c r="N20" s="419">
        <v>87238</v>
      </c>
      <c r="O20" s="419">
        <v>0</v>
      </c>
      <c r="P20" s="419">
        <v>0</v>
      </c>
      <c r="Q20" s="380">
        <v>1.1787E-3</v>
      </c>
      <c r="R20" s="380"/>
      <c r="S20" s="419">
        <v>-592141</v>
      </c>
      <c r="T20" s="419">
        <v>-585289</v>
      </c>
      <c r="U20" s="419">
        <v>-614870</v>
      </c>
      <c r="V20" s="419">
        <v>-790288</v>
      </c>
      <c r="W20" s="419">
        <v>0</v>
      </c>
      <c r="X20" s="380">
        <v>1.1787E-3</v>
      </c>
      <c r="Z20" s="419">
        <v>472190</v>
      </c>
      <c r="AA20" s="419">
        <v>331739</v>
      </c>
      <c r="AB20" s="419">
        <v>331737</v>
      </c>
      <c r="AC20" s="419">
        <v>0</v>
      </c>
      <c r="AD20" s="419">
        <v>0</v>
      </c>
      <c r="AE20" s="380">
        <v>1.1787E-3</v>
      </c>
      <c r="AF20" s="380"/>
      <c r="AG20" s="419">
        <v>516161</v>
      </c>
      <c r="AH20" s="419">
        <v>384721</v>
      </c>
      <c r="AI20" s="419">
        <v>227525</v>
      </c>
      <c r="AJ20" s="419">
        <v>0</v>
      </c>
      <c r="AK20" s="419">
        <v>0</v>
      </c>
      <c r="AL20" s="380">
        <v>1.1787E-3</v>
      </c>
      <c r="AM20" s="380"/>
      <c r="AN20" s="419">
        <v>-62</v>
      </c>
      <c r="AO20" s="419">
        <v>-61</v>
      </c>
      <c r="AP20" s="419">
        <v>0</v>
      </c>
      <c r="AQ20" s="419">
        <v>0</v>
      </c>
      <c r="AR20" s="419">
        <v>0</v>
      </c>
    </row>
    <row r="21" spans="1:44">
      <c r="A21" s="379">
        <v>90117</v>
      </c>
      <c r="B21" t="s">
        <v>741</v>
      </c>
      <c r="C21" s="380">
        <v>1.5009999999999999E-4</v>
      </c>
      <c r="D21" s="380"/>
      <c r="E21" s="419">
        <v>48845</v>
      </c>
      <c r="F21" s="419">
        <v>16958</v>
      </c>
      <c r="G21" s="419">
        <v>-13802</v>
      </c>
      <c r="H21" s="419">
        <v>-100638</v>
      </c>
      <c r="I21" s="419">
        <v>0</v>
      </c>
      <c r="J21" s="380">
        <v>1.5009999999999999E-4</v>
      </c>
      <c r="K21" s="380"/>
      <c r="L21" s="419">
        <v>36746</v>
      </c>
      <c r="M21" s="419">
        <v>25378</v>
      </c>
      <c r="N21" s="419">
        <v>11109</v>
      </c>
      <c r="O21" s="419">
        <v>0</v>
      </c>
      <c r="P21" s="419">
        <v>0</v>
      </c>
      <c r="Q21" s="380">
        <v>1.5009999999999999E-4</v>
      </c>
      <c r="R21" s="380"/>
      <c r="S21" s="419">
        <v>-75405</v>
      </c>
      <c r="T21" s="419">
        <v>-74533</v>
      </c>
      <c r="U21" s="419">
        <v>-78300</v>
      </c>
      <c r="V21" s="419">
        <v>-100638</v>
      </c>
      <c r="W21" s="419">
        <v>0</v>
      </c>
      <c r="X21" s="380">
        <v>1.5009999999999999E-4</v>
      </c>
      <c r="Z21" s="419">
        <v>60130</v>
      </c>
      <c r="AA21" s="419">
        <v>42245</v>
      </c>
      <c r="AB21" s="419">
        <v>42245</v>
      </c>
      <c r="AC21" s="419">
        <v>0</v>
      </c>
      <c r="AD21" s="419">
        <v>0</v>
      </c>
      <c r="AE21" s="380">
        <v>1.5009999999999999E-4</v>
      </c>
      <c r="AF21" s="380"/>
      <c r="AG21" s="419">
        <v>27374</v>
      </c>
      <c r="AH21" s="419">
        <v>23868</v>
      </c>
      <c r="AI21" s="419">
        <v>11144</v>
      </c>
      <c r="AJ21" s="419">
        <v>0</v>
      </c>
      <c r="AK21" s="419">
        <v>0</v>
      </c>
      <c r="AL21" s="380">
        <v>1.5009999999999999E-4</v>
      </c>
      <c r="AM21" s="380"/>
      <c r="AN21" s="419">
        <v>0</v>
      </c>
      <c r="AO21" s="419">
        <v>0</v>
      </c>
      <c r="AP21" s="419">
        <v>0</v>
      </c>
      <c r="AQ21" s="419">
        <v>0</v>
      </c>
      <c r="AR21" s="419">
        <v>0</v>
      </c>
    </row>
    <row r="22" spans="1:44">
      <c r="A22" s="379">
        <v>90121</v>
      </c>
      <c r="B22" t="s">
        <v>742</v>
      </c>
      <c r="C22" s="380">
        <v>1.016E-3</v>
      </c>
      <c r="D22" s="380"/>
      <c r="E22" s="419">
        <v>60713</v>
      </c>
      <c r="F22" s="419">
        <v>-113146</v>
      </c>
      <c r="G22" s="419">
        <v>-214370</v>
      </c>
      <c r="H22" s="419">
        <v>-681202</v>
      </c>
      <c r="I22" s="419">
        <v>0</v>
      </c>
      <c r="J22" s="380">
        <v>1.016E-3</v>
      </c>
      <c r="K22" s="380"/>
      <c r="L22" s="419">
        <v>248725</v>
      </c>
      <c r="M22" s="419">
        <v>171777</v>
      </c>
      <c r="N22" s="419">
        <v>75196</v>
      </c>
      <c r="O22" s="419">
        <v>0</v>
      </c>
      <c r="P22" s="419">
        <v>0</v>
      </c>
      <c r="Q22" s="380">
        <v>1.016E-3</v>
      </c>
      <c r="R22" s="380"/>
      <c r="S22" s="419">
        <v>-510406</v>
      </c>
      <c r="T22" s="419">
        <v>-504500</v>
      </c>
      <c r="U22" s="419">
        <v>-529997</v>
      </c>
      <c r="V22" s="419">
        <v>-681202</v>
      </c>
      <c r="W22" s="419">
        <v>0</v>
      </c>
      <c r="X22" s="380">
        <v>1.016E-3</v>
      </c>
      <c r="Z22" s="419">
        <v>407012</v>
      </c>
      <c r="AA22" s="419">
        <v>285948</v>
      </c>
      <c r="AB22" s="419">
        <v>285946</v>
      </c>
      <c r="AC22" s="419">
        <v>0</v>
      </c>
      <c r="AD22" s="419">
        <v>0</v>
      </c>
      <c r="AE22" s="380">
        <v>1.016E-3</v>
      </c>
      <c r="AF22" s="380"/>
      <c r="AG22" s="419">
        <v>0</v>
      </c>
      <c r="AH22" s="419">
        <v>0</v>
      </c>
      <c r="AI22" s="419">
        <v>0</v>
      </c>
      <c r="AJ22" s="419">
        <v>0</v>
      </c>
      <c r="AK22" s="419">
        <v>0</v>
      </c>
      <c r="AL22" s="380">
        <v>1.016E-3</v>
      </c>
      <c r="AM22" s="380"/>
      <c r="AN22" s="419">
        <v>-84618</v>
      </c>
      <c r="AO22" s="419">
        <v>-66371</v>
      </c>
      <c r="AP22" s="419">
        <v>-45515</v>
      </c>
      <c r="AQ22" s="419">
        <v>0</v>
      </c>
      <c r="AR22" s="419">
        <v>0</v>
      </c>
    </row>
    <row r="23" spans="1:44">
      <c r="A23" s="379">
        <v>90131</v>
      </c>
      <c r="B23" t="s">
        <v>743</v>
      </c>
      <c r="C23" s="380">
        <v>4.8430000000000001E-4</v>
      </c>
      <c r="D23" s="380"/>
      <c r="E23" s="419">
        <v>59839</v>
      </c>
      <c r="F23" s="419">
        <v>-29184</v>
      </c>
      <c r="G23" s="419">
        <v>-88532</v>
      </c>
      <c r="H23" s="419">
        <v>-324711</v>
      </c>
      <c r="I23" s="419">
        <v>0</v>
      </c>
      <c r="J23" s="380">
        <v>4.8430000000000001E-4</v>
      </c>
      <c r="K23" s="380"/>
      <c r="L23" s="419">
        <v>118561</v>
      </c>
      <c r="M23" s="419">
        <v>81882</v>
      </c>
      <c r="N23" s="419">
        <v>35844</v>
      </c>
      <c r="O23" s="419">
        <v>0</v>
      </c>
      <c r="P23" s="419">
        <v>0</v>
      </c>
      <c r="Q23" s="380">
        <v>4.8430000000000001E-4</v>
      </c>
      <c r="R23" s="380"/>
      <c r="S23" s="419">
        <v>-243297</v>
      </c>
      <c r="T23" s="419">
        <v>-240482</v>
      </c>
      <c r="U23" s="419">
        <v>-252636</v>
      </c>
      <c r="V23" s="419">
        <v>-324711</v>
      </c>
      <c r="W23" s="419">
        <v>0</v>
      </c>
      <c r="X23" s="380">
        <v>4.8430000000000001E-4</v>
      </c>
      <c r="Z23" s="419">
        <v>194012</v>
      </c>
      <c r="AA23" s="419">
        <v>136304</v>
      </c>
      <c r="AB23" s="419">
        <v>136303</v>
      </c>
      <c r="AC23" s="419">
        <v>0</v>
      </c>
      <c r="AD23" s="419">
        <v>0</v>
      </c>
      <c r="AE23" s="380">
        <v>4.8430000000000001E-4</v>
      </c>
      <c r="AF23" s="380"/>
      <c r="AG23" s="419">
        <v>1158</v>
      </c>
      <c r="AH23" s="419">
        <v>1155</v>
      </c>
      <c r="AI23" s="419">
        <v>0</v>
      </c>
      <c r="AJ23" s="419">
        <v>0</v>
      </c>
      <c r="AK23" s="419">
        <v>0</v>
      </c>
      <c r="AL23" s="380">
        <v>4.8430000000000001E-4</v>
      </c>
      <c r="AM23" s="380"/>
      <c r="AN23" s="419">
        <v>-10595</v>
      </c>
      <c r="AO23" s="419">
        <v>-8043</v>
      </c>
      <c r="AP23" s="419">
        <v>-8043</v>
      </c>
      <c r="AQ23" s="419">
        <v>0</v>
      </c>
      <c r="AR23" s="419">
        <v>0</v>
      </c>
    </row>
    <row r="24" spans="1:44">
      <c r="A24" s="379">
        <v>90141</v>
      </c>
      <c r="B24" t="s">
        <v>744</v>
      </c>
      <c r="C24" s="380">
        <v>1.54E-4</v>
      </c>
      <c r="D24" s="380"/>
      <c r="E24" s="419">
        <v>17130</v>
      </c>
      <c r="F24" s="419">
        <v>-11288</v>
      </c>
      <c r="G24" s="419">
        <v>-36488</v>
      </c>
      <c r="H24" s="419">
        <v>-103253</v>
      </c>
      <c r="I24" s="419">
        <v>0</v>
      </c>
      <c r="J24" s="380">
        <v>1.54E-4</v>
      </c>
      <c r="K24" s="380"/>
      <c r="L24" s="419">
        <v>37700</v>
      </c>
      <c r="M24" s="419">
        <v>26037</v>
      </c>
      <c r="N24" s="419">
        <v>11398</v>
      </c>
      <c r="O24" s="419">
        <v>0</v>
      </c>
      <c r="P24" s="419">
        <v>0</v>
      </c>
      <c r="Q24" s="380">
        <v>1.54E-4</v>
      </c>
      <c r="R24" s="380"/>
      <c r="S24" s="419">
        <v>-77365</v>
      </c>
      <c r="T24" s="419">
        <v>-76469</v>
      </c>
      <c r="U24" s="419">
        <v>-80334</v>
      </c>
      <c r="V24" s="419">
        <v>-103253</v>
      </c>
      <c r="W24" s="419">
        <v>0</v>
      </c>
      <c r="X24" s="380">
        <v>1.54E-4</v>
      </c>
      <c r="Z24" s="419">
        <v>61693</v>
      </c>
      <c r="AA24" s="419">
        <v>43343</v>
      </c>
      <c r="AB24" s="419">
        <v>43342</v>
      </c>
      <c r="AC24" s="419">
        <v>0</v>
      </c>
      <c r="AD24" s="419">
        <v>0</v>
      </c>
      <c r="AE24" s="380">
        <v>1.54E-4</v>
      </c>
      <c r="AF24" s="380"/>
      <c r="AG24" s="419">
        <v>6697</v>
      </c>
      <c r="AH24" s="419">
        <v>6694</v>
      </c>
      <c r="AI24" s="419">
        <v>0</v>
      </c>
      <c r="AJ24" s="419">
        <v>0</v>
      </c>
      <c r="AK24" s="419">
        <v>0</v>
      </c>
      <c r="AL24" s="380">
        <v>1.54E-4</v>
      </c>
      <c r="AM24" s="380"/>
      <c r="AN24" s="419">
        <v>-11595</v>
      </c>
      <c r="AO24" s="419">
        <v>-10893</v>
      </c>
      <c r="AP24" s="419">
        <v>-10894</v>
      </c>
      <c r="AQ24" s="419">
        <v>0</v>
      </c>
      <c r="AR24" s="419">
        <v>0</v>
      </c>
    </row>
    <row r="25" spans="1:44">
      <c r="A25" s="379">
        <v>90151</v>
      </c>
      <c r="B25" t="s">
        <v>745</v>
      </c>
      <c r="C25" s="380">
        <v>8.3999999999999992E-6</v>
      </c>
      <c r="D25" s="380"/>
      <c r="E25" s="419">
        <v>-671</v>
      </c>
      <c r="F25" s="419">
        <v>-1932</v>
      </c>
      <c r="G25" s="419">
        <v>-2044</v>
      </c>
      <c r="H25" s="419">
        <v>-5632</v>
      </c>
      <c r="I25" s="419">
        <v>0</v>
      </c>
      <c r="J25" s="380">
        <v>8.3999999999999992E-6</v>
      </c>
      <c r="K25" s="380"/>
      <c r="L25" s="419">
        <v>2056</v>
      </c>
      <c r="M25" s="419">
        <v>1420</v>
      </c>
      <c r="N25" s="419">
        <v>622</v>
      </c>
      <c r="O25" s="419">
        <v>0</v>
      </c>
      <c r="P25" s="419">
        <v>0</v>
      </c>
      <c r="Q25" s="380">
        <v>8.3999999999999992E-6</v>
      </c>
      <c r="R25" s="380"/>
      <c r="S25" s="419">
        <v>-4220</v>
      </c>
      <c r="T25" s="419">
        <v>-4171</v>
      </c>
      <c r="U25" s="419">
        <v>-4382</v>
      </c>
      <c r="V25" s="419">
        <v>-5632</v>
      </c>
      <c r="W25" s="419">
        <v>0</v>
      </c>
      <c r="X25" s="380">
        <v>8.3999999999999992E-6</v>
      </c>
      <c r="Z25" s="419">
        <v>3365</v>
      </c>
      <c r="AA25" s="419">
        <v>2364</v>
      </c>
      <c r="AB25" s="419">
        <v>2364</v>
      </c>
      <c r="AC25" s="419">
        <v>0</v>
      </c>
      <c r="AD25" s="419">
        <v>0</v>
      </c>
      <c r="AE25" s="380">
        <v>8.3999999999999992E-6</v>
      </c>
      <c r="AF25" s="380"/>
      <c r="AG25" s="419">
        <v>0</v>
      </c>
      <c r="AH25" s="419">
        <v>0</v>
      </c>
      <c r="AI25" s="419">
        <v>0</v>
      </c>
      <c r="AJ25" s="419">
        <v>0</v>
      </c>
      <c r="AK25" s="419">
        <v>0</v>
      </c>
      <c r="AL25" s="380">
        <v>8.3999999999999992E-6</v>
      </c>
      <c r="AM25" s="380"/>
      <c r="AN25" s="419">
        <v>-1872</v>
      </c>
      <c r="AO25" s="419">
        <v>-1545</v>
      </c>
      <c r="AP25" s="419">
        <v>-648</v>
      </c>
      <c r="AQ25" s="419">
        <v>0</v>
      </c>
      <c r="AR25" s="419">
        <v>0</v>
      </c>
    </row>
    <row r="26" spans="1:44">
      <c r="A26" s="379">
        <v>90161</v>
      </c>
      <c r="B26" t="s">
        <v>746</v>
      </c>
      <c r="C26" s="380">
        <v>2.26E-5</v>
      </c>
      <c r="D26" s="380"/>
      <c r="E26" s="419">
        <v>-3823</v>
      </c>
      <c r="F26" s="419">
        <v>-8761</v>
      </c>
      <c r="G26" s="419">
        <v>-6409</v>
      </c>
      <c r="H26" s="419">
        <v>-15153</v>
      </c>
      <c r="I26" s="419">
        <v>0</v>
      </c>
      <c r="J26" s="380">
        <v>2.26E-5</v>
      </c>
      <c r="K26" s="380"/>
      <c r="L26" s="419">
        <v>5533</v>
      </c>
      <c r="M26" s="419">
        <v>3821</v>
      </c>
      <c r="N26" s="419">
        <v>1673</v>
      </c>
      <c r="O26" s="419">
        <v>0</v>
      </c>
      <c r="P26" s="419">
        <v>0</v>
      </c>
      <c r="Q26" s="380">
        <v>2.26E-5</v>
      </c>
      <c r="R26" s="380"/>
      <c r="S26" s="419">
        <v>-11354</v>
      </c>
      <c r="T26" s="419">
        <v>-11222</v>
      </c>
      <c r="U26" s="419">
        <v>-11789</v>
      </c>
      <c r="V26" s="419">
        <v>-15153</v>
      </c>
      <c r="W26" s="419">
        <v>0</v>
      </c>
      <c r="X26" s="380">
        <v>2.26E-5</v>
      </c>
      <c r="Z26" s="419">
        <v>9054</v>
      </c>
      <c r="AA26" s="419">
        <v>6361</v>
      </c>
      <c r="AB26" s="419">
        <v>6361</v>
      </c>
      <c r="AC26" s="419">
        <v>0</v>
      </c>
      <c r="AD26" s="419">
        <v>0</v>
      </c>
      <c r="AE26" s="380">
        <v>2.26E-5</v>
      </c>
      <c r="AF26" s="380"/>
      <c r="AG26" s="419">
        <v>666</v>
      </c>
      <c r="AH26" s="419">
        <v>0</v>
      </c>
      <c r="AI26" s="419">
        <v>0</v>
      </c>
      <c r="AJ26" s="419">
        <v>0</v>
      </c>
      <c r="AK26" s="419">
        <v>0</v>
      </c>
      <c r="AL26" s="380">
        <v>2.26E-5</v>
      </c>
      <c r="AM26" s="380"/>
      <c r="AN26" s="419">
        <v>-7722</v>
      </c>
      <c r="AO26" s="419">
        <v>-7721</v>
      </c>
      <c r="AP26" s="419">
        <v>-2654</v>
      </c>
      <c r="AQ26" s="419">
        <v>0</v>
      </c>
      <c r="AR26" s="419">
        <v>0</v>
      </c>
    </row>
    <row r="27" spans="1:44">
      <c r="A27" s="379">
        <v>90201</v>
      </c>
      <c r="B27" t="s">
        <v>747</v>
      </c>
      <c r="C27" s="380">
        <v>1.3133000000000001E-3</v>
      </c>
      <c r="D27" s="380"/>
      <c r="E27" s="419">
        <v>194929</v>
      </c>
      <c r="F27" s="419">
        <v>-46958</v>
      </c>
      <c r="G27" s="419">
        <v>-242949</v>
      </c>
      <c r="H27" s="419">
        <v>-880534</v>
      </c>
      <c r="I27" s="419">
        <v>0</v>
      </c>
      <c r="J27" s="380">
        <v>1.3133000000000001E-3</v>
      </c>
      <c r="K27" s="380"/>
      <c r="L27" s="419">
        <v>321506</v>
      </c>
      <c r="M27" s="419">
        <v>222042</v>
      </c>
      <c r="N27" s="419">
        <v>97200</v>
      </c>
      <c r="O27" s="419">
        <v>0</v>
      </c>
      <c r="P27" s="419">
        <v>0</v>
      </c>
      <c r="Q27" s="380">
        <v>1.3133000000000001E-3</v>
      </c>
      <c r="R27" s="380"/>
      <c r="S27" s="419">
        <v>-659760</v>
      </c>
      <c r="T27" s="419">
        <v>-652126</v>
      </c>
      <c r="U27" s="419">
        <v>-685084</v>
      </c>
      <c r="V27" s="419">
        <v>-880534</v>
      </c>
      <c r="W27" s="419">
        <v>0</v>
      </c>
      <c r="X27" s="380">
        <v>1.3133000000000001E-3</v>
      </c>
      <c r="Z27" s="419">
        <v>526111</v>
      </c>
      <c r="AA27" s="419">
        <v>369622</v>
      </c>
      <c r="AB27" s="419">
        <v>369619</v>
      </c>
      <c r="AC27" s="419">
        <v>0</v>
      </c>
      <c r="AD27" s="419">
        <v>0</v>
      </c>
      <c r="AE27" s="380">
        <v>1.3133000000000001E-3</v>
      </c>
      <c r="AF27" s="380"/>
      <c r="AG27" s="419">
        <v>38189</v>
      </c>
      <c r="AH27" s="419">
        <v>38187</v>
      </c>
      <c r="AI27" s="419">
        <v>0</v>
      </c>
      <c r="AJ27" s="419">
        <v>0</v>
      </c>
      <c r="AK27" s="419">
        <v>0</v>
      </c>
      <c r="AL27" s="380">
        <v>1.3133000000000001E-3</v>
      </c>
      <c r="AM27" s="380"/>
      <c r="AN27" s="419">
        <v>-31117</v>
      </c>
      <c r="AO27" s="419">
        <v>-24683</v>
      </c>
      <c r="AP27" s="419">
        <v>-24684</v>
      </c>
      <c r="AQ27" s="419">
        <v>0</v>
      </c>
      <c r="AR27" s="419">
        <v>0</v>
      </c>
    </row>
    <row r="28" spans="1:44">
      <c r="A28" s="379">
        <v>90203</v>
      </c>
      <c r="B28" t="s">
        <v>748</v>
      </c>
      <c r="C28" s="380">
        <v>1.8679999999999999E-4</v>
      </c>
      <c r="D28" s="380"/>
      <c r="E28" s="419">
        <v>26129</v>
      </c>
      <c r="F28" s="419">
        <v>-9969</v>
      </c>
      <c r="G28" s="419">
        <v>-26913</v>
      </c>
      <c r="H28" s="419">
        <v>-125245</v>
      </c>
      <c r="I28" s="419">
        <v>0</v>
      </c>
      <c r="J28" s="380">
        <v>1.8679999999999999E-4</v>
      </c>
      <c r="K28" s="380"/>
      <c r="L28" s="419">
        <v>45730</v>
      </c>
      <c r="M28" s="419">
        <v>31583</v>
      </c>
      <c r="N28" s="419">
        <v>13825</v>
      </c>
      <c r="O28" s="419">
        <v>0</v>
      </c>
      <c r="P28" s="419">
        <v>0</v>
      </c>
      <c r="Q28" s="380">
        <v>1.8679999999999999E-4</v>
      </c>
      <c r="R28" s="380"/>
      <c r="S28" s="419">
        <v>-93842</v>
      </c>
      <c r="T28" s="419">
        <v>-92756</v>
      </c>
      <c r="U28" s="419">
        <v>-97444</v>
      </c>
      <c r="V28" s="419">
        <v>-125245</v>
      </c>
      <c r="W28" s="419">
        <v>0</v>
      </c>
      <c r="X28" s="380">
        <v>1.8679999999999999E-4</v>
      </c>
      <c r="Z28" s="419">
        <v>74832</v>
      </c>
      <c r="AA28" s="419">
        <v>52574</v>
      </c>
      <c r="AB28" s="419">
        <v>52574</v>
      </c>
      <c r="AC28" s="419">
        <v>0</v>
      </c>
      <c r="AD28" s="419">
        <v>0</v>
      </c>
      <c r="AE28" s="380">
        <v>1.8679999999999999E-4</v>
      </c>
      <c r="AF28" s="380"/>
      <c r="AG28" s="419">
        <v>5646</v>
      </c>
      <c r="AH28" s="419">
        <v>4866</v>
      </c>
      <c r="AI28" s="419">
        <v>4132</v>
      </c>
      <c r="AJ28" s="419">
        <v>0</v>
      </c>
      <c r="AK28" s="419">
        <v>0</v>
      </c>
      <c r="AL28" s="380">
        <v>1.8679999999999999E-4</v>
      </c>
      <c r="AM28" s="380"/>
      <c r="AN28" s="419">
        <v>-6237</v>
      </c>
      <c r="AO28" s="419">
        <v>-6236</v>
      </c>
      <c r="AP28" s="419">
        <v>0</v>
      </c>
      <c r="AQ28" s="419">
        <v>0</v>
      </c>
      <c r="AR28" s="419">
        <v>0</v>
      </c>
    </row>
    <row r="29" spans="1:44">
      <c r="A29" s="379">
        <v>90205</v>
      </c>
      <c r="B29" t="s">
        <v>749</v>
      </c>
      <c r="C29" s="380">
        <v>3.3800000000000002E-5</v>
      </c>
      <c r="D29" s="380"/>
      <c r="E29" s="419">
        <v>6850</v>
      </c>
      <c r="F29" s="419">
        <v>-129</v>
      </c>
      <c r="G29" s="419">
        <v>-4318</v>
      </c>
      <c r="H29" s="419">
        <v>-22662</v>
      </c>
      <c r="I29" s="419">
        <v>0</v>
      </c>
      <c r="J29" s="380">
        <v>3.3800000000000002E-5</v>
      </c>
      <c r="K29" s="380"/>
      <c r="L29" s="419">
        <v>8275</v>
      </c>
      <c r="M29" s="419">
        <v>5715</v>
      </c>
      <c r="N29" s="419">
        <v>2502</v>
      </c>
      <c r="O29" s="419">
        <v>0</v>
      </c>
      <c r="P29" s="419">
        <v>0</v>
      </c>
      <c r="Q29" s="380">
        <v>3.3800000000000002E-5</v>
      </c>
      <c r="R29" s="380"/>
      <c r="S29" s="419">
        <v>-16980</v>
      </c>
      <c r="T29" s="419">
        <v>-16784</v>
      </c>
      <c r="U29" s="419">
        <v>-17632</v>
      </c>
      <c r="V29" s="419">
        <v>-22662</v>
      </c>
      <c r="W29" s="419">
        <v>0</v>
      </c>
      <c r="X29" s="380">
        <v>3.3800000000000002E-5</v>
      </c>
      <c r="Z29" s="419">
        <v>13540</v>
      </c>
      <c r="AA29" s="419">
        <v>9513</v>
      </c>
      <c r="AB29" s="419">
        <v>9513</v>
      </c>
      <c r="AC29" s="419">
        <v>0</v>
      </c>
      <c r="AD29" s="419">
        <v>0</v>
      </c>
      <c r="AE29" s="380">
        <v>3.3800000000000002E-5</v>
      </c>
      <c r="AF29" s="380"/>
      <c r="AG29" s="419">
        <v>2157</v>
      </c>
      <c r="AH29" s="419">
        <v>1567</v>
      </c>
      <c r="AI29" s="419">
        <v>1299</v>
      </c>
      <c r="AJ29" s="419">
        <v>0</v>
      </c>
      <c r="AK29" s="419">
        <v>0</v>
      </c>
      <c r="AL29" s="380">
        <v>3.3800000000000002E-5</v>
      </c>
      <c r="AM29" s="380"/>
      <c r="AN29" s="419">
        <v>-142</v>
      </c>
      <c r="AO29" s="419">
        <v>-140</v>
      </c>
      <c r="AP29" s="419">
        <v>0</v>
      </c>
      <c r="AQ29" s="419">
        <v>0</v>
      </c>
      <c r="AR29" s="419">
        <v>0</v>
      </c>
    </row>
    <row r="30" spans="1:44">
      <c r="A30" s="379">
        <v>90206</v>
      </c>
      <c r="B30" t="s">
        <v>750</v>
      </c>
      <c r="C30" s="380">
        <v>4.3609999999999998E-4</v>
      </c>
      <c r="D30" s="380"/>
      <c r="E30" s="419">
        <v>92426</v>
      </c>
      <c r="F30" s="419">
        <v>11403</v>
      </c>
      <c r="G30" s="419">
        <v>-39303</v>
      </c>
      <c r="H30" s="419">
        <v>-292394</v>
      </c>
      <c r="I30" s="419">
        <v>0</v>
      </c>
      <c r="J30" s="380">
        <v>4.3609999999999998E-4</v>
      </c>
      <c r="K30" s="380"/>
      <c r="L30" s="419">
        <v>106761</v>
      </c>
      <c r="M30" s="419">
        <v>73732</v>
      </c>
      <c r="N30" s="419">
        <v>32277</v>
      </c>
      <c r="O30" s="419">
        <v>0</v>
      </c>
      <c r="P30" s="419">
        <v>0</v>
      </c>
      <c r="Q30" s="380">
        <v>4.3609999999999998E-4</v>
      </c>
      <c r="R30" s="380"/>
      <c r="S30" s="419">
        <v>-219083</v>
      </c>
      <c r="T30" s="419">
        <v>-216548</v>
      </c>
      <c r="U30" s="419">
        <v>-227492</v>
      </c>
      <c r="V30" s="419">
        <v>-292394</v>
      </c>
      <c r="W30" s="419">
        <v>0</v>
      </c>
      <c r="X30" s="380">
        <v>4.3609999999999998E-4</v>
      </c>
      <c r="Z30" s="419">
        <v>174703</v>
      </c>
      <c r="AA30" s="419">
        <v>122738</v>
      </c>
      <c r="AB30" s="419">
        <v>122737</v>
      </c>
      <c r="AC30" s="419">
        <v>0</v>
      </c>
      <c r="AD30" s="419">
        <v>0</v>
      </c>
      <c r="AE30" s="380">
        <v>4.3609999999999998E-4</v>
      </c>
      <c r="AF30" s="380"/>
      <c r="AG30" s="419">
        <v>42264</v>
      </c>
      <c r="AH30" s="419">
        <v>42263</v>
      </c>
      <c r="AI30" s="419">
        <v>33175</v>
      </c>
      <c r="AJ30" s="419">
        <v>0</v>
      </c>
      <c r="AK30" s="419">
        <v>0</v>
      </c>
      <c r="AL30" s="380">
        <v>4.3609999999999998E-4</v>
      </c>
      <c r="AM30" s="380"/>
      <c r="AN30" s="419">
        <v>-12219</v>
      </c>
      <c r="AO30" s="419">
        <v>-10782</v>
      </c>
      <c r="AP30" s="419">
        <v>0</v>
      </c>
      <c r="AQ30" s="419">
        <v>0</v>
      </c>
      <c r="AR30" s="419">
        <v>0</v>
      </c>
    </row>
    <row r="31" spans="1:44">
      <c r="A31" s="379">
        <v>90211</v>
      </c>
      <c r="B31" t="s">
        <v>751</v>
      </c>
      <c r="C31" s="380">
        <v>1.2120000000000001E-4</v>
      </c>
      <c r="D31" s="380"/>
      <c r="E31" s="419">
        <v>6689</v>
      </c>
      <c r="F31" s="419">
        <v>-18013</v>
      </c>
      <c r="G31" s="419">
        <v>-31789</v>
      </c>
      <c r="H31" s="419">
        <v>-81261</v>
      </c>
      <c r="I31" s="419">
        <v>0</v>
      </c>
      <c r="J31" s="380">
        <v>1.2120000000000001E-4</v>
      </c>
      <c r="K31" s="380"/>
      <c r="L31" s="419">
        <v>29671</v>
      </c>
      <c r="M31" s="419">
        <v>20492</v>
      </c>
      <c r="N31" s="419">
        <v>8970</v>
      </c>
      <c r="O31" s="419">
        <v>0</v>
      </c>
      <c r="P31" s="419">
        <v>0</v>
      </c>
      <c r="Q31" s="380">
        <v>1.2120000000000001E-4</v>
      </c>
      <c r="R31" s="380"/>
      <c r="S31" s="419">
        <v>-60887</v>
      </c>
      <c r="T31" s="419">
        <v>-60182</v>
      </c>
      <c r="U31" s="419">
        <v>-63224</v>
      </c>
      <c r="V31" s="419">
        <v>-81261</v>
      </c>
      <c r="W31" s="419">
        <v>0</v>
      </c>
      <c r="X31" s="380">
        <v>1.2120000000000001E-4</v>
      </c>
      <c r="Z31" s="419">
        <v>48553</v>
      </c>
      <c r="AA31" s="419">
        <v>34111</v>
      </c>
      <c r="AB31" s="419">
        <v>34111</v>
      </c>
      <c r="AC31" s="419">
        <v>0</v>
      </c>
      <c r="AD31" s="419">
        <v>0</v>
      </c>
      <c r="AE31" s="380">
        <v>1.2120000000000001E-4</v>
      </c>
      <c r="AF31" s="380"/>
      <c r="AG31" s="419">
        <v>2964</v>
      </c>
      <c r="AH31" s="419">
        <v>1177</v>
      </c>
      <c r="AI31" s="419">
        <v>0</v>
      </c>
      <c r="AJ31" s="419">
        <v>0</v>
      </c>
      <c r="AK31" s="419">
        <v>0</v>
      </c>
      <c r="AL31" s="380">
        <v>1.2120000000000001E-4</v>
      </c>
      <c r="AM31" s="380"/>
      <c r="AN31" s="419">
        <v>-13612</v>
      </c>
      <c r="AO31" s="419">
        <v>-13611</v>
      </c>
      <c r="AP31" s="419">
        <v>-11646</v>
      </c>
      <c r="AQ31" s="419">
        <v>0</v>
      </c>
      <c r="AR31" s="419">
        <v>0</v>
      </c>
    </row>
    <row r="32" spans="1:44">
      <c r="A32" s="379">
        <v>90301</v>
      </c>
      <c r="B32" t="s">
        <v>752</v>
      </c>
      <c r="C32" s="380">
        <v>6.4340000000000003E-4</v>
      </c>
      <c r="D32" s="380"/>
      <c r="E32" s="419">
        <v>40861</v>
      </c>
      <c r="F32" s="419">
        <v>-79274</v>
      </c>
      <c r="G32" s="419">
        <v>-151717</v>
      </c>
      <c r="H32" s="419">
        <v>-431383</v>
      </c>
      <c r="I32" s="419">
        <v>0</v>
      </c>
      <c r="J32" s="380">
        <v>6.4340000000000003E-4</v>
      </c>
      <c r="K32" s="380"/>
      <c r="L32" s="419">
        <v>157509</v>
      </c>
      <c r="M32" s="419">
        <v>108781</v>
      </c>
      <c r="N32" s="419">
        <v>47619</v>
      </c>
      <c r="O32" s="419">
        <v>0</v>
      </c>
      <c r="P32" s="419">
        <v>0</v>
      </c>
      <c r="Q32" s="380">
        <v>6.4340000000000003E-4</v>
      </c>
      <c r="R32" s="380"/>
      <c r="S32" s="419">
        <v>-323224</v>
      </c>
      <c r="T32" s="419">
        <v>-319483</v>
      </c>
      <c r="U32" s="419">
        <v>-335630</v>
      </c>
      <c r="V32" s="419">
        <v>-431383</v>
      </c>
      <c r="W32" s="419">
        <v>0</v>
      </c>
      <c r="X32" s="380">
        <v>6.4340000000000003E-4</v>
      </c>
      <c r="Z32" s="419">
        <v>257747</v>
      </c>
      <c r="AA32" s="419">
        <v>181082</v>
      </c>
      <c r="AB32" s="419">
        <v>181080</v>
      </c>
      <c r="AC32" s="419">
        <v>0</v>
      </c>
      <c r="AD32" s="419">
        <v>0</v>
      </c>
      <c r="AE32" s="380">
        <v>6.4340000000000003E-4</v>
      </c>
      <c r="AF32" s="380"/>
      <c r="AG32" s="419">
        <v>0</v>
      </c>
      <c r="AH32" s="419">
        <v>0</v>
      </c>
      <c r="AI32" s="419">
        <v>0</v>
      </c>
      <c r="AJ32" s="419">
        <v>0</v>
      </c>
      <c r="AK32" s="419">
        <v>0</v>
      </c>
      <c r="AL32" s="380">
        <v>6.4340000000000003E-4</v>
      </c>
      <c r="AM32" s="380"/>
      <c r="AN32" s="419">
        <v>-51171</v>
      </c>
      <c r="AO32" s="419">
        <v>-49654</v>
      </c>
      <c r="AP32" s="419">
        <v>-44786</v>
      </c>
      <c r="AQ32" s="419">
        <v>0</v>
      </c>
      <c r="AR32" s="419">
        <v>0</v>
      </c>
    </row>
    <row r="33" spans="1:44">
      <c r="A33" s="379">
        <v>90305</v>
      </c>
      <c r="B33" t="s">
        <v>753</v>
      </c>
      <c r="C33" s="380">
        <v>1.449E-4</v>
      </c>
      <c r="D33" s="380"/>
      <c r="E33" s="419">
        <v>33685</v>
      </c>
      <c r="F33" s="419">
        <v>5884</v>
      </c>
      <c r="G33" s="419">
        <v>-20771</v>
      </c>
      <c r="H33" s="419">
        <v>-97152</v>
      </c>
      <c r="I33" s="419">
        <v>0</v>
      </c>
      <c r="J33" s="380">
        <v>1.449E-4</v>
      </c>
      <c r="K33" s="380"/>
      <c r="L33" s="419">
        <v>35473</v>
      </c>
      <c r="M33" s="419">
        <v>24499</v>
      </c>
      <c r="N33" s="419">
        <v>10724</v>
      </c>
      <c r="O33" s="419">
        <v>0</v>
      </c>
      <c r="P33" s="419">
        <v>0</v>
      </c>
      <c r="Q33" s="380">
        <v>1.449E-4</v>
      </c>
      <c r="R33" s="380"/>
      <c r="S33" s="419">
        <v>-72793</v>
      </c>
      <c r="T33" s="419">
        <v>-71951</v>
      </c>
      <c r="U33" s="419">
        <v>-75587</v>
      </c>
      <c r="V33" s="419">
        <v>-97152</v>
      </c>
      <c r="W33" s="419">
        <v>0</v>
      </c>
      <c r="X33" s="380">
        <v>1.449E-4</v>
      </c>
      <c r="Z33" s="419">
        <v>58047</v>
      </c>
      <c r="AA33" s="419">
        <v>40781</v>
      </c>
      <c r="AB33" s="419">
        <v>40781</v>
      </c>
      <c r="AC33" s="419">
        <v>0</v>
      </c>
      <c r="AD33" s="419">
        <v>0</v>
      </c>
      <c r="AE33" s="380">
        <v>1.449E-4</v>
      </c>
      <c r="AF33" s="380"/>
      <c r="AG33" s="419">
        <v>12958</v>
      </c>
      <c r="AH33" s="419">
        <v>12555</v>
      </c>
      <c r="AI33" s="419">
        <v>3311</v>
      </c>
      <c r="AJ33" s="419">
        <v>0</v>
      </c>
      <c r="AK33" s="419">
        <v>0</v>
      </c>
      <c r="AL33" s="380">
        <v>1.449E-4</v>
      </c>
      <c r="AM33" s="380"/>
      <c r="AN33" s="419">
        <v>0</v>
      </c>
      <c r="AO33" s="419">
        <v>0</v>
      </c>
      <c r="AP33" s="419">
        <v>0</v>
      </c>
      <c r="AQ33" s="419">
        <v>0</v>
      </c>
      <c r="AR33" s="419">
        <v>0</v>
      </c>
    </row>
    <row r="34" spans="1:44">
      <c r="A34" s="379">
        <v>90307</v>
      </c>
      <c r="B34" t="s">
        <v>754</v>
      </c>
      <c r="C34" s="380">
        <v>5.0000000000000004E-6</v>
      </c>
      <c r="D34" s="380"/>
      <c r="E34" s="419">
        <v>1356</v>
      </c>
      <c r="F34" s="419">
        <v>419</v>
      </c>
      <c r="G34" s="419">
        <v>-477</v>
      </c>
      <c r="H34" s="419">
        <v>-3352</v>
      </c>
      <c r="I34" s="419">
        <v>0</v>
      </c>
      <c r="J34" s="380">
        <v>5.0000000000000004E-6</v>
      </c>
      <c r="K34" s="380"/>
      <c r="L34" s="419">
        <v>1224</v>
      </c>
      <c r="M34" s="419">
        <v>845</v>
      </c>
      <c r="N34" s="419">
        <v>370</v>
      </c>
      <c r="O34" s="419">
        <v>0</v>
      </c>
      <c r="P34" s="419">
        <v>0</v>
      </c>
      <c r="Q34" s="380">
        <v>5.0000000000000004E-6</v>
      </c>
      <c r="R34" s="380"/>
      <c r="S34" s="419">
        <v>-2512</v>
      </c>
      <c r="T34" s="419">
        <v>-2483</v>
      </c>
      <c r="U34" s="419">
        <v>-2608</v>
      </c>
      <c r="V34" s="419">
        <v>-3352</v>
      </c>
      <c r="W34" s="419">
        <v>0</v>
      </c>
      <c r="X34" s="380">
        <v>5.0000000000000004E-6</v>
      </c>
      <c r="Z34" s="419">
        <v>2003</v>
      </c>
      <c r="AA34" s="419">
        <v>1407</v>
      </c>
      <c r="AB34" s="419">
        <v>1407</v>
      </c>
      <c r="AC34" s="419">
        <v>0</v>
      </c>
      <c r="AD34" s="419">
        <v>0</v>
      </c>
      <c r="AE34" s="380">
        <v>5.0000000000000004E-6</v>
      </c>
      <c r="AF34" s="380"/>
      <c r="AG34" s="419">
        <v>649</v>
      </c>
      <c r="AH34" s="419">
        <v>650</v>
      </c>
      <c r="AI34" s="419">
        <v>354</v>
      </c>
      <c r="AJ34" s="419">
        <v>0</v>
      </c>
      <c r="AK34" s="419">
        <v>0</v>
      </c>
      <c r="AL34" s="380">
        <v>5.0000000000000004E-6</v>
      </c>
      <c r="AM34" s="380"/>
      <c r="AN34" s="419">
        <v>-8</v>
      </c>
      <c r="AO34" s="419">
        <v>0</v>
      </c>
      <c r="AP34" s="419">
        <v>0</v>
      </c>
      <c r="AQ34" s="419">
        <v>0</v>
      </c>
      <c r="AR34" s="419">
        <v>0</v>
      </c>
    </row>
    <row r="35" spans="1:44">
      <c r="A35" s="379">
        <v>90401</v>
      </c>
      <c r="B35" t="s">
        <v>755</v>
      </c>
      <c r="C35" s="380">
        <v>1.4093E-3</v>
      </c>
      <c r="D35" s="380"/>
      <c r="E35" s="419">
        <v>322270</v>
      </c>
      <c r="F35" s="419">
        <v>58214</v>
      </c>
      <c r="G35" s="419">
        <v>-169238</v>
      </c>
      <c r="H35" s="419">
        <v>-944899</v>
      </c>
      <c r="I35" s="419">
        <v>0</v>
      </c>
      <c r="J35" s="380">
        <v>1.4093E-3</v>
      </c>
      <c r="K35" s="380"/>
      <c r="L35" s="419">
        <v>345008</v>
      </c>
      <c r="M35" s="419">
        <v>238273</v>
      </c>
      <c r="N35" s="419">
        <v>104305</v>
      </c>
      <c r="O35" s="419">
        <v>0</v>
      </c>
      <c r="P35" s="419">
        <v>0</v>
      </c>
      <c r="Q35" s="380">
        <v>1.4093E-3</v>
      </c>
      <c r="R35" s="380"/>
      <c r="S35" s="419">
        <v>-707987</v>
      </c>
      <c r="T35" s="419">
        <v>-699795</v>
      </c>
      <c r="U35" s="419">
        <v>-735163</v>
      </c>
      <c r="V35" s="419">
        <v>-944899</v>
      </c>
      <c r="W35" s="419">
        <v>0</v>
      </c>
      <c r="X35" s="380">
        <v>1.4093E-3</v>
      </c>
      <c r="Z35" s="419">
        <v>564568</v>
      </c>
      <c r="AA35" s="419">
        <v>396640</v>
      </c>
      <c r="AB35" s="419">
        <v>396638</v>
      </c>
      <c r="AC35" s="419">
        <v>0</v>
      </c>
      <c r="AD35" s="419">
        <v>0</v>
      </c>
      <c r="AE35" s="380">
        <v>1.4093E-3</v>
      </c>
      <c r="AF35" s="380"/>
      <c r="AG35" s="419">
        <v>123097</v>
      </c>
      <c r="AH35" s="419">
        <v>123096</v>
      </c>
      <c r="AI35" s="419">
        <v>64982</v>
      </c>
      <c r="AJ35" s="419">
        <v>0</v>
      </c>
      <c r="AK35" s="419">
        <v>0</v>
      </c>
      <c r="AL35" s="380">
        <v>1.4093E-3</v>
      </c>
      <c r="AM35" s="380"/>
      <c r="AN35" s="419">
        <v>-2416</v>
      </c>
      <c r="AO35" s="419">
        <v>0</v>
      </c>
      <c r="AP35" s="419">
        <v>0</v>
      </c>
      <c r="AQ35" s="419">
        <v>0</v>
      </c>
      <c r="AR35" s="419">
        <v>0</v>
      </c>
    </row>
    <row r="36" spans="1:44">
      <c r="A36" s="379">
        <v>90411</v>
      </c>
      <c r="B36" t="s">
        <v>756</v>
      </c>
      <c r="C36" s="380">
        <v>3.3819999999999998E-4</v>
      </c>
      <c r="D36" s="380"/>
      <c r="E36" s="419">
        <v>46144</v>
      </c>
      <c r="F36" s="419">
        <v>-15365</v>
      </c>
      <c r="G36" s="419">
        <v>-57233</v>
      </c>
      <c r="H36" s="419">
        <v>-226754</v>
      </c>
      <c r="I36" s="419">
        <v>0</v>
      </c>
      <c r="J36" s="380">
        <v>3.3819999999999998E-4</v>
      </c>
      <c r="K36" s="380"/>
      <c r="L36" s="419">
        <v>82794</v>
      </c>
      <c r="M36" s="419">
        <v>57180</v>
      </c>
      <c r="N36" s="419">
        <v>25031</v>
      </c>
      <c r="O36" s="419">
        <v>0</v>
      </c>
      <c r="P36" s="419">
        <v>0</v>
      </c>
      <c r="Q36" s="380">
        <v>3.3819999999999998E-4</v>
      </c>
      <c r="R36" s="380"/>
      <c r="S36" s="419">
        <v>-169901</v>
      </c>
      <c r="T36" s="419">
        <v>-167935</v>
      </c>
      <c r="U36" s="419">
        <v>-176422</v>
      </c>
      <c r="V36" s="419">
        <v>-226754</v>
      </c>
      <c r="W36" s="419">
        <v>0</v>
      </c>
      <c r="X36" s="380">
        <v>3.3819999999999998E-4</v>
      </c>
      <c r="Z36" s="419">
        <v>135484</v>
      </c>
      <c r="AA36" s="419">
        <v>95185</v>
      </c>
      <c r="AB36" s="419">
        <v>95184</v>
      </c>
      <c r="AC36" s="419">
        <v>0</v>
      </c>
      <c r="AD36" s="419">
        <v>0</v>
      </c>
      <c r="AE36" s="380">
        <v>3.3819999999999998E-4</v>
      </c>
      <c r="AF36" s="380"/>
      <c r="AG36" s="419">
        <v>6508</v>
      </c>
      <c r="AH36" s="419">
        <v>6509</v>
      </c>
      <c r="AI36" s="419">
        <v>0</v>
      </c>
      <c r="AJ36" s="419">
        <v>0</v>
      </c>
      <c r="AK36" s="419">
        <v>0</v>
      </c>
      <c r="AL36" s="380">
        <v>3.3819999999999998E-4</v>
      </c>
      <c r="AM36" s="380"/>
      <c r="AN36" s="419">
        <v>-8741</v>
      </c>
      <c r="AO36" s="419">
        <v>-6304</v>
      </c>
      <c r="AP36" s="419">
        <v>-1026</v>
      </c>
      <c r="AQ36" s="419">
        <v>0</v>
      </c>
      <c r="AR36" s="419">
        <v>0</v>
      </c>
    </row>
    <row r="37" spans="1:44">
      <c r="A37" s="379">
        <v>90413</v>
      </c>
      <c r="B37" t="s">
        <v>757</v>
      </c>
      <c r="C37" s="380">
        <v>3.4600000000000001E-5</v>
      </c>
      <c r="D37" s="380"/>
      <c r="E37" s="419">
        <v>7185</v>
      </c>
      <c r="F37" s="419">
        <v>207</v>
      </c>
      <c r="G37" s="419">
        <v>-4670</v>
      </c>
      <c r="H37" s="419">
        <v>-23198</v>
      </c>
      <c r="I37" s="419">
        <v>0</v>
      </c>
      <c r="J37" s="380">
        <v>3.4600000000000001E-5</v>
      </c>
      <c r="K37" s="380"/>
      <c r="L37" s="419">
        <v>8470</v>
      </c>
      <c r="M37" s="419">
        <v>5850</v>
      </c>
      <c r="N37" s="419">
        <v>2561</v>
      </c>
      <c r="O37" s="419">
        <v>0</v>
      </c>
      <c r="P37" s="419">
        <v>0</v>
      </c>
      <c r="Q37" s="380">
        <v>3.4600000000000001E-5</v>
      </c>
      <c r="R37" s="380"/>
      <c r="S37" s="419">
        <v>-17382</v>
      </c>
      <c r="T37" s="419">
        <v>-17181</v>
      </c>
      <c r="U37" s="419">
        <v>-18049</v>
      </c>
      <c r="V37" s="419">
        <v>-23198</v>
      </c>
      <c r="W37" s="419">
        <v>0</v>
      </c>
      <c r="X37" s="380">
        <v>3.4600000000000001E-5</v>
      </c>
      <c r="Z37" s="419">
        <v>13861</v>
      </c>
      <c r="AA37" s="419">
        <v>9738</v>
      </c>
      <c r="AB37" s="419">
        <v>9738</v>
      </c>
      <c r="AC37" s="419">
        <v>0</v>
      </c>
      <c r="AD37" s="419">
        <v>0</v>
      </c>
      <c r="AE37" s="380">
        <v>3.4600000000000001E-5</v>
      </c>
      <c r="AF37" s="380"/>
      <c r="AG37" s="419">
        <v>2236</v>
      </c>
      <c r="AH37" s="419">
        <v>1800</v>
      </c>
      <c r="AI37" s="419">
        <v>1080</v>
      </c>
      <c r="AJ37" s="419">
        <v>0</v>
      </c>
      <c r="AK37" s="419">
        <v>0</v>
      </c>
      <c r="AL37" s="380">
        <v>3.4600000000000001E-5</v>
      </c>
      <c r="AM37" s="380"/>
      <c r="AN37" s="419">
        <v>0</v>
      </c>
      <c r="AO37" s="419">
        <v>0</v>
      </c>
      <c r="AP37" s="419">
        <v>0</v>
      </c>
      <c r="AQ37" s="419">
        <v>0</v>
      </c>
      <c r="AR37" s="419">
        <v>0</v>
      </c>
    </row>
    <row r="38" spans="1:44">
      <c r="A38" s="379">
        <v>90417</v>
      </c>
      <c r="B38" t="s">
        <v>758</v>
      </c>
      <c r="C38" s="380">
        <v>1.0200000000000001E-5</v>
      </c>
      <c r="D38" s="380"/>
      <c r="E38" s="419">
        <v>5033</v>
      </c>
      <c r="F38" s="419">
        <v>2451</v>
      </c>
      <c r="G38" s="419">
        <v>165</v>
      </c>
      <c r="H38" s="419">
        <v>-6839</v>
      </c>
      <c r="I38" s="419">
        <v>0</v>
      </c>
      <c r="J38" s="380">
        <v>1.0200000000000001E-5</v>
      </c>
      <c r="K38" s="380"/>
      <c r="L38" s="419">
        <v>2497</v>
      </c>
      <c r="M38" s="419">
        <v>1725</v>
      </c>
      <c r="N38" s="419">
        <v>755</v>
      </c>
      <c r="O38" s="419">
        <v>0</v>
      </c>
      <c r="P38" s="419">
        <v>0</v>
      </c>
      <c r="Q38" s="380">
        <v>1.0200000000000001E-5</v>
      </c>
      <c r="R38" s="380"/>
      <c r="S38" s="419">
        <v>-5124</v>
      </c>
      <c r="T38" s="419">
        <v>-5065</v>
      </c>
      <c r="U38" s="419">
        <v>-5321</v>
      </c>
      <c r="V38" s="419">
        <v>-6839</v>
      </c>
      <c r="W38" s="419">
        <v>0</v>
      </c>
      <c r="X38" s="380">
        <v>1.0200000000000001E-5</v>
      </c>
      <c r="Z38" s="419">
        <v>4086</v>
      </c>
      <c r="AA38" s="419">
        <v>2871</v>
      </c>
      <c r="AB38" s="419">
        <v>2871</v>
      </c>
      <c r="AC38" s="419">
        <v>0</v>
      </c>
      <c r="AD38" s="419">
        <v>0</v>
      </c>
      <c r="AE38" s="380">
        <v>1.0200000000000001E-5</v>
      </c>
      <c r="AF38" s="380"/>
      <c r="AG38" s="419">
        <v>3574</v>
      </c>
      <c r="AH38" s="419">
        <v>2920</v>
      </c>
      <c r="AI38" s="419">
        <v>1860</v>
      </c>
      <c r="AJ38" s="419">
        <v>0</v>
      </c>
      <c r="AK38" s="419">
        <v>0</v>
      </c>
      <c r="AL38" s="380">
        <v>1.0200000000000001E-5</v>
      </c>
      <c r="AM38" s="380"/>
      <c r="AN38" s="419">
        <v>0</v>
      </c>
      <c r="AO38" s="419">
        <v>0</v>
      </c>
      <c r="AP38" s="419">
        <v>0</v>
      </c>
      <c r="AQ38" s="419">
        <v>0</v>
      </c>
      <c r="AR38" s="419">
        <v>0</v>
      </c>
    </row>
    <row r="39" spans="1:44">
      <c r="A39" s="379">
        <v>90421</v>
      </c>
      <c r="B39" t="s">
        <v>759</v>
      </c>
      <c r="C39" s="380">
        <v>2.6699999999999998E-5</v>
      </c>
      <c r="D39" s="380"/>
      <c r="E39" s="419">
        <v>6459</v>
      </c>
      <c r="F39" s="419">
        <v>1835</v>
      </c>
      <c r="G39" s="419">
        <v>-3881</v>
      </c>
      <c r="H39" s="419">
        <v>-17902</v>
      </c>
      <c r="I39" s="419">
        <v>0</v>
      </c>
      <c r="J39" s="380">
        <v>2.6699999999999998E-5</v>
      </c>
      <c r="K39" s="380"/>
      <c r="L39" s="419">
        <v>6536</v>
      </c>
      <c r="M39" s="419">
        <v>4514</v>
      </c>
      <c r="N39" s="419">
        <v>1976</v>
      </c>
      <c r="O39" s="419">
        <v>0</v>
      </c>
      <c r="P39" s="419">
        <v>0</v>
      </c>
      <c r="Q39" s="380">
        <v>2.6699999999999998E-5</v>
      </c>
      <c r="R39" s="380"/>
      <c r="S39" s="419">
        <v>-13413</v>
      </c>
      <c r="T39" s="419">
        <v>-13258</v>
      </c>
      <c r="U39" s="419">
        <v>-13928</v>
      </c>
      <c r="V39" s="419">
        <v>-17902</v>
      </c>
      <c r="W39" s="419">
        <v>0</v>
      </c>
      <c r="X39" s="380">
        <v>2.6699999999999998E-5</v>
      </c>
      <c r="Z39" s="419">
        <v>10696</v>
      </c>
      <c r="AA39" s="419">
        <v>7515</v>
      </c>
      <c r="AB39" s="419">
        <v>7515</v>
      </c>
      <c r="AC39" s="419">
        <v>0</v>
      </c>
      <c r="AD39" s="419">
        <v>0</v>
      </c>
      <c r="AE39" s="380">
        <v>2.6699999999999998E-5</v>
      </c>
      <c r="AF39" s="380"/>
      <c r="AG39" s="419">
        <v>3407</v>
      </c>
      <c r="AH39" s="419">
        <v>3406</v>
      </c>
      <c r="AI39" s="419">
        <v>556</v>
      </c>
      <c r="AJ39" s="419">
        <v>0</v>
      </c>
      <c r="AK39" s="419">
        <v>0</v>
      </c>
      <c r="AL39" s="380">
        <v>2.6699999999999998E-5</v>
      </c>
      <c r="AM39" s="380"/>
      <c r="AN39" s="419">
        <v>-767</v>
      </c>
      <c r="AO39" s="419">
        <v>-342</v>
      </c>
      <c r="AP39" s="419">
        <v>0</v>
      </c>
      <c r="AQ39" s="419">
        <v>0</v>
      </c>
      <c r="AR39" s="419">
        <v>0</v>
      </c>
    </row>
    <row r="40" spans="1:44">
      <c r="A40" s="379">
        <v>90431</v>
      </c>
      <c r="B40" t="s">
        <v>760</v>
      </c>
      <c r="C40" s="380">
        <v>3.8000000000000002E-5</v>
      </c>
      <c r="D40" s="380"/>
      <c r="E40" s="419">
        <v>104</v>
      </c>
      <c r="F40" s="419">
        <v>-6724</v>
      </c>
      <c r="G40" s="419">
        <v>-11905</v>
      </c>
      <c r="H40" s="419">
        <v>-25478</v>
      </c>
      <c r="I40" s="419">
        <v>0</v>
      </c>
      <c r="J40" s="380">
        <v>3.8000000000000002E-5</v>
      </c>
      <c r="K40" s="380"/>
      <c r="L40" s="419">
        <v>9303</v>
      </c>
      <c r="M40" s="419">
        <v>6425</v>
      </c>
      <c r="N40" s="419">
        <v>2812</v>
      </c>
      <c r="O40" s="419">
        <v>0</v>
      </c>
      <c r="P40" s="419">
        <v>0</v>
      </c>
      <c r="Q40" s="380">
        <v>3.8000000000000002E-5</v>
      </c>
      <c r="R40" s="380"/>
      <c r="S40" s="419">
        <v>-19090</v>
      </c>
      <c r="T40" s="419">
        <v>-18869</v>
      </c>
      <c r="U40" s="419">
        <v>-19823</v>
      </c>
      <c r="V40" s="419">
        <v>-25478</v>
      </c>
      <c r="W40" s="419">
        <v>0</v>
      </c>
      <c r="X40" s="380">
        <v>3.8000000000000002E-5</v>
      </c>
      <c r="Z40" s="419">
        <v>15223</v>
      </c>
      <c r="AA40" s="419">
        <v>10695</v>
      </c>
      <c r="AB40" s="419">
        <v>10695</v>
      </c>
      <c r="AC40" s="419">
        <v>0</v>
      </c>
      <c r="AD40" s="419">
        <v>0</v>
      </c>
      <c r="AE40" s="380">
        <v>3.8000000000000002E-5</v>
      </c>
      <c r="AF40" s="380"/>
      <c r="AG40" s="419">
        <v>651</v>
      </c>
      <c r="AH40" s="419">
        <v>649</v>
      </c>
      <c r="AI40" s="419">
        <v>0</v>
      </c>
      <c r="AJ40" s="419">
        <v>0</v>
      </c>
      <c r="AK40" s="419">
        <v>0</v>
      </c>
      <c r="AL40" s="380">
        <v>3.8000000000000002E-5</v>
      </c>
      <c r="AM40" s="380"/>
      <c r="AN40" s="419">
        <v>-5983</v>
      </c>
      <c r="AO40" s="419">
        <v>-5624</v>
      </c>
      <c r="AP40" s="419">
        <v>-5589</v>
      </c>
      <c r="AQ40" s="419">
        <v>0</v>
      </c>
      <c r="AR40" s="419">
        <v>0</v>
      </c>
    </row>
    <row r="41" spans="1:44">
      <c r="A41" s="379">
        <v>90441</v>
      </c>
      <c r="B41" t="s">
        <v>761</v>
      </c>
      <c r="C41" s="380">
        <v>5.0000000000000004E-6</v>
      </c>
      <c r="D41" s="380"/>
      <c r="E41" s="419">
        <v>1908</v>
      </c>
      <c r="F41" s="419">
        <v>809</v>
      </c>
      <c r="G41" s="419">
        <v>-307</v>
      </c>
      <c r="H41" s="419">
        <v>-3352</v>
      </c>
      <c r="I41" s="419">
        <v>0</v>
      </c>
      <c r="J41" s="380">
        <v>5.0000000000000004E-6</v>
      </c>
      <c r="K41" s="380"/>
      <c r="L41" s="419">
        <v>1224</v>
      </c>
      <c r="M41" s="419">
        <v>845</v>
      </c>
      <c r="N41" s="419">
        <v>370</v>
      </c>
      <c r="O41" s="419">
        <v>0</v>
      </c>
      <c r="P41" s="419">
        <v>0</v>
      </c>
      <c r="Q41" s="380">
        <v>5.0000000000000004E-6</v>
      </c>
      <c r="R41" s="380"/>
      <c r="S41" s="419">
        <v>-2512</v>
      </c>
      <c r="T41" s="419">
        <v>-2483</v>
      </c>
      <c r="U41" s="419">
        <v>-2608</v>
      </c>
      <c r="V41" s="419">
        <v>-3352</v>
      </c>
      <c r="W41" s="419">
        <v>0</v>
      </c>
      <c r="X41" s="380">
        <v>5.0000000000000004E-6</v>
      </c>
      <c r="Z41" s="419">
        <v>2003</v>
      </c>
      <c r="AA41" s="419">
        <v>1407</v>
      </c>
      <c r="AB41" s="419">
        <v>1407</v>
      </c>
      <c r="AC41" s="419">
        <v>0</v>
      </c>
      <c r="AD41" s="419">
        <v>0</v>
      </c>
      <c r="AE41" s="380">
        <v>5.0000000000000004E-6</v>
      </c>
      <c r="AF41" s="380"/>
      <c r="AG41" s="419">
        <v>1193</v>
      </c>
      <c r="AH41" s="419">
        <v>1040</v>
      </c>
      <c r="AI41" s="419">
        <v>524</v>
      </c>
      <c r="AJ41" s="419">
        <v>0</v>
      </c>
      <c r="AK41" s="419">
        <v>0</v>
      </c>
      <c r="AL41" s="380">
        <v>5.0000000000000004E-6</v>
      </c>
      <c r="AM41" s="380"/>
      <c r="AN41" s="419">
        <v>0</v>
      </c>
      <c r="AO41" s="419">
        <v>0</v>
      </c>
      <c r="AP41" s="419">
        <v>0</v>
      </c>
      <c r="AQ41" s="419">
        <v>0</v>
      </c>
      <c r="AR41" s="419">
        <v>0</v>
      </c>
    </row>
    <row r="42" spans="1:44">
      <c r="A42" s="379">
        <v>90451</v>
      </c>
      <c r="B42" t="s">
        <v>762</v>
      </c>
      <c r="C42" s="380">
        <v>1.08E-5</v>
      </c>
      <c r="D42" s="380"/>
      <c r="E42" s="419">
        <v>-3788</v>
      </c>
      <c r="F42" s="419">
        <v>-6478</v>
      </c>
      <c r="G42" s="419">
        <v>-7721</v>
      </c>
      <c r="H42" s="419">
        <v>-7241</v>
      </c>
      <c r="I42" s="419">
        <v>0</v>
      </c>
      <c r="J42" s="380">
        <v>1.08E-5</v>
      </c>
      <c r="K42" s="380"/>
      <c r="L42" s="419">
        <v>2644</v>
      </c>
      <c r="M42" s="419">
        <v>1826</v>
      </c>
      <c r="N42" s="419">
        <v>799</v>
      </c>
      <c r="O42" s="419">
        <v>0</v>
      </c>
      <c r="P42" s="419">
        <v>0</v>
      </c>
      <c r="Q42" s="380">
        <v>1.08E-5</v>
      </c>
      <c r="R42" s="380"/>
      <c r="S42" s="419">
        <v>-5426</v>
      </c>
      <c r="T42" s="419">
        <v>-5363</v>
      </c>
      <c r="U42" s="419">
        <v>-5634</v>
      </c>
      <c r="V42" s="419">
        <v>-7241</v>
      </c>
      <c r="W42" s="419">
        <v>0</v>
      </c>
      <c r="X42" s="380">
        <v>1.08E-5</v>
      </c>
      <c r="Z42" s="419">
        <v>4327</v>
      </c>
      <c r="AA42" s="419">
        <v>3040</v>
      </c>
      <c r="AB42" s="419">
        <v>3040</v>
      </c>
      <c r="AC42" s="419">
        <v>0</v>
      </c>
      <c r="AD42" s="419">
        <v>0</v>
      </c>
      <c r="AE42" s="380">
        <v>1.08E-5</v>
      </c>
      <c r="AF42" s="380"/>
      <c r="AG42" s="419">
        <v>1111</v>
      </c>
      <c r="AH42" s="419">
        <v>462</v>
      </c>
      <c r="AI42" s="419">
        <v>0</v>
      </c>
      <c r="AJ42" s="419">
        <v>0</v>
      </c>
      <c r="AK42" s="419">
        <v>0</v>
      </c>
      <c r="AL42" s="380">
        <v>1.08E-5</v>
      </c>
      <c r="AM42" s="380"/>
      <c r="AN42" s="419">
        <v>-6444</v>
      </c>
      <c r="AO42" s="419">
        <v>-6443</v>
      </c>
      <c r="AP42" s="419">
        <v>-5926</v>
      </c>
      <c r="AQ42" s="419">
        <v>0</v>
      </c>
      <c r="AR42" s="419">
        <v>0</v>
      </c>
    </row>
    <row r="43" spans="1:44">
      <c r="A43" s="379">
        <v>90461</v>
      </c>
      <c r="B43" t="s">
        <v>763</v>
      </c>
      <c r="C43" s="380">
        <v>1.1399999999999999E-5</v>
      </c>
      <c r="D43" s="380"/>
      <c r="E43" s="419">
        <v>6600</v>
      </c>
      <c r="F43" s="419">
        <v>4422</v>
      </c>
      <c r="G43" s="419">
        <v>2023</v>
      </c>
      <c r="H43" s="419">
        <v>-7643</v>
      </c>
      <c r="I43" s="419">
        <v>0</v>
      </c>
      <c r="J43" s="380">
        <v>1.1399999999999999E-5</v>
      </c>
      <c r="K43" s="380"/>
      <c r="L43" s="419">
        <v>2791</v>
      </c>
      <c r="M43" s="419">
        <v>1927</v>
      </c>
      <c r="N43" s="419">
        <v>844</v>
      </c>
      <c r="O43" s="419">
        <v>0</v>
      </c>
      <c r="P43" s="419">
        <v>0</v>
      </c>
      <c r="Q43" s="380">
        <v>1.1399999999999999E-5</v>
      </c>
      <c r="R43" s="380"/>
      <c r="S43" s="419">
        <v>-5727</v>
      </c>
      <c r="T43" s="419">
        <v>-5661</v>
      </c>
      <c r="U43" s="419">
        <v>-5947</v>
      </c>
      <c r="V43" s="419">
        <v>-7643</v>
      </c>
      <c r="W43" s="419">
        <v>0</v>
      </c>
      <c r="X43" s="380">
        <v>1.1399999999999999E-5</v>
      </c>
      <c r="Z43" s="419">
        <v>4567</v>
      </c>
      <c r="AA43" s="419">
        <v>3208</v>
      </c>
      <c r="AB43" s="419">
        <v>3208</v>
      </c>
      <c r="AC43" s="419">
        <v>0</v>
      </c>
      <c r="AD43" s="419">
        <v>0</v>
      </c>
      <c r="AE43" s="380">
        <v>1.1399999999999999E-5</v>
      </c>
      <c r="AF43" s="380"/>
      <c r="AG43" s="419">
        <v>5624</v>
      </c>
      <c r="AH43" s="419">
        <v>5604</v>
      </c>
      <c r="AI43" s="419">
        <v>3918</v>
      </c>
      <c r="AJ43" s="419">
        <v>0</v>
      </c>
      <c r="AK43" s="419">
        <v>0</v>
      </c>
      <c r="AL43" s="380">
        <v>1.1399999999999999E-5</v>
      </c>
      <c r="AM43" s="380"/>
      <c r="AN43" s="419">
        <v>-655</v>
      </c>
      <c r="AO43" s="419">
        <v>-656</v>
      </c>
      <c r="AP43" s="419">
        <v>0</v>
      </c>
      <c r="AQ43" s="419">
        <v>0</v>
      </c>
      <c r="AR43" s="419">
        <v>0</v>
      </c>
    </row>
    <row r="44" spans="1:44">
      <c r="A44" s="379">
        <v>90501</v>
      </c>
      <c r="B44" t="s">
        <v>764</v>
      </c>
      <c r="C44" s="380">
        <v>1.4752000000000001E-3</v>
      </c>
      <c r="D44" s="380"/>
      <c r="E44" s="419">
        <v>235995</v>
      </c>
      <c r="F44" s="419">
        <v>-41451</v>
      </c>
      <c r="G44" s="419">
        <v>-260275</v>
      </c>
      <c r="H44" s="419">
        <v>-989083</v>
      </c>
      <c r="I44" s="419">
        <v>0</v>
      </c>
      <c r="J44" s="380">
        <v>1.4752000000000001E-3</v>
      </c>
      <c r="K44" s="380"/>
      <c r="L44" s="419">
        <v>361141</v>
      </c>
      <c r="M44" s="419">
        <v>249415</v>
      </c>
      <c r="N44" s="419">
        <v>109183</v>
      </c>
      <c r="O44" s="419">
        <v>0</v>
      </c>
      <c r="P44" s="419">
        <v>0</v>
      </c>
      <c r="Q44" s="380">
        <v>1.4752000000000001E-3</v>
      </c>
      <c r="R44" s="380"/>
      <c r="S44" s="419">
        <v>-741093</v>
      </c>
      <c r="T44" s="419">
        <v>-732518</v>
      </c>
      <c r="U44" s="419">
        <v>-769540</v>
      </c>
      <c r="V44" s="419">
        <v>-989083</v>
      </c>
      <c r="W44" s="419">
        <v>0</v>
      </c>
      <c r="X44" s="380">
        <v>1.4752000000000001E-3</v>
      </c>
      <c r="Z44" s="419">
        <v>590968</v>
      </c>
      <c r="AA44" s="419">
        <v>415188</v>
      </c>
      <c r="AB44" s="419">
        <v>415185</v>
      </c>
      <c r="AC44" s="419">
        <v>0</v>
      </c>
      <c r="AD44" s="419">
        <v>0</v>
      </c>
      <c r="AE44" s="380">
        <v>1.4752000000000001E-3</v>
      </c>
      <c r="AF44" s="380"/>
      <c r="AG44" s="419">
        <v>41569</v>
      </c>
      <c r="AH44" s="419">
        <v>41567</v>
      </c>
      <c r="AI44" s="419">
        <v>0</v>
      </c>
      <c r="AJ44" s="419">
        <v>0</v>
      </c>
      <c r="AK44" s="419">
        <v>0</v>
      </c>
      <c r="AL44" s="380">
        <v>1.4752000000000001E-3</v>
      </c>
      <c r="AM44" s="380"/>
      <c r="AN44" s="419">
        <v>-16590</v>
      </c>
      <c r="AO44" s="419">
        <v>-15103</v>
      </c>
      <c r="AP44" s="419">
        <v>-15103</v>
      </c>
      <c r="AQ44" s="419">
        <v>0</v>
      </c>
      <c r="AR44" s="419">
        <v>0</v>
      </c>
    </row>
    <row r="45" spans="1:44">
      <c r="A45" s="379">
        <v>90507</v>
      </c>
      <c r="B45" t="s">
        <v>34</v>
      </c>
      <c r="C45" s="380">
        <v>1.6099999999999998E-5</v>
      </c>
      <c r="D45" s="380"/>
      <c r="E45" s="419">
        <v>14471</v>
      </c>
      <c r="F45" s="419">
        <v>9891</v>
      </c>
      <c r="G45" s="419">
        <v>2872</v>
      </c>
      <c r="H45" s="419">
        <v>-10795</v>
      </c>
      <c r="I45" s="419">
        <v>0</v>
      </c>
      <c r="J45" s="380">
        <v>1.6099999999999998E-5</v>
      </c>
      <c r="K45" s="380"/>
      <c r="L45" s="419">
        <v>3941</v>
      </c>
      <c r="M45" s="419">
        <v>2722</v>
      </c>
      <c r="N45" s="419">
        <v>1192</v>
      </c>
      <c r="O45" s="419">
        <v>0</v>
      </c>
      <c r="P45" s="419">
        <v>0</v>
      </c>
      <c r="Q45" s="380">
        <v>1.6099999999999998E-5</v>
      </c>
      <c r="R45" s="380"/>
      <c r="S45" s="419">
        <v>-8088</v>
      </c>
      <c r="T45" s="419">
        <v>-7995</v>
      </c>
      <c r="U45" s="419">
        <v>-8399</v>
      </c>
      <c r="V45" s="419">
        <v>-10795</v>
      </c>
      <c r="W45" s="419">
        <v>0</v>
      </c>
      <c r="X45" s="380">
        <v>1.6099999999999998E-5</v>
      </c>
      <c r="Z45" s="419">
        <v>6450</v>
      </c>
      <c r="AA45" s="419">
        <v>4531</v>
      </c>
      <c r="AB45" s="419">
        <v>4531</v>
      </c>
      <c r="AC45" s="419">
        <v>0</v>
      </c>
      <c r="AD45" s="419">
        <v>0</v>
      </c>
      <c r="AE45" s="380">
        <v>1.6099999999999998E-5</v>
      </c>
      <c r="AF45" s="380"/>
      <c r="AG45" s="419">
        <v>12168</v>
      </c>
      <c r="AH45" s="419">
        <v>10633</v>
      </c>
      <c r="AI45" s="419">
        <v>5548</v>
      </c>
      <c r="AJ45" s="419">
        <v>0</v>
      </c>
      <c r="AK45" s="419">
        <v>0</v>
      </c>
      <c r="AL45" s="380">
        <v>1.6099999999999998E-5</v>
      </c>
      <c r="AM45" s="380"/>
      <c r="AN45" s="419">
        <v>0</v>
      </c>
      <c r="AO45" s="419">
        <v>0</v>
      </c>
      <c r="AP45" s="419">
        <v>0</v>
      </c>
      <c r="AQ45" s="419">
        <v>0</v>
      </c>
      <c r="AR45" s="419">
        <v>0</v>
      </c>
    </row>
    <row r="46" spans="1:44">
      <c r="A46" s="379">
        <v>90511</v>
      </c>
      <c r="B46" t="s">
        <v>765</v>
      </c>
      <c r="C46" s="380">
        <v>1.004E-4</v>
      </c>
      <c r="D46" s="380"/>
      <c r="E46" s="419">
        <v>27319</v>
      </c>
      <c r="F46" s="419">
        <v>6280</v>
      </c>
      <c r="G46" s="419">
        <v>-10271</v>
      </c>
      <c r="H46" s="419">
        <v>-67316</v>
      </c>
      <c r="I46" s="419">
        <v>0</v>
      </c>
      <c r="J46" s="380">
        <v>1.004E-4</v>
      </c>
      <c r="K46" s="380"/>
      <c r="L46" s="419">
        <v>24579</v>
      </c>
      <c r="M46" s="419">
        <v>16975</v>
      </c>
      <c r="N46" s="419">
        <v>7431</v>
      </c>
      <c r="O46" s="419">
        <v>0</v>
      </c>
      <c r="P46" s="419">
        <v>0</v>
      </c>
      <c r="Q46" s="380">
        <v>1.004E-4</v>
      </c>
      <c r="R46" s="380"/>
      <c r="S46" s="419">
        <v>-50438</v>
      </c>
      <c r="T46" s="419">
        <v>-49854</v>
      </c>
      <c r="U46" s="419">
        <v>-52374</v>
      </c>
      <c r="V46" s="419">
        <v>-67316</v>
      </c>
      <c r="W46" s="419">
        <v>0</v>
      </c>
      <c r="X46" s="380">
        <v>1.004E-4</v>
      </c>
      <c r="Z46" s="419">
        <v>40220</v>
      </c>
      <c r="AA46" s="419">
        <v>28257</v>
      </c>
      <c r="AB46" s="419">
        <v>28257</v>
      </c>
      <c r="AC46" s="419">
        <v>0</v>
      </c>
      <c r="AD46" s="419">
        <v>0</v>
      </c>
      <c r="AE46" s="380">
        <v>1.004E-4</v>
      </c>
      <c r="AF46" s="380"/>
      <c r="AG46" s="419">
        <v>13844</v>
      </c>
      <c r="AH46" s="419">
        <v>11786</v>
      </c>
      <c r="AI46" s="419">
        <v>6415</v>
      </c>
      <c r="AJ46" s="419">
        <v>0</v>
      </c>
      <c r="AK46" s="419">
        <v>0</v>
      </c>
      <c r="AL46" s="380">
        <v>1.004E-4</v>
      </c>
      <c r="AM46" s="380"/>
      <c r="AN46" s="419">
        <v>-886</v>
      </c>
      <c r="AO46" s="419">
        <v>-884</v>
      </c>
      <c r="AP46" s="419">
        <v>0</v>
      </c>
      <c r="AQ46" s="419">
        <v>0</v>
      </c>
      <c r="AR46" s="419">
        <v>0</v>
      </c>
    </row>
    <row r="47" spans="1:44">
      <c r="A47" s="379">
        <v>90521</v>
      </c>
      <c r="B47" t="s">
        <v>766</v>
      </c>
      <c r="C47" s="380">
        <v>1.451E-4</v>
      </c>
      <c r="D47" s="380"/>
      <c r="E47" s="419">
        <v>13799</v>
      </c>
      <c r="F47" s="419">
        <v>-10415</v>
      </c>
      <c r="G47" s="419">
        <v>-26081</v>
      </c>
      <c r="H47" s="419">
        <v>-97286</v>
      </c>
      <c r="I47" s="419">
        <v>0</v>
      </c>
      <c r="J47" s="380">
        <v>1.451E-4</v>
      </c>
      <c r="K47" s="380"/>
      <c r="L47" s="419">
        <v>35522</v>
      </c>
      <c r="M47" s="419">
        <v>24532</v>
      </c>
      <c r="N47" s="419">
        <v>10739</v>
      </c>
      <c r="O47" s="419">
        <v>0</v>
      </c>
      <c r="P47" s="419">
        <v>0</v>
      </c>
      <c r="Q47" s="380">
        <v>1.451E-4</v>
      </c>
      <c r="R47" s="380"/>
      <c r="S47" s="419">
        <v>-72894</v>
      </c>
      <c r="T47" s="419">
        <v>-72050</v>
      </c>
      <c r="U47" s="419">
        <v>-75692</v>
      </c>
      <c r="V47" s="419">
        <v>-97286</v>
      </c>
      <c r="W47" s="419">
        <v>0</v>
      </c>
      <c r="X47" s="380">
        <v>1.451E-4</v>
      </c>
      <c r="Z47" s="419">
        <v>58127</v>
      </c>
      <c r="AA47" s="419">
        <v>40838</v>
      </c>
      <c r="AB47" s="419">
        <v>40837</v>
      </c>
      <c r="AC47" s="419">
        <v>0</v>
      </c>
      <c r="AD47" s="419">
        <v>0</v>
      </c>
      <c r="AE47" s="380">
        <v>1.451E-4</v>
      </c>
      <c r="AF47" s="380"/>
      <c r="AG47" s="419">
        <v>0</v>
      </c>
      <c r="AH47" s="419">
        <v>0</v>
      </c>
      <c r="AI47" s="419">
        <v>0</v>
      </c>
      <c r="AJ47" s="419">
        <v>0</v>
      </c>
      <c r="AK47" s="419">
        <v>0</v>
      </c>
      <c r="AL47" s="380">
        <v>1.451E-4</v>
      </c>
      <c r="AM47" s="380"/>
      <c r="AN47" s="419">
        <v>-6956</v>
      </c>
      <c r="AO47" s="419">
        <v>-3735</v>
      </c>
      <c r="AP47" s="419">
        <v>-1965</v>
      </c>
      <c r="AQ47" s="419">
        <v>0</v>
      </c>
      <c r="AR47" s="419">
        <v>0</v>
      </c>
    </row>
    <row r="48" spans="1:44">
      <c r="A48" s="379">
        <v>90601</v>
      </c>
      <c r="B48" t="s">
        <v>767</v>
      </c>
      <c r="C48" s="380">
        <v>1.1405E-3</v>
      </c>
      <c r="D48" s="380"/>
      <c r="E48" s="419">
        <v>160035</v>
      </c>
      <c r="F48" s="419">
        <v>-49106</v>
      </c>
      <c r="G48" s="419">
        <v>-239443</v>
      </c>
      <c r="H48" s="419">
        <v>-764676</v>
      </c>
      <c r="I48" s="419">
        <v>0</v>
      </c>
      <c r="J48" s="380">
        <v>1.1405E-3</v>
      </c>
      <c r="K48" s="380"/>
      <c r="L48" s="419">
        <v>279204</v>
      </c>
      <c r="M48" s="419">
        <v>192827</v>
      </c>
      <c r="N48" s="419">
        <v>84411</v>
      </c>
      <c r="O48" s="419">
        <v>0</v>
      </c>
      <c r="P48" s="419">
        <v>0</v>
      </c>
      <c r="Q48" s="380">
        <v>1.1405E-3</v>
      </c>
      <c r="R48" s="380"/>
      <c r="S48" s="419">
        <v>-572951</v>
      </c>
      <c r="T48" s="419">
        <v>-566321</v>
      </c>
      <c r="U48" s="419">
        <v>-594943</v>
      </c>
      <c r="V48" s="419">
        <v>-764676</v>
      </c>
      <c r="W48" s="419">
        <v>0</v>
      </c>
      <c r="X48" s="380">
        <v>1.1405E-3</v>
      </c>
      <c r="Z48" s="419">
        <v>456887</v>
      </c>
      <c r="AA48" s="419">
        <v>320988</v>
      </c>
      <c r="AB48" s="419">
        <v>320986</v>
      </c>
      <c r="AC48" s="419">
        <v>0</v>
      </c>
      <c r="AD48" s="419">
        <v>0</v>
      </c>
      <c r="AE48" s="380">
        <v>1.1405E-3</v>
      </c>
      <c r="AF48" s="380"/>
      <c r="AG48" s="419">
        <v>53293</v>
      </c>
      <c r="AH48" s="419">
        <v>53296</v>
      </c>
      <c r="AI48" s="419">
        <v>0</v>
      </c>
      <c r="AJ48" s="419">
        <v>0</v>
      </c>
      <c r="AK48" s="419">
        <v>0</v>
      </c>
      <c r="AL48" s="380">
        <v>1.1405E-3</v>
      </c>
      <c r="AM48" s="380"/>
      <c r="AN48" s="419">
        <v>-56398</v>
      </c>
      <c r="AO48" s="419">
        <v>-49896</v>
      </c>
      <c r="AP48" s="419">
        <v>-49897</v>
      </c>
      <c r="AQ48" s="419">
        <v>0</v>
      </c>
      <c r="AR48" s="419">
        <v>0</v>
      </c>
    </row>
    <row r="49" spans="1:44">
      <c r="A49" s="379">
        <v>90602</v>
      </c>
      <c r="B49" t="s">
        <v>259</v>
      </c>
      <c r="C49" s="380">
        <v>7.4999999999999993E-5</v>
      </c>
      <c r="D49" s="380"/>
      <c r="E49" s="419">
        <v>11513</v>
      </c>
      <c r="F49" s="419">
        <v>-5150</v>
      </c>
      <c r="G49" s="419">
        <v>-12167</v>
      </c>
      <c r="H49" s="419">
        <v>-50286</v>
      </c>
      <c r="I49" s="419">
        <v>0</v>
      </c>
      <c r="J49" s="380">
        <v>7.4999999999999993E-5</v>
      </c>
      <c r="K49" s="380"/>
      <c r="L49" s="419">
        <v>18361</v>
      </c>
      <c r="M49" s="419">
        <v>12680</v>
      </c>
      <c r="N49" s="419">
        <v>5551</v>
      </c>
      <c r="O49" s="419">
        <v>0</v>
      </c>
      <c r="P49" s="419">
        <v>0</v>
      </c>
      <c r="Q49" s="380">
        <v>7.4999999999999993E-5</v>
      </c>
      <c r="R49" s="380"/>
      <c r="S49" s="419">
        <v>-37678</v>
      </c>
      <c r="T49" s="419">
        <v>-37242</v>
      </c>
      <c r="U49" s="419">
        <v>-39124</v>
      </c>
      <c r="V49" s="419">
        <v>-50286</v>
      </c>
      <c r="W49" s="419">
        <v>0</v>
      </c>
      <c r="X49" s="380">
        <v>7.4999999999999993E-5</v>
      </c>
      <c r="Z49" s="419">
        <v>30045</v>
      </c>
      <c r="AA49" s="419">
        <v>21108</v>
      </c>
      <c r="AB49" s="419">
        <v>21108</v>
      </c>
      <c r="AC49" s="419">
        <v>0</v>
      </c>
      <c r="AD49" s="419">
        <v>0</v>
      </c>
      <c r="AE49" s="380">
        <v>7.4999999999999993E-5</v>
      </c>
      <c r="AF49" s="380"/>
      <c r="AG49" s="419">
        <v>10360</v>
      </c>
      <c r="AH49" s="419">
        <v>7880</v>
      </c>
      <c r="AI49" s="419">
        <v>298</v>
      </c>
      <c r="AJ49" s="419">
        <v>0</v>
      </c>
      <c r="AK49" s="419">
        <v>0</v>
      </c>
      <c r="AL49" s="380">
        <v>7.4999999999999993E-5</v>
      </c>
      <c r="AM49" s="380"/>
      <c r="AN49" s="419">
        <v>-9575</v>
      </c>
      <c r="AO49" s="419">
        <v>-9576</v>
      </c>
      <c r="AP49" s="419">
        <v>0</v>
      </c>
      <c r="AQ49" s="419">
        <v>0</v>
      </c>
      <c r="AR49" s="419">
        <v>0</v>
      </c>
    </row>
    <row r="50" spans="1:44">
      <c r="A50" s="379">
        <v>90605</v>
      </c>
      <c r="B50" t="s">
        <v>768</v>
      </c>
      <c r="C50" s="380">
        <v>4.6300000000000001E-5</v>
      </c>
      <c r="D50" s="380"/>
      <c r="E50" s="419">
        <v>9620</v>
      </c>
      <c r="F50" s="419">
        <v>-321</v>
      </c>
      <c r="G50" s="419">
        <v>-8431</v>
      </c>
      <c r="H50" s="419">
        <v>-31043</v>
      </c>
      <c r="I50" s="419">
        <v>0</v>
      </c>
      <c r="J50" s="380">
        <v>4.6300000000000001E-5</v>
      </c>
      <c r="K50" s="380"/>
      <c r="L50" s="419">
        <v>11335</v>
      </c>
      <c r="M50" s="419">
        <v>7828</v>
      </c>
      <c r="N50" s="419">
        <v>3427</v>
      </c>
      <c r="O50" s="419">
        <v>0</v>
      </c>
      <c r="P50" s="419">
        <v>0</v>
      </c>
      <c r="Q50" s="380">
        <v>4.6300000000000001E-5</v>
      </c>
      <c r="R50" s="380"/>
      <c r="S50" s="419">
        <v>-23260</v>
      </c>
      <c r="T50" s="419">
        <v>-22990</v>
      </c>
      <c r="U50" s="419">
        <v>-24152</v>
      </c>
      <c r="V50" s="419">
        <v>-31043</v>
      </c>
      <c r="W50" s="419">
        <v>0</v>
      </c>
      <c r="X50" s="380">
        <v>4.6300000000000001E-5</v>
      </c>
      <c r="Z50" s="419">
        <v>18548</v>
      </c>
      <c r="AA50" s="419">
        <v>13031</v>
      </c>
      <c r="AB50" s="419">
        <v>13031</v>
      </c>
      <c r="AC50" s="419">
        <v>0</v>
      </c>
      <c r="AD50" s="419">
        <v>0</v>
      </c>
      <c r="AE50" s="380">
        <v>4.6300000000000001E-5</v>
      </c>
      <c r="AF50" s="380"/>
      <c r="AG50" s="419">
        <v>3921</v>
      </c>
      <c r="AH50" s="419">
        <v>2734</v>
      </c>
      <c r="AI50" s="419">
        <v>0</v>
      </c>
      <c r="AJ50" s="419">
        <v>0</v>
      </c>
      <c r="AK50" s="419">
        <v>0</v>
      </c>
      <c r="AL50" s="380">
        <v>4.6300000000000001E-5</v>
      </c>
      <c r="AM50" s="380"/>
      <c r="AN50" s="419">
        <v>-924</v>
      </c>
      <c r="AO50" s="419">
        <v>-924</v>
      </c>
      <c r="AP50" s="419">
        <v>-737</v>
      </c>
      <c r="AQ50" s="419">
        <v>0</v>
      </c>
      <c r="AR50" s="419">
        <v>0</v>
      </c>
    </row>
    <row r="51" spans="1:44">
      <c r="A51" s="379">
        <v>90611</v>
      </c>
      <c r="B51" t="s">
        <v>769</v>
      </c>
      <c r="C51" s="380">
        <v>1.429E-4</v>
      </c>
      <c r="D51" s="380"/>
      <c r="E51" s="419">
        <v>11818</v>
      </c>
      <c r="F51" s="419">
        <v>-13076</v>
      </c>
      <c r="G51" s="419">
        <v>-25695</v>
      </c>
      <c r="H51" s="419">
        <v>-95811</v>
      </c>
      <c r="I51" s="419">
        <v>0</v>
      </c>
      <c r="J51" s="380">
        <v>1.429E-4</v>
      </c>
      <c r="K51" s="380"/>
      <c r="L51" s="419">
        <v>34983</v>
      </c>
      <c r="M51" s="419">
        <v>24160</v>
      </c>
      <c r="N51" s="419">
        <v>10576</v>
      </c>
      <c r="O51" s="419">
        <v>0</v>
      </c>
      <c r="P51" s="419">
        <v>0</v>
      </c>
      <c r="Q51" s="380">
        <v>1.429E-4</v>
      </c>
      <c r="R51" s="380"/>
      <c r="S51" s="419">
        <v>-71788</v>
      </c>
      <c r="T51" s="419">
        <v>-70958</v>
      </c>
      <c r="U51" s="419">
        <v>-74544</v>
      </c>
      <c r="V51" s="419">
        <v>-95811</v>
      </c>
      <c r="W51" s="419">
        <v>0</v>
      </c>
      <c r="X51" s="380">
        <v>1.429E-4</v>
      </c>
      <c r="Z51" s="419">
        <v>57246</v>
      </c>
      <c r="AA51" s="419">
        <v>40218</v>
      </c>
      <c r="AB51" s="419">
        <v>40218</v>
      </c>
      <c r="AC51" s="419">
        <v>0</v>
      </c>
      <c r="AD51" s="419">
        <v>0</v>
      </c>
      <c r="AE51" s="380">
        <v>1.429E-4</v>
      </c>
      <c r="AF51" s="380"/>
      <c r="AG51" s="419">
        <v>1242</v>
      </c>
      <c r="AH51" s="419">
        <v>1244</v>
      </c>
      <c r="AI51" s="419">
        <v>0</v>
      </c>
      <c r="AJ51" s="419">
        <v>0</v>
      </c>
      <c r="AK51" s="419">
        <v>0</v>
      </c>
      <c r="AL51" s="380">
        <v>1.429E-4</v>
      </c>
      <c r="AM51" s="380"/>
      <c r="AN51" s="419">
        <v>-9865</v>
      </c>
      <c r="AO51" s="419">
        <v>-7740</v>
      </c>
      <c r="AP51" s="419">
        <v>-1945</v>
      </c>
      <c r="AQ51" s="419">
        <v>0</v>
      </c>
      <c r="AR51" s="419">
        <v>0</v>
      </c>
    </row>
    <row r="52" spans="1:44">
      <c r="A52" s="379">
        <v>90617</v>
      </c>
      <c r="B52" t="s">
        <v>770</v>
      </c>
      <c r="C52" s="380">
        <v>1.9599999999999999E-5</v>
      </c>
      <c r="D52" s="380"/>
      <c r="E52" s="419">
        <v>1194</v>
      </c>
      <c r="F52" s="419">
        <v>-3000</v>
      </c>
      <c r="G52" s="419">
        <v>-7396</v>
      </c>
      <c r="H52" s="419">
        <v>-13141</v>
      </c>
      <c r="I52" s="419">
        <v>0</v>
      </c>
      <c r="J52" s="380">
        <v>1.9599999999999999E-5</v>
      </c>
      <c r="K52" s="380"/>
      <c r="L52" s="419">
        <v>4798</v>
      </c>
      <c r="M52" s="419">
        <v>3314</v>
      </c>
      <c r="N52" s="419">
        <v>1451</v>
      </c>
      <c r="O52" s="419">
        <v>0</v>
      </c>
      <c r="P52" s="419">
        <v>0</v>
      </c>
      <c r="Q52" s="380">
        <v>1.9599999999999999E-5</v>
      </c>
      <c r="R52" s="380"/>
      <c r="S52" s="419">
        <v>-9846</v>
      </c>
      <c r="T52" s="419">
        <v>-9732</v>
      </c>
      <c r="U52" s="419">
        <v>-10224</v>
      </c>
      <c r="V52" s="419">
        <v>-13141</v>
      </c>
      <c r="W52" s="419">
        <v>0</v>
      </c>
      <c r="X52" s="380">
        <v>1.9599999999999999E-5</v>
      </c>
      <c r="Z52" s="419">
        <v>7852</v>
      </c>
      <c r="AA52" s="419">
        <v>5516</v>
      </c>
      <c r="AB52" s="419">
        <v>5516</v>
      </c>
      <c r="AC52" s="419">
        <v>0</v>
      </c>
      <c r="AD52" s="419">
        <v>0</v>
      </c>
      <c r="AE52" s="380">
        <v>1.9599999999999999E-5</v>
      </c>
      <c r="AF52" s="380"/>
      <c r="AG52" s="419">
        <v>2528</v>
      </c>
      <c r="AH52" s="419">
        <v>2040</v>
      </c>
      <c r="AI52" s="419">
        <v>0</v>
      </c>
      <c r="AJ52" s="419">
        <v>0</v>
      </c>
      <c r="AK52" s="419">
        <v>0</v>
      </c>
      <c r="AL52" s="380">
        <v>1.9599999999999999E-5</v>
      </c>
      <c r="AM52" s="380"/>
      <c r="AN52" s="419">
        <v>-4138</v>
      </c>
      <c r="AO52" s="419">
        <v>-4138</v>
      </c>
      <c r="AP52" s="419">
        <v>-4139</v>
      </c>
      <c r="AQ52" s="419">
        <v>0</v>
      </c>
      <c r="AR52" s="419">
        <v>0</v>
      </c>
    </row>
    <row r="53" spans="1:44">
      <c r="A53" s="379">
        <v>90621</v>
      </c>
      <c r="B53" t="s">
        <v>771</v>
      </c>
      <c r="C53" s="380">
        <v>5.4299999999999998E-5</v>
      </c>
      <c r="D53" s="380"/>
      <c r="E53" s="419">
        <v>625</v>
      </c>
      <c r="F53" s="419">
        <v>-8954</v>
      </c>
      <c r="G53" s="419">
        <v>-15858</v>
      </c>
      <c r="H53" s="419">
        <v>-36407</v>
      </c>
      <c r="I53" s="419">
        <v>0</v>
      </c>
      <c r="J53" s="380">
        <v>5.4299999999999998E-5</v>
      </c>
      <c r="K53" s="380"/>
      <c r="L53" s="419">
        <v>13293</v>
      </c>
      <c r="M53" s="419">
        <v>9181</v>
      </c>
      <c r="N53" s="419">
        <v>4019</v>
      </c>
      <c r="O53" s="419">
        <v>0</v>
      </c>
      <c r="P53" s="419">
        <v>0</v>
      </c>
      <c r="Q53" s="380">
        <v>5.4299999999999998E-5</v>
      </c>
      <c r="R53" s="380"/>
      <c r="S53" s="419">
        <v>-27279</v>
      </c>
      <c r="T53" s="419">
        <v>-26963</v>
      </c>
      <c r="U53" s="419">
        <v>-28326</v>
      </c>
      <c r="V53" s="419">
        <v>-36407</v>
      </c>
      <c r="W53" s="419">
        <v>0</v>
      </c>
      <c r="X53" s="380">
        <v>5.4299999999999998E-5</v>
      </c>
      <c r="Z53" s="419">
        <v>21753</v>
      </c>
      <c r="AA53" s="419">
        <v>15282</v>
      </c>
      <c r="AB53" s="419">
        <v>15282</v>
      </c>
      <c r="AC53" s="419">
        <v>0</v>
      </c>
      <c r="AD53" s="419">
        <v>0</v>
      </c>
      <c r="AE53" s="380">
        <v>5.4299999999999998E-5</v>
      </c>
      <c r="AF53" s="380"/>
      <c r="AG53" s="419">
        <v>552</v>
      </c>
      <c r="AH53" s="419">
        <v>552</v>
      </c>
      <c r="AI53" s="419">
        <v>0</v>
      </c>
      <c r="AJ53" s="419">
        <v>0</v>
      </c>
      <c r="AK53" s="419">
        <v>0</v>
      </c>
      <c r="AL53" s="380">
        <v>5.4299999999999998E-5</v>
      </c>
      <c r="AM53" s="380"/>
      <c r="AN53" s="419">
        <v>-7694</v>
      </c>
      <c r="AO53" s="419">
        <v>-7006</v>
      </c>
      <c r="AP53" s="419">
        <v>-6833</v>
      </c>
      <c r="AQ53" s="419">
        <v>0</v>
      </c>
      <c r="AR53" s="419">
        <v>0</v>
      </c>
    </row>
    <row r="54" spans="1:44">
      <c r="A54" s="379">
        <v>90631</v>
      </c>
      <c r="B54" t="s">
        <v>772</v>
      </c>
      <c r="C54" s="380">
        <v>3.9360000000000003E-4</v>
      </c>
      <c r="D54" s="380"/>
      <c r="E54" s="419">
        <v>74271</v>
      </c>
      <c r="F54" s="419">
        <v>3903</v>
      </c>
      <c r="G54" s="419">
        <v>-46612</v>
      </c>
      <c r="H54" s="419">
        <v>-263899</v>
      </c>
      <c r="I54" s="419">
        <v>0</v>
      </c>
      <c r="J54" s="380">
        <v>3.9360000000000003E-4</v>
      </c>
      <c r="K54" s="380"/>
      <c r="L54" s="419">
        <v>96356</v>
      </c>
      <c r="M54" s="419">
        <v>66547</v>
      </c>
      <c r="N54" s="419">
        <v>29131</v>
      </c>
      <c r="O54" s="419">
        <v>0</v>
      </c>
      <c r="P54" s="419">
        <v>0</v>
      </c>
      <c r="Q54" s="380">
        <v>3.9360000000000003E-4</v>
      </c>
      <c r="R54" s="380"/>
      <c r="S54" s="419">
        <v>-197732</v>
      </c>
      <c r="T54" s="419">
        <v>-195444</v>
      </c>
      <c r="U54" s="419">
        <v>-205322</v>
      </c>
      <c r="V54" s="419">
        <v>-263899</v>
      </c>
      <c r="W54" s="419">
        <v>0</v>
      </c>
      <c r="X54" s="380">
        <v>3.9360000000000003E-4</v>
      </c>
      <c r="Z54" s="419">
        <v>157677</v>
      </c>
      <c r="AA54" s="419">
        <v>110777</v>
      </c>
      <c r="AB54" s="419">
        <v>110776</v>
      </c>
      <c r="AC54" s="419">
        <v>0</v>
      </c>
      <c r="AD54" s="419">
        <v>0</v>
      </c>
      <c r="AE54" s="380">
        <v>3.9360000000000003E-4</v>
      </c>
      <c r="AF54" s="380"/>
      <c r="AG54" s="419">
        <v>22026</v>
      </c>
      <c r="AH54" s="419">
        <v>22023</v>
      </c>
      <c r="AI54" s="419">
        <v>18803</v>
      </c>
      <c r="AJ54" s="419">
        <v>0</v>
      </c>
      <c r="AK54" s="419">
        <v>0</v>
      </c>
      <c r="AL54" s="380">
        <v>3.9360000000000003E-4</v>
      </c>
      <c r="AM54" s="380"/>
      <c r="AN54" s="419">
        <v>-4056</v>
      </c>
      <c r="AO54" s="419">
        <v>0</v>
      </c>
      <c r="AP54" s="419">
        <v>0</v>
      </c>
      <c r="AQ54" s="419">
        <v>0</v>
      </c>
      <c r="AR54" s="419">
        <v>0</v>
      </c>
    </row>
    <row r="55" spans="1:44">
      <c r="A55" s="379">
        <v>90641</v>
      </c>
      <c r="B55" t="s">
        <v>773</v>
      </c>
      <c r="C55" s="380">
        <v>1.04E-5</v>
      </c>
      <c r="D55" s="380"/>
      <c r="E55" s="419">
        <v>1444</v>
      </c>
      <c r="F55" s="419">
        <v>-542</v>
      </c>
      <c r="G55" s="419">
        <v>-1717</v>
      </c>
      <c r="H55" s="419">
        <v>-6973</v>
      </c>
      <c r="I55" s="419">
        <v>0</v>
      </c>
      <c r="J55" s="380">
        <v>1.04E-5</v>
      </c>
      <c r="K55" s="380"/>
      <c r="L55" s="419">
        <v>2546</v>
      </c>
      <c r="M55" s="419">
        <v>1758</v>
      </c>
      <c r="N55" s="419">
        <v>770</v>
      </c>
      <c r="O55" s="419">
        <v>0</v>
      </c>
      <c r="P55" s="419">
        <v>0</v>
      </c>
      <c r="Q55" s="380">
        <v>1.04E-5</v>
      </c>
      <c r="R55" s="380"/>
      <c r="S55" s="419">
        <v>-5225</v>
      </c>
      <c r="T55" s="419">
        <v>-5164</v>
      </c>
      <c r="U55" s="419">
        <v>-5425</v>
      </c>
      <c r="V55" s="419">
        <v>-6973</v>
      </c>
      <c r="W55" s="419">
        <v>0</v>
      </c>
      <c r="X55" s="380">
        <v>1.04E-5</v>
      </c>
      <c r="Z55" s="419">
        <v>4166</v>
      </c>
      <c r="AA55" s="419">
        <v>2927</v>
      </c>
      <c r="AB55" s="419">
        <v>2927</v>
      </c>
      <c r="AC55" s="419">
        <v>0</v>
      </c>
      <c r="AD55" s="419">
        <v>0</v>
      </c>
      <c r="AE55" s="380">
        <v>1.04E-5</v>
      </c>
      <c r="AF55" s="380"/>
      <c r="AG55" s="419">
        <v>62</v>
      </c>
      <c r="AH55" s="419">
        <v>40</v>
      </c>
      <c r="AI55" s="419">
        <v>11</v>
      </c>
      <c r="AJ55" s="419">
        <v>0</v>
      </c>
      <c r="AK55" s="419">
        <v>0</v>
      </c>
      <c r="AL55" s="380">
        <v>1.04E-5</v>
      </c>
      <c r="AM55" s="380"/>
      <c r="AN55" s="419">
        <v>-105</v>
      </c>
      <c r="AO55" s="419">
        <v>-103</v>
      </c>
      <c r="AP55" s="419">
        <v>0</v>
      </c>
      <c r="AQ55" s="419">
        <v>0</v>
      </c>
      <c r="AR55" s="419">
        <v>0</v>
      </c>
    </row>
    <row r="56" spans="1:44">
      <c r="A56" s="379">
        <v>90651</v>
      </c>
      <c r="B56" t="s">
        <v>774</v>
      </c>
      <c r="C56" s="380">
        <v>8.9300000000000002E-5</v>
      </c>
      <c r="D56" s="380"/>
      <c r="E56" s="419">
        <v>48721</v>
      </c>
      <c r="F56" s="419">
        <v>20575</v>
      </c>
      <c r="G56" s="419">
        <v>43</v>
      </c>
      <c r="H56" s="419">
        <v>-59873</v>
      </c>
      <c r="I56" s="419">
        <v>0</v>
      </c>
      <c r="J56" s="380">
        <v>8.9300000000000002E-5</v>
      </c>
      <c r="K56" s="380"/>
      <c r="L56" s="419">
        <v>21861</v>
      </c>
      <c r="M56" s="419">
        <v>15098</v>
      </c>
      <c r="N56" s="419">
        <v>6609</v>
      </c>
      <c r="O56" s="419">
        <v>0</v>
      </c>
      <c r="P56" s="419">
        <v>0</v>
      </c>
      <c r="Q56" s="380">
        <v>8.9300000000000002E-5</v>
      </c>
      <c r="R56" s="380"/>
      <c r="S56" s="419">
        <v>-44861</v>
      </c>
      <c r="T56" s="419">
        <v>-44342</v>
      </c>
      <c r="U56" s="419">
        <v>-46583</v>
      </c>
      <c r="V56" s="419">
        <v>-59873</v>
      </c>
      <c r="W56" s="419">
        <v>0</v>
      </c>
      <c r="X56" s="380">
        <v>8.9300000000000002E-5</v>
      </c>
      <c r="Z56" s="419">
        <v>35774</v>
      </c>
      <c r="AA56" s="419">
        <v>25133</v>
      </c>
      <c r="AB56" s="419">
        <v>25133</v>
      </c>
      <c r="AC56" s="419">
        <v>0</v>
      </c>
      <c r="AD56" s="419">
        <v>0</v>
      </c>
      <c r="AE56" s="380">
        <v>8.9300000000000002E-5</v>
      </c>
      <c r="AF56" s="380"/>
      <c r="AG56" s="419">
        <v>36731</v>
      </c>
      <c r="AH56" s="419">
        <v>25468</v>
      </c>
      <c r="AI56" s="419">
        <v>14884</v>
      </c>
      <c r="AJ56" s="419">
        <v>0</v>
      </c>
      <c r="AK56" s="419">
        <v>0</v>
      </c>
      <c r="AL56" s="380">
        <v>8.9300000000000002E-5</v>
      </c>
      <c r="AM56" s="380"/>
      <c r="AN56" s="419">
        <v>-784</v>
      </c>
      <c r="AO56" s="419">
        <v>-782</v>
      </c>
      <c r="AP56" s="419">
        <v>0</v>
      </c>
      <c r="AQ56" s="419">
        <v>0</v>
      </c>
      <c r="AR56" s="419">
        <v>0</v>
      </c>
    </row>
    <row r="57" spans="1:44">
      <c r="A57" s="379">
        <v>90701</v>
      </c>
      <c r="B57" t="s">
        <v>1937</v>
      </c>
      <c r="C57" s="380">
        <v>2.5387999999999999E-3</v>
      </c>
      <c r="D57" s="380"/>
      <c r="E57" s="419">
        <v>250267</v>
      </c>
      <c r="F57" s="419">
        <v>-207159</v>
      </c>
      <c r="G57" s="419">
        <v>-417223</v>
      </c>
      <c r="H57" s="419">
        <v>-1702199</v>
      </c>
      <c r="I57" s="419">
        <v>0</v>
      </c>
      <c r="J57" s="380">
        <v>2.5387999999999999E-3</v>
      </c>
      <c r="K57" s="380"/>
      <c r="L57" s="419">
        <v>621519</v>
      </c>
      <c r="M57" s="419">
        <v>429240</v>
      </c>
      <c r="N57" s="419">
        <v>187902</v>
      </c>
      <c r="O57" s="419">
        <v>0</v>
      </c>
      <c r="P57" s="419">
        <v>0</v>
      </c>
      <c r="Q57" s="380">
        <v>2.5387999999999999E-3</v>
      </c>
      <c r="R57" s="380"/>
      <c r="S57" s="419">
        <v>-1275412</v>
      </c>
      <c r="T57" s="419">
        <v>-1260654</v>
      </c>
      <c r="U57" s="419">
        <v>-1324368</v>
      </c>
      <c r="V57" s="419">
        <v>-1702199</v>
      </c>
      <c r="W57" s="419">
        <v>0</v>
      </c>
      <c r="X57" s="380">
        <v>2.5387999999999999E-3</v>
      </c>
      <c r="Z57" s="419">
        <v>1017048</v>
      </c>
      <c r="AA57" s="419">
        <v>714533</v>
      </c>
      <c r="AB57" s="419">
        <v>714527</v>
      </c>
      <c r="AC57" s="419">
        <v>0</v>
      </c>
      <c r="AD57" s="419">
        <v>0</v>
      </c>
      <c r="AE57" s="380">
        <v>2.5387999999999999E-3</v>
      </c>
      <c r="AF57" s="380"/>
      <c r="AG57" s="419">
        <v>4715</v>
      </c>
      <c r="AH57" s="419">
        <v>4715</v>
      </c>
      <c r="AI57" s="419">
        <v>4716</v>
      </c>
      <c r="AJ57" s="419">
        <v>0</v>
      </c>
      <c r="AK57" s="419">
        <v>0</v>
      </c>
      <c r="AL57" s="380">
        <v>2.5387999999999999E-3</v>
      </c>
      <c r="AM57" s="380"/>
      <c r="AN57" s="419">
        <v>-117603</v>
      </c>
      <c r="AO57" s="419">
        <v>-94993</v>
      </c>
      <c r="AP57" s="419">
        <v>0</v>
      </c>
      <c r="AQ57" s="419">
        <v>0</v>
      </c>
      <c r="AR57" s="419">
        <v>0</v>
      </c>
    </row>
    <row r="58" spans="1:44">
      <c r="A58" s="379">
        <v>90704</v>
      </c>
      <c r="B58" t="s">
        <v>776</v>
      </c>
      <c r="C58" s="380">
        <v>6.97E-5</v>
      </c>
      <c r="D58" s="380"/>
      <c r="E58" s="419">
        <v>34890</v>
      </c>
      <c r="F58" s="419">
        <v>19496</v>
      </c>
      <c r="G58" s="419">
        <v>5146</v>
      </c>
      <c r="H58" s="419">
        <v>-46732</v>
      </c>
      <c r="I58" s="419">
        <v>0</v>
      </c>
      <c r="J58" s="380">
        <v>6.97E-5</v>
      </c>
      <c r="K58" s="380"/>
      <c r="L58" s="419">
        <v>17063</v>
      </c>
      <c r="M58" s="419">
        <v>11784</v>
      </c>
      <c r="N58" s="419">
        <v>5159</v>
      </c>
      <c r="O58" s="419">
        <v>0</v>
      </c>
      <c r="P58" s="419">
        <v>0</v>
      </c>
      <c r="Q58" s="380">
        <v>6.97E-5</v>
      </c>
      <c r="R58" s="380"/>
      <c r="S58" s="419">
        <v>-35015</v>
      </c>
      <c r="T58" s="419">
        <v>-34610</v>
      </c>
      <c r="U58" s="419">
        <v>-36359</v>
      </c>
      <c r="V58" s="419">
        <v>-46732</v>
      </c>
      <c r="W58" s="419">
        <v>0</v>
      </c>
      <c r="X58" s="380">
        <v>6.97E-5</v>
      </c>
      <c r="Z58" s="419">
        <v>27922</v>
      </c>
      <c r="AA58" s="419">
        <v>19617</v>
      </c>
      <c r="AB58" s="419">
        <v>19617</v>
      </c>
      <c r="AC58" s="419">
        <v>0</v>
      </c>
      <c r="AD58" s="419">
        <v>0</v>
      </c>
      <c r="AE58" s="380">
        <v>6.97E-5</v>
      </c>
      <c r="AF58" s="380"/>
      <c r="AG58" s="419">
        <v>24920</v>
      </c>
      <c r="AH58" s="419">
        <v>22705</v>
      </c>
      <c r="AI58" s="419">
        <v>16729</v>
      </c>
      <c r="AJ58" s="419">
        <v>0</v>
      </c>
      <c r="AK58" s="419">
        <v>0</v>
      </c>
      <c r="AL58" s="380">
        <v>6.97E-5</v>
      </c>
      <c r="AM58" s="380"/>
      <c r="AN58" s="419">
        <v>0</v>
      </c>
      <c r="AO58" s="419">
        <v>0</v>
      </c>
      <c r="AP58" s="419">
        <v>0</v>
      </c>
      <c r="AQ58" s="419">
        <v>0</v>
      </c>
      <c r="AR58" s="419">
        <v>0</v>
      </c>
    </row>
    <row r="59" spans="1:44">
      <c r="A59" s="379">
        <v>90705</v>
      </c>
      <c r="B59" t="s">
        <v>777</v>
      </c>
      <c r="C59" s="380">
        <v>4.1E-5</v>
      </c>
      <c r="D59" s="380"/>
      <c r="E59" s="419">
        <v>9676</v>
      </c>
      <c r="F59" s="419">
        <v>3785</v>
      </c>
      <c r="G59" s="419">
        <v>-2005</v>
      </c>
      <c r="H59" s="419">
        <v>-27489</v>
      </c>
      <c r="I59" s="419">
        <v>0</v>
      </c>
      <c r="J59" s="380">
        <v>4.1E-5</v>
      </c>
      <c r="K59" s="380"/>
      <c r="L59" s="419">
        <v>10037</v>
      </c>
      <c r="M59" s="419">
        <v>6932</v>
      </c>
      <c r="N59" s="419">
        <v>3034</v>
      </c>
      <c r="O59" s="419">
        <v>0</v>
      </c>
      <c r="P59" s="419">
        <v>0</v>
      </c>
      <c r="Q59" s="380">
        <v>4.1E-5</v>
      </c>
      <c r="R59" s="380"/>
      <c r="S59" s="419">
        <v>-20597</v>
      </c>
      <c r="T59" s="419">
        <v>-20359</v>
      </c>
      <c r="U59" s="419">
        <v>-21388</v>
      </c>
      <c r="V59" s="419">
        <v>-27489</v>
      </c>
      <c r="W59" s="419">
        <v>0</v>
      </c>
      <c r="X59" s="380">
        <v>4.1E-5</v>
      </c>
      <c r="Z59" s="419">
        <v>16425</v>
      </c>
      <c r="AA59" s="419">
        <v>11539</v>
      </c>
      <c r="AB59" s="419">
        <v>11539</v>
      </c>
      <c r="AC59" s="419">
        <v>0</v>
      </c>
      <c r="AD59" s="419">
        <v>0</v>
      </c>
      <c r="AE59" s="380">
        <v>4.1E-5</v>
      </c>
      <c r="AF59" s="380"/>
      <c r="AG59" s="419">
        <v>6779</v>
      </c>
      <c r="AH59" s="419">
        <v>6781</v>
      </c>
      <c r="AI59" s="419">
        <v>4810</v>
      </c>
      <c r="AJ59" s="419">
        <v>0</v>
      </c>
      <c r="AK59" s="419">
        <v>0</v>
      </c>
      <c r="AL59" s="380">
        <v>4.1E-5</v>
      </c>
      <c r="AM59" s="380"/>
      <c r="AN59" s="419">
        <v>-2968</v>
      </c>
      <c r="AO59" s="419">
        <v>-1108</v>
      </c>
      <c r="AP59" s="419">
        <v>0</v>
      </c>
      <c r="AQ59" s="419">
        <v>0</v>
      </c>
      <c r="AR59" s="419">
        <v>0</v>
      </c>
    </row>
    <row r="60" spans="1:44">
      <c r="A60" s="379">
        <v>90709</v>
      </c>
      <c r="B60" t="s">
        <v>778</v>
      </c>
      <c r="C60" s="380">
        <v>1.416E-4</v>
      </c>
      <c r="D60" s="380"/>
      <c r="E60" s="419">
        <v>29804</v>
      </c>
      <c r="F60" s="419">
        <v>-6737</v>
      </c>
      <c r="G60" s="419">
        <v>-20384</v>
      </c>
      <c r="H60" s="419">
        <v>-94939</v>
      </c>
      <c r="I60" s="419">
        <v>0</v>
      </c>
      <c r="J60" s="380">
        <v>1.416E-4</v>
      </c>
      <c r="K60" s="380"/>
      <c r="L60" s="419">
        <v>34665</v>
      </c>
      <c r="M60" s="419">
        <v>23941</v>
      </c>
      <c r="N60" s="419">
        <v>10480</v>
      </c>
      <c r="O60" s="419">
        <v>0</v>
      </c>
      <c r="P60" s="419">
        <v>0</v>
      </c>
      <c r="Q60" s="380">
        <v>1.416E-4</v>
      </c>
      <c r="R60" s="380"/>
      <c r="S60" s="419">
        <v>-71135</v>
      </c>
      <c r="T60" s="419">
        <v>-70312</v>
      </c>
      <c r="U60" s="419">
        <v>-73866</v>
      </c>
      <c r="V60" s="419">
        <v>-94939</v>
      </c>
      <c r="W60" s="419">
        <v>0</v>
      </c>
      <c r="X60" s="380">
        <v>1.416E-4</v>
      </c>
      <c r="Z60" s="419">
        <v>56725</v>
      </c>
      <c r="AA60" s="419">
        <v>39853</v>
      </c>
      <c r="AB60" s="419">
        <v>39852</v>
      </c>
      <c r="AC60" s="419">
        <v>0</v>
      </c>
      <c r="AD60" s="419">
        <v>0</v>
      </c>
      <c r="AE60" s="380">
        <v>1.416E-4</v>
      </c>
      <c r="AF60" s="380"/>
      <c r="AG60" s="419">
        <v>13217</v>
      </c>
      <c r="AH60" s="419">
        <v>3449</v>
      </c>
      <c r="AI60" s="419">
        <v>3150</v>
      </c>
      <c r="AJ60" s="419">
        <v>0</v>
      </c>
      <c r="AK60" s="419">
        <v>0</v>
      </c>
      <c r="AL60" s="380">
        <v>1.416E-4</v>
      </c>
      <c r="AM60" s="380"/>
      <c r="AN60" s="419">
        <v>-3668</v>
      </c>
      <c r="AO60" s="419">
        <v>-3668</v>
      </c>
      <c r="AP60" s="419">
        <v>0</v>
      </c>
      <c r="AQ60" s="419">
        <v>0</v>
      </c>
      <c r="AR60" s="419">
        <v>0</v>
      </c>
    </row>
    <row r="61" spans="1:44">
      <c r="A61" s="379">
        <v>90711</v>
      </c>
      <c r="B61" t="s">
        <v>779</v>
      </c>
      <c r="C61" s="380">
        <v>1.5356E-3</v>
      </c>
      <c r="D61" s="380"/>
      <c r="E61" s="419">
        <v>178486</v>
      </c>
      <c r="F61" s="419">
        <v>-96785</v>
      </c>
      <c r="G61" s="419">
        <v>-280152</v>
      </c>
      <c r="H61" s="419">
        <v>-1029580</v>
      </c>
      <c r="I61" s="419">
        <v>0</v>
      </c>
      <c r="J61" s="380">
        <v>1.5356E-3</v>
      </c>
      <c r="K61" s="380"/>
      <c r="L61" s="419">
        <v>375927</v>
      </c>
      <c r="M61" s="419">
        <v>259627</v>
      </c>
      <c r="N61" s="419">
        <v>113653</v>
      </c>
      <c r="O61" s="419">
        <v>0</v>
      </c>
      <c r="P61" s="419">
        <v>0</v>
      </c>
      <c r="Q61" s="380">
        <v>1.5356E-3</v>
      </c>
      <c r="R61" s="380"/>
      <c r="S61" s="419">
        <v>-771436</v>
      </c>
      <c r="T61" s="419">
        <v>-762510</v>
      </c>
      <c r="U61" s="419">
        <v>-801047</v>
      </c>
      <c r="V61" s="419">
        <v>-1029580</v>
      </c>
      <c r="W61" s="419">
        <v>0</v>
      </c>
      <c r="X61" s="380">
        <v>1.5356E-3</v>
      </c>
      <c r="Z61" s="419">
        <v>615164</v>
      </c>
      <c r="AA61" s="419">
        <v>432187</v>
      </c>
      <c r="AB61" s="419">
        <v>432184</v>
      </c>
      <c r="AC61" s="419">
        <v>0</v>
      </c>
      <c r="AD61" s="419">
        <v>0</v>
      </c>
      <c r="AE61" s="380">
        <v>1.5356E-3</v>
      </c>
      <c r="AF61" s="380"/>
      <c r="AG61" s="419">
        <v>12880</v>
      </c>
      <c r="AH61" s="419">
        <v>12880</v>
      </c>
      <c r="AI61" s="419">
        <v>0</v>
      </c>
      <c r="AJ61" s="419">
        <v>0</v>
      </c>
      <c r="AK61" s="419">
        <v>0</v>
      </c>
      <c r="AL61" s="380">
        <v>1.5356E-3</v>
      </c>
      <c r="AM61" s="380"/>
      <c r="AN61" s="419">
        <v>-54049</v>
      </c>
      <c r="AO61" s="419">
        <v>-38969</v>
      </c>
      <c r="AP61" s="419">
        <v>-24942</v>
      </c>
      <c r="AQ61" s="419">
        <v>0</v>
      </c>
      <c r="AR61" s="419">
        <v>0</v>
      </c>
    </row>
    <row r="62" spans="1:44">
      <c r="A62" s="379">
        <v>90721</v>
      </c>
      <c r="B62" t="s">
        <v>780</v>
      </c>
      <c r="C62" s="380">
        <v>2.27E-5</v>
      </c>
      <c r="D62" s="380"/>
      <c r="E62" s="419">
        <v>5409</v>
      </c>
      <c r="F62" s="419">
        <v>1065</v>
      </c>
      <c r="G62" s="419">
        <v>-1814</v>
      </c>
      <c r="H62" s="419">
        <v>-15220</v>
      </c>
      <c r="I62" s="419">
        <v>0</v>
      </c>
      <c r="J62" s="380">
        <v>2.27E-5</v>
      </c>
      <c r="K62" s="380"/>
      <c r="L62" s="419">
        <v>5557</v>
      </c>
      <c r="M62" s="419">
        <v>3838</v>
      </c>
      <c r="N62" s="419">
        <v>1680</v>
      </c>
      <c r="O62" s="419">
        <v>0</v>
      </c>
      <c r="P62" s="419">
        <v>0</v>
      </c>
      <c r="Q62" s="380">
        <v>2.27E-5</v>
      </c>
      <c r="R62" s="380"/>
      <c r="S62" s="419">
        <v>-11404</v>
      </c>
      <c r="T62" s="419">
        <v>-11272</v>
      </c>
      <c r="U62" s="419">
        <v>-11841</v>
      </c>
      <c r="V62" s="419">
        <v>-15220</v>
      </c>
      <c r="W62" s="419">
        <v>0</v>
      </c>
      <c r="X62" s="380">
        <v>2.27E-5</v>
      </c>
      <c r="Z62" s="419">
        <v>9094</v>
      </c>
      <c r="AA62" s="419">
        <v>6389</v>
      </c>
      <c r="AB62" s="419">
        <v>6389</v>
      </c>
      <c r="AC62" s="419">
        <v>0</v>
      </c>
      <c r="AD62" s="419">
        <v>0</v>
      </c>
      <c r="AE62" s="380">
        <v>2.27E-5</v>
      </c>
      <c r="AF62" s="380"/>
      <c r="AG62" s="419">
        <v>3207</v>
      </c>
      <c r="AH62" s="419">
        <v>3156</v>
      </c>
      <c r="AI62" s="419">
        <v>1958</v>
      </c>
      <c r="AJ62" s="419">
        <v>0</v>
      </c>
      <c r="AK62" s="419">
        <v>0</v>
      </c>
      <c r="AL62" s="380">
        <v>2.27E-5</v>
      </c>
      <c r="AM62" s="380"/>
      <c r="AN62" s="419">
        <v>-1045</v>
      </c>
      <c r="AO62" s="419">
        <v>-1046</v>
      </c>
      <c r="AP62" s="419">
        <v>0</v>
      </c>
      <c r="AQ62" s="419">
        <v>0</v>
      </c>
      <c r="AR62" s="419">
        <v>0</v>
      </c>
    </row>
    <row r="63" spans="1:44">
      <c r="A63" s="379">
        <v>90731</v>
      </c>
      <c r="B63" t="s">
        <v>781</v>
      </c>
      <c r="C63" s="380">
        <v>1.3540000000000001E-4</v>
      </c>
      <c r="D63" s="380"/>
      <c r="E63" s="419">
        <v>16897</v>
      </c>
      <c r="F63" s="419">
        <v>-5467</v>
      </c>
      <c r="G63" s="419">
        <v>-29130</v>
      </c>
      <c r="H63" s="419">
        <v>-90782</v>
      </c>
      <c r="I63" s="419">
        <v>0</v>
      </c>
      <c r="J63" s="380">
        <v>1.3540000000000001E-4</v>
      </c>
      <c r="K63" s="380"/>
      <c r="L63" s="419">
        <v>33147</v>
      </c>
      <c r="M63" s="419">
        <v>22892</v>
      </c>
      <c r="N63" s="419">
        <v>10021</v>
      </c>
      <c r="O63" s="419">
        <v>0</v>
      </c>
      <c r="P63" s="419">
        <v>0</v>
      </c>
      <c r="Q63" s="380">
        <v>1.3540000000000001E-4</v>
      </c>
      <c r="R63" s="380"/>
      <c r="S63" s="419">
        <v>-68021</v>
      </c>
      <c r="T63" s="419">
        <v>-67234</v>
      </c>
      <c r="U63" s="419">
        <v>-70632</v>
      </c>
      <c r="V63" s="419">
        <v>-90782</v>
      </c>
      <c r="W63" s="419">
        <v>0</v>
      </c>
      <c r="X63" s="380">
        <v>1.3540000000000001E-4</v>
      </c>
      <c r="Z63" s="419">
        <v>54242</v>
      </c>
      <c r="AA63" s="419">
        <v>38108</v>
      </c>
      <c r="AB63" s="419">
        <v>38107</v>
      </c>
      <c r="AC63" s="419">
        <v>0</v>
      </c>
      <c r="AD63" s="419">
        <v>0</v>
      </c>
      <c r="AE63" s="380">
        <v>1.3540000000000001E-4</v>
      </c>
      <c r="AF63" s="380"/>
      <c r="AG63" s="419">
        <v>7574</v>
      </c>
      <c r="AH63" s="419">
        <v>7575</v>
      </c>
      <c r="AI63" s="419">
        <v>0</v>
      </c>
      <c r="AJ63" s="419">
        <v>0</v>
      </c>
      <c r="AK63" s="419">
        <v>0</v>
      </c>
      <c r="AL63" s="380">
        <v>1.3540000000000001E-4</v>
      </c>
      <c r="AM63" s="380"/>
      <c r="AN63" s="419">
        <v>-10045</v>
      </c>
      <c r="AO63" s="419">
        <v>-6808</v>
      </c>
      <c r="AP63" s="419">
        <v>-6626</v>
      </c>
      <c r="AQ63" s="419">
        <v>0</v>
      </c>
      <c r="AR63" s="419">
        <v>0</v>
      </c>
    </row>
    <row r="64" spans="1:44">
      <c r="A64" s="379">
        <v>90741</v>
      </c>
      <c r="B64" t="s">
        <v>782</v>
      </c>
      <c r="C64" s="380">
        <v>1.3200000000000001E-5</v>
      </c>
      <c r="D64" s="380"/>
      <c r="E64" s="419">
        <v>2756</v>
      </c>
      <c r="F64" s="419">
        <v>-743</v>
      </c>
      <c r="G64" s="419">
        <v>-2036</v>
      </c>
      <c r="H64" s="419">
        <v>-8850</v>
      </c>
      <c r="I64" s="419">
        <v>0</v>
      </c>
      <c r="J64" s="380">
        <v>1.3200000000000001E-5</v>
      </c>
      <c r="K64" s="380"/>
      <c r="L64" s="419">
        <v>3231</v>
      </c>
      <c r="M64" s="419">
        <v>2232</v>
      </c>
      <c r="N64" s="419">
        <v>977</v>
      </c>
      <c r="O64" s="419">
        <v>0</v>
      </c>
      <c r="P64" s="419">
        <v>0</v>
      </c>
      <c r="Q64" s="380">
        <v>1.3200000000000001E-5</v>
      </c>
      <c r="R64" s="380"/>
      <c r="S64" s="419">
        <v>-6631</v>
      </c>
      <c r="T64" s="419">
        <v>-6555</v>
      </c>
      <c r="U64" s="419">
        <v>-6886</v>
      </c>
      <c r="V64" s="419">
        <v>-8850</v>
      </c>
      <c r="W64" s="419">
        <v>0</v>
      </c>
      <c r="X64" s="380">
        <v>1.3200000000000001E-5</v>
      </c>
      <c r="Z64" s="419">
        <v>5288</v>
      </c>
      <c r="AA64" s="419">
        <v>3715</v>
      </c>
      <c r="AB64" s="419">
        <v>3715</v>
      </c>
      <c r="AC64" s="419">
        <v>0</v>
      </c>
      <c r="AD64" s="419">
        <v>0</v>
      </c>
      <c r="AE64" s="380">
        <v>1.3200000000000001E-5</v>
      </c>
      <c r="AF64" s="380"/>
      <c r="AG64" s="419">
        <v>1162</v>
      </c>
      <c r="AH64" s="419">
        <v>160</v>
      </c>
      <c r="AI64" s="419">
        <v>158</v>
      </c>
      <c r="AJ64" s="419">
        <v>0</v>
      </c>
      <c r="AK64" s="419">
        <v>0</v>
      </c>
      <c r="AL64" s="380">
        <v>1.3200000000000001E-5</v>
      </c>
      <c r="AM64" s="380"/>
      <c r="AN64" s="419">
        <v>-294</v>
      </c>
      <c r="AO64" s="419">
        <v>-295</v>
      </c>
      <c r="AP64" s="419">
        <v>0</v>
      </c>
      <c r="AQ64" s="419">
        <v>0</v>
      </c>
      <c r="AR64" s="419">
        <v>0</v>
      </c>
    </row>
    <row r="65" spans="1:44">
      <c r="A65" s="379">
        <v>90751</v>
      </c>
      <c r="B65" t="s">
        <v>783</v>
      </c>
      <c r="C65" s="380">
        <v>6.1199999999999997E-5</v>
      </c>
      <c r="D65" s="380"/>
      <c r="E65" s="419">
        <v>5369</v>
      </c>
      <c r="F65" s="419">
        <v>-6820</v>
      </c>
      <c r="G65" s="419">
        <v>-9979</v>
      </c>
      <c r="H65" s="419">
        <v>-41033</v>
      </c>
      <c r="I65" s="419">
        <v>0</v>
      </c>
      <c r="J65" s="380">
        <v>6.1199999999999997E-5</v>
      </c>
      <c r="K65" s="380"/>
      <c r="L65" s="419">
        <v>14982</v>
      </c>
      <c r="M65" s="419">
        <v>10347</v>
      </c>
      <c r="N65" s="419">
        <v>4530</v>
      </c>
      <c r="O65" s="419">
        <v>0</v>
      </c>
      <c r="P65" s="419">
        <v>0</v>
      </c>
      <c r="Q65" s="380">
        <v>6.1199999999999997E-5</v>
      </c>
      <c r="R65" s="380"/>
      <c r="S65" s="419">
        <v>-30745</v>
      </c>
      <c r="T65" s="419">
        <v>-30389</v>
      </c>
      <c r="U65" s="419">
        <v>-31925</v>
      </c>
      <c r="V65" s="419">
        <v>-41033</v>
      </c>
      <c r="W65" s="419">
        <v>0</v>
      </c>
      <c r="X65" s="380">
        <v>6.1199999999999997E-5</v>
      </c>
      <c r="Z65" s="419">
        <v>24517</v>
      </c>
      <c r="AA65" s="419">
        <v>17224</v>
      </c>
      <c r="AB65" s="419">
        <v>17224</v>
      </c>
      <c r="AC65" s="419">
        <v>0</v>
      </c>
      <c r="AD65" s="419">
        <v>0</v>
      </c>
      <c r="AE65" s="380">
        <v>6.1199999999999997E-5</v>
      </c>
      <c r="AF65" s="380"/>
      <c r="AG65" s="419">
        <v>810</v>
      </c>
      <c r="AH65" s="419">
        <v>192</v>
      </c>
      <c r="AI65" s="419">
        <v>192</v>
      </c>
      <c r="AJ65" s="419">
        <v>0</v>
      </c>
      <c r="AK65" s="419">
        <v>0</v>
      </c>
      <c r="AL65" s="380">
        <v>6.1199999999999997E-5</v>
      </c>
      <c r="AM65" s="380"/>
      <c r="AN65" s="419">
        <v>-4195</v>
      </c>
      <c r="AO65" s="419">
        <v>-4194</v>
      </c>
      <c r="AP65" s="419">
        <v>0</v>
      </c>
      <c r="AQ65" s="419">
        <v>0</v>
      </c>
      <c r="AR65" s="419">
        <v>0</v>
      </c>
    </row>
    <row r="66" spans="1:44">
      <c r="A66" s="379">
        <v>90801</v>
      </c>
      <c r="B66" t="s">
        <v>784</v>
      </c>
      <c r="C66" s="380">
        <v>1.1333000000000001E-3</v>
      </c>
      <c r="D66" s="380"/>
      <c r="E66" s="419">
        <v>18346</v>
      </c>
      <c r="F66" s="419">
        <v>-183320</v>
      </c>
      <c r="G66" s="419">
        <v>-264545</v>
      </c>
      <c r="H66" s="419">
        <v>-759848</v>
      </c>
      <c r="I66" s="419">
        <v>0</v>
      </c>
      <c r="J66" s="380">
        <v>1.1333000000000001E-3</v>
      </c>
      <c r="K66" s="380"/>
      <c r="L66" s="419">
        <v>277441</v>
      </c>
      <c r="M66" s="419">
        <v>191609</v>
      </c>
      <c r="N66" s="419">
        <v>83878</v>
      </c>
      <c r="O66" s="419">
        <v>0</v>
      </c>
      <c r="P66" s="419">
        <v>0</v>
      </c>
      <c r="Q66" s="380">
        <v>1.1333000000000001E-3</v>
      </c>
      <c r="R66" s="380"/>
      <c r="S66" s="419">
        <v>-569334</v>
      </c>
      <c r="T66" s="419">
        <v>-562746</v>
      </c>
      <c r="U66" s="419">
        <v>-591187</v>
      </c>
      <c r="V66" s="419">
        <v>-759848</v>
      </c>
      <c r="W66" s="419">
        <v>0</v>
      </c>
      <c r="X66" s="380">
        <v>1.1333000000000001E-3</v>
      </c>
      <c r="Z66" s="419">
        <v>454002</v>
      </c>
      <c r="AA66" s="419">
        <v>318962</v>
      </c>
      <c r="AB66" s="419">
        <v>318959</v>
      </c>
      <c r="AC66" s="419">
        <v>0</v>
      </c>
      <c r="AD66" s="419">
        <v>0</v>
      </c>
      <c r="AE66" s="380">
        <v>1.1333000000000001E-3</v>
      </c>
      <c r="AF66" s="380"/>
      <c r="AG66" s="419">
        <v>0</v>
      </c>
      <c r="AH66" s="419">
        <v>0</v>
      </c>
      <c r="AI66" s="419">
        <v>0</v>
      </c>
      <c r="AJ66" s="419">
        <v>0</v>
      </c>
      <c r="AK66" s="419">
        <v>0</v>
      </c>
      <c r="AL66" s="380">
        <v>1.1333000000000001E-3</v>
      </c>
      <c r="AM66" s="380"/>
      <c r="AN66" s="419">
        <v>-143763</v>
      </c>
      <c r="AO66" s="419">
        <v>-131145</v>
      </c>
      <c r="AP66" s="419">
        <v>-76195</v>
      </c>
      <c r="AQ66" s="419">
        <v>0</v>
      </c>
      <c r="AR66" s="419">
        <v>0</v>
      </c>
    </row>
    <row r="67" spans="1:44">
      <c r="A67" s="379">
        <v>90804</v>
      </c>
      <c r="B67" t="s">
        <v>785</v>
      </c>
      <c r="C67" s="380">
        <v>5.0000000000000004E-6</v>
      </c>
      <c r="D67" s="380"/>
      <c r="E67" s="419">
        <v>566</v>
      </c>
      <c r="F67" s="419">
        <v>-323</v>
      </c>
      <c r="G67" s="419">
        <v>-704</v>
      </c>
      <c r="H67" s="419">
        <v>-3352</v>
      </c>
      <c r="I67" s="419">
        <v>0</v>
      </c>
      <c r="J67" s="380">
        <v>5.0000000000000004E-6</v>
      </c>
      <c r="K67" s="380"/>
      <c r="L67" s="419">
        <v>1224</v>
      </c>
      <c r="M67" s="419">
        <v>845</v>
      </c>
      <c r="N67" s="419">
        <v>370</v>
      </c>
      <c r="O67" s="419">
        <v>0</v>
      </c>
      <c r="P67" s="419">
        <v>0</v>
      </c>
      <c r="Q67" s="380">
        <v>5.0000000000000004E-6</v>
      </c>
      <c r="R67" s="380"/>
      <c r="S67" s="419">
        <v>-2512</v>
      </c>
      <c r="T67" s="419">
        <v>-2483</v>
      </c>
      <c r="U67" s="419">
        <v>-2608</v>
      </c>
      <c r="V67" s="419">
        <v>-3352</v>
      </c>
      <c r="W67" s="419">
        <v>0</v>
      </c>
      <c r="X67" s="380">
        <v>5.0000000000000004E-6</v>
      </c>
      <c r="Z67" s="419">
        <v>2003</v>
      </c>
      <c r="AA67" s="419">
        <v>1407</v>
      </c>
      <c r="AB67" s="419">
        <v>1407</v>
      </c>
      <c r="AC67" s="419">
        <v>0</v>
      </c>
      <c r="AD67" s="419">
        <v>0</v>
      </c>
      <c r="AE67" s="380">
        <v>5.0000000000000004E-6</v>
      </c>
      <c r="AF67" s="380"/>
      <c r="AG67" s="419">
        <v>126</v>
      </c>
      <c r="AH67" s="419">
        <v>126</v>
      </c>
      <c r="AI67" s="419">
        <v>127</v>
      </c>
      <c r="AJ67" s="419">
        <v>0</v>
      </c>
      <c r="AK67" s="419">
        <v>0</v>
      </c>
      <c r="AL67" s="380">
        <v>5.0000000000000004E-6</v>
      </c>
      <c r="AM67" s="380"/>
      <c r="AN67" s="419">
        <v>-275</v>
      </c>
      <c r="AO67" s="419">
        <v>-218</v>
      </c>
      <c r="AP67" s="419">
        <v>0</v>
      </c>
      <c r="AQ67" s="419">
        <v>0</v>
      </c>
      <c r="AR67" s="419">
        <v>0</v>
      </c>
    </row>
    <row r="68" spans="1:44">
      <c r="A68" s="379">
        <v>90805</v>
      </c>
      <c r="B68" t="s">
        <v>786</v>
      </c>
      <c r="C68" s="380">
        <v>6.0800000000000001E-5</v>
      </c>
      <c r="D68" s="380"/>
      <c r="E68" s="419">
        <v>19126</v>
      </c>
      <c r="F68" s="419">
        <v>3341</v>
      </c>
      <c r="G68" s="419">
        <v>-7481</v>
      </c>
      <c r="H68" s="419">
        <v>-40765</v>
      </c>
      <c r="I68" s="419">
        <v>0</v>
      </c>
      <c r="J68" s="380">
        <v>6.0800000000000001E-5</v>
      </c>
      <c r="K68" s="380"/>
      <c r="L68" s="419">
        <v>14884</v>
      </c>
      <c r="M68" s="419">
        <v>10280</v>
      </c>
      <c r="N68" s="419">
        <v>4500</v>
      </c>
      <c r="O68" s="419">
        <v>0</v>
      </c>
      <c r="P68" s="419">
        <v>0</v>
      </c>
      <c r="Q68" s="380">
        <v>6.0800000000000001E-5</v>
      </c>
      <c r="R68" s="380"/>
      <c r="S68" s="419">
        <v>-30544</v>
      </c>
      <c r="T68" s="419">
        <v>-30191</v>
      </c>
      <c r="U68" s="419">
        <v>-31716</v>
      </c>
      <c r="V68" s="419">
        <v>-40765</v>
      </c>
      <c r="W68" s="419">
        <v>0</v>
      </c>
      <c r="X68" s="380">
        <v>6.0800000000000001E-5</v>
      </c>
      <c r="Z68" s="419">
        <v>24357</v>
      </c>
      <c r="AA68" s="419">
        <v>17112</v>
      </c>
      <c r="AB68" s="419">
        <v>17112</v>
      </c>
      <c r="AC68" s="419">
        <v>0</v>
      </c>
      <c r="AD68" s="419">
        <v>0</v>
      </c>
      <c r="AE68" s="380">
        <v>6.0800000000000001E-5</v>
      </c>
      <c r="AF68" s="380"/>
      <c r="AG68" s="419">
        <v>10429</v>
      </c>
      <c r="AH68" s="419">
        <v>6140</v>
      </c>
      <c r="AI68" s="419">
        <v>2623</v>
      </c>
      <c r="AJ68" s="419">
        <v>0</v>
      </c>
      <c r="AK68" s="419">
        <v>0</v>
      </c>
      <c r="AL68" s="380">
        <v>6.0800000000000001E-5</v>
      </c>
      <c r="AM68" s="380"/>
      <c r="AN68" s="419">
        <v>0</v>
      </c>
      <c r="AO68" s="419">
        <v>0</v>
      </c>
      <c r="AP68" s="419">
        <v>0</v>
      </c>
      <c r="AQ68" s="419">
        <v>0</v>
      </c>
      <c r="AR68" s="419">
        <v>0</v>
      </c>
    </row>
    <row r="69" spans="1:44">
      <c r="A69" s="379">
        <v>90808</v>
      </c>
      <c r="B69" t="s">
        <v>787</v>
      </c>
      <c r="C69" s="380">
        <v>1.2530000000000001E-4</v>
      </c>
      <c r="D69" s="380"/>
      <c r="E69" s="419">
        <v>21170</v>
      </c>
      <c r="F69" s="419">
        <v>-2449</v>
      </c>
      <c r="G69" s="419">
        <v>-31721</v>
      </c>
      <c r="H69" s="419">
        <v>-84010</v>
      </c>
      <c r="I69" s="419">
        <v>0</v>
      </c>
      <c r="J69" s="380">
        <v>1.2530000000000001E-4</v>
      </c>
      <c r="K69" s="380"/>
      <c r="L69" s="419">
        <v>30674</v>
      </c>
      <c r="M69" s="419">
        <v>21185</v>
      </c>
      <c r="N69" s="419">
        <v>9274</v>
      </c>
      <c r="O69" s="419">
        <v>0</v>
      </c>
      <c r="P69" s="419">
        <v>0</v>
      </c>
      <c r="Q69" s="380">
        <v>1.2530000000000001E-4</v>
      </c>
      <c r="R69" s="380"/>
      <c r="S69" s="419">
        <v>-62947</v>
      </c>
      <c r="T69" s="419">
        <v>-62218</v>
      </c>
      <c r="U69" s="419">
        <v>-65363</v>
      </c>
      <c r="V69" s="419">
        <v>-84010</v>
      </c>
      <c r="W69" s="419">
        <v>0</v>
      </c>
      <c r="X69" s="380">
        <v>1.2530000000000001E-4</v>
      </c>
      <c r="Z69" s="419">
        <v>50195</v>
      </c>
      <c r="AA69" s="419">
        <v>35265</v>
      </c>
      <c r="AB69" s="419">
        <v>35265</v>
      </c>
      <c r="AC69" s="419">
        <v>0</v>
      </c>
      <c r="AD69" s="419">
        <v>0</v>
      </c>
      <c r="AE69" s="380">
        <v>1.2530000000000001E-4</v>
      </c>
      <c r="AF69" s="380"/>
      <c r="AG69" s="419">
        <v>14220</v>
      </c>
      <c r="AH69" s="419">
        <v>14218</v>
      </c>
      <c r="AI69" s="419">
        <v>0</v>
      </c>
      <c r="AJ69" s="419">
        <v>0</v>
      </c>
      <c r="AK69" s="419">
        <v>0</v>
      </c>
      <c r="AL69" s="380">
        <v>1.2530000000000001E-4</v>
      </c>
      <c r="AM69" s="380"/>
      <c r="AN69" s="419">
        <v>-10972</v>
      </c>
      <c r="AO69" s="419">
        <v>-10899</v>
      </c>
      <c r="AP69" s="419">
        <v>-10897</v>
      </c>
      <c r="AQ69" s="419">
        <v>0</v>
      </c>
      <c r="AR69" s="419">
        <v>0</v>
      </c>
    </row>
    <row r="70" spans="1:44">
      <c r="A70" s="379">
        <v>90811</v>
      </c>
      <c r="B70" t="s">
        <v>788</v>
      </c>
      <c r="C70" s="380">
        <v>3.3099999999999998E-5</v>
      </c>
      <c r="D70" s="380"/>
      <c r="E70" s="419">
        <v>218</v>
      </c>
      <c r="F70" s="419">
        <v>-5329</v>
      </c>
      <c r="G70" s="419">
        <v>-9329</v>
      </c>
      <c r="H70" s="419">
        <v>-22193</v>
      </c>
      <c r="I70" s="419">
        <v>0</v>
      </c>
      <c r="J70" s="380">
        <v>3.3099999999999998E-5</v>
      </c>
      <c r="K70" s="380"/>
      <c r="L70" s="419">
        <v>8103</v>
      </c>
      <c r="M70" s="419">
        <v>5596</v>
      </c>
      <c r="N70" s="419">
        <v>2450</v>
      </c>
      <c r="O70" s="419">
        <v>0</v>
      </c>
      <c r="P70" s="419">
        <v>0</v>
      </c>
      <c r="Q70" s="380">
        <v>3.3099999999999998E-5</v>
      </c>
      <c r="R70" s="380"/>
      <c r="S70" s="419">
        <v>-16628</v>
      </c>
      <c r="T70" s="419">
        <v>-16436</v>
      </c>
      <c r="U70" s="419">
        <v>-17267</v>
      </c>
      <c r="V70" s="419">
        <v>-22193</v>
      </c>
      <c r="W70" s="419">
        <v>0</v>
      </c>
      <c r="X70" s="380">
        <v>3.3099999999999998E-5</v>
      </c>
      <c r="Z70" s="419">
        <v>13260</v>
      </c>
      <c r="AA70" s="419">
        <v>9316</v>
      </c>
      <c r="AB70" s="419">
        <v>9316</v>
      </c>
      <c r="AC70" s="419">
        <v>0</v>
      </c>
      <c r="AD70" s="419">
        <v>0</v>
      </c>
      <c r="AE70" s="380">
        <v>3.3099999999999998E-5</v>
      </c>
      <c r="AF70" s="380"/>
      <c r="AG70" s="419">
        <v>955</v>
      </c>
      <c r="AH70" s="419">
        <v>955</v>
      </c>
      <c r="AI70" s="419">
        <v>0</v>
      </c>
      <c r="AJ70" s="419">
        <v>0</v>
      </c>
      <c r="AK70" s="419">
        <v>0</v>
      </c>
      <c r="AL70" s="380">
        <v>3.3099999999999998E-5</v>
      </c>
      <c r="AM70" s="380"/>
      <c r="AN70" s="419">
        <v>-5472</v>
      </c>
      <c r="AO70" s="419">
        <v>-4760</v>
      </c>
      <c r="AP70" s="419">
        <v>-3828</v>
      </c>
      <c r="AQ70" s="419">
        <v>0</v>
      </c>
      <c r="AR70" s="419">
        <v>0</v>
      </c>
    </row>
    <row r="71" spans="1:44">
      <c r="A71" s="379">
        <v>90812</v>
      </c>
      <c r="B71" t="s">
        <v>789</v>
      </c>
      <c r="C71" s="380">
        <v>2.22E-4</v>
      </c>
      <c r="D71" s="380"/>
      <c r="E71" s="419">
        <v>29391</v>
      </c>
      <c r="F71" s="419">
        <v>-11447</v>
      </c>
      <c r="G71" s="419">
        <v>-31427</v>
      </c>
      <c r="H71" s="419">
        <v>-148845</v>
      </c>
      <c r="I71" s="419">
        <v>0</v>
      </c>
      <c r="J71" s="380">
        <v>2.22E-4</v>
      </c>
      <c r="K71" s="380"/>
      <c r="L71" s="419">
        <v>54347</v>
      </c>
      <c r="M71" s="419">
        <v>37534</v>
      </c>
      <c r="N71" s="419">
        <v>16431</v>
      </c>
      <c r="O71" s="419">
        <v>0</v>
      </c>
      <c r="P71" s="419">
        <v>0</v>
      </c>
      <c r="Q71" s="380">
        <v>2.22E-4</v>
      </c>
      <c r="R71" s="380"/>
      <c r="S71" s="419">
        <v>-111526</v>
      </c>
      <c r="T71" s="419">
        <v>-110235</v>
      </c>
      <c r="U71" s="419">
        <v>-115807</v>
      </c>
      <c r="V71" s="419">
        <v>-148845</v>
      </c>
      <c r="W71" s="419">
        <v>0</v>
      </c>
      <c r="X71" s="380">
        <v>2.22E-4</v>
      </c>
      <c r="Z71" s="419">
        <v>88934</v>
      </c>
      <c r="AA71" s="419">
        <v>62481</v>
      </c>
      <c r="AB71" s="419">
        <v>62480</v>
      </c>
      <c r="AC71" s="419">
        <v>0</v>
      </c>
      <c r="AD71" s="419">
        <v>0</v>
      </c>
      <c r="AE71" s="380">
        <v>2.22E-4</v>
      </c>
      <c r="AF71" s="380"/>
      <c r="AG71" s="419">
        <v>5469</v>
      </c>
      <c r="AH71" s="419">
        <v>5469</v>
      </c>
      <c r="AI71" s="419">
        <v>5469</v>
      </c>
      <c r="AJ71" s="419">
        <v>0</v>
      </c>
      <c r="AK71" s="419">
        <v>0</v>
      </c>
      <c r="AL71" s="380">
        <v>2.22E-4</v>
      </c>
      <c r="AM71" s="380"/>
      <c r="AN71" s="419">
        <v>-7833</v>
      </c>
      <c r="AO71" s="419">
        <v>-6696</v>
      </c>
      <c r="AP71" s="419">
        <v>0</v>
      </c>
      <c r="AQ71" s="419">
        <v>0</v>
      </c>
      <c r="AR71" s="419">
        <v>0</v>
      </c>
    </row>
    <row r="72" spans="1:44">
      <c r="A72" s="379">
        <v>90813</v>
      </c>
      <c r="B72" t="s">
        <v>790</v>
      </c>
      <c r="C72" s="380">
        <v>0</v>
      </c>
      <c r="D72" s="380"/>
      <c r="E72" s="419">
        <v>-2165</v>
      </c>
      <c r="F72" s="419">
        <v>-2062</v>
      </c>
      <c r="G72" s="419">
        <v>-1703</v>
      </c>
      <c r="H72" s="419">
        <v>0</v>
      </c>
      <c r="I72" s="419">
        <v>0</v>
      </c>
      <c r="J72" s="380">
        <v>0</v>
      </c>
      <c r="K72" s="380"/>
      <c r="L72" s="419">
        <v>0</v>
      </c>
      <c r="M72" s="419">
        <v>0</v>
      </c>
      <c r="N72" s="419">
        <v>0</v>
      </c>
      <c r="O72" s="419">
        <v>0</v>
      </c>
      <c r="P72" s="419">
        <v>0</v>
      </c>
      <c r="Q72" s="380">
        <v>0</v>
      </c>
      <c r="R72" s="380"/>
      <c r="S72" s="419">
        <v>0</v>
      </c>
      <c r="T72" s="419">
        <v>0</v>
      </c>
      <c r="U72" s="419">
        <v>0</v>
      </c>
      <c r="V72" s="419">
        <v>0</v>
      </c>
      <c r="W72" s="419">
        <v>0</v>
      </c>
      <c r="X72" s="380">
        <v>0</v>
      </c>
      <c r="Z72" s="419">
        <v>0</v>
      </c>
      <c r="AA72" s="419">
        <v>0</v>
      </c>
      <c r="AB72" s="419">
        <v>0</v>
      </c>
      <c r="AC72" s="419">
        <v>0</v>
      </c>
      <c r="AD72" s="419">
        <v>0</v>
      </c>
      <c r="AE72" s="380">
        <v>0</v>
      </c>
      <c r="AF72" s="380"/>
      <c r="AG72" s="419">
        <v>0</v>
      </c>
      <c r="AH72" s="419">
        <v>0</v>
      </c>
      <c r="AI72" s="419">
        <v>0</v>
      </c>
      <c r="AJ72" s="419">
        <v>0</v>
      </c>
      <c r="AK72" s="419">
        <v>0</v>
      </c>
      <c r="AL72" s="380">
        <v>0</v>
      </c>
      <c r="AM72" s="380"/>
      <c r="AN72" s="419">
        <v>-2165</v>
      </c>
      <c r="AO72" s="419">
        <v>-2062</v>
      </c>
      <c r="AP72" s="419">
        <v>-1703</v>
      </c>
      <c r="AQ72" s="419">
        <v>0</v>
      </c>
      <c r="AR72" s="419">
        <v>0</v>
      </c>
    </row>
    <row r="73" spans="1:44">
      <c r="A73" s="379">
        <v>90861</v>
      </c>
      <c r="B73" t="s">
        <v>791</v>
      </c>
      <c r="C73" s="380">
        <v>3.5999999999999998E-6</v>
      </c>
      <c r="D73" s="380"/>
      <c r="E73" s="419">
        <v>2132</v>
      </c>
      <c r="F73" s="419">
        <v>297</v>
      </c>
      <c r="G73" s="419">
        <v>868</v>
      </c>
      <c r="H73" s="419">
        <v>-2414</v>
      </c>
      <c r="I73" s="419">
        <v>0</v>
      </c>
      <c r="J73" s="380">
        <v>3.5999999999999998E-6</v>
      </c>
      <c r="K73" s="380"/>
      <c r="L73" s="419">
        <v>881</v>
      </c>
      <c r="M73" s="419">
        <v>609</v>
      </c>
      <c r="N73" s="419">
        <v>266</v>
      </c>
      <c r="O73" s="419">
        <v>0</v>
      </c>
      <c r="P73" s="419">
        <v>0</v>
      </c>
      <c r="Q73" s="380">
        <v>3.5999999999999998E-6</v>
      </c>
      <c r="R73" s="380"/>
      <c r="S73" s="419">
        <v>-1809</v>
      </c>
      <c r="T73" s="419">
        <v>-1788</v>
      </c>
      <c r="U73" s="419">
        <v>-1878</v>
      </c>
      <c r="V73" s="419">
        <v>-2414</v>
      </c>
      <c r="W73" s="419">
        <v>0</v>
      </c>
      <c r="X73" s="380">
        <v>3.5999999999999998E-6</v>
      </c>
      <c r="Z73" s="419">
        <v>1442</v>
      </c>
      <c r="AA73" s="419">
        <v>1013</v>
      </c>
      <c r="AB73" s="419">
        <v>1013</v>
      </c>
      <c r="AC73" s="419">
        <v>0</v>
      </c>
      <c r="AD73" s="419">
        <v>0</v>
      </c>
      <c r="AE73" s="380">
        <v>3.5999999999999998E-6</v>
      </c>
      <c r="AF73" s="380"/>
      <c r="AG73" s="419">
        <v>3474</v>
      </c>
      <c r="AH73" s="419">
        <v>2317</v>
      </c>
      <c r="AI73" s="419">
        <v>1467</v>
      </c>
      <c r="AJ73" s="419">
        <v>0</v>
      </c>
      <c r="AK73" s="419">
        <v>0</v>
      </c>
      <c r="AL73" s="380">
        <v>3.5999999999999998E-6</v>
      </c>
      <c r="AM73" s="380"/>
      <c r="AN73" s="419">
        <v>-1856</v>
      </c>
      <c r="AO73" s="419">
        <v>-1854</v>
      </c>
      <c r="AP73" s="419">
        <v>0</v>
      </c>
      <c r="AQ73" s="419">
        <v>0</v>
      </c>
      <c r="AR73" s="419">
        <v>0</v>
      </c>
    </row>
    <row r="74" spans="1:44">
      <c r="A74" s="379">
        <v>90901</v>
      </c>
      <c r="B74" t="s">
        <v>792</v>
      </c>
      <c r="C74" s="380">
        <v>2.0815E-3</v>
      </c>
      <c r="D74" s="380"/>
      <c r="E74" s="419">
        <v>248097</v>
      </c>
      <c r="F74" s="419">
        <v>-144154</v>
      </c>
      <c r="G74" s="419">
        <v>-344166</v>
      </c>
      <c r="H74" s="419">
        <v>-1395592</v>
      </c>
      <c r="I74" s="419">
        <v>0</v>
      </c>
      <c r="J74" s="380">
        <v>2.0815E-3</v>
      </c>
      <c r="K74" s="380"/>
      <c r="L74" s="419">
        <v>509568</v>
      </c>
      <c r="M74" s="419">
        <v>351923</v>
      </c>
      <c r="N74" s="419">
        <v>154056</v>
      </c>
      <c r="O74" s="419">
        <v>0</v>
      </c>
      <c r="P74" s="419">
        <v>0</v>
      </c>
      <c r="Q74" s="380">
        <v>2.0815E-3</v>
      </c>
      <c r="R74" s="380"/>
      <c r="S74" s="419">
        <v>-1045679</v>
      </c>
      <c r="T74" s="419">
        <v>-1033579</v>
      </c>
      <c r="U74" s="419">
        <v>-1085817</v>
      </c>
      <c r="V74" s="419">
        <v>-1395592</v>
      </c>
      <c r="W74" s="419">
        <v>0</v>
      </c>
      <c r="X74" s="380">
        <v>2.0815E-3</v>
      </c>
      <c r="Z74" s="419">
        <v>833853</v>
      </c>
      <c r="AA74" s="419">
        <v>585828</v>
      </c>
      <c r="AB74" s="419">
        <v>585824</v>
      </c>
      <c r="AC74" s="419">
        <v>0</v>
      </c>
      <c r="AD74" s="419">
        <v>0</v>
      </c>
      <c r="AE74" s="380">
        <v>2.0815E-3</v>
      </c>
      <c r="AF74" s="380"/>
      <c r="AG74" s="419">
        <v>23255</v>
      </c>
      <c r="AH74" s="419">
        <v>23255</v>
      </c>
      <c r="AI74" s="419">
        <v>1771</v>
      </c>
      <c r="AJ74" s="419">
        <v>0</v>
      </c>
      <c r="AK74" s="419">
        <v>0</v>
      </c>
      <c r="AL74" s="380">
        <v>2.0815E-3</v>
      </c>
      <c r="AM74" s="380"/>
      <c r="AN74" s="419">
        <v>-72900</v>
      </c>
      <c r="AO74" s="419">
        <v>-71581</v>
      </c>
      <c r="AP74" s="419">
        <v>0</v>
      </c>
      <c r="AQ74" s="419">
        <v>0</v>
      </c>
      <c r="AR74" s="419">
        <v>0</v>
      </c>
    </row>
    <row r="75" spans="1:44">
      <c r="A75" s="379">
        <v>90911</v>
      </c>
      <c r="B75" t="s">
        <v>793</v>
      </c>
      <c r="C75" s="380">
        <v>3.5619999999999998E-4</v>
      </c>
      <c r="D75" s="380"/>
      <c r="E75" s="419">
        <v>14235</v>
      </c>
      <c r="F75" s="419">
        <v>-49066</v>
      </c>
      <c r="G75" s="419">
        <v>-76017</v>
      </c>
      <c r="H75" s="419">
        <v>-238823</v>
      </c>
      <c r="I75" s="419">
        <v>0</v>
      </c>
      <c r="J75" s="380">
        <v>3.5619999999999998E-4</v>
      </c>
      <c r="K75" s="380"/>
      <c r="L75" s="419">
        <v>87201</v>
      </c>
      <c r="M75" s="419">
        <v>60223</v>
      </c>
      <c r="N75" s="419">
        <v>26363</v>
      </c>
      <c r="O75" s="419">
        <v>0</v>
      </c>
      <c r="P75" s="419">
        <v>0</v>
      </c>
      <c r="Q75" s="380">
        <v>3.5619999999999998E-4</v>
      </c>
      <c r="R75" s="380"/>
      <c r="S75" s="419">
        <v>-178943</v>
      </c>
      <c r="T75" s="419">
        <v>-176873</v>
      </c>
      <c r="U75" s="419">
        <v>-185812</v>
      </c>
      <c r="V75" s="419">
        <v>-238823</v>
      </c>
      <c r="W75" s="419">
        <v>0</v>
      </c>
      <c r="X75" s="380">
        <v>3.5619999999999998E-4</v>
      </c>
      <c r="Z75" s="419">
        <v>142694</v>
      </c>
      <c r="AA75" s="419">
        <v>100251</v>
      </c>
      <c r="AB75" s="419">
        <v>100250</v>
      </c>
      <c r="AC75" s="419">
        <v>0</v>
      </c>
      <c r="AD75" s="419">
        <v>0</v>
      </c>
      <c r="AE75" s="380">
        <v>3.5619999999999998E-4</v>
      </c>
      <c r="AF75" s="380"/>
      <c r="AG75" s="419">
        <v>0</v>
      </c>
      <c r="AH75" s="419">
        <v>0</v>
      </c>
      <c r="AI75" s="419">
        <v>0</v>
      </c>
      <c r="AJ75" s="419">
        <v>0</v>
      </c>
      <c r="AK75" s="419">
        <v>0</v>
      </c>
      <c r="AL75" s="380">
        <v>3.5619999999999998E-4</v>
      </c>
      <c r="AM75" s="380"/>
      <c r="AN75" s="419">
        <v>-36717</v>
      </c>
      <c r="AO75" s="419">
        <v>-32667</v>
      </c>
      <c r="AP75" s="419">
        <v>-16818</v>
      </c>
      <c r="AQ75" s="419">
        <v>0</v>
      </c>
      <c r="AR75" s="419">
        <v>0</v>
      </c>
    </row>
    <row r="76" spans="1:44">
      <c r="A76" s="379">
        <v>90917</v>
      </c>
      <c r="B76" t="s">
        <v>794</v>
      </c>
      <c r="C76" s="380">
        <v>9.5000000000000005E-6</v>
      </c>
      <c r="D76" s="380"/>
      <c r="E76" s="419">
        <v>2064</v>
      </c>
      <c r="F76" s="419">
        <v>609</v>
      </c>
      <c r="G76" s="419">
        <v>-1219</v>
      </c>
      <c r="H76" s="419">
        <v>-6370</v>
      </c>
      <c r="I76" s="419">
        <v>0</v>
      </c>
      <c r="J76" s="380">
        <v>9.5000000000000005E-6</v>
      </c>
      <c r="K76" s="380"/>
      <c r="L76" s="419">
        <v>2326</v>
      </c>
      <c r="M76" s="419">
        <v>1606</v>
      </c>
      <c r="N76" s="419">
        <v>703</v>
      </c>
      <c r="O76" s="419">
        <v>0</v>
      </c>
      <c r="P76" s="419">
        <v>0</v>
      </c>
      <c r="Q76" s="380">
        <v>9.5000000000000005E-6</v>
      </c>
      <c r="R76" s="380"/>
      <c r="S76" s="419">
        <v>-4772</v>
      </c>
      <c r="T76" s="419">
        <v>-4717</v>
      </c>
      <c r="U76" s="419">
        <v>-4956</v>
      </c>
      <c r="V76" s="419">
        <v>-6370</v>
      </c>
      <c r="W76" s="419">
        <v>0</v>
      </c>
      <c r="X76" s="380">
        <v>9.5000000000000005E-6</v>
      </c>
      <c r="Z76" s="419">
        <v>3806</v>
      </c>
      <c r="AA76" s="419">
        <v>2674</v>
      </c>
      <c r="AB76" s="419">
        <v>2674</v>
      </c>
      <c r="AC76" s="419">
        <v>0</v>
      </c>
      <c r="AD76" s="419">
        <v>0</v>
      </c>
      <c r="AE76" s="380">
        <v>9.5000000000000005E-6</v>
      </c>
      <c r="AF76" s="380"/>
      <c r="AG76" s="419">
        <v>1567</v>
      </c>
      <c r="AH76" s="419">
        <v>1565</v>
      </c>
      <c r="AI76" s="419">
        <v>360</v>
      </c>
      <c r="AJ76" s="419">
        <v>0</v>
      </c>
      <c r="AK76" s="419">
        <v>0</v>
      </c>
      <c r="AL76" s="380">
        <v>9.5000000000000005E-6</v>
      </c>
      <c r="AM76" s="380"/>
      <c r="AN76" s="419">
        <v>-863</v>
      </c>
      <c r="AO76" s="419">
        <v>-519</v>
      </c>
      <c r="AP76" s="419">
        <v>0</v>
      </c>
      <c r="AQ76" s="419">
        <v>0</v>
      </c>
      <c r="AR76" s="419">
        <v>0</v>
      </c>
    </row>
    <row r="77" spans="1:44">
      <c r="A77" s="379">
        <v>90918</v>
      </c>
      <c r="B77" t="s">
        <v>795</v>
      </c>
      <c r="C77" s="380">
        <v>9.3999999999999998E-6</v>
      </c>
      <c r="D77" s="380"/>
      <c r="E77" s="419">
        <v>433</v>
      </c>
      <c r="F77" s="419">
        <v>-1137</v>
      </c>
      <c r="G77" s="419">
        <v>-1789</v>
      </c>
      <c r="H77" s="419">
        <v>-6302</v>
      </c>
      <c r="I77" s="419">
        <v>0</v>
      </c>
      <c r="J77" s="380">
        <v>9.3999999999999998E-6</v>
      </c>
      <c r="K77" s="380"/>
      <c r="L77" s="419">
        <v>2301</v>
      </c>
      <c r="M77" s="419">
        <v>1589</v>
      </c>
      <c r="N77" s="419">
        <v>696</v>
      </c>
      <c r="O77" s="419">
        <v>0</v>
      </c>
      <c r="P77" s="419">
        <v>0</v>
      </c>
      <c r="Q77" s="380">
        <v>9.3999999999999998E-6</v>
      </c>
      <c r="R77" s="380"/>
      <c r="S77" s="419">
        <v>-4722</v>
      </c>
      <c r="T77" s="419">
        <v>-4668</v>
      </c>
      <c r="U77" s="419">
        <v>-4904</v>
      </c>
      <c r="V77" s="419">
        <v>-6302</v>
      </c>
      <c r="W77" s="419">
        <v>0</v>
      </c>
      <c r="X77" s="380">
        <v>9.3999999999999998E-6</v>
      </c>
      <c r="Z77" s="419">
        <v>3766</v>
      </c>
      <c r="AA77" s="419">
        <v>2646</v>
      </c>
      <c r="AB77" s="419">
        <v>2646</v>
      </c>
      <c r="AC77" s="419">
        <v>0</v>
      </c>
      <c r="AD77" s="419">
        <v>0</v>
      </c>
      <c r="AE77" s="380">
        <v>9.3999999999999998E-6</v>
      </c>
      <c r="AF77" s="380"/>
      <c r="AG77" s="419">
        <v>0</v>
      </c>
      <c r="AH77" s="419">
        <v>0</v>
      </c>
      <c r="AI77" s="419">
        <v>0</v>
      </c>
      <c r="AJ77" s="419">
        <v>0</v>
      </c>
      <c r="AK77" s="419">
        <v>0</v>
      </c>
      <c r="AL77" s="380">
        <v>9.3999999999999998E-6</v>
      </c>
      <c r="AM77" s="380"/>
      <c r="AN77" s="419">
        <v>-912</v>
      </c>
      <c r="AO77" s="419">
        <v>-704</v>
      </c>
      <c r="AP77" s="419">
        <v>-227</v>
      </c>
      <c r="AQ77" s="419">
        <v>0</v>
      </c>
      <c r="AR77" s="419">
        <v>0</v>
      </c>
    </row>
    <row r="78" spans="1:44">
      <c r="A78" s="379">
        <v>90921</v>
      </c>
      <c r="B78" t="s">
        <v>796</v>
      </c>
      <c r="C78" s="380">
        <v>1.145E-4</v>
      </c>
      <c r="D78" s="380"/>
      <c r="E78" s="419">
        <v>20868</v>
      </c>
      <c r="F78" s="419">
        <v>-526</v>
      </c>
      <c r="G78" s="419">
        <v>-9906</v>
      </c>
      <c r="H78" s="419">
        <v>-76769</v>
      </c>
      <c r="I78" s="419">
        <v>0</v>
      </c>
      <c r="J78" s="380">
        <v>1.145E-4</v>
      </c>
      <c r="K78" s="380"/>
      <c r="L78" s="419">
        <v>28031</v>
      </c>
      <c r="M78" s="419">
        <v>19359</v>
      </c>
      <c r="N78" s="419">
        <v>8474</v>
      </c>
      <c r="O78" s="419">
        <v>0</v>
      </c>
      <c r="P78" s="419">
        <v>0</v>
      </c>
      <c r="Q78" s="380">
        <v>1.145E-4</v>
      </c>
      <c r="R78" s="380"/>
      <c r="S78" s="419">
        <v>-57521</v>
      </c>
      <c r="T78" s="419">
        <v>-56856</v>
      </c>
      <c r="U78" s="419">
        <v>-59729</v>
      </c>
      <c r="V78" s="419">
        <v>-76769</v>
      </c>
      <c r="W78" s="419">
        <v>0</v>
      </c>
      <c r="X78" s="380">
        <v>1.145E-4</v>
      </c>
      <c r="Z78" s="419">
        <v>45869</v>
      </c>
      <c r="AA78" s="419">
        <v>32225</v>
      </c>
      <c r="AB78" s="419">
        <v>32225</v>
      </c>
      <c r="AC78" s="419">
        <v>0</v>
      </c>
      <c r="AD78" s="419">
        <v>0</v>
      </c>
      <c r="AE78" s="380">
        <v>1.145E-4</v>
      </c>
      <c r="AF78" s="380"/>
      <c r="AG78" s="419">
        <v>9126</v>
      </c>
      <c r="AH78" s="419">
        <v>9126</v>
      </c>
      <c r="AI78" s="419">
        <v>9124</v>
      </c>
      <c r="AJ78" s="419">
        <v>0</v>
      </c>
      <c r="AK78" s="419">
        <v>0</v>
      </c>
      <c r="AL78" s="380">
        <v>1.145E-4</v>
      </c>
      <c r="AM78" s="380"/>
      <c r="AN78" s="419">
        <v>-4637</v>
      </c>
      <c r="AO78" s="419">
        <v>-4380</v>
      </c>
      <c r="AP78" s="419">
        <v>0</v>
      </c>
      <c r="AQ78" s="419">
        <v>0</v>
      </c>
      <c r="AR78" s="419">
        <v>0</v>
      </c>
    </row>
    <row r="79" spans="1:44">
      <c r="A79" s="379">
        <v>90931</v>
      </c>
      <c r="B79" t="s">
        <v>797</v>
      </c>
      <c r="C79" s="380">
        <v>3.2199999999999997E-5</v>
      </c>
      <c r="D79" s="380"/>
      <c r="E79" s="419">
        <v>804</v>
      </c>
      <c r="F79" s="419">
        <v>-4360</v>
      </c>
      <c r="G79" s="419">
        <v>-5265</v>
      </c>
      <c r="H79" s="419">
        <v>-21589</v>
      </c>
      <c r="I79" s="419">
        <v>0</v>
      </c>
      <c r="J79" s="380">
        <v>3.2199999999999997E-5</v>
      </c>
      <c r="K79" s="380"/>
      <c r="L79" s="419">
        <v>7883</v>
      </c>
      <c r="M79" s="419">
        <v>5444</v>
      </c>
      <c r="N79" s="419">
        <v>2383</v>
      </c>
      <c r="O79" s="419">
        <v>0</v>
      </c>
      <c r="P79" s="419">
        <v>0</v>
      </c>
      <c r="Q79" s="380">
        <v>3.2199999999999997E-5</v>
      </c>
      <c r="R79" s="380"/>
      <c r="S79" s="419">
        <v>-16176</v>
      </c>
      <c r="T79" s="419">
        <v>-15989</v>
      </c>
      <c r="U79" s="419">
        <v>-16797</v>
      </c>
      <c r="V79" s="419">
        <v>-21589</v>
      </c>
      <c r="W79" s="419">
        <v>0</v>
      </c>
      <c r="X79" s="380">
        <v>3.2199999999999997E-5</v>
      </c>
      <c r="Z79" s="419">
        <v>12899</v>
      </c>
      <c r="AA79" s="419">
        <v>9063</v>
      </c>
      <c r="AB79" s="419">
        <v>9062</v>
      </c>
      <c r="AC79" s="419">
        <v>0</v>
      </c>
      <c r="AD79" s="419">
        <v>0</v>
      </c>
      <c r="AE79" s="380">
        <v>3.2199999999999997E-5</v>
      </c>
      <c r="AF79" s="380"/>
      <c r="AG79" s="419">
        <v>86</v>
      </c>
      <c r="AH79" s="419">
        <v>86</v>
      </c>
      <c r="AI79" s="419">
        <v>87</v>
      </c>
      <c r="AJ79" s="419">
        <v>0</v>
      </c>
      <c r="AK79" s="419">
        <v>0</v>
      </c>
      <c r="AL79" s="380">
        <v>3.2199999999999997E-5</v>
      </c>
      <c r="AM79" s="380"/>
      <c r="AN79" s="419">
        <v>-3888</v>
      </c>
      <c r="AO79" s="419">
        <v>-2964</v>
      </c>
      <c r="AP79" s="419">
        <v>0</v>
      </c>
      <c r="AQ79" s="419">
        <v>0</v>
      </c>
      <c r="AR79" s="419">
        <v>0</v>
      </c>
    </row>
    <row r="80" spans="1:44">
      <c r="A80" s="379">
        <v>90941</v>
      </c>
      <c r="B80" t="s">
        <v>798</v>
      </c>
      <c r="C80" s="380">
        <v>7.3800000000000005E-5</v>
      </c>
      <c r="D80" s="380"/>
      <c r="E80" s="419">
        <v>9565</v>
      </c>
      <c r="F80" s="419">
        <v>-6266</v>
      </c>
      <c r="G80" s="419">
        <v>-9904</v>
      </c>
      <c r="H80" s="419">
        <v>-49481</v>
      </c>
      <c r="I80" s="419">
        <v>0</v>
      </c>
      <c r="J80" s="380">
        <v>7.3800000000000005E-5</v>
      </c>
      <c r="K80" s="380"/>
      <c r="L80" s="419">
        <v>18067</v>
      </c>
      <c r="M80" s="419">
        <v>12478</v>
      </c>
      <c r="N80" s="419">
        <v>5462</v>
      </c>
      <c r="O80" s="419">
        <v>0</v>
      </c>
      <c r="P80" s="419">
        <v>0</v>
      </c>
      <c r="Q80" s="380">
        <v>7.3800000000000005E-5</v>
      </c>
      <c r="R80" s="380"/>
      <c r="S80" s="419">
        <v>-37075</v>
      </c>
      <c r="T80" s="419">
        <v>-36646</v>
      </c>
      <c r="U80" s="419">
        <v>-38498</v>
      </c>
      <c r="V80" s="419">
        <v>-49481</v>
      </c>
      <c r="W80" s="419">
        <v>0</v>
      </c>
      <c r="X80" s="380">
        <v>7.3800000000000005E-5</v>
      </c>
      <c r="Z80" s="419">
        <v>29564</v>
      </c>
      <c r="AA80" s="419">
        <v>20771</v>
      </c>
      <c r="AB80" s="419">
        <v>20770</v>
      </c>
      <c r="AC80" s="419">
        <v>0</v>
      </c>
      <c r="AD80" s="419">
        <v>0</v>
      </c>
      <c r="AE80" s="380">
        <v>7.3800000000000005E-5</v>
      </c>
      <c r="AF80" s="380"/>
      <c r="AG80" s="419">
        <v>4242</v>
      </c>
      <c r="AH80" s="419">
        <v>2364</v>
      </c>
      <c r="AI80" s="419">
        <v>2362</v>
      </c>
      <c r="AJ80" s="419">
        <v>0</v>
      </c>
      <c r="AK80" s="419">
        <v>0</v>
      </c>
      <c r="AL80" s="380">
        <v>7.3800000000000005E-5</v>
      </c>
      <c r="AM80" s="380"/>
      <c r="AN80" s="419">
        <v>-5233</v>
      </c>
      <c r="AO80" s="419">
        <v>-5233</v>
      </c>
      <c r="AP80" s="419">
        <v>0</v>
      </c>
      <c r="AQ80" s="419">
        <v>0</v>
      </c>
      <c r="AR80" s="419">
        <v>0</v>
      </c>
    </row>
    <row r="81" spans="1:44">
      <c r="A81" s="379">
        <v>91001</v>
      </c>
      <c r="B81" t="s">
        <v>799</v>
      </c>
      <c r="C81" s="380">
        <v>7.1763E-3</v>
      </c>
      <c r="D81" s="380"/>
      <c r="E81" s="419">
        <v>881845</v>
      </c>
      <c r="F81" s="419">
        <v>-437539</v>
      </c>
      <c r="G81" s="419">
        <v>-1260201</v>
      </c>
      <c r="H81" s="419">
        <v>-4811523</v>
      </c>
      <c r="I81" s="419">
        <v>0</v>
      </c>
      <c r="J81" s="380">
        <v>7.1763E-3</v>
      </c>
      <c r="K81" s="380"/>
      <c r="L81" s="419">
        <v>1756816</v>
      </c>
      <c r="M81" s="419">
        <v>1213311</v>
      </c>
      <c r="N81" s="419">
        <v>531132</v>
      </c>
      <c r="O81" s="419">
        <v>0</v>
      </c>
      <c r="P81" s="419">
        <v>0</v>
      </c>
      <c r="Q81" s="380">
        <v>7.1763E-3</v>
      </c>
      <c r="R81" s="380"/>
      <c r="S81" s="419">
        <v>-3605143</v>
      </c>
      <c r="T81" s="419">
        <v>-3563428</v>
      </c>
      <c r="U81" s="419">
        <v>-3743524</v>
      </c>
      <c r="V81" s="419">
        <v>-4811523</v>
      </c>
      <c r="W81" s="419">
        <v>0</v>
      </c>
      <c r="X81" s="380">
        <v>7.1763E-3</v>
      </c>
      <c r="Z81" s="419">
        <v>2874840</v>
      </c>
      <c r="AA81" s="419">
        <v>2019734</v>
      </c>
      <c r="AB81" s="419">
        <v>2019719</v>
      </c>
      <c r="AC81" s="419">
        <v>0</v>
      </c>
      <c r="AD81" s="419">
        <v>0</v>
      </c>
      <c r="AE81" s="380">
        <v>7.1763E-3</v>
      </c>
      <c r="AF81" s="380"/>
      <c r="AG81" s="419">
        <v>87212</v>
      </c>
      <c r="AH81" s="419">
        <v>87213</v>
      </c>
      <c r="AI81" s="419">
        <v>0</v>
      </c>
      <c r="AJ81" s="419">
        <v>0</v>
      </c>
      <c r="AK81" s="419">
        <v>0</v>
      </c>
      <c r="AL81" s="380">
        <v>7.1763E-3</v>
      </c>
      <c r="AM81" s="380"/>
      <c r="AN81" s="419">
        <v>-231880</v>
      </c>
      <c r="AO81" s="419">
        <v>-194369</v>
      </c>
      <c r="AP81" s="419">
        <v>-67528</v>
      </c>
      <c r="AQ81" s="419">
        <v>0</v>
      </c>
      <c r="AR81" s="419">
        <v>0</v>
      </c>
    </row>
    <row r="82" spans="1:44">
      <c r="A82" s="379">
        <v>91002</v>
      </c>
      <c r="B82" t="s">
        <v>800</v>
      </c>
      <c r="C82" s="380">
        <v>1.2972000000000001E-3</v>
      </c>
      <c r="D82" s="380"/>
      <c r="E82" s="419">
        <v>221693</v>
      </c>
      <c r="F82" s="419">
        <v>-58286</v>
      </c>
      <c r="G82" s="419">
        <v>-181592</v>
      </c>
      <c r="H82" s="419">
        <v>-869739</v>
      </c>
      <c r="I82" s="419">
        <v>0</v>
      </c>
      <c r="J82" s="380">
        <v>1.2972000000000001E-3</v>
      </c>
      <c r="K82" s="380"/>
      <c r="L82" s="419">
        <v>317565</v>
      </c>
      <c r="M82" s="419">
        <v>219320</v>
      </c>
      <c r="N82" s="419">
        <v>96008</v>
      </c>
      <c r="O82" s="419">
        <v>0</v>
      </c>
      <c r="P82" s="419">
        <v>0</v>
      </c>
      <c r="Q82" s="380">
        <v>1.2972000000000001E-3</v>
      </c>
      <c r="R82" s="380"/>
      <c r="S82" s="419">
        <v>-651672</v>
      </c>
      <c r="T82" s="419">
        <v>-644131</v>
      </c>
      <c r="U82" s="419">
        <v>-676686</v>
      </c>
      <c r="V82" s="419">
        <v>-869739</v>
      </c>
      <c r="W82" s="419">
        <v>0</v>
      </c>
      <c r="X82" s="380">
        <v>1.2972000000000001E-3</v>
      </c>
      <c r="Z82" s="419">
        <v>519661</v>
      </c>
      <c r="AA82" s="419">
        <v>365090</v>
      </c>
      <c r="AB82" s="419">
        <v>365088</v>
      </c>
      <c r="AC82" s="419">
        <v>0</v>
      </c>
      <c r="AD82" s="419">
        <v>0</v>
      </c>
      <c r="AE82" s="380">
        <v>1.2972000000000001E-3</v>
      </c>
      <c r="AF82" s="380"/>
      <c r="AG82" s="419">
        <v>114538</v>
      </c>
      <c r="AH82" s="419">
        <v>79834</v>
      </c>
      <c r="AI82" s="419">
        <v>33998</v>
      </c>
      <c r="AJ82" s="419">
        <v>0</v>
      </c>
      <c r="AK82" s="419">
        <v>0</v>
      </c>
      <c r="AL82" s="380">
        <v>1.2972000000000001E-3</v>
      </c>
      <c r="AM82" s="380"/>
      <c r="AN82" s="419">
        <v>-78399</v>
      </c>
      <c r="AO82" s="419">
        <v>-78399</v>
      </c>
      <c r="AP82" s="419">
        <v>0</v>
      </c>
      <c r="AQ82" s="419">
        <v>0</v>
      </c>
      <c r="AR82" s="419">
        <v>0</v>
      </c>
    </row>
    <row r="83" spans="1:44">
      <c r="A83" s="379">
        <v>91003</v>
      </c>
      <c r="B83" t="s">
        <v>801</v>
      </c>
      <c r="C83" s="380">
        <v>6.0979999999999997E-4</v>
      </c>
      <c r="D83" s="380"/>
      <c r="E83" s="419">
        <v>105221</v>
      </c>
      <c r="F83" s="419">
        <v>-5150</v>
      </c>
      <c r="G83" s="419">
        <v>-83087</v>
      </c>
      <c r="H83" s="419">
        <v>-408855</v>
      </c>
      <c r="I83" s="419">
        <v>0</v>
      </c>
      <c r="J83" s="380">
        <v>6.0979999999999997E-4</v>
      </c>
      <c r="K83" s="380"/>
      <c r="L83" s="419">
        <v>149284</v>
      </c>
      <c r="M83" s="419">
        <v>103100</v>
      </c>
      <c r="N83" s="419">
        <v>45133</v>
      </c>
      <c r="O83" s="419">
        <v>0</v>
      </c>
      <c r="P83" s="419">
        <v>0</v>
      </c>
      <c r="Q83" s="380">
        <v>6.0979999999999997E-4</v>
      </c>
      <c r="R83" s="380"/>
      <c r="S83" s="419">
        <v>-306344</v>
      </c>
      <c r="T83" s="419">
        <v>-302799</v>
      </c>
      <c r="U83" s="419">
        <v>-318103</v>
      </c>
      <c r="V83" s="419">
        <v>-408855</v>
      </c>
      <c r="W83" s="419">
        <v>0</v>
      </c>
      <c r="X83" s="380">
        <v>6.0979999999999997E-4</v>
      </c>
      <c r="Z83" s="419">
        <v>244287</v>
      </c>
      <c r="AA83" s="419">
        <v>171625</v>
      </c>
      <c r="AB83" s="419">
        <v>171624</v>
      </c>
      <c r="AC83" s="419">
        <v>0</v>
      </c>
      <c r="AD83" s="419">
        <v>0</v>
      </c>
      <c r="AE83" s="380">
        <v>6.0979999999999997E-4</v>
      </c>
      <c r="AF83" s="380"/>
      <c r="AG83" s="419">
        <v>30495</v>
      </c>
      <c r="AH83" s="419">
        <v>30497</v>
      </c>
      <c r="AI83" s="419">
        <v>18259</v>
      </c>
      <c r="AJ83" s="419">
        <v>0</v>
      </c>
      <c r="AK83" s="419">
        <v>0</v>
      </c>
      <c r="AL83" s="380">
        <v>6.0979999999999997E-4</v>
      </c>
      <c r="AM83" s="380"/>
      <c r="AN83" s="419">
        <v>-12501</v>
      </c>
      <c r="AO83" s="419">
        <v>-7573</v>
      </c>
      <c r="AP83" s="419">
        <v>0</v>
      </c>
      <c r="AQ83" s="419">
        <v>0</v>
      </c>
      <c r="AR83" s="419">
        <v>0</v>
      </c>
    </row>
    <row r="84" spans="1:44">
      <c r="A84" s="379">
        <v>91004</v>
      </c>
      <c r="B84" t="s">
        <v>802</v>
      </c>
      <c r="C84" s="380">
        <v>4.2299999999999998E-5</v>
      </c>
      <c r="D84" s="380"/>
      <c r="E84" s="419">
        <v>10196</v>
      </c>
      <c r="F84" s="419">
        <v>374</v>
      </c>
      <c r="G84" s="419">
        <v>-4642</v>
      </c>
      <c r="H84" s="419">
        <v>-28361</v>
      </c>
      <c r="I84" s="419">
        <v>0</v>
      </c>
      <c r="J84" s="380">
        <v>4.2299999999999998E-5</v>
      </c>
      <c r="K84" s="380"/>
      <c r="L84" s="419">
        <v>10355</v>
      </c>
      <c r="M84" s="419">
        <v>7152</v>
      </c>
      <c r="N84" s="419">
        <v>3131</v>
      </c>
      <c r="O84" s="419">
        <v>0</v>
      </c>
      <c r="P84" s="419">
        <v>0</v>
      </c>
      <c r="Q84" s="380">
        <v>4.2299999999999998E-5</v>
      </c>
      <c r="R84" s="380"/>
      <c r="S84" s="419">
        <v>-21250</v>
      </c>
      <c r="T84" s="419">
        <v>-21004</v>
      </c>
      <c r="U84" s="419">
        <v>-22066</v>
      </c>
      <c r="V84" s="419">
        <v>-28361</v>
      </c>
      <c r="W84" s="419">
        <v>0</v>
      </c>
      <c r="X84" s="380">
        <v>4.2299999999999998E-5</v>
      </c>
      <c r="Z84" s="419">
        <v>16945</v>
      </c>
      <c r="AA84" s="419">
        <v>11905</v>
      </c>
      <c r="AB84" s="419">
        <v>11905</v>
      </c>
      <c r="AC84" s="419">
        <v>0</v>
      </c>
      <c r="AD84" s="419">
        <v>0</v>
      </c>
      <c r="AE84" s="380">
        <v>4.2299999999999998E-5</v>
      </c>
      <c r="AF84" s="380"/>
      <c r="AG84" s="419">
        <v>4988</v>
      </c>
      <c r="AH84" s="419">
        <v>3163</v>
      </c>
      <c r="AI84" s="419">
        <v>2388</v>
      </c>
      <c r="AJ84" s="419">
        <v>0</v>
      </c>
      <c r="AK84" s="419">
        <v>0</v>
      </c>
      <c r="AL84" s="380">
        <v>4.2299999999999998E-5</v>
      </c>
      <c r="AM84" s="380"/>
      <c r="AN84" s="419">
        <v>-842</v>
      </c>
      <c r="AO84" s="419">
        <v>-842</v>
      </c>
      <c r="AP84" s="419">
        <v>0</v>
      </c>
      <c r="AQ84" s="419">
        <v>0</v>
      </c>
      <c r="AR84" s="419">
        <v>0</v>
      </c>
    </row>
    <row r="85" spans="1:44">
      <c r="A85" s="379">
        <v>91006</v>
      </c>
      <c r="B85" t="s">
        <v>803</v>
      </c>
      <c r="C85" s="380">
        <v>1.0070999999999999E-3</v>
      </c>
      <c r="D85" s="380"/>
      <c r="E85" s="419">
        <v>93251</v>
      </c>
      <c r="F85" s="419">
        <v>-93745</v>
      </c>
      <c r="G85" s="419">
        <v>-184479</v>
      </c>
      <c r="H85" s="419">
        <v>-675234</v>
      </c>
      <c r="I85" s="419">
        <v>0</v>
      </c>
      <c r="J85" s="380">
        <v>1.0070999999999999E-3</v>
      </c>
      <c r="K85" s="380"/>
      <c r="L85" s="419">
        <v>246546</v>
      </c>
      <c r="M85" s="419">
        <v>170272</v>
      </c>
      <c r="N85" s="419">
        <v>74537</v>
      </c>
      <c r="O85" s="419">
        <v>0</v>
      </c>
      <c r="P85" s="419">
        <v>0</v>
      </c>
      <c r="Q85" s="380">
        <v>1.0070999999999999E-3</v>
      </c>
      <c r="R85" s="380"/>
      <c r="S85" s="419">
        <v>-505935</v>
      </c>
      <c r="T85" s="419">
        <v>-500081</v>
      </c>
      <c r="U85" s="419">
        <v>-525355</v>
      </c>
      <c r="V85" s="419">
        <v>-675234</v>
      </c>
      <c r="W85" s="419">
        <v>0</v>
      </c>
      <c r="X85" s="380">
        <v>1.0070999999999999E-3</v>
      </c>
      <c r="Z85" s="419">
        <v>403446</v>
      </c>
      <c r="AA85" s="419">
        <v>283443</v>
      </c>
      <c r="AB85" s="419">
        <v>283441</v>
      </c>
      <c r="AC85" s="419">
        <v>0</v>
      </c>
      <c r="AD85" s="419">
        <v>0</v>
      </c>
      <c r="AE85" s="380">
        <v>1.0070999999999999E-3</v>
      </c>
      <c r="AF85" s="380"/>
      <c r="AG85" s="419">
        <v>0</v>
      </c>
      <c r="AH85" s="419">
        <v>0</v>
      </c>
      <c r="AI85" s="419">
        <v>0</v>
      </c>
      <c r="AJ85" s="419">
        <v>0</v>
      </c>
      <c r="AK85" s="419">
        <v>0</v>
      </c>
      <c r="AL85" s="380">
        <v>1.0070999999999999E-3</v>
      </c>
      <c r="AM85" s="380"/>
      <c r="AN85" s="419">
        <v>-50806</v>
      </c>
      <c r="AO85" s="419">
        <v>-47379</v>
      </c>
      <c r="AP85" s="419">
        <v>-17102</v>
      </c>
      <c r="AQ85" s="419">
        <v>0</v>
      </c>
      <c r="AR85" s="419">
        <v>0</v>
      </c>
    </row>
    <row r="86" spans="1:44">
      <c r="A86" s="379">
        <v>91007</v>
      </c>
      <c r="B86" t="s">
        <v>804</v>
      </c>
      <c r="C86" s="380">
        <v>1.06E-5</v>
      </c>
      <c r="D86" s="380"/>
      <c r="E86" s="419">
        <v>2252</v>
      </c>
      <c r="F86" s="419">
        <v>230</v>
      </c>
      <c r="G86" s="419">
        <v>-1224</v>
      </c>
      <c r="H86" s="419">
        <v>-7107</v>
      </c>
      <c r="I86" s="419">
        <v>0</v>
      </c>
      <c r="J86" s="380">
        <v>1.06E-5</v>
      </c>
      <c r="K86" s="380"/>
      <c r="L86" s="419">
        <v>2595</v>
      </c>
      <c r="M86" s="419">
        <v>1792</v>
      </c>
      <c r="N86" s="419">
        <v>785</v>
      </c>
      <c r="O86" s="419">
        <v>0</v>
      </c>
      <c r="P86" s="419">
        <v>0</v>
      </c>
      <c r="Q86" s="380">
        <v>1.06E-5</v>
      </c>
      <c r="R86" s="380"/>
      <c r="S86" s="419">
        <v>-5325</v>
      </c>
      <c r="T86" s="419">
        <v>-5263</v>
      </c>
      <c r="U86" s="419">
        <v>-5530</v>
      </c>
      <c r="V86" s="419">
        <v>-7107</v>
      </c>
      <c r="W86" s="419">
        <v>0</v>
      </c>
      <c r="X86" s="380">
        <v>1.06E-5</v>
      </c>
      <c r="Z86" s="419">
        <v>4246</v>
      </c>
      <c r="AA86" s="419">
        <v>2983</v>
      </c>
      <c r="AB86" s="419">
        <v>2983</v>
      </c>
      <c r="AC86" s="419">
        <v>0</v>
      </c>
      <c r="AD86" s="419">
        <v>0</v>
      </c>
      <c r="AE86" s="380">
        <v>1.06E-5</v>
      </c>
      <c r="AF86" s="380"/>
      <c r="AG86" s="419">
        <v>1103</v>
      </c>
      <c r="AH86" s="419">
        <v>1084</v>
      </c>
      <c r="AI86" s="419">
        <v>538</v>
      </c>
      <c r="AJ86" s="419">
        <v>0</v>
      </c>
      <c r="AK86" s="419">
        <v>0</v>
      </c>
      <c r="AL86" s="380">
        <v>1.06E-5</v>
      </c>
      <c r="AM86" s="380"/>
      <c r="AN86" s="419">
        <v>-367</v>
      </c>
      <c r="AO86" s="419">
        <v>-366</v>
      </c>
      <c r="AP86" s="419">
        <v>0</v>
      </c>
      <c r="AQ86" s="419">
        <v>0</v>
      </c>
      <c r="AR86" s="419">
        <v>0</v>
      </c>
    </row>
    <row r="87" spans="1:44">
      <c r="A87" s="379">
        <v>91008</v>
      </c>
      <c r="B87" t="s">
        <v>805</v>
      </c>
      <c r="C87" s="380">
        <v>1.5679999999999999E-4</v>
      </c>
      <c r="D87" s="380"/>
      <c r="E87" s="419">
        <v>33916</v>
      </c>
      <c r="F87" s="419">
        <v>92</v>
      </c>
      <c r="G87" s="419">
        <v>-23779</v>
      </c>
      <c r="H87" s="419">
        <v>-105130</v>
      </c>
      <c r="I87" s="419">
        <v>0</v>
      </c>
      <c r="J87" s="380">
        <v>1.5679999999999999E-4</v>
      </c>
      <c r="K87" s="380"/>
      <c r="L87" s="419">
        <v>38386</v>
      </c>
      <c r="M87" s="419">
        <v>26510</v>
      </c>
      <c r="N87" s="419">
        <v>11605</v>
      </c>
      <c r="O87" s="419">
        <v>0</v>
      </c>
      <c r="P87" s="419">
        <v>0</v>
      </c>
      <c r="Q87" s="380">
        <v>1.5679999999999999E-4</v>
      </c>
      <c r="R87" s="380"/>
      <c r="S87" s="419">
        <v>-78771</v>
      </c>
      <c r="T87" s="419">
        <v>-77860</v>
      </c>
      <c r="U87" s="419">
        <v>-81795</v>
      </c>
      <c r="V87" s="419">
        <v>-105130</v>
      </c>
      <c r="W87" s="419">
        <v>0</v>
      </c>
      <c r="X87" s="380">
        <v>1.5679999999999999E-4</v>
      </c>
      <c r="Z87" s="419">
        <v>62814</v>
      </c>
      <c r="AA87" s="419">
        <v>44131</v>
      </c>
      <c r="AB87" s="419">
        <v>44130</v>
      </c>
      <c r="AC87" s="419">
        <v>0</v>
      </c>
      <c r="AD87" s="419">
        <v>0</v>
      </c>
      <c r="AE87" s="380">
        <v>1.5679999999999999E-4</v>
      </c>
      <c r="AF87" s="380"/>
      <c r="AG87" s="419">
        <v>11487</v>
      </c>
      <c r="AH87" s="419">
        <v>7311</v>
      </c>
      <c r="AI87" s="419">
        <v>2281</v>
      </c>
      <c r="AJ87" s="419">
        <v>0</v>
      </c>
      <c r="AK87" s="419">
        <v>0</v>
      </c>
      <c r="AL87" s="380">
        <v>1.5679999999999999E-4</v>
      </c>
      <c r="AM87" s="380"/>
      <c r="AN87" s="419">
        <v>0</v>
      </c>
      <c r="AO87" s="419">
        <v>0</v>
      </c>
      <c r="AP87" s="419">
        <v>0</v>
      </c>
      <c r="AQ87" s="419">
        <v>0</v>
      </c>
      <c r="AR87" s="419">
        <v>0</v>
      </c>
    </row>
    <row r="88" spans="1:44">
      <c r="A88" s="379">
        <v>91009</v>
      </c>
      <c r="B88" t="s">
        <v>806</v>
      </c>
      <c r="C88" s="380">
        <v>1.1199999999999999E-5</v>
      </c>
      <c r="D88" s="380"/>
      <c r="E88" s="419">
        <v>6057</v>
      </c>
      <c r="F88" s="419">
        <v>3462</v>
      </c>
      <c r="G88" s="419">
        <v>-807</v>
      </c>
      <c r="H88" s="419">
        <v>-7509</v>
      </c>
      <c r="I88" s="419">
        <v>0</v>
      </c>
      <c r="J88" s="380">
        <v>1.1199999999999999E-5</v>
      </c>
      <c r="K88" s="380"/>
      <c r="L88" s="419">
        <v>2742</v>
      </c>
      <c r="M88" s="419">
        <v>1894</v>
      </c>
      <c r="N88" s="419">
        <v>829</v>
      </c>
      <c r="O88" s="419">
        <v>0</v>
      </c>
      <c r="P88" s="419">
        <v>0</v>
      </c>
      <c r="Q88" s="380">
        <v>1.1199999999999999E-5</v>
      </c>
      <c r="R88" s="380"/>
      <c r="S88" s="419">
        <v>-5627</v>
      </c>
      <c r="T88" s="419">
        <v>-5561</v>
      </c>
      <c r="U88" s="419">
        <v>-5842</v>
      </c>
      <c r="V88" s="419">
        <v>-7509</v>
      </c>
      <c r="W88" s="419">
        <v>0</v>
      </c>
      <c r="X88" s="380">
        <v>1.1199999999999999E-5</v>
      </c>
      <c r="Z88" s="419">
        <v>4487</v>
      </c>
      <c r="AA88" s="419">
        <v>3152</v>
      </c>
      <c r="AB88" s="419">
        <v>3152</v>
      </c>
      <c r="AC88" s="419">
        <v>0</v>
      </c>
      <c r="AD88" s="419">
        <v>0</v>
      </c>
      <c r="AE88" s="380">
        <v>1.1199999999999999E-5</v>
      </c>
      <c r="AF88" s="380"/>
      <c r="AG88" s="419">
        <v>4615</v>
      </c>
      <c r="AH88" s="419">
        <v>4139</v>
      </c>
      <c r="AI88" s="419">
        <v>1054</v>
      </c>
      <c r="AJ88" s="419">
        <v>0</v>
      </c>
      <c r="AK88" s="419">
        <v>0</v>
      </c>
      <c r="AL88" s="380">
        <v>1.1199999999999999E-5</v>
      </c>
      <c r="AM88" s="380"/>
      <c r="AN88" s="419">
        <v>-160</v>
      </c>
      <c r="AO88" s="419">
        <v>-162</v>
      </c>
      <c r="AP88" s="419">
        <v>0</v>
      </c>
      <c r="AQ88" s="419">
        <v>0</v>
      </c>
      <c r="AR88" s="419">
        <v>0</v>
      </c>
    </row>
    <row r="89" spans="1:44">
      <c r="A89" s="379">
        <v>91010</v>
      </c>
      <c r="B89" t="s">
        <v>807</v>
      </c>
      <c r="C89" s="380">
        <v>4.8999999999999998E-5</v>
      </c>
      <c r="D89" s="380"/>
      <c r="E89" s="419">
        <v>8123</v>
      </c>
      <c r="F89" s="419">
        <v>538</v>
      </c>
      <c r="G89" s="419">
        <v>-5778</v>
      </c>
      <c r="H89" s="419">
        <v>-32853</v>
      </c>
      <c r="I89" s="419">
        <v>0</v>
      </c>
      <c r="J89" s="380">
        <v>4.8999999999999998E-5</v>
      </c>
      <c r="K89" s="380"/>
      <c r="L89" s="419">
        <v>11996</v>
      </c>
      <c r="M89" s="419">
        <v>8285</v>
      </c>
      <c r="N89" s="419">
        <v>3627</v>
      </c>
      <c r="O89" s="419">
        <v>0</v>
      </c>
      <c r="P89" s="419">
        <v>0</v>
      </c>
      <c r="Q89" s="380">
        <v>4.8999999999999998E-5</v>
      </c>
      <c r="R89" s="380"/>
      <c r="S89" s="419">
        <v>-24616</v>
      </c>
      <c r="T89" s="419">
        <v>-24331</v>
      </c>
      <c r="U89" s="419">
        <v>-25561</v>
      </c>
      <c r="V89" s="419">
        <v>-32853</v>
      </c>
      <c r="W89" s="419">
        <v>0</v>
      </c>
      <c r="X89" s="380">
        <v>4.8999999999999998E-5</v>
      </c>
      <c r="Z89" s="419">
        <v>19629</v>
      </c>
      <c r="AA89" s="419">
        <v>13791</v>
      </c>
      <c r="AB89" s="419">
        <v>13791</v>
      </c>
      <c r="AC89" s="419">
        <v>0</v>
      </c>
      <c r="AD89" s="419">
        <v>0</v>
      </c>
      <c r="AE89" s="380">
        <v>4.8999999999999998E-5</v>
      </c>
      <c r="AF89" s="380"/>
      <c r="AG89" s="419">
        <v>3432</v>
      </c>
      <c r="AH89" s="419">
        <v>3432</v>
      </c>
      <c r="AI89" s="419">
        <v>2365</v>
      </c>
      <c r="AJ89" s="419">
        <v>0</v>
      </c>
      <c r="AK89" s="419">
        <v>0</v>
      </c>
      <c r="AL89" s="380">
        <v>4.8999999999999998E-5</v>
      </c>
      <c r="AM89" s="380"/>
      <c r="AN89" s="419">
        <v>-2318</v>
      </c>
      <c r="AO89" s="419">
        <v>-639</v>
      </c>
      <c r="AP89" s="419">
        <v>0</v>
      </c>
      <c r="AQ89" s="419">
        <v>0</v>
      </c>
      <c r="AR89" s="419">
        <v>0</v>
      </c>
    </row>
    <row r="90" spans="1:44">
      <c r="A90" s="379">
        <v>91011</v>
      </c>
      <c r="B90" t="s">
        <v>808</v>
      </c>
      <c r="C90" s="380">
        <v>4.0470000000000002E-4</v>
      </c>
      <c r="D90" s="380"/>
      <c r="E90" s="419">
        <v>103693</v>
      </c>
      <c r="F90" s="419">
        <v>27548</v>
      </c>
      <c r="G90" s="419">
        <v>-42395</v>
      </c>
      <c r="H90" s="419">
        <v>-271341</v>
      </c>
      <c r="I90" s="419">
        <v>0</v>
      </c>
      <c r="J90" s="380">
        <v>4.0470000000000002E-4</v>
      </c>
      <c r="K90" s="380"/>
      <c r="L90" s="419">
        <v>99074</v>
      </c>
      <c r="M90" s="419">
        <v>68423</v>
      </c>
      <c r="N90" s="419">
        <v>29953</v>
      </c>
      <c r="O90" s="419">
        <v>0</v>
      </c>
      <c r="P90" s="419">
        <v>0</v>
      </c>
      <c r="Q90" s="380">
        <v>4.0470000000000002E-4</v>
      </c>
      <c r="R90" s="380"/>
      <c r="S90" s="419">
        <v>-203308</v>
      </c>
      <c r="T90" s="419">
        <v>-200956</v>
      </c>
      <c r="U90" s="419">
        <v>-211112</v>
      </c>
      <c r="V90" s="419">
        <v>-271341</v>
      </c>
      <c r="W90" s="419">
        <v>0</v>
      </c>
      <c r="X90" s="380">
        <v>4.0470000000000002E-4</v>
      </c>
      <c r="Z90" s="419">
        <v>162124</v>
      </c>
      <c r="AA90" s="419">
        <v>113901</v>
      </c>
      <c r="AB90" s="419">
        <v>113900</v>
      </c>
      <c r="AC90" s="419">
        <v>0</v>
      </c>
      <c r="AD90" s="419">
        <v>0</v>
      </c>
      <c r="AE90" s="380">
        <v>4.0470000000000002E-4</v>
      </c>
      <c r="AF90" s="380"/>
      <c r="AG90" s="419">
        <v>52503</v>
      </c>
      <c r="AH90" s="419">
        <v>52504</v>
      </c>
      <c r="AI90" s="419">
        <v>24864</v>
      </c>
      <c r="AJ90" s="419">
        <v>0</v>
      </c>
      <c r="AK90" s="419">
        <v>0</v>
      </c>
      <c r="AL90" s="380">
        <v>4.0470000000000002E-4</v>
      </c>
      <c r="AM90" s="380"/>
      <c r="AN90" s="419">
        <v>-6700</v>
      </c>
      <c r="AO90" s="419">
        <v>-6324</v>
      </c>
      <c r="AP90" s="419">
        <v>0</v>
      </c>
      <c r="AQ90" s="419">
        <v>0</v>
      </c>
      <c r="AR90" s="419">
        <v>0</v>
      </c>
    </row>
    <row r="91" spans="1:44">
      <c r="A91" s="379">
        <v>91012</v>
      </c>
      <c r="B91" t="s">
        <v>809</v>
      </c>
      <c r="C91" s="380">
        <v>1.3900000000000001E-5</v>
      </c>
      <c r="D91" s="380"/>
      <c r="E91" s="419">
        <v>2636</v>
      </c>
      <c r="F91" s="419">
        <v>781</v>
      </c>
      <c r="G91" s="419">
        <v>-352</v>
      </c>
      <c r="H91" s="419">
        <v>-9320</v>
      </c>
      <c r="I91" s="419">
        <v>0</v>
      </c>
      <c r="J91" s="380">
        <v>1.3900000000000001E-5</v>
      </c>
      <c r="K91" s="380"/>
      <c r="L91" s="419">
        <v>3403</v>
      </c>
      <c r="M91" s="419">
        <v>2350</v>
      </c>
      <c r="N91" s="419">
        <v>1029</v>
      </c>
      <c r="O91" s="419">
        <v>0</v>
      </c>
      <c r="P91" s="419">
        <v>0</v>
      </c>
      <c r="Q91" s="380">
        <v>1.3900000000000001E-5</v>
      </c>
      <c r="R91" s="380"/>
      <c r="S91" s="419">
        <v>-6983</v>
      </c>
      <c r="T91" s="419">
        <v>-6902</v>
      </c>
      <c r="U91" s="419">
        <v>-7251</v>
      </c>
      <c r="V91" s="419">
        <v>-9320</v>
      </c>
      <c r="W91" s="419">
        <v>0</v>
      </c>
      <c r="X91" s="380">
        <v>1.3900000000000001E-5</v>
      </c>
      <c r="Z91" s="419">
        <v>5568</v>
      </c>
      <c r="AA91" s="419">
        <v>3912</v>
      </c>
      <c r="AB91" s="419">
        <v>3912</v>
      </c>
      <c r="AC91" s="419">
        <v>0</v>
      </c>
      <c r="AD91" s="419">
        <v>0</v>
      </c>
      <c r="AE91" s="380">
        <v>1.3900000000000001E-5</v>
      </c>
      <c r="AF91" s="380"/>
      <c r="AG91" s="419">
        <v>2462</v>
      </c>
      <c r="AH91" s="419">
        <v>2460</v>
      </c>
      <c r="AI91" s="419">
        <v>1958</v>
      </c>
      <c r="AJ91" s="419">
        <v>0</v>
      </c>
      <c r="AK91" s="419">
        <v>0</v>
      </c>
      <c r="AL91" s="380">
        <v>1.3900000000000001E-5</v>
      </c>
      <c r="AM91" s="380"/>
      <c r="AN91" s="419">
        <v>-1814</v>
      </c>
      <c r="AO91" s="419">
        <v>-1039</v>
      </c>
      <c r="AP91" s="419">
        <v>0</v>
      </c>
      <c r="AQ91" s="419">
        <v>0</v>
      </c>
      <c r="AR91" s="419">
        <v>0</v>
      </c>
    </row>
    <row r="92" spans="1:44">
      <c r="A92" s="379">
        <v>91013</v>
      </c>
      <c r="B92" t="s">
        <v>810</v>
      </c>
      <c r="C92" s="380">
        <v>3.6000000000000001E-5</v>
      </c>
      <c r="D92" s="380"/>
      <c r="E92" s="419">
        <v>20373</v>
      </c>
      <c r="F92" s="419">
        <v>9342</v>
      </c>
      <c r="G92" s="419">
        <v>-2043</v>
      </c>
      <c r="H92" s="419">
        <v>-24137</v>
      </c>
      <c r="I92" s="419">
        <v>0</v>
      </c>
      <c r="J92" s="380">
        <v>3.6000000000000001E-5</v>
      </c>
      <c r="K92" s="380"/>
      <c r="L92" s="419">
        <v>8813</v>
      </c>
      <c r="M92" s="419">
        <v>6087</v>
      </c>
      <c r="N92" s="419">
        <v>2664</v>
      </c>
      <c r="O92" s="419">
        <v>0</v>
      </c>
      <c r="P92" s="419">
        <v>0</v>
      </c>
      <c r="Q92" s="380">
        <v>3.6000000000000001E-5</v>
      </c>
      <c r="R92" s="380"/>
      <c r="S92" s="419">
        <v>-18085</v>
      </c>
      <c r="T92" s="419">
        <v>-17876</v>
      </c>
      <c r="U92" s="419">
        <v>-18779</v>
      </c>
      <c r="V92" s="419">
        <v>-24137</v>
      </c>
      <c r="W92" s="419">
        <v>0</v>
      </c>
      <c r="X92" s="380">
        <v>3.6000000000000001E-5</v>
      </c>
      <c r="Z92" s="419">
        <v>14422</v>
      </c>
      <c r="AA92" s="419">
        <v>10132</v>
      </c>
      <c r="AB92" s="419">
        <v>10132</v>
      </c>
      <c r="AC92" s="419">
        <v>0</v>
      </c>
      <c r="AD92" s="419">
        <v>0</v>
      </c>
      <c r="AE92" s="380">
        <v>3.6000000000000001E-5</v>
      </c>
      <c r="AF92" s="380"/>
      <c r="AG92" s="419">
        <v>15223</v>
      </c>
      <c r="AH92" s="419">
        <v>10999</v>
      </c>
      <c r="AI92" s="419">
        <v>3940</v>
      </c>
      <c r="AJ92" s="419">
        <v>0</v>
      </c>
      <c r="AK92" s="419">
        <v>0</v>
      </c>
      <c r="AL92" s="380">
        <v>3.6000000000000001E-5</v>
      </c>
      <c r="AM92" s="380"/>
      <c r="AN92" s="419">
        <v>0</v>
      </c>
      <c r="AO92" s="419">
        <v>0</v>
      </c>
      <c r="AP92" s="419">
        <v>0</v>
      </c>
      <c r="AQ92" s="419">
        <v>0</v>
      </c>
      <c r="AR92" s="419">
        <v>0</v>
      </c>
    </row>
    <row r="93" spans="1:44">
      <c r="A93" s="379">
        <v>91014</v>
      </c>
      <c r="B93" t="s">
        <v>811</v>
      </c>
      <c r="C93" s="380">
        <v>1.8029999999999999E-4</v>
      </c>
      <c r="D93" s="380"/>
      <c r="E93" s="419">
        <v>25853</v>
      </c>
      <c r="F93" s="419">
        <v>-4598</v>
      </c>
      <c r="G93" s="419">
        <v>-24239</v>
      </c>
      <c r="H93" s="419">
        <v>-120886</v>
      </c>
      <c r="I93" s="419">
        <v>0</v>
      </c>
      <c r="J93" s="380">
        <v>1.8029999999999999E-4</v>
      </c>
      <c r="K93" s="380"/>
      <c r="L93" s="419">
        <v>44139</v>
      </c>
      <c r="M93" s="419">
        <v>30484</v>
      </c>
      <c r="N93" s="419">
        <v>13344</v>
      </c>
      <c r="O93" s="419">
        <v>0</v>
      </c>
      <c r="P93" s="419">
        <v>0</v>
      </c>
      <c r="Q93" s="380">
        <v>1.8029999999999999E-4</v>
      </c>
      <c r="R93" s="380"/>
      <c r="S93" s="419">
        <v>-90577</v>
      </c>
      <c r="T93" s="419">
        <v>-89529</v>
      </c>
      <c r="U93" s="419">
        <v>-94054</v>
      </c>
      <c r="V93" s="419">
        <v>-120886</v>
      </c>
      <c r="W93" s="419">
        <v>0</v>
      </c>
      <c r="X93" s="380">
        <v>1.8029999999999999E-4</v>
      </c>
      <c r="Z93" s="419">
        <v>72229</v>
      </c>
      <c r="AA93" s="419">
        <v>50745</v>
      </c>
      <c r="AB93" s="419">
        <v>50744</v>
      </c>
      <c r="AC93" s="419">
        <v>0</v>
      </c>
      <c r="AD93" s="419">
        <v>0</v>
      </c>
      <c r="AE93" s="380">
        <v>1.8029999999999999E-4</v>
      </c>
      <c r="AF93" s="380"/>
      <c r="AG93" s="419">
        <v>7163</v>
      </c>
      <c r="AH93" s="419">
        <v>7162</v>
      </c>
      <c r="AI93" s="419">
        <v>5727</v>
      </c>
      <c r="AJ93" s="419">
        <v>0</v>
      </c>
      <c r="AK93" s="419">
        <v>0</v>
      </c>
      <c r="AL93" s="380">
        <v>1.8029999999999999E-4</v>
      </c>
      <c r="AM93" s="380"/>
      <c r="AN93" s="419">
        <v>-7101</v>
      </c>
      <c r="AO93" s="419">
        <v>-3460</v>
      </c>
      <c r="AP93" s="419">
        <v>0</v>
      </c>
      <c r="AQ93" s="419">
        <v>0</v>
      </c>
      <c r="AR93" s="419">
        <v>0</v>
      </c>
    </row>
    <row r="94" spans="1:44">
      <c r="A94" s="379">
        <v>91015</v>
      </c>
      <c r="B94" t="s">
        <v>1640</v>
      </c>
      <c r="C94" s="380">
        <v>2.1699999999999999E-5</v>
      </c>
      <c r="D94" s="380"/>
      <c r="E94" s="419">
        <v>18363</v>
      </c>
      <c r="F94" s="419">
        <v>9190</v>
      </c>
      <c r="G94" s="419">
        <v>2323</v>
      </c>
      <c r="H94" s="419">
        <v>-14549</v>
      </c>
      <c r="I94" s="419">
        <v>0</v>
      </c>
      <c r="J94" s="380">
        <v>2.1699999999999999E-5</v>
      </c>
      <c r="K94" s="380"/>
      <c r="L94" s="419">
        <v>5312</v>
      </c>
      <c r="M94" s="419">
        <v>3669</v>
      </c>
      <c r="N94" s="419">
        <v>1606</v>
      </c>
      <c r="O94" s="419">
        <v>0</v>
      </c>
      <c r="P94" s="419">
        <v>0</v>
      </c>
      <c r="Q94" s="380">
        <v>2.1699999999999999E-5</v>
      </c>
      <c r="R94" s="380"/>
      <c r="S94" s="419">
        <v>-10901</v>
      </c>
      <c r="T94" s="419">
        <v>-10775</v>
      </c>
      <c r="U94" s="419">
        <v>-11320</v>
      </c>
      <c r="V94" s="419">
        <v>-14549</v>
      </c>
      <c r="W94" s="419">
        <v>0</v>
      </c>
      <c r="X94" s="380">
        <v>2.1699999999999999E-5</v>
      </c>
      <c r="Z94" s="419">
        <v>8693</v>
      </c>
      <c r="AA94" s="419">
        <v>6107</v>
      </c>
      <c r="AB94" s="419">
        <v>6107</v>
      </c>
      <c r="AC94" s="419">
        <v>0</v>
      </c>
      <c r="AD94" s="419">
        <v>0</v>
      </c>
      <c r="AE94" s="380">
        <v>2.1699999999999999E-5</v>
      </c>
      <c r="AF94" s="380"/>
      <c r="AG94" s="419">
        <v>15259</v>
      </c>
      <c r="AH94" s="419">
        <v>10189</v>
      </c>
      <c r="AI94" s="419">
        <v>5930</v>
      </c>
      <c r="AJ94" s="419">
        <v>0</v>
      </c>
      <c r="AK94" s="419">
        <v>0</v>
      </c>
      <c r="AL94" s="380">
        <v>2.1699999999999999E-5</v>
      </c>
      <c r="AM94" s="380"/>
      <c r="AN94" s="419">
        <v>0</v>
      </c>
      <c r="AO94" s="419">
        <v>0</v>
      </c>
      <c r="AP94" s="419">
        <v>0</v>
      </c>
      <c r="AQ94" s="419">
        <v>0</v>
      </c>
      <c r="AR94" s="419">
        <v>0</v>
      </c>
    </row>
    <row r="95" spans="1:44">
      <c r="A95" s="379">
        <v>91017</v>
      </c>
      <c r="B95" t="s">
        <v>812</v>
      </c>
      <c r="C95" s="380">
        <v>2.7500000000000001E-5</v>
      </c>
      <c r="D95" s="380"/>
      <c r="E95" s="419">
        <v>6119</v>
      </c>
      <c r="F95" s="419">
        <v>739</v>
      </c>
      <c r="G95" s="419">
        <v>-4799</v>
      </c>
      <c r="H95" s="419">
        <v>-18438</v>
      </c>
      <c r="I95" s="419">
        <v>0</v>
      </c>
      <c r="J95" s="380">
        <v>2.7500000000000001E-5</v>
      </c>
      <c r="K95" s="380"/>
      <c r="L95" s="419">
        <v>6732</v>
      </c>
      <c r="M95" s="419">
        <v>4649</v>
      </c>
      <c r="N95" s="419">
        <v>2035</v>
      </c>
      <c r="O95" s="419">
        <v>0</v>
      </c>
      <c r="P95" s="419">
        <v>0</v>
      </c>
      <c r="Q95" s="380">
        <v>2.7500000000000001E-5</v>
      </c>
      <c r="R95" s="380"/>
      <c r="S95" s="419">
        <v>-13815</v>
      </c>
      <c r="T95" s="419">
        <v>-13655</v>
      </c>
      <c r="U95" s="419">
        <v>-14345</v>
      </c>
      <c r="V95" s="419">
        <v>-18438</v>
      </c>
      <c r="W95" s="419">
        <v>0</v>
      </c>
      <c r="X95" s="380">
        <v>2.7500000000000001E-5</v>
      </c>
      <c r="Z95" s="419">
        <v>11017</v>
      </c>
      <c r="AA95" s="419">
        <v>7740</v>
      </c>
      <c r="AB95" s="419">
        <v>7740</v>
      </c>
      <c r="AC95" s="419">
        <v>0</v>
      </c>
      <c r="AD95" s="419">
        <v>0</v>
      </c>
      <c r="AE95" s="380">
        <v>2.7500000000000001E-5</v>
      </c>
      <c r="AF95" s="380"/>
      <c r="AG95" s="419">
        <v>2416</v>
      </c>
      <c r="AH95" s="419">
        <v>2236</v>
      </c>
      <c r="AI95" s="419">
        <v>0</v>
      </c>
      <c r="AJ95" s="419">
        <v>0</v>
      </c>
      <c r="AK95" s="419">
        <v>0</v>
      </c>
      <c r="AL95" s="380">
        <v>2.7500000000000001E-5</v>
      </c>
      <c r="AM95" s="380"/>
      <c r="AN95" s="419">
        <v>-231</v>
      </c>
      <c r="AO95" s="419">
        <v>-231</v>
      </c>
      <c r="AP95" s="419">
        <v>-229</v>
      </c>
      <c r="AQ95" s="419">
        <v>0</v>
      </c>
      <c r="AR95" s="419">
        <v>0</v>
      </c>
    </row>
    <row r="96" spans="1:44">
      <c r="A96" s="379">
        <v>91020</v>
      </c>
      <c r="B96" t="s">
        <v>813</v>
      </c>
      <c r="C96" s="380">
        <v>2.5400000000000001E-5</v>
      </c>
      <c r="D96" s="380"/>
      <c r="E96" s="419">
        <v>5255</v>
      </c>
      <c r="F96" s="419">
        <v>-594</v>
      </c>
      <c r="G96" s="419">
        <v>-1600</v>
      </c>
      <c r="H96" s="419">
        <v>-17030</v>
      </c>
      <c r="I96" s="419">
        <v>0</v>
      </c>
      <c r="J96" s="380">
        <v>2.5400000000000001E-5</v>
      </c>
      <c r="K96" s="380"/>
      <c r="L96" s="419">
        <v>6218</v>
      </c>
      <c r="M96" s="419">
        <v>4294</v>
      </c>
      <c r="N96" s="419">
        <v>1880</v>
      </c>
      <c r="O96" s="419">
        <v>0</v>
      </c>
      <c r="P96" s="419">
        <v>0</v>
      </c>
      <c r="Q96" s="380">
        <v>2.5400000000000001E-5</v>
      </c>
      <c r="R96" s="380"/>
      <c r="S96" s="419">
        <v>-12760</v>
      </c>
      <c r="T96" s="419">
        <v>-12612</v>
      </c>
      <c r="U96" s="419">
        <v>-13250</v>
      </c>
      <c r="V96" s="419">
        <v>-17030</v>
      </c>
      <c r="W96" s="419">
        <v>0</v>
      </c>
      <c r="X96" s="380">
        <v>2.5400000000000001E-5</v>
      </c>
      <c r="Z96" s="419">
        <v>10175</v>
      </c>
      <c r="AA96" s="419">
        <v>7149</v>
      </c>
      <c r="AB96" s="419">
        <v>7149</v>
      </c>
      <c r="AC96" s="419">
        <v>0</v>
      </c>
      <c r="AD96" s="419">
        <v>0</v>
      </c>
      <c r="AE96" s="380">
        <v>2.5400000000000001E-5</v>
      </c>
      <c r="AF96" s="380"/>
      <c r="AG96" s="419">
        <v>3667</v>
      </c>
      <c r="AH96" s="419">
        <v>2620</v>
      </c>
      <c r="AI96" s="419">
        <v>2621</v>
      </c>
      <c r="AJ96" s="419">
        <v>0</v>
      </c>
      <c r="AK96" s="419">
        <v>0</v>
      </c>
      <c r="AL96" s="380">
        <v>2.5400000000000001E-5</v>
      </c>
      <c r="AM96" s="380"/>
      <c r="AN96" s="419">
        <v>-2045</v>
      </c>
      <c r="AO96" s="419">
        <v>-2045</v>
      </c>
      <c r="AP96" s="419">
        <v>0</v>
      </c>
      <c r="AQ96" s="419">
        <v>0</v>
      </c>
      <c r="AR96" s="419">
        <v>0</v>
      </c>
    </row>
    <row r="97" spans="1:44">
      <c r="A97" s="379">
        <v>91021</v>
      </c>
      <c r="B97" t="s">
        <v>814</v>
      </c>
      <c r="C97" s="380">
        <v>9.3899999999999995E-4</v>
      </c>
      <c r="D97" s="380"/>
      <c r="E97" s="419">
        <v>158410</v>
      </c>
      <c r="F97" s="419">
        <v>-23242</v>
      </c>
      <c r="G97" s="419">
        <v>-163859</v>
      </c>
      <c r="H97" s="419">
        <v>-629575</v>
      </c>
      <c r="I97" s="419">
        <v>0</v>
      </c>
      <c r="J97" s="380">
        <v>9.3899999999999995E-4</v>
      </c>
      <c r="K97" s="380"/>
      <c r="L97" s="419">
        <v>229875</v>
      </c>
      <c r="M97" s="419">
        <v>158759</v>
      </c>
      <c r="N97" s="419">
        <v>69497</v>
      </c>
      <c r="O97" s="419">
        <v>0</v>
      </c>
      <c r="P97" s="419">
        <v>0</v>
      </c>
      <c r="Q97" s="380">
        <v>9.3899999999999995E-4</v>
      </c>
      <c r="R97" s="380"/>
      <c r="S97" s="419">
        <v>-471724</v>
      </c>
      <c r="T97" s="419">
        <v>-466265</v>
      </c>
      <c r="U97" s="419">
        <v>-489830</v>
      </c>
      <c r="V97" s="419">
        <v>-629575</v>
      </c>
      <c r="W97" s="419">
        <v>0</v>
      </c>
      <c r="X97" s="380">
        <v>9.3899999999999995E-4</v>
      </c>
      <c r="Z97" s="419">
        <v>376165</v>
      </c>
      <c r="AA97" s="419">
        <v>264277</v>
      </c>
      <c r="AB97" s="419">
        <v>264275</v>
      </c>
      <c r="AC97" s="419">
        <v>0</v>
      </c>
      <c r="AD97" s="419">
        <v>0</v>
      </c>
      <c r="AE97" s="380">
        <v>9.3899999999999995E-4</v>
      </c>
      <c r="AF97" s="380"/>
      <c r="AG97" s="419">
        <v>31895</v>
      </c>
      <c r="AH97" s="419">
        <v>27788</v>
      </c>
      <c r="AI97" s="419">
        <v>0</v>
      </c>
      <c r="AJ97" s="419">
        <v>0</v>
      </c>
      <c r="AK97" s="419">
        <v>0</v>
      </c>
      <c r="AL97" s="380">
        <v>9.3899999999999995E-4</v>
      </c>
      <c r="AM97" s="380"/>
      <c r="AN97" s="419">
        <v>-7801</v>
      </c>
      <c r="AO97" s="419">
        <v>-7801</v>
      </c>
      <c r="AP97" s="419">
        <v>-7801</v>
      </c>
      <c r="AQ97" s="419">
        <v>0</v>
      </c>
      <c r="AR97" s="419">
        <v>0</v>
      </c>
    </row>
    <row r="98" spans="1:44">
      <c r="A98" s="379">
        <v>91024</v>
      </c>
      <c r="B98" t="s">
        <v>815</v>
      </c>
      <c r="C98" s="380">
        <v>8.0000000000000007E-5</v>
      </c>
      <c r="D98" s="380"/>
      <c r="E98" s="419">
        <v>11580</v>
      </c>
      <c r="F98" s="419">
        <v>-7523</v>
      </c>
      <c r="G98" s="419">
        <v>-22617</v>
      </c>
      <c r="H98" s="419">
        <v>-53638</v>
      </c>
      <c r="I98" s="419">
        <v>0</v>
      </c>
      <c r="J98" s="380">
        <v>8.0000000000000007E-5</v>
      </c>
      <c r="K98" s="380"/>
      <c r="L98" s="419">
        <v>19585</v>
      </c>
      <c r="M98" s="419">
        <v>13526</v>
      </c>
      <c r="N98" s="419">
        <v>5921</v>
      </c>
      <c r="O98" s="419">
        <v>0</v>
      </c>
      <c r="P98" s="419">
        <v>0</v>
      </c>
      <c r="Q98" s="380">
        <v>8.0000000000000007E-5</v>
      </c>
      <c r="R98" s="380"/>
      <c r="S98" s="419">
        <v>-40189</v>
      </c>
      <c r="T98" s="419">
        <v>-39724</v>
      </c>
      <c r="U98" s="419">
        <v>-41732</v>
      </c>
      <c r="V98" s="419">
        <v>-53638</v>
      </c>
      <c r="W98" s="419">
        <v>0</v>
      </c>
      <c r="X98" s="380">
        <v>8.0000000000000007E-5</v>
      </c>
      <c r="Z98" s="419">
        <v>32048</v>
      </c>
      <c r="AA98" s="419">
        <v>22516</v>
      </c>
      <c r="AB98" s="419">
        <v>22515</v>
      </c>
      <c r="AC98" s="419">
        <v>0</v>
      </c>
      <c r="AD98" s="419">
        <v>0</v>
      </c>
      <c r="AE98" s="380">
        <v>8.0000000000000007E-5</v>
      </c>
      <c r="AF98" s="380"/>
      <c r="AG98" s="419">
        <v>9456</v>
      </c>
      <c r="AH98" s="419">
        <v>5479</v>
      </c>
      <c r="AI98" s="419">
        <v>0</v>
      </c>
      <c r="AJ98" s="419">
        <v>0</v>
      </c>
      <c r="AK98" s="419">
        <v>0</v>
      </c>
      <c r="AL98" s="380">
        <v>8.0000000000000007E-5</v>
      </c>
      <c r="AM98" s="380"/>
      <c r="AN98" s="419">
        <v>-9320</v>
      </c>
      <c r="AO98" s="419">
        <v>-9320</v>
      </c>
      <c r="AP98" s="419">
        <v>-9321</v>
      </c>
      <c r="AQ98" s="419">
        <v>0</v>
      </c>
      <c r="AR98" s="419">
        <v>0</v>
      </c>
    </row>
    <row r="99" spans="1:44">
      <c r="A99" s="379">
        <v>91026</v>
      </c>
      <c r="B99" t="s">
        <v>43</v>
      </c>
      <c r="C99" s="380">
        <v>3.1300000000000002E-5</v>
      </c>
      <c r="D99" s="380"/>
      <c r="E99" s="419">
        <v>20167</v>
      </c>
      <c r="F99" s="419">
        <v>8587</v>
      </c>
      <c r="G99" s="419">
        <v>-408</v>
      </c>
      <c r="H99" s="419">
        <v>-20986</v>
      </c>
      <c r="I99" s="419">
        <v>0</v>
      </c>
      <c r="J99" s="380">
        <v>3.1300000000000002E-5</v>
      </c>
      <c r="K99" s="380"/>
      <c r="L99" s="419">
        <v>7662</v>
      </c>
      <c r="M99" s="419">
        <v>5292</v>
      </c>
      <c r="N99" s="419">
        <v>2317</v>
      </c>
      <c r="O99" s="419">
        <v>0</v>
      </c>
      <c r="P99" s="419">
        <v>0</v>
      </c>
      <c r="Q99" s="380">
        <v>3.1300000000000002E-5</v>
      </c>
      <c r="R99" s="380"/>
      <c r="S99" s="419">
        <v>-15724</v>
      </c>
      <c r="T99" s="419">
        <v>-15542</v>
      </c>
      <c r="U99" s="419">
        <v>-16328</v>
      </c>
      <c r="V99" s="419">
        <v>-20986</v>
      </c>
      <c r="W99" s="419">
        <v>0</v>
      </c>
      <c r="X99" s="380">
        <v>3.1300000000000002E-5</v>
      </c>
      <c r="Z99" s="419">
        <v>12539</v>
      </c>
      <c r="AA99" s="419">
        <v>8809</v>
      </c>
      <c r="AB99" s="419">
        <v>8809</v>
      </c>
      <c r="AC99" s="419">
        <v>0</v>
      </c>
      <c r="AD99" s="419">
        <v>0</v>
      </c>
      <c r="AE99" s="380">
        <v>3.1300000000000002E-5</v>
      </c>
      <c r="AF99" s="380"/>
      <c r="AG99" s="419">
        <v>15690</v>
      </c>
      <c r="AH99" s="419">
        <v>10028</v>
      </c>
      <c r="AI99" s="419">
        <v>4794</v>
      </c>
      <c r="AJ99" s="419">
        <v>0</v>
      </c>
      <c r="AK99" s="419">
        <v>0</v>
      </c>
      <c r="AL99" s="380">
        <v>3.1300000000000002E-5</v>
      </c>
      <c r="AM99" s="380"/>
      <c r="AN99" s="419">
        <v>0</v>
      </c>
      <c r="AO99" s="419">
        <v>0</v>
      </c>
      <c r="AP99" s="419">
        <v>0</v>
      </c>
      <c r="AQ99" s="419">
        <v>0</v>
      </c>
      <c r="AR99" s="419">
        <v>0</v>
      </c>
    </row>
    <row r="100" spans="1:44">
      <c r="A100" s="379">
        <v>91027</v>
      </c>
      <c r="B100" t="s">
        <v>816</v>
      </c>
      <c r="C100" s="380">
        <v>1.9599999999999999E-5</v>
      </c>
      <c r="D100" s="380"/>
      <c r="E100" s="419">
        <v>11494</v>
      </c>
      <c r="F100" s="419">
        <v>6039</v>
      </c>
      <c r="G100" s="419">
        <v>53</v>
      </c>
      <c r="H100" s="419">
        <v>-13141</v>
      </c>
      <c r="I100" s="419">
        <v>0</v>
      </c>
      <c r="J100" s="380">
        <v>1.9599999999999999E-5</v>
      </c>
      <c r="K100" s="380"/>
      <c r="L100" s="419">
        <v>4798</v>
      </c>
      <c r="M100" s="419">
        <v>3314</v>
      </c>
      <c r="N100" s="419">
        <v>1451</v>
      </c>
      <c r="O100" s="419">
        <v>0</v>
      </c>
      <c r="P100" s="419">
        <v>0</v>
      </c>
      <c r="Q100" s="380">
        <v>1.9599999999999999E-5</v>
      </c>
      <c r="R100" s="380"/>
      <c r="S100" s="419">
        <v>-9846</v>
      </c>
      <c r="T100" s="419">
        <v>-9732</v>
      </c>
      <c r="U100" s="419">
        <v>-10224</v>
      </c>
      <c r="V100" s="419">
        <v>-13141</v>
      </c>
      <c r="W100" s="419">
        <v>0</v>
      </c>
      <c r="X100" s="380">
        <v>1.9599999999999999E-5</v>
      </c>
      <c r="Z100" s="419">
        <v>7852</v>
      </c>
      <c r="AA100" s="419">
        <v>5516</v>
      </c>
      <c r="AB100" s="419">
        <v>5516</v>
      </c>
      <c r="AC100" s="419">
        <v>0</v>
      </c>
      <c r="AD100" s="419">
        <v>0</v>
      </c>
      <c r="AE100" s="380">
        <v>1.9599999999999999E-5</v>
      </c>
      <c r="AF100" s="380"/>
      <c r="AG100" s="419">
        <v>8690</v>
      </c>
      <c r="AH100" s="419">
        <v>6941</v>
      </c>
      <c r="AI100" s="419">
        <v>3310</v>
      </c>
      <c r="AJ100" s="419">
        <v>0</v>
      </c>
      <c r="AK100" s="419">
        <v>0</v>
      </c>
      <c r="AL100" s="380">
        <v>1.9599999999999999E-5</v>
      </c>
      <c r="AM100" s="380"/>
      <c r="AN100" s="419">
        <v>0</v>
      </c>
      <c r="AO100" s="419">
        <v>0</v>
      </c>
      <c r="AP100" s="419">
        <v>0</v>
      </c>
      <c r="AQ100" s="419">
        <v>0</v>
      </c>
      <c r="AR100" s="419">
        <v>0</v>
      </c>
    </row>
    <row r="101" spans="1:44">
      <c r="A101" s="379">
        <v>91032</v>
      </c>
      <c r="B101" t="s">
        <v>817</v>
      </c>
      <c r="C101" s="380">
        <v>3.3699999999999999E-5</v>
      </c>
      <c r="D101" s="380"/>
      <c r="E101" s="419">
        <v>24191</v>
      </c>
      <c r="F101" s="419">
        <v>15837</v>
      </c>
      <c r="G101" s="419">
        <v>3668</v>
      </c>
      <c r="H101" s="419">
        <v>-22595</v>
      </c>
      <c r="I101" s="419">
        <v>0</v>
      </c>
      <c r="J101" s="380">
        <v>3.3699999999999999E-5</v>
      </c>
      <c r="K101" s="380"/>
      <c r="L101" s="419">
        <v>8250</v>
      </c>
      <c r="M101" s="419">
        <v>5698</v>
      </c>
      <c r="N101" s="419">
        <v>2494</v>
      </c>
      <c r="O101" s="419">
        <v>0</v>
      </c>
      <c r="P101" s="419">
        <v>0</v>
      </c>
      <c r="Q101" s="380">
        <v>3.3699999999999999E-5</v>
      </c>
      <c r="R101" s="380"/>
      <c r="S101" s="419">
        <v>-16930</v>
      </c>
      <c r="T101" s="419">
        <v>-16734</v>
      </c>
      <c r="U101" s="419">
        <v>-17580</v>
      </c>
      <c r="V101" s="419">
        <v>-22595</v>
      </c>
      <c r="W101" s="419">
        <v>0</v>
      </c>
      <c r="X101" s="380">
        <v>3.3699999999999999E-5</v>
      </c>
      <c r="Z101" s="419">
        <v>13500</v>
      </c>
      <c r="AA101" s="419">
        <v>9485</v>
      </c>
      <c r="AB101" s="419">
        <v>9485</v>
      </c>
      <c r="AC101" s="419">
        <v>0</v>
      </c>
      <c r="AD101" s="419">
        <v>0</v>
      </c>
      <c r="AE101" s="380">
        <v>3.3699999999999999E-5</v>
      </c>
      <c r="AF101" s="380"/>
      <c r="AG101" s="419">
        <v>19371</v>
      </c>
      <c r="AH101" s="419">
        <v>17388</v>
      </c>
      <c r="AI101" s="419">
        <v>9269</v>
      </c>
      <c r="AJ101" s="419">
        <v>0</v>
      </c>
      <c r="AK101" s="419">
        <v>0</v>
      </c>
      <c r="AL101" s="380">
        <v>3.3699999999999999E-5</v>
      </c>
      <c r="AM101" s="380"/>
      <c r="AN101" s="419">
        <v>0</v>
      </c>
      <c r="AO101" s="419">
        <v>0</v>
      </c>
      <c r="AP101" s="419">
        <v>0</v>
      </c>
      <c r="AQ101" s="419">
        <v>0</v>
      </c>
      <c r="AR101" s="419">
        <v>0</v>
      </c>
    </row>
    <row r="102" spans="1:44">
      <c r="A102" s="379">
        <v>91041</v>
      </c>
      <c r="B102" t="s">
        <v>818</v>
      </c>
      <c r="C102" s="380">
        <v>4.1340000000000002E-4</v>
      </c>
      <c r="D102" s="380"/>
      <c r="E102" s="419">
        <v>16101</v>
      </c>
      <c r="F102" s="419">
        <v>-60945</v>
      </c>
      <c r="G102" s="419">
        <v>-111953</v>
      </c>
      <c r="H102" s="419">
        <v>-277174</v>
      </c>
      <c r="I102" s="419">
        <v>0</v>
      </c>
      <c r="J102" s="380">
        <v>4.1340000000000002E-4</v>
      </c>
      <c r="K102" s="380"/>
      <c r="L102" s="419">
        <v>101204</v>
      </c>
      <c r="M102" s="419">
        <v>69894</v>
      </c>
      <c r="N102" s="419">
        <v>30597</v>
      </c>
      <c r="O102" s="419">
        <v>0</v>
      </c>
      <c r="P102" s="419">
        <v>0</v>
      </c>
      <c r="Q102" s="380">
        <v>4.1340000000000002E-4</v>
      </c>
      <c r="R102" s="380"/>
      <c r="S102" s="419">
        <v>-207679</v>
      </c>
      <c r="T102" s="419">
        <v>-205276</v>
      </c>
      <c r="U102" s="419">
        <v>-215651</v>
      </c>
      <c r="V102" s="419">
        <v>-277174</v>
      </c>
      <c r="W102" s="419">
        <v>0</v>
      </c>
      <c r="X102" s="380">
        <v>4.1340000000000002E-4</v>
      </c>
      <c r="Z102" s="419">
        <v>165609</v>
      </c>
      <c r="AA102" s="419">
        <v>116349</v>
      </c>
      <c r="AB102" s="419">
        <v>116349</v>
      </c>
      <c r="AC102" s="419">
        <v>0</v>
      </c>
      <c r="AD102" s="419">
        <v>0</v>
      </c>
      <c r="AE102" s="380">
        <v>4.1340000000000002E-4</v>
      </c>
      <c r="AF102" s="380"/>
      <c r="AG102" s="419">
        <v>7394</v>
      </c>
      <c r="AH102" s="419">
        <v>7393</v>
      </c>
      <c r="AI102" s="419">
        <v>0</v>
      </c>
      <c r="AJ102" s="419">
        <v>0</v>
      </c>
      <c r="AK102" s="419">
        <v>0</v>
      </c>
      <c r="AL102" s="380">
        <v>4.1340000000000002E-4</v>
      </c>
      <c r="AM102" s="380"/>
      <c r="AN102" s="419">
        <v>-50427</v>
      </c>
      <c r="AO102" s="419">
        <v>-49305</v>
      </c>
      <c r="AP102" s="419">
        <v>-43248</v>
      </c>
      <c r="AQ102" s="419">
        <v>0</v>
      </c>
      <c r="AR102" s="419">
        <v>0</v>
      </c>
    </row>
    <row r="103" spans="1:44">
      <c r="A103" s="379">
        <v>91042</v>
      </c>
      <c r="B103" t="s">
        <v>819</v>
      </c>
      <c r="C103" s="380">
        <v>2.9639999999999999E-4</v>
      </c>
      <c r="D103" s="380"/>
      <c r="E103" s="419">
        <v>55440</v>
      </c>
      <c r="F103" s="419">
        <v>-3455</v>
      </c>
      <c r="G103" s="419">
        <v>-38443</v>
      </c>
      <c r="H103" s="419">
        <v>-198728</v>
      </c>
      <c r="I103" s="419">
        <v>0</v>
      </c>
      <c r="J103" s="380">
        <v>2.9639999999999999E-4</v>
      </c>
      <c r="K103" s="380"/>
      <c r="L103" s="419">
        <v>72561</v>
      </c>
      <c r="M103" s="419">
        <v>50113</v>
      </c>
      <c r="N103" s="419">
        <v>21937</v>
      </c>
      <c r="O103" s="419">
        <v>0</v>
      </c>
      <c r="P103" s="419">
        <v>0</v>
      </c>
      <c r="Q103" s="380">
        <v>2.9639999999999999E-4</v>
      </c>
      <c r="R103" s="380"/>
      <c r="S103" s="419">
        <v>-148902</v>
      </c>
      <c r="T103" s="419">
        <v>-147179</v>
      </c>
      <c r="U103" s="419">
        <v>-154617</v>
      </c>
      <c r="V103" s="419">
        <v>-198728</v>
      </c>
      <c r="W103" s="419">
        <v>0</v>
      </c>
      <c r="X103" s="380">
        <v>2.9639999999999999E-4</v>
      </c>
      <c r="Z103" s="419">
        <v>118738</v>
      </c>
      <c r="AA103" s="419">
        <v>83420</v>
      </c>
      <c r="AB103" s="419">
        <v>83420</v>
      </c>
      <c r="AC103" s="419">
        <v>0</v>
      </c>
      <c r="AD103" s="419">
        <v>0</v>
      </c>
      <c r="AE103" s="380">
        <v>2.9639999999999999E-4</v>
      </c>
      <c r="AF103" s="380"/>
      <c r="AG103" s="419">
        <v>16264</v>
      </c>
      <c r="AH103" s="419">
        <v>13412</v>
      </c>
      <c r="AI103" s="419">
        <v>10817</v>
      </c>
      <c r="AJ103" s="419">
        <v>0</v>
      </c>
      <c r="AK103" s="419">
        <v>0</v>
      </c>
      <c r="AL103" s="380">
        <v>2.9639999999999999E-4</v>
      </c>
      <c r="AM103" s="380"/>
      <c r="AN103" s="419">
        <v>-3221</v>
      </c>
      <c r="AO103" s="419">
        <v>-3221</v>
      </c>
      <c r="AP103" s="419">
        <v>0</v>
      </c>
      <c r="AQ103" s="419">
        <v>0</v>
      </c>
      <c r="AR103" s="419">
        <v>0</v>
      </c>
    </row>
    <row r="104" spans="1:44">
      <c r="A104" s="379">
        <v>91047</v>
      </c>
      <c r="B104" t="s">
        <v>820</v>
      </c>
      <c r="C104" s="380">
        <v>1.24E-5</v>
      </c>
      <c r="D104" s="380"/>
      <c r="E104" s="419">
        <v>8394</v>
      </c>
      <c r="F104" s="419">
        <v>3781</v>
      </c>
      <c r="G104" s="419">
        <v>-79</v>
      </c>
      <c r="H104" s="419">
        <v>-8314</v>
      </c>
      <c r="I104" s="419">
        <v>0</v>
      </c>
      <c r="J104" s="380">
        <v>1.24E-5</v>
      </c>
      <c r="K104" s="380"/>
      <c r="L104" s="419">
        <v>3036</v>
      </c>
      <c r="M104" s="419">
        <v>2096</v>
      </c>
      <c r="N104" s="419">
        <v>918</v>
      </c>
      <c r="O104" s="419">
        <v>0</v>
      </c>
      <c r="P104" s="419">
        <v>0</v>
      </c>
      <c r="Q104" s="380">
        <v>1.24E-5</v>
      </c>
      <c r="R104" s="380"/>
      <c r="S104" s="419">
        <v>-6229</v>
      </c>
      <c r="T104" s="419">
        <v>-6157</v>
      </c>
      <c r="U104" s="419">
        <v>-6468</v>
      </c>
      <c r="V104" s="419">
        <v>-8314</v>
      </c>
      <c r="W104" s="419">
        <v>0</v>
      </c>
      <c r="X104" s="380">
        <v>1.24E-5</v>
      </c>
      <c r="Z104" s="419">
        <v>4967</v>
      </c>
      <c r="AA104" s="419">
        <v>3490</v>
      </c>
      <c r="AB104" s="419">
        <v>3490</v>
      </c>
      <c r="AC104" s="419">
        <v>0</v>
      </c>
      <c r="AD104" s="419">
        <v>0</v>
      </c>
      <c r="AE104" s="380">
        <v>1.24E-5</v>
      </c>
      <c r="AF104" s="380"/>
      <c r="AG104" s="419">
        <v>6626</v>
      </c>
      <c r="AH104" s="419">
        <v>4359</v>
      </c>
      <c r="AI104" s="419">
        <v>1981</v>
      </c>
      <c r="AJ104" s="419">
        <v>0</v>
      </c>
      <c r="AK104" s="419">
        <v>0</v>
      </c>
      <c r="AL104" s="380">
        <v>1.24E-5</v>
      </c>
      <c r="AM104" s="380"/>
      <c r="AN104" s="419">
        <v>-6</v>
      </c>
      <c r="AO104" s="419">
        <v>-7</v>
      </c>
      <c r="AP104" s="419">
        <v>0</v>
      </c>
      <c r="AQ104" s="419">
        <v>0</v>
      </c>
      <c r="AR104" s="419">
        <v>0</v>
      </c>
    </row>
    <row r="105" spans="1:44">
      <c r="A105" s="379">
        <v>91051</v>
      </c>
      <c r="B105" t="s">
        <v>821</v>
      </c>
      <c r="C105" s="380">
        <v>4.7299999999999998E-5</v>
      </c>
      <c r="D105" s="380"/>
      <c r="E105" s="419">
        <v>2870</v>
      </c>
      <c r="F105" s="419">
        <v>-6362</v>
      </c>
      <c r="G105" s="419">
        <v>-12469</v>
      </c>
      <c r="H105" s="419">
        <v>-31713</v>
      </c>
      <c r="I105" s="419">
        <v>0</v>
      </c>
      <c r="J105" s="380">
        <v>4.7299999999999998E-5</v>
      </c>
      <c r="K105" s="380"/>
      <c r="L105" s="419">
        <v>11579</v>
      </c>
      <c r="M105" s="419">
        <v>7997</v>
      </c>
      <c r="N105" s="419">
        <v>3501</v>
      </c>
      <c r="O105" s="419">
        <v>0</v>
      </c>
      <c r="P105" s="419">
        <v>0</v>
      </c>
      <c r="Q105" s="380">
        <v>4.7299999999999998E-5</v>
      </c>
      <c r="R105" s="380"/>
      <c r="S105" s="419">
        <v>-23762</v>
      </c>
      <c r="T105" s="419">
        <v>-23487</v>
      </c>
      <c r="U105" s="419">
        <v>-24674</v>
      </c>
      <c r="V105" s="419">
        <v>-31713</v>
      </c>
      <c r="W105" s="419">
        <v>0</v>
      </c>
      <c r="X105" s="380">
        <v>4.7299999999999998E-5</v>
      </c>
      <c r="Z105" s="419">
        <v>18948</v>
      </c>
      <c r="AA105" s="419">
        <v>13312</v>
      </c>
      <c r="AB105" s="419">
        <v>13312</v>
      </c>
      <c r="AC105" s="419">
        <v>0</v>
      </c>
      <c r="AD105" s="419">
        <v>0</v>
      </c>
      <c r="AE105" s="380">
        <v>4.7299999999999998E-5</v>
      </c>
      <c r="AF105" s="380"/>
      <c r="AG105" s="419">
        <v>989</v>
      </c>
      <c r="AH105" s="419">
        <v>698</v>
      </c>
      <c r="AI105" s="419">
        <v>0</v>
      </c>
      <c r="AJ105" s="419">
        <v>0</v>
      </c>
      <c r="AK105" s="419">
        <v>0</v>
      </c>
      <c r="AL105" s="380">
        <v>4.7299999999999998E-5</v>
      </c>
      <c r="AM105" s="380"/>
      <c r="AN105" s="419">
        <v>-4884</v>
      </c>
      <c r="AO105" s="419">
        <v>-4882</v>
      </c>
      <c r="AP105" s="419">
        <v>-4608</v>
      </c>
      <c r="AQ105" s="419">
        <v>0</v>
      </c>
      <c r="AR105" s="419">
        <v>0</v>
      </c>
    </row>
    <row r="106" spans="1:44">
      <c r="A106" s="379">
        <v>91057</v>
      </c>
      <c r="B106" t="s">
        <v>822</v>
      </c>
      <c r="C106" s="380">
        <v>1.11E-5</v>
      </c>
      <c r="D106" s="380"/>
      <c r="E106" s="419">
        <v>4400</v>
      </c>
      <c r="F106" s="419">
        <v>1630</v>
      </c>
      <c r="G106" s="419">
        <v>-148</v>
      </c>
      <c r="H106" s="419">
        <v>-7442</v>
      </c>
      <c r="I106" s="419">
        <v>0</v>
      </c>
      <c r="J106" s="380">
        <v>1.11E-5</v>
      </c>
      <c r="K106" s="380"/>
      <c r="L106" s="419">
        <v>2717</v>
      </c>
      <c r="M106" s="419">
        <v>1877</v>
      </c>
      <c r="N106" s="419">
        <v>822</v>
      </c>
      <c r="O106" s="419">
        <v>0</v>
      </c>
      <c r="P106" s="419">
        <v>0</v>
      </c>
      <c r="Q106" s="380">
        <v>1.11E-5</v>
      </c>
      <c r="R106" s="380"/>
      <c r="S106" s="419">
        <v>-5576</v>
      </c>
      <c r="T106" s="419">
        <v>-5512</v>
      </c>
      <c r="U106" s="419">
        <v>-5790</v>
      </c>
      <c r="V106" s="419">
        <v>-7442</v>
      </c>
      <c r="W106" s="419">
        <v>0</v>
      </c>
      <c r="X106" s="380">
        <v>1.11E-5</v>
      </c>
      <c r="Z106" s="419">
        <v>4447</v>
      </c>
      <c r="AA106" s="419">
        <v>3124</v>
      </c>
      <c r="AB106" s="419">
        <v>3124</v>
      </c>
      <c r="AC106" s="419">
        <v>0</v>
      </c>
      <c r="AD106" s="419">
        <v>0</v>
      </c>
      <c r="AE106" s="380">
        <v>1.11E-5</v>
      </c>
      <c r="AF106" s="380"/>
      <c r="AG106" s="419">
        <v>3648</v>
      </c>
      <c r="AH106" s="419">
        <v>2975</v>
      </c>
      <c r="AI106" s="419">
        <v>1696</v>
      </c>
      <c r="AJ106" s="419">
        <v>0</v>
      </c>
      <c r="AK106" s="419">
        <v>0</v>
      </c>
      <c r="AL106" s="380">
        <v>1.11E-5</v>
      </c>
      <c r="AM106" s="380"/>
      <c r="AN106" s="419">
        <v>-836</v>
      </c>
      <c r="AO106" s="419">
        <v>-834</v>
      </c>
      <c r="AP106" s="419">
        <v>0</v>
      </c>
      <c r="AQ106" s="419">
        <v>0</v>
      </c>
      <c r="AR106" s="419">
        <v>0</v>
      </c>
    </row>
    <row r="107" spans="1:44">
      <c r="A107" s="379">
        <v>91061</v>
      </c>
      <c r="B107" t="s">
        <v>823</v>
      </c>
      <c r="C107" s="380">
        <v>3.7439999999999999E-4</v>
      </c>
      <c r="D107" s="380"/>
      <c r="E107" s="419">
        <v>42857</v>
      </c>
      <c r="F107" s="419">
        <v>-21309</v>
      </c>
      <c r="G107" s="419">
        <v>-63298</v>
      </c>
      <c r="H107" s="419">
        <v>-251025</v>
      </c>
      <c r="I107" s="419">
        <v>0</v>
      </c>
      <c r="J107" s="380">
        <v>3.7439999999999999E-4</v>
      </c>
      <c r="K107" s="380"/>
      <c r="L107" s="419">
        <v>91656</v>
      </c>
      <c r="M107" s="419">
        <v>63301</v>
      </c>
      <c r="N107" s="419">
        <v>27710</v>
      </c>
      <c r="O107" s="419">
        <v>0</v>
      </c>
      <c r="P107" s="419">
        <v>0</v>
      </c>
      <c r="Q107" s="380">
        <v>3.7439999999999999E-4</v>
      </c>
      <c r="R107" s="380"/>
      <c r="S107" s="419">
        <v>-188087</v>
      </c>
      <c r="T107" s="419">
        <v>-185910</v>
      </c>
      <c r="U107" s="419">
        <v>-195306</v>
      </c>
      <c r="V107" s="419">
        <v>-251025</v>
      </c>
      <c r="W107" s="419">
        <v>0</v>
      </c>
      <c r="X107" s="380">
        <v>3.7439999999999999E-4</v>
      </c>
      <c r="Z107" s="419">
        <v>149985</v>
      </c>
      <c r="AA107" s="419">
        <v>105373</v>
      </c>
      <c r="AB107" s="419">
        <v>105372</v>
      </c>
      <c r="AC107" s="419">
        <v>0</v>
      </c>
      <c r="AD107" s="419">
        <v>0</v>
      </c>
      <c r="AE107" s="380">
        <v>3.7439999999999999E-4</v>
      </c>
      <c r="AF107" s="380"/>
      <c r="AG107" s="419">
        <v>1002</v>
      </c>
      <c r="AH107" s="419">
        <v>1004</v>
      </c>
      <c r="AI107" s="419">
        <v>0</v>
      </c>
      <c r="AJ107" s="419">
        <v>0</v>
      </c>
      <c r="AK107" s="419">
        <v>0</v>
      </c>
      <c r="AL107" s="380">
        <v>3.7439999999999999E-4</v>
      </c>
      <c r="AM107" s="380"/>
      <c r="AN107" s="419">
        <v>-11699</v>
      </c>
      <c r="AO107" s="419">
        <v>-5077</v>
      </c>
      <c r="AP107" s="419">
        <v>-1074</v>
      </c>
      <c r="AQ107" s="419">
        <v>0</v>
      </c>
      <c r="AR107" s="419">
        <v>0</v>
      </c>
    </row>
    <row r="108" spans="1:44">
      <c r="A108" s="379">
        <v>91067</v>
      </c>
      <c r="B108" t="s">
        <v>824</v>
      </c>
      <c r="C108" s="380">
        <v>1.5800000000000001E-5</v>
      </c>
      <c r="D108" s="380"/>
      <c r="E108" s="419">
        <v>3924</v>
      </c>
      <c r="F108" s="419">
        <v>546</v>
      </c>
      <c r="G108" s="419">
        <v>-1678</v>
      </c>
      <c r="H108" s="419">
        <v>-10593</v>
      </c>
      <c r="I108" s="419">
        <v>0</v>
      </c>
      <c r="J108" s="380">
        <v>1.5800000000000001E-5</v>
      </c>
      <c r="K108" s="380"/>
      <c r="L108" s="419">
        <v>3868</v>
      </c>
      <c r="M108" s="419">
        <v>2671</v>
      </c>
      <c r="N108" s="419">
        <v>1169</v>
      </c>
      <c r="O108" s="419">
        <v>0</v>
      </c>
      <c r="P108" s="419">
        <v>0</v>
      </c>
      <c r="Q108" s="380">
        <v>1.5800000000000001E-5</v>
      </c>
      <c r="R108" s="380"/>
      <c r="S108" s="419">
        <v>-7937</v>
      </c>
      <c r="T108" s="419">
        <v>-7846</v>
      </c>
      <c r="U108" s="419">
        <v>-8242</v>
      </c>
      <c r="V108" s="419">
        <v>-10593</v>
      </c>
      <c r="W108" s="419">
        <v>0</v>
      </c>
      <c r="X108" s="380">
        <v>1.5800000000000001E-5</v>
      </c>
      <c r="Z108" s="419">
        <v>6330</v>
      </c>
      <c r="AA108" s="419">
        <v>4447</v>
      </c>
      <c r="AB108" s="419">
        <v>4447</v>
      </c>
      <c r="AC108" s="419">
        <v>0</v>
      </c>
      <c r="AD108" s="419">
        <v>0</v>
      </c>
      <c r="AE108" s="380">
        <v>1.5800000000000001E-5</v>
      </c>
      <c r="AF108" s="380"/>
      <c r="AG108" s="419">
        <v>1663</v>
      </c>
      <c r="AH108" s="419">
        <v>1274</v>
      </c>
      <c r="AI108" s="419">
        <v>948</v>
      </c>
      <c r="AJ108" s="419">
        <v>0</v>
      </c>
      <c r="AK108" s="419">
        <v>0</v>
      </c>
      <c r="AL108" s="380">
        <v>1.5800000000000001E-5</v>
      </c>
      <c r="AM108" s="380"/>
      <c r="AN108" s="419">
        <v>0</v>
      </c>
      <c r="AO108" s="419">
        <v>0</v>
      </c>
      <c r="AP108" s="419">
        <v>0</v>
      </c>
      <c r="AQ108" s="419">
        <v>0</v>
      </c>
      <c r="AR108" s="419">
        <v>0</v>
      </c>
    </row>
    <row r="109" spans="1:44">
      <c r="A109" s="379">
        <v>91071</v>
      </c>
      <c r="B109" t="s">
        <v>825</v>
      </c>
      <c r="C109" s="380">
        <v>2.1359999999999999E-4</v>
      </c>
      <c r="D109" s="380"/>
      <c r="E109" s="419">
        <v>19992</v>
      </c>
      <c r="F109" s="419">
        <v>-20211</v>
      </c>
      <c r="G109" s="419">
        <v>-36207</v>
      </c>
      <c r="H109" s="419">
        <v>-143213</v>
      </c>
      <c r="I109" s="419">
        <v>0</v>
      </c>
      <c r="J109" s="380">
        <v>2.1359999999999999E-4</v>
      </c>
      <c r="K109" s="380"/>
      <c r="L109" s="419">
        <v>52291</v>
      </c>
      <c r="M109" s="419">
        <v>36114</v>
      </c>
      <c r="N109" s="419">
        <v>15809</v>
      </c>
      <c r="O109" s="419">
        <v>0</v>
      </c>
      <c r="P109" s="419">
        <v>0</v>
      </c>
      <c r="Q109" s="380">
        <v>2.1359999999999999E-4</v>
      </c>
      <c r="R109" s="380"/>
      <c r="S109" s="419">
        <v>-107306</v>
      </c>
      <c r="T109" s="419">
        <v>-106064</v>
      </c>
      <c r="U109" s="419">
        <v>-111425</v>
      </c>
      <c r="V109" s="419">
        <v>-143213</v>
      </c>
      <c r="W109" s="419">
        <v>0</v>
      </c>
      <c r="X109" s="380">
        <v>2.1359999999999999E-4</v>
      </c>
      <c r="Z109" s="419">
        <v>85569</v>
      </c>
      <c r="AA109" s="419">
        <v>60117</v>
      </c>
      <c r="AB109" s="419">
        <v>60116</v>
      </c>
      <c r="AC109" s="419">
        <v>0</v>
      </c>
      <c r="AD109" s="419">
        <v>0</v>
      </c>
      <c r="AE109" s="380">
        <v>2.1359999999999999E-4</v>
      </c>
      <c r="AF109" s="380"/>
      <c r="AG109" s="419">
        <v>0</v>
      </c>
      <c r="AH109" s="419">
        <v>0</v>
      </c>
      <c r="AI109" s="419">
        <v>0</v>
      </c>
      <c r="AJ109" s="419">
        <v>0</v>
      </c>
      <c r="AK109" s="419">
        <v>0</v>
      </c>
      <c r="AL109" s="380">
        <v>2.1359999999999999E-4</v>
      </c>
      <c r="AM109" s="380"/>
      <c r="AN109" s="419">
        <v>-10562</v>
      </c>
      <c r="AO109" s="419">
        <v>-10378</v>
      </c>
      <c r="AP109" s="419">
        <v>-707</v>
      </c>
      <c r="AQ109" s="419">
        <v>0</v>
      </c>
      <c r="AR109" s="419">
        <v>0</v>
      </c>
    </row>
    <row r="110" spans="1:44">
      <c r="A110" s="379">
        <v>91077</v>
      </c>
      <c r="B110" t="s">
        <v>826</v>
      </c>
      <c r="C110" s="380">
        <v>1.31E-5</v>
      </c>
      <c r="D110" s="380"/>
      <c r="E110" s="419">
        <v>6524</v>
      </c>
      <c r="F110" s="419">
        <v>3870</v>
      </c>
      <c r="G110" s="419">
        <v>-1205</v>
      </c>
      <c r="H110" s="419">
        <v>-8783</v>
      </c>
      <c r="I110" s="419">
        <v>0</v>
      </c>
      <c r="J110" s="380">
        <v>1.31E-5</v>
      </c>
      <c r="K110" s="380"/>
      <c r="L110" s="419">
        <v>3207</v>
      </c>
      <c r="M110" s="419">
        <v>2215</v>
      </c>
      <c r="N110" s="419">
        <v>970</v>
      </c>
      <c r="O110" s="419">
        <v>0</v>
      </c>
      <c r="P110" s="419">
        <v>0</v>
      </c>
      <c r="Q110" s="380">
        <v>1.31E-5</v>
      </c>
      <c r="R110" s="380"/>
      <c r="S110" s="419">
        <v>-6581</v>
      </c>
      <c r="T110" s="419">
        <v>-6505</v>
      </c>
      <c r="U110" s="419">
        <v>-6834</v>
      </c>
      <c r="V110" s="419">
        <v>-8783</v>
      </c>
      <c r="W110" s="419">
        <v>0</v>
      </c>
      <c r="X110" s="380">
        <v>1.31E-5</v>
      </c>
      <c r="Z110" s="419">
        <v>5248</v>
      </c>
      <c r="AA110" s="419">
        <v>3687</v>
      </c>
      <c r="AB110" s="419">
        <v>3687</v>
      </c>
      <c r="AC110" s="419">
        <v>0</v>
      </c>
      <c r="AD110" s="419">
        <v>0</v>
      </c>
      <c r="AE110" s="380">
        <v>1.31E-5</v>
      </c>
      <c r="AF110" s="380"/>
      <c r="AG110" s="419">
        <v>4650</v>
      </c>
      <c r="AH110" s="419">
        <v>4473</v>
      </c>
      <c r="AI110" s="419">
        <v>972</v>
      </c>
      <c r="AJ110" s="419">
        <v>0</v>
      </c>
      <c r="AK110" s="419">
        <v>0</v>
      </c>
      <c r="AL110" s="380">
        <v>1.31E-5</v>
      </c>
      <c r="AM110" s="380"/>
      <c r="AN110" s="419">
        <v>0</v>
      </c>
      <c r="AO110" s="419">
        <v>0</v>
      </c>
      <c r="AP110" s="419">
        <v>0</v>
      </c>
      <c r="AQ110" s="419">
        <v>0</v>
      </c>
      <c r="AR110" s="419">
        <v>0</v>
      </c>
    </row>
    <row r="111" spans="1:44">
      <c r="A111" s="379">
        <v>91081</v>
      </c>
      <c r="B111" t="s">
        <v>827</v>
      </c>
      <c r="C111" s="380">
        <v>4.3070000000000001E-4</v>
      </c>
      <c r="D111" s="380"/>
      <c r="E111" s="419">
        <v>66037</v>
      </c>
      <c r="F111" s="419">
        <v>-20181</v>
      </c>
      <c r="G111" s="419">
        <v>-74086</v>
      </c>
      <c r="H111" s="419">
        <v>-288773</v>
      </c>
      <c r="I111" s="419">
        <v>0</v>
      </c>
      <c r="J111" s="380">
        <v>4.3070000000000001E-4</v>
      </c>
      <c r="K111" s="380"/>
      <c r="L111" s="419">
        <v>105439</v>
      </c>
      <c r="M111" s="419">
        <v>72819</v>
      </c>
      <c r="N111" s="419">
        <v>31877</v>
      </c>
      <c r="O111" s="419">
        <v>0</v>
      </c>
      <c r="P111" s="419">
        <v>0</v>
      </c>
      <c r="Q111" s="380">
        <v>4.3070000000000001E-4</v>
      </c>
      <c r="R111" s="380"/>
      <c r="S111" s="419">
        <v>-216370</v>
      </c>
      <c r="T111" s="419">
        <v>-213866</v>
      </c>
      <c r="U111" s="419">
        <v>-224675</v>
      </c>
      <c r="V111" s="419">
        <v>-288773</v>
      </c>
      <c r="W111" s="419">
        <v>0</v>
      </c>
      <c r="X111" s="380">
        <v>4.3070000000000001E-4</v>
      </c>
      <c r="Z111" s="419">
        <v>172539</v>
      </c>
      <c r="AA111" s="419">
        <v>121218</v>
      </c>
      <c r="AB111" s="419">
        <v>121218</v>
      </c>
      <c r="AC111" s="419">
        <v>0</v>
      </c>
      <c r="AD111" s="419">
        <v>0</v>
      </c>
      <c r="AE111" s="380">
        <v>4.3070000000000001E-4</v>
      </c>
      <c r="AF111" s="380"/>
      <c r="AG111" s="419">
        <v>8645</v>
      </c>
      <c r="AH111" s="419">
        <v>3865</v>
      </c>
      <c r="AI111" s="419">
        <v>0</v>
      </c>
      <c r="AJ111" s="419">
        <v>0</v>
      </c>
      <c r="AK111" s="419">
        <v>0</v>
      </c>
      <c r="AL111" s="380">
        <v>4.3070000000000001E-4</v>
      </c>
      <c r="AM111" s="380"/>
      <c r="AN111" s="419">
        <v>-4216</v>
      </c>
      <c r="AO111" s="419">
        <v>-4217</v>
      </c>
      <c r="AP111" s="419">
        <v>-2506</v>
      </c>
      <c r="AQ111" s="419">
        <v>0</v>
      </c>
      <c r="AR111" s="419">
        <v>0</v>
      </c>
    </row>
    <row r="112" spans="1:44">
      <c r="A112" s="379">
        <v>91091</v>
      </c>
      <c r="B112" t="s">
        <v>828</v>
      </c>
      <c r="C112" s="380">
        <v>5.8279999999999996E-4</v>
      </c>
      <c r="D112" s="380"/>
      <c r="E112" s="419">
        <v>95203</v>
      </c>
      <c r="F112" s="419">
        <v>-7968</v>
      </c>
      <c r="G112" s="419">
        <v>-91070</v>
      </c>
      <c r="H112" s="419">
        <v>-390752</v>
      </c>
      <c r="I112" s="419">
        <v>0</v>
      </c>
      <c r="J112" s="380">
        <v>5.8279999999999996E-4</v>
      </c>
      <c r="K112" s="380"/>
      <c r="L112" s="419">
        <v>142674</v>
      </c>
      <c r="M112" s="419">
        <v>98535</v>
      </c>
      <c r="N112" s="419">
        <v>43134</v>
      </c>
      <c r="O112" s="419">
        <v>0</v>
      </c>
      <c r="P112" s="419">
        <v>0</v>
      </c>
      <c r="Q112" s="380">
        <v>5.8279999999999996E-4</v>
      </c>
      <c r="R112" s="380"/>
      <c r="S112" s="419">
        <v>-292780</v>
      </c>
      <c r="T112" s="419">
        <v>-289392</v>
      </c>
      <c r="U112" s="419">
        <v>-304018</v>
      </c>
      <c r="V112" s="419">
        <v>-390752</v>
      </c>
      <c r="W112" s="419">
        <v>0</v>
      </c>
      <c r="X112" s="380">
        <v>5.8279999999999996E-4</v>
      </c>
      <c r="Z112" s="419">
        <v>233471</v>
      </c>
      <c r="AA112" s="419">
        <v>164026</v>
      </c>
      <c r="AB112" s="419">
        <v>164025</v>
      </c>
      <c r="AC112" s="419">
        <v>0</v>
      </c>
      <c r="AD112" s="419">
        <v>0</v>
      </c>
      <c r="AE112" s="380">
        <v>5.8279999999999996E-4</v>
      </c>
      <c r="AF112" s="380"/>
      <c r="AG112" s="419">
        <v>18862</v>
      </c>
      <c r="AH112" s="419">
        <v>18863</v>
      </c>
      <c r="AI112" s="419">
        <v>5789</v>
      </c>
      <c r="AJ112" s="419">
        <v>0</v>
      </c>
      <c r="AK112" s="419">
        <v>0</v>
      </c>
      <c r="AL112" s="380">
        <v>5.8279999999999996E-4</v>
      </c>
      <c r="AM112" s="380"/>
      <c r="AN112" s="419">
        <v>-7024</v>
      </c>
      <c r="AO112" s="419">
        <v>0</v>
      </c>
      <c r="AP112" s="419">
        <v>0</v>
      </c>
      <c r="AQ112" s="419">
        <v>0</v>
      </c>
      <c r="AR112" s="419">
        <v>0</v>
      </c>
    </row>
    <row r="113" spans="1:44">
      <c r="A113" s="379">
        <v>91101</v>
      </c>
      <c r="B113" t="s">
        <v>829</v>
      </c>
      <c r="C113" s="380">
        <v>1.38049E-2</v>
      </c>
      <c r="D113" s="380"/>
      <c r="E113" s="419">
        <v>1863082</v>
      </c>
      <c r="F113" s="419">
        <v>-698160</v>
      </c>
      <c r="G113" s="419">
        <v>-2011183</v>
      </c>
      <c r="H113" s="419">
        <v>-9255827</v>
      </c>
      <c r="I113" s="419">
        <v>0</v>
      </c>
      <c r="J113" s="380">
        <v>1.38049E-2</v>
      </c>
      <c r="K113" s="380"/>
      <c r="L113" s="419">
        <v>3379550</v>
      </c>
      <c r="M113" s="419">
        <v>2334022</v>
      </c>
      <c r="N113" s="419">
        <v>1021728</v>
      </c>
      <c r="O113" s="419">
        <v>0</v>
      </c>
      <c r="P113" s="419">
        <v>0</v>
      </c>
      <c r="Q113" s="380">
        <v>1.38049E-2</v>
      </c>
      <c r="R113" s="380"/>
      <c r="S113" s="419">
        <v>-6935140</v>
      </c>
      <c r="T113" s="419">
        <v>-6854892</v>
      </c>
      <c r="U113" s="419">
        <v>-7201340</v>
      </c>
      <c r="V113" s="419">
        <v>-9255827</v>
      </c>
      <c r="W113" s="419">
        <v>0</v>
      </c>
      <c r="X113" s="380">
        <v>1.38049E-2</v>
      </c>
      <c r="Z113" s="419">
        <v>5530271</v>
      </c>
      <c r="AA113" s="419">
        <v>3885320</v>
      </c>
      <c r="AB113" s="419">
        <v>3885292</v>
      </c>
      <c r="AC113" s="419">
        <v>0</v>
      </c>
      <c r="AD113" s="419">
        <v>0</v>
      </c>
      <c r="AE113" s="380">
        <v>1.38049E-2</v>
      </c>
      <c r="AF113" s="380"/>
      <c r="AG113" s="419">
        <v>283136</v>
      </c>
      <c r="AH113" s="419">
        <v>283136</v>
      </c>
      <c r="AI113" s="419">
        <v>283137</v>
      </c>
      <c r="AJ113" s="419">
        <v>0</v>
      </c>
      <c r="AK113" s="419">
        <v>0</v>
      </c>
      <c r="AL113" s="380">
        <v>1.38049E-2</v>
      </c>
      <c r="AM113" s="380"/>
      <c r="AN113" s="419">
        <v>-394735</v>
      </c>
      <c r="AO113" s="419">
        <v>-345746</v>
      </c>
      <c r="AP113" s="419">
        <v>0</v>
      </c>
      <c r="AQ113" s="419">
        <v>0</v>
      </c>
      <c r="AR113" s="419">
        <v>0</v>
      </c>
    </row>
    <row r="114" spans="1:44">
      <c r="A114" s="379">
        <v>91102</v>
      </c>
      <c r="B114" t="s">
        <v>830</v>
      </c>
      <c r="C114" s="380">
        <v>2.8889999999999997E-4</v>
      </c>
      <c r="D114" s="380"/>
      <c r="E114" s="419">
        <v>31020</v>
      </c>
      <c r="F114" s="419">
        <v>-23297</v>
      </c>
      <c r="G114" s="419">
        <v>-40695</v>
      </c>
      <c r="H114" s="419">
        <v>-193700</v>
      </c>
      <c r="I114" s="419">
        <v>0</v>
      </c>
      <c r="J114" s="380">
        <v>2.8889999999999997E-4</v>
      </c>
      <c r="K114" s="380"/>
      <c r="L114" s="419">
        <v>70725</v>
      </c>
      <c r="M114" s="419">
        <v>48845</v>
      </c>
      <c r="N114" s="419">
        <v>21382</v>
      </c>
      <c r="O114" s="419">
        <v>0</v>
      </c>
      <c r="P114" s="419">
        <v>0</v>
      </c>
      <c r="Q114" s="380">
        <v>2.8889999999999997E-4</v>
      </c>
      <c r="R114" s="380"/>
      <c r="S114" s="419">
        <v>-145134</v>
      </c>
      <c r="T114" s="419">
        <v>-143455</v>
      </c>
      <c r="U114" s="419">
        <v>-150705</v>
      </c>
      <c r="V114" s="419">
        <v>-193700</v>
      </c>
      <c r="W114" s="419">
        <v>0</v>
      </c>
      <c r="X114" s="380">
        <v>2.8889999999999997E-4</v>
      </c>
      <c r="Z114" s="419">
        <v>115734</v>
      </c>
      <c r="AA114" s="419">
        <v>81309</v>
      </c>
      <c r="AB114" s="419">
        <v>81309</v>
      </c>
      <c r="AC114" s="419">
        <v>0</v>
      </c>
      <c r="AD114" s="419">
        <v>0</v>
      </c>
      <c r="AE114" s="380">
        <v>2.8889999999999997E-4</v>
      </c>
      <c r="AF114" s="380"/>
      <c r="AG114" s="419">
        <v>7363</v>
      </c>
      <c r="AH114" s="419">
        <v>7363</v>
      </c>
      <c r="AI114" s="419">
        <v>7319</v>
      </c>
      <c r="AJ114" s="419">
        <v>0</v>
      </c>
      <c r="AK114" s="419">
        <v>0</v>
      </c>
      <c r="AL114" s="380">
        <v>2.8889999999999997E-4</v>
      </c>
      <c r="AM114" s="380"/>
      <c r="AN114" s="419">
        <v>-17668</v>
      </c>
      <c r="AO114" s="419">
        <v>-17359</v>
      </c>
      <c r="AP114" s="419">
        <v>0</v>
      </c>
      <c r="AQ114" s="419">
        <v>0</v>
      </c>
      <c r="AR114" s="419">
        <v>0</v>
      </c>
    </row>
    <row r="115" spans="1:44">
      <c r="A115" s="379">
        <v>91104</v>
      </c>
      <c r="B115" t="s">
        <v>831</v>
      </c>
      <c r="C115" s="380">
        <v>1.95E-5</v>
      </c>
      <c r="D115" s="380"/>
      <c r="E115" s="419">
        <v>9745</v>
      </c>
      <c r="F115" s="419">
        <v>5331</v>
      </c>
      <c r="G115" s="419">
        <v>-505</v>
      </c>
      <c r="H115" s="419">
        <v>-13074</v>
      </c>
      <c r="I115" s="419">
        <v>0</v>
      </c>
      <c r="J115" s="380">
        <v>1.95E-5</v>
      </c>
      <c r="K115" s="380"/>
      <c r="L115" s="419">
        <v>4774</v>
      </c>
      <c r="M115" s="419">
        <v>3297</v>
      </c>
      <c r="N115" s="419">
        <v>1443</v>
      </c>
      <c r="O115" s="419">
        <v>0</v>
      </c>
      <c r="P115" s="419">
        <v>0</v>
      </c>
      <c r="Q115" s="380">
        <v>1.95E-5</v>
      </c>
      <c r="R115" s="380"/>
      <c r="S115" s="419">
        <v>-9796</v>
      </c>
      <c r="T115" s="419">
        <v>-9683</v>
      </c>
      <c r="U115" s="419">
        <v>-10172</v>
      </c>
      <c r="V115" s="419">
        <v>-13074</v>
      </c>
      <c r="W115" s="419">
        <v>0</v>
      </c>
      <c r="X115" s="380">
        <v>1.95E-5</v>
      </c>
      <c r="Z115" s="419">
        <v>7812</v>
      </c>
      <c r="AA115" s="419">
        <v>5488</v>
      </c>
      <c r="AB115" s="419">
        <v>5488</v>
      </c>
      <c r="AC115" s="419">
        <v>0</v>
      </c>
      <c r="AD115" s="419">
        <v>0</v>
      </c>
      <c r="AE115" s="380">
        <v>1.95E-5</v>
      </c>
      <c r="AF115" s="380"/>
      <c r="AG115" s="419">
        <v>6955</v>
      </c>
      <c r="AH115" s="419">
        <v>6229</v>
      </c>
      <c r="AI115" s="419">
        <v>2736</v>
      </c>
      <c r="AJ115" s="419">
        <v>0</v>
      </c>
      <c r="AK115" s="419">
        <v>0</v>
      </c>
      <c r="AL115" s="380">
        <v>1.95E-5</v>
      </c>
      <c r="AM115" s="380"/>
      <c r="AN115" s="419">
        <v>0</v>
      </c>
      <c r="AO115" s="419">
        <v>0</v>
      </c>
      <c r="AP115" s="419">
        <v>0</v>
      </c>
      <c r="AQ115" s="419">
        <v>0</v>
      </c>
      <c r="AR115" s="419">
        <v>0</v>
      </c>
    </row>
    <row r="116" spans="1:44">
      <c r="A116" s="379">
        <v>91107</v>
      </c>
      <c r="B116" t="s">
        <v>1938</v>
      </c>
      <c r="C116" s="380">
        <v>4.2500000000000003E-5</v>
      </c>
      <c r="D116" s="380"/>
      <c r="E116" s="419">
        <v>9286</v>
      </c>
      <c r="F116" s="419">
        <v>1999</v>
      </c>
      <c r="G116" s="419">
        <v>-2363</v>
      </c>
      <c r="H116" s="419">
        <v>-28495</v>
      </c>
      <c r="I116" s="419">
        <v>0</v>
      </c>
      <c r="J116" s="380">
        <v>4.2500000000000003E-5</v>
      </c>
      <c r="K116" s="380"/>
      <c r="L116" s="419">
        <v>10404</v>
      </c>
      <c r="M116" s="419">
        <v>7186</v>
      </c>
      <c r="N116" s="419">
        <v>3146</v>
      </c>
      <c r="O116" s="419">
        <v>0</v>
      </c>
      <c r="P116" s="419">
        <v>0</v>
      </c>
      <c r="Q116" s="380">
        <v>4.2500000000000003E-5</v>
      </c>
      <c r="R116" s="380"/>
      <c r="S116" s="419">
        <v>-21351</v>
      </c>
      <c r="T116" s="419">
        <v>-21104</v>
      </c>
      <c r="U116" s="419">
        <v>-22170</v>
      </c>
      <c r="V116" s="419">
        <v>-28495</v>
      </c>
      <c r="W116" s="419">
        <v>0</v>
      </c>
      <c r="X116" s="380">
        <v>4.2500000000000003E-5</v>
      </c>
      <c r="Z116" s="419">
        <v>17026</v>
      </c>
      <c r="AA116" s="419">
        <v>11961</v>
      </c>
      <c r="AB116" s="419">
        <v>11961</v>
      </c>
      <c r="AC116" s="419">
        <v>0</v>
      </c>
      <c r="AD116" s="419">
        <v>0</v>
      </c>
      <c r="AE116" s="380">
        <v>4.2500000000000003E-5</v>
      </c>
      <c r="AF116" s="380"/>
      <c r="AG116" s="419">
        <v>6794</v>
      </c>
      <c r="AH116" s="419">
        <v>6793</v>
      </c>
      <c r="AI116" s="419">
        <v>4700</v>
      </c>
      <c r="AJ116" s="419">
        <v>0</v>
      </c>
      <c r="AK116" s="419">
        <v>0</v>
      </c>
      <c r="AL116" s="380">
        <v>4.2500000000000003E-5</v>
      </c>
      <c r="AM116" s="380"/>
      <c r="AN116" s="419">
        <v>-3587</v>
      </c>
      <c r="AO116" s="419">
        <v>-2837</v>
      </c>
      <c r="AP116" s="419">
        <v>0</v>
      </c>
      <c r="AQ116" s="419">
        <v>0</v>
      </c>
      <c r="AR116" s="419">
        <v>0</v>
      </c>
    </row>
    <row r="117" spans="1:44">
      <c r="A117" s="379">
        <v>91108</v>
      </c>
      <c r="B117" t="s">
        <v>833</v>
      </c>
      <c r="C117" s="380">
        <v>1.1758000000000001E-3</v>
      </c>
      <c r="D117" s="380"/>
      <c r="E117" s="419">
        <v>197274</v>
      </c>
      <c r="F117" s="419">
        <v>-31069</v>
      </c>
      <c r="G117" s="419">
        <v>-178337</v>
      </c>
      <c r="H117" s="419">
        <v>-788343</v>
      </c>
      <c r="I117" s="419">
        <v>0</v>
      </c>
      <c r="J117" s="380">
        <v>1.1758000000000001E-3</v>
      </c>
      <c r="K117" s="380"/>
      <c r="L117" s="419">
        <v>287845</v>
      </c>
      <c r="M117" s="419">
        <v>198795</v>
      </c>
      <c r="N117" s="419">
        <v>87023</v>
      </c>
      <c r="O117" s="419">
        <v>0</v>
      </c>
      <c r="P117" s="419">
        <v>0</v>
      </c>
      <c r="Q117" s="380">
        <v>1.1758000000000001E-3</v>
      </c>
      <c r="R117" s="380"/>
      <c r="S117" s="419">
        <v>-590684</v>
      </c>
      <c r="T117" s="419">
        <v>-583849</v>
      </c>
      <c r="U117" s="419">
        <v>-613357</v>
      </c>
      <c r="V117" s="419">
        <v>-788343</v>
      </c>
      <c r="W117" s="419">
        <v>0</v>
      </c>
      <c r="X117" s="380">
        <v>1.1758000000000001E-3</v>
      </c>
      <c r="Z117" s="419">
        <v>471028</v>
      </c>
      <c r="AA117" s="419">
        <v>330923</v>
      </c>
      <c r="AB117" s="419">
        <v>330921</v>
      </c>
      <c r="AC117" s="419">
        <v>0</v>
      </c>
      <c r="AD117" s="419">
        <v>0</v>
      </c>
      <c r="AE117" s="380">
        <v>1.1758000000000001E-3</v>
      </c>
      <c r="AF117" s="380"/>
      <c r="AG117" s="419">
        <v>34686</v>
      </c>
      <c r="AH117" s="419">
        <v>28661</v>
      </c>
      <c r="AI117" s="419">
        <v>17076</v>
      </c>
      <c r="AJ117" s="419">
        <v>0</v>
      </c>
      <c r="AK117" s="419">
        <v>0</v>
      </c>
      <c r="AL117" s="380">
        <v>1.1758000000000001E-3</v>
      </c>
      <c r="AM117" s="380"/>
      <c r="AN117" s="419">
        <v>-5601</v>
      </c>
      <c r="AO117" s="419">
        <v>-5599</v>
      </c>
      <c r="AP117" s="419">
        <v>0</v>
      </c>
      <c r="AQ117" s="419">
        <v>0</v>
      </c>
      <c r="AR117" s="419">
        <v>0</v>
      </c>
    </row>
    <row r="118" spans="1:44">
      <c r="A118" s="379">
        <v>91109</v>
      </c>
      <c r="B118" t="s">
        <v>834</v>
      </c>
      <c r="C118" s="380">
        <v>1.0069999999999999E-4</v>
      </c>
      <c r="D118" s="380"/>
      <c r="E118" s="419">
        <v>16526</v>
      </c>
      <c r="F118" s="419">
        <v>-3366</v>
      </c>
      <c r="G118" s="419">
        <v>-15774</v>
      </c>
      <c r="H118" s="419">
        <v>-67517</v>
      </c>
      <c r="I118" s="419">
        <v>0</v>
      </c>
      <c r="J118" s="380">
        <v>1.0069999999999999E-4</v>
      </c>
      <c r="K118" s="380"/>
      <c r="L118" s="419">
        <v>24652</v>
      </c>
      <c r="M118" s="419">
        <v>17026</v>
      </c>
      <c r="N118" s="419">
        <v>7453</v>
      </c>
      <c r="O118" s="419">
        <v>0</v>
      </c>
      <c r="P118" s="419">
        <v>0</v>
      </c>
      <c r="Q118" s="380">
        <v>1.0069999999999999E-4</v>
      </c>
      <c r="R118" s="380"/>
      <c r="S118" s="419">
        <v>-50588</v>
      </c>
      <c r="T118" s="419">
        <v>-50003</v>
      </c>
      <c r="U118" s="419">
        <v>-52530</v>
      </c>
      <c r="V118" s="419">
        <v>-67517</v>
      </c>
      <c r="W118" s="419">
        <v>0</v>
      </c>
      <c r="X118" s="380">
        <v>1.0069999999999999E-4</v>
      </c>
      <c r="Z118" s="419">
        <v>40341</v>
      </c>
      <c r="AA118" s="419">
        <v>28342</v>
      </c>
      <c r="AB118" s="419">
        <v>28341</v>
      </c>
      <c r="AC118" s="419">
        <v>0</v>
      </c>
      <c r="AD118" s="419">
        <v>0</v>
      </c>
      <c r="AE118" s="380">
        <v>1.0069999999999999E-4</v>
      </c>
      <c r="AF118" s="380"/>
      <c r="AG118" s="419">
        <v>2121</v>
      </c>
      <c r="AH118" s="419">
        <v>1269</v>
      </c>
      <c r="AI118" s="419">
        <v>962</v>
      </c>
      <c r="AJ118" s="419">
        <v>0</v>
      </c>
      <c r="AK118" s="419">
        <v>0</v>
      </c>
      <c r="AL118" s="380">
        <v>1.0069999999999999E-4</v>
      </c>
      <c r="AM118" s="380"/>
      <c r="AN118" s="419">
        <v>0</v>
      </c>
      <c r="AO118" s="419">
        <v>0</v>
      </c>
      <c r="AP118" s="419">
        <v>0</v>
      </c>
      <c r="AQ118" s="419">
        <v>0</v>
      </c>
      <c r="AR118" s="419">
        <v>0</v>
      </c>
    </row>
    <row r="119" spans="1:44">
      <c r="A119" s="379">
        <v>91111</v>
      </c>
      <c r="B119" t="s">
        <v>835</v>
      </c>
      <c r="C119" s="380">
        <v>2.0819999999999999E-4</v>
      </c>
      <c r="D119" s="380"/>
      <c r="E119" s="419">
        <v>38538</v>
      </c>
      <c r="F119" s="419">
        <v>-1984</v>
      </c>
      <c r="G119" s="419">
        <v>-28439</v>
      </c>
      <c r="H119" s="419">
        <v>-139593</v>
      </c>
      <c r="I119" s="419">
        <v>0</v>
      </c>
      <c r="J119" s="380">
        <v>2.0819999999999999E-4</v>
      </c>
      <c r="K119" s="380"/>
      <c r="L119" s="419">
        <v>50969</v>
      </c>
      <c r="M119" s="419">
        <v>35201</v>
      </c>
      <c r="N119" s="419">
        <v>15409</v>
      </c>
      <c r="O119" s="419">
        <v>0</v>
      </c>
      <c r="P119" s="419">
        <v>0</v>
      </c>
      <c r="Q119" s="380">
        <v>2.0819999999999999E-4</v>
      </c>
      <c r="R119" s="380"/>
      <c r="S119" s="419">
        <v>-104593</v>
      </c>
      <c r="T119" s="419">
        <v>-103383</v>
      </c>
      <c r="U119" s="419">
        <v>-108608</v>
      </c>
      <c r="V119" s="419">
        <v>-139593</v>
      </c>
      <c r="W119" s="419">
        <v>0</v>
      </c>
      <c r="X119" s="380">
        <v>2.0819999999999999E-4</v>
      </c>
      <c r="Z119" s="419">
        <v>83405</v>
      </c>
      <c r="AA119" s="419">
        <v>58597</v>
      </c>
      <c r="AB119" s="419">
        <v>58596</v>
      </c>
      <c r="AC119" s="419">
        <v>0</v>
      </c>
      <c r="AD119" s="419">
        <v>0</v>
      </c>
      <c r="AE119" s="380">
        <v>2.0819999999999999E-4</v>
      </c>
      <c r="AF119" s="380"/>
      <c r="AG119" s="419">
        <v>13581</v>
      </c>
      <c r="AH119" s="419">
        <v>12423</v>
      </c>
      <c r="AI119" s="419">
        <v>6164</v>
      </c>
      <c r="AJ119" s="419">
        <v>0</v>
      </c>
      <c r="AK119" s="419">
        <v>0</v>
      </c>
      <c r="AL119" s="380">
        <v>2.0819999999999999E-4</v>
      </c>
      <c r="AM119" s="380"/>
      <c r="AN119" s="419">
        <v>-4824</v>
      </c>
      <c r="AO119" s="419">
        <v>-4822</v>
      </c>
      <c r="AP119" s="419">
        <v>0</v>
      </c>
      <c r="AQ119" s="419">
        <v>0</v>
      </c>
      <c r="AR119" s="419">
        <v>0</v>
      </c>
    </row>
    <row r="120" spans="1:44">
      <c r="A120" s="379">
        <v>91120</v>
      </c>
      <c r="B120" t="s">
        <v>836</v>
      </c>
      <c r="C120" s="380">
        <v>2.4020000000000001E-4</v>
      </c>
      <c r="D120" s="380"/>
      <c r="E120" s="419">
        <v>33003</v>
      </c>
      <c r="F120" s="419">
        <v>-9691</v>
      </c>
      <c r="G120" s="419">
        <v>-69385</v>
      </c>
      <c r="H120" s="419">
        <v>-161048</v>
      </c>
      <c r="I120" s="419">
        <v>0</v>
      </c>
      <c r="J120" s="380">
        <v>2.4020000000000001E-4</v>
      </c>
      <c r="K120" s="380"/>
      <c r="L120" s="419">
        <v>58803</v>
      </c>
      <c r="M120" s="419">
        <v>40611</v>
      </c>
      <c r="N120" s="419">
        <v>17778</v>
      </c>
      <c r="O120" s="419">
        <v>0</v>
      </c>
      <c r="P120" s="419">
        <v>0</v>
      </c>
      <c r="Q120" s="380">
        <v>2.4020000000000001E-4</v>
      </c>
      <c r="R120" s="380"/>
      <c r="S120" s="419">
        <v>-120669</v>
      </c>
      <c r="T120" s="419">
        <v>-119273</v>
      </c>
      <c r="U120" s="419">
        <v>-125301</v>
      </c>
      <c r="V120" s="419">
        <v>-161048</v>
      </c>
      <c r="W120" s="419">
        <v>0</v>
      </c>
      <c r="X120" s="380">
        <v>2.4020000000000001E-4</v>
      </c>
      <c r="Z120" s="419">
        <v>96225</v>
      </c>
      <c r="AA120" s="419">
        <v>67603</v>
      </c>
      <c r="AB120" s="419">
        <v>67603</v>
      </c>
      <c r="AC120" s="419">
        <v>0</v>
      </c>
      <c r="AD120" s="419">
        <v>0</v>
      </c>
      <c r="AE120" s="380">
        <v>2.4020000000000001E-4</v>
      </c>
      <c r="AF120" s="380"/>
      <c r="AG120" s="419">
        <v>30832</v>
      </c>
      <c r="AH120" s="419">
        <v>30832</v>
      </c>
      <c r="AI120" s="419">
        <v>0</v>
      </c>
      <c r="AJ120" s="419">
        <v>0</v>
      </c>
      <c r="AK120" s="419">
        <v>0</v>
      </c>
      <c r="AL120" s="380">
        <v>2.4020000000000001E-4</v>
      </c>
      <c r="AM120" s="380"/>
      <c r="AN120" s="419">
        <v>-32188</v>
      </c>
      <c r="AO120" s="419">
        <v>-29464</v>
      </c>
      <c r="AP120" s="419">
        <v>-29465</v>
      </c>
      <c r="AQ120" s="419">
        <v>0</v>
      </c>
      <c r="AR120" s="419">
        <v>0</v>
      </c>
    </row>
    <row r="121" spans="1:44">
      <c r="A121" s="379">
        <v>91121</v>
      </c>
      <c r="B121" t="s">
        <v>837</v>
      </c>
      <c r="C121" s="380">
        <v>1.01818E-2</v>
      </c>
      <c r="D121" s="380"/>
      <c r="E121" s="419">
        <v>966132</v>
      </c>
      <c r="F121" s="419">
        <v>-938892</v>
      </c>
      <c r="G121" s="419">
        <v>-2021143</v>
      </c>
      <c r="H121" s="419">
        <v>-6826632</v>
      </c>
      <c r="I121" s="419">
        <v>0</v>
      </c>
      <c r="J121" s="380">
        <v>1.01818E-2</v>
      </c>
      <c r="K121" s="380"/>
      <c r="L121" s="419">
        <v>2492586</v>
      </c>
      <c r="M121" s="419">
        <v>1721457</v>
      </c>
      <c r="N121" s="419">
        <v>753575</v>
      </c>
      <c r="O121" s="419">
        <v>0</v>
      </c>
      <c r="P121" s="419">
        <v>0</v>
      </c>
      <c r="Q121" s="380">
        <v>1.01818E-2</v>
      </c>
      <c r="R121" s="380"/>
      <c r="S121" s="419">
        <v>-5115011</v>
      </c>
      <c r="T121" s="419">
        <v>-5055824</v>
      </c>
      <c r="U121" s="419">
        <v>-5311346</v>
      </c>
      <c r="V121" s="419">
        <v>-6826632</v>
      </c>
      <c r="W121" s="419">
        <v>0</v>
      </c>
      <c r="X121" s="380">
        <v>1.01818E-2</v>
      </c>
      <c r="Z121" s="419">
        <v>4078849</v>
      </c>
      <c r="AA121" s="419">
        <v>2865617</v>
      </c>
      <c r="AB121" s="419">
        <v>2865596</v>
      </c>
      <c r="AC121" s="419">
        <v>0</v>
      </c>
      <c r="AD121" s="419">
        <v>0</v>
      </c>
      <c r="AE121" s="380">
        <v>1.01818E-2</v>
      </c>
      <c r="AF121" s="380"/>
      <c r="AG121" s="419">
        <v>0</v>
      </c>
      <c r="AH121" s="419">
        <v>0</v>
      </c>
      <c r="AI121" s="419">
        <v>0</v>
      </c>
      <c r="AJ121" s="419">
        <v>0</v>
      </c>
      <c r="AK121" s="419">
        <v>0</v>
      </c>
      <c r="AL121" s="380">
        <v>1.01818E-2</v>
      </c>
      <c r="AM121" s="380"/>
      <c r="AN121" s="419">
        <v>-490292</v>
      </c>
      <c r="AO121" s="419">
        <v>-470142</v>
      </c>
      <c r="AP121" s="419">
        <v>-328968</v>
      </c>
      <c r="AQ121" s="419">
        <v>0</v>
      </c>
      <c r="AR121" s="419">
        <v>0</v>
      </c>
    </row>
    <row r="122" spans="1:44">
      <c r="A122" s="379">
        <v>91127</v>
      </c>
      <c r="B122" t="s">
        <v>838</v>
      </c>
      <c r="C122" s="380">
        <v>3.1520000000000002E-4</v>
      </c>
      <c r="D122" s="380"/>
      <c r="E122" s="419">
        <v>88884</v>
      </c>
      <c r="F122" s="419">
        <v>22383</v>
      </c>
      <c r="G122" s="419">
        <v>-27677</v>
      </c>
      <c r="H122" s="419">
        <v>-211333</v>
      </c>
      <c r="I122" s="419">
        <v>0</v>
      </c>
      <c r="J122" s="380">
        <v>3.1520000000000002E-4</v>
      </c>
      <c r="K122" s="380"/>
      <c r="L122" s="419">
        <v>77163</v>
      </c>
      <c r="M122" s="419">
        <v>53291</v>
      </c>
      <c r="N122" s="419">
        <v>23329</v>
      </c>
      <c r="O122" s="419">
        <v>0</v>
      </c>
      <c r="P122" s="419">
        <v>0</v>
      </c>
      <c r="Q122" s="380">
        <v>3.1520000000000002E-4</v>
      </c>
      <c r="R122" s="380"/>
      <c r="S122" s="419">
        <v>-158346</v>
      </c>
      <c r="T122" s="419">
        <v>-156514</v>
      </c>
      <c r="U122" s="419">
        <v>-164424</v>
      </c>
      <c r="V122" s="419">
        <v>-211333</v>
      </c>
      <c r="W122" s="419">
        <v>0</v>
      </c>
      <c r="X122" s="380">
        <v>3.1520000000000002E-4</v>
      </c>
      <c r="Z122" s="419">
        <v>126270</v>
      </c>
      <c r="AA122" s="419">
        <v>88711</v>
      </c>
      <c r="AB122" s="419">
        <v>88711</v>
      </c>
      <c r="AC122" s="419">
        <v>0</v>
      </c>
      <c r="AD122" s="419">
        <v>0</v>
      </c>
      <c r="AE122" s="380">
        <v>3.1520000000000002E-4</v>
      </c>
      <c r="AF122" s="380"/>
      <c r="AG122" s="419">
        <v>43797</v>
      </c>
      <c r="AH122" s="419">
        <v>36895</v>
      </c>
      <c r="AI122" s="419">
        <v>24707</v>
      </c>
      <c r="AJ122" s="419">
        <v>0</v>
      </c>
      <c r="AK122" s="419">
        <v>0</v>
      </c>
      <c r="AL122" s="380">
        <v>3.1520000000000002E-4</v>
      </c>
      <c r="AM122" s="380"/>
      <c r="AN122" s="419">
        <v>0</v>
      </c>
      <c r="AO122" s="419">
        <v>0</v>
      </c>
      <c r="AP122" s="419">
        <v>0</v>
      </c>
      <c r="AQ122" s="419">
        <v>0</v>
      </c>
      <c r="AR122" s="419">
        <v>0</v>
      </c>
    </row>
    <row r="123" spans="1:44">
      <c r="A123" s="379">
        <v>91128</v>
      </c>
      <c r="B123" t="s">
        <v>839</v>
      </c>
      <c r="C123" s="380">
        <v>5.6170000000000005E-4</v>
      </c>
      <c r="D123" s="380"/>
      <c r="E123" s="419">
        <v>117196</v>
      </c>
      <c r="F123" s="419">
        <v>13798</v>
      </c>
      <c r="G123" s="419">
        <v>-73199</v>
      </c>
      <c r="H123" s="419">
        <v>-376605</v>
      </c>
      <c r="I123" s="419">
        <v>0</v>
      </c>
      <c r="J123" s="380">
        <v>5.6170000000000005E-4</v>
      </c>
      <c r="K123" s="380"/>
      <c r="L123" s="419">
        <v>137509</v>
      </c>
      <c r="M123" s="419">
        <v>94968</v>
      </c>
      <c r="N123" s="419">
        <v>41573</v>
      </c>
      <c r="O123" s="419">
        <v>0</v>
      </c>
      <c r="P123" s="419">
        <v>0</v>
      </c>
      <c r="Q123" s="380">
        <v>5.6170000000000005E-4</v>
      </c>
      <c r="R123" s="380"/>
      <c r="S123" s="419">
        <v>-282180</v>
      </c>
      <c r="T123" s="419">
        <v>-278915</v>
      </c>
      <c r="U123" s="419">
        <v>-293011</v>
      </c>
      <c r="V123" s="419">
        <v>-376605</v>
      </c>
      <c r="W123" s="419">
        <v>0</v>
      </c>
      <c r="X123" s="380">
        <v>5.6170000000000005E-4</v>
      </c>
      <c r="Z123" s="419">
        <v>225018</v>
      </c>
      <c r="AA123" s="419">
        <v>158088</v>
      </c>
      <c r="AB123" s="419">
        <v>158087</v>
      </c>
      <c r="AC123" s="419">
        <v>0</v>
      </c>
      <c r="AD123" s="419">
        <v>0</v>
      </c>
      <c r="AE123" s="380">
        <v>5.6170000000000005E-4</v>
      </c>
      <c r="AF123" s="380"/>
      <c r="AG123" s="419">
        <v>45467</v>
      </c>
      <c r="AH123" s="419">
        <v>45468</v>
      </c>
      <c r="AI123" s="419">
        <v>20152</v>
      </c>
      <c r="AJ123" s="419">
        <v>0</v>
      </c>
      <c r="AK123" s="419">
        <v>0</v>
      </c>
      <c r="AL123" s="380">
        <v>5.6170000000000005E-4</v>
      </c>
      <c r="AM123" s="380"/>
      <c r="AN123" s="419">
        <v>-8618</v>
      </c>
      <c r="AO123" s="419">
        <v>-5811</v>
      </c>
      <c r="AP123" s="419">
        <v>0</v>
      </c>
      <c r="AQ123" s="419">
        <v>0</v>
      </c>
      <c r="AR123" s="419">
        <v>0</v>
      </c>
    </row>
    <row r="124" spans="1:44">
      <c r="A124" s="379">
        <v>91138</v>
      </c>
      <c r="B124" t="s">
        <v>840</v>
      </c>
      <c r="C124" s="380">
        <v>4.4339999999999999E-4</v>
      </c>
      <c r="D124" s="380"/>
      <c r="E124" s="419">
        <v>-1285</v>
      </c>
      <c r="F124" s="419">
        <v>-51814</v>
      </c>
      <c r="G124" s="419">
        <v>-76798</v>
      </c>
      <c r="H124" s="419">
        <v>-297288</v>
      </c>
      <c r="I124" s="419">
        <v>0</v>
      </c>
      <c r="J124" s="380">
        <v>4.4339999999999999E-4</v>
      </c>
      <c r="K124" s="380"/>
      <c r="L124" s="419">
        <v>108548</v>
      </c>
      <c r="M124" s="419">
        <v>74967</v>
      </c>
      <c r="N124" s="419">
        <v>32817</v>
      </c>
      <c r="O124" s="419">
        <v>0</v>
      </c>
      <c r="P124" s="419">
        <v>0</v>
      </c>
      <c r="Q124" s="380">
        <v>4.4339999999999999E-4</v>
      </c>
      <c r="R124" s="380"/>
      <c r="S124" s="419">
        <v>-222750</v>
      </c>
      <c r="T124" s="419">
        <v>-220172</v>
      </c>
      <c r="U124" s="419">
        <v>-231300</v>
      </c>
      <c r="V124" s="419">
        <v>-297288</v>
      </c>
      <c r="W124" s="419">
        <v>0</v>
      </c>
      <c r="X124" s="380">
        <v>4.4339999999999999E-4</v>
      </c>
      <c r="Z124" s="419">
        <v>177627</v>
      </c>
      <c r="AA124" s="419">
        <v>124793</v>
      </c>
      <c r="AB124" s="419">
        <v>124792</v>
      </c>
      <c r="AC124" s="419">
        <v>0</v>
      </c>
      <c r="AD124" s="419">
        <v>0</v>
      </c>
      <c r="AE124" s="380">
        <v>4.4339999999999999E-4</v>
      </c>
      <c r="AF124" s="380"/>
      <c r="AG124" s="419">
        <v>0</v>
      </c>
      <c r="AH124" s="419">
        <v>0</v>
      </c>
      <c r="AI124" s="419">
        <v>0</v>
      </c>
      <c r="AJ124" s="419">
        <v>0</v>
      </c>
      <c r="AK124" s="419">
        <v>0</v>
      </c>
      <c r="AL124" s="380">
        <v>4.4339999999999999E-4</v>
      </c>
      <c r="AM124" s="380"/>
      <c r="AN124" s="419">
        <v>-64710</v>
      </c>
      <c r="AO124" s="419">
        <v>-31402</v>
      </c>
      <c r="AP124" s="419">
        <v>-3107</v>
      </c>
      <c r="AQ124" s="419">
        <v>0</v>
      </c>
      <c r="AR124" s="419">
        <v>0</v>
      </c>
    </row>
    <row r="125" spans="1:44">
      <c r="A125" s="379">
        <v>91141</v>
      </c>
      <c r="B125" t="s">
        <v>841</v>
      </c>
      <c r="C125" s="380">
        <v>6.0269999999999996E-4</v>
      </c>
      <c r="D125" s="380"/>
      <c r="E125" s="419">
        <v>44183</v>
      </c>
      <c r="F125" s="419">
        <v>-63933</v>
      </c>
      <c r="G125" s="419">
        <v>-127112</v>
      </c>
      <c r="H125" s="419">
        <v>-404095</v>
      </c>
      <c r="I125" s="419">
        <v>0</v>
      </c>
      <c r="J125" s="380">
        <v>6.0269999999999996E-4</v>
      </c>
      <c r="K125" s="380"/>
      <c r="L125" s="419">
        <v>147546</v>
      </c>
      <c r="M125" s="419">
        <v>101900</v>
      </c>
      <c r="N125" s="419">
        <v>44607</v>
      </c>
      <c r="O125" s="419">
        <v>0</v>
      </c>
      <c r="P125" s="419">
        <v>0</v>
      </c>
      <c r="Q125" s="380">
        <v>6.0269999999999996E-4</v>
      </c>
      <c r="R125" s="380"/>
      <c r="S125" s="419">
        <v>-302777</v>
      </c>
      <c r="T125" s="419">
        <v>-299274</v>
      </c>
      <c r="U125" s="419">
        <v>-314399</v>
      </c>
      <c r="V125" s="419">
        <v>-404095</v>
      </c>
      <c r="W125" s="419">
        <v>0</v>
      </c>
      <c r="X125" s="380">
        <v>6.0269999999999996E-4</v>
      </c>
      <c r="Z125" s="419">
        <v>241443</v>
      </c>
      <c r="AA125" s="419">
        <v>169627</v>
      </c>
      <c r="AB125" s="419">
        <v>169626</v>
      </c>
      <c r="AC125" s="419">
        <v>0</v>
      </c>
      <c r="AD125" s="419">
        <v>0</v>
      </c>
      <c r="AE125" s="380">
        <v>6.0269999999999996E-4</v>
      </c>
      <c r="AF125" s="380"/>
      <c r="AG125" s="419">
        <v>7734</v>
      </c>
      <c r="AH125" s="419">
        <v>7735</v>
      </c>
      <c r="AI125" s="419">
        <v>0</v>
      </c>
      <c r="AJ125" s="419">
        <v>0</v>
      </c>
      <c r="AK125" s="419">
        <v>0</v>
      </c>
      <c r="AL125" s="380">
        <v>6.0269999999999996E-4</v>
      </c>
      <c r="AM125" s="380"/>
      <c r="AN125" s="419">
        <v>-49763</v>
      </c>
      <c r="AO125" s="419">
        <v>-43921</v>
      </c>
      <c r="AP125" s="419">
        <v>-26946</v>
      </c>
      <c r="AQ125" s="419">
        <v>0</v>
      </c>
      <c r="AR125" s="419">
        <v>0</v>
      </c>
    </row>
    <row r="126" spans="1:44">
      <c r="A126" s="379">
        <v>91147</v>
      </c>
      <c r="B126" t="s">
        <v>842</v>
      </c>
      <c r="C126" s="380">
        <v>3.1600000000000002E-5</v>
      </c>
      <c r="D126" s="380"/>
      <c r="E126" s="419">
        <v>9263</v>
      </c>
      <c r="F126" s="419">
        <v>2852</v>
      </c>
      <c r="G126" s="419">
        <v>-2632</v>
      </c>
      <c r="H126" s="419">
        <v>-21187</v>
      </c>
      <c r="I126" s="419">
        <v>0</v>
      </c>
      <c r="J126" s="380">
        <v>3.1600000000000002E-5</v>
      </c>
      <c r="K126" s="380"/>
      <c r="L126" s="419">
        <v>7736</v>
      </c>
      <c r="M126" s="419">
        <v>5343</v>
      </c>
      <c r="N126" s="419">
        <v>2339</v>
      </c>
      <c r="O126" s="419">
        <v>0</v>
      </c>
      <c r="P126" s="419">
        <v>0</v>
      </c>
      <c r="Q126" s="380">
        <v>3.1600000000000002E-5</v>
      </c>
      <c r="R126" s="380"/>
      <c r="S126" s="419">
        <v>-15875</v>
      </c>
      <c r="T126" s="419">
        <v>-15691</v>
      </c>
      <c r="U126" s="419">
        <v>-16484</v>
      </c>
      <c r="V126" s="419">
        <v>-21187</v>
      </c>
      <c r="W126" s="419">
        <v>0</v>
      </c>
      <c r="X126" s="380">
        <v>3.1600000000000002E-5</v>
      </c>
      <c r="Z126" s="419">
        <v>12659</v>
      </c>
      <c r="AA126" s="419">
        <v>8894</v>
      </c>
      <c r="AB126" s="419">
        <v>8894</v>
      </c>
      <c r="AC126" s="419">
        <v>0</v>
      </c>
      <c r="AD126" s="419">
        <v>0</v>
      </c>
      <c r="AE126" s="380">
        <v>3.1600000000000002E-5</v>
      </c>
      <c r="AF126" s="380"/>
      <c r="AG126" s="419">
        <v>4878</v>
      </c>
      <c r="AH126" s="419">
        <v>4442</v>
      </c>
      <c r="AI126" s="419">
        <v>2619</v>
      </c>
      <c r="AJ126" s="419">
        <v>0</v>
      </c>
      <c r="AK126" s="419">
        <v>0</v>
      </c>
      <c r="AL126" s="380">
        <v>3.1600000000000002E-5</v>
      </c>
      <c r="AM126" s="380"/>
      <c r="AN126" s="419">
        <v>-135</v>
      </c>
      <c r="AO126" s="419">
        <v>-136</v>
      </c>
      <c r="AP126" s="419">
        <v>0</v>
      </c>
      <c r="AQ126" s="419">
        <v>0</v>
      </c>
      <c r="AR126" s="419">
        <v>0</v>
      </c>
    </row>
    <row r="127" spans="1:44">
      <c r="A127" s="379">
        <v>91151</v>
      </c>
      <c r="B127" t="s">
        <v>843</v>
      </c>
      <c r="C127" s="380">
        <v>5.7740000000000005E-4</v>
      </c>
      <c r="D127" s="380"/>
      <c r="E127" s="419">
        <v>35302</v>
      </c>
      <c r="F127" s="419">
        <v>-64264</v>
      </c>
      <c r="G127" s="419">
        <v>-118785</v>
      </c>
      <c r="H127" s="419">
        <v>-387132</v>
      </c>
      <c r="I127" s="419">
        <v>0</v>
      </c>
      <c r="J127" s="380">
        <v>5.7740000000000005E-4</v>
      </c>
      <c r="K127" s="380"/>
      <c r="L127" s="419">
        <v>141352</v>
      </c>
      <c r="M127" s="419">
        <v>97622</v>
      </c>
      <c r="N127" s="419">
        <v>42735</v>
      </c>
      <c r="O127" s="419">
        <v>0</v>
      </c>
      <c r="P127" s="419">
        <v>0</v>
      </c>
      <c r="Q127" s="380">
        <v>5.7740000000000005E-4</v>
      </c>
      <c r="R127" s="380"/>
      <c r="S127" s="419">
        <v>-290067</v>
      </c>
      <c r="T127" s="419">
        <v>-286711</v>
      </c>
      <c r="U127" s="419">
        <v>-301201</v>
      </c>
      <c r="V127" s="419">
        <v>-387132</v>
      </c>
      <c r="W127" s="419">
        <v>0</v>
      </c>
      <c r="X127" s="380">
        <v>5.7740000000000005E-4</v>
      </c>
      <c r="Z127" s="419">
        <v>231308</v>
      </c>
      <c r="AA127" s="419">
        <v>162506</v>
      </c>
      <c r="AB127" s="419">
        <v>162505</v>
      </c>
      <c r="AC127" s="419">
        <v>0</v>
      </c>
      <c r="AD127" s="419">
        <v>0</v>
      </c>
      <c r="AE127" s="380">
        <v>5.7740000000000005E-4</v>
      </c>
      <c r="AF127" s="380"/>
      <c r="AG127" s="419">
        <v>0</v>
      </c>
      <c r="AH127" s="419">
        <v>0</v>
      </c>
      <c r="AI127" s="419">
        <v>0</v>
      </c>
      <c r="AJ127" s="419">
        <v>0</v>
      </c>
      <c r="AK127" s="419">
        <v>0</v>
      </c>
      <c r="AL127" s="380">
        <v>5.7740000000000005E-4</v>
      </c>
      <c r="AM127" s="380"/>
      <c r="AN127" s="419">
        <v>-47291</v>
      </c>
      <c r="AO127" s="419">
        <v>-37681</v>
      </c>
      <c r="AP127" s="419">
        <v>-22824</v>
      </c>
      <c r="AQ127" s="419">
        <v>0</v>
      </c>
      <c r="AR127" s="419">
        <v>0</v>
      </c>
    </row>
    <row r="128" spans="1:44">
      <c r="A128" s="379">
        <v>91154</v>
      </c>
      <c r="B128" t="s">
        <v>844</v>
      </c>
      <c r="C128" s="380">
        <v>1.9199999999999999E-5</v>
      </c>
      <c r="D128" s="380"/>
      <c r="E128" s="419">
        <v>342</v>
      </c>
      <c r="F128" s="419">
        <v>-2746</v>
      </c>
      <c r="G128" s="419">
        <v>-4611</v>
      </c>
      <c r="H128" s="419">
        <v>-12873</v>
      </c>
      <c r="I128" s="419">
        <v>0</v>
      </c>
      <c r="J128" s="380">
        <v>1.9199999999999999E-5</v>
      </c>
      <c r="K128" s="380"/>
      <c r="L128" s="419">
        <v>4700</v>
      </c>
      <c r="M128" s="419">
        <v>3246</v>
      </c>
      <c r="N128" s="419">
        <v>1421</v>
      </c>
      <c r="O128" s="419">
        <v>0</v>
      </c>
      <c r="P128" s="419">
        <v>0</v>
      </c>
      <c r="Q128" s="380">
        <v>1.9199999999999999E-5</v>
      </c>
      <c r="R128" s="380"/>
      <c r="S128" s="419">
        <v>-9645</v>
      </c>
      <c r="T128" s="419">
        <v>-9534</v>
      </c>
      <c r="U128" s="419">
        <v>-10016</v>
      </c>
      <c r="V128" s="419">
        <v>-12873</v>
      </c>
      <c r="W128" s="419">
        <v>0</v>
      </c>
      <c r="X128" s="380">
        <v>1.9199999999999999E-5</v>
      </c>
      <c r="Z128" s="419">
        <v>7692</v>
      </c>
      <c r="AA128" s="419">
        <v>5404</v>
      </c>
      <c r="AB128" s="419">
        <v>5404</v>
      </c>
      <c r="AC128" s="419">
        <v>0</v>
      </c>
      <c r="AD128" s="419">
        <v>0</v>
      </c>
      <c r="AE128" s="380">
        <v>1.9199999999999999E-5</v>
      </c>
      <c r="AF128" s="380"/>
      <c r="AG128" s="419">
        <v>489</v>
      </c>
      <c r="AH128" s="419">
        <v>490</v>
      </c>
      <c r="AI128" s="419">
        <v>0</v>
      </c>
      <c r="AJ128" s="419">
        <v>0</v>
      </c>
      <c r="AK128" s="419">
        <v>0</v>
      </c>
      <c r="AL128" s="380">
        <v>1.9199999999999999E-5</v>
      </c>
      <c r="AM128" s="380"/>
      <c r="AN128" s="419">
        <v>-2894</v>
      </c>
      <c r="AO128" s="419">
        <v>-2352</v>
      </c>
      <c r="AP128" s="419">
        <v>-1420</v>
      </c>
      <c r="AQ128" s="419">
        <v>0</v>
      </c>
      <c r="AR128" s="419">
        <v>0</v>
      </c>
    </row>
    <row r="129" spans="1:44">
      <c r="A129" s="379">
        <v>91161</v>
      </c>
      <c r="B129" t="s">
        <v>845</v>
      </c>
      <c r="C129" s="380">
        <v>9.5199999999999997E-5</v>
      </c>
      <c r="D129" s="380"/>
      <c r="E129" s="419">
        <v>9580</v>
      </c>
      <c r="F129" s="419">
        <v>-6232</v>
      </c>
      <c r="G129" s="419">
        <v>-15624</v>
      </c>
      <c r="H129" s="419">
        <v>-63829</v>
      </c>
      <c r="I129" s="419">
        <v>0</v>
      </c>
      <c r="J129" s="380">
        <v>9.5199999999999997E-5</v>
      </c>
      <c r="K129" s="380"/>
      <c r="L129" s="419">
        <v>23306</v>
      </c>
      <c r="M129" s="419">
        <v>16096</v>
      </c>
      <c r="N129" s="419">
        <v>7046</v>
      </c>
      <c r="O129" s="419">
        <v>0</v>
      </c>
      <c r="P129" s="419">
        <v>0</v>
      </c>
      <c r="Q129" s="380">
        <v>9.5199999999999997E-5</v>
      </c>
      <c r="R129" s="380"/>
      <c r="S129" s="419">
        <v>-47825</v>
      </c>
      <c r="T129" s="419">
        <v>-47272</v>
      </c>
      <c r="U129" s="419">
        <v>-49661</v>
      </c>
      <c r="V129" s="419">
        <v>-63829</v>
      </c>
      <c r="W129" s="419">
        <v>0</v>
      </c>
      <c r="X129" s="380">
        <v>9.5199999999999997E-5</v>
      </c>
      <c r="Z129" s="419">
        <v>38137</v>
      </c>
      <c r="AA129" s="419">
        <v>26794</v>
      </c>
      <c r="AB129" s="419">
        <v>26793</v>
      </c>
      <c r="AC129" s="419">
        <v>0</v>
      </c>
      <c r="AD129" s="419">
        <v>0</v>
      </c>
      <c r="AE129" s="380">
        <v>9.5199999999999997E-5</v>
      </c>
      <c r="AF129" s="380"/>
      <c r="AG129" s="419">
        <v>3048</v>
      </c>
      <c r="AH129" s="419">
        <v>3050</v>
      </c>
      <c r="AI129" s="419">
        <v>198</v>
      </c>
      <c r="AJ129" s="419">
        <v>0</v>
      </c>
      <c r="AK129" s="419">
        <v>0</v>
      </c>
      <c r="AL129" s="380">
        <v>9.5199999999999997E-5</v>
      </c>
      <c r="AM129" s="380"/>
      <c r="AN129" s="419">
        <v>-7086</v>
      </c>
      <c r="AO129" s="419">
        <v>-4900</v>
      </c>
      <c r="AP129" s="419">
        <v>0</v>
      </c>
      <c r="AQ129" s="419">
        <v>0</v>
      </c>
      <c r="AR129" s="419">
        <v>0</v>
      </c>
    </row>
    <row r="130" spans="1:44">
      <c r="A130" s="379">
        <v>91171</v>
      </c>
      <c r="B130" t="s">
        <v>846</v>
      </c>
      <c r="C130" s="380">
        <v>2.6140000000000001E-4</v>
      </c>
      <c r="D130" s="380"/>
      <c r="E130" s="419">
        <v>32342</v>
      </c>
      <c r="F130" s="419">
        <v>-23163</v>
      </c>
      <c r="G130" s="419">
        <v>-51701</v>
      </c>
      <c r="H130" s="419">
        <v>-175262</v>
      </c>
      <c r="I130" s="419">
        <v>0</v>
      </c>
      <c r="J130" s="380">
        <v>2.6140000000000001E-4</v>
      </c>
      <c r="K130" s="380"/>
      <c r="L130" s="419">
        <v>63993</v>
      </c>
      <c r="M130" s="419">
        <v>44195</v>
      </c>
      <c r="N130" s="419">
        <v>19347</v>
      </c>
      <c r="O130" s="419">
        <v>0</v>
      </c>
      <c r="P130" s="419">
        <v>0</v>
      </c>
      <c r="Q130" s="380">
        <v>2.6140000000000001E-4</v>
      </c>
      <c r="R130" s="380"/>
      <c r="S130" s="419">
        <v>-131319</v>
      </c>
      <c r="T130" s="419">
        <v>-129799</v>
      </c>
      <c r="U130" s="419">
        <v>-136360</v>
      </c>
      <c r="V130" s="419">
        <v>-175262</v>
      </c>
      <c r="W130" s="419">
        <v>0</v>
      </c>
      <c r="X130" s="380">
        <v>2.6140000000000001E-4</v>
      </c>
      <c r="Z130" s="419">
        <v>104717</v>
      </c>
      <c r="AA130" s="419">
        <v>73570</v>
      </c>
      <c r="AB130" s="419">
        <v>73569</v>
      </c>
      <c r="AC130" s="419">
        <v>0</v>
      </c>
      <c r="AD130" s="419">
        <v>0</v>
      </c>
      <c r="AE130" s="380">
        <v>2.6140000000000001E-4</v>
      </c>
      <c r="AF130" s="380"/>
      <c r="AG130" s="419">
        <v>8277</v>
      </c>
      <c r="AH130" s="419">
        <v>2198</v>
      </c>
      <c r="AI130" s="419">
        <v>0</v>
      </c>
      <c r="AJ130" s="419">
        <v>0</v>
      </c>
      <c r="AK130" s="419">
        <v>0</v>
      </c>
      <c r="AL130" s="380">
        <v>2.6140000000000001E-4</v>
      </c>
      <c r="AM130" s="380"/>
      <c r="AN130" s="419">
        <v>-13326</v>
      </c>
      <c r="AO130" s="419">
        <v>-13327</v>
      </c>
      <c r="AP130" s="419">
        <v>-8257</v>
      </c>
      <c r="AQ130" s="419">
        <v>0</v>
      </c>
      <c r="AR130" s="419">
        <v>0</v>
      </c>
    </row>
    <row r="131" spans="1:44">
      <c r="A131" s="379">
        <v>91201</v>
      </c>
      <c r="B131" t="s">
        <v>847</v>
      </c>
      <c r="C131" s="380">
        <v>2.5525999999999999E-3</v>
      </c>
      <c r="D131" s="380"/>
      <c r="E131" s="419">
        <v>412202</v>
      </c>
      <c r="F131" s="419">
        <v>-55301</v>
      </c>
      <c r="G131" s="419">
        <v>-447877</v>
      </c>
      <c r="H131" s="419">
        <v>-1711452</v>
      </c>
      <c r="I131" s="419">
        <v>0</v>
      </c>
      <c r="J131" s="380">
        <v>2.5525999999999999E-3</v>
      </c>
      <c r="K131" s="380"/>
      <c r="L131" s="419">
        <v>624897</v>
      </c>
      <c r="M131" s="419">
        <v>431573</v>
      </c>
      <c r="N131" s="419">
        <v>188923</v>
      </c>
      <c r="O131" s="419">
        <v>0</v>
      </c>
      <c r="P131" s="419">
        <v>0</v>
      </c>
      <c r="Q131" s="380">
        <v>2.5525999999999999E-3</v>
      </c>
      <c r="R131" s="380"/>
      <c r="S131" s="419">
        <v>-1282345</v>
      </c>
      <c r="T131" s="419">
        <v>-1267506</v>
      </c>
      <c r="U131" s="419">
        <v>-1331566</v>
      </c>
      <c r="V131" s="419">
        <v>-1711452</v>
      </c>
      <c r="W131" s="419">
        <v>0</v>
      </c>
      <c r="X131" s="380">
        <v>2.5525999999999999E-3</v>
      </c>
      <c r="Z131" s="419">
        <v>1022577</v>
      </c>
      <c r="AA131" s="419">
        <v>718417</v>
      </c>
      <c r="AB131" s="419">
        <v>718411</v>
      </c>
      <c r="AC131" s="419">
        <v>0</v>
      </c>
      <c r="AD131" s="419">
        <v>0</v>
      </c>
      <c r="AE131" s="380">
        <v>2.5525999999999999E-3</v>
      </c>
      <c r="AF131" s="380"/>
      <c r="AG131" s="419">
        <v>93163</v>
      </c>
      <c r="AH131" s="419">
        <v>93161</v>
      </c>
      <c r="AI131" s="419">
        <v>0</v>
      </c>
      <c r="AJ131" s="419">
        <v>0</v>
      </c>
      <c r="AK131" s="419">
        <v>0</v>
      </c>
      <c r="AL131" s="380">
        <v>2.5525999999999999E-3</v>
      </c>
      <c r="AM131" s="380"/>
      <c r="AN131" s="419">
        <v>-46090</v>
      </c>
      <c r="AO131" s="419">
        <v>-30946</v>
      </c>
      <c r="AP131" s="419">
        <v>-23645</v>
      </c>
      <c r="AQ131" s="419">
        <v>0</v>
      </c>
      <c r="AR131" s="419">
        <v>0</v>
      </c>
    </row>
    <row r="132" spans="1:44">
      <c r="A132" s="379">
        <v>91202</v>
      </c>
      <c r="B132" t="s">
        <v>848</v>
      </c>
      <c r="C132" s="380">
        <v>0</v>
      </c>
      <c r="D132" s="380"/>
      <c r="E132" s="419">
        <v>-85930</v>
      </c>
      <c r="F132" s="419">
        <v>-86913</v>
      </c>
      <c r="G132" s="419">
        <v>-41595</v>
      </c>
      <c r="H132" s="419">
        <v>0</v>
      </c>
      <c r="I132" s="419">
        <v>0</v>
      </c>
      <c r="J132" s="380">
        <v>0</v>
      </c>
      <c r="K132" s="380"/>
      <c r="L132" s="419">
        <v>0</v>
      </c>
      <c r="M132" s="419">
        <v>0</v>
      </c>
      <c r="N132" s="419">
        <v>0</v>
      </c>
      <c r="O132" s="419">
        <v>0</v>
      </c>
      <c r="P132" s="419">
        <v>0</v>
      </c>
      <c r="Q132" s="380">
        <v>0</v>
      </c>
      <c r="R132" s="380"/>
      <c r="S132" s="419">
        <v>0</v>
      </c>
      <c r="T132" s="419">
        <v>0</v>
      </c>
      <c r="U132" s="419">
        <v>0</v>
      </c>
      <c r="V132" s="419">
        <v>0</v>
      </c>
      <c r="W132" s="419">
        <v>0</v>
      </c>
      <c r="X132" s="380">
        <v>0</v>
      </c>
      <c r="Z132" s="419">
        <v>0</v>
      </c>
      <c r="AA132" s="419">
        <v>0</v>
      </c>
      <c r="AB132" s="419">
        <v>0</v>
      </c>
      <c r="AC132" s="419">
        <v>0</v>
      </c>
      <c r="AD132" s="419">
        <v>0</v>
      </c>
      <c r="AE132" s="380">
        <v>0</v>
      </c>
      <c r="AF132" s="380"/>
      <c r="AG132" s="419">
        <v>980</v>
      </c>
      <c r="AH132" s="419">
        <v>0</v>
      </c>
      <c r="AI132" s="419">
        <v>0</v>
      </c>
      <c r="AJ132" s="419">
        <v>0</v>
      </c>
      <c r="AK132" s="419">
        <v>0</v>
      </c>
      <c r="AL132" s="380">
        <v>0</v>
      </c>
      <c r="AM132" s="380"/>
      <c r="AN132" s="419">
        <v>-86910</v>
      </c>
      <c r="AO132" s="419">
        <v>-86913</v>
      </c>
      <c r="AP132" s="419">
        <v>-41595</v>
      </c>
      <c r="AQ132" s="419">
        <v>0</v>
      </c>
      <c r="AR132" s="419">
        <v>0</v>
      </c>
    </row>
    <row r="133" spans="1:44">
      <c r="A133" s="379">
        <v>91203</v>
      </c>
      <c r="B133" t="s">
        <v>849</v>
      </c>
      <c r="C133" s="380">
        <v>2.453E-4</v>
      </c>
      <c r="D133" s="380"/>
      <c r="E133" s="419">
        <v>64802</v>
      </c>
      <c r="F133" s="419">
        <v>11619</v>
      </c>
      <c r="G133" s="419">
        <v>-30888</v>
      </c>
      <c r="H133" s="419">
        <v>-164467</v>
      </c>
      <c r="I133" s="419">
        <v>0</v>
      </c>
      <c r="J133" s="380">
        <v>2.453E-4</v>
      </c>
      <c r="K133" s="380"/>
      <c r="L133" s="419">
        <v>60051</v>
      </c>
      <c r="M133" s="419">
        <v>41473</v>
      </c>
      <c r="N133" s="419">
        <v>18155</v>
      </c>
      <c r="O133" s="419">
        <v>0</v>
      </c>
      <c r="P133" s="419">
        <v>0</v>
      </c>
      <c r="Q133" s="380">
        <v>2.453E-4</v>
      </c>
      <c r="R133" s="380"/>
      <c r="S133" s="419">
        <v>-123231</v>
      </c>
      <c r="T133" s="419">
        <v>-121805</v>
      </c>
      <c r="U133" s="419">
        <v>-127961</v>
      </c>
      <c r="V133" s="419">
        <v>-164467</v>
      </c>
      <c r="W133" s="419">
        <v>0</v>
      </c>
      <c r="X133" s="380">
        <v>2.453E-4</v>
      </c>
      <c r="Z133" s="419">
        <v>98268</v>
      </c>
      <c r="AA133" s="419">
        <v>69038</v>
      </c>
      <c r="AB133" s="419">
        <v>69038</v>
      </c>
      <c r="AC133" s="419">
        <v>0</v>
      </c>
      <c r="AD133" s="419">
        <v>0</v>
      </c>
      <c r="AE133" s="380">
        <v>2.453E-4</v>
      </c>
      <c r="AF133" s="380"/>
      <c r="AG133" s="419">
        <v>29714</v>
      </c>
      <c r="AH133" s="419">
        <v>22913</v>
      </c>
      <c r="AI133" s="419">
        <v>9880</v>
      </c>
      <c r="AJ133" s="419">
        <v>0</v>
      </c>
      <c r="AK133" s="419">
        <v>0</v>
      </c>
      <c r="AL133" s="380">
        <v>2.453E-4</v>
      </c>
      <c r="AM133" s="380"/>
      <c r="AN133" s="419">
        <v>0</v>
      </c>
      <c r="AO133" s="419">
        <v>0</v>
      </c>
      <c r="AP133" s="419">
        <v>0</v>
      </c>
      <c r="AQ133" s="419">
        <v>0</v>
      </c>
      <c r="AR133" s="419">
        <v>0</v>
      </c>
    </row>
    <row r="134" spans="1:44">
      <c r="A134" s="379">
        <v>91206</v>
      </c>
      <c r="B134" t="s">
        <v>850</v>
      </c>
      <c r="C134" s="380">
        <v>9.9869999999999994E-4</v>
      </c>
      <c r="D134" s="380"/>
      <c r="E134" s="419">
        <v>178588</v>
      </c>
      <c r="F134" s="419">
        <v>-17372</v>
      </c>
      <c r="G134" s="419">
        <v>-124307</v>
      </c>
      <c r="H134" s="419">
        <v>-669602</v>
      </c>
      <c r="I134" s="419">
        <v>0</v>
      </c>
      <c r="J134" s="380">
        <v>9.9869999999999994E-4</v>
      </c>
      <c r="K134" s="380"/>
      <c r="L134" s="419">
        <v>244490</v>
      </c>
      <c r="M134" s="419">
        <v>168852</v>
      </c>
      <c r="N134" s="419">
        <v>73916</v>
      </c>
      <c r="O134" s="419">
        <v>0</v>
      </c>
      <c r="P134" s="419">
        <v>0</v>
      </c>
      <c r="Q134" s="380">
        <v>9.9869999999999994E-4</v>
      </c>
      <c r="R134" s="380"/>
      <c r="S134" s="419">
        <v>-501715</v>
      </c>
      <c r="T134" s="419">
        <v>-495909</v>
      </c>
      <c r="U134" s="419">
        <v>-520973</v>
      </c>
      <c r="V134" s="419">
        <v>-669602</v>
      </c>
      <c r="W134" s="419">
        <v>0</v>
      </c>
      <c r="X134" s="380">
        <v>9.9869999999999994E-4</v>
      </c>
      <c r="Z134" s="419">
        <v>400081</v>
      </c>
      <c r="AA134" s="419">
        <v>281079</v>
      </c>
      <c r="AB134" s="419">
        <v>281077</v>
      </c>
      <c r="AC134" s="419">
        <v>0</v>
      </c>
      <c r="AD134" s="419">
        <v>0</v>
      </c>
      <c r="AE134" s="380">
        <v>9.9869999999999994E-4</v>
      </c>
      <c r="AF134" s="380"/>
      <c r="AG134" s="419">
        <v>55143</v>
      </c>
      <c r="AH134" s="419">
        <v>48018</v>
      </c>
      <c r="AI134" s="419">
        <v>41673</v>
      </c>
      <c r="AJ134" s="419">
        <v>0</v>
      </c>
      <c r="AK134" s="419">
        <v>0</v>
      </c>
      <c r="AL134" s="380">
        <v>9.9869999999999994E-4</v>
      </c>
      <c r="AM134" s="380"/>
      <c r="AN134" s="419">
        <v>-19411</v>
      </c>
      <c r="AO134" s="419">
        <v>-19412</v>
      </c>
      <c r="AP134" s="419">
        <v>0</v>
      </c>
      <c r="AQ134" s="419">
        <v>0</v>
      </c>
      <c r="AR134" s="419">
        <v>0</v>
      </c>
    </row>
    <row r="135" spans="1:44">
      <c r="A135" s="379">
        <v>91208</v>
      </c>
      <c r="B135" t="s">
        <v>851</v>
      </c>
      <c r="C135" s="380">
        <v>1.5999999999999999E-5</v>
      </c>
      <c r="D135" s="380"/>
      <c r="E135" s="419">
        <v>2797</v>
      </c>
      <c r="F135" s="419">
        <v>-99</v>
      </c>
      <c r="G135" s="419">
        <v>-2296</v>
      </c>
      <c r="H135" s="419">
        <v>-10728</v>
      </c>
      <c r="I135" s="419">
        <v>0</v>
      </c>
      <c r="J135" s="380">
        <v>1.5999999999999999E-5</v>
      </c>
      <c r="K135" s="380"/>
      <c r="L135" s="419">
        <v>3917</v>
      </c>
      <c r="M135" s="419">
        <v>2705</v>
      </c>
      <c r="N135" s="419">
        <v>1184</v>
      </c>
      <c r="O135" s="419">
        <v>0</v>
      </c>
      <c r="P135" s="419">
        <v>0</v>
      </c>
      <c r="Q135" s="380">
        <v>1.5999999999999999E-5</v>
      </c>
      <c r="R135" s="380"/>
      <c r="S135" s="419">
        <v>-8038</v>
      </c>
      <c r="T135" s="419">
        <v>-7945</v>
      </c>
      <c r="U135" s="419">
        <v>-8346</v>
      </c>
      <c r="V135" s="419">
        <v>-10728</v>
      </c>
      <c r="W135" s="419">
        <v>0</v>
      </c>
      <c r="X135" s="380">
        <v>1.5999999999999999E-5</v>
      </c>
      <c r="Z135" s="419">
        <v>6410</v>
      </c>
      <c r="AA135" s="419">
        <v>4503</v>
      </c>
      <c r="AB135" s="419">
        <v>4503</v>
      </c>
      <c r="AC135" s="419">
        <v>0</v>
      </c>
      <c r="AD135" s="419">
        <v>0</v>
      </c>
      <c r="AE135" s="380">
        <v>1.5999999999999999E-5</v>
      </c>
      <c r="AF135" s="380"/>
      <c r="AG135" s="419">
        <v>1603</v>
      </c>
      <c r="AH135" s="419">
        <v>1605</v>
      </c>
      <c r="AI135" s="419">
        <v>363</v>
      </c>
      <c r="AJ135" s="419">
        <v>0</v>
      </c>
      <c r="AK135" s="419">
        <v>0</v>
      </c>
      <c r="AL135" s="380">
        <v>1.5999999999999999E-5</v>
      </c>
      <c r="AM135" s="380"/>
      <c r="AN135" s="419">
        <v>-1095</v>
      </c>
      <c r="AO135" s="419">
        <v>-967</v>
      </c>
      <c r="AP135" s="419">
        <v>0</v>
      </c>
      <c r="AQ135" s="419">
        <v>0</v>
      </c>
      <c r="AR135" s="419">
        <v>0</v>
      </c>
    </row>
    <row r="136" spans="1:44">
      <c r="A136" s="379">
        <v>91211</v>
      </c>
      <c r="B136" t="s">
        <v>852</v>
      </c>
      <c r="C136" s="380">
        <v>4.2250000000000002E-4</v>
      </c>
      <c r="D136" s="380"/>
      <c r="E136" s="419">
        <v>29151</v>
      </c>
      <c r="F136" s="419">
        <v>-47008</v>
      </c>
      <c r="G136" s="419">
        <v>-103884</v>
      </c>
      <c r="H136" s="419">
        <v>-283275</v>
      </c>
      <c r="I136" s="419">
        <v>0</v>
      </c>
      <c r="J136" s="380">
        <v>4.2250000000000002E-4</v>
      </c>
      <c r="K136" s="380"/>
      <c r="L136" s="419">
        <v>103431</v>
      </c>
      <c r="M136" s="419">
        <v>71433</v>
      </c>
      <c r="N136" s="419">
        <v>31270</v>
      </c>
      <c r="O136" s="419">
        <v>0</v>
      </c>
      <c r="P136" s="419">
        <v>0</v>
      </c>
      <c r="Q136" s="380">
        <v>4.2250000000000002E-4</v>
      </c>
      <c r="R136" s="380"/>
      <c r="S136" s="419">
        <v>-212250</v>
      </c>
      <c r="T136" s="419">
        <v>-209794</v>
      </c>
      <c r="U136" s="419">
        <v>-220398</v>
      </c>
      <c r="V136" s="419">
        <v>-283275</v>
      </c>
      <c r="W136" s="419">
        <v>0</v>
      </c>
      <c r="X136" s="380">
        <v>4.2250000000000002E-4</v>
      </c>
      <c r="Z136" s="419">
        <v>169254</v>
      </c>
      <c r="AA136" s="419">
        <v>118911</v>
      </c>
      <c r="AB136" s="419">
        <v>118910</v>
      </c>
      <c r="AC136" s="419">
        <v>0</v>
      </c>
      <c r="AD136" s="419">
        <v>0</v>
      </c>
      <c r="AE136" s="380">
        <v>4.2250000000000002E-4</v>
      </c>
      <c r="AF136" s="380"/>
      <c r="AG136" s="419">
        <v>10993</v>
      </c>
      <c r="AH136" s="419">
        <v>10993</v>
      </c>
      <c r="AI136" s="419">
        <v>0</v>
      </c>
      <c r="AJ136" s="419">
        <v>0</v>
      </c>
      <c r="AK136" s="419">
        <v>0</v>
      </c>
      <c r="AL136" s="380">
        <v>4.2250000000000002E-4</v>
      </c>
      <c r="AM136" s="380"/>
      <c r="AN136" s="419">
        <v>-42277</v>
      </c>
      <c r="AO136" s="419">
        <v>-38551</v>
      </c>
      <c r="AP136" s="419">
        <v>-33666</v>
      </c>
      <c r="AQ136" s="419">
        <v>0</v>
      </c>
      <c r="AR136" s="419">
        <v>0</v>
      </c>
    </row>
    <row r="137" spans="1:44">
      <c r="A137" s="379">
        <v>91213</v>
      </c>
      <c r="B137" t="s">
        <v>853</v>
      </c>
      <c r="C137" s="380">
        <v>2.2399999999999999E-5</v>
      </c>
      <c r="D137" s="380"/>
      <c r="E137" s="419">
        <v>-959</v>
      </c>
      <c r="F137" s="419">
        <v>-3728</v>
      </c>
      <c r="G137" s="419">
        <v>-6925</v>
      </c>
      <c r="H137" s="419">
        <v>-15019</v>
      </c>
      <c r="I137" s="419">
        <v>0</v>
      </c>
      <c r="J137" s="380">
        <v>2.2399999999999999E-5</v>
      </c>
      <c r="K137" s="380"/>
      <c r="L137" s="419">
        <v>5484</v>
      </c>
      <c r="M137" s="419">
        <v>3787</v>
      </c>
      <c r="N137" s="419">
        <v>1658</v>
      </c>
      <c r="O137" s="419">
        <v>0</v>
      </c>
      <c r="P137" s="419">
        <v>0</v>
      </c>
      <c r="Q137" s="380">
        <v>2.2399999999999999E-5</v>
      </c>
      <c r="R137" s="380"/>
      <c r="S137" s="419">
        <v>-11253</v>
      </c>
      <c r="T137" s="419">
        <v>-11123</v>
      </c>
      <c r="U137" s="419">
        <v>-11685</v>
      </c>
      <c r="V137" s="419">
        <v>-15019</v>
      </c>
      <c r="W137" s="419">
        <v>0</v>
      </c>
      <c r="X137" s="380">
        <v>2.2399999999999999E-5</v>
      </c>
      <c r="Z137" s="419">
        <v>8973</v>
      </c>
      <c r="AA137" s="419">
        <v>6304</v>
      </c>
      <c r="AB137" s="419">
        <v>6304</v>
      </c>
      <c r="AC137" s="419">
        <v>0</v>
      </c>
      <c r="AD137" s="419">
        <v>0</v>
      </c>
      <c r="AE137" s="380">
        <v>2.2399999999999999E-5</v>
      </c>
      <c r="AF137" s="380"/>
      <c r="AG137" s="419">
        <v>645</v>
      </c>
      <c r="AH137" s="419">
        <v>647</v>
      </c>
      <c r="AI137" s="419">
        <v>0</v>
      </c>
      <c r="AJ137" s="419">
        <v>0</v>
      </c>
      <c r="AK137" s="419">
        <v>0</v>
      </c>
      <c r="AL137" s="380">
        <v>2.2399999999999999E-5</v>
      </c>
      <c r="AM137" s="380"/>
      <c r="AN137" s="419">
        <v>-4808</v>
      </c>
      <c r="AO137" s="419">
        <v>-3343</v>
      </c>
      <c r="AP137" s="419">
        <v>-3202</v>
      </c>
      <c r="AQ137" s="419">
        <v>0</v>
      </c>
      <c r="AR137" s="419">
        <v>0</v>
      </c>
    </row>
    <row r="138" spans="1:44">
      <c r="A138" s="379">
        <v>91214</v>
      </c>
      <c r="B138" t="s">
        <v>854</v>
      </c>
      <c r="C138" s="380">
        <v>3.5200000000000002E-5</v>
      </c>
      <c r="D138" s="380"/>
      <c r="E138" s="419">
        <v>1176</v>
      </c>
      <c r="F138" s="419">
        <v>-5071</v>
      </c>
      <c r="G138" s="419">
        <v>-7984</v>
      </c>
      <c r="H138" s="419">
        <v>-23601</v>
      </c>
      <c r="I138" s="419">
        <v>0</v>
      </c>
      <c r="J138" s="380">
        <v>3.5200000000000002E-5</v>
      </c>
      <c r="K138" s="380"/>
      <c r="L138" s="419">
        <v>8617</v>
      </c>
      <c r="M138" s="419">
        <v>5951</v>
      </c>
      <c r="N138" s="419">
        <v>2605</v>
      </c>
      <c r="O138" s="419">
        <v>0</v>
      </c>
      <c r="P138" s="419">
        <v>0</v>
      </c>
      <c r="Q138" s="380">
        <v>3.5200000000000002E-5</v>
      </c>
      <c r="R138" s="380"/>
      <c r="S138" s="419">
        <v>-17683</v>
      </c>
      <c r="T138" s="419">
        <v>-17479</v>
      </c>
      <c r="U138" s="419">
        <v>-18362</v>
      </c>
      <c r="V138" s="419">
        <v>-23601</v>
      </c>
      <c r="W138" s="419">
        <v>0</v>
      </c>
      <c r="X138" s="380">
        <v>3.5200000000000002E-5</v>
      </c>
      <c r="Z138" s="419">
        <v>14101</v>
      </c>
      <c r="AA138" s="419">
        <v>9907</v>
      </c>
      <c r="AB138" s="419">
        <v>9907</v>
      </c>
      <c r="AC138" s="419">
        <v>0</v>
      </c>
      <c r="AD138" s="419">
        <v>0</v>
      </c>
      <c r="AE138" s="380">
        <v>3.5200000000000002E-5</v>
      </c>
      <c r="AF138" s="380"/>
      <c r="AG138" s="419">
        <v>154</v>
      </c>
      <c r="AH138" s="419">
        <v>154</v>
      </c>
      <c r="AI138" s="419">
        <v>0</v>
      </c>
      <c r="AJ138" s="419">
        <v>0</v>
      </c>
      <c r="AK138" s="419">
        <v>0</v>
      </c>
      <c r="AL138" s="380">
        <v>3.5200000000000002E-5</v>
      </c>
      <c r="AM138" s="380"/>
      <c r="AN138" s="419">
        <v>-4013</v>
      </c>
      <c r="AO138" s="419">
        <v>-3604</v>
      </c>
      <c r="AP138" s="419">
        <v>-2134</v>
      </c>
      <c r="AQ138" s="419">
        <v>0</v>
      </c>
      <c r="AR138" s="419">
        <v>0</v>
      </c>
    </row>
    <row r="139" spans="1:44">
      <c r="A139" s="379">
        <v>91217</v>
      </c>
      <c r="B139" t="s">
        <v>855</v>
      </c>
      <c r="C139" s="380">
        <v>2.6699999999999998E-5</v>
      </c>
      <c r="D139" s="380"/>
      <c r="E139" s="419">
        <v>11733</v>
      </c>
      <c r="F139" s="419">
        <v>7494</v>
      </c>
      <c r="G139" s="419">
        <v>-93</v>
      </c>
      <c r="H139" s="419">
        <v>-17902</v>
      </c>
      <c r="I139" s="419">
        <v>0</v>
      </c>
      <c r="J139" s="380">
        <v>2.6699999999999998E-5</v>
      </c>
      <c r="K139" s="380"/>
      <c r="L139" s="419">
        <v>6536</v>
      </c>
      <c r="M139" s="419">
        <v>4514</v>
      </c>
      <c r="N139" s="419">
        <v>1976</v>
      </c>
      <c r="O139" s="419">
        <v>0</v>
      </c>
      <c r="P139" s="419">
        <v>0</v>
      </c>
      <c r="Q139" s="380">
        <v>2.6699999999999998E-5</v>
      </c>
      <c r="R139" s="380"/>
      <c r="S139" s="419">
        <v>-13413</v>
      </c>
      <c r="T139" s="419">
        <v>-13258</v>
      </c>
      <c r="U139" s="419">
        <v>-13928</v>
      </c>
      <c r="V139" s="419">
        <v>-17902</v>
      </c>
      <c r="W139" s="419">
        <v>0</v>
      </c>
      <c r="X139" s="380">
        <v>2.6699999999999998E-5</v>
      </c>
      <c r="Z139" s="419">
        <v>10696</v>
      </c>
      <c r="AA139" s="419">
        <v>7515</v>
      </c>
      <c r="AB139" s="419">
        <v>7515</v>
      </c>
      <c r="AC139" s="419">
        <v>0</v>
      </c>
      <c r="AD139" s="419">
        <v>0</v>
      </c>
      <c r="AE139" s="380">
        <v>2.6699999999999998E-5</v>
      </c>
      <c r="AF139" s="380"/>
      <c r="AG139" s="419">
        <v>8726</v>
      </c>
      <c r="AH139" s="419">
        <v>8723</v>
      </c>
      <c r="AI139" s="419">
        <v>4344</v>
      </c>
      <c r="AJ139" s="419">
        <v>0</v>
      </c>
      <c r="AK139" s="419">
        <v>0</v>
      </c>
      <c r="AL139" s="380">
        <v>2.6699999999999998E-5</v>
      </c>
      <c r="AM139" s="380"/>
      <c r="AN139" s="419">
        <v>-812</v>
      </c>
      <c r="AO139" s="419">
        <v>0</v>
      </c>
      <c r="AP139" s="419">
        <v>0</v>
      </c>
      <c r="AQ139" s="419">
        <v>0</v>
      </c>
      <c r="AR139" s="419">
        <v>0</v>
      </c>
    </row>
    <row r="140" spans="1:44">
      <c r="A140" s="379">
        <v>91221</v>
      </c>
      <c r="B140" t="s">
        <v>856</v>
      </c>
      <c r="C140" s="380">
        <v>9.9099999999999996E-5</v>
      </c>
      <c r="D140" s="380"/>
      <c r="E140" s="419">
        <v>6574</v>
      </c>
      <c r="F140" s="419">
        <v>-9782</v>
      </c>
      <c r="G140" s="419">
        <v>-17353</v>
      </c>
      <c r="H140" s="419">
        <v>-66444</v>
      </c>
      <c r="I140" s="419">
        <v>0</v>
      </c>
      <c r="J140" s="380">
        <v>9.9099999999999996E-5</v>
      </c>
      <c r="K140" s="380"/>
      <c r="L140" s="419">
        <v>24260</v>
      </c>
      <c r="M140" s="419">
        <v>16755</v>
      </c>
      <c r="N140" s="419">
        <v>7335</v>
      </c>
      <c r="O140" s="419">
        <v>0</v>
      </c>
      <c r="P140" s="419">
        <v>0</v>
      </c>
      <c r="Q140" s="380">
        <v>9.9099999999999996E-5</v>
      </c>
      <c r="R140" s="380"/>
      <c r="S140" s="419">
        <v>-49785</v>
      </c>
      <c r="T140" s="419">
        <v>-49209</v>
      </c>
      <c r="U140" s="419">
        <v>-51696</v>
      </c>
      <c r="V140" s="419">
        <v>-66444</v>
      </c>
      <c r="W140" s="419">
        <v>0</v>
      </c>
      <c r="X140" s="380">
        <v>9.9099999999999996E-5</v>
      </c>
      <c r="Z140" s="419">
        <v>39700</v>
      </c>
      <c r="AA140" s="419">
        <v>27891</v>
      </c>
      <c r="AB140" s="419">
        <v>27891</v>
      </c>
      <c r="AC140" s="419">
        <v>0</v>
      </c>
      <c r="AD140" s="419">
        <v>0</v>
      </c>
      <c r="AE140" s="380">
        <v>9.9099999999999996E-5</v>
      </c>
      <c r="AF140" s="380"/>
      <c r="AG140" s="419">
        <v>0</v>
      </c>
      <c r="AH140" s="419">
        <v>0</v>
      </c>
      <c r="AI140" s="419">
        <v>0</v>
      </c>
      <c r="AJ140" s="419">
        <v>0</v>
      </c>
      <c r="AK140" s="419">
        <v>0</v>
      </c>
      <c r="AL140" s="380">
        <v>9.9099999999999996E-5</v>
      </c>
      <c r="AM140" s="380"/>
      <c r="AN140" s="419">
        <v>-7601</v>
      </c>
      <c r="AO140" s="419">
        <v>-5219</v>
      </c>
      <c r="AP140" s="419">
        <v>-883</v>
      </c>
      <c r="AQ140" s="419">
        <v>0</v>
      </c>
      <c r="AR140" s="419">
        <v>0</v>
      </c>
    </row>
    <row r="141" spans="1:44">
      <c r="A141" s="379">
        <v>91231</v>
      </c>
      <c r="B141" t="s">
        <v>857</v>
      </c>
      <c r="C141" s="380">
        <v>1.8575E-3</v>
      </c>
      <c r="D141" s="380"/>
      <c r="E141" s="419">
        <v>249427</v>
      </c>
      <c r="F141" s="419">
        <v>-96169</v>
      </c>
      <c r="G141" s="419">
        <v>-342536</v>
      </c>
      <c r="H141" s="419">
        <v>-1245405</v>
      </c>
      <c r="I141" s="419">
        <v>0</v>
      </c>
      <c r="J141" s="380">
        <v>1.8575E-3</v>
      </c>
      <c r="K141" s="380"/>
      <c r="L141" s="419">
        <v>454731</v>
      </c>
      <c r="M141" s="419">
        <v>314051</v>
      </c>
      <c r="N141" s="419">
        <v>137477</v>
      </c>
      <c r="O141" s="419">
        <v>0</v>
      </c>
      <c r="P141" s="419">
        <v>0</v>
      </c>
      <c r="Q141" s="380">
        <v>1.8575E-3</v>
      </c>
      <c r="R141" s="380"/>
      <c r="S141" s="419">
        <v>-933149</v>
      </c>
      <c r="T141" s="419">
        <v>-922351</v>
      </c>
      <c r="U141" s="419">
        <v>-968967</v>
      </c>
      <c r="V141" s="419">
        <v>-1245405</v>
      </c>
      <c r="W141" s="419">
        <v>0</v>
      </c>
      <c r="X141" s="380">
        <v>1.8575E-3</v>
      </c>
      <c r="Z141" s="419">
        <v>744118</v>
      </c>
      <c r="AA141" s="419">
        <v>522784</v>
      </c>
      <c r="AB141" s="419">
        <v>522780</v>
      </c>
      <c r="AC141" s="419">
        <v>0</v>
      </c>
      <c r="AD141" s="419">
        <v>0</v>
      </c>
      <c r="AE141" s="380">
        <v>1.8575E-3</v>
      </c>
      <c r="AF141" s="380"/>
      <c r="AG141" s="419">
        <v>23177</v>
      </c>
      <c r="AH141" s="419">
        <v>23174</v>
      </c>
      <c r="AI141" s="419">
        <v>0</v>
      </c>
      <c r="AJ141" s="419">
        <v>0</v>
      </c>
      <c r="AK141" s="419">
        <v>0</v>
      </c>
      <c r="AL141" s="380">
        <v>1.8575E-3</v>
      </c>
      <c r="AM141" s="380"/>
      <c r="AN141" s="419">
        <v>-39450</v>
      </c>
      <c r="AO141" s="419">
        <v>-33827</v>
      </c>
      <c r="AP141" s="419">
        <v>-33826</v>
      </c>
      <c r="AQ141" s="419">
        <v>0</v>
      </c>
      <c r="AR141" s="419">
        <v>0</v>
      </c>
    </row>
    <row r="142" spans="1:44">
      <c r="A142" s="379">
        <v>91233</v>
      </c>
      <c r="B142" t="s">
        <v>858</v>
      </c>
      <c r="C142" s="380">
        <v>6.5199999999999999E-5</v>
      </c>
      <c r="D142" s="380"/>
      <c r="E142" s="419">
        <v>7247</v>
      </c>
      <c r="F142" s="419">
        <v>-3499</v>
      </c>
      <c r="G142" s="419">
        <v>-13671</v>
      </c>
      <c r="H142" s="419">
        <v>-43715</v>
      </c>
      <c r="I142" s="419">
        <v>0</v>
      </c>
      <c r="J142" s="380">
        <v>6.5199999999999999E-5</v>
      </c>
      <c r="K142" s="380"/>
      <c r="L142" s="419">
        <v>15961</v>
      </c>
      <c r="M142" s="419">
        <v>11023</v>
      </c>
      <c r="N142" s="419">
        <v>4826</v>
      </c>
      <c r="O142" s="419">
        <v>0</v>
      </c>
      <c r="P142" s="419">
        <v>0</v>
      </c>
      <c r="Q142" s="380">
        <v>6.5199999999999999E-5</v>
      </c>
      <c r="R142" s="380"/>
      <c r="S142" s="419">
        <v>-32754</v>
      </c>
      <c r="T142" s="419">
        <v>-32375</v>
      </c>
      <c r="U142" s="419">
        <v>-34012</v>
      </c>
      <c r="V142" s="419">
        <v>-43715</v>
      </c>
      <c r="W142" s="419">
        <v>0</v>
      </c>
      <c r="X142" s="380">
        <v>6.5199999999999999E-5</v>
      </c>
      <c r="Z142" s="419">
        <v>26119</v>
      </c>
      <c r="AA142" s="419">
        <v>18350</v>
      </c>
      <c r="AB142" s="419">
        <v>18350</v>
      </c>
      <c r="AC142" s="419">
        <v>0</v>
      </c>
      <c r="AD142" s="419">
        <v>0</v>
      </c>
      <c r="AE142" s="380">
        <v>6.5199999999999999E-5</v>
      </c>
      <c r="AF142" s="380"/>
      <c r="AG142" s="419">
        <v>2340</v>
      </c>
      <c r="AH142" s="419">
        <v>2339</v>
      </c>
      <c r="AI142" s="419">
        <v>0</v>
      </c>
      <c r="AJ142" s="419">
        <v>0</v>
      </c>
      <c r="AK142" s="419">
        <v>0</v>
      </c>
      <c r="AL142" s="380">
        <v>6.5199999999999999E-5</v>
      </c>
      <c r="AM142" s="380"/>
      <c r="AN142" s="419">
        <v>-4419</v>
      </c>
      <c r="AO142" s="419">
        <v>-2836</v>
      </c>
      <c r="AP142" s="419">
        <v>-2835</v>
      </c>
      <c r="AQ142" s="419">
        <v>0</v>
      </c>
      <c r="AR142" s="419">
        <v>0</v>
      </c>
    </row>
    <row r="143" spans="1:44">
      <c r="A143" s="379">
        <v>91241</v>
      </c>
      <c r="B143" t="s">
        <v>859</v>
      </c>
      <c r="C143" s="380">
        <v>3.4999999999999997E-5</v>
      </c>
      <c r="D143" s="380"/>
      <c r="E143" s="419">
        <v>1553</v>
      </c>
      <c r="F143" s="419">
        <v>-8006</v>
      </c>
      <c r="G143" s="419">
        <v>-3865</v>
      </c>
      <c r="H143" s="419">
        <v>-23467</v>
      </c>
      <c r="I143" s="419">
        <v>0</v>
      </c>
      <c r="J143" s="380">
        <v>3.4999999999999997E-5</v>
      </c>
      <c r="K143" s="380"/>
      <c r="L143" s="419">
        <v>8568</v>
      </c>
      <c r="M143" s="419">
        <v>5918</v>
      </c>
      <c r="N143" s="419">
        <v>2590</v>
      </c>
      <c r="O143" s="419">
        <v>0</v>
      </c>
      <c r="P143" s="419">
        <v>0</v>
      </c>
      <c r="Q143" s="380">
        <v>3.4999999999999997E-5</v>
      </c>
      <c r="R143" s="380"/>
      <c r="S143" s="419">
        <v>-17583</v>
      </c>
      <c r="T143" s="419">
        <v>-17379</v>
      </c>
      <c r="U143" s="419">
        <v>-18258</v>
      </c>
      <c r="V143" s="419">
        <v>-23467</v>
      </c>
      <c r="W143" s="419">
        <v>0</v>
      </c>
      <c r="X143" s="380">
        <v>3.4999999999999997E-5</v>
      </c>
      <c r="Z143" s="419">
        <v>14021</v>
      </c>
      <c r="AA143" s="419">
        <v>9851</v>
      </c>
      <c r="AB143" s="419">
        <v>9851</v>
      </c>
      <c r="AC143" s="419">
        <v>0</v>
      </c>
      <c r="AD143" s="419">
        <v>0</v>
      </c>
      <c r="AE143" s="380">
        <v>3.4999999999999997E-5</v>
      </c>
      <c r="AF143" s="380"/>
      <c r="AG143" s="419">
        <v>5373</v>
      </c>
      <c r="AH143" s="419">
        <v>2430</v>
      </c>
      <c r="AI143" s="419">
        <v>1952</v>
      </c>
      <c r="AJ143" s="419">
        <v>0</v>
      </c>
      <c r="AK143" s="419">
        <v>0</v>
      </c>
      <c r="AL143" s="380">
        <v>3.4999999999999997E-5</v>
      </c>
      <c r="AM143" s="380"/>
      <c r="AN143" s="419">
        <v>-8826</v>
      </c>
      <c r="AO143" s="419">
        <v>-8826</v>
      </c>
      <c r="AP143" s="419">
        <v>0</v>
      </c>
      <c r="AQ143" s="419">
        <v>0</v>
      </c>
      <c r="AR143" s="419">
        <v>0</v>
      </c>
    </row>
    <row r="144" spans="1:44">
      <c r="A144" s="379">
        <v>91251</v>
      </c>
      <c r="B144" t="s">
        <v>860</v>
      </c>
      <c r="C144" s="380">
        <v>2.6999999999999999E-5</v>
      </c>
      <c r="D144" s="380"/>
      <c r="E144" s="419">
        <v>6272</v>
      </c>
      <c r="F144" s="419">
        <v>-1099</v>
      </c>
      <c r="G144" s="419">
        <v>-4658</v>
      </c>
      <c r="H144" s="419">
        <v>-18103</v>
      </c>
      <c r="I144" s="419">
        <v>0</v>
      </c>
      <c r="J144" s="380">
        <v>2.6999999999999999E-5</v>
      </c>
      <c r="K144" s="380"/>
      <c r="L144" s="419">
        <v>6610</v>
      </c>
      <c r="M144" s="419">
        <v>4565</v>
      </c>
      <c r="N144" s="419">
        <v>1998</v>
      </c>
      <c r="O144" s="419">
        <v>0</v>
      </c>
      <c r="P144" s="419">
        <v>0</v>
      </c>
      <c r="Q144" s="380">
        <v>2.6999999999999999E-5</v>
      </c>
      <c r="R144" s="380"/>
      <c r="S144" s="419">
        <v>-13564</v>
      </c>
      <c r="T144" s="419">
        <v>-13407</v>
      </c>
      <c r="U144" s="419">
        <v>-14085</v>
      </c>
      <c r="V144" s="419">
        <v>-18103</v>
      </c>
      <c r="W144" s="419">
        <v>0</v>
      </c>
      <c r="X144" s="380">
        <v>2.6999999999999999E-5</v>
      </c>
      <c r="Z144" s="419">
        <v>10816</v>
      </c>
      <c r="AA144" s="419">
        <v>7599</v>
      </c>
      <c r="AB144" s="419">
        <v>7599</v>
      </c>
      <c r="AC144" s="419">
        <v>0</v>
      </c>
      <c r="AD144" s="419">
        <v>0</v>
      </c>
      <c r="AE144" s="380">
        <v>2.6999999999999999E-5</v>
      </c>
      <c r="AF144" s="380"/>
      <c r="AG144" s="419">
        <v>4388</v>
      </c>
      <c r="AH144" s="419">
        <v>2120</v>
      </c>
      <c r="AI144" s="419">
        <v>0</v>
      </c>
      <c r="AJ144" s="419">
        <v>0</v>
      </c>
      <c r="AK144" s="419">
        <v>0</v>
      </c>
      <c r="AL144" s="380">
        <v>2.6999999999999999E-5</v>
      </c>
      <c r="AM144" s="380"/>
      <c r="AN144" s="419">
        <v>-1978</v>
      </c>
      <c r="AO144" s="419">
        <v>-1976</v>
      </c>
      <c r="AP144" s="419">
        <v>-170</v>
      </c>
      <c r="AQ144" s="419">
        <v>0</v>
      </c>
      <c r="AR144" s="419">
        <v>0</v>
      </c>
    </row>
    <row r="145" spans="1:44">
      <c r="A145" s="379">
        <v>91261</v>
      </c>
      <c r="B145" t="s">
        <v>861</v>
      </c>
      <c r="C145" s="380">
        <v>9.7000000000000003E-6</v>
      </c>
      <c r="D145" s="380"/>
      <c r="E145" s="419">
        <v>239</v>
      </c>
      <c r="F145" s="419">
        <v>-1598</v>
      </c>
      <c r="G145" s="419">
        <v>-2024</v>
      </c>
      <c r="H145" s="419">
        <v>-6504</v>
      </c>
      <c r="I145" s="419">
        <v>0</v>
      </c>
      <c r="J145" s="380">
        <v>9.7000000000000003E-6</v>
      </c>
      <c r="K145" s="380"/>
      <c r="L145" s="419">
        <v>2375</v>
      </c>
      <c r="M145" s="419">
        <v>1640</v>
      </c>
      <c r="N145" s="419">
        <v>718</v>
      </c>
      <c r="O145" s="419">
        <v>0</v>
      </c>
      <c r="P145" s="419">
        <v>0</v>
      </c>
      <c r="Q145" s="380">
        <v>9.7000000000000003E-6</v>
      </c>
      <c r="R145" s="380"/>
      <c r="S145" s="419">
        <v>-4873</v>
      </c>
      <c r="T145" s="419">
        <v>-4817</v>
      </c>
      <c r="U145" s="419">
        <v>-5060</v>
      </c>
      <c r="V145" s="419">
        <v>-6504</v>
      </c>
      <c r="W145" s="419">
        <v>0</v>
      </c>
      <c r="X145" s="380">
        <v>9.7000000000000003E-6</v>
      </c>
      <c r="Z145" s="419">
        <v>3886</v>
      </c>
      <c r="AA145" s="419">
        <v>2730</v>
      </c>
      <c r="AB145" s="419">
        <v>2730</v>
      </c>
      <c r="AC145" s="419">
        <v>0</v>
      </c>
      <c r="AD145" s="419">
        <v>0</v>
      </c>
      <c r="AE145" s="380">
        <v>9.7000000000000003E-6</v>
      </c>
      <c r="AF145" s="380"/>
      <c r="AG145" s="419">
        <v>0</v>
      </c>
      <c r="AH145" s="419">
        <v>0</v>
      </c>
      <c r="AI145" s="419">
        <v>0</v>
      </c>
      <c r="AJ145" s="419">
        <v>0</v>
      </c>
      <c r="AK145" s="419">
        <v>0</v>
      </c>
      <c r="AL145" s="380">
        <v>9.7000000000000003E-6</v>
      </c>
      <c r="AM145" s="380"/>
      <c r="AN145" s="419">
        <v>-1149</v>
      </c>
      <c r="AO145" s="419">
        <v>-1151</v>
      </c>
      <c r="AP145" s="419">
        <v>-412</v>
      </c>
      <c r="AQ145" s="419">
        <v>0</v>
      </c>
      <c r="AR145" s="419">
        <v>0</v>
      </c>
    </row>
    <row r="146" spans="1:44">
      <c r="A146" s="379">
        <v>91301</v>
      </c>
      <c r="B146" t="s">
        <v>862</v>
      </c>
      <c r="C146" s="380">
        <v>8.3421999999999993E-3</v>
      </c>
      <c r="D146" s="380"/>
      <c r="E146" s="419">
        <v>1310449</v>
      </c>
      <c r="F146" s="419">
        <v>-246941</v>
      </c>
      <c r="G146" s="419">
        <v>-1367122</v>
      </c>
      <c r="H146" s="419">
        <v>-5593228</v>
      </c>
      <c r="I146" s="419">
        <v>0</v>
      </c>
      <c r="J146" s="380">
        <v>8.3421999999999993E-3</v>
      </c>
      <c r="K146" s="380"/>
      <c r="L146" s="419">
        <v>2042237</v>
      </c>
      <c r="M146" s="419">
        <v>1410432</v>
      </c>
      <c r="N146" s="419">
        <v>617423</v>
      </c>
      <c r="O146" s="419">
        <v>0</v>
      </c>
      <c r="P146" s="419">
        <v>0</v>
      </c>
      <c r="Q146" s="380">
        <v>8.3421999999999993E-3</v>
      </c>
      <c r="R146" s="380"/>
      <c r="S146" s="419">
        <v>-4190854</v>
      </c>
      <c r="T146" s="419">
        <v>-4142361</v>
      </c>
      <c r="U146" s="419">
        <v>-4351717</v>
      </c>
      <c r="V146" s="419">
        <v>-5593228</v>
      </c>
      <c r="W146" s="419">
        <v>0</v>
      </c>
      <c r="X146" s="380">
        <v>8.3421999999999993E-3</v>
      </c>
      <c r="Z146" s="419">
        <v>3341902</v>
      </c>
      <c r="AA146" s="419">
        <v>2347870</v>
      </c>
      <c r="AB146" s="419">
        <v>2347854</v>
      </c>
      <c r="AC146" s="419">
        <v>0</v>
      </c>
      <c r="AD146" s="419">
        <v>0</v>
      </c>
      <c r="AE146" s="380">
        <v>8.3421999999999993E-3</v>
      </c>
      <c r="AF146" s="380"/>
      <c r="AG146" s="419">
        <v>137117</v>
      </c>
      <c r="AH146" s="419">
        <v>137118</v>
      </c>
      <c r="AI146" s="419">
        <v>19318</v>
      </c>
      <c r="AJ146" s="419">
        <v>0</v>
      </c>
      <c r="AK146" s="419">
        <v>0</v>
      </c>
      <c r="AL146" s="380">
        <v>8.3421999999999993E-3</v>
      </c>
      <c r="AM146" s="380"/>
      <c r="AN146" s="419">
        <v>-19953</v>
      </c>
      <c r="AO146" s="419">
        <v>0</v>
      </c>
      <c r="AP146" s="419">
        <v>0</v>
      </c>
      <c r="AQ146" s="419">
        <v>0</v>
      </c>
      <c r="AR146" s="419">
        <v>0</v>
      </c>
    </row>
    <row r="147" spans="1:44">
      <c r="A147" s="379">
        <v>91302</v>
      </c>
      <c r="B147" t="s">
        <v>1939</v>
      </c>
      <c r="C147" s="380">
        <v>5.1170000000000002E-4</v>
      </c>
      <c r="D147" s="380"/>
      <c r="E147" s="419">
        <v>52585</v>
      </c>
      <c r="F147" s="419">
        <v>-31615</v>
      </c>
      <c r="G147" s="419">
        <v>-78424</v>
      </c>
      <c r="H147" s="419">
        <v>-343082</v>
      </c>
      <c r="I147" s="419">
        <v>0</v>
      </c>
      <c r="J147" s="380">
        <v>5.1170000000000002E-4</v>
      </c>
      <c r="K147" s="380"/>
      <c r="L147" s="419">
        <v>125268</v>
      </c>
      <c r="M147" s="419">
        <v>86514</v>
      </c>
      <c r="N147" s="419">
        <v>37872</v>
      </c>
      <c r="O147" s="419">
        <v>0</v>
      </c>
      <c r="P147" s="419">
        <v>0</v>
      </c>
      <c r="Q147" s="380">
        <v>5.1170000000000002E-4</v>
      </c>
      <c r="R147" s="380"/>
      <c r="S147" s="419">
        <v>-257062</v>
      </c>
      <c r="T147" s="419">
        <v>-254087</v>
      </c>
      <c r="U147" s="419">
        <v>-266929</v>
      </c>
      <c r="V147" s="419">
        <v>-343082</v>
      </c>
      <c r="W147" s="419">
        <v>0</v>
      </c>
      <c r="X147" s="380">
        <v>5.1170000000000002E-4</v>
      </c>
      <c r="Z147" s="419">
        <v>204988</v>
      </c>
      <c r="AA147" s="419">
        <v>144015</v>
      </c>
      <c r="AB147" s="419">
        <v>144014</v>
      </c>
      <c r="AC147" s="419">
        <v>0</v>
      </c>
      <c r="AD147" s="419">
        <v>0</v>
      </c>
      <c r="AE147" s="380">
        <v>5.1170000000000002E-4</v>
      </c>
      <c r="AF147" s="380"/>
      <c r="AG147" s="419">
        <v>6618</v>
      </c>
      <c r="AH147" s="419">
        <v>6618</v>
      </c>
      <c r="AI147" s="419">
        <v>6619</v>
      </c>
      <c r="AJ147" s="419">
        <v>0</v>
      </c>
      <c r="AK147" s="419">
        <v>0</v>
      </c>
      <c r="AL147" s="380">
        <v>5.1170000000000002E-4</v>
      </c>
      <c r="AM147" s="380"/>
      <c r="AN147" s="419">
        <v>-27227</v>
      </c>
      <c r="AO147" s="419">
        <v>-14675</v>
      </c>
      <c r="AP147" s="419">
        <v>0</v>
      </c>
      <c r="AQ147" s="419">
        <v>0</v>
      </c>
      <c r="AR147" s="419">
        <v>0</v>
      </c>
    </row>
    <row r="148" spans="1:44">
      <c r="A148" s="379">
        <v>91306</v>
      </c>
      <c r="B148" t="s">
        <v>864</v>
      </c>
      <c r="C148" s="380">
        <v>1.9042E-3</v>
      </c>
      <c r="D148" s="380"/>
      <c r="E148" s="419">
        <v>349344</v>
      </c>
      <c r="F148" s="419">
        <v>-48513</v>
      </c>
      <c r="G148" s="419">
        <v>-270548</v>
      </c>
      <c r="H148" s="419">
        <v>-1276717</v>
      </c>
      <c r="I148" s="419">
        <v>0</v>
      </c>
      <c r="J148" s="380">
        <v>1.9042E-3</v>
      </c>
      <c r="K148" s="380"/>
      <c r="L148" s="419">
        <v>466163</v>
      </c>
      <c r="M148" s="419">
        <v>321947</v>
      </c>
      <c r="N148" s="419">
        <v>140934</v>
      </c>
      <c r="O148" s="419">
        <v>0</v>
      </c>
      <c r="P148" s="419">
        <v>0</v>
      </c>
      <c r="Q148" s="380">
        <v>1.9042E-3</v>
      </c>
      <c r="R148" s="380"/>
      <c r="S148" s="419">
        <v>-956609</v>
      </c>
      <c r="T148" s="419">
        <v>-945540</v>
      </c>
      <c r="U148" s="419">
        <v>-993328</v>
      </c>
      <c r="V148" s="419">
        <v>-1276717</v>
      </c>
      <c r="W148" s="419">
        <v>0</v>
      </c>
      <c r="X148" s="380">
        <v>1.9042E-3</v>
      </c>
      <c r="Z148" s="419">
        <v>762826</v>
      </c>
      <c r="AA148" s="419">
        <v>535928</v>
      </c>
      <c r="AB148" s="419">
        <v>535924</v>
      </c>
      <c r="AC148" s="419">
        <v>0</v>
      </c>
      <c r="AD148" s="419">
        <v>0</v>
      </c>
      <c r="AE148" s="380">
        <v>1.9042E-3</v>
      </c>
      <c r="AF148" s="380"/>
      <c r="AG148" s="419">
        <v>83734</v>
      </c>
      <c r="AH148" s="419">
        <v>45922</v>
      </c>
      <c r="AI148" s="419">
        <v>45922</v>
      </c>
      <c r="AJ148" s="419">
        <v>0</v>
      </c>
      <c r="AK148" s="419">
        <v>0</v>
      </c>
      <c r="AL148" s="380">
        <v>1.9042E-3</v>
      </c>
      <c r="AM148" s="380"/>
      <c r="AN148" s="419">
        <v>-6770</v>
      </c>
      <c r="AO148" s="419">
        <v>-6770</v>
      </c>
      <c r="AP148" s="419">
        <v>0</v>
      </c>
      <c r="AQ148" s="419">
        <v>0</v>
      </c>
      <c r="AR148" s="419">
        <v>0</v>
      </c>
    </row>
    <row r="149" spans="1:44">
      <c r="A149" s="379">
        <v>91308</v>
      </c>
      <c r="B149" t="s">
        <v>865</v>
      </c>
      <c r="C149" s="380">
        <v>1.0340000000000001E-4</v>
      </c>
      <c r="D149" s="380"/>
      <c r="E149" s="419">
        <v>-26044</v>
      </c>
      <c r="F149" s="419">
        <v>-43645</v>
      </c>
      <c r="G149" s="419">
        <v>-50035</v>
      </c>
      <c r="H149" s="419">
        <v>-69327</v>
      </c>
      <c r="I149" s="419">
        <v>0</v>
      </c>
      <c r="J149" s="380">
        <v>1.0340000000000001E-4</v>
      </c>
      <c r="K149" s="380"/>
      <c r="L149" s="419">
        <v>25313</v>
      </c>
      <c r="M149" s="419">
        <v>17482</v>
      </c>
      <c r="N149" s="419">
        <v>7653</v>
      </c>
      <c r="O149" s="419">
        <v>0</v>
      </c>
      <c r="P149" s="419">
        <v>0</v>
      </c>
      <c r="Q149" s="380">
        <v>1.0340000000000001E-4</v>
      </c>
      <c r="R149" s="380"/>
      <c r="S149" s="419">
        <v>-51945</v>
      </c>
      <c r="T149" s="419">
        <v>-51344</v>
      </c>
      <c r="U149" s="419">
        <v>-53939</v>
      </c>
      <c r="V149" s="419">
        <v>-69327</v>
      </c>
      <c r="W149" s="419">
        <v>0</v>
      </c>
      <c r="X149" s="380">
        <v>1.0340000000000001E-4</v>
      </c>
      <c r="Z149" s="419">
        <v>41422</v>
      </c>
      <c r="AA149" s="419">
        <v>29101</v>
      </c>
      <c r="AB149" s="419">
        <v>29101</v>
      </c>
      <c r="AC149" s="419">
        <v>0</v>
      </c>
      <c r="AD149" s="419">
        <v>0</v>
      </c>
      <c r="AE149" s="380">
        <v>1.0340000000000001E-4</v>
      </c>
      <c r="AF149" s="380"/>
      <c r="AG149" s="419">
        <v>0</v>
      </c>
      <c r="AH149" s="419">
        <v>0</v>
      </c>
      <c r="AI149" s="419">
        <v>0</v>
      </c>
      <c r="AJ149" s="419">
        <v>0</v>
      </c>
      <c r="AK149" s="419">
        <v>0</v>
      </c>
      <c r="AL149" s="380">
        <v>1.0340000000000001E-4</v>
      </c>
      <c r="AM149" s="380"/>
      <c r="AN149" s="419">
        <v>-40834</v>
      </c>
      <c r="AO149" s="419">
        <v>-38884</v>
      </c>
      <c r="AP149" s="419">
        <v>-32850</v>
      </c>
      <c r="AQ149" s="419">
        <v>0</v>
      </c>
      <c r="AR149" s="419">
        <v>0</v>
      </c>
    </row>
    <row r="150" spans="1:44">
      <c r="A150" s="379">
        <v>91311</v>
      </c>
      <c r="B150" t="s">
        <v>866</v>
      </c>
      <c r="C150" s="380">
        <v>8.6008000000000005E-3</v>
      </c>
      <c r="D150" s="380"/>
      <c r="E150" s="419">
        <v>1456704</v>
      </c>
      <c r="F150" s="419">
        <v>-150235</v>
      </c>
      <c r="G150" s="419">
        <v>-1392345</v>
      </c>
      <c r="H150" s="419">
        <v>-5766613</v>
      </c>
      <c r="I150" s="419">
        <v>0</v>
      </c>
      <c r="J150" s="380">
        <v>8.6008000000000005E-3</v>
      </c>
      <c r="K150" s="380"/>
      <c r="L150" s="419">
        <v>2105545</v>
      </c>
      <c r="M150" s="419">
        <v>1454154</v>
      </c>
      <c r="N150" s="419">
        <v>636562</v>
      </c>
      <c r="O150" s="419">
        <v>0</v>
      </c>
      <c r="P150" s="419">
        <v>0</v>
      </c>
      <c r="Q150" s="380">
        <v>8.6008000000000005E-3</v>
      </c>
      <c r="R150" s="380"/>
      <c r="S150" s="419">
        <v>-4320767</v>
      </c>
      <c r="T150" s="419">
        <v>-4270770</v>
      </c>
      <c r="U150" s="419">
        <v>-4486616</v>
      </c>
      <c r="V150" s="419">
        <v>-5766613</v>
      </c>
      <c r="W150" s="419">
        <v>0</v>
      </c>
      <c r="X150" s="380">
        <v>8.6008000000000005E-3</v>
      </c>
      <c r="Z150" s="419">
        <v>3445498</v>
      </c>
      <c r="AA150" s="419">
        <v>2420652</v>
      </c>
      <c r="AB150" s="419">
        <v>2420635</v>
      </c>
      <c r="AC150" s="419">
        <v>0</v>
      </c>
      <c r="AD150" s="419">
        <v>0</v>
      </c>
      <c r="AE150" s="380">
        <v>8.6008000000000005E-3</v>
      </c>
      <c r="AF150" s="380"/>
      <c r="AG150" s="419">
        <v>245731</v>
      </c>
      <c r="AH150" s="419">
        <v>245729</v>
      </c>
      <c r="AI150" s="419">
        <v>37074</v>
      </c>
      <c r="AJ150" s="419">
        <v>0</v>
      </c>
      <c r="AK150" s="419">
        <v>0</v>
      </c>
      <c r="AL150" s="380">
        <v>8.6008000000000005E-3</v>
      </c>
      <c r="AM150" s="380"/>
      <c r="AN150" s="419">
        <v>-19303</v>
      </c>
      <c r="AO150" s="419">
        <v>0</v>
      </c>
      <c r="AP150" s="419">
        <v>0</v>
      </c>
      <c r="AQ150" s="419">
        <v>0</v>
      </c>
      <c r="AR150" s="419">
        <v>0</v>
      </c>
    </row>
    <row r="151" spans="1:44">
      <c r="A151" s="379">
        <v>91317</v>
      </c>
      <c r="B151" t="s">
        <v>867</v>
      </c>
      <c r="C151" s="380">
        <v>1.416E-4</v>
      </c>
      <c r="D151" s="380"/>
      <c r="E151" s="419">
        <v>48865</v>
      </c>
      <c r="F151" s="419">
        <v>21080</v>
      </c>
      <c r="G151" s="419">
        <v>-12933</v>
      </c>
      <c r="H151" s="419">
        <v>-94939</v>
      </c>
      <c r="I151" s="419">
        <v>0</v>
      </c>
      <c r="J151" s="380">
        <v>1.416E-4</v>
      </c>
      <c r="K151" s="380"/>
      <c r="L151" s="419">
        <v>34665</v>
      </c>
      <c r="M151" s="419">
        <v>23941</v>
      </c>
      <c r="N151" s="419">
        <v>10480</v>
      </c>
      <c r="O151" s="419">
        <v>0</v>
      </c>
      <c r="P151" s="419">
        <v>0</v>
      </c>
      <c r="Q151" s="380">
        <v>1.416E-4</v>
      </c>
      <c r="R151" s="380"/>
      <c r="S151" s="419">
        <v>-71135</v>
      </c>
      <c r="T151" s="419">
        <v>-70312</v>
      </c>
      <c r="U151" s="419">
        <v>-73866</v>
      </c>
      <c r="V151" s="419">
        <v>-94939</v>
      </c>
      <c r="W151" s="419">
        <v>0</v>
      </c>
      <c r="X151" s="380">
        <v>1.416E-4</v>
      </c>
      <c r="Z151" s="419">
        <v>56725</v>
      </c>
      <c r="AA151" s="419">
        <v>39853</v>
      </c>
      <c r="AB151" s="419">
        <v>39852</v>
      </c>
      <c r="AC151" s="419">
        <v>0</v>
      </c>
      <c r="AD151" s="419">
        <v>0</v>
      </c>
      <c r="AE151" s="380">
        <v>1.416E-4</v>
      </c>
      <c r="AF151" s="380"/>
      <c r="AG151" s="419">
        <v>28610</v>
      </c>
      <c r="AH151" s="419">
        <v>27598</v>
      </c>
      <c r="AI151" s="419">
        <v>10601</v>
      </c>
      <c r="AJ151" s="419">
        <v>0</v>
      </c>
      <c r="AK151" s="419">
        <v>0</v>
      </c>
      <c r="AL151" s="380">
        <v>1.416E-4</v>
      </c>
      <c r="AM151" s="380"/>
      <c r="AN151" s="419">
        <v>0</v>
      </c>
      <c r="AO151" s="419">
        <v>0</v>
      </c>
      <c r="AP151" s="419">
        <v>0</v>
      </c>
      <c r="AQ151" s="419">
        <v>0</v>
      </c>
      <c r="AR151" s="419">
        <v>0</v>
      </c>
    </row>
    <row r="152" spans="1:44">
      <c r="A152" s="379">
        <v>91321</v>
      </c>
      <c r="B152" t="s">
        <v>868</v>
      </c>
      <c r="C152" s="380">
        <v>6.6000000000000005E-5</v>
      </c>
      <c r="D152" s="380"/>
      <c r="E152" s="419">
        <v>24767</v>
      </c>
      <c r="F152" s="419">
        <v>6935</v>
      </c>
      <c r="G152" s="419">
        <v>-12553</v>
      </c>
      <c r="H152" s="419">
        <v>-44251</v>
      </c>
      <c r="I152" s="419">
        <v>0</v>
      </c>
      <c r="J152" s="380">
        <v>6.6000000000000005E-5</v>
      </c>
      <c r="K152" s="380"/>
      <c r="L152" s="419">
        <v>16157</v>
      </c>
      <c r="M152" s="419">
        <v>11159</v>
      </c>
      <c r="N152" s="419">
        <v>4885</v>
      </c>
      <c r="O152" s="419">
        <v>0</v>
      </c>
      <c r="P152" s="419">
        <v>0</v>
      </c>
      <c r="Q152" s="380">
        <v>6.6000000000000005E-5</v>
      </c>
      <c r="R152" s="380"/>
      <c r="S152" s="419">
        <v>-33156</v>
      </c>
      <c r="T152" s="419">
        <v>-32773</v>
      </c>
      <c r="U152" s="419">
        <v>-34429</v>
      </c>
      <c r="V152" s="419">
        <v>-44251</v>
      </c>
      <c r="W152" s="419">
        <v>0</v>
      </c>
      <c r="X152" s="380">
        <v>6.6000000000000005E-5</v>
      </c>
      <c r="Z152" s="419">
        <v>26440</v>
      </c>
      <c r="AA152" s="419">
        <v>18575</v>
      </c>
      <c r="AB152" s="419">
        <v>18575</v>
      </c>
      <c r="AC152" s="419">
        <v>0</v>
      </c>
      <c r="AD152" s="419">
        <v>0</v>
      </c>
      <c r="AE152" s="380">
        <v>6.6000000000000005E-5</v>
      </c>
      <c r="AF152" s="380"/>
      <c r="AG152" s="419">
        <v>16911</v>
      </c>
      <c r="AH152" s="419">
        <v>11559</v>
      </c>
      <c r="AI152" s="419">
        <v>0</v>
      </c>
      <c r="AJ152" s="419">
        <v>0</v>
      </c>
      <c r="AK152" s="419">
        <v>0</v>
      </c>
      <c r="AL152" s="380">
        <v>6.6000000000000005E-5</v>
      </c>
      <c r="AM152" s="380"/>
      <c r="AN152" s="419">
        <v>-1585</v>
      </c>
      <c r="AO152" s="419">
        <v>-1585</v>
      </c>
      <c r="AP152" s="419">
        <v>-1584</v>
      </c>
      <c r="AQ152" s="419">
        <v>0</v>
      </c>
      <c r="AR152" s="419">
        <v>0</v>
      </c>
    </row>
    <row r="153" spans="1:44">
      <c r="A153" s="379">
        <v>91327</v>
      </c>
      <c r="B153" t="s">
        <v>869</v>
      </c>
      <c r="C153" s="380">
        <v>1.0499999999999999E-5</v>
      </c>
      <c r="D153" s="380"/>
      <c r="E153" s="419">
        <v>3915</v>
      </c>
      <c r="F153" s="419">
        <v>1802</v>
      </c>
      <c r="G153" s="419">
        <v>4112</v>
      </c>
      <c r="H153" s="419">
        <v>-7040</v>
      </c>
      <c r="I153" s="419">
        <v>0</v>
      </c>
      <c r="J153" s="380">
        <v>1.0499999999999999E-5</v>
      </c>
      <c r="K153" s="380"/>
      <c r="L153" s="419">
        <v>2570</v>
      </c>
      <c r="M153" s="419">
        <v>1775</v>
      </c>
      <c r="N153" s="419">
        <v>777</v>
      </c>
      <c r="O153" s="419">
        <v>0</v>
      </c>
      <c r="P153" s="419">
        <v>0</v>
      </c>
      <c r="Q153" s="380">
        <v>1.0499999999999999E-5</v>
      </c>
      <c r="R153" s="380"/>
      <c r="S153" s="419">
        <v>-5275</v>
      </c>
      <c r="T153" s="419">
        <v>-5214</v>
      </c>
      <c r="U153" s="419">
        <v>-5477</v>
      </c>
      <c r="V153" s="419">
        <v>-7040</v>
      </c>
      <c r="W153" s="419">
        <v>0</v>
      </c>
      <c r="X153" s="380">
        <v>1.0499999999999999E-5</v>
      </c>
      <c r="Z153" s="419">
        <v>4206</v>
      </c>
      <c r="AA153" s="419">
        <v>2955</v>
      </c>
      <c r="AB153" s="419">
        <v>2955</v>
      </c>
      <c r="AC153" s="419">
        <v>0</v>
      </c>
      <c r="AD153" s="419">
        <v>0</v>
      </c>
      <c r="AE153" s="380">
        <v>1.0499999999999999E-5</v>
      </c>
      <c r="AF153" s="380"/>
      <c r="AG153" s="419">
        <v>6680</v>
      </c>
      <c r="AH153" s="419">
        <v>6552</v>
      </c>
      <c r="AI153" s="419">
        <v>5857</v>
      </c>
      <c r="AJ153" s="419">
        <v>0</v>
      </c>
      <c r="AK153" s="419">
        <v>0</v>
      </c>
      <c r="AL153" s="380">
        <v>1.0499999999999999E-5</v>
      </c>
      <c r="AM153" s="380"/>
      <c r="AN153" s="419">
        <v>-4266</v>
      </c>
      <c r="AO153" s="419">
        <v>-4266</v>
      </c>
      <c r="AP153" s="419">
        <v>0</v>
      </c>
      <c r="AQ153" s="419">
        <v>0</v>
      </c>
      <c r="AR153" s="419">
        <v>0</v>
      </c>
    </row>
    <row r="154" spans="1:44">
      <c r="A154" s="379">
        <v>91331</v>
      </c>
      <c r="B154" t="s">
        <v>870</v>
      </c>
      <c r="C154" s="380">
        <v>3.0428999999999999E-3</v>
      </c>
      <c r="D154" s="380"/>
      <c r="E154" s="419">
        <v>343097</v>
      </c>
      <c r="F154" s="419">
        <v>-196783</v>
      </c>
      <c r="G154" s="419">
        <v>-542831</v>
      </c>
      <c r="H154" s="419">
        <v>-2040185</v>
      </c>
      <c r="I154" s="419">
        <v>0</v>
      </c>
      <c r="J154" s="380">
        <v>3.0428999999999999E-3</v>
      </c>
      <c r="K154" s="380"/>
      <c r="L154" s="419">
        <v>744926</v>
      </c>
      <c r="M154" s="419">
        <v>514469</v>
      </c>
      <c r="N154" s="419">
        <v>225211</v>
      </c>
      <c r="O154" s="419">
        <v>0</v>
      </c>
      <c r="P154" s="419">
        <v>0</v>
      </c>
      <c r="Q154" s="380">
        <v>3.0428999999999999E-3</v>
      </c>
      <c r="R154" s="380"/>
      <c r="S154" s="419">
        <v>-1528656</v>
      </c>
      <c r="T154" s="419">
        <v>-1510967</v>
      </c>
      <c r="U154" s="419">
        <v>-1587332</v>
      </c>
      <c r="V154" s="419">
        <v>-2040185</v>
      </c>
      <c r="W154" s="419">
        <v>0</v>
      </c>
      <c r="X154" s="380">
        <v>3.0428999999999999E-3</v>
      </c>
      <c r="Z154" s="419">
        <v>1218992</v>
      </c>
      <c r="AA154" s="419">
        <v>856409</v>
      </c>
      <c r="AB154" s="419">
        <v>856403</v>
      </c>
      <c r="AC154" s="419">
        <v>0</v>
      </c>
      <c r="AD154" s="419">
        <v>0</v>
      </c>
      <c r="AE154" s="380">
        <v>3.0428999999999999E-3</v>
      </c>
      <c r="AF154" s="380"/>
      <c r="AG154" s="419">
        <v>20880</v>
      </c>
      <c r="AH154" s="419">
        <v>20881</v>
      </c>
      <c r="AI154" s="419">
        <v>0</v>
      </c>
      <c r="AJ154" s="419">
        <v>0</v>
      </c>
      <c r="AK154" s="419">
        <v>0</v>
      </c>
      <c r="AL154" s="380">
        <v>3.0428999999999999E-3</v>
      </c>
      <c r="AM154" s="380"/>
      <c r="AN154" s="419">
        <v>-113045</v>
      </c>
      <c r="AO154" s="419">
        <v>-77575</v>
      </c>
      <c r="AP154" s="419">
        <v>-37113</v>
      </c>
      <c r="AQ154" s="419">
        <v>0</v>
      </c>
      <c r="AR154" s="419">
        <v>0</v>
      </c>
    </row>
    <row r="155" spans="1:44">
      <c r="A155" s="379">
        <v>91341</v>
      </c>
      <c r="B155" t="s">
        <v>871</v>
      </c>
      <c r="C155" s="380">
        <v>3.4499999999999998E-5</v>
      </c>
      <c r="D155" s="380"/>
      <c r="E155" s="419">
        <v>4012</v>
      </c>
      <c r="F155" s="419">
        <v>-2882</v>
      </c>
      <c r="G155" s="419">
        <v>-7982</v>
      </c>
      <c r="H155" s="419">
        <v>-23131</v>
      </c>
      <c r="I155" s="419">
        <v>0</v>
      </c>
      <c r="J155" s="380">
        <v>3.4499999999999998E-5</v>
      </c>
      <c r="K155" s="380"/>
      <c r="L155" s="419">
        <v>8446</v>
      </c>
      <c r="M155" s="419">
        <v>5833</v>
      </c>
      <c r="N155" s="419">
        <v>2553</v>
      </c>
      <c r="O155" s="419">
        <v>0</v>
      </c>
      <c r="P155" s="419">
        <v>0</v>
      </c>
      <c r="Q155" s="380">
        <v>3.4499999999999998E-5</v>
      </c>
      <c r="R155" s="380"/>
      <c r="S155" s="419">
        <v>-17332</v>
      </c>
      <c r="T155" s="419">
        <v>-17131</v>
      </c>
      <c r="U155" s="419">
        <v>-17997</v>
      </c>
      <c r="V155" s="419">
        <v>-23131</v>
      </c>
      <c r="W155" s="419">
        <v>0</v>
      </c>
      <c r="X155" s="380">
        <v>3.4499999999999998E-5</v>
      </c>
      <c r="Z155" s="419">
        <v>13821</v>
      </c>
      <c r="AA155" s="419">
        <v>9710</v>
      </c>
      <c r="AB155" s="419">
        <v>9710</v>
      </c>
      <c r="AC155" s="419">
        <v>0</v>
      </c>
      <c r="AD155" s="419">
        <v>0</v>
      </c>
      <c r="AE155" s="380">
        <v>3.4499999999999998E-5</v>
      </c>
      <c r="AF155" s="380"/>
      <c r="AG155" s="419">
        <v>2651</v>
      </c>
      <c r="AH155" s="419">
        <v>2278</v>
      </c>
      <c r="AI155" s="419">
        <v>0</v>
      </c>
      <c r="AJ155" s="419">
        <v>0</v>
      </c>
      <c r="AK155" s="419">
        <v>0</v>
      </c>
      <c r="AL155" s="380">
        <v>3.4499999999999998E-5</v>
      </c>
      <c r="AM155" s="380"/>
      <c r="AN155" s="419">
        <v>-3574</v>
      </c>
      <c r="AO155" s="419">
        <v>-3572</v>
      </c>
      <c r="AP155" s="419">
        <v>-2248</v>
      </c>
      <c r="AQ155" s="419">
        <v>0</v>
      </c>
      <c r="AR155" s="419">
        <v>0</v>
      </c>
    </row>
    <row r="156" spans="1:44">
      <c r="A156" s="379">
        <v>91401</v>
      </c>
      <c r="B156" t="s">
        <v>872</v>
      </c>
      <c r="C156" s="380">
        <v>3.6838000000000001E-3</v>
      </c>
      <c r="D156" s="380"/>
      <c r="E156" s="419">
        <v>567455</v>
      </c>
      <c r="F156" s="419">
        <v>-107851</v>
      </c>
      <c r="G156" s="419">
        <v>-680154</v>
      </c>
      <c r="H156" s="419">
        <v>-2469892</v>
      </c>
      <c r="I156" s="419">
        <v>0</v>
      </c>
      <c r="J156" s="380">
        <v>3.6838000000000001E-3</v>
      </c>
      <c r="K156" s="380"/>
      <c r="L156" s="419">
        <v>901824</v>
      </c>
      <c r="M156" s="419">
        <v>622827</v>
      </c>
      <c r="N156" s="419">
        <v>272645</v>
      </c>
      <c r="O156" s="419">
        <v>0</v>
      </c>
      <c r="P156" s="419">
        <v>0</v>
      </c>
      <c r="Q156" s="380">
        <v>3.6838000000000001E-3</v>
      </c>
      <c r="R156" s="380"/>
      <c r="S156" s="419">
        <v>-1850623</v>
      </c>
      <c r="T156" s="419">
        <v>-1829209</v>
      </c>
      <c r="U156" s="419">
        <v>-1921658</v>
      </c>
      <c r="V156" s="419">
        <v>-2469892</v>
      </c>
      <c r="W156" s="419">
        <v>0</v>
      </c>
      <c r="X156" s="380">
        <v>3.6838000000000001E-3</v>
      </c>
      <c r="Z156" s="419">
        <v>1475738</v>
      </c>
      <c r="AA156" s="419">
        <v>1036787</v>
      </c>
      <c r="AB156" s="419">
        <v>1036780</v>
      </c>
      <c r="AC156" s="419">
        <v>0</v>
      </c>
      <c r="AD156" s="419">
        <v>0</v>
      </c>
      <c r="AE156" s="380">
        <v>3.6838000000000001E-3</v>
      </c>
      <c r="AF156" s="380"/>
      <c r="AG156" s="419">
        <v>152478</v>
      </c>
      <c r="AH156" s="419">
        <v>152476</v>
      </c>
      <c r="AI156" s="419">
        <v>0</v>
      </c>
      <c r="AJ156" s="419">
        <v>0</v>
      </c>
      <c r="AK156" s="419">
        <v>0</v>
      </c>
      <c r="AL156" s="380">
        <v>3.6838000000000001E-3</v>
      </c>
      <c r="AM156" s="380"/>
      <c r="AN156" s="419">
        <v>-111962</v>
      </c>
      <c r="AO156" s="419">
        <v>-90732</v>
      </c>
      <c r="AP156" s="419">
        <v>-67921</v>
      </c>
      <c r="AQ156" s="419">
        <v>0</v>
      </c>
      <c r="AR156" s="419">
        <v>0</v>
      </c>
    </row>
    <row r="157" spans="1:44">
      <c r="A157" s="379">
        <v>91411</v>
      </c>
      <c r="B157" t="s">
        <v>873</v>
      </c>
      <c r="C157" s="380">
        <v>4.2220000000000002E-4</v>
      </c>
      <c r="D157" s="380"/>
      <c r="E157" s="419">
        <v>74354</v>
      </c>
      <c r="F157" s="419">
        <v>-5824</v>
      </c>
      <c r="G157" s="419">
        <v>-58158</v>
      </c>
      <c r="H157" s="419">
        <v>-283074</v>
      </c>
      <c r="I157" s="419">
        <v>0</v>
      </c>
      <c r="J157" s="380">
        <v>4.2220000000000002E-4</v>
      </c>
      <c r="K157" s="380"/>
      <c r="L157" s="419">
        <v>103358</v>
      </c>
      <c r="M157" s="419">
        <v>71382</v>
      </c>
      <c r="N157" s="419">
        <v>31248</v>
      </c>
      <c r="O157" s="419">
        <v>0</v>
      </c>
      <c r="P157" s="419">
        <v>0</v>
      </c>
      <c r="Q157" s="380">
        <v>4.2220000000000002E-4</v>
      </c>
      <c r="R157" s="380"/>
      <c r="S157" s="419">
        <v>-212100</v>
      </c>
      <c r="T157" s="419">
        <v>-209646</v>
      </c>
      <c r="U157" s="419">
        <v>-220241</v>
      </c>
      <c r="V157" s="419">
        <v>-283074</v>
      </c>
      <c r="W157" s="419">
        <v>0</v>
      </c>
      <c r="X157" s="380">
        <v>4.2220000000000002E-4</v>
      </c>
      <c r="Z157" s="419">
        <v>169134</v>
      </c>
      <c r="AA157" s="419">
        <v>118826</v>
      </c>
      <c r="AB157" s="419">
        <v>118825</v>
      </c>
      <c r="AC157" s="419">
        <v>0</v>
      </c>
      <c r="AD157" s="419">
        <v>0</v>
      </c>
      <c r="AE157" s="380">
        <v>4.2220000000000002E-4</v>
      </c>
      <c r="AF157" s="380"/>
      <c r="AG157" s="419">
        <v>13962</v>
      </c>
      <c r="AH157" s="419">
        <v>13614</v>
      </c>
      <c r="AI157" s="419">
        <v>12010</v>
      </c>
      <c r="AJ157" s="419">
        <v>0</v>
      </c>
      <c r="AK157" s="419">
        <v>0</v>
      </c>
      <c r="AL157" s="380">
        <v>4.2220000000000002E-4</v>
      </c>
      <c r="AM157" s="380"/>
      <c r="AN157" s="419">
        <v>0</v>
      </c>
      <c r="AO157" s="419">
        <v>0</v>
      </c>
      <c r="AP157" s="419">
        <v>0</v>
      </c>
      <c r="AQ157" s="419">
        <v>0</v>
      </c>
      <c r="AR157" s="419">
        <v>0</v>
      </c>
    </row>
    <row r="158" spans="1:44">
      <c r="A158" s="379">
        <v>91414</v>
      </c>
      <c r="B158" t="s">
        <v>3614</v>
      </c>
      <c r="C158" s="380">
        <v>3.1199999999999999E-5</v>
      </c>
      <c r="D158" s="380"/>
      <c r="E158" s="419">
        <v>14465</v>
      </c>
      <c r="F158" s="419">
        <v>8565</v>
      </c>
      <c r="G158" s="419">
        <v>-1369</v>
      </c>
      <c r="H158" s="419">
        <v>-20919</v>
      </c>
      <c r="I158" s="419">
        <v>0</v>
      </c>
      <c r="J158" s="380">
        <v>3.1199999999999999E-5</v>
      </c>
      <c r="K158" s="380"/>
      <c r="L158" s="419">
        <v>7638</v>
      </c>
      <c r="M158" s="419">
        <v>5275</v>
      </c>
      <c r="N158" s="419">
        <v>2309</v>
      </c>
      <c r="O158" s="419">
        <v>0</v>
      </c>
      <c r="P158" s="419">
        <v>0</v>
      </c>
      <c r="Q158" s="380">
        <v>3.1199999999999999E-5</v>
      </c>
      <c r="R158" s="380"/>
      <c r="S158" s="419">
        <v>-15674</v>
      </c>
      <c r="T158" s="419">
        <v>-15493</v>
      </c>
      <c r="U158" s="419">
        <v>-16276</v>
      </c>
      <c r="V158" s="419">
        <v>-20919</v>
      </c>
      <c r="W158" s="419">
        <v>0</v>
      </c>
      <c r="X158" s="380">
        <v>3.1199999999999999E-5</v>
      </c>
      <c r="Z158" s="419">
        <v>12499</v>
      </c>
      <c r="AA158" s="419">
        <v>8781</v>
      </c>
      <c r="AB158" s="419">
        <v>8781</v>
      </c>
      <c r="AC158" s="419">
        <v>0</v>
      </c>
      <c r="AD158" s="419">
        <v>0</v>
      </c>
      <c r="AE158" s="380">
        <v>3.1199999999999999E-5</v>
      </c>
      <c r="AF158" s="380"/>
      <c r="AG158" s="419">
        <v>10002</v>
      </c>
      <c r="AH158" s="419">
        <v>10002</v>
      </c>
      <c r="AI158" s="419">
        <v>3817</v>
      </c>
      <c r="AJ158" s="419">
        <v>0</v>
      </c>
      <c r="AK158" s="419">
        <v>0</v>
      </c>
      <c r="AL158" s="380">
        <v>3.1199999999999999E-5</v>
      </c>
      <c r="AM158" s="380"/>
      <c r="AN158" s="419">
        <v>0</v>
      </c>
      <c r="AO158" s="419">
        <v>0</v>
      </c>
      <c r="AP158" s="419">
        <v>0</v>
      </c>
      <c r="AQ158" s="419">
        <v>0</v>
      </c>
      <c r="AR158" s="419">
        <v>0</v>
      </c>
    </row>
    <row r="159" spans="1:44">
      <c r="A159" s="379">
        <v>91417</v>
      </c>
      <c r="B159" t="s">
        <v>874</v>
      </c>
      <c r="C159" s="380">
        <v>7.5000000000000002E-6</v>
      </c>
      <c r="D159" s="380"/>
      <c r="E159" s="419">
        <v>3947</v>
      </c>
      <c r="F159" s="419">
        <v>2410</v>
      </c>
      <c r="G159" s="419">
        <v>990</v>
      </c>
      <c r="H159" s="419">
        <v>-5029</v>
      </c>
      <c r="I159" s="419">
        <v>0</v>
      </c>
      <c r="J159" s="380">
        <v>7.5000000000000002E-6</v>
      </c>
      <c r="K159" s="380"/>
      <c r="L159" s="419">
        <v>1836</v>
      </c>
      <c r="M159" s="419">
        <v>1268</v>
      </c>
      <c r="N159" s="419">
        <v>555</v>
      </c>
      <c r="O159" s="419">
        <v>0</v>
      </c>
      <c r="P159" s="419">
        <v>0</v>
      </c>
      <c r="Q159" s="380">
        <v>7.5000000000000002E-6</v>
      </c>
      <c r="R159" s="380"/>
      <c r="S159" s="419">
        <v>-3768</v>
      </c>
      <c r="T159" s="419">
        <v>-3724</v>
      </c>
      <c r="U159" s="419">
        <v>-3912</v>
      </c>
      <c r="V159" s="419">
        <v>-5029</v>
      </c>
      <c r="W159" s="419">
        <v>0</v>
      </c>
      <c r="X159" s="380">
        <v>7.5000000000000002E-6</v>
      </c>
      <c r="Z159" s="419">
        <v>3005</v>
      </c>
      <c r="AA159" s="419">
        <v>2111</v>
      </c>
      <c r="AB159" s="419">
        <v>2111</v>
      </c>
      <c r="AC159" s="419">
        <v>0</v>
      </c>
      <c r="AD159" s="419">
        <v>0</v>
      </c>
      <c r="AE159" s="380">
        <v>7.5000000000000002E-6</v>
      </c>
      <c r="AF159" s="380"/>
      <c r="AG159" s="419">
        <v>2874</v>
      </c>
      <c r="AH159" s="419">
        <v>2755</v>
      </c>
      <c r="AI159" s="419">
        <v>2236</v>
      </c>
      <c r="AJ159" s="419">
        <v>0</v>
      </c>
      <c r="AK159" s="419">
        <v>0</v>
      </c>
      <c r="AL159" s="380">
        <v>7.5000000000000002E-6</v>
      </c>
      <c r="AM159" s="380"/>
      <c r="AN159" s="419">
        <v>0</v>
      </c>
      <c r="AO159" s="419">
        <v>0</v>
      </c>
      <c r="AP159" s="419">
        <v>0</v>
      </c>
      <c r="AQ159" s="419">
        <v>0</v>
      </c>
      <c r="AR159" s="419">
        <v>0</v>
      </c>
    </row>
    <row r="160" spans="1:44">
      <c r="A160" s="379">
        <v>91421</v>
      </c>
      <c r="B160" t="s">
        <v>875</v>
      </c>
      <c r="C160" s="380">
        <v>6.4800000000000003E-5</v>
      </c>
      <c r="D160" s="380"/>
      <c r="E160" s="419">
        <v>11141</v>
      </c>
      <c r="F160" s="419">
        <v>-2305</v>
      </c>
      <c r="G160" s="419">
        <v>-11706</v>
      </c>
      <c r="H160" s="419">
        <v>-43447</v>
      </c>
      <c r="I160" s="419">
        <v>0</v>
      </c>
      <c r="J160" s="380">
        <v>6.4800000000000003E-5</v>
      </c>
      <c r="K160" s="380"/>
      <c r="L160" s="419">
        <v>15864</v>
      </c>
      <c r="M160" s="419">
        <v>10956</v>
      </c>
      <c r="N160" s="419">
        <v>4796</v>
      </c>
      <c r="O160" s="419">
        <v>0</v>
      </c>
      <c r="P160" s="419">
        <v>0</v>
      </c>
      <c r="Q160" s="380">
        <v>6.4800000000000003E-5</v>
      </c>
      <c r="R160" s="380"/>
      <c r="S160" s="419">
        <v>-32553</v>
      </c>
      <c r="T160" s="419">
        <v>-32177</v>
      </c>
      <c r="U160" s="419">
        <v>-33803</v>
      </c>
      <c r="V160" s="419">
        <v>-43447</v>
      </c>
      <c r="W160" s="419">
        <v>0</v>
      </c>
      <c r="X160" s="380">
        <v>6.4800000000000003E-5</v>
      </c>
      <c r="Z160" s="419">
        <v>25959</v>
      </c>
      <c r="AA160" s="419">
        <v>18238</v>
      </c>
      <c r="AB160" s="419">
        <v>18238</v>
      </c>
      <c r="AC160" s="419">
        <v>0</v>
      </c>
      <c r="AD160" s="419">
        <v>0</v>
      </c>
      <c r="AE160" s="380">
        <v>6.4800000000000003E-5</v>
      </c>
      <c r="AF160" s="380"/>
      <c r="AG160" s="419">
        <v>2956</v>
      </c>
      <c r="AH160" s="419">
        <v>1764</v>
      </c>
      <c r="AI160" s="419">
        <v>0</v>
      </c>
      <c r="AJ160" s="419">
        <v>0</v>
      </c>
      <c r="AK160" s="419">
        <v>0</v>
      </c>
      <c r="AL160" s="380">
        <v>6.4800000000000003E-5</v>
      </c>
      <c r="AM160" s="380"/>
      <c r="AN160" s="419">
        <v>-1085</v>
      </c>
      <c r="AO160" s="419">
        <v>-1086</v>
      </c>
      <c r="AP160" s="419">
        <v>-937</v>
      </c>
      <c r="AQ160" s="419">
        <v>0</v>
      </c>
      <c r="AR160" s="419">
        <v>0</v>
      </c>
    </row>
    <row r="161" spans="1:44">
      <c r="A161" s="379">
        <v>91423</v>
      </c>
      <c r="B161" t="s">
        <v>876</v>
      </c>
      <c r="C161" s="380">
        <v>6.05E-5</v>
      </c>
      <c r="D161" s="380"/>
      <c r="E161" s="419">
        <v>8732</v>
      </c>
      <c r="F161" s="419">
        <v>-995</v>
      </c>
      <c r="G161" s="419">
        <v>-9187</v>
      </c>
      <c r="H161" s="419">
        <v>-40564</v>
      </c>
      <c r="I161" s="419">
        <v>0</v>
      </c>
      <c r="J161" s="380">
        <v>6.05E-5</v>
      </c>
      <c r="K161" s="380"/>
      <c r="L161" s="419">
        <v>14811</v>
      </c>
      <c r="M161" s="419">
        <v>10229</v>
      </c>
      <c r="N161" s="419">
        <v>4478</v>
      </c>
      <c r="O161" s="419">
        <v>0</v>
      </c>
      <c r="P161" s="419">
        <v>0</v>
      </c>
      <c r="Q161" s="380">
        <v>6.05E-5</v>
      </c>
      <c r="R161" s="380"/>
      <c r="S161" s="419">
        <v>-30393</v>
      </c>
      <c r="T161" s="419">
        <v>-30042</v>
      </c>
      <c r="U161" s="419">
        <v>-31560</v>
      </c>
      <c r="V161" s="419">
        <v>-40564</v>
      </c>
      <c r="W161" s="419">
        <v>0</v>
      </c>
      <c r="X161" s="380">
        <v>6.05E-5</v>
      </c>
      <c r="Z161" s="419">
        <v>24236</v>
      </c>
      <c r="AA161" s="419">
        <v>17027</v>
      </c>
      <c r="AB161" s="419">
        <v>17027</v>
      </c>
      <c r="AC161" s="419">
        <v>0</v>
      </c>
      <c r="AD161" s="419">
        <v>0</v>
      </c>
      <c r="AE161" s="380">
        <v>6.05E-5</v>
      </c>
      <c r="AF161" s="380"/>
      <c r="AG161" s="419">
        <v>1790</v>
      </c>
      <c r="AH161" s="419">
        <v>1791</v>
      </c>
      <c r="AI161" s="419">
        <v>868</v>
      </c>
      <c r="AJ161" s="419">
        <v>0</v>
      </c>
      <c r="AK161" s="419">
        <v>0</v>
      </c>
      <c r="AL161" s="380">
        <v>6.05E-5</v>
      </c>
      <c r="AM161" s="380"/>
      <c r="AN161" s="419">
        <v>-1712</v>
      </c>
      <c r="AO161" s="419">
        <v>0</v>
      </c>
      <c r="AP161" s="419">
        <v>0</v>
      </c>
      <c r="AQ161" s="419">
        <v>0</v>
      </c>
      <c r="AR161" s="419">
        <v>0</v>
      </c>
    </row>
    <row r="162" spans="1:44">
      <c r="A162" s="379">
        <v>91431</v>
      </c>
      <c r="B162" t="s">
        <v>877</v>
      </c>
      <c r="C162" s="380">
        <v>1.8929999999999999E-4</v>
      </c>
      <c r="D162" s="380"/>
      <c r="E162" s="419">
        <v>39342</v>
      </c>
      <c r="F162" s="419">
        <v>602</v>
      </c>
      <c r="G162" s="419">
        <v>-25903</v>
      </c>
      <c r="H162" s="419">
        <v>-126921</v>
      </c>
      <c r="I162" s="419">
        <v>0</v>
      </c>
      <c r="J162" s="380">
        <v>1.8929999999999999E-4</v>
      </c>
      <c r="K162" s="380"/>
      <c r="L162" s="419">
        <v>46342</v>
      </c>
      <c r="M162" s="419">
        <v>32005</v>
      </c>
      <c r="N162" s="419">
        <v>14010</v>
      </c>
      <c r="O162" s="419">
        <v>0</v>
      </c>
      <c r="P162" s="419">
        <v>0</v>
      </c>
      <c r="Q162" s="380">
        <v>1.8929999999999999E-4</v>
      </c>
      <c r="R162" s="380"/>
      <c r="S162" s="419">
        <v>-95098</v>
      </c>
      <c r="T162" s="419">
        <v>-93998</v>
      </c>
      <c r="U162" s="419">
        <v>-98749</v>
      </c>
      <c r="V162" s="419">
        <v>-126921</v>
      </c>
      <c r="W162" s="419">
        <v>0</v>
      </c>
      <c r="X162" s="380">
        <v>1.8929999999999999E-4</v>
      </c>
      <c r="Z162" s="419">
        <v>75834</v>
      </c>
      <c r="AA162" s="419">
        <v>53278</v>
      </c>
      <c r="AB162" s="419">
        <v>53277</v>
      </c>
      <c r="AC162" s="419">
        <v>0</v>
      </c>
      <c r="AD162" s="419">
        <v>0</v>
      </c>
      <c r="AE162" s="380">
        <v>1.8929999999999999E-4</v>
      </c>
      <c r="AF162" s="380"/>
      <c r="AG162" s="419">
        <v>13006</v>
      </c>
      <c r="AH162" s="419">
        <v>10058</v>
      </c>
      <c r="AI162" s="419">
        <v>5559</v>
      </c>
      <c r="AJ162" s="419">
        <v>0</v>
      </c>
      <c r="AK162" s="419">
        <v>0</v>
      </c>
      <c r="AL162" s="380">
        <v>1.8929999999999999E-4</v>
      </c>
      <c r="AM162" s="380"/>
      <c r="AN162" s="419">
        <v>-742</v>
      </c>
      <c r="AO162" s="419">
        <v>-741</v>
      </c>
      <c r="AP162" s="419">
        <v>0</v>
      </c>
      <c r="AQ162" s="419">
        <v>0</v>
      </c>
      <c r="AR162" s="419">
        <v>0</v>
      </c>
    </row>
    <row r="163" spans="1:44">
      <c r="A163" s="379">
        <v>91441</v>
      </c>
      <c r="B163" t="s">
        <v>878</v>
      </c>
      <c r="C163" s="380">
        <v>9.4760000000000005E-4</v>
      </c>
      <c r="D163" s="380"/>
      <c r="E163" s="419">
        <v>28170</v>
      </c>
      <c r="F163" s="419">
        <v>-127611</v>
      </c>
      <c r="G163" s="419">
        <v>-186006</v>
      </c>
      <c r="H163" s="419">
        <v>-635341</v>
      </c>
      <c r="I163" s="419">
        <v>0</v>
      </c>
      <c r="J163" s="380">
        <v>9.4760000000000005E-4</v>
      </c>
      <c r="K163" s="380"/>
      <c r="L163" s="419">
        <v>231980</v>
      </c>
      <c r="M163" s="419">
        <v>160213</v>
      </c>
      <c r="N163" s="419">
        <v>70134</v>
      </c>
      <c r="O163" s="419">
        <v>0</v>
      </c>
      <c r="P163" s="419">
        <v>0</v>
      </c>
      <c r="Q163" s="380">
        <v>9.4760000000000005E-4</v>
      </c>
      <c r="R163" s="380"/>
      <c r="S163" s="419">
        <v>-476044</v>
      </c>
      <c r="T163" s="419">
        <v>-470536</v>
      </c>
      <c r="U163" s="419">
        <v>-494316</v>
      </c>
      <c r="V163" s="419">
        <v>-635341</v>
      </c>
      <c r="W163" s="419">
        <v>0</v>
      </c>
      <c r="X163" s="380">
        <v>9.4760000000000005E-4</v>
      </c>
      <c r="Z163" s="419">
        <v>379610</v>
      </c>
      <c r="AA163" s="419">
        <v>266697</v>
      </c>
      <c r="AB163" s="419">
        <v>266695</v>
      </c>
      <c r="AC163" s="419">
        <v>0</v>
      </c>
      <c r="AD163" s="419">
        <v>0</v>
      </c>
      <c r="AE163" s="380">
        <v>9.4760000000000005E-4</v>
      </c>
      <c r="AF163" s="380"/>
      <c r="AG163" s="419">
        <v>0</v>
      </c>
      <c r="AH163" s="419">
        <v>0</v>
      </c>
      <c r="AI163" s="419">
        <v>0</v>
      </c>
      <c r="AJ163" s="419">
        <v>0</v>
      </c>
      <c r="AK163" s="419">
        <v>0</v>
      </c>
      <c r="AL163" s="380">
        <v>9.4760000000000005E-4</v>
      </c>
      <c r="AM163" s="380"/>
      <c r="AN163" s="419">
        <v>-107376</v>
      </c>
      <c r="AO163" s="419">
        <v>-83985</v>
      </c>
      <c r="AP163" s="419">
        <v>-28519</v>
      </c>
      <c r="AQ163" s="419">
        <v>0</v>
      </c>
      <c r="AR163" s="419">
        <v>0</v>
      </c>
    </row>
    <row r="164" spans="1:44">
      <c r="A164" s="379">
        <v>91451</v>
      </c>
      <c r="B164" t="s">
        <v>879</v>
      </c>
      <c r="C164" s="380">
        <v>1.4920000000000001E-3</v>
      </c>
      <c r="D164" s="380"/>
      <c r="E164" s="419">
        <v>186054</v>
      </c>
      <c r="F164" s="419">
        <v>-96007</v>
      </c>
      <c r="G164" s="419">
        <v>-277912</v>
      </c>
      <c r="H164" s="419">
        <v>-1000347</v>
      </c>
      <c r="I164" s="419">
        <v>0</v>
      </c>
      <c r="J164" s="380">
        <v>1.4920000000000001E-3</v>
      </c>
      <c r="K164" s="380"/>
      <c r="L164" s="419">
        <v>365254</v>
      </c>
      <c r="M164" s="419">
        <v>252255</v>
      </c>
      <c r="N164" s="419">
        <v>110426</v>
      </c>
      <c r="O164" s="419">
        <v>0</v>
      </c>
      <c r="P164" s="419">
        <v>0</v>
      </c>
      <c r="Q164" s="380">
        <v>1.4920000000000001E-3</v>
      </c>
      <c r="R164" s="380"/>
      <c r="S164" s="419">
        <v>-749533</v>
      </c>
      <c r="T164" s="419">
        <v>-740860</v>
      </c>
      <c r="U164" s="419">
        <v>-778303</v>
      </c>
      <c r="V164" s="419">
        <v>-1000347</v>
      </c>
      <c r="W164" s="419">
        <v>0</v>
      </c>
      <c r="X164" s="380">
        <v>1.4920000000000001E-3</v>
      </c>
      <c r="Z164" s="419">
        <v>597698</v>
      </c>
      <c r="AA164" s="419">
        <v>419916</v>
      </c>
      <c r="AB164" s="419">
        <v>419913</v>
      </c>
      <c r="AC164" s="419">
        <v>0</v>
      </c>
      <c r="AD164" s="419">
        <v>0</v>
      </c>
      <c r="AE164" s="380">
        <v>1.4920000000000001E-3</v>
      </c>
      <c r="AF164" s="380"/>
      <c r="AG164" s="419">
        <v>8268</v>
      </c>
      <c r="AH164" s="419">
        <v>8270</v>
      </c>
      <c r="AI164" s="419">
        <v>0</v>
      </c>
      <c r="AJ164" s="419">
        <v>0</v>
      </c>
      <c r="AK164" s="419">
        <v>0</v>
      </c>
      <c r="AL164" s="380">
        <v>1.4920000000000001E-3</v>
      </c>
      <c r="AM164" s="380"/>
      <c r="AN164" s="419">
        <v>-35633</v>
      </c>
      <c r="AO164" s="419">
        <v>-35588</v>
      </c>
      <c r="AP164" s="419">
        <v>-29948</v>
      </c>
      <c r="AQ164" s="419">
        <v>0</v>
      </c>
      <c r="AR164" s="419">
        <v>0</v>
      </c>
    </row>
    <row r="165" spans="1:44">
      <c r="A165" s="379">
        <v>91457</v>
      </c>
      <c r="B165" t="s">
        <v>880</v>
      </c>
      <c r="C165" s="380">
        <v>1.8300000000000001E-5</v>
      </c>
      <c r="D165" s="380"/>
      <c r="E165" s="419">
        <v>20747</v>
      </c>
      <c r="F165" s="419">
        <v>13517</v>
      </c>
      <c r="G165" s="419">
        <v>6625</v>
      </c>
      <c r="H165" s="419">
        <v>-12270</v>
      </c>
      <c r="I165" s="419">
        <v>0</v>
      </c>
      <c r="J165" s="380">
        <v>1.8300000000000001E-5</v>
      </c>
      <c r="K165" s="380"/>
      <c r="L165" s="419">
        <v>4480</v>
      </c>
      <c r="M165" s="419">
        <v>3094</v>
      </c>
      <c r="N165" s="419">
        <v>1354</v>
      </c>
      <c r="O165" s="419">
        <v>0</v>
      </c>
      <c r="P165" s="419">
        <v>0</v>
      </c>
      <c r="Q165" s="380">
        <v>1.8300000000000001E-5</v>
      </c>
      <c r="R165" s="380"/>
      <c r="S165" s="419">
        <v>-9193</v>
      </c>
      <c r="T165" s="419">
        <v>-9087</v>
      </c>
      <c r="U165" s="419">
        <v>-9546</v>
      </c>
      <c r="V165" s="419">
        <v>-12270</v>
      </c>
      <c r="W165" s="419">
        <v>0</v>
      </c>
      <c r="X165" s="380">
        <v>1.8300000000000001E-5</v>
      </c>
      <c r="Z165" s="419">
        <v>7331</v>
      </c>
      <c r="AA165" s="419">
        <v>5150</v>
      </c>
      <c r="AB165" s="419">
        <v>5150</v>
      </c>
      <c r="AC165" s="419">
        <v>0</v>
      </c>
      <c r="AD165" s="419">
        <v>0</v>
      </c>
      <c r="AE165" s="380">
        <v>1.8300000000000001E-5</v>
      </c>
      <c r="AF165" s="380"/>
      <c r="AG165" s="419">
        <v>18129</v>
      </c>
      <c r="AH165" s="419">
        <v>14360</v>
      </c>
      <c r="AI165" s="419">
        <v>9667</v>
      </c>
      <c r="AJ165" s="419">
        <v>0</v>
      </c>
      <c r="AK165" s="419">
        <v>0</v>
      </c>
      <c r="AL165" s="380">
        <v>1.8300000000000001E-5</v>
      </c>
      <c r="AM165" s="380"/>
      <c r="AN165" s="419">
        <v>0</v>
      </c>
      <c r="AO165" s="419">
        <v>0</v>
      </c>
      <c r="AP165" s="419">
        <v>0</v>
      </c>
      <c r="AQ165" s="419">
        <v>0</v>
      </c>
      <c r="AR165" s="419">
        <v>0</v>
      </c>
    </row>
    <row r="166" spans="1:44">
      <c r="A166" s="379">
        <v>91461</v>
      </c>
      <c r="B166" t="s">
        <v>881</v>
      </c>
      <c r="C166" s="380">
        <v>0</v>
      </c>
      <c r="D166" s="380"/>
      <c r="E166" s="419">
        <v>-4755</v>
      </c>
      <c r="F166" s="419">
        <v>-4476</v>
      </c>
      <c r="G166" s="419">
        <v>0</v>
      </c>
      <c r="H166" s="419">
        <v>0</v>
      </c>
      <c r="I166" s="419">
        <v>0</v>
      </c>
      <c r="J166" s="380">
        <v>0</v>
      </c>
      <c r="K166" s="380"/>
      <c r="L166" s="419">
        <v>0</v>
      </c>
      <c r="M166" s="419">
        <v>0</v>
      </c>
      <c r="N166" s="419">
        <v>0</v>
      </c>
      <c r="O166" s="419">
        <v>0</v>
      </c>
      <c r="P166" s="419">
        <v>0</v>
      </c>
      <c r="Q166" s="380">
        <v>0</v>
      </c>
      <c r="R166" s="380"/>
      <c r="S166" s="419">
        <v>0</v>
      </c>
      <c r="T166" s="419">
        <v>0</v>
      </c>
      <c r="U166" s="419">
        <v>0</v>
      </c>
      <c r="V166" s="419">
        <v>0</v>
      </c>
      <c r="W166" s="419">
        <v>0</v>
      </c>
      <c r="X166" s="380">
        <v>0</v>
      </c>
      <c r="Z166" s="419">
        <v>0</v>
      </c>
      <c r="AA166" s="419">
        <v>0</v>
      </c>
      <c r="AB166" s="419">
        <v>0</v>
      </c>
      <c r="AC166" s="419">
        <v>0</v>
      </c>
      <c r="AD166" s="419">
        <v>0</v>
      </c>
      <c r="AE166" s="380">
        <v>0</v>
      </c>
      <c r="AF166" s="380"/>
      <c r="AG166" s="419">
        <v>0</v>
      </c>
      <c r="AH166" s="419">
        <v>0</v>
      </c>
      <c r="AI166" s="419">
        <v>0</v>
      </c>
      <c r="AJ166" s="419">
        <v>0</v>
      </c>
      <c r="AK166" s="419">
        <v>0</v>
      </c>
      <c r="AL166" s="380">
        <v>0</v>
      </c>
      <c r="AM166" s="380"/>
      <c r="AN166" s="419">
        <v>-4755</v>
      </c>
      <c r="AO166" s="419">
        <v>-4476</v>
      </c>
      <c r="AP166" s="419">
        <v>0</v>
      </c>
      <c r="AQ166" s="419">
        <v>0</v>
      </c>
      <c r="AR166" s="419">
        <v>0</v>
      </c>
    </row>
    <row r="167" spans="1:44">
      <c r="A167" s="379">
        <v>91501</v>
      </c>
      <c r="B167" t="s">
        <v>882</v>
      </c>
      <c r="C167" s="380">
        <v>4.819E-4</v>
      </c>
      <c r="D167" s="380"/>
      <c r="E167" s="419">
        <v>62431</v>
      </c>
      <c r="F167" s="419">
        <v>-24810</v>
      </c>
      <c r="G167" s="419">
        <v>-84389</v>
      </c>
      <c r="H167" s="419">
        <v>-323101</v>
      </c>
      <c r="I167" s="419">
        <v>0</v>
      </c>
      <c r="J167" s="380">
        <v>4.819E-4</v>
      </c>
      <c r="K167" s="380"/>
      <c r="L167" s="419">
        <v>117973</v>
      </c>
      <c r="M167" s="419">
        <v>81476</v>
      </c>
      <c r="N167" s="419">
        <v>35666</v>
      </c>
      <c r="O167" s="419">
        <v>0</v>
      </c>
      <c r="P167" s="419">
        <v>0</v>
      </c>
      <c r="Q167" s="380">
        <v>4.819E-4</v>
      </c>
      <c r="R167" s="380"/>
      <c r="S167" s="419">
        <v>-242091</v>
      </c>
      <c r="T167" s="419">
        <v>-239290</v>
      </c>
      <c r="U167" s="419">
        <v>-251384</v>
      </c>
      <c r="V167" s="419">
        <v>-323101</v>
      </c>
      <c r="W167" s="419">
        <v>0</v>
      </c>
      <c r="X167" s="380">
        <v>4.819E-4</v>
      </c>
      <c r="Z167" s="419">
        <v>193050</v>
      </c>
      <c r="AA167" s="419">
        <v>135628</v>
      </c>
      <c r="AB167" s="419">
        <v>135627</v>
      </c>
      <c r="AC167" s="419">
        <v>0</v>
      </c>
      <c r="AD167" s="419">
        <v>0</v>
      </c>
      <c r="AE167" s="380">
        <v>4.819E-4</v>
      </c>
      <c r="AF167" s="380"/>
      <c r="AG167" s="419">
        <v>7423</v>
      </c>
      <c r="AH167" s="419">
        <v>7424</v>
      </c>
      <c r="AI167" s="419">
        <v>0</v>
      </c>
      <c r="AJ167" s="419">
        <v>0</v>
      </c>
      <c r="AK167" s="419">
        <v>0</v>
      </c>
      <c r="AL167" s="380">
        <v>4.819E-4</v>
      </c>
      <c r="AM167" s="380"/>
      <c r="AN167" s="419">
        <v>-13924</v>
      </c>
      <c r="AO167" s="419">
        <v>-10048</v>
      </c>
      <c r="AP167" s="419">
        <v>-4298</v>
      </c>
      <c r="AQ167" s="419">
        <v>0</v>
      </c>
      <c r="AR167" s="419">
        <v>0</v>
      </c>
    </row>
    <row r="168" spans="1:44">
      <c r="A168" s="379">
        <v>91504</v>
      </c>
      <c r="B168" t="s">
        <v>883</v>
      </c>
      <c r="C168" s="380">
        <v>8.8999999999999995E-6</v>
      </c>
      <c r="D168" s="380"/>
      <c r="E168" s="419">
        <v>4346</v>
      </c>
      <c r="F168" s="419">
        <v>2215</v>
      </c>
      <c r="G168" s="419">
        <v>125</v>
      </c>
      <c r="H168" s="419">
        <v>-5967</v>
      </c>
      <c r="I168" s="419">
        <v>0</v>
      </c>
      <c r="J168" s="380">
        <v>8.8999999999999995E-6</v>
      </c>
      <c r="K168" s="380"/>
      <c r="L168" s="419">
        <v>2179</v>
      </c>
      <c r="M168" s="419">
        <v>1505</v>
      </c>
      <c r="N168" s="419">
        <v>659</v>
      </c>
      <c r="O168" s="419">
        <v>0</v>
      </c>
      <c r="P168" s="419">
        <v>0</v>
      </c>
      <c r="Q168" s="380">
        <v>8.8999999999999995E-6</v>
      </c>
      <c r="R168" s="380"/>
      <c r="S168" s="419">
        <v>-4471</v>
      </c>
      <c r="T168" s="419">
        <v>-4419</v>
      </c>
      <c r="U168" s="419">
        <v>-4643</v>
      </c>
      <c r="V168" s="419">
        <v>-5967</v>
      </c>
      <c r="W168" s="419">
        <v>0</v>
      </c>
      <c r="X168" s="380">
        <v>8.8999999999999995E-6</v>
      </c>
      <c r="Z168" s="419">
        <v>3565</v>
      </c>
      <c r="AA168" s="419">
        <v>2505</v>
      </c>
      <c r="AB168" s="419">
        <v>2505</v>
      </c>
      <c r="AC168" s="419">
        <v>0</v>
      </c>
      <c r="AD168" s="419">
        <v>0</v>
      </c>
      <c r="AE168" s="380">
        <v>8.8999999999999995E-6</v>
      </c>
      <c r="AF168" s="380"/>
      <c r="AG168" s="419">
        <v>3073</v>
      </c>
      <c r="AH168" s="419">
        <v>2624</v>
      </c>
      <c r="AI168" s="419">
        <v>1604</v>
      </c>
      <c r="AJ168" s="419">
        <v>0</v>
      </c>
      <c r="AK168" s="419">
        <v>0</v>
      </c>
      <c r="AL168" s="380">
        <v>8.8999999999999995E-6</v>
      </c>
      <c r="AM168" s="380"/>
      <c r="AN168" s="419">
        <v>0</v>
      </c>
      <c r="AO168" s="419">
        <v>0</v>
      </c>
      <c r="AP168" s="419">
        <v>0</v>
      </c>
      <c r="AQ168" s="419">
        <v>0</v>
      </c>
      <c r="AR168" s="419">
        <v>0</v>
      </c>
    </row>
    <row r="169" spans="1:44">
      <c r="A169" s="379">
        <v>91601</v>
      </c>
      <c r="B169" t="s">
        <v>884</v>
      </c>
      <c r="C169" s="380">
        <v>2.8359000000000001E-3</v>
      </c>
      <c r="D169" s="380"/>
      <c r="E169" s="419">
        <v>466719</v>
      </c>
      <c r="F169" s="419">
        <v>-69948</v>
      </c>
      <c r="G169" s="419">
        <v>-414076</v>
      </c>
      <c r="H169" s="419">
        <v>-1901397</v>
      </c>
      <c r="I169" s="419">
        <v>0</v>
      </c>
      <c r="J169" s="380">
        <v>2.8359000000000001E-3</v>
      </c>
      <c r="K169" s="380"/>
      <c r="L169" s="419">
        <v>694251</v>
      </c>
      <c r="M169" s="419">
        <v>479471</v>
      </c>
      <c r="N169" s="419">
        <v>209891</v>
      </c>
      <c r="O169" s="419">
        <v>0</v>
      </c>
      <c r="P169" s="419">
        <v>0</v>
      </c>
      <c r="Q169" s="380">
        <v>2.8359000000000001E-3</v>
      </c>
      <c r="R169" s="380"/>
      <c r="S169" s="419">
        <v>-1424665</v>
      </c>
      <c r="T169" s="419">
        <v>-1408180</v>
      </c>
      <c r="U169" s="419">
        <v>-1479350</v>
      </c>
      <c r="V169" s="419">
        <v>-1901397</v>
      </c>
      <c r="W169" s="419">
        <v>0</v>
      </c>
      <c r="X169" s="380">
        <v>2.8359000000000001E-3</v>
      </c>
      <c r="Z169" s="419">
        <v>1136067</v>
      </c>
      <c r="AA169" s="419">
        <v>798150</v>
      </c>
      <c r="AB169" s="419">
        <v>798144</v>
      </c>
      <c r="AC169" s="419">
        <v>0</v>
      </c>
      <c r="AD169" s="419">
        <v>0</v>
      </c>
      <c r="AE169" s="380">
        <v>2.8359000000000001E-3</v>
      </c>
      <c r="AF169" s="380"/>
      <c r="AG169" s="419">
        <v>114428</v>
      </c>
      <c r="AH169" s="419">
        <v>113972</v>
      </c>
      <c r="AI169" s="419">
        <v>57239</v>
      </c>
      <c r="AJ169" s="419">
        <v>0</v>
      </c>
      <c r="AK169" s="419">
        <v>0</v>
      </c>
      <c r="AL169" s="380">
        <v>2.8359000000000001E-3</v>
      </c>
      <c r="AM169" s="380"/>
      <c r="AN169" s="419">
        <v>-53362</v>
      </c>
      <c r="AO169" s="419">
        <v>-53361</v>
      </c>
      <c r="AP169" s="419">
        <v>0</v>
      </c>
      <c r="AQ169" s="419">
        <v>0</v>
      </c>
      <c r="AR169" s="419">
        <v>0</v>
      </c>
    </row>
    <row r="170" spans="1:44">
      <c r="A170" s="379">
        <v>91604</v>
      </c>
      <c r="B170" t="s">
        <v>885</v>
      </c>
      <c r="C170" s="380">
        <v>7.3999999999999996E-5</v>
      </c>
      <c r="D170" s="380"/>
      <c r="E170" s="419">
        <v>21627</v>
      </c>
      <c r="F170" s="419">
        <v>5414</v>
      </c>
      <c r="G170" s="419">
        <v>-10223</v>
      </c>
      <c r="H170" s="419">
        <v>-49615</v>
      </c>
      <c r="I170" s="419">
        <v>0</v>
      </c>
      <c r="J170" s="380">
        <v>7.3999999999999996E-5</v>
      </c>
      <c r="K170" s="380"/>
      <c r="L170" s="419">
        <v>18116</v>
      </c>
      <c r="M170" s="419">
        <v>12511</v>
      </c>
      <c r="N170" s="419">
        <v>5477</v>
      </c>
      <c r="O170" s="419">
        <v>0</v>
      </c>
      <c r="P170" s="419">
        <v>0</v>
      </c>
      <c r="Q170" s="380">
        <v>7.3999999999999996E-5</v>
      </c>
      <c r="R170" s="380"/>
      <c r="S170" s="419">
        <v>-37175</v>
      </c>
      <c r="T170" s="419">
        <v>-36745</v>
      </c>
      <c r="U170" s="419">
        <v>-38602</v>
      </c>
      <c r="V170" s="419">
        <v>-49615</v>
      </c>
      <c r="W170" s="419">
        <v>0</v>
      </c>
      <c r="X170" s="380">
        <v>7.3999999999999996E-5</v>
      </c>
      <c r="Z170" s="419">
        <v>29645</v>
      </c>
      <c r="AA170" s="419">
        <v>20827</v>
      </c>
      <c r="AB170" s="419">
        <v>20827</v>
      </c>
      <c r="AC170" s="419">
        <v>0</v>
      </c>
      <c r="AD170" s="419">
        <v>0</v>
      </c>
      <c r="AE170" s="380">
        <v>7.3999999999999996E-5</v>
      </c>
      <c r="AF170" s="380"/>
      <c r="AG170" s="419">
        <v>11041</v>
      </c>
      <c r="AH170" s="419">
        <v>8821</v>
      </c>
      <c r="AI170" s="419">
        <v>2075</v>
      </c>
      <c r="AJ170" s="419">
        <v>0</v>
      </c>
      <c r="AK170" s="419">
        <v>0</v>
      </c>
      <c r="AL170" s="380">
        <v>7.3999999999999996E-5</v>
      </c>
      <c r="AM170" s="380"/>
      <c r="AN170" s="419">
        <v>0</v>
      </c>
      <c r="AO170" s="419">
        <v>0</v>
      </c>
      <c r="AP170" s="419">
        <v>0</v>
      </c>
      <c r="AQ170" s="419">
        <v>0</v>
      </c>
      <c r="AR170" s="419">
        <v>0</v>
      </c>
    </row>
    <row r="171" spans="1:44">
      <c r="A171" s="379">
        <v>91608</v>
      </c>
      <c r="B171" t="s">
        <v>886</v>
      </c>
      <c r="C171" s="380">
        <v>1.594E-4</v>
      </c>
      <c r="D171" s="380"/>
      <c r="E171" s="419">
        <v>-469</v>
      </c>
      <c r="F171" s="419">
        <v>-26516</v>
      </c>
      <c r="G171" s="419">
        <v>-41190</v>
      </c>
      <c r="H171" s="419">
        <v>-106874</v>
      </c>
      <c r="I171" s="419">
        <v>0</v>
      </c>
      <c r="J171" s="380">
        <v>1.594E-4</v>
      </c>
      <c r="K171" s="380"/>
      <c r="L171" s="419">
        <v>39022</v>
      </c>
      <c r="M171" s="419">
        <v>26950</v>
      </c>
      <c r="N171" s="419">
        <v>11798</v>
      </c>
      <c r="O171" s="419">
        <v>0</v>
      </c>
      <c r="P171" s="419">
        <v>0</v>
      </c>
      <c r="Q171" s="380">
        <v>1.594E-4</v>
      </c>
      <c r="R171" s="380"/>
      <c r="S171" s="419">
        <v>-80077</v>
      </c>
      <c r="T171" s="419">
        <v>-79151</v>
      </c>
      <c r="U171" s="419">
        <v>-83151</v>
      </c>
      <c r="V171" s="419">
        <v>-106874</v>
      </c>
      <c r="W171" s="419">
        <v>0</v>
      </c>
      <c r="X171" s="380">
        <v>1.594E-4</v>
      </c>
      <c r="Z171" s="419">
        <v>63856</v>
      </c>
      <c r="AA171" s="419">
        <v>44862</v>
      </c>
      <c r="AB171" s="419">
        <v>44862</v>
      </c>
      <c r="AC171" s="419">
        <v>0</v>
      </c>
      <c r="AD171" s="419">
        <v>0</v>
      </c>
      <c r="AE171" s="380">
        <v>1.594E-4</v>
      </c>
      <c r="AF171" s="380"/>
      <c r="AG171" s="419">
        <v>1194</v>
      </c>
      <c r="AH171" s="419">
        <v>1194</v>
      </c>
      <c r="AI171" s="419">
        <v>0</v>
      </c>
      <c r="AJ171" s="419">
        <v>0</v>
      </c>
      <c r="AK171" s="419">
        <v>0</v>
      </c>
      <c r="AL171" s="380">
        <v>1.594E-4</v>
      </c>
      <c r="AM171" s="380"/>
      <c r="AN171" s="419">
        <v>-24464</v>
      </c>
      <c r="AO171" s="419">
        <v>-20371</v>
      </c>
      <c r="AP171" s="419">
        <v>-14699</v>
      </c>
      <c r="AQ171" s="419">
        <v>0</v>
      </c>
      <c r="AR171" s="419">
        <v>0</v>
      </c>
    </row>
    <row r="172" spans="1:44">
      <c r="A172" s="379">
        <v>91611</v>
      </c>
      <c r="B172" t="s">
        <v>887</v>
      </c>
      <c r="C172" s="380">
        <v>1.3304E-3</v>
      </c>
      <c r="D172" s="380"/>
      <c r="E172" s="419">
        <v>30547</v>
      </c>
      <c r="F172" s="419">
        <v>-200277</v>
      </c>
      <c r="G172" s="419">
        <v>-331985</v>
      </c>
      <c r="H172" s="419">
        <v>-891999</v>
      </c>
      <c r="I172" s="419">
        <v>0</v>
      </c>
      <c r="J172" s="380">
        <v>1.3304E-3</v>
      </c>
      <c r="K172" s="380"/>
      <c r="L172" s="419">
        <v>325693</v>
      </c>
      <c r="M172" s="419">
        <v>224933</v>
      </c>
      <c r="N172" s="419">
        <v>98466</v>
      </c>
      <c r="O172" s="419">
        <v>0</v>
      </c>
      <c r="P172" s="419">
        <v>0</v>
      </c>
      <c r="Q172" s="380">
        <v>1.3304E-3</v>
      </c>
      <c r="R172" s="380"/>
      <c r="S172" s="419">
        <v>-668350</v>
      </c>
      <c r="T172" s="419">
        <v>-660617</v>
      </c>
      <c r="U172" s="419">
        <v>-694004</v>
      </c>
      <c r="V172" s="419">
        <v>-891999</v>
      </c>
      <c r="W172" s="419">
        <v>0</v>
      </c>
      <c r="X172" s="380">
        <v>1.3304E-3</v>
      </c>
      <c r="Z172" s="419">
        <v>532961</v>
      </c>
      <c r="AA172" s="419">
        <v>374434</v>
      </c>
      <c r="AB172" s="419">
        <v>374432</v>
      </c>
      <c r="AC172" s="419">
        <v>0</v>
      </c>
      <c r="AD172" s="419">
        <v>0</v>
      </c>
      <c r="AE172" s="380">
        <v>1.3304E-3</v>
      </c>
      <c r="AF172" s="380"/>
      <c r="AG172" s="419">
        <v>0</v>
      </c>
      <c r="AH172" s="419">
        <v>0</v>
      </c>
      <c r="AI172" s="419">
        <v>0</v>
      </c>
      <c r="AJ172" s="419">
        <v>0</v>
      </c>
      <c r="AK172" s="419">
        <v>0</v>
      </c>
      <c r="AL172" s="380">
        <v>1.3304E-3</v>
      </c>
      <c r="AM172" s="380"/>
      <c r="AN172" s="419">
        <v>-159757</v>
      </c>
      <c r="AO172" s="419">
        <v>-139027</v>
      </c>
      <c r="AP172" s="419">
        <v>-110879</v>
      </c>
      <c r="AQ172" s="419">
        <v>0</v>
      </c>
      <c r="AR172" s="419">
        <v>0</v>
      </c>
    </row>
    <row r="173" spans="1:44">
      <c r="A173" s="379">
        <v>91621</v>
      </c>
      <c r="B173" t="s">
        <v>888</v>
      </c>
      <c r="C173" s="380">
        <v>3.4180000000000001E-4</v>
      </c>
      <c r="D173" s="380"/>
      <c r="E173" s="419">
        <v>86476</v>
      </c>
      <c r="F173" s="419">
        <v>23669</v>
      </c>
      <c r="G173" s="419">
        <v>-24855</v>
      </c>
      <c r="H173" s="419">
        <v>-229168</v>
      </c>
      <c r="I173" s="419">
        <v>0</v>
      </c>
      <c r="J173" s="380">
        <v>3.4180000000000001E-4</v>
      </c>
      <c r="K173" s="380"/>
      <c r="L173" s="419">
        <v>83675</v>
      </c>
      <c r="M173" s="419">
        <v>57789</v>
      </c>
      <c r="N173" s="419">
        <v>25297</v>
      </c>
      <c r="O173" s="419">
        <v>0</v>
      </c>
      <c r="P173" s="419">
        <v>0</v>
      </c>
      <c r="Q173" s="380">
        <v>3.4180000000000001E-4</v>
      </c>
      <c r="R173" s="380"/>
      <c r="S173" s="419">
        <v>-171709</v>
      </c>
      <c r="T173" s="419">
        <v>-169722</v>
      </c>
      <c r="U173" s="419">
        <v>-178300</v>
      </c>
      <c r="V173" s="419">
        <v>-229168</v>
      </c>
      <c r="W173" s="419">
        <v>0</v>
      </c>
      <c r="X173" s="380">
        <v>3.4180000000000001E-4</v>
      </c>
      <c r="Z173" s="419">
        <v>136926</v>
      </c>
      <c r="AA173" s="419">
        <v>96198</v>
      </c>
      <c r="AB173" s="419">
        <v>96197</v>
      </c>
      <c r="AC173" s="419">
        <v>0</v>
      </c>
      <c r="AD173" s="419">
        <v>0</v>
      </c>
      <c r="AE173" s="380">
        <v>3.4180000000000001E-4</v>
      </c>
      <c r="AF173" s="380"/>
      <c r="AG173" s="419">
        <v>43660</v>
      </c>
      <c r="AH173" s="419">
        <v>43660</v>
      </c>
      <c r="AI173" s="419">
        <v>31951</v>
      </c>
      <c r="AJ173" s="419">
        <v>0</v>
      </c>
      <c r="AK173" s="419">
        <v>0</v>
      </c>
      <c r="AL173" s="380">
        <v>3.4180000000000001E-4</v>
      </c>
      <c r="AM173" s="380"/>
      <c r="AN173" s="419">
        <v>-6076</v>
      </c>
      <c r="AO173" s="419">
        <v>-4256</v>
      </c>
      <c r="AP173" s="419">
        <v>0</v>
      </c>
      <c r="AQ173" s="419">
        <v>0</v>
      </c>
      <c r="AR173" s="419">
        <v>0</v>
      </c>
    </row>
    <row r="174" spans="1:44">
      <c r="A174" s="379">
        <v>91631</v>
      </c>
      <c r="B174" t="s">
        <v>889</v>
      </c>
      <c r="C174" s="380">
        <v>6.3750000000000005E-4</v>
      </c>
      <c r="D174" s="380"/>
      <c r="E174" s="419">
        <v>96846</v>
      </c>
      <c r="F174" s="419">
        <v>-22739</v>
      </c>
      <c r="G174" s="419">
        <v>-119977</v>
      </c>
      <c r="H174" s="419">
        <v>-427427</v>
      </c>
      <c r="I174" s="419">
        <v>0</v>
      </c>
      <c r="J174" s="380">
        <v>6.3750000000000005E-4</v>
      </c>
      <c r="K174" s="380"/>
      <c r="L174" s="419">
        <v>156065</v>
      </c>
      <c r="M174" s="419">
        <v>107783</v>
      </c>
      <c r="N174" s="419">
        <v>47183</v>
      </c>
      <c r="O174" s="419">
        <v>0</v>
      </c>
      <c r="P174" s="419">
        <v>0</v>
      </c>
      <c r="Q174" s="380">
        <v>6.3750000000000005E-4</v>
      </c>
      <c r="R174" s="380"/>
      <c r="S174" s="419">
        <v>-320260</v>
      </c>
      <c r="T174" s="419">
        <v>-316554</v>
      </c>
      <c r="U174" s="419">
        <v>-332553</v>
      </c>
      <c r="V174" s="419">
        <v>-427427</v>
      </c>
      <c r="W174" s="419">
        <v>0</v>
      </c>
      <c r="X174" s="380">
        <v>6.3750000000000005E-4</v>
      </c>
      <c r="Z174" s="419">
        <v>255384</v>
      </c>
      <c r="AA174" s="419">
        <v>179421</v>
      </c>
      <c r="AB174" s="419">
        <v>179420</v>
      </c>
      <c r="AC174" s="419">
        <v>0</v>
      </c>
      <c r="AD174" s="419">
        <v>0</v>
      </c>
      <c r="AE174" s="380">
        <v>6.3750000000000005E-4</v>
      </c>
      <c r="AF174" s="380"/>
      <c r="AG174" s="419">
        <v>20639</v>
      </c>
      <c r="AH174" s="419">
        <v>20637</v>
      </c>
      <c r="AI174" s="419">
        <v>0</v>
      </c>
      <c r="AJ174" s="419">
        <v>0</v>
      </c>
      <c r="AK174" s="419">
        <v>0</v>
      </c>
      <c r="AL174" s="380">
        <v>6.3750000000000005E-4</v>
      </c>
      <c r="AM174" s="380"/>
      <c r="AN174" s="419">
        <v>-14982</v>
      </c>
      <c r="AO174" s="419">
        <v>-14026</v>
      </c>
      <c r="AP174" s="419">
        <v>-14027</v>
      </c>
      <c r="AQ174" s="419">
        <v>0</v>
      </c>
      <c r="AR174" s="419">
        <v>0</v>
      </c>
    </row>
    <row r="175" spans="1:44">
      <c r="A175" s="379">
        <v>91633</v>
      </c>
      <c r="B175" t="s">
        <v>890</v>
      </c>
      <c r="C175" s="380">
        <v>0</v>
      </c>
      <c r="D175" s="380"/>
      <c r="E175" s="419">
        <v>-12813</v>
      </c>
      <c r="F175" s="419">
        <v>-11873</v>
      </c>
      <c r="G175" s="419">
        <v>-13113</v>
      </c>
      <c r="H175" s="419">
        <v>0</v>
      </c>
      <c r="I175" s="419">
        <v>0</v>
      </c>
      <c r="J175" s="380">
        <v>0</v>
      </c>
      <c r="K175" s="380"/>
      <c r="L175" s="419">
        <v>0</v>
      </c>
      <c r="M175" s="419">
        <v>0</v>
      </c>
      <c r="N175" s="419">
        <v>0</v>
      </c>
      <c r="O175" s="419">
        <v>0</v>
      </c>
      <c r="P175" s="419">
        <v>0</v>
      </c>
      <c r="Q175" s="380">
        <v>0</v>
      </c>
      <c r="R175" s="380"/>
      <c r="S175" s="419">
        <v>0</v>
      </c>
      <c r="T175" s="419">
        <v>0</v>
      </c>
      <c r="U175" s="419">
        <v>0</v>
      </c>
      <c r="V175" s="419">
        <v>0</v>
      </c>
      <c r="W175" s="419">
        <v>0</v>
      </c>
      <c r="X175" s="380">
        <v>0</v>
      </c>
      <c r="Z175" s="419">
        <v>0</v>
      </c>
      <c r="AA175" s="419">
        <v>0</v>
      </c>
      <c r="AB175" s="419">
        <v>0</v>
      </c>
      <c r="AC175" s="419">
        <v>0</v>
      </c>
      <c r="AD175" s="419">
        <v>0</v>
      </c>
      <c r="AE175" s="380">
        <v>0</v>
      </c>
      <c r="AF175" s="380"/>
      <c r="AG175" s="419">
        <v>2151</v>
      </c>
      <c r="AH175" s="419">
        <v>2153</v>
      </c>
      <c r="AI175" s="419">
        <v>0</v>
      </c>
      <c r="AJ175" s="419">
        <v>0</v>
      </c>
      <c r="AK175" s="419">
        <v>0</v>
      </c>
      <c r="AL175" s="380">
        <v>0</v>
      </c>
      <c r="AM175" s="380"/>
      <c r="AN175" s="419">
        <v>-14964</v>
      </c>
      <c r="AO175" s="419">
        <v>-14026</v>
      </c>
      <c r="AP175" s="419">
        <v>-13113</v>
      </c>
      <c r="AQ175" s="419">
        <v>0</v>
      </c>
      <c r="AR175" s="419">
        <v>0</v>
      </c>
    </row>
    <row r="176" spans="1:44">
      <c r="A176" s="379">
        <v>91641</v>
      </c>
      <c r="B176" t="s">
        <v>891</v>
      </c>
      <c r="C176" s="380">
        <v>3.234E-4</v>
      </c>
      <c r="D176" s="380"/>
      <c r="E176" s="419">
        <v>40040</v>
      </c>
      <c r="F176" s="419">
        <v>-9906</v>
      </c>
      <c r="G176" s="419">
        <v>-50589</v>
      </c>
      <c r="H176" s="419">
        <v>-216831</v>
      </c>
      <c r="I176" s="419">
        <v>0</v>
      </c>
      <c r="J176" s="380">
        <v>3.234E-4</v>
      </c>
      <c r="K176" s="380"/>
      <c r="L176" s="419">
        <v>79171</v>
      </c>
      <c r="M176" s="419">
        <v>54678</v>
      </c>
      <c r="N176" s="419">
        <v>23935</v>
      </c>
      <c r="O176" s="419">
        <v>0</v>
      </c>
      <c r="P176" s="419">
        <v>0</v>
      </c>
      <c r="Q176" s="380">
        <v>3.234E-4</v>
      </c>
      <c r="R176" s="380"/>
      <c r="S176" s="419">
        <v>-162466</v>
      </c>
      <c r="T176" s="419">
        <v>-160586</v>
      </c>
      <c r="U176" s="419">
        <v>-168702</v>
      </c>
      <c r="V176" s="419">
        <v>-216831</v>
      </c>
      <c r="W176" s="419">
        <v>0</v>
      </c>
      <c r="X176" s="380">
        <v>3.234E-4</v>
      </c>
      <c r="Z176" s="419">
        <v>129555</v>
      </c>
      <c r="AA176" s="419">
        <v>91019</v>
      </c>
      <c r="AB176" s="419">
        <v>91019</v>
      </c>
      <c r="AC176" s="419">
        <v>0</v>
      </c>
      <c r="AD176" s="419">
        <v>0</v>
      </c>
      <c r="AE176" s="380">
        <v>3.234E-4</v>
      </c>
      <c r="AF176" s="380"/>
      <c r="AG176" s="419">
        <v>4984</v>
      </c>
      <c r="AH176" s="419">
        <v>4983</v>
      </c>
      <c r="AI176" s="419">
        <v>3159</v>
      </c>
      <c r="AJ176" s="419">
        <v>0</v>
      </c>
      <c r="AK176" s="419">
        <v>0</v>
      </c>
      <c r="AL176" s="380">
        <v>3.234E-4</v>
      </c>
      <c r="AM176" s="380"/>
      <c r="AN176" s="419">
        <v>-11204</v>
      </c>
      <c r="AO176" s="419">
        <v>0</v>
      </c>
      <c r="AP176" s="419">
        <v>0</v>
      </c>
      <c r="AQ176" s="419">
        <v>0</v>
      </c>
      <c r="AR176" s="419">
        <v>0</v>
      </c>
    </row>
    <row r="177" spans="1:44">
      <c r="A177" s="379">
        <v>91651</v>
      </c>
      <c r="B177" t="s">
        <v>892</v>
      </c>
      <c r="C177" s="380">
        <v>5.5210000000000003E-4</v>
      </c>
      <c r="D177" s="380"/>
      <c r="E177" s="419">
        <v>104104</v>
      </c>
      <c r="F177" s="419">
        <v>-6753</v>
      </c>
      <c r="G177" s="419">
        <v>-83890</v>
      </c>
      <c r="H177" s="419">
        <v>-370169</v>
      </c>
      <c r="I177" s="419">
        <v>0</v>
      </c>
      <c r="J177" s="380">
        <v>5.5210000000000003E-4</v>
      </c>
      <c r="K177" s="380"/>
      <c r="L177" s="419">
        <v>135158</v>
      </c>
      <c r="M177" s="419">
        <v>93345</v>
      </c>
      <c r="N177" s="419">
        <v>40862</v>
      </c>
      <c r="O177" s="419">
        <v>0</v>
      </c>
      <c r="P177" s="419">
        <v>0</v>
      </c>
      <c r="Q177" s="380">
        <v>5.5210000000000003E-4</v>
      </c>
      <c r="R177" s="380"/>
      <c r="S177" s="419">
        <v>-277357</v>
      </c>
      <c r="T177" s="419">
        <v>-274148</v>
      </c>
      <c r="U177" s="419">
        <v>-288004</v>
      </c>
      <c r="V177" s="419">
        <v>-370169</v>
      </c>
      <c r="W177" s="419">
        <v>0</v>
      </c>
      <c r="X177" s="380">
        <v>5.5210000000000003E-4</v>
      </c>
      <c r="Z177" s="419">
        <v>221172</v>
      </c>
      <c r="AA177" s="419">
        <v>155386</v>
      </c>
      <c r="AB177" s="419">
        <v>155385</v>
      </c>
      <c r="AC177" s="419">
        <v>0</v>
      </c>
      <c r="AD177" s="419">
        <v>0</v>
      </c>
      <c r="AE177" s="380">
        <v>5.5210000000000003E-4</v>
      </c>
      <c r="AF177" s="380"/>
      <c r="AG177" s="419">
        <v>27494</v>
      </c>
      <c r="AH177" s="419">
        <v>21025</v>
      </c>
      <c r="AI177" s="419">
        <v>7867</v>
      </c>
      <c r="AJ177" s="419">
        <v>0</v>
      </c>
      <c r="AK177" s="419">
        <v>0</v>
      </c>
      <c r="AL177" s="380">
        <v>5.5210000000000003E-4</v>
      </c>
      <c r="AM177" s="380"/>
      <c r="AN177" s="419">
        <v>-2363</v>
      </c>
      <c r="AO177" s="419">
        <v>-2361</v>
      </c>
      <c r="AP177" s="419">
        <v>0</v>
      </c>
      <c r="AQ177" s="419">
        <v>0</v>
      </c>
      <c r="AR177" s="419">
        <v>0</v>
      </c>
    </row>
    <row r="178" spans="1:44">
      <c r="A178" s="379">
        <v>91661</v>
      </c>
      <c r="B178" t="s">
        <v>893</v>
      </c>
      <c r="C178" s="380">
        <v>1.9269999999999999E-4</v>
      </c>
      <c r="D178" s="380"/>
      <c r="E178" s="419">
        <v>8849</v>
      </c>
      <c r="F178" s="419">
        <v>-25835</v>
      </c>
      <c r="G178" s="419">
        <v>-42736</v>
      </c>
      <c r="H178" s="419">
        <v>-129200</v>
      </c>
      <c r="I178" s="419">
        <v>0</v>
      </c>
      <c r="J178" s="380">
        <v>1.9269999999999999E-4</v>
      </c>
      <c r="K178" s="380"/>
      <c r="L178" s="419">
        <v>47175</v>
      </c>
      <c r="M178" s="419">
        <v>32580</v>
      </c>
      <c r="N178" s="419">
        <v>14262</v>
      </c>
      <c r="O178" s="419">
        <v>0</v>
      </c>
      <c r="P178" s="419">
        <v>0</v>
      </c>
      <c r="Q178" s="380">
        <v>1.9269999999999999E-4</v>
      </c>
      <c r="R178" s="380"/>
      <c r="S178" s="419">
        <v>-96806</v>
      </c>
      <c r="T178" s="419">
        <v>-95686</v>
      </c>
      <c r="U178" s="419">
        <v>-100522</v>
      </c>
      <c r="V178" s="419">
        <v>-129200</v>
      </c>
      <c r="W178" s="419">
        <v>0</v>
      </c>
      <c r="X178" s="380">
        <v>1.9269999999999999E-4</v>
      </c>
      <c r="Z178" s="419">
        <v>77196</v>
      </c>
      <c r="AA178" s="419">
        <v>54234</v>
      </c>
      <c r="AB178" s="419">
        <v>54234</v>
      </c>
      <c r="AC178" s="419">
        <v>0</v>
      </c>
      <c r="AD178" s="419">
        <v>0</v>
      </c>
      <c r="AE178" s="380">
        <v>1.9269999999999999E-4</v>
      </c>
      <c r="AF178" s="380"/>
      <c r="AG178" s="419">
        <v>0</v>
      </c>
      <c r="AH178" s="419">
        <v>0</v>
      </c>
      <c r="AI178" s="419">
        <v>0</v>
      </c>
      <c r="AJ178" s="419">
        <v>0</v>
      </c>
      <c r="AK178" s="419">
        <v>0</v>
      </c>
      <c r="AL178" s="380">
        <v>1.9269999999999999E-4</v>
      </c>
      <c r="AM178" s="380"/>
      <c r="AN178" s="419">
        <v>-18716</v>
      </c>
      <c r="AO178" s="419">
        <v>-16963</v>
      </c>
      <c r="AP178" s="419">
        <v>-10710</v>
      </c>
      <c r="AQ178" s="419">
        <v>0</v>
      </c>
      <c r="AR178" s="419">
        <v>0</v>
      </c>
    </row>
    <row r="179" spans="1:44">
      <c r="A179" s="379">
        <v>91671</v>
      </c>
      <c r="B179" t="s">
        <v>894</v>
      </c>
      <c r="C179" s="380">
        <v>1.013E-4</v>
      </c>
      <c r="D179" s="380"/>
      <c r="E179" s="419">
        <v>7572</v>
      </c>
      <c r="F179" s="419">
        <v>-12903</v>
      </c>
      <c r="G179" s="419">
        <v>-14506</v>
      </c>
      <c r="H179" s="419">
        <v>-67919</v>
      </c>
      <c r="I179" s="419">
        <v>0</v>
      </c>
      <c r="J179" s="380">
        <v>1.013E-4</v>
      </c>
      <c r="K179" s="380"/>
      <c r="L179" s="419">
        <v>24799</v>
      </c>
      <c r="M179" s="419">
        <v>17127</v>
      </c>
      <c r="N179" s="419">
        <v>7497</v>
      </c>
      <c r="O179" s="419">
        <v>0</v>
      </c>
      <c r="P179" s="419">
        <v>0</v>
      </c>
      <c r="Q179" s="380">
        <v>1.013E-4</v>
      </c>
      <c r="R179" s="380"/>
      <c r="S179" s="419">
        <v>-50890</v>
      </c>
      <c r="T179" s="419">
        <v>-50301</v>
      </c>
      <c r="U179" s="419">
        <v>-52843</v>
      </c>
      <c r="V179" s="419">
        <v>-67919</v>
      </c>
      <c r="W179" s="419">
        <v>0</v>
      </c>
      <c r="X179" s="380">
        <v>1.013E-4</v>
      </c>
      <c r="Z179" s="419">
        <v>40581</v>
      </c>
      <c r="AA179" s="419">
        <v>28510</v>
      </c>
      <c r="AB179" s="419">
        <v>28510</v>
      </c>
      <c r="AC179" s="419">
        <v>0</v>
      </c>
      <c r="AD179" s="419">
        <v>0</v>
      </c>
      <c r="AE179" s="380">
        <v>1.013E-4</v>
      </c>
      <c r="AF179" s="380"/>
      <c r="AG179" s="419">
        <v>3652</v>
      </c>
      <c r="AH179" s="419">
        <v>2332</v>
      </c>
      <c r="AI179" s="419">
        <v>2330</v>
      </c>
      <c r="AJ179" s="419">
        <v>0</v>
      </c>
      <c r="AK179" s="419">
        <v>0</v>
      </c>
      <c r="AL179" s="380">
        <v>1.013E-4</v>
      </c>
      <c r="AM179" s="380"/>
      <c r="AN179" s="419">
        <v>-10570</v>
      </c>
      <c r="AO179" s="419">
        <v>-10571</v>
      </c>
      <c r="AP179" s="419">
        <v>0</v>
      </c>
      <c r="AQ179" s="419">
        <v>0</v>
      </c>
      <c r="AR179" s="419">
        <v>0</v>
      </c>
    </row>
    <row r="180" spans="1:44">
      <c r="A180" s="379">
        <v>91681</v>
      </c>
      <c r="B180" t="s">
        <v>895</v>
      </c>
      <c r="C180" s="380">
        <v>4.5239999999999999E-4</v>
      </c>
      <c r="D180" s="380"/>
      <c r="E180" s="419">
        <v>168273</v>
      </c>
      <c r="F180" s="419">
        <v>49650</v>
      </c>
      <c r="G180" s="419">
        <v>-37765</v>
      </c>
      <c r="H180" s="419">
        <v>-303322</v>
      </c>
      <c r="I180" s="419">
        <v>0</v>
      </c>
      <c r="J180" s="380">
        <v>4.5239999999999999E-4</v>
      </c>
      <c r="K180" s="380"/>
      <c r="L180" s="419">
        <v>110751</v>
      </c>
      <c r="M180" s="419">
        <v>76488</v>
      </c>
      <c r="N180" s="419">
        <v>33483</v>
      </c>
      <c r="O180" s="419">
        <v>0</v>
      </c>
      <c r="P180" s="419">
        <v>0</v>
      </c>
      <c r="Q180" s="380">
        <v>4.5239999999999999E-4</v>
      </c>
      <c r="R180" s="380"/>
      <c r="S180" s="419">
        <v>-227271</v>
      </c>
      <c r="T180" s="419">
        <v>-224641</v>
      </c>
      <c r="U180" s="419">
        <v>-235995</v>
      </c>
      <c r="V180" s="419">
        <v>-303322</v>
      </c>
      <c r="W180" s="419">
        <v>0</v>
      </c>
      <c r="X180" s="380">
        <v>4.5239999999999999E-4</v>
      </c>
      <c r="Z180" s="419">
        <v>181232</v>
      </c>
      <c r="AA180" s="419">
        <v>127326</v>
      </c>
      <c r="AB180" s="419">
        <v>127325</v>
      </c>
      <c r="AC180" s="419">
        <v>0</v>
      </c>
      <c r="AD180" s="419">
        <v>0</v>
      </c>
      <c r="AE180" s="380">
        <v>4.5239999999999999E-4</v>
      </c>
      <c r="AF180" s="380"/>
      <c r="AG180" s="419">
        <v>104947</v>
      </c>
      <c r="AH180" s="419">
        <v>71862</v>
      </c>
      <c r="AI180" s="419">
        <v>37422</v>
      </c>
      <c r="AJ180" s="419">
        <v>0</v>
      </c>
      <c r="AK180" s="419">
        <v>0</v>
      </c>
      <c r="AL180" s="380">
        <v>4.5239999999999999E-4</v>
      </c>
      <c r="AM180" s="380"/>
      <c r="AN180" s="419">
        <v>-1386</v>
      </c>
      <c r="AO180" s="419">
        <v>-1385</v>
      </c>
      <c r="AP180" s="419">
        <v>0</v>
      </c>
      <c r="AQ180" s="419">
        <v>0</v>
      </c>
      <c r="AR180" s="419">
        <v>0</v>
      </c>
    </row>
    <row r="181" spans="1:44">
      <c r="A181" s="379">
        <v>91691</v>
      </c>
      <c r="B181" t="s">
        <v>896</v>
      </c>
      <c r="C181" s="380">
        <v>2.8500000000000002E-5</v>
      </c>
      <c r="D181" s="380"/>
      <c r="E181" s="419">
        <v>11567</v>
      </c>
      <c r="F181" s="419">
        <v>6280</v>
      </c>
      <c r="G181" s="419">
        <v>3879</v>
      </c>
      <c r="H181" s="419">
        <v>-19109</v>
      </c>
      <c r="I181" s="419">
        <v>0</v>
      </c>
      <c r="J181" s="380">
        <v>2.8500000000000002E-5</v>
      </c>
      <c r="K181" s="380"/>
      <c r="L181" s="419">
        <v>6977</v>
      </c>
      <c r="M181" s="419">
        <v>4819</v>
      </c>
      <c r="N181" s="419">
        <v>2109</v>
      </c>
      <c r="O181" s="419">
        <v>0</v>
      </c>
      <c r="P181" s="419">
        <v>0</v>
      </c>
      <c r="Q181" s="380">
        <v>2.8500000000000002E-5</v>
      </c>
      <c r="R181" s="380"/>
      <c r="S181" s="419">
        <v>-14317</v>
      </c>
      <c r="T181" s="419">
        <v>-14152</v>
      </c>
      <c r="U181" s="419">
        <v>-14867</v>
      </c>
      <c r="V181" s="419">
        <v>-19109</v>
      </c>
      <c r="W181" s="419">
        <v>0</v>
      </c>
      <c r="X181" s="380">
        <v>2.8500000000000002E-5</v>
      </c>
      <c r="Z181" s="419">
        <v>11417</v>
      </c>
      <c r="AA181" s="419">
        <v>8021</v>
      </c>
      <c r="AB181" s="419">
        <v>8021</v>
      </c>
      <c r="AC181" s="419">
        <v>0</v>
      </c>
      <c r="AD181" s="419">
        <v>0</v>
      </c>
      <c r="AE181" s="380">
        <v>2.8500000000000002E-5</v>
      </c>
      <c r="AF181" s="380"/>
      <c r="AG181" s="419">
        <v>9127</v>
      </c>
      <c r="AH181" s="419">
        <v>9129</v>
      </c>
      <c r="AI181" s="419">
        <v>8616</v>
      </c>
      <c r="AJ181" s="419">
        <v>0</v>
      </c>
      <c r="AK181" s="419">
        <v>0</v>
      </c>
      <c r="AL181" s="380">
        <v>2.8500000000000002E-5</v>
      </c>
      <c r="AM181" s="380"/>
      <c r="AN181" s="419">
        <v>-1637</v>
      </c>
      <c r="AO181" s="419">
        <v>-1537</v>
      </c>
      <c r="AP181" s="419">
        <v>0</v>
      </c>
      <c r="AQ181" s="419">
        <v>0</v>
      </c>
      <c r="AR181" s="419">
        <v>0</v>
      </c>
    </row>
    <row r="182" spans="1:44">
      <c r="A182" s="379">
        <v>91701</v>
      </c>
      <c r="B182" t="s">
        <v>897</v>
      </c>
      <c r="C182" s="380">
        <v>1.1352999999999999E-3</v>
      </c>
      <c r="D182" s="380"/>
      <c r="E182" s="419">
        <v>139051</v>
      </c>
      <c r="F182" s="419">
        <v>-65795</v>
      </c>
      <c r="G182" s="419">
        <v>-175971</v>
      </c>
      <c r="H182" s="419">
        <v>-761189</v>
      </c>
      <c r="I182" s="419">
        <v>0</v>
      </c>
      <c r="J182" s="380">
        <v>1.1352999999999999E-3</v>
      </c>
      <c r="K182" s="380"/>
      <c r="L182" s="419">
        <v>277931</v>
      </c>
      <c r="M182" s="419">
        <v>191947</v>
      </c>
      <c r="N182" s="419">
        <v>84026</v>
      </c>
      <c r="O182" s="419">
        <v>0</v>
      </c>
      <c r="P182" s="419">
        <v>0</v>
      </c>
      <c r="Q182" s="380">
        <v>1.1352999999999999E-3</v>
      </c>
      <c r="R182" s="380"/>
      <c r="S182" s="419">
        <v>-570338</v>
      </c>
      <c r="T182" s="419">
        <v>-563739</v>
      </c>
      <c r="U182" s="419">
        <v>-592230</v>
      </c>
      <c r="V182" s="419">
        <v>-761189</v>
      </c>
      <c r="W182" s="419">
        <v>0</v>
      </c>
      <c r="X182" s="380">
        <v>1.1352999999999999E-3</v>
      </c>
      <c r="Z182" s="419">
        <v>454803</v>
      </c>
      <c r="AA182" s="419">
        <v>319525</v>
      </c>
      <c r="AB182" s="419">
        <v>319522</v>
      </c>
      <c r="AC182" s="419">
        <v>0</v>
      </c>
      <c r="AD182" s="419">
        <v>0</v>
      </c>
      <c r="AE182" s="380">
        <v>1.1352999999999999E-3</v>
      </c>
      <c r="AF182" s="380"/>
      <c r="AG182" s="419">
        <v>12712</v>
      </c>
      <c r="AH182" s="419">
        <v>12712</v>
      </c>
      <c r="AI182" s="419">
        <v>12711</v>
      </c>
      <c r="AJ182" s="419">
        <v>0</v>
      </c>
      <c r="AK182" s="419">
        <v>0</v>
      </c>
      <c r="AL182" s="380">
        <v>1.1352999999999999E-3</v>
      </c>
      <c r="AM182" s="380"/>
      <c r="AN182" s="419">
        <v>-36057</v>
      </c>
      <c r="AO182" s="419">
        <v>-26240</v>
      </c>
      <c r="AP182" s="419">
        <v>0</v>
      </c>
      <c r="AQ182" s="419">
        <v>0</v>
      </c>
      <c r="AR182" s="419">
        <v>0</v>
      </c>
    </row>
    <row r="183" spans="1:44">
      <c r="A183" s="379">
        <v>91704</v>
      </c>
      <c r="B183" t="s">
        <v>898</v>
      </c>
      <c r="C183" s="380">
        <v>1.7600000000000001E-5</v>
      </c>
      <c r="D183" s="380"/>
      <c r="E183" s="419">
        <v>3768</v>
      </c>
      <c r="F183" s="419">
        <v>410</v>
      </c>
      <c r="G183" s="419">
        <v>-1844</v>
      </c>
      <c r="H183" s="419">
        <v>-11800</v>
      </c>
      <c r="I183" s="419">
        <v>0</v>
      </c>
      <c r="J183" s="380">
        <v>1.7600000000000001E-5</v>
      </c>
      <c r="K183" s="380"/>
      <c r="L183" s="419">
        <v>4309</v>
      </c>
      <c r="M183" s="419">
        <v>2976</v>
      </c>
      <c r="N183" s="419">
        <v>1303</v>
      </c>
      <c r="O183" s="419">
        <v>0</v>
      </c>
      <c r="P183" s="419">
        <v>0</v>
      </c>
      <c r="Q183" s="380">
        <v>1.7600000000000001E-5</v>
      </c>
      <c r="R183" s="380"/>
      <c r="S183" s="419">
        <v>-8842</v>
      </c>
      <c r="T183" s="419">
        <v>-8739</v>
      </c>
      <c r="U183" s="419">
        <v>-9181</v>
      </c>
      <c r="V183" s="419">
        <v>-11800</v>
      </c>
      <c r="W183" s="419">
        <v>0</v>
      </c>
      <c r="X183" s="380">
        <v>1.7600000000000001E-5</v>
      </c>
      <c r="Z183" s="419">
        <v>7051</v>
      </c>
      <c r="AA183" s="419">
        <v>4953</v>
      </c>
      <c r="AB183" s="419">
        <v>4953</v>
      </c>
      <c r="AC183" s="419">
        <v>0</v>
      </c>
      <c r="AD183" s="419">
        <v>0</v>
      </c>
      <c r="AE183" s="380">
        <v>1.7600000000000001E-5</v>
      </c>
      <c r="AF183" s="380"/>
      <c r="AG183" s="419">
        <v>1258</v>
      </c>
      <c r="AH183" s="419">
        <v>1226</v>
      </c>
      <c r="AI183" s="419">
        <v>1081</v>
      </c>
      <c r="AJ183" s="419">
        <v>0</v>
      </c>
      <c r="AK183" s="419">
        <v>0</v>
      </c>
      <c r="AL183" s="380">
        <v>1.7600000000000001E-5</v>
      </c>
      <c r="AM183" s="380"/>
      <c r="AN183" s="419">
        <v>-8</v>
      </c>
      <c r="AO183" s="419">
        <v>-6</v>
      </c>
      <c r="AP183" s="419">
        <v>0</v>
      </c>
      <c r="AQ183" s="419">
        <v>0</v>
      </c>
      <c r="AR183" s="419">
        <v>0</v>
      </c>
    </row>
    <row r="184" spans="1:44">
      <c r="A184" s="379">
        <v>91706</v>
      </c>
      <c r="B184" t="s">
        <v>899</v>
      </c>
      <c r="C184" s="380">
        <v>1.9760000000000001E-4</v>
      </c>
      <c r="D184" s="380"/>
      <c r="E184" s="419">
        <v>27707</v>
      </c>
      <c r="F184" s="419">
        <v>-17250</v>
      </c>
      <c r="G184" s="419">
        <v>-40068</v>
      </c>
      <c r="H184" s="419">
        <v>-132486</v>
      </c>
      <c r="I184" s="419">
        <v>0</v>
      </c>
      <c r="J184" s="380">
        <v>1.9760000000000001E-4</v>
      </c>
      <c r="K184" s="380"/>
      <c r="L184" s="419">
        <v>48374</v>
      </c>
      <c r="M184" s="419">
        <v>33409</v>
      </c>
      <c r="N184" s="419">
        <v>14625</v>
      </c>
      <c r="O184" s="419">
        <v>0</v>
      </c>
      <c r="P184" s="419">
        <v>0</v>
      </c>
      <c r="Q184" s="380">
        <v>1.9760000000000001E-4</v>
      </c>
      <c r="R184" s="380"/>
      <c r="S184" s="419">
        <v>-99268</v>
      </c>
      <c r="T184" s="419">
        <v>-98119</v>
      </c>
      <c r="U184" s="419">
        <v>-103078</v>
      </c>
      <c r="V184" s="419">
        <v>-132486</v>
      </c>
      <c r="W184" s="419">
        <v>0</v>
      </c>
      <c r="X184" s="380">
        <v>1.9760000000000001E-4</v>
      </c>
      <c r="Z184" s="419">
        <v>79159</v>
      </c>
      <c r="AA184" s="419">
        <v>55614</v>
      </c>
      <c r="AB184" s="419">
        <v>55613</v>
      </c>
      <c r="AC184" s="419">
        <v>0</v>
      </c>
      <c r="AD184" s="419">
        <v>0</v>
      </c>
      <c r="AE184" s="380">
        <v>1.9760000000000001E-4</v>
      </c>
      <c r="AF184" s="380"/>
      <c r="AG184" s="419">
        <v>15254</v>
      </c>
      <c r="AH184" s="419">
        <v>7657</v>
      </c>
      <c r="AI184" s="419">
        <v>0</v>
      </c>
      <c r="AJ184" s="419">
        <v>0</v>
      </c>
      <c r="AK184" s="419">
        <v>0</v>
      </c>
      <c r="AL184" s="380">
        <v>1.9760000000000001E-4</v>
      </c>
      <c r="AM184" s="380"/>
      <c r="AN184" s="419">
        <v>-15812</v>
      </c>
      <c r="AO184" s="419">
        <v>-15811</v>
      </c>
      <c r="AP184" s="419">
        <v>-7228</v>
      </c>
      <c r="AQ184" s="419">
        <v>0</v>
      </c>
      <c r="AR184" s="419">
        <v>0</v>
      </c>
    </row>
    <row r="185" spans="1:44">
      <c r="A185" s="379">
        <v>91719</v>
      </c>
      <c r="B185" t="s">
        <v>900</v>
      </c>
      <c r="C185" s="380">
        <v>4.99E-5</v>
      </c>
      <c r="D185" s="380"/>
      <c r="E185" s="419">
        <v>-45</v>
      </c>
      <c r="F185" s="419">
        <v>-9613</v>
      </c>
      <c r="G185" s="419">
        <v>-12441</v>
      </c>
      <c r="H185" s="419">
        <v>-33457</v>
      </c>
      <c r="I185" s="419">
        <v>0</v>
      </c>
      <c r="J185" s="380">
        <v>4.99E-5</v>
      </c>
      <c r="K185" s="380"/>
      <c r="L185" s="419">
        <v>12216</v>
      </c>
      <c r="M185" s="419">
        <v>8437</v>
      </c>
      <c r="N185" s="419">
        <v>3693</v>
      </c>
      <c r="O185" s="419">
        <v>0</v>
      </c>
      <c r="P185" s="419">
        <v>0</v>
      </c>
      <c r="Q185" s="380">
        <v>4.99E-5</v>
      </c>
      <c r="R185" s="380"/>
      <c r="S185" s="419">
        <v>-25068</v>
      </c>
      <c r="T185" s="419">
        <v>-24778</v>
      </c>
      <c r="U185" s="419">
        <v>-26030</v>
      </c>
      <c r="V185" s="419">
        <v>-33457</v>
      </c>
      <c r="W185" s="419">
        <v>0</v>
      </c>
      <c r="X185" s="380">
        <v>4.99E-5</v>
      </c>
      <c r="Z185" s="419">
        <v>19990</v>
      </c>
      <c r="AA185" s="419">
        <v>14044</v>
      </c>
      <c r="AB185" s="419">
        <v>14044</v>
      </c>
      <c r="AC185" s="419">
        <v>0</v>
      </c>
      <c r="AD185" s="419">
        <v>0</v>
      </c>
      <c r="AE185" s="380">
        <v>4.99E-5</v>
      </c>
      <c r="AF185" s="380"/>
      <c r="AG185" s="419">
        <v>134</v>
      </c>
      <c r="AH185" s="419">
        <v>0</v>
      </c>
      <c r="AI185" s="419">
        <v>0</v>
      </c>
      <c r="AJ185" s="419">
        <v>0</v>
      </c>
      <c r="AK185" s="419">
        <v>0</v>
      </c>
      <c r="AL185" s="380">
        <v>4.99E-5</v>
      </c>
      <c r="AM185" s="380"/>
      <c r="AN185" s="419">
        <v>-7317</v>
      </c>
      <c r="AO185" s="419">
        <v>-7316</v>
      </c>
      <c r="AP185" s="419">
        <v>-4148</v>
      </c>
      <c r="AQ185" s="419">
        <v>0</v>
      </c>
      <c r="AR185" s="419">
        <v>0</v>
      </c>
    </row>
    <row r="186" spans="1:44">
      <c r="A186" s="379">
        <v>91801</v>
      </c>
      <c r="B186" t="s">
        <v>901</v>
      </c>
      <c r="C186" s="380">
        <v>7.6772999999999997E-3</v>
      </c>
      <c r="D186" s="380"/>
      <c r="E186" s="419">
        <v>1066980</v>
      </c>
      <c r="F186" s="419">
        <v>-350539</v>
      </c>
      <c r="G186" s="419">
        <v>-1248110</v>
      </c>
      <c r="H186" s="419">
        <v>-5147430</v>
      </c>
      <c r="I186" s="419">
        <v>0</v>
      </c>
      <c r="J186" s="380">
        <v>7.6772999999999997E-3</v>
      </c>
      <c r="K186" s="380"/>
      <c r="L186" s="419">
        <v>1879464</v>
      </c>
      <c r="M186" s="419">
        <v>1298016</v>
      </c>
      <c r="N186" s="419">
        <v>568212</v>
      </c>
      <c r="O186" s="419">
        <v>0</v>
      </c>
      <c r="P186" s="419">
        <v>0</v>
      </c>
      <c r="Q186" s="380">
        <v>7.6772999999999997E-3</v>
      </c>
      <c r="R186" s="380"/>
      <c r="S186" s="419">
        <v>-3856830</v>
      </c>
      <c r="T186" s="419">
        <v>-3812202</v>
      </c>
      <c r="U186" s="419">
        <v>-4004871</v>
      </c>
      <c r="V186" s="419">
        <v>-5147430</v>
      </c>
      <c r="W186" s="419">
        <v>0</v>
      </c>
      <c r="X186" s="380">
        <v>7.6772999999999997E-3</v>
      </c>
      <c r="Z186" s="419">
        <v>3075542</v>
      </c>
      <c r="AA186" s="419">
        <v>2160738</v>
      </c>
      <c r="AB186" s="419">
        <v>2160722</v>
      </c>
      <c r="AC186" s="419">
        <v>0</v>
      </c>
      <c r="AD186" s="419">
        <v>0</v>
      </c>
      <c r="AE186" s="380">
        <v>7.6772999999999997E-3</v>
      </c>
      <c r="AF186" s="380"/>
      <c r="AG186" s="419">
        <v>70369</v>
      </c>
      <c r="AH186" s="419">
        <v>70368</v>
      </c>
      <c r="AI186" s="419">
        <v>27827</v>
      </c>
      <c r="AJ186" s="419">
        <v>0</v>
      </c>
      <c r="AK186" s="419">
        <v>0</v>
      </c>
      <c r="AL186" s="380">
        <v>7.6772999999999997E-3</v>
      </c>
      <c r="AM186" s="380"/>
      <c r="AN186" s="419">
        <v>-101565</v>
      </c>
      <c r="AO186" s="419">
        <v>-67459</v>
      </c>
      <c r="AP186" s="419">
        <v>0</v>
      </c>
      <c r="AQ186" s="419">
        <v>0</v>
      </c>
      <c r="AR186" s="419">
        <v>0</v>
      </c>
    </row>
    <row r="187" spans="1:44">
      <c r="A187" s="379">
        <v>91804</v>
      </c>
      <c r="B187" t="s">
        <v>902</v>
      </c>
      <c r="C187" s="380">
        <v>1.4300000000000001E-4</v>
      </c>
      <c r="D187" s="380"/>
      <c r="E187" s="419">
        <v>66999</v>
      </c>
      <c r="F187" s="419">
        <v>30949</v>
      </c>
      <c r="G187" s="419">
        <v>-7650</v>
      </c>
      <c r="H187" s="419">
        <v>-95878</v>
      </c>
      <c r="I187" s="419">
        <v>0</v>
      </c>
      <c r="J187" s="380">
        <v>1.4300000000000001E-4</v>
      </c>
      <c r="K187" s="380"/>
      <c r="L187" s="419">
        <v>35008</v>
      </c>
      <c r="M187" s="419">
        <v>24177</v>
      </c>
      <c r="N187" s="419">
        <v>10584</v>
      </c>
      <c r="O187" s="419">
        <v>0</v>
      </c>
      <c r="P187" s="419">
        <v>0</v>
      </c>
      <c r="Q187" s="380">
        <v>1.4300000000000001E-4</v>
      </c>
      <c r="R187" s="380"/>
      <c r="S187" s="419">
        <v>-71839</v>
      </c>
      <c r="T187" s="419">
        <v>-71007</v>
      </c>
      <c r="U187" s="419">
        <v>-74596</v>
      </c>
      <c r="V187" s="419">
        <v>-95878</v>
      </c>
      <c r="W187" s="419">
        <v>0</v>
      </c>
      <c r="X187" s="380">
        <v>1.4300000000000001E-4</v>
      </c>
      <c r="Z187" s="419">
        <v>57286</v>
      </c>
      <c r="AA187" s="419">
        <v>40247</v>
      </c>
      <c r="AB187" s="419">
        <v>40246</v>
      </c>
      <c r="AC187" s="419">
        <v>0</v>
      </c>
      <c r="AD187" s="419">
        <v>0</v>
      </c>
      <c r="AE187" s="380">
        <v>1.4300000000000001E-4</v>
      </c>
      <c r="AF187" s="380"/>
      <c r="AG187" s="419">
        <v>46544</v>
      </c>
      <c r="AH187" s="419">
        <v>37532</v>
      </c>
      <c r="AI187" s="419">
        <v>16116</v>
      </c>
      <c r="AJ187" s="419">
        <v>0</v>
      </c>
      <c r="AK187" s="419">
        <v>0</v>
      </c>
      <c r="AL187" s="380">
        <v>1.4300000000000001E-4</v>
      </c>
      <c r="AM187" s="380"/>
      <c r="AN187" s="419">
        <v>0</v>
      </c>
      <c r="AO187" s="419">
        <v>0</v>
      </c>
      <c r="AP187" s="419">
        <v>0</v>
      </c>
      <c r="AQ187" s="419">
        <v>0</v>
      </c>
      <c r="AR187" s="419">
        <v>0</v>
      </c>
    </row>
    <row r="188" spans="1:44">
      <c r="A188" s="379">
        <v>91811</v>
      </c>
      <c r="B188" t="s">
        <v>903</v>
      </c>
      <c r="C188" s="380">
        <v>4.2316999999999997E-3</v>
      </c>
      <c r="D188" s="380"/>
      <c r="E188" s="419">
        <v>455621</v>
      </c>
      <c r="F188" s="419">
        <v>-300750</v>
      </c>
      <c r="G188" s="419">
        <v>-798488</v>
      </c>
      <c r="H188" s="419">
        <v>-2837245</v>
      </c>
      <c r="I188" s="419">
        <v>0</v>
      </c>
      <c r="J188" s="380">
        <v>4.2316999999999997E-3</v>
      </c>
      <c r="K188" s="380"/>
      <c r="L188" s="419">
        <v>1035954</v>
      </c>
      <c r="M188" s="419">
        <v>715462</v>
      </c>
      <c r="N188" s="419">
        <v>313197</v>
      </c>
      <c r="O188" s="419">
        <v>0</v>
      </c>
      <c r="P188" s="419">
        <v>0</v>
      </c>
      <c r="Q188" s="380">
        <v>4.2316999999999997E-3</v>
      </c>
      <c r="R188" s="380"/>
      <c r="S188" s="419">
        <v>-2125871</v>
      </c>
      <c r="T188" s="419">
        <v>-2101272</v>
      </c>
      <c r="U188" s="419">
        <v>-2207471</v>
      </c>
      <c r="V188" s="419">
        <v>-2837245</v>
      </c>
      <c r="W188" s="419">
        <v>0</v>
      </c>
      <c r="X188" s="380">
        <v>4.2316999999999997E-3</v>
      </c>
      <c r="Z188" s="419">
        <v>1695227</v>
      </c>
      <c r="AA188" s="419">
        <v>1190991</v>
      </c>
      <c r="AB188" s="419">
        <v>1190982</v>
      </c>
      <c r="AC188" s="419">
        <v>0</v>
      </c>
      <c r="AD188" s="419">
        <v>0</v>
      </c>
      <c r="AE188" s="380">
        <v>4.2316999999999997E-3</v>
      </c>
      <c r="AF188" s="380"/>
      <c r="AG188" s="419">
        <v>37355</v>
      </c>
      <c r="AH188" s="419">
        <v>37355</v>
      </c>
      <c r="AI188" s="419">
        <v>0</v>
      </c>
      <c r="AJ188" s="419">
        <v>0</v>
      </c>
      <c r="AK188" s="419">
        <v>0</v>
      </c>
      <c r="AL188" s="380">
        <v>4.2316999999999997E-3</v>
      </c>
      <c r="AM188" s="380"/>
      <c r="AN188" s="419">
        <v>-187044</v>
      </c>
      <c r="AO188" s="419">
        <v>-143286</v>
      </c>
      <c r="AP188" s="419">
        <v>-95196</v>
      </c>
      <c r="AQ188" s="419">
        <v>0</v>
      </c>
      <c r="AR188" s="419">
        <v>0</v>
      </c>
    </row>
    <row r="189" spans="1:44">
      <c r="A189" s="379">
        <v>91812</v>
      </c>
      <c r="B189" t="s">
        <v>904</v>
      </c>
      <c r="C189" s="380">
        <v>5.41E-5</v>
      </c>
      <c r="D189" s="380"/>
      <c r="E189" s="419">
        <v>13745</v>
      </c>
      <c r="F189" s="419">
        <v>2584</v>
      </c>
      <c r="G189" s="419">
        <v>-9872</v>
      </c>
      <c r="H189" s="419">
        <v>-36273</v>
      </c>
      <c r="I189" s="419">
        <v>0</v>
      </c>
      <c r="J189" s="380">
        <v>5.41E-5</v>
      </c>
      <c r="K189" s="380"/>
      <c r="L189" s="419">
        <v>13244</v>
      </c>
      <c r="M189" s="419">
        <v>9147</v>
      </c>
      <c r="N189" s="419">
        <v>4004</v>
      </c>
      <c r="O189" s="419">
        <v>0</v>
      </c>
      <c r="P189" s="419">
        <v>0</v>
      </c>
      <c r="Q189" s="380">
        <v>5.41E-5</v>
      </c>
      <c r="R189" s="380"/>
      <c r="S189" s="419">
        <v>-27178</v>
      </c>
      <c r="T189" s="419">
        <v>-26864</v>
      </c>
      <c r="U189" s="419">
        <v>-28221</v>
      </c>
      <c r="V189" s="419">
        <v>-36273</v>
      </c>
      <c r="W189" s="419">
        <v>0</v>
      </c>
      <c r="X189" s="380">
        <v>5.41E-5</v>
      </c>
      <c r="Z189" s="419">
        <v>21673</v>
      </c>
      <c r="AA189" s="419">
        <v>15226</v>
      </c>
      <c r="AB189" s="419">
        <v>15226</v>
      </c>
      <c r="AC189" s="419">
        <v>0</v>
      </c>
      <c r="AD189" s="419">
        <v>0</v>
      </c>
      <c r="AE189" s="380">
        <v>5.41E-5</v>
      </c>
      <c r="AF189" s="380"/>
      <c r="AG189" s="419">
        <v>7509</v>
      </c>
      <c r="AH189" s="419">
        <v>6580</v>
      </c>
      <c r="AI189" s="419">
        <v>0</v>
      </c>
      <c r="AJ189" s="419">
        <v>0</v>
      </c>
      <c r="AK189" s="419">
        <v>0</v>
      </c>
      <c r="AL189" s="380">
        <v>5.41E-5</v>
      </c>
      <c r="AM189" s="380"/>
      <c r="AN189" s="419">
        <v>-1503</v>
      </c>
      <c r="AO189" s="419">
        <v>-1505</v>
      </c>
      <c r="AP189" s="419">
        <v>-881</v>
      </c>
      <c r="AQ189" s="419">
        <v>0</v>
      </c>
      <c r="AR189" s="419">
        <v>0</v>
      </c>
    </row>
    <row r="190" spans="1:44">
      <c r="A190" s="379">
        <v>91813</v>
      </c>
      <c r="B190" t="s">
        <v>905</v>
      </c>
      <c r="C190" s="380">
        <v>7.1799999999999997E-5</v>
      </c>
      <c r="D190" s="380"/>
      <c r="E190" s="419">
        <v>10209</v>
      </c>
      <c r="F190" s="419">
        <v>-2892</v>
      </c>
      <c r="G190" s="419">
        <v>-14192</v>
      </c>
      <c r="H190" s="419">
        <v>-48140</v>
      </c>
      <c r="I190" s="419">
        <v>0</v>
      </c>
      <c r="J190" s="380">
        <v>7.1799999999999997E-5</v>
      </c>
      <c r="K190" s="380"/>
      <c r="L190" s="419">
        <v>17577</v>
      </c>
      <c r="M190" s="419">
        <v>12139</v>
      </c>
      <c r="N190" s="419">
        <v>5314</v>
      </c>
      <c r="O190" s="419">
        <v>0</v>
      </c>
      <c r="P190" s="419">
        <v>0</v>
      </c>
      <c r="Q190" s="380">
        <v>7.1799999999999997E-5</v>
      </c>
      <c r="R190" s="380"/>
      <c r="S190" s="419">
        <v>-36070</v>
      </c>
      <c r="T190" s="419">
        <v>-35653</v>
      </c>
      <c r="U190" s="419">
        <v>-37455</v>
      </c>
      <c r="V190" s="419">
        <v>-48140</v>
      </c>
      <c r="W190" s="419">
        <v>0</v>
      </c>
      <c r="X190" s="380">
        <v>7.1799999999999997E-5</v>
      </c>
      <c r="Z190" s="419">
        <v>28763</v>
      </c>
      <c r="AA190" s="419">
        <v>20208</v>
      </c>
      <c r="AB190" s="419">
        <v>20208</v>
      </c>
      <c r="AC190" s="419">
        <v>0</v>
      </c>
      <c r="AD190" s="419">
        <v>0</v>
      </c>
      <c r="AE190" s="380">
        <v>7.1799999999999997E-5</v>
      </c>
      <c r="AF190" s="380"/>
      <c r="AG190" s="419">
        <v>4272</v>
      </c>
      <c r="AH190" s="419">
        <v>4270</v>
      </c>
      <c r="AI190" s="419">
        <v>0</v>
      </c>
      <c r="AJ190" s="419">
        <v>0</v>
      </c>
      <c r="AK190" s="419">
        <v>0</v>
      </c>
      <c r="AL190" s="380">
        <v>7.1799999999999997E-5</v>
      </c>
      <c r="AM190" s="380"/>
      <c r="AN190" s="419">
        <v>-4333</v>
      </c>
      <c r="AO190" s="419">
        <v>-3856</v>
      </c>
      <c r="AP190" s="419">
        <v>-2259</v>
      </c>
      <c r="AQ190" s="419">
        <v>0</v>
      </c>
      <c r="AR190" s="419">
        <v>0</v>
      </c>
    </row>
    <row r="191" spans="1:44">
      <c r="A191" s="379">
        <v>91818</v>
      </c>
      <c r="B191" t="s">
        <v>906</v>
      </c>
      <c r="C191" s="380">
        <v>4.683E-4</v>
      </c>
      <c r="D191" s="380"/>
      <c r="E191" s="419">
        <v>165246</v>
      </c>
      <c r="F191" s="419">
        <v>22790</v>
      </c>
      <c r="G191" s="419">
        <v>-50665</v>
      </c>
      <c r="H191" s="419">
        <v>-313983</v>
      </c>
      <c r="I191" s="419">
        <v>0</v>
      </c>
      <c r="J191" s="380">
        <v>4.683E-4</v>
      </c>
      <c r="K191" s="380"/>
      <c r="L191" s="419">
        <v>114644</v>
      </c>
      <c r="M191" s="419">
        <v>79176</v>
      </c>
      <c r="N191" s="419">
        <v>34660</v>
      </c>
      <c r="O191" s="419">
        <v>0</v>
      </c>
      <c r="P191" s="419">
        <v>0</v>
      </c>
      <c r="Q191" s="380">
        <v>4.683E-4</v>
      </c>
      <c r="R191" s="380"/>
      <c r="S191" s="419">
        <v>-235259</v>
      </c>
      <c r="T191" s="419">
        <v>-232537</v>
      </c>
      <c r="U191" s="419">
        <v>-244289</v>
      </c>
      <c r="V191" s="419">
        <v>-313983</v>
      </c>
      <c r="W191" s="419">
        <v>0</v>
      </c>
      <c r="X191" s="380">
        <v>4.683E-4</v>
      </c>
      <c r="Z191" s="419">
        <v>187602</v>
      </c>
      <c r="AA191" s="419">
        <v>131801</v>
      </c>
      <c r="AB191" s="419">
        <v>131800</v>
      </c>
      <c r="AC191" s="419">
        <v>0</v>
      </c>
      <c r="AD191" s="419">
        <v>0</v>
      </c>
      <c r="AE191" s="380">
        <v>4.683E-4</v>
      </c>
      <c r="AF191" s="380"/>
      <c r="AG191" s="419">
        <v>98259</v>
      </c>
      <c r="AH191" s="419">
        <v>44350</v>
      </c>
      <c r="AI191" s="419">
        <v>27164</v>
      </c>
      <c r="AJ191" s="419">
        <v>0</v>
      </c>
      <c r="AK191" s="419">
        <v>0</v>
      </c>
      <c r="AL191" s="380">
        <v>4.683E-4</v>
      </c>
      <c r="AM191" s="380"/>
      <c r="AN191" s="419">
        <v>0</v>
      </c>
      <c r="AO191" s="419">
        <v>0</v>
      </c>
      <c r="AP191" s="419">
        <v>0</v>
      </c>
      <c r="AQ191" s="419">
        <v>0</v>
      </c>
      <c r="AR191" s="419">
        <v>0</v>
      </c>
    </row>
    <row r="192" spans="1:44">
      <c r="A192" s="379">
        <v>91819</v>
      </c>
      <c r="B192" t="s">
        <v>907</v>
      </c>
      <c r="C192" s="380">
        <v>2.6840000000000002E-4</v>
      </c>
      <c r="D192" s="380"/>
      <c r="E192" s="419">
        <v>27824</v>
      </c>
      <c r="F192" s="419">
        <v>-28041</v>
      </c>
      <c r="G192" s="419">
        <v>-56552</v>
      </c>
      <c r="H192" s="419">
        <v>-179955</v>
      </c>
      <c r="I192" s="419">
        <v>0</v>
      </c>
      <c r="J192" s="380">
        <v>2.6840000000000002E-4</v>
      </c>
      <c r="K192" s="380"/>
      <c r="L192" s="419">
        <v>65706</v>
      </c>
      <c r="M192" s="419">
        <v>45379</v>
      </c>
      <c r="N192" s="419">
        <v>19865</v>
      </c>
      <c r="O192" s="419">
        <v>0</v>
      </c>
      <c r="P192" s="419">
        <v>0</v>
      </c>
      <c r="Q192" s="380">
        <v>2.6840000000000002E-4</v>
      </c>
      <c r="R192" s="380"/>
      <c r="S192" s="419">
        <v>-134836</v>
      </c>
      <c r="T192" s="419">
        <v>-133275</v>
      </c>
      <c r="U192" s="419">
        <v>-140011</v>
      </c>
      <c r="V192" s="419">
        <v>-179955</v>
      </c>
      <c r="W192" s="419">
        <v>0</v>
      </c>
      <c r="X192" s="380">
        <v>2.6840000000000002E-4</v>
      </c>
      <c r="Z192" s="419">
        <v>107522</v>
      </c>
      <c r="AA192" s="419">
        <v>75540</v>
      </c>
      <c r="AB192" s="419">
        <v>75539</v>
      </c>
      <c r="AC192" s="419">
        <v>0</v>
      </c>
      <c r="AD192" s="419">
        <v>0</v>
      </c>
      <c r="AE192" s="380">
        <v>2.6840000000000002E-4</v>
      </c>
      <c r="AF192" s="380"/>
      <c r="AG192" s="419">
        <v>10020</v>
      </c>
      <c r="AH192" s="419">
        <v>4901</v>
      </c>
      <c r="AI192" s="419">
        <v>0</v>
      </c>
      <c r="AJ192" s="419">
        <v>0</v>
      </c>
      <c r="AK192" s="419">
        <v>0</v>
      </c>
      <c r="AL192" s="380">
        <v>2.6840000000000002E-4</v>
      </c>
      <c r="AM192" s="380"/>
      <c r="AN192" s="419">
        <v>-20588</v>
      </c>
      <c r="AO192" s="419">
        <v>-20586</v>
      </c>
      <c r="AP192" s="419">
        <v>-11945</v>
      </c>
      <c r="AQ192" s="419">
        <v>0</v>
      </c>
      <c r="AR192" s="419">
        <v>0</v>
      </c>
    </row>
    <row r="193" spans="1:44">
      <c r="A193" s="379">
        <v>91821</v>
      </c>
      <c r="B193" t="s">
        <v>908</v>
      </c>
      <c r="C193" s="380">
        <v>1.617E-4</v>
      </c>
      <c r="D193" s="380"/>
      <c r="E193" s="419">
        <v>20305</v>
      </c>
      <c r="F193" s="419">
        <v>-7968</v>
      </c>
      <c r="G193" s="419">
        <v>-19073</v>
      </c>
      <c r="H193" s="419">
        <v>-108416</v>
      </c>
      <c r="I193" s="419">
        <v>0</v>
      </c>
      <c r="J193" s="380">
        <v>1.617E-4</v>
      </c>
      <c r="K193" s="380"/>
      <c r="L193" s="419">
        <v>39585</v>
      </c>
      <c r="M193" s="419">
        <v>27339</v>
      </c>
      <c r="N193" s="419">
        <v>11968</v>
      </c>
      <c r="O193" s="419">
        <v>0</v>
      </c>
      <c r="P193" s="419">
        <v>0</v>
      </c>
      <c r="Q193" s="380">
        <v>1.617E-4</v>
      </c>
      <c r="R193" s="380"/>
      <c r="S193" s="419">
        <v>-81233</v>
      </c>
      <c r="T193" s="419">
        <v>-80293</v>
      </c>
      <c r="U193" s="419">
        <v>-84351</v>
      </c>
      <c r="V193" s="419">
        <v>-108416</v>
      </c>
      <c r="W193" s="419">
        <v>0</v>
      </c>
      <c r="X193" s="380">
        <v>1.617E-4</v>
      </c>
      <c r="Z193" s="419">
        <v>64777</v>
      </c>
      <c r="AA193" s="419">
        <v>45510</v>
      </c>
      <c r="AB193" s="419">
        <v>45509</v>
      </c>
      <c r="AC193" s="419">
        <v>0</v>
      </c>
      <c r="AD193" s="419">
        <v>0</v>
      </c>
      <c r="AE193" s="380">
        <v>1.617E-4</v>
      </c>
      <c r="AF193" s="380"/>
      <c r="AG193" s="419">
        <v>7800</v>
      </c>
      <c r="AH193" s="419">
        <v>7800</v>
      </c>
      <c r="AI193" s="419">
        <v>7801</v>
      </c>
      <c r="AJ193" s="419">
        <v>0</v>
      </c>
      <c r="AK193" s="419">
        <v>0</v>
      </c>
      <c r="AL193" s="380">
        <v>1.617E-4</v>
      </c>
      <c r="AM193" s="380"/>
      <c r="AN193" s="419">
        <v>-10624</v>
      </c>
      <c r="AO193" s="419">
        <v>-8324</v>
      </c>
      <c r="AP193" s="419">
        <v>0</v>
      </c>
      <c r="AQ193" s="419">
        <v>0</v>
      </c>
      <c r="AR193" s="419">
        <v>0</v>
      </c>
    </row>
    <row r="194" spans="1:44">
      <c r="A194" s="379">
        <v>91831</v>
      </c>
      <c r="B194" t="s">
        <v>909</v>
      </c>
      <c r="C194" s="380">
        <v>4.0200000000000001E-4</v>
      </c>
      <c r="D194" s="380"/>
      <c r="E194" s="419">
        <v>57485</v>
      </c>
      <c r="F194" s="419">
        <v>-21982</v>
      </c>
      <c r="G194" s="419">
        <v>-88696</v>
      </c>
      <c r="H194" s="419">
        <v>-269531</v>
      </c>
      <c r="I194" s="419">
        <v>0</v>
      </c>
      <c r="J194" s="380">
        <v>4.0200000000000001E-4</v>
      </c>
      <c r="K194" s="380"/>
      <c r="L194" s="419">
        <v>98413</v>
      </c>
      <c r="M194" s="419">
        <v>67967</v>
      </c>
      <c r="N194" s="419">
        <v>29753</v>
      </c>
      <c r="O194" s="419">
        <v>0</v>
      </c>
      <c r="P194" s="419">
        <v>0</v>
      </c>
      <c r="Q194" s="380">
        <v>4.0200000000000001E-4</v>
      </c>
      <c r="R194" s="380"/>
      <c r="S194" s="419">
        <v>-201952</v>
      </c>
      <c r="T194" s="419">
        <v>-199615</v>
      </c>
      <c r="U194" s="419">
        <v>-209704</v>
      </c>
      <c r="V194" s="419">
        <v>-269531</v>
      </c>
      <c r="W194" s="419">
        <v>0</v>
      </c>
      <c r="X194" s="380">
        <v>4.0200000000000001E-4</v>
      </c>
      <c r="Z194" s="419">
        <v>161042</v>
      </c>
      <c r="AA194" s="419">
        <v>113141</v>
      </c>
      <c r="AB194" s="419">
        <v>113140</v>
      </c>
      <c r="AC194" s="419">
        <v>0</v>
      </c>
      <c r="AD194" s="419">
        <v>0</v>
      </c>
      <c r="AE194" s="380">
        <v>4.0200000000000001E-4</v>
      </c>
      <c r="AF194" s="380"/>
      <c r="AG194" s="419">
        <v>22362</v>
      </c>
      <c r="AH194" s="419">
        <v>18906</v>
      </c>
      <c r="AI194" s="419">
        <v>0</v>
      </c>
      <c r="AJ194" s="419">
        <v>0</v>
      </c>
      <c r="AK194" s="419">
        <v>0</v>
      </c>
      <c r="AL194" s="380">
        <v>4.0200000000000001E-4</v>
      </c>
      <c r="AM194" s="380"/>
      <c r="AN194" s="419">
        <v>-22380</v>
      </c>
      <c r="AO194" s="419">
        <v>-22381</v>
      </c>
      <c r="AP194" s="419">
        <v>-21885</v>
      </c>
      <c r="AQ194" s="419">
        <v>0</v>
      </c>
      <c r="AR194" s="419">
        <v>0</v>
      </c>
    </row>
    <row r="195" spans="1:44">
      <c r="A195" s="379">
        <v>91841</v>
      </c>
      <c r="B195" t="s">
        <v>910</v>
      </c>
      <c r="C195" s="380">
        <v>2.8810000000000001E-4</v>
      </c>
      <c r="D195" s="380"/>
      <c r="E195" s="419">
        <v>55037</v>
      </c>
      <c r="F195" s="419">
        <v>-610</v>
      </c>
      <c r="G195" s="419">
        <v>-44224</v>
      </c>
      <c r="H195" s="419">
        <v>-193164</v>
      </c>
      <c r="I195" s="419">
        <v>0</v>
      </c>
      <c r="J195" s="380">
        <v>2.8810000000000001E-4</v>
      </c>
      <c r="K195" s="380"/>
      <c r="L195" s="419">
        <v>70529</v>
      </c>
      <c r="M195" s="419">
        <v>48710</v>
      </c>
      <c r="N195" s="419">
        <v>21323</v>
      </c>
      <c r="O195" s="419">
        <v>0</v>
      </c>
      <c r="P195" s="419">
        <v>0</v>
      </c>
      <c r="Q195" s="380">
        <v>2.8810000000000001E-4</v>
      </c>
      <c r="R195" s="380"/>
      <c r="S195" s="419">
        <v>-144732</v>
      </c>
      <c r="T195" s="419">
        <v>-143057</v>
      </c>
      <c r="U195" s="419">
        <v>-150288</v>
      </c>
      <c r="V195" s="419">
        <v>-193164</v>
      </c>
      <c r="W195" s="419">
        <v>0</v>
      </c>
      <c r="X195" s="380">
        <v>2.8810000000000001E-4</v>
      </c>
      <c r="Z195" s="419">
        <v>115413</v>
      </c>
      <c r="AA195" s="419">
        <v>81084</v>
      </c>
      <c r="AB195" s="419">
        <v>81084</v>
      </c>
      <c r="AC195" s="419">
        <v>0</v>
      </c>
      <c r="AD195" s="419">
        <v>0</v>
      </c>
      <c r="AE195" s="380">
        <v>2.8810000000000001E-4</v>
      </c>
      <c r="AF195" s="380"/>
      <c r="AG195" s="419">
        <v>15686</v>
      </c>
      <c r="AH195" s="419">
        <v>14513</v>
      </c>
      <c r="AI195" s="419">
        <v>3657</v>
      </c>
      <c r="AJ195" s="419">
        <v>0</v>
      </c>
      <c r="AK195" s="419">
        <v>0</v>
      </c>
      <c r="AL195" s="380">
        <v>2.8810000000000001E-4</v>
      </c>
      <c r="AM195" s="380"/>
      <c r="AN195" s="419">
        <v>-1859</v>
      </c>
      <c r="AO195" s="419">
        <v>-1860</v>
      </c>
      <c r="AP195" s="419">
        <v>0</v>
      </c>
      <c r="AQ195" s="419">
        <v>0</v>
      </c>
      <c r="AR195" s="419">
        <v>0</v>
      </c>
    </row>
    <row r="196" spans="1:44">
      <c r="A196" s="379">
        <v>91851</v>
      </c>
      <c r="B196" t="s">
        <v>911</v>
      </c>
      <c r="C196" s="380">
        <v>6.7020000000000003E-4</v>
      </c>
      <c r="D196" s="380"/>
      <c r="E196" s="419">
        <v>91591</v>
      </c>
      <c r="F196" s="419">
        <v>-32742</v>
      </c>
      <c r="G196" s="419">
        <v>-106239</v>
      </c>
      <c r="H196" s="419">
        <v>-449352</v>
      </c>
      <c r="I196" s="419">
        <v>0</v>
      </c>
      <c r="J196" s="380">
        <v>6.7020000000000003E-4</v>
      </c>
      <c r="K196" s="380"/>
      <c r="L196" s="419">
        <v>164070</v>
      </c>
      <c r="M196" s="419">
        <v>113312</v>
      </c>
      <c r="N196" s="419">
        <v>49603</v>
      </c>
      <c r="O196" s="419">
        <v>0</v>
      </c>
      <c r="P196" s="419">
        <v>0</v>
      </c>
      <c r="Q196" s="380">
        <v>6.7020000000000003E-4</v>
      </c>
      <c r="R196" s="380"/>
      <c r="S196" s="419">
        <v>-336687</v>
      </c>
      <c r="T196" s="419">
        <v>-332791</v>
      </c>
      <c r="U196" s="419">
        <v>-349611</v>
      </c>
      <c r="V196" s="419">
        <v>-449352</v>
      </c>
      <c r="W196" s="419">
        <v>0</v>
      </c>
      <c r="X196" s="380">
        <v>6.7020000000000003E-4</v>
      </c>
      <c r="Z196" s="419">
        <v>268483</v>
      </c>
      <c r="AA196" s="419">
        <v>188624</v>
      </c>
      <c r="AB196" s="419">
        <v>188623</v>
      </c>
      <c r="AC196" s="419">
        <v>0</v>
      </c>
      <c r="AD196" s="419">
        <v>0</v>
      </c>
      <c r="AE196" s="380">
        <v>6.7020000000000003E-4</v>
      </c>
      <c r="AF196" s="380"/>
      <c r="AG196" s="419">
        <v>5147</v>
      </c>
      <c r="AH196" s="419">
        <v>5147</v>
      </c>
      <c r="AI196" s="419">
        <v>5146</v>
      </c>
      <c r="AJ196" s="419">
        <v>0</v>
      </c>
      <c r="AK196" s="419">
        <v>0</v>
      </c>
      <c r="AL196" s="380">
        <v>6.7020000000000003E-4</v>
      </c>
      <c r="AM196" s="380"/>
      <c r="AN196" s="419">
        <v>-9422</v>
      </c>
      <c r="AO196" s="419">
        <v>-7034</v>
      </c>
      <c r="AP196" s="419">
        <v>0</v>
      </c>
      <c r="AQ196" s="419">
        <v>0</v>
      </c>
      <c r="AR196" s="419">
        <v>0</v>
      </c>
    </row>
    <row r="197" spans="1:44">
      <c r="A197" s="379">
        <v>91861</v>
      </c>
      <c r="B197" t="s">
        <v>912</v>
      </c>
      <c r="C197" s="380">
        <v>6.4999999999999996E-6</v>
      </c>
      <c r="D197" s="380"/>
      <c r="E197" s="419">
        <v>-1702</v>
      </c>
      <c r="F197" s="419">
        <v>-1831</v>
      </c>
      <c r="G197" s="419">
        <v>-1363</v>
      </c>
      <c r="H197" s="419">
        <v>-4358</v>
      </c>
      <c r="I197" s="419">
        <v>0</v>
      </c>
      <c r="J197" s="380">
        <v>6.4999999999999996E-6</v>
      </c>
      <c r="K197" s="380"/>
      <c r="L197" s="419">
        <v>1591</v>
      </c>
      <c r="M197" s="419">
        <v>1099</v>
      </c>
      <c r="N197" s="419">
        <v>481</v>
      </c>
      <c r="O197" s="419">
        <v>0</v>
      </c>
      <c r="P197" s="419">
        <v>0</v>
      </c>
      <c r="Q197" s="380">
        <v>6.4999999999999996E-6</v>
      </c>
      <c r="R197" s="380"/>
      <c r="S197" s="419">
        <v>-3265</v>
      </c>
      <c r="T197" s="419">
        <v>-3228</v>
      </c>
      <c r="U197" s="419">
        <v>-3391</v>
      </c>
      <c r="V197" s="419">
        <v>-4358</v>
      </c>
      <c r="W197" s="419">
        <v>0</v>
      </c>
      <c r="X197" s="380">
        <v>6.4999999999999996E-6</v>
      </c>
      <c r="Z197" s="419">
        <v>2604</v>
      </c>
      <c r="AA197" s="419">
        <v>1829</v>
      </c>
      <c r="AB197" s="419">
        <v>1829</v>
      </c>
      <c r="AC197" s="419">
        <v>0</v>
      </c>
      <c r="AD197" s="419">
        <v>0</v>
      </c>
      <c r="AE197" s="380">
        <v>6.4999999999999996E-6</v>
      </c>
      <c r="AF197" s="380"/>
      <c r="AG197" s="419">
        <v>0</v>
      </c>
      <c r="AH197" s="419">
        <v>0</v>
      </c>
      <c r="AI197" s="419">
        <v>0</v>
      </c>
      <c r="AJ197" s="419">
        <v>0</v>
      </c>
      <c r="AK197" s="419">
        <v>0</v>
      </c>
      <c r="AL197" s="380">
        <v>6.4999999999999996E-6</v>
      </c>
      <c r="AM197" s="380"/>
      <c r="AN197" s="419">
        <v>-2632</v>
      </c>
      <c r="AO197" s="419">
        <v>-1531</v>
      </c>
      <c r="AP197" s="419">
        <v>-282</v>
      </c>
      <c r="AQ197" s="419">
        <v>0</v>
      </c>
      <c r="AR197" s="419">
        <v>0</v>
      </c>
    </row>
    <row r="198" spans="1:44">
      <c r="A198" s="379">
        <v>91871</v>
      </c>
      <c r="B198" t="s">
        <v>913</v>
      </c>
      <c r="C198" s="380">
        <v>1.2749E-3</v>
      </c>
      <c r="D198" s="380"/>
      <c r="E198" s="419">
        <v>131147</v>
      </c>
      <c r="F198" s="419">
        <v>-101774</v>
      </c>
      <c r="G198" s="419">
        <v>-266015</v>
      </c>
      <c r="H198" s="419">
        <v>-854787</v>
      </c>
      <c r="I198" s="419">
        <v>0</v>
      </c>
      <c r="J198" s="380">
        <v>1.2749E-3</v>
      </c>
      <c r="K198" s="380"/>
      <c r="L198" s="419">
        <v>312106</v>
      </c>
      <c r="M198" s="419">
        <v>215550</v>
      </c>
      <c r="N198" s="419">
        <v>94358</v>
      </c>
      <c r="O198" s="419">
        <v>0</v>
      </c>
      <c r="P198" s="419">
        <v>0</v>
      </c>
      <c r="Q198" s="380">
        <v>1.2749E-3</v>
      </c>
      <c r="R198" s="380"/>
      <c r="S198" s="419">
        <v>-640469</v>
      </c>
      <c r="T198" s="419">
        <v>-633058</v>
      </c>
      <c r="U198" s="419">
        <v>-665053</v>
      </c>
      <c r="V198" s="419">
        <v>-854787</v>
      </c>
      <c r="W198" s="419">
        <v>0</v>
      </c>
      <c r="X198" s="380">
        <v>1.2749E-3</v>
      </c>
      <c r="Z198" s="419">
        <v>510727</v>
      </c>
      <c r="AA198" s="419">
        <v>358814</v>
      </c>
      <c r="AB198" s="419">
        <v>358812</v>
      </c>
      <c r="AC198" s="419">
        <v>0</v>
      </c>
      <c r="AD198" s="419">
        <v>0</v>
      </c>
      <c r="AE198" s="380">
        <v>1.2749E-3</v>
      </c>
      <c r="AF198" s="380"/>
      <c r="AG198" s="419">
        <v>15138</v>
      </c>
      <c r="AH198" s="419">
        <v>15139</v>
      </c>
      <c r="AI198" s="419">
        <v>0</v>
      </c>
      <c r="AJ198" s="419">
        <v>0</v>
      </c>
      <c r="AK198" s="419">
        <v>0</v>
      </c>
      <c r="AL198" s="380">
        <v>1.2749E-3</v>
      </c>
      <c r="AM198" s="380"/>
      <c r="AN198" s="419">
        <v>-66355</v>
      </c>
      <c r="AO198" s="419">
        <v>-58219</v>
      </c>
      <c r="AP198" s="419">
        <v>-54132</v>
      </c>
      <c r="AQ198" s="419">
        <v>0</v>
      </c>
      <c r="AR198" s="419">
        <v>0</v>
      </c>
    </row>
    <row r="199" spans="1:44">
      <c r="A199" s="379">
        <v>91881</v>
      </c>
      <c r="B199" t="s">
        <v>914</v>
      </c>
      <c r="C199" s="380">
        <v>1.6900000000000001E-5</v>
      </c>
      <c r="D199" s="380"/>
      <c r="E199" s="419">
        <v>3171</v>
      </c>
      <c r="F199" s="419">
        <v>-35</v>
      </c>
      <c r="G199" s="419">
        <v>-1973</v>
      </c>
      <c r="H199" s="419">
        <v>-11331</v>
      </c>
      <c r="I199" s="419">
        <v>0</v>
      </c>
      <c r="J199" s="380">
        <v>1.6900000000000001E-5</v>
      </c>
      <c r="K199" s="380"/>
      <c r="L199" s="419">
        <v>4137</v>
      </c>
      <c r="M199" s="419">
        <v>2857</v>
      </c>
      <c r="N199" s="419">
        <v>1251</v>
      </c>
      <c r="O199" s="419">
        <v>0</v>
      </c>
      <c r="P199" s="419">
        <v>0</v>
      </c>
      <c r="Q199" s="380">
        <v>1.6900000000000001E-5</v>
      </c>
      <c r="R199" s="380"/>
      <c r="S199" s="419">
        <v>-8490</v>
      </c>
      <c r="T199" s="419">
        <v>-8392</v>
      </c>
      <c r="U199" s="419">
        <v>-8816</v>
      </c>
      <c r="V199" s="419">
        <v>-11331</v>
      </c>
      <c r="W199" s="419">
        <v>0</v>
      </c>
      <c r="X199" s="380">
        <v>1.6900000000000001E-5</v>
      </c>
      <c r="Z199" s="419">
        <v>6770</v>
      </c>
      <c r="AA199" s="419">
        <v>4756</v>
      </c>
      <c r="AB199" s="419">
        <v>4756</v>
      </c>
      <c r="AC199" s="419">
        <v>0</v>
      </c>
      <c r="AD199" s="419">
        <v>0</v>
      </c>
      <c r="AE199" s="380">
        <v>1.6900000000000001E-5</v>
      </c>
      <c r="AF199" s="380"/>
      <c r="AG199" s="419">
        <v>3127</v>
      </c>
      <c r="AH199" s="419">
        <v>3115</v>
      </c>
      <c r="AI199" s="419">
        <v>836</v>
      </c>
      <c r="AJ199" s="419">
        <v>0</v>
      </c>
      <c r="AK199" s="419">
        <v>0</v>
      </c>
      <c r="AL199" s="380">
        <v>1.6900000000000001E-5</v>
      </c>
      <c r="AM199" s="380"/>
      <c r="AN199" s="419">
        <v>-2373</v>
      </c>
      <c r="AO199" s="419">
        <v>-2371</v>
      </c>
      <c r="AP199" s="419">
        <v>0</v>
      </c>
      <c r="AQ199" s="419">
        <v>0</v>
      </c>
      <c r="AR199" s="419">
        <v>0</v>
      </c>
    </row>
    <row r="200" spans="1:44">
      <c r="A200" s="379">
        <v>91901</v>
      </c>
      <c r="B200" t="s">
        <v>915</v>
      </c>
      <c r="C200" s="380">
        <v>3.6871999999999999E-3</v>
      </c>
      <c r="D200" s="380"/>
      <c r="E200" s="419">
        <v>448719</v>
      </c>
      <c r="F200" s="419">
        <v>-239709</v>
      </c>
      <c r="G200" s="419">
        <v>-680678</v>
      </c>
      <c r="H200" s="419">
        <v>-2472172</v>
      </c>
      <c r="I200" s="419">
        <v>0</v>
      </c>
      <c r="J200" s="380">
        <v>3.6871999999999999E-3</v>
      </c>
      <c r="K200" s="380"/>
      <c r="L200" s="419">
        <v>902656</v>
      </c>
      <c r="M200" s="419">
        <v>623402</v>
      </c>
      <c r="N200" s="419">
        <v>272897</v>
      </c>
      <c r="O200" s="419">
        <v>0</v>
      </c>
      <c r="P200" s="419">
        <v>0</v>
      </c>
      <c r="Q200" s="380">
        <v>3.6871999999999999E-3</v>
      </c>
      <c r="R200" s="380"/>
      <c r="S200" s="419">
        <v>-1852331</v>
      </c>
      <c r="T200" s="419">
        <v>-1830898</v>
      </c>
      <c r="U200" s="419">
        <v>-1923432</v>
      </c>
      <c r="V200" s="419">
        <v>-2472172</v>
      </c>
      <c r="W200" s="419">
        <v>0</v>
      </c>
      <c r="X200" s="380">
        <v>3.6871999999999999E-3</v>
      </c>
      <c r="Z200" s="419">
        <v>1477100</v>
      </c>
      <c r="AA200" s="419">
        <v>1037744</v>
      </c>
      <c r="AB200" s="419">
        <v>1037737</v>
      </c>
      <c r="AC200" s="419">
        <v>0</v>
      </c>
      <c r="AD200" s="419">
        <v>0</v>
      </c>
      <c r="AE200" s="380">
        <v>3.6871999999999999E-3</v>
      </c>
      <c r="AF200" s="380"/>
      <c r="AG200" s="419">
        <v>9307</v>
      </c>
      <c r="AH200" s="419">
        <v>9307</v>
      </c>
      <c r="AI200" s="419">
        <v>0</v>
      </c>
      <c r="AJ200" s="419">
        <v>0</v>
      </c>
      <c r="AK200" s="419">
        <v>0</v>
      </c>
      <c r="AL200" s="380">
        <v>3.6871999999999999E-3</v>
      </c>
      <c r="AM200" s="380"/>
      <c r="AN200" s="419">
        <v>-88013</v>
      </c>
      <c r="AO200" s="419">
        <v>-79264</v>
      </c>
      <c r="AP200" s="419">
        <v>-67880</v>
      </c>
      <c r="AQ200" s="419">
        <v>0</v>
      </c>
      <c r="AR200" s="419">
        <v>0</v>
      </c>
    </row>
    <row r="201" spans="1:44">
      <c r="A201" s="379">
        <v>91903</v>
      </c>
      <c r="B201" t="s">
        <v>916</v>
      </c>
      <c r="C201" s="380">
        <v>6.4999999999999996E-6</v>
      </c>
      <c r="D201" s="380"/>
      <c r="E201" s="419">
        <v>3369</v>
      </c>
      <c r="F201" s="419">
        <v>1673</v>
      </c>
      <c r="G201" s="419">
        <v>102</v>
      </c>
      <c r="H201" s="419">
        <v>-4358</v>
      </c>
      <c r="I201" s="419">
        <v>0</v>
      </c>
      <c r="J201" s="380">
        <v>6.4999999999999996E-6</v>
      </c>
      <c r="K201" s="380"/>
      <c r="L201" s="419">
        <v>1591</v>
      </c>
      <c r="M201" s="419">
        <v>1099</v>
      </c>
      <c r="N201" s="419">
        <v>481</v>
      </c>
      <c r="O201" s="419">
        <v>0</v>
      </c>
      <c r="P201" s="419">
        <v>0</v>
      </c>
      <c r="Q201" s="380">
        <v>6.4999999999999996E-6</v>
      </c>
      <c r="R201" s="380"/>
      <c r="S201" s="419">
        <v>-3265</v>
      </c>
      <c r="T201" s="419">
        <v>-3228</v>
      </c>
      <c r="U201" s="419">
        <v>-3391</v>
      </c>
      <c r="V201" s="419">
        <v>-4358</v>
      </c>
      <c r="W201" s="419">
        <v>0</v>
      </c>
      <c r="X201" s="380">
        <v>6.4999999999999996E-6</v>
      </c>
      <c r="Z201" s="419">
        <v>2604</v>
      </c>
      <c r="AA201" s="419">
        <v>1829</v>
      </c>
      <c r="AB201" s="419">
        <v>1829</v>
      </c>
      <c r="AC201" s="419">
        <v>0</v>
      </c>
      <c r="AD201" s="419">
        <v>0</v>
      </c>
      <c r="AE201" s="380">
        <v>6.4999999999999996E-6</v>
      </c>
      <c r="AF201" s="380"/>
      <c r="AG201" s="419">
        <v>2439</v>
      </c>
      <c r="AH201" s="419">
        <v>1973</v>
      </c>
      <c r="AI201" s="419">
        <v>1183</v>
      </c>
      <c r="AJ201" s="419">
        <v>0</v>
      </c>
      <c r="AK201" s="419">
        <v>0</v>
      </c>
      <c r="AL201" s="380">
        <v>6.4999999999999996E-6</v>
      </c>
      <c r="AM201" s="380"/>
      <c r="AN201" s="419">
        <v>0</v>
      </c>
      <c r="AO201" s="419">
        <v>0</v>
      </c>
      <c r="AP201" s="419">
        <v>0</v>
      </c>
      <c r="AQ201" s="419">
        <v>0</v>
      </c>
      <c r="AR201" s="419">
        <v>0</v>
      </c>
    </row>
    <row r="202" spans="1:44">
      <c r="A202" s="379">
        <v>91904</v>
      </c>
      <c r="B202" t="s">
        <v>917</v>
      </c>
      <c r="C202" s="380">
        <v>4.9599999999999999E-5</v>
      </c>
      <c r="D202" s="380"/>
      <c r="E202" s="419">
        <v>18615</v>
      </c>
      <c r="F202" s="419">
        <v>9343</v>
      </c>
      <c r="G202" s="419">
        <v>-1688</v>
      </c>
      <c r="H202" s="419">
        <v>-33256</v>
      </c>
      <c r="I202" s="419">
        <v>0</v>
      </c>
      <c r="J202" s="380">
        <v>4.9599999999999999E-5</v>
      </c>
      <c r="K202" s="380"/>
      <c r="L202" s="419">
        <v>12142</v>
      </c>
      <c r="M202" s="419">
        <v>8386</v>
      </c>
      <c r="N202" s="419">
        <v>3671</v>
      </c>
      <c r="O202" s="419">
        <v>0</v>
      </c>
      <c r="P202" s="419">
        <v>0</v>
      </c>
      <c r="Q202" s="380">
        <v>4.9599999999999999E-5</v>
      </c>
      <c r="R202" s="380"/>
      <c r="S202" s="419">
        <v>-24917</v>
      </c>
      <c r="T202" s="419">
        <v>-24629</v>
      </c>
      <c r="U202" s="419">
        <v>-25874</v>
      </c>
      <c r="V202" s="419">
        <v>-33256</v>
      </c>
      <c r="W202" s="419">
        <v>0</v>
      </c>
      <c r="X202" s="380">
        <v>4.9599999999999999E-5</v>
      </c>
      <c r="Z202" s="419">
        <v>19870</v>
      </c>
      <c r="AA202" s="419">
        <v>13960</v>
      </c>
      <c r="AB202" s="419">
        <v>13960</v>
      </c>
      <c r="AC202" s="419">
        <v>0</v>
      </c>
      <c r="AD202" s="419">
        <v>0</v>
      </c>
      <c r="AE202" s="380">
        <v>4.9599999999999999E-5</v>
      </c>
      <c r="AF202" s="380"/>
      <c r="AG202" s="419">
        <v>11630</v>
      </c>
      <c r="AH202" s="419">
        <v>11626</v>
      </c>
      <c r="AI202" s="419">
        <v>6555</v>
      </c>
      <c r="AJ202" s="419">
        <v>0</v>
      </c>
      <c r="AK202" s="419">
        <v>0</v>
      </c>
      <c r="AL202" s="380">
        <v>4.9599999999999999E-5</v>
      </c>
      <c r="AM202" s="380"/>
      <c r="AN202" s="419">
        <v>-110</v>
      </c>
      <c r="AO202" s="419">
        <v>0</v>
      </c>
      <c r="AP202" s="419">
        <v>0</v>
      </c>
      <c r="AQ202" s="419">
        <v>0</v>
      </c>
      <c r="AR202" s="419">
        <v>0</v>
      </c>
    </row>
    <row r="203" spans="1:44">
      <c r="A203" s="379">
        <v>91908</v>
      </c>
      <c r="B203" t="s">
        <v>918</v>
      </c>
      <c r="C203" s="380">
        <v>1.4E-5</v>
      </c>
      <c r="D203" s="380"/>
      <c r="E203" s="419">
        <v>-1685</v>
      </c>
      <c r="F203" s="419">
        <v>-3582</v>
      </c>
      <c r="G203" s="419">
        <v>-3814</v>
      </c>
      <c r="H203" s="419">
        <v>-9387</v>
      </c>
      <c r="I203" s="419">
        <v>0</v>
      </c>
      <c r="J203" s="380">
        <v>1.4E-5</v>
      </c>
      <c r="K203" s="380"/>
      <c r="L203" s="419">
        <v>3427</v>
      </c>
      <c r="M203" s="419">
        <v>2367</v>
      </c>
      <c r="N203" s="419">
        <v>1036</v>
      </c>
      <c r="O203" s="419">
        <v>0</v>
      </c>
      <c r="P203" s="419">
        <v>0</v>
      </c>
      <c r="Q203" s="380">
        <v>1.4E-5</v>
      </c>
      <c r="R203" s="380"/>
      <c r="S203" s="419">
        <v>-7033</v>
      </c>
      <c r="T203" s="419">
        <v>-6952</v>
      </c>
      <c r="U203" s="419">
        <v>-7303</v>
      </c>
      <c r="V203" s="419">
        <v>-9387</v>
      </c>
      <c r="W203" s="419">
        <v>0</v>
      </c>
      <c r="X203" s="380">
        <v>1.4E-5</v>
      </c>
      <c r="Z203" s="419">
        <v>5608</v>
      </c>
      <c r="AA203" s="419">
        <v>3940</v>
      </c>
      <c r="AB203" s="419">
        <v>3940</v>
      </c>
      <c r="AC203" s="419">
        <v>0</v>
      </c>
      <c r="AD203" s="419">
        <v>0</v>
      </c>
      <c r="AE203" s="380">
        <v>1.4E-5</v>
      </c>
      <c r="AF203" s="380"/>
      <c r="AG203" s="419">
        <v>0</v>
      </c>
      <c r="AH203" s="419">
        <v>0</v>
      </c>
      <c r="AI203" s="419">
        <v>0</v>
      </c>
      <c r="AJ203" s="419">
        <v>0</v>
      </c>
      <c r="AK203" s="419">
        <v>0</v>
      </c>
      <c r="AL203" s="380">
        <v>1.4E-5</v>
      </c>
      <c r="AM203" s="380"/>
      <c r="AN203" s="419">
        <v>-3687</v>
      </c>
      <c r="AO203" s="419">
        <v>-2937</v>
      </c>
      <c r="AP203" s="419">
        <v>-1487</v>
      </c>
      <c r="AQ203" s="419">
        <v>0</v>
      </c>
      <c r="AR203" s="419">
        <v>0</v>
      </c>
    </row>
    <row r="204" spans="1:44">
      <c r="A204" s="379">
        <v>91911</v>
      </c>
      <c r="B204" t="s">
        <v>919</v>
      </c>
      <c r="C204" s="380">
        <v>5.6570000000000004E-4</v>
      </c>
      <c r="D204" s="380"/>
      <c r="E204" s="419">
        <v>124351</v>
      </c>
      <c r="F204" s="419">
        <v>13294</v>
      </c>
      <c r="G204" s="419">
        <v>-87954</v>
      </c>
      <c r="H204" s="419">
        <v>-379287</v>
      </c>
      <c r="I204" s="419">
        <v>0</v>
      </c>
      <c r="J204" s="380">
        <v>5.6570000000000004E-4</v>
      </c>
      <c r="K204" s="380"/>
      <c r="L204" s="419">
        <v>138488</v>
      </c>
      <c r="M204" s="419">
        <v>95644</v>
      </c>
      <c r="N204" s="419">
        <v>41869</v>
      </c>
      <c r="O204" s="419">
        <v>0</v>
      </c>
      <c r="P204" s="419">
        <v>0</v>
      </c>
      <c r="Q204" s="380">
        <v>5.6570000000000004E-4</v>
      </c>
      <c r="R204" s="380"/>
      <c r="S204" s="419">
        <v>-284190</v>
      </c>
      <c r="T204" s="419">
        <v>-280901</v>
      </c>
      <c r="U204" s="419">
        <v>-295098</v>
      </c>
      <c r="V204" s="419">
        <v>-379287</v>
      </c>
      <c r="W204" s="419">
        <v>0</v>
      </c>
      <c r="X204" s="380">
        <v>5.6570000000000004E-4</v>
      </c>
      <c r="Z204" s="419">
        <v>226621</v>
      </c>
      <c r="AA204" s="419">
        <v>159213</v>
      </c>
      <c r="AB204" s="419">
        <v>159212</v>
      </c>
      <c r="AC204" s="419">
        <v>0</v>
      </c>
      <c r="AD204" s="419">
        <v>0</v>
      </c>
      <c r="AE204" s="380">
        <v>5.6570000000000004E-4</v>
      </c>
      <c r="AF204" s="380"/>
      <c r="AG204" s="419">
        <v>51175</v>
      </c>
      <c r="AH204" s="419">
        <v>47080</v>
      </c>
      <c r="AI204" s="419">
        <v>6063</v>
      </c>
      <c r="AJ204" s="419">
        <v>0</v>
      </c>
      <c r="AK204" s="419">
        <v>0</v>
      </c>
      <c r="AL204" s="380">
        <v>5.6570000000000004E-4</v>
      </c>
      <c r="AM204" s="380"/>
      <c r="AN204" s="419">
        <v>-7743</v>
      </c>
      <c r="AO204" s="419">
        <v>-7742</v>
      </c>
      <c r="AP204" s="419">
        <v>0</v>
      </c>
      <c r="AQ204" s="419">
        <v>0</v>
      </c>
      <c r="AR204" s="419">
        <v>0</v>
      </c>
    </row>
    <row r="205" spans="1:44">
      <c r="A205" s="379">
        <v>91917</v>
      </c>
      <c r="B205" t="s">
        <v>920</v>
      </c>
      <c r="C205" s="380">
        <v>1.4600000000000001E-5</v>
      </c>
      <c r="D205" s="380"/>
      <c r="E205" s="419">
        <v>5248</v>
      </c>
      <c r="F205" s="419">
        <v>2433</v>
      </c>
      <c r="G205" s="419">
        <v>-302</v>
      </c>
      <c r="H205" s="419">
        <v>-9789</v>
      </c>
      <c r="I205" s="419">
        <v>0</v>
      </c>
      <c r="J205" s="380">
        <v>1.4600000000000001E-5</v>
      </c>
      <c r="K205" s="380"/>
      <c r="L205" s="419">
        <v>3574</v>
      </c>
      <c r="M205" s="419">
        <v>2468</v>
      </c>
      <c r="N205" s="419">
        <v>1081</v>
      </c>
      <c r="O205" s="419">
        <v>0</v>
      </c>
      <c r="P205" s="419">
        <v>0</v>
      </c>
      <c r="Q205" s="380">
        <v>1.4600000000000001E-5</v>
      </c>
      <c r="R205" s="380"/>
      <c r="S205" s="419">
        <v>-7335</v>
      </c>
      <c r="T205" s="419">
        <v>-7250</v>
      </c>
      <c r="U205" s="419">
        <v>-7616</v>
      </c>
      <c r="V205" s="419">
        <v>-9789</v>
      </c>
      <c r="W205" s="419">
        <v>0</v>
      </c>
      <c r="X205" s="380">
        <v>1.4600000000000001E-5</v>
      </c>
      <c r="Z205" s="419">
        <v>5849</v>
      </c>
      <c r="AA205" s="419">
        <v>4109</v>
      </c>
      <c r="AB205" s="419">
        <v>4109</v>
      </c>
      <c r="AC205" s="419">
        <v>0</v>
      </c>
      <c r="AD205" s="419">
        <v>0</v>
      </c>
      <c r="AE205" s="380">
        <v>1.4600000000000001E-5</v>
      </c>
      <c r="AF205" s="380"/>
      <c r="AG205" s="419">
        <v>3160</v>
      </c>
      <c r="AH205" s="419">
        <v>3106</v>
      </c>
      <c r="AI205" s="419">
        <v>2124</v>
      </c>
      <c r="AJ205" s="419">
        <v>0</v>
      </c>
      <c r="AK205" s="419">
        <v>0</v>
      </c>
      <c r="AL205" s="380">
        <v>1.4600000000000001E-5</v>
      </c>
      <c r="AM205" s="380"/>
      <c r="AN205" s="419">
        <v>0</v>
      </c>
      <c r="AO205" s="419">
        <v>0</v>
      </c>
      <c r="AP205" s="419">
        <v>0</v>
      </c>
      <c r="AQ205" s="419">
        <v>0</v>
      </c>
      <c r="AR205" s="419">
        <v>0</v>
      </c>
    </row>
    <row r="206" spans="1:44">
      <c r="A206" s="379">
        <v>91921</v>
      </c>
      <c r="B206" t="s">
        <v>921</v>
      </c>
      <c r="C206" s="380">
        <v>3.7800000000000003E-4</v>
      </c>
      <c r="D206" s="380"/>
      <c r="E206" s="419">
        <v>36143</v>
      </c>
      <c r="F206" s="419">
        <v>-29974</v>
      </c>
      <c r="G206" s="419">
        <v>-79193</v>
      </c>
      <c r="H206" s="419">
        <v>-253439</v>
      </c>
      <c r="I206" s="419">
        <v>0</v>
      </c>
      <c r="J206" s="380">
        <v>3.7800000000000003E-4</v>
      </c>
      <c r="K206" s="380"/>
      <c r="L206" s="419">
        <v>92537</v>
      </c>
      <c r="M206" s="419">
        <v>63909</v>
      </c>
      <c r="N206" s="419">
        <v>27977</v>
      </c>
      <c r="O206" s="419">
        <v>0</v>
      </c>
      <c r="P206" s="419">
        <v>0</v>
      </c>
      <c r="Q206" s="380">
        <v>3.7800000000000003E-4</v>
      </c>
      <c r="R206" s="380"/>
      <c r="S206" s="419">
        <v>-189895</v>
      </c>
      <c r="T206" s="419">
        <v>-187698</v>
      </c>
      <c r="U206" s="419">
        <v>-197184</v>
      </c>
      <c r="V206" s="419">
        <v>-253439</v>
      </c>
      <c r="W206" s="419">
        <v>0</v>
      </c>
      <c r="X206" s="380">
        <v>3.7800000000000003E-4</v>
      </c>
      <c r="Z206" s="419">
        <v>151428</v>
      </c>
      <c r="AA206" s="419">
        <v>106386</v>
      </c>
      <c r="AB206" s="419">
        <v>106385</v>
      </c>
      <c r="AC206" s="419">
        <v>0</v>
      </c>
      <c r="AD206" s="419">
        <v>0</v>
      </c>
      <c r="AE206" s="380">
        <v>3.7800000000000003E-4</v>
      </c>
      <c r="AF206" s="380"/>
      <c r="AG206" s="419">
        <v>3802</v>
      </c>
      <c r="AH206" s="419">
        <v>3802</v>
      </c>
      <c r="AI206" s="419">
        <v>0</v>
      </c>
      <c r="AJ206" s="419">
        <v>0</v>
      </c>
      <c r="AK206" s="419">
        <v>0</v>
      </c>
      <c r="AL206" s="380">
        <v>3.7800000000000003E-4</v>
      </c>
      <c r="AM206" s="380"/>
      <c r="AN206" s="419">
        <v>-21729</v>
      </c>
      <c r="AO206" s="419">
        <v>-16373</v>
      </c>
      <c r="AP206" s="419">
        <v>-16371</v>
      </c>
      <c r="AQ206" s="419">
        <v>0</v>
      </c>
      <c r="AR206" s="419">
        <v>0</v>
      </c>
    </row>
    <row r="207" spans="1:44">
      <c r="A207" s="379">
        <v>92001</v>
      </c>
      <c r="B207" t="s">
        <v>922</v>
      </c>
      <c r="C207" s="380">
        <v>1.7407E-3</v>
      </c>
      <c r="D207" s="380"/>
      <c r="E207" s="419">
        <v>208118</v>
      </c>
      <c r="F207" s="419">
        <v>-117592</v>
      </c>
      <c r="G207" s="419">
        <v>-321211</v>
      </c>
      <c r="H207" s="419">
        <v>-1167094</v>
      </c>
      <c r="I207" s="419">
        <v>0</v>
      </c>
      <c r="J207" s="380">
        <v>1.7407E-3</v>
      </c>
      <c r="K207" s="380"/>
      <c r="L207" s="419">
        <v>426137</v>
      </c>
      <c r="M207" s="419">
        <v>294304</v>
      </c>
      <c r="N207" s="419">
        <v>128833</v>
      </c>
      <c r="O207" s="419">
        <v>0</v>
      </c>
      <c r="P207" s="419">
        <v>0</v>
      </c>
      <c r="Q207" s="380">
        <v>1.7407E-3</v>
      </c>
      <c r="R207" s="380"/>
      <c r="S207" s="419">
        <v>-874472</v>
      </c>
      <c r="T207" s="419">
        <v>-864353</v>
      </c>
      <c r="U207" s="419">
        <v>-908038</v>
      </c>
      <c r="V207" s="419">
        <v>-1167094</v>
      </c>
      <c r="W207" s="419">
        <v>0</v>
      </c>
      <c r="X207" s="380">
        <v>1.7407E-3</v>
      </c>
      <c r="Z207" s="419">
        <v>697328</v>
      </c>
      <c r="AA207" s="419">
        <v>489911</v>
      </c>
      <c r="AB207" s="419">
        <v>489908</v>
      </c>
      <c r="AC207" s="419">
        <v>0</v>
      </c>
      <c r="AD207" s="419">
        <v>0</v>
      </c>
      <c r="AE207" s="380">
        <v>1.7407E-3</v>
      </c>
      <c r="AF207" s="380"/>
      <c r="AG207" s="419">
        <v>8123</v>
      </c>
      <c r="AH207" s="419">
        <v>8122</v>
      </c>
      <c r="AI207" s="419">
        <v>0</v>
      </c>
      <c r="AJ207" s="419">
        <v>0</v>
      </c>
      <c r="AK207" s="419">
        <v>0</v>
      </c>
      <c r="AL207" s="380">
        <v>1.7407E-3</v>
      </c>
      <c r="AM207" s="380"/>
      <c r="AN207" s="419">
        <v>-48998</v>
      </c>
      <c r="AO207" s="419">
        <v>-45576</v>
      </c>
      <c r="AP207" s="419">
        <v>-31914</v>
      </c>
      <c r="AQ207" s="419">
        <v>0</v>
      </c>
      <c r="AR207" s="419">
        <v>0</v>
      </c>
    </row>
    <row r="208" spans="1:44">
      <c r="A208" s="379">
        <v>92005</v>
      </c>
      <c r="B208" t="s">
        <v>923</v>
      </c>
      <c r="C208" s="380">
        <v>3.43E-5</v>
      </c>
      <c r="D208" s="380"/>
      <c r="E208" s="419">
        <v>6815</v>
      </c>
      <c r="F208" s="419">
        <v>-482</v>
      </c>
      <c r="G208" s="419">
        <v>-4569</v>
      </c>
      <c r="H208" s="419">
        <v>-22997</v>
      </c>
      <c r="I208" s="419">
        <v>0</v>
      </c>
      <c r="J208" s="380">
        <v>3.43E-5</v>
      </c>
      <c r="K208" s="380"/>
      <c r="L208" s="419">
        <v>8397</v>
      </c>
      <c r="M208" s="419">
        <v>5799</v>
      </c>
      <c r="N208" s="419">
        <v>2539</v>
      </c>
      <c r="O208" s="419">
        <v>0</v>
      </c>
      <c r="P208" s="419">
        <v>0</v>
      </c>
      <c r="Q208" s="380">
        <v>3.43E-5</v>
      </c>
      <c r="R208" s="380"/>
      <c r="S208" s="419">
        <v>-17231</v>
      </c>
      <c r="T208" s="419">
        <v>-17032</v>
      </c>
      <c r="U208" s="419">
        <v>-17893</v>
      </c>
      <c r="V208" s="419">
        <v>-22997</v>
      </c>
      <c r="W208" s="419">
        <v>0</v>
      </c>
      <c r="X208" s="380">
        <v>3.43E-5</v>
      </c>
      <c r="Z208" s="419">
        <v>13741</v>
      </c>
      <c r="AA208" s="419">
        <v>9654</v>
      </c>
      <c r="AB208" s="419">
        <v>9653</v>
      </c>
      <c r="AC208" s="419">
        <v>0</v>
      </c>
      <c r="AD208" s="419">
        <v>0</v>
      </c>
      <c r="AE208" s="380">
        <v>3.43E-5</v>
      </c>
      <c r="AF208" s="380"/>
      <c r="AG208" s="419">
        <v>2574</v>
      </c>
      <c r="AH208" s="419">
        <v>1761</v>
      </c>
      <c r="AI208" s="419">
        <v>1132</v>
      </c>
      <c r="AJ208" s="419">
        <v>0</v>
      </c>
      <c r="AK208" s="419">
        <v>0</v>
      </c>
      <c r="AL208" s="380">
        <v>3.43E-5</v>
      </c>
      <c r="AM208" s="380"/>
      <c r="AN208" s="419">
        <v>-666</v>
      </c>
      <c r="AO208" s="419">
        <v>-664</v>
      </c>
      <c r="AP208" s="419">
        <v>0</v>
      </c>
      <c r="AQ208" s="419">
        <v>0</v>
      </c>
      <c r="AR208" s="419">
        <v>0</v>
      </c>
    </row>
    <row r="209" spans="1:44">
      <c r="A209" s="379">
        <v>92011</v>
      </c>
      <c r="B209" t="s">
        <v>924</v>
      </c>
      <c r="C209" s="380">
        <v>1.996E-4</v>
      </c>
      <c r="D209" s="380"/>
      <c r="E209" s="419">
        <v>22565</v>
      </c>
      <c r="F209" s="419">
        <v>-13730</v>
      </c>
      <c r="G209" s="419">
        <v>-41386</v>
      </c>
      <c r="H209" s="419">
        <v>-133827</v>
      </c>
      <c r="I209" s="419">
        <v>0</v>
      </c>
      <c r="J209" s="380">
        <v>1.996E-4</v>
      </c>
      <c r="K209" s="380"/>
      <c r="L209" s="419">
        <v>48864</v>
      </c>
      <c r="M209" s="419">
        <v>33747</v>
      </c>
      <c r="N209" s="419">
        <v>14773</v>
      </c>
      <c r="O209" s="419">
        <v>0</v>
      </c>
      <c r="P209" s="419">
        <v>0</v>
      </c>
      <c r="Q209" s="380">
        <v>1.996E-4</v>
      </c>
      <c r="R209" s="380"/>
      <c r="S209" s="419">
        <v>-100273</v>
      </c>
      <c r="T209" s="419">
        <v>-99112</v>
      </c>
      <c r="U209" s="419">
        <v>-104122</v>
      </c>
      <c r="V209" s="419">
        <v>-133827</v>
      </c>
      <c r="W209" s="419">
        <v>0</v>
      </c>
      <c r="X209" s="380">
        <v>1.996E-4</v>
      </c>
      <c r="Z209" s="419">
        <v>79960</v>
      </c>
      <c r="AA209" s="419">
        <v>56176</v>
      </c>
      <c r="AB209" s="419">
        <v>56176</v>
      </c>
      <c r="AC209" s="419">
        <v>0</v>
      </c>
      <c r="AD209" s="419">
        <v>0</v>
      </c>
      <c r="AE209" s="380">
        <v>1.996E-4</v>
      </c>
      <c r="AF209" s="380"/>
      <c r="AG209" s="419">
        <v>4971</v>
      </c>
      <c r="AH209" s="419">
        <v>4971</v>
      </c>
      <c r="AI209" s="419">
        <v>0</v>
      </c>
      <c r="AJ209" s="419">
        <v>0</v>
      </c>
      <c r="AK209" s="419">
        <v>0</v>
      </c>
      <c r="AL209" s="380">
        <v>1.996E-4</v>
      </c>
      <c r="AM209" s="380"/>
      <c r="AN209" s="419">
        <v>-10957</v>
      </c>
      <c r="AO209" s="419">
        <v>-9512</v>
      </c>
      <c r="AP209" s="419">
        <v>-8213</v>
      </c>
      <c r="AQ209" s="419">
        <v>0</v>
      </c>
      <c r="AR209" s="419">
        <v>0</v>
      </c>
    </row>
    <row r="210" spans="1:44">
      <c r="A210" s="379">
        <v>92017</v>
      </c>
      <c r="B210" t="s">
        <v>925</v>
      </c>
      <c r="C210" s="380">
        <v>2.9200000000000002E-5</v>
      </c>
      <c r="D210" s="380"/>
      <c r="E210" s="419">
        <v>6301</v>
      </c>
      <c r="F210" s="419">
        <v>531</v>
      </c>
      <c r="G210" s="419">
        <v>-3840</v>
      </c>
      <c r="H210" s="419">
        <v>-19578</v>
      </c>
      <c r="I210" s="419">
        <v>0</v>
      </c>
      <c r="J210" s="380">
        <v>2.9200000000000002E-5</v>
      </c>
      <c r="K210" s="380"/>
      <c r="L210" s="419">
        <v>7148</v>
      </c>
      <c r="M210" s="419">
        <v>4937</v>
      </c>
      <c r="N210" s="419">
        <v>2161</v>
      </c>
      <c r="O210" s="419">
        <v>0</v>
      </c>
      <c r="P210" s="419">
        <v>0</v>
      </c>
      <c r="Q210" s="380">
        <v>2.9200000000000002E-5</v>
      </c>
      <c r="R210" s="380"/>
      <c r="S210" s="419">
        <v>-14669</v>
      </c>
      <c r="T210" s="419">
        <v>-14499</v>
      </c>
      <c r="U210" s="419">
        <v>-15232</v>
      </c>
      <c r="V210" s="419">
        <v>-19578</v>
      </c>
      <c r="W210" s="419">
        <v>0</v>
      </c>
      <c r="X210" s="380">
        <v>2.9200000000000002E-5</v>
      </c>
      <c r="Z210" s="419">
        <v>11698</v>
      </c>
      <c r="AA210" s="419">
        <v>8218</v>
      </c>
      <c r="AB210" s="419">
        <v>8218</v>
      </c>
      <c r="AC210" s="419">
        <v>0</v>
      </c>
      <c r="AD210" s="419">
        <v>0</v>
      </c>
      <c r="AE210" s="380">
        <v>2.9200000000000002E-5</v>
      </c>
      <c r="AF210" s="380"/>
      <c r="AG210" s="419">
        <v>2124</v>
      </c>
      <c r="AH210" s="419">
        <v>1875</v>
      </c>
      <c r="AI210" s="419">
        <v>1013</v>
      </c>
      <c r="AJ210" s="419">
        <v>0</v>
      </c>
      <c r="AK210" s="419">
        <v>0</v>
      </c>
      <c r="AL210" s="380">
        <v>2.9200000000000002E-5</v>
      </c>
      <c r="AM210" s="380"/>
      <c r="AN210" s="419">
        <v>0</v>
      </c>
      <c r="AO210" s="419">
        <v>0</v>
      </c>
      <c r="AP210" s="419">
        <v>0</v>
      </c>
      <c r="AQ210" s="419">
        <v>0</v>
      </c>
      <c r="AR210" s="419">
        <v>0</v>
      </c>
    </row>
    <row r="211" spans="1:44">
      <c r="A211" s="379">
        <v>92021</v>
      </c>
      <c r="B211" t="s">
        <v>926</v>
      </c>
      <c r="C211" s="380">
        <v>1.2799999999999999E-4</v>
      </c>
      <c r="D211" s="380"/>
      <c r="E211" s="419">
        <v>10015</v>
      </c>
      <c r="F211" s="419">
        <v>-9075</v>
      </c>
      <c r="G211" s="419">
        <v>-18140</v>
      </c>
      <c r="H211" s="419">
        <v>-85821</v>
      </c>
      <c r="I211" s="419">
        <v>0</v>
      </c>
      <c r="J211" s="380">
        <v>1.2799999999999999E-4</v>
      </c>
      <c r="K211" s="380"/>
      <c r="L211" s="419">
        <v>31335</v>
      </c>
      <c r="M211" s="419">
        <v>21641</v>
      </c>
      <c r="N211" s="419">
        <v>9474</v>
      </c>
      <c r="O211" s="419">
        <v>0</v>
      </c>
      <c r="P211" s="419">
        <v>0</v>
      </c>
      <c r="Q211" s="380">
        <v>1.2799999999999999E-4</v>
      </c>
      <c r="R211" s="380"/>
      <c r="S211" s="419">
        <v>-64303</v>
      </c>
      <c r="T211" s="419">
        <v>-63559</v>
      </c>
      <c r="U211" s="419">
        <v>-66771</v>
      </c>
      <c r="V211" s="419">
        <v>-85821</v>
      </c>
      <c r="W211" s="419">
        <v>0</v>
      </c>
      <c r="X211" s="380">
        <v>1.2799999999999999E-4</v>
      </c>
      <c r="Z211" s="419">
        <v>51277</v>
      </c>
      <c r="AA211" s="419">
        <v>36025</v>
      </c>
      <c r="AB211" s="419">
        <v>36025</v>
      </c>
      <c r="AC211" s="419">
        <v>0</v>
      </c>
      <c r="AD211" s="419">
        <v>0</v>
      </c>
      <c r="AE211" s="380">
        <v>1.2799999999999999E-4</v>
      </c>
      <c r="AF211" s="380"/>
      <c r="AG211" s="419">
        <v>5742</v>
      </c>
      <c r="AH211" s="419">
        <v>5742</v>
      </c>
      <c r="AI211" s="419">
        <v>3132</v>
      </c>
      <c r="AJ211" s="419">
        <v>0</v>
      </c>
      <c r="AK211" s="419">
        <v>0</v>
      </c>
      <c r="AL211" s="380">
        <v>1.2799999999999999E-4</v>
      </c>
      <c r="AM211" s="380"/>
      <c r="AN211" s="419">
        <v>-14036</v>
      </c>
      <c r="AO211" s="419">
        <v>-8924</v>
      </c>
      <c r="AP211" s="419">
        <v>0</v>
      </c>
      <c r="AQ211" s="419">
        <v>0</v>
      </c>
      <c r="AR211" s="419">
        <v>0</v>
      </c>
    </row>
    <row r="212" spans="1:44">
      <c r="A212" s="379">
        <v>92101</v>
      </c>
      <c r="B212" t="s">
        <v>927</v>
      </c>
      <c r="C212" s="380">
        <v>7.0399999999999998E-4</v>
      </c>
      <c r="D212" s="380"/>
      <c r="E212" s="419">
        <v>43123</v>
      </c>
      <c r="F212" s="419">
        <v>-80938</v>
      </c>
      <c r="G212" s="419">
        <v>-150857</v>
      </c>
      <c r="H212" s="419">
        <v>-472014</v>
      </c>
      <c r="I212" s="419">
        <v>0</v>
      </c>
      <c r="J212" s="380">
        <v>7.0399999999999998E-4</v>
      </c>
      <c r="K212" s="380"/>
      <c r="L212" s="419">
        <v>172345</v>
      </c>
      <c r="M212" s="419">
        <v>119027</v>
      </c>
      <c r="N212" s="419">
        <v>52104</v>
      </c>
      <c r="O212" s="419">
        <v>0</v>
      </c>
      <c r="P212" s="419">
        <v>0</v>
      </c>
      <c r="Q212" s="380">
        <v>7.0399999999999998E-4</v>
      </c>
      <c r="R212" s="380"/>
      <c r="S212" s="419">
        <v>-353667</v>
      </c>
      <c r="T212" s="419">
        <v>-349575</v>
      </c>
      <c r="U212" s="419">
        <v>-367242</v>
      </c>
      <c r="V212" s="419">
        <v>-472014</v>
      </c>
      <c r="W212" s="419">
        <v>0</v>
      </c>
      <c r="X212" s="380">
        <v>7.0399999999999998E-4</v>
      </c>
      <c r="Z212" s="419">
        <v>282024</v>
      </c>
      <c r="AA212" s="419">
        <v>198137</v>
      </c>
      <c r="AB212" s="419">
        <v>198136</v>
      </c>
      <c r="AC212" s="419">
        <v>0</v>
      </c>
      <c r="AD212" s="419">
        <v>0</v>
      </c>
      <c r="AE212" s="380">
        <v>7.0399999999999998E-4</v>
      </c>
      <c r="AF212" s="380"/>
      <c r="AG212" s="419">
        <v>0</v>
      </c>
      <c r="AH212" s="419">
        <v>0</v>
      </c>
      <c r="AI212" s="419">
        <v>0</v>
      </c>
      <c r="AJ212" s="419">
        <v>0</v>
      </c>
      <c r="AK212" s="419">
        <v>0</v>
      </c>
      <c r="AL212" s="380">
        <v>7.0399999999999998E-4</v>
      </c>
      <c r="AM212" s="380"/>
      <c r="AN212" s="419">
        <v>-57579</v>
      </c>
      <c r="AO212" s="419">
        <v>-48527</v>
      </c>
      <c r="AP212" s="419">
        <v>-33855</v>
      </c>
      <c r="AQ212" s="419">
        <v>0</v>
      </c>
      <c r="AR212" s="419">
        <v>0</v>
      </c>
    </row>
    <row r="213" spans="1:44">
      <c r="A213" s="379">
        <v>92104</v>
      </c>
      <c r="B213" t="s">
        <v>928</v>
      </c>
      <c r="C213" s="380">
        <v>7.7999999999999999E-6</v>
      </c>
      <c r="D213" s="380"/>
      <c r="E213" s="419">
        <v>2987</v>
      </c>
      <c r="F213" s="419">
        <v>1294</v>
      </c>
      <c r="G213" s="419">
        <v>-397</v>
      </c>
      <c r="H213" s="419">
        <v>-5230</v>
      </c>
      <c r="I213" s="419">
        <v>0</v>
      </c>
      <c r="J213" s="380">
        <v>7.7999999999999999E-6</v>
      </c>
      <c r="K213" s="380"/>
      <c r="L213" s="419">
        <v>1910</v>
      </c>
      <c r="M213" s="419">
        <v>1319</v>
      </c>
      <c r="N213" s="419">
        <v>577</v>
      </c>
      <c r="O213" s="419">
        <v>0</v>
      </c>
      <c r="P213" s="419">
        <v>0</v>
      </c>
      <c r="Q213" s="380">
        <v>7.7999999999999999E-6</v>
      </c>
      <c r="R213" s="380"/>
      <c r="S213" s="419">
        <v>-3918</v>
      </c>
      <c r="T213" s="419">
        <v>-3873</v>
      </c>
      <c r="U213" s="419">
        <v>-4069</v>
      </c>
      <c r="V213" s="419">
        <v>-5230</v>
      </c>
      <c r="W213" s="419">
        <v>0</v>
      </c>
      <c r="X213" s="380">
        <v>7.7999999999999999E-6</v>
      </c>
      <c r="Z213" s="419">
        <v>3125</v>
      </c>
      <c r="AA213" s="419">
        <v>2195</v>
      </c>
      <c r="AB213" s="419">
        <v>2195</v>
      </c>
      <c r="AC213" s="419">
        <v>0</v>
      </c>
      <c r="AD213" s="419">
        <v>0</v>
      </c>
      <c r="AE213" s="380">
        <v>7.7999999999999999E-6</v>
      </c>
      <c r="AF213" s="380"/>
      <c r="AG213" s="419">
        <v>1870</v>
      </c>
      <c r="AH213" s="419">
        <v>1653</v>
      </c>
      <c r="AI213" s="419">
        <v>900</v>
      </c>
      <c r="AJ213" s="419">
        <v>0</v>
      </c>
      <c r="AK213" s="419">
        <v>0</v>
      </c>
      <c r="AL213" s="380">
        <v>7.7999999999999999E-6</v>
      </c>
      <c r="AM213" s="380"/>
      <c r="AN213" s="419">
        <v>0</v>
      </c>
      <c r="AO213" s="419">
        <v>0</v>
      </c>
      <c r="AP213" s="419">
        <v>0</v>
      </c>
      <c r="AQ213" s="419">
        <v>0</v>
      </c>
      <c r="AR213" s="419">
        <v>0</v>
      </c>
    </row>
    <row r="214" spans="1:44">
      <c r="A214" s="379">
        <v>92109</v>
      </c>
      <c r="B214" t="s">
        <v>929</v>
      </c>
      <c r="C214" s="380">
        <v>1.95E-4</v>
      </c>
      <c r="D214" s="380"/>
      <c r="E214" s="419">
        <v>36204</v>
      </c>
      <c r="F214" s="419">
        <v>2679</v>
      </c>
      <c r="G214" s="419">
        <v>-25708</v>
      </c>
      <c r="H214" s="419">
        <v>-130742</v>
      </c>
      <c r="I214" s="419">
        <v>0</v>
      </c>
      <c r="J214" s="380">
        <v>1.95E-4</v>
      </c>
      <c r="K214" s="380"/>
      <c r="L214" s="419">
        <v>47738</v>
      </c>
      <c r="M214" s="419">
        <v>32969</v>
      </c>
      <c r="N214" s="419">
        <v>14432</v>
      </c>
      <c r="O214" s="419">
        <v>0</v>
      </c>
      <c r="P214" s="419">
        <v>0</v>
      </c>
      <c r="Q214" s="380">
        <v>1.95E-4</v>
      </c>
      <c r="R214" s="380"/>
      <c r="S214" s="419">
        <v>-97962</v>
      </c>
      <c r="T214" s="419">
        <v>-96828</v>
      </c>
      <c r="U214" s="419">
        <v>-101722</v>
      </c>
      <c r="V214" s="419">
        <v>-130742</v>
      </c>
      <c r="W214" s="419">
        <v>0</v>
      </c>
      <c r="X214" s="380">
        <v>1.95E-4</v>
      </c>
      <c r="Z214" s="419">
        <v>78117</v>
      </c>
      <c r="AA214" s="419">
        <v>54882</v>
      </c>
      <c r="AB214" s="419">
        <v>54881</v>
      </c>
      <c r="AC214" s="419">
        <v>0</v>
      </c>
      <c r="AD214" s="419">
        <v>0</v>
      </c>
      <c r="AE214" s="380">
        <v>1.95E-4</v>
      </c>
      <c r="AF214" s="380"/>
      <c r="AG214" s="419">
        <v>12893</v>
      </c>
      <c r="AH214" s="419">
        <v>12892</v>
      </c>
      <c r="AI214" s="419">
        <v>6701</v>
      </c>
      <c r="AJ214" s="419">
        <v>0</v>
      </c>
      <c r="AK214" s="419">
        <v>0</v>
      </c>
      <c r="AL214" s="380">
        <v>1.95E-4</v>
      </c>
      <c r="AM214" s="380"/>
      <c r="AN214" s="419">
        <v>-4582</v>
      </c>
      <c r="AO214" s="419">
        <v>-1236</v>
      </c>
      <c r="AP214" s="419">
        <v>0</v>
      </c>
      <c r="AQ214" s="419">
        <v>0</v>
      </c>
      <c r="AR214" s="419">
        <v>0</v>
      </c>
    </row>
    <row r="215" spans="1:44">
      <c r="A215" s="379">
        <v>92111</v>
      </c>
      <c r="B215" t="s">
        <v>930</v>
      </c>
      <c r="C215" s="380">
        <v>5.3620000000000002E-4</v>
      </c>
      <c r="D215" s="380"/>
      <c r="E215" s="419">
        <v>78853</v>
      </c>
      <c r="F215" s="419">
        <v>-22866</v>
      </c>
      <c r="G215" s="419">
        <v>-96868</v>
      </c>
      <c r="H215" s="419">
        <v>-359508</v>
      </c>
      <c r="I215" s="419">
        <v>0</v>
      </c>
      <c r="J215" s="380">
        <v>5.3620000000000002E-4</v>
      </c>
      <c r="K215" s="380"/>
      <c r="L215" s="419">
        <v>131266</v>
      </c>
      <c r="M215" s="419">
        <v>90656</v>
      </c>
      <c r="N215" s="419">
        <v>39685</v>
      </c>
      <c r="O215" s="419">
        <v>0</v>
      </c>
      <c r="P215" s="419">
        <v>0</v>
      </c>
      <c r="Q215" s="380">
        <v>5.3620000000000002E-4</v>
      </c>
      <c r="R215" s="380"/>
      <c r="S215" s="419">
        <v>-269370</v>
      </c>
      <c r="T215" s="419">
        <v>-266253</v>
      </c>
      <c r="U215" s="419">
        <v>-279709</v>
      </c>
      <c r="V215" s="419">
        <v>-359508</v>
      </c>
      <c r="W215" s="419">
        <v>0</v>
      </c>
      <c r="X215" s="380">
        <v>5.3620000000000002E-4</v>
      </c>
      <c r="Z215" s="419">
        <v>214803</v>
      </c>
      <c r="AA215" s="419">
        <v>150911</v>
      </c>
      <c r="AB215" s="419">
        <v>150910</v>
      </c>
      <c r="AC215" s="419">
        <v>0</v>
      </c>
      <c r="AD215" s="419">
        <v>0</v>
      </c>
      <c r="AE215" s="380">
        <v>5.3620000000000002E-4</v>
      </c>
      <c r="AF215" s="380"/>
      <c r="AG215" s="419">
        <v>17015</v>
      </c>
      <c r="AH215" s="419">
        <v>16680</v>
      </c>
      <c r="AI215" s="419">
        <v>0</v>
      </c>
      <c r="AJ215" s="419">
        <v>0</v>
      </c>
      <c r="AK215" s="419">
        <v>0</v>
      </c>
      <c r="AL215" s="380">
        <v>5.3620000000000002E-4</v>
      </c>
      <c r="AM215" s="380"/>
      <c r="AN215" s="419">
        <v>-14861</v>
      </c>
      <c r="AO215" s="419">
        <v>-14860</v>
      </c>
      <c r="AP215" s="419">
        <v>-7754</v>
      </c>
      <c r="AQ215" s="419">
        <v>0</v>
      </c>
      <c r="AR215" s="419">
        <v>0</v>
      </c>
    </row>
    <row r="216" spans="1:44">
      <c r="A216" s="379">
        <v>92113</v>
      </c>
      <c r="B216" t="s">
        <v>931</v>
      </c>
      <c r="C216" s="380">
        <v>1.8899999999999999E-5</v>
      </c>
      <c r="D216" s="380"/>
      <c r="E216" s="419">
        <v>8541</v>
      </c>
      <c r="F216" s="419">
        <v>3783</v>
      </c>
      <c r="G216" s="419">
        <v>-1295</v>
      </c>
      <c r="H216" s="419">
        <v>-12672</v>
      </c>
      <c r="I216" s="419">
        <v>0</v>
      </c>
      <c r="J216" s="380">
        <v>1.8899999999999999E-5</v>
      </c>
      <c r="K216" s="380"/>
      <c r="L216" s="419">
        <v>4627</v>
      </c>
      <c r="M216" s="419">
        <v>3195</v>
      </c>
      <c r="N216" s="419">
        <v>1399</v>
      </c>
      <c r="O216" s="419">
        <v>0</v>
      </c>
      <c r="P216" s="419">
        <v>0</v>
      </c>
      <c r="Q216" s="380">
        <v>1.8899999999999999E-5</v>
      </c>
      <c r="R216" s="380"/>
      <c r="S216" s="419">
        <v>-9495</v>
      </c>
      <c r="T216" s="419">
        <v>-9385</v>
      </c>
      <c r="U216" s="419">
        <v>-9859</v>
      </c>
      <c r="V216" s="419">
        <v>-12672</v>
      </c>
      <c r="W216" s="419">
        <v>0</v>
      </c>
      <c r="X216" s="380">
        <v>1.8899999999999999E-5</v>
      </c>
      <c r="Z216" s="419">
        <v>7571</v>
      </c>
      <c r="AA216" s="419">
        <v>5319</v>
      </c>
      <c r="AB216" s="419">
        <v>5319</v>
      </c>
      <c r="AC216" s="419">
        <v>0</v>
      </c>
      <c r="AD216" s="419">
        <v>0</v>
      </c>
      <c r="AE216" s="380">
        <v>1.8899999999999999E-5</v>
      </c>
      <c r="AF216" s="380"/>
      <c r="AG216" s="419">
        <v>5838</v>
      </c>
      <c r="AH216" s="419">
        <v>4654</v>
      </c>
      <c r="AI216" s="419">
        <v>1846</v>
      </c>
      <c r="AJ216" s="419">
        <v>0</v>
      </c>
      <c r="AK216" s="419">
        <v>0</v>
      </c>
      <c r="AL216" s="380">
        <v>1.8899999999999999E-5</v>
      </c>
      <c r="AM216" s="380"/>
      <c r="AN216" s="419">
        <v>0</v>
      </c>
      <c r="AO216" s="419">
        <v>0</v>
      </c>
      <c r="AP216" s="419">
        <v>0</v>
      </c>
      <c r="AQ216" s="419">
        <v>0</v>
      </c>
      <c r="AR216" s="419">
        <v>0</v>
      </c>
    </row>
    <row r="217" spans="1:44">
      <c r="A217" s="379">
        <v>92201</v>
      </c>
      <c r="B217" t="s">
        <v>932</v>
      </c>
      <c r="C217" s="380">
        <v>9.5560000000000003E-4</v>
      </c>
      <c r="D217" s="380"/>
      <c r="E217" s="419">
        <v>186881</v>
      </c>
      <c r="F217" s="419">
        <v>6139</v>
      </c>
      <c r="G217" s="419">
        <v>-144629</v>
      </c>
      <c r="H217" s="419">
        <v>-640705</v>
      </c>
      <c r="I217" s="419">
        <v>0</v>
      </c>
      <c r="J217" s="380">
        <v>9.5560000000000003E-4</v>
      </c>
      <c r="K217" s="380"/>
      <c r="L217" s="419">
        <v>233939</v>
      </c>
      <c r="M217" s="419">
        <v>161565</v>
      </c>
      <c r="N217" s="419">
        <v>70726</v>
      </c>
      <c r="O217" s="419">
        <v>0</v>
      </c>
      <c r="P217" s="419">
        <v>0</v>
      </c>
      <c r="Q217" s="380">
        <v>9.5560000000000003E-4</v>
      </c>
      <c r="R217" s="380"/>
      <c r="S217" s="419">
        <v>-480063</v>
      </c>
      <c r="T217" s="419">
        <v>-474508</v>
      </c>
      <c r="U217" s="419">
        <v>-498490</v>
      </c>
      <c r="V217" s="419">
        <v>-640705</v>
      </c>
      <c r="W217" s="419">
        <v>0</v>
      </c>
      <c r="X217" s="380">
        <v>9.5560000000000003E-4</v>
      </c>
      <c r="Z217" s="419">
        <v>382815</v>
      </c>
      <c r="AA217" s="419">
        <v>268949</v>
      </c>
      <c r="AB217" s="419">
        <v>268947</v>
      </c>
      <c r="AC217" s="419">
        <v>0</v>
      </c>
      <c r="AD217" s="419">
        <v>0</v>
      </c>
      <c r="AE217" s="380">
        <v>9.5560000000000003E-4</v>
      </c>
      <c r="AF217" s="380"/>
      <c r="AG217" s="419">
        <v>60029</v>
      </c>
      <c r="AH217" s="419">
        <v>59972</v>
      </c>
      <c r="AI217" s="419">
        <v>14188</v>
      </c>
      <c r="AJ217" s="419">
        <v>0</v>
      </c>
      <c r="AK217" s="419">
        <v>0</v>
      </c>
      <c r="AL217" s="380">
        <v>9.5560000000000003E-4</v>
      </c>
      <c r="AM217" s="380"/>
      <c r="AN217" s="419">
        <v>-9839</v>
      </c>
      <c r="AO217" s="419">
        <v>-9839</v>
      </c>
      <c r="AP217" s="419">
        <v>0</v>
      </c>
      <c r="AQ217" s="419">
        <v>0</v>
      </c>
      <c r="AR217" s="419">
        <v>0</v>
      </c>
    </row>
    <row r="218" spans="1:44">
      <c r="A218" s="379">
        <v>92214</v>
      </c>
      <c r="B218" t="s">
        <v>1931</v>
      </c>
      <c r="C218" s="380">
        <v>2.0599999999999999E-5</v>
      </c>
      <c r="D218" s="380"/>
      <c r="E218" s="419">
        <v>7439</v>
      </c>
      <c r="F218" s="419">
        <v>41</v>
      </c>
      <c r="G218" s="419">
        <v>-2106</v>
      </c>
      <c r="H218" s="419">
        <v>-13812</v>
      </c>
      <c r="I218" s="419">
        <v>0</v>
      </c>
      <c r="J218" s="380">
        <v>2.0599999999999999E-5</v>
      </c>
      <c r="K218" s="380"/>
      <c r="L218" s="419">
        <v>5043</v>
      </c>
      <c r="M218" s="419">
        <v>3483</v>
      </c>
      <c r="N218" s="419">
        <v>1525</v>
      </c>
      <c r="O218" s="419">
        <v>0</v>
      </c>
      <c r="P218" s="419">
        <v>0</v>
      </c>
      <c r="Q218" s="380">
        <v>2.0599999999999999E-5</v>
      </c>
      <c r="R218" s="380"/>
      <c r="S218" s="419">
        <v>-10349</v>
      </c>
      <c r="T218" s="419">
        <v>-10229</v>
      </c>
      <c r="U218" s="419">
        <v>-10746</v>
      </c>
      <c r="V218" s="419">
        <v>-13812</v>
      </c>
      <c r="W218" s="419">
        <v>0</v>
      </c>
      <c r="X218" s="380">
        <v>2.0599999999999999E-5</v>
      </c>
      <c r="Z218" s="419">
        <v>8252</v>
      </c>
      <c r="AA218" s="419">
        <v>5798</v>
      </c>
      <c r="AB218" s="419">
        <v>5798</v>
      </c>
      <c r="AC218" s="419">
        <v>0</v>
      </c>
      <c r="AD218" s="419">
        <v>0</v>
      </c>
      <c r="AE218" s="380">
        <v>2.0599999999999999E-5</v>
      </c>
      <c r="AF218" s="380"/>
      <c r="AG218" s="419">
        <v>4997</v>
      </c>
      <c r="AH218" s="419">
        <v>1494</v>
      </c>
      <c r="AI218" s="419">
        <v>1317</v>
      </c>
      <c r="AJ218" s="419">
        <v>0</v>
      </c>
      <c r="AK218" s="419">
        <v>0</v>
      </c>
      <c r="AL218" s="380">
        <v>2.0599999999999999E-5</v>
      </c>
      <c r="AM218" s="380"/>
      <c r="AN218" s="419">
        <v>-504</v>
      </c>
      <c r="AO218" s="419">
        <v>-505</v>
      </c>
      <c r="AP218" s="419">
        <v>0</v>
      </c>
      <c r="AQ218" s="419">
        <v>0</v>
      </c>
      <c r="AR218" s="419">
        <v>0</v>
      </c>
    </row>
    <row r="219" spans="1:44">
      <c r="A219" s="379">
        <v>92301</v>
      </c>
      <c r="B219" t="s">
        <v>933</v>
      </c>
      <c r="C219" s="380">
        <v>5.0848000000000004E-3</v>
      </c>
      <c r="D219" s="380"/>
      <c r="E219" s="419">
        <v>445234</v>
      </c>
      <c r="F219" s="419">
        <v>-525113</v>
      </c>
      <c r="G219" s="419">
        <v>-1020154</v>
      </c>
      <c r="H219" s="419">
        <v>-3409226</v>
      </c>
      <c r="I219" s="419">
        <v>0</v>
      </c>
      <c r="J219" s="380">
        <v>5.0848000000000004E-3</v>
      </c>
      <c r="K219" s="380"/>
      <c r="L219" s="419">
        <v>1244800</v>
      </c>
      <c r="M219" s="419">
        <v>859697</v>
      </c>
      <c r="N219" s="419">
        <v>376336</v>
      </c>
      <c r="O219" s="419">
        <v>0</v>
      </c>
      <c r="P219" s="419">
        <v>0</v>
      </c>
      <c r="Q219" s="380">
        <v>5.0848000000000004E-3</v>
      </c>
      <c r="R219" s="380"/>
      <c r="S219" s="419">
        <v>-2554441</v>
      </c>
      <c r="T219" s="419">
        <v>-2524883</v>
      </c>
      <c r="U219" s="419">
        <v>-2652491</v>
      </c>
      <c r="V219" s="419">
        <v>-3409226</v>
      </c>
      <c r="W219" s="419">
        <v>0</v>
      </c>
      <c r="X219" s="380">
        <v>5.0848000000000004E-3</v>
      </c>
      <c r="Z219" s="419">
        <v>2036981</v>
      </c>
      <c r="AA219" s="419">
        <v>1431092</v>
      </c>
      <c r="AB219" s="419">
        <v>1431081</v>
      </c>
      <c r="AC219" s="419">
        <v>0</v>
      </c>
      <c r="AD219" s="419">
        <v>0</v>
      </c>
      <c r="AE219" s="380">
        <v>5.0848000000000004E-3</v>
      </c>
      <c r="AF219" s="380"/>
      <c r="AG219" s="419">
        <v>37043</v>
      </c>
      <c r="AH219" s="419">
        <v>28131</v>
      </c>
      <c r="AI219" s="419">
        <v>0</v>
      </c>
      <c r="AJ219" s="419">
        <v>0</v>
      </c>
      <c r="AK219" s="419">
        <v>0</v>
      </c>
      <c r="AL219" s="380">
        <v>5.0848000000000004E-3</v>
      </c>
      <c r="AM219" s="380"/>
      <c r="AN219" s="419">
        <v>-319149</v>
      </c>
      <c r="AO219" s="419">
        <v>-319150</v>
      </c>
      <c r="AP219" s="419">
        <v>-175080</v>
      </c>
      <c r="AQ219" s="419">
        <v>0</v>
      </c>
      <c r="AR219" s="419">
        <v>0</v>
      </c>
    </row>
    <row r="220" spans="1:44">
      <c r="A220" s="379">
        <v>92302</v>
      </c>
      <c r="B220" t="s">
        <v>1940</v>
      </c>
      <c r="C220" s="380">
        <v>2.8669999999999998E-4</v>
      </c>
      <c r="D220" s="380"/>
      <c r="E220" s="419">
        <v>27630</v>
      </c>
      <c r="F220" s="419">
        <v>-28195</v>
      </c>
      <c r="G220" s="419">
        <v>-55274</v>
      </c>
      <c r="H220" s="419">
        <v>-192225</v>
      </c>
      <c r="I220" s="419">
        <v>0</v>
      </c>
      <c r="J220" s="380">
        <v>2.8669999999999998E-4</v>
      </c>
      <c r="K220" s="380"/>
      <c r="L220" s="419">
        <v>70186</v>
      </c>
      <c r="M220" s="419">
        <v>48473</v>
      </c>
      <c r="N220" s="419">
        <v>21219</v>
      </c>
      <c r="O220" s="419">
        <v>0</v>
      </c>
      <c r="P220" s="419">
        <v>0</v>
      </c>
      <c r="Q220" s="380">
        <v>2.8669999999999998E-4</v>
      </c>
      <c r="R220" s="380"/>
      <c r="S220" s="419">
        <v>-144029</v>
      </c>
      <c r="T220" s="419">
        <v>-142362</v>
      </c>
      <c r="U220" s="419">
        <v>-149557</v>
      </c>
      <c r="V220" s="419">
        <v>-192225</v>
      </c>
      <c r="W220" s="419">
        <v>0</v>
      </c>
      <c r="X220" s="380">
        <v>2.8669999999999998E-4</v>
      </c>
      <c r="Z220" s="419">
        <v>114853</v>
      </c>
      <c r="AA220" s="419">
        <v>80690</v>
      </c>
      <c r="AB220" s="419">
        <v>80690</v>
      </c>
      <c r="AC220" s="419">
        <v>0</v>
      </c>
      <c r="AD220" s="419">
        <v>0</v>
      </c>
      <c r="AE220" s="380">
        <v>2.8669999999999998E-4</v>
      </c>
      <c r="AF220" s="380"/>
      <c r="AG220" s="419">
        <v>1616</v>
      </c>
      <c r="AH220" s="419">
        <v>0</v>
      </c>
      <c r="AI220" s="419">
        <v>0</v>
      </c>
      <c r="AJ220" s="419">
        <v>0</v>
      </c>
      <c r="AK220" s="419">
        <v>0</v>
      </c>
      <c r="AL220" s="380">
        <v>2.8669999999999998E-4</v>
      </c>
      <c r="AM220" s="380"/>
      <c r="AN220" s="419">
        <v>-14996</v>
      </c>
      <c r="AO220" s="419">
        <v>-14996</v>
      </c>
      <c r="AP220" s="419">
        <v>-7626</v>
      </c>
      <c r="AQ220" s="419">
        <v>0</v>
      </c>
      <c r="AR220" s="419">
        <v>0</v>
      </c>
    </row>
    <row r="221" spans="1:44">
      <c r="A221" s="379">
        <v>92311</v>
      </c>
      <c r="B221" t="s">
        <v>935</v>
      </c>
      <c r="C221" s="380">
        <v>2.2017E-3</v>
      </c>
      <c r="D221" s="380"/>
      <c r="E221" s="419">
        <v>224645</v>
      </c>
      <c r="F221" s="419">
        <v>-176220</v>
      </c>
      <c r="G221" s="419">
        <v>-454841</v>
      </c>
      <c r="H221" s="419">
        <v>-1476183</v>
      </c>
      <c r="I221" s="419">
        <v>0</v>
      </c>
      <c r="J221" s="380">
        <v>2.2017E-3</v>
      </c>
      <c r="K221" s="380"/>
      <c r="L221" s="419">
        <v>538994</v>
      </c>
      <c r="M221" s="419">
        <v>372246</v>
      </c>
      <c r="N221" s="419">
        <v>162952</v>
      </c>
      <c r="O221" s="419">
        <v>0</v>
      </c>
      <c r="P221" s="419">
        <v>0</v>
      </c>
      <c r="Q221" s="380">
        <v>2.2017E-3</v>
      </c>
      <c r="R221" s="380"/>
      <c r="S221" s="419">
        <v>-1106064</v>
      </c>
      <c r="T221" s="419">
        <v>-1093265</v>
      </c>
      <c r="U221" s="419">
        <v>-1148519</v>
      </c>
      <c r="V221" s="419">
        <v>-1476183</v>
      </c>
      <c r="W221" s="419">
        <v>0</v>
      </c>
      <c r="X221" s="380">
        <v>2.2017E-3</v>
      </c>
      <c r="Z221" s="419">
        <v>882005</v>
      </c>
      <c r="AA221" s="419">
        <v>619657</v>
      </c>
      <c r="AB221" s="419">
        <v>619653</v>
      </c>
      <c r="AC221" s="419">
        <v>0</v>
      </c>
      <c r="AD221" s="419">
        <v>0</v>
      </c>
      <c r="AE221" s="380">
        <v>2.2017E-3</v>
      </c>
      <c r="AF221" s="380"/>
      <c r="AG221" s="419">
        <v>14067</v>
      </c>
      <c r="AH221" s="419">
        <v>14068</v>
      </c>
      <c r="AI221" s="419">
        <v>0</v>
      </c>
      <c r="AJ221" s="419">
        <v>0</v>
      </c>
      <c r="AK221" s="419">
        <v>0</v>
      </c>
      <c r="AL221" s="380">
        <v>2.2017E-3</v>
      </c>
      <c r="AM221" s="380"/>
      <c r="AN221" s="419">
        <v>-104357</v>
      </c>
      <c r="AO221" s="419">
        <v>-88926</v>
      </c>
      <c r="AP221" s="419">
        <v>-88927</v>
      </c>
      <c r="AQ221" s="419">
        <v>0</v>
      </c>
      <c r="AR221" s="419">
        <v>0</v>
      </c>
    </row>
    <row r="222" spans="1:44">
      <c r="A222" s="379">
        <v>92317</v>
      </c>
      <c r="B222" t="s">
        <v>936</v>
      </c>
      <c r="C222" s="380">
        <v>3.6399999999999997E-5</v>
      </c>
      <c r="D222" s="380"/>
      <c r="E222" s="419">
        <v>17694</v>
      </c>
      <c r="F222" s="419">
        <v>9715</v>
      </c>
      <c r="G222" s="419">
        <v>-2189</v>
      </c>
      <c r="H222" s="419">
        <v>-24405</v>
      </c>
      <c r="I222" s="419">
        <v>0</v>
      </c>
      <c r="J222" s="380">
        <v>3.6399999999999997E-5</v>
      </c>
      <c r="K222" s="380"/>
      <c r="L222" s="419">
        <v>8911</v>
      </c>
      <c r="M222" s="419">
        <v>6154</v>
      </c>
      <c r="N222" s="419">
        <v>2694</v>
      </c>
      <c r="O222" s="419">
        <v>0</v>
      </c>
      <c r="P222" s="419">
        <v>0</v>
      </c>
      <c r="Q222" s="380">
        <v>3.6399999999999997E-5</v>
      </c>
      <c r="R222" s="380"/>
      <c r="S222" s="419">
        <v>-18286</v>
      </c>
      <c r="T222" s="419">
        <v>-18075</v>
      </c>
      <c r="U222" s="419">
        <v>-18988</v>
      </c>
      <c r="V222" s="419">
        <v>-24405</v>
      </c>
      <c r="W222" s="419">
        <v>0</v>
      </c>
      <c r="X222" s="380">
        <v>3.6399999999999997E-5</v>
      </c>
      <c r="Z222" s="419">
        <v>14582</v>
      </c>
      <c r="AA222" s="419">
        <v>10245</v>
      </c>
      <c r="AB222" s="419">
        <v>10245</v>
      </c>
      <c r="AC222" s="419">
        <v>0</v>
      </c>
      <c r="AD222" s="419">
        <v>0</v>
      </c>
      <c r="AE222" s="380">
        <v>3.6399999999999997E-5</v>
      </c>
      <c r="AF222" s="380"/>
      <c r="AG222" s="419">
        <v>12487</v>
      </c>
      <c r="AH222" s="419">
        <v>11391</v>
      </c>
      <c r="AI222" s="419">
        <v>3860</v>
      </c>
      <c r="AJ222" s="419">
        <v>0</v>
      </c>
      <c r="AK222" s="419">
        <v>0</v>
      </c>
      <c r="AL222" s="380">
        <v>3.6399999999999997E-5</v>
      </c>
      <c r="AM222" s="380"/>
      <c r="AN222" s="419">
        <v>0</v>
      </c>
      <c r="AO222" s="419">
        <v>0</v>
      </c>
      <c r="AP222" s="419">
        <v>0</v>
      </c>
      <c r="AQ222" s="419">
        <v>0</v>
      </c>
      <c r="AR222" s="419">
        <v>0</v>
      </c>
    </row>
    <row r="223" spans="1:44">
      <c r="A223" s="379">
        <v>92321</v>
      </c>
      <c r="B223" t="s">
        <v>937</v>
      </c>
      <c r="C223" s="380">
        <v>1.2914999999999999E-3</v>
      </c>
      <c r="D223" s="380"/>
      <c r="E223" s="419">
        <v>218107</v>
      </c>
      <c r="F223" s="419">
        <v>-36372</v>
      </c>
      <c r="G223" s="419">
        <v>-242131</v>
      </c>
      <c r="H223" s="419">
        <v>-865917</v>
      </c>
      <c r="I223" s="419">
        <v>0</v>
      </c>
      <c r="J223" s="380">
        <v>1.2914999999999999E-3</v>
      </c>
      <c r="K223" s="380"/>
      <c r="L223" s="419">
        <v>316170</v>
      </c>
      <c r="M223" s="419">
        <v>218356</v>
      </c>
      <c r="N223" s="419">
        <v>95586</v>
      </c>
      <c r="O223" s="419">
        <v>0</v>
      </c>
      <c r="P223" s="419">
        <v>0</v>
      </c>
      <c r="Q223" s="380">
        <v>1.2914999999999999E-3</v>
      </c>
      <c r="R223" s="380"/>
      <c r="S223" s="419">
        <v>-648808</v>
      </c>
      <c r="T223" s="419">
        <v>-641301</v>
      </c>
      <c r="U223" s="419">
        <v>-673712</v>
      </c>
      <c r="V223" s="419">
        <v>-865917</v>
      </c>
      <c r="W223" s="419">
        <v>0</v>
      </c>
      <c r="X223" s="380">
        <v>1.2914999999999999E-3</v>
      </c>
      <c r="Z223" s="419">
        <v>517377</v>
      </c>
      <c r="AA223" s="419">
        <v>363486</v>
      </c>
      <c r="AB223" s="419">
        <v>363484</v>
      </c>
      <c r="AC223" s="419">
        <v>0</v>
      </c>
      <c r="AD223" s="419">
        <v>0</v>
      </c>
      <c r="AE223" s="380">
        <v>1.2914999999999999E-3</v>
      </c>
      <c r="AF223" s="380"/>
      <c r="AG223" s="419">
        <v>63268</v>
      </c>
      <c r="AH223" s="419">
        <v>52988</v>
      </c>
      <c r="AI223" s="419">
        <v>0</v>
      </c>
      <c r="AJ223" s="419">
        <v>0</v>
      </c>
      <c r="AK223" s="419">
        <v>0</v>
      </c>
      <c r="AL223" s="380">
        <v>1.2914999999999999E-3</v>
      </c>
      <c r="AM223" s="380"/>
      <c r="AN223" s="419">
        <v>-29900</v>
      </c>
      <c r="AO223" s="419">
        <v>-29901</v>
      </c>
      <c r="AP223" s="419">
        <v>-27489</v>
      </c>
      <c r="AQ223" s="419">
        <v>0</v>
      </c>
      <c r="AR223" s="419">
        <v>0</v>
      </c>
    </row>
    <row r="224" spans="1:44">
      <c r="A224" s="379">
        <v>92327</v>
      </c>
      <c r="B224" t="s">
        <v>938</v>
      </c>
      <c r="C224" s="380">
        <v>6.8000000000000001E-6</v>
      </c>
      <c r="D224" s="380"/>
      <c r="E224" s="419">
        <v>5508</v>
      </c>
      <c r="F224" s="419">
        <v>3279</v>
      </c>
      <c r="G224" s="419">
        <v>464</v>
      </c>
      <c r="H224" s="419">
        <v>-4559</v>
      </c>
      <c r="I224" s="419">
        <v>0</v>
      </c>
      <c r="J224" s="380">
        <v>6.8000000000000001E-6</v>
      </c>
      <c r="K224" s="380"/>
      <c r="L224" s="419">
        <v>1665</v>
      </c>
      <c r="M224" s="419">
        <v>1150</v>
      </c>
      <c r="N224" s="419">
        <v>503</v>
      </c>
      <c r="O224" s="419">
        <v>0</v>
      </c>
      <c r="P224" s="419">
        <v>0</v>
      </c>
      <c r="Q224" s="380">
        <v>6.8000000000000001E-6</v>
      </c>
      <c r="R224" s="380"/>
      <c r="S224" s="419">
        <v>-3416</v>
      </c>
      <c r="T224" s="419">
        <v>-3377</v>
      </c>
      <c r="U224" s="419">
        <v>-3547</v>
      </c>
      <c r="V224" s="419">
        <v>-4559</v>
      </c>
      <c r="W224" s="419">
        <v>0</v>
      </c>
      <c r="X224" s="380">
        <v>6.8000000000000001E-6</v>
      </c>
      <c r="Z224" s="419">
        <v>2724</v>
      </c>
      <c r="AA224" s="419">
        <v>1914</v>
      </c>
      <c r="AB224" s="419">
        <v>1914</v>
      </c>
      <c r="AC224" s="419">
        <v>0</v>
      </c>
      <c r="AD224" s="419">
        <v>0</v>
      </c>
      <c r="AE224" s="380">
        <v>6.8000000000000001E-6</v>
      </c>
      <c r="AF224" s="380"/>
      <c r="AG224" s="419">
        <v>4535</v>
      </c>
      <c r="AH224" s="419">
        <v>3592</v>
      </c>
      <c r="AI224" s="419">
        <v>1594</v>
      </c>
      <c r="AJ224" s="419">
        <v>0</v>
      </c>
      <c r="AK224" s="419">
        <v>0</v>
      </c>
      <c r="AL224" s="380">
        <v>6.8000000000000001E-6</v>
      </c>
      <c r="AM224" s="380"/>
      <c r="AN224" s="419">
        <v>0</v>
      </c>
      <c r="AO224" s="419">
        <v>0</v>
      </c>
      <c r="AP224" s="419">
        <v>0</v>
      </c>
      <c r="AQ224" s="419">
        <v>0</v>
      </c>
      <c r="AR224" s="419">
        <v>0</v>
      </c>
    </row>
    <row r="225" spans="1:44">
      <c r="A225" s="379">
        <v>92331</v>
      </c>
      <c r="B225" t="s">
        <v>939</v>
      </c>
      <c r="C225" s="380">
        <v>1.6119999999999999E-4</v>
      </c>
      <c r="D225" s="380"/>
      <c r="E225" s="419">
        <v>44145</v>
      </c>
      <c r="F225" s="419">
        <v>14753</v>
      </c>
      <c r="G225" s="419">
        <v>-12729</v>
      </c>
      <c r="H225" s="419">
        <v>-108080</v>
      </c>
      <c r="I225" s="419">
        <v>0</v>
      </c>
      <c r="J225" s="380">
        <v>1.6119999999999999E-4</v>
      </c>
      <c r="K225" s="380"/>
      <c r="L225" s="419">
        <v>39463</v>
      </c>
      <c r="M225" s="419">
        <v>27254</v>
      </c>
      <c r="N225" s="419">
        <v>11931</v>
      </c>
      <c r="O225" s="419">
        <v>0</v>
      </c>
      <c r="P225" s="419">
        <v>0</v>
      </c>
      <c r="Q225" s="380">
        <v>1.6119999999999999E-4</v>
      </c>
      <c r="R225" s="380"/>
      <c r="S225" s="419">
        <v>-80982</v>
      </c>
      <c r="T225" s="419">
        <v>-80045</v>
      </c>
      <c r="U225" s="419">
        <v>-84090</v>
      </c>
      <c r="V225" s="419">
        <v>-108080</v>
      </c>
      <c r="W225" s="419">
        <v>0</v>
      </c>
      <c r="X225" s="380">
        <v>1.6119999999999999E-4</v>
      </c>
      <c r="Z225" s="419">
        <v>64577</v>
      </c>
      <c r="AA225" s="419">
        <v>45369</v>
      </c>
      <c r="AB225" s="419">
        <v>45369</v>
      </c>
      <c r="AC225" s="419">
        <v>0</v>
      </c>
      <c r="AD225" s="419">
        <v>0</v>
      </c>
      <c r="AE225" s="380">
        <v>1.6119999999999999E-4</v>
      </c>
      <c r="AF225" s="380"/>
      <c r="AG225" s="419">
        <v>22178</v>
      </c>
      <c r="AH225" s="419">
        <v>22175</v>
      </c>
      <c r="AI225" s="419">
        <v>14061</v>
      </c>
      <c r="AJ225" s="419">
        <v>0</v>
      </c>
      <c r="AK225" s="419">
        <v>0</v>
      </c>
      <c r="AL225" s="380">
        <v>1.6119999999999999E-4</v>
      </c>
      <c r="AM225" s="380"/>
      <c r="AN225" s="419">
        <v>-1091</v>
      </c>
      <c r="AO225" s="419">
        <v>0</v>
      </c>
      <c r="AP225" s="419">
        <v>0</v>
      </c>
      <c r="AQ225" s="419">
        <v>0</v>
      </c>
      <c r="AR225" s="419">
        <v>0</v>
      </c>
    </row>
    <row r="226" spans="1:44">
      <c r="A226" s="379">
        <v>92341</v>
      </c>
      <c r="B226" t="s">
        <v>940</v>
      </c>
      <c r="C226" s="380">
        <v>7.9999999999999996E-6</v>
      </c>
      <c r="D226" s="380"/>
      <c r="E226" s="419">
        <v>-303</v>
      </c>
      <c r="F226" s="419">
        <v>-1459</v>
      </c>
      <c r="G226" s="419">
        <v>-1517</v>
      </c>
      <c r="H226" s="419">
        <v>-5364</v>
      </c>
      <c r="I226" s="419">
        <v>0</v>
      </c>
      <c r="J226" s="380">
        <v>7.9999999999999996E-6</v>
      </c>
      <c r="K226" s="380"/>
      <c r="L226" s="419">
        <v>1958</v>
      </c>
      <c r="M226" s="419">
        <v>1353</v>
      </c>
      <c r="N226" s="419">
        <v>592</v>
      </c>
      <c r="O226" s="419">
        <v>0</v>
      </c>
      <c r="P226" s="419">
        <v>0</v>
      </c>
      <c r="Q226" s="380">
        <v>7.9999999999999996E-6</v>
      </c>
      <c r="R226" s="380"/>
      <c r="S226" s="419">
        <v>-4019</v>
      </c>
      <c r="T226" s="419">
        <v>-3972</v>
      </c>
      <c r="U226" s="419">
        <v>-4173</v>
      </c>
      <c r="V226" s="419">
        <v>-5364</v>
      </c>
      <c r="W226" s="419">
        <v>0</v>
      </c>
      <c r="X226" s="380">
        <v>7.9999999999999996E-6</v>
      </c>
      <c r="Z226" s="419">
        <v>3205</v>
      </c>
      <c r="AA226" s="419">
        <v>2252</v>
      </c>
      <c r="AB226" s="419">
        <v>2252</v>
      </c>
      <c r="AC226" s="419">
        <v>0</v>
      </c>
      <c r="AD226" s="419">
        <v>0</v>
      </c>
      <c r="AE226" s="380">
        <v>7.9999999999999996E-6</v>
      </c>
      <c r="AF226" s="380"/>
      <c r="AG226" s="419">
        <v>0</v>
      </c>
      <c r="AH226" s="419">
        <v>0</v>
      </c>
      <c r="AI226" s="419">
        <v>0</v>
      </c>
      <c r="AJ226" s="419">
        <v>0</v>
      </c>
      <c r="AK226" s="419">
        <v>0</v>
      </c>
      <c r="AL226" s="380">
        <v>7.9999999999999996E-6</v>
      </c>
      <c r="AM226" s="380"/>
      <c r="AN226" s="419">
        <v>-1447</v>
      </c>
      <c r="AO226" s="419">
        <v>-1092</v>
      </c>
      <c r="AP226" s="419">
        <v>-188</v>
      </c>
      <c r="AQ226" s="419">
        <v>0</v>
      </c>
      <c r="AR226" s="419">
        <v>0</v>
      </c>
    </row>
    <row r="227" spans="1:44">
      <c r="A227" s="379">
        <v>92351</v>
      </c>
      <c r="B227" t="s">
        <v>941</v>
      </c>
      <c r="C227" s="380">
        <v>2.55E-5</v>
      </c>
      <c r="D227" s="380"/>
      <c r="E227" s="419">
        <v>8051</v>
      </c>
      <c r="F227" s="419">
        <v>2425</v>
      </c>
      <c r="G227" s="419">
        <v>-3886</v>
      </c>
      <c r="H227" s="419">
        <v>-17097</v>
      </c>
      <c r="I227" s="419">
        <v>0</v>
      </c>
      <c r="J227" s="380">
        <v>2.55E-5</v>
      </c>
      <c r="K227" s="380"/>
      <c r="L227" s="419">
        <v>6243</v>
      </c>
      <c r="M227" s="419">
        <v>4311</v>
      </c>
      <c r="N227" s="419">
        <v>1887</v>
      </c>
      <c r="O227" s="419">
        <v>0</v>
      </c>
      <c r="P227" s="419">
        <v>0</v>
      </c>
      <c r="Q227" s="380">
        <v>2.55E-5</v>
      </c>
      <c r="R227" s="380"/>
      <c r="S227" s="419">
        <v>-12810</v>
      </c>
      <c r="T227" s="419">
        <v>-12662</v>
      </c>
      <c r="U227" s="419">
        <v>-13302</v>
      </c>
      <c r="V227" s="419">
        <v>-17097</v>
      </c>
      <c r="W227" s="419">
        <v>0</v>
      </c>
      <c r="X227" s="380">
        <v>2.55E-5</v>
      </c>
      <c r="Z227" s="419">
        <v>10215</v>
      </c>
      <c r="AA227" s="419">
        <v>7177</v>
      </c>
      <c r="AB227" s="419">
        <v>7177</v>
      </c>
      <c r="AC227" s="419">
        <v>0</v>
      </c>
      <c r="AD227" s="419">
        <v>0</v>
      </c>
      <c r="AE227" s="380">
        <v>2.55E-5</v>
      </c>
      <c r="AF227" s="380"/>
      <c r="AG227" s="419">
        <v>4584</v>
      </c>
      <c r="AH227" s="419">
        <v>3780</v>
      </c>
      <c r="AI227" s="419">
        <v>352</v>
      </c>
      <c r="AJ227" s="419">
        <v>0</v>
      </c>
      <c r="AK227" s="419">
        <v>0</v>
      </c>
      <c r="AL227" s="380">
        <v>2.55E-5</v>
      </c>
      <c r="AM227" s="380"/>
      <c r="AN227" s="419">
        <v>-181</v>
      </c>
      <c r="AO227" s="419">
        <v>-181</v>
      </c>
      <c r="AP227" s="419">
        <v>0</v>
      </c>
      <c r="AQ227" s="419">
        <v>0</v>
      </c>
      <c r="AR227" s="419">
        <v>0</v>
      </c>
    </row>
    <row r="228" spans="1:44">
      <c r="A228" s="379">
        <v>92401</v>
      </c>
      <c r="B228" t="s">
        <v>942</v>
      </c>
      <c r="C228" s="380">
        <v>2.5695000000000002E-3</v>
      </c>
      <c r="D228" s="380"/>
      <c r="E228" s="419">
        <v>410018</v>
      </c>
      <c r="F228" s="419">
        <v>-62257</v>
      </c>
      <c r="G228" s="419">
        <v>-402917</v>
      </c>
      <c r="H228" s="419">
        <v>-1722783</v>
      </c>
      <c r="I228" s="419">
        <v>0</v>
      </c>
      <c r="J228" s="380">
        <v>2.5695000000000002E-3</v>
      </c>
      <c r="K228" s="380"/>
      <c r="L228" s="419">
        <v>629034</v>
      </c>
      <c r="M228" s="419">
        <v>434431</v>
      </c>
      <c r="N228" s="419">
        <v>190174</v>
      </c>
      <c r="O228" s="419">
        <v>0</v>
      </c>
      <c r="P228" s="419">
        <v>0</v>
      </c>
      <c r="Q228" s="380">
        <v>2.5695000000000002E-3</v>
      </c>
      <c r="R228" s="380"/>
      <c r="S228" s="419">
        <v>-1290835</v>
      </c>
      <c r="T228" s="419">
        <v>-1275898</v>
      </c>
      <c r="U228" s="419">
        <v>-1340382</v>
      </c>
      <c r="V228" s="419">
        <v>-1722783</v>
      </c>
      <c r="W228" s="419">
        <v>0</v>
      </c>
      <c r="X228" s="380">
        <v>2.5695000000000002E-3</v>
      </c>
      <c r="Z228" s="419">
        <v>1029347</v>
      </c>
      <c r="AA228" s="419">
        <v>723173</v>
      </c>
      <c r="AB228" s="419">
        <v>723168</v>
      </c>
      <c r="AC228" s="419">
        <v>0</v>
      </c>
      <c r="AD228" s="419">
        <v>0</v>
      </c>
      <c r="AE228" s="380">
        <v>2.5695000000000002E-3</v>
      </c>
      <c r="AF228" s="380"/>
      <c r="AG228" s="419">
        <v>78508</v>
      </c>
      <c r="AH228" s="419">
        <v>78507</v>
      </c>
      <c r="AI228" s="419">
        <v>24123</v>
      </c>
      <c r="AJ228" s="419">
        <v>0</v>
      </c>
      <c r="AK228" s="419">
        <v>0</v>
      </c>
      <c r="AL228" s="380">
        <v>2.5695000000000002E-3</v>
      </c>
      <c r="AM228" s="380"/>
      <c r="AN228" s="419">
        <v>-36036</v>
      </c>
      <c r="AO228" s="419">
        <v>-22470</v>
      </c>
      <c r="AP228" s="419">
        <v>0</v>
      </c>
      <c r="AQ228" s="419">
        <v>0</v>
      </c>
      <c r="AR228" s="419">
        <v>0</v>
      </c>
    </row>
    <row r="229" spans="1:44">
      <c r="A229" s="379">
        <v>92403</v>
      </c>
      <c r="B229" t="s">
        <v>943</v>
      </c>
      <c r="C229" s="380">
        <v>1.45E-5</v>
      </c>
      <c r="D229" s="380"/>
      <c r="E229" s="419">
        <v>7668</v>
      </c>
      <c r="F229" s="419">
        <v>4841</v>
      </c>
      <c r="G229" s="419">
        <v>2201</v>
      </c>
      <c r="H229" s="419">
        <v>-9722</v>
      </c>
      <c r="I229" s="419">
        <v>0</v>
      </c>
      <c r="J229" s="380">
        <v>1.45E-5</v>
      </c>
      <c r="K229" s="380"/>
      <c r="L229" s="419">
        <v>3550</v>
      </c>
      <c r="M229" s="419">
        <v>2452</v>
      </c>
      <c r="N229" s="419">
        <v>1073</v>
      </c>
      <c r="O229" s="419">
        <v>0</v>
      </c>
      <c r="P229" s="419">
        <v>0</v>
      </c>
      <c r="Q229" s="380">
        <v>1.45E-5</v>
      </c>
      <c r="R229" s="380"/>
      <c r="S229" s="419">
        <v>-7284</v>
      </c>
      <c r="T229" s="419">
        <v>-7200</v>
      </c>
      <c r="U229" s="419">
        <v>-7564</v>
      </c>
      <c r="V229" s="419">
        <v>-9722</v>
      </c>
      <c r="W229" s="419">
        <v>0</v>
      </c>
      <c r="X229" s="380">
        <v>1.45E-5</v>
      </c>
      <c r="Z229" s="419">
        <v>5809</v>
      </c>
      <c r="AA229" s="419">
        <v>4081</v>
      </c>
      <c r="AB229" s="419">
        <v>4081</v>
      </c>
      <c r="AC229" s="419">
        <v>0</v>
      </c>
      <c r="AD229" s="419">
        <v>0</v>
      </c>
      <c r="AE229" s="380">
        <v>1.45E-5</v>
      </c>
      <c r="AF229" s="380"/>
      <c r="AG229" s="419">
        <v>5593</v>
      </c>
      <c r="AH229" s="419">
        <v>5508</v>
      </c>
      <c r="AI229" s="419">
        <v>4611</v>
      </c>
      <c r="AJ229" s="419">
        <v>0</v>
      </c>
      <c r="AK229" s="419">
        <v>0</v>
      </c>
      <c r="AL229" s="380">
        <v>1.45E-5</v>
      </c>
      <c r="AM229" s="380"/>
      <c r="AN229" s="419">
        <v>0</v>
      </c>
      <c r="AO229" s="419">
        <v>0</v>
      </c>
      <c r="AP229" s="419">
        <v>0</v>
      </c>
      <c r="AQ229" s="419">
        <v>0</v>
      </c>
      <c r="AR229" s="419">
        <v>0</v>
      </c>
    </row>
    <row r="230" spans="1:44">
      <c r="A230" s="379">
        <v>92411</v>
      </c>
      <c r="B230" t="s">
        <v>944</v>
      </c>
      <c r="C230" s="380">
        <v>4.5340000000000002E-4</v>
      </c>
      <c r="D230" s="380"/>
      <c r="E230" s="419">
        <v>44100</v>
      </c>
      <c r="F230" s="419">
        <v>-30015</v>
      </c>
      <c r="G230" s="419">
        <v>-93239</v>
      </c>
      <c r="H230" s="419">
        <v>-303993</v>
      </c>
      <c r="I230" s="419">
        <v>0</v>
      </c>
      <c r="J230" s="380">
        <v>4.5340000000000002E-4</v>
      </c>
      <c r="K230" s="380"/>
      <c r="L230" s="419">
        <v>110996</v>
      </c>
      <c r="M230" s="419">
        <v>76657</v>
      </c>
      <c r="N230" s="419">
        <v>33557</v>
      </c>
      <c r="O230" s="419">
        <v>0</v>
      </c>
      <c r="P230" s="419">
        <v>0</v>
      </c>
      <c r="Q230" s="380">
        <v>4.5340000000000002E-4</v>
      </c>
      <c r="R230" s="380"/>
      <c r="S230" s="419">
        <v>-227774</v>
      </c>
      <c r="T230" s="419">
        <v>-225138</v>
      </c>
      <c r="U230" s="419">
        <v>-236517</v>
      </c>
      <c r="V230" s="419">
        <v>-303993</v>
      </c>
      <c r="W230" s="419">
        <v>0</v>
      </c>
      <c r="X230" s="380">
        <v>4.5340000000000002E-4</v>
      </c>
      <c r="Z230" s="419">
        <v>181633</v>
      </c>
      <c r="AA230" s="419">
        <v>127607</v>
      </c>
      <c r="AB230" s="419">
        <v>127606</v>
      </c>
      <c r="AC230" s="419">
        <v>0</v>
      </c>
      <c r="AD230" s="419">
        <v>0</v>
      </c>
      <c r="AE230" s="380">
        <v>4.5340000000000002E-4</v>
      </c>
      <c r="AF230" s="380"/>
      <c r="AG230" s="419">
        <v>8748</v>
      </c>
      <c r="AH230" s="419">
        <v>8746</v>
      </c>
      <c r="AI230" s="419">
        <v>0</v>
      </c>
      <c r="AJ230" s="419">
        <v>0</v>
      </c>
      <c r="AK230" s="419">
        <v>0</v>
      </c>
      <c r="AL230" s="380">
        <v>4.5340000000000002E-4</v>
      </c>
      <c r="AM230" s="380"/>
      <c r="AN230" s="419">
        <v>-29503</v>
      </c>
      <c r="AO230" s="419">
        <v>-17887</v>
      </c>
      <c r="AP230" s="419">
        <v>-17885</v>
      </c>
      <c r="AQ230" s="419">
        <v>0</v>
      </c>
      <c r="AR230" s="419">
        <v>0</v>
      </c>
    </row>
    <row r="231" spans="1:44">
      <c r="A231" s="379">
        <v>92414</v>
      </c>
      <c r="B231" t="s">
        <v>70</v>
      </c>
      <c r="C231" s="380">
        <v>0</v>
      </c>
      <c r="D231" s="380"/>
      <c r="E231" s="419">
        <v>0</v>
      </c>
      <c r="F231" s="419">
        <v>0</v>
      </c>
      <c r="G231" s="419">
        <v>0</v>
      </c>
      <c r="H231" s="419">
        <v>0</v>
      </c>
      <c r="I231" s="419">
        <v>0</v>
      </c>
      <c r="J231" s="419">
        <v>0</v>
      </c>
      <c r="K231" s="419">
        <v>0</v>
      </c>
      <c r="L231" s="419">
        <v>0</v>
      </c>
      <c r="M231" s="419">
        <v>0</v>
      </c>
      <c r="N231" s="419">
        <v>0</v>
      </c>
      <c r="O231" s="419">
        <v>0</v>
      </c>
      <c r="P231" s="419">
        <v>0</v>
      </c>
      <c r="Q231" s="419">
        <v>0</v>
      </c>
      <c r="R231" s="419">
        <v>0</v>
      </c>
      <c r="S231" s="419">
        <v>0</v>
      </c>
      <c r="T231" s="419">
        <v>0</v>
      </c>
      <c r="U231" s="419">
        <v>0</v>
      </c>
      <c r="V231" s="419">
        <v>0</v>
      </c>
      <c r="W231" s="419">
        <v>0</v>
      </c>
      <c r="X231" s="419">
        <v>0</v>
      </c>
      <c r="Y231" s="419">
        <v>0</v>
      </c>
      <c r="Z231" s="419">
        <v>0</v>
      </c>
      <c r="AA231" s="419">
        <v>0</v>
      </c>
      <c r="AB231" s="419">
        <v>0</v>
      </c>
      <c r="AC231" s="419">
        <v>0</v>
      </c>
      <c r="AD231" s="419">
        <v>0</v>
      </c>
      <c r="AE231" s="419">
        <v>0</v>
      </c>
      <c r="AF231" s="419">
        <v>0</v>
      </c>
      <c r="AG231" s="419">
        <v>0</v>
      </c>
      <c r="AH231" s="419">
        <v>0</v>
      </c>
      <c r="AI231" s="419">
        <v>0</v>
      </c>
      <c r="AJ231" s="419">
        <v>0</v>
      </c>
      <c r="AK231" s="419">
        <v>0</v>
      </c>
      <c r="AL231" s="419">
        <v>0</v>
      </c>
      <c r="AM231" s="419">
        <v>0</v>
      </c>
      <c r="AN231" s="419">
        <v>0</v>
      </c>
      <c r="AO231" s="419">
        <v>0</v>
      </c>
      <c r="AP231" s="419">
        <v>0</v>
      </c>
      <c r="AQ231" s="419">
        <v>0</v>
      </c>
      <c r="AR231" s="419">
        <v>0</v>
      </c>
    </row>
    <row r="232" spans="1:44">
      <c r="A232" s="379">
        <v>92417</v>
      </c>
      <c r="B232" t="s">
        <v>945</v>
      </c>
      <c r="C232" s="380">
        <v>7.9999999999999996E-6</v>
      </c>
      <c r="D232" s="380"/>
      <c r="E232" s="419">
        <v>-5216</v>
      </c>
      <c r="F232" s="419">
        <v>-6262</v>
      </c>
      <c r="G232" s="419">
        <v>-3603</v>
      </c>
      <c r="H232" s="419">
        <v>-5364</v>
      </c>
      <c r="I232" s="419">
        <v>0</v>
      </c>
      <c r="J232" s="380">
        <v>7.9999999999999996E-6</v>
      </c>
      <c r="K232" s="380"/>
      <c r="L232" s="419">
        <v>1958</v>
      </c>
      <c r="M232" s="419">
        <v>1353</v>
      </c>
      <c r="N232" s="419">
        <v>592</v>
      </c>
      <c r="O232" s="419">
        <v>0</v>
      </c>
      <c r="P232" s="419">
        <v>0</v>
      </c>
      <c r="Q232" s="380">
        <v>7.9999999999999996E-6</v>
      </c>
      <c r="R232" s="380"/>
      <c r="S232" s="419">
        <v>-4019</v>
      </c>
      <c r="T232" s="419">
        <v>-3972</v>
      </c>
      <c r="U232" s="419">
        <v>-4173</v>
      </c>
      <c r="V232" s="419">
        <v>-5364</v>
      </c>
      <c r="W232" s="419">
        <v>0</v>
      </c>
      <c r="X232" s="380">
        <v>7.9999999999999996E-6</v>
      </c>
      <c r="Z232" s="419">
        <v>3205</v>
      </c>
      <c r="AA232" s="419">
        <v>2252</v>
      </c>
      <c r="AB232" s="419">
        <v>2252</v>
      </c>
      <c r="AC232" s="419">
        <v>0</v>
      </c>
      <c r="AD232" s="419">
        <v>0</v>
      </c>
      <c r="AE232" s="380">
        <v>7.9999999999999996E-6</v>
      </c>
      <c r="AF232" s="380"/>
      <c r="AG232" s="419">
        <v>0</v>
      </c>
      <c r="AH232" s="419">
        <v>0</v>
      </c>
      <c r="AI232" s="419">
        <v>0</v>
      </c>
      <c r="AJ232" s="419">
        <v>0</v>
      </c>
      <c r="AK232" s="419">
        <v>0</v>
      </c>
      <c r="AL232" s="380">
        <v>7.9999999999999996E-6</v>
      </c>
      <c r="AM232" s="380"/>
      <c r="AN232" s="419">
        <v>-6360</v>
      </c>
      <c r="AO232" s="419">
        <v>-5895</v>
      </c>
      <c r="AP232" s="419">
        <v>-2274</v>
      </c>
      <c r="AQ232" s="419">
        <v>0</v>
      </c>
      <c r="AR232" s="419">
        <v>0</v>
      </c>
    </row>
    <row r="233" spans="1:44">
      <c r="A233" s="379">
        <v>92421</v>
      </c>
      <c r="B233" t="s">
        <v>946</v>
      </c>
      <c r="C233" s="380">
        <v>1.45E-5</v>
      </c>
      <c r="D233" s="380"/>
      <c r="E233" s="419">
        <v>3523</v>
      </c>
      <c r="F233" s="419">
        <v>-212</v>
      </c>
      <c r="G233" s="419">
        <v>-3960</v>
      </c>
      <c r="H233" s="419">
        <v>-9722</v>
      </c>
      <c r="I233" s="419">
        <v>0</v>
      </c>
      <c r="J233" s="380">
        <v>1.45E-5</v>
      </c>
      <c r="K233" s="380"/>
      <c r="L233" s="419">
        <v>3550</v>
      </c>
      <c r="M233" s="419">
        <v>2452</v>
      </c>
      <c r="N233" s="419">
        <v>1073</v>
      </c>
      <c r="O233" s="419">
        <v>0</v>
      </c>
      <c r="P233" s="419">
        <v>0</v>
      </c>
      <c r="Q233" s="380">
        <v>1.45E-5</v>
      </c>
      <c r="R233" s="380"/>
      <c r="S233" s="419">
        <v>-7284</v>
      </c>
      <c r="T233" s="419">
        <v>-7200</v>
      </c>
      <c r="U233" s="419">
        <v>-7564</v>
      </c>
      <c r="V233" s="419">
        <v>-9722</v>
      </c>
      <c r="W233" s="419">
        <v>0</v>
      </c>
      <c r="X233" s="380">
        <v>1.45E-5</v>
      </c>
      <c r="Z233" s="419">
        <v>5809</v>
      </c>
      <c r="AA233" s="419">
        <v>4081</v>
      </c>
      <c r="AB233" s="419">
        <v>4081</v>
      </c>
      <c r="AC233" s="419">
        <v>0</v>
      </c>
      <c r="AD233" s="419">
        <v>0</v>
      </c>
      <c r="AE233" s="380">
        <v>1.45E-5</v>
      </c>
      <c r="AF233" s="380"/>
      <c r="AG233" s="419">
        <v>3000</v>
      </c>
      <c r="AH233" s="419">
        <v>2007</v>
      </c>
      <c r="AI233" s="419">
        <v>0</v>
      </c>
      <c r="AJ233" s="419">
        <v>0</v>
      </c>
      <c r="AK233" s="419">
        <v>0</v>
      </c>
      <c r="AL233" s="380">
        <v>1.45E-5</v>
      </c>
      <c r="AM233" s="380"/>
      <c r="AN233" s="419">
        <v>-1552</v>
      </c>
      <c r="AO233" s="419">
        <v>-1552</v>
      </c>
      <c r="AP233" s="419">
        <v>-1550</v>
      </c>
      <c r="AQ233" s="419">
        <v>0</v>
      </c>
      <c r="AR233" s="419">
        <v>0</v>
      </c>
    </row>
    <row r="234" spans="1:44">
      <c r="A234" s="379">
        <v>92427</v>
      </c>
      <c r="B234" t="s">
        <v>947</v>
      </c>
      <c r="C234" s="380">
        <v>1.7E-6</v>
      </c>
      <c r="D234" s="380"/>
      <c r="E234" s="419">
        <v>1246</v>
      </c>
      <c r="F234" s="419">
        <v>495</v>
      </c>
      <c r="G234" s="419">
        <v>-11</v>
      </c>
      <c r="H234" s="419">
        <v>-1140</v>
      </c>
      <c r="I234" s="419">
        <v>0</v>
      </c>
      <c r="J234" s="380">
        <v>1.7E-6</v>
      </c>
      <c r="K234" s="380"/>
      <c r="L234" s="419">
        <v>416</v>
      </c>
      <c r="M234" s="419">
        <v>287</v>
      </c>
      <c r="N234" s="419">
        <v>126</v>
      </c>
      <c r="O234" s="419">
        <v>0</v>
      </c>
      <c r="P234" s="419">
        <v>0</v>
      </c>
      <c r="Q234" s="380">
        <v>1.7E-6</v>
      </c>
      <c r="R234" s="380"/>
      <c r="S234" s="419">
        <v>-854</v>
      </c>
      <c r="T234" s="419">
        <v>-844</v>
      </c>
      <c r="U234" s="419">
        <v>-887</v>
      </c>
      <c r="V234" s="419">
        <v>-1140</v>
      </c>
      <c r="W234" s="419">
        <v>0</v>
      </c>
      <c r="X234" s="380">
        <v>1.7E-6</v>
      </c>
      <c r="Z234" s="419">
        <v>681</v>
      </c>
      <c r="AA234" s="419">
        <v>478</v>
      </c>
      <c r="AB234" s="419">
        <v>478</v>
      </c>
      <c r="AC234" s="419">
        <v>0</v>
      </c>
      <c r="AD234" s="419">
        <v>0</v>
      </c>
      <c r="AE234" s="380">
        <v>1.7E-6</v>
      </c>
      <c r="AF234" s="380"/>
      <c r="AG234" s="419">
        <v>1003</v>
      </c>
      <c r="AH234" s="419">
        <v>574</v>
      </c>
      <c r="AI234" s="419">
        <v>272</v>
      </c>
      <c r="AJ234" s="419">
        <v>0</v>
      </c>
      <c r="AK234" s="419">
        <v>0</v>
      </c>
      <c r="AL234" s="380">
        <v>1.7E-6</v>
      </c>
      <c r="AM234" s="380"/>
      <c r="AN234" s="419">
        <v>0</v>
      </c>
      <c r="AO234" s="419">
        <v>0</v>
      </c>
      <c r="AP234" s="419">
        <v>0</v>
      </c>
      <c r="AQ234" s="419">
        <v>0</v>
      </c>
      <c r="AR234" s="419">
        <v>0</v>
      </c>
    </row>
    <row r="235" spans="1:44">
      <c r="A235" s="379">
        <v>92431</v>
      </c>
      <c r="B235" t="s">
        <v>948</v>
      </c>
      <c r="C235" s="380">
        <v>1.6500000000000001E-5</v>
      </c>
      <c r="D235" s="380"/>
      <c r="E235" s="419">
        <v>3101</v>
      </c>
      <c r="F235" s="419">
        <v>400</v>
      </c>
      <c r="G235" s="419">
        <v>-3617</v>
      </c>
      <c r="H235" s="419">
        <v>-11063</v>
      </c>
      <c r="I235" s="419">
        <v>0</v>
      </c>
      <c r="J235" s="380">
        <v>1.6500000000000001E-5</v>
      </c>
      <c r="K235" s="380"/>
      <c r="L235" s="419">
        <v>4039</v>
      </c>
      <c r="M235" s="419">
        <v>2790</v>
      </c>
      <c r="N235" s="419">
        <v>1221</v>
      </c>
      <c r="O235" s="419">
        <v>0</v>
      </c>
      <c r="P235" s="419">
        <v>0</v>
      </c>
      <c r="Q235" s="380">
        <v>1.6500000000000001E-5</v>
      </c>
      <c r="R235" s="380"/>
      <c r="S235" s="419">
        <v>-8289</v>
      </c>
      <c r="T235" s="419">
        <v>-8193</v>
      </c>
      <c r="U235" s="419">
        <v>-8607</v>
      </c>
      <c r="V235" s="419">
        <v>-11063</v>
      </c>
      <c r="W235" s="419">
        <v>0</v>
      </c>
      <c r="X235" s="380">
        <v>1.6500000000000001E-5</v>
      </c>
      <c r="Z235" s="419">
        <v>6610</v>
      </c>
      <c r="AA235" s="419">
        <v>4644</v>
      </c>
      <c r="AB235" s="419">
        <v>4644</v>
      </c>
      <c r="AC235" s="419">
        <v>0</v>
      </c>
      <c r="AD235" s="419">
        <v>0</v>
      </c>
      <c r="AE235" s="380">
        <v>1.6500000000000001E-5</v>
      </c>
      <c r="AF235" s="380"/>
      <c r="AG235" s="419">
        <v>2036</v>
      </c>
      <c r="AH235" s="419">
        <v>2035</v>
      </c>
      <c r="AI235" s="419">
        <v>0</v>
      </c>
      <c r="AJ235" s="419">
        <v>0</v>
      </c>
      <c r="AK235" s="419">
        <v>0</v>
      </c>
      <c r="AL235" s="380">
        <v>1.6500000000000001E-5</v>
      </c>
      <c r="AM235" s="380"/>
      <c r="AN235" s="419">
        <v>-1295</v>
      </c>
      <c r="AO235" s="419">
        <v>-876</v>
      </c>
      <c r="AP235" s="419">
        <v>-875</v>
      </c>
      <c r="AQ235" s="419">
        <v>0</v>
      </c>
      <c r="AR235" s="419">
        <v>0</v>
      </c>
    </row>
    <row r="236" spans="1:44">
      <c r="A236" s="379">
        <v>92441</v>
      </c>
      <c r="B236" t="s">
        <v>949</v>
      </c>
      <c r="C236" s="380">
        <v>1.004E-4</v>
      </c>
      <c r="D236" s="380"/>
      <c r="E236" s="419">
        <v>17642</v>
      </c>
      <c r="F236" s="419">
        <v>-5176</v>
      </c>
      <c r="G236" s="419">
        <v>-20926</v>
      </c>
      <c r="H236" s="419">
        <v>-67316</v>
      </c>
      <c r="I236" s="419">
        <v>0</v>
      </c>
      <c r="J236" s="380">
        <v>1.004E-4</v>
      </c>
      <c r="K236" s="380"/>
      <c r="L236" s="419">
        <v>24579</v>
      </c>
      <c r="M236" s="419">
        <v>16975</v>
      </c>
      <c r="N236" s="419">
        <v>7431</v>
      </c>
      <c r="O236" s="419">
        <v>0</v>
      </c>
      <c r="P236" s="419">
        <v>0</v>
      </c>
      <c r="Q236" s="380">
        <v>1.004E-4</v>
      </c>
      <c r="R236" s="380"/>
      <c r="S236" s="419">
        <v>-50438</v>
      </c>
      <c r="T236" s="419">
        <v>-49854</v>
      </c>
      <c r="U236" s="419">
        <v>-52374</v>
      </c>
      <c r="V236" s="419">
        <v>-67316</v>
      </c>
      <c r="W236" s="419">
        <v>0</v>
      </c>
      <c r="X236" s="380">
        <v>1.004E-4</v>
      </c>
      <c r="Z236" s="419">
        <v>40220</v>
      </c>
      <c r="AA236" s="419">
        <v>28257</v>
      </c>
      <c r="AB236" s="419">
        <v>28257</v>
      </c>
      <c r="AC236" s="419">
        <v>0</v>
      </c>
      <c r="AD236" s="419">
        <v>0</v>
      </c>
      <c r="AE236" s="380">
        <v>1.004E-4</v>
      </c>
      <c r="AF236" s="380"/>
      <c r="AG236" s="419">
        <v>10724</v>
      </c>
      <c r="AH236" s="419">
        <v>6889</v>
      </c>
      <c r="AI236" s="419">
        <v>0</v>
      </c>
      <c r="AJ236" s="419">
        <v>0</v>
      </c>
      <c r="AK236" s="419">
        <v>0</v>
      </c>
      <c r="AL236" s="380">
        <v>1.004E-4</v>
      </c>
      <c r="AM236" s="380"/>
      <c r="AN236" s="419">
        <v>-7443</v>
      </c>
      <c r="AO236" s="419">
        <v>-7443</v>
      </c>
      <c r="AP236" s="419">
        <v>-4240</v>
      </c>
      <c r="AQ236" s="419">
        <v>0</v>
      </c>
      <c r="AR236" s="419">
        <v>0</v>
      </c>
    </row>
    <row r="237" spans="1:44">
      <c r="A237" s="379">
        <v>92444</v>
      </c>
      <c r="B237" t="s">
        <v>950</v>
      </c>
      <c r="C237" s="380">
        <v>9.2E-6</v>
      </c>
      <c r="D237" s="380"/>
      <c r="E237" s="419">
        <v>5710</v>
      </c>
      <c r="F237" s="419">
        <v>3518</v>
      </c>
      <c r="G237" s="419">
        <v>814</v>
      </c>
      <c r="H237" s="419">
        <v>-6168</v>
      </c>
      <c r="I237" s="419">
        <v>0</v>
      </c>
      <c r="J237" s="380">
        <v>9.2E-6</v>
      </c>
      <c r="K237" s="380"/>
      <c r="L237" s="419">
        <v>2252</v>
      </c>
      <c r="M237" s="419">
        <v>1555</v>
      </c>
      <c r="N237" s="419">
        <v>681</v>
      </c>
      <c r="O237" s="419">
        <v>0</v>
      </c>
      <c r="P237" s="419">
        <v>0</v>
      </c>
      <c r="Q237" s="380">
        <v>9.2E-6</v>
      </c>
      <c r="R237" s="380"/>
      <c r="S237" s="419">
        <v>-4622</v>
      </c>
      <c r="T237" s="419">
        <v>-4568</v>
      </c>
      <c r="U237" s="419">
        <v>-4799</v>
      </c>
      <c r="V237" s="419">
        <v>-6168</v>
      </c>
      <c r="W237" s="419">
        <v>0</v>
      </c>
      <c r="X237" s="380">
        <v>9.2E-6</v>
      </c>
      <c r="Z237" s="419">
        <v>3686</v>
      </c>
      <c r="AA237" s="419">
        <v>2589</v>
      </c>
      <c r="AB237" s="419">
        <v>2589</v>
      </c>
      <c r="AC237" s="419">
        <v>0</v>
      </c>
      <c r="AD237" s="419">
        <v>0</v>
      </c>
      <c r="AE237" s="380">
        <v>9.2E-6</v>
      </c>
      <c r="AF237" s="380"/>
      <c r="AG237" s="419">
        <v>4394</v>
      </c>
      <c r="AH237" s="419">
        <v>3942</v>
      </c>
      <c r="AI237" s="419">
        <v>2343</v>
      </c>
      <c r="AJ237" s="419">
        <v>0</v>
      </c>
      <c r="AK237" s="419">
        <v>0</v>
      </c>
      <c r="AL237" s="380">
        <v>9.2E-6</v>
      </c>
      <c r="AM237" s="380"/>
      <c r="AN237" s="419">
        <v>0</v>
      </c>
      <c r="AO237" s="419">
        <v>0</v>
      </c>
      <c r="AP237" s="419">
        <v>0</v>
      </c>
      <c r="AQ237" s="419">
        <v>0</v>
      </c>
      <c r="AR237" s="419">
        <v>0</v>
      </c>
    </row>
    <row r="238" spans="1:44">
      <c r="A238" s="379">
        <v>92451</v>
      </c>
      <c r="B238" t="s">
        <v>951</v>
      </c>
      <c r="C238" s="380">
        <v>1.044E-4</v>
      </c>
      <c r="D238" s="380"/>
      <c r="E238" s="419">
        <v>30675</v>
      </c>
      <c r="F238" s="419">
        <v>8094</v>
      </c>
      <c r="G238" s="419">
        <v>-9935</v>
      </c>
      <c r="H238" s="419">
        <v>-69997</v>
      </c>
      <c r="I238" s="419">
        <v>0</v>
      </c>
      <c r="J238" s="380">
        <v>1.044E-4</v>
      </c>
      <c r="K238" s="380"/>
      <c r="L238" s="419">
        <v>25558</v>
      </c>
      <c r="M238" s="419">
        <v>17651</v>
      </c>
      <c r="N238" s="419">
        <v>7727</v>
      </c>
      <c r="O238" s="419">
        <v>0</v>
      </c>
      <c r="P238" s="419">
        <v>0</v>
      </c>
      <c r="Q238" s="380">
        <v>1.044E-4</v>
      </c>
      <c r="R238" s="380"/>
      <c r="S238" s="419">
        <v>-52447</v>
      </c>
      <c r="T238" s="419">
        <v>-51840</v>
      </c>
      <c r="U238" s="419">
        <v>-54460</v>
      </c>
      <c r="V238" s="419">
        <v>-69997</v>
      </c>
      <c r="W238" s="419">
        <v>0</v>
      </c>
      <c r="X238" s="380">
        <v>1.044E-4</v>
      </c>
      <c r="Z238" s="419">
        <v>41823</v>
      </c>
      <c r="AA238" s="419">
        <v>29383</v>
      </c>
      <c r="AB238" s="419">
        <v>29383</v>
      </c>
      <c r="AC238" s="419">
        <v>0</v>
      </c>
      <c r="AD238" s="419">
        <v>0</v>
      </c>
      <c r="AE238" s="380">
        <v>1.044E-4</v>
      </c>
      <c r="AF238" s="380"/>
      <c r="AG238" s="419">
        <v>15741</v>
      </c>
      <c r="AH238" s="419">
        <v>12900</v>
      </c>
      <c r="AI238" s="419">
        <v>7415</v>
      </c>
      <c r="AJ238" s="419">
        <v>0</v>
      </c>
      <c r="AK238" s="419">
        <v>0</v>
      </c>
      <c r="AL238" s="380">
        <v>1.044E-4</v>
      </c>
      <c r="AM238" s="380"/>
      <c r="AN238" s="419">
        <v>0</v>
      </c>
      <c r="AO238" s="419">
        <v>0</v>
      </c>
      <c r="AP238" s="419">
        <v>0</v>
      </c>
      <c r="AQ238" s="419">
        <v>0</v>
      </c>
      <c r="AR238" s="419">
        <v>0</v>
      </c>
    </row>
    <row r="239" spans="1:44">
      <c r="A239" s="379">
        <v>92461</v>
      </c>
      <c r="B239" t="s">
        <v>952</v>
      </c>
      <c r="C239" s="380">
        <v>8.1699999999999994E-5</v>
      </c>
      <c r="D239" s="380"/>
      <c r="E239" s="419">
        <v>32327</v>
      </c>
      <c r="F239" s="419">
        <v>15511</v>
      </c>
      <c r="G239" s="419">
        <v>3562</v>
      </c>
      <c r="H239" s="419">
        <v>-54778</v>
      </c>
      <c r="I239" s="419">
        <v>0</v>
      </c>
      <c r="J239" s="380">
        <v>8.1699999999999994E-5</v>
      </c>
      <c r="K239" s="380"/>
      <c r="L239" s="419">
        <v>20001</v>
      </c>
      <c r="M239" s="419">
        <v>13813</v>
      </c>
      <c r="N239" s="419">
        <v>6047</v>
      </c>
      <c r="O239" s="419">
        <v>0</v>
      </c>
      <c r="P239" s="419">
        <v>0</v>
      </c>
      <c r="Q239" s="380">
        <v>8.1699999999999994E-5</v>
      </c>
      <c r="R239" s="380"/>
      <c r="S239" s="419">
        <v>-41043</v>
      </c>
      <c r="T239" s="419">
        <v>-40569</v>
      </c>
      <c r="U239" s="419">
        <v>-42619</v>
      </c>
      <c r="V239" s="419">
        <v>-54778</v>
      </c>
      <c r="W239" s="419">
        <v>0</v>
      </c>
      <c r="X239" s="380">
        <v>8.1699999999999994E-5</v>
      </c>
      <c r="Z239" s="419">
        <v>32729</v>
      </c>
      <c r="AA239" s="419">
        <v>22994</v>
      </c>
      <c r="AB239" s="419">
        <v>22994</v>
      </c>
      <c r="AC239" s="419">
        <v>0</v>
      </c>
      <c r="AD239" s="419">
        <v>0</v>
      </c>
      <c r="AE239" s="380">
        <v>8.1699999999999994E-5</v>
      </c>
      <c r="AF239" s="380"/>
      <c r="AG239" s="419">
        <v>20640</v>
      </c>
      <c r="AH239" s="419">
        <v>19273</v>
      </c>
      <c r="AI239" s="419">
        <v>17140</v>
      </c>
      <c r="AJ239" s="419">
        <v>0</v>
      </c>
      <c r="AK239" s="419">
        <v>0</v>
      </c>
      <c r="AL239" s="380">
        <v>8.1699999999999994E-5</v>
      </c>
      <c r="AM239" s="380"/>
      <c r="AN239" s="419">
        <v>0</v>
      </c>
      <c r="AO239" s="419">
        <v>0</v>
      </c>
      <c r="AP239" s="419">
        <v>0</v>
      </c>
      <c r="AQ239" s="419">
        <v>0</v>
      </c>
      <c r="AR239" s="419">
        <v>0</v>
      </c>
    </row>
    <row r="240" spans="1:44">
      <c r="A240" s="379">
        <v>92501</v>
      </c>
      <c r="B240" t="s">
        <v>953</v>
      </c>
      <c r="C240" s="380">
        <v>3.9338999999999997E-3</v>
      </c>
      <c r="D240" s="380"/>
      <c r="E240" s="419">
        <v>769011</v>
      </c>
      <c r="F240" s="419">
        <v>2819</v>
      </c>
      <c r="G240" s="419">
        <v>-673647</v>
      </c>
      <c r="H240" s="419">
        <v>-2637578</v>
      </c>
      <c r="I240" s="419">
        <v>0</v>
      </c>
      <c r="J240" s="380">
        <v>3.9338999999999997E-3</v>
      </c>
      <c r="K240" s="380"/>
      <c r="L240" s="419">
        <v>963050</v>
      </c>
      <c r="M240" s="419">
        <v>665112</v>
      </c>
      <c r="N240" s="419">
        <v>291156</v>
      </c>
      <c r="O240" s="419">
        <v>0</v>
      </c>
      <c r="P240" s="419">
        <v>0</v>
      </c>
      <c r="Q240" s="380">
        <v>3.9338999999999997E-3</v>
      </c>
      <c r="R240" s="380"/>
      <c r="S240" s="419">
        <v>-1976265</v>
      </c>
      <c r="T240" s="419">
        <v>-1953398</v>
      </c>
      <c r="U240" s="419">
        <v>-2052123</v>
      </c>
      <c r="V240" s="419">
        <v>-2637578</v>
      </c>
      <c r="W240" s="419">
        <v>0</v>
      </c>
      <c r="X240" s="380">
        <v>3.9338999999999997E-3</v>
      </c>
      <c r="Z240" s="419">
        <v>1575928</v>
      </c>
      <c r="AA240" s="419">
        <v>1107176</v>
      </c>
      <c r="AB240" s="419">
        <v>1107169</v>
      </c>
      <c r="AC240" s="419">
        <v>0</v>
      </c>
      <c r="AD240" s="419">
        <v>0</v>
      </c>
      <c r="AE240" s="380">
        <v>3.9338999999999997E-3</v>
      </c>
      <c r="AF240" s="380"/>
      <c r="AG240" s="419">
        <v>226146</v>
      </c>
      <c r="AH240" s="419">
        <v>203777</v>
      </c>
      <c r="AI240" s="419">
        <v>0</v>
      </c>
      <c r="AJ240" s="419">
        <v>0</v>
      </c>
      <c r="AK240" s="419">
        <v>0</v>
      </c>
      <c r="AL240" s="380">
        <v>3.9338999999999997E-3</v>
      </c>
      <c r="AM240" s="380"/>
      <c r="AN240" s="419">
        <v>-19848</v>
      </c>
      <c r="AO240" s="419">
        <v>-19848</v>
      </c>
      <c r="AP240" s="419">
        <v>-19849</v>
      </c>
      <c r="AQ240" s="419">
        <v>0</v>
      </c>
      <c r="AR240" s="419">
        <v>0</v>
      </c>
    </row>
    <row r="241" spans="1:48">
      <c r="A241" s="379">
        <v>92502</v>
      </c>
      <c r="B241" t="s">
        <v>954</v>
      </c>
      <c r="C241" s="380">
        <v>2.1100000000000001E-5</v>
      </c>
      <c r="D241" s="380"/>
      <c r="E241" s="419">
        <v>5583</v>
      </c>
      <c r="F241" s="419">
        <v>1385</v>
      </c>
      <c r="G241" s="419">
        <v>-1638</v>
      </c>
      <c r="H241" s="419">
        <v>-14147</v>
      </c>
      <c r="I241" s="419">
        <v>0</v>
      </c>
      <c r="J241" s="380">
        <v>2.1100000000000001E-5</v>
      </c>
      <c r="K241" s="380"/>
      <c r="L241" s="419">
        <v>5165</v>
      </c>
      <c r="M241" s="419">
        <v>3567</v>
      </c>
      <c r="N241" s="419">
        <v>1562</v>
      </c>
      <c r="O241" s="419">
        <v>0</v>
      </c>
      <c r="P241" s="419">
        <v>0</v>
      </c>
      <c r="Q241" s="380">
        <v>2.1100000000000001E-5</v>
      </c>
      <c r="R241" s="380"/>
      <c r="S241" s="419">
        <v>-10600</v>
      </c>
      <c r="T241" s="419">
        <v>-10477</v>
      </c>
      <c r="U241" s="419">
        <v>-11007</v>
      </c>
      <c r="V241" s="419">
        <v>-14147</v>
      </c>
      <c r="W241" s="419">
        <v>0</v>
      </c>
      <c r="X241" s="380">
        <v>2.1100000000000001E-5</v>
      </c>
      <c r="Z241" s="419">
        <v>8453</v>
      </c>
      <c r="AA241" s="419">
        <v>5938</v>
      </c>
      <c r="AB241" s="419">
        <v>5938</v>
      </c>
      <c r="AC241" s="419">
        <v>0</v>
      </c>
      <c r="AD241" s="419">
        <v>0</v>
      </c>
      <c r="AE241" s="380">
        <v>2.1100000000000001E-5</v>
      </c>
      <c r="AF241" s="380"/>
      <c r="AG241" s="419">
        <v>2565</v>
      </c>
      <c r="AH241" s="419">
        <v>2357</v>
      </c>
      <c r="AI241" s="419">
        <v>1869</v>
      </c>
      <c r="AJ241" s="419">
        <v>0</v>
      </c>
      <c r="AK241" s="419">
        <v>0</v>
      </c>
      <c r="AL241" s="380">
        <v>2.1100000000000001E-5</v>
      </c>
      <c r="AM241" s="380"/>
      <c r="AN241" s="419">
        <v>0</v>
      </c>
      <c r="AO241" s="419">
        <v>0</v>
      </c>
      <c r="AP241" s="419">
        <v>0</v>
      </c>
      <c r="AQ241" s="419">
        <v>0</v>
      </c>
      <c r="AR241" s="419">
        <v>0</v>
      </c>
    </row>
    <row r="242" spans="1:48">
      <c r="A242" s="379">
        <v>92504</v>
      </c>
      <c r="B242" t="s">
        <v>955</v>
      </c>
      <c r="C242" s="380">
        <v>9.1100000000000005E-5</v>
      </c>
      <c r="D242" s="380"/>
      <c r="E242" s="419">
        <v>29177</v>
      </c>
      <c r="F242" s="419">
        <v>10532</v>
      </c>
      <c r="G242" s="419">
        <v>-11840</v>
      </c>
      <c r="H242" s="419">
        <v>-61080</v>
      </c>
      <c r="I242" s="419">
        <v>0</v>
      </c>
      <c r="J242" s="380">
        <v>9.1100000000000005E-5</v>
      </c>
      <c r="K242" s="380"/>
      <c r="L242" s="419">
        <v>22302</v>
      </c>
      <c r="M242" s="419">
        <v>15402</v>
      </c>
      <c r="N242" s="419">
        <v>6742</v>
      </c>
      <c r="O242" s="419">
        <v>0</v>
      </c>
      <c r="P242" s="419">
        <v>0</v>
      </c>
      <c r="Q242" s="380">
        <v>9.1100000000000005E-5</v>
      </c>
      <c r="R242" s="380"/>
      <c r="S242" s="419">
        <v>-45766</v>
      </c>
      <c r="T242" s="419">
        <v>-45236</v>
      </c>
      <c r="U242" s="419">
        <v>-47522</v>
      </c>
      <c r="V242" s="419">
        <v>-61080</v>
      </c>
      <c r="W242" s="419">
        <v>0</v>
      </c>
      <c r="X242" s="380">
        <v>9.1100000000000005E-5</v>
      </c>
      <c r="Z242" s="419">
        <v>36495</v>
      </c>
      <c r="AA242" s="419">
        <v>25640</v>
      </c>
      <c r="AB242" s="419">
        <v>25639</v>
      </c>
      <c r="AC242" s="419">
        <v>0</v>
      </c>
      <c r="AD242" s="419">
        <v>0</v>
      </c>
      <c r="AE242" s="380">
        <v>9.1100000000000005E-5</v>
      </c>
      <c r="AF242" s="380"/>
      <c r="AG242" s="419">
        <v>16146</v>
      </c>
      <c r="AH242" s="419">
        <v>14726</v>
      </c>
      <c r="AI242" s="419">
        <v>3301</v>
      </c>
      <c r="AJ242" s="419">
        <v>0</v>
      </c>
      <c r="AK242" s="419">
        <v>0</v>
      </c>
      <c r="AL242" s="380">
        <v>9.1100000000000005E-5</v>
      </c>
      <c r="AM242" s="380"/>
      <c r="AN242" s="419">
        <v>0</v>
      </c>
      <c r="AO242" s="419">
        <v>0</v>
      </c>
      <c r="AP242" s="419">
        <v>0</v>
      </c>
      <c r="AQ242" s="419">
        <v>0</v>
      </c>
      <c r="AR242" s="419">
        <v>0</v>
      </c>
    </row>
    <row r="243" spans="1:48">
      <c r="A243" s="379">
        <v>92505</v>
      </c>
      <c r="B243" t="s">
        <v>956</v>
      </c>
      <c r="C243" s="380">
        <v>9.9099999999999996E-5</v>
      </c>
      <c r="D243" s="380"/>
      <c r="E243" s="419">
        <v>2477</v>
      </c>
      <c r="F243" s="419">
        <v>-22264</v>
      </c>
      <c r="G243" s="419">
        <v>-53289</v>
      </c>
      <c r="H243" s="419">
        <v>-66444</v>
      </c>
      <c r="I243" s="419">
        <v>0</v>
      </c>
      <c r="J243" s="380">
        <v>9.9099999999999996E-5</v>
      </c>
      <c r="K243" s="380"/>
      <c r="L243" s="419">
        <v>24260</v>
      </c>
      <c r="M243" s="419">
        <v>16755</v>
      </c>
      <c r="N243" s="419">
        <v>7335</v>
      </c>
      <c r="O243" s="419">
        <v>0</v>
      </c>
      <c r="P243" s="419">
        <v>0</v>
      </c>
      <c r="Q243" s="380">
        <v>9.9099999999999996E-5</v>
      </c>
      <c r="R243" s="380"/>
      <c r="S243" s="419">
        <v>-49785</v>
      </c>
      <c r="T243" s="419">
        <v>-49209</v>
      </c>
      <c r="U243" s="419">
        <v>-51696</v>
      </c>
      <c r="V243" s="419">
        <v>-66444</v>
      </c>
      <c r="W243" s="419">
        <v>0</v>
      </c>
      <c r="X243" s="380">
        <v>9.9099999999999996E-5</v>
      </c>
      <c r="Z243" s="419">
        <v>39700</v>
      </c>
      <c r="AA243" s="419">
        <v>27891</v>
      </c>
      <c r="AB243" s="419">
        <v>27891</v>
      </c>
      <c r="AC243" s="419">
        <v>0</v>
      </c>
      <c r="AD243" s="419">
        <v>0</v>
      </c>
      <c r="AE243" s="380">
        <v>9.9099999999999996E-5</v>
      </c>
      <c r="AF243" s="380"/>
      <c r="AG243" s="419">
        <v>25121</v>
      </c>
      <c r="AH243" s="419">
        <v>19118</v>
      </c>
      <c r="AI243" s="419">
        <v>0</v>
      </c>
      <c r="AJ243" s="419">
        <v>0</v>
      </c>
      <c r="AK243" s="419">
        <v>0</v>
      </c>
      <c r="AL243" s="380">
        <v>9.9099999999999996E-5</v>
      </c>
      <c r="AM243" s="380"/>
      <c r="AN243" s="419">
        <v>-36819</v>
      </c>
      <c r="AO243" s="419">
        <v>-36819</v>
      </c>
      <c r="AP243" s="419">
        <v>-36819</v>
      </c>
      <c r="AQ243" s="419">
        <v>0</v>
      </c>
      <c r="AR243" s="419">
        <v>0</v>
      </c>
    </row>
    <row r="244" spans="1:48">
      <c r="A244" s="379">
        <v>92506</v>
      </c>
      <c r="B244" t="s">
        <v>957</v>
      </c>
      <c r="C244" s="380">
        <v>6.4999999999999994E-5</v>
      </c>
      <c r="D244" s="380"/>
      <c r="E244" s="419">
        <v>23434</v>
      </c>
      <c r="F244" s="419">
        <v>7818</v>
      </c>
      <c r="G244" s="419">
        <v>-5173</v>
      </c>
      <c r="H244" s="419">
        <v>-43581</v>
      </c>
      <c r="I244" s="419">
        <v>0</v>
      </c>
      <c r="J244" s="380">
        <v>6.4999999999999994E-5</v>
      </c>
      <c r="K244" s="380"/>
      <c r="L244" s="419">
        <v>15913</v>
      </c>
      <c r="M244" s="419">
        <v>10990</v>
      </c>
      <c r="N244" s="419">
        <v>4811</v>
      </c>
      <c r="O244" s="419">
        <v>0</v>
      </c>
      <c r="P244" s="419">
        <v>0</v>
      </c>
      <c r="Q244" s="380">
        <v>6.4999999999999994E-5</v>
      </c>
      <c r="R244" s="380"/>
      <c r="S244" s="419">
        <v>-32654</v>
      </c>
      <c r="T244" s="419">
        <v>-32276</v>
      </c>
      <c r="U244" s="419">
        <v>-33907</v>
      </c>
      <c r="V244" s="419">
        <v>-43581</v>
      </c>
      <c r="W244" s="419">
        <v>0</v>
      </c>
      <c r="X244" s="380">
        <v>6.4999999999999994E-5</v>
      </c>
      <c r="Z244" s="419">
        <v>26039</v>
      </c>
      <c r="AA244" s="419">
        <v>18294</v>
      </c>
      <c r="AB244" s="419">
        <v>18294</v>
      </c>
      <c r="AC244" s="419">
        <v>0</v>
      </c>
      <c r="AD244" s="419">
        <v>0</v>
      </c>
      <c r="AE244" s="380">
        <v>6.4999999999999994E-5</v>
      </c>
      <c r="AF244" s="380"/>
      <c r="AG244" s="419">
        <v>14469</v>
      </c>
      <c r="AH244" s="419">
        <v>11144</v>
      </c>
      <c r="AI244" s="419">
        <v>5629</v>
      </c>
      <c r="AJ244" s="419">
        <v>0</v>
      </c>
      <c r="AK244" s="419">
        <v>0</v>
      </c>
      <c r="AL244" s="380">
        <v>6.4999999999999994E-5</v>
      </c>
      <c r="AM244" s="380"/>
      <c r="AN244" s="419">
        <v>-333</v>
      </c>
      <c r="AO244" s="419">
        <v>-334</v>
      </c>
      <c r="AP244" s="419">
        <v>0</v>
      </c>
      <c r="AQ244" s="419">
        <v>0</v>
      </c>
      <c r="AR244" s="419">
        <v>0</v>
      </c>
    </row>
    <row r="245" spans="1:48">
      <c r="A245" s="379">
        <v>92507</v>
      </c>
      <c r="B245" t="s">
        <v>958</v>
      </c>
      <c r="C245" s="380">
        <v>1.033E-4</v>
      </c>
      <c r="D245" s="380"/>
      <c r="E245" s="419">
        <v>15599</v>
      </c>
      <c r="F245" s="419">
        <v>-2065</v>
      </c>
      <c r="G245" s="419">
        <v>-11394</v>
      </c>
      <c r="H245" s="419">
        <v>-69260</v>
      </c>
      <c r="I245" s="419">
        <v>0</v>
      </c>
      <c r="J245" s="380">
        <v>1.033E-4</v>
      </c>
      <c r="K245" s="380"/>
      <c r="L245" s="419">
        <v>25289</v>
      </c>
      <c r="M245" s="419">
        <v>17465</v>
      </c>
      <c r="N245" s="419">
        <v>7645</v>
      </c>
      <c r="O245" s="419">
        <v>0</v>
      </c>
      <c r="P245" s="419">
        <v>0</v>
      </c>
      <c r="Q245" s="380">
        <v>1.033E-4</v>
      </c>
      <c r="R245" s="380"/>
      <c r="S245" s="419">
        <v>-51895</v>
      </c>
      <c r="T245" s="419">
        <v>-51294</v>
      </c>
      <c r="U245" s="419">
        <v>-53887</v>
      </c>
      <c r="V245" s="419">
        <v>-69260</v>
      </c>
      <c r="W245" s="419">
        <v>0</v>
      </c>
      <c r="X245" s="380">
        <v>1.033E-4</v>
      </c>
      <c r="Z245" s="419">
        <v>41382</v>
      </c>
      <c r="AA245" s="419">
        <v>29073</v>
      </c>
      <c r="AB245" s="419">
        <v>29073</v>
      </c>
      <c r="AC245" s="419">
        <v>0</v>
      </c>
      <c r="AD245" s="419">
        <v>0</v>
      </c>
      <c r="AE245" s="380">
        <v>1.033E-4</v>
      </c>
      <c r="AF245" s="380"/>
      <c r="AG245" s="419">
        <v>6233</v>
      </c>
      <c r="AH245" s="419">
        <v>6233</v>
      </c>
      <c r="AI245" s="419">
        <v>5775</v>
      </c>
      <c r="AJ245" s="419">
        <v>0</v>
      </c>
      <c r="AK245" s="419">
        <v>0</v>
      </c>
      <c r="AL245" s="380">
        <v>1.033E-4</v>
      </c>
      <c r="AM245" s="380"/>
      <c r="AN245" s="419">
        <v>-5410</v>
      </c>
      <c r="AO245" s="419">
        <v>-3542</v>
      </c>
      <c r="AP245" s="419">
        <v>0</v>
      </c>
      <c r="AQ245" s="419">
        <v>0</v>
      </c>
      <c r="AR245" s="419">
        <v>0</v>
      </c>
    </row>
    <row r="246" spans="1:48">
      <c r="A246" s="379">
        <v>92509</v>
      </c>
      <c r="B246" t="s">
        <v>1618</v>
      </c>
      <c r="C246" s="380">
        <v>0</v>
      </c>
      <c r="D246" s="380"/>
      <c r="E246" s="419">
        <v>0</v>
      </c>
      <c r="F246" s="419">
        <v>0</v>
      </c>
      <c r="G246" s="419">
        <v>0</v>
      </c>
      <c r="H246" s="419">
        <v>0</v>
      </c>
      <c r="I246" s="419">
        <v>0</v>
      </c>
      <c r="J246" s="380"/>
      <c r="K246" s="380">
        <v>0</v>
      </c>
      <c r="L246" s="419">
        <v>0</v>
      </c>
      <c r="M246" s="419">
        <v>0</v>
      </c>
      <c r="N246" s="419">
        <v>0</v>
      </c>
      <c r="O246" s="419">
        <v>0</v>
      </c>
      <c r="P246" s="419">
        <v>0</v>
      </c>
      <c r="Q246" s="380"/>
      <c r="R246" s="380">
        <v>0</v>
      </c>
      <c r="S246" s="419">
        <v>0</v>
      </c>
      <c r="T246" s="419">
        <v>0</v>
      </c>
      <c r="U246" s="419">
        <v>0</v>
      </c>
      <c r="V246" s="419">
        <v>0</v>
      </c>
      <c r="W246" s="419">
        <v>0</v>
      </c>
      <c r="X246" s="380"/>
      <c r="Y246" s="419">
        <v>0</v>
      </c>
      <c r="Z246" s="419">
        <v>0</v>
      </c>
      <c r="AA246" s="419">
        <v>0</v>
      </c>
      <c r="AB246" s="419">
        <v>0</v>
      </c>
      <c r="AC246" s="419">
        <v>0</v>
      </c>
      <c r="AD246" s="419">
        <v>0</v>
      </c>
      <c r="AE246" s="380"/>
      <c r="AF246" s="380">
        <v>0</v>
      </c>
      <c r="AG246" s="419">
        <v>0</v>
      </c>
      <c r="AH246" s="419">
        <v>0</v>
      </c>
      <c r="AI246" s="419">
        <v>0</v>
      </c>
      <c r="AJ246" s="419">
        <v>0</v>
      </c>
      <c r="AK246" s="419">
        <v>0</v>
      </c>
      <c r="AL246" s="380"/>
      <c r="AM246" s="380">
        <v>0</v>
      </c>
      <c r="AN246" s="419">
        <v>0</v>
      </c>
      <c r="AO246" s="419">
        <v>0</v>
      </c>
      <c r="AP246" s="419">
        <v>0</v>
      </c>
      <c r="AQ246" s="419">
        <v>0</v>
      </c>
      <c r="AR246" s="419">
        <v>0</v>
      </c>
      <c r="AS246" s="419"/>
      <c r="AT246" s="419"/>
      <c r="AU246" s="419"/>
      <c r="AV246" s="419"/>
    </row>
    <row r="247" spans="1:48">
      <c r="A247" s="379">
        <v>92508</v>
      </c>
      <c r="B247" t="s">
        <v>959</v>
      </c>
      <c r="C247" s="380">
        <v>2.809E-4</v>
      </c>
      <c r="D247" s="380"/>
      <c r="E247" s="419">
        <v>49980</v>
      </c>
      <c r="F247" s="419">
        <v>-4561</v>
      </c>
      <c r="G247" s="419">
        <v>-51593</v>
      </c>
      <c r="H247" s="419">
        <v>-188336</v>
      </c>
      <c r="I247" s="419">
        <v>0</v>
      </c>
      <c r="J247" s="380">
        <v>2.809E-4</v>
      </c>
      <c r="K247" s="380"/>
      <c r="L247" s="419">
        <v>68767</v>
      </c>
      <c r="M247" s="419">
        <v>47492</v>
      </c>
      <c r="N247" s="419">
        <v>20790</v>
      </c>
      <c r="O247" s="419">
        <v>0</v>
      </c>
      <c r="P247" s="419">
        <v>0</v>
      </c>
      <c r="Q247" s="380">
        <v>2.809E-4</v>
      </c>
      <c r="R247" s="380"/>
      <c r="S247" s="419">
        <v>-141115</v>
      </c>
      <c r="T247" s="419">
        <v>-139482</v>
      </c>
      <c r="U247" s="419">
        <v>-146532</v>
      </c>
      <c r="V247" s="419">
        <v>-188336</v>
      </c>
      <c r="W247" s="419">
        <v>0</v>
      </c>
      <c r="X247" s="380">
        <v>2.809E-4</v>
      </c>
      <c r="Z247" s="419">
        <v>112529</v>
      </c>
      <c r="AA247" s="419">
        <v>79058</v>
      </c>
      <c r="AB247" s="419">
        <v>79057</v>
      </c>
      <c r="AC247" s="419">
        <v>0</v>
      </c>
      <c r="AD247" s="419">
        <v>0</v>
      </c>
      <c r="AE247" s="380">
        <v>2.809E-4</v>
      </c>
      <c r="AF247" s="380"/>
      <c r="AG247" s="419">
        <v>14708</v>
      </c>
      <c r="AH247" s="419">
        <v>13280</v>
      </c>
      <c r="AI247" s="419">
        <v>0</v>
      </c>
      <c r="AJ247" s="419">
        <v>0</v>
      </c>
      <c r="AK247" s="419">
        <v>0</v>
      </c>
      <c r="AL247" s="380">
        <v>2.809E-4</v>
      </c>
      <c r="AM247" s="380"/>
      <c r="AN247" s="419">
        <v>-4909</v>
      </c>
      <c r="AO247" s="419">
        <v>-4909</v>
      </c>
      <c r="AP247" s="419">
        <v>-4908</v>
      </c>
      <c r="AQ247" s="419">
        <v>0</v>
      </c>
      <c r="AR247" s="419">
        <v>0</v>
      </c>
    </row>
    <row r="248" spans="1:48">
      <c r="A248" s="379">
        <v>92511</v>
      </c>
      <c r="B248" t="s">
        <v>960</v>
      </c>
      <c r="C248" s="380">
        <v>3.346E-3</v>
      </c>
      <c r="D248" s="380"/>
      <c r="E248" s="419">
        <v>409487</v>
      </c>
      <c r="F248" s="419">
        <v>-226121</v>
      </c>
      <c r="G248" s="419">
        <v>-569356</v>
      </c>
      <c r="H248" s="419">
        <v>-2243406</v>
      </c>
      <c r="I248" s="419">
        <v>0</v>
      </c>
      <c r="J248" s="380">
        <v>3.346E-3</v>
      </c>
      <c r="K248" s="380"/>
      <c r="L248" s="419">
        <v>819128</v>
      </c>
      <c r="M248" s="419">
        <v>565715</v>
      </c>
      <c r="N248" s="419">
        <v>247644</v>
      </c>
      <c r="O248" s="419">
        <v>0</v>
      </c>
      <c r="P248" s="419">
        <v>0</v>
      </c>
      <c r="Q248" s="380">
        <v>3.346E-3</v>
      </c>
      <c r="R248" s="380"/>
      <c r="S248" s="419">
        <v>-1680923</v>
      </c>
      <c r="T248" s="419">
        <v>-1661473</v>
      </c>
      <c r="U248" s="419">
        <v>-1745444</v>
      </c>
      <c r="V248" s="419">
        <v>-2243406</v>
      </c>
      <c r="W248" s="419">
        <v>0</v>
      </c>
      <c r="X248" s="380">
        <v>3.346E-3</v>
      </c>
      <c r="Z248" s="419">
        <v>1340414</v>
      </c>
      <c r="AA248" s="419">
        <v>941715</v>
      </c>
      <c r="AB248" s="419">
        <v>941708</v>
      </c>
      <c r="AC248" s="419">
        <v>0</v>
      </c>
      <c r="AD248" s="419">
        <v>0</v>
      </c>
      <c r="AE248" s="380">
        <v>3.346E-3</v>
      </c>
      <c r="AF248" s="380"/>
      <c r="AG248" s="419">
        <v>46377</v>
      </c>
      <c r="AH248" s="419">
        <v>43432</v>
      </c>
      <c r="AI248" s="419">
        <v>0</v>
      </c>
      <c r="AJ248" s="419">
        <v>0</v>
      </c>
      <c r="AK248" s="419">
        <v>0</v>
      </c>
      <c r="AL248" s="380">
        <v>3.346E-3</v>
      </c>
      <c r="AM248" s="380"/>
      <c r="AN248" s="419">
        <v>-115509</v>
      </c>
      <c r="AO248" s="419">
        <v>-115510</v>
      </c>
      <c r="AP248" s="419">
        <v>-13264</v>
      </c>
      <c r="AQ248" s="419">
        <v>0</v>
      </c>
      <c r="AR248" s="419">
        <v>0</v>
      </c>
    </row>
    <row r="249" spans="1:48">
      <c r="A249" s="379">
        <v>92513</v>
      </c>
      <c r="B249" t="s">
        <v>961</v>
      </c>
      <c r="C249" s="380">
        <v>4.0124000000000002E-3</v>
      </c>
      <c r="D249" s="380"/>
      <c r="E249" s="419">
        <v>478069</v>
      </c>
      <c r="F249" s="419">
        <v>-228495</v>
      </c>
      <c r="G249" s="419">
        <v>-638527</v>
      </c>
      <c r="H249" s="419">
        <v>-2690210</v>
      </c>
      <c r="I249" s="419">
        <v>0</v>
      </c>
      <c r="J249" s="380">
        <v>4.0124000000000002E-3</v>
      </c>
      <c r="K249" s="380"/>
      <c r="L249" s="419">
        <v>982268</v>
      </c>
      <c r="M249" s="419">
        <v>678384</v>
      </c>
      <c r="N249" s="419">
        <v>296966</v>
      </c>
      <c r="O249" s="419">
        <v>0</v>
      </c>
      <c r="P249" s="419">
        <v>0</v>
      </c>
      <c r="Q249" s="380">
        <v>4.0124000000000002E-3</v>
      </c>
      <c r="R249" s="380"/>
      <c r="S249" s="419">
        <v>-2015701</v>
      </c>
      <c r="T249" s="419">
        <v>-1992377</v>
      </c>
      <c r="U249" s="419">
        <v>-2093072</v>
      </c>
      <c r="V249" s="419">
        <v>-2690210</v>
      </c>
      <c r="W249" s="419">
        <v>0</v>
      </c>
      <c r="X249" s="380">
        <v>4.0124000000000002E-3</v>
      </c>
      <c r="Z249" s="419">
        <v>1607375</v>
      </c>
      <c r="AA249" s="419">
        <v>1129270</v>
      </c>
      <c r="AB249" s="419">
        <v>1129262</v>
      </c>
      <c r="AC249" s="419">
        <v>0</v>
      </c>
      <c r="AD249" s="419">
        <v>0</v>
      </c>
      <c r="AE249" s="380">
        <v>4.0124000000000002E-3</v>
      </c>
      <c r="AF249" s="380"/>
      <c r="AG249" s="419">
        <v>28317</v>
      </c>
      <c r="AH249" s="419">
        <v>28317</v>
      </c>
      <c r="AI249" s="419">
        <v>28317</v>
      </c>
      <c r="AJ249" s="419">
        <v>0</v>
      </c>
      <c r="AK249" s="419">
        <v>0</v>
      </c>
      <c r="AL249" s="380">
        <v>4.0124000000000002E-3</v>
      </c>
      <c r="AM249" s="380"/>
      <c r="AN249" s="419">
        <v>-124190</v>
      </c>
      <c r="AO249" s="419">
        <v>-72089</v>
      </c>
      <c r="AP249" s="419">
        <v>0</v>
      </c>
      <c r="AQ249" s="419">
        <v>0</v>
      </c>
      <c r="AR249" s="419">
        <v>0</v>
      </c>
    </row>
    <row r="250" spans="1:48">
      <c r="A250" s="379">
        <v>92521</v>
      </c>
      <c r="B250" t="s">
        <v>962</v>
      </c>
      <c r="C250" s="380">
        <v>6.9599999999999998E-5</v>
      </c>
      <c r="D250" s="380"/>
      <c r="E250" s="419">
        <v>7630</v>
      </c>
      <c r="F250" s="419">
        <v>-5093</v>
      </c>
      <c r="G250" s="419">
        <v>-8990</v>
      </c>
      <c r="H250" s="419">
        <v>-46665</v>
      </c>
      <c r="I250" s="419">
        <v>0</v>
      </c>
      <c r="J250" s="380">
        <v>6.9599999999999998E-5</v>
      </c>
      <c r="K250" s="380"/>
      <c r="L250" s="419">
        <v>17039</v>
      </c>
      <c r="M250" s="419">
        <v>11767</v>
      </c>
      <c r="N250" s="419">
        <v>5151</v>
      </c>
      <c r="O250" s="419">
        <v>0</v>
      </c>
      <c r="P250" s="419">
        <v>0</v>
      </c>
      <c r="Q250" s="380">
        <v>6.9599999999999998E-5</v>
      </c>
      <c r="R250" s="380"/>
      <c r="S250" s="419">
        <v>-34965</v>
      </c>
      <c r="T250" s="419">
        <v>-34560</v>
      </c>
      <c r="U250" s="419">
        <v>-36307</v>
      </c>
      <c r="V250" s="419">
        <v>-46665</v>
      </c>
      <c r="W250" s="419">
        <v>0</v>
      </c>
      <c r="X250" s="380">
        <v>6.9599999999999998E-5</v>
      </c>
      <c r="Z250" s="419">
        <v>27882</v>
      </c>
      <c r="AA250" s="419">
        <v>19589</v>
      </c>
      <c r="AB250" s="419">
        <v>19588</v>
      </c>
      <c r="AC250" s="419">
        <v>0</v>
      </c>
      <c r="AD250" s="419">
        <v>0</v>
      </c>
      <c r="AE250" s="380">
        <v>6.9599999999999998E-5</v>
      </c>
      <c r="AF250" s="380"/>
      <c r="AG250" s="419">
        <v>2578</v>
      </c>
      <c r="AH250" s="419">
        <v>2578</v>
      </c>
      <c r="AI250" s="419">
        <v>2578</v>
      </c>
      <c r="AJ250" s="419">
        <v>0</v>
      </c>
      <c r="AK250" s="419">
        <v>0</v>
      </c>
      <c r="AL250" s="380">
        <v>6.9599999999999998E-5</v>
      </c>
      <c r="AM250" s="380"/>
      <c r="AN250" s="419">
        <v>-4904</v>
      </c>
      <c r="AO250" s="419">
        <v>-4467</v>
      </c>
      <c r="AP250" s="419">
        <v>0</v>
      </c>
      <c r="AQ250" s="419">
        <v>0</v>
      </c>
      <c r="AR250" s="419">
        <v>0</v>
      </c>
    </row>
    <row r="251" spans="1:48">
      <c r="A251" s="379">
        <v>92531</v>
      </c>
      <c r="B251" t="s">
        <v>963</v>
      </c>
      <c r="C251" s="380">
        <v>7.8069999999999995E-4</v>
      </c>
      <c r="D251" s="380"/>
      <c r="E251" s="419">
        <v>45156</v>
      </c>
      <c r="F251" s="419">
        <v>-90268</v>
      </c>
      <c r="G251" s="419">
        <v>-173740</v>
      </c>
      <c r="H251" s="419">
        <v>-523439</v>
      </c>
      <c r="I251" s="419">
        <v>0</v>
      </c>
      <c r="J251" s="380">
        <v>7.8069999999999995E-4</v>
      </c>
      <c r="K251" s="380"/>
      <c r="L251" s="419">
        <v>191122</v>
      </c>
      <c r="M251" s="419">
        <v>131995</v>
      </c>
      <c r="N251" s="419">
        <v>57781</v>
      </c>
      <c r="O251" s="419">
        <v>0</v>
      </c>
      <c r="P251" s="419">
        <v>0</v>
      </c>
      <c r="Q251" s="380">
        <v>7.8069999999999995E-4</v>
      </c>
      <c r="R251" s="380"/>
      <c r="S251" s="419">
        <v>-392199</v>
      </c>
      <c r="T251" s="419">
        <v>-387660</v>
      </c>
      <c r="U251" s="419">
        <v>-407253</v>
      </c>
      <c r="V251" s="419">
        <v>-523439</v>
      </c>
      <c r="W251" s="419">
        <v>0</v>
      </c>
      <c r="X251" s="380">
        <v>7.8069999999999995E-4</v>
      </c>
      <c r="Z251" s="419">
        <v>312750</v>
      </c>
      <c r="AA251" s="419">
        <v>219724</v>
      </c>
      <c r="AB251" s="419">
        <v>219723</v>
      </c>
      <c r="AC251" s="419">
        <v>0</v>
      </c>
      <c r="AD251" s="419">
        <v>0</v>
      </c>
      <c r="AE251" s="380">
        <v>7.8069999999999995E-4</v>
      </c>
      <c r="AF251" s="380"/>
      <c r="AG251" s="419">
        <v>0</v>
      </c>
      <c r="AH251" s="419">
        <v>0</v>
      </c>
      <c r="AI251" s="419">
        <v>0</v>
      </c>
      <c r="AJ251" s="419">
        <v>0</v>
      </c>
      <c r="AK251" s="419">
        <v>0</v>
      </c>
      <c r="AL251" s="380">
        <v>7.8069999999999995E-4</v>
      </c>
      <c r="AM251" s="380"/>
      <c r="AN251" s="419">
        <v>-66517</v>
      </c>
      <c r="AO251" s="419">
        <v>-54327</v>
      </c>
      <c r="AP251" s="419">
        <v>-43991</v>
      </c>
      <c r="AQ251" s="419">
        <v>0</v>
      </c>
      <c r="AR251" s="419">
        <v>0</v>
      </c>
    </row>
    <row r="252" spans="1:48">
      <c r="A252" s="379">
        <v>92541</v>
      </c>
      <c r="B252" t="s">
        <v>964</v>
      </c>
      <c r="C252" s="380">
        <v>1.4630000000000001E-4</v>
      </c>
      <c r="D252" s="380"/>
      <c r="E252" s="419">
        <v>22452</v>
      </c>
      <c r="F252" s="419">
        <v>-1455</v>
      </c>
      <c r="G252" s="419">
        <v>-24851</v>
      </c>
      <c r="H252" s="419">
        <v>-98090</v>
      </c>
      <c r="I252" s="419">
        <v>0</v>
      </c>
      <c r="J252" s="380">
        <v>1.4630000000000001E-4</v>
      </c>
      <c r="K252" s="380"/>
      <c r="L252" s="419">
        <v>35815</v>
      </c>
      <c r="M252" s="419">
        <v>24735</v>
      </c>
      <c r="N252" s="419">
        <v>10828</v>
      </c>
      <c r="O252" s="419">
        <v>0</v>
      </c>
      <c r="P252" s="419">
        <v>0</v>
      </c>
      <c r="Q252" s="380">
        <v>1.4630000000000001E-4</v>
      </c>
      <c r="R252" s="380"/>
      <c r="S252" s="419">
        <v>-73496</v>
      </c>
      <c r="T252" s="419">
        <v>-72646</v>
      </c>
      <c r="U252" s="419">
        <v>-76318</v>
      </c>
      <c r="V252" s="419">
        <v>-98090</v>
      </c>
      <c r="W252" s="419">
        <v>0</v>
      </c>
      <c r="X252" s="380">
        <v>1.4630000000000001E-4</v>
      </c>
      <c r="Z252" s="419">
        <v>58608</v>
      </c>
      <c r="AA252" s="419">
        <v>41175</v>
      </c>
      <c r="AB252" s="419">
        <v>41175</v>
      </c>
      <c r="AC252" s="419">
        <v>0</v>
      </c>
      <c r="AD252" s="419">
        <v>0</v>
      </c>
      <c r="AE252" s="380">
        <v>1.4630000000000001E-4</v>
      </c>
      <c r="AF252" s="380"/>
      <c r="AG252" s="419">
        <v>5820</v>
      </c>
      <c r="AH252" s="419">
        <v>5818</v>
      </c>
      <c r="AI252" s="419">
        <v>0</v>
      </c>
      <c r="AJ252" s="419">
        <v>0</v>
      </c>
      <c r="AK252" s="419">
        <v>0</v>
      </c>
      <c r="AL252" s="380">
        <v>1.4630000000000001E-4</v>
      </c>
      <c r="AM252" s="380"/>
      <c r="AN252" s="419">
        <v>-4295</v>
      </c>
      <c r="AO252" s="419">
        <v>-537</v>
      </c>
      <c r="AP252" s="419">
        <v>-536</v>
      </c>
      <c r="AQ252" s="419">
        <v>0</v>
      </c>
      <c r="AR252" s="419">
        <v>0</v>
      </c>
    </row>
    <row r="253" spans="1:48">
      <c r="A253" s="379">
        <v>92551</v>
      </c>
      <c r="B253" t="s">
        <v>965</v>
      </c>
      <c r="C253" s="380">
        <v>6.2199999999999994E-5</v>
      </c>
      <c r="D253" s="380"/>
      <c r="E253" s="419">
        <v>8395</v>
      </c>
      <c r="F253" s="419">
        <v>-1597</v>
      </c>
      <c r="G253" s="419">
        <v>-8664</v>
      </c>
      <c r="H253" s="419">
        <v>-41703</v>
      </c>
      <c r="I253" s="419">
        <v>0</v>
      </c>
      <c r="J253" s="380">
        <v>6.2199999999999994E-5</v>
      </c>
      <c r="K253" s="380"/>
      <c r="L253" s="419">
        <v>15227</v>
      </c>
      <c r="M253" s="419">
        <v>10516</v>
      </c>
      <c r="N253" s="419">
        <v>4604</v>
      </c>
      <c r="O253" s="419">
        <v>0</v>
      </c>
      <c r="P253" s="419">
        <v>0</v>
      </c>
      <c r="Q253" s="380">
        <v>6.2199999999999994E-5</v>
      </c>
      <c r="R253" s="380"/>
      <c r="S253" s="419">
        <v>-31247</v>
      </c>
      <c r="T253" s="419">
        <v>-30886</v>
      </c>
      <c r="U253" s="419">
        <v>-32447</v>
      </c>
      <c r="V253" s="419">
        <v>-41703</v>
      </c>
      <c r="W253" s="419">
        <v>0</v>
      </c>
      <c r="X253" s="380">
        <v>6.2199999999999994E-5</v>
      </c>
      <c r="Z253" s="419">
        <v>24917</v>
      </c>
      <c r="AA253" s="419">
        <v>17506</v>
      </c>
      <c r="AB253" s="419">
        <v>17506</v>
      </c>
      <c r="AC253" s="419">
        <v>0</v>
      </c>
      <c r="AD253" s="419">
        <v>0</v>
      </c>
      <c r="AE253" s="380">
        <v>6.2199999999999994E-5</v>
      </c>
      <c r="AF253" s="380"/>
      <c r="AG253" s="419">
        <v>3476</v>
      </c>
      <c r="AH253" s="419">
        <v>3477</v>
      </c>
      <c r="AI253" s="419">
        <v>1673</v>
      </c>
      <c r="AJ253" s="419">
        <v>0</v>
      </c>
      <c r="AK253" s="419">
        <v>0</v>
      </c>
      <c r="AL253" s="380">
        <v>6.2199999999999994E-5</v>
      </c>
      <c r="AM253" s="380"/>
      <c r="AN253" s="419">
        <v>-3978</v>
      </c>
      <c r="AO253" s="419">
        <v>-2210</v>
      </c>
      <c r="AP253" s="419">
        <v>0</v>
      </c>
      <c r="AQ253" s="419">
        <v>0</v>
      </c>
      <c r="AR253" s="419">
        <v>0</v>
      </c>
    </row>
    <row r="254" spans="1:48">
      <c r="A254" s="379">
        <v>92561</v>
      </c>
      <c r="B254" t="s">
        <v>966</v>
      </c>
      <c r="C254" s="380">
        <v>1.5699999999999999E-5</v>
      </c>
      <c r="D254" s="380"/>
      <c r="E254" s="419">
        <v>2410</v>
      </c>
      <c r="F254" s="419">
        <v>-524</v>
      </c>
      <c r="G254" s="419">
        <v>-197</v>
      </c>
      <c r="H254" s="419">
        <v>-10526</v>
      </c>
      <c r="I254" s="419">
        <v>0</v>
      </c>
      <c r="J254" s="380">
        <v>1.5699999999999999E-5</v>
      </c>
      <c r="K254" s="380"/>
      <c r="L254" s="419">
        <v>3843</v>
      </c>
      <c r="M254" s="419">
        <v>2654</v>
      </c>
      <c r="N254" s="419">
        <v>1162</v>
      </c>
      <c r="O254" s="419">
        <v>0</v>
      </c>
      <c r="P254" s="419">
        <v>0</v>
      </c>
      <c r="Q254" s="380">
        <v>1.5699999999999999E-5</v>
      </c>
      <c r="R254" s="380"/>
      <c r="S254" s="419">
        <v>-7887</v>
      </c>
      <c r="T254" s="419">
        <v>-7796</v>
      </c>
      <c r="U254" s="419">
        <v>-8190</v>
      </c>
      <c r="V254" s="419">
        <v>-10526</v>
      </c>
      <c r="W254" s="419">
        <v>0</v>
      </c>
      <c r="X254" s="380">
        <v>1.5699999999999999E-5</v>
      </c>
      <c r="Z254" s="419">
        <v>6289</v>
      </c>
      <c r="AA254" s="419">
        <v>4419</v>
      </c>
      <c r="AB254" s="419">
        <v>4419</v>
      </c>
      <c r="AC254" s="419">
        <v>0</v>
      </c>
      <c r="AD254" s="419">
        <v>0</v>
      </c>
      <c r="AE254" s="380">
        <v>1.5699999999999999E-5</v>
      </c>
      <c r="AF254" s="380"/>
      <c r="AG254" s="419">
        <v>2412</v>
      </c>
      <c r="AH254" s="419">
        <v>2412</v>
      </c>
      <c r="AI254" s="419">
        <v>2412</v>
      </c>
      <c r="AJ254" s="419">
        <v>0</v>
      </c>
      <c r="AK254" s="419">
        <v>0</v>
      </c>
      <c r="AL254" s="380">
        <v>1.5699999999999999E-5</v>
      </c>
      <c r="AM254" s="380"/>
      <c r="AN254" s="419">
        <v>-2247</v>
      </c>
      <c r="AO254" s="419">
        <v>-2213</v>
      </c>
      <c r="AP254" s="419">
        <v>0</v>
      </c>
      <c r="AQ254" s="419">
        <v>0</v>
      </c>
      <c r="AR254" s="419">
        <v>0</v>
      </c>
    </row>
    <row r="255" spans="1:48">
      <c r="A255" s="379">
        <v>92571</v>
      </c>
      <c r="B255" t="s">
        <v>967</v>
      </c>
      <c r="C255" s="380">
        <v>5.3000000000000001E-6</v>
      </c>
      <c r="D255" s="380"/>
      <c r="E255" s="419">
        <v>1003</v>
      </c>
      <c r="F255" s="419">
        <v>-267</v>
      </c>
      <c r="G255" s="419">
        <v>141</v>
      </c>
      <c r="H255" s="419">
        <v>-3554</v>
      </c>
      <c r="I255" s="419">
        <v>0</v>
      </c>
      <c r="J255" s="380">
        <v>5.3000000000000001E-6</v>
      </c>
      <c r="K255" s="380"/>
      <c r="L255" s="419">
        <v>1297</v>
      </c>
      <c r="M255" s="419">
        <v>896</v>
      </c>
      <c r="N255" s="419">
        <v>392</v>
      </c>
      <c r="O255" s="419">
        <v>0</v>
      </c>
      <c r="P255" s="419">
        <v>0</v>
      </c>
      <c r="Q255" s="380">
        <v>5.3000000000000001E-6</v>
      </c>
      <c r="R255" s="380"/>
      <c r="S255" s="419">
        <v>-2663</v>
      </c>
      <c r="T255" s="419">
        <v>-2632</v>
      </c>
      <c r="U255" s="419">
        <v>-2765</v>
      </c>
      <c r="V255" s="419">
        <v>-3554</v>
      </c>
      <c r="W255" s="419">
        <v>0</v>
      </c>
      <c r="X255" s="380">
        <v>5.3000000000000001E-6</v>
      </c>
      <c r="Z255" s="419">
        <v>2123</v>
      </c>
      <c r="AA255" s="419">
        <v>1492</v>
      </c>
      <c r="AB255" s="419">
        <v>1492</v>
      </c>
      <c r="AC255" s="419">
        <v>0</v>
      </c>
      <c r="AD255" s="419">
        <v>0</v>
      </c>
      <c r="AE255" s="380">
        <v>5.3000000000000001E-6</v>
      </c>
      <c r="AF255" s="380"/>
      <c r="AG255" s="419">
        <v>1340</v>
      </c>
      <c r="AH255" s="419">
        <v>1072</v>
      </c>
      <c r="AI255" s="419">
        <v>1022</v>
      </c>
      <c r="AJ255" s="419">
        <v>0</v>
      </c>
      <c r="AK255" s="419">
        <v>0</v>
      </c>
      <c r="AL255" s="380">
        <v>5.3000000000000001E-6</v>
      </c>
      <c r="AM255" s="380"/>
      <c r="AN255" s="419">
        <v>-1094</v>
      </c>
      <c r="AO255" s="419">
        <v>-1095</v>
      </c>
      <c r="AP255" s="419">
        <v>0</v>
      </c>
      <c r="AQ255" s="419">
        <v>0</v>
      </c>
      <c r="AR255" s="419">
        <v>0</v>
      </c>
    </row>
    <row r="256" spans="1:48">
      <c r="A256" s="379">
        <v>92601</v>
      </c>
      <c r="B256" t="s">
        <v>968</v>
      </c>
      <c r="C256" s="380">
        <v>1.2883E-2</v>
      </c>
      <c r="D256" s="380"/>
      <c r="E256" s="419">
        <v>1517496</v>
      </c>
      <c r="F256" s="419">
        <v>-629389</v>
      </c>
      <c r="G256" s="419">
        <v>-2035478</v>
      </c>
      <c r="H256" s="419">
        <v>-8637717</v>
      </c>
      <c r="I256" s="419">
        <v>0</v>
      </c>
      <c r="J256" s="380">
        <v>1.2883E-2</v>
      </c>
      <c r="K256" s="380"/>
      <c r="L256" s="419">
        <v>3153861</v>
      </c>
      <c r="M256" s="419">
        <v>2178155</v>
      </c>
      <c r="N256" s="419">
        <v>953497</v>
      </c>
      <c r="O256" s="419">
        <v>0</v>
      </c>
      <c r="P256" s="419">
        <v>0</v>
      </c>
      <c r="Q256" s="380">
        <v>1.2883E-2</v>
      </c>
      <c r="R256" s="380"/>
      <c r="S256" s="419">
        <v>-6472007</v>
      </c>
      <c r="T256" s="419">
        <v>-6397118</v>
      </c>
      <c r="U256" s="419">
        <v>-6720430</v>
      </c>
      <c r="V256" s="419">
        <v>-8637717</v>
      </c>
      <c r="W256" s="419">
        <v>0</v>
      </c>
      <c r="X256" s="380">
        <v>1.2883E-2</v>
      </c>
      <c r="Z256" s="419">
        <v>5160956</v>
      </c>
      <c r="AA256" s="419">
        <v>3625856</v>
      </c>
      <c r="AB256" s="419">
        <v>3625830</v>
      </c>
      <c r="AC256" s="419">
        <v>0</v>
      </c>
      <c r="AD256" s="419">
        <v>0</v>
      </c>
      <c r="AE256" s="380">
        <v>1.2883E-2</v>
      </c>
      <c r="AF256" s="380"/>
      <c r="AG256" s="419">
        <v>105624</v>
      </c>
      <c r="AH256" s="419">
        <v>105624</v>
      </c>
      <c r="AI256" s="419">
        <v>105625</v>
      </c>
      <c r="AJ256" s="419">
        <v>0</v>
      </c>
      <c r="AK256" s="419">
        <v>0</v>
      </c>
      <c r="AL256" s="380">
        <v>1.2883E-2</v>
      </c>
      <c r="AM256" s="380"/>
      <c r="AN256" s="419">
        <v>-430938</v>
      </c>
      <c r="AO256" s="419">
        <v>-141906</v>
      </c>
      <c r="AP256" s="419">
        <v>0</v>
      </c>
      <c r="AQ256" s="419">
        <v>0</v>
      </c>
      <c r="AR256" s="419">
        <v>0</v>
      </c>
    </row>
    <row r="257" spans="1:44">
      <c r="A257" s="379">
        <v>92602</v>
      </c>
      <c r="B257" t="s">
        <v>969</v>
      </c>
      <c r="C257" s="380">
        <v>5.2000000000000002E-6</v>
      </c>
      <c r="D257" s="380"/>
      <c r="E257" s="419">
        <v>-16</v>
      </c>
      <c r="F257" s="419">
        <v>-524</v>
      </c>
      <c r="G257" s="419">
        <v>-529</v>
      </c>
      <c r="H257" s="419">
        <v>-3486</v>
      </c>
      <c r="I257" s="419">
        <v>0</v>
      </c>
      <c r="J257" s="380">
        <v>5.2000000000000002E-6</v>
      </c>
      <c r="K257" s="380"/>
      <c r="L257" s="419">
        <v>1273</v>
      </c>
      <c r="M257" s="419">
        <v>879</v>
      </c>
      <c r="N257" s="419">
        <v>385</v>
      </c>
      <c r="O257" s="419">
        <v>0</v>
      </c>
      <c r="P257" s="419">
        <v>0</v>
      </c>
      <c r="Q257" s="380">
        <v>5.2000000000000002E-6</v>
      </c>
      <c r="R257" s="380"/>
      <c r="S257" s="419">
        <v>-2612</v>
      </c>
      <c r="T257" s="419">
        <v>-2582</v>
      </c>
      <c r="U257" s="419">
        <v>-2713</v>
      </c>
      <c r="V257" s="419">
        <v>-3486</v>
      </c>
      <c r="W257" s="419">
        <v>0</v>
      </c>
      <c r="X257" s="380">
        <v>5.2000000000000002E-6</v>
      </c>
      <c r="Z257" s="419">
        <v>2083</v>
      </c>
      <c r="AA257" s="419">
        <v>1464</v>
      </c>
      <c r="AB257" s="419">
        <v>1464</v>
      </c>
      <c r="AC257" s="419">
        <v>0</v>
      </c>
      <c r="AD257" s="419">
        <v>0</v>
      </c>
      <c r="AE257" s="380">
        <v>5.2000000000000002E-6</v>
      </c>
      <c r="AF257" s="380"/>
      <c r="AG257" s="419">
        <v>335</v>
      </c>
      <c r="AH257" s="419">
        <v>335</v>
      </c>
      <c r="AI257" s="419">
        <v>335</v>
      </c>
      <c r="AJ257" s="419">
        <v>0</v>
      </c>
      <c r="AK257" s="419">
        <v>0</v>
      </c>
      <c r="AL257" s="380">
        <v>5.2000000000000002E-6</v>
      </c>
      <c r="AM257" s="380"/>
      <c r="AN257" s="419">
        <v>-1095</v>
      </c>
      <c r="AO257" s="419">
        <v>-620</v>
      </c>
      <c r="AP257" s="419">
        <v>0</v>
      </c>
      <c r="AQ257" s="419">
        <v>0</v>
      </c>
      <c r="AR257" s="419">
        <v>0</v>
      </c>
    </row>
    <row r="258" spans="1:44">
      <c r="A258" s="379">
        <v>92604</v>
      </c>
      <c r="B258" t="s">
        <v>970</v>
      </c>
      <c r="C258" s="380">
        <v>3.392E-4</v>
      </c>
      <c r="D258" s="380"/>
      <c r="E258" s="419">
        <v>57433</v>
      </c>
      <c r="F258" s="419">
        <v>-11686</v>
      </c>
      <c r="G258" s="419">
        <v>-71050</v>
      </c>
      <c r="H258" s="419">
        <v>-227425</v>
      </c>
      <c r="I258" s="419">
        <v>0</v>
      </c>
      <c r="J258" s="380">
        <v>3.392E-4</v>
      </c>
      <c r="K258" s="380"/>
      <c r="L258" s="419">
        <v>83039</v>
      </c>
      <c r="M258" s="419">
        <v>57349</v>
      </c>
      <c r="N258" s="419">
        <v>25105</v>
      </c>
      <c r="O258" s="419">
        <v>0</v>
      </c>
      <c r="P258" s="419">
        <v>0</v>
      </c>
      <c r="Q258" s="380">
        <v>3.392E-4</v>
      </c>
      <c r="R258" s="380"/>
      <c r="S258" s="419">
        <v>-170403</v>
      </c>
      <c r="T258" s="419">
        <v>-168431</v>
      </c>
      <c r="U258" s="419">
        <v>-176944</v>
      </c>
      <c r="V258" s="419">
        <v>-227425</v>
      </c>
      <c r="W258" s="419">
        <v>0</v>
      </c>
      <c r="X258" s="380">
        <v>3.392E-4</v>
      </c>
      <c r="Z258" s="419">
        <v>135884</v>
      </c>
      <c r="AA258" s="419">
        <v>95466</v>
      </c>
      <c r="AB258" s="419">
        <v>95465</v>
      </c>
      <c r="AC258" s="419">
        <v>0</v>
      </c>
      <c r="AD258" s="419">
        <v>0</v>
      </c>
      <c r="AE258" s="380">
        <v>3.392E-4</v>
      </c>
      <c r="AF258" s="380"/>
      <c r="AG258" s="419">
        <v>23588</v>
      </c>
      <c r="AH258" s="419">
        <v>18605</v>
      </c>
      <c r="AI258" s="419">
        <v>0</v>
      </c>
      <c r="AJ258" s="419">
        <v>0</v>
      </c>
      <c r="AK258" s="419">
        <v>0</v>
      </c>
      <c r="AL258" s="380">
        <v>3.392E-4</v>
      </c>
      <c r="AM258" s="380"/>
      <c r="AN258" s="419">
        <v>-14675</v>
      </c>
      <c r="AO258" s="419">
        <v>-14675</v>
      </c>
      <c r="AP258" s="419">
        <v>-14676</v>
      </c>
      <c r="AQ258" s="419">
        <v>0</v>
      </c>
      <c r="AR258" s="419">
        <v>0</v>
      </c>
    </row>
    <row r="259" spans="1:44">
      <c r="A259" s="379">
        <v>92607</v>
      </c>
      <c r="B259" t="s">
        <v>971</v>
      </c>
      <c r="C259" s="380">
        <v>7.25E-5</v>
      </c>
      <c r="D259" s="380"/>
      <c r="E259" s="419">
        <v>22235</v>
      </c>
      <c r="F259" s="419">
        <v>7263</v>
      </c>
      <c r="G259" s="419">
        <v>-8342</v>
      </c>
      <c r="H259" s="419">
        <v>-48609</v>
      </c>
      <c r="I259" s="419">
        <v>0</v>
      </c>
      <c r="J259" s="380">
        <v>7.25E-5</v>
      </c>
      <c r="K259" s="380"/>
      <c r="L259" s="419">
        <v>17749</v>
      </c>
      <c r="M259" s="419">
        <v>12258</v>
      </c>
      <c r="N259" s="419">
        <v>5366</v>
      </c>
      <c r="O259" s="419">
        <v>0</v>
      </c>
      <c r="P259" s="419">
        <v>0</v>
      </c>
      <c r="Q259" s="380">
        <v>7.25E-5</v>
      </c>
      <c r="R259" s="380"/>
      <c r="S259" s="419">
        <v>-36422</v>
      </c>
      <c r="T259" s="419">
        <v>-36000</v>
      </c>
      <c r="U259" s="419">
        <v>-37820</v>
      </c>
      <c r="V259" s="419">
        <v>-48609</v>
      </c>
      <c r="W259" s="419">
        <v>0</v>
      </c>
      <c r="X259" s="380">
        <v>7.25E-5</v>
      </c>
      <c r="Z259" s="419">
        <v>29044</v>
      </c>
      <c r="AA259" s="419">
        <v>20405</v>
      </c>
      <c r="AB259" s="419">
        <v>20405</v>
      </c>
      <c r="AC259" s="419">
        <v>0</v>
      </c>
      <c r="AD259" s="419">
        <v>0</v>
      </c>
      <c r="AE259" s="380">
        <v>7.25E-5</v>
      </c>
      <c r="AF259" s="380"/>
      <c r="AG259" s="419">
        <v>12053</v>
      </c>
      <c r="AH259" s="419">
        <v>10791</v>
      </c>
      <c r="AI259" s="419">
        <v>3707</v>
      </c>
      <c r="AJ259" s="419">
        <v>0</v>
      </c>
      <c r="AK259" s="419">
        <v>0</v>
      </c>
      <c r="AL259" s="380">
        <v>7.25E-5</v>
      </c>
      <c r="AM259" s="380"/>
      <c r="AN259" s="419">
        <v>-189</v>
      </c>
      <c r="AO259" s="419">
        <v>-191</v>
      </c>
      <c r="AP259" s="419">
        <v>0</v>
      </c>
      <c r="AQ259" s="419">
        <v>0</v>
      </c>
      <c r="AR259" s="419">
        <v>0</v>
      </c>
    </row>
    <row r="260" spans="1:44">
      <c r="A260" s="379">
        <v>92608</v>
      </c>
      <c r="B260" t="s">
        <v>3718</v>
      </c>
      <c r="C260" s="380">
        <v>0</v>
      </c>
      <c r="D260" s="380"/>
      <c r="E260" s="419">
        <v>0</v>
      </c>
      <c r="F260" s="419">
        <v>0</v>
      </c>
      <c r="G260" s="419">
        <v>0</v>
      </c>
      <c r="H260" s="419">
        <v>0</v>
      </c>
      <c r="I260" s="419">
        <v>0</v>
      </c>
      <c r="J260" s="419">
        <v>0</v>
      </c>
      <c r="K260" s="419">
        <v>0</v>
      </c>
      <c r="L260" s="419">
        <v>0</v>
      </c>
      <c r="M260" s="419">
        <v>0</v>
      </c>
      <c r="N260" s="419">
        <v>0</v>
      </c>
      <c r="O260" s="419">
        <v>0</v>
      </c>
      <c r="P260" s="419">
        <v>0</v>
      </c>
      <c r="Q260" s="419">
        <v>0</v>
      </c>
      <c r="R260" s="419">
        <v>0</v>
      </c>
      <c r="S260" s="419">
        <v>0</v>
      </c>
      <c r="T260" s="419">
        <v>0</v>
      </c>
      <c r="U260" s="419">
        <v>0</v>
      </c>
      <c r="V260" s="419">
        <v>0</v>
      </c>
      <c r="W260" s="419">
        <v>0</v>
      </c>
      <c r="X260" s="419">
        <v>0</v>
      </c>
      <c r="Y260" s="419">
        <v>0</v>
      </c>
      <c r="Z260" s="419">
        <v>0</v>
      </c>
      <c r="AA260" s="419">
        <v>0</v>
      </c>
      <c r="AB260" s="419">
        <v>0</v>
      </c>
      <c r="AC260" s="419">
        <v>0</v>
      </c>
      <c r="AD260" s="419">
        <v>0</v>
      </c>
      <c r="AE260" s="419">
        <v>0</v>
      </c>
      <c r="AF260" s="419">
        <v>0</v>
      </c>
      <c r="AG260" s="419">
        <v>0</v>
      </c>
      <c r="AH260" s="419">
        <v>0</v>
      </c>
      <c r="AI260" s="419">
        <v>0</v>
      </c>
      <c r="AJ260" s="419">
        <v>0</v>
      </c>
      <c r="AK260" s="419">
        <v>0</v>
      </c>
      <c r="AL260" s="419">
        <v>0</v>
      </c>
      <c r="AM260" s="419">
        <v>0</v>
      </c>
      <c r="AN260" s="419">
        <v>0</v>
      </c>
      <c r="AO260" s="419">
        <v>0</v>
      </c>
      <c r="AP260" s="419">
        <v>0</v>
      </c>
      <c r="AQ260" s="419">
        <v>0</v>
      </c>
      <c r="AR260" s="419">
        <v>0</v>
      </c>
    </row>
    <row r="261" spans="1:44">
      <c r="A261" s="379">
        <v>92611</v>
      </c>
      <c r="B261" t="s">
        <v>973</v>
      </c>
      <c r="C261" s="380">
        <v>1.0895E-2</v>
      </c>
      <c r="D261" s="380"/>
      <c r="E261" s="419">
        <v>624735</v>
      </c>
      <c r="F261" s="419">
        <v>-1296562</v>
      </c>
      <c r="G261" s="419">
        <v>-2073961</v>
      </c>
      <c r="H261" s="419">
        <v>-7304814</v>
      </c>
      <c r="I261" s="419">
        <v>0</v>
      </c>
      <c r="J261" s="380">
        <v>1.0895E-2</v>
      </c>
      <c r="K261" s="380"/>
      <c r="L261" s="419">
        <v>2667183</v>
      </c>
      <c r="M261" s="419">
        <v>1842039</v>
      </c>
      <c r="N261" s="419">
        <v>806361</v>
      </c>
      <c r="O261" s="419">
        <v>0</v>
      </c>
      <c r="P261" s="419">
        <v>0</v>
      </c>
      <c r="Q261" s="380">
        <v>1.0895E-2</v>
      </c>
      <c r="R261" s="380"/>
      <c r="S261" s="419">
        <v>-5473299</v>
      </c>
      <c r="T261" s="419">
        <v>-5409967</v>
      </c>
      <c r="U261" s="419">
        <v>-5683388</v>
      </c>
      <c r="V261" s="419">
        <v>-7304814</v>
      </c>
      <c r="W261" s="419">
        <v>0</v>
      </c>
      <c r="X261" s="380">
        <v>1.0895E-2</v>
      </c>
      <c r="Z261" s="419">
        <v>4364559</v>
      </c>
      <c r="AA261" s="419">
        <v>3066343</v>
      </c>
      <c r="AB261" s="419">
        <v>3066321</v>
      </c>
      <c r="AC261" s="419">
        <v>0</v>
      </c>
      <c r="AD261" s="419">
        <v>0</v>
      </c>
      <c r="AE261" s="380">
        <v>1.0895E-2</v>
      </c>
      <c r="AF261" s="380"/>
      <c r="AG261" s="419">
        <v>0</v>
      </c>
      <c r="AH261" s="419">
        <v>0</v>
      </c>
      <c r="AI261" s="419">
        <v>0</v>
      </c>
      <c r="AJ261" s="419">
        <v>0</v>
      </c>
      <c r="AK261" s="419">
        <v>0</v>
      </c>
      <c r="AL261" s="380">
        <v>1.0895E-2</v>
      </c>
      <c r="AM261" s="380"/>
      <c r="AN261" s="419">
        <v>-933708</v>
      </c>
      <c r="AO261" s="419">
        <v>-794977</v>
      </c>
      <c r="AP261" s="419">
        <v>-263255</v>
      </c>
      <c r="AQ261" s="419">
        <v>0</v>
      </c>
      <c r="AR261" s="419">
        <v>0</v>
      </c>
    </row>
    <row r="262" spans="1:44">
      <c r="A262" s="379">
        <v>92613</v>
      </c>
      <c r="B262" t="s">
        <v>974</v>
      </c>
      <c r="C262" s="380">
        <v>2.265E-4</v>
      </c>
      <c r="D262" s="380"/>
      <c r="E262" s="419">
        <v>54934</v>
      </c>
      <c r="F262" s="419">
        <v>12381</v>
      </c>
      <c r="G262" s="419">
        <v>-25807</v>
      </c>
      <c r="H262" s="419">
        <v>-151862</v>
      </c>
      <c r="I262" s="419">
        <v>0</v>
      </c>
      <c r="J262" s="380">
        <v>2.265E-4</v>
      </c>
      <c r="K262" s="380"/>
      <c r="L262" s="419">
        <v>55449</v>
      </c>
      <c r="M262" s="419">
        <v>38295</v>
      </c>
      <c r="N262" s="419">
        <v>16764</v>
      </c>
      <c r="O262" s="419">
        <v>0</v>
      </c>
      <c r="P262" s="419">
        <v>0</v>
      </c>
      <c r="Q262" s="380">
        <v>2.265E-4</v>
      </c>
      <c r="R262" s="380"/>
      <c r="S262" s="419">
        <v>-113786</v>
      </c>
      <c r="T262" s="419">
        <v>-112470</v>
      </c>
      <c r="U262" s="419">
        <v>-118154</v>
      </c>
      <c r="V262" s="419">
        <v>-151862</v>
      </c>
      <c r="W262" s="419">
        <v>0</v>
      </c>
      <c r="X262" s="380">
        <v>2.265E-4</v>
      </c>
      <c r="Z262" s="419">
        <v>90736</v>
      </c>
      <c r="AA262" s="419">
        <v>63747</v>
      </c>
      <c r="AB262" s="419">
        <v>63747</v>
      </c>
      <c r="AC262" s="419">
        <v>0</v>
      </c>
      <c r="AD262" s="419">
        <v>0</v>
      </c>
      <c r="AE262" s="380">
        <v>2.265E-4</v>
      </c>
      <c r="AF262" s="380"/>
      <c r="AG262" s="419">
        <v>22808</v>
      </c>
      <c r="AH262" s="419">
        <v>22809</v>
      </c>
      <c r="AI262" s="419">
        <v>11836</v>
      </c>
      <c r="AJ262" s="419">
        <v>0</v>
      </c>
      <c r="AK262" s="419">
        <v>0</v>
      </c>
      <c r="AL262" s="380">
        <v>2.265E-4</v>
      </c>
      <c r="AM262" s="380"/>
      <c r="AN262" s="419">
        <v>-273</v>
      </c>
      <c r="AO262" s="419">
        <v>0</v>
      </c>
      <c r="AP262" s="419">
        <v>0</v>
      </c>
      <c r="AQ262" s="419">
        <v>0</v>
      </c>
      <c r="AR262" s="419">
        <v>0</v>
      </c>
    </row>
    <row r="263" spans="1:44">
      <c r="A263" s="379">
        <v>92614</v>
      </c>
      <c r="B263" t="s">
        <v>975</v>
      </c>
      <c r="C263" s="380">
        <v>6.1628999999999998E-3</v>
      </c>
      <c r="D263" s="380"/>
      <c r="E263" s="419">
        <v>2815057</v>
      </c>
      <c r="F263" s="419">
        <v>1234988</v>
      </c>
      <c r="G263" s="419">
        <v>-118373</v>
      </c>
      <c r="H263" s="419">
        <v>-4132064</v>
      </c>
      <c r="I263" s="419">
        <v>0</v>
      </c>
      <c r="J263" s="380">
        <v>6.1628999999999998E-3</v>
      </c>
      <c r="K263" s="380"/>
      <c r="L263" s="419">
        <v>1508727</v>
      </c>
      <c r="M263" s="419">
        <v>1041974</v>
      </c>
      <c r="N263" s="419">
        <v>456129</v>
      </c>
      <c r="O263" s="419">
        <v>0</v>
      </c>
      <c r="P263" s="419">
        <v>0</v>
      </c>
      <c r="Q263" s="380">
        <v>6.1628999999999998E-3</v>
      </c>
      <c r="R263" s="380"/>
      <c r="S263" s="419">
        <v>-3096044</v>
      </c>
      <c r="T263" s="419">
        <v>-3060219</v>
      </c>
      <c r="U263" s="419">
        <v>-3214883</v>
      </c>
      <c r="V263" s="419">
        <v>-4132064</v>
      </c>
      <c r="W263" s="419">
        <v>0</v>
      </c>
      <c r="X263" s="380">
        <v>6.1628999999999998E-3</v>
      </c>
      <c r="Z263" s="419">
        <v>2468870</v>
      </c>
      <c r="AA263" s="419">
        <v>1734517</v>
      </c>
      <c r="AB263" s="419">
        <v>1734505</v>
      </c>
      <c r="AC263" s="419">
        <v>0</v>
      </c>
      <c r="AD263" s="419">
        <v>0</v>
      </c>
      <c r="AE263" s="380">
        <v>6.1628999999999998E-3</v>
      </c>
      <c r="AF263" s="380"/>
      <c r="AG263" s="419">
        <v>1933504</v>
      </c>
      <c r="AH263" s="419">
        <v>1518716</v>
      </c>
      <c r="AI263" s="419">
        <v>905876</v>
      </c>
      <c r="AJ263" s="419">
        <v>0</v>
      </c>
      <c r="AK263" s="419">
        <v>0</v>
      </c>
      <c r="AL263" s="380">
        <v>6.1628999999999998E-3</v>
      </c>
      <c r="AM263" s="380"/>
      <c r="AN263" s="419">
        <v>0</v>
      </c>
      <c r="AO263" s="419">
        <v>0</v>
      </c>
      <c r="AP263" s="419">
        <v>0</v>
      </c>
      <c r="AQ263" s="419">
        <v>0</v>
      </c>
      <c r="AR263" s="419">
        <v>0</v>
      </c>
    </row>
    <row r="264" spans="1:44">
      <c r="A264" s="379">
        <v>92621</v>
      </c>
      <c r="B264" t="s">
        <v>976</v>
      </c>
      <c r="C264" s="380">
        <v>2.7900000000000001E-5</v>
      </c>
      <c r="D264" s="380"/>
      <c r="E264" s="419">
        <v>5470</v>
      </c>
      <c r="F264" s="419">
        <v>360</v>
      </c>
      <c r="G264" s="419">
        <v>-3538</v>
      </c>
      <c r="H264" s="419">
        <v>-18706</v>
      </c>
      <c r="I264" s="419">
        <v>0</v>
      </c>
      <c r="J264" s="380">
        <v>2.7900000000000001E-5</v>
      </c>
      <c r="K264" s="380"/>
      <c r="L264" s="419">
        <v>6830</v>
      </c>
      <c r="M264" s="419">
        <v>4717</v>
      </c>
      <c r="N264" s="419">
        <v>2065</v>
      </c>
      <c r="O264" s="419">
        <v>0</v>
      </c>
      <c r="P264" s="419">
        <v>0</v>
      </c>
      <c r="Q264" s="380">
        <v>2.7900000000000001E-5</v>
      </c>
      <c r="R264" s="380"/>
      <c r="S264" s="419">
        <v>-14016</v>
      </c>
      <c r="T264" s="419">
        <v>-13854</v>
      </c>
      <c r="U264" s="419">
        <v>-14554</v>
      </c>
      <c r="V264" s="419">
        <v>-18706</v>
      </c>
      <c r="W264" s="419">
        <v>0</v>
      </c>
      <c r="X264" s="380">
        <v>2.7900000000000001E-5</v>
      </c>
      <c r="Z264" s="419">
        <v>11177</v>
      </c>
      <c r="AA264" s="419">
        <v>7852</v>
      </c>
      <c r="AB264" s="419">
        <v>7852</v>
      </c>
      <c r="AC264" s="419">
        <v>0</v>
      </c>
      <c r="AD264" s="419">
        <v>0</v>
      </c>
      <c r="AE264" s="380">
        <v>2.7900000000000001E-5</v>
      </c>
      <c r="AF264" s="380"/>
      <c r="AG264" s="419">
        <v>1939</v>
      </c>
      <c r="AH264" s="419">
        <v>1941</v>
      </c>
      <c r="AI264" s="419">
        <v>1099</v>
      </c>
      <c r="AJ264" s="419">
        <v>0</v>
      </c>
      <c r="AK264" s="419">
        <v>0</v>
      </c>
      <c r="AL264" s="380">
        <v>2.7900000000000001E-5</v>
      </c>
      <c r="AM264" s="380"/>
      <c r="AN264" s="419">
        <v>-460</v>
      </c>
      <c r="AO264" s="419">
        <v>-296</v>
      </c>
      <c r="AP264" s="419">
        <v>0</v>
      </c>
      <c r="AQ264" s="419">
        <v>0</v>
      </c>
      <c r="AR264" s="419">
        <v>0</v>
      </c>
    </row>
    <row r="265" spans="1:44">
      <c r="A265" s="379">
        <v>92631</v>
      </c>
      <c r="B265" t="s">
        <v>977</v>
      </c>
      <c r="C265" s="380">
        <v>8.4230000000000004E-4</v>
      </c>
      <c r="D265" s="380"/>
      <c r="E265" s="419">
        <v>48861</v>
      </c>
      <c r="F265" s="419">
        <v>-100719</v>
      </c>
      <c r="G265" s="419">
        <v>-179316</v>
      </c>
      <c r="H265" s="419">
        <v>-564740</v>
      </c>
      <c r="I265" s="419">
        <v>0</v>
      </c>
      <c r="J265" s="380">
        <v>8.4230000000000004E-4</v>
      </c>
      <c r="K265" s="380"/>
      <c r="L265" s="419">
        <v>206202</v>
      </c>
      <c r="M265" s="419">
        <v>142409</v>
      </c>
      <c r="N265" s="419">
        <v>62340</v>
      </c>
      <c r="O265" s="419">
        <v>0</v>
      </c>
      <c r="P265" s="419">
        <v>0</v>
      </c>
      <c r="Q265" s="380">
        <v>8.4230000000000004E-4</v>
      </c>
      <c r="R265" s="380"/>
      <c r="S265" s="419">
        <v>-423145</v>
      </c>
      <c r="T265" s="419">
        <v>-418248</v>
      </c>
      <c r="U265" s="419">
        <v>-439387</v>
      </c>
      <c r="V265" s="419">
        <v>-564740</v>
      </c>
      <c r="W265" s="419">
        <v>0</v>
      </c>
      <c r="X265" s="380">
        <v>8.4230000000000004E-4</v>
      </c>
      <c r="Z265" s="419">
        <v>337427</v>
      </c>
      <c r="AA265" s="419">
        <v>237061</v>
      </c>
      <c r="AB265" s="419">
        <v>237059</v>
      </c>
      <c r="AC265" s="419">
        <v>0</v>
      </c>
      <c r="AD265" s="419">
        <v>0</v>
      </c>
      <c r="AE265" s="380">
        <v>8.4230000000000004E-4</v>
      </c>
      <c r="AF265" s="380"/>
      <c r="AG265" s="419">
        <v>0</v>
      </c>
      <c r="AH265" s="419">
        <v>0</v>
      </c>
      <c r="AI265" s="419">
        <v>0</v>
      </c>
      <c r="AJ265" s="419">
        <v>0</v>
      </c>
      <c r="AK265" s="419">
        <v>0</v>
      </c>
      <c r="AL265" s="380">
        <v>8.4230000000000004E-4</v>
      </c>
      <c r="AM265" s="380"/>
      <c r="AN265" s="419">
        <v>-71623</v>
      </c>
      <c r="AO265" s="419">
        <v>-61941</v>
      </c>
      <c r="AP265" s="419">
        <v>-39328</v>
      </c>
      <c r="AQ265" s="419">
        <v>0</v>
      </c>
      <c r="AR265" s="419">
        <v>0</v>
      </c>
    </row>
    <row r="266" spans="1:44">
      <c r="A266" s="379">
        <v>92641</v>
      </c>
      <c r="B266" t="s">
        <v>978</v>
      </c>
      <c r="C266" s="380">
        <v>9.5999999999999996E-6</v>
      </c>
      <c r="D266" s="380"/>
      <c r="E266" s="419">
        <v>3680</v>
      </c>
      <c r="F266" s="419">
        <v>1510</v>
      </c>
      <c r="G266" s="419">
        <v>-743</v>
      </c>
      <c r="H266" s="419">
        <v>-6437</v>
      </c>
      <c r="I266" s="419">
        <v>0</v>
      </c>
      <c r="J266" s="380">
        <v>9.5999999999999996E-6</v>
      </c>
      <c r="K266" s="380"/>
      <c r="L266" s="419">
        <v>2350</v>
      </c>
      <c r="M266" s="419">
        <v>1623</v>
      </c>
      <c r="N266" s="419">
        <v>711</v>
      </c>
      <c r="O266" s="419">
        <v>0</v>
      </c>
      <c r="P266" s="419">
        <v>0</v>
      </c>
      <c r="Q266" s="380">
        <v>9.5999999999999996E-6</v>
      </c>
      <c r="R266" s="380"/>
      <c r="S266" s="419">
        <v>-4823</v>
      </c>
      <c r="T266" s="419">
        <v>-4767</v>
      </c>
      <c r="U266" s="419">
        <v>-5008</v>
      </c>
      <c r="V266" s="419">
        <v>-6437</v>
      </c>
      <c r="W266" s="419">
        <v>0</v>
      </c>
      <c r="X266" s="380">
        <v>9.5999999999999996E-6</v>
      </c>
      <c r="Z266" s="419">
        <v>3846</v>
      </c>
      <c r="AA266" s="419">
        <v>2702</v>
      </c>
      <c r="AB266" s="419">
        <v>2702</v>
      </c>
      <c r="AC266" s="419">
        <v>0</v>
      </c>
      <c r="AD266" s="419">
        <v>0</v>
      </c>
      <c r="AE266" s="380">
        <v>9.5999999999999996E-6</v>
      </c>
      <c r="AF266" s="380"/>
      <c r="AG266" s="419">
        <v>2307</v>
      </c>
      <c r="AH266" s="419">
        <v>1952</v>
      </c>
      <c r="AI266" s="419">
        <v>852</v>
      </c>
      <c r="AJ266" s="419">
        <v>0</v>
      </c>
      <c r="AK266" s="419">
        <v>0</v>
      </c>
      <c r="AL266" s="380">
        <v>9.5999999999999996E-6</v>
      </c>
      <c r="AM266" s="380"/>
      <c r="AN266" s="419">
        <v>0</v>
      </c>
      <c r="AO266" s="419">
        <v>0</v>
      </c>
      <c r="AP266" s="419">
        <v>0</v>
      </c>
      <c r="AQ266" s="419">
        <v>0</v>
      </c>
      <c r="AR266" s="419">
        <v>0</v>
      </c>
    </row>
    <row r="267" spans="1:44">
      <c r="A267" s="379">
        <v>92651</v>
      </c>
      <c r="B267" t="s">
        <v>979</v>
      </c>
      <c r="C267" s="380">
        <v>4.7999999999999998E-6</v>
      </c>
      <c r="D267" s="380"/>
      <c r="E267" s="419">
        <v>1661</v>
      </c>
      <c r="F267" s="419">
        <v>350</v>
      </c>
      <c r="G267" s="419">
        <v>-401</v>
      </c>
      <c r="H267" s="419">
        <v>-3218</v>
      </c>
      <c r="I267" s="419">
        <v>0</v>
      </c>
      <c r="J267" s="380">
        <v>4.7999999999999998E-6</v>
      </c>
      <c r="K267" s="380"/>
      <c r="L267" s="419">
        <v>1175</v>
      </c>
      <c r="M267" s="419">
        <v>812</v>
      </c>
      <c r="N267" s="419">
        <v>355</v>
      </c>
      <c r="O267" s="419">
        <v>0</v>
      </c>
      <c r="P267" s="419">
        <v>0</v>
      </c>
      <c r="Q267" s="380">
        <v>4.7999999999999998E-6</v>
      </c>
      <c r="R267" s="380"/>
      <c r="S267" s="419">
        <v>-2411</v>
      </c>
      <c r="T267" s="419">
        <v>-2383</v>
      </c>
      <c r="U267" s="419">
        <v>-2504</v>
      </c>
      <c r="V267" s="419">
        <v>-3218</v>
      </c>
      <c r="W267" s="419">
        <v>0</v>
      </c>
      <c r="X267" s="380">
        <v>4.7999999999999998E-6</v>
      </c>
      <c r="Z267" s="419">
        <v>1923</v>
      </c>
      <c r="AA267" s="419">
        <v>1351</v>
      </c>
      <c r="AB267" s="419">
        <v>1351</v>
      </c>
      <c r="AC267" s="419">
        <v>0</v>
      </c>
      <c r="AD267" s="419">
        <v>0</v>
      </c>
      <c r="AE267" s="380">
        <v>4.7999999999999998E-6</v>
      </c>
      <c r="AF267" s="380"/>
      <c r="AG267" s="419">
        <v>974</v>
      </c>
      <c r="AH267" s="419">
        <v>570</v>
      </c>
      <c r="AI267" s="419">
        <v>397</v>
      </c>
      <c r="AJ267" s="419">
        <v>0</v>
      </c>
      <c r="AK267" s="419">
        <v>0</v>
      </c>
      <c r="AL267" s="380">
        <v>4.7999999999999998E-6</v>
      </c>
      <c r="AM267" s="380"/>
      <c r="AN267" s="419">
        <v>0</v>
      </c>
      <c r="AO267" s="419">
        <v>0</v>
      </c>
      <c r="AP267" s="419">
        <v>0</v>
      </c>
      <c r="AQ267" s="419">
        <v>0</v>
      </c>
      <c r="AR267" s="419">
        <v>0</v>
      </c>
    </row>
    <row r="268" spans="1:44">
      <c r="A268" s="379">
        <v>92661</v>
      </c>
      <c r="B268" t="s">
        <v>980</v>
      </c>
      <c r="C268" s="380">
        <v>6.3690000000000003E-4</v>
      </c>
      <c r="D268" s="380"/>
      <c r="E268" s="419">
        <v>233319</v>
      </c>
      <c r="F268" s="419">
        <v>77488</v>
      </c>
      <c r="G268" s="419">
        <v>-52268</v>
      </c>
      <c r="H268" s="419">
        <v>-427025</v>
      </c>
      <c r="I268" s="419">
        <v>0</v>
      </c>
      <c r="J268" s="380">
        <v>6.3690000000000003E-4</v>
      </c>
      <c r="K268" s="380"/>
      <c r="L268" s="419">
        <v>155918</v>
      </c>
      <c r="M268" s="419">
        <v>107682</v>
      </c>
      <c r="N268" s="419">
        <v>47138</v>
      </c>
      <c r="O268" s="419">
        <v>0</v>
      </c>
      <c r="P268" s="419">
        <v>0</v>
      </c>
      <c r="Q268" s="380">
        <v>6.3690000000000003E-4</v>
      </c>
      <c r="R268" s="380"/>
      <c r="S268" s="419">
        <v>-319958</v>
      </c>
      <c r="T268" s="419">
        <v>-316256</v>
      </c>
      <c r="U268" s="419">
        <v>-332240</v>
      </c>
      <c r="V268" s="419">
        <v>-427025</v>
      </c>
      <c r="W268" s="419">
        <v>0</v>
      </c>
      <c r="X268" s="380">
        <v>6.3690000000000003E-4</v>
      </c>
      <c r="Z268" s="419">
        <v>255143</v>
      </c>
      <c r="AA268" s="419">
        <v>179252</v>
      </c>
      <c r="AB268" s="419">
        <v>179251</v>
      </c>
      <c r="AC268" s="419">
        <v>0</v>
      </c>
      <c r="AD268" s="419">
        <v>0</v>
      </c>
      <c r="AE268" s="380">
        <v>6.3690000000000003E-4</v>
      </c>
      <c r="AF268" s="380"/>
      <c r="AG268" s="419">
        <v>142216</v>
      </c>
      <c r="AH268" s="419">
        <v>106810</v>
      </c>
      <c r="AI268" s="419">
        <v>53583</v>
      </c>
      <c r="AJ268" s="419">
        <v>0</v>
      </c>
      <c r="AK268" s="419">
        <v>0</v>
      </c>
      <c r="AL268" s="380">
        <v>6.3690000000000003E-4</v>
      </c>
      <c r="AM268" s="380"/>
      <c r="AN268" s="419">
        <v>0</v>
      </c>
      <c r="AO268" s="419">
        <v>0</v>
      </c>
      <c r="AP268" s="419">
        <v>0</v>
      </c>
      <c r="AQ268" s="419">
        <v>0</v>
      </c>
      <c r="AR268" s="419">
        <v>0</v>
      </c>
    </row>
    <row r="269" spans="1:44">
      <c r="A269" s="379">
        <v>92671</v>
      </c>
      <c r="B269" t="s">
        <v>981</v>
      </c>
      <c r="C269" s="380">
        <v>1.9999999999999999E-6</v>
      </c>
      <c r="D269" s="380"/>
      <c r="E269" s="419">
        <v>3929</v>
      </c>
      <c r="F269" s="419">
        <v>2737</v>
      </c>
      <c r="G269" s="419">
        <v>1124</v>
      </c>
      <c r="H269" s="419">
        <v>-1341</v>
      </c>
      <c r="I269" s="419">
        <v>0</v>
      </c>
      <c r="J269" s="380">
        <v>1.9999999999999999E-6</v>
      </c>
      <c r="K269" s="380"/>
      <c r="L269" s="419">
        <v>490</v>
      </c>
      <c r="M269" s="419">
        <v>338</v>
      </c>
      <c r="N269" s="419">
        <v>148</v>
      </c>
      <c r="O269" s="419">
        <v>0</v>
      </c>
      <c r="P269" s="419">
        <v>0</v>
      </c>
      <c r="Q269" s="380">
        <v>1.9999999999999999E-6</v>
      </c>
      <c r="R269" s="380"/>
      <c r="S269" s="419">
        <v>-1005</v>
      </c>
      <c r="T269" s="419">
        <v>-993</v>
      </c>
      <c r="U269" s="419">
        <v>-1043</v>
      </c>
      <c r="V269" s="419">
        <v>-1341</v>
      </c>
      <c r="W269" s="419">
        <v>0</v>
      </c>
      <c r="X269" s="380">
        <v>1.9999999999999999E-6</v>
      </c>
      <c r="Z269" s="419">
        <v>801</v>
      </c>
      <c r="AA269" s="419">
        <v>563</v>
      </c>
      <c r="AB269" s="419">
        <v>563</v>
      </c>
      <c r="AC269" s="419">
        <v>0</v>
      </c>
      <c r="AD269" s="419">
        <v>0</v>
      </c>
      <c r="AE269" s="380">
        <v>1.9999999999999999E-6</v>
      </c>
      <c r="AF269" s="380"/>
      <c r="AG269" s="419">
        <v>3643</v>
      </c>
      <c r="AH269" s="419">
        <v>2829</v>
      </c>
      <c r="AI269" s="419">
        <v>1456</v>
      </c>
      <c r="AJ269" s="419">
        <v>0</v>
      </c>
      <c r="AK269" s="419">
        <v>0</v>
      </c>
      <c r="AL269" s="380">
        <v>1.9999999999999999E-6</v>
      </c>
      <c r="AM269" s="380"/>
      <c r="AN269" s="419">
        <v>0</v>
      </c>
      <c r="AO269" s="419">
        <v>0</v>
      </c>
      <c r="AP269" s="419">
        <v>0</v>
      </c>
      <c r="AQ269" s="419">
        <v>0</v>
      </c>
      <c r="AR269" s="419">
        <v>0</v>
      </c>
    </row>
    <row r="270" spans="1:44">
      <c r="A270" s="379">
        <v>92681</v>
      </c>
      <c r="B270" t="s">
        <v>982</v>
      </c>
      <c r="C270" s="380">
        <v>9.5999999999999996E-6</v>
      </c>
      <c r="D270" s="380"/>
      <c r="E270" s="419">
        <v>1777</v>
      </c>
      <c r="F270" s="419">
        <v>-1332</v>
      </c>
      <c r="G270" s="419">
        <v>-1775</v>
      </c>
      <c r="H270" s="419">
        <v>-6437</v>
      </c>
      <c r="I270" s="419">
        <v>0</v>
      </c>
      <c r="J270" s="380">
        <v>9.5999999999999996E-6</v>
      </c>
      <c r="K270" s="380"/>
      <c r="L270" s="419">
        <v>2350</v>
      </c>
      <c r="M270" s="419">
        <v>1623</v>
      </c>
      <c r="N270" s="419">
        <v>711</v>
      </c>
      <c r="O270" s="419">
        <v>0</v>
      </c>
      <c r="P270" s="419">
        <v>0</v>
      </c>
      <c r="Q270" s="380">
        <v>9.5999999999999996E-6</v>
      </c>
      <c r="R270" s="380"/>
      <c r="S270" s="419">
        <v>-4823</v>
      </c>
      <c r="T270" s="419">
        <v>-4767</v>
      </c>
      <c r="U270" s="419">
        <v>-5008</v>
      </c>
      <c r="V270" s="419">
        <v>-6437</v>
      </c>
      <c r="W270" s="419">
        <v>0</v>
      </c>
      <c r="X270" s="380">
        <v>9.5999999999999996E-6</v>
      </c>
      <c r="Z270" s="419">
        <v>3846</v>
      </c>
      <c r="AA270" s="419">
        <v>2702</v>
      </c>
      <c r="AB270" s="419">
        <v>2702</v>
      </c>
      <c r="AC270" s="419">
        <v>0</v>
      </c>
      <c r="AD270" s="419">
        <v>0</v>
      </c>
      <c r="AE270" s="380">
        <v>9.5999999999999996E-6</v>
      </c>
      <c r="AF270" s="380"/>
      <c r="AG270" s="419">
        <v>1856</v>
      </c>
      <c r="AH270" s="419">
        <v>563</v>
      </c>
      <c r="AI270" s="419">
        <v>0</v>
      </c>
      <c r="AJ270" s="419">
        <v>0</v>
      </c>
      <c r="AK270" s="419">
        <v>0</v>
      </c>
      <c r="AL270" s="380">
        <v>9.5999999999999996E-6</v>
      </c>
      <c r="AM270" s="380"/>
      <c r="AN270" s="419">
        <v>-1452</v>
      </c>
      <c r="AO270" s="419">
        <v>-1453</v>
      </c>
      <c r="AP270" s="419">
        <v>-180</v>
      </c>
      <c r="AQ270" s="419">
        <v>0</v>
      </c>
      <c r="AR270" s="419">
        <v>0</v>
      </c>
    </row>
    <row r="271" spans="1:44">
      <c r="A271" s="379">
        <v>92701</v>
      </c>
      <c r="B271" t="s">
        <v>983</v>
      </c>
      <c r="C271" s="380">
        <v>2.9215999999999999E-3</v>
      </c>
      <c r="D271" s="380"/>
      <c r="E271" s="419">
        <v>325717</v>
      </c>
      <c r="F271" s="419">
        <v>-189032</v>
      </c>
      <c r="G271" s="419">
        <v>-519447</v>
      </c>
      <c r="H271" s="419">
        <v>-1958857</v>
      </c>
      <c r="I271" s="419">
        <v>0</v>
      </c>
      <c r="J271" s="380">
        <v>2.9215999999999999E-3</v>
      </c>
      <c r="K271" s="380"/>
      <c r="L271" s="419">
        <v>715231</v>
      </c>
      <c r="M271" s="419">
        <v>493961</v>
      </c>
      <c r="N271" s="419">
        <v>216233</v>
      </c>
      <c r="O271" s="419">
        <v>0</v>
      </c>
      <c r="P271" s="419">
        <v>0</v>
      </c>
      <c r="Q271" s="380">
        <v>2.9215999999999999E-3</v>
      </c>
      <c r="R271" s="380"/>
      <c r="S271" s="419">
        <v>-1467718</v>
      </c>
      <c r="T271" s="419">
        <v>-1450735</v>
      </c>
      <c r="U271" s="419">
        <v>-1524056</v>
      </c>
      <c r="V271" s="419">
        <v>-1958857</v>
      </c>
      <c r="W271" s="419">
        <v>0</v>
      </c>
      <c r="X271" s="380">
        <v>2.9215999999999999E-3</v>
      </c>
      <c r="Z271" s="419">
        <v>1170399</v>
      </c>
      <c r="AA271" s="419">
        <v>822270</v>
      </c>
      <c r="AB271" s="419">
        <v>822264</v>
      </c>
      <c r="AC271" s="419">
        <v>0</v>
      </c>
      <c r="AD271" s="419">
        <v>0</v>
      </c>
      <c r="AE271" s="380">
        <v>2.9215999999999999E-3</v>
      </c>
      <c r="AF271" s="380"/>
      <c r="AG271" s="419">
        <v>25269</v>
      </c>
      <c r="AH271" s="419">
        <v>25271</v>
      </c>
      <c r="AI271" s="419">
        <v>0</v>
      </c>
      <c r="AJ271" s="419">
        <v>0</v>
      </c>
      <c r="AK271" s="419">
        <v>0</v>
      </c>
      <c r="AL271" s="380">
        <v>2.9215999999999999E-3</v>
      </c>
      <c r="AM271" s="380"/>
      <c r="AN271" s="419">
        <v>-117464</v>
      </c>
      <c r="AO271" s="419">
        <v>-79799</v>
      </c>
      <c r="AP271" s="419">
        <v>-33888</v>
      </c>
      <c r="AQ271" s="419">
        <v>0</v>
      </c>
      <c r="AR271" s="419">
        <v>0</v>
      </c>
    </row>
    <row r="272" spans="1:44">
      <c r="A272" s="379">
        <v>92704</v>
      </c>
      <c r="B272" t="s">
        <v>984</v>
      </c>
      <c r="C272" s="380">
        <v>4.0299999999999997E-5</v>
      </c>
      <c r="D272" s="380"/>
      <c r="E272" s="419">
        <v>8020</v>
      </c>
      <c r="F272" s="419">
        <v>728</v>
      </c>
      <c r="G272" s="419">
        <v>-3889</v>
      </c>
      <c r="H272" s="419">
        <v>-27020</v>
      </c>
      <c r="I272" s="419">
        <v>0</v>
      </c>
      <c r="J272" s="380">
        <v>4.0299999999999997E-5</v>
      </c>
      <c r="K272" s="380"/>
      <c r="L272" s="419">
        <v>9866</v>
      </c>
      <c r="M272" s="419">
        <v>6814</v>
      </c>
      <c r="N272" s="419">
        <v>2983</v>
      </c>
      <c r="O272" s="419">
        <v>0</v>
      </c>
      <c r="P272" s="419">
        <v>0</v>
      </c>
      <c r="Q272" s="380">
        <v>4.0299999999999997E-5</v>
      </c>
      <c r="R272" s="380"/>
      <c r="S272" s="419">
        <v>-20245</v>
      </c>
      <c r="T272" s="419">
        <v>-20011</v>
      </c>
      <c r="U272" s="419">
        <v>-21023</v>
      </c>
      <c r="V272" s="419">
        <v>-27020</v>
      </c>
      <c r="W272" s="419">
        <v>0</v>
      </c>
      <c r="X272" s="380">
        <v>4.0299999999999997E-5</v>
      </c>
      <c r="Z272" s="419">
        <v>16144</v>
      </c>
      <c r="AA272" s="419">
        <v>11342</v>
      </c>
      <c r="AB272" s="419">
        <v>11342</v>
      </c>
      <c r="AC272" s="419">
        <v>0</v>
      </c>
      <c r="AD272" s="419">
        <v>0</v>
      </c>
      <c r="AE272" s="380">
        <v>4.0299999999999997E-5</v>
      </c>
      <c r="AF272" s="380"/>
      <c r="AG272" s="419">
        <v>2968</v>
      </c>
      <c r="AH272" s="419">
        <v>2967</v>
      </c>
      <c r="AI272" s="419">
        <v>2809</v>
      </c>
      <c r="AJ272" s="419">
        <v>0</v>
      </c>
      <c r="AK272" s="419">
        <v>0</v>
      </c>
      <c r="AL272" s="380">
        <v>4.0299999999999997E-5</v>
      </c>
      <c r="AM272" s="380"/>
      <c r="AN272" s="419">
        <v>-713</v>
      </c>
      <c r="AO272" s="419">
        <v>-384</v>
      </c>
      <c r="AP272" s="419">
        <v>0</v>
      </c>
      <c r="AQ272" s="419">
        <v>0</v>
      </c>
      <c r="AR272" s="419">
        <v>0</v>
      </c>
    </row>
    <row r="273" spans="1:44">
      <c r="A273" s="379">
        <v>92801</v>
      </c>
      <c r="B273" t="s">
        <v>985</v>
      </c>
      <c r="C273" s="380">
        <v>5.1568999999999999E-3</v>
      </c>
      <c r="D273" s="380"/>
      <c r="E273" s="419">
        <v>759112</v>
      </c>
      <c r="F273" s="419">
        <v>-257526</v>
      </c>
      <c r="G273" s="419">
        <v>-968086</v>
      </c>
      <c r="H273" s="419">
        <v>-3457567</v>
      </c>
      <c r="I273" s="419">
        <v>0</v>
      </c>
      <c r="J273" s="380">
        <v>5.1568999999999999E-3</v>
      </c>
      <c r="K273" s="380"/>
      <c r="L273" s="419">
        <v>1262450</v>
      </c>
      <c r="M273" s="419">
        <v>871887</v>
      </c>
      <c r="N273" s="419">
        <v>381672</v>
      </c>
      <c r="O273" s="419">
        <v>0</v>
      </c>
      <c r="P273" s="419">
        <v>0</v>
      </c>
      <c r="Q273" s="380">
        <v>5.1568999999999999E-3</v>
      </c>
      <c r="R273" s="380"/>
      <c r="S273" s="419">
        <v>-2590662</v>
      </c>
      <c r="T273" s="419">
        <v>-2560684</v>
      </c>
      <c r="U273" s="419">
        <v>-2690102</v>
      </c>
      <c r="V273" s="419">
        <v>-3457567</v>
      </c>
      <c r="W273" s="419">
        <v>0</v>
      </c>
      <c r="X273" s="380">
        <v>5.1568999999999999E-3</v>
      </c>
      <c r="Z273" s="419">
        <v>2065864</v>
      </c>
      <c r="AA273" s="419">
        <v>1451384</v>
      </c>
      <c r="AB273" s="419">
        <v>1451373</v>
      </c>
      <c r="AC273" s="419">
        <v>0</v>
      </c>
      <c r="AD273" s="419">
        <v>0</v>
      </c>
      <c r="AE273" s="380">
        <v>5.1568999999999999E-3</v>
      </c>
      <c r="AF273" s="380"/>
      <c r="AG273" s="419">
        <v>132491</v>
      </c>
      <c r="AH273" s="419">
        <v>90918</v>
      </c>
      <c r="AI273" s="419">
        <v>0</v>
      </c>
      <c r="AJ273" s="419">
        <v>0</v>
      </c>
      <c r="AK273" s="419">
        <v>0</v>
      </c>
      <c r="AL273" s="380">
        <v>5.1568999999999999E-3</v>
      </c>
      <c r="AM273" s="380"/>
      <c r="AN273" s="419">
        <v>-111031</v>
      </c>
      <c r="AO273" s="419">
        <v>-111031</v>
      </c>
      <c r="AP273" s="419">
        <v>-111029</v>
      </c>
      <c r="AQ273" s="419">
        <v>0</v>
      </c>
      <c r="AR273" s="419">
        <v>0</v>
      </c>
    </row>
    <row r="274" spans="1:44">
      <c r="A274" s="379">
        <v>92802</v>
      </c>
      <c r="B274" t="s">
        <v>986</v>
      </c>
      <c r="C274" s="380">
        <v>9.9099999999999996E-5</v>
      </c>
      <c r="D274" s="380"/>
      <c r="E274" s="419">
        <v>-520</v>
      </c>
      <c r="F274" s="419">
        <v>-17967</v>
      </c>
      <c r="G274" s="419">
        <v>-24554</v>
      </c>
      <c r="H274" s="419">
        <v>-66444</v>
      </c>
      <c r="I274" s="419">
        <v>0</v>
      </c>
      <c r="J274" s="380">
        <v>9.9099999999999996E-5</v>
      </c>
      <c r="K274" s="380"/>
      <c r="L274" s="419">
        <v>24260</v>
      </c>
      <c r="M274" s="419">
        <v>16755</v>
      </c>
      <c r="N274" s="419">
        <v>7335</v>
      </c>
      <c r="O274" s="419">
        <v>0</v>
      </c>
      <c r="P274" s="419">
        <v>0</v>
      </c>
      <c r="Q274" s="380">
        <v>9.9099999999999996E-5</v>
      </c>
      <c r="R274" s="380"/>
      <c r="S274" s="419">
        <v>-49785</v>
      </c>
      <c r="T274" s="419">
        <v>-49209</v>
      </c>
      <c r="U274" s="419">
        <v>-51696</v>
      </c>
      <c r="V274" s="419">
        <v>-66444</v>
      </c>
      <c r="W274" s="419">
        <v>0</v>
      </c>
      <c r="X274" s="380">
        <v>9.9099999999999996E-5</v>
      </c>
      <c r="Z274" s="419">
        <v>39700</v>
      </c>
      <c r="AA274" s="419">
        <v>27891</v>
      </c>
      <c r="AB274" s="419">
        <v>27891</v>
      </c>
      <c r="AC274" s="419">
        <v>0</v>
      </c>
      <c r="AD274" s="419">
        <v>0</v>
      </c>
      <c r="AE274" s="380">
        <v>9.9099999999999996E-5</v>
      </c>
      <c r="AF274" s="380"/>
      <c r="AG274" s="419">
        <v>0</v>
      </c>
      <c r="AH274" s="419">
        <v>0</v>
      </c>
      <c r="AI274" s="419">
        <v>0</v>
      </c>
      <c r="AJ274" s="419">
        <v>0</v>
      </c>
      <c r="AK274" s="419">
        <v>0</v>
      </c>
      <c r="AL274" s="380">
        <v>9.9099999999999996E-5</v>
      </c>
      <c r="AM274" s="380"/>
      <c r="AN274" s="419">
        <v>-14695</v>
      </c>
      <c r="AO274" s="419">
        <v>-13404</v>
      </c>
      <c r="AP274" s="419">
        <v>-8084</v>
      </c>
      <c r="AQ274" s="419">
        <v>0</v>
      </c>
      <c r="AR274" s="419">
        <v>0</v>
      </c>
    </row>
    <row r="275" spans="1:44">
      <c r="A275" s="379">
        <v>92804</v>
      </c>
      <c r="B275" t="s">
        <v>987</v>
      </c>
      <c r="C275" s="380">
        <v>1.371E-4</v>
      </c>
      <c r="D275" s="380"/>
      <c r="E275" s="419">
        <v>11297</v>
      </c>
      <c r="F275" s="419">
        <v>-15752</v>
      </c>
      <c r="G275" s="419">
        <v>-31277</v>
      </c>
      <c r="H275" s="419">
        <v>-91922</v>
      </c>
      <c r="I275" s="419">
        <v>0</v>
      </c>
      <c r="J275" s="380">
        <v>1.371E-4</v>
      </c>
      <c r="K275" s="380"/>
      <c r="L275" s="419">
        <v>33563</v>
      </c>
      <c r="M275" s="419">
        <v>23180</v>
      </c>
      <c r="N275" s="419">
        <v>10147</v>
      </c>
      <c r="O275" s="419">
        <v>0</v>
      </c>
      <c r="P275" s="419">
        <v>0</v>
      </c>
      <c r="Q275" s="380">
        <v>1.371E-4</v>
      </c>
      <c r="R275" s="380"/>
      <c r="S275" s="419">
        <v>-68875</v>
      </c>
      <c r="T275" s="419">
        <v>-68078</v>
      </c>
      <c r="U275" s="419">
        <v>-71518</v>
      </c>
      <c r="V275" s="419">
        <v>-91922</v>
      </c>
      <c r="W275" s="419">
        <v>0</v>
      </c>
      <c r="X275" s="380">
        <v>1.371E-4</v>
      </c>
      <c r="Z275" s="419">
        <v>54923</v>
      </c>
      <c r="AA275" s="419">
        <v>38586</v>
      </c>
      <c r="AB275" s="419">
        <v>38586</v>
      </c>
      <c r="AC275" s="419">
        <v>0</v>
      </c>
      <c r="AD275" s="419">
        <v>0</v>
      </c>
      <c r="AE275" s="380">
        <v>1.371E-4</v>
      </c>
      <c r="AF275" s="380"/>
      <c r="AG275" s="419">
        <v>2599</v>
      </c>
      <c r="AH275" s="419">
        <v>1472</v>
      </c>
      <c r="AI275" s="419">
        <v>0</v>
      </c>
      <c r="AJ275" s="419">
        <v>0</v>
      </c>
      <c r="AK275" s="419">
        <v>0</v>
      </c>
      <c r="AL275" s="380">
        <v>1.371E-4</v>
      </c>
      <c r="AM275" s="380"/>
      <c r="AN275" s="419">
        <v>-10913</v>
      </c>
      <c r="AO275" s="419">
        <v>-10912</v>
      </c>
      <c r="AP275" s="419">
        <v>-8492</v>
      </c>
      <c r="AQ275" s="419">
        <v>0</v>
      </c>
      <c r="AR275" s="419">
        <v>0</v>
      </c>
    </row>
    <row r="276" spans="1:44">
      <c r="A276" s="379">
        <v>92811</v>
      </c>
      <c r="B276" t="s">
        <v>988</v>
      </c>
      <c r="C276" s="380">
        <v>9.3099999999999997E-4</v>
      </c>
      <c r="D276" s="380"/>
      <c r="E276" s="419">
        <v>127490</v>
      </c>
      <c r="F276" s="419">
        <v>-43440</v>
      </c>
      <c r="G276" s="419">
        <v>-169360</v>
      </c>
      <c r="H276" s="419">
        <v>-624211</v>
      </c>
      <c r="I276" s="419">
        <v>0</v>
      </c>
      <c r="J276" s="380">
        <v>9.3099999999999997E-4</v>
      </c>
      <c r="K276" s="380"/>
      <c r="L276" s="419">
        <v>227916</v>
      </c>
      <c r="M276" s="419">
        <v>157406</v>
      </c>
      <c r="N276" s="419">
        <v>68905</v>
      </c>
      <c r="O276" s="419">
        <v>0</v>
      </c>
      <c r="P276" s="419">
        <v>0</v>
      </c>
      <c r="Q276" s="380">
        <v>9.3099999999999997E-4</v>
      </c>
      <c r="R276" s="380"/>
      <c r="S276" s="419">
        <v>-467705</v>
      </c>
      <c r="T276" s="419">
        <v>-462293</v>
      </c>
      <c r="U276" s="419">
        <v>-485657</v>
      </c>
      <c r="V276" s="419">
        <v>-624211</v>
      </c>
      <c r="W276" s="419">
        <v>0</v>
      </c>
      <c r="X276" s="380">
        <v>9.3099999999999997E-4</v>
      </c>
      <c r="Z276" s="419">
        <v>372960</v>
      </c>
      <c r="AA276" s="419">
        <v>262025</v>
      </c>
      <c r="AB276" s="419">
        <v>262023</v>
      </c>
      <c r="AC276" s="419">
        <v>0</v>
      </c>
      <c r="AD276" s="419">
        <v>0</v>
      </c>
      <c r="AE276" s="380">
        <v>9.3099999999999997E-4</v>
      </c>
      <c r="AF276" s="380"/>
      <c r="AG276" s="419">
        <v>22192</v>
      </c>
      <c r="AH276" s="419">
        <v>22192</v>
      </c>
      <c r="AI276" s="419">
        <v>0</v>
      </c>
      <c r="AJ276" s="419">
        <v>0</v>
      </c>
      <c r="AK276" s="419">
        <v>0</v>
      </c>
      <c r="AL276" s="380">
        <v>9.3099999999999997E-4</v>
      </c>
      <c r="AM276" s="380"/>
      <c r="AN276" s="419">
        <v>-27873</v>
      </c>
      <c r="AO276" s="419">
        <v>-22770</v>
      </c>
      <c r="AP276" s="419">
        <v>-14631</v>
      </c>
      <c r="AQ276" s="419">
        <v>0</v>
      </c>
      <c r="AR276" s="419">
        <v>0</v>
      </c>
    </row>
    <row r="277" spans="1:44">
      <c r="A277" s="379">
        <v>92821</v>
      </c>
      <c r="B277" t="s">
        <v>989</v>
      </c>
      <c r="C277" s="380">
        <v>9.634E-4</v>
      </c>
      <c r="D277" s="380"/>
      <c r="E277" s="419">
        <v>159714</v>
      </c>
      <c r="F277" s="419">
        <v>-26019</v>
      </c>
      <c r="G277" s="419">
        <v>-156512</v>
      </c>
      <c r="H277" s="419">
        <v>-645935</v>
      </c>
      <c r="I277" s="419">
        <v>0</v>
      </c>
      <c r="J277" s="380">
        <v>9.634E-4</v>
      </c>
      <c r="K277" s="380"/>
      <c r="L277" s="419">
        <v>235848</v>
      </c>
      <c r="M277" s="419">
        <v>162884</v>
      </c>
      <c r="N277" s="419">
        <v>71303</v>
      </c>
      <c r="O277" s="419">
        <v>0</v>
      </c>
      <c r="P277" s="419">
        <v>0</v>
      </c>
      <c r="Q277" s="380">
        <v>9.634E-4</v>
      </c>
      <c r="R277" s="380"/>
      <c r="S277" s="419">
        <v>-483981</v>
      </c>
      <c r="T277" s="419">
        <v>-478381</v>
      </c>
      <c r="U277" s="419">
        <v>-502559</v>
      </c>
      <c r="V277" s="419">
        <v>-645935</v>
      </c>
      <c r="W277" s="419">
        <v>0</v>
      </c>
      <c r="X277" s="380">
        <v>9.634E-4</v>
      </c>
      <c r="Z277" s="419">
        <v>385940</v>
      </c>
      <c r="AA277" s="419">
        <v>271144</v>
      </c>
      <c r="AB277" s="419">
        <v>271142</v>
      </c>
      <c r="AC277" s="419">
        <v>0</v>
      </c>
      <c r="AD277" s="419">
        <v>0</v>
      </c>
      <c r="AE277" s="380">
        <v>9.634E-4</v>
      </c>
      <c r="AF277" s="380"/>
      <c r="AG277" s="419">
        <v>21907</v>
      </c>
      <c r="AH277" s="419">
        <v>18334</v>
      </c>
      <c r="AI277" s="419">
        <v>3602</v>
      </c>
      <c r="AJ277" s="419">
        <v>0</v>
      </c>
      <c r="AK277" s="419">
        <v>0</v>
      </c>
      <c r="AL277" s="380">
        <v>9.634E-4</v>
      </c>
      <c r="AM277" s="380"/>
      <c r="AN277" s="419">
        <v>0</v>
      </c>
      <c r="AO277" s="419">
        <v>0</v>
      </c>
      <c r="AP277" s="419">
        <v>0</v>
      </c>
      <c r="AQ277" s="419">
        <v>0</v>
      </c>
      <c r="AR277" s="419">
        <v>0</v>
      </c>
    </row>
    <row r="278" spans="1:44">
      <c r="A278" s="379">
        <v>92831</v>
      </c>
      <c r="B278" t="s">
        <v>990</v>
      </c>
      <c r="C278" s="380">
        <v>2.5819999999999999E-4</v>
      </c>
      <c r="D278" s="380"/>
      <c r="E278" s="419">
        <v>61727</v>
      </c>
      <c r="F278" s="419">
        <v>6035</v>
      </c>
      <c r="G278" s="419">
        <v>-42099</v>
      </c>
      <c r="H278" s="419">
        <v>-173116</v>
      </c>
      <c r="I278" s="419">
        <v>0</v>
      </c>
      <c r="J278" s="380">
        <v>2.5819999999999999E-4</v>
      </c>
      <c r="K278" s="380"/>
      <c r="L278" s="419">
        <v>63209</v>
      </c>
      <c r="M278" s="419">
        <v>43654</v>
      </c>
      <c r="N278" s="419">
        <v>19110</v>
      </c>
      <c r="O278" s="419">
        <v>0</v>
      </c>
      <c r="P278" s="419">
        <v>0</v>
      </c>
      <c r="Q278" s="380">
        <v>2.5819999999999999E-4</v>
      </c>
      <c r="R278" s="380"/>
      <c r="S278" s="419">
        <v>-129711</v>
      </c>
      <c r="T278" s="419">
        <v>-128211</v>
      </c>
      <c r="U278" s="419">
        <v>-134690</v>
      </c>
      <c r="V278" s="419">
        <v>-173116</v>
      </c>
      <c r="W278" s="419">
        <v>0</v>
      </c>
      <c r="X278" s="380">
        <v>2.5819999999999999E-4</v>
      </c>
      <c r="Z278" s="419">
        <v>103435</v>
      </c>
      <c r="AA278" s="419">
        <v>72669</v>
      </c>
      <c r="AB278" s="419">
        <v>72669</v>
      </c>
      <c r="AC278" s="419">
        <v>0</v>
      </c>
      <c r="AD278" s="419">
        <v>0</v>
      </c>
      <c r="AE278" s="380">
        <v>2.5819999999999999E-4</v>
      </c>
      <c r="AF278" s="380"/>
      <c r="AG278" s="419">
        <v>24794</v>
      </c>
      <c r="AH278" s="419">
        <v>17923</v>
      </c>
      <c r="AI278" s="419">
        <v>812</v>
      </c>
      <c r="AJ278" s="419">
        <v>0</v>
      </c>
      <c r="AK278" s="419">
        <v>0</v>
      </c>
      <c r="AL278" s="380">
        <v>2.5819999999999999E-4</v>
      </c>
      <c r="AM278" s="380"/>
      <c r="AN278" s="419">
        <v>0</v>
      </c>
      <c r="AO278" s="419">
        <v>0</v>
      </c>
      <c r="AP278" s="419">
        <v>0</v>
      </c>
      <c r="AQ278" s="419">
        <v>0</v>
      </c>
      <c r="AR278" s="419">
        <v>0</v>
      </c>
    </row>
    <row r="279" spans="1:44">
      <c r="A279" s="379">
        <v>92841</v>
      </c>
      <c r="B279" t="s">
        <v>991</v>
      </c>
      <c r="C279" s="380">
        <v>2.6180000000000002E-4</v>
      </c>
      <c r="D279" s="380"/>
      <c r="E279" s="419">
        <v>43681</v>
      </c>
      <c r="F279" s="419">
        <v>-1967</v>
      </c>
      <c r="G279" s="419">
        <v>-23000</v>
      </c>
      <c r="H279" s="419">
        <v>-175530</v>
      </c>
      <c r="I279" s="419">
        <v>0</v>
      </c>
      <c r="J279" s="380">
        <v>2.6180000000000002E-4</v>
      </c>
      <c r="K279" s="380"/>
      <c r="L279" s="419">
        <v>64091</v>
      </c>
      <c r="M279" s="419">
        <v>44263</v>
      </c>
      <c r="N279" s="419">
        <v>19376</v>
      </c>
      <c r="O279" s="419">
        <v>0</v>
      </c>
      <c r="P279" s="419">
        <v>0</v>
      </c>
      <c r="Q279" s="380">
        <v>2.6180000000000002E-4</v>
      </c>
      <c r="R279" s="380"/>
      <c r="S279" s="419">
        <v>-131520</v>
      </c>
      <c r="T279" s="419">
        <v>-129998</v>
      </c>
      <c r="U279" s="419">
        <v>-136568</v>
      </c>
      <c r="V279" s="419">
        <v>-175530</v>
      </c>
      <c r="W279" s="419">
        <v>0</v>
      </c>
      <c r="X279" s="380">
        <v>2.6180000000000002E-4</v>
      </c>
      <c r="Z279" s="419">
        <v>104878</v>
      </c>
      <c r="AA279" s="419">
        <v>73682</v>
      </c>
      <c r="AB279" s="419">
        <v>73682</v>
      </c>
      <c r="AC279" s="419">
        <v>0</v>
      </c>
      <c r="AD279" s="419">
        <v>0</v>
      </c>
      <c r="AE279" s="380">
        <v>2.6180000000000002E-4</v>
      </c>
      <c r="AF279" s="380"/>
      <c r="AG279" s="419">
        <v>20511</v>
      </c>
      <c r="AH279" s="419">
        <v>20511</v>
      </c>
      <c r="AI279" s="419">
        <v>20510</v>
      </c>
      <c r="AJ279" s="419">
        <v>0</v>
      </c>
      <c r="AK279" s="419">
        <v>0</v>
      </c>
      <c r="AL279" s="380">
        <v>2.6180000000000002E-4</v>
      </c>
      <c r="AM279" s="380"/>
      <c r="AN279" s="419">
        <v>-14279</v>
      </c>
      <c r="AO279" s="419">
        <v>-10425</v>
      </c>
      <c r="AP279" s="419">
        <v>0</v>
      </c>
      <c r="AQ279" s="419">
        <v>0</v>
      </c>
      <c r="AR279" s="419">
        <v>0</v>
      </c>
    </row>
    <row r="280" spans="1:44">
      <c r="A280" s="379">
        <v>92851</v>
      </c>
      <c r="B280" t="s">
        <v>992</v>
      </c>
      <c r="C280" s="380">
        <v>3.7429999999999999E-4</v>
      </c>
      <c r="D280" s="380"/>
      <c r="E280" s="419">
        <v>7779</v>
      </c>
      <c r="F280" s="419">
        <v>-54558</v>
      </c>
      <c r="G280" s="419">
        <v>-73787</v>
      </c>
      <c r="H280" s="419">
        <v>-250958</v>
      </c>
      <c r="I280" s="419">
        <v>0</v>
      </c>
      <c r="J280" s="380">
        <v>3.7429999999999999E-4</v>
      </c>
      <c r="K280" s="380"/>
      <c r="L280" s="419">
        <v>91632</v>
      </c>
      <c r="M280" s="419">
        <v>63284</v>
      </c>
      <c r="N280" s="419">
        <v>27703</v>
      </c>
      <c r="O280" s="419">
        <v>0</v>
      </c>
      <c r="P280" s="419">
        <v>0</v>
      </c>
      <c r="Q280" s="380">
        <v>3.7429999999999999E-4</v>
      </c>
      <c r="R280" s="380"/>
      <c r="S280" s="419">
        <v>-188036</v>
      </c>
      <c r="T280" s="419">
        <v>-185861</v>
      </c>
      <c r="U280" s="419">
        <v>-195254</v>
      </c>
      <c r="V280" s="419">
        <v>-250958</v>
      </c>
      <c r="W280" s="419">
        <v>0</v>
      </c>
      <c r="X280" s="380">
        <v>3.7429999999999999E-4</v>
      </c>
      <c r="Z280" s="419">
        <v>149945</v>
      </c>
      <c r="AA280" s="419">
        <v>105345</v>
      </c>
      <c r="AB280" s="419">
        <v>105344</v>
      </c>
      <c r="AC280" s="419">
        <v>0</v>
      </c>
      <c r="AD280" s="419">
        <v>0</v>
      </c>
      <c r="AE280" s="380">
        <v>3.7429999999999999E-4</v>
      </c>
      <c r="AF280" s="380"/>
      <c r="AG280" s="419">
        <v>0</v>
      </c>
      <c r="AH280" s="419">
        <v>0</v>
      </c>
      <c r="AI280" s="419">
        <v>0</v>
      </c>
      <c r="AJ280" s="419">
        <v>0</v>
      </c>
      <c r="AK280" s="419">
        <v>0</v>
      </c>
      <c r="AL280" s="380">
        <v>3.7429999999999999E-4</v>
      </c>
      <c r="AM280" s="380"/>
      <c r="AN280" s="419">
        <v>-45762</v>
      </c>
      <c r="AO280" s="419">
        <v>-37326</v>
      </c>
      <c r="AP280" s="419">
        <v>-11580</v>
      </c>
      <c r="AQ280" s="419">
        <v>0</v>
      </c>
      <c r="AR280" s="419">
        <v>0</v>
      </c>
    </row>
    <row r="281" spans="1:44">
      <c r="A281" s="379">
        <v>92861</v>
      </c>
      <c r="B281" t="s">
        <v>993</v>
      </c>
      <c r="C281" s="380">
        <v>3.4749999999999999E-4</v>
      </c>
      <c r="D281" s="380"/>
      <c r="E281" s="419">
        <v>7428</v>
      </c>
      <c r="F281" s="419">
        <v>-51494</v>
      </c>
      <c r="G281" s="419">
        <v>-82074</v>
      </c>
      <c r="H281" s="419">
        <v>-232990</v>
      </c>
      <c r="I281" s="419">
        <v>0</v>
      </c>
      <c r="J281" s="380">
        <v>3.4749999999999999E-4</v>
      </c>
      <c r="K281" s="380"/>
      <c r="L281" s="419">
        <v>85071</v>
      </c>
      <c r="M281" s="419">
        <v>58753</v>
      </c>
      <c r="N281" s="419">
        <v>25719</v>
      </c>
      <c r="O281" s="419">
        <v>0</v>
      </c>
      <c r="P281" s="419">
        <v>0</v>
      </c>
      <c r="Q281" s="380">
        <v>3.4749999999999999E-4</v>
      </c>
      <c r="R281" s="380"/>
      <c r="S281" s="419">
        <v>-174573</v>
      </c>
      <c r="T281" s="419">
        <v>-172553</v>
      </c>
      <c r="U281" s="419">
        <v>-181274</v>
      </c>
      <c r="V281" s="419">
        <v>-232990</v>
      </c>
      <c r="W281" s="419">
        <v>0</v>
      </c>
      <c r="X281" s="380">
        <v>3.4749999999999999E-4</v>
      </c>
      <c r="Z281" s="419">
        <v>139209</v>
      </c>
      <c r="AA281" s="419">
        <v>97802</v>
      </c>
      <c r="AB281" s="419">
        <v>97801</v>
      </c>
      <c r="AC281" s="419">
        <v>0</v>
      </c>
      <c r="AD281" s="419">
        <v>0</v>
      </c>
      <c r="AE281" s="380">
        <v>3.4749999999999999E-4</v>
      </c>
      <c r="AF281" s="380"/>
      <c r="AG281" s="419">
        <v>0</v>
      </c>
      <c r="AH281" s="419">
        <v>0</v>
      </c>
      <c r="AI281" s="419">
        <v>0</v>
      </c>
      <c r="AJ281" s="419">
        <v>0</v>
      </c>
      <c r="AK281" s="419">
        <v>0</v>
      </c>
      <c r="AL281" s="380">
        <v>3.4749999999999999E-4</v>
      </c>
      <c r="AM281" s="380"/>
      <c r="AN281" s="419">
        <v>-42279</v>
      </c>
      <c r="AO281" s="419">
        <v>-35496</v>
      </c>
      <c r="AP281" s="419">
        <v>-24320</v>
      </c>
      <c r="AQ281" s="419">
        <v>0</v>
      </c>
      <c r="AR281" s="419">
        <v>0</v>
      </c>
    </row>
    <row r="282" spans="1:44">
      <c r="A282" s="379">
        <v>92901</v>
      </c>
      <c r="B282" t="s">
        <v>994</v>
      </c>
      <c r="C282" s="380">
        <v>5.2097000000000003E-3</v>
      </c>
      <c r="D282" s="380"/>
      <c r="E282" s="419">
        <v>701631</v>
      </c>
      <c r="F282" s="419">
        <v>-282673</v>
      </c>
      <c r="G282" s="419">
        <v>-949978</v>
      </c>
      <c r="H282" s="419">
        <v>-3492968</v>
      </c>
      <c r="I282" s="419">
        <v>0</v>
      </c>
      <c r="J282" s="380">
        <v>5.2097000000000003E-3</v>
      </c>
      <c r="K282" s="380"/>
      <c r="L282" s="419">
        <v>1275376</v>
      </c>
      <c r="M282" s="419">
        <v>880814</v>
      </c>
      <c r="N282" s="419">
        <v>385580</v>
      </c>
      <c r="O282" s="419">
        <v>0</v>
      </c>
      <c r="P282" s="419">
        <v>0</v>
      </c>
      <c r="Q282" s="380">
        <v>5.2097000000000003E-3</v>
      </c>
      <c r="R282" s="380"/>
      <c r="S282" s="419">
        <v>-2617187</v>
      </c>
      <c r="T282" s="419">
        <v>-2586903</v>
      </c>
      <c r="U282" s="419">
        <v>-2717645</v>
      </c>
      <c r="V282" s="419">
        <v>-3492968</v>
      </c>
      <c r="W282" s="419">
        <v>0</v>
      </c>
      <c r="X282" s="380">
        <v>5.2097000000000003E-3</v>
      </c>
      <c r="Z282" s="419">
        <v>2087016</v>
      </c>
      <c r="AA282" s="419">
        <v>1466244</v>
      </c>
      <c r="AB282" s="419">
        <v>1466234</v>
      </c>
      <c r="AC282" s="419">
        <v>0</v>
      </c>
      <c r="AD282" s="419">
        <v>0</v>
      </c>
      <c r="AE282" s="380">
        <v>5.2097000000000003E-3</v>
      </c>
      <c r="AF282" s="380"/>
      <c r="AG282" s="419">
        <v>41322</v>
      </c>
      <c r="AH282" s="419">
        <v>41321</v>
      </c>
      <c r="AI282" s="419">
        <v>0</v>
      </c>
      <c r="AJ282" s="419">
        <v>0</v>
      </c>
      <c r="AK282" s="419">
        <v>0</v>
      </c>
      <c r="AL282" s="380">
        <v>5.2097000000000003E-3</v>
      </c>
      <c r="AM282" s="380"/>
      <c r="AN282" s="419">
        <v>-84896</v>
      </c>
      <c r="AO282" s="419">
        <v>-84149</v>
      </c>
      <c r="AP282" s="419">
        <v>-84147</v>
      </c>
      <c r="AQ282" s="419">
        <v>0</v>
      </c>
      <c r="AR282" s="419">
        <v>0</v>
      </c>
    </row>
    <row r="283" spans="1:44">
      <c r="A283" s="379">
        <v>92911</v>
      </c>
      <c r="B283" t="s">
        <v>995</v>
      </c>
      <c r="C283" s="380">
        <v>1.8693E-3</v>
      </c>
      <c r="D283" s="380"/>
      <c r="E283" s="419">
        <v>307811</v>
      </c>
      <c r="F283" s="419">
        <v>-50079</v>
      </c>
      <c r="G283" s="419">
        <v>-285359</v>
      </c>
      <c r="H283" s="419">
        <v>-1253317</v>
      </c>
      <c r="I283" s="419">
        <v>0</v>
      </c>
      <c r="J283" s="380">
        <v>1.8693E-3</v>
      </c>
      <c r="K283" s="380"/>
      <c r="L283" s="419">
        <v>457620</v>
      </c>
      <c r="M283" s="419">
        <v>316046</v>
      </c>
      <c r="N283" s="419">
        <v>138351</v>
      </c>
      <c r="O283" s="419">
        <v>0</v>
      </c>
      <c r="P283" s="419">
        <v>0</v>
      </c>
      <c r="Q283" s="380">
        <v>1.8693E-3</v>
      </c>
      <c r="R283" s="380"/>
      <c r="S283" s="419">
        <v>-939077</v>
      </c>
      <c r="T283" s="419">
        <v>-928210</v>
      </c>
      <c r="U283" s="419">
        <v>-975122</v>
      </c>
      <c r="V283" s="419">
        <v>-1253317</v>
      </c>
      <c r="W283" s="419">
        <v>0</v>
      </c>
      <c r="X283" s="380">
        <v>1.8693E-3</v>
      </c>
      <c r="Z283" s="419">
        <v>748845</v>
      </c>
      <c r="AA283" s="419">
        <v>526105</v>
      </c>
      <c r="AB283" s="419">
        <v>526101</v>
      </c>
      <c r="AC283" s="419">
        <v>0</v>
      </c>
      <c r="AD283" s="419">
        <v>0</v>
      </c>
      <c r="AE283" s="380">
        <v>1.8693E-3</v>
      </c>
      <c r="AF283" s="380"/>
      <c r="AG283" s="419">
        <v>40423</v>
      </c>
      <c r="AH283" s="419">
        <v>35980</v>
      </c>
      <c r="AI283" s="419">
        <v>25311</v>
      </c>
      <c r="AJ283" s="419">
        <v>0</v>
      </c>
      <c r="AK283" s="419">
        <v>0</v>
      </c>
      <c r="AL283" s="380">
        <v>1.8693E-3</v>
      </c>
      <c r="AM283" s="380"/>
      <c r="AN283" s="419">
        <v>0</v>
      </c>
      <c r="AO283" s="419">
        <v>0</v>
      </c>
      <c r="AP283" s="419">
        <v>0</v>
      </c>
      <c r="AQ283" s="419">
        <v>0</v>
      </c>
      <c r="AR283" s="419">
        <v>0</v>
      </c>
    </row>
    <row r="284" spans="1:44">
      <c r="A284" s="379">
        <v>92913</v>
      </c>
      <c r="B284" t="s">
        <v>996</v>
      </c>
      <c r="C284" s="380">
        <v>2.2099999999999998E-5</v>
      </c>
      <c r="D284" s="380"/>
      <c r="E284" s="419">
        <v>41092</v>
      </c>
      <c r="F284" s="419">
        <v>27709</v>
      </c>
      <c r="G284" s="419">
        <v>12652</v>
      </c>
      <c r="H284" s="419">
        <v>-14817</v>
      </c>
      <c r="I284" s="419">
        <v>0</v>
      </c>
      <c r="J284" s="380">
        <v>2.2099999999999998E-5</v>
      </c>
      <c r="K284" s="380"/>
      <c r="L284" s="419">
        <v>5410</v>
      </c>
      <c r="M284" s="419">
        <v>3736</v>
      </c>
      <c r="N284" s="419">
        <v>1636</v>
      </c>
      <c r="O284" s="419">
        <v>0</v>
      </c>
      <c r="P284" s="419">
        <v>0</v>
      </c>
      <c r="Q284" s="380">
        <v>2.2099999999999998E-5</v>
      </c>
      <c r="R284" s="380"/>
      <c r="S284" s="419">
        <v>-11102</v>
      </c>
      <c r="T284" s="419">
        <v>-10974</v>
      </c>
      <c r="U284" s="419">
        <v>-11528</v>
      </c>
      <c r="V284" s="419">
        <v>-14817</v>
      </c>
      <c r="W284" s="419">
        <v>0</v>
      </c>
      <c r="X284" s="380">
        <v>2.2099999999999998E-5</v>
      </c>
      <c r="Z284" s="419">
        <v>8853</v>
      </c>
      <c r="AA284" s="419">
        <v>6220</v>
      </c>
      <c r="AB284" s="419">
        <v>6220</v>
      </c>
      <c r="AC284" s="419">
        <v>0</v>
      </c>
      <c r="AD284" s="419">
        <v>0</v>
      </c>
      <c r="AE284" s="380">
        <v>2.2099999999999998E-5</v>
      </c>
      <c r="AF284" s="380"/>
      <c r="AG284" s="419">
        <v>37931</v>
      </c>
      <c r="AH284" s="419">
        <v>28727</v>
      </c>
      <c r="AI284" s="419">
        <v>16324</v>
      </c>
      <c r="AJ284" s="419">
        <v>0</v>
      </c>
      <c r="AK284" s="419">
        <v>0</v>
      </c>
      <c r="AL284" s="380">
        <v>2.2099999999999998E-5</v>
      </c>
      <c r="AM284" s="380"/>
      <c r="AN284" s="419">
        <v>0</v>
      </c>
      <c r="AO284" s="419">
        <v>0</v>
      </c>
      <c r="AP284" s="419">
        <v>0</v>
      </c>
      <c r="AQ284" s="419">
        <v>0</v>
      </c>
      <c r="AR284" s="419">
        <v>0</v>
      </c>
    </row>
    <row r="285" spans="1:44">
      <c r="A285" s="379">
        <v>92914</v>
      </c>
      <c r="B285" t="s">
        <v>997</v>
      </c>
      <c r="C285" s="380">
        <v>3.5500000000000002E-5</v>
      </c>
      <c r="D285" s="380"/>
      <c r="E285" s="419">
        <v>12948</v>
      </c>
      <c r="F285" s="419">
        <v>6546</v>
      </c>
      <c r="G285" s="419">
        <v>-91</v>
      </c>
      <c r="H285" s="419">
        <v>-23802</v>
      </c>
      <c r="I285" s="419">
        <v>0</v>
      </c>
      <c r="J285" s="380">
        <v>3.5500000000000002E-5</v>
      </c>
      <c r="K285" s="380"/>
      <c r="L285" s="419">
        <v>8691</v>
      </c>
      <c r="M285" s="419">
        <v>6002</v>
      </c>
      <c r="N285" s="419">
        <v>2627</v>
      </c>
      <c r="O285" s="419">
        <v>0</v>
      </c>
      <c r="P285" s="419">
        <v>0</v>
      </c>
      <c r="Q285" s="380">
        <v>3.5500000000000002E-5</v>
      </c>
      <c r="R285" s="380"/>
      <c r="S285" s="419">
        <v>-17834</v>
      </c>
      <c r="T285" s="419">
        <v>-17628</v>
      </c>
      <c r="U285" s="419">
        <v>-18519</v>
      </c>
      <c r="V285" s="419">
        <v>-23802</v>
      </c>
      <c r="W285" s="419">
        <v>0</v>
      </c>
      <c r="X285" s="380">
        <v>3.5500000000000002E-5</v>
      </c>
      <c r="Z285" s="419">
        <v>14221</v>
      </c>
      <c r="AA285" s="419">
        <v>9991</v>
      </c>
      <c r="AB285" s="419">
        <v>9991</v>
      </c>
      <c r="AC285" s="419">
        <v>0</v>
      </c>
      <c r="AD285" s="419">
        <v>0</v>
      </c>
      <c r="AE285" s="380">
        <v>3.5500000000000002E-5</v>
      </c>
      <c r="AF285" s="380"/>
      <c r="AG285" s="419">
        <v>8180</v>
      </c>
      <c r="AH285" s="419">
        <v>8181</v>
      </c>
      <c r="AI285" s="419">
        <v>5810</v>
      </c>
      <c r="AJ285" s="419">
        <v>0</v>
      </c>
      <c r="AK285" s="419">
        <v>0</v>
      </c>
      <c r="AL285" s="380">
        <v>3.5500000000000002E-5</v>
      </c>
      <c r="AM285" s="380"/>
      <c r="AN285" s="419">
        <v>-310</v>
      </c>
      <c r="AO285" s="419">
        <v>0</v>
      </c>
      <c r="AP285" s="419">
        <v>0</v>
      </c>
      <c r="AQ285" s="419">
        <v>0</v>
      </c>
      <c r="AR285" s="419">
        <v>0</v>
      </c>
    </row>
    <row r="286" spans="1:44">
      <c r="A286" s="379">
        <v>92917</v>
      </c>
      <c r="B286" t="s">
        <v>998</v>
      </c>
      <c r="C286" s="380">
        <v>2.3E-5</v>
      </c>
      <c r="D286" s="380"/>
      <c r="E286" s="419">
        <v>15239</v>
      </c>
      <c r="F286" s="419">
        <v>9011</v>
      </c>
      <c r="G286" s="419">
        <v>4352</v>
      </c>
      <c r="H286" s="419">
        <v>-15421</v>
      </c>
      <c r="I286" s="419">
        <v>0</v>
      </c>
      <c r="J286" s="380">
        <v>2.3E-5</v>
      </c>
      <c r="K286" s="380"/>
      <c r="L286" s="419">
        <v>5631</v>
      </c>
      <c r="M286" s="419">
        <v>3889</v>
      </c>
      <c r="N286" s="419">
        <v>1702</v>
      </c>
      <c r="O286" s="419">
        <v>0</v>
      </c>
      <c r="P286" s="419">
        <v>0</v>
      </c>
      <c r="Q286" s="380">
        <v>2.3E-5</v>
      </c>
      <c r="R286" s="380"/>
      <c r="S286" s="419">
        <v>-11554</v>
      </c>
      <c r="T286" s="419">
        <v>-11421</v>
      </c>
      <c r="U286" s="419">
        <v>-11998</v>
      </c>
      <c r="V286" s="419">
        <v>-15421</v>
      </c>
      <c r="W286" s="419">
        <v>0</v>
      </c>
      <c r="X286" s="380">
        <v>2.3E-5</v>
      </c>
      <c r="Z286" s="419">
        <v>9214</v>
      </c>
      <c r="AA286" s="419">
        <v>6473</v>
      </c>
      <c r="AB286" s="419">
        <v>6473</v>
      </c>
      <c r="AC286" s="419">
        <v>0</v>
      </c>
      <c r="AD286" s="419">
        <v>0</v>
      </c>
      <c r="AE286" s="380">
        <v>2.3E-5</v>
      </c>
      <c r="AF286" s="380"/>
      <c r="AG286" s="419">
        <v>11948</v>
      </c>
      <c r="AH286" s="419">
        <v>10070</v>
      </c>
      <c r="AI286" s="419">
        <v>8175</v>
      </c>
      <c r="AJ286" s="419">
        <v>0</v>
      </c>
      <c r="AK286" s="419">
        <v>0</v>
      </c>
      <c r="AL286" s="380">
        <v>2.3E-5</v>
      </c>
      <c r="AM286" s="380"/>
      <c r="AN286" s="419">
        <v>0</v>
      </c>
      <c r="AO286" s="419">
        <v>0</v>
      </c>
      <c r="AP286" s="419">
        <v>0</v>
      </c>
      <c r="AQ286" s="419">
        <v>0</v>
      </c>
      <c r="AR286" s="419">
        <v>0</v>
      </c>
    </row>
    <row r="287" spans="1:44">
      <c r="A287" s="379">
        <v>92921</v>
      </c>
      <c r="B287" t="s">
        <v>999</v>
      </c>
      <c r="C287" s="380">
        <v>8.8599999999999999E-5</v>
      </c>
      <c r="D287" s="380"/>
      <c r="E287" s="419">
        <v>17840</v>
      </c>
      <c r="F287" s="419">
        <v>-2588</v>
      </c>
      <c r="G287" s="419">
        <v>-16421</v>
      </c>
      <c r="H287" s="419">
        <v>-59404</v>
      </c>
      <c r="I287" s="419">
        <v>0</v>
      </c>
      <c r="J287" s="380">
        <v>8.8599999999999999E-5</v>
      </c>
      <c r="K287" s="380"/>
      <c r="L287" s="419">
        <v>21690</v>
      </c>
      <c r="M287" s="419">
        <v>14980</v>
      </c>
      <c r="N287" s="419">
        <v>6557</v>
      </c>
      <c r="O287" s="419">
        <v>0</v>
      </c>
      <c r="P287" s="419">
        <v>0</v>
      </c>
      <c r="Q287" s="380">
        <v>8.8599999999999999E-5</v>
      </c>
      <c r="R287" s="380"/>
      <c r="S287" s="419">
        <v>-44510</v>
      </c>
      <c r="T287" s="419">
        <v>-43995</v>
      </c>
      <c r="U287" s="419">
        <v>-46218</v>
      </c>
      <c r="V287" s="419">
        <v>-59404</v>
      </c>
      <c r="W287" s="419">
        <v>0</v>
      </c>
      <c r="X287" s="380">
        <v>8.8599999999999999E-5</v>
      </c>
      <c r="Z287" s="419">
        <v>35493</v>
      </c>
      <c r="AA287" s="419">
        <v>24936</v>
      </c>
      <c r="AB287" s="419">
        <v>24936</v>
      </c>
      <c r="AC287" s="419">
        <v>0</v>
      </c>
      <c r="AD287" s="419">
        <v>0</v>
      </c>
      <c r="AE287" s="380">
        <v>8.8599999999999999E-5</v>
      </c>
      <c r="AF287" s="380"/>
      <c r="AG287" s="419">
        <v>6864</v>
      </c>
      <c r="AH287" s="419">
        <v>3188</v>
      </c>
      <c r="AI287" s="419">
        <v>0</v>
      </c>
      <c r="AJ287" s="419">
        <v>0</v>
      </c>
      <c r="AK287" s="419">
        <v>0</v>
      </c>
      <c r="AL287" s="380">
        <v>8.8599999999999999E-5</v>
      </c>
      <c r="AM287" s="380"/>
      <c r="AN287" s="419">
        <v>-1697</v>
      </c>
      <c r="AO287" s="419">
        <v>-1697</v>
      </c>
      <c r="AP287" s="419">
        <v>-1696</v>
      </c>
      <c r="AQ287" s="419">
        <v>0</v>
      </c>
      <c r="AR287" s="419">
        <v>0</v>
      </c>
    </row>
    <row r="288" spans="1:44">
      <c r="A288" s="379">
        <v>92931</v>
      </c>
      <c r="B288" t="s">
        <v>1000</v>
      </c>
      <c r="C288" s="380">
        <v>2.1461000000000002E-3</v>
      </c>
      <c r="D288" s="380"/>
      <c r="E288" s="419">
        <v>191993</v>
      </c>
      <c r="F288" s="419">
        <v>-220843</v>
      </c>
      <c r="G288" s="419">
        <v>-456183</v>
      </c>
      <c r="H288" s="419">
        <v>-1438904</v>
      </c>
      <c r="I288" s="419">
        <v>0</v>
      </c>
      <c r="J288" s="380">
        <v>2.1461000000000002E-3</v>
      </c>
      <c r="K288" s="380"/>
      <c r="L288" s="419">
        <v>525382</v>
      </c>
      <c r="M288" s="419">
        <v>362845</v>
      </c>
      <c r="N288" s="419">
        <v>158837</v>
      </c>
      <c r="O288" s="419">
        <v>0</v>
      </c>
      <c r="P288" s="419">
        <v>0</v>
      </c>
      <c r="Q288" s="380">
        <v>2.1461000000000002E-3</v>
      </c>
      <c r="R288" s="380"/>
      <c r="S288" s="419">
        <v>-1078132</v>
      </c>
      <c r="T288" s="419">
        <v>-1065657</v>
      </c>
      <c r="U288" s="419">
        <v>-1119515</v>
      </c>
      <c r="V288" s="419">
        <v>-1438904</v>
      </c>
      <c r="W288" s="419">
        <v>0</v>
      </c>
      <c r="X288" s="380">
        <v>2.1461000000000002E-3</v>
      </c>
      <c r="Z288" s="419">
        <v>859732</v>
      </c>
      <c r="AA288" s="419">
        <v>604009</v>
      </c>
      <c r="AB288" s="419">
        <v>604005</v>
      </c>
      <c r="AC288" s="419">
        <v>0</v>
      </c>
      <c r="AD288" s="419">
        <v>0</v>
      </c>
      <c r="AE288" s="380">
        <v>2.1461000000000002E-3</v>
      </c>
      <c r="AF288" s="380"/>
      <c r="AG288" s="419">
        <v>32296</v>
      </c>
      <c r="AH288" s="419">
        <v>25246</v>
      </c>
      <c r="AI288" s="419">
        <v>0</v>
      </c>
      <c r="AJ288" s="419">
        <v>0</v>
      </c>
      <c r="AK288" s="419">
        <v>0</v>
      </c>
      <c r="AL288" s="380">
        <v>2.1461000000000002E-3</v>
      </c>
      <c r="AM288" s="380"/>
      <c r="AN288" s="419">
        <v>-147285</v>
      </c>
      <c r="AO288" s="419">
        <v>-147286</v>
      </c>
      <c r="AP288" s="419">
        <v>-99510</v>
      </c>
      <c r="AQ288" s="419">
        <v>0</v>
      </c>
      <c r="AR288" s="419">
        <v>0</v>
      </c>
    </row>
    <row r="289" spans="1:44">
      <c r="A289" s="379">
        <v>92941</v>
      </c>
      <c r="B289" t="s">
        <v>81</v>
      </c>
      <c r="C289" s="380">
        <v>4.5000000000000001E-6</v>
      </c>
      <c r="D289" s="380"/>
      <c r="E289" s="419">
        <v>889</v>
      </c>
      <c r="F289" s="419">
        <v>728</v>
      </c>
      <c r="G289" s="419">
        <v>-295</v>
      </c>
      <c r="H289" s="419">
        <v>-3017</v>
      </c>
      <c r="I289" s="419">
        <v>0</v>
      </c>
      <c r="J289" s="380">
        <v>4.5000000000000001E-6</v>
      </c>
      <c r="K289" s="380"/>
      <c r="L289" s="419">
        <v>1102</v>
      </c>
      <c r="M289" s="419">
        <v>761</v>
      </c>
      <c r="N289" s="419">
        <v>333</v>
      </c>
      <c r="O289" s="419">
        <v>0</v>
      </c>
      <c r="P289" s="419">
        <v>0</v>
      </c>
      <c r="Q289" s="380">
        <v>4.5000000000000001E-6</v>
      </c>
      <c r="R289" s="380"/>
      <c r="S289" s="419">
        <v>-2261</v>
      </c>
      <c r="T289" s="419">
        <v>-2234</v>
      </c>
      <c r="U289" s="419">
        <v>-2347</v>
      </c>
      <c r="V289" s="419">
        <v>-3017</v>
      </c>
      <c r="W289" s="419">
        <v>0</v>
      </c>
      <c r="X289" s="380">
        <v>4.5000000000000001E-6</v>
      </c>
      <c r="Z289" s="419">
        <v>1803</v>
      </c>
      <c r="AA289" s="419">
        <v>1267</v>
      </c>
      <c r="AB289" s="419">
        <v>1266</v>
      </c>
      <c r="AC289" s="419">
        <v>0</v>
      </c>
      <c r="AD289" s="419">
        <v>0</v>
      </c>
      <c r="AE289" s="380">
        <v>4.5000000000000001E-6</v>
      </c>
      <c r="AF289" s="380"/>
      <c r="AG289" s="419">
        <v>936</v>
      </c>
      <c r="AH289" s="419">
        <v>934</v>
      </c>
      <c r="AI289" s="419">
        <v>453</v>
      </c>
      <c r="AJ289" s="419">
        <v>0</v>
      </c>
      <c r="AK289" s="419">
        <v>0</v>
      </c>
      <c r="AL289" s="380">
        <v>4.5000000000000001E-6</v>
      </c>
      <c r="AM289" s="380"/>
      <c r="AN289" s="419">
        <v>-691</v>
      </c>
      <c r="AO289" s="419">
        <v>0</v>
      </c>
      <c r="AP289" s="419">
        <v>0</v>
      </c>
      <c r="AQ289" s="419">
        <v>0</v>
      </c>
      <c r="AR289" s="419">
        <v>0</v>
      </c>
    </row>
    <row r="290" spans="1:44">
      <c r="A290" s="379">
        <v>93001</v>
      </c>
      <c r="B290" t="s">
        <v>1001</v>
      </c>
      <c r="C290" s="380">
        <v>2.2403000000000002E-3</v>
      </c>
      <c r="D290" s="380"/>
      <c r="E290" s="419">
        <v>329639</v>
      </c>
      <c r="F290" s="419">
        <v>-96646</v>
      </c>
      <c r="G290" s="419">
        <v>-332293</v>
      </c>
      <c r="H290" s="419">
        <v>-1502063</v>
      </c>
      <c r="I290" s="419">
        <v>0</v>
      </c>
      <c r="J290" s="380">
        <v>2.2403000000000002E-3</v>
      </c>
      <c r="K290" s="380"/>
      <c r="L290" s="419">
        <v>548443</v>
      </c>
      <c r="M290" s="419">
        <v>378772</v>
      </c>
      <c r="N290" s="419">
        <v>165809</v>
      </c>
      <c r="O290" s="419">
        <v>0</v>
      </c>
      <c r="P290" s="419">
        <v>0</v>
      </c>
      <c r="Q290" s="380">
        <v>2.2403000000000002E-3</v>
      </c>
      <c r="R290" s="380"/>
      <c r="S290" s="419">
        <v>-1125455</v>
      </c>
      <c r="T290" s="419">
        <v>-1112432</v>
      </c>
      <c r="U290" s="419">
        <v>-1168655</v>
      </c>
      <c r="V290" s="419">
        <v>-1502063</v>
      </c>
      <c r="W290" s="419">
        <v>0</v>
      </c>
      <c r="X290" s="380">
        <v>2.2403000000000002E-3</v>
      </c>
      <c r="Z290" s="419">
        <v>897469</v>
      </c>
      <c r="AA290" s="419">
        <v>630521</v>
      </c>
      <c r="AB290" s="419">
        <v>630517</v>
      </c>
      <c r="AC290" s="419">
        <v>0</v>
      </c>
      <c r="AD290" s="419">
        <v>0</v>
      </c>
      <c r="AE290" s="380">
        <v>2.2403000000000002E-3</v>
      </c>
      <c r="AF290" s="380"/>
      <c r="AG290" s="419">
        <v>42727</v>
      </c>
      <c r="AH290" s="419">
        <v>40037</v>
      </c>
      <c r="AI290" s="419">
        <v>40036</v>
      </c>
      <c r="AJ290" s="419">
        <v>0</v>
      </c>
      <c r="AK290" s="419">
        <v>0</v>
      </c>
      <c r="AL290" s="380">
        <v>2.2403000000000002E-3</v>
      </c>
      <c r="AM290" s="380"/>
      <c r="AN290" s="419">
        <v>-33545</v>
      </c>
      <c r="AO290" s="419">
        <v>-33544</v>
      </c>
      <c r="AP290" s="419">
        <v>0</v>
      </c>
      <c r="AQ290" s="419">
        <v>0</v>
      </c>
      <c r="AR290" s="419">
        <v>0</v>
      </c>
    </row>
    <row r="291" spans="1:44">
      <c r="A291" s="379">
        <v>93009</v>
      </c>
      <c r="B291" t="s">
        <v>1002</v>
      </c>
      <c r="C291" s="380">
        <v>5.9000000000000003E-6</v>
      </c>
      <c r="D291" s="380"/>
      <c r="E291" s="419">
        <v>-4124</v>
      </c>
      <c r="F291" s="419">
        <v>-4879</v>
      </c>
      <c r="G291" s="419">
        <v>-4523</v>
      </c>
      <c r="H291" s="419">
        <v>-3956</v>
      </c>
      <c r="I291" s="419">
        <v>0</v>
      </c>
      <c r="J291" s="380">
        <v>5.9000000000000003E-6</v>
      </c>
      <c r="K291" s="380"/>
      <c r="L291" s="419">
        <v>1444</v>
      </c>
      <c r="M291" s="419">
        <v>998</v>
      </c>
      <c r="N291" s="419">
        <v>437</v>
      </c>
      <c r="O291" s="419">
        <v>0</v>
      </c>
      <c r="P291" s="419">
        <v>0</v>
      </c>
      <c r="Q291" s="380">
        <v>5.9000000000000003E-6</v>
      </c>
      <c r="R291" s="380"/>
      <c r="S291" s="419">
        <v>-2964</v>
      </c>
      <c r="T291" s="419">
        <v>-2930</v>
      </c>
      <c r="U291" s="419">
        <v>-3078</v>
      </c>
      <c r="V291" s="419">
        <v>-3956</v>
      </c>
      <c r="W291" s="419">
        <v>0</v>
      </c>
      <c r="X291" s="380">
        <v>5.9000000000000003E-6</v>
      </c>
      <c r="Z291" s="419">
        <v>2364</v>
      </c>
      <c r="AA291" s="419">
        <v>1661</v>
      </c>
      <c r="AB291" s="419">
        <v>1661</v>
      </c>
      <c r="AC291" s="419">
        <v>0</v>
      </c>
      <c r="AD291" s="419">
        <v>0</v>
      </c>
      <c r="AE291" s="380">
        <v>5.9000000000000003E-6</v>
      </c>
      <c r="AF291" s="380"/>
      <c r="AG291" s="419">
        <v>0</v>
      </c>
      <c r="AH291" s="419">
        <v>0</v>
      </c>
      <c r="AI291" s="419">
        <v>0</v>
      </c>
      <c r="AJ291" s="419">
        <v>0</v>
      </c>
      <c r="AK291" s="419">
        <v>0</v>
      </c>
      <c r="AL291" s="380">
        <v>5.9000000000000003E-6</v>
      </c>
      <c r="AM291" s="380"/>
      <c r="AN291" s="419">
        <v>-4968</v>
      </c>
      <c r="AO291" s="419">
        <v>-4608</v>
      </c>
      <c r="AP291" s="419">
        <v>-3543</v>
      </c>
      <c r="AQ291" s="419">
        <v>0</v>
      </c>
      <c r="AR291" s="419">
        <v>0</v>
      </c>
    </row>
    <row r="292" spans="1:44">
      <c r="A292" s="379">
        <v>93011</v>
      </c>
      <c r="B292" t="s">
        <v>1003</v>
      </c>
      <c r="C292" s="380">
        <v>2.809E-4</v>
      </c>
      <c r="D292" s="380"/>
      <c r="E292" s="419">
        <v>39678</v>
      </c>
      <c r="F292" s="419">
        <v>-26176</v>
      </c>
      <c r="G292" s="419">
        <v>-65145</v>
      </c>
      <c r="H292" s="419">
        <v>-188336</v>
      </c>
      <c r="I292" s="419">
        <v>0</v>
      </c>
      <c r="J292" s="380">
        <v>2.809E-4</v>
      </c>
      <c r="K292" s="380"/>
      <c r="L292" s="419">
        <v>68767</v>
      </c>
      <c r="M292" s="419">
        <v>47492</v>
      </c>
      <c r="N292" s="419">
        <v>20790</v>
      </c>
      <c r="O292" s="419">
        <v>0</v>
      </c>
      <c r="P292" s="419">
        <v>0</v>
      </c>
      <c r="Q292" s="380">
        <v>2.809E-4</v>
      </c>
      <c r="R292" s="380"/>
      <c r="S292" s="419">
        <v>-141115</v>
      </c>
      <c r="T292" s="419">
        <v>-139482</v>
      </c>
      <c r="U292" s="419">
        <v>-146532</v>
      </c>
      <c r="V292" s="419">
        <v>-188336</v>
      </c>
      <c r="W292" s="419">
        <v>0</v>
      </c>
      <c r="X292" s="380">
        <v>2.809E-4</v>
      </c>
      <c r="Z292" s="419">
        <v>112529</v>
      </c>
      <c r="AA292" s="419">
        <v>79058</v>
      </c>
      <c r="AB292" s="419">
        <v>79057</v>
      </c>
      <c r="AC292" s="419">
        <v>0</v>
      </c>
      <c r="AD292" s="419">
        <v>0</v>
      </c>
      <c r="AE292" s="380">
        <v>2.809E-4</v>
      </c>
      <c r="AF292" s="380"/>
      <c r="AG292" s="419">
        <v>19395</v>
      </c>
      <c r="AH292" s="419">
        <v>6655</v>
      </c>
      <c r="AI292" s="419">
        <v>0</v>
      </c>
      <c r="AJ292" s="419">
        <v>0</v>
      </c>
      <c r="AK292" s="419">
        <v>0</v>
      </c>
      <c r="AL292" s="380">
        <v>2.809E-4</v>
      </c>
      <c r="AM292" s="380"/>
      <c r="AN292" s="419">
        <v>-19898</v>
      </c>
      <c r="AO292" s="419">
        <v>-19899</v>
      </c>
      <c r="AP292" s="419">
        <v>-18460</v>
      </c>
      <c r="AQ292" s="419">
        <v>0</v>
      </c>
      <c r="AR292" s="419">
        <v>0</v>
      </c>
    </row>
    <row r="293" spans="1:44">
      <c r="A293" s="379">
        <v>93021</v>
      </c>
      <c r="B293" t="s">
        <v>1004</v>
      </c>
      <c r="C293" s="380">
        <v>2.6299999999999999E-5</v>
      </c>
      <c r="D293" s="380"/>
      <c r="E293" s="419">
        <v>-184</v>
      </c>
      <c r="F293" s="419">
        <v>-4536</v>
      </c>
      <c r="G293" s="419">
        <v>-6500</v>
      </c>
      <c r="H293" s="419">
        <v>-17633</v>
      </c>
      <c r="I293" s="419">
        <v>0</v>
      </c>
      <c r="J293" s="380">
        <v>2.6299999999999999E-5</v>
      </c>
      <c r="K293" s="380"/>
      <c r="L293" s="419">
        <v>6438</v>
      </c>
      <c r="M293" s="419">
        <v>4447</v>
      </c>
      <c r="N293" s="419">
        <v>1947</v>
      </c>
      <c r="O293" s="419">
        <v>0</v>
      </c>
      <c r="P293" s="419">
        <v>0</v>
      </c>
      <c r="Q293" s="380">
        <v>2.6299999999999999E-5</v>
      </c>
      <c r="R293" s="380"/>
      <c r="S293" s="419">
        <v>-13212</v>
      </c>
      <c r="T293" s="419">
        <v>-13059</v>
      </c>
      <c r="U293" s="419">
        <v>-13719</v>
      </c>
      <c r="V293" s="419">
        <v>-17633</v>
      </c>
      <c r="W293" s="419">
        <v>0</v>
      </c>
      <c r="X293" s="380">
        <v>2.6299999999999999E-5</v>
      </c>
      <c r="Z293" s="419">
        <v>10536</v>
      </c>
      <c r="AA293" s="419">
        <v>7402</v>
      </c>
      <c r="AB293" s="419">
        <v>7402</v>
      </c>
      <c r="AC293" s="419">
        <v>0</v>
      </c>
      <c r="AD293" s="419">
        <v>0</v>
      </c>
      <c r="AE293" s="380">
        <v>2.6299999999999999E-5</v>
      </c>
      <c r="AF293" s="380"/>
      <c r="AG293" s="419">
        <v>0</v>
      </c>
      <c r="AH293" s="419">
        <v>0</v>
      </c>
      <c r="AI293" s="419">
        <v>0</v>
      </c>
      <c r="AJ293" s="419">
        <v>0</v>
      </c>
      <c r="AK293" s="419">
        <v>0</v>
      </c>
      <c r="AL293" s="380">
        <v>2.6299999999999999E-5</v>
      </c>
      <c r="AM293" s="380"/>
      <c r="AN293" s="419">
        <v>-3946</v>
      </c>
      <c r="AO293" s="419">
        <v>-3326</v>
      </c>
      <c r="AP293" s="419">
        <v>-2130</v>
      </c>
      <c r="AQ293" s="419">
        <v>0</v>
      </c>
      <c r="AR293" s="419">
        <v>0</v>
      </c>
    </row>
    <row r="294" spans="1:44">
      <c r="A294" s="379">
        <v>93027</v>
      </c>
      <c r="B294" t="s">
        <v>1005</v>
      </c>
      <c r="C294" s="380">
        <v>0</v>
      </c>
      <c r="D294" s="380"/>
      <c r="E294" s="419"/>
      <c r="F294" s="419"/>
      <c r="G294" s="419">
        <v>0</v>
      </c>
      <c r="H294" s="419">
        <v>0</v>
      </c>
      <c r="I294" s="419">
        <v>0</v>
      </c>
      <c r="J294" s="380">
        <v>0</v>
      </c>
      <c r="K294" s="380"/>
      <c r="L294" s="419">
        <v>0</v>
      </c>
      <c r="M294" s="419">
        <v>0</v>
      </c>
      <c r="N294" s="419">
        <v>0</v>
      </c>
      <c r="O294" s="419">
        <v>0</v>
      </c>
      <c r="P294" s="419">
        <v>0</v>
      </c>
      <c r="Q294" s="380">
        <v>0</v>
      </c>
      <c r="R294" s="380"/>
      <c r="S294" s="419">
        <v>0</v>
      </c>
      <c r="T294" s="419">
        <v>0</v>
      </c>
      <c r="U294" s="419">
        <v>0</v>
      </c>
      <c r="V294" s="419">
        <v>0</v>
      </c>
      <c r="W294" s="419">
        <v>0</v>
      </c>
      <c r="X294" s="380">
        <v>0</v>
      </c>
      <c r="Z294" s="419">
        <v>0</v>
      </c>
      <c r="AA294" s="419">
        <v>0</v>
      </c>
      <c r="AB294" s="419">
        <v>0</v>
      </c>
      <c r="AC294" s="419">
        <v>0</v>
      </c>
      <c r="AD294" s="419">
        <v>0</v>
      </c>
      <c r="AE294" s="380">
        <v>0</v>
      </c>
      <c r="AF294" s="380"/>
      <c r="AG294" s="419">
        <v>0</v>
      </c>
      <c r="AH294" s="419">
        <v>0</v>
      </c>
      <c r="AI294" s="419">
        <v>0</v>
      </c>
      <c r="AJ294" s="419">
        <v>0</v>
      </c>
      <c r="AK294" s="419">
        <v>0</v>
      </c>
      <c r="AL294" s="380">
        <v>0</v>
      </c>
      <c r="AM294" s="380"/>
      <c r="AN294" s="419">
        <v>-3720</v>
      </c>
      <c r="AO294" s="419">
        <v>-3192</v>
      </c>
      <c r="AP294" s="419">
        <v>0</v>
      </c>
      <c r="AQ294" s="419">
        <v>0</v>
      </c>
      <c r="AR294" s="419">
        <v>0</v>
      </c>
    </row>
    <row r="295" spans="1:44">
      <c r="A295" s="379">
        <v>93028</v>
      </c>
      <c r="B295" t="s">
        <v>3615</v>
      </c>
      <c r="C295" s="380">
        <v>1.9199999999999999E-5</v>
      </c>
      <c r="D295" s="380"/>
      <c r="E295" s="419">
        <v>10579</v>
      </c>
      <c r="F295" s="419">
        <v>6948</v>
      </c>
      <c r="G295" s="419">
        <v>-5181</v>
      </c>
      <c r="H295" s="419">
        <v>-12873</v>
      </c>
      <c r="I295" s="419">
        <v>0</v>
      </c>
      <c r="J295" s="380">
        <v>1.9199999999999999E-5</v>
      </c>
      <c r="K295" s="380"/>
      <c r="L295" s="419">
        <v>4700</v>
      </c>
      <c r="M295" s="419">
        <v>3246</v>
      </c>
      <c r="N295" s="419">
        <v>1421</v>
      </c>
      <c r="O295" s="419">
        <v>0</v>
      </c>
      <c r="P295" s="419">
        <v>0</v>
      </c>
      <c r="Q295" s="380">
        <v>1.9199999999999999E-5</v>
      </c>
      <c r="R295" s="380"/>
      <c r="S295" s="419">
        <v>-9645</v>
      </c>
      <c r="T295" s="419">
        <v>-9534</v>
      </c>
      <c r="U295" s="419">
        <v>-10016</v>
      </c>
      <c r="V295" s="419">
        <v>-12873</v>
      </c>
      <c r="W295" s="419">
        <v>0</v>
      </c>
      <c r="X295" s="380">
        <v>1.9199999999999999E-5</v>
      </c>
      <c r="Z295" s="419">
        <v>7692</v>
      </c>
      <c r="AA295" s="419">
        <v>5404</v>
      </c>
      <c r="AB295" s="419">
        <v>5404</v>
      </c>
      <c r="AC295" s="419">
        <v>0</v>
      </c>
      <c r="AD295" s="419">
        <v>0</v>
      </c>
      <c r="AE295" s="380">
        <v>1.9199999999999999E-5</v>
      </c>
      <c r="AF295" s="380"/>
      <c r="AG295" s="419">
        <v>9821</v>
      </c>
      <c r="AH295" s="419">
        <v>9821</v>
      </c>
      <c r="AI295" s="419">
        <v>0</v>
      </c>
      <c r="AJ295" s="419">
        <v>0</v>
      </c>
      <c r="AK295" s="419">
        <v>0</v>
      </c>
      <c r="AL295" s="380">
        <v>1.9199999999999999E-5</v>
      </c>
      <c r="AM295" s="380"/>
      <c r="AN295" s="419">
        <v>-1989</v>
      </c>
      <c r="AO295" s="419">
        <v>-1989</v>
      </c>
      <c r="AP295" s="419">
        <v>-1990</v>
      </c>
      <c r="AQ295" s="419">
        <v>0</v>
      </c>
      <c r="AR295" s="419">
        <v>0</v>
      </c>
    </row>
    <row r="296" spans="1:44">
      <c r="A296" s="379">
        <v>93031</v>
      </c>
      <c r="B296" t="s">
        <v>1006</v>
      </c>
      <c r="C296" s="380">
        <v>3.8999999999999999E-6</v>
      </c>
      <c r="D296" s="380"/>
      <c r="E296" s="419">
        <v>2159</v>
      </c>
      <c r="F296" s="419">
        <v>-460</v>
      </c>
      <c r="G296" s="419">
        <v>-54</v>
      </c>
      <c r="H296" s="419">
        <v>-2615</v>
      </c>
      <c r="I296" s="419">
        <v>0</v>
      </c>
      <c r="J296" s="380">
        <v>3.8999999999999999E-6</v>
      </c>
      <c r="K296" s="380"/>
      <c r="L296" s="419">
        <v>955</v>
      </c>
      <c r="M296" s="419">
        <v>659</v>
      </c>
      <c r="N296" s="419">
        <v>289</v>
      </c>
      <c r="O296" s="419">
        <v>0</v>
      </c>
      <c r="P296" s="419">
        <v>0</v>
      </c>
      <c r="Q296" s="380">
        <v>3.8999999999999999E-6</v>
      </c>
      <c r="R296" s="380"/>
      <c r="S296" s="419">
        <v>-1959</v>
      </c>
      <c r="T296" s="419">
        <v>-1937</v>
      </c>
      <c r="U296" s="419">
        <v>-2034</v>
      </c>
      <c r="V296" s="419">
        <v>-2615</v>
      </c>
      <c r="W296" s="419">
        <v>0</v>
      </c>
      <c r="X296" s="380">
        <v>3.8999999999999999E-6</v>
      </c>
      <c r="Z296" s="419">
        <v>1562</v>
      </c>
      <c r="AA296" s="419">
        <v>1098</v>
      </c>
      <c r="AB296" s="419">
        <v>1098</v>
      </c>
      <c r="AC296" s="419">
        <v>0</v>
      </c>
      <c r="AD296" s="419">
        <v>0</v>
      </c>
      <c r="AE296" s="380">
        <v>3.8999999999999999E-6</v>
      </c>
      <c r="AF296" s="380"/>
      <c r="AG296" s="419">
        <v>2814</v>
      </c>
      <c r="AH296" s="419">
        <v>931</v>
      </c>
      <c r="AI296" s="419">
        <v>593</v>
      </c>
      <c r="AJ296" s="419">
        <v>0</v>
      </c>
      <c r="AK296" s="419">
        <v>0</v>
      </c>
      <c r="AL296" s="380">
        <v>3.8999999999999999E-6</v>
      </c>
      <c r="AM296" s="380"/>
      <c r="AN296" s="419">
        <v>-1213</v>
      </c>
      <c r="AO296" s="419">
        <v>-1211</v>
      </c>
      <c r="AP296" s="419">
        <v>0</v>
      </c>
      <c r="AQ296" s="419">
        <v>0</v>
      </c>
      <c r="AR296" s="419">
        <v>0</v>
      </c>
    </row>
    <row r="297" spans="1:44">
      <c r="A297" s="379">
        <v>93101</v>
      </c>
      <c r="B297" t="s">
        <v>1007</v>
      </c>
      <c r="C297" s="380">
        <v>2.8521000000000002E-3</v>
      </c>
      <c r="D297" s="380"/>
      <c r="E297" s="419">
        <v>163279</v>
      </c>
      <c r="F297" s="419">
        <v>-321084</v>
      </c>
      <c r="G297" s="419">
        <v>-524497</v>
      </c>
      <c r="H297" s="419">
        <v>-1912259</v>
      </c>
      <c r="I297" s="419">
        <v>0</v>
      </c>
      <c r="J297" s="380">
        <v>2.8521000000000002E-3</v>
      </c>
      <c r="K297" s="380"/>
      <c r="L297" s="419">
        <v>698217</v>
      </c>
      <c r="M297" s="419">
        <v>482210</v>
      </c>
      <c r="N297" s="419">
        <v>211090</v>
      </c>
      <c r="O297" s="419">
        <v>0</v>
      </c>
      <c r="P297" s="419">
        <v>0</v>
      </c>
      <c r="Q297" s="380">
        <v>2.8521000000000002E-3</v>
      </c>
      <c r="R297" s="380"/>
      <c r="S297" s="419">
        <v>-1432804</v>
      </c>
      <c r="T297" s="419">
        <v>-1416225</v>
      </c>
      <c r="U297" s="419">
        <v>-1487801</v>
      </c>
      <c r="V297" s="419">
        <v>-1912259</v>
      </c>
      <c r="W297" s="419">
        <v>0</v>
      </c>
      <c r="X297" s="380">
        <v>2.8521000000000002E-3</v>
      </c>
      <c r="Z297" s="419">
        <v>1142557</v>
      </c>
      <c r="AA297" s="419">
        <v>802709</v>
      </c>
      <c r="AB297" s="419">
        <v>802704</v>
      </c>
      <c r="AC297" s="419">
        <v>0</v>
      </c>
      <c r="AD297" s="419">
        <v>0</v>
      </c>
      <c r="AE297" s="380">
        <v>2.8521000000000002E-3</v>
      </c>
      <c r="AF297" s="380"/>
      <c r="AG297" s="419">
        <v>0</v>
      </c>
      <c r="AH297" s="419">
        <v>0</v>
      </c>
      <c r="AI297" s="419">
        <v>0</v>
      </c>
      <c r="AJ297" s="419">
        <v>0</v>
      </c>
      <c r="AK297" s="419">
        <v>0</v>
      </c>
      <c r="AL297" s="380">
        <v>2.8521000000000002E-3</v>
      </c>
      <c r="AM297" s="380"/>
      <c r="AN297" s="419">
        <v>-244691</v>
      </c>
      <c r="AO297" s="419">
        <v>-189778</v>
      </c>
      <c r="AP297" s="419">
        <v>-50490</v>
      </c>
      <c r="AQ297" s="419">
        <v>0</v>
      </c>
      <c r="AR297" s="419">
        <v>0</v>
      </c>
    </row>
    <row r="298" spans="1:44">
      <c r="A298" s="379">
        <v>93103</v>
      </c>
      <c r="B298" t="s">
        <v>260</v>
      </c>
      <c r="C298" s="380">
        <v>0</v>
      </c>
      <c r="D298" s="380"/>
      <c r="E298" s="419">
        <v>-11833</v>
      </c>
      <c r="F298" s="419">
        <v>-11330</v>
      </c>
      <c r="G298" s="419">
        <v>-9532</v>
      </c>
      <c r="H298" s="419">
        <v>0</v>
      </c>
      <c r="I298" s="419">
        <v>0</v>
      </c>
      <c r="J298" s="380">
        <v>0</v>
      </c>
      <c r="K298" s="380"/>
      <c r="L298" s="419">
        <v>0</v>
      </c>
      <c r="M298" s="419">
        <v>0</v>
      </c>
      <c r="N298" s="419">
        <v>0</v>
      </c>
      <c r="O298" s="419">
        <v>0</v>
      </c>
      <c r="P298" s="419">
        <v>0</v>
      </c>
      <c r="Q298" s="380">
        <v>0</v>
      </c>
      <c r="R298" s="380"/>
      <c r="S298" s="419">
        <v>0</v>
      </c>
      <c r="T298" s="419">
        <v>0</v>
      </c>
      <c r="U298" s="419">
        <v>0</v>
      </c>
      <c r="V298" s="419">
        <v>0</v>
      </c>
      <c r="W298" s="419">
        <v>0</v>
      </c>
      <c r="X298" s="380">
        <v>0</v>
      </c>
      <c r="Z298" s="419">
        <v>0</v>
      </c>
      <c r="AA298" s="419">
        <v>0</v>
      </c>
      <c r="AB298" s="419">
        <v>0</v>
      </c>
      <c r="AC298" s="419">
        <v>0</v>
      </c>
      <c r="AD298" s="419">
        <v>0</v>
      </c>
      <c r="AE298" s="380">
        <v>0</v>
      </c>
      <c r="AF298" s="380"/>
      <c r="AG298" s="419">
        <v>0</v>
      </c>
      <c r="AH298" s="419">
        <v>0</v>
      </c>
      <c r="AI298" s="419">
        <v>0</v>
      </c>
      <c r="AJ298" s="419">
        <v>0</v>
      </c>
      <c r="AK298" s="419">
        <v>0</v>
      </c>
      <c r="AL298" s="380">
        <v>0</v>
      </c>
      <c r="AM298" s="380"/>
      <c r="AN298" s="419">
        <v>-11833</v>
      </c>
      <c r="AO298" s="419">
        <v>-11330</v>
      </c>
      <c r="AP298" s="419">
        <v>-9532</v>
      </c>
      <c r="AQ298" s="419">
        <v>0</v>
      </c>
      <c r="AR298" s="419">
        <v>0</v>
      </c>
    </row>
    <row r="299" spans="1:44">
      <c r="A299" s="379">
        <v>93108</v>
      </c>
      <c r="B299" t="s">
        <v>1008</v>
      </c>
      <c r="C299" s="380">
        <v>2.3987000000000001E-3</v>
      </c>
      <c r="D299" s="380"/>
      <c r="E299" s="419">
        <v>382281</v>
      </c>
      <c r="F299" s="419">
        <v>-25856</v>
      </c>
      <c r="G299" s="419">
        <v>-275134</v>
      </c>
      <c r="H299" s="419">
        <v>-1608266</v>
      </c>
      <c r="I299" s="419">
        <v>0</v>
      </c>
      <c r="J299" s="380">
        <v>2.3987000000000001E-3</v>
      </c>
      <c r="K299" s="380"/>
      <c r="L299" s="419">
        <v>587221</v>
      </c>
      <c r="M299" s="419">
        <v>405553</v>
      </c>
      <c r="N299" s="419">
        <v>177533</v>
      </c>
      <c r="O299" s="419">
        <v>0</v>
      </c>
      <c r="P299" s="419">
        <v>0</v>
      </c>
      <c r="Q299" s="380">
        <v>2.3987000000000001E-3</v>
      </c>
      <c r="R299" s="380"/>
      <c r="S299" s="419">
        <v>-1205030</v>
      </c>
      <c r="T299" s="419">
        <v>-1191086</v>
      </c>
      <c r="U299" s="419">
        <v>-1251284</v>
      </c>
      <c r="V299" s="419">
        <v>-1608266</v>
      </c>
      <c r="W299" s="419">
        <v>0</v>
      </c>
      <c r="X299" s="380">
        <v>2.3987000000000001E-3</v>
      </c>
      <c r="Z299" s="419">
        <v>960924</v>
      </c>
      <c r="AA299" s="419">
        <v>675102</v>
      </c>
      <c r="AB299" s="419">
        <v>675097</v>
      </c>
      <c r="AC299" s="419">
        <v>0</v>
      </c>
      <c r="AD299" s="419">
        <v>0</v>
      </c>
      <c r="AE299" s="380">
        <v>2.3987000000000001E-3</v>
      </c>
      <c r="AF299" s="380"/>
      <c r="AG299" s="419">
        <v>123519</v>
      </c>
      <c r="AH299" s="419">
        <v>123519</v>
      </c>
      <c r="AI299" s="419">
        <v>123520</v>
      </c>
      <c r="AJ299" s="419">
        <v>0</v>
      </c>
      <c r="AK299" s="419">
        <v>0</v>
      </c>
      <c r="AL299" s="380">
        <v>2.3987000000000001E-3</v>
      </c>
      <c r="AM299" s="380"/>
      <c r="AN299" s="419">
        <v>-84353</v>
      </c>
      <c r="AO299" s="419">
        <v>-38944</v>
      </c>
      <c r="AP299" s="419">
        <v>0</v>
      </c>
      <c r="AQ299" s="419">
        <v>0</v>
      </c>
      <c r="AR299" s="419">
        <v>0</v>
      </c>
    </row>
    <row r="300" spans="1:44">
      <c r="A300" s="379">
        <v>93111</v>
      </c>
      <c r="B300" t="s">
        <v>1009</v>
      </c>
      <c r="C300" s="380">
        <v>5.7899999999999998E-5</v>
      </c>
      <c r="D300" s="380"/>
      <c r="E300" s="419">
        <v>8655</v>
      </c>
      <c r="F300" s="419">
        <v>-2443</v>
      </c>
      <c r="G300" s="419">
        <v>-7053</v>
      </c>
      <c r="H300" s="419">
        <v>-38820</v>
      </c>
      <c r="I300" s="419">
        <v>0</v>
      </c>
      <c r="J300" s="380">
        <v>5.7899999999999998E-5</v>
      </c>
      <c r="K300" s="380"/>
      <c r="L300" s="419">
        <v>14174</v>
      </c>
      <c r="M300" s="419">
        <v>9789</v>
      </c>
      <c r="N300" s="419">
        <v>4285</v>
      </c>
      <c r="O300" s="419">
        <v>0</v>
      </c>
      <c r="P300" s="419">
        <v>0</v>
      </c>
      <c r="Q300" s="380">
        <v>5.7899999999999998E-5</v>
      </c>
      <c r="R300" s="380"/>
      <c r="S300" s="419">
        <v>-29087</v>
      </c>
      <c r="T300" s="419">
        <v>-28751</v>
      </c>
      <c r="U300" s="419">
        <v>-30204</v>
      </c>
      <c r="V300" s="419">
        <v>-38820</v>
      </c>
      <c r="W300" s="419">
        <v>0</v>
      </c>
      <c r="X300" s="380">
        <v>5.7899999999999998E-5</v>
      </c>
      <c r="Z300" s="419">
        <v>23195</v>
      </c>
      <c r="AA300" s="419">
        <v>16296</v>
      </c>
      <c r="AB300" s="419">
        <v>16296</v>
      </c>
      <c r="AC300" s="419">
        <v>0</v>
      </c>
      <c r="AD300" s="419">
        <v>0</v>
      </c>
      <c r="AE300" s="380">
        <v>5.7899999999999998E-5</v>
      </c>
      <c r="AF300" s="380"/>
      <c r="AG300" s="419">
        <v>2724</v>
      </c>
      <c r="AH300" s="419">
        <v>2571</v>
      </c>
      <c r="AI300" s="419">
        <v>2570</v>
      </c>
      <c r="AJ300" s="419">
        <v>0</v>
      </c>
      <c r="AK300" s="419">
        <v>0</v>
      </c>
      <c r="AL300" s="380">
        <v>5.7899999999999998E-5</v>
      </c>
      <c r="AM300" s="380"/>
      <c r="AN300" s="419">
        <v>-2351</v>
      </c>
      <c r="AO300" s="419">
        <v>-2348</v>
      </c>
      <c r="AP300" s="419">
        <v>0</v>
      </c>
      <c r="AQ300" s="419">
        <v>0</v>
      </c>
      <c r="AR300" s="419">
        <v>0</v>
      </c>
    </row>
    <row r="301" spans="1:44">
      <c r="A301" s="379">
        <v>93121</v>
      </c>
      <c r="B301" t="s">
        <v>1010</v>
      </c>
      <c r="C301" s="380">
        <v>4.8000000000000001E-5</v>
      </c>
      <c r="D301" s="380"/>
      <c r="E301" s="419">
        <v>5315</v>
      </c>
      <c r="F301" s="419">
        <v>-3142</v>
      </c>
      <c r="G301" s="419">
        <v>-8985</v>
      </c>
      <c r="H301" s="419">
        <v>-32183</v>
      </c>
      <c r="I301" s="419">
        <v>0</v>
      </c>
      <c r="J301" s="380">
        <v>4.8000000000000001E-5</v>
      </c>
      <c r="K301" s="380"/>
      <c r="L301" s="419">
        <v>11751</v>
      </c>
      <c r="M301" s="419">
        <v>8115</v>
      </c>
      <c r="N301" s="419">
        <v>3553</v>
      </c>
      <c r="O301" s="419">
        <v>0</v>
      </c>
      <c r="P301" s="419">
        <v>0</v>
      </c>
      <c r="Q301" s="380">
        <v>4.8000000000000001E-5</v>
      </c>
      <c r="R301" s="380"/>
      <c r="S301" s="419">
        <v>-24114</v>
      </c>
      <c r="T301" s="419">
        <v>-23835</v>
      </c>
      <c r="U301" s="419">
        <v>-25039</v>
      </c>
      <c r="V301" s="419">
        <v>-32183</v>
      </c>
      <c r="W301" s="419">
        <v>0</v>
      </c>
      <c r="X301" s="380">
        <v>4.8000000000000001E-5</v>
      </c>
      <c r="Z301" s="419">
        <v>19229</v>
      </c>
      <c r="AA301" s="419">
        <v>13509</v>
      </c>
      <c r="AB301" s="419">
        <v>13509</v>
      </c>
      <c r="AC301" s="419">
        <v>0</v>
      </c>
      <c r="AD301" s="419">
        <v>0</v>
      </c>
      <c r="AE301" s="380">
        <v>4.8000000000000001E-5</v>
      </c>
      <c r="AF301" s="380"/>
      <c r="AG301" s="419">
        <v>2196</v>
      </c>
      <c r="AH301" s="419">
        <v>2195</v>
      </c>
      <c r="AI301" s="419">
        <v>0</v>
      </c>
      <c r="AJ301" s="419">
        <v>0</v>
      </c>
      <c r="AK301" s="419">
        <v>0</v>
      </c>
      <c r="AL301" s="380">
        <v>4.8000000000000001E-5</v>
      </c>
      <c r="AM301" s="380"/>
      <c r="AN301" s="419">
        <v>-3747</v>
      </c>
      <c r="AO301" s="419">
        <v>-3126</v>
      </c>
      <c r="AP301" s="419">
        <v>-1008</v>
      </c>
      <c r="AQ301" s="419">
        <v>0</v>
      </c>
      <c r="AR301" s="419">
        <v>0</v>
      </c>
    </row>
    <row r="302" spans="1:44">
      <c r="A302" s="379">
        <v>93127</v>
      </c>
      <c r="B302" t="s">
        <v>1011</v>
      </c>
      <c r="C302" s="380">
        <v>4.1999999999999996E-6</v>
      </c>
      <c r="D302" s="380"/>
      <c r="E302" s="419">
        <v>-359</v>
      </c>
      <c r="F302" s="419">
        <v>-1117</v>
      </c>
      <c r="G302" s="419">
        <v>-1506</v>
      </c>
      <c r="H302" s="419">
        <v>-2816</v>
      </c>
      <c r="I302" s="419">
        <v>0</v>
      </c>
      <c r="J302" s="380">
        <v>4.1999999999999996E-6</v>
      </c>
      <c r="K302" s="380"/>
      <c r="L302" s="419">
        <v>1028</v>
      </c>
      <c r="M302" s="419">
        <v>710</v>
      </c>
      <c r="N302" s="419">
        <v>311</v>
      </c>
      <c r="O302" s="419">
        <v>0</v>
      </c>
      <c r="P302" s="419">
        <v>0</v>
      </c>
      <c r="Q302" s="380">
        <v>4.1999999999999996E-6</v>
      </c>
      <c r="R302" s="380"/>
      <c r="S302" s="419">
        <v>-2110</v>
      </c>
      <c r="T302" s="419">
        <v>-2086</v>
      </c>
      <c r="U302" s="419">
        <v>-2191</v>
      </c>
      <c r="V302" s="419">
        <v>-2816</v>
      </c>
      <c r="W302" s="419">
        <v>0</v>
      </c>
      <c r="X302" s="380">
        <v>4.1999999999999996E-6</v>
      </c>
      <c r="Z302" s="419">
        <v>1683</v>
      </c>
      <c r="AA302" s="419">
        <v>1182</v>
      </c>
      <c r="AB302" s="419">
        <v>1182</v>
      </c>
      <c r="AC302" s="419">
        <v>0</v>
      </c>
      <c r="AD302" s="419">
        <v>0</v>
      </c>
      <c r="AE302" s="380">
        <v>4.1999999999999996E-6</v>
      </c>
      <c r="AF302" s="380"/>
      <c r="AG302" s="419">
        <v>89</v>
      </c>
      <c r="AH302" s="419">
        <v>87</v>
      </c>
      <c r="AI302" s="419">
        <v>0</v>
      </c>
      <c r="AJ302" s="419">
        <v>0</v>
      </c>
      <c r="AK302" s="419">
        <v>0</v>
      </c>
      <c r="AL302" s="380">
        <v>4.1999999999999996E-6</v>
      </c>
      <c r="AM302" s="380"/>
      <c r="AN302" s="419">
        <v>-1049</v>
      </c>
      <c r="AO302" s="419">
        <v>-1010</v>
      </c>
      <c r="AP302" s="419">
        <v>-808</v>
      </c>
      <c r="AQ302" s="419">
        <v>0</v>
      </c>
      <c r="AR302" s="419">
        <v>0</v>
      </c>
    </row>
    <row r="303" spans="1:44">
      <c r="A303" s="379">
        <v>93131</v>
      </c>
      <c r="B303" t="s">
        <v>1012</v>
      </c>
      <c r="C303" s="380">
        <v>1.706E-4</v>
      </c>
      <c r="D303" s="380"/>
      <c r="E303" s="419">
        <v>17571</v>
      </c>
      <c r="F303" s="419">
        <v>-10081</v>
      </c>
      <c r="G303" s="419">
        <v>-27020</v>
      </c>
      <c r="H303" s="419">
        <v>-114383</v>
      </c>
      <c r="I303" s="419">
        <v>0</v>
      </c>
      <c r="J303" s="380">
        <v>1.706E-4</v>
      </c>
      <c r="K303" s="380"/>
      <c r="L303" s="419">
        <v>41764</v>
      </c>
      <c r="M303" s="419">
        <v>28844</v>
      </c>
      <c r="N303" s="419">
        <v>12626</v>
      </c>
      <c r="O303" s="419">
        <v>0</v>
      </c>
      <c r="P303" s="419">
        <v>0</v>
      </c>
      <c r="Q303" s="380">
        <v>1.706E-4</v>
      </c>
      <c r="R303" s="380"/>
      <c r="S303" s="419">
        <v>-85704</v>
      </c>
      <c r="T303" s="419">
        <v>-84712</v>
      </c>
      <c r="U303" s="419">
        <v>-88994</v>
      </c>
      <c r="V303" s="419">
        <v>-114383</v>
      </c>
      <c r="W303" s="419">
        <v>0</v>
      </c>
      <c r="X303" s="380">
        <v>1.706E-4</v>
      </c>
      <c r="Z303" s="419">
        <v>68343</v>
      </c>
      <c r="AA303" s="419">
        <v>48015</v>
      </c>
      <c r="AB303" s="419">
        <v>48014</v>
      </c>
      <c r="AC303" s="419">
        <v>0</v>
      </c>
      <c r="AD303" s="419">
        <v>0</v>
      </c>
      <c r="AE303" s="380">
        <v>1.706E-4</v>
      </c>
      <c r="AF303" s="380"/>
      <c r="AG303" s="419">
        <v>1666</v>
      </c>
      <c r="AH303" s="419">
        <v>1666</v>
      </c>
      <c r="AI303" s="419">
        <v>1334</v>
      </c>
      <c r="AJ303" s="419">
        <v>0</v>
      </c>
      <c r="AK303" s="419">
        <v>0</v>
      </c>
      <c r="AL303" s="380">
        <v>1.706E-4</v>
      </c>
      <c r="AM303" s="380"/>
      <c r="AN303" s="419">
        <v>-8498</v>
      </c>
      <c r="AO303" s="419">
        <v>-3894</v>
      </c>
      <c r="AP303" s="419">
        <v>0</v>
      </c>
      <c r="AQ303" s="419">
        <v>0</v>
      </c>
      <c r="AR303" s="419">
        <v>0</v>
      </c>
    </row>
    <row r="304" spans="1:44">
      <c r="A304" s="379">
        <v>93137</v>
      </c>
      <c r="B304" t="s">
        <v>1013</v>
      </c>
      <c r="C304" s="380">
        <v>6.1E-6</v>
      </c>
      <c r="D304" s="380"/>
      <c r="E304" s="419">
        <v>2530</v>
      </c>
      <c r="F304" s="419">
        <v>984</v>
      </c>
      <c r="G304" s="419">
        <v>-124</v>
      </c>
      <c r="H304" s="419">
        <v>-4090</v>
      </c>
      <c r="I304" s="419">
        <v>0</v>
      </c>
      <c r="J304" s="380">
        <v>6.1E-6</v>
      </c>
      <c r="K304" s="380"/>
      <c r="L304" s="419">
        <v>1493</v>
      </c>
      <c r="M304" s="419">
        <v>1031</v>
      </c>
      <c r="N304" s="419">
        <v>451</v>
      </c>
      <c r="O304" s="419">
        <v>0</v>
      </c>
      <c r="P304" s="419">
        <v>0</v>
      </c>
      <c r="Q304" s="380">
        <v>6.1E-6</v>
      </c>
      <c r="R304" s="380"/>
      <c r="S304" s="419">
        <v>-3064</v>
      </c>
      <c r="T304" s="419">
        <v>-3029</v>
      </c>
      <c r="U304" s="419">
        <v>-3182</v>
      </c>
      <c r="V304" s="419">
        <v>-4090</v>
      </c>
      <c r="W304" s="419">
        <v>0</v>
      </c>
      <c r="X304" s="380">
        <v>6.1E-6</v>
      </c>
      <c r="Z304" s="419">
        <v>2444</v>
      </c>
      <c r="AA304" s="419">
        <v>1717</v>
      </c>
      <c r="AB304" s="419">
        <v>1717</v>
      </c>
      <c r="AC304" s="419">
        <v>0</v>
      </c>
      <c r="AD304" s="419">
        <v>0</v>
      </c>
      <c r="AE304" s="380">
        <v>6.1E-6</v>
      </c>
      <c r="AF304" s="380"/>
      <c r="AG304" s="419">
        <v>1657</v>
      </c>
      <c r="AH304" s="419">
        <v>1265</v>
      </c>
      <c r="AI304" s="419">
        <v>890</v>
      </c>
      <c r="AJ304" s="419">
        <v>0</v>
      </c>
      <c r="AK304" s="419">
        <v>0</v>
      </c>
      <c r="AL304" s="380">
        <v>6.1E-6</v>
      </c>
      <c r="AM304" s="380"/>
      <c r="AN304" s="419">
        <v>0</v>
      </c>
      <c r="AO304" s="419">
        <v>0</v>
      </c>
      <c r="AP304" s="419">
        <v>0</v>
      </c>
      <c r="AQ304" s="419">
        <v>0</v>
      </c>
      <c r="AR304" s="419">
        <v>0</v>
      </c>
    </row>
    <row r="305" spans="1:44">
      <c r="A305" s="379">
        <v>93141</v>
      </c>
      <c r="B305" t="s">
        <v>1014</v>
      </c>
      <c r="C305" s="380">
        <v>3.26E-5</v>
      </c>
      <c r="D305" s="380"/>
      <c r="E305" s="419">
        <v>2545</v>
      </c>
      <c r="F305" s="419">
        <v>-2107</v>
      </c>
      <c r="G305" s="419">
        <v>-7956</v>
      </c>
      <c r="H305" s="419">
        <v>-21857</v>
      </c>
      <c r="I305" s="419">
        <v>0</v>
      </c>
      <c r="J305" s="380">
        <v>3.26E-5</v>
      </c>
      <c r="K305" s="380"/>
      <c r="L305" s="419">
        <v>7981</v>
      </c>
      <c r="M305" s="419">
        <v>5512</v>
      </c>
      <c r="N305" s="419">
        <v>2413</v>
      </c>
      <c r="O305" s="419">
        <v>0</v>
      </c>
      <c r="P305" s="419">
        <v>0</v>
      </c>
      <c r="Q305" s="380">
        <v>3.26E-5</v>
      </c>
      <c r="R305" s="380"/>
      <c r="S305" s="419">
        <v>-16377</v>
      </c>
      <c r="T305" s="419">
        <v>-16188</v>
      </c>
      <c r="U305" s="419">
        <v>-17006</v>
      </c>
      <c r="V305" s="419">
        <v>-21857</v>
      </c>
      <c r="W305" s="419">
        <v>0</v>
      </c>
      <c r="X305" s="380">
        <v>3.26E-5</v>
      </c>
      <c r="Z305" s="419">
        <v>13060</v>
      </c>
      <c r="AA305" s="419">
        <v>9175</v>
      </c>
      <c r="AB305" s="419">
        <v>9175</v>
      </c>
      <c r="AC305" s="419">
        <v>0</v>
      </c>
      <c r="AD305" s="419">
        <v>0</v>
      </c>
      <c r="AE305" s="380">
        <v>3.26E-5</v>
      </c>
      <c r="AF305" s="380"/>
      <c r="AG305" s="419">
        <v>1936</v>
      </c>
      <c r="AH305" s="419">
        <v>1932</v>
      </c>
      <c r="AI305" s="419">
        <v>0</v>
      </c>
      <c r="AJ305" s="419">
        <v>0</v>
      </c>
      <c r="AK305" s="419">
        <v>0</v>
      </c>
      <c r="AL305" s="380">
        <v>3.26E-5</v>
      </c>
      <c r="AM305" s="380"/>
      <c r="AN305" s="419">
        <v>-4055</v>
      </c>
      <c r="AO305" s="419">
        <v>-2538</v>
      </c>
      <c r="AP305" s="419">
        <v>-2538</v>
      </c>
      <c r="AQ305" s="419">
        <v>0</v>
      </c>
      <c r="AR305" s="419">
        <v>0</v>
      </c>
    </row>
    <row r="306" spans="1:44">
      <c r="A306" s="379">
        <v>93151</v>
      </c>
      <c r="B306" t="s">
        <v>1015</v>
      </c>
      <c r="C306" s="380">
        <v>3.6019999999999997E-4</v>
      </c>
      <c r="D306" s="380"/>
      <c r="E306" s="419">
        <v>42032</v>
      </c>
      <c r="F306" s="419">
        <v>-23164</v>
      </c>
      <c r="G306" s="419">
        <v>-57925</v>
      </c>
      <c r="H306" s="419">
        <v>-241505</v>
      </c>
      <c r="I306" s="419">
        <v>0</v>
      </c>
      <c r="J306" s="380">
        <v>3.6019999999999997E-4</v>
      </c>
      <c r="K306" s="380"/>
      <c r="L306" s="419">
        <v>88180</v>
      </c>
      <c r="M306" s="419">
        <v>60900</v>
      </c>
      <c r="N306" s="419">
        <v>26659</v>
      </c>
      <c r="O306" s="419">
        <v>0</v>
      </c>
      <c r="P306" s="419">
        <v>0</v>
      </c>
      <c r="Q306" s="380">
        <v>3.6019999999999997E-4</v>
      </c>
      <c r="R306" s="380"/>
      <c r="S306" s="419">
        <v>-180953</v>
      </c>
      <c r="T306" s="419">
        <v>-178859</v>
      </c>
      <c r="U306" s="419">
        <v>-187899</v>
      </c>
      <c r="V306" s="419">
        <v>-241505</v>
      </c>
      <c r="W306" s="419">
        <v>0</v>
      </c>
      <c r="X306" s="380">
        <v>3.6019999999999997E-4</v>
      </c>
      <c r="Z306" s="419">
        <v>144297</v>
      </c>
      <c r="AA306" s="419">
        <v>101376</v>
      </c>
      <c r="AB306" s="419">
        <v>101376</v>
      </c>
      <c r="AC306" s="419">
        <v>0</v>
      </c>
      <c r="AD306" s="419">
        <v>0</v>
      </c>
      <c r="AE306" s="380">
        <v>3.6019999999999997E-4</v>
      </c>
      <c r="AF306" s="380"/>
      <c r="AG306" s="419">
        <v>6444</v>
      </c>
      <c r="AH306" s="419">
        <v>6446</v>
      </c>
      <c r="AI306" s="419">
        <v>1939</v>
      </c>
      <c r="AJ306" s="419">
        <v>0</v>
      </c>
      <c r="AK306" s="419">
        <v>0</v>
      </c>
      <c r="AL306" s="380">
        <v>3.6019999999999997E-4</v>
      </c>
      <c r="AM306" s="380"/>
      <c r="AN306" s="419">
        <v>-15936</v>
      </c>
      <c r="AO306" s="419">
        <v>-13027</v>
      </c>
      <c r="AP306" s="419">
        <v>0</v>
      </c>
      <c r="AQ306" s="419">
        <v>0</v>
      </c>
      <c r="AR306" s="419">
        <v>0</v>
      </c>
    </row>
    <row r="307" spans="1:44">
      <c r="A307" s="379">
        <v>93157</v>
      </c>
      <c r="B307" t="s">
        <v>1016</v>
      </c>
      <c r="C307" s="380">
        <v>8.8000000000000004E-6</v>
      </c>
      <c r="D307" s="380"/>
      <c r="E307" s="419">
        <v>3772</v>
      </c>
      <c r="F307" s="419">
        <v>1106</v>
      </c>
      <c r="G307" s="419">
        <v>-3361</v>
      </c>
      <c r="H307" s="419">
        <v>-5900</v>
      </c>
      <c r="I307" s="419">
        <v>0</v>
      </c>
      <c r="J307" s="380">
        <v>8.8000000000000004E-6</v>
      </c>
      <c r="K307" s="380"/>
      <c r="L307" s="419">
        <v>2154</v>
      </c>
      <c r="M307" s="419">
        <v>1488</v>
      </c>
      <c r="N307" s="419">
        <v>651</v>
      </c>
      <c r="O307" s="419">
        <v>0</v>
      </c>
      <c r="P307" s="419">
        <v>0</v>
      </c>
      <c r="Q307" s="380">
        <v>8.8000000000000004E-6</v>
      </c>
      <c r="R307" s="380"/>
      <c r="S307" s="419">
        <v>-4421</v>
      </c>
      <c r="T307" s="419">
        <v>-4370</v>
      </c>
      <c r="U307" s="419">
        <v>-4591</v>
      </c>
      <c r="V307" s="419">
        <v>-5900</v>
      </c>
      <c r="W307" s="419">
        <v>0</v>
      </c>
      <c r="X307" s="380">
        <v>8.8000000000000004E-6</v>
      </c>
      <c r="Z307" s="419">
        <v>3525</v>
      </c>
      <c r="AA307" s="419">
        <v>2477</v>
      </c>
      <c r="AB307" s="419">
        <v>2477</v>
      </c>
      <c r="AC307" s="419">
        <v>0</v>
      </c>
      <c r="AD307" s="419">
        <v>0</v>
      </c>
      <c r="AE307" s="380">
        <v>8.8000000000000004E-6</v>
      </c>
      <c r="AF307" s="380"/>
      <c r="AG307" s="419">
        <v>4411</v>
      </c>
      <c r="AH307" s="419">
        <v>3408</v>
      </c>
      <c r="AI307" s="419">
        <v>0</v>
      </c>
      <c r="AJ307" s="419">
        <v>0</v>
      </c>
      <c r="AK307" s="419">
        <v>0</v>
      </c>
      <c r="AL307" s="380">
        <v>8.8000000000000004E-6</v>
      </c>
      <c r="AM307" s="380"/>
      <c r="AN307" s="419">
        <v>-1897</v>
      </c>
      <c r="AO307" s="419">
        <v>-1897</v>
      </c>
      <c r="AP307" s="419">
        <v>-1898</v>
      </c>
      <c r="AQ307" s="419">
        <v>0</v>
      </c>
      <c r="AR307" s="419">
        <v>0</v>
      </c>
    </row>
    <row r="308" spans="1:44">
      <c r="A308" s="379">
        <v>93161</v>
      </c>
      <c r="B308" t="s">
        <v>1017</v>
      </c>
      <c r="C308" s="380">
        <v>9.7800000000000006E-5</v>
      </c>
      <c r="D308" s="380"/>
      <c r="E308" s="419">
        <v>2048</v>
      </c>
      <c r="F308" s="419">
        <v>-17182</v>
      </c>
      <c r="G308" s="419">
        <v>-21763</v>
      </c>
      <c r="H308" s="419">
        <v>-65572</v>
      </c>
      <c r="I308" s="419">
        <v>0</v>
      </c>
      <c r="J308" s="380">
        <v>9.7800000000000006E-5</v>
      </c>
      <c r="K308" s="380"/>
      <c r="L308" s="419">
        <v>23942</v>
      </c>
      <c r="M308" s="419">
        <v>16535</v>
      </c>
      <c r="N308" s="419">
        <v>7238</v>
      </c>
      <c r="O308" s="419">
        <v>0</v>
      </c>
      <c r="P308" s="419">
        <v>0</v>
      </c>
      <c r="Q308" s="380">
        <v>9.7800000000000006E-5</v>
      </c>
      <c r="R308" s="380"/>
      <c r="S308" s="419">
        <v>-49132</v>
      </c>
      <c r="T308" s="419">
        <v>-48563</v>
      </c>
      <c r="U308" s="419">
        <v>-51017</v>
      </c>
      <c r="V308" s="419">
        <v>-65572</v>
      </c>
      <c r="W308" s="419">
        <v>0</v>
      </c>
      <c r="X308" s="380">
        <v>9.7800000000000006E-5</v>
      </c>
      <c r="Z308" s="419">
        <v>39179</v>
      </c>
      <c r="AA308" s="419">
        <v>27525</v>
      </c>
      <c r="AB308" s="419">
        <v>27525</v>
      </c>
      <c r="AC308" s="419">
        <v>0</v>
      </c>
      <c r="AD308" s="419">
        <v>0</v>
      </c>
      <c r="AE308" s="380">
        <v>9.7800000000000006E-5</v>
      </c>
      <c r="AF308" s="380"/>
      <c r="AG308" s="419">
        <v>1747</v>
      </c>
      <c r="AH308" s="419">
        <v>1010</v>
      </c>
      <c r="AI308" s="419">
        <v>0</v>
      </c>
      <c r="AJ308" s="419">
        <v>0</v>
      </c>
      <c r="AK308" s="419">
        <v>0</v>
      </c>
      <c r="AL308" s="380">
        <v>9.7800000000000006E-5</v>
      </c>
      <c r="AM308" s="380"/>
      <c r="AN308" s="419">
        <v>-13688</v>
      </c>
      <c r="AO308" s="419">
        <v>-13689</v>
      </c>
      <c r="AP308" s="419">
        <v>-5509</v>
      </c>
      <c r="AQ308" s="419">
        <v>0</v>
      </c>
      <c r="AR308" s="419">
        <v>0</v>
      </c>
    </row>
    <row r="309" spans="1:44">
      <c r="A309" s="379">
        <v>93171</v>
      </c>
      <c r="B309" t="s">
        <v>1018</v>
      </c>
      <c r="C309" s="380">
        <v>1.03E-5</v>
      </c>
      <c r="D309" s="380"/>
      <c r="E309" s="419">
        <v>5058</v>
      </c>
      <c r="F309" s="419">
        <v>3356</v>
      </c>
      <c r="G309" s="419">
        <v>-877</v>
      </c>
      <c r="H309" s="419">
        <v>-6906</v>
      </c>
      <c r="I309" s="419">
        <v>0</v>
      </c>
      <c r="J309" s="380">
        <v>1.03E-5</v>
      </c>
      <c r="K309" s="380"/>
      <c r="L309" s="419">
        <v>2522</v>
      </c>
      <c r="M309" s="419">
        <v>1741</v>
      </c>
      <c r="N309" s="419">
        <v>762</v>
      </c>
      <c r="O309" s="419">
        <v>0</v>
      </c>
      <c r="P309" s="419">
        <v>0</v>
      </c>
      <c r="Q309" s="380">
        <v>1.03E-5</v>
      </c>
      <c r="R309" s="380"/>
      <c r="S309" s="419">
        <v>-5174</v>
      </c>
      <c r="T309" s="419">
        <v>-5115</v>
      </c>
      <c r="U309" s="419">
        <v>-5373</v>
      </c>
      <c r="V309" s="419">
        <v>-6906</v>
      </c>
      <c r="W309" s="419">
        <v>0</v>
      </c>
      <c r="X309" s="380">
        <v>1.03E-5</v>
      </c>
      <c r="Z309" s="419">
        <v>4126</v>
      </c>
      <c r="AA309" s="419">
        <v>2899</v>
      </c>
      <c r="AB309" s="419">
        <v>2899</v>
      </c>
      <c r="AC309" s="419">
        <v>0</v>
      </c>
      <c r="AD309" s="419">
        <v>0</v>
      </c>
      <c r="AE309" s="380">
        <v>1.03E-5</v>
      </c>
      <c r="AF309" s="380"/>
      <c r="AG309" s="419">
        <v>3830</v>
      </c>
      <c r="AH309" s="419">
        <v>3831</v>
      </c>
      <c r="AI309" s="419">
        <v>835</v>
      </c>
      <c r="AJ309" s="419">
        <v>0</v>
      </c>
      <c r="AK309" s="419">
        <v>0</v>
      </c>
      <c r="AL309" s="380">
        <v>1.03E-5</v>
      </c>
      <c r="AM309" s="380"/>
      <c r="AN309" s="419">
        <v>-246</v>
      </c>
      <c r="AO309" s="419">
        <v>0</v>
      </c>
      <c r="AP309" s="419">
        <v>0</v>
      </c>
      <c r="AQ309" s="419">
        <v>0</v>
      </c>
      <c r="AR309" s="419">
        <v>0</v>
      </c>
    </row>
    <row r="310" spans="1:44">
      <c r="A310" s="379">
        <v>93181</v>
      </c>
      <c r="B310" t="s">
        <v>1019</v>
      </c>
      <c r="C310" s="380">
        <v>1.06E-5</v>
      </c>
      <c r="D310" s="380"/>
      <c r="E310" s="419">
        <v>2551</v>
      </c>
      <c r="F310" s="419">
        <v>521</v>
      </c>
      <c r="G310" s="419">
        <v>-943</v>
      </c>
      <c r="H310" s="419">
        <v>-7107</v>
      </c>
      <c r="I310" s="419">
        <v>0</v>
      </c>
      <c r="J310" s="380">
        <v>1.06E-5</v>
      </c>
      <c r="K310" s="380"/>
      <c r="L310" s="419">
        <v>2595</v>
      </c>
      <c r="M310" s="419">
        <v>1792</v>
      </c>
      <c r="N310" s="419">
        <v>785</v>
      </c>
      <c r="O310" s="419">
        <v>0</v>
      </c>
      <c r="P310" s="419">
        <v>0</v>
      </c>
      <c r="Q310" s="380">
        <v>1.06E-5</v>
      </c>
      <c r="R310" s="380"/>
      <c r="S310" s="419">
        <v>-5325</v>
      </c>
      <c r="T310" s="419">
        <v>-5263</v>
      </c>
      <c r="U310" s="419">
        <v>-5530</v>
      </c>
      <c r="V310" s="419">
        <v>-7107</v>
      </c>
      <c r="W310" s="419">
        <v>0</v>
      </c>
      <c r="X310" s="380">
        <v>1.06E-5</v>
      </c>
      <c r="Z310" s="419">
        <v>4246</v>
      </c>
      <c r="AA310" s="419">
        <v>2983</v>
      </c>
      <c r="AB310" s="419">
        <v>2983</v>
      </c>
      <c r="AC310" s="419">
        <v>0</v>
      </c>
      <c r="AD310" s="419">
        <v>0</v>
      </c>
      <c r="AE310" s="380">
        <v>1.06E-5</v>
      </c>
      <c r="AF310" s="380"/>
      <c r="AG310" s="419">
        <v>1035</v>
      </c>
      <c r="AH310" s="419">
        <v>1009</v>
      </c>
      <c r="AI310" s="419">
        <v>819</v>
      </c>
      <c r="AJ310" s="419">
        <v>0</v>
      </c>
      <c r="AK310" s="419">
        <v>0</v>
      </c>
      <c r="AL310" s="380">
        <v>1.06E-5</v>
      </c>
      <c r="AM310" s="380"/>
      <c r="AN310" s="419">
        <v>0</v>
      </c>
      <c r="AO310" s="419">
        <v>0</v>
      </c>
      <c r="AP310" s="419">
        <v>0</v>
      </c>
      <c r="AQ310" s="419">
        <v>0</v>
      </c>
      <c r="AR310" s="419">
        <v>0</v>
      </c>
    </row>
    <row r="311" spans="1:44">
      <c r="A311" s="379">
        <v>93191</v>
      </c>
      <c r="B311" t="s">
        <v>1020</v>
      </c>
      <c r="C311" s="380">
        <v>2.48E-5</v>
      </c>
      <c r="D311" s="380"/>
      <c r="E311" s="419">
        <v>9638</v>
      </c>
      <c r="F311" s="419">
        <v>4210</v>
      </c>
      <c r="G311" s="419">
        <v>-3758</v>
      </c>
      <c r="H311" s="419">
        <v>-16628</v>
      </c>
      <c r="I311" s="419">
        <v>0</v>
      </c>
      <c r="J311" s="380">
        <v>2.48E-5</v>
      </c>
      <c r="K311" s="380"/>
      <c r="L311" s="419">
        <v>6071</v>
      </c>
      <c r="M311" s="419">
        <v>4193</v>
      </c>
      <c r="N311" s="419">
        <v>1835</v>
      </c>
      <c r="O311" s="419">
        <v>0</v>
      </c>
      <c r="P311" s="419">
        <v>0</v>
      </c>
      <c r="Q311" s="380">
        <v>2.48E-5</v>
      </c>
      <c r="R311" s="380"/>
      <c r="S311" s="419">
        <v>-12459</v>
      </c>
      <c r="T311" s="419">
        <v>-12315</v>
      </c>
      <c r="U311" s="419">
        <v>-12937</v>
      </c>
      <c r="V311" s="419">
        <v>-16628</v>
      </c>
      <c r="W311" s="419">
        <v>0</v>
      </c>
      <c r="X311" s="380">
        <v>2.48E-5</v>
      </c>
      <c r="Z311" s="419">
        <v>9935</v>
      </c>
      <c r="AA311" s="419">
        <v>6980</v>
      </c>
      <c r="AB311" s="419">
        <v>6980</v>
      </c>
      <c r="AC311" s="419">
        <v>0</v>
      </c>
      <c r="AD311" s="419">
        <v>0</v>
      </c>
      <c r="AE311" s="380">
        <v>2.48E-5</v>
      </c>
      <c r="AF311" s="380"/>
      <c r="AG311" s="419">
        <v>6091</v>
      </c>
      <c r="AH311" s="419">
        <v>5352</v>
      </c>
      <c r="AI311" s="419">
        <v>364</v>
      </c>
      <c r="AJ311" s="419">
        <v>0</v>
      </c>
      <c r="AK311" s="419">
        <v>0</v>
      </c>
      <c r="AL311" s="380">
        <v>2.48E-5</v>
      </c>
      <c r="AM311" s="380"/>
      <c r="AN311" s="419">
        <v>0</v>
      </c>
      <c r="AO311" s="419">
        <v>0</v>
      </c>
      <c r="AP311" s="419">
        <v>0</v>
      </c>
      <c r="AQ311" s="419">
        <v>0</v>
      </c>
      <c r="AR311" s="419">
        <v>0</v>
      </c>
    </row>
    <row r="312" spans="1:44">
      <c r="A312" s="379">
        <v>93201</v>
      </c>
      <c r="B312" t="s">
        <v>1021</v>
      </c>
      <c r="C312" s="380">
        <v>1.54521E-2</v>
      </c>
      <c r="D312" s="380"/>
      <c r="E312" s="419">
        <v>2291059</v>
      </c>
      <c r="F312" s="419">
        <v>-689557</v>
      </c>
      <c r="G312" s="419">
        <v>-2375481</v>
      </c>
      <c r="H312" s="419">
        <v>-10360231</v>
      </c>
      <c r="I312" s="419">
        <v>0</v>
      </c>
      <c r="J312" s="380">
        <v>1.54521E-2</v>
      </c>
      <c r="K312" s="380"/>
      <c r="L312" s="419">
        <v>3782798</v>
      </c>
      <c r="M312" s="419">
        <v>2612517</v>
      </c>
      <c r="N312" s="419">
        <v>1143641</v>
      </c>
      <c r="O312" s="419">
        <v>0</v>
      </c>
      <c r="P312" s="419">
        <v>0</v>
      </c>
      <c r="Q312" s="380">
        <v>1.54521E-2</v>
      </c>
      <c r="R312" s="380"/>
      <c r="S312" s="419">
        <v>-7762641</v>
      </c>
      <c r="T312" s="419">
        <v>-7672818</v>
      </c>
      <c r="U312" s="419">
        <v>-8060603</v>
      </c>
      <c r="V312" s="419">
        <v>-10360231</v>
      </c>
      <c r="W312" s="419">
        <v>0</v>
      </c>
      <c r="X312" s="380">
        <v>1.54521E-2</v>
      </c>
      <c r="Z312" s="419">
        <v>6190142</v>
      </c>
      <c r="AA312" s="419">
        <v>4348916</v>
      </c>
      <c r="AB312" s="419">
        <v>4348885</v>
      </c>
      <c r="AC312" s="419">
        <v>0</v>
      </c>
      <c r="AD312" s="419">
        <v>0</v>
      </c>
      <c r="AE312" s="380">
        <v>1.54521E-2</v>
      </c>
      <c r="AF312" s="380"/>
      <c r="AG312" s="419">
        <v>251532</v>
      </c>
      <c r="AH312" s="419">
        <v>192598</v>
      </c>
      <c r="AI312" s="419">
        <v>192596</v>
      </c>
      <c r="AJ312" s="419">
        <v>0</v>
      </c>
      <c r="AK312" s="419">
        <v>0</v>
      </c>
      <c r="AL312" s="380">
        <v>1.54521E-2</v>
      </c>
      <c r="AM312" s="380"/>
      <c r="AN312" s="419">
        <v>-170772</v>
      </c>
      <c r="AO312" s="419">
        <v>-170770</v>
      </c>
      <c r="AP312" s="419">
        <v>0</v>
      </c>
      <c r="AQ312" s="419">
        <v>0</v>
      </c>
      <c r="AR312" s="419">
        <v>0</v>
      </c>
    </row>
    <row r="313" spans="1:44">
      <c r="A313" s="379">
        <v>93202</v>
      </c>
      <c r="B313" t="s">
        <v>1022</v>
      </c>
      <c r="C313" s="380">
        <v>0</v>
      </c>
      <c r="D313" s="380">
        <v>0</v>
      </c>
      <c r="E313" s="419">
        <v>0</v>
      </c>
      <c r="F313" s="419">
        <v>0</v>
      </c>
      <c r="G313" s="419">
        <v>0</v>
      </c>
      <c r="H313" s="419">
        <v>0</v>
      </c>
      <c r="I313" s="419">
        <v>0</v>
      </c>
      <c r="J313" s="419">
        <v>0</v>
      </c>
      <c r="K313" s="419">
        <v>0</v>
      </c>
      <c r="L313" s="419">
        <v>0</v>
      </c>
      <c r="M313" s="419">
        <v>0</v>
      </c>
      <c r="N313" s="419">
        <v>0</v>
      </c>
      <c r="O313" s="419">
        <v>0</v>
      </c>
      <c r="P313" s="419">
        <v>0</v>
      </c>
      <c r="Q313" s="419">
        <v>0</v>
      </c>
      <c r="R313" s="419">
        <v>0</v>
      </c>
      <c r="S313" s="419">
        <v>0</v>
      </c>
      <c r="T313" s="419">
        <v>0</v>
      </c>
      <c r="U313" s="419">
        <v>0</v>
      </c>
      <c r="V313" s="419">
        <v>0</v>
      </c>
      <c r="W313" s="419">
        <v>0</v>
      </c>
      <c r="X313" s="419">
        <v>0</v>
      </c>
      <c r="Y313" s="419">
        <v>0</v>
      </c>
      <c r="Z313" s="419">
        <v>0</v>
      </c>
      <c r="AA313" s="419">
        <v>0</v>
      </c>
      <c r="AB313" s="419">
        <v>0</v>
      </c>
      <c r="AC313" s="419">
        <v>0</v>
      </c>
      <c r="AD313" s="419">
        <v>0</v>
      </c>
      <c r="AE313" s="419">
        <v>0</v>
      </c>
      <c r="AF313" s="419">
        <v>0</v>
      </c>
      <c r="AG313" s="419">
        <v>0</v>
      </c>
      <c r="AH313" s="419">
        <v>0</v>
      </c>
      <c r="AI313" s="419">
        <v>0</v>
      </c>
      <c r="AJ313" s="419">
        <v>0</v>
      </c>
      <c r="AK313" s="419">
        <v>0</v>
      </c>
      <c r="AL313" s="419">
        <v>0</v>
      </c>
      <c r="AM313" s="419">
        <v>0</v>
      </c>
      <c r="AN313" s="419">
        <v>0</v>
      </c>
      <c r="AO313" s="419">
        <v>0</v>
      </c>
      <c r="AP313" s="419">
        <v>0</v>
      </c>
      <c r="AQ313" s="419">
        <v>0</v>
      </c>
      <c r="AR313" s="419">
        <v>0</v>
      </c>
    </row>
    <row r="314" spans="1:44">
      <c r="A314" s="379">
        <v>93204</v>
      </c>
      <c r="B314" t="s">
        <v>1023</v>
      </c>
      <c r="C314" s="380">
        <v>3.0600000000000001E-4</v>
      </c>
      <c r="D314" s="380"/>
      <c r="E314" s="419">
        <v>69288</v>
      </c>
      <c r="F314" s="419">
        <v>5065</v>
      </c>
      <c r="G314" s="419">
        <v>-21772</v>
      </c>
      <c r="H314" s="419">
        <v>-205165</v>
      </c>
      <c r="I314" s="419">
        <v>0</v>
      </c>
      <c r="J314" s="380">
        <v>3.0600000000000001E-4</v>
      </c>
      <c r="K314" s="380"/>
      <c r="L314" s="419">
        <v>74911</v>
      </c>
      <c r="M314" s="419">
        <v>51736</v>
      </c>
      <c r="N314" s="419">
        <v>22648</v>
      </c>
      <c r="O314" s="419">
        <v>0</v>
      </c>
      <c r="P314" s="419">
        <v>0</v>
      </c>
      <c r="Q314" s="380">
        <v>3.0600000000000001E-4</v>
      </c>
      <c r="R314" s="380"/>
      <c r="S314" s="419">
        <v>-153725</v>
      </c>
      <c r="T314" s="419">
        <v>-151946</v>
      </c>
      <c r="U314" s="419">
        <v>-159625</v>
      </c>
      <c r="V314" s="419">
        <v>-205165</v>
      </c>
      <c r="W314" s="419">
        <v>0</v>
      </c>
      <c r="X314" s="380">
        <v>3.0600000000000001E-4</v>
      </c>
      <c r="Z314" s="419">
        <v>122584</v>
      </c>
      <c r="AA314" s="419">
        <v>86122</v>
      </c>
      <c r="AB314" s="419">
        <v>86122</v>
      </c>
      <c r="AC314" s="419">
        <v>0</v>
      </c>
      <c r="AD314" s="419">
        <v>0</v>
      </c>
      <c r="AE314" s="380">
        <v>3.0600000000000001E-4</v>
      </c>
      <c r="AF314" s="380"/>
      <c r="AG314" s="419">
        <v>35446</v>
      </c>
      <c r="AH314" s="419">
        <v>29082</v>
      </c>
      <c r="AI314" s="419">
        <v>29083</v>
      </c>
      <c r="AJ314" s="419">
        <v>0</v>
      </c>
      <c r="AK314" s="419">
        <v>0</v>
      </c>
      <c r="AL314" s="380">
        <v>3.0600000000000001E-4</v>
      </c>
      <c r="AM314" s="380"/>
      <c r="AN314" s="419">
        <v>-9928</v>
      </c>
      <c r="AO314" s="419">
        <v>-9929</v>
      </c>
      <c r="AP314" s="419">
        <v>0</v>
      </c>
      <c r="AQ314" s="419">
        <v>0</v>
      </c>
      <c r="AR314" s="419">
        <v>0</v>
      </c>
    </row>
    <row r="315" spans="1:44">
      <c r="A315" s="379">
        <v>93209</v>
      </c>
      <c r="B315" t="s">
        <v>1024</v>
      </c>
      <c r="C315" s="380">
        <v>5.6934999999999998E-3</v>
      </c>
      <c r="D315" s="380"/>
      <c r="E315" s="419">
        <v>872234</v>
      </c>
      <c r="F315" s="419">
        <v>-252562</v>
      </c>
      <c r="G315" s="419">
        <v>-787283</v>
      </c>
      <c r="H315" s="419">
        <v>-3817344</v>
      </c>
      <c r="I315" s="419">
        <v>0</v>
      </c>
      <c r="J315" s="380">
        <v>5.6934999999999998E-3</v>
      </c>
      <c r="K315" s="380"/>
      <c r="L315" s="419">
        <v>1393814</v>
      </c>
      <c r="M315" s="419">
        <v>962611</v>
      </c>
      <c r="N315" s="419">
        <v>421387</v>
      </c>
      <c r="O315" s="419">
        <v>0</v>
      </c>
      <c r="P315" s="419">
        <v>0</v>
      </c>
      <c r="Q315" s="380">
        <v>5.6934999999999998E-3</v>
      </c>
      <c r="R315" s="380"/>
      <c r="S315" s="419">
        <v>-2860232</v>
      </c>
      <c r="T315" s="419">
        <v>-2827136</v>
      </c>
      <c r="U315" s="419">
        <v>-2970020</v>
      </c>
      <c r="V315" s="419">
        <v>-3817344</v>
      </c>
      <c r="W315" s="419">
        <v>0</v>
      </c>
      <c r="X315" s="380">
        <v>5.6934999999999998E-3</v>
      </c>
      <c r="Z315" s="419">
        <v>2280827</v>
      </c>
      <c r="AA315" s="419">
        <v>1602407</v>
      </c>
      <c r="AB315" s="419">
        <v>1602396</v>
      </c>
      <c r="AC315" s="419">
        <v>0</v>
      </c>
      <c r="AD315" s="419">
        <v>0</v>
      </c>
      <c r="AE315" s="380">
        <v>5.6934999999999998E-3</v>
      </c>
      <c r="AF315" s="380"/>
      <c r="AG315" s="419">
        <v>231315</v>
      </c>
      <c r="AH315" s="419">
        <v>183046</v>
      </c>
      <c r="AI315" s="419">
        <v>158954</v>
      </c>
      <c r="AJ315" s="419">
        <v>0</v>
      </c>
      <c r="AK315" s="419">
        <v>0</v>
      </c>
      <c r="AL315" s="380">
        <v>5.6934999999999998E-3</v>
      </c>
      <c r="AM315" s="380"/>
      <c r="AN315" s="419">
        <v>-173490</v>
      </c>
      <c r="AO315" s="419">
        <v>-173490</v>
      </c>
      <c r="AP315" s="419">
        <v>0</v>
      </c>
      <c r="AQ315" s="419">
        <v>0</v>
      </c>
      <c r="AR315" s="419">
        <v>0</v>
      </c>
    </row>
    <row r="316" spans="1:44">
      <c r="A316" s="379">
        <v>93211</v>
      </c>
      <c r="B316" t="s">
        <v>1025</v>
      </c>
      <c r="C316" s="380">
        <v>2.2281100000000002E-2</v>
      </c>
      <c r="D316" s="380"/>
      <c r="E316" s="419">
        <v>3717378</v>
      </c>
      <c r="F316" s="419">
        <v>-600259</v>
      </c>
      <c r="G316" s="419">
        <v>-3668205</v>
      </c>
      <c r="H316" s="419">
        <v>-14938898</v>
      </c>
      <c r="I316" s="419">
        <v>0</v>
      </c>
      <c r="J316" s="380">
        <v>2.2281100000000002E-2</v>
      </c>
      <c r="K316" s="380"/>
      <c r="L316" s="419">
        <v>5454592</v>
      </c>
      <c r="M316" s="419">
        <v>3767110</v>
      </c>
      <c r="N316" s="419">
        <v>1649069</v>
      </c>
      <c r="O316" s="419">
        <v>0</v>
      </c>
      <c r="P316" s="419">
        <v>0</v>
      </c>
      <c r="Q316" s="380">
        <v>2.2281100000000002E-2</v>
      </c>
      <c r="R316" s="380"/>
      <c r="S316" s="419">
        <v>-11193312</v>
      </c>
      <c r="T316" s="419">
        <v>-11063792</v>
      </c>
      <c r="U316" s="419">
        <v>-11622958</v>
      </c>
      <c r="V316" s="419">
        <v>-14938898</v>
      </c>
      <c r="W316" s="419">
        <v>0</v>
      </c>
      <c r="X316" s="380">
        <v>2.2281100000000002E-2</v>
      </c>
      <c r="Z316" s="419">
        <v>8925853</v>
      </c>
      <c r="AA316" s="419">
        <v>6270904</v>
      </c>
      <c r="AB316" s="419">
        <v>6270860</v>
      </c>
      <c r="AC316" s="419">
        <v>0</v>
      </c>
      <c r="AD316" s="419">
        <v>0</v>
      </c>
      <c r="AE316" s="380">
        <v>2.2281100000000002E-2</v>
      </c>
      <c r="AF316" s="380"/>
      <c r="AG316" s="419">
        <v>530245</v>
      </c>
      <c r="AH316" s="419">
        <v>425519</v>
      </c>
      <c r="AI316" s="419">
        <v>34824</v>
      </c>
      <c r="AJ316" s="419">
        <v>0</v>
      </c>
      <c r="AK316" s="419">
        <v>0</v>
      </c>
      <c r="AL316" s="380">
        <v>2.2281100000000002E-2</v>
      </c>
      <c r="AM316" s="380"/>
      <c r="AN316" s="419">
        <v>0</v>
      </c>
      <c r="AO316" s="419">
        <v>0</v>
      </c>
      <c r="AP316" s="419">
        <v>0</v>
      </c>
      <c r="AQ316" s="419">
        <v>0</v>
      </c>
      <c r="AR316" s="419">
        <v>0</v>
      </c>
    </row>
    <row r="317" spans="1:44">
      <c r="A317" s="379">
        <v>93212</v>
      </c>
      <c r="B317" t="s">
        <v>1026</v>
      </c>
      <c r="C317" s="380">
        <v>2.231E-4</v>
      </c>
      <c r="D317" s="380"/>
      <c r="E317" s="419">
        <v>73157</v>
      </c>
      <c r="F317" s="419">
        <v>-720</v>
      </c>
      <c r="G317" s="419">
        <v>-60337</v>
      </c>
      <c r="H317" s="419">
        <v>-149583</v>
      </c>
      <c r="I317" s="419">
        <v>0</v>
      </c>
      <c r="J317" s="380">
        <v>2.231E-4</v>
      </c>
      <c r="K317" s="380"/>
      <c r="L317" s="419">
        <v>54617</v>
      </c>
      <c r="M317" s="419">
        <v>37720</v>
      </c>
      <c r="N317" s="419">
        <v>16512</v>
      </c>
      <c r="O317" s="419">
        <v>0</v>
      </c>
      <c r="P317" s="419">
        <v>0</v>
      </c>
      <c r="Q317" s="380">
        <v>2.231E-4</v>
      </c>
      <c r="R317" s="380"/>
      <c r="S317" s="419">
        <v>-112078</v>
      </c>
      <c r="T317" s="419">
        <v>-110781</v>
      </c>
      <c r="U317" s="419">
        <v>-116380</v>
      </c>
      <c r="V317" s="419">
        <v>-149583</v>
      </c>
      <c r="W317" s="419">
        <v>0</v>
      </c>
      <c r="X317" s="380">
        <v>2.231E-4</v>
      </c>
      <c r="Z317" s="419">
        <v>89374</v>
      </c>
      <c r="AA317" s="419">
        <v>62790</v>
      </c>
      <c r="AB317" s="419">
        <v>62790</v>
      </c>
      <c r="AC317" s="419">
        <v>0</v>
      </c>
      <c r="AD317" s="419">
        <v>0</v>
      </c>
      <c r="AE317" s="380">
        <v>2.231E-4</v>
      </c>
      <c r="AF317" s="380"/>
      <c r="AG317" s="419">
        <v>64504</v>
      </c>
      <c r="AH317" s="419">
        <v>32811</v>
      </c>
      <c r="AI317" s="419">
        <v>0</v>
      </c>
      <c r="AJ317" s="419">
        <v>0</v>
      </c>
      <c r="AK317" s="419">
        <v>0</v>
      </c>
      <c r="AL317" s="380">
        <v>2.231E-4</v>
      </c>
      <c r="AM317" s="380"/>
      <c r="AN317" s="419">
        <v>-23260</v>
      </c>
      <c r="AO317" s="419">
        <v>-23260</v>
      </c>
      <c r="AP317" s="419">
        <v>-23259</v>
      </c>
      <c r="AQ317" s="419">
        <v>0</v>
      </c>
      <c r="AR317" s="419">
        <v>0</v>
      </c>
    </row>
    <row r="318" spans="1:44">
      <c r="A318" s="379">
        <v>93219</v>
      </c>
      <c r="B318" t="s">
        <v>1027</v>
      </c>
      <c r="C318" s="380">
        <v>2.6029999999999998E-4</v>
      </c>
      <c r="D318" s="380"/>
      <c r="E318" s="419">
        <v>47946</v>
      </c>
      <c r="F318" s="419">
        <v>-661</v>
      </c>
      <c r="G318" s="419">
        <v>-37750</v>
      </c>
      <c r="H318" s="419">
        <v>-174524</v>
      </c>
      <c r="I318" s="419">
        <v>0</v>
      </c>
      <c r="J318" s="380">
        <v>2.6029999999999998E-4</v>
      </c>
      <c r="K318" s="380"/>
      <c r="L318" s="419">
        <v>63724</v>
      </c>
      <c r="M318" s="419">
        <v>44009</v>
      </c>
      <c r="N318" s="419">
        <v>19265</v>
      </c>
      <c r="O318" s="419">
        <v>0</v>
      </c>
      <c r="P318" s="419">
        <v>0</v>
      </c>
      <c r="Q318" s="380">
        <v>2.6029999999999998E-4</v>
      </c>
      <c r="R318" s="380"/>
      <c r="S318" s="419">
        <v>-130766</v>
      </c>
      <c r="T318" s="419">
        <v>-129253</v>
      </c>
      <c r="U318" s="419">
        <v>-135786</v>
      </c>
      <c r="V318" s="419">
        <v>-174524</v>
      </c>
      <c r="W318" s="419">
        <v>0</v>
      </c>
      <c r="X318" s="380">
        <v>2.6029999999999998E-4</v>
      </c>
      <c r="Z318" s="419">
        <v>104277</v>
      </c>
      <c r="AA318" s="419">
        <v>73260</v>
      </c>
      <c r="AB318" s="419">
        <v>73260</v>
      </c>
      <c r="AC318" s="419">
        <v>0</v>
      </c>
      <c r="AD318" s="419">
        <v>0</v>
      </c>
      <c r="AE318" s="380">
        <v>2.6029999999999998E-4</v>
      </c>
      <c r="AF318" s="380"/>
      <c r="AG318" s="419">
        <v>11326</v>
      </c>
      <c r="AH318" s="419">
        <v>11323</v>
      </c>
      <c r="AI318" s="419">
        <v>5511</v>
      </c>
      <c r="AJ318" s="419">
        <v>0</v>
      </c>
      <c r="AK318" s="419">
        <v>0</v>
      </c>
      <c r="AL318" s="380">
        <v>2.6029999999999998E-4</v>
      </c>
      <c r="AM318" s="380"/>
      <c r="AN318" s="419">
        <v>-615</v>
      </c>
      <c r="AO318" s="419">
        <v>0</v>
      </c>
      <c r="AP318" s="419">
        <v>0</v>
      </c>
      <c r="AQ318" s="419">
        <v>0</v>
      </c>
      <c r="AR318" s="419">
        <v>0</v>
      </c>
    </row>
    <row r="319" spans="1:44">
      <c r="A319" s="379">
        <v>93301</v>
      </c>
      <c r="B319" t="s">
        <v>1028</v>
      </c>
      <c r="C319" s="380">
        <v>2.1727000000000001E-3</v>
      </c>
      <c r="D319" s="380"/>
      <c r="E319" s="419">
        <v>296955</v>
      </c>
      <c r="F319" s="419">
        <v>-70585</v>
      </c>
      <c r="G319" s="419">
        <v>-319901</v>
      </c>
      <c r="H319" s="419">
        <v>-1456739</v>
      </c>
      <c r="I319" s="419">
        <v>0</v>
      </c>
      <c r="J319" s="380">
        <v>2.1727000000000001E-3</v>
      </c>
      <c r="K319" s="380"/>
      <c r="L319" s="419">
        <v>531894</v>
      </c>
      <c r="M319" s="419">
        <v>367343</v>
      </c>
      <c r="N319" s="419">
        <v>160806</v>
      </c>
      <c r="O319" s="419">
        <v>0</v>
      </c>
      <c r="P319" s="419">
        <v>0</v>
      </c>
      <c r="Q319" s="380">
        <v>2.1727000000000001E-3</v>
      </c>
      <c r="R319" s="380"/>
      <c r="S319" s="419">
        <v>-1091495</v>
      </c>
      <c r="T319" s="419">
        <v>-1078865</v>
      </c>
      <c r="U319" s="419">
        <v>-1133391</v>
      </c>
      <c r="V319" s="419">
        <v>-1456739</v>
      </c>
      <c r="W319" s="419">
        <v>0</v>
      </c>
      <c r="X319" s="380">
        <v>2.1727000000000001E-3</v>
      </c>
      <c r="Z319" s="419">
        <v>870388</v>
      </c>
      <c r="AA319" s="419">
        <v>611496</v>
      </c>
      <c r="AB319" s="419">
        <v>611491</v>
      </c>
      <c r="AC319" s="419">
        <v>0</v>
      </c>
      <c r="AD319" s="419">
        <v>0</v>
      </c>
      <c r="AE319" s="380">
        <v>2.1727000000000001E-3</v>
      </c>
      <c r="AF319" s="380"/>
      <c r="AG319" s="419">
        <v>45349</v>
      </c>
      <c r="AH319" s="419">
        <v>45347</v>
      </c>
      <c r="AI319" s="419">
        <v>41193</v>
      </c>
      <c r="AJ319" s="419">
        <v>0</v>
      </c>
      <c r="AK319" s="419">
        <v>0</v>
      </c>
      <c r="AL319" s="380">
        <v>2.1727000000000001E-3</v>
      </c>
      <c r="AM319" s="380"/>
      <c r="AN319" s="419">
        <v>-59181</v>
      </c>
      <c r="AO319" s="419">
        <v>-15906</v>
      </c>
      <c r="AP319" s="419">
        <v>0</v>
      </c>
      <c r="AQ319" s="419">
        <v>0</v>
      </c>
      <c r="AR319" s="419">
        <v>0</v>
      </c>
    </row>
    <row r="320" spans="1:44">
      <c r="A320" s="379">
        <v>93304</v>
      </c>
      <c r="B320" t="s">
        <v>1029</v>
      </c>
      <c r="C320" s="380">
        <v>4.5300000000000003E-5</v>
      </c>
      <c r="D320" s="380"/>
      <c r="E320" s="419">
        <v>17275</v>
      </c>
      <c r="F320" s="419">
        <v>7246</v>
      </c>
      <c r="G320" s="419">
        <v>-1914</v>
      </c>
      <c r="H320" s="419">
        <v>-30372</v>
      </c>
      <c r="I320" s="419">
        <v>0</v>
      </c>
      <c r="J320" s="380">
        <v>4.5300000000000003E-5</v>
      </c>
      <c r="K320" s="380"/>
      <c r="L320" s="419">
        <v>11090</v>
      </c>
      <c r="M320" s="419">
        <v>7659</v>
      </c>
      <c r="N320" s="419">
        <v>3353</v>
      </c>
      <c r="O320" s="419">
        <v>0</v>
      </c>
      <c r="P320" s="419">
        <v>0</v>
      </c>
      <c r="Q320" s="380">
        <v>4.5300000000000003E-5</v>
      </c>
      <c r="R320" s="380"/>
      <c r="S320" s="419">
        <v>-22757</v>
      </c>
      <c r="T320" s="419">
        <v>-22494</v>
      </c>
      <c r="U320" s="419">
        <v>-23631</v>
      </c>
      <c r="V320" s="419">
        <v>-30372</v>
      </c>
      <c r="W320" s="419">
        <v>0</v>
      </c>
      <c r="X320" s="380">
        <v>4.5300000000000003E-5</v>
      </c>
      <c r="Z320" s="419">
        <v>18147</v>
      </c>
      <c r="AA320" s="419">
        <v>12749</v>
      </c>
      <c r="AB320" s="419">
        <v>12749</v>
      </c>
      <c r="AC320" s="419">
        <v>0</v>
      </c>
      <c r="AD320" s="419">
        <v>0</v>
      </c>
      <c r="AE320" s="380">
        <v>4.5300000000000003E-5</v>
      </c>
      <c r="AF320" s="380"/>
      <c r="AG320" s="419">
        <v>10795</v>
      </c>
      <c r="AH320" s="419">
        <v>9332</v>
      </c>
      <c r="AI320" s="419">
        <v>5615</v>
      </c>
      <c r="AJ320" s="419">
        <v>0</v>
      </c>
      <c r="AK320" s="419">
        <v>0</v>
      </c>
      <c r="AL320" s="380">
        <v>4.5300000000000003E-5</v>
      </c>
      <c r="AM320" s="380"/>
      <c r="AN320" s="419">
        <v>0</v>
      </c>
      <c r="AO320" s="419">
        <v>0</v>
      </c>
      <c r="AP320" s="419">
        <v>0</v>
      </c>
      <c r="AQ320" s="419">
        <v>0</v>
      </c>
      <c r="AR320" s="419">
        <v>0</v>
      </c>
    </row>
    <row r="321" spans="1:44">
      <c r="A321" s="379">
        <v>93305</v>
      </c>
      <c r="B321" t="s">
        <v>1030</v>
      </c>
      <c r="C321" s="380">
        <v>3.0199999999999999E-5</v>
      </c>
      <c r="D321" s="380"/>
      <c r="E321" s="419">
        <v>-1448</v>
      </c>
      <c r="F321" s="419">
        <v>-6566</v>
      </c>
      <c r="G321" s="419">
        <v>-7004</v>
      </c>
      <c r="H321" s="419">
        <v>-20248</v>
      </c>
      <c r="I321" s="419">
        <v>0</v>
      </c>
      <c r="J321" s="380">
        <v>3.0199999999999999E-5</v>
      </c>
      <c r="K321" s="380"/>
      <c r="L321" s="419">
        <v>7393</v>
      </c>
      <c r="M321" s="419">
        <v>5106</v>
      </c>
      <c r="N321" s="419">
        <v>2235</v>
      </c>
      <c r="O321" s="419">
        <v>0</v>
      </c>
      <c r="P321" s="419">
        <v>0</v>
      </c>
      <c r="Q321" s="380">
        <v>3.0199999999999999E-5</v>
      </c>
      <c r="R321" s="380"/>
      <c r="S321" s="419">
        <v>-15172</v>
      </c>
      <c r="T321" s="419">
        <v>-14996</v>
      </c>
      <c r="U321" s="419">
        <v>-15754</v>
      </c>
      <c r="V321" s="419">
        <v>-20248</v>
      </c>
      <c r="W321" s="419">
        <v>0</v>
      </c>
      <c r="X321" s="380">
        <v>3.0199999999999999E-5</v>
      </c>
      <c r="Z321" s="419">
        <v>12098</v>
      </c>
      <c r="AA321" s="419">
        <v>8500</v>
      </c>
      <c r="AB321" s="419">
        <v>8500</v>
      </c>
      <c r="AC321" s="419">
        <v>0</v>
      </c>
      <c r="AD321" s="419">
        <v>0</v>
      </c>
      <c r="AE321" s="380">
        <v>3.0199999999999999E-5</v>
      </c>
      <c r="AF321" s="380"/>
      <c r="AG321" s="419">
        <v>0</v>
      </c>
      <c r="AH321" s="419">
        <v>0</v>
      </c>
      <c r="AI321" s="419">
        <v>0</v>
      </c>
      <c r="AJ321" s="419">
        <v>0</v>
      </c>
      <c r="AK321" s="419">
        <v>0</v>
      </c>
      <c r="AL321" s="380">
        <v>3.0199999999999999E-5</v>
      </c>
      <c r="AM321" s="380"/>
      <c r="AN321" s="419">
        <v>-5767</v>
      </c>
      <c r="AO321" s="419">
        <v>-5176</v>
      </c>
      <c r="AP321" s="419">
        <v>-1985</v>
      </c>
      <c r="AQ321" s="419">
        <v>0</v>
      </c>
      <c r="AR321" s="419">
        <v>0</v>
      </c>
    </row>
    <row r="322" spans="1:44">
      <c r="A322" s="379">
        <v>93309</v>
      </c>
      <c r="B322" t="s">
        <v>1031</v>
      </c>
      <c r="C322" s="380">
        <v>1.6750000000000001E-4</v>
      </c>
      <c r="D322" s="380"/>
      <c r="E322" s="419">
        <v>38785</v>
      </c>
      <c r="F322" s="419">
        <v>3053</v>
      </c>
      <c r="G322" s="419">
        <v>-24858</v>
      </c>
      <c r="H322" s="419">
        <v>-112304</v>
      </c>
      <c r="I322" s="419">
        <v>0</v>
      </c>
      <c r="J322" s="380">
        <v>1.6750000000000001E-4</v>
      </c>
      <c r="K322" s="380"/>
      <c r="L322" s="419">
        <v>41005</v>
      </c>
      <c r="M322" s="419">
        <v>28320</v>
      </c>
      <c r="N322" s="419">
        <v>12397</v>
      </c>
      <c r="O322" s="419">
        <v>0</v>
      </c>
      <c r="P322" s="419">
        <v>0</v>
      </c>
      <c r="Q322" s="380">
        <v>1.6750000000000001E-4</v>
      </c>
      <c r="R322" s="380"/>
      <c r="S322" s="419">
        <v>-84147</v>
      </c>
      <c r="T322" s="419">
        <v>-83173</v>
      </c>
      <c r="U322" s="419">
        <v>-87377</v>
      </c>
      <c r="V322" s="419">
        <v>-112304</v>
      </c>
      <c r="W322" s="419">
        <v>0</v>
      </c>
      <c r="X322" s="380">
        <v>1.6750000000000001E-4</v>
      </c>
      <c r="Z322" s="419">
        <v>67101</v>
      </c>
      <c r="AA322" s="419">
        <v>47142</v>
      </c>
      <c r="AB322" s="419">
        <v>47142</v>
      </c>
      <c r="AC322" s="419">
        <v>0</v>
      </c>
      <c r="AD322" s="419">
        <v>0</v>
      </c>
      <c r="AE322" s="380">
        <v>1.6750000000000001E-4</v>
      </c>
      <c r="AF322" s="380"/>
      <c r="AG322" s="419">
        <v>14826</v>
      </c>
      <c r="AH322" s="419">
        <v>10764</v>
      </c>
      <c r="AI322" s="419">
        <v>2980</v>
      </c>
      <c r="AJ322" s="419">
        <v>0</v>
      </c>
      <c r="AK322" s="419">
        <v>0</v>
      </c>
      <c r="AL322" s="380">
        <v>1.6750000000000001E-4</v>
      </c>
      <c r="AM322" s="380"/>
      <c r="AN322" s="419">
        <v>0</v>
      </c>
      <c r="AO322" s="419">
        <v>0</v>
      </c>
      <c r="AP322" s="419">
        <v>0</v>
      </c>
      <c r="AQ322" s="419">
        <v>0</v>
      </c>
      <c r="AR322" s="419">
        <v>0</v>
      </c>
    </row>
    <row r="323" spans="1:44">
      <c r="A323" s="379">
        <v>93311</v>
      </c>
      <c r="B323" t="s">
        <v>1032</v>
      </c>
      <c r="C323" s="380">
        <v>1.1885000000000001E-3</v>
      </c>
      <c r="D323" s="380"/>
      <c r="E323" s="419">
        <v>81366</v>
      </c>
      <c r="F323" s="419">
        <v>-148729</v>
      </c>
      <c r="G323" s="419">
        <v>-294393</v>
      </c>
      <c r="H323" s="419">
        <v>-796858</v>
      </c>
      <c r="I323" s="419">
        <v>0</v>
      </c>
      <c r="J323" s="380">
        <v>1.1885000000000001E-3</v>
      </c>
      <c r="K323" s="380"/>
      <c r="L323" s="419">
        <v>290954</v>
      </c>
      <c r="M323" s="419">
        <v>200942</v>
      </c>
      <c r="N323" s="419">
        <v>87963</v>
      </c>
      <c r="O323" s="419">
        <v>0</v>
      </c>
      <c r="P323" s="419">
        <v>0</v>
      </c>
      <c r="Q323" s="380">
        <v>1.1885000000000001E-3</v>
      </c>
      <c r="R323" s="380"/>
      <c r="S323" s="419">
        <v>-597064</v>
      </c>
      <c r="T323" s="419">
        <v>-590156</v>
      </c>
      <c r="U323" s="419">
        <v>-619982</v>
      </c>
      <c r="V323" s="419">
        <v>-796858</v>
      </c>
      <c r="W323" s="419">
        <v>0</v>
      </c>
      <c r="X323" s="380">
        <v>1.1885000000000001E-3</v>
      </c>
      <c r="Z323" s="419">
        <v>476115</v>
      </c>
      <c r="AA323" s="419">
        <v>334497</v>
      </c>
      <c r="AB323" s="419">
        <v>334495</v>
      </c>
      <c r="AC323" s="419">
        <v>0</v>
      </c>
      <c r="AD323" s="419">
        <v>0</v>
      </c>
      <c r="AE323" s="380">
        <v>1.1885000000000001E-3</v>
      </c>
      <c r="AF323" s="380"/>
      <c r="AG323" s="419">
        <v>22535</v>
      </c>
      <c r="AH323" s="419">
        <v>17162</v>
      </c>
      <c r="AI323" s="419">
        <v>0</v>
      </c>
      <c r="AJ323" s="419">
        <v>0</v>
      </c>
      <c r="AK323" s="419">
        <v>0</v>
      </c>
      <c r="AL323" s="380">
        <v>1.1885000000000001E-3</v>
      </c>
      <c r="AM323" s="380"/>
      <c r="AN323" s="419">
        <v>-111174</v>
      </c>
      <c r="AO323" s="419">
        <v>-111174</v>
      </c>
      <c r="AP323" s="419">
        <v>-96869</v>
      </c>
      <c r="AQ323" s="419">
        <v>0</v>
      </c>
      <c r="AR323" s="419">
        <v>0</v>
      </c>
    </row>
    <row r="324" spans="1:44">
      <c r="A324" s="379">
        <v>93317</v>
      </c>
      <c r="B324" t="s">
        <v>1033</v>
      </c>
      <c r="C324" s="380">
        <v>4.0099999999999999E-5</v>
      </c>
      <c r="D324" s="380"/>
      <c r="E324" s="419">
        <v>4860</v>
      </c>
      <c r="F324" s="419">
        <v>-2033</v>
      </c>
      <c r="G324" s="419">
        <v>-8212</v>
      </c>
      <c r="H324" s="419">
        <v>-26886</v>
      </c>
      <c r="I324" s="419">
        <v>0</v>
      </c>
      <c r="J324" s="380">
        <v>4.0099999999999999E-5</v>
      </c>
      <c r="K324" s="380"/>
      <c r="L324" s="419">
        <v>9817</v>
      </c>
      <c r="M324" s="419">
        <v>6780</v>
      </c>
      <c r="N324" s="419">
        <v>2968</v>
      </c>
      <c r="O324" s="419">
        <v>0</v>
      </c>
      <c r="P324" s="419">
        <v>0</v>
      </c>
      <c r="Q324" s="380">
        <v>4.0099999999999999E-5</v>
      </c>
      <c r="R324" s="380"/>
      <c r="S324" s="419">
        <v>-20145</v>
      </c>
      <c r="T324" s="419">
        <v>-19912</v>
      </c>
      <c r="U324" s="419">
        <v>-20918</v>
      </c>
      <c r="V324" s="419">
        <v>-26886</v>
      </c>
      <c r="W324" s="419">
        <v>0</v>
      </c>
      <c r="X324" s="380">
        <v>4.0099999999999999E-5</v>
      </c>
      <c r="Z324" s="419">
        <v>16064</v>
      </c>
      <c r="AA324" s="419">
        <v>11286</v>
      </c>
      <c r="AB324" s="419">
        <v>11286</v>
      </c>
      <c r="AC324" s="419">
        <v>0</v>
      </c>
      <c r="AD324" s="419">
        <v>0</v>
      </c>
      <c r="AE324" s="380">
        <v>4.0099999999999999E-5</v>
      </c>
      <c r="AF324" s="380"/>
      <c r="AG324" s="419">
        <v>2394</v>
      </c>
      <c r="AH324" s="419">
        <v>2395</v>
      </c>
      <c r="AI324" s="419">
        <v>0</v>
      </c>
      <c r="AJ324" s="419">
        <v>0</v>
      </c>
      <c r="AK324" s="419">
        <v>0</v>
      </c>
      <c r="AL324" s="380">
        <v>4.0099999999999999E-5</v>
      </c>
      <c r="AM324" s="380"/>
      <c r="AN324" s="419">
        <v>-3270</v>
      </c>
      <c r="AO324" s="419">
        <v>-2582</v>
      </c>
      <c r="AP324" s="419">
        <v>-1548</v>
      </c>
      <c r="AQ324" s="419">
        <v>0</v>
      </c>
      <c r="AR324" s="419">
        <v>0</v>
      </c>
    </row>
    <row r="325" spans="1:44">
      <c r="A325" s="379">
        <v>93321</v>
      </c>
      <c r="B325" t="s">
        <v>1034</v>
      </c>
      <c r="C325" s="380">
        <v>6.6814999999999999E-3</v>
      </c>
      <c r="D325" s="380"/>
      <c r="E325" s="419">
        <v>761715</v>
      </c>
      <c r="F325" s="419">
        <v>-433946</v>
      </c>
      <c r="G325" s="419">
        <v>-1112388</v>
      </c>
      <c r="H325" s="419">
        <v>-4479772</v>
      </c>
      <c r="I325" s="419">
        <v>0</v>
      </c>
      <c r="J325" s="380">
        <v>6.6814999999999999E-3</v>
      </c>
      <c r="K325" s="380"/>
      <c r="L325" s="419">
        <v>1635685</v>
      </c>
      <c r="M325" s="419">
        <v>1129655</v>
      </c>
      <c r="N325" s="419">
        <v>494511</v>
      </c>
      <c r="O325" s="419">
        <v>0</v>
      </c>
      <c r="P325" s="419">
        <v>0</v>
      </c>
      <c r="Q325" s="380">
        <v>6.6814999999999999E-3</v>
      </c>
      <c r="R325" s="380"/>
      <c r="S325" s="419">
        <v>-3356572</v>
      </c>
      <c r="T325" s="419">
        <v>-3317732</v>
      </c>
      <c r="U325" s="419">
        <v>-3485411</v>
      </c>
      <c r="V325" s="419">
        <v>-4479772</v>
      </c>
      <c r="W325" s="419">
        <v>0</v>
      </c>
      <c r="X325" s="380">
        <v>6.6814999999999999E-3</v>
      </c>
      <c r="Z325" s="419">
        <v>2676622</v>
      </c>
      <c r="AA325" s="419">
        <v>1880475</v>
      </c>
      <c r="AB325" s="419">
        <v>1880461</v>
      </c>
      <c r="AC325" s="419">
        <v>0</v>
      </c>
      <c r="AD325" s="419">
        <v>0</v>
      </c>
      <c r="AE325" s="380">
        <v>6.6814999999999999E-3</v>
      </c>
      <c r="AF325" s="380"/>
      <c r="AG325" s="419">
        <v>0</v>
      </c>
      <c r="AH325" s="419">
        <v>0</v>
      </c>
      <c r="AI325" s="419">
        <v>0</v>
      </c>
      <c r="AJ325" s="419">
        <v>0</v>
      </c>
      <c r="AK325" s="419">
        <v>0</v>
      </c>
      <c r="AL325" s="380">
        <v>6.6814999999999999E-3</v>
      </c>
      <c r="AM325" s="380"/>
      <c r="AN325" s="419">
        <v>-194020</v>
      </c>
      <c r="AO325" s="419">
        <v>-126344</v>
      </c>
      <c r="AP325" s="419">
        <v>-1949</v>
      </c>
      <c r="AQ325" s="419">
        <v>0</v>
      </c>
      <c r="AR325" s="419">
        <v>0</v>
      </c>
    </row>
    <row r="326" spans="1:44">
      <c r="A326" s="379">
        <v>93323</v>
      </c>
      <c r="B326" t="s">
        <v>1035</v>
      </c>
      <c r="C326" s="380">
        <v>4.57E-5</v>
      </c>
      <c r="D326" s="380"/>
      <c r="E326" s="419">
        <v>19372</v>
      </c>
      <c r="F326" s="419">
        <v>11197</v>
      </c>
      <c r="G326" s="419">
        <v>253</v>
      </c>
      <c r="H326" s="419">
        <v>-30641</v>
      </c>
      <c r="I326" s="419">
        <v>0</v>
      </c>
      <c r="J326" s="380">
        <v>4.57E-5</v>
      </c>
      <c r="K326" s="380"/>
      <c r="L326" s="419">
        <v>11188</v>
      </c>
      <c r="M326" s="419">
        <v>7727</v>
      </c>
      <c r="N326" s="419">
        <v>3382</v>
      </c>
      <c r="O326" s="419">
        <v>0</v>
      </c>
      <c r="P326" s="419">
        <v>0</v>
      </c>
      <c r="Q326" s="380">
        <v>4.57E-5</v>
      </c>
      <c r="R326" s="380"/>
      <c r="S326" s="419">
        <v>-22958</v>
      </c>
      <c r="T326" s="419">
        <v>-22693</v>
      </c>
      <c r="U326" s="419">
        <v>-23839</v>
      </c>
      <c r="V326" s="419">
        <v>-30641</v>
      </c>
      <c r="W326" s="419">
        <v>0</v>
      </c>
      <c r="X326" s="380">
        <v>4.57E-5</v>
      </c>
      <c r="Z326" s="419">
        <v>18308</v>
      </c>
      <c r="AA326" s="419">
        <v>12862</v>
      </c>
      <c r="AB326" s="419">
        <v>12862</v>
      </c>
      <c r="AC326" s="419">
        <v>0</v>
      </c>
      <c r="AD326" s="419">
        <v>0</v>
      </c>
      <c r="AE326" s="380">
        <v>4.57E-5</v>
      </c>
      <c r="AF326" s="380"/>
      <c r="AG326" s="419">
        <v>13466</v>
      </c>
      <c r="AH326" s="419">
        <v>13466</v>
      </c>
      <c r="AI326" s="419">
        <v>7848</v>
      </c>
      <c r="AJ326" s="419">
        <v>0</v>
      </c>
      <c r="AK326" s="419">
        <v>0</v>
      </c>
      <c r="AL326" s="380">
        <v>4.57E-5</v>
      </c>
      <c r="AM326" s="380"/>
      <c r="AN326" s="419">
        <v>-632</v>
      </c>
      <c r="AO326" s="419">
        <v>-165</v>
      </c>
      <c r="AP326" s="419">
        <v>0</v>
      </c>
      <c r="AQ326" s="419">
        <v>0</v>
      </c>
      <c r="AR326" s="419">
        <v>0</v>
      </c>
    </row>
    <row r="327" spans="1:44">
      <c r="A327" s="379">
        <v>93331</v>
      </c>
      <c r="B327" t="s">
        <v>1036</v>
      </c>
      <c r="C327" s="380">
        <v>9.1700000000000006E-5</v>
      </c>
      <c r="D327" s="380"/>
      <c r="E327" s="419">
        <v>319</v>
      </c>
      <c r="F327" s="419">
        <v>-18345</v>
      </c>
      <c r="G327" s="419">
        <v>-35660</v>
      </c>
      <c r="H327" s="419">
        <v>-61482</v>
      </c>
      <c r="I327" s="419">
        <v>0</v>
      </c>
      <c r="J327" s="380">
        <v>9.1700000000000006E-5</v>
      </c>
      <c r="K327" s="380"/>
      <c r="L327" s="419">
        <v>22449</v>
      </c>
      <c r="M327" s="419">
        <v>15504</v>
      </c>
      <c r="N327" s="419">
        <v>6787</v>
      </c>
      <c r="O327" s="419">
        <v>0</v>
      </c>
      <c r="P327" s="419">
        <v>0</v>
      </c>
      <c r="Q327" s="380">
        <v>9.1700000000000006E-5</v>
      </c>
      <c r="R327" s="380"/>
      <c r="S327" s="419">
        <v>-46067</v>
      </c>
      <c r="T327" s="419">
        <v>-45534</v>
      </c>
      <c r="U327" s="419">
        <v>-47835</v>
      </c>
      <c r="V327" s="419">
        <v>-61482</v>
      </c>
      <c r="W327" s="419">
        <v>0</v>
      </c>
      <c r="X327" s="380">
        <v>9.1700000000000006E-5</v>
      </c>
      <c r="Z327" s="419">
        <v>36735</v>
      </c>
      <c r="AA327" s="419">
        <v>25809</v>
      </c>
      <c r="AB327" s="419">
        <v>25808</v>
      </c>
      <c r="AC327" s="419">
        <v>0</v>
      </c>
      <c r="AD327" s="419">
        <v>0</v>
      </c>
      <c r="AE327" s="380">
        <v>9.1700000000000006E-5</v>
      </c>
      <c r="AF327" s="380"/>
      <c r="AG327" s="419">
        <v>9247</v>
      </c>
      <c r="AH327" s="419">
        <v>7923</v>
      </c>
      <c r="AI327" s="419">
        <v>0</v>
      </c>
      <c r="AJ327" s="419">
        <v>0</v>
      </c>
      <c r="AK327" s="419">
        <v>0</v>
      </c>
      <c r="AL327" s="380">
        <v>9.1700000000000006E-5</v>
      </c>
      <c r="AM327" s="380"/>
      <c r="AN327" s="419">
        <v>-22045</v>
      </c>
      <c r="AO327" s="419">
        <v>-22047</v>
      </c>
      <c r="AP327" s="419">
        <v>-20420</v>
      </c>
      <c r="AQ327" s="419">
        <v>0</v>
      </c>
      <c r="AR327" s="419">
        <v>0</v>
      </c>
    </row>
    <row r="328" spans="1:44">
      <c r="A328" s="379">
        <v>93333</v>
      </c>
      <c r="B328" t="s">
        <v>1037</v>
      </c>
      <c r="C328" s="380">
        <v>1.9090000000000001E-4</v>
      </c>
      <c r="D328" s="380"/>
      <c r="E328" s="419">
        <v>69612</v>
      </c>
      <c r="F328" s="419">
        <v>31422</v>
      </c>
      <c r="G328" s="419">
        <v>-15181</v>
      </c>
      <c r="H328" s="419">
        <v>-127993</v>
      </c>
      <c r="I328" s="419">
        <v>0</v>
      </c>
      <c r="J328" s="380">
        <v>1.9090000000000001E-4</v>
      </c>
      <c r="K328" s="380"/>
      <c r="L328" s="419">
        <v>46734</v>
      </c>
      <c r="M328" s="419">
        <v>32276</v>
      </c>
      <c r="N328" s="419">
        <v>14129</v>
      </c>
      <c r="O328" s="419">
        <v>0</v>
      </c>
      <c r="P328" s="419">
        <v>0</v>
      </c>
      <c r="Q328" s="380">
        <v>1.9090000000000001E-4</v>
      </c>
      <c r="R328" s="380"/>
      <c r="S328" s="419">
        <v>-95902</v>
      </c>
      <c r="T328" s="419">
        <v>-94792</v>
      </c>
      <c r="U328" s="419">
        <v>-99583</v>
      </c>
      <c r="V328" s="419">
        <v>-127993</v>
      </c>
      <c r="W328" s="419">
        <v>0</v>
      </c>
      <c r="X328" s="380">
        <v>1.9090000000000001E-4</v>
      </c>
      <c r="Z328" s="419">
        <v>76475</v>
      </c>
      <c r="AA328" s="419">
        <v>53728</v>
      </c>
      <c r="AB328" s="419">
        <v>53727</v>
      </c>
      <c r="AC328" s="419">
        <v>0</v>
      </c>
      <c r="AD328" s="419">
        <v>0</v>
      </c>
      <c r="AE328" s="380">
        <v>1.9090000000000001E-4</v>
      </c>
      <c r="AF328" s="380"/>
      <c r="AG328" s="419">
        <v>42305</v>
      </c>
      <c r="AH328" s="419">
        <v>40210</v>
      </c>
      <c r="AI328" s="419">
        <v>16546</v>
      </c>
      <c r="AJ328" s="419">
        <v>0</v>
      </c>
      <c r="AK328" s="419">
        <v>0</v>
      </c>
      <c r="AL328" s="380">
        <v>1.9090000000000001E-4</v>
      </c>
      <c r="AM328" s="380"/>
      <c r="AN328" s="419">
        <v>0</v>
      </c>
      <c r="AO328" s="419">
        <v>0</v>
      </c>
      <c r="AP328" s="419">
        <v>0</v>
      </c>
      <c r="AQ328" s="419">
        <v>0</v>
      </c>
      <c r="AR328" s="419">
        <v>0</v>
      </c>
    </row>
    <row r="329" spans="1:44">
      <c r="A329" s="379">
        <v>93341</v>
      </c>
      <c r="B329" t="s">
        <v>1038</v>
      </c>
      <c r="C329" s="380">
        <v>3.43E-5</v>
      </c>
      <c r="D329" s="380"/>
      <c r="E329" s="419">
        <v>9420</v>
      </c>
      <c r="F329" s="419">
        <v>2045</v>
      </c>
      <c r="G329" s="419">
        <v>-1543</v>
      </c>
      <c r="H329" s="419">
        <v>-22997</v>
      </c>
      <c r="I329" s="419">
        <v>0</v>
      </c>
      <c r="J329" s="380">
        <v>3.43E-5</v>
      </c>
      <c r="K329" s="380"/>
      <c r="L329" s="419">
        <v>8397</v>
      </c>
      <c r="M329" s="419">
        <v>5799</v>
      </c>
      <c r="N329" s="419">
        <v>2539</v>
      </c>
      <c r="O329" s="419">
        <v>0</v>
      </c>
      <c r="P329" s="419">
        <v>0</v>
      </c>
      <c r="Q329" s="380">
        <v>3.43E-5</v>
      </c>
      <c r="R329" s="380"/>
      <c r="S329" s="419">
        <v>-17231</v>
      </c>
      <c r="T329" s="419">
        <v>-17032</v>
      </c>
      <c r="U329" s="419">
        <v>-17893</v>
      </c>
      <c r="V329" s="419">
        <v>-22997</v>
      </c>
      <c r="W329" s="419">
        <v>0</v>
      </c>
      <c r="X329" s="380">
        <v>3.43E-5</v>
      </c>
      <c r="Z329" s="419">
        <v>13741</v>
      </c>
      <c r="AA329" s="419">
        <v>9654</v>
      </c>
      <c r="AB329" s="419">
        <v>9653</v>
      </c>
      <c r="AC329" s="419">
        <v>0</v>
      </c>
      <c r="AD329" s="419">
        <v>0</v>
      </c>
      <c r="AE329" s="380">
        <v>3.43E-5</v>
      </c>
      <c r="AF329" s="380"/>
      <c r="AG329" s="419">
        <v>5549</v>
      </c>
      <c r="AH329" s="419">
        <v>4660</v>
      </c>
      <c r="AI329" s="419">
        <v>4158</v>
      </c>
      <c r="AJ329" s="419">
        <v>0</v>
      </c>
      <c r="AK329" s="419">
        <v>0</v>
      </c>
      <c r="AL329" s="380">
        <v>3.43E-5</v>
      </c>
      <c r="AM329" s="380"/>
      <c r="AN329" s="419">
        <v>-1036</v>
      </c>
      <c r="AO329" s="419">
        <v>-1036</v>
      </c>
      <c r="AP329" s="419">
        <v>0</v>
      </c>
      <c r="AQ329" s="419">
        <v>0</v>
      </c>
      <c r="AR329" s="419">
        <v>0</v>
      </c>
    </row>
    <row r="330" spans="1:44">
      <c r="A330" s="379">
        <v>93351</v>
      </c>
      <c r="B330" t="s">
        <v>1039</v>
      </c>
      <c r="C330" s="380">
        <v>3.0000000000000001E-5</v>
      </c>
      <c r="D330" s="380"/>
      <c r="E330" s="419">
        <v>1272</v>
      </c>
      <c r="F330" s="419">
        <v>-1719</v>
      </c>
      <c r="G330" s="419">
        <v>-6396</v>
      </c>
      <c r="H330" s="419">
        <v>-20114</v>
      </c>
      <c r="I330" s="419">
        <v>0</v>
      </c>
      <c r="J330" s="380">
        <v>3.0000000000000001E-5</v>
      </c>
      <c r="K330" s="380"/>
      <c r="L330" s="419">
        <v>7344</v>
      </c>
      <c r="M330" s="419">
        <v>5072</v>
      </c>
      <c r="N330" s="419">
        <v>2220</v>
      </c>
      <c r="O330" s="419">
        <v>0</v>
      </c>
      <c r="P330" s="419">
        <v>0</v>
      </c>
      <c r="Q330" s="380">
        <v>3.0000000000000001E-5</v>
      </c>
      <c r="R330" s="380"/>
      <c r="S330" s="419">
        <v>-15071</v>
      </c>
      <c r="T330" s="419">
        <v>-14897</v>
      </c>
      <c r="U330" s="419">
        <v>-15650</v>
      </c>
      <c r="V330" s="419">
        <v>-20114</v>
      </c>
      <c r="W330" s="419">
        <v>0</v>
      </c>
      <c r="X330" s="380">
        <v>3.0000000000000001E-5</v>
      </c>
      <c r="Z330" s="419">
        <v>12018</v>
      </c>
      <c r="AA330" s="419">
        <v>8443</v>
      </c>
      <c r="AB330" s="419">
        <v>8443</v>
      </c>
      <c r="AC330" s="419">
        <v>0</v>
      </c>
      <c r="AD330" s="419">
        <v>0</v>
      </c>
      <c r="AE330" s="380">
        <v>3.0000000000000001E-5</v>
      </c>
      <c r="AF330" s="380"/>
      <c r="AG330" s="419">
        <v>1609</v>
      </c>
      <c r="AH330" s="419">
        <v>1609</v>
      </c>
      <c r="AI330" s="419">
        <v>0</v>
      </c>
      <c r="AJ330" s="419">
        <v>0</v>
      </c>
      <c r="AK330" s="419">
        <v>0</v>
      </c>
      <c r="AL330" s="380">
        <v>3.0000000000000001E-5</v>
      </c>
      <c r="AM330" s="380"/>
      <c r="AN330" s="419">
        <v>-4628</v>
      </c>
      <c r="AO330" s="419">
        <v>-1946</v>
      </c>
      <c r="AP330" s="419">
        <v>-1409</v>
      </c>
      <c r="AQ330" s="419">
        <v>0</v>
      </c>
      <c r="AR330" s="419">
        <v>0</v>
      </c>
    </row>
    <row r="331" spans="1:44">
      <c r="A331" s="379">
        <v>93401</v>
      </c>
      <c r="B331" t="s">
        <v>1040</v>
      </c>
      <c r="C331" s="380">
        <v>1.37733E-2</v>
      </c>
      <c r="D331" s="380"/>
      <c r="E331" s="419">
        <v>1930944</v>
      </c>
      <c r="F331" s="419">
        <v>-704803</v>
      </c>
      <c r="G331" s="419">
        <v>-2356696</v>
      </c>
      <c r="H331" s="419">
        <v>-9234640</v>
      </c>
      <c r="I331" s="419">
        <v>0</v>
      </c>
      <c r="J331" s="380">
        <v>1.37733E-2</v>
      </c>
      <c r="K331" s="380"/>
      <c r="L331" s="419">
        <v>3371814</v>
      </c>
      <c r="M331" s="419">
        <v>2328679</v>
      </c>
      <c r="N331" s="419">
        <v>1019389</v>
      </c>
      <c r="O331" s="419">
        <v>0</v>
      </c>
      <c r="P331" s="419">
        <v>0</v>
      </c>
      <c r="Q331" s="380">
        <v>1.37733E-2</v>
      </c>
      <c r="R331" s="380"/>
      <c r="S331" s="419">
        <v>-6919265</v>
      </c>
      <c r="T331" s="419">
        <v>-6839201</v>
      </c>
      <c r="U331" s="419">
        <v>-7184856</v>
      </c>
      <c r="V331" s="419">
        <v>-9234640</v>
      </c>
      <c r="W331" s="419">
        <v>0</v>
      </c>
      <c r="X331" s="380">
        <v>1.37733E-2</v>
      </c>
      <c r="Z331" s="419">
        <v>5517612</v>
      </c>
      <c r="AA331" s="419">
        <v>3876426</v>
      </c>
      <c r="AB331" s="419">
        <v>3876399</v>
      </c>
      <c r="AC331" s="419">
        <v>0</v>
      </c>
      <c r="AD331" s="419">
        <v>0</v>
      </c>
      <c r="AE331" s="380">
        <v>1.37733E-2</v>
      </c>
      <c r="AF331" s="380"/>
      <c r="AG331" s="419">
        <v>96208</v>
      </c>
      <c r="AH331" s="419">
        <v>64717</v>
      </c>
      <c r="AI331" s="419">
        <v>0</v>
      </c>
      <c r="AJ331" s="419">
        <v>0</v>
      </c>
      <c r="AK331" s="419">
        <v>0</v>
      </c>
      <c r="AL331" s="380">
        <v>1.37733E-2</v>
      </c>
      <c r="AM331" s="380"/>
      <c r="AN331" s="419">
        <v>-135425</v>
      </c>
      <c r="AO331" s="419">
        <v>-135424</v>
      </c>
      <c r="AP331" s="419">
        <v>-67628</v>
      </c>
      <c r="AQ331" s="419">
        <v>0</v>
      </c>
      <c r="AR331" s="419">
        <v>0</v>
      </c>
    </row>
    <row r="332" spans="1:44">
      <c r="A332" s="379">
        <v>93402</v>
      </c>
      <c r="B332" t="s">
        <v>1041</v>
      </c>
      <c r="C332" s="380">
        <v>0</v>
      </c>
      <c r="D332" s="380"/>
      <c r="E332" s="419">
        <v>0</v>
      </c>
      <c r="F332" s="419">
        <v>0</v>
      </c>
      <c r="G332" s="419">
        <v>0</v>
      </c>
      <c r="H332" s="419">
        <v>0</v>
      </c>
      <c r="I332" s="419">
        <v>0</v>
      </c>
      <c r="J332" s="380">
        <v>0</v>
      </c>
      <c r="K332" s="380"/>
      <c r="L332" s="419">
        <v>0</v>
      </c>
      <c r="M332" s="419">
        <v>0</v>
      </c>
      <c r="N332" s="419">
        <v>0</v>
      </c>
      <c r="O332" s="419">
        <v>0</v>
      </c>
      <c r="P332" s="419">
        <v>0</v>
      </c>
      <c r="Q332" s="380">
        <v>0</v>
      </c>
      <c r="R332" s="380"/>
      <c r="S332" s="419">
        <v>0</v>
      </c>
      <c r="T332" s="419">
        <v>0</v>
      </c>
      <c r="U332" s="419">
        <v>0</v>
      </c>
      <c r="V332" s="419">
        <v>0</v>
      </c>
      <c r="W332" s="419">
        <v>0</v>
      </c>
      <c r="X332" s="380">
        <v>0</v>
      </c>
      <c r="Z332" s="419">
        <v>0</v>
      </c>
      <c r="AA332" s="419">
        <v>0</v>
      </c>
      <c r="AB332" s="419">
        <v>0</v>
      </c>
      <c r="AC332" s="419">
        <v>0</v>
      </c>
      <c r="AD332" s="419">
        <v>0</v>
      </c>
      <c r="AE332" s="380">
        <v>0</v>
      </c>
      <c r="AF332" s="380"/>
      <c r="AG332" s="419">
        <v>0</v>
      </c>
      <c r="AH332" s="419">
        <v>0</v>
      </c>
      <c r="AI332" s="419">
        <v>0</v>
      </c>
      <c r="AJ332" s="419">
        <v>0</v>
      </c>
      <c r="AK332" s="419">
        <v>0</v>
      </c>
      <c r="AL332" s="380">
        <v>0</v>
      </c>
      <c r="AM332" s="380"/>
      <c r="AN332" s="419">
        <v>-18172</v>
      </c>
      <c r="AO332" s="419">
        <v>-16204</v>
      </c>
      <c r="AP332" s="419">
        <v>0</v>
      </c>
      <c r="AQ332" s="419">
        <v>0</v>
      </c>
      <c r="AR332" s="419">
        <v>0</v>
      </c>
    </row>
    <row r="333" spans="1:44">
      <c r="A333" s="379">
        <v>93406</v>
      </c>
      <c r="B333" t="s">
        <v>1042</v>
      </c>
      <c r="C333" s="380">
        <v>5.7970000000000005E-4</v>
      </c>
      <c r="D333" s="380"/>
      <c r="E333" s="419">
        <v>122547</v>
      </c>
      <c r="F333" s="419">
        <v>36373</v>
      </c>
      <c r="G333" s="419">
        <v>-46557</v>
      </c>
      <c r="H333" s="419">
        <v>-388674</v>
      </c>
      <c r="I333" s="419">
        <v>0</v>
      </c>
      <c r="J333" s="380">
        <v>5.7970000000000005E-4</v>
      </c>
      <c r="K333" s="380"/>
      <c r="L333" s="419">
        <v>141915</v>
      </c>
      <c r="M333" s="419">
        <v>98011</v>
      </c>
      <c r="N333" s="419">
        <v>42905</v>
      </c>
      <c r="O333" s="419">
        <v>0</v>
      </c>
      <c r="P333" s="419">
        <v>0</v>
      </c>
      <c r="Q333" s="380">
        <v>5.7970000000000005E-4</v>
      </c>
      <c r="R333" s="380"/>
      <c r="S333" s="419">
        <v>-291223</v>
      </c>
      <c r="T333" s="419">
        <v>-287853</v>
      </c>
      <c r="U333" s="419">
        <v>-302401</v>
      </c>
      <c r="V333" s="419">
        <v>-388674</v>
      </c>
      <c r="W333" s="419">
        <v>0</v>
      </c>
      <c r="X333" s="380">
        <v>5.7970000000000005E-4</v>
      </c>
      <c r="Z333" s="419">
        <v>232229</v>
      </c>
      <c r="AA333" s="419">
        <v>163154</v>
      </c>
      <c r="AB333" s="419">
        <v>163153</v>
      </c>
      <c r="AC333" s="419">
        <v>0</v>
      </c>
      <c r="AD333" s="419">
        <v>0</v>
      </c>
      <c r="AE333" s="380">
        <v>5.7970000000000005E-4</v>
      </c>
      <c r="AF333" s="380"/>
      <c r="AG333" s="419">
        <v>63058</v>
      </c>
      <c r="AH333" s="419">
        <v>63061</v>
      </c>
      <c r="AI333" s="419">
        <v>49786</v>
      </c>
      <c r="AJ333" s="419">
        <v>0</v>
      </c>
      <c r="AK333" s="419">
        <v>0</v>
      </c>
      <c r="AL333" s="380">
        <v>5.7970000000000005E-4</v>
      </c>
      <c r="AM333" s="380"/>
      <c r="AN333" s="419">
        <v>-23432</v>
      </c>
      <c r="AO333" s="419">
        <v>0</v>
      </c>
      <c r="AP333" s="419">
        <v>0</v>
      </c>
      <c r="AQ333" s="419">
        <v>0</v>
      </c>
      <c r="AR333" s="419">
        <v>0</v>
      </c>
    </row>
    <row r="334" spans="1:44">
      <c r="A334" s="379">
        <v>93408</v>
      </c>
      <c r="B334" t="s">
        <v>1043</v>
      </c>
      <c r="C334" s="380">
        <v>0</v>
      </c>
      <c r="D334" s="380"/>
      <c r="E334" s="419">
        <v>0</v>
      </c>
      <c r="F334" s="419">
        <v>0</v>
      </c>
      <c r="G334" s="419">
        <v>0</v>
      </c>
      <c r="H334" s="419">
        <v>0</v>
      </c>
      <c r="I334" s="419">
        <v>0</v>
      </c>
      <c r="J334" s="380">
        <v>0</v>
      </c>
      <c r="K334" s="380"/>
      <c r="L334" s="419">
        <v>0</v>
      </c>
      <c r="M334" s="419">
        <v>0</v>
      </c>
      <c r="N334" s="419">
        <v>0</v>
      </c>
      <c r="O334" s="419">
        <v>0</v>
      </c>
      <c r="P334" s="419">
        <v>0</v>
      </c>
      <c r="Q334" s="380">
        <v>0</v>
      </c>
      <c r="R334" s="380"/>
      <c r="S334" s="419">
        <v>0</v>
      </c>
      <c r="T334" s="419">
        <v>0</v>
      </c>
      <c r="U334" s="419">
        <v>0</v>
      </c>
      <c r="V334" s="419">
        <v>0</v>
      </c>
      <c r="W334" s="419">
        <v>0</v>
      </c>
      <c r="X334" s="380">
        <v>0</v>
      </c>
      <c r="Z334" s="419">
        <v>0</v>
      </c>
      <c r="AA334" s="419">
        <v>0</v>
      </c>
      <c r="AB334" s="419">
        <v>0</v>
      </c>
      <c r="AC334" s="419">
        <v>0</v>
      </c>
      <c r="AD334" s="419">
        <v>0</v>
      </c>
      <c r="AE334" s="380">
        <v>0</v>
      </c>
      <c r="AF334" s="380"/>
      <c r="AG334" s="419">
        <v>0</v>
      </c>
      <c r="AH334" s="419">
        <v>0</v>
      </c>
      <c r="AI334" s="419">
        <v>0</v>
      </c>
      <c r="AJ334" s="419">
        <v>0</v>
      </c>
      <c r="AK334" s="419">
        <v>0</v>
      </c>
      <c r="AL334" s="380">
        <v>0</v>
      </c>
      <c r="AM334" s="380"/>
      <c r="AN334" s="419">
        <v>0</v>
      </c>
      <c r="AO334" s="419">
        <v>0</v>
      </c>
      <c r="AP334" s="419">
        <v>0</v>
      </c>
      <c r="AQ334" s="419">
        <v>0</v>
      </c>
      <c r="AR334" s="419">
        <v>0</v>
      </c>
    </row>
    <row r="335" spans="1:44">
      <c r="A335" s="379">
        <v>93411</v>
      </c>
      <c r="B335" t="s">
        <v>1044</v>
      </c>
      <c r="C335" s="380">
        <v>1.7717E-2</v>
      </c>
      <c r="D335" s="380"/>
      <c r="E335" s="419">
        <v>2527394</v>
      </c>
      <c r="F335" s="419">
        <v>-960440</v>
      </c>
      <c r="G335" s="419">
        <v>-3121720</v>
      </c>
      <c r="H335" s="419">
        <v>-11878788</v>
      </c>
      <c r="I335" s="419">
        <v>0</v>
      </c>
      <c r="J335" s="380">
        <v>1.7717E-2</v>
      </c>
      <c r="K335" s="380"/>
      <c r="L335" s="419">
        <v>4337263</v>
      </c>
      <c r="M335" s="419">
        <v>2995449</v>
      </c>
      <c r="N335" s="419">
        <v>1311271</v>
      </c>
      <c r="O335" s="419">
        <v>0</v>
      </c>
      <c r="P335" s="419">
        <v>0</v>
      </c>
      <c r="Q335" s="380">
        <v>1.7717E-2</v>
      </c>
      <c r="R335" s="380"/>
      <c r="S335" s="419">
        <v>-8900454</v>
      </c>
      <c r="T335" s="419">
        <v>-8797465</v>
      </c>
      <c r="U335" s="419">
        <v>-9242091</v>
      </c>
      <c r="V335" s="419">
        <v>-11878788</v>
      </c>
      <c r="W335" s="419">
        <v>0</v>
      </c>
      <c r="X335" s="380">
        <v>1.7717E-2</v>
      </c>
      <c r="Z335" s="419">
        <v>7097466</v>
      </c>
      <c r="AA335" s="419">
        <v>4986361</v>
      </c>
      <c r="AB335" s="419">
        <v>4986326</v>
      </c>
      <c r="AC335" s="419">
        <v>0</v>
      </c>
      <c r="AD335" s="419">
        <v>0</v>
      </c>
      <c r="AE335" s="380">
        <v>1.7717E-2</v>
      </c>
      <c r="AF335" s="380"/>
      <c r="AG335" s="419">
        <v>235964</v>
      </c>
      <c r="AH335" s="419">
        <v>98058</v>
      </c>
      <c r="AI335" s="419">
        <v>0</v>
      </c>
      <c r="AJ335" s="419">
        <v>0</v>
      </c>
      <c r="AK335" s="419">
        <v>0</v>
      </c>
      <c r="AL335" s="380">
        <v>1.7717E-2</v>
      </c>
      <c r="AM335" s="380"/>
      <c r="AN335" s="419">
        <v>-242845</v>
      </c>
      <c r="AO335" s="419">
        <v>-242843</v>
      </c>
      <c r="AP335" s="419">
        <v>-177226</v>
      </c>
      <c r="AQ335" s="419">
        <v>0</v>
      </c>
      <c r="AR335" s="419">
        <v>0</v>
      </c>
    </row>
    <row r="336" spans="1:44">
      <c r="A336" s="379">
        <v>93413</v>
      </c>
      <c r="B336" t="s">
        <v>1045</v>
      </c>
      <c r="C336" s="380">
        <v>7.1159999999999995E-4</v>
      </c>
      <c r="D336" s="380"/>
      <c r="E336" s="419">
        <v>112338</v>
      </c>
      <c r="F336" s="419">
        <v>-18617</v>
      </c>
      <c r="G336" s="419">
        <v>-101414</v>
      </c>
      <c r="H336" s="419">
        <v>-477109</v>
      </c>
      <c r="I336" s="419">
        <v>0</v>
      </c>
      <c r="J336" s="380">
        <v>7.1159999999999995E-4</v>
      </c>
      <c r="K336" s="380"/>
      <c r="L336" s="419">
        <v>174205</v>
      </c>
      <c r="M336" s="419">
        <v>120312</v>
      </c>
      <c r="N336" s="419">
        <v>52667</v>
      </c>
      <c r="O336" s="419">
        <v>0</v>
      </c>
      <c r="P336" s="419">
        <v>0</v>
      </c>
      <c r="Q336" s="380">
        <v>7.1159999999999995E-4</v>
      </c>
      <c r="R336" s="380"/>
      <c r="S336" s="419">
        <v>-357485</v>
      </c>
      <c r="T336" s="419">
        <v>-353349</v>
      </c>
      <c r="U336" s="419">
        <v>-371207</v>
      </c>
      <c r="V336" s="419">
        <v>-477109</v>
      </c>
      <c r="W336" s="419">
        <v>0</v>
      </c>
      <c r="X336" s="380">
        <v>7.1159999999999995E-4</v>
      </c>
      <c r="Z336" s="419">
        <v>285068</v>
      </c>
      <c r="AA336" s="419">
        <v>200276</v>
      </c>
      <c r="AB336" s="419">
        <v>200275</v>
      </c>
      <c r="AC336" s="419">
        <v>0</v>
      </c>
      <c r="AD336" s="419">
        <v>0</v>
      </c>
      <c r="AE336" s="380">
        <v>7.1159999999999995E-4</v>
      </c>
      <c r="AF336" s="380"/>
      <c r="AG336" s="419">
        <v>17247</v>
      </c>
      <c r="AH336" s="419">
        <v>17245</v>
      </c>
      <c r="AI336" s="419">
        <v>16851</v>
      </c>
      <c r="AJ336" s="419">
        <v>0</v>
      </c>
      <c r="AK336" s="419">
        <v>0</v>
      </c>
      <c r="AL336" s="380">
        <v>7.1159999999999995E-4</v>
      </c>
      <c r="AM336" s="380"/>
      <c r="AN336" s="419">
        <v>-6697</v>
      </c>
      <c r="AO336" s="419">
        <v>-3101</v>
      </c>
      <c r="AP336" s="419">
        <v>0</v>
      </c>
      <c r="AQ336" s="419">
        <v>0</v>
      </c>
      <c r="AR336" s="419">
        <v>0</v>
      </c>
    </row>
    <row r="337" spans="1:44">
      <c r="A337" s="379">
        <v>93417</v>
      </c>
      <c r="B337" t="s">
        <v>1046</v>
      </c>
      <c r="C337" s="380">
        <v>2.9250000000000001E-4</v>
      </c>
      <c r="D337" s="380"/>
      <c r="E337" s="419">
        <v>71365</v>
      </c>
      <c r="F337" s="419">
        <v>13692</v>
      </c>
      <c r="G337" s="419">
        <v>-33840</v>
      </c>
      <c r="H337" s="419">
        <v>-196114</v>
      </c>
      <c r="I337" s="419">
        <v>0</v>
      </c>
      <c r="J337" s="380">
        <v>2.9250000000000001E-4</v>
      </c>
      <c r="K337" s="380"/>
      <c r="L337" s="419">
        <v>71606</v>
      </c>
      <c r="M337" s="419">
        <v>49454</v>
      </c>
      <c r="N337" s="419">
        <v>21649</v>
      </c>
      <c r="O337" s="419">
        <v>0</v>
      </c>
      <c r="P337" s="419">
        <v>0</v>
      </c>
      <c r="Q337" s="380">
        <v>2.9250000000000001E-4</v>
      </c>
      <c r="R337" s="380"/>
      <c r="S337" s="419">
        <v>-146943</v>
      </c>
      <c r="T337" s="419">
        <v>-145242</v>
      </c>
      <c r="U337" s="419">
        <v>-152583</v>
      </c>
      <c r="V337" s="419">
        <v>-196114</v>
      </c>
      <c r="W337" s="419">
        <v>0</v>
      </c>
      <c r="X337" s="380">
        <v>2.9250000000000001E-4</v>
      </c>
      <c r="Z337" s="419">
        <v>117176</v>
      </c>
      <c r="AA337" s="419">
        <v>82323</v>
      </c>
      <c r="AB337" s="419">
        <v>82322</v>
      </c>
      <c r="AC337" s="419">
        <v>0</v>
      </c>
      <c r="AD337" s="419">
        <v>0</v>
      </c>
      <c r="AE337" s="380">
        <v>2.9250000000000001E-4</v>
      </c>
      <c r="AF337" s="380"/>
      <c r="AG337" s="419">
        <v>30291</v>
      </c>
      <c r="AH337" s="419">
        <v>27922</v>
      </c>
      <c r="AI337" s="419">
        <v>14772</v>
      </c>
      <c r="AJ337" s="419">
        <v>0</v>
      </c>
      <c r="AK337" s="419">
        <v>0</v>
      </c>
      <c r="AL337" s="380">
        <v>2.9250000000000001E-4</v>
      </c>
      <c r="AM337" s="380"/>
      <c r="AN337" s="419">
        <v>-765</v>
      </c>
      <c r="AO337" s="419">
        <v>-765</v>
      </c>
      <c r="AP337" s="419">
        <v>0</v>
      </c>
      <c r="AQ337" s="419">
        <v>0</v>
      </c>
      <c r="AR337" s="419">
        <v>0</v>
      </c>
    </row>
    <row r="338" spans="1:44">
      <c r="A338" s="379">
        <v>93421</v>
      </c>
      <c r="B338" t="s">
        <v>1047</v>
      </c>
      <c r="C338" s="380">
        <v>1.8813E-3</v>
      </c>
      <c r="D338" s="380"/>
      <c r="E338" s="419">
        <v>98081</v>
      </c>
      <c r="F338" s="419">
        <v>-240523</v>
      </c>
      <c r="G338" s="419">
        <v>-405160</v>
      </c>
      <c r="H338" s="419">
        <v>-1261363</v>
      </c>
      <c r="I338" s="419">
        <v>0</v>
      </c>
      <c r="J338" s="380">
        <v>1.8813E-3</v>
      </c>
      <c r="K338" s="380"/>
      <c r="L338" s="419">
        <v>460557</v>
      </c>
      <c r="M338" s="419">
        <v>318075</v>
      </c>
      <c r="N338" s="419">
        <v>139239</v>
      </c>
      <c r="O338" s="419">
        <v>0</v>
      </c>
      <c r="P338" s="419">
        <v>0</v>
      </c>
      <c r="Q338" s="380">
        <v>1.8813E-3</v>
      </c>
      <c r="R338" s="380"/>
      <c r="S338" s="419">
        <v>-945105</v>
      </c>
      <c r="T338" s="419">
        <v>-934169</v>
      </c>
      <c r="U338" s="419">
        <v>-981382</v>
      </c>
      <c r="V338" s="419">
        <v>-1261363</v>
      </c>
      <c r="W338" s="419">
        <v>0</v>
      </c>
      <c r="X338" s="380">
        <v>1.8813E-3</v>
      </c>
      <c r="Z338" s="419">
        <v>753653</v>
      </c>
      <c r="AA338" s="419">
        <v>529482</v>
      </c>
      <c r="AB338" s="419">
        <v>529479</v>
      </c>
      <c r="AC338" s="419">
        <v>0</v>
      </c>
      <c r="AD338" s="419">
        <v>0</v>
      </c>
      <c r="AE338" s="380">
        <v>1.8813E-3</v>
      </c>
      <c r="AF338" s="380"/>
      <c r="AG338" s="419">
        <v>0</v>
      </c>
      <c r="AH338" s="419">
        <v>0</v>
      </c>
      <c r="AI338" s="419">
        <v>0</v>
      </c>
      <c r="AJ338" s="419">
        <v>0</v>
      </c>
      <c r="AK338" s="419">
        <v>0</v>
      </c>
      <c r="AL338" s="380">
        <v>1.8813E-3</v>
      </c>
      <c r="AM338" s="380"/>
      <c r="AN338" s="419">
        <v>-171024</v>
      </c>
      <c r="AO338" s="419">
        <v>-153911</v>
      </c>
      <c r="AP338" s="419">
        <v>-92496</v>
      </c>
      <c r="AQ338" s="419">
        <v>0</v>
      </c>
      <c r="AR338" s="419">
        <v>0</v>
      </c>
    </row>
    <row r="339" spans="1:44">
      <c r="A339" s="379">
        <v>93431</v>
      </c>
      <c r="B339" t="s">
        <v>1048</v>
      </c>
      <c r="C339" s="380">
        <v>1.5009999999999999E-4</v>
      </c>
      <c r="D339" s="380"/>
      <c r="E339" s="419">
        <v>32786</v>
      </c>
      <c r="F339" s="419">
        <v>2196</v>
      </c>
      <c r="G339" s="419">
        <v>-14467</v>
      </c>
      <c r="H339" s="419">
        <v>-100638</v>
      </c>
      <c r="I339" s="419">
        <v>0</v>
      </c>
      <c r="J339" s="380">
        <v>1.5009999999999999E-4</v>
      </c>
      <c r="K339" s="380"/>
      <c r="L339" s="419">
        <v>36746</v>
      </c>
      <c r="M339" s="419">
        <v>25378</v>
      </c>
      <c r="N339" s="419">
        <v>11109</v>
      </c>
      <c r="O339" s="419">
        <v>0</v>
      </c>
      <c r="P339" s="419">
        <v>0</v>
      </c>
      <c r="Q339" s="380">
        <v>1.5009999999999999E-4</v>
      </c>
      <c r="R339" s="380"/>
      <c r="S339" s="419">
        <v>-75405</v>
      </c>
      <c r="T339" s="419">
        <v>-74533</v>
      </c>
      <c r="U339" s="419">
        <v>-78300</v>
      </c>
      <c r="V339" s="419">
        <v>-100638</v>
      </c>
      <c r="W339" s="419">
        <v>0</v>
      </c>
      <c r="X339" s="380">
        <v>1.5009999999999999E-4</v>
      </c>
      <c r="Z339" s="419">
        <v>60130</v>
      </c>
      <c r="AA339" s="419">
        <v>42245</v>
      </c>
      <c r="AB339" s="419">
        <v>42245</v>
      </c>
      <c r="AC339" s="419">
        <v>0</v>
      </c>
      <c r="AD339" s="419">
        <v>0</v>
      </c>
      <c r="AE339" s="380">
        <v>1.5009999999999999E-4</v>
      </c>
      <c r="AF339" s="380"/>
      <c r="AG339" s="419">
        <v>12684</v>
      </c>
      <c r="AH339" s="419">
        <v>10478</v>
      </c>
      <c r="AI339" s="419">
        <v>10479</v>
      </c>
      <c r="AJ339" s="419">
        <v>0</v>
      </c>
      <c r="AK339" s="419">
        <v>0</v>
      </c>
      <c r="AL339" s="380">
        <v>1.5009999999999999E-4</v>
      </c>
      <c r="AM339" s="380"/>
      <c r="AN339" s="419">
        <v>-1369</v>
      </c>
      <c r="AO339" s="419">
        <v>-1372</v>
      </c>
      <c r="AP339" s="419">
        <v>0</v>
      </c>
      <c r="AQ339" s="419">
        <v>0</v>
      </c>
      <c r="AR339" s="419">
        <v>0</v>
      </c>
    </row>
    <row r="340" spans="1:44">
      <c r="A340" s="379">
        <v>93441</v>
      </c>
      <c r="B340" t="s">
        <v>1049</v>
      </c>
      <c r="C340" s="380">
        <v>1.573E-4</v>
      </c>
      <c r="D340" s="380"/>
      <c r="E340" s="419">
        <v>17885</v>
      </c>
      <c r="F340" s="419">
        <v>-13339</v>
      </c>
      <c r="G340" s="419">
        <v>-31392</v>
      </c>
      <c r="H340" s="419">
        <v>-105466</v>
      </c>
      <c r="I340" s="419">
        <v>0</v>
      </c>
      <c r="J340" s="380">
        <v>1.573E-4</v>
      </c>
      <c r="K340" s="380"/>
      <c r="L340" s="419">
        <v>38508</v>
      </c>
      <c r="M340" s="419">
        <v>26595</v>
      </c>
      <c r="N340" s="419">
        <v>11642</v>
      </c>
      <c r="O340" s="419">
        <v>0</v>
      </c>
      <c r="P340" s="419">
        <v>0</v>
      </c>
      <c r="Q340" s="380">
        <v>1.573E-4</v>
      </c>
      <c r="R340" s="380"/>
      <c r="S340" s="419">
        <v>-79022</v>
      </c>
      <c r="T340" s="419">
        <v>-78108</v>
      </c>
      <c r="U340" s="419">
        <v>-82056</v>
      </c>
      <c r="V340" s="419">
        <v>-105466</v>
      </c>
      <c r="W340" s="419">
        <v>0</v>
      </c>
      <c r="X340" s="380">
        <v>1.573E-4</v>
      </c>
      <c r="Z340" s="419">
        <v>63015</v>
      </c>
      <c r="AA340" s="419">
        <v>44271</v>
      </c>
      <c r="AB340" s="419">
        <v>44271</v>
      </c>
      <c r="AC340" s="419">
        <v>0</v>
      </c>
      <c r="AD340" s="419">
        <v>0</v>
      </c>
      <c r="AE340" s="380">
        <v>1.573E-4</v>
      </c>
      <c r="AF340" s="380"/>
      <c r="AG340" s="419">
        <v>1653</v>
      </c>
      <c r="AH340" s="419">
        <v>173</v>
      </c>
      <c r="AI340" s="419">
        <v>0</v>
      </c>
      <c r="AJ340" s="419">
        <v>0</v>
      </c>
      <c r="AK340" s="419">
        <v>0</v>
      </c>
      <c r="AL340" s="380">
        <v>1.573E-4</v>
      </c>
      <c r="AM340" s="380"/>
      <c r="AN340" s="419">
        <v>-6269</v>
      </c>
      <c r="AO340" s="419">
        <v>-6270</v>
      </c>
      <c r="AP340" s="419">
        <v>-5249</v>
      </c>
      <c r="AQ340" s="419">
        <v>0</v>
      </c>
      <c r="AR340" s="419">
        <v>0</v>
      </c>
    </row>
    <row r="341" spans="1:44">
      <c r="A341" s="379">
        <v>93442</v>
      </c>
      <c r="B341" t="s">
        <v>1050</v>
      </c>
      <c r="C341" s="380">
        <v>1.3750000000000001E-4</v>
      </c>
      <c r="D341" s="380"/>
      <c r="E341" s="419">
        <v>2384</v>
      </c>
      <c r="F341" s="419">
        <v>-22092</v>
      </c>
      <c r="G341" s="419">
        <v>-31169</v>
      </c>
      <c r="H341" s="419">
        <v>-92190</v>
      </c>
      <c r="I341" s="419">
        <v>0</v>
      </c>
      <c r="J341" s="380">
        <v>1.3750000000000001E-4</v>
      </c>
      <c r="K341" s="380"/>
      <c r="L341" s="419">
        <v>33661</v>
      </c>
      <c r="M341" s="419">
        <v>23247</v>
      </c>
      <c r="N341" s="419">
        <v>10177</v>
      </c>
      <c r="O341" s="419">
        <v>0</v>
      </c>
      <c r="P341" s="419">
        <v>0</v>
      </c>
      <c r="Q341" s="380">
        <v>1.3750000000000001E-4</v>
      </c>
      <c r="R341" s="380"/>
      <c r="S341" s="419">
        <v>-69076</v>
      </c>
      <c r="T341" s="419">
        <v>-68276</v>
      </c>
      <c r="U341" s="419">
        <v>-71727</v>
      </c>
      <c r="V341" s="419">
        <v>-92190</v>
      </c>
      <c r="W341" s="419">
        <v>0</v>
      </c>
      <c r="X341" s="380">
        <v>1.3750000000000001E-4</v>
      </c>
      <c r="Z341" s="419">
        <v>55083</v>
      </c>
      <c r="AA341" s="419">
        <v>38699</v>
      </c>
      <c r="AB341" s="419">
        <v>38698</v>
      </c>
      <c r="AC341" s="419">
        <v>0</v>
      </c>
      <c r="AD341" s="419">
        <v>0</v>
      </c>
      <c r="AE341" s="380">
        <v>1.3750000000000001E-4</v>
      </c>
      <c r="AF341" s="380"/>
      <c r="AG341" s="419">
        <v>0</v>
      </c>
      <c r="AH341" s="419">
        <v>0</v>
      </c>
      <c r="AI341" s="419">
        <v>0</v>
      </c>
      <c r="AJ341" s="419">
        <v>0</v>
      </c>
      <c r="AK341" s="419">
        <v>0</v>
      </c>
      <c r="AL341" s="380">
        <v>1.3750000000000001E-4</v>
      </c>
      <c r="AM341" s="380"/>
      <c r="AN341" s="419">
        <v>-17284</v>
      </c>
      <c r="AO341" s="419">
        <v>-15762</v>
      </c>
      <c r="AP341" s="419">
        <v>-8317</v>
      </c>
      <c r="AQ341" s="419">
        <v>0</v>
      </c>
      <c r="AR341" s="419">
        <v>0</v>
      </c>
    </row>
    <row r="342" spans="1:44">
      <c r="A342" s="379">
        <v>93451</v>
      </c>
      <c r="B342" t="s">
        <v>1051</v>
      </c>
      <c r="C342" s="380">
        <v>6.3E-5</v>
      </c>
      <c r="D342" s="380"/>
      <c r="E342" s="419">
        <v>16424</v>
      </c>
      <c r="F342" s="419">
        <v>1605</v>
      </c>
      <c r="G342" s="419">
        <v>-9152</v>
      </c>
      <c r="H342" s="419">
        <v>-42240</v>
      </c>
      <c r="I342" s="419">
        <v>0</v>
      </c>
      <c r="J342" s="380">
        <v>6.3E-5</v>
      </c>
      <c r="K342" s="380"/>
      <c r="L342" s="419">
        <v>15423</v>
      </c>
      <c r="M342" s="419">
        <v>10652</v>
      </c>
      <c r="N342" s="419">
        <v>4663</v>
      </c>
      <c r="O342" s="419">
        <v>0</v>
      </c>
      <c r="P342" s="419">
        <v>0</v>
      </c>
      <c r="Q342" s="380">
        <v>6.3E-5</v>
      </c>
      <c r="R342" s="380"/>
      <c r="S342" s="419">
        <v>-31649</v>
      </c>
      <c r="T342" s="419">
        <v>-31283</v>
      </c>
      <c r="U342" s="419">
        <v>-32864</v>
      </c>
      <c r="V342" s="419">
        <v>-42240</v>
      </c>
      <c r="W342" s="419">
        <v>0</v>
      </c>
      <c r="X342" s="380">
        <v>6.3E-5</v>
      </c>
      <c r="Z342" s="419">
        <v>25238</v>
      </c>
      <c r="AA342" s="419">
        <v>17731</v>
      </c>
      <c r="AB342" s="419">
        <v>17731</v>
      </c>
      <c r="AC342" s="419">
        <v>0</v>
      </c>
      <c r="AD342" s="419">
        <v>0</v>
      </c>
      <c r="AE342" s="380">
        <v>6.3E-5</v>
      </c>
      <c r="AF342" s="380"/>
      <c r="AG342" s="419">
        <v>7660</v>
      </c>
      <c r="AH342" s="419">
        <v>4753</v>
      </c>
      <c r="AI342" s="419">
        <v>1318</v>
      </c>
      <c r="AJ342" s="419">
        <v>0</v>
      </c>
      <c r="AK342" s="419">
        <v>0</v>
      </c>
      <c r="AL342" s="380">
        <v>6.3E-5</v>
      </c>
      <c r="AM342" s="380"/>
      <c r="AN342" s="419">
        <v>-248</v>
      </c>
      <c r="AO342" s="419">
        <v>-248</v>
      </c>
      <c r="AP342" s="419">
        <v>0</v>
      </c>
      <c r="AQ342" s="419">
        <v>0</v>
      </c>
      <c r="AR342" s="419">
        <v>0</v>
      </c>
    </row>
    <row r="343" spans="1:44">
      <c r="A343" s="379">
        <v>93461</v>
      </c>
      <c r="B343" t="s">
        <v>1052</v>
      </c>
      <c r="C343" s="380">
        <v>1.5699999999999999E-5</v>
      </c>
      <c r="D343" s="380"/>
      <c r="E343" s="419">
        <v>2447</v>
      </c>
      <c r="F343" s="419">
        <v>-617</v>
      </c>
      <c r="G343" s="419">
        <v>-2243</v>
      </c>
      <c r="H343" s="419">
        <v>-10526</v>
      </c>
      <c r="I343" s="419">
        <v>0</v>
      </c>
      <c r="J343" s="380">
        <v>1.5699999999999999E-5</v>
      </c>
      <c r="K343" s="380"/>
      <c r="L343" s="419">
        <v>3843</v>
      </c>
      <c r="M343" s="419">
        <v>2654</v>
      </c>
      <c r="N343" s="419">
        <v>1162</v>
      </c>
      <c r="O343" s="419">
        <v>0</v>
      </c>
      <c r="P343" s="419">
        <v>0</v>
      </c>
      <c r="Q343" s="380">
        <v>1.5699999999999999E-5</v>
      </c>
      <c r="R343" s="380"/>
      <c r="S343" s="419">
        <v>-7887</v>
      </c>
      <c r="T343" s="419">
        <v>-7796</v>
      </c>
      <c r="U343" s="419">
        <v>-8190</v>
      </c>
      <c r="V343" s="419">
        <v>-10526</v>
      </c>
      <c r="W343" s="419">
        <v>0</v>
      </c>
      <c r="X343" s="380">
        <v>1.5699999999999999E-5</v>
      </c>
      <c r="Z343" s="419">
        <v>6289</v>
      </c>
      <c r="AA343" s="419">
        <v>4419</v>
      </c>
      <c r="AB343" s="419">
        <v>4419</v>
      </c>
      <c r="AC343" s="419">
        <v>0</v>
      </c>
      <c r="AD343" s="419">
        <v>0</v>
      </c>
      <c r="AE343" s="380">
        <v>1.5699999999999999E-5</v>
      </c>
      <c r="AF343" s="380"/>
      <c r="AG343" s="419">
        <v>462</v>
      </c>
      <c r="AH343" s="419">
        <v>368</v>
      </c>
      <c r="AI343" s="419">
        <v>366</v>
      </c>
      <c r="AJ343" s="419">
        <v>0</v>
      </c>
      <c r="AK343" s="419">
        <v>0</v>
      </c>
      <c r="AL343" s="380">
        <v>1.5699999999999999E-5</v>
      </c>
      <c r="AM343" s="380"/>
      <c r="AN343" s="419">
        <v>-260</v>
      </c>
      <c r="AO343" s="419">
        <v>-262</v>
      </c>
      <c r="AP343" s="419">
        <v>0</v>
      </c>
      <c r="AQ343" s="419">
        <v>0</v>
      </c>
      <c r="AR343" s="419">
        <v>0</v>
      </c>
    </row>
    <row r="344" spans="1:44">
      <c r="A344" s="379">
        <v>93471</v>
      </c>
      <c r="B344" t="s">
        <v>1053</v>
      </c>
      <c r="C344" s="380">
        <v>1.2099999999999999E-5</v>
      </c>
      <c r="D344" s="380"/>
      <c r="E344" s="419">
        <v>5599</v>
      </c>
      <c r="F344" s="419">
        <v>2943</v>
      </c>
      <c r="G344" s="419">
        <v>-821</v>
      </c>
      <c r="H344" s="419">
        <v>-8113</v>
      </c>
      <c r="I344" s="419">
        <v>0</v>
      </c>
      <c r="J344" s="380">
        <v>1.2099999999999999E-5</v>
      </c>
      <c r="K344" s="380"/>
      <c r="L344" s="419">
        <v>2962</v>
      </c>
      <c r="M344" s="419">
        <v>2046</v>
      </c>
      <c r="N344" s="419">
        <v>896</v>
      </c>
      <c r="O344" s="419">
        <v>0</v>
      </c>
      <c r="P344" s="419">
        <v>0</v>
      </c>
      <c r="Q344" s="380">
        <v>1.2099999999999999E-5</v>
      </c>
      <c r="R344" s="380"/>
      <c r="S344" s="419">
        <v>-6079</v>
      </c>
      <c r="T344" s="419">
        <v>-6008</v>
      </c>
      <c r="U344" s="419">
        <v>-6312</v>
      </c>
      <c r="V344" s="419">
        <v>-8113</v>
      </c>
      <c r="W344" s="419">
        <v>0</v>
      </c>
      <c r="X344" s="380">
        <v>1.2099999999999999E-5</v>
      </c>
      <c r="Z344" s="419">
        <v>4847</v>
      </c>
      <c r="AA344" s="419">
        <v>3405</v>
      </c>
      <c r="AB344" s="419">
        <v>3405</v>
      </c>
      <c r="AC344" s="419">
        <v>0</v>
      </c>
      <c r="AD344" s="419">
        <v>0</v>
      </c>
      <c r="AE344" s="380">
        <v>1.2099999999999999E-5</v>
      </c>
      <c r="AF344" s="380"/>
      <c r="AG344" s="419">
        <v>3869</v>
      </c>
      <c r="AH344" s="419">
        <v>3500</v>
      </c>
      <c r="AI344" s="419">
        <v>1190</v>
      </c>
      <c r="AJ344" s="419">
        <v>0</v>
      </c>
      <c r="AK344" s="419">
        <v>0</v>
      </c>
      <c r="AL344" s="380">
        <v>1.2099999999999999E-5</v>
      </c>
      <c r="AM344" s="380"/>
      <c r="AN344" s="419">
        <v>0</v>
      </c>
      <c r="AO344" s="419">
        <v>0</v>
      </c>
      <c r="AP344" s="419">
        <v>0</v>
      </c>
      <c r="AQ344" s="419">
        <v>0</v>
      </c>
      <c r="AR344" s="419">
        <v>0</v>
      </c>
    </row>
    <row r="345" spans="1:44">
      <c r="A345" s="379">
        <v>93501</v>
      </c>
      <c r="B345" t="s">
        <v>1054</v>
      </c>
      <c r="C345" s="380">
        <v>3.5084999999999999E-3</v>
      </c>
      <c r="D345" s="380"/>
      <c r="E345" s="419">
        <v>371483</v>
      </c>
      <c r="F345" s="419">
        <v>-304838</v>
      </c>
      <c r="G345" s="419">
        <v>-695372</v>
      </c>
      <c r="H345" s="419">
        <v>-2352358</v>
      </c>
      <c r="I345" s="419">
        <v>0</v>
      </c>
      <c r="J345" s="380">
        <v>3.5084999999999999E-3</v>
      </c>
      <c r="K345" s="380"/>
      <c r="L345" s="419">
        <v>858909</v>
      </c>
      <c r="M345" s="419">
        <v>593189</v>
      </c>
      <c r="N345" s="419">
        <v>259671</v>
      </c>
      <c r="O345" s="419">
        <v>0</v>
      </c>
      <c r="P345" s="419">
        <v>0</v>
      </c>
      <c r="Q345" s="380">
        <v>3.5084999999999999E-3</v>
      </c>
      <c r="R345" s="380"/>
      <c r="S345" s="419">
        <v>-1762558</v>
      </c>
      <c r="T345" s="419">
        <v>-1742163</v>
      </c>
      <c r="U345" s="419">
        <v>-1830213</v>
      </c>
      <c r="V345" s="419">
        <v>-2352358</v>
      </c>
      <c r="W345" s="419">
        <v>0</v>
      </c>
      <c r="X345" s="380">
        <v>3.5084999999999999E-3</v>
      </c>
      <c r="Z345" s="419">
        <v>1405512</v>
      </c>
      <c r="AA345" s="419">
        <v>987450</v>
      </c>
      <c r="AB345" s="419">
        <v>987443</v>
      </c>
      <c r="AC345" s="419">
        <v>0</v>
      </c>
      <c r="AD345" s="419">
        <v>0</v>
      </c>
      <c r="AE345" s="380">
        <v>3.5084999999999999E-3</v>
      </c>
      <c r="AF345" s="380"/>
      <c r="AG345" s="419">
        <v>34204</v>
      </c>
      <c r="AH345" s="419">
        <v>21268</v>
      </c>
      <c r="AI345" s="419">
        <v>0</v>
      </c>
      <c r="AJ345" s="419">
        <v>0</v>
      </c>
      <c r="AK345" s="419">
        <v>0</v>
      </c>
      <c r="AL345" s="380">
        <v>3.5084999999999999E-3</v>
      </c>
      <c r="AM345" s="380"/>
      <c r="AN345" s="419">
        <v>-164584</v>
      </c>
      <c r="AO345" s="419">
        <v>-164582</v>
      </c>
      <c r="AP345" s="419">
        <v>-112273</v>
      </c>
      <c r="AQ345" s="419">
        <v>0</v>
      </c>
      <c r="AR345" s="419">
        <v>0</v>
      </c>
    </row>
    <row r="346" spans="1:44">
      <c r="A346" s="379">
        <v>93511</v>
      </c>
      <c r="B346" t="s">
        <v>1055</v>
      </c>
      <c r="C346" s="380">
        <v>8.2100000000000003E-5</v>
      </c>
      <c r="D346" s="380"/>
      <c r="E346" s="419">
        <v>14843</v>
      </c>
      <c r="F346" s="419">
        <v>-2082</v>
      </c>
      <c r="G346" s="419">
        <v>-12809</v>
      </c>
      <c r="H346" s="419">
        <v>-55046</v>
      </c>
      <c r="I346" s="419">
        <v>0</v>
      </c>
      <c r="J346" s="380">
        <v>8.2100000000000003E-5</v>
      </c>
      <c r="K346" s="380"/>
      <c r="L346" s="419">
        <v>20099</v>
      </c>
      <c r="M346" s="419">
        <v>13881</v>
      </c>
      <c r="N346" s="419">
        <v>6076</v>
      </c>
      <c r="O346" s="419">
        <v>0</v>
      </c>
      <c r="P346" s="419">
        <v>0</v>
      </c>
      <c r="Q346" s="380">
        <v>8.2100000000000003E-5</v>
      </c>
      <c r="R346" s="380"/>
      <c r="S346" s="419">
        <v>-41244</v>
      </c>
      <c r="T346" s="419">
        <v>-40767</v>
      </c>
      <c r="U346" s="419">
        <v>-42828</v>
      </c>
      <c r="V346" s="419">
        <v>-55046</v>
      </c>
      <c r="W346" s="419">
        <v>0</v>
      </c>
      <c r="X346" s="380">
        <v>8.2100000000000003E-5</v>
      </c>
      <c r="Z346" s="419">
        <v>32889</v>
      </c>
      <c r="AA346" s="419">
        <v>23107</v>
      </c>
      <c r="AB346" s="419">
        <v>23106</v>
      </c>
      <c r="AC346" s="419">
        <v>0</v>
      </c>
      <c r="AD346" s="419">
        <v>0</v>
      </c>
      <c r="AE346" s="380">
        <v>8.2100000000000003E-5</v>
      </c>
      <c r="AF346" s="380"/>
      <c r="AG346" s="419">
        <v>3707</v>
      </c>
      <c r="AH346" s="419">
        <v>2304</v>
      </c>
      <c r="AI346" s="419">
        <v>837</v>
      </c>
      <c r="AJ346" s="419">
        <v>0</v>
      </c>
      <c r="AK346" s="419">
        <v>0</v>
      </c>
      <c r="AL346" s="380">
        <v>8.2100000000000003E-5</v>
      </c>
      <c r="AM346" s="380"/>
      <c r="AN346" s="419">
        <v>-608</v>
      </c>
      <c r="AO346" s="419">
        <v>-607</v>
      </c>
      <c r="AP346" s="419">
        <v>0</v>
      </c>
      <c r="AQ346" s="419">
        <v>0</v>
      </c>
      <c r="AR346" s="419">
        <v>0</v>
      </c>
    </row>
    <row r="347" spans="1:44">
      <c r="A347" s="379">
        <v>93517</v>
      </c>
      <c r="B347" t="s">
        <v>1056</v>
      </c>
      <c r="C347" s="380">
        <v>4.5000000000000001E-6</v>
      </c>
      <c r="D347" s="380"/>
      <c r="E347" s="419">
        <v>3213</v>
      </c>
      <c r="F347" s="419">
        <v>2125</v>
      </c>
      <c r="G347" s="419">
        <v>623</v>
      </c>
      <c r="H347" s="419">
        <v>-3017</v>
      </c>
      <c r="I347" s="419">
        <v>0</v>
      </c>
      <c r="J347" s="380">
        <v>4.5000000000000001E-6</v>
      </c>
      <c r="K347" s="380"/>
      <c r="L347" s="419">
        <v>1102</v>
      </c>
      <c r="M347" s="419">
        <v>761</v>
      </c>
      <c r="N347" s="419">
        <v>333</v>
      </c>
      <c r="O347" s="419">
        <v>0</v>
      </c>
      <c r="P347" s="419">
        <v>0</v>
      </c>
      <c r="Q347" s="380">
        <v>4.5000000000000001E-6</v>
      </c>
      <c r="R347" s="380"/>
      <c r="S347" s="419">
        <v>-2261</v>
      </c>
      <c r="T347" s="419">
        <v>-2234</v>
      </c>
      <c r="U347" s="419">
        <v>-2347</v>
      </c>
      <c r="V347" s="419">
        <v>-3017</v>
      </c>
      <c r="W347" s="419">
        <v>0</v>
      </c>
      <c r="X347" s="380">
        <v>4.5000000000000001E-6</v>
      </c>
      <c r="Z347" s="419">
        <v>1803</v>
      </c>
      <c r="AA347" s="419">
        <v>1267</v>
      </c>
      <c r="AB347" s="419">
        <v>1266</v>
      </c>
      <c r="AC347" s="419">
        <v>0</v>
      </c>
      <c r="AD347" s="419">
        <v>0</v>
      </c>
      <c r="AE347" s="380">
        <v>4.5000000000000001E-6</v>
      </c>
      <c r="AF347" s="380"/>
      <c r="AG347" s="419">
        <v>2569</v>
      </c>
      <c r="AH347" s="419">
        <v>2331</v>
      </c>
      <c r="AI347" s="419">
        <v>1371</v>
      </c>
      <c r="AJ347" s="419">
        <v>0</v>
      </c>
      <c r="AK347" s="419">
        <v>0</v>
      </c>
      <c r="AL347" s="380">
        <v>4.5000000000000001E-6</v>
      </c>
      <c r="AM347" s="380"/>
      <c r="AN347" s="419">
        <v>0</v>
      </c>
      <c r="AO347" s="419">
        <v>0</v>
      </c>
      <c r="AP347" s="419">
        <v>0</v>
      </c>
      <c r="AQ347" s="419">
        <v>0</v>
      </c>
      <c r="AR347" s="419">
        <v>0</v>
      </c>
    </row>
    <row r="348" spans="1:44">
      <c r="A348" s="379">
        <v>93521</v>
      </c>
      <c r="B348" t="s">
        <v>1057</v>
      </c>
      <c r="C348" s="380">
        <v>4.5629999999999998E-4</v>
      </c>
      <c r="D348" s="380"/>
      <c r="E348" s="419">
        <v>59568</v>
      </c>
      <c r="F348" s="419">
        <v>-27277</v>
      </c>
      <c r="G348" s="419">
        <v>-80888</v>
      </c>
      <c r="H348" s="419">
        <v>-305937</v>
      </c>
      <c r="I348" s="419">
        <v>0</v>
      </c>
      <c r="J348" s="380">
        <v>4.5629999999999998E-4</v>
      </c>
      <c r="K348" s="380"/>
      <c r="L348" s="419">
        <v>111706</v>
      </c>
      <c r="M348" s="419">
        <v>77148</v>
      </c>
      <c r="N348" s="419">
        <v>33772</v>
      </c>
      <c r="O348" s="419">
        <v>0</v>
      </c>
      <c r="P348" s="419">
        <v>0</v>
      </c>
      <c r="Q348" s="380">
        <v>4.5629999999999998E-4</v>
      </c>
      <c r="R348" s="380"/>
      <c r="S348" s="419">
        <v>-229231</v>
      </c>
      <c r="T348" s="419">
        <v>-226578</v>
      </c>
      <c r="U348" s="419">
        <v>-238029</v>
      </c>
      <c r="V348" s="419">
        <v>-305937</v>
      </c>
      <c r="W348" s="419">
        <v>0</v>
      </c>
      <c r="X348" s="380">
        <v>4.5629999999999998E-4</v>
      </c>
      <c r="Z348" s="419">
        <v>182795</v>
      </c>
      <c r="AA348" s="419">
        <v>128423</v>
      </c>
      <c r="AB348" s="419">
        <v>128422</v>
      </c>
      <c r="AC348" s="419">
        <v>0</v>
      </c>
      <c r="AD348" s="419">
        <v>0</v>
      </c>
      <c r="AE348" s="380">
        <v>4.5629999999999998E-4</v>
      </c>
      <c r="AF348" s="380"/>
      <c r="AG348" s="419">
        <v>3546</v>
      </c>
      <c r="AH348" s="419">
        <v>2976</v>
      </c>
      <c r="AI348" s="419">
        <v>0</v>
      </c>
      <c r="AJ348" s="419">
        <v>0</v>
      </c>
      <c r="AK348" s="419">
        <v>0</v>
      </c>
      <c r="AL348" s="380">
        <v>4.5629999999999998E-4</v>
      </c>
      <c r="AM348" s="380"/>
      <c r="AN348" s="419">
        <v>-9248</v>
      </c>
      <c r="AO348" s="419">
        <v>-9246</v>
      </c>
      <c r="AP348" s="419">
        <v>-5053</v>
      </c>
      <c r="AQ348" s="419">
        <v>0</v>
      </c>
      <c r="AR348" s="419">
        <v>0</v>
      </c>
    </row>
    <row r="349" spans="1:44">
      <c r="A349" s="379">
        <v>93527</v>
      </c>
      <c r="B349" t="s">
        <v>1058</v>
      </c>
      <c r="C349" s="380">
        <v>1.4800000000000001E-5</v>
      </c>
      <c r="D349" s="380"/>
      <c r="E349" s="419">
        <v>9732</v>
      </c>
      <c r="F349" s="419">
        <v>5855</v>
      </c>
      <c r="G349" s="419">
        <v>2532</v>
      </c>
      <c r="H349" s="419">
        <v>-9923</v>
      </c>
      <c r="I349" s="419">
        <v>0</v>
      </c>
      <c r="J349" s="380">
        <v>1.4800000000000001E-5</v>
      </c>
      <c r="K349" s="380"/>
      <c r="L349" s="419">
        <v>3623</v>
      </c>
      <c r="M349" s="419">
        <v>2502</v>
      </c>
      <c r="N349" s="419">
        <v>1095</v>
      </c>
      <c r="O349" s="419">
        <v>0</v>
      </c>
      <c r="P349" s="419">
        <v>0</v>
      </c>
      <c r="Q349" s="380">
        <v>1.4800000000000001E-5</v>
      </c>
      <c r="R349" s="380"/>
      <c r="S349" s="419">
        <v>-7435</v>
      </c>
      <c r="T349" s="419">
        <v>-7349</v>
      </c>
      <c r="U349" s="419">
        <v>-7720</v>
      </c>
      <c r="V349" s="419">
        <v>-9923</v>
      </c>
      <c r="W349" s="419">
        <v>0</v>
      </c>
      <c r="X349" s="380">
        <v>1.4800000000000001E-5</v>
      </c>
      <c r="Z349" s="419">
        <v>5929</v>
      </c>
      <c r="AA349" s="419">
        <v>4165</v>
      </c>
      <c r="AB349" s="419">
        <v>4165</v>
      </c>
      <c r="AC349" s="419">
        <v>0</v>
      </c>
      <c r="AD349" s="419">
        <v>0</v>
      </c>
      <c r="AE349" s="380">
        <v>1.4800000000000001E-5</v>
      </c>
      <c r="AF349" s="380"/>
      <c r="AG349" s="419">
        <v>7615</v>
      </c>
      <c r="AH349" s="419">
        <v>6537</v>
      </c>
      <c r="AI349" s="419">
        <v>4992</v>
      </c>
      <c r="AJ349" s="419">
        <v>0</v>
      </c>
      <c r="AK349" s="419">
        <v>0</v>
      </c>
      <c r="AL349" s="380">
        <v>1.4800000000000001E-5</v>
      </c>
      <c r="AM349" s="380"/>
      <c r="AN349" s="419">
        <v>0</v>
      </c>
      <c r="AO349" s="419">
        <v>0</v>
      </c>
      <c r="AP349" s="419">
        <v>0</v>
      </c>
      <c r="AQ349" s="419">
        <v>0</v>
      </c>
      <c r="AR349" s="419">
        <v>0</v>
      </c>
    </row>
    <row r="350" spans="1:44">
      <c r="A350" s="379">
        <v>93531</v>
      </c>
      <c r="B350" t="s">
        <v>1059</v>
      </c>
      <c r="C350" s="380">
        <v>2.5400000000000001E-5</v>
      </c>
      <c r="D350" s="380"/>
      <c r="E350" s="419">
        <v>6654</v>
      </c>
      <c r="F350" s="419">
        <v>47</v>
      </c>
      <c r="G350" s="419">
        <v>-3201</v>
      </c>
      <c r="H350" s="419">
        <v>-17030</v>
      </c>
      <c r="I350" s="419">
        <v>0</v>
      </c>
      <c r="J350" s="380">
        <v>2.5400000000000001E-5</v>
      </c>
      <c r="K350" s="380"/>
      <c r="L350" s="419">
        <v>6218</v>
      </c>
      <c r="M350" s="419">
        <v>4294</v>
      </c>
      <c r="N350" s="419">
        <v>1880</v>
      </c>
      <c r="O350" s="419">
        <v>0</v>
      </c>
      <c r="P350" s="419">
        <v>0</v>
      </c>
      <c r="Q350" s="380">
        <v>2.5400000000000001E-5</v>
      </c>
      <c r="R350" s="380"/>
      <c r="S350" s="419">
        <v>-12760</v>
      </c>
      <c r="T350" s="419">
        <v>-12612</v>
      </c>
      <c r="U350" s="419">
        <v>-13250</v>
      </c>
      <c r="V350" s="419">
        <v>-17030</v>
      </c>
      <c r="W350" s="419">
        <v>0</v>
      </c>
      <c r="X350" s="380">
        <v>2.5400000000000001E-5</v>
      </c>
      <c r="Z350" s="419">
        <v>10175</v>
      </c>
      <c r="AA350" s="419">
        <v>7149</v>
      </c>
      <c r="AB350" s="419">
        <v>7149</v>
      </c>
      <c r="AC350" s="419">
        <v>0</v>
      </c>
      <c r="AD350" s="419">
        <v>0</v>
      </c>
      <c r="AE350" s="380">
        <v>2.5400000000000001E-5</v>
      </c>
      <c r="AF350" s="380"/>
      <c r="AG350" s="419">
        <v>4550</v>
      </c>
      <c r="AH350" s="419">
        <v>2747</v>
      </c>
      <c r="AI350" s="419">
        <v>1020</v>
      </c>
      <c r="AJ350" s="419">
        <v>0</v>
      </c>
      <c r="AK350" s="419">
        <v>0</v>
      </c>
      <c r="AL350" s="380">
        <v>2.5400000000000001E-5</v>
      </c>
      <c r="AM350" s="380"/>
      <c r="AN350" s="419">
        <v>-1529</v>
      </c>
      <c r="AO350" s="419">
        <v>-1531</v>
      </c>
      <c r="AP350" s="419">
        <v>0</v>
      </c>
      <c r="AQ350" s="419">
        <v>0</v>
      </c>
      <c r="AR350" s="419">
        <v>0</v>
      </c>
    </row>
    <row r="351" spans="1:44">
      <c r="A351" s="379">
        <v>93537</v>
      </c>
      <c r="B351" t="s">
        <v>1060</v>
      </c>
      <c r="C351" s="380">
        <v>9.7999999999999993E-6</v>
      </c>
      <c r="D351" s="380"/>
      <c r="E351" s="419">
        <v>-376</v>
      </c>
      <c r="F351" s="419">
        <v>-1965</v>
      </c>
      <c r="G351" s="419">
        <v>-2302</v>
      </c>
      <c r="H351" s="419">
        <v>-6571</v>
      </c>
      <c r="I351" s="419">
        <v>0</v>
      </c>
      <c r="J351" s="380">
        <v>9.7999999999999993E-6</v>
      </c>
      <c r="K351" s="380"/>
      <c r="L351" s="419">
        <v>2399</v>
      </c>
      <c r="M351" s="419">
        <v>1657</v>
      </c>
      <c r="N351" s="419">
        <v>725</v>
      </c>
      <c r="O351" s="419">
        <v>0</v>
      </c>
      <c r="P351" s="419">
        <v>0</v>
      </c>
      <c r="Q351" s="380">
        <v>9.7999999999999993E-6</v>
      </c>
      <c r="R351" s="380"/>
      <c r="S351" s="419">
        <v>-4923</v>
      </c>
      <c r="T351" s="419">
        <v>-4866</v>
      </c>
      <c r="U351" s="419">
        <v>-5112</v>
      </c>
      <c r="V351" s="419">
        <v>-6571</v>
      </c>
      <c r="W351" s="419">
        <v>0</v>
      </c>
      <c r="X351" s="380">
        <v>9.7999999999999993E-6</v>
      </c>
      <c r="Z351" s="419">
        <v>3926</v>
      </c>
      <c r="AA351" s="419">
        <v>2758</v>
      </c>
      <c r="AB351" s="419">
        <v>2758</v>
      </c>
      <c r="AC351" s="419">
        <v>0</v>
      </c>
      <c r="AD351" s="419">
        <v>0</v>
      </c>
      <c r="AE351" s="380">
        <v>9.7999999999999993E-6</v>
      </c>
      <c r="AF351" s="380"/>
      <c r="AG351" s="419">
        <v>0</v>
      </c>
      <c r="AH351" s="419">
        <v>0</v>
      </c>
      <c r="AI351" s="419">
        <v>0</v>
      </c>
      <c r="AJ351" s="419">
        <v>0</v>
      </c>
      <c r="AK351" s="419">
        <v>0</v>
      </c>
      <c r="AL351" s="380">
        <v>9.7999999999999993E-6</v>
      </c>
      <c r="AM351" s="380"/>
      <c r="AN351" s="419">
        <v>-1778</v>
      </c>
      <c r="AO351" s="419">
        <v>-1514</v>
      </c>
      <c r="AP351" s="419">
        <v>-673</v>
      </c>
      <c r="AQ351" s="419">
        <v>0</v>
      </c>
      <c r="AR351" s="419">
        <v>0</v>
      </c>
    </row>
    <row r="352" spans="1:44">
      <c r="A352" s="379">
        <v>93541</v>
      </c>
      <c r="B352" t="s">
        <v>1061</v>
      </c>
      <c r="C352" s="380">
        <v>1.8760000000000001E-4</v>
      </c>
      <c r="D352" s="380"/>
      <c r="E352" s="419">
        <v>61543</v>
      </c>
      <c r="F352" s="419">
        <v>27256</v>
      </c>
      <c r="G352" s="419">
        <v>-21941</v>
      </c>
      <c r="H352" s="419">
        <v>-125781</v>
      </c>
      <c r="I352" s="419">
        <v>0</v>
      </c>
      <c r="J352" s="380">
        <v>1.8760000000000001E-4</v>
      </c>
      <c r="K352" s="380"/>
      <c r="L352" s="419">
        <v>45926</v>
      </c>
      <c r="M352" s="419">
        <v>31718</v>
      </c>
      <c r="N352" s="419">
        <v>13885</v>
      </c>
      <c r="O352" s="419">
        <v>0</v>
      </c>
      <c r="P352" s="419">
        <v>0</v>
      </c>
      <c r="Q352" s="380">
        <v>1.8760000000000001E-4</v>
      </c>
      <c r="R352" s="380"/>
      <c r="S352" s="419">
        <v>-94244</v>
      </c>
      <c r="T352" s="419">
        <v>-93154</v>
      </c>
      <c r="U352" s="419">
        <v>-97862</v>
      </c>
      <c r="V352" s="419">
        <v>-125781</v>
      </c>
      <c r="W352" s="419">
        <v>0</v>
      </c>
      <c r="X352" s="380">
        <v>1.8760000000000001E-4</v>
      </c>
      <c r="Z352" s="419">
        <v>75153</v>
      </c>
      <c r="AA352" s="419">
        <v>52799</v>
      </c>
      <c r="AB352" s="419">
        <v>52799</v>
      </c>
      <c r="AC352" s="419">
        <v>0</v>
      </c>
      <c r="AD352" s="419">
        <v>0</v>
      </c>
      <c r="AE352" s="380">
        <v>1.8760000000000001E-4</v>
      </c>
      <c r="AF352" s="380"/>
      <c r="AG352" s="419">
        <v>35894</v>
      </c>
      <c r="AH352" s="419">
        <v>35893</v>
      </c>
      <c r="AI352" s="419">
        <v>9237</v>
      </c>
      <c r="AJ352" s="419">
        <v>0</v>
      </c>
      <c r="AK352" s="419">
        <v>0</v>
      </c>
      <c r="AL352" s="380">
        <v>1.8760000000000001E-4</v>
      </c>
      <c r="AM352" s="380"/>
      <c r="AN352" s="419">
        <v>-1186</v>
      </c>
      <c r="AO352" s="419">
        <v>0</v>
      </c>
      <c r="AP352" s="419">
        <v>0</v>
      </c>
      <c r="AQ352" s="419">
        <v>0</v>
      </c>
      <c r="AR352" s="419">
        <v>0</v>
      </c>
    </row>
    <row r="353" spans="1:44">
      <c r="A353" s="379">
        <v>93601</v>
      </c>
      <c r="B353" t="s">
        <v>1062</v>
      </c>
      <c r="C353" s="380">
        <v>1.1387599999999999E-2</v>
      </c>
      <c r="D353" s="380"/>
      <c r="E353" s="419">
        <v>1924795</v>
      </c>
      <c r="F353" s="419">
        <v>-325339</v>
      </c>
      <c r="G353" s="419">
        <v>-1664671</v>
      </c>
      <c r="H353" s="419">
        <v>-7635090</v>
      </c>
      <c r="I353" s="419">
        <v>0</v>
      </c>
      <c r="J353" s="380">
        <v>1.1387599999999999E-2</v>
      </c>
      <c r="K353" s="380"/>
      <c r="L353" s="419">
        <v>2787776</v>
      </c>
      <c r="M353" s="419">
        <v>1925324</v>
      </c>
      <c r="N353" s="419">
        <v>842819</v>
      </c>
      <c r="O353" s="419">
        <v>0</v>
      </c>
      <c r="P353" s="419">
        <v>0</v>
      </c>
      <c r="Q353" s="380">
        <v>1.1387599999999999E-2</v>
      </c>
      <c r="R353" s="380"/>
      <c r="S353" s="419">
        <v>-5720766</v>
      </c>
      <c r="T353" s="419">
        <v>-5654570</v>
      </c>
      <c r="U353" s="419">
        <v>-5940353</v>
      </c>
      <c r="V353" s="419">
        <v>-7635090</v>
      </c>
      <c r="W353" s="419">
        <v>0</v>
      </c>
      <c r="X353" s="380">
        <v>1.1387599999999999E-2</v>
      </c>
      <c r="Z353" s="419">
        <v>4561895</v>
      </c>
      <c r="AA353" s="419">
        <v>3204983</v>
      </c>
      <c r="AB353" s="419">
        <v>3204960</v>
      </c>
      <c r="AC353" s="419">
        <v>0</v>
      </c>
      <c r="AD353" s="419">
        <v>0</v>
      </c>
      <c r="AE353" s="380">
        <v>1.1387599999999999E-2</v>
      </c>
      <c r="AF353" s="380"/>
      <c r="AG353" s="419">
        <v>352853</v>
      </c>
      <c r="AH353" s="419">
        <v>255886</v>
      </c>
      <c r="AI353" s="419">
        <v>227903</v>
      </c>
      <c r="AJ353" s="419">
        <v>0</v>
      </c>
      <c r="AK353" s="419">
        <v>0</v>
      </c>
      <c r="AL353" s="380">
        <v>1.1387599999999999E-2</v>
      </c>
      <c r="AM353" s="380"/>
      <c r="AN353" s="419">
        <v>-56963</v>
      </c>
      <c r="AO353" s="419">
        <v>-56962</v>
      </c>
      <c r="AP353" s="419">
        <v>0</v>
      </c>
      <c r="AQ353" s="419">
        <v>0</v>
      </c>
      <c r="AR353" s="419">
        <v>0</v>
      </c>
    </row>
    <row r="354" spans="1:44">
      <c r="A354" s="379">
        <v>93602</v>
      </c>
      <c r="B354" t="s">
        <v>1063</v>
      </c>
      <c r="C354" s="380">
        <v>1.7000000000000001E-4</v>
      </c>
      <c r="D354" s="380"/>
      <c r="E354" s="419">
        <v>33299</v>
      </c>
      <c r="F354" s="419">
        <v>-615</v>
      </c>
      <c r="G354" s="419">
        <v>-15950</v>
      </c>
      <c r="H354" s="419">
        <v>-113981</v>
      </c>
      <c r="I354" s="419">
        <v>0</v>
      </c>
      <c r="J354" s="380">
        <v>1.7000000000000001E-4</v>
      </c>
      <c r="K354" s="380"/>
      <c r="L354" s="419">
        <v>41617</v>
      </c>
      <c r="M354" s="419">
        <v>28742</v>
      </c>
      <c r="N354" s="419">
        <v>12582</v>
      </c>
      <c r="O354" s="419">
        <v>0</v>
      </c>
      <c r="P354" s="419">
        <v>0</v>
      </c>
      <c r="Q354" s="380">
        <v>1.7000000000000001E-4</v>
      </c>
      <c r="R354" s="380"/>
      <c r="S354" s="419">
        <v>-85403</v>
      </c>
      <c r="T354" s="419">
        <v>-84414</v>
      </c>
      <c r="U354" s="419">
        <v>-88681</v>
      </c>
      <c r="V354" s="419">
        <v>-113981</v>
      </c>
      <c r="W354" s="419">
        <v>0</v>
      </c>
      <c r="X354" s="380">
        <v>1.7000000000000001E-4</v>
      </c>
      <c r="Z354" s="419">
        <v>68102</v>
      </c>
      <c r="AA354" s="419">
        <v>47846</v>
      </c>
      <c r="AB354" s="419">
        <v>47845</v>
      </c>
      <c r="AC354" s="419">
        <v>0</v>
      </c>
      <c r="AD354" s="419">
        <v>0</v>
      </c>
      <c r="AE354" s="380">
        <v>1.7000000000000001E-4</v>
      </c>
      <c r="AF354" s="380"/>
      <c r="AG354" s="419">
        <v>17358</v>
      </c>
      <c r="AH354" s="419">
        <v>15585</v>
      </c>
      <c r="AI354" s="419">
        <v>12304</v>
      </c>
      <c r="AJ354" s="419">
        <v>0</v>
      </c>
      <c r="AK354" s="419">
        <v>0</v>
      </c>
      <c r="AL354" s="380">
        <v>1.7000000000000001E-4</v>
      </c>
      <c r="AM354" s="380"/>
      <c r="AN354" s="419">
        <v>-8375</v>
      </c>
      <c r="AO354" s="419">
        <v>-8374</v>
      </c>
      <c r="AP354" s="419">
        <v>0</v>
      </c>
      <c r="AQ354" s="419">
        <v>0</v>
      </c>
      <c r="AR354" s="419">
        <v>0</v>
      </c>
    </row>
    <row r="355" spans="1:44">
      <c r="A355" s="379">
        <v>93604</v>
      </c>
      <c r="B355" t="s">
        <v>1932</v>
      </c>
      <c r="C355" s="380">
        <v>1.3900000000000001E-5</v>
      </c>
      <c r="D355" s="380"/>
      <c r="E355" s="419">
        <v>5907</v>
      </c>
      <c r="F355" s="419">
        <v>-1621</v>
      </c>
      <c r="G355" s="419">
        <v>-560</v>
      </c>
      <c r="H355" s="419">
        <v>-9320</v>
      </c>
      <c r="I355" s="419">
        <v>0</v>
      </c>
      <c r="J355" s="380">
        <v>1.3900000000000001E-5</v>
      </c>
      <c r="K355" s="380"/>
      <c r="L355" s="419">
        <v>3403</v>
      </c>
      <c r="M355" s="419">
        <v>2350</v>
      </c>
      <c r="N355" s="419">
        <v>1029</v>
      </c>
      <c r="O355" s="419">
        <v>0</v>
      </c>
      <c r="P355" s="419">
        <v>0</v>
      </c>
      <c r="Q355" s="380">
        <v>1.3900000000000001E-5</v>
      </c>
      <c r="R355" s="380"/>
      <c r="S355" s="419">
        <v>-6983</v>
      </c>
      <c r="T355" s="419">
        <v>-6902</v>
      </c>
      <c r="U355" s="419">
        <v>-7251</v>
      </c>
      <c r="V355" s="419">
        <v>-9320</v>
      </c>
      <c r="W355" s="419">
        <v>0</v>
      </c>
      <c r="X355" s="380">
        <v>1.3900000000000001E-5</v>
      </c>
      <c r="Z355" s="419">
        <v>5568</v>
      </c>
      <c r="AA355" s="419">
        <v>3912</v>
      </c>
      <c r="AB355" s="419">
        <v>3912</v>
      </c>
      <c r="AC355" s="419">
        <v>0</v>
      </c>
      <c r="AD355" s="419">
        <v>0</v>
      </c>
      <c r="AE355" s="380">
        <v>1.3900000000000001E-5</v>
      </c>
      <c r="AF355" s="380"/>
      <c r="AG355" s="419">
        <v>8469</v>
      </c>
      <c r="AH355" s="419">
        <v>3568</v>
      </c>
      <c r="AI355" s="419">
        <v>1750</v>
      </c>
      <c r="AJ355" s="419">
        <v>0</v>
      </c>
      <c r="AK355" s="419">
        <v>0</v>
      </c>
      <c r="AL355" s="380">
        <v>1.3900000000000001E-5</v>
      </c>
      <c r="AM355" s="380"/>
      <c r="AN355" s="419">
        <v>-4550</v>
      </c>
      <c r="AO355" s="419">
        <v>-4549</v>
      </c>
      <c r="AP355" s="419">
        <v>0</v>
      </c>
      <c r="AQ355" s="419">
        <v>0</v>
      </c>
      <c r="AR355" s="419">
        <v>0</v>
      </c>
    </row>
    <row r="356" spans="1:44">
      <c r="A356" s="379">
        <v>93609</v>
      </c>
      <c r="B356" t="s">
        <v>1064</v>
      </c>
      <c r="C356" s="380">
        <v>3.9456999999999999E-3</v>
      </c>
      <c r="D356" s="380"/>
      <c r="E356" s="419">
        <v>639199</v>
      </c>
      <c r="F356" s="419">
        <v>-116157</v>
      </c>
      <c r="G356" s="419">
        <v>-506894</v>
      </c>
      <c r="H356" s="419">
        <v>-2645489</v>
      </c>
      <c r="I356" s="419">
        <v>0</v>
      </c>
      <c r="J356" s="380">
        <v>3.9456999999999999E-3</v>
      </c>
      <c r="K356" s="380"/>
      <c r="L356" s="419">
        <v>965939</v>
      </c>
      <c r="M356" s="419">
        <v>667107</v>
      </c>
      <c r="N356" s="419">
        <v>292029</v>
      </c>
      <c r="O356" s="419">
        <v>0</v>
      </c>
      <c r="P356" s="419">
        <v>0</v>
      </c>
      <c r="Q356" s="380">
        <v>3.9456999999999999E-3</v>
      </c>
      <c r="R356" s="380"/>
      <c r="S356" s="419">
        <v>-1982193</v>
      </c>
      <c r="T356" s="419">
        <v>-1959257</v>
      </c>
      <c r="U356" s="419">
        <v>-2058278</v>
      </c>
      <c r="V356" s="419">
        <v>-2645489</v>
      </c>
      <c r="W356" s="419">
        <v>0</v>
      </c>
      <c r="X356" s="380">
        <v>3.9456999999999999E-3</v>
      </c>
      <c r="Z356" s="419">
        <v>1580655</v>
      </c>
      <c r="AA356" s="419">
        <v>1110498</v>
      </c>
      <c r="AB356" s="419">
        <v>1110490</v>
      </c>
      <c r="AC356" s="419">
        <v>0</v>
      </c>
      <c r="AD356" s="419">
        <v>0</v>
      </c>
      <c r="AE356" s="380">
        <v>3.9456999999999999E-3</v>
      </c>
      <c r="AF356" s="380"/>
      <c r="AG356" s="419">
        <v>158170</v>
      </c>
      <c r="AH356" s="419">
        <v>148867</v>
      </c>
      <c r="AI356" s="419">
        <v>148865</v>
      </c>
      <c r="AJ356" s="419">
        <v>0</v>
      </c>
      <c r="AK356" s="419">
        <v>0</v>
      </c>
      <c r="AL356" s="380">
        <v>3.9456999999999999E-3</v>
      </c>
      <c r="AM356" s="380"/>
      <c r="AN356" s="419">
        <v>-83372</v>
      </c>
      <c r="AO356" s="419">
        <v>-83372</v>
      </c>
      <c r="AP356" s="419">
        <v>0</v>
      </c>
      <c r="AQ356" s="419">
        <v>0</v>
      </c>
      <c r="AR356" s="419">
        <v>0</v>
      </c>
    </row>
    <row r="357" spans="1:44">
      <c r="A357" s="379">
        <v>93610</v>
      </c>
      <c r="B357" t="s">
        <v>1065</v>
      </c>
      <c r="C357" s="380">
        <v>1.6099999999999998E-5</v>
      </c>
      <c r="D357" s="380"/>
      <c r="E357" s="419">
        <v>1606</v>
      </c>
      <c r="F357" s="419">
        <v>-1607</v>
      </c>
      <c r="G357" s="419">
        <v>-3047</v>
      </c>
      <c r="H357" s="419">
        <v>-10795</v>
      </c>
      <c r="I357" s="419">
        <v>0</v>
      </c>
      <c r="J357" s="380">
        <v>1.6099999999999998E-5</v>
      </c>
      <c r="K357" s="380"/>
      <c r="L357" s="419">
        <v>3941</v>
      </c>
      <c r="M357" s="419">
        <v>2722</v>
      </c>
      <c r="N357" s="419">
        <v>1192</v>
      </c>
      <c r="O357" s="419">
        <v>0</v>
      </c>
      <c r="P357" s="419">
        <v>0</v>
      </c>
      <c r="Q357" s="380">
        <v>1.6099999999999998E-5</v>
      </c>
      <c r="R357" s="380"/>
      <c r="S357" s="419">
        <v>-8088</v>
      </c>
      <c r="T357" s="419">
        <v>-7995</v>
      </c>
      <c r="U357" s="419">
        <v>-8399</v>
      </c>
      <c r="V357" s="419">
        <v>-10795</v>
      </c>
      <c r="W357" s="419">
        <v>0</v>
      </c>
      <c r="X357" s="380">
        <v>1.6099999999999998E-5</v>
      </c>
      <c r="Z357" s="419">
        <v>6450</v>
      </c>
      <c r="AA357" s="419">
        <v>4531</v>
      </c>
      <c r="AB357" s="419">
        <v>4531</v>
      </c>
      <c r="AC357" s="419">
        <v>0</v>
      </c>
      <c r="AD357" s="419">
        <v>0</v>
      </c>
      <c r="AE357" s="380">
        <v>1.6099999999999998E-5</v>
      </c>
      <c r="AF357" s="380"/>
      <c r="AG357" s="419">
        <v>168</v>
      </c>
      <c r="AH357" s="419">
        <v>0</v>
      </c>
      <c r="AI357" s="419">
        <v>0</v>
      </c>
      <c r="AJ357" s="419">
        <v>0</v>
      </c>
      <c r="AK357" s="419">
        <v>0</v>
      </c>
      <c r="AL357" s="380">
        <v>1.6099999999999998E-5</v>
      </c>
      <c r="AM357" s="380"/>
      <c r="AN357" s="419">
        <v>-865</v>
      </c>
      <c r="AO357" s="419">
        <v>-865</v>
      </c>
      <c r="AP357" s="419">
        <v>-371</v>
      </c>
      <c r="AQ357" s="419">
        <v>0</v>
      </c>
      <c r="AR357" s="419">
        <v>0</v>
      </c>
    </row>
    <row r="358" spans="1:44">
      <c r="A358" s="379">
        <v>93611</v>
      </c>
      <c r="B358" t="s">
        <v>1066</v>
      </c>
      <c r="C358" s="380">
        <v>6.4822999999999999E-3</v>
      </c>
      <c r="D358" s="380"/>
      <c r="E358" s="419">
        <v>729464</v>
      </c>
      <c r="F358" s="419">
        <v>-487628</v>
      </c>
      <c r="G358" s="419">
        <v>-1221375</v>
      </c>
      <c r="H358" s="419">
        <v>-4346214</v>
      </c>
      <c r="I358" s="419">
        <v>0</v>
      </c>
      <c r="J358" s="380">
        <v>6.4822999999999999E-3</v>
      </c>
      <c r="K358" s="380"/>
      <c r="L358" s="419">
        <v>1586919</v>
      </c>
      <c r="M358" s="419">
        <v>1095975</v>
      </c>
      <c r="N358" s="419">
        <v>479768</v>
      </c>
      <c r="O358" s="419">
        <v>0</v>
      </c>
      <c r="P358" s="419">
        <v>0</v>
      </c>
      <c r="Q358" s="380">
        <v>6.4822999999999999E-3</v>
      </c>
      <c r="R358" s="380"/>
      <c r="S358" s="419">
        <v>-3256500</v>
      </c>
      <c r="T358" s="419">
        <v>-3218818</v>
      </c>
      <c r="U358" s="419">
        <v>-3381498</v>
      </c>
      <c r="V358" s="419">
        <v>-4346214</v>
      </c>
      <c r="W358" s="419">
        <v>0</v>
      </c>
      <c r="X358" s="380">
        <v>6.4822999999999999E-3</v>
      </c>
      <c r="Z358" s="419">
        <v>2596822</v>
      </c>
      <c r="AA358" s="419">
        <v>1824411</v>
      </c>
      <c r="AB358" s="419">
        <v>1824398</v>
      </c>
      <c r="AC358" s="419">
        <v>0</v>
      </c>
      <c r="AD358" s="419">
        <v>0</v>
      </c>
      <c r="AE358" s="380">
        <v>6.4822999999999999E-3</v>
      </c>
      <c r="AF358" s="380"/>
      <c r="AG358" s="419">
        <v>0</v>
      </c>
      <c r="AH358" s="419">
        <v>0</v>
      </c>
      <c r="AI358" s="419">
        <v>0</v>
      </c>
      <c r="AJ358" s="419">
        <v>0</v>
      </c>
      <c r="AK358" s="419">
        <v>0</v>
      </c>
      <c r="AL358" s="380">
        <v>6.4822999999999999E-3</v>
      </c>
      <c r="AM358" s="380"/>
      <c r="AN358" s="419">
        <v>-197777</v>
      </c>
      <c r="AO358" s="419">
        <v>-189196</v>
      </c>
      <c r="AP358" s="419">
        <v>-144043</v>
      </c>
      <c r="AQ358" s="419">
        <v>0</v>
      </c>
      <c r="AR358" s="419">
        <v>0</v>
      </c>
    </row>
    <row r="359" spans="1:44">
      <c r="A359" s="379">
        <v>93617</v>
      </c>
      <c r="B359" t="s">
        <v>1067</v>
      </c>
      <c r="C359" s="380">
        <v>9.7700000000000003E-5</v>
      </c>
      <c r="D359" s="380"/>
      <c r="E359" s="419">
        <v>39257</v>
      </c>
      <c r="F359" s="419">
        <v>17722</v>
      </c>
      <c r="G359" s="419">
        <v>215</v>
      </c>
      <c r="H359" s="419">
        <v>-65505</v>
      </c>
      <c r="I359" s="419">
        <v>0</v>
      </c>
      <c r="J359" s="380">
        <v>9.7700000000000003E-5</v>
      </c>
      <c r="K359" s="380"/>
      <c r="L359" s="419">
        <v>23918</v>
      </c>
      <c r="M359" s="419">
        <v>16518</v>
      </c>
      <c r="N359" s="419">
        <v>7231</v>
      </c>
      <c r="O359" s="419">
        <v>0</v>
      </c>
      <c r="P359" s="419">
        <v>0</v>
      </c>
      <c r="Q359" s="380">
        <v>9.7700000000000003E-5</v>
      </c>
      <c r="R359" s="380"/>
      <c r="S359" s="419">
        <v>-49081</v>
      </c>
      <c r="T359" s="419">
        <v>-48513</v>
      </c>
      <c r="U359" s="419">
        <v>-50965</v>
      </c>
      <c r="V359" s="419">
        <v>-65505</v>
      </c>
      <c r="W359" s="419">
        <v>0</v>
      </c>
      <c r="X359" s="380">
        <v>9.7700000000000003E-5</v>
      </c>
      <c r="Z359" s="419">
        <v>39139</v>
      </c>
      <c r="AA359" s="419">
        <v>27497</v>
      </c>
      <c r="AB359" s="419">
        <v>27497</v>
      </c>
      <c r="AC359" s="419">
        <v>0</v>
      </c>
      <c r="AD359" s="419">
        <v>0</v>
      </c>
      <c r="AE359" s="380">
        <v>9.7700000000000003E-5</v>
      </c>
      <c r="AF359" s="380"/>
      <c r="AG359" s="419">
        <v>25281</v>
      </c>
      <c r="AH359" s="419">
        <v>22220</v>
      </c>
      <c r="AI359" s="419">
        <v>16452</v>
      </c>
      <c r="AJ359" s="419">
        <v>0</v>
      </c>
      <c r="AK359" s="419">
        <v>0</v>
      </c>
      <c r="AL359" s="380">
        <v>9.7700000000000003E-5</v>
      </c>
      <c r="AM359" s="380"/>
      <c r="AN359" s="419">
        <v>0</v>
      </c>
      <c r="AO359" s="419">
        <v>0</v>
      </c>
      <c r="AP359" s="419">
        <v>0</v>
      </c>
      <c r="AQ359" s="419">
        <v>0</v>
      </c>
      <c r="AR359" s="419">
        <v>0</v>
      </c>
    </row>
    <row r="360" spans="1:44">
      <c r="A360" s="379">
        <v>93618</v>
      </c>
      <c r="B360" t="s">
        <v>1068</v>
      </c>
      <c r="C360" s="380">
        <v>7.7999999999999999E-6</v>
      </c>
      <c r="D360" s="380"/>
      <c r="E360" s="419">
        <v>16708</v>
      </c>
      <c r="F360" s="419">
        <v>11373</v>
      </c>
      <c r="G360" s="419">
        <v>4776</v>
      </c>
      <c r="H360" s="419">
        <v>-5230</v>
      </c>
      <c r="I360" s="419">
        <v>0</v>
      </c>
      <c r="J360" s="380">
        <v>7.7999999999999999E-6</v>
      </c>
      <c r="K360" s="380"/>
      <c r="L360" s="419">
        <v>1910</v>
      </c>
      <c r="M360" s="419">
        <v>1319</v>
      </c>
      <c r="N360" s="419">
        <v>577</v>
      </c>
      <c r="O360" s="419">
        <v>0</v>
      </c>
      <c r="P360" s="419">
        <v>0</v>
      </c>
      <c r="Q360" s="380">
        <v>7.7999999999999999E-6</v>
      </c>
      <c r="R360" s="380"/>
      <c r="S360" s="419">
        <v>-3918</v>
      </c>
      <c r="T360" s="419">
        <v>-3873</v>
      </c>
      <c r="U360" s="419">
        <v>-4069</v>
      </c>
      <c r="V360" s="419">
        <v>-5230</v>
      </c>
      <c r="W360" s="419">
        <v>0</v>
      </c>
      <c r="X360" s="380">
        <v>7.7999999999999999E-6</v>
      </c>
      <c r="Z360" s="419">
        <v>3125</v>
      </c>
      <c r="AA360" s="419">
        <v>2195</v>
      </c>
      <c r="AB360" s="419">
        <v>2195</v>
      </c>
      <c r="AC360" s="419">
        <v>0</v>
      </c>
      <c r="AD360" s="419">
        <v>0</v>
      </c>
      <c r="AE360" s="380">
        <v>7.7999999999999999E-6</v>
      </c>
      <c r="AF360" s="380"/>
      <c r="AG360" s="419">
        <v>15591</v>
      </c>
      <c r="AH360" s="419">
        <v>11732</v>
      </c>
      <c r="AI360" s="419">
        <v>6073</v>
      </c>
      <c r="AJ360" s="419">
        <v>0</v>
      </c>
      <c r="AK360" s="419">
        <v>0</v>
      </c>
      <c r="AL360" s="380">
        <v>7.7999999999999999E-6</v>
      </c>
      <c r="AM360" s="380"/>
      <c r="AN360" s="419">
        <v>0</v>
      </c>
      <c r="AO360" s="419">
        <v>0</v>
      </c>
      <c r="AP360" s="419">
        <v>0</v>
      </c>
      <c r="AQ360" s="419">
        <v>0</v>
      </c>
      <c r="AR360" s="419">
        <v>0</v>
      </c>
    </row>
    <row r="361" spans="1:44">
      <c r="A361" s="379">
        <v>93621</v>
      </c>
      <c r="B361" t="s">
        <v>1069</v>
      </c>
      <c r="C361" s="380">
        <v>1.1558E-3</v>
      </c>
      <c r="D361" s="380"/>
      <c r="E361" s="419">
        <v>188025</v>
      </c>
      <c r="F361" s="419">
        <v>-34230</v>
      </c>
      <c r="G361" s="419">
        <v>-197081</v>
      </c>
      <c r="H361" s="419">
        <v>-774934</v>
      </c>
      <c r="I361" s="419">
        <v>0</v>
      </c>
      <c r="J361" s="380">
        <v>1.1558E-3</v>
      </c>
      <c r="K361" s="380"/>
      <c r="L361" s="419">
        <v>282949</v>
      </c>
      <c r="M361" s="419">
        <v>195413</v>
      </c>
      <c r="N361" s="419">
        <v>85543</v>
      </c>
      <c r="O361" s="419">
        <v>0</v>
      </c>
      <c r="P361" s="419">
        <v>0</v>
      </c>
      <c r="Q361" s="380">
        <v>1.1558E-3</v>
      </c>
      <c r="R361" s="380"/>
      <c r="S361" s="419">
        <v>-580637</v>
      </c>
      <c r="T361" s="419">
        <v>-573918</v>
      </c>
      <c r="U361" s="419">
        <v>-602924</v>
      </c>
      <c r="V361" s="419">
        <v>-774934</v>
      </c>
      <c r="W361" s="419">
        <v>0</v>
      </c>
      <c r="X361" s="380">
        <v>1.1558E-3</v>
      </c>
      <c r="Z361" s="419">
        <v>463016</v>
      </c>
      <c r="AA361" s="419">
        <v>325294</v>
      </c>
      <c r="AB361" s="419">
        <v>325292</v>
      </c>
      <c r="AC361" s="419">
        <v>0</v>
      </c>
      <c r="AD361" s="419">
        <v>0</v>
      </c>
      <c r="AE361" s="380">
        <v>1.1558E-3</v>
      </c>
      <c r="AF361" s="380"/>
      <c r="AG361" s="419">
        <v>29362</v>
      </c>
      <c r="AH361" s="419">
        <v>25648</v>
      </c>
      <c r="AI361" s="419">
        <v>0</v>
      </c>
      <c r="AJ361" s="419">
        <v>0</v>
      </c>
      <c r="AK361" s="419">
        <v>0</v>
      </c>
      <c r="AL361" s="380">
        <v>1.1558E-3</v>
      </c>
      <c r="AM361" s="380"/>
      <c r="AN361" s="419">
        <v>-6665</v>
      </c>
      <c r="AO361" s="419">
        <v>-6667</v>
      </c>
      <c r="AP361" s="419">
        <v>-4992</v>
      </c>
      <c r="AQ361" s="419">
        <v>0</v>
      </c>
      <c r="AR361" s="419">
        <v>0</v>
      </c>
    </row>
    <row r="362" spans="1:44">
      <c r="A362" s="379">
        <v>93623</v>
      </c>
      <c r="B362" t="s">
        <v>1070</v>
      </c>
      <c r="C362" s="380">
        <v>1.04E-5</v>
      </c>
      <c r="D362" s="380"/>
      <c r="E362" s="419">
        <v>2202</v>
      </c>
      <c r="F362" s="419">
        <v>-121</v>
      </c>
      <c r="G362" s="419">
        <v>-1949</v>
      </c>
      <c r="H362" s="419">
        <v>-6973</v>
      </c>
      <c r="I362" s="419">
        <v>0</v>
      </c>
      <c r="J362" s="380">
        <v>1.04E-5</v>
      </c>
      <c r="K362" s="380"/>
      <c r="L362" s="419">
        <v>2546</v>
      </c>
      <c r="M362" s="419">
        <v>1758</v>
      </c>
      <c r="N362" s="419">
        <v>770</v>
      </c>
      <c r="O362" s="419">
        <v>0</v>
      </c>
      <c r="P362" s="419">
        <v>0</v>
      </c>
      <c r="Q362" s="380">
        <v>1.04E-5</v>
      </c>
      <c r="R362" s="380"/>
      <c r="S362" s="419">
        <v>-5225</v>
      </c>
      <c r="T362" s="419">
        <v>-5164</v>
      </c>
      <c r="U362" s="419">
        <v>-5425</v>
      </c>
      <c r="V362" s="419">
        <v>-6973</v>
      </c>
      <c r="W362" s="419">
        <v>0</v>
      </c>
      <c r="X362" s="380">
        <v>1.04E-5</v>
      </c>
      <c r="Z362" s="419">
        <v>4166</v>
      </c>
      <c r="AA362" s="419">
        <v>2927</v>
      </c>
      <c r="AB362" s="419">
        <v>2927</v>
      </c>
      <c r="AC362" s="419">
        <v>0</v>
      </c>
      <c r="AD362" s="419">
        <v>0</v>
      </c>
      <c r="AE362" s="380">
        <v>1.04E-5</v>
      </c>
      <c r="AF362" s="380"/>
      <c r="AG362" s="419">
        <v>938</v>
      </c>
      <c r="AH362" s="419">
        <v>581</v>
      </c>
      <c r="AI362" s="419">
        <v>0</v>
      </c>
      <c r="AJ362" s="419">
        <v>0</v>
      </c>
      <c r="AK362" s="419">
        <v>0</v>
      </c>
      <c r="AL362" s="380">
        <v>1.04E-5</v>
      </c>
      <c r="AM362" s="380"/>
      <c r="AN362" s="419">
        <v>-223</v>
      </c>
      <c r="AO362" s="419">
        <v>-223</v>
      </c>
      <c r="AP362" s="419">
        <v>-221</v>
      </c>
      <c r="AQ362" s="419">
        <v>0</v>
      </c>
      <c r="AR362" s="419">
        <v>0</v>
      </c>
    </row>
    <row r="363" spans="1:44">
      <c r="A363" s="379">
        <v>93631</v>
      </c>
      <c r="B363" t="s">
        <v>1071</v>
      </c>
      <c r="C363" s="380">
        <v>2.4949999999999999E-4</v>
      </c>
      <c r="D363" s="380"/>
      <c r="E363" s="419">
        <v>24764</v>
      </c>
      <c r="F363" s="419">
        <v>-21363</v>
      </c>
      <c r="G363" s="419">
        <v>-65067</v>
      </c>
      <c r="H363" s="419">
        <v>-167283</v>
      </c>
      <c r="I363" s="419">
        <v>0</v>
      </c>
      <c r="J363" s="380">
        <v>2.4949999999999999E-4</v>
      </c>
      <c r="K363" s="380"/>
      <c r="L363" s="419">
        <v>61080</v>
      </c>
      <c r="M363" s="419">
        <v>42183</v>
      </c>
      <c r="N363" s="419">
        <v>18466</v>
      </c>
      <c r="O363" s="419">
        <v>0</v>
      </c>
      <c r="P363" s="419">
        <v>0</v>
      </c>
      <c r="Q363" s="380">
        <v>2.4949999999999999E-4</v>
      </c>
      <c r="R363" s="380"/>
      <c r="S363" s="419">
        <v>-125341</v>
      </c>
      <c r="T363" s="419">
        <v>-123890</v>
      </c>
      <c r="U363" s="419">
        <v>-130152</v>
      </c>
      <c r="V363" s="419">
        <v>-167283</v>
      </c>
      <c r="W363" s="419">
        <v>0</v>
      </c>
      <c r="X363" s="380">
        <v>2.4949999999999999E-4</v>
      </c>
      <c r="Z363" s="419">
        <v>99950</v>
      </c>
      <c r="AA363" s="419">
        <v>70221</v>
      </c>
      <c r="AB363" s="419">
        <v>70220</v>
      </c>
      <c r="AC363" s="419">
        <v>0</v>
      </c>
      <c r="AD363" s="419">
        <v>0</v>
      </c>
      <c r="AE363" s="380">
        <v>2.4949999999999999E-4</v>
      </c>
      <c r="AF363" s="380"/>
      <c r="AG363" s="419">
        <v>13727</v>
      </c>
      <c r="AH363" s="419">
        <v>13725</v>
      </c>
      <c r="AI363" s="419">
        <v>0</v>
      </c>
      <c r="AJ363" s="419">
        <v>0</v>
      </c>
      <c r="AK363" s="419">
        <v>0</v>
      </c>
      <c r="AL363" s="380">
        <v>2.4949999999999999E-4</v>
      </c>
      <c r="AM363" s="380"/>
      <c r="AN363" s="419">
        <v>-24652</v>
      </c>
      <c r="AO363" s="419">
        <v>-23602</v>
      </c>
      <c r="AP363" s="419">
        <v>-23601</v>
      </c>
      <c r="AQ363" s="419">
        <v>0</v>
      </c>
      <c r="AR363" s="419">
        <v>0</v>
      </c>
    </row>
    <row r="364" spans="1:44">
      <c r="A364" s="379">
        <v>93641</v>
      </c>
      <c r="B364" t="s">
        <v>1072</v>
      </c>
      <c r="C364" s="380">
        <v>3.881E-4</v>
      </c>
      <c r="D364" s="380"/>
      <c r="E364" s="419">
        <v>88200</v>
      </c>
      <c r="F364" s="419">
        <v>15366</v>
      </c>
      <c r="G364" s="419">
        <v>-46285</v>
      </c>
      <c r="H364" s="419">
        <v>-260211</v>
      </c>
      <c r="I364" s="419">
        <v>0</v>
      </c>
      <c r="J364" s="380">
        <v>3.881E-4</v>
      </c>
      <c r="K364" s="380"/>
      <c r="L364" s="419">
        <v>95010</v>
      </c>
      <c r="M364" s="419">
        <v>65617</v>
      </c>
      <c r="N364" s="419">
        <v>28724</v>
      </c>
      <c r="O364" s="419">
        <v>0</v>
      </c>
      <c r="P364" s="419">
        <v>0</v>
      </c>
      <c r="Q364" s="380">
        <v>3.881E-4</v>
      </c>
      <c r="R364" s="380"/>
      <c r="S364" s="419">
        <v>-194969</v>
      </c>
      <c r="T364" s="419">
        <v>-192713</v>
      </c>
      <c r="U364" s="419">
        <v>-202453</v>
      </c>
      <c r="V364" s="419">
        <v>-260211</v>
      </c>
      <c r="W364" s="419">
        <v>0</v>
      </c>
      <c r="X364" s="380">
        <v>3.881E-4</v>
      </c>
      <c r="Z364" s="419">
        <v>155474</v>
      </c>
      <c r="AA364" s="419">
        <v>109229</v>
      </c>
      <c r="AB364" s="419">
        <v>109228</v>
      </c>
      <c r="AC364" s="419">
        <v>0</v>
      </c>
      <c r="AD364" s="419">
        <v>0</v>
      </c>
      <c r="AE364" s="380">
        <v>3.881E-4</v>
      </c>
      <c r="AF364" s="380"/>
      <c r="AG364" s="419">
        <v>33230</v>
      </c>
      <c r="AH364" s="419">
        <v>33233</v>
      </c>
      <c r="AI364" s="419">
        <v>18216</v>
      </c>
      <c r="AJ364" s="419">
        <v>0</v>
      </c>
      <c r="AK364" s="419">
        <v>0</v>
      </c>
      <c r="AL364" s="380">
        <v>3.881E-4</v>
      </c>
      <c r="AM364" s="380"/>
      <c r="AN364" s="419">
        <v>-545</v>
      </c>
      <c r="AO364" s="419">
        <v>0</v>
      </c>
      <c r="AP364" s="419">
        <v>0</v>
      </c>
      <c r="AQ364" s="419">
        <v>0</v>
      </c>
      <c r="AR364" s="419">
        <v>0</v>
      </c>
    </row>
    <row r="365" spans="1:44">
      <c r="A365" s="379">
        <v>93647</v>
      </c>
      <c r="B365" t="s">
        <v>1073</v>
      </c>
      <c r="C365" s="380">
        <v>4.6999999999999999E-6</v>
      </c>
      <c r="D365" s="380"/>
      <c r="E365" s="419">
        <v>5913</v>
      </c>
      <c r="F365" s="419">
        <v>3636</v>
      </c>
      <c r="G365" s="419">
        <v>1567</v>
      </c>
      <c r="H365" s="419">
        <v>-3151</v>
      </c>
      <c r="I365" s="419">
        <v>0</v>
      </c>
      <c r="J365" s="380">
        <v>4.6999999999999999E-6</v>
      </c>
      <c r="K365" s="380"/>
      <c r="L365" s="419">
        <v>1151</v>
      </c>
      <c r="M365" s="419">
        <v>795</v>
      </c>
      <c r="N365" s="419">
        <v>348</v>
      </c>
      <c r="O365" s="419">
        <v>0</v>
      </c>
      <c r="P365" s="419">
        <v>0</v>
      </c>
      <c r="Q365" s="380">
        <v>4.6999999999999999E-6</v>
      </c>
      <c r="R365" s="380"/>
      <c r="S365" s="419">
        <v>-2361</v>
      </c>
      <c r="T365" s="419">
        <v>-2334</v>
      </c>
      <c r="U365" s="419">
        <v>-2452</v>
      </c>
      <c r="V365" s="419">
        <v>-3151</v>
      </c>
      <c r="W365" s="419">
        <v>0</v>
      </c>
      <c r="X365" s="380">
        <v>4.6999999999999999E-6</v>
      </c>
      <c r="Z365" s="419">
        <v>1883</v>
      </c>
      <c r="AA365" s="419">
        <v>1323</v>
      </c>
      <c r="AB365" s="419">
        <v>1323</v>
      </c>
      <c r="AC365" s="419">
        <v>0</v>
      </c>
      <c r="AD365" s="419">
        <v>0</v>
      </c>
      <c r="AE365" s="380">
        <v>4.6999999999999999E-6</v>
      </c>
      <c r="AF365" s="380"/>
      <c r="AG365" s="419">
        <v>5240</v>
      </c>
      <c r="AH365" s="419">
        <v>3852</v>
      </c>
      <c r="AI365" s="419">
        <v>2348</v>
      </c>
      <c r="AJ365" s="419">
        <v>0</v>
      </c>
      <c r="AK365" s="419">
        <v>0</v>
      </c>
      <c r="AL365" s="380">
        <v>4.6999999999999999E-6</v>
      </c>
      <c r="AM365" s="380"/>
      <c r="AN365" s="419">
        <v>0</v>
      </c>
      <c r="AO365" s="419">
        <v>0</v>
      </c>
      <c r="AP365" s="419">
        <v>0</v>
      </c>
      <c r="AQ365" s="419">
        <v>0</v>
      </c>
      <c r="AR365" s="419">
        <v>0</v>
      </c>
    </row>
    <row r="366" spans="1:44">
      <c r="A366" s="379">
        <v>93651</v>
      </c>
      <c r="B366" t="s">
        <v>1074</v>
      </c>
      <c r="C366" s="380">
        <v>4.462E-4</v>
      </c>
      <c r="D366" s="380"/>
      <c r="E366" s="419">
        <v>49195</v>
      </c>
      <c r="F366" s="419">
        <v>-34126</v>
      </c>
      <c r="G366" s="419">
        <v>-82991</v>
      </c>
      <c r="H366" s="419">
        <v>-299165</v>
      </c>
      <c r="I366" s="419">
        <v>0</v>
      </c>
      <c r="J366" s="380">
        <v>4.462E-4</v>
      </c>
      <c r="K366" s="380"/>
      <c r="L366" s="419">
        <v>109233</v>
      </c>
      <c r="M366" s="419">
        <v>75440</v>
      </c>
      <c r="N366" s="419">
        <v>33024</v>
      </c>
      <c r="O366" s="419">
        <v>0</v>
      </c>
      <c r="P366" s="419">
        <v>0</v>
      </c>
      <c r="Q366" s="380">
        <v>4.462E-4</v>
      </c>
      <c r="R366" s="380"/>
      <c r="S366" s="419">
        <v>-224157</v>
      </c>
      <c r="T366" s="419">
        <v>-221563</v>
      </c>
      <c r="U366" s="419">
        <v>-232761</v>
      </c>
      <c r="V366" s="419">
        <v>-299165</v>
      </c>
      <c r="W366" s="419">
        <v>0</v>
      </c>
      <c r="X366" s="380">
        <v>4.462E-4</v>
      </c>
      <c r="Z366" s="419">
        <v>178749</v>
      </c>
      <c r="AA366" s="419">
        <v>125581</v>
      </c>
      <c r="AB366" s="419">
        <v>125580</v>
      </c>
      <c r="AC366" s="419">
        <v>0</v>
      </c>
      <c r="AD366" s="419">
        <v>0</v>
      </c>
      <c r="AE366" s="380">
        <v>4.462E-4</v>
      </c>
      <c r="AF366" s="380"/>
      <c r="AG366" s="419">
        <v>861</v>
      </c>
      <c r="AH366" s="419">
        <v>862</v>
      </c>
      <c r="AI366" s="419">
        <v>0</v>
      </c>
      <c r="AJ366" s="419">
        <v>0</v>
      </c>
      <c r="AK366" s="419">
        <v>0</v>
      </c>
      <c r="AL366" s="380">
        <v>4.462E-4</v>
      </c>
      <c r="AM366" s="380"/>
      <c r="AN366" s="419">
        <v>-15491</v>
      </c>
      <c r="AO366" s="419">
        <v>-14446</v>
      </c>
      <c r="AP366" s="419">
        <v>-8834</v>
      </c>
      <c r="AQ366" s="419">
        <v>0</v>
      </c>
      <c r="AR366" s="419">
        <v>0</v>
      </c>
    </row>
    <row r="367" spans="1:44">
      <c r="A367" s="379">
        <v>93661</v>
      </c>
      <c r="B367" t="s">
        <v>1075</v>
      </c>
      <c r="C367" s="380">
        <v>1.3999999999999999E-4</v>
      </c>
      <c r="D367" s="380"/>
      <c r="E367" s="419">
        <v>24441</v>
      </c>
      <c r="F367" s="419">
        <v>-3135</v>
      </c>
      <c r="G367" s="419">
        <v>-26523</v>
      </c>
      <c r="H367" s="419">
        <v>-93866</v>
      </c>
      <c r="I367" s="419">
        <v>0</v>
      </c>
      <c r="J367" s="380">
        <v>1.3999999999999999E-4</v>
      </c>
      <c r="K367" s="380"/>
      <c r="L367" s="419">
        <v>34273</v>
      </c>
      <c r="M367" s="419">
        <v>23670</v>
      </c>
      <c r="N367" s="419">
        <v>10362</v>
      </c>
      <c r="O367" s="419">
        <v>0</v>
      </c>
      <c r="P367" s="419">
        <v>0</v>
      </c>
      <c r="Q367" s="380">
        <v>1.3999999999999999E-4</v>
      </c>
      <c r="R367" s="380"/>
      <c r="S367" s="419">
        <v>-70332</v>
      </c>
      <c r="T367" s="419">
        <v>-69518</v>
      </c>
      <c r="U367" s="419">
        <v>-73031</v>
      </c>
      <c r="V367" s="419">
        <v>-93866</v>
      </c>
      <c r="W367" s="419">
        <v>0</v>
      </c>
      <c r="X367" s="380">
        <v>1.3999999999999999E-4</v>
      </c>
      <c r="Z367" s="419">
        <v>56084</v>
      </c>
      <c r="AA367" s="419">
        <v>39402</v>
      </c>
      <c r="AB367" s="419">
        <v>39402</v>
      </c>
      <c r="AC367" s="419">
        <v>0</v>
      </c>
      <c r="AD367" s="419">
        <v>0</v>
      </c>
      <c r="AE367" s="380">
        <v>1.3999999999999999E-4</v>
      </c>
      <c r="AF367" s="380"/>
      <c r="AG367" s="419">
        <v>10042</v>
      </c>
      <c r="AH367" s="419">
        <v>8937</v>
      </c>
      <c r="AI367" s="419">
        <v>0</v>
      </c>
      <c r="AJ367" s="419">
        <v>0</v>
      </c>
      <c r="AK367" s="419">
        <v>0</v>
      </c>
      <c r="AL367" s="380">
        <v>1.3999999999999999E-4</v>
      </c>
      <c r="AM367" s="380"/>
      <c r="AN367" s="419">
        <v>-5626</v>
      </c>
      <c r="AO367" s="419">
        <v>-5626</v>
      </c>
      <c r="AP367" s="419">
        <v>-3256</v>
      </c>
      <c r="AQ367" s="419">
        <v>0</v>
      </c>
      <c r="AR367" s="419">
        <v>0</v>
      </c>
    </row>
    <row r="368" spans="1:44">
      <c r="A368" s="379">
        <v>93671</v>
      </c>
      <c r="B368" t="s">
        <v>1076</v>
      </c>
      <c r="C368" s="380">
        <v>3.6230000000000002E-4</v>
      </c>
      <c r="D368" s="380"/>
      <c r="E368" s="419">
        <v>76166</v>
      </c>
      <c r="F368" s="419">
        <v>6149</v>
      </c>
      <c r="G368" s="419">
        <v>-53011</v>
      </c>
      <c r="H368" s="419">
        <v>-242913</v>
      </c>
      <c r="I368" s="419">
        <v>0</v>
      </c>
      <c r="J368" s="380">
        <v>3.6230000000000002E-4</v>
      </c>
      <c r="K368" s="380"/>
      <c r="L368" s="419">
        <v>88694</v>
      </c>
      <c r="M368" s="419">
        <v>61255</v>
      </c>
      <c r="N368" s="419">
        <v>26815</v>
      </c>
      <c r="O368" s="419">
        <v>0</v>
      </c>
      <c r="P368" s="419">
        <v>0</v>
      </c>
      <c r="Q368" s="380">
        <v>3.6230000000000002E-4</v>
      </c>
      <c r="R368" s="380"/>
      <c r="S368" s="419">
        <v>-182008</v>
      </c>
      <c r="T368" s="419">
        <v>-179902</v>
      </c>
      <c r="U368" s="419">
        <v>-188994</v>
      </c>
      <c r="V368" s="419">
        <v>-242913</v>
      </c>
      <c r="W368" s="419">
        <v>0</v>
      </c>
      <c r="X368" s="380">
        <v>3.6230000000000002E-4</v>
      </c>
      <c r="Z368" s="419">
        <v>145138</v>
      </c>
      <c r="AA368" s="419">
        <v>101968</v>
      </c>
      <c r="AB368" s="419">
        <v>101967</v>
      </c>
      <c r="AC368" s="419">
        <v>0</v>
      </c>
      <c r="AD368" s="419">
        <v>0</v>
      </c>
      <c r="AE368" s="380">
        <v>3.6230000000000002E-4</v>
      </c>
      <c r="AF368" s="380"/>
      <c r="AG368" s="419">
        <v>24342</v>
      </c>
      <c r="AH368" s="419">
        <v>22828</v>
      </c>
      <c r="AI368" s="419">
        <v>7201</v>
      </c>
      <c r="AJ368" s="419">
        <v>0</v>
      </c>
      <c r="AK368" s="419">
        <v>0</v>
      </c>
      <c r="AL368" s="380">
        <v>3.6230000000000002E-4</v>
      </c>
      <c r="AM368" s="380"/>
      <c r="AN368" s="419">
        <v>0</v>
      </c>
      <c r="AO368" s="419">
        <v>0</v>
      </c>
      <c r="AP368" s="419">
        <v>0</v>
      </c>
      <c r="AQ368" s="419">
        <v>0</v>
      </c>
      <c r="AR368" s="419">
        <v>0</v>
      </c>
    </row>
    <row r="369" spans="1:44">
      <c r="A369" s="379">
        <v>93681</v>
      </c>
      <c r="B369" t="s">
        <v>1077</v>
      </c>
      <c r="C369" s="380">
        <v>1.9430000000000001E-4</v>
      </c>
      <c r="D369" s="380"/>
      <c r="E369" s="419">
        <v>59465</v>
      </c>
      <c r="F369" s="419">
        <v>21108</v>
      </c>
      <c r="G369" s="419">
        <v>-14797</v>
      </c>
      <c r="H369" s="419">
        <v>-130273</v>
      </c>
      <c r="I369" s="419">
        <v>0</v>
      </c>
      <c r="J369" s="380">
        <v>1.9430000000000001E-4</v>
      </c>
      <c r="K369" s="380"/>
      <c r="L369" s="419">
        <v>47566</v>
      </c>
      <c r="M369" s="419">
        <v>32851</v>
      </c>
      <c r="N369" s="419">
        <v>14381</v>
      </c>
      <c r="O369" s="419">
        <v>0</v>
      </c>
      <c r="P369" s="419">
        <v>0</v>
      </c>
      <c r="Q369" s="380">
        <v>1.9430000000000001E-4</v>
      </c>
      <c r="R369" s="380"/>
      <c r="S369" s="419">
        <v>-97610</v>
      </c>
      <c r="T369" s="419">
        <v>-96481</v>
      </c>
      <c r="U369" s="419">
        <v>-101357</v>
      </c>
      <c r="V369" s="419">
        <v>-130273</v>
      </c>
      <c r="W369" s="419">
        <v>0</v>
      </c>
      <c r="X369" s="380">
        <v>1.9430000000000001E-4</v>
      </c>
      <c r="Z369" s="419">
        <v>77837</v>
      </c>
      <c r="AA369" s="419">
        <v>54685</v>
      </c>
      <c r="AB369" s="419">
        <v>54684</v>
      </c>
      <c r="AC369" s="419">
        <v>0</v>
      </c>
      <c r="AD369" s="419">
        <v>0</v>
      </c>
      <c r="AE369" s="380">
        <v>1.9430000000000001E-4</v>
      </c>
      <c r="AF369" s="380"/>
      <c r="AG369" s="419">
        <v>31672</v>
      </c>
      <c r="AH369" s="419">
        <v>30053</v>
      </c>
      <c r="AI369" s="419">
        <v>17495</v>
      </c>
      <c r="AJ369" s="419">
        <v>0</v>
      </c>
      <c r="AK369" s="419">
        <v>0</v>
      </c>
      <c r="AL369" s="380">
        <v>1.9430000000000001E-4</v>
      </c>
      <c r="AM369" s="380"/>
      <c r="AN369" s="419">
        <v>0</v>
      </c>
      <c r="AO369" s="419">
        <v>0</v>
      </c>
      <c r="AP369" s="419">
        <v>0</v>
      </c>
      <c r="AQ369" s="419">
        <v>0</v>
      </c>
      <c r="AR369" s="419">
        <v>0</v>
      </c>
    </row>
    <row r="370" spans="1:44">
      <c r="A370" s="379">
        <v>93691</v>
      </c>
      <c r="B370" t="s">
        <v>1078</v>
      </c>
      <c r="C370" s="380">
        <v>9.9149999999999998E-4</v>
      </c>
      <c r="D370" s="380"/>
      <c r="E370" s="419">
        <v>59541</v>
      </c>
      <c r="F370" s="419">
        <v>-117391</v>
      </c>
      <c r="G370" s="419">
        <v>-233721</v>
      </c>
      <c r="H370" s="419">
        <v>-664775</v>
      </c>
      <c r="I370" s="419">
        <v>0</v>
      </c>
      <c r="J370" s="380">
        <v>9.9149999999999998E-4</v>
      </c>
      <c r="K370" s="380"/>
      <c r="L370" s="419">
        <v>242727</v>
      </c>
      <c r="M370" s="419">
        <v>167635</v>
      </c>
      <c r="N370" s="419">
        <v>73383</v>
      </c>
      <c r="O370" s="419">
        <v>0</v>
      </c>
      <c r="P370" s="419">
        <v>0</v>
      </c>
      <c r="Q370" s="380">
        <v>9.9149999999999998E-4</v>
      </c>
      <c r="R370" s="380"/>
      <c r="S370" s="419">
        <v>-498098</v>
      </c>
      <c r="T370" s="419">
        <v>-492334</v>
      </c>
      <c r="U370" s="419">
        <v>-517217</v>
      </c>
      <c r="V370" s="419">
        <v>-664775</v>
      </c>
      <c r="W370" s="419">
        <v>0</v>
      </c>
      <c r="X370" s="380">
        <v>9.9149999999999998E-4</v>
      </c>
      <c r="Z370" s="419">
        <v>397197</v>
      </c>
      <c r="AA370" s="419">
        <v>279053</v>
      </c>
      <c r="AB370" s="419">
        <v>279051</v>
      </c>
      <c r="AC370" s="419">
        <v>0</v>
      </c>
      <c r="AD370" s="419">
        <v>0</v>
      </c>
      <c r="AE370" s="380">
        <v>9.9149999999999998E-4</v>
      </c>
      <c r="AF370" s="380"/>
      <c r="AG370" s="419">
        <v>5653</v>
      </c>
      <c r="AH370" s="419">
        <v>5651</v>
      </c>
      <c r="AI370" s="419">
        <v>0</v>
      </c>
      <c r="AJ370" s="419">
        <v>0</v>
      </c>
      <c r="AK370" s="419">
        <v>0</v>
      </c>
      <c r="AL370" s="380">
        <v>9.9149999999999998E-4</v>
      </c>
      <c r="AM370" s="380"/>
      <c r="AN370" s="419">
        <v>-87938</v>
      </c>
      <c r="AO370" s="419">
        <v>-77396</v>
      </c>
      <c r="AP370" s="419">
        <v>-68938</v>
      </c>
      <c r="AQ370" s="419">
        <v>0</v>
      </c>
      <c r="AR370" s="419">
        <v>0</v>
      </c>
    </row>
    <row r="371" spans="1:44">
      <c r="A371" s="379">
        <v>93701</v>
      </c>
      <c r="B371" t="s">
        <v>1941</v>
      </c>
      <c r="C371" s="380">
        <v>4.0969999999999998E-4</v>
      </c>
      <c r="D371" s="380"/>
      <c r="E371" s="419">
        <v>39561</v>
      </c>
      <c r="F371" s="419">
        <v>-37673</v>
      </c>
      <c r="G371" s="419">
        <v>-78356</v>
      </c>
      <c r="H371" s="419">
        <v>-274693</v>
      </c>
      <c r="I371" s="419">
        <v>0</v>
      </c>
      <c r="J371" s="380">
        <v>4.0969999999999998E-4</v>
      </c>
      <c r="K371" s="380"/>
      <c r="L371" s="419">
        <v>100298</v>
      </c>
      <c r="M371" s="419">
        <v>69269</v>
      </c>
      <c r="N371" s="419">
        <v>30323</v>
      </c>
      <c r="O371" s="419">
        <v>0</v>
      </c>
      <c r="P371" s="419">
        <v>0</v>
      </c>
      <c r="Q371" s="380">
        <v>4.0969999999999998E-4</v>
      </c>
      <c r="R371" s="380"/>
      <c r="S371" s="419">
        <v>-205820</v>
      </c>
      <c r="T371" s="419">
        <v>-203439</v>
      </c>
      <c r="U371" s="419">
        <v>-213720</v>
      </c>
      <c r="V371" s="419">
        <v>-274693</v>
      </c>
      <c r="W371" s="419">
        <v>0</v>
      </c>
      <c r="X371" s="380">
        <v>4.0969999999999998E-4</v>
      </c>
      <c r="Z371" s="419">
        <v>164127</v>
      </c>
      <c r="AA371" s="419">
        <v>115308</v>
      </c>
      <c r="AB371" s="419">
        <v>115307</v>
      </c>
      <c r="AC371" s="419">
        <v>0</v>
      </c>
      <c r="AD371" s="419">
        <v>0</v>
      </c>
      <c r="AE371" s="380">
        <v>4.0969999999999998E-4</v>
      </c>
      <c r="AF371" s="380"/>
      <c r="AG371" s="419">
        <v>0</v>
      </c>
      <c r="AH371" s="419">
        <v>0</v>
      </c>
      <c r="AI371" s="419">
        <v>0</v>
      </c>
      <c r="AJ371" s="419">
        <v>0</v>
      </c>
      <c r="AK371" s="419">
        <v>0</v>
      </c>
      <c r="AL371" s="380">
        <v>4.0969999999999998E-4</v>
      </c>
      <c r="AM371" s="380"/>
      <c r="AN371" s="419">
        <v>-19044</v>
      </c>
      <c r="AO371" s="419">
        <v>-18811</v>
      </c>
      <c r="AP371" s="419">
        <v>-10266</v>
      </c>
      <c r="AQ371" s="419">
        <v>0</v>
      </c>
      <c r="AR371" s="419">
        <v>0</v>
      </c>
    </row>
    <row r="372" spans="1:44">
      <c r="A372" s="379">
        <v>93704</v>
      </c>
      <c r="B372" t="s">
        <v>1080</v>
      </c>
      <c r="C372" s="380">
        <v>1.7999999999999999E-6</v>
      </c>
      <c r="D372" s="380"/>
      <c r="E372" s="419">
        <v>1035</v>
      </c>
      <c r="F372" s="419">
        <v>603</v>
      </c>
      <c r="G372" s="419">
        <v>34</v>
      </c>
      <c r="H372" s="419">
        <v>-1207</v>
      </c>
      <c r="I372" s="419">
        <v>0</v>
      </c>
      <c r="J372" s="380">
        <v>1.7999999999999999E-6</v>
      </c>
      <c r="K372" s="380"/>
      <c r="L372" s="419">
        <v>441</v>
      </c>
      <c r="M372" s="419">
        <v>304</v>
      </c>
      <c r="N372" s="419">
        <v>133</v>
      </c>
      <c r="O372" s="419">
        <v>0</v>
      </c>
      <c r="P372" s="419">
        <v>0</v>
      </c>
      <c r="Q372" s="380">
        <v>1.7999999999999999E-6</v>
      </c>
      <c r="R372" s="380"/>
      <c r="S372" s="419">
        <v>-904</v>
      </c>
      <c r="T372" s="419">
        <v>-894</v>
      </c>
      <c r="U372" s="419">
        <v>-939</v>
      </c>
      <c r="V372" s="419">
        <v>-1207</v>
      </c>
      <c r="W372" s="419">
        <v>0</v>
      </c>
      <c r="X372" s="380">
        <v>1.7999999999999999E-6</v>
      </c>
      <c r="Z372" s="419">
        <v>721</v>
      </c>
      <c r="AA372" s="419">
        <v>507</v>
      </c>
      <c r="AB372" s="419">
        <v>507</v>
      </c>
      <c r="AC372" s="419">
        <v>0</v>
      </c>
      <c r="AD372" s="419">
        <v>0</v>
      </c>
      <c r="AE372" s="380">
        <v>1.7999999999999999E-6</v>
      </c>
      <c r="AF372" s="380"/>
      <c r="AG372" s="419">
        <v>777</v>
      </c>
      <c r="AH372" s="419">
        <v>686</v>
      </c>
      <c r="AI372" s="419">
        <v>333</v>
      </c>
      <c r="AJ372" s="419">
        <v>0</v>
      </c>
      <c r="AK372" s="419">
        <v>0</v>
      </c>
      <c r="AL372" s="380">
        <v>1.7999999999999999E-6</v>
      </c>
      <c r="AM372" s="380"/>
      <c r="AN372" s="419">
        <v>0</v>
      </c>
      <c r="AO372" s="419">
        <v>0</v>
      </c>
      <c r="AP372" s="419">
        <v>0</v>
      </c>
      <c r="AQ372" s="419">
        <v>0</v>
      </c>
      <c r="AR372" s="419">
        <v>0</v>
      </c>
    </row>
    <row r="373" spans="1:44">
      <c r="A373" s="379">
        <v>93801</v>
      </c>
      <c r="B373" t="s">
        <v>1081</v>
      </c>
      <c r="C373" s="380">
        <v>4.4470000000000002E-4</v>
      </c>
      <c r="D373" s="380"/>
      <c r="E373" s="419">
        <v>65049</v>
      </c>
      <c r="F373" s="419">
        <v>-9807</v>
      </c>
      <c r="G373" s="419">
        <v>-67358</v>
      </c>
      <c r="H373" s="419">
        <v>-298160</v>
      </c>
      <c r="I373" s="419">
        <v>0</v>
      </c>
      <c r="J373" s="380">
        <v>4.4470000000000002E-4</v>
      </c>
      <c r="K373" s="380"/>
      <c r="L373" s="419">
        <v>108866</v>
      </c>
      <c r="M373" s="419">
        <v>75186</v>
      </c>
      <c r="N373" s="419">
        <v>32913</v>
      </c>
      <c r="O373" s="419">
        <v>0</v>
      </c>
      <c r="P373" s="419">
        <v>0</v>
      </c>
      <c r="Q373" s="380">
        <v>4.4470000000000002E-4</v>
      </c>
      <c r="R373" s="380"/>
      <c r="S373" s="419">
        <v>-223403</v>
      </c>
      <c r="T373" s="419">
        <v>-220818</v>
      </c>
      <c r="U373" s="419">
        <v>-231978</v>
      </c>
      <c r="V373" s="419">
        <v>-298160</v>
      </c>
      <c r="W373" s="419">
        <v>0</v>
      </c>
      <c r="X373" s="380">
        <v>4.4470000000000002E-4</v>
      </c>
      <c r="Z373" s="419">
        <v>178148</v>
      </c>
      <c r="AA373" s="419">
        <v>125159</v>
      </c>
      <c r="AB373" s="419">
        <v>125158</v>
      </c>
      <c r="AC373" s="419">
        <v>0</v>
      </c>
      <c r="AD373" s="419">
        <v>0</v>
      </c>
      <c r="AE373" s="380">
        <v>4.4470000000000002E-4</v>
      </c>
      <c r="AF373" s="380"/>
      <c r="AG373" s="419">
        <v>12341</v>
      </c>
      <c r="AH373" s="419">
        <v>12340</v>
      </c>
      <c r="AI373" s="419">
        <v>6549</v>
      </c>
      <c r="AJ373" s="419">
        <v>0</v>
      </c>
      <c r="AK373" s="419">
        <v>0</v>
      </c>
      <c r="AL373" s="380">
        <v>4.4470000000000002E-4</v>
      </c>
      <c r="AM373" s="380"/>
      <c r="AN373" s="419">
        <v>-10903</v>
      </c>
      <c r="AO373" s="419">
        <v>-1674</v>
      </c>
      <c r="AP373" s="419">
        <v>0</v>
      </c>
      <c r="AQ373" s="419">
        <v>0</v>
      </c>
      <c r="AR373" s="419">
        <v>0</v>
      </c>
    </row>
    <row r="374" spans="1:44">
      <c r="A374" s="379">
        <v>93803</v>
      </c>
      <c r="B374" t="s">
        <v>1082</v>
      </c>
      <c r="C374" s="380">
        <v>1.138E-4</v>
      </c>
      <c r="D374" s="380"/>
      <c r="E374" s="419">
        <v>20466</v>
      </c>
      <c r="F374" s="419">
        <v>1450</v>
      </c>
      <c r="G374" s="419">
        <v>-13062</v>
      </c>
      <c r="H374" s="419">
        <v>-76300</v>
      </c>
      <c r="I374" s="419">
        <v>0</v>
      </c>
      <c r="J374" s="380">
        <v>1.138E-4</v>
      </c>
      <c r="K374" s="380"/>
      <c r="L374" s="419">
        <v>27859</v>
      </c>
      <c r="M374" s="419">
        <v>19240</v>
      </c>
      <c r="N374" s="419">
        <v>8423</v>
      </c>
      <c r="O374" s="419">
        <v>0</v>
      </c>
      <c r="P374" s="419">
        <v>0</v>
      </c>
      <c r="Q374" s="380">
        <v>1.138E-4</v>
      </c>
      <c r="R374" s="380"/>
      <c r="S374" s="419">
        <v>-57169</v>
      </c>
      <c r="T374" s="419">
        <v>-56508</v>
      </c>
      <c r="U374" s="419">
        <v>-59364</v>
      </c>
      <c r="V374" s="419">
        <v>-76300</v>
      </c>
      <c r="W374" s="419">
        <v>0</v>
      </c>
      <c r="X374" s="380">
        <v>1.138E-4</v>
      </c>
      <c r="Z374" s="419">
        <v>45589</v>
      </c>
      <c r="AA374" s="419">
        <v>32028</v>
      </c>
      <c r="AB374" s="419">
        <v>32028</v>
      </c>
      <c r="AC374" s="419">
        <v>0</v>
      </c>
      <c r="AD374" s="419">
        <v>0</v>
      </c>
      <c r="AE374" s="380">
        <v>1.138E-4</v>
      </c>
      <c r="AF374" s="380"/>
      <c r="AG374" s="419">
        <v>11165</v>
      </c>
      <c r="AH374" s="419">
        <v>11165</v>
      </c>
      <c r="AI374" s="419">
        <v>5851</v>
      </c>
      <c r="AJ374" s="419">
        <v>0</v>
      </c>
      <c r="AK374" s="419">
        <v>0</v>
      </c>
      <c r="AL374" s="380">
        <v>1.138E-4</v>
      </c>
      <c r="AM374" s="380"/>
      <c r="AN374" s="419">
        <v>-6978</v>
      </c>
      <c r="AO374" s="419">
        <v>-4475</v>
      </c>
      <c r="AP374" s="419">
        <v>0</v>
      </c>
      <c r="AQ374" s="419">
        <v>0</v>
      </c>
      <c r="AR374" s="419">
        <v>0</v>
      </c>
    </row>
    <row r="375" spans="1:44">
      <c r="A375" s="379">
        <v>93806</v>
      </c>
      <c r="B375" t="s">
        <v>1083</v>
      </c>
      <c r="C375" s="380">
        <v>7.5599999999999994E-5</v>
      </c>
      <c r="D375" s="380"/>
      <c r="E375" s="419">
        <v>8299</v>
      </c>
      <c r="F375" s="419">
        <v>-3875</v>
      </c>
      <c r="G375" s="419">
        <v>-8209</v>
      </c>
      <c r="H375" s="419">
        <v>-50688</v>
      </c>
      <c r="I375" s="419">
        <v>0</v>
      </c>
      <c r="J375" s="380">
        <v>7.5599999999999994E-5</v>
      </c>
      <c r="K375" s="380"/>
      <c r="L375" s="419">
        <v>18507</v>
      </c>
      <c r="M375" s="419">
        <v>12782</v>
      </c>
      <c r="N375" s="419">
        <v>5595</v>
      </c>
      <c r="O375" s="419">
        <v>0</v>
      </c>
      <c r="P375" s="419">
        <v>0</v>
      </c>
      <c r="Q375" s="380">
        <v>7.5599999999999994E-5</v>
      </c>
      <c r="R375" s="380"/>
      <c r="S375" s="419">
        <v>-37979</v>
      </c>
      <c r="T375" s="419">
        <v>-37540</v>
      </c>
      <c r="U375" s="419">
        <v>-39437</v>
      </c>
      <c r="V375" s="419">
        <v>-50688</v>
      </c>
      <c r="W375" s="419">
        <v>0</v>
      </c>
      <c r="X375" s="380">
        <v>7.5599999999999994E-5</v>
      </c>
      <c r="Z375" s="419">
        <v>30286</v>
      </c>
      <c r="AA375" s="419">
        <v>21277</v>
      </c>
      <c r="AB375" s="419">
        <v>21277</v>
      </c>
      <c r="AC375" s="419">
        <v>0</v>
      </c>
      <c r="AD375" s="419">
        <v>0</v>
      </c>
      <c r="AE375" s="380">
        <v>7.5599999999999994E-5</v>
      </c>
      <c r="AF375" s="380"/>
      <c r="AG375" s="419">
        <v>4771</v>
      </c>
      <c r="AH375" s="419">
        <v>4772</v>
      </c>
      <c r="AI375" s="419">
        <v>4356</v>
      </c>
      <c r="AJ375" s="419">
        <v>0</v>
      </c>
      <c r="AK375" s="419">
        <v>0</v>
      </c>
      <c r="AL375" s="380">
        <v>7.5599999999999994E-5</v>
      </c>
      <c r="AM375" s="380"/>
      <c r="AN375" s="419">
        <v>-7286</v>
      </c>
      <c r="AO375" s="419">
        <v>-5166</v>
      </c>
      <c r="AP375" s="419">
        <v>0</v>
      </c>
      <c r="AQ375" s="419">
        <v>0</v>
      </c>
      <c r="AR375" s="419">
        <v>0</v>
      </c>
    </row>
    <row r="376" spans="1:44">
      <c r="A376" s="379">
        <v>93821</v>
      </c>
      <c r="B376" t="s">
        <v>1084</v>
      </c>
      <c r="C376" s="380">
        <v>6.8899999999999994E-5</v>
      </c>
      <c r="D376" s="380"/>
      <c r="E376" s="419">
        <v>21832</v>
      </c>
      <c r="F376" s="419">
        <v>-1377</v>
      </c>
      <c r="G376" s="419">
        <v>-8633</v>
      </c>
      <c r="H376" s="419">
        <v>-46196</v>
      </c>
      <c r="I376" s="419">
        <v>0</v>
      </c>
      <c r="J376" s="380">
        <v>6.8899999999999994E-5</v>
      </c>
      <c r="K376" s="380"/>
      <c r="L376" s="419">
        <v>16867</v>
      </c>
      <c r="M376" s="419">
        <v>11649</v>
      </c>
      <c r="N376" s="419">
        <v>5099</v>
      </c>
      <c r="O376" s="419">
        <v>0</v>
      </c>
      <c r="P376" s="419">
        <v>0</v>
      </c>
      <c r="Q376" s="380">
        <v>6.8899999999999994E-5</v>
      </c>
      <c r="R376" s="380"/>
      <c r="S376" s="419">
        <v>-34613</v>
      </c>
      <c r="T376" s="419">
        <v>-34213</v>
      </c>
      <c r="U376" s="419">
        <v>-35942</v>
      </c>
      <c r="V376" s="419">
        <v>-46196</v>
      </c>
      <c r="W376" s="419">
        <v>0</v>
      </c>
      <c r="X376" s="380">
        <v>6.8899999999999994E-5</v>
      </c>
      <c r="Z376" s="419">
        <v>27601</v>
      </c>
      <c r="AA376" s="419">
        <v>19392</v>
      </c>
      <c r="AB376" s="419">
        <v>19391</v>
      </c>
      <c r="AC376" s="419">
        <v>0</v>
      </c>
      <c r="AD376" s="419">
        <v>0</v>
      </c>
      <c r="AE376" s="380">
        <v>6.8899999999999994E-5</v>
      </c>
      <c r="AF376" s="380"/>
      <c r="AG376" s="419">
        <v>15182</v>
      </c>
      <c r="AH376" s="419">
        <v>4999</v>
      </c>
      <c r="AI376" s="419">
        <v>2819</v>
      </c>
      <c r="AJ376" s="419">
        <v>0</v>
      </c>
      <c r="AK376" s="419">
        <v>0</v>
      </c>
      <c r="AL376" s="380">
        <v>6.8899999999999994E-5</v>
      </c>
      <c r="AM376" s="380"/>
      <c r="AN376" s="419">
        <v>-3205</v>
      </c>
      <c r="AO376" s="419">
        <v>-3204</v>
      </c>
      <c r="AP376" s="419">
        <v>0</v>
      </c>
      <c r="AQ376" s="419">
        <v>0</v>
      </c>
      <c r="AR376" s="419">
        <v>0</v>
      </c>
    </row>
    <row r="377" spans="1:44">
      <c r="A377" s="379">
        <v>93901</v>
      </c>
      <c r="B377" t="s">
        <v>1085</v>
      </c>
      <c r="C377" s="380">
        <v>1.8913999999999999E-3</v>
      </c>
      <c r="D377" s="380"/>
      <c r="E377" s="419">
        <v>419529</v>
      </c>
      <c r="F377" s="419">
        <v>48014</v>
      </c>
      <c r="G377" s="419">
        <v>-247416</v>
      </c>
      <c r="H377" s="419">
        <v>-1268135</v>
      </c>
      <c r="I377" s="419">
        <v>0</v>
      </c>
      <c r="J377" s="380">
        <v>1.8913999999999999E-3</v>
      </c>
      <c r="K377" s="380"/>
      <c r="L377" s="419">
        <v>463030</v>
      </c>
      <c r="M377" s="419">
        <v>319783</v>
      </c>
      <c r="N377" s="419">
        <v>139986</v>
      </c>
      <c r="O377" s="419">
        <v>0</v>
      </c>
      <c r="P377" s="419">
        <v>0</v>
      </c>
      <c r="Q377" s="380">
        <v>1.8913999999999999E-3</v>
      </c>
      <c r="R377" s="380"/>
      <c r="S377" s="419">
        <v>-950179</v>
      </c>
      <c r="T377" s="419">
        <v>-939184</v>
      </c>
      <c r="U377" s="419">
        <v>-986651</v>
      </c>
      <c r="V377" s="419">
        <v>-1268135</v>
      </c>
      <c r="W377" s="419">
        <v>0</v>
      </c>
      <c r="X377" s="380">
        <v>1.8913999999999999E-3</v>
      </c>
      <c r="Z377" s="419">
        <v>757699</v>
      </c>
      <c r="AA377" s="419">
        <v>532325</v>
      </c>
      <c r="AB377" s="419">
        <v>532321</v>
      </c>
      <c r="AC377" s="419">
        <v>0</v>
      </c>
      <c r="AD377" s="419">
        <v>0</v>
      </c>
      <c r="AE377" s="380">
        <v>1.8913999999999999E-3</v>
      </c>
      <c r="AF377" s="380"/>
      <c r="AG377" s="419">
        <v>148979</v>
      </c>
      <c r="AH377" s="419">
        <v>135090</v>
      </c>
      <c r="AI377" s="419">
        <v>66928</v>
      </c>
      <c r="AJ377" s="419">
        <v>0</v>
      </c>
      <c r="AK377" s="419">
        <v>0</v>
      </c>
      <c r="AL377" s="380">
        <v>1.8913999999999999E-3</v>
      </c>
      <c r="AM377" s="380"/>
      <c r="AN377" s="419">
        <v>0</v>
      </c>
      <c r="AO377" s="419">
        <v>0</v>
      </c>
      <c r="AP377" s="419">
        <v>0</v>
      </c>
      <c r="AQ377" s="419">
        <v>0</v>
      </c>
      <c r="AR377" s="419">
        <v>0</v>
      </c>
    </row>
    <row r="378" spans="1:44">
      <c r="A378" s="379">
        <v>93904</v>
      </c>
      <c r="B378" t="s">
        <v>1086</v>
      </c>
      <c r="C378" s="380">
        <v>3.2700000000000002E-5</v>
      </c>
      <c r="D378" s="380"/>
      <c r="E378" s="419">
        <v>12299</v>
      </c>
      <c r="F378" s="419">
        <v>4669</v>
      </c>
      <c r="G378" s="419">
        <v>-2791</v>
      </c>
      <c r="H378" s="419">
        <v>-21924</v>
      </c>
      <c r="I378" s="419">
        <v>0</v>
      </c>
      <c r="J378" s="380">
        <v>3.2700000000000002E-5</v>
      </c>
      <c r="K378" s="380"/>
      <c r="L378" s="419">
        <v>8005</v>
      </c>
      <c r="M378" s="419">
        <v>5529</v>
      </c>
      <c r="N378" s="419">
        <v>2420</v>
      </c>
      <c r="O378" s="419">
        <v>0</v>
      </c>
      <c r="P378" s="419">
        <v>0</v>
      </c>
      <c r="Q378" s="380">
        <v>3.2700000000000002E-5</v>
      </c>
      <c r="R378" s="380"/>
      <c r="S378" s="419">
        <v>-16427</v>
      </c>
      <c r="T378" s="419">
        <v>-16237</v>
      </c>
      <c r="U378" s="419">
        <v>-17058</v>
      </c>
      <c r="V378" s="419">
        <v>-21924</v>
      </c>
      <c r="W378" s="419">
        <v>0</v>
      </c>
      <c r="X378" s="380">
        <v>3.2700000000000002E-5</v>
      </c>
      <c r="Z378" s="419">
        <v>13100</v>
      </c>
      <c r="AA378" s="419">
        <v>9203</v>
      </c>
      <c r="AB378" s="419">
        <v>9203</v>
      </c>
      <c r="AC378" s="419">
        <v>0</v>
      </c>
      <c r="AD378" s="419">
        <v>0</v>
      </c>
      <c r="AE378" s="380">
        <v>3.2700000000000002E-5</v>
      </c>
      <c r="AF378" s="380"/>
      <c r="AG378" s="419">
        <v>7621</v>
      </c>
      <c r="AH378" s="419">
        <v>6174</v>
      </c>
      <c r="AI378" s="419">
        <v>2644</v>
      </c>
      <c r="AJ378" s="419">
        <v>0</v>
      </c>
      <c r="AK378" s="419">
        <v>0</v>
      </c>
      <c r="AL378" s="380">
        <v>3.2700000000000002E-5</v>
      </c>
      <c r="AM378" s="380"/>
      <c r="AN378" s="419">
        <v>0</v>
      </c>
      <c r="AO378" s="419">
        <v>0</v>
      </c>
      <c r="AP378" s="419">
        <v>0</v>
      </c>
      <c r="AQ378" s="419">
        <v>0</v>
      </c>
      <c r="AR378" s="419">
        <v>0</v>
      </c>
    </row>
    <row r="379" spans="1:44">
      <c r="A379" s="379">
        <v>93906</v>
      </c>
      <c r="B379" t="s">
        <v>1087</v>
      </c>
      <c r="C379" s="380">
        <v>3.3013999999999999E-3</v>
      </c>
      <c r="D379" s="380"/>
      <c r="E379" s="419">
        <v>492040</v>
      </c>
      <c r="F379" s="419">
        <v>-89055</v>
      </c>
      <c r="G379" s="419">
        <v>-447038</v>
      </c>
      <c r="H379" s="419">
        <v>-2213503</v>
      </c>
      <c r="I379" s="419">
        <v>0</v>
      </c>
      <c r="J379" s="380">
        <v>3.3013999999999999E-3</v>
      </c>
      <c r="K379" s="380"/>
      <c r="L379" s="419">
        <v>808209</v>
      </c>
      <c r="M379" s="419">
        <v>558174</v>
      </c>
      <c r="N379" s="419">
        <v>244343</v>
      </c>
      <c r="O379" s="419">
        <v>0</v>
      </c>
      <c r="P379" s="419">
        <v>0</v>
      </c>
      <c r="Q379" s="380">
        <v>3.3013999999999999E-3</v>
      </c>
      <c r="R379" s="380"/>
      <c r="S379" s="419">
        <v>-1658518</v>
      </c>
      <c r="T379" s="419">
        <v>-1639327</v>
      </c>
      <c r="U379" s="419">
        <v>-1722179</v>
      </c>
      <c r="V379" s="419">
        <v>-2213503</v>
      </c>
      <c r="W379" s="419">
        <v>0</v>
      </c>
      <c r="X379" s="380">
        <v>3.3013999999999999E-3</v>
      </c>
      <c r="Z379" s="419">
        <v>1322547</v>
      </c>
      <c r="AA379" s="419">
        <v>929163</v>
      </c>
      <c r="AB379" s="419">
        <v>929156</v>
      </c>
      <c r="AC379" s="419">
        <v>0</v>
      </c>
      <c r="AD379" s="419">
        <v>0</v>
      </c>
      <c r="AE379" s="380">
        <v>3.3013999999999999E-3</v>
      </c>
      <c r="AF379" s="380"/>
      <c r="AG379" s="419">
        <v>101641</v>
      </c>
      <c r="AH379" s="419">
        <v>101641</v>
      </c>
      <c r="AI379" s="419">
        <v>101642</v>
      </c>
      <c r="AJ379" s="419">
        <v>0</v>
      </c>
      <c r="AK379" s="419">
        <v>0</v>
      </c>
      <c r="AL379" s="380">
        <v>3.3013999999999999E-3</v>
      </c>
      <c r="AM379" s="380"/>
      <c r="AN379" s="419">
        <v>-81839</v>
      </c>
      <c r="AO379" s="419">
        <v>-38706</v>
      </c>
      <c r="AP379" s="419">
        <v>0</v>
      </c>
      <c r="AQ379" s="419">
        <v>0</v>
      </c>
      <c r="AR379" s="419">
        <v>0</v>
      </c>
    </row>
    <row r="380" spans="1:44">
      <c r="A380" s="379">
        <v>93908</v>
      </c>
      <c r="B380" t="s">
        <v>1942</v>
      </c>
      <c r="C380" s="380">
        <v>6.1220000000000003E-4</v>
      </c>
      <c r="D380" s="380"/>
      <c r="E380" s="419">
        <v>151190</v>
      </c>
      <c r="F380" s="419">
        <v>40309</v>
      </c>
      <c r="G380" s="419">
        <v>-46133</v>
      </c>
      <c r="H380" s="419">
        <v>-410464</v>
      </c>
      <c r="I380" s="419">
        <v>0</v>
      </c>
      <c r="J380" s="380">
        <v>6.1220000000000003E-4</v>
      </c>
      <c r="K380" s="380"/>
      <c r="L380" s="419">
        <v>149871</v>
      </c>
      <c r="M380" s="419">
        <v>103506</v>
      </c>
      <c r="N380" s="419">
        <v>45310</v>
      </c>
      <c r="O380" s="419">
        <v>0</v>
      </c>
      <c r="P380" s="419">
        <v>0</v>
      </c>
      <c r="Q380" s="380">
        <v>6.1220000000000003E-4</v>
      </c>
      <c r="R380" s="380"/>
      <c r="S380" s="419">
        <v>-307550</v>
      </c>
      <c r="T380" s="419">
        <v>-303991</v>
      </c>
      <c r="U380" s="419">
        <v>-319355</v>
      </c>
      <c r="V380" s="419">
        <v>-410464</v>
      </c>
      <c r="W380" s="419">
        <v>0</v>
      </c>
      <c r="X380" s="380">
        <v>6.1220000000000003E-4</v>
      </c>
      <c r="Z380" s="419">
        <v>245249</v>
      </c>
      <c r="AA380" s="419">
        <v>172301</v>
      </c>
      <c r="AB380" s="419">
        <v>172299</v>
      </c>
      <c r="AC380" s="419">
        <v>0</v>
      </c>
      <c r="AD380" s="419">
        <v>0</v>
      </c>
      <c r="AE380" s="380">
        <v>6.1220000000000003E-4</v>
      </c>
      <c r="AF380" s="380"/>
      <c r="AG380" s="419">
        <v>68492</v>
      </c>
      <c r="AH380" s="419">
        <v>68493</v>
      </c>
      <c r="AI380" s="419">
        <v>55613</v>
      </c>
      <c r="AJ380" s="419">
        <v>0</v>
      </c>
      <c r="AK380" s="419">
        <v>0</v>
      </c>
      <c r="AL380" s="380">
        <v>6.1220000000000003E-4</v>
      </c>
      <c r="AM380" s="380"/>
      <c r="AN380" s="419">
        <v>-4872</v>
      </c>
      <c r="AO380" s="419">
        <v>0</v>
      </c>
      <c r="AP380" s="419">
        <v>0</v>
      </c>
      <c r="AQ380" s="419">
        <v>0</v>
      </c>
      <c r="AR380" s="419">
        <v>0</v>
      </c>
    </row>
    <row r="381" spans="1:44">
      <c r="A381" s="379">
        <v>93910</v>
      </c>
      <c r="B381" t="s">
        <v>1089</v>
      </c>
      <c r="C381" s="380">
        <v>3.3369999999999998E-4</v>
      </c>
      <c r="D381" s="380"/>
      <c r="E381" s="419">
        <v>97555</v>
      </c>
      <c r="F381" s="419">
        <v>38430</v>
      </c>
      <c r="G381" s="419">
        <v>-16022</v>
      </c>
      <c r="H381" s="419">
        <v>-223737</v>
      </c>
      <c r="I381" s="419">
        <v>0</v>
      </c>
      <c r="J381" s="380">
        <v>3.3369999999999998E-4</v>
      </c>
      <c r="K381" s="380"/>
      <c r="L381" s="419">
        <v>81692</v>
      </c>
      <c r="M381" s="419">
        <v>56419</v>
      </c>
      <c r="N381" s="419">
        <v>24698</v>
      </c>
      <c r="O381" s="419">
        <v>0</v>
      </c>
      <c r="P381" s="419">
        <v>0</v>
      </c>
      <c r="Q381" s="380">
        <v>3.3369999999999998E-4</v>
      </c>
      <c r="R381" s="380"/>
      <c r="S381" s="419">
        <v>-167640</v>
      </c>
      <c r="T381" s="419">
        <v>-165700</v>
      </c>
      <c r="U381" s="419">
        <v>-174075</v>
      </c>
      <c r="V381" s="419">
        <v>-223737</v>
      </c>
      <c r="W381" s="419">
        <v>0</v>
      </c>
      <c r="X381" s="380">
        <v>3.3369999999999998E-4</v>
      </c>
      <c r="Z381" s="419">
        <v>133681</v>
      </c>
      <c r="AA381" s="419">
        <v>93918</v>
      </c>
      <c r="AB381" s="419">
        <v>93918</v>
      </c>
      <c r="AC381" s="419">
        <v>0</v>
      </c>
      <c r="AD381" s="419">
        <v>0</v>
      </c>
      <c r="AE381" s="380">
        <v>3.3369999999999998E-4</v>
      </c>
      <c r="AF381" s="380"/>
      <c r="AG381" s="419">
        <v>58395</v>
      </c>
      <c r="AH381" s="419">
        <v>58396</v>
      </c>
      <c r="AI381" s="419">
        <v>39437</v>
      </c>
      <c r="AJ381" s="419">
        <v>0</v>
      </c>
      <c r="AK381" s="419">
        <v>0</v>
      </c>
      <c r="AL381" s="380">
        <v>3.3369999999999998E-4</v>
      </c>
      <c r="AM381" s="380"/>
      <c r="AN381" s="419">
        <v>-8573</v>
      </c>
      <c r="AO381" s="419">
        <v>-4603</v>
      </c>
      <c r="AP381" s="419">
        <v>0</v>
      </c>
      <c r="AQ381" s="419">
        <v>0</v>
      </c>
      <c r="AR381" s="419">
        <v>0</v>
      </c>
    </row>
    <row r="382" spans="1:44">
      <c r="A382" s="379">
        <v>93911</v>
      </c>
      <c r="B382" t="s">
        <v>1090</v>
      </c>
      <c r="C382" s="380">
        <v>5.5719999999999999E-4</v>
      </c>
      <c r="D382" s="380"/>
      <c r="E382" s="419">
        <v>46737</v>
      </c>
      <c r="F382" s="419">
        <v>-62185</v>
      </c>
      <c r="G382" s="419">
        <v>-119467</v>
      </c>
      <c r="H382" s="419">
        <v>-373588</v>
      </c>
      <c r="I382" s="419">
        <v>0</v>
      </c>
      <c r="J382" s="380">
        <v>5.5719999999999999E-4</v>
      </c>
      <c r="K382" s="380"/>
      <c r="L382" s="419">
        <v>136407</v>
      </c>
      <c r="M382" s="419">
        <v>94207</v>
      </c>
      <c r="N382" s="419">
        <v>41239</v>
      </c>
      <c r="O382" s="419">
        <v>0</v>
      </c>
      <c r="P382" s="419">
        <v>0</v>
      </c>
      <c r="Q382" s="380">
        <v>5.5719999999999999E-4</v>
      </c>
      <c r="R382" s="380"/>
      <c r="S382" s="419">
        <v>-279919</v>
      </c>
      <c r="T382" s="419">
        <v>-276680</v>
      </c>
      <c r="U382" s="419">
        <v>-290664</v>
      </c>
      <c r="V382" s="419">
        <v>-373588</v>
      </c>
      <c r="W382" s="419">
        <v>0</v>
      </c>
      <c r="X382" s="380">
        <v>5.5719999999999999E-4</v>
      </c>
      <c r="Z382" s="419">
        <v>223215</v>
      </c>
      <c r="AA382" s="419">
        <v>156821</v>
      </c>
      <c r="AB382" s="419">
        <v>156820</v>
      </c>
      <c r="AC382" s="419">
        <v>0</v>
      </c>
      <c r="AD382" s="419">
        <v>0</v>
      </c>
      <c r="AE382" s="380">
        <v>5.5719999999999999E-4</v>
      </c>
      <c r="AF382" s="380"/>
      <c r="AG382" s="419">
        <v>3569</v>
      </c>
      <c r="AH382" s="419">
        <v>0</v>
      </c>
      <c r="AI382" s="419">
        <v>0</v>
      </c>
      <c r="AJ382" s="419">
        <v>0</v>
      </c>
      <c r="AK382" s="419">
        <v>0</v>
      </c>
      <c r="AL382" s="380">
        <v>5.5719999999999999E-4</v>
      </c>
      <c r="AM382" s="380"/>
      <c r="AN382" s="419">
        <v>-36535</v>
      </c>
      <c r="AO382" s="419">
        <v>-36533</v>
      </c>
      <c r="AP382" s="419">
        <v>-26862</v>
      </c>
      <c r="AQ382" s="419">
        <v>0</v>
      </c>
      <c r="AR382" s="419">
        <v>0</v>
      </c>
    </row>
    <row r="383" spans="1:44">
      <c r="A383" s="379">
        <v>93913</v>
      </c>
      <c r="B383" t="s">
        <v>1091</v>
      </c>
      <c r="C383" s="380">
        <v>4.07E-5</v>
      </c>
      <c r="D383" s="380"/>
      <c r="E383" s="419">
        <v>7373</v>
      </c>
      <c r="F383" s="419">
        <v>-1054</v>
      </c>
      <c r="G383" s="419">
        <v>-6556</v>
      </c>
      <c r="H383" s="419">
        <v>-27288</v>
      </c>
      <c r="I383" s="419">
        <v>0</v>
      </c>
      <c r="J383" s="380">
        <v>4.07E-5</v>
      </c>
      <c r="K383" s="380"/>
      <c r="L383" s="419">
        <v>9964</v>
      </c>
      <c r="M383" s="419">
        <v>6881</v>
      </c>
      <c r="N383" s="419">
        <v>3012</v>
      </c>
      <c r="O383" s="419">
        <v>0</v>
      </c>
      <c r="P383" s="419">
        <v>0</v>
      </c>
      <c r="Q383" s="380">
        <v>4.07E-5</v>
      </c>
      <c r="R383" s="380"/>
      <c r="S383" s="419">
        <v>-20446</v>
      </c>
      <c r="T383" s="419">
        <v>-20210</v>
      </c>
      <c r="U383" s="419">
        <v>-21231</v>
      </c>
      <c r="V383" s="419">
        <v>-27288</v>
      </c>
      <c r="W383" s="419">
        <v>0</v>
      </c>
      <c r="X383" s="380">
        <v>4.07E-5</v>
      </c>
      <c r="Z383" s="419">
        <v>16305</v>
      </c>
      <c r="AA383" s="419">
        <v>11455</v>
      </c>
      <c r="AB383" s="419">
        <v>11455</v>
      </c>
      <c r="AC383" s="419">
        <v>0</v>
      </c>
      <c r="AD383" s="419">
        <v>0</v>
      </c>
      <c r="AE383" s="380">
        <v>4.07E-5</v>
      </c>
      <c r="AF383" s="380"/>
      <c r="AG383" s="419">
        <v>2084</v>
      </c>
      <c r="AH383" s="419">
        <v>1355</v>
      </c>
      <c r="AI383" s="419">
        <v>208</v>
      </c>
      <c r="AJ383" s="419">
        <v>0</v>
      </c>
      <c r="AK383" s="419">
        <v>0</v>
      </c>
      <c r="AL383" s="380">
        <v>4.07E-5</v>
      </c>
      <c r="AM383" s="380"/>
      <c r="AN383" s="419">
        <v>-534</v>
      </c>
      <c r="AO383" s="419">
        <v>-535</v>
      </c>
      <c r="AP383" s="419">
        <v>0</v>
      </c>
      <c r="AQ383" s="419">
        <v>0</v>
      </c>
      <c r="AR383" s="419">
        <v>0</v>
      </c>
    </row>
    <row r="384" spans="1:44">
      <c r="A384" s="379">
        <v>93914</v>
      </c>
      <c r="B384" t="s">
        <v>1092</v>
      </c>
      <c r="C384" s="380">
        <v>5.1000000000000003E-6</v>
      </c>
      <c r="D384" s="380"/>
      <c r="E384" s="419">
        <v>2873</v>
      </c>
      <c r="F384" s="419">
        <v>1420</v>
      </c>
      <c r="G384" s="419">
        <v>-180</v>
      </c>
      <c r="H384" s="419">
        <v>-3419</v>
      </c>
      <c r="I384" s="419">
        <v>0</v>
      </c>
      <c r="J384" s="380">
        <v>5.1000000000000003E-6</v>
      </c>
      <c r="K384" s="380"/>
      <c r="L384" s="419">
        <v>1249</v>
      </c>
      <c r="M384" s="419">
        <v>862</v>
      </c>
      <c r="N384" s="419">
        <v>377</v>
      </c>
      <c r="O384" s="419">
        <v>0</v>
      </c>
      <c r="P384" s="419">
        <v>0</v>
      </c>
      <c r="Q384" s="380">
        <v>5.1000000000000003E-6</v>
      </c>
      <c r="R384" s="380"/>
      <c r="S384" s="419">
        <v>-2562</v>
      </c>
      <c r="T384" s="419">
        <v>-2532</v>
      </c>
      <c r="U384" s="419">
        <v>-2660</v>
      </c>
      <c r="V384" s="419">
        <v>-3419</v>
      </c>
      <c r="W384" s="419">
        <v>0</v>
      </c>
      <c r="X384" s="380">
        <v>5.1000000000000003E-6</v>
      </c>
      <c r="Z384" s="419">
        <v>2043</v>
      </c>
      <c r="AA384" s="419">
        <v>1435</v>
      </c>
      <c r="AB384" s="419">
        <v>1435</v>
      </c>
      <c r="AC384" s="419">
        <v>0</v>
      </c>
      <c r="AD384" s="419">
        <v>0</v>
      </c>
      <c r="AE384" s="380">
        <v>5.1000000000000003E-6</v>
      </c>
      <c r="AF384" s="380"/>
      <c r="AG384" s="419">
        <v>2143</v>
      </c>
      <c r="AH384" s="419">
        <v>1655</v>
      </c>
      <c r="AI384" s="419">
        <v>668</v>
      </c>
      <c r="AJ384" s="419">
        <v>0</v>
      </c>
      <c r="AK384" s="419">
        <v>0</v>
      </c>
      <c r="AL384" s="380">
        <v>5.1000000000000003E-6</v>
      </c>
      <c r="AM384" s="380"/>
      <c r="AN384" s="419">
        <v>0</v>
      </c>
      <c r="AO384" s="419">
        <v>0</v>
      </c>
      <c r="AP384" s="419">
        <v>0</v>
      </c>
      <c r="AQ384" s="419">
        <v>0</v>
      </c>
      <c r="AR384" s="419">
        <v>0</v>
      </c>
    </row>
    <row r="385" spans="1:44">
      <c r="A385" s="379">
        <v>93921</v>
      </c>
      <c r="B385" t="s">
        <v>1093</v>
      </c>
      <c r="C385" s="380">
        <v>2.6479999999999999E-4</v>
      </c>
      <c r="D385" s="380"/>
      <c r="E385" s="419">
        <v>41527</v>
      </c>
      <c r="F385" s="419">
        <v>-7033</v>
      </c>
      <c r="G385" s="419">
        <v>-46963</v>
      </c>
      <c r="H385" s="419">
        <v>-177542</v>
      </c>
      <c r="I385" s="419">
        <v>0</v>
      </c>
      <c r="J385" s="380">
        <v>2.6479999999999999E-4</v>
      </c>
      <c r="K385" s="380"/>
      <c r="L385" s="419">
        <v>64825</v>
      </c>
      <c r="M385" s="419">
        <v>44770</v>
      </c>
      <c r="N385" s="419">
        <v>19598</v>
      </c>
      <c r="O385" s="419">
        <v>0</v>
      </c>
      <c r="P385" s="419">
        <v>0</v>
      </c>
      <c r="Q385" s="380">
        <v>2.6479999999999999E-4</v>
      </c>
      <c r="R385" s="380"/>
      <c r="S385" s="419">
        <v>-133027</v>
      </c>
      <c r="T385" s="419">
        <v>-131488</v>
      </c>
      <c r="U385" s="419">
        <v>-138133</v>
      </c>
      <c r="V385" s="419">
        <v>-177542</v>
      </c>
      <c r="W385" s="419">
        <v>0</v>
      </c>
      <c r="X385" s="380">
        <v>2.6479999999999999E-4</v>
      </c>
      <c r="Z385" s="419">
        <v>106079</v>
      </c>
      <c r="AA385" s="419">
        <v>74527</v>
      </c>
      <c r="AB385" s="419">
        <v>74526</v>
      </c>
      <c r="AC385" s="419">
        <v>0</v>
      </c>
      <c r="AD385" s="419">
        <v>0</v>
      </c>
      <c r="AE385" s="380">
        <v>2.6479999999999999E-4</v>
      </c>
      <c r="AF385" s="380"/>
      <c r="AG385" s="419">
        <v>17329</v>
      </c>
      <c r="AH385" s="419">
        <v>17329</v>
      </c>
      <c r="AI385" s="419">
        <v>0</v>
      </c>
      <c r="AJ385" s="419">
        <v>0</v>
      </c>
      <c r="AK385" s="419">
        <v>0</v>
      </c>
      <c r="AL385" s="380">
        <v>2.6479999999999999E-4</v>
      </c>
      <c r="AM385" s="380"/>
      <c r="AN385" s="419">
        <v>-13679</v>
      </c>
      <c r="AO385" s="419">
        <v>-12171</v>
      </c>
      <c r="AP385" s="419">
        <v>-2954</v>
      </c>
      <c r="AQ385" s="419">
        <v>0</v>
      </c>
      <c r="AR385" s="419">
        <v>0</v>
      </c>
    </row>
    <row r="386" spans="1:44">
      <c r="A386" s="379">
        <v>93931</v>
      </c>
      <c r="B386" t="s">
        <v>1094</v>
      </c>
      <c r="C386" s="380">
        <v>5.4149999999999999E-4</v>
      </c>
      <c r="D386" s="380"/>
      <c r="E386" s="419">
        <v>62726</v>
      </c>
      <c r="F386" s="419">
        <v>-41979</v>
      </c>
      <c r="G386" s="419">
        <v>-97257</v>
      </c>
      <c r="H386" s="419">
        <v>-363062</v>
      </c>
      <c r="I386" s="419">
        <v>0</v>
      </c>
      <c r="J386" s="380">
        <v>5.4149999999999999E-4</v>
      </c>
      <c r="K386" s="380"/>
      <c r="L386" s="419">
        <v>132564</v>
      </c>
      <c r="M386" s="419">
        <v>91552</v>
      </c>
      <c r="N386" s="419">
        <v>40077</v>
      </c>
      <c r="O386" s="419">
        <v>0</v>
      </c>
      <c r="P386" s="419">
        <v>0</v>
      </c>
      <c r="Q386" s="380">
        <v>5.4149999999999999E-4</v>
      </c>
      <c r="R386" s="380"/>
      <c r="S386" s="419">
        <v>-272032</v>
      </c>
      <c r="T386" s="419">
        <v>-268885</v>
      </c>
      <c r="U386" s="419">
        <v>-282474</v>
      </c>
      <c r="V386" s="419">
        <v>-363062</v>
      </c>
      <c r="W386" s="419">
        <v>0</v>
      </c>
      <c r="X386" s="380">
        <v>5.4149999999999999E-4</v>
      </c>
      <c r="Z386" s="419">
        <v>216926</v>
      </c>
      <c r="AA386" s="419">
        <v>152402</v>
      </c>
      <c r="AB386" s="419">
        <v>152401</v>
      </c>
      <c r="AC386" s="419">
        <v>0</v>
      </c>
      <c r="AD386" s="419">
        <v>0</v>
      </c>
      <c r="AE386" s="380">
        <v>5.4149999999999999E-4</v>
      </c>
      <c r="AF386" s="380"/>
      <c r="AG386" s="419">
        <v>2778</v>
      </c>
      <c r="AH386" s="419">
        <v>461</v>
      </c>
      <c r="AI386" s="419">
        <v>0</v>
      </c>
      <c r="AJ386" s="419">
        <v>0</v>
      </c>
      <c r="AK386" s="419">
        <v>0</v>
      </c>
      <c r="AL386" s="380">
        <v>5.4149999999999999E-4</v>
      </c>
      <c r="AM386" s="380"/>
      <c r="AN386" s="419">
        <v>-17510</v>
      </c>
      <c r="AO386" s="419">
        <v>-17509</v>
      </c>
      <c r="AP386" s="419">
        <v>-7261</v>
      </c>
      <c r="AQ386" s="419">
        <v>0</v>
      </c>
      <c r="AR386" s="419">
        <v>0</v>
      </c>
    </row>
    <row r="387" spans="1:44">
      <c r="A387" s="379">
        <v>94001</v>
      </c>
      <c r="B387" t="s">
        <v>1095</v>
      </c>
      <c r="C387" s="380">
        <v>1.0621999999999999E-3</v>
      </c>
      <c r="D387" s="380"/>
      <c r="E387" s="419">
        <v>205031</v>
      </c>
      <c r="F387" s="419">
        <v>791</v>
      </c>
      <c r="G387" s="419">
        <v>-178042</v>
      </c>
      <c r="H387" s="419">
        <v>-712177</v>
      </c>
      <c r="I387" s="419">
        <v>0</v>
      </c>
      <c r="J387" s="380">
        <v>1.0621999999999999E-3</v>
      </c>
      <c r="K387" s="380"/>
      <c r="L387" s="419">
        <v>260035</v>
      </c>
      <c r="M387" s="419">
        <v>179588</v>
      </c>
      <c r="N387" s="419">
        <v>78616</v>
      </c>
      <c r="O387" s="419">
        <v>0</v>
      </c>
      <c r="P387" s="419">
        <v>0</v>
      </c>
      <c r="Q387" s="380">
        <v>1.0621999999999999E-3</v>
      </c>
      <c r="R387" s="380"/>
      <c r="S387" s="419">
        <v>-533615</v>
      </c>
      <c r="T387" s="419">
        <v>-527441</v>
      </c>
      <c r="U387" s="419">
        <v>-554098</v>
      </c>
      <c r="V387" s="419">
        <v>-712177</v>
      </c>
      <c r="W387" s="419">
        <v>0</v>
      </c>
      <c r="X387" s="380">
        <v>1.0621999999999999E-3</v>
      </c>
      <c r="Z387" s="419">
        <v>425519</v>
      </c>
      <c r="AA387" s="419">
        <v>298951</v>
      </c>
      <c r="AB387" s="419">
        <v>298949</v>
      </c>
      <c r="AC387" s="419">
        <v>0</v>
      </c>
      <c r="AD387" s="419">
        <v>0</v>
      </c>
      <c r="AE387" s="380">
        <v>1.0621999999999999E-3</v>
      </c>
      <c r="AF387" s="380"/>
      <c r="AG387" s="419">
        <v>54603</v>
      </c>
      <c r="AH387" s="419">
        <v>51204</v>
      </c>
      <c r="AI387" s="419">
        <v>0</v>
      </c>
      <c r="AJ387" s="419">
        <v>0</v>
      </c>
      <c r="AK387" s="419">
        <v>0</v>
      </c>
      <c r="AL387" s="380">
        <v>1.0621999999999999E-3</v>
      </c>
      <c r="AM387" s="380"/>
      <c r="AN387" s="419">
        <v>-1511</v>
      </c>
      <c r="AO387" s="419">
        <v>-1511</v>
      </c>
      <c r="AP387" s="419">
        <v>-1509</v>
      </c>
      <c r="AQ387" s="419">
        <v>0</v>
      </c>
      <c r="AR387" s="419">
        <v>0</v>
      </c>
    </row>
    <row r="388" spans="1:44">
      <c r="A388" s="379">
        <v>94002</v>
      </c>
      <c r="B388" t="s">
        <v>1096</v>
      </c>
      <c r="C388" s="380">
        <v>4.1999999999999996E-6</v>
      </c>
      <c r="D388" s="380"/>
      <c r="E388" s="419">
        <v>1964</v>
      </c>
      <c r="F388" s="419">
        <v>1004</v>
      </c>
      <c r="G388" s="419">
        <v>-120</v>
      </c>
      <c r="H388" s="419">
        <v>-2816</v>
      </c>
      <c r="I388" s="419">
        <v>0</v>
      </c>
      <c r="J388" s="380">
        <v>4.1999999999999996E-6</v>
      </c>
      <c r="K388" s="380"/>
      <c r="L388" s="419">
        <v>1028</v>
      </c>
      <c r="M388" s="419">
        <v>710</v>
      </c>
      <c r="N388" s="419">
        <v>311</v>
      </c>
      <c r="O388" s="419">
        <v>0</v>
      </c>
      <c r="P388" s="419">
        <v>0</v>
      </c>
      <c r="Q388" s="380">
        <v>4.1999999999999996E-6</v>
      </c>
      <c r="R388" s="380"/>
      <c r="S388" s="419">
        <v>-2110</v>
      </c>
      <c r="T388" s="419">
        <v>-2086</v>
      </c>
      <c r="U388" s="419">
        <v>-2191</v>
      </c>
      <c r="V388" s="419">
        <v>-2816</v>
      </c>
      <c r="W388" s="419">
        <v>0</v>
      </c>
      <c r="X388" s="380">
        <v>4.1999999999999996E-6</v>
      </c>
      <c r="Z388" s="419">
        <v>1683</v>
      </c>
      <c r="AA388" s="419">
        <v>1182</v>
      </c>
      <c r="AB388" s="419">
        <v>1182</v>
      </c>
      <c r="AC388" s="419">
        <v>0</v>
      </c>
      <c r="AD388" s="419">
        <v>0</v>
      </c>
      <c r="AE388" s="380">
        <v>4.1999999999999996E-6</v>
      </c>
      <c r="AF388" s="380"/>
      <c r="AG388" s="419">
        <v>1363</v>
      </c>
      <c r="AH388" s="419">
        <v>1198</v>
      </c>
      <c r="AI388" s="419">
        <v>578</v>
      </c>
      <c r="AJ388" s="419">
        <v>0</v>
      </c>
      <c r="AK388" s="419">
        <v>0</v>
      </c>
      <c r="AL388" s="380">
        <v>4.1999999999999996E-6</v>
      </c>
      <c r="AM388" s="380"/>
      <c r="AN388" s="419">
        <v>0</v>
      </c>
      <c r="AO388" s="419">
        <v>0</v>
      </c>
      <c r="AP388" s="419">
        <v>0</v>
      </c>
      <c r="AQ388" s="419">
        <v>0</v>
      </c>
      <c r="AR388" s="419">
        <v>0</v>
      </c>
    </row>
    <row r="389" spans="1:44">
      <c r="A389" s="379">
        <v>94004</v>
      </c>
      <c r="B389" t="s">
        <v>1097</v>
      </c>
      <c r="C389" s="380">
        <v>1.0200000000000001E-5</v>
      </c>
      <c r="D389" s="380"/>
      <c r="E389" s="419">
        <v>4727</v>
      </c>
      <c r="F389" s="419">
        <v>2591</v>
      </c>
      <c r="G389" s="419">
        <v>803</v>
      </c>
      <c r="H389" s="419">
        <v>-6839</v>
      </c>
      <c r="I389" s="419">
        <v>0</v>
      </c>
      <c r="J389" s="380">
        <v>1.0200000000000001E-5</v>
      </c>
      <c r="K389" s="380"/>
      <c r="L389" s="419">
        <v>2497</v>
      </c>
      <c r="M389" s="419">
        <v>1725</v>
      </c>
      <c r="N389" s="419">
        <v>755</v>
      </c>
      <c r="O389" s="419">
        <v>0</v>
      </c>
      <c r="P389" s="419">
        <v>0</v>
      </c>
      <c r="Q389" s="380">
        <v>1.0200000000000001E-5</v>
      </c>
      <c r="R389" s="380"/>
      <c r="S389" s="419">
        <v>-5124</v>
      </c>
      <c r="T389" s="419">
        <v>-5065</v>
      </c>
      <c r="U389" s="419">
        <v>-5321</v>
      </c>
      <c r="V389" s="419">
        <v>-6839</v>
      </c>
      <c r="W389" s="419">
        <v>0</v>
      </c>
      <c r="X389" s="380">
        <v>1.0200000000000001E-5</v>
      </c>
      <c r="Z389" s="419">
        <v>4086</v>
      </c>
      <c r="AA389" s="419">
        <v>2871</v>
      </c>
      <c r="AB389" s="419">
        <v>2871</v>
      </c>
      <c r="AC389" s="419">
        <v>0</v>
      </c>
      <c r="AD389" s="419">
        <v>0</v>
      </c>
      <c r="AE389" s="380">
        <v>1.0200000000000001E-5</v>
      </c>
      <c r="AF389" s="380"/>
      <c r="AG389" s="419">
        <v>3268</v>
      </c>
      <c r="AH389" s="419">
        <v>3060</v>
      </c>
      <c r="AI389" s="419">
        <v>2498</v>
      </c>
      <c r="AJ389" s="419">
        <v>0</v>
      </c>
      <c r="AK389" s="419">
        <v>0</v>
      </c>
      <c r="AL389" s="380">
        <v>1.0200000000000001E-5</v>
      </c>
      <c r="AM389" s="380"/>
      <c r="AN389" s="419">
        <v>0</v>
      </c>
      <c r="AO389" s="419">
        <v>0</v>
      </c>
      <c r="AP389" s="419">
        <v>0</v>
      </c>
      <c r="AQ389" s="419">
        <v>0</v>
      </c>
      <c r="AR389" s="419">
        <v>0</v>
      </c>
    </row>
    <row r="390" spans="1:44">
      <c r="A390" s="379">
        <v>94005</v>
      </c>
      <c r="B390" t="s">
        <v>1098</v>
      </c>
      <c r="C390" s="380">
        <v>6.2999999999999998E-6</v>
      </c>
      <c r="D390" s="380"/>
      <c r="E390" s="419">
        <v>4685</v>
      </c>
      <c r="F390" s="419">
        <v>2624</v>
      </c>
      <c r="G390" s="419">
        <v>1779</v>
      </c>
      <c r="H390" s="419">
        <v>-4224</v>
      </c>
      <c r="I390" s="419">
        <v>0</v>
      </c>
      <c r="J390" s="380">
        <v>6.2999999999999998E-6</v>
      </c>
      <c r="K390" s="380"/>
      <c r="L390" s="419">
        <v>1542</v>
      </c>
      <c r="M390" s="419">
        <v>1065</v>
      </c>
      <c r="N390" s="419">
        <v>466</v>
      </c>
      <c r="O390" s="419">
        <v>0</v>
      </c>
      <c r="P390" s="419">
        <v>0</v>
      </c>
      <c r="Q390" s="380">
        <v>6.2999999999999998E-6</v>
      </c>
      <c r="R390" s="380"/>
      <c r="S390" s="419">
        <v>-3165</v>
      </c>
      <c r="T390" s="419">
        <v>-3128</v>
      </c>
      <c r="U390" s="419">
        <v>-3286</v>
      </c>
      <c r="V390" s="419">
        <v>-4224</v>
      </c>
      <c r="W390" s="419">
        <v>0</v>
      </c>
      <c r="X390" s="380">
        <v>6.2999999999999998E-6</v>
      </c>
      <c r="Z390" s="419">
        <v>2524</v>
      </c>
      <c r="AA390" s="419">
        <v>1773</v>
      </c>
      <c r="AB390" s="419">
        <v>1773</v>
      </c>
      <c r="AC390" s="419">
        <v>0</v>
      </c>
      <c r="AD390" s="419">
        <v>0</v>
      </c>
      <c r="AE390" s="380">
        <v>6.2999999999999998E-6</v>
      </c>
      <c r="AF390" s="380"/>
      <c r="AG390" s="419">
        <v>4126</v>
      </c>
      <c r="AH390" s="419">
        <v>3255</v>
      </c>
      <c r="AI390" s="419">
        <v>2826</v>
      </c>
      <c r="AJ390" s="419">
        <v>0</v>
      </c>
      <c r="AK390" s="419">
        <v>0</v>
      </c>
      <c r="AL390" s="380">
        <v>6.2999999999999998E-6</v>
      </c>
      <c r="AM390" s="380"/>
      <c r="AN390" s="419">
        <v>-342</v>
      </c>
      <c r="AO390" s="419">
        <v>-341</v>
      </c>
      <c r="AP390" s="419">
        <v>0</v>
      </c>
      <c r="AQ390" s="419">
        <v>0</v>
      </c>
      <c r="AR390" s="419">
        <v>0</v>
      </c>
    </row>
    <row r="391" spans="1:44">
      <c r="A391" s="379">
        <v>94011</v>
      </c>
      <c r="B391" t="s">
        <v>1099</v>
      </c>
      <c r="C391" s="380">
        <v>2.8900000000000001E-5</v>
      </c>
      <c r="D391" s="380"/>
      <c r="E391" s="419">
        <v>3449</v>
      </c>
      <c r="F391" s="419">
        <v>-2461</v>
      </c>
      <c r="G391" s="419">
        <v>-4992</v>
      </c>
      <c r="H391" s="419">
        <v>-19377</v>
      </c>
      <c r="I391" s="419">
        <v>0</v>
      </c>
      <c r="J391" s="380">
        <v>2.8900000000000001E-5</v>
      </c>
      <c r="K391" s="380"/>
      <c r="L391" s="419">
        <v>7075</v>
      </c>
      <c r="M391" s="419">
        <v>4886</v>
      </c>
      <c r="N391" s="419">
        <v>2139</v>
      </c>
      <c r="O391" s="419">
        <v>0</v>
      </c>
      <c r="P391" s="419">
        <v>0</v>
      </c>
      <c r="Q391" s="380">
        <v>2.8900000000000001E-5</v>
      </c>
      <c r="R391" s="380"/>
      <c r="S391" s="419">
        <v>-14518</v>
      </c>
      <c r="T391" s="419">
        <v>-14350</v>
      </c>
      <c r="U391" s="419">
        <v>-15076</v>
      </c>
      <c r="V391" s="419">
        <v>-19377</v>
      </c>
      <c r="W391" s="419">
        <v>0</v>
      </c>
      <c r="X391" s="380">
        <v>2.8900000000000001E-5</v>
      </c>
      <c r="Z391" s="419">
        <v>11577</v>
      </c>
      <c r="AA391" s="419">
        <v>8134</v>
      </c>
      <c r="AB391" s="419">
        <v>8134</v>
      </c>
      <c r="AC391" s="419">
        <v>0</v>
      </c>
      <c r="AD391" s="419">
        <v>0</v>
      </c>
      <c r="AE391" s="380">
        <v>2.8900000000000001E-5</v>
      </c>
      <c r="AF391" s="380"/>
      <c r="AG391" s="419">
        <v>450</v>
      </c>
      <c r="AH391" s="419">
        <v>0</v>
      </c>
      <c r="AI391" s="419">
        <v>0</v>
      </c>
      <c r="AJ391" s="419">
        <v>0</v>
      </c>
      <c r="AK391" s="419">
        <v>0</v>
      </c>
      <c r="AL391" s="380">
        <v>2.8900000000000001E-5</v>
      </c>
      <c r="AM391" s="380"/>
      <c r="AN391" s="419">
        <v>-1135</v>
      </c>
      <c r="AO391" s="419">
        <v>-1131</v>
      </c>
      <c r="AP391" s="419">
        <v>-189</v>
      </c>
      <c r="AQ391" s="419">
        <v>0</v>
      </c>
      <c r="AR391" s="419">
        <v>0</v>
      </c>
    </row>
    <row r="392" spans="1:44">
      <c r="A392" s="379">
        <v>94021</v>
      </c>
      <c r="B392" t="s">
        <v>1100</v>
      </c>
      <c r="C392" s="380">
        <v>8.6000000000000003E-5</v>
      </c>
      <c r="D392" s="380"/>
      <c r="E392" s="419">
        <v>12959</v>
      </c>
      <c r="F392" s="419">
        <v>-3408</v>
      </c>
      <c r="G392" s="419">
        <v>-23027</v>
      </c>
      <c r="H392" s="419">
        <v>-57661</v>
      </c>
      <c r="I392" s="419">
        <v>0</v>
      </c>
      <c r="J392" s="380">
        <v>8.6000000000000003E-5</v>
      </c>
      <c r="K392" s="380"/>
      <c r="L392" s="419">
        <v>21053</v>
      </c>
      <c r="M392" s="419">
        <v>14540</v>
      </c>
      <c r="N392" s="419">
        <v>6365</v>
      </c>
      <c r="O392" s="419">
        <v>0</v>
      </c>
      <c r="P392" s="419">
        <v>0</v>
      </c>
      <c r="Q392" s="380">
        <v>8.6000000000000003E-5</v>
      </c>
      <c r="R392" s="380"/>
      <c r="S392" s="419">
        <v>-43204</v>
      </c>
      <c r="T392" s="419">
        <v>-42704</v>
      </c>
      <c r="U392" s="419">
        <v>-44862</v>
      </c>
      <c r="V392" s="419">
        <v>-57661</v>
      </c>
      <c r="W392" s="419">
        <v>0</v>
      </c>
      <c r="X392" s="380">
        <v>8.6000000000000003E-5</v>
      </c>
      <c r="Z392" s="419">
        <v>34452</v>
      </c>
      <c r="AA392" s="419">
        <v>24204</v>
      </c>
      <c r="AB392" s="419">
        <v>24204</v>
      </c>
      <c r="AC392" s="419">
        <v>0</v>
      </c>
      <c r="AD392" s="419">
        <v>0</v>
      </c>
      <c r="AE392" s="380">
        <v>8.6000000000000003E-5</v>
      </c>
      <c r="AF392" s="380"/>
      <c r="AG392" s="419">
        <v>9392</v>
      </c>
      <c r="AH392" s="419">
        <v>9286</v>
      </c>
      <c r="AI392" s="419">
        <v>0</v>
      </c>
      <c r="AJ392" s="419">
        <v>0</v>
      </c>
      <c r="AK392" s="419">
        <v>0</v>
      </c>
      <c r="AL392" s="380">
        <v>8.6000000000000003E-5</v>
      </c>
      <c r="AM392" s="380"/>
      <c r="AN392" s="419">
        <v>-8734</v>
      </c>
      <c r="AO392" s="419">
        <v>-8734</v>
      </c>
      <c r="AP392" s="419">
        <v>-8734</v>
      </c>
      <c r="AQ392" s="419">
        <v>0</v>
      </c>
      <c r="AR392" s="419">
        <v>0</v>
      </c>
    </row>
    <row r="393" spans="1:44">
      <c r="A393" s="379">
        <v>94031</v>
      </c>
      <c r="B393" t="s">
        <v>1101</v>
      </c>
      <c r="C393" s="380">
        <v>4.8999999999999997E-6</v>
      </c>
      <c r="D393" s="380"/>
      <c r="E393" s="419">
        <v>4835</v>
      </c>
      <c r="F393" s="419">
        <v>3057</v>
      </c>
      <c r="G393" s="419">
        <v>1050</v>
      </c>
      <c r="H393" s="419">
        <v>-3285</v>
      </c>
      <c r="I393" s="419">
        <v>0</v>
      </c>
      <c r="J393" s="380">
        <v>4.8999999999999997E-6</v>
      </c>
      <c r="K393" s="380"/>
      <c r="L393" s="419">
        <v>1200</v>
      </c>
      <c r="M393" s="419">
        <v>828</v>
      </c>
      <c r="N393" s="419">
        <v>363</v>
      </c>
      <c r="O393" s="419">
        <v>0</v>
      </c>
      <c r="P393" s="419">
        <v>0</v>
      </c>
      <c r="Q393" s="380">
        <v>4.8999999999999997E-6</v>
      </c>
      <c r="R393" s="380"/>
      <c r="S393" s="419">
        <v>-2462</v>
      </c>
      <c r="T393" s="419">
        <v>-2433</v>
      </c>
      <c r="U393" s="419">
        <v>-2556</v>
      </c>
      <c r="V393" s="419">
        <v>-3285</v>
      </c>
      <c r="W393" s="419">
        <v>0</v>
      </c>
      <c r="X393" s="380">
        <v>4.8999999999999997E-6</v>
      </c>
      <c r="Z393" s="419">
        <v>1963</v>
      </c>
      <c r="AA393" s="419">
        <v>1379</v>
      </c>
      <c r="AB393" s="419">
        <v>1379</v>
      </c>
      <c r="AC393" s="419">
        <v>0</v>
      </c>
      <c r="AD393" s="419">
        <v>0</v>
      </c>
      <c r="AE393" s="380">
        <v>4.8999999999999997E-6</v>
      </c>
      <c r="AF393" s="380"/>
      <c r="AG393" s="419">
        <v>4134</v>
      </c>
      <c r="AH393" s="419">
        <v>3283</v>
      </c>
      <c r="AI393" s="419">
        <v>1864</v>
      </c>
      <c r="AJ393" s="419">
        <v>0</v>
      </c>
      <c r="AK393" s="419">
        <v>0</v>
      </c>
      <c r="AL393" s="380">
        <v>4.8999999999999997E-6</v>
      </c>
      <c r="AM393" s="380"/>
      <c r="AN393" s="419">
        <v>0</v>
      </c>
      <c r="AO393" s="419">
        <v>0</v>
      </c>
      <c r="AP393" s="419">
        <v>0</v>
      </c>
      <c r="AQ393" s="419">
        <v>0</v>
      </c>
      <c r="AR393" s="419">
        <v>0</v>
      </c>
    </row>
    <row r="394" spans="1:44">
      <c r="A394" s="379">
        <v>94101</v>
      </c>
      <c r="B394" t="s">
        <v>1102</v>
      </c>
      <c r="C394" s="380">
        <v>1.7842E-2</v>
      </c>
      <c r="D394" s="380"/>
      <c r="E394" s="419">
        <v>2908624</v>
      </c>
      <c r="F394" s="419">
        <v>-473351</v>
      </c>
      <c r="G394" s="419">
        <v>-2515539</v>
      </c>
      <c r="H394" s="419">
        <v>-11962597</v>
      </c>
      <c r="I394" s="419">
        <v>0</v>
      </c>
      <c r="J394" s="380">
        <v>1.7842E-2</v>
      </c>
      <c r="K394" s="380"/>
      <c r="L394" s="419">
        <v>4367864</v>
      </c>
      <c r="M394" s="419">
        <v>3016583</v>
      </c>
      <c r="N394" s="419">
        <v>1320522</v>
      </c>
      <c r="O394" s="419">
        <v>0</v>
      </c>
      <c r="P394" s="419">
        <v>0</v>
      </c>
      <c r="Q394" s="380">
        <v>1.7842E-2</v>
      </c>
      <c r="R394" s="380"/>
      <c r="S394" s="419">
        <v>-8963250</v>
      </c>
      <c r="T394" s="419">
        <v>-8859534</v>
      </c>
      <c r="U394" s="419">
        <v>-9307297</v>
      </c>
      <c r="V394" s="419">
        <v>-11962597</v>
      </c>
      <c r="W394" s="419">
        <v>0</v>
      </c>
      <c r="X394" s="380">
        <v>1.7842E-2</v>
      </c>
      <c r="Z394" s="419">
        <v>7147541</v>
      </c>
      <c r="AA394" s="419">
        <v>5021542</v>
      </c>
      <c r="AB394" s="419">
        <v>5021506</v>
      </c>
      <c r="AC394" s="419">
        <v>0</v>
      </c>
      <c r="AD394" s="419">
        <v>0</v>
      </c>
      <c r="AE394" s="380">
        <v>1.7842E-2</v>
      </c>
      <c r="AF394" s="380"/>
      <c r="AG394" s="419">
        <v>458144</v>
      </c>
      <c r="AH394" s="419">
        <v>449730</v>
      </c>
      <c r="AI394" s="419">
        <v>449730</v>
      </c>
      <c r="AJ394" s="419">
        <v>0</v>
      </c>
      <c r="AK394" s="419">
        <v>0</v>
      </c>
      <c r="AL394" s="380">
        <v>1.7842E-2</v>
      </c>
      <c r="AM394" s="380"/>
      <c r="AN394" s="419">
        <v>-101675</v>
      </c>
      <c r="AO394" s="419">
        <v>-101672</v>
      </c>
      <c r="AP394" s="419">
        <v>0</v>
      </c>
      <c r="AQ394" s="419">
        <v>0</v>
      </c>
      <c r="AR394" s="419">
        <v>0</v>
      </c>
    </row>
    <row r="395" spans="1:44">
      <c r="A395" s="379">
        <v>94102</v>
      </c>
      <c r="B395" t="s">
        <v>1103</v>
      </c>
      <c r="C395" s="380">
        <v>3.4259999999999998E-4</v>
      </c>
      <c r="D395" s="380"/>
      <c r="E395" s="419">
        <v>12248</v>
      </c>
      <c r="F395" s="419">
        <v>-44878</v>
      </c>
      <c r="G395" s="419">
        <v>-92327</v>
      </c>
      <c r="H395" s="419">
        <v>-229704</v>
      </c>
      <c r="I395" s="419">
        <v>0</v>
      </c>
      <c r="J395" s="380">
        <v>3.4259999999999998E-4</v>
      </c>
      <c r="K395" s="380"/>
      <c r="L395" s="419">
        <v>83871</v>
      </c>
      <c r="M395" s="419">
        <v>57924</v>
      </c>
      <c r="N395" s="419">
        <v>25357</v>
      </c>
      <c r="O395" s="419">
        <v>0</v>
      </c>
      <c r="P395" s="419">
        <v>0</v>
      </c>
      <c r="Q395" s="380">
        <v>3.4259999999999998E-4</v>
      </c>
      <c r="R395" s="380"/>
      <c r="S395" s="419">
        <v>-172111</v>
      </c>
      <c r="T395" s="419">
        <v>-170120</v>
      </c>
      <c r="U395" s="419">
        <v>-178718</v>
      </c>
      <c r="V395" s="419">
        <v>-229704</v>
      </c>
      <c r="W395" s="419">
        <v>0</v>
      </c>
      <c r="X395" s="380">
        <v>3.4259999999999998E-4</v>
      </c>
      <c r="Z395" s="419">
        <v>137246</v>
      </c>
      <c r="AA395" s="419">
        <v>96423</v>
      </c>
      <c r="AB395" s="419">
        <v>96422</v>
      </c>
      <c r="AC395" s="419">
        <v>0</v>
      </c>
      <c r="AD395" s="419">
        <v>0</v>
      </c>
      <c r="AE395" s="380">
        <v>3.4259999999999998E-4</v>
      </c>
      <c r="AF395" s="380"/>
      <c r="AG395" s="419">
        <v>6283</v>
      </c>
      <c r="AH395" s="419">
        <v>6284</v>
      </c>
      <c r="AI395" s="419">
        <v>0</v>
      </c>
      <c r="AJ395" s="419">
        <v>0</v>
      </c>
      <c r="AK395" s="419">
        <v>0</v>
      </c>
      <c r="AL395" s="380">
        <v>3.4259999999999998E-4</v>
      </c>
      <c r="AM395" s="380"/>
      <c r="AN395" s="419">
        <v>-43041</v>
      </c>
      <c r="AO395" s="419">
        <v>-35389</v>
      </c>
      <c r="AP395" s="419">
        <v>-35388</v>
      </c>
      <c r="AQ395" s="419">
        <v>0</v>
      </c>
      <c r="AR395" s="419">
        <v>0</v>
      </c>
    </row>
    <row r="396" spans="1:44">
      <c r="A396" s="379">
        <v>94108</v>
      </c>
      <c r="B396" t="s">
        <v>1104</v>
      </c>
      <c r="C396" s="380">
        <v>3.9619999999999998E-4</v>
      </c>
      <c r="D396" s="380"/>
      <c r="E396" s="419">
        <v>18197</v>
      </c>
      <c r="F396" s="419">
        <v>-60114</v>
      </c>
      <c r="G396" s="419">
        <v>-95447</v>
      </c>
      <c r="H396" s="419">
        <v>-265642</v>
      </c>
      <c r="I396" s="419">
        <v>0</v>
      </c>
      <c r="J396" s="380">
        <v>3.9619999999999998E-4</v>
      </c>
      <c r="K396" s="380"/>
      <c r="L396" s="419">
        <v>96993</v>
      </c>
      <c r="M396" s="419">
        <v>66986</v>
      </c>
      <c r="N396" s="419">
        <v>29324</v>
      </c>
      <c r="O396" s="419">
        <v>0</v>
      </c>
      <c r="P396" s="419">
        <v>0</v>
      </c>
      <c r="Q396" s="380">
        <v>3.9619999999999998E-4</v>
      </c>
      <c r="R396" s="380"/>
      <c r="S396" s="419">
        <v>-199038</v>
      </c>
      <c r="T396" s="419">
        <v>-196735</v>
      </c>
      <c r="U396" s="419">
        <v>-206678</v>
      </c>
      <c r="V396" s="419">
        <v>-265642</v>
      </c>
      <c r="W396" s="419">
        <v>0</v>
      </c>
      <c r="X396" s="380">
        <v>3.9619999999999998E-4</v>
      </c>
      <c r="Z396" s="419">
        <v>158719</v>
      </c>
      <c r="AA396" s="419">
        <v>111509</v>
      </c>
      <c r="AB396" s="419">
        <v>111508</v>
      </c>
      <c r="AC396" s="419">
        <v>0</v>
      </c>
      <c r="AD396" s="419">
        <v>0</v>
      </c>
      <c r="AE396" s="380">
        <v>3.9619999999999998E-4</v>
      </c>
      <c r="AF396" s="380"/>
      <c r="AG396" s="419">
        <v>3398</v>
      </c>
      <c r="AH396" s="419">
        <v>0</v>
      </c>
      <c r="AI396" s="419">
        <v>0</v>
      </c>
      <c r="AJ396" s="419">
        <v>0</v>
      </c>
      <c r="AK396" s="419">
        <v>0</v>
      </c>
      <c r="AL396" s="380">
        <v>3.9619999999999998E-4</v>
      </c>
      <c r="AM396" s="380"/>
      <c r="AN396" s="419">
        <v>-41875</v>
      </c>
      <c r="AO396" s="419">
        <v>-41874</v>
      </c>
      <c r="AP396" s="419">
        <v>-29601</v>
      </c>
      <c r="AQ396" s="419">
        <v>0</v>
      </c>
      <c r="AR396" s="419">
        <v>0</v>
      </c>
    </row>
    <row r="397" spans="1:44">
      <c r="A397" s="379">
        <v>94109</v>
      </c>
      <c r="B397" t="s">
        <v>1105</v>
      </c>
      <c r="C397" s="380">
        <v>9.7399999999999996E-5</v>
      </c>
      <c r="D397" s="380"/>
      <c r="E397" s="419">
        <v>-479</v>
      </c>
      <c r="F397" s="419">
        <v>-17448</v>
      </c>
      <c r="G397" s="419">
        <v>-24138</v>
      </c>
      <c r="H397" s="419">
        <v>-65304</v>
      </c>
      <c r="I397" s="419">
        <v>0</v>
      </c>
      <c r="J397" s="380">
        <v>9.7399999999999996E-5</v>
      </c>
      <c r="K397" s="380"/>
      <c r="L397" s="419">
        <v>23844</v>
      </c>
      <c r="M397" s="419">
        <v>16468</v>
      </c>
      <c r="N397" s="419">
        <v>7209</v>
      </c>
      <c r="O397" s="419">
        <v>0</v>
      </c>
      <c r="P397" s="419">
        <v>0</v>
      </c>
      <c r="Q397" s="380">
        <v>9.7399999999999996E-5</v>
      </c>
      <c r="R397" s="380"/>
      <c r="S397" s="419">
        <v>-48931</v>
      </c>
      <c r="T397" s="419">
        <v>-48364</v>
      </c>
      <c r="U397" s="419">
        <v>-50809</v>
      </c>
      <c r="V397" s="419">
        <v>-65304</v>
      </c>
      <c r="W397" s="419">
        <v>0</v>
      </c>
      <c r="X397" s="380">
        <v>9.7399999999999996E-5</v>
      </c>
      <c r="Z397" s="419">
        <v>39019</v>
      </c>
      <c r="AA397" s="419">
        <v>27413</v>
      </c>
      <c r="AB397" s="419">
        <v>27413</v>
      </c>
      <c r="AC397" s="419">
        <v>0</v>
      </c>
      <c r="AD397" s="419">
        <v>0</v>
      </c>
      <c r="AE397" s="380">
        <v>9.7399999999999996E-5</v>
      </c>
      <c r="AF397" s="380"/>
      <c r="AG397" s="419">
        <v>0</v>
      </c>
      <c r="AH397" s="419">
        <v>0</v>
      </c>
      <c r="AI397" s="419">
        <v>0</v>
      </c>
      <c r="AJ397" s="419">
        <v>0</v>
      </c>
      <c r="AK397" s="419">
        <v>0</v>
      </c>
      <c r="AL397" s="380">
        <v>9.7399999999999996E-5</v>
      </c>
      <c r="AM397" s="380"/>
      <c r="AN397" s="419">
        <v>-14411</v>
      </c>
      <c r="AO397" s="419">
        <v>-12965</v>
      </c>
      <c r="AP397" s="419">
        <v>-7951</v>
      </c>
      <c r="AQ397" s="419">
        <v>0</v>
      </c>
      <c r="AR397" s="419">
        <v>0</v>
      </c>
    </row>
    <row r="398" spans="1:44">
      <c r="A398" s="379">
        <v>94111</v>
      </c>
      <c r="B398" t="s">
        <v>1106</v>
      </c>
      <c r="C398" s="380">
        <v>2.33067E-2</v>
      </c>
      <c r="D398" s="380"/>
      <c r="E398" s="419">
        <v>2380240</v>
      </c>
      <c r="F398" s="419">
        <v>-1859340</v>
      </c>
      <c r="G398" s="419">
        <v>-4346850</v>
      </c>
      <c r="H398" s="419">
        <v>-15626536</v>
      </c>
      <c r="I398" s="419">
        <v>0</v>
      </c>
      <c r="J398" s="380">
        <v>2.33067E-2</v>
      </c>
      <c r="K398" s="380"/>
      <c r="L398" s="419">
        <v>5705667</v>
      </c>
      <c r="M398" s="419">
        <v>3940510</v>
      </c>
      <c r="N398" s="419">
        <v>1724975</v>
      </c>
      <c r="O398" s="419">
        <v>0</v>
      </c>
      <c r="P398" s="419">
        <v>0</v>
      </c>
      <c r="Q398" s="380">
        <v>2.33067E-2</v>
      </c>
      <c r="R398" s="380"/>
      <c r="S398" s="419">
        <v>-11708540</v>
      </c>
      <c r="T398" s="419">
        <v>-11573058</v>
      </c>
      <c r="U398" s="419">
        <v>-12157963</v>
      </c>
      <c r="V398" s="419">
        <v>-15626536</v>
      </c>
      <c r="W398" s="419">
        <v>0</v>
      </c>
      <c r="X398" s="380">
        <v>2.33067E-2</v>
      </c>
      <c r="Z398" s="419">
        <v>9336711</v>
      </c>
      <c r="AA398" s="419">
        <v>6559554</v>
      </c>
      <c r="AB398" s="419">
        <v>6559508</v>
      </c>
      <c r="AC398" s="419">
        <v>0</v>
      </c>
      <c r="AD398" s="419">
        <v>0</v>
      </c>
      <c r="AE398" s="380">
        <v>2.33067E-2</v>
      </c>
      <c r="AF398" s="380"/>
      <c r="AG398" s="419">
        <v>0</v>
      </c>
      <c r="AH398" s="419">
        <v>0</v>
      </c>
      <c r="AI398" s="419">
        <v>0</v>
      </c>
      <c r="AJ398" s="419">
        <v>0</v>
      </c>
      <c r="AK398" s="419">
        <v>0</v>
      </c>
      <c r="AL398" s="380">
        <v>2.33067E-2</v>
      </c>
      <c r="AM398" s="380"/>
      <c r="AN398" s="419">
        <v>-953598</v>
      </c>
      <c r="AO398" s="419">
        <v>-786346</v>
      </c>
      <c r="AP398" s="419">
        <v>-473370</v>
      </c>
      <c r="AQ398" s="419">
        <v>0</v>
      </c>
      <c r="AR398" s="419">
        <v>0</v>
      </c>
    </row>
    <row r="399" spans="1:44">
      <c r="A399" s="379">
        <v>94112</v>
      </c>
      <c r="B399" t="s">
        <v>1107</v>
      </c>
      <c r="C399" s="380">
        <v>1.429E-4</v>
      </c>
      <c r="D399" s="380"/>
      <c r="E399" s="419">
        <v>5065</v>
      </c>
      <c r="F399" s="419">
        <v>-21068</v>
      </c>
      <c r="G399" s="419">
        <v>-29114</v>
      </c>
      <c r="H399" s="419">
        <v>-95811</v>
      </c>
      <c r="I399" s="419">
        <v>0</v>
      </c>
      <c r="J399" s="380">
        <v>1.429E-4</v>
      </c>
      <c r="K399" s="380"/>
      <c r="L399" s="419">
        <v>34983</v>
      </c>
      <c r="M399" s="419">
        <v>24160</v>
      </c>
      <c r="N399" s="419">
        <v>10576</v>
      </c>
      <c r="O399" s="419">
        <v>0</v>
      </c>
      <c r="P399" s="419">
        <v>0</v>
      </c>
      <c r="Q399" s="380">
        <v>1.429E-4</v>
      </c>
      <c r="R399" s="380"/>
      <c r="S399" s="419">
        <v>-71788</v>
      </c>
      <c r="T399" s="419">
        <v>-70958</v>
      </c>
      <c r="U399" s="419">
        <v>-74544</v>
      </c>
      <c r="V399" s="419">
        <v>-95811</v>
      </c>
      <c r="W399" s="419">
        <v>0</v>
      </c>
      <c r="X399" s="380">
        <v>1.429E-4</v>
      </c>
      <c r="Z399" s="419">
        <v>57246</v>
      </c>
      <c r="AA399" s="419">
        <v>40218</v>
      </c>
      <c r="AB399" s="419">
        <v>40218</v>
      </c>
      <c r="AC399" s="419">
        <v>0</v>
      </c>
      <c r="AD399" s="419">
        <v>0</v>
      </c>
      <c r="AE399" s="380">
        <v>1.429E-4</v>
      </c>
      <c r="AF399" s="380"/>
      <c r="AG399" s="419">
        <v>0</v>
      </c>
      <c r="AH399" s="419">
        <v>0</v>
      </c>
      <c r="AI399" s="419">
        <v>0</v>
      </c>
      <c r="AJ399" s="419">
        <v>0</v>
      </c>
      <c r="AK399" s="419">
        <v>0</v>
      </c>
      <c r="AL399" s="380">
        <v>1.429E-4</v>
      </c>
      <c r="AM399" s="380"/>
      <c r="AN399" s="419">
        <v>-15376</v>
      </c>
      <c r="AO399" s="419">
        <v>-14488</v>
      </c>
      <c r="AP399" s="419">
        <v>-5364</v>
      </c>
      <c r="AQ399" s="419">
        <v>0</v>
      </c>
      <c r="AR399" s="419">
        <v>0</v>
      </c>
    </row>
    <row r="400" spans="1:44">
      <c r="A400" s="379">
        <v>94117</v>
      </c>
      <c r="B400" t="s">
        <v>1108</v>
      </c>
      <c r="C400" s="380">
        <v>3.5599999999999998E-4</v>
      </c>
      <c r="D400" s="380"/>
      <c r="E400" s="419">
        <v>85335</v>
      </c>
      <c r="F400" s="419">
        <v>23976</v>
      </c>
      <c r="G400" s="419">
        <v>-26718</v>
      </c>
      <c r="H400" s="419">
        <v>-238689</v>
      </c>
      <c r="I400" s="419">
        <v>0</v>
      </c>
      <c r="J400" s="380">
        <v>3.5599999999999998E-4</v>
      </c>
      <c r="K400" s="380"/>
      <c r="L400" s="419">
        <v>87152</v>
      </c>
      <c r="M400" s="419">
        <v>60190</v>
      </c>
      <c r="N400" s="419">
        <v>26348</v>
      </c>
      <c r="O400" s="419">
        <v>0</v>
      </c>
      <c r="P400" s="419">
        <v>0</v>
      </c>
      <c r="Q400" s="380">
        <v>3.5599999999999998E-4</v>
      </c>
      <c r="R400" s="380"/>
      <c r="S400" s="419">
        <v>-178843</v>
      </c>
      <c r="T400" s="419">
        <v>-176774</v>
      </c>
      <c r="U400" s="419">
        <v>-185708</v>
      </c>
      <c r="V400" s="419">
        <v>-238689</v>
      </c>
      <c r="W400" s="419">
        <v>0</v>
      </c>
      <c r="X400" s="380">
        <v>3.5599999999999998E-4</v>
      </c>
      <c r="Z400" s="419">
        <v>142614</v>
      </c>
      <c r="AA400" s="419">
        <v>100194</v>
      </c>
      <c r="AB400" s="419">
        <v>100194</v>
      </c>
      <c r="AC400" s="419">
        <v>0</v>
      </c>
      <c r="AD400" s="419">
        <v>0</v>
      </c>
      <c r="AE400" s="380">
        <v>3.5599999999999998E-4</v>
      </c>
      <c r="AF400" s="380"/>
      <c r="AG400" s="419">
        <v>42257</v>
      </c>
      <c r="AH400" s="419">
        <v>42257</v>
      </c>
      <c r="AI400" s="419">
        <v>32448</v>
      </c>
      <c r="AJ400" s="419">
        <v>0</v>
      </c>
      <c r="AK400" s="419">
        <v>0</v>
      </c>
      <c r="AL400" s="380">
        <v>3.5599999999999998E-4</v>
      </c>
      <c r="AM400" s="380"/>
      <c r="AN400" s="419">
        <v>-7845</v>
      </c>
      <c r="AO400" s="419">
        <v>-1891</v>
      </c>
      <c r="AP400" s="419">
        <v>0</v>
      </c>
      <c r="AQ400" s="419">
        <v>0</v>
      </c>
      <c r="AR400" s="419">
        <v>0</v>
      </c>
    </row>
    <row r="401" spans="1:44">
      <c r="A401" s="379">
        <v>94118</v>
      </c>
      <c r="B401" t="s">
        <v>1109</v>
      </c>
      <c r="C401" s="380">
        <v>1.5090000000000001E-4</v>
      </c>
      <c r="D401" s="380"/>
      <c r="E401" s="419">
        <v>7406</v>
      </c>
      <c r="F401" s="419">
        <v>-20278</v>
      </c>
      <c r="G401" s="419">
        <v>-29392</v>
      </c>
      <c r="H401" s="419">
        <v>-101175</v>
      </c>
      <c r="I401" s="419">
        <v>0</v>
      </c>
      <c r="J401" s="380">
        <v>1.5090000000000001E-4</v>
      </c>
      <c r="K401" s="380"/>
      <c r="L401" s="419">
        <v>36942</v>
      </c>
      <c r="M401" s="419">
        <v>25513</v>
      </c>
      <c r="N401" s="419">
        <v>11168</v>
      </c>
      <c r="O401" s="419">
        <v>0</v>
      </c>
      <c r="P401" s="419">
        <v>0</v>
      </c>
      <c r="Q401" s="380">
        <v>1.5090000000000001E-4</v>
      </c>
      <c r="R401" s="380"/>
      <c r="S401" s="419">
        <v>-75807</v>
      </c>
      <c r="T401" s="419">
        <v>-74930</v>
      </c>
      <c r="U401" s="419">
        <v>-78717</v>
      </c>
      <c r="V401" s="419">
        <v>-101175</v>
      </c>
      <c r="W401" s="419">
        <v>0</v>
      </c>
      <c r="X401" s="380">
        <v>1.5090000000000001E-4</v>
      </c>
      <c r="Z401" s="419">
        <v>60451</v>
      </c>
      <c r="AA401" s="419">
        <v>42470</v>
      </c>
      <c r="AB401" s="419">
        <v>42470</v>
      </c>
      <c r="AC401" s="419">
        <v>0</v>
      </c>
      <c r="AD401" s="419">
        <v>0</v>
      </c>
      <c r="AE401" s="380">
        <v>1.5090000000000001E-4</v>
      </c>
      <c r="AF401" s="380"/>
      <c r="AG401" s="419">
        <v>0</v>
      </c>
      <c r="AH401" s="419">
        <v>0</v>
      </c>
      <c r="AI401" s="419">
        <v>0</v>
      </c>
      <c r="AJ401" s="419">
        <v>0</v>
      </c>
      <c r="AK401" s="419">
        <v>0</v>
      </c>
      <c r="AL401" s="380">
        <v>1.5090000000000001E-4</v>
      </c>
      <c r="AM401" s="380"/>
      <c r="AN401" s="419">
        <v>-14180</v>
      </c>
      <c r="AO401" s="419">
        <v>-13331</v>
      </c>
      <c r="AP401" s="419">
        <v>-4313</v>
      </c>
      <c r="AQ401" s="419">
        <v>0</v>
      </c>
      <c r="AR401" s="419">
        <v>0</v>
      </c>
    </row>
    <row r="402" spans="1:44">
      <c r="A402" s="379">
        <v>94121</v>
      </c>
      <c r="B402" t="s">
        <v>1110</v>
      </c>
      <c r="C402" s="380">
        <v>1.06166E-2</v>
      </c>
      <c r="D402" s="380"/>
      <c r="E402" s="419">
        <v>1495770</v>
      </c>
      <c r="F402" s="419">
        <v>-546093</v>
      </c>
      <c r="G402" s="419">
        <v>-1920237</v>
      </c>
      <c r="H402" s="419">
        <v>-7118154</v>
      </c>
      <c r="I402" s="419">
        <v>0</v>
      </c>
      <c r="J402" s="380">
        <v>1.06166E-2</v>
      </c>
      <c r="K402" s="380"/>
      <c r="L402" s="419">
        <v>2599029</v>
      </c>
      <c r="M402" s="419">
        <v>1794970</v>
      </c>
      <c r="N402" s="419">
        <v>785756</v>
      </c>
      <c r="O402" s="419">
        <v>0</v>
      </c>
      <c r="P402" s="419">
        <v>0</v>
      </c>
      <c r="Q402" s="380">
        <v>1.06166E-2</v>
      </c>
      <c r="R402" s="380"/>
      <c r="S402" s="419">
        <v>-5333440</v>
      </c>
      <c r="T402" s="419">
        <v>-5271726</v>
      </c>
      <c r="U402" s="419">
        <v>-5538160</v>
      </c>
      <c r="V402" s="419">
        <v>-7118154</v>
      </c>
      <c r="W402" s="419">
        <v>0</v>
      </c>
      <c r="X402" s="380">
        <v>1.06166E-2</v>
      </c>
      <c r="Z402" s="419">
        <v>4253031</v>
      </c>
      <c r="AA402" s="419">
        <v>2987989</v>
      </c>
      <c r="AB402" s="419">
        <v>2987968</v>
      </c>
      <c r="AC402" s="419">
        <v>0</v>
      </c>
      <c r="AD402" s="419">
        <v>0</v>
      </c>
      <c r="AE402" s="380">
        <v>1.06166E-2</v>
      </c>
      <c r="AF402" s="380"/>
      <c r="AG402" s="419">
        <v>132950</v>
      </c>
      <c r="AH402" s="419">
        <v>98474</v>
      </c>
      <c r="AI402" s="419">
        <v>0</v>
      </c>
      <c r="AJ402" s="419">
        <v>0</v>
      </c>
      <c r="AK402" s="419">
        <v>0</v>
      </c>
      <c r="AL402" s="380">
        <v>1.06166E-2</v>
      </c>
      <c r="AM402" s="380"/>
      <c r="AN402" s="419">
        <v>-155800</v>
      </c>
      <c r="AO402" s="419">
        <v>-155800</v>
      </c>
      <c r="AP402" s="419">
        <v>-155801</v>
      </c>
      <c r="AQ402" s="419">
        <v>0</v>
      </c>
      <c r="AR402" s="419">
        <v>0</v>
      </c>
    </row>
    <row r="403" spans="1:44">
      <c r="A403" s="379">
        <v>94127</v>
      </c>
      <c r="B403" t="s">
        <v>1111</v>
      </c>
      <c r="C403" s="380">
        <v>1.9210000000000001E-4</v>
      </c>
      <c r="D403" s="380"/>
      <c r="E403" s="419">
        <v>54388</v>
      </c>
      <c r="F403" s="419">
        <v>21188</v>
      </c>
      <c r="G403" s="419">
        <v>-4733</v>
      </c>
      <c r="H403" s="419">
        <v>-128798</v>
      </c>
      <c r="I403" s="419">
        <v>0</v>
      </c>
      <c r="J403" s="380">
        <v>1.9210000000000001E-4</v>
      </c>
      <c r="K403" s="380"/>
      <c r="L403" s="419">
        <v>47028</v>
      </c>
      <c r="M403" s="419">
        <v>32479</v>
      </c>
      <c r="N403" s="419">
        <v>14218</v>
      </c>
      <c r="O403" s="419">
        <v>0</v>
      </c>
      <c r="P403" s="419">
        <v>0</v>
      </c>
      <c r="Q403" s="380">
        <v>1.9210000000000001E-4</v>
      </c>
      <c r="R403" s="380"/>
      <c r="S403" s="419">
        <v>-96505</v>
      </c>
      <c r="T403" s="419">
        <v>-95388</v>
      </c>
      <c r="U403" s="419">
        <v>-100209</v>
      </c>
      <c r="V403" s="419">
        <v>-128798</v>
      </c>
      <c r="W403" s="419">
        <v>0</v>
      </c>
      <c r="X403" s="380">
        <v>1.9210000000000001E-4</v>
      </c>
      <c r="Z403" s="419">
        <v>76956</v>
      </c>
      <c r="AA403" s="419">
        <v>54066</v>
      </c>
      <c r="AB403" s="419">
        <v>54065</v>
      </c>
      <c r="AC403" s="419">
        <v>0</v>
      </c>
      <c r="AD403" s="419">
        <v>0</v>
      </c>
      <c r="AE403" s="380">
        <v>1.9210000000000001E-4</v>
      </c>
      <c r="AF403" s="380"/>
      <c r="AG403" s="419">
        <v>31511</v>
      </c>
      <c r="AH403" s="419">
        <v>31512</v>
      </c>
      <c r="AI403" s="419">
        <v>27193</v>
      </c>
      <c r="AJ403" s="419">
        <v>0</v>
      </c>
      <c r="AK403" s="419">
        <v>0</v>
      </c>
      <c r="AL403" s="380">
        <v>1.9210000000000001E-4</v>
      </c>
      <c r="AM403" s="380"/>
      <c r="AN403" s="419">
        <v>-4602</v>
      </c>
      <c r="AO403" s="419">
        <v>-1481</v>
      </c>
      <c r="AP403" s="419">
        <v>0</v>
      </c>
      <c r="AQ403" s="419">
        <v>0</v>
      </c>
      <c r="AR403" s="419">
        <v>0</v>
      </c>
    </row>
    <row r="404" spans="1:44">
      <c r="A404" s="379">
        <v>94131</v>
      </c>
      <c r="B404" t="s">
        <v>1112</v>
      </c>
      <c r="C404" s="380">
        <v>2.0560000000000001E-4</v>
      </c>
      <c r="D404" s="380"/>
      <c r="E404" s="419">
        <v>35806</v>
      </c>
      <c r="F404" s="419">
        <v>-9237</v>
      </c>
      <c r="G404" s="419">
        <v>-36680</v>
      </c>
      <c r="H404" s="419">
        <v>-137849</v>
      </c>
      <c r="I404" s="419">
        <v>0</v>
      </c>
      <c r="J404" s="380">
        <v>2.0560000000000001E-4</v>
      </c>
      <c r="K404" s="380"/>
      <c r="L404" s="419">
        <v>50333</v>
      </c>
      <c r="M404" s="419">
        <v>34761</v>
      </c>
      <c r="N404" s="419">
        <v>15217</v>
      </c>
      <c r="O404" s="419">
        <v>0</v>
      </c>
      <c r="P404" s="419">
        <v>0</v>
      </c>
      <c r="Q404" s="380">
        <v>2.0560000000000001E-4</v>
      </c>
      <c r="R404" s="380"/>
      <c r="S404" s="419">
        <v>-103287</v>
      </c>
      <c r="T404" s="419">
        <v>-102092</v>
      </c>
      <c r="U404" s="419">
        <v>-107251</v>
      </c>
      <c r="V404" s="419">
        <v>-137849</v>
      </c>
      <c r="W404" s="419">
        <v>0</v>
      </c>
      <c r="X404" s="380">
        <v>2.0560000000000001E-4</v>
      </c>
      <c r="Z404" s="419">
        <v>82364</v>
      </c>
      <c r="AA404" s="419">
        <v>57865</v>
      </c>
      <c r="AB404" s="419">
        <v>57865</v>
      </c>
      <c r="AC404" s="419">
        <v>0</v>
      </c>
      <c r="AD404" s="419">
        <v>0</v>
      </c>
      <c r="AE404" s="380">
        <v>2.0560000000000001E-4</v>
      </c>
      <c r="AF404" s="380"/>
      <c r="AG404" s="419">
        <v>8909</v>
      </c>
      <c r="AH404" s="419">
        <v>2742</v>
      </c>
      <c r="AI404" s="419">
        <v>0</v>
      </c>
      <c r="AJ404" s="419">
        <v>0</v>
      </c>
      <c r="AK404" s="419">
        <v>0</v>
      </c>
      <c r="AL404" s="380">
        <v>2.0560000000000001E-4</v>
      </c>
      <c r="AM404" s="380"/>
      <c r="AN404" s="419">
        <v>-2513</v>
      </c>
      <c r="AO404" s="419">
        <v>-2513</v>
      </c>
      <c r="AP404" s="419">
        <v>-2511</v>
      </c>
      <c r="AQ404" s="419">
        <v>0</v>
      </c>
      <c r="AR404" s="419">
        <v>0</v>
      </c>
    </row>
    <row r="405" spans="1:44">
      <c r="A405" s="379">
        <v>94151</v>
      </c>
      <c r="B405" t="s">
        <v>1113</v>
      </c>
      <c r="C405" s="380">
        <v>4.5780000000000001E-4</v>
      </c>
      <c r="D405" s="380"/>
      <c r="E405" s="419">
        <v>55780</v>
      </c>
      <c r="F405" s="419">
        <v>-33817</v>
      </c>
      <c r="G405" s="419">
        <v>-67441</v>
      </c>
      <c r="H405" s="419">
        <v>-306943</v>
      </c>
      <c r="I405" s="419">
        <v>0</v>
      </c>
      <c r="J405" s="380">
        <v>4.5780000000000001E-4</v>
      </c>
      <c r="K405" s="380"/>
      <c r="L405" s="419">
        <v>112073</v>
      </c>
      <c r="M405" s="419">
        <v>77401</v>
      </c>
      <c r="N405" s="419">
        <v>33883</v>
      </c>
      <c r="O405" s="419">
        <v>0</v>
      </c>
      <c r="P405" s="419">
        <v>0</v>
      </c>
      <c r="Q405" s="380">
        <v>4.5780000000000001E-4</v>
      </c>
      <c r="R405" s="380"/>
      <c r="S405" s="419">
        <v>-229984</v>
      </c>
      <c r="T405" s="419">
        <v>-227323</v>
      </c>
      <c r="U405" s="419">
        <v>-238812</v>
      </c>
      <c r="V405" s="419">
        <v>-306943</v>
      </c>
      <c r="W405" s="419">
        <v>0</v>
      </c>
      <c r="X405" s="380">
        <v>4.5780000000000001E-4</v>
      </c>
      <c r="Z405" s="419">
        <v>183396</v>
      </c>
      <c r="AA405" s="419">
        <v>128846</v>
      </c>
      <c r="AB405" s="419">
        <v>128845</v>
      </c>
      <c r="AC405" s="419">
        <v>0</v>
      </c>
      <c r="AD405" s="419">
        <v>0</v>
      </c>
      <c r="AE405" s="380">
        <v>4.5780000000000001E-4</v>
      </c>
      <c r="AF405" s="380"/>
      <c r="AG405" s="419">
        <v>11680</v>
      </c>
      <c r="AH405" s="419">
        <v>8644</v>
      </c>
      <c r="AI405" s="419">
        <v>8643</v>
      </c>
      <c r="AJ405" s="419">
        <v>0</v>
      </c>
      <c r="AK405" s="419">
        <v>0</v>
      </c>
      <c r="AL405" s="380">
        <v>4.5780000000000001E-4</v>
      </c>
      <c r="AM405" s="380"/>
      <c r="AN405" s="419">
        <v>-21385</v>
      </c>
      <c r="AO405" s="419">
        <v>-21385</v>
      </c>
      <c r="AP405" s="419">
        <v>0</v>
      </c>
      <c r="AQ405" s="419">
        <v>0</v>
      </c>
      <c r="AR405" s="419">
        <v>0</v>
      </c>
    </row>
    <row r="406" spans="1:44">
      <c r="A406" s="379">
        <v>94157</v>
      </c>
      <c r="B406" t="s">
        <v>1114</v>
      </c>
      <c r="C406" s="380">
        <v>1.84E-5</v>
      </c>
      <c r="D406" s="380"/>
      <c r="E406" s="419">
        <v>7891</v>
      </c>
      <c r="F406" s="419">
        <v>4282</v>
      </c>
      <c r="G406" s="419">
        <v>1021</v>
      </c>
      <c r="H406" s="419">
        <v>-12337</v>
      </c>
      <c r="I406" s="419">
        <v>0</v>
      </c>
      <c r="J406" s="380">
        <v>1.84E-5</v>
      </c>
      <c r="K406" s="380"/>
      <c r="L406" s="419">
        <v>4504</v>
      </c>
      <c r="M406" s="419">
        <v>3111</v>
      </c>
      <c r="N406" s="419">
        <v>1362</v>
      </c>
      <c r="O406" s="419">
        <v>0</v>
      </c>
      <c r="P406" s="419">
        <v>0</v>
      </c>
      <c r="Q406" s="380">
        <v>1.84E-5</v>
      </c>
      <c r="R406" s="380"/>
      <c r="S406" s="419">
        <v>-9244</v>
      </c>
      <c r="T406" s="419">
        <v>-9137</v>
      </c>
      <c r="U406" s="419">
        <v>-9598</v>
      </c>
      <c r="V406" s="419">
        <v>-12337</v>
      </c>
      <c r="W406" s="419">
        <v>0</v>
      </c>
      <c r="X406" s="380">
        <v>1.84E-5</v>
      </c>
      <c r="Z406" s="419">
        <v>7371</v>
      </c>
      <c r="AA406" s="419">
        <v>5179</v>
      </c>
      <c r="AB406" s="419">
        <v>5179</v>
      </c>
      <c r="AC406" s="419">
        <v>0</v>
      </c>
      <c r="AD406" s="419">
        <v>0</v>
      </c>
      <c r="AE406" s="380">
        <v>1.84E-5</v>
      </c>
      <c r="AF406" s="380"/>
      <c r="AG406" s="419">
        <v>5260</v>
      </c>
      <c r="AH406" s="419">
        <v>5129</v>
      </c>
      <c r="AI406" s="419">
        <v>4078</v>
      </c>
      <c r="AJ406" s="419">
        <v>0</v>
      </c>
      <c r="AK406" s="419">
        <v>0</v>
      </c>
      <c r="AL406" s="380">
        <v>1.84E-5</v>
      </c>
      <c r="AM406" s="380"/>
      <c r="AN406" s="419">
        <v>0</v>
      </c>
      <c r="AO406" s="419">
        <v>0</v>
      </c>
      <c r="AP406" s="419">
        <v>0</v>
      </c>
      <c r="AQ406" s="419">
        <v>0</v>
      </c>
      <c r="AR406" s="419">
        <v>0</v>
      </c>
    </row>
    <row r="407" spans="1:44">
      <c r="A407" s="379">
        <v>94161</v>
      </c>
      <c r="B407" t="s">
        <v>1115</v>
      </c>
      <c r="C407" s="380">
        <v>5.3900000000000002E-5</v>
      </c>
      <c r="D407" s="380"/>
      <c r="E407" s="419">
        <v>13772</v>
      </c>
      <c r="F407" s="419">
        <v>5447</v>
      </c>
      <c r="G407" s="419">
        <v>-5408</v>
      </c>
      <c r="H407" s="419">
        <v>-36139</v>
      </c>
      <c r="I407" s="419">
        <v>0</v>
      </c>
      <c r="J407" s="380">
        <v>5.3900000000000002E-5</v>
      </c>
      <c r="K407" s="380"/>
      <c r="L407" s="419">
        <v>13195</v>
      </c>
      <c r="M407" s="419">
        <v>9113</v>
      </c>
      <c r="N407" s="419">
        <v>3989</v>
      </c>
      <c r="O407" s="419">
        <v>0</v>
      </c>
      <c r="P407" s="419">
        <v>0</v>
      </c>
      <c r="Q407" s="380">
        <v>5.3900000000000002E-5</v>
      </c>
      <c r="R407" s="380"/>
      <c r="S407" s="419">
        <v>-27078</v>
      </c>
      <c r="T407" s="419">
        <v>-26764</v>
      </c>
      <c r="U407" s="419">
        <v>-28117</v>
      </c>
      <c r="V407" s="419">
        <v>-36139</v>
      </c>
      <c r="W407" s="419">
        <v>0</v>
      </c>
      <c r="X407" s="380">
        <v>5.3900000000000002E-5</v>
      </c>
      <c r="Z407" s="419">
        <v>21592</v>
      </c>
      <c r="AA407" s="419">
        <v>15170</v>
      </c>
      <c r="AB407" s="419">
        <v>15170</v>
      </c>
      <c r="AC407" s="419">
        <v>0</v>
      </c>
      <c r="AD407" s="419">
        <v>0</v>
      </c>
      <c r="AE407" s="380">
        <v>5.3900000000000002E-5</v>
      </c>
      <c r="AF407" s="380"/>
      <c r="AG407" s="419">
        <v>7928</v>
      </c>
      <c r="AH407" s="419">
        <v>7928</v>
      </c>
      <c r="AI407" s="419">
        <v>3550</v>
      </c>
      <c r="AJ407" s="419">
        <v>0</v>
      </c>
      <c r="AK407" s="419">
        <v>0</v>
      </c>
      <c r="AL407" s="380">
        <v>5.3900000000000002E-5</v>
      </c>
      <c r="AM407" s="380"/>
      <c r="AN407" s="419">
        <v>-1865</v>
      </c>
      <c r="AO407" s="419">
        <v>0</v>
      </c>
      <c r="AP407" s="419">
        <v>0</v>
      </c>
      <c r="AQ407" s="419">
        <v>0</v>
      </c>
      <c r="AR407" s="419">
        <v>0</v>
      </c>
    </row>
    <row r="408" spans="1:44">
      <c r="A408" s="379">
        <v>94168</v>
      </c>
      <c r="B408" t="s">
        <v>1116</v>
      </c>
      <c r="C408" s="380">
        <v>7.7999999999999999E-5</v>
      </c>
      <c r="D408" s="380"/>
      <c r="E408" s="419">
        <v>23711</v>
      </c>
      <c r="F408" s="419">
        <v>4974</v>
      </c>
      <c r="G408" s="419">
        <v>-8756</v>
      </c>
      <c r="H408" s="419">
        <v>-52297</v>
      </c>
      <c r="I408" s="419">
        <v>0</v>
      </c>
      <c r="J408" s="380">
        <v>7.7999999999999999E-5</v>
      </c>
      <c r="K408" s="380"/>
      <c r="L408" s="419">
        <v>19095</v>
      </c>
      <c r="M408" s="419">
        <v>13188</v>
      </c>
      <c r="N408" s="419">
        <v>5773</v>
      </c>
      <c r="O408" s="419">
        <v>0</v>
      </c>
      <c r="P408" s="419">
        <v>0</v>
      </c>
      <c r="Q408" s="380">
        <v>7.7999999999999999E-5</v>
      </c>
      <c r="R408" s="380"/>
      <c r="S408" s="419">
        <v>-39185</v>
      </c>
      <c r="T408" s="419">
        <v>-38731</v>
      </c>
      <c r="U408" s="419">
        <v>-40689</v>
      </c>
      <c r="V408" s="419">
        <v>-52297</v>
      </c>
      <c r="W408" s="419">
        <v>0</v>
      </c>
      <c r="X408" s="380">
        <v>7.7999999999999999E-5</v>
      </c>
      <c r="Z408" s="419">
        <v>31247</v>
      </c>
      <c r="AA408" s="419">
        <v>21953</v>
      </c>
      <c r="AB408" s="419">
        <v>21953</v>
      </c>
      <c r="AC408" s="419">
        <v>0</v>
      </c>
      <c r="AD408" s="419">
        <v>0</v>
      </c>
      <c r="AE408" s="380">
        <v>7.7999999999999999E-5</v>
      </c>
      <c r="AF408" s="380"/>
      <c r="AG408" s="419">
        <v>12554</v>
      </c>
      <c r="AH408" s="419">
        <v>8564</v>
      </c>
      <c r="AI408" s="419">
        <v>4207</v>
      </c>
      <c r="AJ408" s="419">
        <v>0</v>
      </c>
      <c r="AK408" s="419">
        <v>0</v>
      </c>
      <c r="AL408" s="380">
        <v>7.7999999999999999E-5</v>
      </c>
      <c r="AM408" s="380"/>
      <c r="AN408" s="419">
        <v>0</v>
      </c>
      <c r="AO408" s="419">
        <v>0</v>
      </c>
      <c r="AP408" s="419">
        <v>0</v>
      </c>
      <c r="AQ408" s="419">
        <v>0</v>
      </c>
      <c r="AR408" s="419">
        <v>0</v>
      </c>
    </row>
    <row r="409" spans="1:44">
      <c r="A409" s="379">
        <v>94171</v>
      </c>
      <c r="B409" t="s">
        <v>1117</v>
      </c>
      <c r="C409" s="380">
        <v>7.6500000000000003E-5</v>
      </c>
      <c r="D409" s="380"/>
      <c r="E409" s="419">
        <v>10892</v>
      </c>
      <c r="F409" s="419">
        <v>-4027</v>
      </c>
      <c r="G409" s="419">
        <v>-11129</v>
      </c>
      <c r="H409" s="419">
        <v>-51291</v>
      </c>
      <c r="I409" s="419">
        <v>0</v>
      </c>
      <c r="J409" s="380">
        <v>7.6500000000000003E-5</v>
      </c>
      <c r="K409" s="380"/>
      <c r="L409" s="419">
        <v>18728</v>
      </c>
      <c r="M409" s="419">
        <v>12934</v>
      </c>
      <c r="N409" s="419">
        <v>5662</v>
      </c>
      <c r="O409" s="419">
        <v>0</v>
      </c>
      <c r="P409" s="419">
        <v>0</v>
      </c>
      <c r="Q409" s="380">
        <v>7.6500000000000003E-5</v>
      </c>
      <c r="R409" s="380"/>
      <c r="S409" s="419">
        <v>-38431</v>
      </c>
      <c r="T409" s="419">
        <v>-37986</v>
      </c>
      <c r="U409" s="419">
        <v>-39906</v>
      </c>
      <c r="V409" s="419">
        <v>-51291</v>
      </c>
      <c r="W409" s="419">
        <v>0</v>
      </c>
      <c r="X409" s="380">
        <v>7.6500000000000003E-5</v>
      </c>
      <c r="Z409" s="419">
        <v>30646</v>
      </c>
      <c r="AA409" s="419">
        <v>21531</v>
      </c>
      <c r="AB409" s="419">
        <v>21530</v>
      </c>
      <c r="AC409" s="419">
        <v>0</v>
      </c>
      <c r="AD409" s="419">
        <v>0</v>
      </c>
      <c r="AE409" s="380">
        <v>7.6500000000000003E-5</v>
      </c>
      <c r="AF409" s="380"/>
      <c r="AG409" s="419">
        <v>4096</v>
      </c>
      <c r="AH409" s="419">
        <v>3640</v>
      </c>
      <c r="AI409" s="419">
        <v>1585</v>
      </c>
      <c r="AJ409" s="419">
        <v>0</v>
      </c>
      <c r="AK409" s="419">
        <v>0</v>
      </c>
      <c r="AL409" s="380">
        <v>7.6500000000000003E-5</v>
      </c>
      <c r="AM409" s="380"/>
      <c r="AN409" s="419">
        <v>-4147</v>
      </c>
      <c r="AO409" s="419">
        <v>-4146</v>
      </c>
      <c r="AP409" s="419">
        <v>0</v>
      </c>
      <c r="AQ409" s="419">
        <v>0</v>
      </c>
      <c r="AR409" s="419">
        <v>0</v>
      </c>
    </row>
    <row r="410" spans="1:44">
      <c r="A410" s="379">
        <v>94172</v>
      </c>
      <c r="B410" t="s">
        <v>1118</v>
      </c>
      <c r="C410" s="380">
        <v>2.9910000000000001E-4</v>
      </c>
      <c r="D410" s="380"/>
      <c r="E410" s="419">
        <v>25967</v>
      </c>
      <c r="F410" s="419">
        <v>-27357</v>
      </c>
      <c r="G410" s="419">
        <v>-42753</v>
      </c>
      <c r="H410" s="419">
        <v>-200539</v>
      </c>
      <c r="I410" s="419">
        <v>0</v>
      </c>
      <c r="J410" s="380">
        <v>2.9910000000000001E-4</v>
      </c>
      <c r="K410" s="380"/>
      <c r="L410" s="419">
        <v>73222</v>
      </c>
      <c r="M410" s="419">
        <v>50569</v>
      </c>
      <c r="N410" s="419">
        <v>22137</v>
      </c>
      <c r="O410" s="419">
        <v>0</v>
      </c>
      <c r="P410" s="419">
        <v>0</v>
      </c>
      <c r="Q410" s="380">
        <v>2.9910000000000001E-4</v>
      </c>
      <c r="R410" s="380"/>
      <c r="S410" s="419">
        <v>-150258</v>
      </c>
      <c r="T410" s="419">
        <v>-148520</v>
      </c>
      <c r="U410" s="419">
        <v>-156026</v>
      </c>
      <c r="V410" s="419">
        <v>-200539</v>
      </c>
      <c r="W410" s="419">
        <v>0</v>
      </c>
      <c r="X410" s="380">
        <v>2.9910000000000001E-4</v>
      </c>
      <c r="Z410" s="419">
        <v>119820</v>
      </c>
      <c r="AA410" s="419">
        <v>84180</v>
      </c>
      <c r="AB410" s="419">
        <v>84180</v>
      </c>
      <c r="AC410" s="419">
        <v>0</v>
      </c>
      <c r="AD410" s="419">
        <v>0</v>
      </c>
      <c r="AE410" s="380">
        <v>2.9910000000000001E-4</v>
      </c>
      <c r="AF410" s="380"/>
      <c r="AG410" s="419">
        <v>6958</v>
      </c>
      <c r="AH410" s="419">
        <v>6958</v>
      </c>
      <c r="AI410" s="419">
        <v>6956</v>
      </c>
      <c r="AJ410" s="419">
        <v>0</v>
      </c>
      <c r="AK410" s="419">
        <v>0</v>
      </c>
      <c r="AL410" s="380">
        <v>2.9910000000000001E-4</v>
      </c>
      <c r="AM410" s="380"/>
      <c r="AN410" s="419">
        <v>-23775</v>
      </c>
      <c r="AO410" s="419">
        <v>-20544</v>
      </c>
      <c r="AP410" s="419">
        <v>0</v>
      </c>
      <c r="AQ410" s="419">
        <v>0</v>
      </c>
      <c r="AR410" s="419">
        <v>0</v>
      </c>
    </row>
    <row r="411" spans="1:44">
      <c r="A411" s="379">
        <v>94201</v>
      </c>
      <c r="B411" t="s">
        <v>1119</v>
      </c>
      <c r="C411" s="380">
        <v>2.9031E-3</v>
      </c>
      <c r="D411" s="380"/>
      <c r="E411" s="419">
        <v>299733</v>
      </c>
      <c r="F411" s="419">
        <v>-240829</v>
      </c>
      <c r="G411" s="419">
        <v>-517014</v>
      </c>
      <c r="H411" s="419">
        <v>-1946453</v>
      </c>
      <c r="I411" s="419">
        <v>0</v>
      </c>
      <c r="J411" s="380">
        <v>2.9031E-3</v>
      </c>
      <c r="K411" s="380"/>
      <c r="L411" s="419">
        <v>710702</v>
      </c>
      <c r="M411" s="419">
        <v>490833</v>
      </c>
      <c r="N411" s="419">
        <v>214864</v>
      </c>
      <c r="O411" s="419">
        <v>0</v>
      </c>
      <c r="P411" s="419">
        <v>0</v>
      </c>
      <c r="Q411" s="380">
        <v>2.9031E-3</v>
      </c>
      <c r="R411" s="380"/>
      <c r="S411" s="419">
        <v>-1458425</v>
      </c>
      <c r="T411" s="419">
        <v>-1441549</v>
      </c>
      <c r="U411" s="419">
        <v>-1514405</v>
      </c>
      <c r="V411" s="419">
        <v>-1946453</v>
      </c>
      <c r="W411" s="419">
        <v>0</v>
      </c>
      <c r="X411" s="380">
        <v>2.9031E-3</v>
      </c>
      <c r="Z411" s="419">
        <v>1162988</v>
      </c>
      <c r="AA411" s="419">
        <v>817063</v>
      </c>
      <c r="AB411" s="419">
        <v>817057</v>
      </c>
      <c r="AC411" s="419">
        <v>0</v>
      </c>
      <c r="AD411" s="419">
        <v>0</v>
      </c>
      <c r="AE411" s="380">
        <v>2.9031E-3</v>
      </c>
      <c r="AF411" s="380"/>
      <c r="AG411" s="419">
        <v>2616</v>
      </c>
      <c r="AH411" s="419">
        <v>2614</v>
      </c>
      <c r="AI411" s="419">
        <v>0</v>
      </c>
      <c r="AJ411" s="419">
        <v>0</v>
      </c>
      <c r="AK411" s="419">
        <v>0</v>
      </c>
      <c r="AL411" s="380">
        <v>2.9031E-3</v>
      </c>
      <c r="AM411" s="380"/>
      <c r="AN411" s="419">
        <v>-118148</v>
      </c>
      <c r="AO411" s="419">
        <v>-109790</v>
      </c>
      <c r="AP411" s="419">
        <v>-34530</v>
      </c>
      <c r="AQ411" s="419">
        <v>0</v>
      </c>
      <c r="AR411" s="419">
        <v>0</v>
      </c>
    </row>
    <row r="412" spans="1:44">
      <c r="A412" s="379">
        <v>94204</v>
      </c>
      <c r="B412" t="s">
        <v>1120</v>
      </c>
      <c r="C412" s="380">
        <v>3.8999999999999999E-5</v>
      </c>
      <c r="D412" s="380"/>
      <c r="E412" s="419">
        <v>14753</v>
      </c>
      <c r="F412" s="419">
        <v>6103</v>
      </c>
      <c r="G412" s="419">
        <v>-2641</v>
      </c>
      <c r="H412" s="419">
        <v>-26148</v>
      </c>
      <c r="I412" s="419">
        <v>0</v>
      </c>
      <c r="J412" s="380">
        <v>3.8999999999999999E-5</v>
      </c>
      <c r="K412" s="380"/>
      <c r="L412" s="419">
        <v>9548</v>
      </c>
      <c r="M412" s="419">
        <v>6594</v>
      </c>
      <c r="N412" s="419">
        <v>2886</v>
      </c>
      <c r="O412" s="419">
        <v>0</v>
      </c>
      <c r="P412" s="419">
        <v>0</v>
      </c>
      <c r="Q412" s="380">
        <v>3.8999999999999999E-5</v>
      </c>
      <c r="R412" s="380"/>
      <c r="S412" s="419">
        <v>-19592</v>
      </c>
      <c r="T412" s="419">
        <v>-19366</v>
      </c>
      <c r="U412" s="419">
        <v>-20344</v>
      </c>
      <c r="V412" s="419">
        <v>-26148</v>
      </c>
      <c r="W412" s="419">
        <v>0</v>
      </c>
      <c r="X412" s="380">
        <v>3.8999999999999999E-5</v>
      </c>
      <c r="Z412" s="419">
        <v>15623</v>
      </c>
      <c r="AA412" s="419">
        <v>10976</v>
      </c>
      <c r="AB412" s="419">
        <v>10976</v>
      </c>
      <c r="AC412" s="419">
        <v>0</v>
      </c>
      <c r="AD412" s="419">
        <v>0</v>
      </c>
      <c r="AE412" s="380">
        <v>3.8999999999999999E-5</v>
      </c>
      <c r="AF412" s="380"/>
      <c r="AG412" s="419">
        <v>9174</v>
      </c>
      <c r="AH412" s="419">
        <v>7899</v>
      </c>
      <c r="AI412" s="419">
        <v>3841</v>
      </c>
      <c r="AJ412" s="419">
        <v>0</v>
      </c>
      <c r="AK412" s="419">
        <v>0</v>
      </c>
      <c r="AL412" s="380">
        <v>3.8999999999999999E-5</v>
      </c>
      <c r="AM412" s="380"/>
      <c r="AN412" s="419">
        <v>0</v>
      </c>
      <c r="AO412" s="419">
        <v>0</v>
      </c>
      <c r="AP412" s="419">
        <v>0</v>
      </c>
      <c r="AQ412" s="419">
        <v>0</v>
      </c>
      <c r="AR412" s="419">
        <v>0</v>
      </c>
    </row>
    <row r="413" spans="1:44">
      <c r="A413" s="379">
        <v>94205</v>
      </c>
      <c r="B413" t="s">
        <v>1121</v>
      </c>
      <c r="C413" s="380">
        <v>1.31E-5</v>
      </c>
      <c r="D413" s="380"/>
      <c r="E413" s="419">
        <v>3585</v>
      </c>
      <c r="F413" s="419">
        <v>975</v>
      </c>
      <c r="G413" s="419">
        <v>-1520</v>
      </c>
      <c r="H413" s="419">
        <v>-8783</v>
      </c>
      <c r="I413" s="419">
        <v>0</v>
      </c>
      <c r="J413" s="380">
        <v>1.31E-5</v>
      </c>
      <c r="K413" s="380"/>
      <c r="L413" s="419">
        <v>3207</v>
      </c>
      <c r="M413" s="419">
        <v>2215</v>
      </c>
      <c r="N413" s="419">
        <v>970</v>
      </c>
      <c r="O413" s="419">
        <v>0</v>
      </c>
      <c r="P413" s="419">
        <v>0</v>
      </c>
      <c r="Q413" s="380">
        <v>1.31E-5</v>
      </c>
      <c r="R413" s="380"/>
      <c r="S413" s="419">
        <v>-6581</v>
      </c>
      <c r="T413" s="419">
        <v>-6505</v>
      </c>
      <c r="U413" s="419">
        <v>-6834</v>
      </c>
      <c r="V413" s="419">
        <v>-8783</v>
      </c>
      <c r="W413" s="419">
        <v>0</v>
      </c>
      <c r="X413" s="380">
        <v>1.31E-5</v>
      </c>
      <c r="Z413" s="419">
        <v>5248</v>
      </c>
      <c r="AA413" s="419">
        <v>3687</v>
      </c>
      <c r="AB413" s="419">
        <v>3687</v>
      </c>
      <c r="AC413" s="419">
        <v>0</v>
      </c>
      <c r="AD413" s="419">
        <v>0</v>
      </c>
      <c r="AE413" s="380">
        <v>1.31E-5</v>
      </c>
      <c r="AF413" s="380"/>
      <c r="AG413" s="419">
        <v>1711</v>
      </c>
      <c r="AH413" s="419">
        <v>1578</v>
      </c>
      <c r="AI413" s="419">
        <v>657</v>
      </c>
      <c r="AJ413" s="419">
        <v>0</v>
      </c>
      <c r="AK413" s="419">
        <v>0</v>
      </c>
      <c r="AL413" s="380">
        <v>1.31E-5</v>
      </c>
      <c r="AM413" s="380"/>
      <c r="AN413" s="419">
        <v>0</v>
      </c>
      <c r="AO413" s="419">
        <v>0</v>
      </c>
      <c r="AP413" s="419">
        <v>0</v>
      </c>
      <c r="AQ413" s="419">
        <v>0</v>
      </c>
      <c r="AR413" s="419">
        <v>0</v>
      </c>
    </row>
    <row r="414" spans="1:44">
      <c r="A414" s="379">
        <v>94209</v>
      </c>
      <c r="B414" t="s">
        <v>1122</v>
      </c>
      <c r="C414" s="380">
        <v>2.9789999999999998E-4</v>
      </c>
      <c r="D414" s="380"/>
      <c r="E414" s="419">
        <v>30386</v>
      </c>
      <c r="F414" s="419">
        <v>-21673</v>
      </c>
      <c r="G414" s="419">
        <v>-55984</v>
      </c>
      <c r="H414" s="419">
        <v>-199734</v>
      </c>
      <c r="I414" s="419">
        <v>0</v>
      </c>
      <c r="J414" s="380">
        <v>2.9789999999999998E-4</v>
      </c>
      <c r="K414" s="380"/>
      <c r="L414" s="419">
        <v>72928</v>
      </c>
      <c r="M414" s="419">
        <v>50367</v>
      </c>
      <c r="N414" s="419">
        <v>22048</v>
      </c>
      <c r="O414" s="419">
        <v>0</v>
      </c>
      <c r="P414" s="419">
        <v>0</v>
      </c>
      <c r="Q414" s="380">
        <v>2.9789999999999998E-4</v>
      </c>
      <c r="R414" s="380"/>
      <c r="S414" s="419">
        <v>-149655</v>
      </c>
      <c r="T414" s="419">
        <v>-147924</v>
      </c>
      <c r="U414" s="419">
        <v>-155400</v>
      </c>
      <c r="V414" s="419">
        <v>-199734</v>
      </c>
      <c r="W414" s="419">
        <v>0</v>
      </c>
      <c r="X414" s="380">
        <v>2.9789999999999998E-4</v>
      </c>
      <c r="Z414" s="419">
        <v>119339</v>
      </c>
      <c r="AA414" s="419">
        <v>83842</v>
      </c>
      <c r="AB414" s="419">
        <v>83842</v>
      </c>
      <c r="AC414" s="419">
        <v>0</v>
      </c>
      <c r="AD414" s="419">
        <v>0</v>
      </c>
      <c r="AE414" s="380">
        <v>2.9789999999999998E-4</v>
      </c>
      <c r="AF414" s="380"/>
      <c r="AG414" s="419">
        <v>1780</v>
      </c>
      <c r="AH414" s="419">
        <v>1781</v>
      </c>
      <c r="AI414" s="419">
        <v>0</v>
      </c>
      <c r="AJ414" s="419">
        <v>0</v>
      </c>
      <c r="AK414" s="419">
        <v>0</v>
      </c>
      <c r="AL414" s="380">
        <v>2.9789999999999998E-4</v>
      </c>
      <c r="AM414" s="380"/>
      <c r="AN414" s="419">
        <v>-14006</v>
      </c>
      <c r="AO414" s="419">
        <v>-9739</v>
      </c>
      <c r="AP414" s="419">
        <v>-6474</v>
      </c>
      <c r="AQ414" s="419">
        <v>0</v>
      </c>
      <c r="AR414" s="419">
        <v>0</v>
      </c>
    </row>
    <row r="415" spans="1:44">
      <c r="A415" s="379">
        <v>94211</v>
      </c>
      <c r="B415" t="s">
        <v>1123</v>
      </c>
      <c r="C415" s="380">
        <v>1.225E-4</v>
      </c>
      <c r="D415" s="380"/>
      <c r="E415" s="419">
        <v>4392</v>
      </c>
      <c r="F415" s="419">
        <v>-20202</v>
      </c>
      <c r="G415" s="419">
        <v>-31066</v>
      </c>
      <c r="H415" s="419">
        <v>-82133</v>
      </c>
      <c r="I415" s="419">
        <v>0</v>
      </c>
      <c r="J415" s="380">
        <v>1.225E-4</v>
      </c>
      <c r="K415" s="380"/>
      <c r="L415" s="419">
        <v>29989</v>
      </c>
      <c r="M415" s="419">
        <v>20711</v>
      </c>
      <c r="N415" s="419">
        <v>9066</v>
      </c>
      <c r="O415" s="419">
        <v>0</v>
      </c>
      <c r="P415" s="419">
        <v>0</v>
      </c>
      <c r="Q415" s="380">
        <v>1.225E-4</v>
      </c>
      <c r="R415" s="380"/>
      <c r="S415" s="419">
        <v>-61540</v>
      </c>
      <c r="T415" s="419">
        <v>-60828</v>
      </c>
      <c r="U415" s="419">
        <v>-63902</v>
      </c>
      <c r="V415" s="419">
        <v>-82133</v>
      </c>
      <c r="W415" s="419">
        <v>0</v>
      </c>
      <c r="X415" s="380">
        <v>1.225E-4</v>
      </c>
      <c r="Z415" s="419">
        <v>49074</v>
      </c>
      <c r="AA415" s="419">
        <v>34477</v>
      </c>
      <c r="AB415" s="419">
        <v>34477</v>
      </c>
      <c r="AC415" s="419">
        <v>0</v>
      </c>
      <c r="AD415" s="419">
        <v>0</v>
      </c>
      <c r="AE415" s="380">
        <v>1.225E-4</v>
      </c>
      <c r="AF415" s="380"/>
      <c r="AG415" s="419">
        <v>1432</v>
      </c>
      <c r="AH415" s="419">
        <v>0</v>
      </c>
      <c r="AI415" s="419">
        <v>0</v>
      </c>
      <c r="AJ415" s="419">
        <v>0</v>
      </c>
      <c r="AK415" s="419">
        <v>0</v>
      </c>
      <c r="AL415" s="380">
        <v>1.225E-4</v>
      </c>
      <c r="AM415" s="380"/>
      <c r="AN415" s="419">
        <v>-14563</v>
      </c>
      <c r="AO415" s="419">
        <v>-14562</v>
      </c>
      <c r="AP415" s="419">
        <v>-10707</v>
      </c>
      <c r="AQ415" s="419">
        <v>0</v>
      </c>
      <c r="AR415" s="419">
        <v>0</v>
      </c>
    </row>
    <row r="416" spans="1:44">
      <c r="A416" s="379">
        <v>94221</v>
      </c>
      <c r="B416" t="s">
        <v>1124</v>
      </c>
      <c r="C416" s="380">
        <v>8.476E-4</v>
      </c>
      <c r="D416" s="380"/>
      <c r="E416" s="419">
        <v>12602</v>
      </c>
      <c r="F416" s="419">
        <v>-141757</v>
      </c>
      <c r="G416" s="419">
        <v>-218722</v>
      </c>
      <c r="H416" s="419">
        <v>-568294</v>
      </c>
      <c r="I416" s="419">
        <v>0</v>
      </c>
      <c r="J416" s="380">
        <v>8.476E-4</v>
      </c>
      <c r="K416" s="380"/>
      <c r="L416" s="419">
        <v>207499</v>
      </c>
      <c r="M416" s="419">
        <v>143305</v>
      </c>
      <c r="N416" s="419">
        <v>62733</v>
      </c>
      <c r="O416" s="419">
        <v>0</v>
      </c>
      <c r="P416" s="419">
        <v>0</v>
      </c>
      <c r="Q416" s="380">
        <v>8.476E-4</v>
      </c>
      <c r="R416" s="380"/>
      <c r="S416" s="419">
        <v>-425807</v>
      </c>
      <c r="T416" s="419">
        <v>-420880</v>
      </c>
      <c r="U416" s="419">
        <v>-442151</v>
      </c>
      <c r="V416" s="419">
        <v>-568294</v>
      </c>
      <c r="W416" s="419">
        <v>0</v>
      </c>
      <c r="X416" s="380">
        <v>8.476E-4</v>
      </c>
      <c r="Z416" s="419">
        <v>339550</v>
      </c>
      <c r="AA416" s="419">
        <v>238553</v>
      </c>
      <c r="AB416" s="419">
        <v>238551</v>
      </c>
      <c r="AC416" s="419">
        <v>0</v>
      </c>
      <c r="AD416" s="419">
        <v>0</v>
      </c>
      <c r="AE416" s="380">
        <v>8.476E-4</v>
      </c>
      <c r="AF416" s="380"/>
      <c r="AG416" s="419">
        <v>0</v>
      </c>
      <c r="AH416" s="419">
        <v>0</v>
      </c>
      <c r="AI416" s="419">
        <v>0</v>
      </c>
      <c r="AJ416" s="419">
        <v>0</v>
      </c>
      <c r="AK416" s="419">
        <v>0</v>
      </c>
      <c r="AL416" s="380">
        <v>8.476E-4</v>
      </c>
      <c r="AM416" s="380"/>
      <c r="AN416" s="419">
        <v>-108640</v>
      </c>
      <c r="AO416" s="419">
        <v>-102735</v>
      </c>
      <c r="AP416" s="419">
        <v>-77855</v>
      </c>
      <c r="AQ416" s="419">
        <v>0</v>
      </c>
      <c r="AR416" s="419">
        <v>0</v>
      </c>
    </row>
    <row r="417" spans="1:44">
      <c r="A417" s="379">
        <v>94231</v>
      </c>
      <c r="B417" t="s">
        <v>1125</v>
      </c>
      <c r="C417" s="380">
        <v>1.438E-4</v>
      </c>
      <c r="D417" s="380"/>
      <c r="E417" s="419">
        <v>11304</v>
      </c>
      <c r="F417" s="419">
        <v>-9694</v>
      </c>
      <c r="G417" s="419">
        <v>-11297</v>
      </c>
      <c r="H417" s="419">
        <v>-96414</v>
      </c>
      <c r="I417" s="419">
        <v>0</v>
      </c>
      <c r="J417" s="380">
        <v>1.438E-4</v>
      </c>
      <c r="K417" s="380"/>
      <c r="L417" s="419">
        <v>35203</v>
      </c>
      <c r="M417" s="419">
        <v>24313</v>
      </c>
      <c r="N417" s="419">
        <v>10643</v>
      </c>
      <c r="O417" s="419">
        <v>0</v>
      </c>
      <c r="P417" s="419">
        <v>0</v>
      </c>
      <c r="Q417" s="380">
        <v>1.438E-4</v>
      </c>
      <c r="R417" s="380"/>
      <c r="S417" s="419">
        <v>-72241</v>
      </c>
      <c r="T417" s="419">
        <v>-71405</v>
      </c>
      <c r="U417" s="419">
        <v>-75013</v>
      </c>
      <c r="V417" s="419">
        <v>-96414</v>
      </c>
      <c r="W417" s="419">
        <v>0</v>
      </c>
      <c r="X417" s="380">
        <v>1.438E-4</v>
      </c>
      <c r="Z417" s="419">
        <v>57607</v>
      </c>
      <c r="AA417" s="419">
        <v>40472</v>
      </c>
      <c r="AB417" s="419">
        <v>40472</v>
      </c>
      <c r="AC417" s="419">
        <v>0</v>
      </c>
      <c r="AD417" s="419">
        <v>0</v>
      </c>
      <c r="AE417" s="380">
        <v>1.438E-4</v>
      </c>
      <c r="AF417" s="380"/>
      <c r="AG417" s="419">
        <v>12603</v>
      </c>
      <c r="AH417" s="419">
        <v>12603</v>
      </c>
      <c r="AI417" s="419">
        <v>12601</v>
      </c>
      <c r="AJ417" s="419">
        <v>0</v>
      </c>
      <c r="AK417" s="419">
        <v>0</v>
      </c>
      <c r="AL417" s="380">
        <v>1.438E-4</v>
      </c>
      <c r="AM417" s="380"/>
      <c r="AN417" s="419">
        <v>-21868</v>
      </c>
      <c r="AO417" s="419">
        <v>-15677</v>
      </c>
      <c r="AP417" s="419">
        <v>0</v>
      </c>
      <c r="AQ417" s="419">
        <v>0</v>
      </c>
      <c r="AR417" s="419">
        <v>0</v>
      </c>
    </row>
    <row r="418" spans="1:44">
      <c r="A418" s="379">
        <v>94241</v>
      </c>
      <c r="B418" t="s">
        <v>1126</v>
      </c>
      <c r="C418" s="380">
        <v>1.6980000000000001E-4</v>
      </c>
      <c r="D418" s="380"/>
      <c r="E418" s="419">
        <v>53618</v>
      </c>
      <c r="F418" s="419">
        <v>23211</v>
      </c>
      <c r="G418" s="419">
        <v>-9762</v>
      </c>
      <c r="H418" s="419">
        <v>-113846</v>
      </c>
      <c r="I418" s="419">
        <v>0</v>
      </c>
      <c r="J418" s="380">
        <v>1.6980000000000001E-4</v>
      </c>
      <c r="K418" s="380"/>
      <c r="L418" s="419">
        <v>41568</v>
      </c>
      <c r="M418" s="419">
        <v>28708</v>
      </c>
      <c r="N418" s="419">
        <v>12567</v>
      </c>
      <c r="O418" s="419">
        <v>0</v>
      </c>
      <c r="P418" s="419">
        <v>0</v>
      </c>
      <c r="Q418" s="380">
        <v>1.6980000000000001E-4</v>
      </c>
      <c r="R418" s="380"/>
      <c r="S418" s="419">
        <v>-85302</v>
      </c>
      <c r="T418" s="419">
        <v>-84315</v>
      </c>
      <c r="U418" s="419">
        <v>-88576</v>
      </c>
      <c r="V418" s="419">
        <v>-113846</v>
      </c>
      <c r="W418" s="419">
        <v>0</v>
      </c>
      <c r="X418" s="380">
        <v>1.6980000000000001E-4</v>
      </c>
      <c r="Z418" s="419">
        <v>68022</v>
      </c>
      <c r="AA418" s="419">
        <v>47789</v>
      </c>
      <c r="AB418" s="419">
        <v>47789</v>
      </c>
      <c r="AC418" s="419">
        <v>0</v>
      </c>
      <c r="AD418" s="419">
        <v>0</v>
      </c>
      <c r="AE418" s="380">
        <v>1.6980000000000001E-4</v>
      </c>
      <c r="AF418" s="380"/>
      <c r="AG418" s="419">
        <v>33298</v>
      </c>
      <c r="AH418" s="419">
        <v>33297</v>
      </c>
      <c r="AI418" s="419">
        <v>18458</v>
      </c>
      <c r="AJ418" s="419">
        <v>0</v>
      </c>
      <c r="AK418" s="419">
        <v>0</v>
      </c>
      <c r="AL418" s="380">
        <v>1.6980000000000001E-4</v>
      </c>
      <c r="AM418" s="380"/>
      <c r="AN418" s="419">
        <v>-3968</v>
      </c>
      <c r="AO418" s="419">
        <v>-2268</v>
      </c>
      <c r="AP418" s="419">
        <v>0</v>
      </c>
      <c r="AQ418" s="419">
        <v>0</v>
      </c>
      <c r="AR418" s="419">
        <v>0</v>
      </c>
    </row>
    <row r="419" spans="1:44">
      <c r="A419" s="379">
        <v>94251</v>
      </c>
      <c r="B419" t="s">
        <v>1127</v>
      </c>
      <c r="C419" s="380">
        <v>1.91E-5</v>
      </c>
      <c r="D419" s="380"/>
      <c r="E419" s="419">
        <v>3434</v>
      </c>
      <c r="F419" s="419">
        <v>88</v>
      </c>
      <c r="G419" s="419">
        <v>-2766</v>
      </c>
      <c r="H419" s="419">
        <v>-12806</v>
      </c>
      <c r="I419" s="419">
        <v>0</v>
      </c>
      <c r="J419" s="380">
        <v>1.91E-5</v>
      </c>
      <c r="K419" s="380"/>
      <c r="L419" s="419">
        <v>4676</v>
      </c>
      <c r="M419" s="419">
        <v>3229</v>
      </c>
      <c r="N419" s="419">
        <v>1414</v>
      </c>
      <c r="O419" s="419">
        <v>0</v>
      </c>
      <c r="P419" s="419">
        <v>0</v>
      </c>
      <c r="Q419" s="380">
        <v>1.91E-5</v>
      </c>
      <c r="R419" s="380"/>
      <c r="S419" s="419">
        <v>-9595</v>
      </c>
      <c r="T419" s="419">
        <v>-9484</v>
      </c>
      <c r="U419" s="419">
        <v>-9964</v>
      </c>
      <c r="V419" s="419">
        <v>-12806</v>
      </c>
      <c r="W419" s="419">
        <v>0</v>
      </c>
      <c r="X419" s="380">
        <v>1.91E-5</v>
      </c>
      <c r="Z419" s="419">
        <v>7651</v>
      </c>
      <c r="AA419" s="419">
        <v>5376</v>
      </c>
      <c r="AB419" s="419">
        <v>5376</v>
      </c>
      <c r="AC419" s="419">
        <v>0</v>
      </c>
      <c r="AD419" s="419">
        <v>0</v>
      </c>
      <c r="AE419" s="380">
        <v>1.91E-5</v>
      </c>
      <c r="AF419" s="380"/>
      <c r="AG419" s="419">
        <v>967</v>
      </c>
      <c r="AH419" s="419">
        <v>967</v>
      </c>
      <c r="AI419" s="419">
        <v>408</v>
      </c>
      <c r="AJ419" s="419">
        <v>0</v>
      </c>
      <c r="AK419" s="419">
        <v>0</v>
      </c>
      <c r="AL419" s="380">
        <v>1.91E-5</v>
      </c>
      <c r="AM419" s="380"/>
      <c r="AN419" s="419">
        <v>-265</v>
      </c>
      <c r="AO419" s="419">
        <v>0</v>
      </c>
      <c r="AP419" s="419">
        <v>0</v>
      </c>
      <c r="AQ419" s="419">
        <v>0</v>
      </c>
      <c r="AR419" s="419">
        <v>0</v>
      </c>
    </row>
    <row r="420" spans="1:44">
      <c r="A420" s="379">
        <v>94261</v>
      </c>
      <c r="B420" t="s">
        <v>1128</v>
      </c>
      <c r="C420" s="380">
        <v>4.1E-5</v>
      </c>
      <c r="D420" s="380"/>
      <c r="E420" s="419">
        <v>4505</v>
      </c>
      <c r="F420" s="419">
        <v>-3051</v>
      </c>
      <c r="G420" s="419">
        <v>-5807</v>
      </c>
      <c r="H420" s="419">
        <v>-27489</v>
      </c>
      <c r="I420" s="419">
        <v>0</v>
      </c>
      <c r="J420" s="380">
        <v>4.1E-5</v>
      </c>
      <c r="K420" s="380"/>
      <c r="L420" s="419">
        <v>10037</v>
      </c>
      <c r="M420" s="419">
        <v>6932</v>
      </c>
      <c r="N420" s="419">
        <v>3034</v>
      </c>
      <c r="O420" s="419">
        <v>0</v>
      </c>
      <c r="P420" s="419">
        <v>0</v>
      </c>
      <c r="Q420" s="380">
        <v>4.1E-5</v>
      </c>
      <c r="R420" s="380"/>
      <c r="S420" s="419">
        <v>-20597</v>
      </c>
      <c r="T420" s="419">
        <v>-20359</v>
      </c>
      <c r="U420" s="419">
        <v>-21388</v>
      </c>
      <c r="V420" s="419">
        <v>-27489</v>
      </c>
      <c r="W420" s="419">
        <v>0</v>
      </c>
      <c r="X420" s="380">
        <v>4.1E-5</v>
      </c>
      <c r="Z420" s="419">
        <v>16425</v>
      </c>
      <c r="AA420" s="419">
        <v>11539</v>
      </c>
      <c r="AB420" s="419">
        <v>11539</v>
      </c>
      <c r="AC420" s="419">
        <v>0</v>
      </c>
      <c r="AD420" s="419">
        <v>0</v>
      </c>
      <c r="AE420" s="380">
        <v>4.1E-5</v>
      </c>
      <c r="AF420" s="380"/>
      <c r="AG420" s="419">
        <v>2703</v>
      </c>
      <c r="AH420" s="419">
        <v>2703</v>
      </c>
      <c r="AI420" s="419">
        <v>1008</v>
      </c>
      <c r="AJ420" s="419">
        <v>0</v>
      </c>
      <c r="AK420" s="419">
        <v>0</v>
      </c>
      <c r="AL420" s="380">
        <v>4.1E-5</v>
      </c>
      <c r="AM420" s="380"/>
      <c r="AN420" s="419">
        <v>-4063</v>
      </c>
      <c r="AO420" s="419">
        <v>-3866</v>
      </c>
      <c r="AP420" s="419">
        <v>0</v>
      </c>
      <c r="AQ420" s="419">
        <v>0</v>
      </c>
      <c r="AR420" s="419">
        <v>0</v>
      </c>
    </row>
    <row r="421" spans="1:44">
      <c r="A421" s="379">
        <v>94301</v>
      </c>
      <c r="B421" t="s">
        <v>1129</v>
      </c>
      <c r="C421" s="380">
        <v>5.8427000000000002E-3</v>
      </c>
      <c r="D421" s="380"/>
      <c r="E421" s="419">
        <v>559422</v>
      </c>
      <c r="F421" s="419">
        <v>-546506</v>
      </c>
      <c r="G421" s="419">
        <v>-1127153</v>
      </c>
      <c r="H421" s="419">
        <v>-3917378</v>
      </c>
      <c r="I421" s="419">
        <v>0</v>
      </c>
      <c r="J421" s="380">
        <v>5.8427000000000002E-3</v>
      </c>
      <c r="K421" s="380"/>
      <c r="L421" s="419">
        <v>1430340</v>
      </c>
      <c r="M421" s="419">
        <v>987837</v>
      </c>
      <c r="N421" s="419">
        <v>432430</v>
      </c>
      <c r="O421" s="419">
        <v>0</v>
      </c>
      <c r="P421" s="419">
        <v>0</v>
      </c>
      <c r="Q421" s="380">
        <v>5.8427000000000002E-3</v>
      </c>
      <c r="R421" s="380"/>
      <c r="S421" s="419">
        <v>-2935186</v>
      </c>
      <c r="T421" s="419">
        <v>-2901222</v>
      </c>
      <c r="U421" s="419">
        <v>-3047850</v>
      </c>
      <c r="V421" s="419">
        <v>-3917378</v>
      </c>
      <c r="W421" s="419">
        <v>0</v>
      </c>
      <c r="X421" s="380">
        <v>5.8427000000000002E-3</v>
      </c>
      <c r="Z421" s="419">
        <v>2340597</v>
      </c>
      <c r="AA421" s="419">
        <v>1644399</v>
      </c>
      <c r="AB421" s="419">
        <v>1644387</v>
      </c>
      <c r="AC421" s="419">
        <v>0</v>
      </c>
      <c r="AD421" s="419">
        <v>0</v>
      </c>
      <c r="AE421" s="380">
        <v>5.8427000000000002E-3</v>
      </c>
      <c r="AF421" s="380"/>
      <c r="AG421" s="419">
        <v>1190</v>
      </c>
      <c r="AH421" s="419">
        <v>0</v>
      </c>
      <c r="AI421" s="419">
        <v>0</v>
      </c>
      <c r="AJ421" s="419">
        <v>0</v>
      </c>
      <c r="AK421" s="419">
        <v>0</v>
      </c>
      <c r="AL421" s="380">
        <v>5.8427000000000002E-3</v>
      </c>
      <c r="AM421" s="380"/>
      <c r="AN421" s="419">
        <v>-277519</v>
      </c>
      <c r="AO421" s="419">
        <v>-277520</v>
      </c>
      <c r="AP421" s="419">
        <v>-156120</v>
      </c>
      <c r="AQ421" s="419">
        <v>0</v>
      </c>
      <c r="AR421" s="419">
        <v>0</v>
      </c>
    </row>
    <row r="422" spans="1:44">
      <c r="A422" s="379">
        <v>94311</v>
      </c>
      <c r="B422" t="s">
        <v>1130</v>
      </c>
      <c r="C422" s="380">
        <v>7.9109999999999998E-4</v>
      </c>
      <c r="D422" s="380"/>
      <c r="E422" s="419">
        <v>124317</v>
      </c>
      <c r="F422" s="419">
        <v>-19327</v>
      </c>
      <c r="G422" s="419">
        <v>-129484</v>
      </c>
      <c r="H422" s="419">
        <v>-530412</v>
      </c>
      <c r="I422" s="419">
        <v>0</v>
      </c>
      <c r="J422" s="380">
        <v>7.9109999999999998E-4</v>
      </c>
      <c r="K422" s="380"/>
      <c r="L422" s="419">
        <v>193668</v>
      </c>
      <c r="M422" s="419">
        <v>133753</v>
      </c>
      <c r="N422" s="419">
        <v>58551</v>
      </c>
      <c r="O422" s="419">
        <v>0</v>
      </c>
      <c r="P422" s="419">
        <v>0</v>
      </c>
      <c r="Q422" s="380">
        <v>7.9109999999999998E-4</v>
      </c>
      <c r="R422" s="380"/>
      <c r="S422" s="419">
        <v>-397423</v>
      </c>
      <c r="T422" s="419">
        <v>-392825</v>
      </c>
      <c r="U422" s="419">
        <v>-412678</v>
      </c>
      <c r="V422" s="419">
        <v>-530412</v>
      </c>
      <c r="W422" s="419">
        <v>0</v>
      </c>
      <c r="X422" s="380">
        <v>7.9109999999999998E-4</v>
      </c>
      <c r="Z422" s="419">
        <v>316916</v>
      </c>
      <c r="AA422" s="419">
        <v>222651</v>
      </c>
      <c r="AB422" s="419">
        <v>222650</v>
      </c>
      <c r="AC422" s="419">
        <v>0</v>
      </c>
      <c r="AD422" s="419">
        <v>0</v>
      </c>
      <c r="AE422" s="380">
        <v>7.9109999999999998E-4</v>
      </c>
      <c r="AF422" s="380"/>
      <c r="AG422" s="419">
        <v>17095</v>
      </c>
      <c r="AH422" s="419">
        <v>17094</v>
      </c>
      <c r="AI422" s="419">
        <v>1993</v>
      </c>
      <c r="AJ422" s="419">
        <v>0</v>
      </c>
      <c r="AK422" s="419">
        <v>0</v>
      </c>
      <c r="AL422" s="380">
        <v>7.9109999999999998E-4</v>
      </c>
      <c r="AM422" s="380"/>
      <c r="AN422" s="419">
        <v>-5939</v>
      </c>
      <c r="AO422" s="419">
        <v>0</v>
      </c>
      <c r="AP422" s="419">
        <v>0</v>
      </c>
      <c r="AQ422" s="419">
        <v>0</v>
      </c>
      <c r="AR422" s="419">
        <v>0</v>
      </c>
    </row>
    <row r="423" spans="1:44">
      <c r="A423" s="379">
        <v>94313</v>
      </c>
      <c r="B423" t="s">
        <v>1131</v>
      </c>
      <c r="C423" s="380">
        <v>1.98E-5</v>
      </c>
      <c r="D423" s="380"/>
      <c r="E423" s="419">
        <v>9841</v>
      </c>
      <c r="F423" s="419">
        <v>4848</v>
      </c>
      <c r="G423" s="419">
        <v>173</v>
      </c>
      <c r="H423" s="419">
        <v>-13275</v>
      </c>
      <c r="I423" s="419">
        <v>0</v>
      </c>
      <c r="J423" s="380">
        <v>1.98E-5</v>
      </c>
      <c r="K423" s="380"/>
      <c r="L423" s="419">
        <v>4847</v>
      </c>
      <c r="M423" s="419">
        <v>3348</v>
      </c>
      <c r="N423" s="419">
        <v>1465</v>
      </c>
      <c r="O423" s="419">
        <v>0</v>
      </c>
      <c r="P423" s="419">
        <v>0</v>
      </c>
      <c r="Q423" s="380">
        <v>1.98E-5</v>
      </c>
      <c r="R423" s="380"/>
      <c r="S423" s="419">
        <v>-9947</v>
      </c>
      <c r="T423" s="419">
        <v>-9832</v>
      </c>
      <c r="U423" s="419">
        <v>-10329</v>
      </c>
      <c r="V423" s="419">
        <v>-13275</v>
      </c>
      <c r="W423" s="419">
        <v>0</v>
      </c>
      <c r="X423" s="380">
        <v>1.98E-5</v>
      </c>
      <c r="Z423" s="419">
        <v>7932</v>
      </c>
      <c r="AA423" s="419">
        <v>5573</v>
      </c>
      <c r="AB423" s="419">
        <v>5573</v>
      </c>
      <c r="AC423" s="419">
        <v>0</v>
      </c>
      <c r="AD423" s="419">
        <v>0</v>
      </c>
      <c r="AE423" s="380">
        <v>1.98E-5</v>
      </c>
      <c r="AF423" s="380"/>
      <c r="AG423" s="419">
        <v>7111</v>
      </c>
      <c r="AH423" s="419">
        <v>5860</v>
      </c>
      <c r="AI423" s="419">
        <v>3464</v>
      </c>
      <c r="AJ423" s="419">
        <v>0</v>
      </c>
      <c r="AK423" s="419">
        <v>0</v>
      </c>
      <c r="AL423" s="380">
        <v>1.98E-5</v>
      </c>
      <c r="AM423" s="380"/>
      <c r="AN423" s="419">
        <v>-102</v>
      </c>
      <c r="AO423" s="419">
        <v>-101</v>
      </c>
      <c r="AP423" s="419">
        <v>0</v>
      </c>
      <c r="AQ423" s="419">
        <v>0</v>
      </c>
      <c r="AR423" s="419">
        <v>0</v>
      </c>
    </row>
    <row r="424" spans="1:44">
      <c r="A424" s="379">
        <v>94317</v>
      </c>
      <c r="B424" t="s">
        <v>1132</v>
      </c>
      <c r="C424" s="380">
        <v>1.3200000000000001E-5</v>
      </c>
      <c r="D424" s="380"/>
      <c r="E424" s="419">
        <v>9601</v>
      </c>
      <c r="F424" s="419">
        <v>6179</v>
      </c>
      <c r="G424" s="419">
        <v>4149</v>
      </c>
      <c r="H424" s="419">
        <v>-8850</v>
      </c>
      <c r="I424" s="419">
        <v>0</v>
      </c>
      <c r="J424" s="380">
        <v>1.3200000000000001E-5</v>
      </c>
      <c r="K424" s="380"/>
      <c r="L424" s="419">
        <v>3231</v>
      </c>
      <c r="M424" s="419">
        <v>2232</v>
      </c>
      <c r="N424" s="419">
        <v>977</v>
      </c>
      <c r="O424" s="419">
        <v>0</v>
      </c>
      <c r="P424" s="419">
        <v>0</v>
      </c>
      <c r="Q424" s="380">
        <v>1.3200000000000001E-5</v>
      </c>
      <c r="R424" s="380"/>
      <c r="S424" s="419">
        <v>-6631</v>
      </c>
      <c r="T424" s="419">
        <v>-6555</v>
      </c>
      <c r="U424" s="419">
        <v>-6886</v>
      </c>
      <c r="V424" s="419">
        <v>-8850</v>
      </c>
      <c r="W424" s="419">
        <v>0</v>
      </c>
      <c r="X424" s="380">
        <v>1.3200000000000001E-5</v>
      </c>
      <c r="Z424" s="419">
        <v>5288</v>
      </c>
      <c r="AA424" s="419">
        <v>3715</v>
      </c>
      <c r="AB424" s="419">
        <v>3715</v>
      </c>
      <c r="AC424" s="419">
        <v>0</v>
      </c>
      <c r="AD424" s="419">
        <v>0</v>
      </c>
      <c r="AE424" s="380">
        <v>1.3200000000000001E-5</v>
      </c>
      <c r="AF424" s="380"/>
      <c r="AG424" s="419">
        <v>8197</v>
      </c>
      <c r="AH424" s="419">
        <v>7271</v>
      </c>
      <c r="AI424" s="419">
        <v>6343</v>
      </c>
      <c r="AJ424" s="419">
        <v>0</v>
      </c>
      <c r="AK424" s="419">
        <v>0</v>
      </c>
      <c r="AL424" s="380">
        <v>1.3200000000000001E-5</v>
      </c>
      <c r="AM424" s="380"/>
      <c r="AN424" s="419">
        <v>-484</v>
      </c>
      <c r="AO424" s="419">
        <v>-484</v>
      </c>
      <c r="AP424" s="419">
        <v>0</v>
      </c>
      <c r="AQ424" s="419">
        <v>0</v>
      </c>
      <c r="AR424" s="419">
        <v>0</v>
      </c>
    </row>
    <row r="425" spans="1:44">
      <c r="A425" s="379">
        <v>94321</v>
      </c>
      <c r="B425" t="s">
        <v>1133</v>
      </c>
      <c r="C425" s="380">
        <v>3.0529999999999999E-4</v>
      </c>
      <c r="D425" s="380"/>
      <c r="E425" s="419">
        <v>47890</v>
      </c>
      <c r="F425" s="419">
        <v>-7126</v>
      </c>
      <c r="G425" s="419">
        <v>-55682</v>
      </c>
      <c r="H425" s="419">
        <v>-204696</v>
      </c>
      <c r="I425" s="419">
        <v>0</v>
      </c>
      <c r="J425" s="380">
        <v>3.0529999999999999E-4</v>
      </c>
      <c r="K425" s="380"/>
      <c r="L425" s="419">
        <v>74740</v>
      </c>
      <c r="M425" s="419">
        <v>51618</v>
      </c>
      <c r="N425" s="419">
        <v>22596</v>
      </c>
      <c r="O425" s="419">
        <v>0</v>
      </c>
      <c r="P425" s="419">
        <v>0</v>
      </c>
      <c r="Q425" s="380">
        <v>3.0529999999999999E-4</v>
      </c>
      <c r="R425" s="380"/>
      <c r="S425" s="419">
        <v>-153373</v>
      </c>
      <c r="T425" s="419">
        <v>-151598</v>
      </c>
      <c r="U425" s="419">
        <v>-159260</v>
      </c>
      <c r="V425" s="419">
        <v>-204696</v>
      </c>
      <c r="W425" s="419">
        <v>0</v>
      </c>
      <c r="X425" s="380">
        <v>3.0529999999999999E-4</v>
      </c>
      <c r="Z425" s="419">
        <v>122304</v>
      </c>
      <c r="AA425" s="419">
        <v>85925</v>
      </c>
      <c r="AB425" s="419">
        <v>85925</v>
      </c>
      <c r="AC425" s="419">
        <v>0</v>
      </c>
      <c r="AD425" s="419">
        <v>0</v>
      </c>
      <c r="AE425" s="380">
        <v>3.0529999999999999E-4</v>
      </c>
      <c r="AF425" s="380"/>
      <c r="AG425" s="419">
        <v>12644</v>
      </c>
      <c r="AH425" s="419">
        <v>12642</v>
      </c>
      <c r="AI425" s="419">
        <v>0</v>
      </c>
      <c r="AJ425" s="419">
        <v>0</v>
      </c>
      <c r="AK425" s="419">
        <v>0</v>
      </c>
      <c r="AL425" s="380">
        <v>3.0529999999999999E-4</v>
      </c>
      <c r="AM425" s="380"/>
      <c r="AN425" s="419">
        <v>-8425</v>
      </c>
      <c r="AO425" s="419">
        <v>-5713</v>
      </c>
      <c r="AP425" s="419">
        <v>-4943</v>
      </c>
      <c r="AQ425" s="419">
        <v>0</v>
      </c>
      <c r="AR425" s="419">
        <v>0</v>
      </c>
    </row>
    <row r="426" spans="1:44">
      <c r="A426" s="379">
        <v>94331</v>
      </c>
      <c r="B426" t="s">
        <v>1134</v>
      </c>
      <c r="C426" s="380">
        <v>1.392E-4</v>
      </c>
      <c r="D426" s="380"/>
      <c r="E426" s="419">
        <v>17454</v>
      </c>
      <c r="F426" s="419">
        <v>-13461</v>
      </c>
      <c r="G426" s="419">
        <v>-28989</v>
      </c>
      <c r="H426" s="419">
        <v>-93330</v>
      </c>
      <c r="I426" s="419">
        <v>0</v>
      </c>
      <c r="J426" s="380">
        <v>1.392E-4</v>
      </c>
      <c r="K426" s="380"/>
      <c r="L426" s="419">
        <v>34077</v>
      </c>
      <c r="M426" s="419">
        <v>23535</v>
      </c>
      <c r="N426" s="419">
        <v>10302</v>
      </c>
      <c r="O426" s="419">
        <v>0</v>
      </c>
      <c r="P426" s="419">
        <v>0</v>
      </c>
      <c r="Q426" s="380">
        <v>1.392E-4</v>
      </c>
      <c r="R426" s="380"/>
      <c r="S426" s="419">
        <v>-69930</v>
      </c>
      <c r="T426" s="419">
        <v>-69120</v>
      </c>
      <c r="U426" s="419">
        <v>-72614</v>
      </c>
      <c r="V426" s="419">
        <v>-93330</v>
      </c>
      <c r="W426" s="419">
        <v>0</v>
      </c>
      <c r="X426" s="380">
        <v>1.392E-4</v>
      </c>
      <c r="Z426" s="419">
        <v>55764</v>
      </c>
      <c r="AA426" s="419">
        <v>39177</v>
      </c>
      <c r="AB426" s="419">
        <v>39177</v>
      </c>
      <c r="AC426" s="419">
        <v>0</v>
      </c>
      <c r="AD426" s="419">
        <v>0</v>
      </c>
      <c r="AE426" s="380">
        <v>1.392E-4</v>
      </c>
      <c r="AF426" s="380"/>
      <c r="AG426" s="419">
        <v>5228</v>
      </c>
      <c r="AH426" s="419">
        <v>634</v>
      </c>
      <c r="AI426" s="419">
        <v>0</v>
      </c>
      <c r="AJ426" s="419">
        <v>0</v>
      </c>
      <c r="AK426" s="419">
        <v>0</v>
      </c>
      <c r="AL426" s="380">
        <v>1.392E-4</v>
      </c>
      <c r="AM426" s="380"/>
      <c r="AN426" s="419">
        <v>-7685</v>
      </c>
      <c r="AO426" s="419">
        <v>-7687</v>
      </c>
      <c r="AP426" s="419">
        <v>-5854</v>
      </c>
      <c r="AQ426" s="419">
        <v>0</v>
      </c>
      <c r="AR426" s="419">
        <v>0</v>
      </c>
    </row>
    <row r="427" spans="1:44">
      <c r="A427" s="379">
        <v>94341</v>
      </c>
      <c r="B427" t="s">
        <v>1135</v>
      </c>
      <c r="C427" s="380">
        <v>8.8499999999999996E-5</v>
      </c>
      <c r="D427" s="380"/>
      <c r="E427" s="419">
        <v>3995</v>
      </c>
      <c r="F427" s="419">
        <v>-10267</v>
      </c>
      <c r="G427" s="419">
        <v>-19097</v>
      </c>
      <c r="H427" s="419">
        <v>-59337</v>
      </c>
      <c r="I427" s="419">
        <v>0</v>
      </c>
      <c r="J427" s="380">
        <v>8.8499999999999996E-5</v>
      </c>
      <c r="K427" s="380"/>
      <c r="L427" s="419">
        <v>21666</v>
      </c>
      <c r="M427" s="419">
        <v>14963</v>
      </c>
      <c r="N427" s="419">
        <v>6550</v>
      </c>
      <c r="O427" s="419">
        <v>0</v>
      </c>
      <c r="P427" s="419">
        <v>0</v>
      </c>
      <c r="Q427" s="380">
        <v>8.8499999999999996E-5</v>
      </c>
      <c r="R427" s="380"/>
      <c r="S427" s="419">
        <v>-44460</v>
      </c>
      <c r="T427" s="419">
        <v>-43945</v>
      </c>
      <c r="U427" s="419">
        <v>-46166</v>
      </c>
      <c r="V427" s="419">
        <v>-59337</v>
      </c>
      <c r="W427" s="419">
        <v>0</v>
      </c>
      <c r="X427" s="380">
        <v>8.8499999999999996E-5</v>
      </c>
      <c r="Z427" s="419">
        <v>35453</v>
      </c>
      <c r="AA427" s="419">
        <v>24908</v>
      </c>
      <c r="AB427" s="419">
        <v>24908</v>
      </c>
      <c r="AC427" s="419">
        <v>0</v>
      </c>
      <c r="AD427" s="419">
        <v>0</v>
      </c>
      <c r="AE427" s="380">
        <v>8.8499999999999996E-5</v>
      </c>
      <c r="AF427" s="380"/>
      <c r="AG427" s="419">
        <v>1649</v>
      </c>
      <c r="AH427" s="419">
        <v>1651</v>
      </c>
      <c r="AI427" s="419">
        <v>0</v>
      </c>
      <c r="AJ427" s="419">
        <v>0</v>
      </c>
      <c r="AK427" s="419">
        <v>0</v>
      </c>
      <c r="AL427" s="380">
        <v>8.8499999999999996E-5</v>
      </c>
      <c r="AM427" s="380"/>
      <c r="AN427" s="419">
        <v>-10313</v>
      </c>
      <c r="AO427" s="419">
        <v>-7844</v>
      </c>
      <c r="AP427" s="419">
        <v>-4389</v>
      </c>
      <c r="AQ427" s="419">
        <v>0</v>
      </c>
      <c r="AR427" s="419">
        <v>0</v>
      </c>
    </row>
    <row r="428" spans="1:44">
      <c r="A428" s="379">
        <v>94347</v>
      </c>
      <c r="B428" t="s">
        <v>1136</v>
      </c>
      <c r="C428" s="380">
        <v>1.6099999999999998E-5</v>
      </c>
      <c r="D428" s="380"/>
      <c r="E428" s="419">
        <v>6967</v>
      </c>
      <c r="F428" s="419">
        <v>4157</v>
      </c>
      <c r="G428" s="419">
        <v>-2180</v>
      </c>
      <c r="H428" s="419">
        <v>-10795</v>
      </c>
      <c r="I428" s="419">
        <v>0</v>
      </c>
      <c r="J428" s="380">
        <v>1.6099999999999998E-5</v>
      </c>
      <c r="K428" s="380"/>
      <c r="L428" s="419">
        <v>3941</v>
      </c>
      <c r="M428" s="419">
        <v>2722</v>
      </c>
      <c r="N428" s="419">
        <v>1192</v>
      </c>
      <c r="O428" s="419">
        <v>0</v>
      </c>
      <c r="P428" s="419">
        <v>0</v>
      </c>
      <c r="Q428" s="380">
        <v>1.6099999999999998E-5</v>
      </c>
      <c r="R428" s="380"/>
      <c r="S428" s="419">
        <v>-8088</v>
      </c>
      <c r="T428" s="419">
        <v>-7995</v>
      </c>
      <c r="U428" s="419">
        <v>-8399</v>
      </c>
      <c r="V428" s="419">
        <v>-10795</v>
      </c>
      <c r="W428" s="419">
        <v>0</v>
      </c>
      <c r="X428" s="380">
        <v>1.6099999999999998E-5</v>
      </c>
      <c r="Z428" s="419">
        <v>6450</v>
      </c>
      <c r="AA428" s="419">
        <v>4531</v>
      </c>
      <c r="AB428" s="419">
        <v>4531</v>
      </c>
      <c r="AC428" s="419">
        <v>0</v>
      </c>
      <c r="AD428" s="419">
        <v>0</v>
      </c>
      <c r="AE428" s="380">
        <v>1.6099999999999998E-5</v>
      </c>
      <c r="AF428" s="380"/>
      <c r="AG428" s="419">
        <v>4901</v>
      </c>
      <c r="AH428" s="419">
        <v>4899</v>
      </c>
      <c r="AI428" s="419">
        <v>496</v>
      </c>
      <c r="AJ428" s="419">
        <v>0</v>
      </c>
      <c r="AK428" s="419">
        <v>0</v>
      </c>
      <c r="AL428" s="380">
        <v>1.6099999999999998E-5</v>
      </c>
      <c r="AM428" s="380"/>
      <c r="AN428" s="419">
        <v>-237</v>
      </c>
      <c r="AO428" s="419">
        <v>0</v>
      </c>
      <c r="AP428" s="419">
        <v>0</v>
      </c>
      <c r="AQ428" s="419">
        <v>0</v>
      </c>
      <c r="AR428" s="419">
        <v>0</v>
      </c>
    </row>
    <row r="429" spans="1:44">
      <c r="A429" s="379">
        <v>94351</v>
      </c>
      <c r="B429" t="s">
        <v>1137</v>
      </c>
      <c r="C429" s="380">
        <v>3.1760000000000002E-4</v>
      </c>
      <c r="D429" s="380"/>
      <c r="E429" s="419">
        <v>77295</v>
      </c>
      <c r="F429" s="419">
        <v>18342</v>
      </c>
      <c r="G429" s="419">
        <v>-42024</v>
      </c>
      <c r="H429" s="419">
        <v>-212943</v>
      </c>
      <c r="I429" s="419">
        <v>0</v>
      </c>
      <c r="J429" s="380">
        <v>3.1760000000000002E-4</v>
      </c>
      <c r="K429" s="380"/>
      <c r="L429" s="419">
        <v>77751</v>
      </c>
      <c r="M429" s="419">
        <v>53697</v>
      </c>
      <c r="N429" s="419">
        <v>23506</v>
      </c>
      <c r="O429" s="419">
        <v>0</v>
      </c>
      <c r="P429" s="419">
        <v>0</v>
      </c>
      <c r="Q429" s="380">
        <v>3.1760000000000002E-4</v>
      </c>
      <c r="R429" s="380"/>
      <c r="S429" s="419">
        <v>-159552</v>
      </c>
      <c r="T429" s="419">
        <v>-157706</v>
      </c>
      <c r="U429" s="419">
        <v>-165676</v>
      </c>
      <c r="V429" s="419">
        <v>-212943</v>
      </c>
      <c r="W429" s="419">
        <v>0</v>
      </c>
      <c r="X429" s="380">
        <v>3.1760000000000002E-4</v>
      </c>
      <c r="Z429" s="419">
        <v>127231</v>
      </c>
      <c r="AA429" s="419">
        <v>89387</v>
      </c>
      <c r="AB429" s="419">
        <v>89386</v>
      </c>
      <c r="AC429" s="419">
        <v>0</v>
      </c>
      <c r="AD429" s="419">
        <v>0</v>
      </c>
      <c r="AE429" s="380">
        <v>3.1760000000000002E-4</v>
      </c>
      <c r="AF429" s="380"/>
      <c r="AG429" s="419">
        <v>37129</v>
      </c>
      <c r="AH429" s="419">
        <v>37129</v>
      </c>
      <c r="AI429" s="419">
        <v>10760</v>
      </c>
      <c r="AJ429" s="419">
        <v>0</v>
      </c>
      <c r="AK429" s="419">
        <v>0</v>
      </c>
      <c r="AL429" s="380">
        <v>3.1760000000000002E-4</v>
      </c>
      <c r="AM429" s="380"/>
      <c r="AN429" s="419">
        <v>-5264</v>
      </c>
      <c r="AO429" s="419">
        <v>-4165</v>
      </c>
      <c r="AP429" s="419">
        <v>0</v>
      </c>
      <c r="AQ429" s="419">
        <v>0</v>
      </c>
      <c r="AR429" s="419">
        <v>0</v>
      </c>
    </row>
    <row r="430" spans="1:44">
      <c r="A430" s="379">
        <v>94401</v>
      </c>
      <c r="B430" t="s">
        <v>1943</v>
      </c>
      <c r="C430" s="380">
        <v>3.2978999999999999E-3</v>
      </c>
      <c r="D430" s="380"/>
      <c r="E430" s="419">
        <v>360586</v>
      </c>
      <c r="F430" s="419">
        <v>-265248</v>
      </c>
      <c r="G430" s="419">
        <v>-696549</v>
      </c>
      <c r="H430" s="419">
        <v>-2211156</v>
      </c>
      <c r="I430" s="419">
        <v>0</v>
      </c>
      <c r="J430" s="380">
        <v>3.2978999999999999E-3</v>
      </c>
      <c r="K430" s="380"/>
      <c r="L430" s="419">
        <v>807352</v>
      </c>
      <c r="M430" s="419">
        <v>557583</v>
      </c>
      <c r="N430" s="419">
        <v>244084</v>
      </c>
      <c r="O430" s="419">
        <v>0</v>
      </c>
      <c r="P430" s="419">
        <v>0</v>
      </c>
      <c r="Q430" s="380">
        <v>3.2978999999999999E-3</v>
      </c>
      <c r="R430" s="380"/>
      <c r="S430" s="419">
        <v>-1656759</v>
      </c>
      <c r="T430" s="419">
        <v>-1637589</v>
      </c>
      <c r="U430" s="419">
        <v>-1720353</v>
      </c>
      <c r="V430" s="419">
        <v>-2211156</v>
      </c>
      <c r="W430" s="419">
        <v>0</v>
      </c>
      <c r="X430" s="380">
        <v>3.2978999999999999E-3</v>
      </c>
      <c r="Z430" s="419">
        <v>1321145</v>
      </c>
      <c r="AA430" s="419">
        <v>928177</v>
      </c>
      <c r="AB430" s="419">
        <v>928171</v>
      </c>
      <c r="AC430" s="419">
        <v>0</v>
      </c>
      <c r="AD430" s="419">
        <v>0</v>
      </c>
      <c r="AE430" s="380">
        <v>3.2978999999999999E-3</v>
      </c>
      <c r="AF430" s="380"/>
      <c r="AG430" s="419">
        <v>37300</v>
      </c>
      <c r="AH430" s="419">
        <v>35033</v>
      </c>
      <c r="AI430" s="419">
        <v>0</v>
      </c>
      <c r="AJ430" s="419">
        <v>0</v>
      </c>
      <c r="AK430" s="419">
        <v>0</v>
      </c>
      <c r="AL430" s="380">
        <v>3.2978999999999999E-3</v>
      </c>
      <c r="AM430" s="380"/>
      <c r="AN430" s="419">
        <v>-148452</v>
      </c>
      <c r="AO430" s="419">
        <v>-148452</v>
      </c>
      <c r="AP430" s="419">
        <v>-148451</v>
      </c>
      <c r="AQ430" s="419">
        <v>0</v>
      </c>
      <c r="AR430" s="419">
        <v>0</v>
      </c>
    </row>
    <row r="431" spans="1:44">
      <c r="A431" s="379">
        <v>94402</v>
      </c>
      <c r="B431" t="s">
        <v>1139</v>
      </c>
      <c r="C431" s="380">
        <v>0</v>
      </c>
      <c r="D431" s="380">
        <v>0</v>
      </c>
      <c r="E431" s="419">
        <v>0</v>
      </c>
      <c r="F431" s="419">
        <v>0</v>
      </c>
      <c r="G431" s="419">
        <v>0</v>
      </c>
      <c r="H431" s="419">
        <v>0</v>
      </c>
      <c r="I431" s="419">
        <v>0</v>
      </c>
      <c r="J431" s="419">
        <v>0</v>
      </c>
      <c r="K431" s="419">
        <v>0</v>
      </c>
      <c r="L431" s="419">
        <v>0</v>
      </c>
      <c r="M431" s="419">
        <v>0</v>
      </c>
      <c r="N431" s="419">
        <v>0</v>
      </c>
      <c r="O431" s="419">
        <v>0</v>
      </c>
      <c r="P431" s="419">
        <v>0</v>
      </c>
      <c r="Q431" s="419">
        <v>0</v>
      </c>
      <c r="R431" s="419">
        <v>0</v>
      </c>
      <c r="S431" s="419">
        <v>0</v>
      </c>
      <c r="T431" s="419">
        <v>0</v>
      </c>
      <c r="U431" s="419">
        <v>0</v>
      </c>
      <c r="V431" s="419">
        <v>0</v>
      </c>
      <c r="W431" s="419">
        <v>0</v>
      </c>
      <c r="X431" s="419">
        <v>0</v>
      </c>
      <c r="Y431" s="419">
        <v>0</v>
      </c>
      <c r="Z431" s="419">
        <v>0</v>
      </c>
      <c r="AA431" s="419">
        <v>0</v>
      </c>
      <c r="AB431" s="419">
        <v>0</v>
      </c>
      <c r="AC431" s="419">
        <v>0</v>
      </c>
      <c r="AD431" s="419">
        <v>0</v>
      </c>
      <c r="AE431" s="419">
        <v>0</v>
      </c>
      <c r="AF431" s="419">
        <v>0</v>
      </c>
      <c r="AG431" s="419">
        <v>0</v>
      </c>
      <c r="AH431" s="419">
        <v>0</v>
      </c>
      <c r="AI431" s="419">
        <v>0</v>
      </c>
      <c r="AJ431" s="419">
        <v>0</v>
      </c>
      <c r="AK431" s="419">
        <v>0</v>
      </c>
      <c r="AL431" s="419">
        <v>0</v>
      </c>
      <c r="AM431" s="419">
        <v>0</v>
      </c>
      <c r="AN431" s="419">
        <v>0</v>
      </c>
      <c r="AO431" s="419">
        <v>0</v>
      </c>
      <c r="AP431" s="419">
        <v>0</v>
      </c>
      <c r="AQ431" s="419">
        <v>0</v>
      </c>
      <c r="AR431" s="419">
        <v>0</v>
      </c>
    </row>
    <row r="432" spans="1:44">
      <c r="A432" s="379">
        <v>94403</v>
      </c>
      <c r="B432" t="s">
        <v>1140</v>
      </c>
      <c r="C432" s="380">
        <v>4.46E-5</v>
      </c>
      <c r="D432" s="380"/>
      <c r="E432" s="419">
        <v>14614</v>
      </c>
      <c r="F432" s="419">
        <v>4220</v>
      </c>
      <c r="G432" s="419">
        <v>-4571</v>
      </c>
      <c r="H432" s="419">
        <v>-29903</v>
      </c>
      <c r="I432" s="419">
        <v>0</v>
      </c>
      <c r="J432" s="380">
        <v>4.46E-5</v>
      </c>
      <c r="K432" s="380"/>
      <c r="L432" s="419">
        <v>10918</v>
      </c>
      <c r="M432" s="419">
        <v>7541</v>
      </c>
      <c r="N432" s="419">
        <v>3301</v>
      </c>
      <c r="O432" s="419">
        <v>0</v>
      </c>
      <c r="P432" s="419">
        <v>0</v>
      </c>
      <c r="Q432" s="380">
        <v>4.46E-5</v>
      </c>
      <c r="R432" s="380"/>
      <c r="S432" s="419">
        <v>-22406</v>
      </c>
      <c r="T432" s="419">
        <v>-22146</v>
      </c>
      <c r="U432" s="419">
        <v>-23266</v>
      </c>
      <c r="V432" s="419">
        <v>-29903</v>
      </c>
      <c r="W432" s="419">
        <v>0</v>
      </c>
      <c r="X432" s="380">
        <v>4.46E-5</v>
      </c>
      <c r="Z432" s="419">
        <v>17867</v>
      </c>
      <c r="AA432" s="419">
        <v>12552</v>
      </c>
      <c r="AB432" s="419">
        <v>12552</v>
      </c>
      <c r="AC432" s="419">
        <v>0</v>
      </c>
      <c r="AD432" s="419">
        <v>0</v>
      </c>
      <c r="AE432" s="380">
        <v>4.46E-5</v>
      </c>
      <c r="AF432" s="380"/>
      <c r="AG432" s="419">
        <v>8235</v>
      </c>
      <c r="AH432" s="419">
        <v>6273</v>
      </c>
      <c r="AI432" s="419">
        <v>2842</v>
      </c>
      <c r="AJ432" s="419">
        <v>0</v>
      </c>
      <c r="AK432" s="419">
        <v>0</v>
      </c>
      <c r="AL432" s="380">
        <v>4.46E-5</v>
      </c>
      <c r="AM432" s="380"/>
      <c r="AN432" s="419">
        <v>0</v>
      </c>
      <c r="AO432" s="419">
        <v>0</v>
      </c>
      <c r="AP432" s="419">
        <v>0</v>
      </c>
      <c r="AQ432" s="419">
        <v>0</v>
      </c>
      <c r="AR432" s="419">
        <v>0</v>
      </c>
    </row>
    <row r="433" spans="1:44">
      <c r="A433" s="379">
        <v>94408</v>
      </c>
      <c r="B433" t="s">
        <v>1141</v>
      </c>
      <c r="C433" s="380">
        <v>6.6799999999999997E-5</v>
      </c>
      <c r="D433" s="380"/>
      <c r="E433" s="419">
        <v>12973</v>
      </c>
      <c r="F433" s="419">
        <v>612</v>
      </c>
      <c r="G433" s="419">
        <v>-5406</v>
      </c>
      <c r="H433" s="419">
        <v>-44788</v>
      </c>
      <c r="I433" s="419">
        <v>0</v>
      </c>
      <c r="J433" s="380">
        <v>6.6799999999999997E-5</v>
      </c>
      <c r="K433" s="380"/>
      <c r="L433" s="419">
        <v>16353</v>
      </c>
      <c r="M433" s="419">
        <v>11294</v>
      </c>
      <c r="N433" s="419">
        <v>4944</v>
      </c>
      <c r="O433" s="419">
        <v>0</v>
      </c>
      <c r="P433" s="419">
        <v>0</v>
      </c>
      <c r="Q433" s="380">
        <v>6.6799999999999997E-5</v>
      </c>
      <c r="R433" s="380"/>
      <c r="S433" s="419">
        <v>-33558</v>
      </c>
      <c r="T433" s="419">
        <v>-33170</v>
      </c>
      <c r="U433" s="419">
        <v>-34846</v>
      </c>
      <c r="V433" s="419">
        <v>-44788</v>
      </c>
      <c r="W433" s="419">
        <v>0</v>
      </c>
      <c r="X433" s="380">
        <v>6.6799999999999997E-5</v>
      </c>
      <c r="Z433" s="419">
        <v>26760</v>
      </c>
      <c r="AA433" s="419">
        <v>18801</v>
      </c>
      <c r="AB433" s="419">
        <v>18800</v>
      </c>
      <c r="AC433" s="419">
        <v>0</v>
      </c>
      <c r="AD433" s="419">
        <v>0</v>
      </c>
      <c r="AE433" s="380">
        <v>6.6799999999999997E-5</v>
      </c>
      <c r="AF433" s="380"/>
      <c r="AG433" s="419">
        <v>7941</v>
      </c>
      <c r="AH433" s="419">
        <v>7941</v>
      </c>
      <c r="AI433" s="419">
        <v>5696</v>
      </c>
      <c r="AJ433" s="419">
        <v>0</v>
      </c>
      <c r="AK433" s="419">
        <v>0</v>
      </c>
      <c r="AL433" s="380">
        <v>6.6799999999999997E-5</v>
      </c>
      <c r="AM433" s="380"/>
      <c r="AN433" s="419">
        <v>-4523</v>
      </c>
      <c r="AO433" s="419">
        <v>-4254</v>
      </c>
      <c r="AP433" s="419">
        <v>0</v>
      </c>
      <c r="AQ433" s="419">
        <v>0</v>
      </c>
      <c r="AR433" s="419">
        <v>0</v>
      </c>
    </row>
    <row r="434" spans="1:44">
      <c r="A434" s="379">
        <v>94411</v>
      </c>
      <c r="B434" t="s">
        <v>1142</v>
      </c>
      <c r="C434" s="380">
        <v>1.0996000000000001E-3</v>
      </c>
      <c r="D434" s="380"/>
      <c r="E434" s="419">
        <v>55813</v>
      </c>
      <c r="F434" s="419">
        <v>-144849</v>
      </c>
      <c r="G434" s="419">
        <v>-228313</v>
      </c>
      <c r="H434" s="419">
        <v>-737253</v>
      </c>
      <c r="I434" s="419">
        <v>0</v>
      </c>
      <c r="J434" s="380">
        <v>1.0996000000000001E-3</v>
      </c>
      <c r="K434" s="380"/>
      <c r="L434" s="419">
        <v>269191</v>
      </c>
      <c r="M434" s="419">
        <v>185912</v>
      </c>
      <c r="N434" s="419">
        <v>81384</v>
      </c>
      <c r="O434" s="419">
        <v>0</v>
      </c>
      <c r="P434" s="419">
        <v>0</v>
      </c>
      <c r="Q434" s="380">
        <v>1.0996000000000001E-3</v>
      </c>
      <c r="R434" s="380"/>
      <c r="S434" s="419">
        <v>-552404</v>
      </c>
      <c r="T434" s="419">
        <v>-546012</v>
      </c>
      <c r="U434" s="419">
        <v>-573607</v>
      </c>
      <c r="V434" s="419">
        <v>-737253</v>
      </c>
      <c r="W434" s="419">
        <v>0</v>
      </c>
      <c r="X434" s="380">
        <v>1.0996000000000001E-3</v>
      </c>
      <c r="Z434" s="419">
        <v>440502</v>
      </c>
      <c r="AA434" s="419">
        <v>309477</v>
      </c>
      <c r="AB434" s="419">
        <v>309475</v>
      </c>
      <c r="AC434" s="419">
        <v>0</v>
      </c>
      <c r="AD434" s="419">
        <v>0</v>
      </c>
      <c r="AE434" s="380">
        <v>1.0996000000000001E-3</v>
      </c>
      <c r="AF434" s="380"/>
      <c r="AG434" s="419">
        <v>0</v>
      </c>
      <c r="AH434" s="419">
        <v>0</v>
      </c>
      <c r="AI434" s="419">
        <v>0</v>
      </c>
      <c r="AJ434" s="419">
        <v>0</v>
      </c>
      <c r="AK434" s="419">
        <v>0</v>
      </c>
      <c r="AL434" s="380">
        <v>1.0996000000000001E-3</v>
      </c>
      <c r="AM434" s="380"/>
      <c r="AN434" s="419">
        <v>-101476</v>
      </c>
      <c r="AO434" s="419">
        <v>-94226</v>
      </c>
      <c r="AP434" s="419">
        <v>-45565</v>
      </c>
      <c r="AQ434" s="419">
        <v>0</v>
      </c>
      <c r="AR434" s="419">
        <v>0</v>
      </c>
    </row>
    <row r="435" spans="1:44">
      <c r="A435" s="379">
        <v>94412</v>
      </c>
      <c r="B435" t="s">
        <v>1143</v>
      </c>
      <c r="C435" s="380">
        <v>1.9899999999999999E-5</v>
      </c>
      <c r="D435" s="380"/>
      <c r="E435" s="419">
        <v>10607</v>
      </c>
      <c r="F435" s="419">
        <v>5462</v>
      </c>
      <c r="G435" s="419">
        <v>-272</v>
      </c>
      <c r="H435" s="419">
        <v>-13342</v>
      </c>
      <c r="I435" s="419">
        <v>0</v>
      </c>
      <c r="J435" s="380">
        <v>1.9899999999999999E-5</v>
      </c>
      <c r="K435" s="380"/>
      <c r="L435" s="419">
        <v>4872</v>
      </c>
      <c r="M435" s="419">
        <v>3365</v>
      </c>
      <c r="N435" s="419">
        <v>1473</v>
      </c>
      <c r="O435" s="419">
        <v>0</v>
      </c>
      <c r="P435" s="419">
        <v>0</v>
      </c>
      <c r="Q435" s="380">
        <v>1.9899999999999999E-5</v>
      </c>
      <c r="R435" s="380"/>
      <c r="S435" s="419">
        <v>-9997</v>
      </c>
      <c r="T435" s="419">
        <v>-9881</v>
      </c>
      <c r="U435" s="419">
        <v>-10381</v>
      </c>
      <c r="V435" s="419">
        <v>-13342</v>
      </c>
      <c r="W435" s="419">
        <v>0</v>
      </c>
      <c r="X435" s="380">
        <v>1.9899999999999999E-5</v>
      </c>
      <c r="Z435" s="419">
        <v>7972</v>
      </c>
      <c r="AA435" s="419">
        <v>5601</v>
      </c>
      <c r="AB435" s="419">
        <v>5601</v>
      </c>
      <c r="AC435" s="419">
        <v>0</v>
      </c>
      <c r="AD435" s="419">
        <v>0</v>
      </c>
      <c r="AE435" s="380">
        <v>1.9899999999999999E-5</v>
      </c>
      <c r="AF435" s="380"/>
      <c r="AG435" s="419">
        <v>7760</v>
      </c>
      <c r="AH435" s="419">
        <v>6377</v>
      </c>
      <c r="AI435" s="419">
        <v>3035</v>
      </c>
      <c r="AJ435" s="419">
        <v>0</v>
      </c>
      <c r="AK435" s="419">
        <v>0</v>
      </c>
      <c r="AL435" s="380">
        <v>1.9899999999999999E-5</v>
      </c>
      <c r="AM435" s="380"/>
      <c r="AN435" s="419">
        <v>0</v>
      </c>
      <c r="AO435" s="419">
        <v>0</v>
      </c>
      <c r="AP435" s="419">
        <v>0</v>
      </c>
      <c r="AQ435" s="419">
        <v>0</v>
      </c>
      <c r="AR435" s="419">
        <v>0</v>
      </c>
    </row>
    <row r="436" spans="1:44">
      <c r="A436" s="379">
        <v>94421</v>
      </c>
      <c r="B436" t="s">
        <v>1144</v>
      </c>
      <c r="C436" s="380">
        <v>1.56E-4</v>
      </c>
      <c r="D436" s="380"/>
      <c r="E436" s="419">
        <v>37396</v>
      </c>
      <c r="F436" s="419">
        <v>9164</v>
      </c>
      <c r="G436" s="419">
        <v>-2291</v>
      </c>
      <c r="H436" s="419">
        <v>-104594</v>
      </c>
      <c r="I436" s="419">
        <v>0</v>
      </c>
      <c r="J436" s="380">
        <v>1.56E-4</v>
      </c>
      <c r="K436" s="380"/>
      <c r="L436" s="419">
        <v>38190</v>
      </c>
      <c r="M436" s="419">
        <v>26375</v>
      </c>
      <c r="N436" s="419">
        <v>11546</v>
      </c>
      <c r="O436" s="419">
        <v>0</v>
      </c>
      <c r="P436" s="419">
        <v>0</v>
      </c>
      <c r="Q436" s="380">
        <v>1.56E-4</v>
      </c>
      <c r="R436" s="380"/>
      <c r="S436" s="419">
        <v>-78369</v>
      </c>
      <c r="T436" s="419">
        <v>-77463</v>
      </c>
      <c r="U436" s="419">
        <v>-81378</v>
      </c>
      <c r="V436" s="419">
        <v>-104594</v>
      </c>
      <c r="W436" s="419">
        <v>0</v>
      </c>
      <c r="X436" s="380">
        <v>1.56E-4</v>
      </c>
      <c r="Z436" s="419">
        <v>62494</v>
      </c>
      <c r="AA436" s="419">
        <v>43905</v>
      </c>
      <c r="AB436" s="419">
        <v>43905</v>
      </c>
      <c r="AC436" s="419">
        <v>0</v>
      </c>
      <c r="AD436" s="419">
        <v>0</v>
      </c>
      <c r="AE436" s="380">
        <v>1.56E-4</v>
      </c>
      <c r="AF436" s="380"/>
      <c r="AG436" s="419">
        <v>23636</v>
      </c>
      <c r="AH436" s="419">
        <v>23636</v>
      </c>
      <c r="AI436" s="419">
        <v>23636</v>
      </c>
      <c r="AJ436" s="419">
        <v>0</v>
      </c>
      <c r="AK436" s="419">
        <v>0</v>
      </c>
      <c r="AL436" s="380">
        <v>1.56E-4</v>
      </c>
      <c r="AM436" s="380"/>
      <c r="AN436" s="419">
        <v>-8555</v>
      </c>
      <c r="AO436" s="419">
        <v>-7289</v>
      </c>
      <c r="AP436" s="419">
        <v>0</v>
      </c>
      <c r="AQ436" s="419">
        <v>0</v>
      </c>
      <c r="AR436" s="419">
        <v>0</v>
      </c>
    </row>
    <row r="437" spans="1:44">
      <c r="A437" s="379">
        <v>94427</v>
      </c>
      <c r="B437" t="s">
        <v>1145</v>
      </c>
      <c r="C437" s="380">
        <v>2.5899999999999999E-5</v>
      </c>
      <c r="D437" s="380"/>
      <c r="E437" s="419">
        <v>8886</v>
      </c>
      <c r="F437" s="419">
        <v>3321</v>
      </c>
      <c r="G437" s="419">
        <v>-3099</v>
      </c>
      <c r="H437" s="419">
        <v>-17365</v>
      </c>
      <c r="I437" s="419">
        <v>0</v>
      </c>
      <c r="J437" s="380">
        <v>2.5899999999999999E-5</v>
      </c>
      <c r="K437" s="380"/>
      <c r="L437" s="419">
        <v>6341</v>
      </c>
      <c r="M437" s="419">
        <v>4379</v>
      </c>
      <c r="N437" s="419">
        <v>1917</v>
      </c>
      <c r="O437" s="419">
        <v>0</v>
      </c>
      <c r="P437" s="419">
        <v>0</v>
      </c>
      <c r="Q437" s="380">
        <v>2.5899999999999999E-5</v>
      </c>
      <c r="R437" s="380"/>
      <c r="S437" s="419">
        <v>-13011</v>
      </c>
      <c r="T437" s="419">
        <v>-12861</v>
      </c>
      <c r="U437" s="419">
        <v>-13511</v>
      </c>
      <c r="V437" s="419">
        <v>-17365</v>
      </c>
      <c r="W437" s="419">
        <v>0</v>
      </c>
      <c r="X437" s="380">
        <v>2.5899999999999999E-5</v>
      </c>
      <c r="Z437" s="419">
        <v>10376</v>
      </c>
      <c r="AA437" s="419">
        <v>7289</v>
      </c>
      <c r="AB437" s="419">
        <v>7289</v>
      </c>
      <c r="AC437" s="419">
        <v>0</v>
      </c>
      <c r="AD437" s="419">
        <v>0</v>
      </c>
      <c r="AE437" s="380">
        <v>2.5899999999999999E-5</v>
      </c>
      <c r="AF437" s="380"/>
      <c r="AG437" s="419">
        <v>5180</v>
      </c>
      <c r="AH437" s="419">
        <v>4514</v>
      </c>
      <c r="AI437" s="419">
        <v>1206</v>
      </c>
      <c r="AJ437" s="419">
        <v>0</v>
      </c>
      <c r="AK437" s="419">
        <v>0</v>
      </c>
      <c r="AL437" s="380">
        <v>2.5899999999999999E-5</v>
      </c>
      <c r="AM437" s="380"/>
      <c r="AN437" s="419">
        <v>0</v>
      </c>
      <c r="AO437" s="419">
        <v>0</v>
      </c>
      <c r="AP437" s="419">
        <v>0</v>
      </c>
      <c r="AQ437" s="419">
        <v>0</v>
      </c>
      <c r="AR437" s="419">
        <v>0</v>
      </c>
    </row>
    <row r="438" spans="1:44">
      <c r="A438" s="379">
        <v>94428</v>
      </c>
      <c r="B438" t="s">
        <v>1146</v>
      </c>
      <c r="C438" s="380">
        <v>7.5300000000000001E-5</v>
      </c>
      <c r="D438" s="380"/>
      <c r="E438" s="419">
        <v>16300</v>
      </c>
      <c r="F438" s="419">
        <v>524</v>
      </c>
      <c r="G438" s="419">
        <v>-10313</v>
      </c>
      <c r="H438" s="419">
        <v>-50487</v>
      </c>
      <c r="I438" s="419">
        <v>0</v>
      </c>
      <c r="J438" s="380">
        <v>7.5300000000000001E-5</v>
      </c>
      <c r="K438" s="380"/>
      <c r="L438" s="419">
        <v>18434</v>
      </c>
      <c r="M438" s="419">
        <v>12731</v>
      </c>
      <c r="N438" s="419">
        <v>5573</v>
      </c>
      <c r="O438" s="419">
        <v>0</v>
      </c>
      <c r="P438" s="419">
        <v>0</v>
      </c>
      <c r="Q438" s="380">
        <v>7.5300000000000001E-5</v>
      </c>
      <c r="R438" s="380"/>
      <c r="S438" s="419">
        <v>-37828</v>
      </c>
      <c r="T438" s="419">
        <v>-37391</v>
      </c>
      <c r="U438" s="419">
        <v>-39280</v>
      </c>
      <c r="V438" s="419">
        <v>-50487</v>
      </c>
      <c r="W438" s="419">
        <v>0</v>
      </c>
      <c r="X438" s="380">
        <v>7.5300000000000001E-5</v>
      </c>
      <c r="Z438" s="419">
        <v>30165</v>
      </c>
      <c r="AA438" s="419">
        <v>21193</v>
      </c>
      <c r="AB438" s="419">
        <v>21193</v>
      </c>
      <c r="AC438" s="419">
        <v>0</v>
      </c>
      <c r="AD438" s="419">
        <v>0</v>
      </c>
      <c r="AE438" s="380">
        <v>7.5300000000000001E-5</v>
      </c>
      <c r="AF438" s="380"/>
      <c r="AG438" s="419">
        <v>5529</v>
      </c>
      <c r="AH438" s="419">
        <v>3991</v>
      </c>
      <c r="AI438" s="419">
        <v>2201</v>
      </c>
      <c r="AJ438" s="419">
        <v>0</v>
      </c>
      <c r="AK438" s="419">
        <v>0</v>
      </c>
      <c r="AL438" s="380">
        <v>7.5300000000000001E-5</v>
      </c>
      <c r="AM438" s="380"/>
      <c r="AN438" s="419">
        <v>0</v>
      </c>
      <c r="AO438" s="419">
        <v>0</v>
      </c>
      <c r="AP438" s="419">
        <v>0</v>
      </c>
      <c r="AQ438" s="419">
        <v>0</v>
      </c>
      <c r="AR438" s="419">
        <v>0</v>
      </c>
    </row>
    <row r="439" spans="1:44">
      <c r="A439" s="379">
        <v>94431</v>
      </c>
      <c r="B439" t="s">
        <v>1147</v>
      </c>
      <c r="C439" s="380">
        <v>3.6440000000000002E-4</v>
      </c>
      <c r="D439" s="380"/>
      <c r="E439" s="419">
        <v>70423</v>
      </c>
      <c r="F439" s="419">
        <v>-14817</v>
      </c>
      <c r="G439" s="419">
        <v>-68863</v>
      </c>
      <c r="H439" s="419">
        <v>-244321</v>
      </c>
      <c r="I439" s="419">
        <v>0</v>
      </c>
      <c r="J439" s="380">
        <v>3.6440000000000002E-4</v>
      </c>
      <c r="K439" s="380"/>
      <c r="L439" s="419">
        <v>89208</v>
      </c>
      <c r="M439" s="419">
        <v>61610</v>
      </c>
      <c r="N439" s="419">
        <v>26970</v>
      </c>
      <c r="O439" s="419">
        <v>0</v>
      </c>
      <c r="P439" s="419">
        <v>0</v>
      </c>
      <c r="Q439" s="380">
        <v>3.6440000000000002E-4</v>
      </c>
      <c r="R439" s="380"/>
      <c r="S439" s="419">
        <v>-183063</v>
      </c>
      <c r="T439" s="419">
        <v>-180945</v>
      </c>
      <c r="U439" s="419">
        <v>-190090</v>
      </c>
      <c r="V439" s="419">
        <v>-244321</v>
      </c>
      <c r="W439" s="419">
        <v>0</v>
      </c>
      <c r="X439" s="380">
        <v>3.6440000000000002E-4</v>
      </c>
      <c r="Z439" s="419">
        <v>145979</v>
      </c>
      <c r="AA439" s="419">
        <v>102559</v>
      </c>
      <c r="AB439" s="419">
        <v>102558</v>
      </c>
      <c r="AC439" s="419">
        <v>0</v>
      </c>
      <c r="AD439" s="419">
        <v>0</v>
      </c>
      <c r="AE439" s="380">
        <v>3.6440000000000002E-4</v>
      </c>
      <c r="AF439" s="380"/>
      <c r="AG439" s="419">
        <v>43726</v>
      </c>
      <c r="AH439" s="419">
        <v>27384</v>
      </c>
      <c r="AI439" s="419">
        <v>0</v>
      </c>
      <c r="AJ439" s="419">
        <v>0</v>
      </c>
      <c r="AK439" s="419">
        <v>0</v>
      </c>
      <c r="AL439" s="380">
        <v>3.6440000000000002E-4</v>
      </c>
      <c r="AM439" s="380"/>
      <c r="AN439" s="419">
        <v>-25427</v>
      </c>
      <c r="AO439" s="419">
        <v>-25425</v>
      </c>
      <c r="AP439" s="419">
        <v>-8301</v>
      </c>
      <c r="AQ439" s="419">
        <v>0</v>
      </c>
      <c r="AR439" s="419">
        <v>0</v>
      </c>
    </row>
    <row r="440" spans="1:44">
      <c r="A440" s="379">
        <v>94437</v>
      </c>
      <c r="B440" t="s">
        <v>1148</v>
      </c>
      <c r="C440" s="380">
        <v>1.5099999999999999E-5</v>
      </c>
      <c r="D440" s="380"/>
      <c r="E440" s="419">
        <v>7176</v>
      </c>
      <c r="F440" s="419">
        <v>3053</v>
      </c>
      <c r="G440" s="419">
        <v>325</v>
      </c>
      <c r="H440" s="419">
        <v>-10124</v>
      </c>
      <c r="I440" s="419">
        <v>0</v>
      </c>
      <c r="J440" s="380">
        <v>1.5099999999999999E-5</v>
      </c>
      <c r="K440" s="380"/>
      <c r="L440" s="419">
        <v>3697</v>
      </c>
      <c r="M440" s="419">
        <v>2553</v>
      </c>
      <c r="N440" s="419">
        <v>1118</v>
      </c>
      <c r="O440" s="419">
        <v>0</v>
      </c>
      <c r="P440" s="419">
        <v>0</v>
      </c>
      <c r="Q440" s="380">
        <v>1.5099999999999999E-5</v>
      </c>
      <c r="R440" s="380"/>
      <c r="S440" s="419">
        <v>-7586</v>
      </c>
      <c r="T440" s="419">
        <v>-7498</v>
      </c>
      <c r="U440" s="419">
        <v>-7877</v>
      </c>
      <c r="V440" s="419">
        <v>-10124</v>
      </c>
      <c r="W440" s="419">
        <v>0</v>
      </c>
      <c r="X440" s="380">
        <v>1.5099999999999999E-5</v>
      </c>
      <c r="Z440" s="419">
        <v>6049</v>
      </c>
      <c r="AA440" s="419">
        <v>4250</v>
      </c>
      <c r="AB440" s="419">
        <v>4250</v>
      </c>
      <c r="AC440" s="419">
        <v>0</v>
      </c>
      <c r="AD440" s="419">
        <v>0</v>
      </c>
      <c r="AE440" s="380">
        <v>1.5099999999999999E-5</v>
      </c>
      <c r="AF440" s="380"/>
      <c r="AG440" s="419">
        <v>5016</v>
      </c>
      <c r="AH440" s="419">
        <v>3748</v>
      </c>
      <c r="AI440" s="419">
        <v>2834</v>
      </c>
      <c r="AJ440" s="419">
        <v>0</v>
      </c>
      <c r="AK440" s="419">
        <v>0</v>
      </c>
      <c r="AL440" s="380">
        <v>1.5099999999999999E-5</v>
      </c>
      <c r="AM440" s="380"/>
      <c r="AN440" s="419">
        <v>0</v>
      </c>
      <c r="AO440" s="419">
        <v>0</v>
      </c>
      <c r="AP440" s="419">
        <v>0</v>
      </c>
      <c r="AQ440" s="419">
        <v>0</v>
      </c>
      <c r="AR440" s="419">
        <v>0</v>
      </c>
    </row>
    <row r="441" spans="1:44">
      <c r="A441" s="379">
        <v>94501</v>
      </c>
      <c r="B441" t="s">
        <v>1149</v>
      </c>
      <c r="C441" s="380">
        <v>5.8125E-3</v>
      </c>
      <c r="D441" s="380"/>
      <c r="E441" s="419">
        <v>818280</v>
      </c>
      <c r="F441" s="419">
        <v>-307061</v>
      </c>
      <c r="G441" s="419">
        <v>-1020600</v>
      </c>
      <c r="H441" s="419">
        <v>-3897130</v>
      </c>
      <c r="I441" s="419">
        <v>0</v>
      </c>
      <c r="J441" s="380">
        <v>5.8125E-3</v>
      </c>
      <c r="K441" s="380"/>
      <c r="L441" s="419">
        <v>1422947</v>
      </c>
      <c r="M441" s="419">
        <v>982731</v>
      </c>
      <c r="N441" s="419">
        <v>430195</v>
      </c>
      <c r="O441" s="419">
        <v>0</v>
      </c>
      <c r="P441" s="419">
        <v>0</v>
      </c>
      <c r="Q441" s="380">
        <v>5.8125E-3</v>
      </c>
      <c r="R441" s="380"/>
      <c r="S441" s="419">
        <v>-2920014</v>
      </c>
      <c r="T441" s="419">
        <v>-2886226</v>
      </c>
      <c r="U441" s="419">
        <v>-3032096</v>
      </c>
      <c r="V441" s="419">
        <v>-3897130</v>
      </c>
      <c r="W441" s="419">
        <v>0</v>
      </c>
      <c r="X441" s="380">
        <v>5.8125E-3</v>
      </c>
      <c r="Z441" s="419">
        <v>2328499</v>
      </c>
      <c r="AA441" s="419">
        <v>1635899</v>
      </c>
      <c r="AB441" s="419">
        <v>1635887</v>
      </c>
      <c r="AC441" s="419">
        <v>0</v>
      </c>
      <c r="AD441" s="419">
        <v>0</v>
      </c>
      <c r="AE441" s="380">
        <v>5.8125E-3</v>
      </c>
      <c r="AF441" s="380"/>
      <c r="AG441" s="419">
        <v>44032</v>
      </c>
      <c r="AH441" s="419">
        <v>17719</v>
      </c>
      <c r="AI441" s="419">
        <v>0</v>
      </c>
      <c r="AJ441" s="419">
        <v>0</v>
      </c>
      <c r="AK441" s="419">
        <v>0</v>
      </c>
      <c r="AL441" s="380">
        <v>5.8125E-3</v>
      </c>
      <c r="AM441" s="380"/>
      <c r="AN441" s="419">
        <v>-57184</v>
      </c>
      <c r="AO441" s="419">
        <v>-57184</v>
      </c>
      <c r="AP441" s="419">
        <v>-54586</v>
      </c>
      <c r="AQ441" s="419">
        <v>0</v>
      </c>
      <c r="AR441" s="419">
        <v>0</v>
      </c>
    </row>
    <row r="442" spans="1:44">
      <c r="A442" s="379">
        <v>94511</v>
      </c>
      <c r="B442" t="s">
        <v>1150</v>
      </c>
      <c r="C442" s="380">
        <v>1.9949999999999998E-3</v>
      </c>
      <c r="D442" s="380"/>
      <c r="E442" s="419">
        <v>189889</v>
      </c>
      <c r="F442" s="419">
        <v>-192112</v>
      </c>
      <c r="G442" s="419">
        <v>-355149</v>
      </c>
      <c r="H442" s="419">
        <v>-1337596</v>
      </c>
      <c r="I442" s="419">
        <v>0</v>
      </c>
      <c r="J442" s="380">
        <v>1.9949999999999998E-3</v>
      </c>
      <c r="K442" s="380"/>
      <c r="L442" s="419">
        <v>488392</v>
      </c>
      <c r="M442" s="419">
        <v>337299</v>
      </c>
      <c r="N442" s="419">
        <v>147654</v>
      </c>
      <c r="O442" s="419">
        <v>0</v>
      </c>
      <c r="P442" s="419">
        <v>0</v>
      </c>
      <c r="Q442" s="380">
        <v>1.9949999999999998E-3</v>
      </c>
      <c r="R442" s="380"/>
      <c r="S442" s="419">
        <v>-1002224</v>
      </c>
      <c r="T442" s="419">
        <v>-990627</v>
      </c>
      <c r="U442" s="419">
        <v>-1040694</v>
      </c>
      <c r="V442" s="419">
        <v>-1337596</v>
      </c>
      <c r="W442" s="419">
        <v>0</v>
      </c>
      <c r="X442" s="380">
        <v>1.9949999999999998E-3</v>
      </c>
      <c r="Z442" s="419">
        <v>799201</v>
      </c>
      <c r="AA442" s="419">
        <v>561483</v>
      </c>
      <c r="AB442" s="419">
        <v>561479</v>
      </c>
      <c r="AC442" s="419">
        <v>0</v>
      </c>
      <c r="AD442" s="419">
        <v>0</v>
      </c>
      <c r="AE442" s="380">
        <v>1.9949999999999998E-3</v>
      </c>
      <c r="AF442" s="380"/>
      <c r="AG442" s="419">
        <v>4788</v>
      </c>
      <c r="AH442" s="419">
        <v>0</v>
      </c>
      <c r="AI442" s="419">
        <v>0</v>
      </c>
      <c r="AJ442" s="419">
        <v>0</v>
      </c>
      <c r="AK442" s="419">
        <v>0</v>
      </c>
      <c r="AL442" s="380">
        <v>1.9949999999999998E-3</v>
      </c>
      <c r="AM442" s="380"/>
      <c r="AN442" s="419">
        <v>-100268</v>
      </c>
      <c r="AO442" s="419">
        <v>-100267</v>
      </c>
      <c r="AP442" s="419">
        <v>-23588</v>
      </c>
      <c r="AQ442" s="419">
        <v>0</v>
      </c>
      <c r="AR442" s="419">
        <v>0</v>
      </c>
    </row>
    <row r="443" spans="1:44">
      <c r="A443" s="379">
        <v>94512</v>
      </c>
      <c r="B443" t="s">
        <v>1151</v>
      </c>
      <c r="C443" s="380">
        <v>0</v>
      </c>
      <c r="D443" s="380"/>
      <c r="E443" s="419">
        <v>0</v>
      </c>
      <c r="F443" s="419">
        <v>0</v>
      </c>
      <c r="G443" s="419">
        <v>0</v>
      </c>
      <c r="H443" s="419">
        <v>0</v>
      </c>
      <c r="I443" s="419">
        <v>0</v>
      </c>
      <c r="J443" s="419">
        <v>0</v>
      </c>
      <c r="K443" s="419">
        <v>0</v>
      </c>
      <c r="L443" s="419">
        <v>0</v>
      </c>
      <c r="M443" s="419">
        <v>0</v>
      </c>
      <c r="N443" s="419">
        <v>0</v>
      </c>
      <c r="O443" s="419">
        <v>0</v>
      </c>
      <c r="P443" s="419">
        <v>0</v>
      </c>
      <c r="Q443" s="419">
        <v>0</v>
      </c>
      <c r="R443" s="419">
        <v>0</v>
      </c>
      <c r="S443" s="419">
        <v>0</v>
      </c>
      <c r="T443" s="419">
        <v>0</v>
      </c>
      <c r="U443" s="419">
        <v>0</v>
      </c>
      <c r="V443" s="419">
        <v>0</v>
      </c>
      <c r="W443" s="419">
        <v>0</v>
      </c>
      <c r="X443" s="419">
        <v>0</v>
      </c>
      <c r="Y443" s="419">
        <v>0</v>
      </c>
      <c r="Z443" s="419">
        <v>0</v>
      </c>
      <c r="AA443" s="419">
        <v>0</v>
      </c>
      <c r="AB443" s="419">
        <v>0</v>
      </c>
      <c r="AC443" s="419">
        <v>0</v>
      </c>
      <c r="AD443" s="419">
        <v>0</v>
      </c>
      <c r="AE443" s="419">
        <v>0</v>
      </c>
      <c r="AF443" s="419">
        <v>0</v>
      </c>
      <c r="AG443" s="419">
        <v>0</v>
      </c>
      <c r="AH443" s="419">
        <v>0</v>
      </c>
      <c r="AI443" s="419">
        <v>0</v>
      </c>
      <c r="AJ443" s="419">
        <v>0</v>
      </c>
      <c r="AK443" s="419">
        <v>0</v>
      </c>
      <c r="AL443" s="419">
        <v>0</v>
      </c>
      <c r="AM443" s="419">
        <v>0</v>
      </c>
      <c r="AN443" s="419">
        <v>0</v>
      </c>
      <c r="AO443" s="419">
        <v>0</v>
      </c>
      <c r="AP443" s="419">
        <v>0</v>
      </c>
      <c r="AQ443" s="419">
        <v>0</v>
      </c>
      <c r="AR443" s="419">
        <v>0</v>
      </c>
    </row>
    <row r="444" spans="1:44">
      <c r="A444" s="379">
        <v>94517</v>
      </c>
      <c r="B444" t="s">
        <v>1152</v>
      </c>
      <c r="C444" s="380">
        <v>6.3800000000000006E-5</v>
      </c>
      <c r="D444" s="380"/>
      <c r="E444" s="419">
        <v>26574</v>
      </c>
      <c r="F444" s="419">
        <v>13732</v>
      </c>
      <c r="G444" s="419">
        <v>-4052</v>
      </c>
      <c r="H444" s="419">
        <v>-42776</v>
      </c>
      <c r="I444" s="419">
        <v>0</v>
      </c>
      <c r="J444" s="380">
        <v>6.3800000000000006E-5</v>
      </c>
      <c r="K444" s="380"/>
      <c r="L444" s="419">
        <v>15619</v>
      </c>
      <c r="M444" s="419">
        <v>10787</v>
      </c>
      <c r="N444" s="419">
        <v>4722</v>
      </c>
      <c r="O444" s="419">
        <v>0</v>
      </c>
      <c r="P444" s="419">
        <v>0</v>
      </c>
      <c r="Q444" s="380">
        <v>6.3800000000000006E-5</v>
      </c>
      <c r="R444" s="380"/>
      <c r="S444" s="419">
        <v>-32051</v>
      </c>
      <c r="T444" s="419">
        <v>-31680</v>
      </c>
      <c r="U444" s="419">
        <v>-33281</v>
      </c>
      <c r="V444" s="419">
        <v>-42776</v>
      </c>
      <c r="W444" s="419">
        <v>0</v>
      </c>
      <c r="X444" s="380">
        <v>6.3800000000000006E-5</v>
      </c>
      <c r="Z444" s="419">
        <v>25558</v>
      </c>
      <c r="AA444" s="419">
        <v>17956</v>
      </c>
      <c r="AB444" s="419">
        <v>17956</v>
      </c>
      <c r="AC444" s="419">
        <v>0</v>
      </c>
      <c r="AD444" s="419">
        <v>0</v>
      </c>
      <c r="AE444" s="380">
        <v>6.3800000000000006E-5</v>
      </c>
      <c r="AF444" s="380"/>
      <c r="AG444" s="419">
        <v>17448</v>
      </c>
      <c r="AH444" s="419">
        <v>16669</v>
      </c>
      <c r="AI444" s="419">
        <v>6551</v>
      </c>
      <c r="AJ444" s="419">
        <v>0</v>
      </c>
      <c r="AK444" s="419">
        <v>0</v>
      </c>
      <c r="AL444" s="380">
        <v>6.3800000000000006E-5</v>
      </c>
      <c r="AM444" s="380"/>
      <c r="AN444" s="419">
        <v>0</v>
      </c>
      <c r="AO444" s="419">
        <v>0</v>
      </c>
      <c r="AP444" s="419">
        <v>0</v>
      </c>
      <c r="AQ444" s="419">
        <v>0</v>
      </c>
      <c r="AR444" s="419">
        <v>0</v>
      </c>
    </row>
    <row r="445" spans="1:44">
      <c r="A445" s="379">
        <v>94521</v>
      </c>
      <c r="B445" t="s">
        <v>1153</v>
      </c>
      <c r="C445" s="380">
        <v>1.3880000000000001E-4</v>
      </c>
      <c r="D445" s="380"/>
      <c r="E445" s="419">
        <v>1842</v>
      </c>
      <c r="F445" s="419">
        <v>-23071</v>
      </c>
      <c r="G445" s="419">
        <v>-31456</v>
      </c>
      <c r="H445" s="419">
        <v>-93062</v>
      </c>
      <c r="I445" s="419">
        <v>0</v>
      </c>
      <c r="J445" s="380">
        <v>1.3880000000000001E-4</v>
      </c>
      <c r="K445" s="380"/>
      <c r="L445" s="419">
        <v>33979</v>
      </c>
      <c r="M445" s="419">
        <v>23467</v>
      </c>
      <c r="N445" s="419">
        <v>10273</v>
      </c>
      <c r="O445" s="419">
        <v>0</v>
      </c>
      <c r="P445" s="419">
        <v>0</v>
      </c>
      <c r="Q445" s="380">
        <v>1.3880000000000001E-4</v>
      </c>
      <c r="R445" s="380"/>
      <c r="S445" s="419">
        <v>-69729</v>
      </c>
      <c r="T445" s="419">
        <v>-68922</v>
      </c>
      <c r="U445" s="419">
        <v>-72405</v>
      </c>
      <c r="V445" s="419">
        <v>-93062</v>
      </c>
      <c r="W445" s="419">
        <v>0</v>
      </c>
      <c r="X445" s="380">
        <v>1.3880000000000001E-4</v>
      </c>
      <c r="Z445" s="419">
        <v>55604</v>
      </c>
      <c r="AA445" s="419">
        <v>39065</v>
      </c>
      <c r="AB445" s="419">
        <v>39064</v>
      </c>
      <c r="AC445" s="419">
        <v>0</v>
      </c>
      <c r="AD445" s="419">
        <v>0</v>
      </c>
      <c r="AE445" s="380">
        <v>1.3880000000000001E-4</v>
      </c>
      <c r="AF445" s="380"/>
      <c r="AG445" s="419">
        <v>0</v>
      </c>
      <c r="AH445" s="419">
        <v>0</v>
      </c>
      <c r="AI445" s="419">
        <v>0</v>
      </c>
      <c r="AJ445" s="419">
        <v>0</v>
      </c>
      <c r="AK445" s="419">
        <v>0</v>
      </c>
      <c r="AL445" s="380">
        <v>1.3880000000000001E-4</v>
      </c>
      <c r="AM445" s="380"/>
      <c r="AN445" s="419">
        <v>-18012</v>
      </c>
      <c r="AO445" s="419">
        <v>-16681</v>
      </c>
      <c r="AP445" s="419">
        <v>-8388</v>
      </c>
      <c r="AQ445" s="419">
        <v>0</v>
      </c>
      <c r="AR445" s="419">
        <v>0</v>
      </c>
    </row>
    <row r="446" spans="1:44">
      <c r="A446" s="379">
        <v>94527</v>
      </c>
      <c r="B446" t="s">
        <v>1154</v>
      </c>
      <c r="C446" s="380">
        <v>7.4000000000000003E-6</v>
      </c>
      <c r="D446" s="380"/>
      <c r="E446" s="419">
        <v>1475</v>
      </c>
      <c r="F446" s="419">
        <v>-90</v>
      </c>
      <c r="G446" s="419">
        <v>-1060</v>
      </c>
      <c r="H446" s="419">
        <v>-4962</v>
      </c>
      <c r="I446" s="419">
        <v>0</v>
      </c>
      <c r="J446" s="380">
        <v>7.4000000000000003E-6</v>
      </c>
      <c r="K446" s="380"/>
      <c r="L446" s="419">
        <v>1812</v>
      </c>
      <c r="M446" s="419">
        <v>1251</v>
      </c>
      <c r="N446" s="419">
        <v>548</v>
      </c>
      <c r="O446" s="419">
        <v>0</v>
      </c>
      <c r="P446" s="419">
        <v>0</v>
      </c>
      <c r="Q446" s="380">
        <v>7.4000000000000003E-6</v>
      </c>
      <c r="R446" s="380"/>
      <c r="S446" s="419">
        <v>-3718</v>
      </c>
      <c r="T446" s="419">
        <v>-3675</v>
      </c>
      <c r="U446" s="419">
        <v>-3860</v>
      </c>
      <c r="V446" s="419">
        <v>-4962</v>
      </c>
      <c r="W446" s="419">
        <v>0</v>
      </c>
      <c r="X446" s="380">
        <v>7.4000000000000003E-6</v>
      </c>
      <c r="Z446" s="419">
        <v>2964</v>
      </c>
      <c r="AA446" s="419">
        <v>2083</v>
      </c>
      <c r="AB446" s="419">
        <v>2083</v>
      </c>
      <c r="AC446" s="419">
        <v>0</v>
      </c>
      <c r="AD446" s="419">
        <v>0</v>
      </c>
      <c r="AE446" s="380">
        <v>7.4000000000000003E-6</v>
      </c>
      <c r="AF446" s="380"/>
      <c r="AG446" s="419">
        <v>417</v>
      </c>
      <c r="AH446" s="419">
        <v>251</v>
      </c>
      <c r="AI446" s="419">
        <v>169</v>
      </c>
      <c r="AJ446" s="419">
        <v>0</v>
      </c>
      <c r="AK446" s="419">
        <v>0</v>
      </c>
      <c r="AL446" s="380">
        <v>7.4000000000000003E-6</v>
      </c>
      <c r="AM446" s="380"/>
      <c r="AN446" s="419">
        <v>0</v>
      </c>
      <c r="AO446" s="419">
        <v>0</v>
      </c>
      <c r="AP446" s="419">
        <v>0</v>
      </c>
      <c r="AQ446" s="419">
        <v>0</v>
      </c>
      <c r="AR446" s="419">
        <v>0</v>
      </c>
    </row>
    <row r="447" spans="1:44">
      <c r="A447" s="379">
        <v>94531</v>
      </c>
      <c r="B447" t="s">
        <v>1155</v>
      </c>
      <c r="C447" s="380">
        <v>2.16E-5</v>
      </c>
      <c r="D447" s="380"/>
      <c r="E447" s="419">
        <v>9166</v>
      </c>
      <c r="F447" s="419">
        <v>4092</v>
      </c>
      <c r="G447" s="419">
        <v>-1717</v>
      </c>
      <c r="H447" s="419">
        <v>-14482</v>
      </c>
      <c r="I447" s="419">
        <v>0</v>
      </c>
      <c r="J447" s="380">
        <v>2.16E-5</v>
      </c>
      <c r="K447" s="380"/>
      <c r="L447" s="419">
        <v>5288</v>
      </c>
      <c r="M447" s="419">
        <v>3652</v>
      </c>
      <c r="N447" s="419">
        <v>1599</v>
      </c>
      <c r="O447" s="419">
        <v>0</v>
      </c>
      <c r="P447" s="419">
        <v>0</v>
      </c>
      <c r="Q447" s="380">
        <v>2.16E-5</v>
      </c>
      <c r="R447" s="380"/>
      <c r="S447" s="419">
        <v>-10851</v>
      </c>
      <c r="T447" s="419">
        <v>-10726</v>
      </c>
      <c r="U447" s="419">
        <v>-11268</v>
      </c>
      <c r="V447" s="419">
        <v>-14482</v>
      </c>
      <c r="W447" s="419">
        <v>0</v>
      </c>
      <c r="X447" s="380">
        <v>2.16E-5</v>
      </c>
      <c r="Z447" s="419">
        <v>8653</v>
      </c>
      <c r="AA447" s="419">
        <v>6079</v>
      </c>
      <c r="AB447" s="419">
        <v>6079</v>
      </c>
      <c r="AC447" s="419">
        <v>0</v>
      </c>
      <c r="AD447" s="419">
        <v>0</v>
      </c>
      <c r="AE447" s="380">
        <v>2.16E-5</v>
      </c>
      <c r="AF447" s="380"/>
      <c r="AG447" s="419">
        <v>6076</v>
      </c>
      <c r="AH447" s="419">
        <v>5087</v>
      </c>
      <c r="AI447" s="419">
        <v>1873</v>
      </c>
      <c r="AJ447" s="419">
        <v>0</v>
      </c>
      <c r="AK447" s="419">
        <v>0</v>
      </c>
      <c r="AL447" s="380">
        <v>2.16E-5</v>
      </c>
      <c r="AM447" s="380"/>
      <c r="AN447" s="419">
        <v>0</v>
      </c>
      <c r="AO447" s="419">
        <v>0</v>
      </c>
      <c r="AP447" s="419">
        <v>0</v>
      </c>
      <c r="AQ447" s="419">
        <v>0</v>
      </c>
      <c r="AR447" s="419">
        <v>0</v>
      </c>
    </row>
    <row r="448" spans="1:44">
      <c r="A448" s="379">
        <v>94532</v>
      </c>
      <c r="B448" t="s">
        <v>1156</v>
      </c>
      <c r="C448" s="380">
        <v>1.1010000000000001E-4</v>
      </c>
      <c r="D448" s="380"/>
      <c r="E448" s="419">
        <v>17596</v>
      </c>
      <c r="F448" s="419">
        <v>-5613</v>
      </c>
      <c r="G448" s="419">
        <v>-31389</v>
      </c>
      <c r="H448" s="419">
        <v>-73819</v>
      </c>
      <c r="I448" s="419">
        <v>0</v>
      </c>
      <c r="J448" s="380">
        <v>1.1010000000000001E-4</v>
      </c>
      <c r="K448" s="380"/>
      <c r="L448" s="419">
        <v>26953</v>
      </c>
      <c r="M448" s="419">
        <v>18615</v>
      </c>
      <c r="N448" s="419">
        <v>8149</v>
      </c>
      <c r="O448" s="419">
        <v>0</v>
      </c>
      <c r="P448" s="419">
        <v>0</v>
      </c>
      <c r="Q448" s="380">
        <v>1.1010000000000001E-4</v>
      </c>
      <c r="R448" s="380"/>
      <c r="S448" s="419">
        <v>-55311</v>
      </c>
      <c r="T448" s="419">
        <v>-54671</v>
      </c>
      <c r="U448" s="419">
        <v>-57434</v>
      </c>
      <c r="V448" s="419">
        <v>-73819</v>
      </c>
      <c r="W448" s="419">
        <v>0</v>
      </c>
      <c r="X448" s="380">
        <v>1.1010000000000001E-4</v>
      </c>
      <c r="Z448" s="419">
        <v>44106</v>
      </c>
      <c r="AA448" s="419">
        <v>30987</v>
      </c>
      <c r="AB448" s="419">
        <v>30987</v>
      </c>
      <c r="AC448" s="419">
        <v>0</v>
      </c>
      <c r="AD448" s="419">
        <v>0</v>
      </c>
      <c r="AE448" s="380">
        <v>1.1010000000000001E-4</v>
      </c>
      <c r="AF448" s="380"/>
      <c r="AG448" s="419">
        <v>14941</v>
      </c>
      <c r="AH448" s="419">
        <v>12549</v>
      </c>
      <c r="AI448" s="419">
        <v>0</v>
      </c>
      <c r="AJ448" s="419">
        <v>0</v>
      </c>
      <c r="AK448" s="419">
        <v>0</v>
      </c>
      <c r="AL448" s="380">
        <v>1.1010000000000001E-4</v>
      </c>
      <c r="AM448" s="380"/>
      <c r="AN448" s="419">
        <v>-13093</v>
      </c>
      <c r="AO448" s="419">
        <v>-13093</v>
      </c>
      <c r="AP448" s="419">
        <v>-13091</v>
      </c>
      <c r="AQ448" s="419">
        <v>0</v>
      </c>
      <c r="AR448" s="419">
        <v>0</v>
      </c>
    </row>
    <row r="449" spans="1:44">
      <c r="A449" s="379">
        <v>94541</v>
      </c>
      <c r="B449" t="s">
        <v>1157</v>
      </c>
      <c r="C449" s="380">
        <v>2.7490000000000001E-4</v>
      </c>
      <c r="D449" s="380"/>
      <c r="E449" s="419">
        <v>31153</v>
      </c>
      <c r="F449" s="419">
        <v>-17154</v>
      </c>
      <c r="G449" s="419">
        <v>-48440</v>
      </c>
      <c r="H449" s="419">
        <v>-184313</v>
      </c>
      <c r="I449" s="419">
        <v>0</v>
      </c>
      <c r="J449" s="380">
        <v>2.7490000000000001E-4</v>
      </c>
      <c r="K449" s="380"/>
      <c r="L449" s="419">
        <v>67298</v>
      </c>
      <c r="M449" s="419">
        <v>46478</v>
      </c>
      <c r="N449" s="419">
        <v>20346</v>
      </c>
      <c r="O449" s="419">
        <v>0</v>
      </c>
      <c r="P449" s="419">
        <v>0</v>
      </c>
      <c r="Q449" s="380">
        <v>2.7490000000000001E-4</v>
      </c>
      <c r="R449" s="380"/>
      <c r="S449" s="419">
        <v>-138101</v>
      </c>
      <c r="T449" s="419">
        <v>-136503</v>
      </c>
      <c r="U449" s="419">
        <v>-143402</v>
      </c>
      <c r="V449" s="419">
        <v>-184313</v>
      </c>
      <c r="W449" s="419">
        <v>0</v>
      </c>
      <c r="X449" s="380">
        <v>2.7490000000000001E-4</v>
      </c>
      <c r="Z449" s="419">
        <v>110125</v>
      </c>
      <c r="AA449" s="419">
        <v>77369</v>
      </c>
      <c r="AB449" s="419">
        <v>77369</v>
      </c>
      <c r="AC449" s="419">
        <v>0</v>
      </c>
      <c r="AD449" s="419">
        <v>0</v>
      </c>
      <c r="AE449" s="380">
        <v>2.7490000000000001E-4</v>
      </c>
      <c r="AF449" s="380"/>
      <c r="AG449" s="419">
        <v>640</v>
      </c>
      <c r="AH449" s="419">
        <v>640</v>
      </c>
      <c r="AI449" s="419">
        <v>0</v>
      </c>
      <c r="AJ449" s="419">
        <v>0</v>
      </c>
      <c r="AK449" s="419">
        <v>0</v>
      </c>
      <c r="AL449" s="380">
        <v>2.7490000000000001E-4</v>
      </c>
      <c r="AM449" s="380"/>
      <c r="AN449" s="419">
        <v>-8809</v>
      </c>
      <c r="AO449" s="419">
        <v>-5138</v>
      </c>
      <c r="AP449" s="419">
        <v>-2753</v>
      </c>
      <c r="AQ449" s="419">
        <v>0</v>
      </c>
      <c r="AR449" s="419">
        <v>0</v>
      </c>
    </row>
    <row r="450" spans="1:44">
      <c r="A450" s="379">
        <v>94547</v>
      </c>
      <c r="B450" t="s">
        <v>1158</v>
      </c>
      <c r="C450" s="380">
        <v>1.7E-5</v>
      </c>
      <c r="D450" s="380"/>
      <c r="E450" s="419">
        <v>11171</v>
      </c>
      <c r="F450" s="419">
        <v>7248</v>
      </c>
      <c r="G450" s="419">
        <v>1737</v>
      </c>
      <c r="H450" s="419">
        <v>-11398</v>
      </c>
      <c r="I450" s="419">
        <v>0</v>
      </c>
      <c r="J450" s="380">
        <v>1.7E-5</v>
      </c>
      <c r="K450" s="380"/>
      <c r="L450" s="419">
        <v>4162</v>
      </c>
      <c r="M450" s="419">
        <v>2874</v>
      </c>
      <c r="N450" s="419">
        <v>1258</v>
      </c>
      <c r="O450" s="419">
        <v>0</v>
      </c>
      <c r="P450" s="419">
        <v>0</v>
      </c>
      <c r="Q450" s="380">
        <v>1.7E-5</v>
      </c>
      <c r="R450" s="380"/>
      <c r="S450" s="419">
        <v>-8540</v>
      </c>
      <c r="T450" s="419">
        <v>-8441</v>
      </c>
      <c r="U450" s="419">
        <v>-8868</v>
      </c>
      <c r="V450" s="419">
        <v>-11398</v>
      </c>
      <c r="W450" s="419">
        <v>0</v>
      </c>
      <c r="X450" s="380">
        <v>1.7E-5</v>
      </c>
      <c r="Z450" s="419">
        <v>6810</v>
      </c>
      <c r="AA450" s="419">
        <v>4785</v>
      </c>
      <c r="AB450" s="419">
        <v>4785</v>
      </c>
      <c r="AC450" s="419">
        <v>0</v>
      </c>
      <c r="AD450" s="419">
        <v>0</v>
      </c>
      <c r="AE450" s="380">
        <v>1.7E-5</v>
      </c>
      <c r="AF450" s="380"/>
      <c r="AG450" s="419">
        <v>8739</v>
      </c>
      <c r="AH450" s="419">
        <v>8030</v>
      </c>
      <c r="AI450" s="419">
        <v>4562</v>
      </c>
      <c r="AJ450" s="419">
        <v>0</v>
      </c>
      <c r="AK450" s="419">
        <v>0</v>
      </c>
      <c r="AL450" s="380">
        <v>1.7E-5</v>
      </c>
      <c r="AM450" s="380"/>
      <c r="AN450" s="419">
        <v>0</v>
      </c>
      <c r="AO450" s="419">
        <v>0</v>
      </c>
      <c r="AP450" s="419">
        <v>0</v>
      </c>
      <c r="AQ450" s="419">
        <v>0</v>
      </c>
      <c r="AR450" s="419">
        <v>0</v>
      </c>
    </row>
    <row r="451" spans="1:44">
      <c r="A451" s="379">
        <v>94551</v>
      </c>
      <c r="B451" t="s">
        <v>1159</v>
      </c>
      <c r="C451" s="380">
        <v>5.0800000000000002E-5</v>
      </c>
      <c r="D451" s="380"/>
      <c r="E451" s="419">
        <v>8943</v>
      </c>
      <c r="F451" s="419">
        <v>-2300</v>
      </c>
      <c r="G451" s="419">
        <v>-11377</v>
      </c>
      <c r="H451" s="419">
        <v>-34060</v>
      </c>
      <c r="I451" s="419">
        <v>0</v>
      </c>
      <c r="J451" s="380">
        <v>5.0800000000000002E-5</v>
      </c>
      <c r="K451" s="380"/>
      <c r="L451" s="419">
        <v>12436</v>
      </c>
      <c r="M451" s="419">
        <v>8589</v>
      </c>
      <c r="N451" s="419">
        <v>3760</v>
      </c>
      <c r="O451" s="419">
        <v>0</v>
      </c>
      <c r="P451" s="419">
        <v>0</v>
      </c>
      <c r="Q451" s="380">
        <v>5.0800000000000002E-5</v>
      </c>
      <c r="R451" s="380"/>
      <c r="S451" s="419">
        <v>-25520</v>
      </c>
      <c r="T451" s="419">
        <v>-25225</v>
      </c>
      <c r="U451" s="419">
        <v>-26500</v>
      </c>
      <c r="V451" s="419">
        <v>-34060</v>
      </c>
      <c r="W451" s="419">
        <v>0</v>
      </c>
      <c r="X451" s="380">
        <v>5.0800000000000002E-5</v>
      </c>
      <c r="Z451" s="419">
        <v>20351</v>
      </c>
      <c r="AA451" s="419">
        <v>14297</v>
      </c>
      <c r="AB451" s="419">
        <v>14297</v>
      </c>
      <c r="AC451" s="419">
        <v>0</v>
      </c>
      <c r="AD451" s="419">
        <v>0</v>
      </c>
      <c r="AE451" s="380">
        <v>5.0800000000000002E-5</v>
      </c>
      <c r="AF451" s="380"/>
      <c r="AG451" s="419">
        <v>4611</v>
      </c>
      <c r="AH451" s="419">
        <v>2974</v>
      </c>
      <c r="AI451" s="419">
        <v>0</v>
      </c>
      <c r="AJ451" s="419">
        <v>0</v>
      </c>
      <c r="AK451" s="419">
        <v>0</v>
      </c>
      <c r="AL451" s="380">
        <v>5.0800000000000002E-5</v>
      </c>
      <c r="AM451" s="380"/>
      <c r="AN451" s="419">
        <v>-2935</v>
      </c>
      <c r="AO451" s="419">
        <v>-2935</v>
      </c>
      <c r="AP451" s="419">
        <v>-2934</v>
      </c>
      <c r="AQ451" s="419">
        <v>0</v>
      </c>
      <c r="AR451" s="419">
        <v>0</v>
      </c>
    </row>
    <row r="452" spans="1:44">
      <c r="A452" s="379">
        <v>94601</v>
      </c>
      <c r="B452" t="s">
        <v>1160</v>
      </c>
      <c r="C452" s="380">
        <v>9.6500000000000004E-4</v>
      </c>
      <c r="D452" s="380"/>
      <c r="E452" s="419">
        <v>155711</v>
      </c>
      <c r="F452" s="419">
        <v>-31260</v>
      </c>
      <c r="G452" s="419">
        <v>-132444</v>
      </c>
      <c r="H452" s="419">
        <v>-647007</v>
      </c>
      <c r="I452" s="419">
        <v>0</v>
      </c>
      <c r="J452" s="380">
        <v>9.6500000000000004E-4</v>
      </c>
      <c r="K452" s="380"/>
      <c r="L452" s="419">
        <v>236240</v>
      </c>
      <c r="M452" s="419">
        <v>163154</v>
      </c>
      <c r="N452" s="419">
        <v>71422</v>
      </c>
      <c r="O452" s="419">
        <v>0</v>
      </c>
      <c r="P452" s="419">
        <v>0</v>
      </c>
      <c r="Q452" s="380">
        <v>9.6500000000000004E-4</v>
      </c>
      <c r="R452" s="380"/>
      <c r="S452" s="419">
        <v>-484785</v>
      </c>
      <c r="T452" s="419">
        <v>-479176</v>
      </c>
      <c r="U452" s="419">
        <v>-503393</v>
      </c>
      <c r="V452" s="419">
        <v>-647007</v>
      </c>
      <c r="W452" s="419">
        <v>0</v>
      </c>
      <c r="X452" s="380">
        <v>9.6500000000000004E-4</v>
      </c>
      <c r="Z452" s="419">
        <v>386581</v>
      </c>
      <c r="AA452" s="419">
        <v>271594</v>
      </c>
      <c r="AB452" s="419">
        <v>271592</v>
      </c>
      <c r="AC452" s="419">
        <v>0</v>
      </c>
      <c r="AD452" s="419">
        <v>0</v>
      </c>
      <c r="AE452" s="380">
        <v>9.6500000000000004E-4</v>
      </c>
      <c r="AF452" s="380"/>
      <c r="AG452" s="419">
        <v>43669</v>
      </c>
      <c r="AH452" s="419">
        <v>39160</v>
      </c>
      <c r="AI452" s="419">
        <v>27935</v>
      </c>
      <c r="AJ452" s="419">
        <v>0</v>
      </c>
      <c r="AK452" s="419">
        <v>0</v>
      </c>
      <c r="AL452" s="380">
        <v>9.6500000000000004E-4</v>
      </c>
      <c r="AM452" s="380"/>
      <c r="AN452" s="419">
        <v>-25994</v>
      </c>
      <c r="AO452" s="419">
        <v>-25992</v>
      </c>
      <c r="AP452" s="419">
        <v>0</v>
      </c>
      <c r="AQ452" s="419">
        <v>0</v>
      </c>
      <c r="AR452" s="419">
        <v>0</v>
      </c>
    </row>
    <row r="453" spans="1:44">
      <c r="A453" s="379">
        <v>94604</v>
      </c>
      <c r="B453" t="s">
        <v>1161</v>
      </c>
      <c r="C453" s="380">
        <v>2.65E-5</v>
      </c>
      <c r="D453" s="380"/>
      <c r="E453" s="419">
        <v>7491</v>
      </c>
      <c r="F453" s="419">
        <v>2024</v>
      </c>
      <c r="G453" s="419">
        <v>-245</v>
      </c>
      <c r="H453" s="419">
        <v>-17768</v>
      </c>
      <c r="I453" s="419">
        <v>0</v>
      </c>
      <c r="J453" s="380">
        <v>2.65E-5</v>
      </c>
      <c r="K453" s="380"/>
      <c r="L453" s="419">
        <v>6487</v>
      </c>
      <c r="M453" s="419">
        <v>4480</v>
      </c>
      <c r="N453" s="419">
        <v>1961</v>
      </c>
      <c r="O453" s="419">
        <v>0</v>
      </c>
      <c r="P453" s="419">
        <v>0</v>
      </c>
      <c r="Q453" s="380">
        <v>2.65E-5</v>
      </c>
      <c r="R453" s="380"/>
      <c r="S453" s="419">
        <v>-13313</v>
      </c>
      <c r="T453" s="419">
        <v>-13159</v>
      </c>
      <c r="U453" s="419">
        <v>-13824</v>
      </c>
      <c r="V453" s="419">
        <v>-17768</v>
      </c>
      <c r="W453" s="419">
        <v>0</v>
      </c>
      <c r="X453" s="380">
        <v>2.65E-5</v>
      </c>
      <c r="Z453" s="419">
        <v>10616</v>
      </c>
      <c r="AA453" s="419">
        <v>7458</v>
      </c>
      <c r="AB453" s="419">
        <v>7458</v>
      </c>
      <c r="AC453" s="419">
        <v>0</v>
      </c>
      <c r="AD453" s="419">
        <v>0</v>
      </c>
      <c r="AE453" s="380">
        <v>2.65E-5</v>
      </c>
      <c r="AF453" s="380"/>
      <c r="AG453" s="419">
        <v>4621</v>
      </c>
      <c r="AH453" s="419">
        <v>4163</v>
      </c>
      <c r="AI453" s="419">
        <v>4160</v>
      </c>
      <c r="AJ453" s="419">
        <v>0</v>
      </c>
      <c r="AK453" s="419">
        <v>0</v>
      </c>
      <c r="AL453" s="380">
        <v>2.65E-5</v>
      </c>
      <c r="AM453" s="380"/>
      <c r="AN453" s="419">
        <v>-920</v>
      </c>
      <c r="AO453" s="419">
        <v>-918</v>
      </c>
      <c r="AP453" s="419">
        <v>0</v>
      </c>
      <c r="AQ453" s="419">
        <v>0</v>
      </c>
      <c r="AR453" s="419">
        <v>0</v>
      </c>
    </row>
    <row r="454" spans="1:44">
      <c r="A454" s="379">
        <v>94606</v>
      </c>
      <c r="B454" t="s">
        <v>1162</v>
      </c>
      <c r="C454" s="380">
        <v>0</v>
      </c>
      <c r="D454" s="380"/>
      <c r="E454" s="419">
        <v>0</v>
      </c>
      <c r="F454" s="419">
        <v>0</v>
      </c>
      <c r="G454" s="419">
        <v>0</v>
      </c>
      <c r="H454" s="419">
        <v>0</v>
      </c>
      <c r="I454" s="419">
        <v>0</v>
      </c>
      <c r="J454" s="380">
        <v>0</v>
      </c>
      <c r="K454" s="380"/>
      <c r="L454" s="419">
        <v>0</v>
      </c>
      <c r="M454" s="419">
        <v>0</v>
      </c>
      <c r="N454" s="419">
        <v>0</v>
      </c>
      <c r="O454" s="419">
        <v>0</v>
      </c>
      <c r="P454" s="419">
        <v>0</v>
      </c>
      <c r="Q454" s="380">
        <v>0</v>
      </c>
      <c r="R454" s="380"/>
      <c r="S454" s="419">
        <v>0</v>
      </c>
      <c r="T454" s="419">
        <v>0</v>
      </c>
      <c r="U454" s="419">
        <v>0</v>
      </c>
      <c r="V454" s="419">
        <v>0</v>
      </c>
      <c r="W454" s="419">
        <v>0</v>
      </c>
      <c r="X454" s="380">
        <v>0</v>
      </c>
      <c r="Z454" s="419">
        <v>0</v>
      </c>
      <c r="AA454" s="419">
        <v>0</v>
      </c>
      <c r="AB454" s="419">
        <v>0</v>
      </c>
      <c r="AC454" s="419">
        <v>0</v>
      </c>
      <c r="AD454" s="419">
        <v>0</v>
      </c>
      <c r="AE454" s="380">
        <v>0</v>
      </c>
      <c r="AF454" s="380"/>
      <c r="AG454" s="419">
        <v>0</v>
      </c>
      <c r="AH454" s="419">
        <v>0</v>
      </c>
      <c r="AI454" s="419">
        <v>0</v>
      </c>
      <c r="AJ454" s="419">
        <v>0</v>
      </c>
      <c r="AK454" s="419">
        <v>0</v>
      </c>
      <c r="AL454" s="380">
        <v>0</v>
      </c>
      <c r="AM454" s="380"/>
      <c r="AN454" s="419">
        <v>-46761</v>
      </c>
      <c r="AO454" s="419">
        <v>-40452</v>
      </c>
      <c r="AP454" s="419">
        <v>0</v>
      </c>
      <c r="AQ454" s="419">
        <v>0</v>
      </c>
      <c r="AR454" s="419">
        <v>0</v>
      </c>
    </row>
    <row r="455" spans="1:44">
      <c r="A455" s="379">
        <v>94611</v>
      </c>
      <c r="B455" t="s">
        <v>1163</v>
      </c>
      <c r="C455" s="380">
        <v>2.8889999999999997E-4</v>
      </c>
      <c r="D455" s="380"/>
      <c r="E455" s="419">
        <v>26027</v>
      </c>
      <c r="F455" s="419">
        <v>-28586</v>
      </c>
      <c r="G455" s="419">
        <v>-51287</v>
      </c>
      <c r="H455" s="419">
        <v>-193700</v>
      </c>
      <c r="I455" s="419">
        <v>0</v>
      </c>
      <c r="J455" s="380">
        <v>2.8889999999999997E-4</v>
      </c>
      <c r="K455" s="380"/>
      <c r="L455" s="419">
        <v>70725</v>
      </c>
      <c r="M455" s="419">
        <v>48845</v>
      </c>
      <c r="N455" s="419">
        <v>21382</v>
      </c>
      <c r="O455" s="419">
        <v>0</v>
      </c>
      <c r="P455" s="419">
        <v>0</v>
      </c>
      <c r="Q455" s="380">
        <v>2.8889999999999997E-4</v>
      </c>
      <c r="R455" s="380"/>
      <c r="S455" s="419">
        <v>-145134</v>
      </c>
      <c r="T455" s="419">
        <v>-143455</v>
      </c>
      <c r="U455" s="419">
        <v>-150705</v>
      </c>
      <c r="V455" s="419">
        <v>-193700</v>
      </c>
      <c r="W455" s="419">
        <v>0</v>
      </c>
      <c r="X455" s="380">
        <v>2.8889999999999997E-4</v>
      </c>
      <c r="Z455" s="419">
        <v>115734</v>
      </c>
      <c r="AA455" s="419">
        <v>81309</v>
      </c>
      <c r="AB455" s="419">
        <v>81309</v>
      </c>
      <c r="AC455" s="419">
        <v>0</v>
      </c>
      <c r="AD455" s="419">
        <v>0</v>
      </c>
      <c r="AE455" s="380">
        <v>2.8889999999999997E-4</v>
      </c>
      <c r="AF455" s="380"/>
      <c r="AG455" s="419">
        <v>0</v>
      </c>
      <c r="AH455" s="419">
        <v>0</v>
      </c>
      <c r="AI455" s="419">
        <v>0</v>
      </c>
      <c r="AJ455" s="419">
        <v>0</v>
      </c>
      <c r="AK455" s="419">
        <v>0</v>
      </c>
      <c r="AL455" s="380">
        <v>2.8889999999999997E-4</v>
      </c>
      <c r="AM455" s="380"/>
      <c r="AN455" s="419">
        <v>-15298</v>
      </c>
      <c r="AO455" s="419">
        <v>-15285</v>
      </c>
      <c r="AP455" s="419">
        <v>-3273</v>
      </c>
      <c r="AQ455" s="419">
        <v>0</v>
      </c>
      <c r="AR455" s="419">
        <v>0</v>
      </c>
    </row>
    <row r="456" spans="1:44">
      <c r="A456" s="379">
        <v>94621</v>
      </c>
      <c r="B456" t="s">
        <v>1164</v>
      </c>
      <c r="C456" s="380">
        <v>1.1120000000000001E-4</v>
      </c>
      <c r="D456" s="380"/>
      <c r="E456" s="419">
        <v>19244</v>
      </c>
      <c r="F456" s="419">
        <v>-6712</v>
      </c>
      <c r="G456" s="419">
        <v>-18126</v>
      </c>
      <c r="H456" s="419">
        <v>-74557</v>
      </c>
      <c r="I456" s="419">
        <v>0</v>
      </c>
      <c r="J456" s="380">
        <v>1.1120000000000001E-4</v>
      </c>
      <c r="K456" s="380"/>
      <c r="L456" s="419">
        <v>27223</v>
      </c>
      <c r="M456" s="419">
        <v>18801</v>
      </c>
      <c r="N456" s="419">
        <v>8230</v>
      </c>
      <c r="O456" s="419">
        <v>0</v>
      </c>
      <c r="P456" s="419">
        <v>0</v>
      </c>
      <c r="Q456" s="380">
        <v>1.1120000000000001E-4</v>
      </c>
      <c r="R456" s="380"/>
      <c r="S456" s="419">
        <v>-55863</v>
      </c>
      <c r="T456" s="419">
        <v>-55217</v>
      </c>
      <c r="U456" s="419">
        <v>-58008</v>
      </c>
      <c r="V456" s="419">
        <v>-74557</v>
      </c>
      <c r="W456" s="419">
        <v>0</v>
      </c>
      <c r="X456" s="380">
        <v>1.1120000000000001E-4</v>
      </c>
      <c r="Z456" s="419">
        <v>44547</v>
      </c>
      <c r="AA456" s="419">
        <v>31297</v>
      </c>
      <c r="AB456" s="419">
        <v>31296</v>
      </c>
      <c r="AC456" s="419">
        <v>0</v>
      </c>
      <c r="AD456" s="419">
        <v>0</v>
      </c>
      <c r="AE456" s="380">
        <v>1.1120000000000001E-4</v>
      </c>
      <c r="AF456" s="380"/>
      <c r="AG456" s="419">
        <v>11806</v>
      </c>
      <c r="AH456" s="419">
        <v>6876</v>
      </c>
      <c r="AI456" s="419">
        <v>356</v>
      </c>
      <c r="AJ456" s="419">
        <v>0</v>
      </c>
      <c r="AK456" s="419">
        <v>0</v>
      </c>
      <c r="AL456" s="380">
        <v>1.1120000000000001E-4</v>
      </c>
      <c r="AM456" s="380"/>
      <c r="AN456" s="419">
        <v>-8469</v>
      </c>
      <c r="AO456" s="419">
        <v>-8469</v>
      </c>
      <c r="AP456" s="419">
        <v>0</v>
      </c>
      <c r="AQ456" s="419">
        <v>0</v>
      </c>
      <c r="AR456" s="419">
        <v>0</v>
      </c>
    </row>
    <row r="457" spans="1:44">
      <c r="A457" s="379">
        <v>94631</v>
      </c>
      <c r="B457" t="s">
        <v>1165</v>
      </c>
      <c r="C457" s="380">
        <v>4.0200000000000001E-5</v>
      </c>
      <c r="D457" s="380"/>
      <c r="E457" s="419">
        <v>4638</v>
      </c>
      <c r="F457" s="419">
        <v>-3708</v>
      </c>
      <c r="G457" s="419">
        <v>-8014</v>
      </c>
      <c r="H457" s="419">
        <v>-26953</v>
      </c>
      <c r="I457" s="419">
        <v>0</v>
      </c>
      <c r="J457" s="380">
        <v>4.0200000000000001E-5</v>
      </c>
      <c r="K457" s="380"/>
      <c r="L457" s="419">
        <v>9841</v>
      </c>
      <c r="M457" s="419">
        <v>6797</v>
      </c>
      <c r="N457" s="419">
        <v>2975</v>
      </c>
      <c r="O457" s="419">
        <v>0</v>
      </c>
      <c r="P457" s="419">
        <v>0</v>
      </c>
      <c r="Q457" s="380">
        <v>4.0200000000000001E-5</v>
      </c>
      <c r="R457" s="380"/>
      <c r="S457" s="419">
        <v>-20195</v>
      </c>
      <c r="T457" s="419">
        <v>-19962</v>
      </c>
      <c r="U457" s="419">
        <v>-20970</v>
      </c>
      <c r="V457" s="419">
        <v>-26953</v>
      </c>
      <c r="W457" s="419">
        <v>0</v>
      </c>
      <c r="X457" s="380">
        <v>4.0200000000000001E-5</v>
      </c>
      <c r="Z457" s="419">
        <v>16104</v>
      </c>
      <c r="AA457" s="419">
        <v>11314</v>
      </c>
      <c r="AB457" s="419">
        <v>11314</v>
      </c>
      <c r="AC457" s="419">
        <v>0</v>
      </c>
      <c r="AD457" s="419">
        <v>0</v>
      </c>
      <c r="AE457" s="380">
        <v>4.0200000000000001E-5</v>
      </c>
      <c r="AF457" s="380"/>
      <c r="AG457" s="419">
        <v>745</v>
      </c>
      <c r="AH457" s="419">
        <v>0</v>
      </c>
      <c r="AI457" s="419">
        <v>0</v>
      </c>
      <c r="AJ457" s="419">
        <v>0</v>
      </c>
      <c r="AK457" s="419">
        <v>0</v>
      </c>
      <c r="AL457" s="380">
        <v>4.0200000000000001E-5</v>
      </c>
      <c r="AM457" s="380"/>
      <c r="AN457" s="419">
        <v>-1857</v>
      </c>
      <c r="AO457" s="419">
        <v>-1857</v>
      </c>
      <c r="AP457" s="419">
        <v>-1333</v>
      </c>
      <c r="AQ457" s="419">
        <v>0</v>
      </c>
      <c r="AR457" s="419">
        <v>0</v>
      </c>
    </row>
    <row r="458" spans="1:44">
      <c r="A458" s="379">
        <v>94641</v>
      </c>
      <c r="B458" t="s">
        <v>1166</v>
      </c>
      <c r="C458" s="380">
        <v>1.3499999999999999E-5</v>
      </c>
      <c r="D458" s="380"/>
      <c r="E458" s="419">
        <v>7212</v>
      </c>
      <c r="F458" s="419">
        <v>4115</v>
      </c>
      <c r="G458" s="419">
        <v>-1560</v>
      </c>
      <c r="H458" s="419">
        <v>-9051</v>
      </c>
      <c r="I458" s="419">
        <v>0</v>
      </c>
      <c r="J458" s="380">
        <v>1.3499999999999999E-5</v>
      </c>
      <c r="K458" s="380"/>
      <c r="L458" s="419">
        <v>3305</v>
      </c>
      <c r="M458" s="419">
        <v>2282</v>
      </c>
      <c r="N458" s="419">
        <v>999</v>
      </c>
      <c r="O458" s="419">
        <v>0</v>
      </c>
      <c r="P458" s="419">
        <v>0</v>
      </c>
      <c r="Q458" s="380">
        <v>1.3499999999999999E-5</v>
      </c>
      <c r="R458" s="380"/>
      <c r="S458" s="419">
        <v>-6782</v>
      </c>
      <c r="T458" s="419">
        <v>-6703</v>
      </c>
      <c r="U458" s="419">
        <v>-7042</v>
      </c>
      <c r="V458" s="419">
        <v>-9051</v>
      </c>
      <c r="W458" s="419">
        <v>0</v>
      </c>
      <c r="X458" s="380">
        <v>1.3499999999999999E-5</v>
      </c>
      <c r="Z458" s="419">
        <v>5408</v>
      </c>
      <c r="AA458" s="419">
        <v>3800</v>
      </c>
      <c r="AB458" s="419">
        <v>3799</v>
      </c>
      <c r="AC458" s="419">
        <v>0</v>
      </c>
      <c r="AD458" s="419">
        <v>0</v>
      </c>
      <c r="AE458" s="380">
        <v>1.3499999999999999E-5</v>
      </c>
      <c r="AF458" s="380"/>
      <c r="AG458" s="419">
        <v>5281</v>
      </c>
      <c r="AH458" s="419">
        <v>4736</v>
      </c>
      <c r="AI458" s="419">
        <v>684</v>
      </c>
      <c r="AJ458" s="419">
        <v>0</v>
      </c>
      <c r="AK458" s="419">
        <v>0</v>
      </c>
      <c r="AL458" s="380">
        <v>1.3499999999999999E-5</v>
      </c>
      <c r="AM458" s="380"/>
      <c r="AN458" s="419">
        <v>0</v>
      </c>
      <c r="AO458" s="419">
        <v>0</v>
      </c>
      <c r="AP458" s="419">
        <v>0</v>
      </c>
      <c r="AQ458" s="419">
        <v>0</v>
      </c>
      <c r="AR458" s="419">
        <v>0</v>
      </c>
    </row>
    <row r="459" spans="1:44">
      <c r="A459" s="379">
        <v>94701</v>
      </c>
      <c r="B459" t="s">
        <v>1167</v>
      </c>
      <c r="C459" s="380">
        <v>2.3996999999999998E-3</v>
      </c>
      <c r="D459" s="380"/>
      <c r="E459" s="419">
        <v>321206</v>
      </c>
      <c r="F459" s="419">
        <v>-102916</v>
      </c>
      <c r="G459" s="419">
        <v>-436661</v>
      </c>
      <c r="H459" s="419">
        <v>-1608936</v>
      </c>
      <c r="I459" s="419">
        <v>0</v>
      </c>
      <c r="J459" s="380">
        <v>2.3996999999999998E-3</v>
      </c>
      <c r="K459" s="380"/>
      <c r="L459" s="419">
        <v>587466</v>
      </c>
      <c r="M459" s="419">
        <v>405722</v>
      </c>
      <c r="N459" s="419">
        <v>177607</v>
      </c>
      <c r="O459" s="419">
        <v>0</v>
      </c>
      <c r="P459" s="419">
        <v>0</v>
      </c>
      <c r="Q459" s="380">
        <v>2.3996999999999998E-3</v>
      </c>
      <c r="R459" s="380"/>
      <c r="S459" s="419">
        <v>-1205532</v>
      </c>
      <c r="T459" s="419">
        <v>-1191583</v>
      </c>
      <c r="U459" s="419">
        <v>-1251806</v>
      </c>
      <c r="V459" s="419">
        <v>-1608936</v>
      </c>
      <c r="W459" s="419">
        <v>0</v>
      </c>
      <c r="X459" s="380">
        <v>2.3996999999999998E-3</v>
      </c>
      <c r="Z459" s="419">
        <v>961325</v>
      </c>
      <c r="AA459" s="419">
        <v>675384</v>
      </c>
      <c r="AB459" s="419">
        <v>675379</v>
      </c>
      <c r="AC459" s="419">
        <v>0</v>
      </c>
      <c r="AD459" s="419">
        <v>0</v>
      </c>
      <c r="AE459" s="380">
        <v>2.3996999999999998E-3</v>
      </c>
      <c r="AF459" s="380"/>
      <c r="AG459" s="419">
        <v>45405</v>
      </c>
      <c r="AH459" s="419">
        <v>45403</v>
      </c>
      <c r="AI459" s="419">
        <v>0</v>
      </c>
      <c r="AJ459" s="419">
        <v>0</v>
      </c>
      <c r="AK459" s="419">
        <v>0</v>
      </c>
      <c r="AL459" s="380">
        <v>2.3996999999999998E-3</v>
      </c>
      <c r="AM459" s="380"/>
      <c r="AN459" s="419">
        <v>-67458</v>
      </c>
      <c r="AO459" s="419">
        <v>-37842</v>
      </c>
      <c r="AP459" s="419">
        <v>-37841</v>
      </c>
      <c r="AQ459" s="419">
        <v>0</v>
      </c>
      <c r="AR459" s="419">
        <v>0</v>
      </c>
    </row>
    <row r="460" spans="1:44">
      <c r="A460" s="379">
        <v>94704</v>
      </c>
      <c r="B460" t="s">
        <v>1168</v>
      </c>
      <c r="C460" s="380">
        <v>1.7099999999999999E-5</v>
      </c>
      <c r="D460" s="380"/>
      <c r="E460" s="419">
        <v>5894</v>
      </c>
      <c r="F460" s="419">
        <v>1430</v>
      </c>
      <c r="G460" s="419">
        <v>-1298</v>
      </c>
      <c r="H460" s="419">
        <v>-11465</v>
      </c>
      <c r="I460" s="419">
        <v>0</v>
      </c>
      <c r="J460" s="380">
        <v>1.7099999999999999E-5</v>
      </c>
      <c r="K460" s="380"/>
      <c r="L460" s="419">
        <v>4186</v>
      </c>
      <c r="M460" s="419">
        <v>2891</v>
      </c>
      <c r="N460" s="419">
        <v>1266</v>
      </c>
      <c r="O460" s="419">
        <v>0</v>
      </c>
      <c r="P460" s="419">
        <v>0</v>
      </c>
      <c r="Q460" s="380">
        <v>1.7099999999999999E-5</v>
      </c>
      <c r="R460" s="380"/>
      <c r="S460" s="419">
        <v>-8590</v>
      </c>
      <c r="T460" s="419">
        <v>-8491</v>
      </c>
      <c r="U460" s="419">
        <v>-8920</v>
      </c>
      <c r="V460" s="419">
        <v>-11465</v>
      </c>
      <c r="W460" s="419">
        <v>0</v>
      </c>
      <c r="X460" s="380">
        <v>1.7099999999999999E-5</v>
      </c>
      <c r="Z460" s="419">
        <v>6850</v>
      </c>
      <c r="AA460" s="419">
        <v>4813</v>
      </c>
      <c r="AB460" s="419">
        <v>4813</v>
      </c>
      <c r="AC460" s="419">
        <v>0</v>
      </c>
      <c r="AD460" s="419">
        <v>0</v>
      </c>
      <c r="AE460" s="380">
        <v>1.7099999999999999E-5</v>
      </c>
      <c r="AF460" s="380"/>
      <c r="AG460" s="419">
        <v>3458</v>
      </c>
      <c r="AH460" s="419">
        <v>2228</v>
      </c>
      <c r="AI460" s="419">
        <v>1543</v>
      </c>
      <c r="AJ460" s="419">
        <v>0</v>
      </c>
      <c r="AK460" s="419">
        <v>0</v>
      </c>
      <c r="AL460" s="380">
        <v>1.7099999999999999E-5</v>
      </c>
      <c r="AM460" s="380"/>
      <c r="AN460" s="419">
        <v>-10</v>
      </c>
      <c r="AO460" s="419">
        <v>-11</v>
      </c>
      <c r="AP460" s="419">
        <v>0</v>
      </c>
      <c r="AQ460" s="419">
        <v>0</v>
      </c>
      <c r="AR460" s="419">
        <v>0</v>
      </c>
    </row>
    <row r="461" spans="1:44">
      <c r="A461" s="379">
        <v>94711</v>
      </c>
      <c r="B461" t="s">
        <v>1169</v>
      </c>
      <c r="C461" s="380">
        <v>3.344E-4</v>
      </c>
      <c r="D461" s="380"/>
      <c r="E461" s="419">
        <v>63146</v>
      </c>
      <c r="F461" s="419">
        <v>-800</v>
      </c>
      <c r="G461" s="419">
        <v>-36931</v>
      </c>
      <c r="H461" s="419">
        <v>-224207</v>
      </c>
      <c r="I461" s="419">
        <v>0</v>
      </c>
      <c r="J461" s="380">
        <v>3.344E-4</v>
      </c>
      <c r="K461" s="380"/>
      <c r="L461" s="419">
        <v>81864</v>
      </c>
      <c r="M461" s="419">
        <v>56538</v>
      </c>
      <c r="N461" s="419">
        <v>24750</v>
      </c>
      <c r="O461" s="419">
        <v>0</v>
      </c>
      <c r="P461" s="419">
        <v>0</v>
      </c>
      <c r="Q461" s="380">
        <v>3.344E-4</v>
      </c>
      <c r="R461" s="380"/>
      <c r="S461" s="419">
        <v>-167992</v>
      </c>
      <c r="T461" s="419">
        <v>-166048</v>
      </c>
      <c r="U461" s="419">
        <v>-174440</v>
      </c>
      <c r="V461" s="419">
        <v>-224207</v>
      </c>
      <c r="W461" s="419">
        <v>0</v>
      </c>
      <c r="X461" s="380">
        <v>3.344E-4</v>
      </c>
      <c r="Z461" s="419">
        <v>133961</v>
      </c>
      <c r="AA461" s="419">
        <v>94115</v>
      </c>
      <c r="AB461" s="419">
        <v>94115</v>
      </c>
      <c r="AC461" s="419">
        <v>0</v>
      </c>
      <c r="AD461" s="419">
        <v>0</v>
      </c>
      <c r="AE461" s="380">
        <v>3.344E-4</v>
      </c>
      <c r="AF461" s="380"/>
      <c r="AG461" s="419">
        <v>21567</v>
      </c>
      <c r="AH461" s="419">
        <v>20847</v>
      </c>
      <c r="AI461" s="419">
        <v>18644</v>
      </c>
      <c r="AJ461" s="419">
        <v>0</v>
      </c>
      <c r="AK461" s="419">
        <v>0</v>
      </c>
      <c r="AL461" s="380">
        <v>3.344E-4</v>
      </c>
      <c r="AM461" s="380"/>
      <c r="AN461" s="419">
        <v>-6254</v>
      </c>
      <c r="AO461" s="419">
        <v>-6252</v>
      </c>
      <c r="AP461" s="419">
        <v>0</v>
      </c>
      <c r="AQ461" s="419">
        <v>0</v>
      </c>
      <c r="AR461" s="419">
        <v>0</v>
      </c>
    </row>
    <row r="462" spans="1:44">
      <c r="A462" s="379">
        <v>94801</v>
      </c>
      <c r="B462" t="s">
        <v>1170</v>
      </c>
      <c r="C462" s="380">
        <v>6.2790000000000003E-4</v>
      </c>
      <c r="D462" s="380"/>
      <c r="E462" s="419">
        <v>64067</v>
      </c>
      <c r="F462" s="419">
        <v>-49090</v>
      </c>
      <c r="G462" s="419">
        <v>-132229</v>
      </c>
      <c r="H462" s="419">
        <v>-420991</v>
      </c>
      <c r="I462" s="419">
        <v>0</v>
      </c>
      <c r="J462" s="380">
        <v>6.2790000000000003E-4</v>
      </c>
      <c r="K462" s="380"/>
      <c r="L462" s="419">
        <v>153715</v>
      </c>
      <c r="M462" s="419">
        <v>106160</v>
      </c>
      <c r="N462" s="419">
        <v>46472</v>
      </c>
      <c r="O462" s="419">
        <v>0</v>
      </c>
      <c r="P462" s="419">
        <v>0</v>
      </c>
      <c r="Q462" s="380">
        <v>6.2790000000000003E-4</v>
      </c>
      <c r="R462" s="380"/>
      <c r="S462" s="419">
        <v>-315437</v>
      </c>
      <c r="T462" s="419">
        <v>-311787</v>
      </c>
      <c r="U462" s="419">
        <v>-327545</v>
      </c>
      <c r="V462" s="419">
        <v>-420991</v>
      </c>
      <c r="W462" s="419">
        <v>0</v>
      </c>
      <c r="X462" s="380">
        <v>6.2790000000000003E-4</v>
      </c>
      <c r="Z462" s="419">
        <v>251538</v>
      </c>
      <c r="AA462" s="419">
        <v>176719</v>
      </c>
      <c r="AB462" s="419">
        <v>176718</v>
      </c>
      <c r="AC462" s="419">
        <v>0</v>
      </c>
      <c r="AD462" s="419">
        <v>0</v>
      </c>
      <c r="AE462" s="380">
        <v>6.2790000000000003E-4</v>
      </c>
      <c r="AF462" s="380"/>
      <c r="AG462" s="419">
        <v>7691</v>
      </c>
      <c r="AH462" s="419">
        <v>7693</v>
      </c>
      <c r="AI462" s="419">
        <v>0</v>
      </c>
      <c r="AJ462" s="419">
        <v>0</v>
      </c>
      <c r="AK462" s="419">
        <v>0</v>
      </c>
      <c r="AL462" s="380">
        <v>6.2790000000000003E-4</v>
      </c>
      <c r="AM462" s="380"/>
      <c r="AN462" s="419">
        <v>-33440</v>
      </c>
      <c r="AO462" s="419">
        <v>-27875</v>
      </c>
      <c r="AP462" s="419">
        <v>-27874</v>
      </c>
      <c r="AQ462" s="419">
        <v>0</v>
      </c>
      <c r="AR462" s="419">
        <v>0</v>
      </c>
    </row>
    <row r="463" spans="1:44">
      <c r="A463" s="379">
        <v>94804</v>
      </c>
      <c r="B463" t="s">
        <v>1171</v>
      </c>
      <c r="C463" s="380">
        <v>2.7E-6</v>
      </c>
      <c r="D463" s="380"/>
      <c r="E463" s="419">
        <v>1899</v>
      </c>
      <c r="F463" s="419">
        <v>1247</v>
      </c>
      <c r="G463" s="419">
        <v>49</v>
      </c>
      <c r="H463" s="419">
        <v>-1810</v>
      </c>
      <c r="I463" s="419">
        <v>0</v>
      </c>
      <c r="J463" s="380">
        <v>2.7E-6</v>
      </c>
      <c r="K463" s="380"/>
      <c r="L463" s="419">
        <v>661</v>
      </c>
      <c r="M463" s="419">
        <v>456</v>
      </c>
      <c r="N463" s="419">
        <v>200</v>
      </c>
      <c r="O463" s="419">
        <v>0</v>
      </c>
      <c r="P463" s="419">
        <v>0</v>
      </c>
      <c r="Q463" s="380">
        <v>2.7E-6</v>
      </c>
      <c r="R463" s="380"/>
      <c r="S463" s="419">
        <v>-1356</v>
      </c>
      <c r="T463" s="419">
        <v>-1341</v>
      </c>
      <c r="U463" s="419">
        <v>-1408</v>
      </c>
      <c r="V463" s="419">
        <v>-1810</v>
      </c>
      <c r="W463" s="419">
        <v>0</v>
      </c>
      <c r="X463" s="380">
        <v>2.7E-6</v>
      </c>
      <c r="Z463" s="419">
        <v>1082</v>
      </c>
      <c r="AA463" s="419">
        <v>760</v>
      </c>
      <c r="AB463" s="419">
        <v>760</v>
      </c>
      <c r="AC463" s="419">
        <v>0</v>
      </c>
      <c r="AD463" s="419">
        <v>0</v>
      </c>
      <c r="AE463" s="380">
        <v>2.7E-6</v>
      </c>
      <c r="AF463" s="380"/>
      <c r="AG463" s="419">
        <v>1512</v>
      </c>
      <c r="AH463" s="419">
        <v>1372</v>
      </c>
      <c r="AI463" s="419">
        <v>497</v>
      </c>
      <c r="AJ463" s="419">
        <v>0</v>
      </c>
      <c r="AK463" s="419">
        <v>0</v>
      </c>
      <c r="AL463" s="380">
        <v>2.7E-6</v>
      </c>
      <c r="AM463" s="380"/>
      <c r="AN463" s="419">
        <v>0</v>
      </c>
      <c r="AO463" s="419">
        <v>0</v>
      </c>
      <c r="AP463" s="419">
        <v>0</v>
      </c>
      <c r="AQ463" s="419">
        <v>0</v>
      </c>
      <c r="AR463" s="419">
        <v>0</v>
      </c>
    </row>
    <row r="464" spans="1:44">
      <c r="A464" s="379">
        <v>94812</v>
      </c>
      <c r="B464" t="s">
        <v>1172</v>
      </c>
      <c r="C464" s="380">
        <v>2.5599999999999999E-5</v>
      </c>
      <c r="D464" s="380"/>
      <c r="E464" s="419">
        <v>6422</v>
      </c>
      <c r="F464" s="419">
        <v>736</v>
      </c>
      <c r="G464" s="419">
        <v>-4416</v>
      </c>
      <c r="H464" s="419">
        <v>-17164</v>
      </c>
      <c r="I464" s="419">
        <v>0</v>
      </c>
      <c r="J464" s="380">
        <v>2.5599999999999999E-5</v>
      </c>
      <c r="K464" s="380"/>
      <c r="L464" s="419">
        <v>6267</v>
      </c>
      <c r="M464" s="419">
        <v>4328</v>
      </c>
      <c r="N464" s="419">
        <v>1895</v>
      </c>
      <c r="O464" s="419">
        <v>0</v>
      </c>
      <c r="P464" s="419">
        <v>0</v>
      </c>
      <c r="Q464" s="380">
        <v>2.5599999999999999E-5</v>
      </c>
      <c r="R464" s="380"/>
      <c r="S464" s="419">
        <v>-12861</v>
      </c>
      <c r="T464" s="419">
        <v>-12712</v>
      </c>
      <c r="U464" s="419">
        <v>-13354</v>
      </c>
      <c r="V464" s="419">
        <v>-17164</v>
      </c>
      <c r="W464" s="419">
        <v>0</v>
      </c>
      <c r="X464" s="380">
        <v>2.5599999999999999E-5</v>
      </c>
      <c r="Z464" s="419">
        <v>10255</v>
      </c>
      <c r="AA464" s="419">
        <v>7205</v>
      </c>
      <c r="AB464" s="419">
        <v>7205</v>
      </c>
      <c r="AC464" s="419">
        <v>0</v>
      </c>
      <c r="AD464" s="419">
        <v>0</v>
      </c>
      <c r="AE464" s="380">
        <v>2.5599999999999999E-5</v>
      </c>
      <c r="AF464" s="380"/>
      <c r="AG464" s="419">
        <v>2925</v>
      </c>
      <c r="AH464" s="419">
        <v>2079</v>
      </c>
      <c r="AI464" s="419">
        <v>0</v>
      </c>
      <c r="AJ464" s="419">
        <v>0</v>
      </c>
      <c r="AK464" s="419">
        <v>0</v>
      </c>
      <c r="AL464" s="380">
        <v>2.5599999999999999E-5</v>
      </c>
      <c r="AM464" s="380"/>
      <c r="AN464" s="419">
        <v>-164</v>
      </c>
      <c r="AO464" s="419">
        <v>-164</v>
      </c>
      <c r="AP464" s="419">
        <v>-162</v>
      </c>
      <c r="AQ464" s="419">
        <v>0</v>
      </c>
      <c r="AR464" s="419">
        <v>0</v>
      </c>
    </row>
    <row r="465" spans="1:44">
      <c r="A465" s="379">
        <v>94901</v>
      </c>
      <c r="B465" t="s">
        <v>1173</v>
      </c>
      <c r="C465" s="380">
        <v>7.1942000000000004E-3</v>
      </c>
      <c r="D465" s="380"/>
      <c r="E465" s="419">
        <v>1099420</v>
      </c>
      <c r="F465" s="419">
        <v>-315911</v>
      </c>
      <c r="G465" s="419">
        <v>-1231289</v>
      </c>
      <c r="H465" s="419">
        <v>-4823524</v>
      </c>
      <c r="I465" s="419">
        <v>0</v>
      </c>
      <c r="J465" s="380">
        <v>7.1942000000000004E-3</v>
      </c>
      <c r="K465" s="380"/>
      <c r="L465" s="419">
        <v>1761198</v>
      </c>
      <c r="M465" s="419">
        <v>1216338</v>
      </c>
      <c r="N465" s="419">
        <v>532457</v>
      </c>
      <c r="O465" s="419">
        <v>0</v>
      </c>
      <c r="P465" s="419">
        <v>0</v>
      </c>
      <c r="Q465" s="380">
        <v>7.1942000000000004E-3</v>
      </c>
      <c r="R465" s="380"/>
      <c r="S465" s="419">
        <v>-3614136</v>
      </c>
      <c r="T465" s="419">
        <v>-3572316</v>
      </c>
      <c r="U465" s="419">
        <v>-3752862</v>
      </c>
      <c r="V465" s="419">
        <v>-4823524</v>
      </c>
      <c r="W465" s="419">
        <v>0</v>
      </c>
      <c r="X465" s="380">
        <v>7.1942000000000004E-3</v>
      </c>
      <c r="Z465" s="419">
        <v>2882011</v>
      </c>
      <c r="AA465" s="419">
        <v>2024772</v>
      </c>
      <c r="AB465" s="419">
        <v>2024757</v>
      </c>
      <c r="AC465" s="419">
        <v>0</v>
      </c>
      <c r="AD465" s="419">
        <v>0</v>
      </c>
      <c r="AE465" s="380">
        <v>7.1942000000000004E-3</v>
      </c>
      <c r="AF465" s="380"/>
      <c r="AG465" s="419">
        <v>105988</v>
      </c>
      <c r="AH465" s="419">
        <v>50936</v>
      </c>
      <c r="AI465" s="419">
        <v>0</v>
      </c>
      <c r="AJ465" s="419">
        <v>0</v>
      </c>
      <c r="AK465" s="419">
        <v>0</v>
      </c>
      <c r="AL465" s="380">
        <v>7.1942000000000004E-3</v>
      </c>
      <c r="AM465" s="380"/>
      <c r="AN465" s="419">
        <v>-35641</v>
      </c>
      <c r="AO465" s="419">
        <v>-35641</v>
      </c>
      <c r="AP465" s="419">
        <v>-35641</v>
      </c>
      <c r="AQ465" s="419">
        <v>0</v>
      </c>
      <c r="AR465" s="419">
        <v>0</v>
      </c>
    </row>
    <row r="466" spans="1:44">
      <c r="A466" s="379">
        <v>94908</v>
      </c>
      <c r="B466" t="s">
        <v>1174</v>
      </c>
      <c r="C466" s="380">
        <v>6.0999999999999999E-5</v>
      </c>
      <c r="D466" s="380"/>
      <c r="E466" s="419">
        <v>33122</v>
      </c>
      <c r="F466" s="419">
        <v>21684</v>
      </c>
      <c r="G466" s="419">
        <v>-13274</v>
      </c>
      <c r="H466" s="419">
        <v>-40899</v>
      </c>
      <c r="I466" s="419">
        <v>0</v>
      </c>
      <c r="J466" s="380">
        <v>6.0999999999999999E-5</v>
      </c>
      <c r="K466" s="380"/>
      <c r="L466" s="419">
        <v>14933</v>
      </c>
      <c r="M466" s="419">
        <v>10313</v>
      </c>
      <c r="N466" s="419">
        <v>4515</v>
      </c>
      <c r="O466" s="419">
        <v>0</v>
      </c>
      <c r="P466" s="419">
        <v>0</v>
      </c>
      <c r="Q466" s="380">
        <v>6.0999999999999999E-5</v>
      </c>
      <c r="R466" s="380"/>
      <c r="S466" s="419">
        <v>-30644</v>
      </c>
      <c r="T466" s="419">
        <v>-30290</v>
      </c>
      <c r="U466" s="419">
        <v>-31821</v>
      </c>
      <c r="V466" s="419">
        <v>-40899</v>
      </c>
      <c r="W466" s="419">
        <v>0</v>
      </c>
      <c r="X466" s="380">
        <v>6.0999999999999999E-5</v>
      </c>
      <c r="Z466" s="419">
        <v>24437</v>
      </c>
      <c r="AA466" s="419">
        <v>17168</v>
      </c>
      <c r="AB466" s="419">
        <v>17168</v>
      </c>
      <c r="AC466" s="419">
        <v>0</v>
      </c>
      <c r="AD466" s="419">
        <v>0</v>
      </c>
      <c r="AE466" s="380">
        <v>6.0999999999999999E-5</v>
      </c>
      <c r="AF466" s="380"/>
      <c r="AG466" s="419">
        <v>27634</v>
      </c>
      <c r="AH466" s="419">
        <v>27630</v>
      </c>
      <c r="AI466" s="419">
        <v>0</v>
      </c>
      <c r="AJ466" s="419">
        <v>0</v>
      </c>
      <c r="AK466" s="419">
        <v>0</v>
      </c>
      <c r="AL466" s="380">
        <v>6.0999999999999999E-5</v>
      </c>
      <c r="AM466" s="380"/>
      <c r="AN466" s="419">
        <v>-3238</v>
      </c>
      <c r="AO466" s="419">
        <v>-3137</v>
      </c>
      <c r="AP466" s="419">
        <v>-3136</v>
      </c>
      <c r="AQ466" s="419">
        <v>0</v>
      </c>
      <c r="AR466" s="419">
        <v>0</v>
      </c>
    </row>
    <row r="467" spans="1:44">
      <c r="A467" s="379">
        <v>94911</v>
      </c>
      <c r="B467" t="s">
        <v>1175</v>
      </c>
      <c r="C467" s="380">
        <v>2.9751999999999999E-3</v>
      </c>
      <c r="D467" s="380"/>
      <c r="E467" s="419">
        <v>466497</v>
      </c>
      <c r="F467" s="419">
        <v>-118838</v>
      </c>
      <c r="G467" s="419">
        <v>-475503</v>
      </c>
      <c r="H467" s="419">
        <v>-1994794</v>
      </c>
      <c r="I467" s="419">
        <v>0</v>
      </c>
      <c r="J467" s="380">
        <v>2.9751999999999999E-3</v>
      </c>
      <c r="K467" s="380"/>
      <c r="L467" s="419">
        <v>728353</v>
      </c>
      <c r="M467" s="419">
        <v>503023</v>
      </c>
      <c r="N467" s="419">
        <v>220201</v>
      </c>
      <c r="O467" s="419">
        <v>0</v>
      </c>
      <c r="P467" s="419">
        <v>0</v>
      </c>
      <c r="Q467" s="380">
        <v>2.9751999999999999E-3</v>
      </c>
      <c r="R467" s="380"/>
      <c r="S467" s="419">
        <v>-1494645</v>
      </c>
      <c r="T467" s="419">
        <v>-1477350</v>
      </c>
      <c r="U467" s="419">
        <v>-1552016</v>
      </c>
      <c r="V467" s="419">
        <v>-1994794</v>
      </c>
      <c r="W467" s="419">
        <v>0</v>
      </c>
      <c r="X467" s="380">
        <v>2.9751999999999999E-3</v>
      </c>
      <c r="Z467" s="419">
        <v>1191871</v>
      </c>
      <c r="AA467" s="419">
        <v>837355</v>
      </c>
      <c r="AB467" s="419">
        <v>837349</v>
      </c>
      <c r="AC467" s="419">
        <v>0</v>
      </c>
      <c r="AD467" s="419">
        <v>0</v>
      </c>
      <c r="AE467" s="380">
        <v>2.9751999999999999E-3</v>
      </c>
      <c r="AF467" s="380"/>
      <c r="AG467" s="419">
        <v>62518</v>
      </c>
      <c r="AH467" s="419">
        <v>39732</v>
      </c>
      <c r="AI467" s="419">
        <v>18963</v>
      </c>
      <c r="AJ467" s="419">
        <v>0</v>
      </c>
      <c r="AK467" s="419">
        <v>0</v>
      </c>
      <c r="AL467" s="380">
        <v>2.9751999999999999E-3</v>
      </c>
      <c r="AM467" s="380"/>
      <c r="AN467" s="419">
        <v>-21600</v>
      </c>
      <c r="AO467" s="419">
        <v>-21598</v>
      </c>
      <c r="AP467" s="419">
        <v>0</v>
      </c>
      <c r="AQ467" s="419">
        <v>0</v>
      </c>
      <c r="AR467" s="419">
        <v>0</v>
      </c>
    </row>
    <row r="468" spans="1:44">
      <c r="A468" s="379">
        <v>94917</v>
      </c>
      <c r="B468" t="s">
        <v>1176</v>
      </c>
      <c r="C468" s="380">
        <v>3.6900000000000002E-5</v>
      </c>
      <c r="D468" s="380"/>
      <c r="E468" s="419">
        <v>20999</v>
      </c>
      <c r="F468" s="419">
        <v>12231</v>
      </c>
      <c r="G468" s="419">
        <v>980</v>
      </c>
      <c r="H468" s="419">
        <v>-24740</v>
      </c>
      <c r="I468" s="419">
        <v>0</v>
      </c>
      <c r="J468" s="380">
        <v>3.6900000000000002E-5</v>
      </c>
      <c r="K468" s="380"/>
      <c r="L468" s="419">
        <v>9033</v>
      </c>
      <c r="M468" s="419">
        <v>6239</v>
      </c>
      <c r="N468" s="419">
        <v>2731</v>
      </c>
      <c r="O468" s="419">
        <v>0</v>
      </c>
      <c r="P468" s="419">
        <v>0</v>
      </c>
      <c r="Q468" s="380">
        <v>3.6900000000000002E-5</v>
      </c>
      <c r="R468" s="380"/>
      <c r="S468" s="419">
        <v>-18537</v>
      </c>
      <c r="T468" s="419">
        <v>-18323</v>
      </c>
      <c r="U468" s="419">
        <v>-19249</v>
      </c>
      <c r="V468" s="419">
        <v>-24740</v>
      </c>
      <c r="W468" s="419">
        <v>0</v>
      </c>
      <c r="X468" s="380">
        <v>3.6900000000000002E-5</v>
      </c>
      <c r="Z468" s="419">
        <v>14782</v>
      </c>
      <c r="AA468" s="419">
        <v>10385</v>
      </c>
      <c r="AB468" s="419">
        <v>10385</v>
      </c>
      <c r="AC468" s="419">
        <v>0</v>
      </c>
      <c r="AD468" s="419">
        <v>0</v>
      </c>
      <c r="AE468" s="380">
        <v>3.6900000000000002E-5</v>
      </c>
      <c r="AF468" s="380"/>
      <c r="AG468" s="419">
        <v>15721</v>
      </c>
      <c r="AH468" s="419">
        <v>13930</v>
      </c>
      <c r="AI468" s="419">
        <v>7113</v>
      </c>
      <c r="AJ468" s="419">
        <v>0</v>
      </c>
      <c r="AK468" s="419">
        <v>0</v>
      </c>
      <c r="AL468" s="380">
        <v>3.6900000000000002E-5</v>
      </c>
      <c r="AM468" s="380"/>
      <c r="AN468" s="419">
        <v>0</v>
      </c>
      <c r="AO468" s="419">
        <v>0</v>
      </c>
      <c r="AP468" s="419">
        <v>0</v>
      </c>
      <c r="AQ468" s="419">
        <v>0</v>
      </c>
      <c r="AR468" s="419">
        <v>0</v>
      </c>
    </row>
    <row r="469" spans="1:44">
      <c r="A469" s="379">
        <v>94921</v>
      </c>
      <c r="B469" t="s">
        <v>1177</v>
      </c>
      <c r="C469" s="380">
        <v>4.0705999999999997E-3</v>
      </c>
      <c r="D469" s="380"/>
      <c r="E469" s="419">
        <v>575803</v>
      </c>
      <c r="F469" s="419">
        <v>-157872</v>
      </c>
      <c r="G469" s="419">
        <v>-555156</v>
      </c>
      <c r="H469" s="419">
        <v>-2729231</v>
      </c>
      <c r="I469" s="419">
        <v>0</v>
      </c>
      <c r="J469" s="380">
        <v>4.0705999999999997E-3</v>
      </c>
      <c r="K469" s="380"/>
      <c r="L469" s="419">
        <v>996515</v>
      </c>
      <c r="M469" s="419">
        <v>688224</v>
      </c>
      <c r="N469" s="419">
        <v>301273</v>
      </c>
      <c r="O469" s="419">
        <v>0</v>
      </c>
      <c r="P469" s="419">
        <v>0</v>
      </c>
      <c r="Q469" s="380">
        <v>4.0705999999999997E-3</v>
      </c>
      <c r="R469" s="380"/>
      <c r="S469" s="419">
        <v>-2044939</v>
      </c>
      <c r="T469" s="419">
        <v>-2021277</v>
      </c>
      <c r="U469" s="419">
        <v>-2123433</v>
      </c>
      <c r="V469" s="419">
        <v>-2729231</v>
      </c>
      <c r="W469" s="419">
        <v>0</v>
      </c>
      <c r="X469" s="380">
        <v>4.0705999999999997E-3</v>
      </c>
      <c r="Z469" s="419">
        <v>1630691</v>
      </c>
      <c r="AA469" s="419">
        <v>1145650</v>
      </c>
      <c r="AB469" s="419">
        <v>1145642</v>
      </c>
      <c r="AC469" s="419">
        <v>0</v>
      </c>
      <c r="AD469" s="419">
        <v>0</v>
      </c>
      <c r="AE469" s="380">
        <v>4.0705999999999997E-3</v>
      </c>
      <c r="AF469" s="380"/>
      <c r="AG469" s="419">
        <v>121361</v>
      </c>
      <c r="AH469" s="419">
        <v>121361</v>
      </c>
      <c r="AI469" s="419">
        <v>121362</v>
      </c>
      <c r="AJ469" s="419">
        <v>0</v>
      </c>
      <c r="AK469" s="419">
        <v>0</v>
      </c>
      <c r="AL469" s="380">
        <v>4.0705999999999997E-3</v>
      </c>
      <c r="AM469" s="380"/>
      <c r="AN469" s="419">
        <v>-127825</v>
      </c>
      <c r="AO469" s="419">
        <v>-91830</v>
      </c>
      <c r="AP469" s="419">
        <v>0</v>
      </c>
      <c r="AQ469" s="419">
        <v>0</v>
      </c>
      <c r="AR469" s="419">
        <v>0</v>
      </c>
    </row>
    <row r="470" spans="1:44">
      <c r="A470" s="379">
        <v>94923</v>
      </c>
      <c r="B470" t="s">
        <v>1178</v>
      </c>
      <c r="C470" s="380">
        <v>2.41E-5</v>
      </c>
      <c r="D470" s="380"/>
      <c r="E470" s="419">
        <v>4863</v>
      </c>
      <c r="F470" s="419">
        <v>246</v>
      </c>
      <c r="G470" s="419">
        <v>-3324</v>
      </c>
      <c r="H470" s="419">
        <v>-16158</v>
      </c>
      <c r="I470" s="419">
        <v>0</v>
      </c>
      <c r="J470" s="380">
        <v>2.41E-5</v>
      </c>
      <c r="K470" s="380"/>
      <c r="L470" s="419">
        <v>5900</v>
      </c>
      <c r="M470" s="419">
        <v>4075</v>
      </c>
      <c r="N470" s="419">
        <v>1784</v>
      </c>
      <c r="O470" s="419">
        <v>0</v>
      </c>
      <c r="P470" s="419">
        <v>0</v>
      </c>
      <c r="Q470" s="380">
        <v>2.41E-5</v>
      </c>
      <c r="R470" s="380"/>
      <c r="S470" s="419">
        <v>-12107</v>
      </c>
      <c r="T470" s="419">
        <v>-11967</v>
      </c>
      <c r="U470" s="419">
        <v>-12572</v>
      </c>
      <c r="V470" s="419">
        <v>-16158</v>
      </c>
      <c r="W470" s="419">
        <v>0</v>
      </c>
      <c r="X470" s="380">
        <v>2.41E-5</v>
      </c>
      <c r="Z470" s="419">
        <v>9655</v>
      </c>
      <c r="AA470" s="419">
        <v>6783</v>
      </c>
      <c r="AB470" s="419">
        <v>6783</v>
      </c>
      <c r="AC470" s="419">
        <v>0</v>
      </c>
      <c r="AD470" s="419">
        <v>0</v>
      </c>
      <c r="AE470" s="380">
        <v>2.41E-5</v>
      </c>
      <c r="AF470" s="380"/>
      <c r="AG470" s="419">
        <v>1415</v>
      </c>
      <c r="AH470" s="419">
        <v>1355</v>
      </c>
      <c r="AI470" s="419">
        <v>681</v>
      </c>
      <c r="AJ470" s="419">
        <v>0</v>
      </c>
      <c r="AK470" s="419">
        <v>0</v>
      </c>
      <c r="AL470" s="380">
        <v>2.41E-5</v>
      </c>
      <c r="AM470" s="380"/>
      <c r="AN470" s="419">
        <v>0</v>
      </c>
      <c r="AO470" s="419">
        <v>0</v>
      </c>
      <c r="AP470" s="419">
        <v>0</v>
      </c>
      <c r="AQ470" s="419">
        <v>0</v>
      </c>
      <c r="AR470" s="419">
        <v>0</v>
      </c>
    </row>
    <row r="471" spans="1:44">
      <c r="A471" s="379">
        <v>94927</v>
      </c>
      <c r="B471" t="s">
        <v>1179</v>
      </c>
      <c r="C471" s="380">
        <v>2.3600000000000001E-5</v>
      </c>
      <c r="D471" s="380"/>
      <c r="E471" s="419">
        <v>13142</v>
      </c>
      <c r="F471" s="419">
        <v>7905</v>
      </c>
      <c r="G471" s="419">
        <v>1804</v>
      </c>
      <c r="H471" s="419">
        <v>-15823</v>
      </c>
      <c r="I471" s="419">
        <v>0</v>
      </c>
      <c r="J471" s="380">
        <v>2.3600000000000001E-5</v>
      </c>
      <c r="K471" s="380"/>
      <c r="L471" s="419">
        <v>5777</v>
      </c>
      <c r="M471" s="419">
        <v>3990</v>
      </c>
      <c r="N471" s="419">
        <v>1747</v>
      </c>
      <c r="O471" s="419">
        <v>0</v>
      </c>
      <c r="P471" s="419">
        <v>0</v>
      </c>
      <c r="Q471" s="380">
        <v>2.3600000000000001E-5</v>
      </c>
      <c r="R471" s="380"/>
      <c r="S471" s="419">
        <v>-11856</v>
      </c>
      <c r="T471" s="419">
        <v>-11719</v>
      </c>
      <c r="U471" s="419">
        <v>-12311</v>
      </c>
      <c r="V471" s="419">
        <v>-15823</v>
      </c>
      <c r="W471" s="419">
        <v>0</v>
      </c>
      <c r="X471" s="380">
        <v>2.3600000000000001E-5</v>
      </c>
      <c r="Z471" s="419">
        <v>9454</v>
      </c>
      <c r="AA471" s="419">
        <v>6642</v>
      </c>
      <c r="AB471" s="419">
        <v>6642</v>
      </c>
      <c r="AC471" s="419">
        <v>0</v>
      </c>
      <c r="AD471" s="419">
        <v>0</v>
      </c>
      <c r="AE471" s="380">
        <v>2.3600000000000001E-5</v>
      </c>
      <c r="AF471" s="380"/>
      <c r="AG471" s="419">
        <v>9767</v>
      </c>
      <c r="AH471" s="419">
        <v>8992</v>
      </c>
      <c r="AI471" s="419">
        <v>5726</v>
      </c>
      <c r="AJ471" s="419">
        <v>0</v>
      </c>
      <c r="AK471" s="419">
        <v>0</v>
      </c>
      <c r="AL471" s="380">
        <v>2.3600000000000001E-5</v>
      </c>
      <c r="AM471" s="380"/>
      <c r="AN471" s="419">
        <v>0</v>
      </c>
      <c r="AO471" s="419">
        <v>0</v>
      </c>
      <c r="AP471" s="419">
        <v>0</v>
      </c>
      <c r="AQ471" s="419">
        <v>0</v>
      </c>
      <c r="AR471" s="419">
        <v>0</v>
      </c>
    </row>
    <row r="472" spans="1:44">
      <c r="A472" s="379">
        <v>94931</v>
      </c>
      <c r="B472" t="s">
        <v>1180</v>
      </c>
      <c r="C472" s="380">
        <v>2.1660000000000001E-4</v>
      </c>
      <c r="D472" s="380"/>
      <c r="E472" s="419">
        <v>35917</v>
      </c>
      <c r="F472" s="419">
        <v>-3041</v>
      </c>
      <c r="G472" s="419">
        <v>-26399</v>
      </c>
      <c r="H472" s="419">
        <v>-145225</v>
      </c>
      <c r="I472" s="419">
        <v>0</v>
      </c>
      <c r="J472" s="380">
        <v>2.1660000000000001E-4</v>
      </c>
      <c r="K472" s="380"/>
      <c r="L472" s="419">
        <v>53025</v>
      </c>
      <c r="M472" s="419">
        <v>36621</v>
      </c>
      <c r="N472" s="419">
        <v>16031</v>
      </c>
      <c r="O472" s="419">
        <v>0</v>
      </c>
      <c r="P472" s="419">
        <v>0</v>
      </c>
      <c r="Q472" s="380">
        <v>2.1660000000000001E-4</v>
      </c>
      <c r="R472" s="380"/>
      <c r="S472" s="419">
        <v>-108813</v>
      </c>
      <c r="T472" s="419">
        <v>-107554</v>
      </c>
      <c r="U472" s="419">
        <v>-112990</v>
      </c>
      <c r="V472" s="419">
        <v>-145225</v>
      </c>
      <c r="W472" s="419">
        <v>0</v>
      </c>
      <c r="X472" s="380">
        <v>2.1660000000000001E-4</v>
      </c>
      <c r="Z472" s="419">
        <v>86770</v>
      </c>
      <c r="AA472" s="419">
        <v>60961</v>
      </c>
      <c r="AB472" s="419">
        <v>60961</v>
      </c>
      <c r="AC472" s="419">
        <v>0</v>
      </c>
      <c r="AD472" s="419">
        <v>0</v>
      </c>
      <c r="AE472" s="380">
        <v>2.1660000000000001E-4</v>
      </c>
      <c r="AF472" s="380"/>
      <c r="AG472" s="419">
        <v>12057</v>
      </c>
      <c r="AH472" s="419">
        <v>12055</v>
      </c>
      <c r="AI472" s="419">
        <v>9599</v>
      </c>
      <c r="AJ472" s="419">
        <v>0</v>
      </c>
      <c r="AK472" s="419">
        <v>0</v>
      </c>
      <c r="AL472" s="380">
        <v>2.1660000000000001E-4</v>
      </c>
      <c r="AM472" s="380"/>
      <c r="AN472" s="419">
        <v>-7122</v>
      </c>
      <c r="AO472" s="419">
        <v>-5124</v>
      </c>
      <c r="AP472" s="419">
        <v>0</v>
      </c>
      <c r="AQ472" s="419">
        <v>0</v>
      </c>
      <c r="AR472" s="419">
        <v>0</v>
      </c>
    </row>
    <row r="473" spans="1:44">
      <c r="A473" s="379">
        <v>94937</v>
      </c>
      <c r="B473" t="s">
        <v>1933</v>
      </c>
      <c r="C473" s="380">
        <v>8.6999999999999997E-6</v>
      </c>
      <c r="D473" s="380"/>
      <c r="E473" s="419">
        <v>3482</v>
      </c>
      <c r="F473" s="419">
        <v>1838</v>
      </c>
      <c r="G473" s="419">
        <v>-958</v>
      </c>
      <c r="H473" s="419">
        <v>-5833</v>
      </c>
      <c r="I473" s="419">
        <v>0</v>
      </c>
      <c r="J473" s="380">
        <v>8.6999999999999997E-6</v>
      </c>
      <c r="K473" s="380"/>
      <c r="L473" s="419">
        <v>2130</v>
      </c>
      <c r="M473" s="419">
        <v>1471</v>
      </c>
      <c r="N473" s="419">
        <v>644</v>
      </c>
      <c r="O473" s="419">
        <v>0</v>
      </c>
      <c r="P473" s="419">
        <v>0</v>
      </c>
      <c r="Q473" s="380">
        <v>8.6999999999999997E-6</v>
      </c>
      <c r="R473" s="380"/>
      <c r="S473" s="419">
        <v>-4371</v>
      </c>
      <c r="T473" s="419">
        <v>-4320</v>
      </c>
      <c r="U473" s="419">
        <v>-4538</v>
      </c>
      <c r="V473" s="419">
        <v>-5833</v>
      </c>
      <c r="W473" s="419">
        <v>0</v>
      </c>
      <c r="X473" s="380">
        <v>8.6999999999999997E-6</v>
      </c>
      <c r="Z473" s="419">
        <v>3485</v>
      </c>
      <c r="AA473" s="419">
        <v>2449</v>
      </c>
      <c r="AB473" s="419">
        <v>2449</v>
      </c>
      <c r="AC473" s="419">
        <v>0</v>
      </c>
      <c r="AD473" s="419">
        <v>0</v>
      </c>
      <c r="AE473" s="380">
        <v>8.6999999999999997E-6</v>
      </c>
      <c r="AF473" s="380"/>
      <c r="AG473" s="419">
        <v>2238</v>
      </c>
      <c r="AH473" s="419">
        <v>2238</v>
      </c>
      <c r="AI473" s="419">
        <v>487</v>
      </c>
      <c r="AJ473" s="419">
        <v>0</v>
      </c>
      <c r="AK473" s="419">
        <v>0</v>
      </c>
      <c r="AL473" s="380">
        <v>8.6999999999999997E-6</v>
      </c>
      <c r="AM473" s="380"/>
      <c r="AN473" s="419">
        <v>0</v>
      </c>
      <c r="AO473" s="419">
        <v>0</v>
      </c>
      <c r="AP473" s="419">
        <v>0</v>
      </c>
      <c r="AQ473" s="419">
        <v>0</v>
      </c>
      <c r="AR473" s="419">
        <v>0</v>
      </c>
    </row>
    <row r="474" spans="1:44">
      <c r="A474" s="379">
        <v>94941</v>
      </c>
      <c r="B474" t="s">
        <v>1181</v>
      </c>
      <c r="C474" s="380">
        <v>7.9999999999999996E-6</v>
      </c>
      <c r="D474" s="380"/>
      <c r="E474" s="419">
        <v>-377436</v>
      </c>
      <c r="F474" s="419">
        <v>-369115</v>
      </c>
      <c r="G474" s="419">
        <v>-319553</v>
      </c>
      <c r="H474" s="419">
        <v>-5364</v>
      </c>
      <c r="I474" s="419">
        <v>0</v>
      </c>
      <c r="J474" s="380">
        <v>7.9999999999999996E-6</v>
      </c>
      <c r="K474" s="380"/>
      <c r="L474" s="419">
        <v>1958</v>
      </c>
      <c r="M474" s="419">
        <v>1353</v>
      </c>
      <c r="N474" s="419">
        <v>592</v>
      </c>
      <c r="O474" s="419">
        <v>0</v>
      </c>
      <c r="P474" s="419">
        <v>0</v>
      </c>
      <c r="Q474" s="380">
        <v>7.9999999999999996E-6</v>
      </c>
      <c r="R474" s="380"/>
      <c r="S474" s="419">
        <v>-4019</v>
      </c>
      <c r="T474" s="419">
        <v>-3972</v>
      </c>
      <c r="U474" s="419">
        <v>-4173</v>
      </c>
      <c r="V474" s="419">
        <v>-5364</v>
      </c>
      <c r="W474" s="419">
        <v>0</v>
      </c>
      <c r="X474" s="380">
        <v>7.9999999999999996E-6</v>
      </c>
      <c r="Z474" s="419">
        <v>3205</v>
      </c>
      <c r="AA474" s="419">
        <v>2252</v>
      </c>
      <c r="AB474" s="419">
        <v>2252</v>
      </c>
      <c r="AC474" s="419">
        <v>0</v>
      </c>
      <c r="AD474" s="419">
        <v>0</v>
      </c>
      <c r="AE474" s="380">
        <v>7.9999999999999996E-6</v>
      </c>
      <c r="AF474" s="380"/>
      <c r="AG474" s="419">
        <v>3700</v>
      </c>
      <c r="AH474" s="419">
        <v>3699</v>
      </c>
      <c r="AI474" s="419">
        <v>0</v>
      </c>
      <c r="AJ474" s="419">
        <v>0</v>
      </c>
      <c r="AK474" s="419">
        <v>0</v>
      </c>
      <c r="AL474" s="380">
        <v>7.9999999999999996E-6</v>
      </c>
      <c r="AM474" s="380"/>
      <c r="AN474" s="419">
        <v>-382280</v>
      </c>
      <c r="AO474" s="419">
        <v>-372447</v>
      </c>
      <c r="AP474" s="419">
        <v>-318224</v>
      </c>
      <c r="AQ474" s="419">
        <v>0</v>
      </c>
      <c r="AR474" s="419">
        <v>0</v>
      </c>
    </row>
    <row r="475" spans="1:44">
      <c r="A475" s="379">
        <v>94947</v>
      </c>
      <c r="B475" t="s">
        <v>1934</v>
      </c>
      <c r="C475" s="380">
        <v>6.0000000000000002E-6</v>
      </c>
      <c r="D475" s="380"/>
      <c r="E475" s="419">
        <v>3642</v>
      </c>
      <c r="F475" s="419">
        <v>2507</v>
      </c>
      <c r="G475" s="419">
        <v>-131</v>
      </c>
      <c r="H475" s="419">
        <v>-4023</v>
      </c>
      <c r="I475" s="419">
        <v>0</v>
      </c>
      <c r="J475" s="380">
        <v>6.0000000000000002E-6</v>
      </c>
      <c r="K475" s="380"/>
      <c r="L475" s="419">
        <v>1469</v>
      </c>
      <c r="M475" s="419">
        <v>1014</v>
      </c>
      <c r="N475" s="419">
        <v>444</v>
      </c>
      <c r="O475" s="419">
        <v>0</v>
      </c>
      <c r="P475" s="419">
        <v>0</v>
      </c>
      <c r="Q475" s="380">
        <v>6.0000000000000002E-6</v>
      </c>
      <c r="R475" s="380"/>
      <c r="S475" s="419">
        <v>-3014</v>
      </c>
      <c r="T475" s="419">
        <v>-2979</v>
      </c>
      <c r="U475" s="419">
        <v>-3130</v>
      </c>
      <c r="V475" s="419">
        <v>-4023</v>
      </c>
      <c r="W475" s="419">
        <v>0</v>
      </c>
      <c r="X475" s="380">
        <v>6.0000000000000002E-6</v>
      </c>
      <c r="Z475" s="419">
        <v>2404</v>
      </c>
      <c r="AA475" s="419">
        <v>1689</v>
      </c>
      <c r="AB475" s="419">
        <v>1689</v>
      </c>
      <c r="AC475" s="419">
        <v>0</v>
      </c>
      <c r="AD475" s="419">
        <v>0</v>
      </c>
      <c r="AE475" s="380">
        <v>6.0000000000000002E-6</v>
      </c>
      <c r="AF475" s="380"/>
      <c r="AG475" s="419">
        <v>2783</v>
      </c>
      <c r="AH475" s="419">
        <v>2783</v>
      </c>
      <c r="AI475" s="419">
        <v>866</v>
      </c>
      <c r="AJ475" s="419">
        <v>0</v>
      </c>
      <c r="AK475" s="419">
        <v>0</v>
      </c>
      <c r="AL475" s="380">
        <v>6.0000000000000002E-6</v>
      </c>
      <c r="AM475" s="380"/>
      <c r="AN475" s="419">
        <v>0</v>
      </c>
      <c r="AO475" s="419">
        <v>0</v>
      </c>
      <c r="AP475" s="419">
        <v>0</v>
      </c>
      <c r="AQ475" s="419">
        <v>0</v>
      </c>
      <c r="AR475" s="419">
        <v>0</v>
      </c>
    </row>
    <row r="476" spans="1:44">
      <c r="A476" s="379">
        <v>95001</v>
      </c>
      <c r="B476" t="s">
        <v>1182</v>
      </c>
      <c r="C476" s="380">
        <v>2.1762000000000001E-3</v>
      </c>
      <c r="D476" s="380"/>
      <c r="E476" s="419">
        <v>357551</v>
      </c>
      <c r="F476" s="419">
        <v>-41560</v>
      </c>
      <c r="G476" s="419">
        <v>-335607</v>
      </c>
      <c r="H476" s="419">
        <v>-1459086</v>
      </c>
      <c r="I476" s="419">
        <v>0</v>
      </c>
      <c r="J476" s="380">
        <v>2.1762000000000001E-3</v>
      </c>
      <c r="K476" s="380"/>
      <c r="L476" s="419">
        <v>532751</v>
      </c>
      <c r="M476" s="419">
        <v>367934</v>
      </c>
      <c r="N476" s="419">
        <v>161065</v>
      </c>
      <c r="O476" s="419">
        <v>0</v>
      </c>
      <c r="P476" s="419">
        <v>0</v>
      </c>
      <c r="Q476" s="380">
        <v>2.1762000000000001E-3</v>
      </c>
      <c r="R476" s="380"/>
      <c r="S476" s="419">
        <v>-1093253</v>
      </c>
      <c r="T476" s="419">
        <v>-1080603</v>
      </c>
      <c r="U476" s="419">
        <v>-1135217</v>
      </c>
      <c r="V476" s="419">
        <v>-1459086</v>
      </c>
      <c r="W476" s="419">
        <v>0</v>
      </c>
      <c r="X476" s="380">
        <v>2.1762000000000001E-3</v>
      </c>
      <c r="Z476" s="419">
        <v>871790</v>
      </c>
      <c r="AA476" s="419">
        <v>612481</v>
      </c>
      <c r="AB476" s="419">
        <v>612476</v>
      </c>
      <c r="AC476" s="419">
        <v>0</v>
      </c>
      <c r="AD476" s="419">
        <v>0</v>
      </c>
      <c r="AE476" s="380">
        <v>2.1762000000000001E-3</v>
      </c>
      <c r="AF476" s="380"/>
      <c r="AG476" s="419">
        <v>58629</v>
      </c>
      <c r="AH476" s="419">
        <v>58628</v>
      </c>
      <c r="AI476" s="419">
        <v>26069</v>
      </c>
      <c r="AJ476" s="419">
        <v>0</v>
      </c>
      <c r="AK476" s="419">
        <v>0</v>
      </c>
      <c r="AL476" s="380">
        <v>2.1762000000000001E-3</v>
      </c>
      <c r="AM476" s="380"/>
      <c r="AN476" s="419">
        <v>-12366</v>
      </c>
      <c r="AO476" s="419">
        <v>0</v>
      </c>
      <c r="AP476" s="419">
        <v>0</v>
      </c>
      <c r="AQ476" s="419">
        <v>0</v>
      </c>
      <c r="AR476" s="419">
        <v>0</v>
      </c>
    </row>
    <row r="477" spans="1:44">
      <c r="A477" s="379">
        <v>95002</v>
      </c>
      <c r="B477" t="s">
        <v>1183</v>
      </c>
      <c r="C477" s="380">
        <v>1.716E-4</v>
      </c>
      <c r="D477" s="380"/>
      <c r="E477" s="419">
        <v>42724</v>
      </c>
      <c r="F477" s="419">
        <v>7940</v>
      </c>
      <c r="G477" s="419">
        <v>-18630</v>
      </c>
      <c r="H477" s="419">
        <v>-115053</v>
      </c>
      <c r="I477" s="419">
        <v>0</v>
      </c>
      <c r="J477" s="380">
        <v>1.716E-4</v>
      </c>
      <c r="K477" s="380"/>
      <c r="L477" s="419">
        <v>42009</v>
      </c>
      <c r="M477" s="419">
        <v>29013</v>
      </c>
      <c r="N477" s="419">
        <v>12700</v>
      </c>
      <c r="O477" s="419">
        <v>0</v>
      </c>
      <c r="P477" s="419">
        <v>0</v>
      </c>
      <c r="Q477" s="380">
        <v>1.716E-4</v>
      </c>
      <c r="R477" s="380"/>
      <c r="S477" s="419">
        <v>-86206</v>
      </c>
      <c r="T477" s="419">
        <v>-85209</v>
      </c>
      <c r="U477" s="419">
        <v>-89515</v>
      </c>
      <c r="V477" s="419">
        <v>-115053</v>
      </c>
      <c r="W477" s="419">
        <v>0</v>
      </c>
      <c r="X477" s="380">
        <v>1.716E-4</v>
      </c>
      <c r="Z477" s="419">
        <v>68743</v>
      </c>
      <c r="AA477" s="419">
        <v>48296</v>
      </c>
      <c r="AB477" s="419">
        <v>48296</v>
      </c>
      <c r="AC477" s="419">
        <v>0</v>
      </c>
      <c r="AD477" s="419">
        <v>0</v>
      </c>
      <c r="AE477" s="380">
        <v>1.716E-4</v>
      </c>
      <c r="AF477" s="380"/>
      <c r="AG477" s="419">
        <v>18178</v>
      </c>
      <c r="AH477" s="419">
        <v>15840</v>
      </c>
      <c r="AI477" s="419">
        <v>9889</v>
      </c>
      <c r="AJ477" s="419">
        <v>0</v>
      </c>
      <c r="AK477" s="419">
        <v>0</v>
      </c>
      <c r="AL477" s="380">
        <v>1.716E-4</v>
      </c>
      <c r="AM477" s="380"/>
      <c r="AN477" s="419">
        <v>0</v>
      </c>
      <c r="AO477" s="419">
        <v>0</v>
      </c>
      <c r="AP477" s="419">
        <v>0</v>
      </c>
      <c r="AQ477" s="419">
        <v>0</v>
      </c>
      <c r="AR477" s="419">
        <v>0</v>
      </c>
    </row>
    <row r="478" spans="1:44">
      <c r="A478" s="379">
        <v>95005</v>
      </c>
      <c r="B478" t="s">
        <v>1184</v>
      </c>
      <c r="C478" s="380">
        <v>1.874E-4</v>
      </c>
      <c r="D478" s="380"/>
      <c r="E478" s="419">
        <v>37160</v>
      </c>
      <c r="F478" s="419">
        <v>2433</v>
      </c>
      <c r="G478" s="419">
        <v>-14393</v>
      </c>
      <c r="H478" s="419">
        <v>-125647</v>
      </c>
      <c r="I478" s="419">
        <v>0</v>
      </c>
      <c r="J478" s="380">
        <v>1.874E-4</v>
      </c>
      <c r="K478" s="380"/>
      <c r="L478" s="419">
        <v>45877</v>
      </c>
      <c r="M478" s="419">
        <v>31684</v>
      </c>
      <c r="N478" s="419">
        <v>13870</v>
      </c>
      <c r="O478" s="419">
        <v>0</v>
      </c>
      <c r="P478" s="419">
        <v>0</v>
      </c>
      <c r="Q478" s="380">
        <v>1.874E-4</v>
      </c>
      <c r="R478" s="380"/>
      <c r="S478" s="419">
        <v>-94144</v>
      </c>
      <c r="T478" s="419">
        <v>-93054</v>
      </c>
      <c r="U478" s="419">
        <v>-97757</v>
      </c>
      <c r="V478" s="419">
        <v>-125647</v>
      </c>
      <c r="W478" s="419">
        <v>0</v>
      </c>
      <c r="X478" s="380">
        <v>1.874E-4</v>
      </c>
      <c r="Z478" s="419">
        <v>75073</v>
      </c>
      <c r="AA478" s="419">
        <v>52743</v>
      </c>
      <c r="AB478" s="419">
        <v>52742</v>
      </c>
      <c r="AC478" s="419">
        <v>0</v>
      </c>
      <c r="AD478" s="419">
        <v>0</v>
      </c>
      <c r="AE478" s="380">
        <v>1.874E-4</v>
      </c>
      <c r="AF478" s="380"/>
      <c r="AG478" s="419">
        <v>16751</v>
      </c>
      <c r="AH478" s="419">
        <v>16751</v>
      </c>
      <c r="AI478" s="419">
        <v>16752</v>
      </c>
      <c r="AJ478" s="419">
        <v>0</v>
      </c>
      <c r="AK478" s="419">
        <v>0</v>
      </c>
      <c r="AL478" s="380">
        <v>1.874E-4</v>
      </c>
      <c r="AM478" s="380"/>
      <c r="AN478" s="419">
        <v>-6397</v>
      </c>
      <c r="AO478" s="419">
        <v>-5691</v>
      </c>
      <c r="AP478" s="419">
        <v>0</v>
      </c>
      <c r="AQ478" s="419">
        <v>0</v>
      </c>
      <c r="AR478" s="419">
        <v>0</v>
      </c>
    </row>
    <row r="479" spans="1:44">
      <c r="A479" s="379">
        <v>95008</v>
      </c>
      <c r="B479" t="s">
        <v>1185</v>
      </c>
      <c r="C479" s="380">
        <v>1.228E-4</v>
      </c>
      <c r="D479" s="380"/>
      <c r="E479" s="419">
        <v>28813</v>
      </c>
      <c r="F479" s="419">
        <v>2956</v>
      </c>
      <c r="G479" s="419">
        <v>-18152</v>
      </c>
      <c r="H479" s="419">
        <v>-82334</v>
      </c>
      <c r="I479" s="419">
        <v>0</v>
      </c>
      <c r="J479" s="380">
        <v>1.228E-4</v>
      </c>
      <c r="K479" s="380"/>
      <c r="L479" s="419">
        <v>30062</v>
      </c>
      <c r="M479" s="419">
        <v>20762</v>
      </c>
      <c r="N479" s="419">
        <v>9089</v>
      </c>
      <c r="O479" s="419">
        <v>0</v>
      </c>
      <c r="P479" s="419">
        <v>0</v>
      </c>
      <c r="Q479" s="380">
        <v>1.228E-4</v>
      </c>
      <c r="R479" s="380"/>
      <c r="S479" s="419">
        <v>-61691</v>
      </c>
      <c r="T479" s="419">
        <v>-60977</v>
      </c>
      <c r="U479" s="419">
        <v>-64059</v>
      </c>
      <c r="V479" s="419">
        <v>-82334</v>
      </c>
      <c r="W479" s="419">
        <v>0</v>
      </c>
      <c r="X479" s="380">
        <v>1.228E-4</v>
      </c>
      <c r="Z479" s="419">
        <v>49194</v>
      </c>
      <c r="AA479" s="419">
        <v>34561</v>
      </c>
      <c r="AB479" s="419">
        <v>34561</v>
      </c>
      <c r="AC479" s="419">
        <v>0</v>
      </c>
      <c r="AD479" s="419">
        <v>0</v>
      </c>
      <c r="AE479" s="380">
        <v>1.228E-4</v>
      </c>
      <c r="AF479" s="380"/>
      <c r="AG479" s="419">
        <v>11248</v>
      </c>
      <c r="AH479" s="419">
        <v>8610</v>
      </c>
      <c r="AI479" s="419">
        <v>2257</v>
      </c>
      <c r="AJ479" s="419">
        <v>0</v>
      </c>
      <c r="AK479" s="419">
        <v>0</v>
      </c>
      <c r="AL479" s="380">
        <v>1.228E-4</v>
      </c>
      <c r="AM479" s="380"/>
      <c r="AN479" s="419">
        <v>0</v>
      </c>
      <c r="AO479" s="419">
        <v>0</v>
      </c>
      <c r="AP479" s="419">
        <v>0</v>
      </c>
      <c r="AQ479" s="419">
        <v>0</v>
      </c>
      <c r="AR479" s="419">
        <v>0</v>
      </c>
    </row>
    <row r="480" spans="1:44">
      <c r="A480" s="379">
        <v>95009</v>
      </c>
      <c r="B480" t="s">
        <v>1186</v>
      </c>
      <c r="C480" s="380">
        <v>4.0679999999999996E-3</v>
      </c>
      <c r="D480" s="380"/>
      <c r="E480" s="419">
        <v>497059</v>
      </c>
      <c r="F480" s="419">
        <v>-243838</v>
      </c>
      <c r="G480" s="419">
        <v>-553959</v>
      </c>
      <c r="H480" s="419">
        <v>-2727488</v>
      </c>
      <c r="I480" s="419">
        <v>0</v>
      </c>
      <c r="J480" s="380">
        <v>4.0679999999999996E-3</v>
      </c>
      <c r="K480" s="380"/>
      <c r="L480" s="419">
        <v>995879</v>
      </c>
      <c r="M480" s="419">
        <v>687785</v>
      </c>
      <c r="N480" s="419">
        <v>301081</v>
      </c>
      <c r="O480" s="419">
        <v>0</v>
      </c>
      <c r="P480" s="419">
        <v>0</v>
      </c>
      <c r="Q480" s="380">
        <v>4.0679999999999996E-3</v>
      </c>
      <c r="R480" s="380"/>
      <c r="S480" s="419">
        <v>-2043633</v>
      </c>
      <c r="T480" s="419">
        <v>-2019986</v>
      </c>
      <c r="U480" s="419">
        <v>-2122076</v>
      </c>
      <c r="V480" s="419">
        <v>-2727488</v>
      </c>
      <c r="W480" s="419">
        <v>0</v>
      </c>
      <c r="X480" s="380">
        <v>4.0679999999999996E-3</v>
      </c>
      <c r="Z480" s="419">
        <v>1629649</v>
      </c>
      <c r="AA480" s="419">
        <v>1144918</v>
      </c>
      <c r="AB480" s="419">
        <v>1144910</v>
      </c>
      <c r="AC480" s="419">
        <v>0</v>
      </c>
      <c r="AD480" s="419">
        <v>0</v>
      </c>
      <c r="AE480" s="380">
        <v>4.0679999999999996E-3</v>
      </c>
      <c r="AF480" s="380"/>
      <c r="AG480" s="419">
        <v>122128</v>
      </c>
      <c r="AH480" s="419">
        <v>122128</v>
      </c>
      <c r="AI480" s="419">
        <v>122126</v>
      </c>
      <c r="AJ480" s="419">
        <v>0</v>
      </c>
      <c r="AK480" s="419">
        <v>0</v>
      </c>
      <c r="AL480" s="380">
        <v>4.0679999999999996E-3</v>
      </c>
      <c r="AM480" s="380"/>
      <c r="AN480" s="419">
        <v>-206964</v>
      </c>
      <c r="AO480" s="419">
        <v>-178683</v>
      </c>
      <c r="AP480" s="419">
        <v>0</v>
      </c>
      <c r="AQ480" s="419">
        <v>0</v>
      </c>
      <c r="AR480" s="419">
        <v>0</v>
      </c>
    </row>
    <row r="481" spans="1:44">
      <c r="A481" s="379">
        <v>95010</v>
      </c>
      <c r="B481" t="s">
        <v>3725</v>
      </c>
      <c r="C481" s="380">
        <v>2.2399999999999999E-5</v>
      </c>
      <c r="D481" s="380"/>
      <c r="E481" s="419">
        <v>10644</v>
      </c>
      <c r="F481" s="419">
        <v>6408</v>
      </c>
      <c r="G481" s="419">
        <v>-4178</v>
      </c>
      <c r="H481" s="419">
        <v>-15019</v>
      </c>
      <c r="I481" s="419">
        <v>0</v>
      </c>
      <c r="J481" s="380">
        <v>2.2399999999999999E-5</v>
      </c>
      <c r="K481" s="380"/>
      <c r="L481" s="419">
        <v>5484</v>
      </c>
      <c r="M481" s="419">
        <v>3787</v>
      </c>
      <c r="N481" s="419">
        <v>1658</v>
      </c>
      <c r="O481" s="419">
        <v>0</v>
      </c>
      <c r="P481" s="419">
        <v>0</v>
      </c>
      <c r="Q481" s="380">
        <v>2.2399999999999999E-5</v>
      </c>
      <c r="R481" s="380"/>
      <c r="S481" s="419">
        <v>-11253</v>
      </c>
      <c r="T481" s="419">
        <v>-11123</v>
      </c>
      <c r="U481" s="419">
        <v>-11685</v>
      </c>
      <c r="V481" s="419">
        <v>-15019</v>
      </c>
      <c r="W481" s="419">
        <v>0</v>
      </c>
      <c r="X481" s="380">
        <v>2.2399999999999999E-5</v>
      </c>
      <c r="Z481" s="419">
        <v>8973</v>
      </c>
      <c r="AA481" s="419">
        <v>6304</v>
      </c>
      <c r="AB481" s="419">
        <v>6304</v>
      </c>
      <c r="AC481" s="419">
        <v>0</v>
      </c>
      <c r="AD481" s="419">
        <v>0</v>
      </c>
      <c r="AE481" s="380">
        <v>2.2399999999999999E-5</v>
      </c>
      <c r="AF481" s="380"/>
      <c r="AG481" s="419">
        <v>7895</v>
      </c>
      <c r="AH481" s="419">
        <v>7895</v>
      </c>
      <c r="AI481" s="419">
        <v>0</v>
      </c>
      <c r="AJ481" s="419">
        <v>0</v>
      </c>
      <c r="AK481" s="419">
        <v>0</v>
      </c>
      <c r="AL481" s="380">
        <v>2.2399999999999999E-5</v>
      </c>
      <c r="AM481" s="380"/>
      <c r="AN481" s="419">
        <v>-455</v>
      </c>
      <c r="AO481" s="419">
        <v>-455</v>
      </c>
      <c r="AP481" s="419">
        <v>-455</v>
      </c>
      <c r="AQ481" s="419">
        <v>0</v>
      </c>
      <c r="AR481" s="419">
        <v>0</v>
      </c>
    </row>
    <row r="482" spans="1:44">
      <c r="A482" s="379">
        <v>95011</v>
      </c>
      <c r="B482" t="s">
        <v>1187</v>
      </c>
      <c r="C482" s="380">
        <v>1.808E-4</v>
      </c>
      <c r="D482" s="380"/>
      <c r="E482" s="419">
        <v>21397</v>
      </c>
      <c r="F482" s="419">
        <v>-13604</v>
      </c>
      <c r="G482" s="419">
        <v>-27550</v>
      </c>
      <c r="H482" s="419">
        <v>-121222</v>
      </c>
      <c r="I482" s="419">
        <v>0</v>
      </c>
      <c r="J482" s="380">
        <v>1.808E-4</v>
      </c>
      <c r="K482" s="380"/>
      <c r="L482" s="419">
        <v>44261</v>
      </c>
      <c r="M482" s="419">
        <v>30568</v>
      </c>
      <c r="N482" s="419">
        <v>13381</v>
      </c>
      <c r="O482" s="419">
        <v>0</v>
      </c>
      <c r="P482" s="419">
        <v>0</v>
      </c>
      <c r="Q482" s="380">
        <v>1.808E-4</v>
      </c>
      <c r="R482" s="380"/>
      <c r="S482" s="419">
        <v>-90828</v>
      </c>
      <c r="T482" s="419">
        <v>-89777</v>
      </c>
      <c r="U482" s="419">
        <v>-94315</v>
      </c>
      <c r="V482" s="419">
        <v>-121222</v>
      </c>
      <c r="W482" s="419">
        <v>0</v>
      </c>
      <c r="X482" s="380">
        <v>1.808E-4</v>
      </c>
      <c r="Z482" s="419">
        <v>72429</v>
      </c>
      <c r="AA482" s="419">
        <v>50885</v>
      </c>
      <c r="AB482" s="419">
        <v>50885</v>
      </c>
      <c r="AC482" s="419">
        <v>0</v>
      </c>
      <c r="AD482" s="419">
        <v>0</v>
      </c>
      <c r="AE482" s="380">
        <v>1.808E-4</v>
      </c>
      <c r="AF482" s="380"/>
      <c r="AG482" s="419">
        <v>3578</v>
      </c>
      <c r="AH482" s="419">
        <v>2764</v>
      </c>
      <c r="AI482" s="419">
        <v>2499</v>
      </c>
      <c r="AJ482" s="419">
        <v>0</v>
      </c>
      <c r="AK482" s="419">
        <v>0</v>
      </c>
      <c r="AL482" s="380">
        <v>1.808E-4</v>
      </c>
      <c r="AM482" s="380"/>
      <c r="AN482" s="419">
        <v>-8043</v>
      </c>
      <c r="AO482" s="419">
        <v>-8044</v>
      </c>
      <c r="AP482" s="419">
        <v>0</v>
      </c>
      <c r="AQ482" s="419">
        <v>0</v>
      </c>
      <c r="AR482" s="419">
        <v>0</v>
      </c>
    </row>
    <row r="483" spans="1:44">
      <c r="A483" s="379">
        <v>95017</v>
      </c>
      <c r="B483" t="s">
        <v>1188</v>
      </c>
      <c r="C483" s="380">
        <v>0</v>
      </c>
      <c r="D483" s="380"/>
      <c r="E483" s="419">
        <v>-21941</v>
      </c>
      <c r="F483" s="419">
        <v>-22215</v>
      </c>
      <c r="G483" s="419">
        <v>-17819</v>
      </c>
      <c r="H483" s="419">
        <v>0</v>
      </c>
      <c r="I483" s="419">
        <v>0</v>
      </c>
      <c r="J483" s="380">
        <v>0</v>
      </c>
      <c r="K483" s="380"/>
      <c r="L483" s="419">
        <v>0</v>
      </c>
      <c r="M483" s="419">
        <v>0</v>
      </c>
      <c r="N483" s="419">
        <v>0</v>
      </c>
      <c r="O483" s="419">
        <v>0</v>
      </c>
      <c r="P483" s="419">
        <v>0</v>
      </c>
      <c r="Q483" s="380">
        <v>0</v>
      </c>
      <c r="R483" s="380"/>
      <c r="S483" s="419">
        <v>0</v>
      </c>
      <c r="T483" s="419">
        <v>0</v>
      </c>
      <c r="U483" s="419">
        <v>0</v>
      </c>
      <c r="V483" s="419">
        <v>0</v>
      </c>
      <c r="W483" s="419">
        <v>0</v>
      </c>
      <c r="X483" s="380">
        <v>0</v>
      </c>
      <c r="Z483" s="419">
        <v>0</v>
      </c>
      <c r="AA483" s="419">
        <v>0</v>
      </c>
      <c r="AB483" s="419">
        <v>0</v>
      </c>
      <c r="AC483" s="419">
        <v>0</v>
      </c>
      <c r="AD483" s="419">
        <v>0</v>
      </c>
      <c r="AE483" s="380">
        <v>0</v>
      </c>
      <c r="AF483" s="380"/>
      <c r="AG483" s="419">
        <v>278</v>
      </c>
      <c r="AH483" s="419">
        <v>5</v>
      </c>
      <c r="AI483" s="419">
        <v>0</v>
      </c>
      <c r="AJ483" s="419">
        <v>0</v>
      </c>
      <c r="AK483" s="419">
        <v>0</v>
      </c>
      <c r="AL483" s="380">
        <v>0</v>
      </c>
      <c r="AM483" s="380"/>
      <c r="AN483" s="419">
        <v>-22219</v>
      </c>
      <c r="AO483" s="419">
        <v>-22220</v>
      </c>
      <c r="AP483" s="419">
        <v>-17819</v>
      </c>
      <c r="AQ483" s="419">
        <v>0</v>
      </c>
      <c r="AR483" s="419">
        <v>0</v>
      </c>
    </row>
    <row r="484" spans="1:44">
      <c r="A484" s="379">
        <v>95101</v>
      </c>
      <c r="B484" t="s">
        <v>1189</v>
      </c>
      <c r="C484" s="380">
        <v>8.7860999999999998E-3</v>
      </c>
      <c r="D484" s="380"/>
      <c r="E484" s="419">
        <v>1110792</v>
      </c>
      <c r="F484" s="419">
        <v>-531928</v>
      </c>
      <c r="G484" s="419">
        <v>-1591336</v>
      </c>
      <c r="H484" s="419">
        <v>-5890852</v>
      </c>
      <c r="I484" s="419">
        <v>0</v>
      </c>
      <c r="J484" s="380">
        <v>8.7860999999999998E-3</v>
      </c>
      <c r="K484" s="380"/>
      <c r="L484" s="419">
        <v>2150908</v>
      </c>
      <c r="M484" s="419">
        <v>1485483</v>
      </c>
      <c r="N484" s="419">
        <v>650277</v>
      </c>
      <c r="O484" s="419">
        <v>0</v>
      </c>
      <c r="P484" s="419">
        <v>0</v>
      </c>
      <c r="Q484" s="380">
        <v>8.7860999999999998E-3</v>
      </c>
      <c r="R484" s="380"/>
      <c r="S484" s="419">
        <v>-4413855</v>
      </c>
      <c r="T484" s="419">
        <v>-4362782</v>
      </c>
      <c r="U484" s="419">
        <v>-4583278</v>
      </c>
      <c r="V484" s="419">
        <v>-5890852</v>
      </c>
      <c r="W484" s="419">
        <v>0</v>
      </c>
      <c r="X484" s="380">
        <v>8.7860999999999998E-3</v>
      </c>
      <c r="Z484" s="419">
        <v>3519729</v>
      </c>
      <c r="AA484" s="419">
        <v>2472804</v>
      </c>
      <c r="AB484" s="419">
        <v>2472786</v>
      </c>
      <c r="AC484" s="419">
        <v>0</v>
      </c>
      <c r="AD484" s="419">
        <v>0</v>
      </c>
      <c r="AE484" s="380">
        <v>8.7860999999999998E-3</v>
      </c>
      <c r="AF484" s="380"/>
      <c r="AG484" s="419">
        <v>10681</v>
      </c>
      <c r="AH484" s="419">
        <v>10679</v>
      </c>
      <c r="AI484" s="419">
        <v>0</v>
      </c>
      <c r="AJ484" s="419">
        <v>0</v>
      </c>
      <c r="AK484" s="419">
        <v>0</v>
      </c>
      <c r="AL484" s="380">
        <v>8.7860999999999998E-3</v>
      </c>
      <c r="AM484" s="380"/>
      <c r="AN484" s="419">
        <v>-156671</v>
      </c>
      <c r="AO484" s="419">
        <v>-138112</v>
      </c>
      <c r="AP484" s="419">
        <v>-131121</v>
      </c>
      <c r="AQ484" s="419">
        <v>0</v>
      </c>
      <c r="AR484" s="419">
        <v>0</v>
      </c>
    </row>
    <row r="485" spans="1:44">
      <c r="A485" s="379">
        <v>95103</v>
      </c>
      <c r="B485" t="s">
        <v>1190</v>
      </c>
      <c r="C485" s="380">
        <v>4.7700000000000001E-5</v>
      </c>
      <c r="D485" s="380"/>
      <c r="E485" s="419">
        <v>10914</v>
      </c>
      <c r="F485" s="419">
        <v>1040</v>
      </c>
      <c r="G485" s="419">
        <v>-6614</v>
      </c>
      <c r="H485" s="419">
        <v>-31982</v>
      </c>
      <c r="I485" s="419">
        <v>0</v>
      </c>
      <c r="J485" s="380">
        <v>4.7700000000000001E-5</v>
      </c>
      <c r="K485" s="380"/>
      <c r="L485" s="419">
        <v>11677</v>
      </c>
      <c r="M485" s="419">
        <v>8065</v>
      </c>
      <c r="N485" s="419">
        <v>3530</v>
      </c>
      <c r="O485" s="419">
        <v>0</v>
      </c>
      <c r="P485" s="419">
        <v>0</v>
      </c>
      <c r="Q485" s="380">
        <v>4.7700000000000001E-5</v>
      </c>
      <c r="R485" s="380"/>
      <c r="S485" s="419">
        <v>-23963</v>
      </c>
      <c r="T485" s="419">
        <v>-23686</v>
      </c>
      <c r="U485" s="419">
        <v>-24883</v>
      </c>
      <c r="V485" s="419">
        <v>-31982</v>
      </c>
      <c r="W485" s="419">
        <v>0</v>
      </c>
      <c r="X485" s="380">
        <v>4.7700000000000001E-5</v>
      </c>
      <c r="Z485" s="419">
        <v>19109</v>
      </c>
      <c r="AA485" s="419">
        <v>13425</v>
      </c>
      <c r="AB485" s="419">
        <v>13425</v>
      </c>
      <c r="AC485" s="419">
        <v>0</v>
      </c>
      <c r="AD485" s="419">
        <v>0</v>
      </c>
      <c r="AE485" s="380">
        <v>4.7700000000000001E-5</v>
      </c>
      <c r="AF485" s="380"/>
      <c r="AG485" s="419">
        <v>5264</v>
      </c>
      <c r="AH485" s="419">
        <v>4408</v>
      </c>
      <c r="AI485" s="419">
        <v>1314</v>
      </c>
      <c r="AJ485" s="419">
        <v>0</v>
      </c>
      <c r="AK485" s="419">
        <v>0</v>
      </c>
      <c r="AL485" s="380">
        <v>4.7700000000000001E-5</v>
      </c>
      <c r="AM485" s="380"/>
      <c r="AN485" s="419">
        <v>-1173</v>
      </c>
      <c r="AO485" s="419">
        <v>-1172</v>
      </c>
      <c r="AP485" s="419">
        <v>0</v>
      </c>
      <c r="AQ485" s="419">
        <v>0</v>
      </c>
      <c r="AR485" s="419">
        <v>0</v>
      </c>
    </row>
    <row r="486" spans="1:44">
      <c r="A486" s="379">
        <v>95104</v>
      </c>
      <c r="B486" t="s">
        <v>1191</v>
      </c>
      <c r="C486" s="380">
        <v>1.271E-4</v>
      </c>
      <c r="D486" s="380"/>
      <c r="E486" s="419">
        <v>51649</v>
      </c>
      <c r="F486" s="419">
        <v>25644</v>
      </c>
      <c r="G486" s="419">
        <v>-3832</v>
      </c>
      <c r="H486" s="419">
        <v>-85217</v>
      </c>
      <c r="I486" s="419">
        <v>0</v>
      </c>
      <c r="J486" s="380">
        <v>1.271E-4</v>
      </c>
      <c r="K486" s="380"/>
      <c r="L486" s="419">
        <v>31115</v>
      </c>
      <c r="M486" s="419">
        <v>21489</v>
      </c>
      <c r="N486" s="419">
        <v>9407</v>
      </c>
      <c r="O486" s="419">
        <v>0</v>
      </c>
      <c r="P486" s="419">
        <v>0</v>
      </c>
      <c r="Q486" s="380">
        <v>1.271E-4</v>
      </c>
      <c r="R486" s="380"/>
      <c r="S486" s="419">
        <v>-63851</v>
      </c>
      <c r="T486" s="419">
        <v>-63112</v>
      </c>
      <c r="U486" s="419">
        <v>-66302</v>
      </c>
      <c r="V486" s="419">
        <v>-85217</v>
      </c>
      <c r="W486" s="419">
        <v>0</v>
      </c>
      <c r="X486" s="380">
        <v>1.271E-4</v>
      </c>
      <c r="Z486" s="419">
        <v>50917</v>
      </c>
      <c r="AA486" s="419">
        <v>35772</v>
      </c>
      <c r="AB486" s="419">
        <v>35771</v>
      </c>
      <c r="AC486" s="419">
        <v>0</v>
      </c>
      <c r="AD486" s="419">
        <v>0</v>
      </c>
      <c r="AE486" s="380">
        <v>1.271E-4</v>
      </c>
      <c r="AF486" s="380"/>
      <c r="AG486" s="419">
        <v>33468</v>
      </c>
      <c r="AH486" s="419">
        <v>31495</v>
      </c>
      <c r="AI486" s="419">
        <v>17292</v>
      </c>
      <c r="AJ486" s="419">
        <v>0</v>
      </c>
      <c r="AK486" s="419">
        <v>0</v>
      </c>
      <c r="AL486" s="380">
        <v>1.271E-4</v>
      </c>
      <c r="AM486" s="380"/>
      <c r="AN486" s="419">
        <v>0</v>
      </c>
      <c r="AO486" s="419">
        <v>0</v>
      </c>
      <c r="AP486" s="419">
        <v>0</v>
      </c>
      <c r="AQ486" s="419">
        <v>0</v>
      </c>
      <c r="AR486" s="419">
        <v>0</v>
      </c>
    </row>
    <row r="487" spans="1:44">
      <c r="A487" s="379">
        <v>95105</v>
      </c>
      <c r="B487" t="s">
        <v>1192</v>
      </c>
      <c r="C487" s="380">
        <v>5.63E-5</v>
      </c>
      <c r="D487" s="380"/>
      <c r="E487" s="419">
        <v>-199</v>
      </c>
      <c r="F487" s="419">
        <v>-12398</v>
      </c>
      <c r="G487" s="419">
        <v>-23827</v>
      </c>
      <c r="H487" s="419">
        <v>-37748</v>
      </c>
      <c r="I487" s="419">
        <v>0</v>
      </c>
      <c r="J487" s="380">
        <v>5.63E-5</v>
      </c>
      <c r="K487" s="380"/>
      <c r="L487" s="419">
        <v>13783</v>
      </c>
      <c r="M487" s="419">
        <v>9519</v>
      </c>
      <c r="N487" s="419">
        <v>4167</v>
      </c>
      <c r="O487" s="419">
        <v>0</v>
      </c>
      <c r="P487" s="419">
        <v>0</v>
      </c>
      <c r="Q487" s="380">
        <v>5.63E-5</v>
      </c>
      <c r="R487" s="380"/>
      <c r="S487" s="419">
        <v>-28283</v>
      </c>
      <c r="T487" s="419">
        <v>-27956</v>
      </c>
      <c r="U487" s="419">
        <v>-29369</v>
      </c>
      <c r="V487" s="419">
        <v>-37748</v>
      </c>
      <c r="W487" s="419">
        <v>0</v>
      </c>
      <c r="X487" s="380">
        <v>5.63E-5</v>
      </c>
      <c r="Z487" s="419">
        <v>22554</v>
      </c>
      <c r="AA487" s="419">
        <v>15845</v>
      </c>
      <c r="AB487" s="419">
        <v>15845</v>
      </c>
      <c r="AC487" s="419">
        <v>0</v>
      </c>
      <c r="AD487" s="419">
        <v>0</v>
      </c>
      <c r="AE487" s="380">
        <v>5.63E-5</v>
      </c>
      <c r="AF487" s="380"/>
      <c r="AG487" s="419">
        <v>6219</v>
      </c>
      <c r="AH487" s="419">
        <v>4666</v>
      </c>
      <c r="AI487" s="419">
        <v>0</v>
      </c>
      <c r="AJ487" s="419">
        <v>0</v>
      </c>
      <c r="AK487" s="419">
        <v>0</v>
      </c>
      <c r="AL487" s="380">
        <v>5.63E-5</v>
      </c>
      <c r="AM487" s="380"/>
      <c r="AN487" s="419">
        <v>-14472</v>
      </c>
      <c r="AO487" s="419">
        <v>-14472</v>
      </c>
      <c r="AP487" s="419">
        <v>-14470</v>
      </c>
      <c r="AQ487" s="419">
        <v>0</v>
      </c>
      <c r="AR487" s="419">
        <v>0</v>
      </c>
    </row>
    <row r="488" spans="1:44">
      <c r="A488" s="379">
        <v>95106</v>
      </c>
      <c r="B488" t="s">
        <v>1193</v>
      </c>
      <c r="C488" s="380">
        <v>1.5800000000000001E-5</v>
      </c>
      <c r="D488" s="380"/>
      <c r="E488" s="419">
        <v>7089</v>
      </c>
      <c r="F488" s="419">
        <v>3524</v>
      </c>
      <c r="G488" s="419">
        <v>1114</v>
      </c>
      <c r="H488" s="419">
        <v>-10593</v>
      </c>
      <c r="I488" s="419">
        <v>0</v>
      </c>
      <c r="J488" s="380">
        <v>1.5800000000000001E-5</v>
      </c>
      <c r="K488" s="380"/>
      <c r="L488" s="419">
        <v>3868</v>
      </c>
      <c r="M488" s="419">
        <v>2671</v>
      </c>
      <c r="N488" s="419">
        <v>1169</v>
      </c>
      <c r="O488" s="419">
        <v>0</v>
      </c>
      <c r="P488" s="419">
        <v>0</v>
      </c>
      <c r="Q488" s="380">
        <v>1.5800000000000001E-5</v>
      </c>
      <c r="R488" s="380"/>
      <c r="S488" s="419">
        <v>-7937</v>
      </c>
      <c r="T488" s="419">
        <v>-7846</v>
      </c>
      <c r="U488" s="419">
        <v>-8242</v>
      </c>
      <c r="V488" s="419">
        <v>-10593</v>
      </c>
      <c r="W488" s="419">
        <v>0</v>
      </c>
      <c r="X488" s="380">
        <v>1.5800000000000001E-5</v>
      </c>
      <c r="Z488" s="419">
        <v>6330</v>
      </c>
      <c r="AA488" s="419">
        <v>4447</v>
      </c>
      <c r="AB488" s="419">
        <v>4447</v>
      </c>
      <c r="AC488" s="419">
        <v>0</v>
      </c>
      <c r="AD488" s="419">
        <v>0</v>
      </c>
      <c r="AE488" s="380">
        <v>1.5800000000000001E-5</v>
      </c>
      <c r="AF488" s="380"/>
      <c r="AG488" s="419">
        <v>4828</v>
      </c>
      <c r="AH488" s="419">
        <v>4252</v>
      </c>
      <c r="AI488" s="419">
        <v>3740</v>
      </c>
      <c r="AJ488" s="419">
        <v>0</v>
      </c>
      <c r="AK488" s="419">
        <v>0</v>
      </c>
      <c r="AL488" s="380">
        <v>1.5800000000000001E-5</v>
      </c>
      <c r="AM488" s="380"/>
      <c r="AN488" s="419">
        <v>0</v>
      </c>
      <c r="AO488" s="419">
        <v>0</v>
      </c>
      <c r="AP488" s="419">
        <v>0</v>
      </c>
      <c r="AQ488" s="419">
        <v>0</v>
      </c>
      <c r="AR488" s="419">
        <v>0</v>
      </c>
    </row>
    <row r="489" spans="1:44">
      <c r="A489" s="379">
        <v>95110</v>
      </c>
      <c r="B489" t="s">
        <v>1194</v>
      </c>
      <c r="C489" s="380">
        <v>2.4620000000000002E-3</v>
      </c>
      <c r="D489" s="380"/>
      <c r="E489" s="419">
        <v>27026</v>
      </c>
      <c r="F489" s="419">
        <v>-351189</v>
      </c>
      <c r="G489" s="419">
        <v>-504685</v>
      </c>
      <c r="H489" s="419">
        <v>-1650707</v>
      </c>
      <c r="I489" s="419">
        <v>0</v>
      </c>
      <c r="J489" s="380">
        <v>2.4620000000000002E-3</v>
      </c>
      <c r="K489" s="380"/>
      <c r="L489" s="419">
        <v>602717</v>
      </c>
      <c r="M489" s="419">
        <v>416255</v>
      </c>
      <c r="N489" s="419">
        <v>182218</v>
      </c>
      <c r="O489" s="419">
        <v>0</v>
      </c>
      <c r="P489" s="419">
        <v>0</v>
      </c>
      <c r="Q489" s="380">
        <v>2.4620000000000002E-3</v>
      </c>
      <c r="R489" s="380"/>
      <c r="S489" s="419">
        <v>-1236830</v>
      </c>
      <c r="T489" s="419">
        <v>-1222518</v>
      </c>
      <c r="U489" s="419">
        <v>-1284305</v>
      </c>
      <c r="V489" s="419">
        <v>-1650707</v>
      </c>
      <c r="W489" s="419">
        <v>0</v>
      </c>
      <c r="X489" s="380">
        <v>2.4620000000000002E-3</v>
      </c>
      <c r="Z489" s="419">
        <v>986282</v>
      </c>
      <c r="AA489" s="419">
        <v>692918</v>
      </c>
      <c r="AB489" s="419">
        <v>692913</v>
      </c>
      <c r="AC489" s="419">
        <v>0</v>
      </c>
      <c r="AD489" s="419">
        <v>0</v>
      </c>
      <c r="AE489" s="380">
        <v>2.4620000000000002E-3</v>
      </c>
      <c r="AF489" s="380"/>
      <c r="AG489" s="419">
        <v>0</v>
      </c>
      <c r="AH489" s="419">
        <v>0</v>
      </c>
      <c r="AI489" s="419">
        <v>0</v>
      </c>
      <c r="AJ489" s="419">
        <v>0</v>
      </c>
      <c r="AK489" s="419">
        <v>0</v>
      </c>
      <c r="AL489" s="380">
        <v>2.4620000000000002E-3</v>
      </c>
      <c r="AM489" s="380"/>
      <c r="AN489" s="419">
        <v>-325143</v>
      </c>
      <c r="AO489" s="419">
        <v>-237844</v>
      </c>
      <c r="AP489" s="419">
        <v>-95511</v>
      </c>
      <c r="AQ489" s="419">
        <v>0</v>
      </c>
      <c r="AR489" s="419">
        <v>0</v>
      </c>
    </row>
    <row r="490" spans="1:44">
      <c r="A490" s="379">
        <v>95111</v>
      </c>
      <c r="B490" t="s">
        <v>1195</v>
      </c>
      <c r="C490" s="380">
        <v>9.366E-4</v>
      </c>
      <c r="D490" s="380"/>
      <c r="E490" s="419">
        <v>67939</v>
      </c>
      <c r="F490" s="419">
        <v>-106256</v>
      </c>
      <c r="G490" s="419">
        <v>-177099</v>
      </c>
      <c r="H490" s="419">
        <v>-627966</v>
      </c>
      <c r="I490" s="419">
        <v>0</v>
      </c>
      <c r="J490" s="380">
        <v>9.366E-4</v>
      </c>
      <c r="K490" s="380"/>
      <c r="L490" s="419">
        <v>229287</v>
      </c>
      <c r="M490" s="419">
        <v>158353</v>
      </c>
      <c r="N490" s="419">
        <v>69320</v>
      </c>
      <c r="O490" s="419">
        <v>0</v>
      </c>
      <c r="P490" s="419">
        <v>0</v>
      </c>
      <c r="Q490" s="380">
        <v>9.366E-4</v>
      </c>
      <c r="R490" s="380"/>
      <c r="S490" s="419">
        <v>-470518</v>
      </c>
      <c r="T490" s="419">
        <v>-465073</v>
      </c>
      <c r="U490" s="419">
        <v>-488578</v>
      </c>
      <c r="V490" s="419">
        <v>-627966</v>
      </c>
      <c r="W490" s="419">
        <v>0</v>
      </c>
      <c r="X490" s="380">
        <v>9.366E-4</v>
      </c>
      <c r="Z490" s="419">
        <v>375204</v>
      </c>
      <c r="AA490" s="419">
        <v>263601</v>
      </c>
      <c r="AB490" s="419">
        <v>263600</v>
      </c>
      <c r="AC490" s="419">
        <v>0</v>
      </c>
      <c r="AD490" s="419">
        <v>0</v>
      </c>
      <c r="AE490" s="380">
        <v>9.366E-4</v>
      </c>
      <c r="AF490" s="380"/>
      <c r="AG490" s="419">
        <v>0</v>
      </c>
      <c r="AH490" s="419">
        <v>0</v>
      </c>
      <c r="AI490" s="419">
        <v>0</v>
      </c>
      <c r="AJ490" s="419">
        <v>0</v>
      </c>
      <c r="AK490" s="419">
        <v>0</v>
      </c>
      <c r="AL490" s="380">
        <v>9.366E-4</v>
      </c>
      <c r="AM490" s="380"/>
      <c r="AN490" s="419">
        <v>-66034</v>
      </c>
      <c r="AO490" s="419">
        <v>-63137</v>
      </c>
      <c r="AP490" s="419">
        <v>-21441</v>
      </c>
      <c r="AQ490" s="419">
        <v>0</v>
      </c>
      <c r="AR490" s="419">
        <v>0</v>
      </c>
    </row>
    <row r="491" spans="1:44">
      <c r="A491" s="379">
        <v>95113</v>
      </c>
      <c r="B491" t="s">
        <v>1196</v>
      </c>
      <c r="C491" s="380">
        <v>4.9599999999999999E-5</v>
      </c>
      <c r="D491" s="380"/>
      <c r="E491" s="419">
        <v>48252</v>
      </c>
      <c r="F491" s="419">
        <v>28700</v>
      </c>
      <c r="G491" s="419">
        <v>9448</v>
      </c>
      <c r="H491" s="419">
        <v>-33256</v>
      </c>
      <c r="I491" s="419">
        <v>0</v>
      </c>
      <c r="J491" s="380">
        <v>4.9599999999999999E-5</v>
      </c>
      <c r="K491" s="380"/>
      <c r="L491" s="419">
        <v>12142</v>
      </c>
      <c r="M491" s="419">
        <v>8386</v>
      </c>
      <c r="N491" s="419">
        <v>3671</v>
      </c>
      <c r="O491" s="419">
        <v>0</v>
      </c>
      <c r="P491" s="419">
        <v>0</v>
      </c>
      <c r="Q491" s="380">
        <v>4.9599999999999999E-5</v>
      </c>
      <c r="R491" s="380"/>
      <c r="S491" s="419">
        <v>-24917</v>
      </c>
      <c r="T491" s="419">
        <v>-24629</v>
      </c>
      <c r="U491" s="419">
        <v>-25874</v>
      </c>
      <c r="V491" s="419">
        <v>-33256</v>
      </c>
      <c r="W491" s="419">
        <v>0</v>
      </c>
      <c r="X491" s="380">
        <v>4.9599999999999999E-5</v>
      </c>
      <c r="Z491" s="419">
        <v>19870</v>
      </c>
      <c r="AA491" s="419">
        <v>13960</v>
      </c>
      <c r="AB491" s="419">
        <v>13960</v>
      </c>
      <c r="AC491" s="419">
        <v>0</v>
      </c>
      <c r="AD491" s="419">
        <v>0</v>
      </c>
      <c r="AE491" s="380">
        <v>4.9599999999999999E-5</v>
      </c>
      <c r="AF491" s="380"/>
      <c r="AG491" s="419">
        <v>41157</v>
      </c>
      <c r="AH491" s="419">
        <v>30983</v>
      </c>
      <c r="AI491" s="419">
        <v>17691</v>
      </c>
      <c r="AJ491" s="419">
        <v>0</v>
      </c>
      <c r="AK491" s="419">
        <v>0</v>
      </c>
      <c r="AL491" s="380">
        <v>4.9599999999999999E-5</v>
      </c>
      <c r="AM491" s="380"/>
      <c r="AN491" s="419">
        <v>0</v>
      </c>
      <c r="AO491" s="419">
        <v>0</v>
      </c>
      <c r="AP491" s="419">
        <v>0</v>
      </c>
      <c r="AQ491" s="419">
        <v>0</v>
      </c>
      <c r="AR491" s="419">
        <v>0</v>
      </c>
    </row>
    <row r="492" spans="1:44">
      <c r="A492" s="379">
        <v>95121</v>
      </c>
      <c r="B492" t="s">
        <v>1197</v>
      </c>
      <c r="C492" s="380">
        <v>5.1400000000000003E-4</v>
      </c>
      <c r="D492" s="380"/>
      <c r="E492" s="419">
        <v>76271</v>
      </c>
      <c r="F492" s="419">
        <v>-22514</v>
      </c>
      <c r="G492" s="419">
        <v>-88491</v>
      </c>
      <c r="H492" s="419">
        <v>-344624</v>
      </c>
      <c r="I492" s="419">
        <v>0</v>
      </c>
      <c r="J492" s="380">
        <v>5.1400000000000003E-4</v>
      </c>
      <c r="K492" s="380"/>
      <c r="L492" s="419">
        <v>125831</v>
      </c>
      <c r="M492" s="419">
        <v>86903</v>
      </c>
      <c r="N492" s="419">
        <v>38042</v>
      </c>
      <c r="O492" s="419">
        <v>0</v>
      </c>
      <c r="P492" s="419">
        <v>0</v>
      </c>
      <c r="Q492" s="380">
        <v>5.1400000000000003E-4</v>
      </c>
      <c r="R492" s="380"/>
      <c r="S492" s="419">
        <v>-258217</v>
      </c>
      <c r="T492" s="419">
        <v>-255229</v>
      </c>
      <c r="U492" s="419">
        <v>-268129</v>
      </c>
      <c r="V492" s="419">
        <v>-344624</v>
      </c>
      <c r="W492" s="419">
        <v>0</v>
      </c>
      <c r="X492" s="380">
        <v>5.1400000000000003E-4</v>
      </c>
      <c r="Z492" s="419">
        <v>205909</v>
      </c>
      <c r="AA492" s="419">
        <v>144663</v>
      </c>
      <c r="AB492" s="419">
        <v>144662</v>
      </c>
      <c r="AC492" s="419">
        <v>0</v>
      </c>
      <c r="AD492" s="419">
        <v>0</v>
      </c>
      <c r="AE492" s="380">
        <v>5.1400000000000003E-4</v>
      </c>
      <c r="AF492" s="380"/>
      <c r="AG492" s="419">
        <v>16117</v>
      </c>
      <c r="AH492" s="419">
        <v>14516</v>
      </c>
      <c r="AI492" s="419">
        <v>0</v>
      </c>
      <c r="AJ492" s="419">
        <v>0</v>
      </c>
      <c r="AK492" s="419">
        <v>0</v>
      </c>
      <c r="AL492" s="380">
        <v>5.1400000000000003E-4</v>
      </c>
      <c r="AM492" s="380"/>
      <c r="AN492" s="419">
        <v>-13369</v>
      </c>
      <c r="AO492" s="419">
        <v>-13367</v>
      </c>
      <c r="AP492" s="419">
        <v>-3066</v>
      </c>
      <c r="AQ492" s="419">
        <v>0</v>
      </c>
      <c r="AR492" s="419">
        <v>0</v>
      </c>
    </row>
    <row r="493" spans="1:44">
      <c r="A493" s="379">
        <v>95122</v>
      </c>
      <c r="B493" t="s">
        <v>1198</v>
      </c>
      <c r="C493" s="380">
        <v>2.34E-5</v>
      </c>
      <c r="D493" s="380"/>
      <c r="E493" s="419">
        <v>12460</v>
      </c>
      <c r="F493" s="419">
        <v>7742</v>
      </c>
      <c r="G493" s="419">
        <v>873</v>
      </c>
      <c r="H493" s="419">
        <v>-15689</v>
      </c>
      <c r="I493" s="419">
        <v>0</v>
      </c>
      <c r="J493" s="380">
        <v>2.34E-5</v>
      </c>
      <c r="K493" s="380"/>
      <c r="L493" s="419">
        <v>5729</v>
      </c>
      <c r="M493" s="419">
        <v>3956</v>
      </c>
      <c r="N493" s="419">
        <v>1732</v>
      </c>
      <c r="O493" s="419">
        <v>0</v>
      </c>
      <c r="P493" s="419">
        <v>0</v>
      </c>
      <c r="Q493" s="380">
        <v>2.34E-5</v>
      </c>
      <c r="R493" s="380"/>
      <c r="S493" s="419">
        <v>-11755</v>
      </c>
      <c r="T493" s="419">
        <v>-11619</v>
      </c>
      <c r="U493" s="419">
        <v>-12207</v>
      </c>
      <c r="V493" s="419">
        <v>-15689</v>
      </c>
      <c r="W493" s="419">
        <v>0</v>
      </c>
      <c r="X493" s="380">
        <v>2.34E-5</v>
      </c>
      <c r="Z493" s="419">
        <v>9374</v>
      </c>
      <c r="AA493" s="419">
        <v>6586</v>
      </c>
      <c r="AB493" s="419">
        <v>6586</v>
      </c>
      <c r="AC493" s="419">
        <v>0</v>
      </c>
      <c r="AD493" s="419">
        <v>0</v>
      </c>
      <c r="AE493" s="380">
        <v>2.34E-5</v>
      </c>
      <c r="AF493" s="380"/>
      <c r="AG493" s="419">
        <v>9112</v>
      </c>
      <c r="AH493" s="419">
        <v>8819</v>
      </c>
      <c r="AI493" s="419">
        <v>4762</v>
      </c>
      <c r="AJ493" s="419">
        <v>0</v>
      </c>
      <c r="AK493" s="419">
        <v>0</v>
      </c>
      <c r="AL493" s="380">
        <v>2.34E-5</v>
      </c>
      <c r="AM493" s="380"/>
      <c r="AN493" s="419">
        <v>0</v>
      </c>
      <c r="AO493" s="419">
        <v>0</v>
      </c>
      <c r="AP493" s="419">
        <v>0</v>
      </c>
      <c r="AQ493" s="419">
        <v>0</v>
      </c>
      <c r="AR493" s="419">
        <v>0</v>
      </c>
    </row>
    <row r="494" spans="1:44">
      <c r="A494" s="379">
        <v>95123</v>
      </c>
      <c r="B494" t="s">
        <v>1199</v>
      </c>
      <c r="C494" s="380">
        <v>5.6799999999999998E-5</v>
      </c>
      <c r="D494" s="380"/>
      <c r="E494" s="419">
        <v>8882</v>
      </c>
      <c r="F494" s="419">
        <v>-1895</v>
      </c>
      <c r="G494" s="419">
        <v>-9423</v>
      </c>
      <c r="H494" s="419">
        <v>-38083</v>
      </c>
      <c r="I494" s="419">
        <v>0</v>
      </c>
      <c r="J494" s="380">
        <v>5.6799999999999998E-5</v>
      </c>
      <c r="K494" s="380"/>
      <c r="L494" s="419">
        <v>13905</v>
      </c>
      <c r="M494" s="419">
        <v>9603</v>
      </c>
      <c r="N494" s="419">
        <v>4204</v>
      </c>
      <c r="O494" s="419">
        <v>0</v>
      </c>
      <c r="P494" s="419">
        <v>0</v>
      </c>
      <c r="Q494" s="380">
        <v>5.6799999999999998E-5</v>
      </c>
      <c r="R494" s="380"/>
      <c r="S494" s="419">
        <v>-28535</v>
      </c>
      <c r="T494" s="419">
        <v>-28204</v>
      </c>
      <c r="U494" s="419">
        <v>-29630</v>
      </c>
      <c r="V494" s="419">
        <v>-38083</v>
      </c>
      <c r="W494" s="419">
        <v>0</v>
      </c>
      <c r="X494" s="380">
        <v>5.6799999999999998E-5</v>
      </c>
      <c r="Z494" s="419">
        <v>22754</v>
      </c>
      <c r="AA494" s="419">
        <v>15986</v>
      </c>
      <c r="AB494" s="419">
        <v>15986</v>
      </c>
      <c r="AC494" s="419">
        <v>0</v>
      </c>
      <c r="AD494" s="419">
        <v>0</v>
      </c>
      <c r="AE494" s="380">
        <v>5.6799999999999998E-5</v>
      </c>
      <c r="AF494" s="380"/>
      <c r="AG494" s="419">
        <v>1171</v>
      </c>
      <c r="AH494" s="419">
        <v>1132</v>
      </c>
      <c r="AI494" s="419">
        <v>17</v>
      </c>
      <c r="AJ494" s="419">
        <v>0</v>
      </c>
      <c r="AK494" s="419">
        <v>0</v>
      </c>
      <c r="AL494" s="380">
        <v>5.6799999999999998E-5</v>
      </c>
      <c r="AM494" s="380"/>
      <c r="AN494" s="419">
        <v>-413</v>
      </c>
      <c r="AO494" s="419">
        <v>-412</v>
      </c>
      <c r="AP494" s="419">
        <v>0</v>
      </c>
      <c r="AQ494" s="419">
        <v>0</v>
      </c>
      <c r="AR494" s="419">
        <v>0</v>
      </c>
    </row>
    <row r="495" spans="1:44">
      <c r="A495" s="379">
        <v>95131</v>
      </c>
      <c r="B495" t="s">
        <v>1200</v>
      </c>
      <c r="C495" s="380">
        <v>1.8209000000000001E-3</v>
      </c>
      <c r="D495" s="380"/>
      <c r="E495" s="419">
        <v>281914</v>
      </c>
      <c r="F495" s="419">
        <v>-68570</v>
      </c>
      <c r="G495" s="419">
        <v>-318489</v>
      </c>
      <c r="H495" s="419">
        <v>-1220866</v>
      </c>
      <c r="I495" s="419">
        <v>0</v>
      </c>
      <c r="J495" s="380">
        <v>1.8209000000000001E-3</v>
      </c>
      <c r="K495" s="380"/>
      <c r="L495" s="419">
        <v>445771</v>
      </c>
      <c r="M495" s="419">
        <v>307863</v>
      </c>
      <c r="N495" s="419">
        <v>134768</v>
      </c>
      <c r="O495" s="419">
        <v>0</v>
      </c>
      <c r="P495" s="419">
        <v>0</v>
      </c>
      <c r="Q495" s="380">
        <v>1.8209000000000001E-3</v>
      </c>
      <c r="R495" s="380"/>
      <c r="S495" s="419">
        <v>-914762</v>
      </c>
      <c r="T495" s="419">
        <v>-904177</v>
      </c>
      <c r="U495" s="419">
        <v>-949874</v>
      </c>
      <c r="V495" s="419">
        <v>-1220866</v>
      </c>
      <c r="W495" s="419">
        <v>0</v>
      </c>
      <c r="X495" s="380">
        <v>1.8209000000000001E-3</v>
      </c>
      <c r="Z495" s="419">
        <v>729456</v>
      </c>
      <c r="AA495" s="419">
        <v>512483</v>
      </c>
      <c r="AB495" s="419">
        <v>512480</v>
      </c>
      <c r="AC495" s="419">
        <v>0</v>
      </c>
      <c r="AD495" s="419">
        <v>0</v>
      </c>
      <c r="AE495" s="380">
        <v>1.8209000000000001E-3</v>
      </c>
      <c r="AF495" s="380"/>
      <c r="AG495" s="419">
        <v>37313</v>
      </c>
      <c r="AH495" s="419">
        <v>31125</v>
      </c>
      <c r="AI495" s="419">
        <v>0</v>
      </c>
      <c r="AJ495" s="419">
        <v>0</v>
      </c>
      <c r="AK495" s="419">
        <v>0</v>
      </c>
      <c r="AL495" s="380">
        <v>1.8209000000000001E-3</v>
      </c>
      <c r="AM495" s="380"/>
      <c r="AN495" s="419">
        <v>-15864</v>
      </c>
      <c r="AO495" s="419">
        <v>-15864</v>
      </c>
      <c r="AP495" s="419">
        <v>-15863</v>
      </c>
      <c r="AQ495" s="419">
        <v>0</v>
      </c>
      <c r="AR495" s="419">
        <v>0</v>
      </c>
    </row>
    <row r="496" spans="1:44">
      <c r="A496" s="379">
        <v>95141</v>
      </c>
      <c r="B496" t="s">
        <v>1201</v>
      </c>
      <c r="C496" s="380">
        <v>4.2129999999999999E-4</v>
      </c>
      <c r="D496" s="380"/>
      <c r="E496" s="419">
        <v>76041</v>
      </c>
      <c r="F496" s="419">
        <v>-1902</v>
      </c>
      <c r="G496" s="419">
        <v>-63392</v>
      </c>
      <c r="H496" s="419">
        <v>-282471</v>
      </c>
      <c r="I496" s="419">
        <v>0</v>
      </c>
      <c r="J496" s="380">
        <v>4.2129999999999999E-4</v>
      </c>
      <c r="K496" s="380"/>
      <c r="L496" s="419">
        <v>103138</v>
      </c>
      <c r="M496" s="419">
        <v>71230</v>
      </c>
      <c r="N496" s="419">
        <v>31181</v>
      </c>
      <c r="O496" s="419">
        <v>0</v>
      </c>
      <c r="P496" s="419">
        <v>0</v>
      </c>
      <c r="Q496" s="380">
        <v>4.2129999999999999E-4</v>
      </c>
      <c r="R496" s="380"/>
      <c r="S496" s="419">
        <v>-211648</v>
      </c>
      <c r="T496" s="419">
        <v>-209199</v>
      </c>
      <c r="U496" s="419">
        <v>-219772</v>
      </c>
      <c r="V496" s="419">
        <v>-282471</v>
      </c>
      <c r="W496" s="419">
        <v>0</v>
      </c>
      <c r="X496" s="380">
        <v>4.2129999999999999E-4</v>
      </c>
      <c r="Z496" s="419">
        <v>168774</v>
      </c>
      <c r="AA496" s="419">
        <v>118573</v>
      </c>
      <c r="AB496" s="419">
        <v>118572</v>
      </c>
      <c r="AC496" s="419">
        <v>0</v>
      </c>
      <c r="AD496" s="419">
        <v>0</v>
      </c>
      <c r="AE496" s="380">
        <v>4.2129999999999999E-4</v>
      </c>
      <c r="AF496" s="380"/>
      <c r="AG496" s="419">
        <v>17496</v>
      </c>
      <c r="AH496" s="419">
        <v>17494</v>
      </c>
      <c r="AI496" s="419">
        <v>6627</v>
      </c>
      <c r="AJ496" s="419">
        <v>0</v>
      </c>
      <c r="AK496" s="419">
        <v>0</v>
      </c>
      <c r="AL496" s="380">
        <v>4.2129999999999999E-4</v>
      </c>
      <c r="AM496" s="380"/>
      <c r="AN496" s="419">
        <v>-1719</v>
      </c>
      <c r="AO496" s="419">
        <v>0</v>
      </c>
      <c r="AP496" s="419">
        <v>0</v>
      </c>
      <c r="AQ496" s="419">
        <v>0</v>
      </c>
      <c r="AR496" s="419">
        <v>0</v>
      </c>
    </row>
    <row r="497" spans="1:44">
      <c r="A497" s="379">
        <v>95151</v>
      </c>
      <c r="B497" t="s">
        <v>1202</v>
      </c>
      <c r="C497" s="380">
        <v>1.2540000000000001E-4</v>
      </c>
      <c r="D497" s="380"/>
      <c r="E497" s="419">
        <v>19149</v>
      </c>
      <c r="F497" s="419">
        <v>-4622</v>
      </c>
      <c r="G497" s="419">
        <v>-20525</v>
      </c>
      <c r="H497" s="419">
        <v>-84077</v>
      </c>
      <c r="I497" s="419">
        <v>0</v>
      </c>
      <c r="J497" s="380">
        <v>1.2540000000000001E-4</v>
      </c>
      <c r="K497" s="380"/>
      <c r="L497" s="419">
        <v>30699</v>
      </c>
      <c r="M497" s="419">
        <v>21202</v>
      </c>
      <c r="N497" s="419">
        <v>9281</v>
      </c>
      <c r="O497" s="419">
        <v>0</v>
      </c>
      <c r="P497" s="419">
        <v>0</v>
      </c>
      <c r="Q497" s="380">
        <v>1.2540000000000001E-4</v>
      </c>
      <c r="R497" s="380"/>
      <c r="S497" s="419">
        <v>-62997</v>
      </c>
      <c r="T497" s="419">
        <v>-62268</v>
      </c>
      <c r="U497" s="419">
        <v>-65415</v>
      </c>
      <c r="V497" s="419">
        <v>-84077</v>
      </c>
      <c r="W497" s="419">
        <v>0</v>
      </c>
      <c r="X497" s="380">
        <v>1.2540000000000001E-4</v>
      </c>
      <c r="Z497" s="419">
        <v>50235</v>
      </c>
      <c r="AA497" s="419">
        <v>35293</v>
      </c>
      <c r="AB497" s="419">
        <v>35293</v>
      </c>
      <c r="AC497" s="419">
        <v>0</v>
      </c>
      <c r="AD497" s="419">
        <v>0</v>
      </c>
      <c r="AE497" s="380">
        <v>1.2540000000000001E-4</v>
      </c>
      <c r="AF497" s="380"/>
      <c r="AG497" s="419">
        <v>2840</v>
      </c>
      <c r="AH497" s="419">
        <v>2778</v>
      </c>
      <c r="AI497" s="419">
        <v>316</v>
      </c>
      <c r="AJ497" s="419">
        <v>0</v>
      </c>
      <c r="AK497" s="419">
        <v>0</v>
      </c>
      <c r="AL497" s="380">
        <v>1.2540000000000001E-4</v>
      </c>
      <c r="AM497" s="380"/>
      <c r="AN497" s="419">
        <v>-1628</v>
      </c>
      <c r="AO497" s="419">
        <v>-1627</v>
      </c>
      <c r="AP497" s="419">
        <v>0</v>
      </c>
      <c r="AQ497" s="419">
        <v>0</v>
      </c>
      <c r="AR497" s="419">
        <v>0</v>
      </c>
    </row>
    <row r="498" spans="1:44">
      <c r="A498" s="379">
        <v>95161</v>
      </c>
      <c r="B498" t="s">
        <v>1203</v>
      </c>
      <c r="C498" s="380">
        <v>6.8200000000000004E-5</v>
      </c>
      <c r="D498" s="380"/>
      <c r="E498" s="419">
        <v>11794</v>
      </c>
      <c r="F498" s="419">
        <v>-2761</v>
      </c>
      <c r="G498" s="419">
        <v>-13911</v>
      </c>
      <c r="H498" s="419">
        <v>-45726</v>
      </c>
      <c r="I498" s="419">
        <v>0</v>
      </c>
      <c r="J498" s="380">
        <v>6.8200000000000004E-5</v>
      </c>
      <c r="K498" s="380"/>
      <c r="L498" s="419">
        <v>16696</v>
      </c>
      <c r="M498" s="419">
        <v>11531</v>
      </c>
      <c r="N498" s="419">
        <v>5048</v>
      </c>
      <c r="O498" s="419">
        <v>0</v>
      </c>
      <c r="P498" s="419">
        <v>0</v>
      </c>
      <c r="Q498" s="380">
        <v>6.8200000000000004E-5</v>
      </c>
      <c r="R498" s="380"/>
      <c r="S498" s="419">
        <v>-34261</v>
      </c>
      <c r="T498" s="419">
        <v>-33865</v>
      </c>
      <c r="U498" s="419">
        <v>-35577</v>
      </c>
      <c r="V498" s="419">
        <v>-45726</v>
      </c>
      <c r="W498" s="419">
        <v>0</v>
      </c>
      <c r="X498" s="380">
        <v>6.8200000000000004E-5</v>
      </c>
      <c r="Z498" s="419">
        <v>27321</v>
      </c>
      <c r="AA498" s="419">
        <v>19195</v>
      </c>
      <c r="AB498" s="419">
        <v>19194</v>
      </c>
      <c r="AC498" s="419">
        <v>0</v>
      </c>
      <c r="AD498" s="419">
        <v>0</v>
      </c>
      <c r="AE498" s="380">
        <v>6.8200000000000004E-5</v>
      </c>
      <c r="AF498" s="380"/>
      <c r="AG498" s="419">
        <v>4615</v>
      </c>
      <c r="AH498" s="419">
        <v>2955</v>
      </c>
      <c r="AI498" s="419">
        <v>0</v>
      </c>
      <c r="AJ498" s="419">
        <v>0</v>
      </c>
      <c r="AK498" s="419">
        <v>0</v>
      </c>
      <c r="AL498" s="380">
        <v>6.8200000000000004E-5</v>
      </c>
      <c r="AM498" s="380"/>
      <c r="AN498" s="419">
        <v>-2577</v>
      </c>
      <c r="AO498" s="419">
        <v>-2577</v>
      </c>
      <c r="AP498" s="419">
        <v>-2576</v>
      </c>
      <c r="AQ498" s="419">
        <v>0</v>
      </c>
      <c r="AR498" s="419">
        <v>0</v>
      </c>
    </row>
    <row r="499" spans="1:44">
      <c r="A499" s="379">
        <v>95171</v>
      </c>
      <c r="B499" t="s">
        <v>1204</v>
      </c>
      <c r="C499" s="380">
        <v>1.0009999999999999E-4</v>
      </c>
      <c r="D499" s="380"/>
      <c r="E499" s="419">
        <v>10630</v>
      </c>
      <c r="F499" s="419">
        <v>-6233</v>
      </c>
      <c r="G499" s="419">
        <v>-28970</v>
      </c>
      <c r="H499" s="419">
        <v>-67114</v>
      </c>
      <c r="I499" s="419">
        <v>0</v>
      </c>
      <c r="J499" s="380">
        <v>1.0009999999999999E-4</v>
      </c>
      <c r="K499" s="380"/>
      <c r="L499" s="419">
        <v>24505</v>
      </c>
      <c r="M499" s="419">
        <v>16924</v>
      </c>
      <c r="N499" s="419">
        <v>7409</v>
      </c>
      <c r="O499" s="419">
        <v>0</v>
      </c>
      <c r="P499" s="419">
        <v>0</v>
      </c>
      <c r="Q499" s="380">
        <v>1.0009999999999999E-4</v>
      </c>
      <c r="R499" s="380"/>
      <c r="S499" s="419">
        <v>-50287</v>
      </c>
      <c r="T499" s="419">
        <v>-49705</v>
      </c>
      <c r="U499" s="419">
        <v>-52217</v>
      </c>
      <c r="V499" s="419">
        <v>-67114</v>
      </c>
      <c r="W499" s="419">
        <v>0</v>
      </c>
      <c r="X499" s="380">
        <v>1.0009999999999999E-4</v>
      </c>
      <c r="Z499" s="419">
        <v>40100</v>
      </c>
      <c r="AA499" s="419">
        <v>28173</v>
      </c>
      <c r="AB499" s="419">
        <v>28172</v>
      </c>
      <c r="AC499" s="419">
        <v>0</v>
      </c>
      <c r="AD499" s="419">
        <v>0</v>
      </c>
      <c r="AE499" s="380">
        <v>1.0009999999999999E-4</v>
      </c>
      <c r="AF499" s="380"/>
      <c r="AG499" s="419">
        <v>10711</v>
      </c>
      <c r="AH499" s="419">
        <v>10711</v>
      </c>
      <c r="AI499" s="419">
        <v>0</v>
      </c>
      <c r="AJ499" s="419">
        <v>0</v>
      </c>
      <c r="AK499" s="419">
        <v>0</v>
      </c>
      <c r="AL499" s="380">
        <v>1.0009999999999999E-4</v>
      </c>
      <c r="AM499" s="380"/>
      <c r="AN499" s="419">
        <v>-14399</v>
      </c>
      <c r="AO499" s="419">
        <v>-12336</v>
      </c>
      <c r="AP499" s="419">
        <v>-12334</v>
      </c>
      <c r="AQ499" s="419">
        <v>0</v>
      </c>
      <c r="AR499" s="419">
        <v>0</v>
      </c>
    </row>
    <row r="500" spans="1:44">
      <c r="A500" s="379">
        <v>95181</v>
      </c>
      <c r="B500" t="s">
        <v>1205</v>
      </c>
      <c r="C500" s="380">
        <v>7.36E-5</v>
      </c>
      <c r="D500" s="380"/>
      <c r="E500" s="419">
        <v>12637</v>
      </c>
      <c r="F500" s="419">
        <v>-345</v>
      </c>
      <c r="G500" s="419">
        <v>-11249</v>
      </c>
      <c r="H500" s="419">
        <v>-49347</v>
      </c>
      <c r="I500" s="419">
        <v>0</v>
      </c>
      <c r="J500" s="380">
        <v>7.36E-5</v>
      </c>
      <c r="K500" s="380"/>
      <c r="L500" s="419">
        <v>18018</v>
      </c>
      <c r="M500" s="419">
        <v>12444</v>
      </c>
      <c r="N500" s="419">
        <v>5447</v>
      </c>
      <c r="O500" s="419">
        <v>0</v>
      </c>
      <c r="P500" s="419">
        <v>0</v>
      </c>
      <c r="Q500" s="380">
        <v>7.36E-5</v>
      </c>
      <c r="R500" s="380"/>
      <c r="S500" s="419">
        <v>-36974</v>
      </c>
      <c r="T500" s="419">
        <v>-36546</v>
      </c>
      <c r="U500" s="419">
        <v>-38394</v>
      </c>
      <c r="V500" s="419">
        <v>-49347</v>
      </c>
      <c r="W500" s="419">
        <v>0</v>
      </c>
      <c r="X500" s="380">
        <v>7.36E-5</v>
      </c>
      <c r="Z500" s="419">
        <v>29484</v>
      </c>
      <c r="AA500" s="419">
        <v>20714</v>
      </c>
      <c r="AB500" s="419">
        <v>20714</v>
      </c>
      <c r="AC500" s="419">
        <v>0</v>
      </c>
      <c r="AD500" s="419">
        <v>0</v>
      </c>
      <c r="AE500" s="380">
        <v>7.36E-5</v>
      </c>
      <c r="AF500" s="380"/>
      <c r="AG500" s="419">
        <v>6131</v>
      </c>
      <c r="AH500" s="419">
        <v>6132</v>
      </c>
      <c r="AI500" s="419">
        <v>984</v>
      </c>
      <c r="AJ500" s="419">
        <v>0</v>
      </c>
      <c r="AK500" s="419">
        <v>0</v>
      </c>
      <c r="AL500" s="380">
        <v>7.36E-5</v>
      </c>
      <c r="AM500" s="380"/>
      <c r="AN500" s="419">
        <v>-4022</v>
      </c>
      <c r="AO500" s="419">
        <v>-3089</v>
      </c>
      <c r="AP500" s="419">
        <v>0</v>
      </c>
      <c r="AQ500" s="419">
        <v>0</v>
      </c>
      <c r="AR500" s="419">
        <v>0</v>
      </c>
    </row>
    <row r="501" spans="1:44">
      <c r="A501" s="379">
        <v>95191</v>
      </c>
      <c r="B501" t="s">
        <v>1206</v>
      </c>
      <c r="C501" s="380">
        <v>7.0400000000000004E-5</v>
      </c>
      <c r="D501" s="380"/>
      <c r="E501" s="419">
        <v>21953</v>
      </c>
      <c r="F501" s="419">
        <v>7829</v>
      </c>
      <c r="G501" s="419">
        <v>-9145</v>
      </c>
      <c r="H501" s="419">
        <v>-47201</v>
      </c>
      <c r="I501" s="419">
        <v>0</v>
      </c>
      <c r="J501" s="380">
        <v>7.0400000000000004E-5</v>
      </c>
      <c r="K501" s="380"/>
      <c r="L501" s="419">
        <v>17234</v>
      </c>
      <c r="M501" s="419">
        <v>11903</v>
      </c>
      <c r="N501" s="419">
        <v>5210</v>
      </c>
      <c r="O501" s="419">
        <v>0</v>
      </c>
      <c r="P501" s="419">
        <v>0</v>
      </c>
      <c r="Q501" s="380">
        <v>7.0400000000000004E-5</v>
      </c>
      <c r="R501" s="380"/>
      <c r="S501" s="419">
        <v>-35367</v>
      </c>
      <c r="T501" s="419">
        <v>-34957</v>
      </c>
      <c r="U501" s="419">
        <v>-36724</v>
      </c>
      <c r="V501" s="419">
        <v>-47201</v>
      </c>
      <c r="W501" s="419">
        <v>0</v>
      </c>
      <c r="X501" s="380">
        <v>7.0400000000000004E-5</v>
      </c>
      <c r="Z501" s="419">
        <v>28202</v>
      </c>
      <c r="AA501" s="419">
        <v>19814</v>
      </c>
      <c r="AB501" s="419">
        <v>19814</v>
      </c>
      <c r="AC501" s="419">
        <v>0</v>
      </c>
      <c r="AD501" s="419">
        <v>0</v>
      </c>
      <c r="AE501" s="380">
        <v>7.0400000000000004E-5</v>
      </c>
      <c r="AF501" s="380"/>
      <c r="AG501" s="419">
        <v>11884</v>
      </c>
      <c r="AH501" s="419">
        <v>11069</v>
      </c>
      <c r="AI501" s="419">
        <v>2555</v>
      </c>
      <c r="AJ501" s="419">
        <v>0</v>
      </c>
      <c r="AK501" s="419">
        <v>0</v>
      </c>
      <c r="AL501" s="380">
        <v>7.0400000000000004E-5</v>
      </c>
      <c r="AM501" s="380"/>
      <c r="AN501" s="419">
        <v>0</v>
      </c>
      <c r="AO501" s="419">
        <v>0</v>
      </c>
      <c r="AP501" s="419">
        <v>0</v>
      </c>
      <c r="AQ501" s="419">
        <v>0</v>
      </c>
      <c r="AR501" s="419">
        <v>0</v>
      </c>
    </row>
    <row r="502" spans="1:44">
      <c r="A502" s="379">
        <v>95201</v>
      </c>
      <c r="B502" t="s">
        <v>1207</v>
      </c>
      <c r="C502" s="380">
        <v>6.3869999999999997E-4</v>
      </c>
      <c r="D502" s="380"/>
      <c r="E502" s="419">
        <v>49357</v>
      </c>
      <c r="F502" s="419">
        <v>-66249</v>
      </c>
      <c r="G502" s="419">
        <v>-147004</v>
      </c>
      <c r="H502" s="419">
        <v>-428232</v>
      </c>
      <c r="I502" s="419">
        <v>0</v>
      </c>
      <c r="J502" s="380">
        <v>6.3869999999999997E-4</v>
      </c>
      <c r="K502" s="380"/>
      <c r="L502" s="419">
        <v>156359</v>
      </c>
      <c r="M502" s="419">
        <v>107986</v>
      </c>
      <c r="N502" s="419">
        <v>47271</v>
      </c>
      <c r="O502" s="419">
        <v>0</v>
      </c>
      <c r="P502" s="419">
        <v>0</v>
      </c>
      <c r="Q502" s="380">
        <v>6.3869999999999997E-4</v>
      </c>
      <c r="R502" s="380"/>
      <c r="S502" s="419">
        <v>-320862</v>
      </c>
      <c r="T502" s="419">
        <v>-317150</v>
      </c>
      <c r="U502" s="419">
        <v>-333178</v>
      </c>
      <c r="V502" s="419">
        <v>-428232</v>
      </c>
      <c r="W502" s="419">
        <v>0</v>
      </c>
      <c r="X502" s="380">
        <v>6.3869999999999997E-4</v>
      </c>
      <c r="Z502" s="419">
        <v>255864</v>
      </c>
      <c r="AA502" s="419">
        <v>179759</v>
      </c>
      <c r="AB502" s="419">
        <v>179758</v>
      </c>
      <c r="AC502" s="419">
        <v>0</v>
      </c>
      <c r="AD502" s="419">
        <v>0</v>
      </c>
      <c r="AE502" s="380">
        <v>6.3869999999999997E-4</v>
      </c>
      <c r="AF502" s="380"/>
      <c r="AG502" s="419">
        <v>14417</v>
      </c>
      <c r="AH502" s="419">
        <v>14417</v>
      </c>
      <c r="AI502" s="419">
        <v>0</v>
      </c>
      <c r="AJ502" s="419">
        <v>0</v>
      </c>
      <c r="AK502" s="419">
        <v>0</v>
      </c>
      <c r="AL502" s="380">
        <v>6.3869999999999997E-4</v>
      </c>
      <c r="AM502" s="380"/>
      <c r="AN502" s="419">
        <v>-56421</v>
      </c>
      <c r="AO502" s="419">
        <v>-51261</v>
      </c>
      <c r="AP502" s="419">
        <v>-40855</v>
      </c>
      <c r="AQ502" s="419">
        <v>0</v>
      </c>
      <c r="AR502" s="419">
        <v>0</v>
      </c>
    </row>
    <row r="503" spans="1:44">
      <c r="A503" s="379">
        <v>95204</v>
      </c>
      <c r="B503" t="s">
        <v>1208</v>
      </c>
      <c r="C503" s="380">
        <v>4.7999999999999998E-6</v>
      </c>
      <c r="D503" s="380"/>
      <c r="E503" s="419">
        <v>-207</v>
      </c>
      <c r="F503" s="419">
        <v>-1043</v>
      </c>
      <c r="G503" s="419">
        <v>-2798</v>
      </c>
      <c r="H503" s="419">
        <v>-3218</v>
      </c>
      <c r="I503" s="419">
        <v>0</v>
      </c>
      <c r="J503" s="380">
        <v>4.7999999999999998E-6</v>
      </c>
      <c r="K503" s="380"/>
      <c r="L503" s="419">
        <v>1175</v>
      </c>
      <c r="M503" s="419">
        <v>812</v>
      </c>
      <c r="N503" s="419">
        <v>355</v>
      </c>
      <c r="O503" s="419">
        <v>0</v>
      </c>
      <c r="P503" s="419">
        <v>0</v>
      </c>
      <c r="Q503" s="380">
        <v>4.7999999999999998E-6</v>
      </c>
      <c r="R503" s="380"/>
      <c r="S503" s="419">
        <v>-2411</v>
      </c>
      <c r="T503" s="419">
        <v>-2383</v>
      </c>
      <c r="U503" s="419">
        <v>-2504</v>
      </c>
      <c r="V503" s="419">
        <v>-3218</v>
      </c>
      <c r="W503" s="419">
        <v>0</v>
      </c>
      <c r="X503" s="380">
        <v>4.7999999999999998E-6</v>
      </c>
      <c r="Z503" s="419">
        <v>1923</v>
      </c>
      <c r="AA503" s="419">
        <v>1351</v>
      </c>
      <c r="AB503" s="419">
        <v>1351</v>
      </c>
      <c r="AC503" s="419">
        <v>0</v>
      </c>
      <c r="AD503" s="419">
        <v>0</v>
      </c>
      <c r="AE503" s="380">
        <v>4.7999999999999998E-6</v>
      </c>
      <c r="AF503" s="380"/>
      <c r="AG503" s="419">
        <v>1642</v>
      </c>
      <c r="AH503" s="419">
        <v>1643</v>
      </c>
      <c r="AI503" s="419">
        <v>0</v>
      </c>
      <c r="AJ503" s="419">
        <v>0</v>
      </c>
      <c r="AK503" s="419">
        <v>0</v>
      </c>
      <c r="AL503" s="380">
        <v>4.7999999999999998E-6</v>
      </c>
      <c r="AM503" s="380"/>
      <c r="AN503" s="419">
        <v>-2536</v>
      </c>
      <c r="AO503" s="419">
        <v>-2466</v>
      </c>
      <c r="AP503" s="419">
        <v>-2000</v>
      </c>
      <c r="AQ503" s="419">
        <v>0</v>
      </c>
      <c r="AR503" s="419">
        <v>0</v>
      </c>
    </row>
    <row r="504" spans="1:44">
      <c r="A504" s="379">
        <v>95205</v>
      </c>
      <c r="B504" t="s">
        <v>1209</v>
      </c>
      <c r="C504" s="380">
        <v>3.8999999999999999E-6</v>
      </c>
      <c r="D504" s="380"/>
      <c r="E504" s="419">
        <v>1949</v>
      </c>
      <c r="F504" s="419">
        <v>1450</v>
      </c>
      <c r="G504" s="419">
        <v>106</v>
      </c>
      <c r="H504" s="419">
        <v>-2615</v>
      </c>
      <c r="I504" s="419">
        <v>0</v>
      </c>
      <c r="J504" s="380">
        <v>3.8999999999999999E-6</v>
      </c>
      <c r="K504" s="380"/>
      <c r="L504" s="419">
        <v>955</v>
      </c>
      <c r="M504" s="419">
        <v>659</v>
      </c>
      <c r="N504" s="419">
        <v>289</v>
      </c>
      <c r="O504" s="419">
        <v>0</v>
      </c>
      <c r="P504" s="419">
        <v>0</v>
      </c>
      <c r="Q504" s="380">
        <v>3.8999999999999999E-6</v>
      </c>
      <c r="R504" s="380"/>
      <c r="S504" s="419">
        <v>-1959</v>
      </c>
      <c r="T504" s="419">
        <v>-1937</v>
      </c>
      <c r="U504" s="419">
        <v>-2034</v>
      </c>
      <c r="V504" s="419">
        <v>-2615</v>
      </c>
      <c r="W504" s="419">
        <v>0</v>
      </c>
      <c r="X504" s="380">
        <v>3.8999999999999999E-6</v>
      </c>
      <c r="Z504" s="419">
        <v>1562</v>
      </c>
      <c r="AA504" s="419">
        <v>1098</v>
      </c>
      <c r="AB504" s="419">
        <v>1098</v>
      </c>
      <c r="AC504" s="419">
        <v>0</v>
      </c>
      <c r="AD504" s="419">
        <v>0</v>
      </c>
      <c r="AE504" s="380">
        <v>3.8999999999999999E-6</v>
      </c>
      <c r="AF504" s="380"/>
      <c r="AG504" s="419">
        <v>1629</v>
      </c>
      <c r="AH504" s="419">
        <v>1630</v>
      </c>
      <c r="AI504" s="419">
        <v>753</v>
      </c>
      <c r="AJ504" s="419">
        <v>0</v>
      </c>
      <c r="AK504" s="419">
        <v>0</v>
      </c>
      <c r="AL504" s="380">
        <v>3.8999999999999999E-6</v>
      </c>
      <c r="AM504" s="380"/>
      <c r="AN504" s="419">
        <v>-238</v>
      </c>
      <c r="AO504" s="419">
        <v>0</v>
      </c>
      <c r="AP504" s="419">
        <v>0</v>
      </c>
      <c r="AQ504" s="419">
        <v>0</v>
      </c>
      <c r="AR504" s="419">
        <v>0</v>
      </c>
    </row>
    <row r="505" spans="1:44">
      <c r="A505" s="379">
        <v>95211</v>
      </c>
      <c r="B505" t="s">
        <v>1210</v>
      </c>
      <c r="C505" s="380">
        <v>1.7E-6</v>
      </c>
      <c r="D505" s="380"/>
      <c r="E505" s="419">
        <v>-1025</v>
      </c>
      <c r="F505" s="419">
        <v>-959</v>
      </c>
      <c r="G505" s="419">
        <v>-27</v>
      </c>
      <c r="H505" s="419">
        <v>-1140</v>
      </c>
      <c r="I505" s="419">
        <v>0</v>
      </c>
      <c r="J505" s="380">
        <v>1.7E-6</v>
      </c>
      <c r="K505" s="380"/>
      <c r="L505" s="419">
        <v>416</v>
      </c>
      <c r="M505" s="419">
        <v>287</v>
      </c>
      <c r="N505" s="419">
        <v>126</v>
      </c>
      <c r="O505" s="419">
        <v>0</v>
      </c>
      <c r="P505" s="419">
        <v>0</v>
      </c>
      <c r="Q505" s="380">
        <v>1.7E-6</v>
      </c>
      <c r="R505" s="380"/>
      <c r="S505" s="419">
        <v>-854</v>
      </c>
      <c r="T505" s="419">
        <v>-844</v>
      </c>
      <c r="U505" s="419">
        <v>-887</v>
      </c>
      <c r="V505" s="419">
        <v>-1140</v>
      </c>
      <c r="W505" s="419">
        <v>0</v>
      </c>
      <c r="X505" s="380">
        <v>1.7E-6</v>
      </c>
      <c r="Z505" s="419">
        <v>681</v>
      </c>
      <c r="AA505" s="419">
        <v>478</v>
      </c>
      <c r="AB505" s="419">
        <v>478</v>
      </c>
      <c r="AC505" s="419">
        <v>0</v>
      </c>
      <c r="AD505" s="419">
        <v>0</v>
      </c>
      <c r="AE505" s="380">
        <v>1.7E-6</v>
      </c>
      <c r="AF505" s="380"/>
      <c r="AG505" s="419">
        <v>272</v>
      </c>
      <c r="AH505" s="419">
        <v>273</v>
      </c>
      <c r="AI505" s="419">
        <v>256</v>
      </c>
      <c r="AJ505" s="419">
        <v>0</v>
      </c>
      <c r="AK505" s="419">
        <v>0</v>
      </c>
      <c r="AL505" s="380">
        <v>1.7E-6</v>
      </c>
      <c r="AM505" s="380"/>
      <c r="AN505" s="419">
        <v>-1540</v>
      </c>
      <c r="AO505" s="419">
        <v>-1153</v>
      </c>
      <c r="AP505" s="419">
        <v>0</v>
      </c>
      <c r="AQ505" s="419">
        <v>0</v>
      </c>
      <c r="AR505" s="419">
        <v>0</v>
      </c>
    </row>
    <row r="506" spans="1:44">
      <c r="A506" s="379">
        <v>95221</v>
      </c>
      <c r="B506" t="s">
        <v>1211</v>
      </c>
      <c r="C506" s="380">
        <v>5.0599999999999997E-5</v>
      </c>
      <c r="D506" s="380"/>
      <c r="E506" s="419">
        <v>5240</v>
      </c>
      <c r="F506" s="419">
        <v>-5942</v>
      </c>
      <c r="G506" s="419">
        <v>-4838</v>
      </c>
      <c r="H506" s="419">
        <v>-33926</v>
      </c>
      <c r="I506" s="419">
        <v>0</v>
      </c>
      <c r="J506" s="380">
        <v>5.0599999999999997E-5</v>
      </c>
      <c r="K506" s="380"/>
      <c r="L506" s="419">
        <v>12387</v>
      </c>
      <c r="M506" s="419">
        <v>8555</v>
      </c>
      <c r="N506" s="419">
        <v>3745</v>
      </c>
      <c r="O506" s="419">
        <v>0</v>
      </c>
      <c r="P506" s="419">
        <v>0</v>
      </c>
      <c r="Q506" s="380">
        <v>5.0599999999999997E-5</v>
      </c>
      <c r="R506" s="380"/>
      <c r="S506" s="419">
        <v>-25420</v>
      </c>
      <c r="T506" s="419">
        <v>-25126</v>
      </c>
      <c r="U506" s="419">
        <v>-26396</v>
      </c>
      <c r="V506" s="419">
        <v>-33926</v>
      </c>
      <c r="W506" s="419">
        <v>0</v>
      </c>
      <c r="X506" s="380">
        <v>5.0599999999999997E-5</v>
      </c>
      <c r="Z506" s="419">
        <v>20270</v>
      </c>
      <c r="AA506" s="419">
        <v>14241</v>
      </c>
      <c r="AB506" s="419">
        <v>14241</v>
      </c>
      <c r="AC506" s="419">
        <v>0</v>
      </c>
      <c r="AD506" s="419">
        <v>0</v>
      </c>
      <c r="AE506" s="380">
        <v>5.0599999999999997E-5</v>
      </c>
      <c r="AF506" s="380"/>
      <c r="AG506" s="419">
        <v>5186</v>
      </c>
      <c r="AH506" s="419">
        <v>3571</v>
      </c>
      <c r="AI506" s="419">
        <v>3572</v>
      </c>
      <c r="AJ506" s="419">
        <v>0</v>
      </c>
      <c r="AK506" s="419">
        <v>0</v>
      </c>
      <c r="AL506" s="380">
        <v>5.0599999999999997E-5</v>
      </c>
      <c r="AM506" s="380"/>
      <c r="AN506" s="419">
        <v>-7183</v>
      </c>
      <c r="AO506" s="419">
        <v>-7183</v>
      </c>
      <c r="AP506" s="419">
        <v>0</v>
      </c>
      <c r="AQ506" s="419">
        <v>0</v>
      </c>
      <c r="AR506" s="419">
        <v>0</v>
      </c>
    </row>
    <row r="507" spans="1:44">
      <c r="A507" s="379">
        <v>95301</v>
      </c>
      <c r="B507" t="s">
        <v>1212</v>
      </c>
      <c r="C507" s="380">
        <v>2.2288999999999998E-3</v>
      </c>
      <c r="D507" s="380"/>
      <c r="E507" s="419">
        <v>378762</v>
      </c>
      <c r="F507" s="419">
        <v>-36361</v>
      </c>
      <c r="G507" s="419">
        <v>-332754</v>
      </c>
      <c r="H507" s="419">
        <v>-1494419</v>
      </c>
      <c r="I507" s="419">
        <v>0</v>
      </c>
      <c r="J507" s="380">
        <v>2.2288999999999998E-3</v>
      </c>
      <c r="K507" s="380"/>
      <c r="L507" s="419">
        <v>545653</v>
      </c>
      <c r="M507" s="419">
        <v>376845</v>
      </c>
      <c r="N507" s="419">
        <v>164965</v>
      </c>
      <c r="O507" s="419">
        <v>0</v>
      </c>
      <c r="P507" s="419">
        <v>0</v>
      </c>
      <c r="Q507" s="380">
        <v>2.2288999999999998E-3</v>
      </c>
      <c r="R507" s="380"/>
      <c r="S507" s="419">
        <v>-1119728</v>
      </c>
      <c r="T507" s="419">
        <v>-1106771</v>
      </c>
      <c r="U507" s="419">
        <v>-1162708</v>
      </c>
      <c r="V507" s="419">
        <v>-1494419</v>
      </c>
      <c r="W507" s="419">
        <v>0</v>
      </c>
      <c r="X507" s="380">
        <v>2.2288999999999998E-3</v>
      </c>
      <c r="Z507" s="419">
        <v>892902</v>
      </c>
      <c r="AA507" s="419">
        <v>627313</v>
      </c>
      <c r="AB507" s="419">
        <v>627308</v>
      </c>
      <c r="AC507" s="419">
        <v>0</v>
      </c>
      <c r="AD507" s="419">
        <v>0</v>
      </c>
      <c r="AE507" s="380">
        <v>2.2288999999999998E-3</v>
      </c>
      <c r="AF507" s="380"/>
      <c r="AG507" s="419">
        <v>87592</v>
      </c>
      <c r="AH507" s="419">
        <v>87592</v>
      </c>
      <c r="AI507" s="419">
        <v>37681</v>
      </c>
      <c r="AJ507" s="419">
        <v>0</v>
      </c>
      <c r="AK507" s="419">
        <v>0</v>
      </c>
      <c r="AL507" s="380">
        <v>2.2288999999999998E-3</v>
      </c>
      <c r="AM507" s="380"/>
      <c r="AN507" s="419">
        <v>-27657</v>
      </c>
      <c r="AO507" s="419">
        <v>-21340</v>
      </c>
      <c r="AP507" s="419">
        <v>0</v>
      </c>
      <c r="AQ507" s="419">
        <v>0</v>
      </c>
      <c r="AR507" s="419">
        <v>0</v>
      </c>
    </row>
    <row r="508" spans="1:44">
      <c r="A508" s="379">
        <v>95311</v>
      </c>
      <c r="B508" t="s">
        <v>1213</v>
      </c>
      <c r="C508" s="380">
        <v>2.3481000000000001E-3</v>
      </c>
      <c r="D508" s="380"/>
      <c r="E508" s="419">
        <v>289089</v>
      </c>
      <c r="F508" s="419">
        <v>-157969</v>
      </c>
      <c r="G508" s="419">
        <v>-409969</v>
      </c>
      <c r="H508" s="419">
        <v>-1574340</v>
      </c>
      <c r="I508" s="419">
        <v>0</v>
      </c>
      <c r="J508" s="380">
        <v>2.3481000000000001E-3</v>
      </c>
      <c r="K508" s="380"/>
      <c r="L508" s="419">
        <v>574834</v>
      </c>
      <c r="M508" s="419">
        <v>396998</v>
      </c>
      <c r="N508" s="419">
        <v>173788</v>
      </c>
      <c r="O508" s="419">
        <v>0</v>
      </c>
      <c r="P508" s="419">
        <v>0</v>
      </c>
      <c r="Q508" s="380">
        <v>2.3481000000000001E-3</v>
      </c>
      <c r="R508" s="380"/>
      <c r="S508" s="419">
        <v>-1179610</v>
      </c>
      <c r="T508" s="419">
        <v>-1165961</v>
      </c>
      <c r="U508" s="419">
        <v>-1224889</v>
      </c>
      <c r="V508" s="419">
        <v>-1574340</v>
      </c>
      <c r="W508" s="419">
        <v>0</v>
      </c>
      <c r="X508" s="380">
        <v>2.3481000000000001E-3</v>
      </c>
      <c r="Z508" s="419">
        <v>940654</v>
      </c>
      <c r="AA508" s="419">
        <v>660861</v>
      </c>
      <c r="AB508" s="419">
        <v>660856</v>
      </c>
      <c r="AC508" s="419">
        <v>0</v>
      </c>
      <c r="AD508" s="419">
        <v>0</v>
      </c>
      <c r="AE508" s="380">
        <v>2.3481000000000001E-3</v>
      </c>
      <c r="AF508" s="380"/>
      <c r="AG508" s="419">
        <v>3095</v>
      </c>
      <c r="AH508" s="419">
        <v>18</v>
      </c>
      <c r="AI508" s="419">
        <v>0</v>
      </c>
      <c r="AJ508" s="419">
        <v>0</v>
      </c>
      <c r="AK508" s="419">
        <v>0</v>
      </c>
      <c r="AL508" s="380">
        <v>2.3481000000000001E-3</v>
      </c>
      <c r="AM508" s="380"/>
      <c r="AN508" s="419">
        <v>-49884</v>
      </c>
      <c r="AO508" s="419">
        <v>-49885</v>
      </c>
      <c r="AP508" s="419">
        <v>-19724</v>
      </c>
      <c r="AQ508" s="419">
        <v>0</v>
      </c>
      <c r="AR508" s="419">
        <v>0</v>
      </c>
    </row>
    <row r="509" spans="1:44">
      <c r="A509" s="379">
        <v>95317</v>
      </c>
      <c r="B509" t="s">
        <v>1214</v>
      </c>
      <c r="C509" s="380">
        <v>4.3699999999999998E-5</v>
      </c>
      <c r="D509" s="380"/>
      <c r="E509" s="419">
        <v>15696</v>
      </c>
      <c r="F509" s="419">
        <v>7181</v>
      </c>
      <c r="G509" s="419">
        <v>-2082</v>
      </c>
      <c r="H509" s="419">
        <v>-29300</v>
      </c>
      <c r="I509" s="419">
        <v>0</v>
      </c>
      <c r="J509" s="380">
        <v>4.3699999999999998E-5</v>
      </c>
      <c r="K509" s="380"/>
      <c r="L509" s="419">
        <v>10698</v>
      </c>
      <c r="M509" s="419">
        <v>7388</v>
      </c>
      <c r="N509" s="419">
        <v>3234</v>
      </c>
      <c r="O509" s="419">
        <v>0</v>
      </c>
      <c r="P509" s="419">
        <v>0</v>
      </c>
      <c r="Q509" s="380">
        <v>4.3699999999999998E-5</v>
      </c>
      <c r="R509" s="380"/>
      <c r="S509" s="419">
        <v>-21953</v>
      </c>
      <c r="T509" s="419">
        <v>-21699</v>
      </c>
      <c r="U509" s="419">
        <v>-22796</v>
      </c>
      <c r="V509" s="419">
        <v>-29300</v>
      </c>
      <c r="W509" s="419">
        <v>0</v>
      </c>
      <c r="X509" s="380">
        <v>4.3699999999999998E-5</v>
      </c>
      <c r="Z509" s="419">
        <v>17506</v>
      </c>
      <c r="AA509" s="419">
        <v>12299</v>
      </c>
      <c r="AB509" s="419">
        <v>12299</v>
      </c>
      <c r="AC509" s="419">
        <v>0</v>
      </c>
      <c r="AD509" s="419">
        <v>0</v>
      </c>
      <c r="AE509" s="380">
        <v>4.3699999999999998E-5</v>
      </c>
      <c r="AF509" s="380"/>
      <c r="AG509" s="419">
        <v>9445</v>
      </c>
      <c r="AH509" s="419">
        <v>9193</v>
      </c>
      <c r="AI509" s="419">
        <v>5181</v>
      </c>
      <c r="AJ509" s="419">
        <v>0</v>
      </c>
      <c r="AK509" s="419">
        <v>0</v>
      </c>
      <c r="AL509" s="380">
        <v>4.3699999999999998E-5</v>
      </c>
      <c r="AM509" s="380"/>
      <c r="AN509" s="419">
        <v>0</v>
      </c>
      <c r="AO509" s="419">
        <v>0</v>
      </c>
      <c r="AP509" s="419">
        <v>0</v>
      </c>
      <c r="AQ509" s="419">
        <v>0</v>
      </c>
      <c r="AR509" s="419">
        <v>0</v>
      </c>
    </row>
    <row r="510" spans="1:44">
      <c r="A510" s="379">
        <v>95321</v>
      </c>
      <c r="B510" t="s">
        <v>1215</v>
      </c>
      <c r="C510" s="380">
        <v>3.65E-5</v>
      </c>
      <c r="D510" s="380"/>
      <c r="E510" s="419">
        <v>6772</v>
      </c>
      <c r="F510" s="419">
        <v>-1409</v>
      </c>
      <c r="G510" s="419">
        <v>-6106</v>
      </c>
      <c r="H510" s="419">
        <v>-24472</v>
      </c>
      <c r="I510" s="419">
        <v>0</v>
      </c>
      <c r="J510" s="380">
        <v>3.65E-5</v>
      </c>
      <c r="K510" s="380"/>
      <c r="L510" s="419">
        <v>8935</v>
      </c>
      <c r="M510" s="419">
        <v>6171</v>
      </c>
      <c r="N510" s="419">
        <v>2701</v>
      </c>
      <c r="O510" s="419">
        <v>0</v>
      </c>
      <c r="P510" s="419">
        <v>0</v>
      </c>
      <c r="Q510" s="380">
        <v>3.65E-5</v>
      </c>
      <c r="R510" s="380"/>
      <c r="S510" s="419">
        <v>-18336</v>
      </c>
      <c r="T510" s="419">
        <v>-18124</v>
      </c>
      <c r="U510" s="419">
        <v>-19040</v>
      </c>
      <c r="V510" s="419">
        <v>-24472</v>
      </c>
      <c r="W510" s="419">
        <v>0</v>
      </c>
      <c r="X510" s="380">
        <v>3.65E-5</v>
      </c>
      <c r="Z510" s="419">
        <v>14622</v>
      </c>
      <c r="AA510" s="419">
        <v>10273</v>
      </c>
      <c r="AB510" s="419">
        <v>10273</v>
      </c>
      <c r="AC510" s="419">
        <v>0</v>
      </c>
      <c r="AD510" s="419">
        <v>0</v>
      </c>
      <c r="AE510" s="380">
        <v>3.65E-5</v>
      </c>
      <c r="AF510" s="380"/>
      <c r="AG510" s="419">
        <v>1590</v>
      </c>
      <c r="AH510" s="419">
        <v>310</v>
      </c>
      <c r="AI510" s="419">
        <v>0</v>
      </c>
      <c r="AJ510" s="419">
        <v>0</v>
      </c>
      <c r="AK510" s="419">
        <v>0</v>
      </c>
      <c r="AL510" s="380">
        <v>3.65E-5</v>
      </c>
      <c r="AM510" s="380"/>
      <c r="AN510" s="419">
        <v>-39</v>
      </c>
      <c r="AO510" s="419">
        <v>-39</v>
      </c>
      <c r="AP510" s="419">
        <v>-40</v>
      </c>
      <c r="AQ510" s="419">
        <v>0</v>
      </c>
      <c r="AR510" s="419">
        <v>0</v>
      </c>
    </row>
    <row r="511" spans="1:44">
      <c r="A511" s="379">
        <v>95401</v>
      </c>
      <c r="B511" t="s">
        <v>1216</v>
      </c>
      <c r="C511" s="380">
        <v>2.5170000000000001E-3</v>
      </c>
      <c r="D511" s="380"/>
      <c r="E511" s="419">
        <v>125637</v>
      </c>
      <c r="F511" s="419">
        <v>-320830</v>
      </c>
      <c r="G511" s="419">
        <v>-506790</v>
      </c>
      <c r="H511" s="419">
        <v>-1687583</v>
      </c>
      <c r="I511" s="419">
        <v>0</v>
      </c>
      <c r="J511" s="380">
        <v>2.5170000000000001E-3</v>
      </c>
      <c r="K511" s="380"/>
      <c r="L511" s="419">
        <v>616182</v>
      </c>
      <c r="M511" s="419">
        <v>425554</v>
      </c>
      <c r="N511" s="419">
        <v>186288</v>
      </c>
      <c r="O511" s="419">
        <v>0</v>
      </c>
      <c r="P511" s="419">
        <v>0</v>
      </c>
      <c r="Q511" s="380">
        <v>2.5170000000000001E-3</v>
      </c>
      <c r="R511" s="380"/>
      <c r="S511" s="419">
        <v>-1264460</v>
      </c>
      <c r="T511" s="419">
        <v>-1249829</v>
      </c>
      <c r="U511" s="419">
        <v>-1312996</v>
      </c>
      <c r="V511" s="419">
        <v>-1687583</v>
      </c>
      <c r="W511" s="419">
        <v>0</v>
      </c>
      <c r="X511" s="380">
        <v>2.5170000000000001E-3</v>
      </c>
      <c r="Z511" s="419">
        <v>1008315</v>
      </c>
      <c r="AA511" s="419">
        <v>708397</v>
      </c>
      <c r="AB511" s="419">
        <v>708392</v>
      </c>
      <c r="AC511" s="419">
        <v>0</v>
      </c>
      <c r="AD511" s="419">
        <v>0</v>
      </c>
      <c r="AE511" s="380">
        <v>2.5170000000000001E-3</v>
      </c>
      <c r="AF511" s="380"/>
      <c r="AG511" s="419">
        <v>0</v>
      </c>
      <c r="AH511" s="419">
        <v>0</v>
      </c>
      <c r="AI511" s="419">
        <v>0</v>
      </c>
      <c r="AJ511" s="419">
        <v>0</v>
      </c>
      <c r="AK511" s="419">
        <v>0</v>
      </c>
      <c r="AL511" s="380">
        <v>2.5170000000000001E-3</v>
      </c>
      <c r="AM511" s="380"/>
      <c r="AN511" s="419">
        <v>-234400</v>
      </c>
      <c r="AO511" s="419">
        <v>-204952</v>
      </c>
      <c r="AP511" s="419">
        <v>-88474</v>
      </c>
      <c r="AQ511" s="419">
        <v>0</v>
      </c>
      <c r="AR511" s="419">
        <v>0</v>
      </c>
    </row>
    <row r="512" spans="1:44">
      <c r="A512" s="379">
        <v>95404</v>
      </c>
      <c r="B512" t="s">
        <v>1217</v>
      </c>
      <c r="C512" s="380">
        <v>4.6900000000000002E-5</v>
      </c>
      <c r="D512" s="380"/>
      <c r="E512" s="419">
        <v>5398</v>
      </c>
      <c r="F512" s="419">
        <v>-2636</v>
      </c>
      <c r="G512" s="419">
        <v>-8976</v>
      </c>
      <c r="H512" s="419">
        <v>-31445</v>
      </c>
      <c r="I512" s="419">
        <v>0</v>
      </c>
      <c r="J512" s="380">
        <v>4.6900000000000002E-5</v>
      </c>
      <c r="K512" s="380"/>
      <c r="L512" s="419">
        <v>11481</v>
      </c>
      <c r="M512" s="419">
        <v>7929</v>
      </c>
      <c r="N512" s="419">
        <v>3471</v>
      </c>
      <c r="O512" s="419">
        <v>0</v>
      </c>
      <c r="P512" s="419">
        <v>0</v>
      </c>
      <c r="Q512" s="380">
        <v>4.6900000000000002E-5</v>
      </c>
      <c r="R512" s="380"/>
      <c r="S512" s="419">
        <v>-23561</v>
      </c>
      <c r="T512" s="419">
        <v>-23288</v>
      </c>
      <c r="U512" s="419">
        <v>-24465</v>
      </c>
      <c r="V512" s="419">
        <v>-31445</v>
      </c>
      <c r="W512" s="419">
        <v>0</v>
      </c>
      <c r="X512" s="380">
        <v>4.6900000000000002E-5</v>
      </c>
      <c r="Z512" s="419">
        <v>18788</v>
      </c>
      <c r="AA512" s="419">
        <v>13200</v>
      </c>
      <c r="AB512" s="419">
        <v>13200</v>
      </c>
      <c r="AC512" s="419">
        <v>0</v>
      </c>
      <c r="AD512" s="419">
        <v>0</v>
      </c>
      <c r="AE512" s="380">
        <v>4.6900000000000002E-5</v>
      </c>
      <c r="AF512" s="380"/>
      <c r="AG512" s="419">
        <v>1709</v>
      </c>
      <c r="AH512" s="419">
        <v>1710</v>
      </c>
      <c r="AI512" s="419">
        <v>0</v>
      </c>
      <c r="AJ512" s="419">
        <v>0</v>
      </c>
      <c r="AK512" s="419">
        <v>0</v>
      </c>
      <c r="AL512" s="380">
        <v>4.6900000000000002E-5</v>
      </c>
      <c r="AM512" s="380"/>
      <c r="AN512" s="419">
        <v>-3019</v>
      </c>
      <c r="AO512" s="419">
        <v>-2187</v>
      </c>
      <c r="AP512" s="419">
        <v>-1182</v>
      </c>
      <c r="AQ512" s="419">
        <v>0</v>
      </c>
      <c r="AR512" s="419">
        <v>0</v>
      </c>
    </row>
    <row r="513" spans="1:44">
      <c r="A513" s="379">
        <v>95405</v>
      </c>
      <c r="B513" t="s">
        <v>1218</v>
      </c>
      <c r="C513" s="380">
        <v>4.5300000000000003E-5</v>
      </c>
      <c r="D513" s="380"/>
      <c r="E513" s="419">
        <v>13447</v>
      </c>
      <c r="F513" s="419">
        <v>2840</v>
      </c>
      <c r="G513" s="419">
        <v>-9869</v>
      </c>
      <c r="H513" s="419">
        <v>-30372</v>
      </c>
      <c r="I513" s="419">
        <v>0</v>
      </c>
      <c r="J513" s="380">
        <v>4.5300000000000003E-5</v>
      </c>
      <c r="K513" s="380"/>
      <c r="L513" s="419">
        <v>11090</v>
      </c>
      <c r="M513" s="419">
        <v>7659</v>
      </c>
      <c r="N513" s="419">
        <v>3353</v>
      </c>
      <c r="O513" s="419">
        <v>0</v>
      </c>
      <c r="P513" s="419">
        <v>0</v>
      </c>
      <c r="Q513" s="380">
        <v>4.5300000000000003E-5</v>
      </c>
      <c r="R513" s="380"/>
      <c r="S513" s="419">
        <v>-22757</v>
      </c>
      <c r="T513" s="419">
        <v>-22494</v>
      </c>
      <c r="U513" s="419">
        <v>-23631</v>
      </c>
      <c r="V513" s="419">
        <v>-30372</v>
      </c>
      <c r="W513" s="419">
        <v>0</v>
      </c>
      <c r="X513" s="380">
        <v>4.5300000000000003E-5</v>
      </c>
      <c r="Z513" s="419">
        <v>18147</v>
      </c>
      <c r="AA513" s="419">
        <v>12749</v>
      </c>
      <c r="AB513" s="419">
        <v>12749</v>
      </c>
      <c r="AC513" s="419">
        <v>0</v>
      </c>
      <c r="AD513" s="419">
        <v>0</v>
      </c>
      <c r="AE513" s="380">
        <v>4.5300000000000003E-5</v>
      </c>
      <c r="AF513" s="380"/>
      <c r="AG513" s="419">
        <v>9307</v>
      </c>
      <c r="AH513" s="419">
        <v>7266</v>
      </c>
      <c r="AI513" s="419">
        <v>0</v>
      </c>
      <c r="AJ513" s="419">
        <v>0</v>
      </c>
      <c r="AK513" s="419">
        <v>0</v>
      </c>
      <c r="AL513" s="380">
        <v>4.5300000000000003E-5</v>
      </c>
      <c r="AM513" s="380"/>
      <c r="AN513" s="419">
        <v>-2340</v>
      </c>
      <c r="AO513" s="419">
        <v>-2340</v>
      </c>
      <c r="AP513" s="419">
        <v>-2340</v>
      </c>
      <c r="AQ513" s="419">
        <v>0</v>
      </c>
      <c r="AR513" s="419">
        <v>0</v>
      </c>
    </row>
    <row r="514" spans="1:44">
      <c r="A514" s="379">
        <v>95411</v>
      </c>
      <c r="B514" t="s">
        <v>1219</v>
      </c>
      <c r="C514" s="380">
        <v>2.0901000000000001E-3</v>
      </c>
      <c r="D514" s="380"/>
      <c r="E514" s="419">
        <v>304441</v>
      </c>
      <c r="F514" s="419">
        <v>-89126</v>
      </c>
      <c r="G514" s="419">
        <v>-325502</v>
      </c>
      <c r="H514" s="419">
        <v>-1401358</v>
      </c>
      <c r="I514" s="419">
        <v>0</v>
      </c>
      <c r="J514" s="380">
        <v>2.0901000000000001E-3</v>
      </c>
      <c r="K514" s="380"/>
      <c r="L514" s="419">
        <v>511673</v>
      </c>
      <c r="M514" s="419">
        <v>353377</v>
      </c>
      <c r="N514" s="419">
        <v>154692</v>
      </c>
      <c r="O514" s="419">
        <v>0</v>
      </c>
      <c r="P514" s="419">
        <v>0</v>
      </c>
      <c r="Q514" s="380">
        <v>2.0901000000000001E-3</v>
      </c>
      <c r="R514" s="380"/>
      <c r="S514" s="419">
        <v>-1049999</v>
      </c>
      <c r="T514" s="419">
        <v>-1037850</v>
      </c>
      <c r="U514" s="419">
        <v>-1090303</v>
      </c>
      <c r="V514" s="419">
        <v>-1401358</v>
      </c>
      <c r="W514" s="419">
        <v>0</v>
      </c>
      <c r="X514" s="380">
        <v>2.0901000000000001E-3</v>
      </c>
      <c r="Z514" s="419">
        <v>837298</v>
      </c>
      <c r="AA514" s="419">
        <v>588248</v>
      </c>
      <c r="AB514" s="419">
        <v>588244</v>
      </c>
      <c r="AC514" s="419">
        <v>0</v>
      </c>
      <c r="AD514" s="419">
        <v>0</v>
      </c>
      <c r="AE514" s="380">
        <v>2.0901000000000001E-3</v>
      </c>
      <c r="AF514" s="380"/>
      <c r="AG514" s="419">
        <v>21866</v>
      </c>
      <c r="AH514" s="419">
        <v>21866</v>
      </c>
      <c r="AI514" s="419">
        <v>21865</v>
      </c>
      <c r="AJ514" s="419">
        <v>0</v>
      </c>
      <c r="AK514" s="419">
        <v>0</v>
      </c>
      <c r="AL514" s="380">
        <v>2.0901000000000001E-3</v>
      </c>
      <c r="AM514" s="380"/>
      <c r="AN514" s="419">
        <v>-16397</v>
      </c>
      <c r="AO514" s="419">
        <v>-14767</v>
      </c>
      <c r="AP514" s="419">
        <v>0</v>
      </c>
      <c r="AQ514" s="419">
        <v>0</v>
      </c>
      <c r="AR514" s="419">
        <v>0</v>
      </c>
    </row>
    <row r="515" spans="1:44">
      <c r="A515" s="379">
        <v>95412</v>
      </c>
      <c r="B515" t="s">
        <v>3719</v>
      </c>
      <c r="C515" s="380">
        <v>0</v>
      </c>
      <c r="D515" s="380"/>
      <c r="E515" s="419">
        <v>0</v>
      </c>
      <c r="F515" s="419">
        <v>0</v>
      </c>
      <c r="G515" s="419">
        <v>0</v>
      </c>
      <c r="H515" s="419">
        <v>0</v>
      </c>
      <c r="I515" s="419">
        <v>0</v>
      </c>
      <c r="J515" s="380"/>
      <c r="K515" s="380"/>
      <c r="L515" s="419">
        <v>0</v>
      </c>
      <c r="M515" s="419">
        <v>0</v>
      </c>
      <c r="N515" s="419">
        <v>0</v>
      </c>
      <c r="O515" s="419">
        <v>0</v>
      </c>
      <c r="P515" s="419">
        <v>0</v>
      </c>
      <c r="Q515" s="380"/>
      <c r="R515" s="380"/>
      <c r="S515" s="419">
        <v>0</v>
      </c>
      <c r="T515" s="419">
        <v>0</v>
      </c>
      <c r="U515" s="419">
        <v>0</v>
      </c>
      <c r="V515" s="419">
        <v>0</v>
      </c>
      <c r="W515" s="419">
        <v>0</v>
      </c>
      <c r="X515" s="380"/>
      <c r="Z515" s="419">
        <v>0</v>
      </c>
      <c r="AA515" s="419">
        <v>0</v>
      </c>
      <c r="AB515" s="419">
        <v>0</v>
      </c>
      <c r="AC515" s="419">
        <v>0</v>
      </c>
      <c r="AD515" s="419">
        <v>0</v>
      </c>
      <c r="AE515" s="380"/>
      <c r="AF515" s="380">
        <v>0</v>
      </c>
      <c r="AG515" s="419">
        <v>0</v>
      </c>
      <c r="AH515" s="419">
        <v>0</v>
      </c>
      <c r="AI515" s="419">
        <v>0</v>
      </c>
      <c r="AJ515" s="419">
        <v>0</v>
      </c>
      <c r="AK515" s="419">
        <v>0</v>
      </c>
      <c r="AL515" s="380"/>
      <c r="AM515" s="380"/>
      <c r="AN515" s="419">
        <v>0</v>
      </c>
      <c r="AO515" s="419">
        <v>0</v>
      </c>
      <c r="AP515" s="419">
        <v>0</v>
      </c>
      <c r="AQ515" s="419">
        <v>0</v>
      </c>
      <c r="AR515" s="419">
        <v>0</v>
      </c>
    </row>
    <row r="516" spans="1:44">
      <c r="A516" s="379">
        <v>95413</v>
      </c>
      <c r="B516" t="s">
        <v>1221</v>
      </c>
      <c r="C516" s="380">
        <v>2.3369999999999999E-4</v>
      </c>
      <c r="D516" s="380"/>
      <c r="E516" s="419">
        <v>26532</v>
      </c>
      <c r="F516" s="419">
        <v>-19416</v>
      </c>
      <c r="G516" s="419">
        <v>-48885</v>
      </c>
      <c r="H516" s="419">
        <v>-156690</v>
      </c>
      <c r="I516" s="419">
        <v>0</v>
      </c>
      <c r="J516" s="380">
        <v>2.3369999999999999E-4</v>
      </c>
      <c r="K516" s="380"/>
      <c r="L516" s="419">
        <v>57212</v>
      </c>
      <c r="M516" s="419">
        <v>39512</v>
      </c>
      <c r="N516" s="419">
        <v>17297</v>
      </c>
      <c r="O516" s="419">
        <v>0</v>
      </c>
      <c r="P516" s="419">
        <v>0</v>
      </c>
      <c r="Q516" s="380">
        <v>2.3369999999999999E-4</v>
      </c>
      <c r="R516" s="380"/>
      <c r="S516" s="419">
        <v>-117403</v>
      </c>
      <c r="T516" s="419">
        <v>-116045</v>
      </c>
      <c r="U516" s="419">
        <v>-121910</v>
      </c>
      <c r="V516" s="419">
        <v>-156690</v>
      </c>
      <c r="W516" s="419">
        <v>0</v>
      </c>
      <c r="X516" s="380">
        <v>2.3369999999999999E-4</v>
      </c>
      <c r="Z516" s="419">
        <v>93621</v>
      </c>
      <c r="AA516" s="419">
        <v>65774</v>
      </c>
      <c r="AB516" s="419">
        <v>65773</v>
      </c>
      <c r="AC516" s="419">
        <v>0</v>
      </c>
      <c r="AD516" s="419">
        <v>0</v>
      </c>
      <c r="AE516" s="380">
        <v>2.3369999999999999E-4</v>
      </c>
      <c r="AF516" s="380"/>
      <c r="AG516" s="419">
        <v>6575</v>
      </c>
      <c r="AH516" s="419">
        <v>4814</v>
      </c>
      <c r="AI516" s="419">
        <v>0</v>
      </c>
      <c r="AJ516" s="419">
        <v>0</v>
      </c>
      <c r="AK516" s="419">
        <v>0</v>
      </c>
      <c r="AL516" s="380">
        <v>2.3369999999999999E-4</v>
      </c>
      <c r="AM516" s="380"/>
      <c r="AN516" s="419">
        <v>-13473</v>
      </c>
      <c r="AO516" s="419">
        <v>-13471</v>
      </c>
      <c r="AP516" s="419">
        <v>-10045</v>
      </c>
      <c r="AQ516" s="419">
        <v>0</v>
      </c>
      <c r="AR516" s="419">
        <v>0</v>
      </c>
    </row>
    <row r="517" spans="1:44">
      <c r="A517" s="379">
        <v>95415</v>
      </c>
      <c r="B517" t="s">
        <v>1222</v>
      </c>
      <c r="C517" s="380">
        <v>5.9500000000000003E-5</v>
      </c>
      <c r="D517" s="380"/>
      <c r="E517" s="419">
        <v>6570</v>
      </c>
      <c r="F517" s="419">
        <v>-5465</v>
      </c>
      <c r="G517" s="419">
        <v>-12338</v>
      </c>
      <c r="H517" s="419">
        <v>-39893</v>
      </c>
      <c r="I517" s="419">
        <v>0</v>
      </c>
      <c r="J517" s="380">
        <v>5.9500000000000003E-5</v>
      </c>
      <c r="K517" s="380"/>
      <c r="L517" s="419">
        <v>14566</v>
      </c>
      <c r="M517" s="419">
        <v>10060</v>
      </c>
      <c r="N517" s="419">
        <v>4404</v>
      </c>
      <c r="O517" s="419">
        <v>0</v>
      </c>
      <c r="P517" s="419">
        <v>0</v>
      </c>
      <c r="Q517" s="380">
        <v>5.9500000000000003E-5</v>
      </c>
      <c r="R517" s="380"/>
      <c r="S517" s="419">
        <v>-29891</v>
      </c>
      <c r="T517" s="419">
        <v>-29545</v>
      </c>
      <c r="U517" s="419">
        <v>-31038</v>
      </c>
      <c r="V517" s="419">
        <v>-39893</v>
      </c>
      <c r="W517" s="419">
        <v>0</v>
      </c>
      <c r="X517" s="380">
        <v>5.9500000000000003E-5</v>
      </c>
      <c r="Z517" s="419">
        <v>23836</v>
      </c>
      <c r="AA517" s="419">
        <v>16746</v>
      </c>
      <c r="AB517" s="419">
        <v>16746</v>
      </c>
      <c r="AC517" s="419">
        <v>0</v>
      </c>
      <c r="AD517" s="419">
        <v>0</v>
      </c>
      <c r="AE517" s="380">
        <v>5.9500000000000003E-5</v>
      </c>
      <c r="AF517" s="380"/>
      <c r="AG517" s="419">
        <v>3004</v>
      </c>
      <c r="AH517" s="419">
        <v>2218</v>
      </c>
      <c r="AI517" s="419">
        <v>0</v>
      </c>
      <c r="AJ517" s="419">
        <v>0</v>
      </c>
      <c r="AK517" s="419">
        <v>0</v>
      </c>
      <c r="AL517" s="380">
        <v>5.9500000000000003E-5</v>
      </c>
      <c r="AM517" s="380"/>
      <c r="AN517" s="419">
        <v>-4945</v>
      </c>
      <c r="AO517" s="419">
        <v>-4944</v>
      </c>
      <c r="AP517" s="419">
        <v>-2450</v>
      </c>
      <c r="AQ517" s="419">
        <v>0</v>
      </c>
      <c r="AR517" s="419">
        <v>0</v>
      </c>
    </row>
    <row r="518" spans="1:44">
      <c r="A518" s="379">
        <v>95421</v>
      </c>
      <c r="B518" t="s">
        <v>1223</v>
      </c>
      <c r="C518" s="380">
        <v>3.0899999999999999E-5</v>
      </c>
      <c r="D518" s="380"/>
      <c r="E518" s="419">
        <v>2701</v>
      </c>
      <c r="F518" s="419">
        <v>-3242</v>
      </c>
      <c r="G518" s="419">
        <v>-2486</v>
      </c>
      <c r="H518" s="419">
        <v>-20718</v>
      </c>
      <c r="I518" s="419">
        <v>0</v>
      </c>
      <c r="J518" s="380">
        <v>3.0899999999999999E-5</v>
      </c>
      <c r="K518" s="380"/>
      <c r="L518" s="419">
        <v>7565</v>
      </c>
      <c r="M518" s="419">
        <v>5224</v>
      </c>
      <c r="N518" s="419">
        <v>2287</v>
      </c>
      <c r="O518" s="419">
        <v>0</v>
      </c>
      <c r="P518" s="419">
        <v>0</v>
      </c>
      <c r="Q518" s="380">
        <v>3.0899999999999999E-5</v>
      </c>
      <c r="R518" s="380"/>
      <c r="S518" s="419">
        <v>-15523</v>
      </c>
      <c r="T518" s="419">
        <v>-15344</v>
      </c>
      <c r="U518" s="419">
        <v>-16119</v>
      </c>
      <c r="V518" s="419">
        <v>-20718</v>
      </c>
      <c r="W518" s="419">
        <v>0</v>
      </c>
      <c r="X518" s="380">
        <v>3.0899999999999999E-5</v>
      </c>
      <c r="Z518" s="419">
        <v>12379</v>
      </c>
      <c r="AA518" s="419">
        <v>8697</v>
      </c>
      <c r="AB518" s="419">
        <v>8697</v>
      </c>
      <c r="AC518" s="419">
        <v>0</v>
      </c>
      <c r="AD518" s="419">
        <v>0</v>
      </c>
      <c r="AE518" s="380">
        <v>3.0899999999999999E-5</v>
      </c>
      <c r="AF518" s="380"/>
      <c r="AG518" s="419">
        <v>2841</v>
      </c>
      <c r="AH518" s="419">
        <v>2743</v>
      </c>
      <c r="AI518" s="419">
        <v>2649</v>
      </c>
      <c r="AJ518" s="419">
        <v>0</v>
      </c>
      <c r="AK518" s="419">
        <v>0</v>
      </c>
      <c r="AL518" s="380">
        <v>3.0899999999999999E-5</v>
      </c>
      <c r="AM518" s="380"/>
      <c r="AN518" s="419">
        <v>-4561</v>
      </c>
      <c r="AO518" s="419">
        <v>-4562</v>
      </c>
      <c r="AP518" s="419">
        <v>0</v>
      </c>
      <c r="AQ518" s="419">
        <v>0</v>
      </c>
      <c r="AR518" s="419">
        <v>0</v>
      </c>
    </row>
    <row r="519" spans="1:44">
      <c r="A519" s="379">
        <v>95431</v>
      </c>
      <c r="B519" t="s">
        <v>1224</v>
      </c>
      <c r="C519" s="380">
        <v>1.3229999999999999E-4</v>
      </c>
      <c r="D519" s="380"/>
      <c r="E519" s="419">
        <v>18206</v>
      </c>
      <c r="F519" s="419">
        <v>-4515</v>
      </c>
      <c r="G519" s="419">
        <v>-12697</v>
      </c>
      <c r="H519" s="419">
        <v>-88704</v>
      </c>
      <c r="I519" s="419">
        <v>0</v>
      </c>
      <c r="J519" s="380">
        <v>1.3229999999999999E-4</v>
      </c>
      <c r="K519" s="380"/>
      <c r="L519" s="419">
        <v>32388</v>
      </c>
      <c r="M519" s="419">
        <v>22368</v>
      </c>
      <c r="N519" s="419">
        <v>9792</v>
      </c>
      <c r="O519" s="419">
        <v>0</v>
      </c>
      <c r="P519" s="419">
        <v>0</v>
      </c>
      <c r="Q519" s="380">
        <v>1.3229999999999999E-4</v>
      </c>
      <c r="R519" s="380"/>
      <c r="S519" s="419">
        <v>-66463</v>
      </c>
      <c r="T519" s="419">
        <v>-65694</v>
      </c>
      <c r="U519" s="419">
        <v>-69014</v>
      </c>
      <c r="V519" s="419">
        <v>-88704</v>
      </c>
      <c r="W519" s="419">
        <v>0</v>
      </c>
      <c r="X519" s="380">
        <v>1.3229999999999999E-4</v>
      </c>
      <c r="Z519" s="419">
        <v>53000</v>
      </c>
      <c r="AA519" s="419">
        <v>37235</v>
      </c>
      <c r="AB519" s="419">
        <v>37235</v>
      </c>
      <c r="AC519" s="419">
        <v>0</v>
      </c>
      <c r="AD519" s="419">
        <v>0</v>
      </c>
      <c r="AE519" s="380">
        <v>1.3229999999999999E-4</v>
      </c>
      <c r="AF519" s="380"/>
      <c r="AG519" s="419">
        <v>9292</v>
      </c>
      <c r="AH519" s="419">
        <v>9292</v>
      </c>
      <c r="AI519" s="419">
        <v>9290</v>
      </c>
      <c r="AJ519" s="419">
        <v>0</v>
      </c>
      <c r="AK519" s="419">
        <v>0</v>
      </c>
      <c r="AL519" s="380">
        <v>1.3229999999999999E-4</v>
      </c>
      <c r="AM519" s="380"/>
      <c r="AN519" s="419">
        <v>-10011</v>
      </c>
      <c r="AO519" s="419">
        <v>-7716</v>
      </c>
      <c r="AP519" s="419">
        <v>0</v>
      </c>
      <c r="AQ519" s="419">
        <v>0</v>
      </c>
      <c r="AR519" s="419">
        <v>0</v>
      </c>
    </row>
    <row r="520" spans="1:44">
      <c r="A520" s="379">
        <v>95501</v>
      </c>
      <c r="B520" t="s">
        <v>1225</v>
      </c>
      <c r="C520" s="380">
        <v>5.1955999999999999E-3</v>
      </c>
      <c r="D520" s="380"/>
      <c r="E520" s="419">
        <v>785796</v>
      </c>
      <c r="F520" s="419">
        <v>-182255</v>
      </c>
      <c r="G520" s="419">
        <v>-945824</v>
      </c>
      <c r="H520" s="419">
        <v>-3483515</v>
      </c>
      <c r="I520" s="419">
        <v>0</v>
      </c>
      <c r="J520" s="380">
        <v>5.1955999999999999E-3</v>
      </c>
      <c r="K520" s="380"/>
      <c r="L520" s="419">
        <v>1271924</v>
      </c>
      <c r="M520" s="419">
        <v>878430</v>
      </c>
      <c r="N520" s="419">
        <v>384537</v>
      </c>
      <c r="O520" s="419">
        <v>0</v>
      </c>
      <c r="P520" s="419">
        <v>0</v>
      </c>
      <c r="Q520" s="380">
        <v>5.1955999999999999E-3</v>
      </c>
      <c r="R520" s="380"/>
      <c r="S520" s="419">
        <v>-2610103</v>
      </c>
      <c r="T520" s="419">
        <v>-2579901</v>
      </c>
      <c r="U520" s="419">
        <v>-2710290</v>
      </c>
      <c r="V520" s="419">
        <v>-3483515</v>
      </c>
      <c r="W520" s="419">
        <v>0</v>
      </c>
      <c r="X520" s="380">
        <v>5.1955999999999999E-3</v>
      </c>
      <c r="Z520" s="419">
        <v>2081368</v>
      </c>
      <c r="AA520" s="419">
        <v>1462276</v>
      </c>
      <c r="AB520" s="419">
        <v>1462265</v>
      </c>
      <c r="AC520" s="419">
        <v>0</v>
      </c>
      <c r="AD520" s="419">
        <v>0</v>
      </c>
      <c r="AE520" s="380">
        <v>5.1955999999999999E-3</v>
      </c>
      <c r="AF520" s="380"/>
      <c r="AG520" s="419">
        <v>139273</v>
      </c>
      <c r="AH520" s="419">
        <v>139275</v>
      </c>
      <c r="AI520" s="419">
        <v>0</v>
      </c>
      <c r="AJ520" s="419">
        <v>0</v>
      </c>
      <c r="AK520" s="419">
        <v>0</v>
      </c>
      <c r="AL520" s="380">
        <v>5.1955999999999999E-3</v>
      </c>
      <c r="AM520" s="380"/>
      <c r="AN520" s="419">
        <v>-96666</v>
      </c>
      <c r="AO520" s="419">
        <v>-82335</v>
      </c>
      <c r="AP520" s="419">
        <v>-82336</v>
      </c>
      <c r="AQ520" s="419">
        <v>0</v>
      </c>
      <c r="AR520" s="419">
        <v>0</v>
      </c>
    </row>
    <row r="521" spans="1:44">
      <c r="A521" s="379">
        <v>95504</v>
      </c>
      <c r="B521" t="s">
        <v>1226</v>
      </c>
      <c r="C521" s="380">
        <v>1.8099999999999999E-5</v>
      </c>
      <c r="D521" s="380"/>
      <c r="E521" s="419">
        <v>12744</v>
      </c>
      <c r="F521" s="419">
        <v>8230</v>
      </c>
      <c r="G521" s="419">
        <v>122</v>
      </c>
      <c r="H521" s="419">
        <v>-12136</v>
      </c>
      <c r="I521" s="419">
        <v>0</v>
      </c>
      <c r="J521" s="380">
        <v>1.8099999999999999E-5</v>
      </c>
      <c r="K521" s="380"/>
      <c r="L521" s="419">
        <v>4431</v>
      </c>
      <c r="M521" s="419">
        <v>3060</v>
      </c>
      <c r="N521" s="419">
        <v>1340</v>
      </c>
      <c r="O521" s="419">
        <v>0</v>
      </c>
      <c r="P521" s="419">
        <v>0</v>
      </c>
      <c r="Q521" s="380">
        <v>1.8099999999999999E-5</v>
      </c>
      <c r="R521" s="380"/>
      <c r="S521" s="419">
        <v>-9093</v>
      </c>
      <c r="T521" s="419">
        <v>-8988</v>
      </c>
      <c r="U521" s="419">
        <v>-9442</v>
      </c>
      <c r="V521" s="419">
        <v>-12136</v>
      </c>
      <c r="W521" s="419">
        <v>0</v>
      </c>
      <c r="X521" s="380">
        <v>1.8099999999999999E-5</v>
      </c>
      <c r="Z521" s="419">
        <v>7251</v>
      </c>
      <c r="AA521" s="419">
        <v>5094</v>
      </c>
      <c r="AB521" s="419">
        <v>5094</v>
      </c>
      <c r="AC521" s="419">
        <v>0</v>
      </c>
      <c r="AD521" s="419">
        <v>0</v>
      </c>
      <c r="AE521" s="380">
        <v>1.8099999999999999E-5</v>
      </c>
      <c r="AF521" s="380"/>
      <c r="AG521" s="419">
        <v>10155</v>
      </c>
      <c r="AH521" s="419">
        <v>9064</v>
      </c>
      <c r="AI521" s="419">
        <v>3130</v>
      </c>
      <c r="AJ521" s="419">
        <v>0</v>
      </c>
      <c r="AK521" s="419">
        <v>0</v>
      </c>
      <c r="AL521" s="380">
        <v>1.8099999999999999E-5</v>
      </c>
      <c r="AM521" s="380"/>
      <c r="AN521" s="419">
        <v>0</v>
      </c>
      <c r="AO521" s="419">
        <v>0</v>
      </c>
      <c r="AP521" s="419">
        <v>0</v>
      </c>
      <c r="AQ521" s="419">
        <v>0</v>
      </c>
      <c r="AR521" s="419">
        <v>0</v>
      </c>
    </row>
    <row r="522" spans="1:44">
      <c r="A522" s="379">
        <v>95511</v>
      </c>
      <c r="B522" t="s">
        <v>1227</v>
      </c>
      <c r="C522" s="380">
        <v>1.0248E-3</v>
      </c>
      <c r="D522" s="380"/>
      <c r="E522" s="419">
        <v>212374</v>
      </c>
      <c r="F522" s="419">
        <v>13840</v>
      </c>
      <c r="G522" s="419">
        <v>-164399</v>
      </c>
      <c r="H522" s="419">
        <v>-687102</v>
      </c>
      <c r="I522" s="419">
        <v>0</v>
      </c>
      <c r="J522" s="380">
        <v>1.0248E-3</v>
      </c>
      <c r="K522" s="380"/>
      <c r="L522" s="419">
        <v>250879</v>
      </c>
      <c r="M522" s="419">
        <v>173265</v>
      </c>
      <c r="N522" s="419">
        <v>75847</v>
      </c>
      <c r="O522" s="419">
        <v>0</v>
      </c>
      <c r="P522" s="419">
        <v>0</v>
      </c>
      <c r="Q522" s="380">
        <v>1.0248E-3</v>
      </c>
      <c r="R522" s="380"/>
      <c r="S522" s="419">
        <v>-514827</v>
      </c>
      <c r="T522" s="419">
        <v>-508870</v>
      </c>
      <c r="U522" s="419">
        <v>-534588</v>
      </c>
      <c r="V522" s="419">
        <v>-687102</v>
      </c>
      <c r="W522" s="419">
        <v>0</v>
      </c>
      <c r="X522" s="380">
        <v>1.0248E-3</v>
      </c>
      <c r="Z522" s="419">
        <v>410537</v>
      </c>
      <c r="AA522" s="419">
        <v>288425</v>
      </c>
      <c r="AB522" s="419">
        <v>288423</v>
      </c>
      <c r="AC522" s="419">
        <v>0</v>
      </c>
      <c r="AD522" s="419">
        <v>0</v>
      </c>
      <c r="AE522" s="380">
        <v>1.0248E-3</v>
      </c>
      <c r="AF522" s="380"/>
      <c r="AG522" s="419">
        <v>65785</v>
      </c>
      <c r="AH522" s="419">
        <v>61020</v>
      </c>
      <c r="AI522" s="419">
        <v>5919</v>
      </c>
      <c r="AJ522" s="419">
        <v>0</v>
      </c>
      <c r="AK522" s="419">
        <v>0</v>
      </c>
      <c r="AL522" s="380">
        <v>1.0248E-3</v>
      </c>
      <c r="AM522" s="380"/>
      <c r="AN522" s="419">
        <v>0</v>
      </c>
      <c r="AO522" s="419">
        <v>0</v>
      </c>
      <c r="AP522" s="419">
        <v>0</v>
      </c>
      <c r="AQ522" s="419">
        <v>0</v>
      </c>
      <c r="AR522" s="419">
        <v>0</v>
      </c>
    </row>
    <row r="523" spans="1:44">
      <c r="A523" s="379">
        <v>95513</v>
      </c>
      <c r="B523" t="s">
        <v>1228</v>
      </c>
      <c r="C523" s="380">
        <v>5.0699999999999999E-5</v>
      </c>
      <c r="D523" s="380"/>
      <c r="E523" s="419">
        <v>23725</v>
      </c>
      <c r="F523" s="419">
        <v>11937</v>
      </c>
      <c r="G523" s="419">
        <v>-2917</v>
      </c>
      <c r="H523" s="419">
        <v>-33993</v>
      </c>
      <c r="I523" s="419">
        <v>0</v>
      </c>
      <c r="J523" s="380">
        <v>5.0699999999999999E-5</v>
      </c>
      <c r="K523" s="380"/>
      <c r="L523" s="419">
        <v>12412</v>
      </c>
      <c r="M523" s="419">
        <v>8572</v>
      </c>
      <c r="N523" s="419">
        <v>3752</v>
      </c>
      <c r="O523" s="419">
        <v>0</v>
      </c>
      <c r="P523" s="419">
        <v>0</v>
      </c>
      <c r="Q523" s="380">
        <v>5.0699999999999999E-5</v>
      </c>
      <c r="R523" s="380"/>
      <c r="S523" s="419">
        <v>-25470</v>
      </c>
      <c r="T523" s="419">
        <v>-25175</v>
      </c>
      <c r="U523" s="419">
        <v>-26448</v>
      </c>
      <c r="V523" s="419">
        <v>-33993</v>
      </c>
      <c r="W523" s="419">
        <v>0</v>
      </c>
      <c r="X523" s="380">
        <v>5.0699999999999999E-5</v>
      </c>
      <c r="Z523" s="419">
        <v>20311</v>
      </c>
      <c r="AA523" s="419">
        <v>14269</v>
      </c>
      <c r="AB523" s="419">
        <v>14269</v>
      </c>
      <c r="AC523" s="419">
        <v>0</v>
      </c>
      <c r="AD523" s="419">
        <v>0</v>
      </c>
      <c r="AE523" s="380">
        <v>5.0699999999999999E-5</v>
      </c>
      <c r="AF523" s="380"/>
      <c r="AG523" s="419">
        <v>16472</v>
      </c>
      <c r="AH523" s="419">
        <v>14271</v>
      </c>
      <c r="AI523" s="419">
        <v>5510</v>
      </c>
      <c r="AJ523" s="419">
        <v>0</v>
      </c>
      <c r="AK523" s="419">
        <v>0</v>
      </c>
      <c r="AL523" s="380">
        <v>5.0699999999999999E-5</v>
      </c>
      <c r="AM523" s="380"/>
      <c r="AN523" s="419">
        <v>0</v>
      </c>
      <c r="AO523" s="419">
        <v>0</v>
      </c>
      <c r="AP523" s="419">
        <v>0</v>
      </c>
      <c r="AQ523" s="419">
        <v>0</v>
      </c>
      <c r="AR523" s="419">
        <v>0</v>
      </c>
    </row>
    <row r="524" spans="1:44">
      <c r="A524" s="379">
        <v>95517</v>
      </c>
      <c r="B524" t="s">
        <v>1229</v>
      </c>
      <c r="C524" s="380">
        <v>1.6200000000000001E-5</v>
      </c>
      <c r="D524" s="380"/>
      <c r="E524" s="419">
        <v>1002</v>
      </c>
      <c r="F524" s="419">
        <v>-1425</v>
      </c>
      <c r="G524" s="419">
        <v>-3690</v>
      </c>
      <c r="H524" s="419">
        <v>-10862</v>
      </c>
      <c r="I524" s="419">
        <v>0</v>
      </c>
      <c r="J524" s="380">
        <v>1.6200000000000001E-5</v>
      </c>
      <c r="K524" s="380"/>
      <c r="L524" s="419">
        <v>3966</v>
      </c>
      <c r="M524" s="419">
        <v>2739</v>
      </c>
      <c r="N524" s="419">
        <v>1199</v>
      </c>
      <c r="O524" s="419">
        <v>0</v>
      </c>
      <c r="P524" s="419">
        <v>0</v>
      </c>
      <c r="Q524" s="380">
        <v>1.6200000000000001E-5</v>
      </c>
      <c r="R524" s="380"/>
      <c r="S524" s="419">
        <v>-8138</v>
      </c>
      <c r="T524" s="419">
        <v>-8044</v>
      </c>
      <c r="U524" s="419">
        <v>-8451</v>
      </c>
      <c r="V524" s="419">
        <v>-10862</v>
      </c>
      <c r="W524" s="419">
        <v>0</v>
      </c>
      <c r="X524" s="380">
        <v>1.6200000000000001E-5</v>
      </c>
      <c r="Z524" s="419">
        <v>6490</v>
      </c>
      <c r="AA524" s="419">
        <v>4559</v>
      </c>
      <c r="AB524" s="419">
        <v>4559</v>
      </c>
      <c r="AC524" s="419">
        <v>0</v>
      </c>
      <c r="AD524" s="419">
        <v>0</v>
      </c>
      <c r="AE524" s="380">
        <v>1.6200000000000001E-5</v>
      </c>
      <c r="AF524" s="380"/>
      <c r="AG524" s="419">
        <v>324</v>
      </c>
      <c r="AH524" s="419">
        <v>324</v>
      </c>
      <c r="AI524" s="419">
        <v>0</v>
      </c>
      <c r="AJ524" s="419">
        <v>0</v>
      </c>
      <c r="AK524" s="419">
        <v>0</v>
      </c>
      <c r="AL524" s="380">
        <v>1.6200000000000001E-5</v>
      </c>
      <c r="AM524" s="380"/>
      <c r="AN524" s="419">
        <v>-1640</v>
      </c>
      <c r="AO524" s="419">
        <v>-1003</v>
      </c>
      <c r="AP524" s="419">
        <v>-997</v>
      </c>
      <c r="AQ524" s="419">
        <v>0</v>
      </c>
      <c r="AR524" s="419">
        <v>0</v>
      </c>
    </row>
    <row r="525" spans="1:44">
      <c r="A525" s="379">
        <v>95601</v>
      </c>
      <c r="B525" t="s">
        <v>1230</v>
      </c>
      <c r="C525" s="380">
        <v>2.2501999999999999E-3</v>
      </c>
      <c r="D525" s="380"/>
      <c r="E525" s="419">
        <v>195529</v>
      </c>
      <c r="F525" s="419">
        <v>-225106</v>
      </c>
      <c r="G525" s="419">
        <v>-442179</v>
      </c>
      <c r="H525" s="419">
        <v>-1508701</v>
      </c>
      <c r="I525" s="419">
        <v>0</v>
      </c>
      <c r="J525" s="380">
        <v>2.2501999999999999E-3</v>
      </c>
      <c r="K525" s="380"/>
      <c r="L525" s="419">
        <v>550867</v>
      </c>
      <c r="M525" s="419">
        <v>380446</v>
      </c>
      <c r="N525" s="419">
        <v>166542</v>
      </c>
      <c r="O525" s="419">
        <v>0</v>
      </c>
      <c r="P525" s="419">
        <v>0</v>
      </c>
      <c r="Q525" s="380">
        <v>2.2501999999999999E-3</v>
      </c>
      <c r="R525" s="380"/>
      <c r="S525" s="419">
        <v>-1130428</v>
      </c>
      <c r="T525" s="419">
        <v>-1117348</v>
      </c>
      <c r="U525" s="419">
        <v>-1173819</v>
      </c>
      <c r="V525" s="419">
        <v>-1508701</v>
      </c>
      <c r="W525" s="419">
        <v>0</v>
      </c>
      <c r="X525" s="380">
        <v>2.2501999999999999E-3</v>
      </c>
      <c r="Z525" s="419">
        <v>901435</v>
      </c>
      <c r="AA525" s="419">
        <v>633308</v>
      </c>
      <c r="AB525" s="419">
        <v>633303</v>
      </c>
      <c r="AC525" s="419">
        <v>0</v>
      </c>
      <c r="AD525" s="419">
        <v>0</v>
      </c>
      <c r="AE525" s="380">
        <v>2.2501999999999999E-3</v>
      </c>
      <c r="AF525" s="380"/>
      <c r="AG525" s="419">
        <v>0</v>
      </c>
      <c r="AH525" s="419">
        <v>0</v>
      </c>
      <c r="AI525" s="419">
        <v>0</v>
      </c>
      <c r="AJ525" s="419">
        <v>0</v>
      </c>
      <c r="AK525" s="419">
        <v>0</v>
      </c>
      <c r="AL525" s="380">
        <v>2.2501999999999999E-3</v>
      </c>
      <c r="AM525" s="380"/>
      <c r="AN525" s="419">
        <v>-126345</v>
      </c>
      <c r="AO525" s="419">
        <v>-121512</v>
      </c>
      <c r="AP525" s="419">
        <v>-68205</v>
      </c>
      <c r="AQ525" s="419">
        <v>0</v>
      </c>
      <c r="AR525" s="419">
        <v>0</v>
      </c>
    </row>
    <row r="526" spans="1:44">
      <c r="A526" s="379">
        <v>95611</v>
      </c>
      <c r="B526" t="s">
        <v>1231</v>
      </c>
      <c r="C526" s="380">
        <v>3.4969999999999999E-4</v>
      </c>
      <c r="D526" s="380"/>
      <c r="E526" s="419">
        <v>45161</v>
      </c>
      <c r="F526" s="419">
        <v>-20298</v>
      </c>
      <c r="G526" s="419">
        <v>-48881</v>
      </c>
      <c r="H526" s="419">
        <v>-234465</v>
      </c>
      <c r="I526" s="419">
        <v>0</v>
      </c>
      <c r="J526" s="380">
        <v>3.4969999999999999E-4</v>
      </c>
      <c r="K526" s="380"/>
      <c r="L526" s="419">
        <v>85609</v>
      </c>
      <c r="M526" s="419">
        <v>59124</v>
      </c>
      <c r="N526" s="419">
        <v>25882</v>
      </c>
      <c r="O526" s="419">
        <v>0</v>
      </c>
      <c r="P526" s="419">
        <v>0</v>
      </c>
      <c r="Q526" s="380">
        <v>3.4969999999999999E-4</v>
      </c>
      <c r="R526" s="380"/>
      <c r="S526" s="419">
        <v>-175678</v>
      </c>
      <c r="T526" s="419">
        <v>-173645</v>
      </c>
      <c r="U526" s="419">
        <v>-182421</v>
      </c>
      <c r="V526" s="419">
        <v>-234465</v>
      </c>
      <c r="W526" s="419">
        <v>0</v>
      </c>
      <c r="X526" s="380">
        <v>3.4969999999999999E-4</v>
      </c>
      <c r="Z526" s="419">
        <v>140091</v>
      </c>
      <c r="AA526" s="419">
        <v>98421</v>
      </c>
      <c r="AB526" s="419">
        <v>98421</v>
      </c>
      <c r="AC526" s="419">
        <v>0</v>
      </c>
      <c r="AD526" s="419">
        <v>0</v>
      </c>
      <c r="AE526" s="380">
        <v>3.4969999999999999E-4</v>
      </c>
      <c r="AF526" s="380"/>
      <c r="AG526" s="419">
        <v>10073</v>
      </c>
      <c r="AH526" s="419">
        <v>10071</v>
      </c>
      <c r="AI526" s="419">
        <v>9237</v>
      </c>
      <c r="AJ526" s="419">
        <v>0</v>
      </c>
      <c r="AK526" s="419">
        <v>0</v>
      </c>
      <c r="AL526" s="380">
        <v>3.4969999999999999E-4</v>
      </c>
      <c r="AM526" s="380"/>
      <c r="AN526" s="419">
        <v>-14934</v>
      </c>
      <c r="AO526" s="419">
        <v>-14269</v>
      </c>
      <c r="AP526" s="419">
        <v>0</v>
      </c>
      <c r="AQ526" s="419">
        <v>0</v>
      </c>
      <c r="AR526" s="419">
        <v>0</v>
      </c>
    </row>
    <row r="527" spans="1:44">
      <c r="A527" s="379">
        <v>95617</v>
      </c>
      <c r="B527" t="s">
        <v>1232</v>
      </c>
      <c r="C527" s="380">
        <v>1.8199999999999999E-5</v>
      </c>
      <c r="D527" s="380"/>
      <c r="E527" s="419">
        <v>5851</v>
      </c>
      <c r="F527" s="419">
        <v>2305</v>
      </c>
      <c r="G527" s="419">
        <v>-196</v>
      </c>
      <c r="H527" s="419">
        <v>-12203</v>
      </c>
      <c r="I527" s="419">
        <v>0</v>
      </c>
      <c r="J527" s="380">
        <v>1.8199999999999999E-5</v>
      </c>
      <c r="K527" s="380"/>
      <c r="L527" s="419">
        <v>4456</v>
      </c>
      <c r="M527" s="419">
        <v>3077</v>
      </c>
      <c r="N527" s="419">
        <v>1347</v>
      </c>
      <c r="O527" s="419">
        <v>0</v>
      </c>
      <c r="P527" s="419">
        <v>0</v>
      </c>
      <c r="Q527" s="380">
        <v>1.8199999999999999E-5</v>
      </c>
      <c r="R527" s="380"/>
      <c r="S527" s="419">
        <v>-9143</v>
      </c>
      <c r="T527" s="419">
        <v>-9037</v>
      </c>
      <c r="U527" s="419">
        <v>-9494</v>
      </c>
      <c r="V527" s="419">
        <v>-12203</v>
      </c>
      <c r="W527" s="419">
        <v>0</v>
      </c>
      <c r="X527" s="380">
        <v>1.8199999999999999E-5</v>
      </c>
      <c r="Z527" s="419">
        <v>7291</v>
      </c>
      <c r="AA527" s="419">
        <v>5122</v>
      </c>
      <c r="AB527" s="419">
        <v>5122</v>
      </c>
      <c r="AC527" s="419">
        <v>0</v>
      </c>
      <c r="AD527" s="419">
        <v>0</v>
      </c>
      <c r="AE527" s="380">
        <v>1.8199999999999999E-5</v>
      </c>
      <c r="AF527" s="380"/>
      <c r="AG527" s="419">
        <v>3247</v>
      </c>
      <c r="AH527" s="419">
        <v>3143</v>
      </c>
      <c r="AI527" s="419">
        <v>2829</v>
      </c>
      <c r="AJ527" s="419">
        <v>0</v>
      </c>
      <c r="AK527" s="419">
        <v>0</v>
      </c>
      <c r="AL527" s="380">
        <v>1.8199999999999999E-5</v>
      </c>
      <c r="AM527" s="380"/>
      <c r="AN527" s="419">
        <v>0</v>
      </c>
      <c r="AO527" s="419">
        <v>0</v>
      </c>
      <c r="AP527" s="419">
        <v>0</v>
      </c>
      <c r="AQ527" s="419">
        <v>0</v>
      </c>
      <c r="AR527" s="419">
        <v>0</v>
      </c>
    </row>
    <row r="528" spans="1:44">
      <c r="A528" s="379">
        <v>95621</v>
      </c>
      <c r="B528" t="s">
        <v>1233</v>
      </c>
      <c r="C528" s="380">
        <v>4.793E-4</v>
      </c>
      <c r="D528" s="380"/>
      <c r="E528" s="419">
        <v>96562</v>
      </c>
      <c r="F528" s="419">
        <v>-4656</v>
      </c>
      <c r="G528" s="419">
        <v>-67750</v>
      </c>
      <c r="H528" s="419">
        <v>-321358</v>
      </c>
      <c r="I528" s="419">
        <v>0</v>
      </c>
      <c r="J528" s="380">
        <v>4.793E-4</v>
      </c>
      <c r="K528" s="380"/>
      <c r="L528" s="419">
        <v>117336</v>
      </c>
      <c r="M528" s="419">
        <v>81036</v>
      </c>
      <c r="N528" s="419">
        <v>35474</v>
      </c>
      <c r="O528" s="419">
        <v>0</v>
      </c>
      <c r="P528" s="419">
        <v>0</v>
      </c>
      <c r="Q528" s="380">
        <v>4.793E-4</v>
      </c>
      <c r="R528" s="380"/>
      <c r="S528" s="419">
        <v>-240785</v>
      </c>
      <c r="T528" s="419">
        <v>-237999</v>
      </c>
      <c r="U528" s="419">
        <v>-250027</v>
      </c>
      <c r="V528" s="419">
        <v>-321358</v>
      </c>
      <c r="W528" s="419">
        <v>0</v>
      </c>
      <c r="X528" s="380">
        <v>4.793E-4</v>
      </c>
      <c r="Z528" s="419">
        <v>192009</v>
      </c>
      <c r="AA528" s="419">
        <v>134897</v>
      </c>
      <c r="AB528" s="419">
        <v>134896</v>
      </c>
      <c r="AC528" s="419">
        <v>0</v>
      </c>
      <c r="AD528" s="419">
        <v>0</v>
      </c>
      <c r="AE528" s="380">
        <v>4.793E-4</v>
      </c>
      <c r="AF528" s="380"/>
      <c r="AG528" s="419">
        <v>33464</v>
      </c>
      <c r="AH528" s="419">
        <v>22873</v>
      </c>
      <c r="AI528" s="419">
        <v>11907</v>
      </c>
      <c r="AJ528" s="419">
        <v>0</v>
      </c>
      <c r="AK528" s="419">
        <v>0</v>
      </c>
      <c r="AL528" s="380">
        <v>4.793E-4</v>
      </c>
      <c r="AM528" s="380"/>
      <c r="AN528" s="419">
        <v>-5462</v>
      </c>
      <c r="AO528" s="419">
        <v>-5463</v>
      </c>
      <c r="AP528" s="419">
        <v>0</v>
      </c>
      <c r="AQ528" s="419">
        <v>0</v>
      </c>
      <c r="AR528" s="419">
        <v>0</v>
      </c>
    </row>
    <row r="529" spans="1:44">
      <c r="A529" s="379">
        <v>95701</v>
      </c>
      <c r="B529" t="s">
        <v>1234</v>
      </c>
      <c r="C529" s="380">
        <v>1.1892999999999999E-3</v>
      </c>
      <c r="D529" s="380"/>
      <c r="E529" s="419">
        <v>94515</v>
      </c>
      <c r="F529" s="419">
        <v>-111047</v>
      </c>
      <c r="G529" s="419">
        <v>-218610</v>
      </c>
      <c r="H529" s="419">
        <v>-797395</v>
      </c>
      <c r="I529" s="419">
        <v>0</v>
      </c>
      <c r="J529" s="380">
        <v>1.1892999999999999E-3</v>
      </c>
      <c r="K529" s="380"/>
      <c r="L529" s="419">
        <v>291150</v>
      </c>
      <c r="M529" s="419">
        <v>201077</v>
      </c>
      <c r="N529" s="419">
        <v>88022</v>
      </c>
      <c r="O529" s="419">
        <v>0</v>
      </c>
      <c r="P529" s="419">
        <v>0</v>
      </c>
      <c r="Q529" s="380">
        <v>1.1892999999999999E-3</v>
      </c>
      <c r="R529" s="380"/>
      <c r="S529" s="419">
        <v>-597466</v>
      </c>
      <c r="T529" s="419">
        <v>-590553</v>
      </c>
      <c r="U529" s="419">
        <v>-620400</v>
      </c>
      <c r="V529" s="419">
        <v>-797395</v>
      </c>
      <c r="W529" s="419">
        <v>0</v>
      </c>
      <c r="X529" s="380">
        <v>1.1892999999999999E-3</v>
      </c>
      <c r="Z529" s="419">
        <v>476436</v>
      </c>
      <c r="AA529" s="419">
        <v>334723</v>
      </c>
      <c r="AB529" s="419">
        <v>334720</v>
      </c>
      <c r="AC529" s="419">
        <v>0</v>
      </c>
      <c r="AD529" s="419">
        <v>0</v>
      </c>
      <c r="AE529" s="380">
        <v>1.1892999999999999E-3</v>
      </c>
      <c r="AF529" s="380"/>
      <c r="AG529" s="419">
        <v>0</v>
      </c>
      <c r="AH529" s="419">
        <v>0</v>
      </c>
      <c r="AI529" s="419">
        <v>0</v>
      </c>
      <c r="AJ529" s="419">
        <v>0</v>
      </c>
      <c r="AK529" s="419">
        <v>0</v>
      </c>
      <c r="AL529" s="380">
        <v>1.1892999999999999E-3</v>
      </c>
      <c r="AM529" s="380"/>
      <c r="AN529" s="419">
        <v>-75605</v>
      </c>
      <c r="AO529" s="419">
        <v>-56294</v>
      </c>
      <c r="AP529" s="419">
        <v>-20952</v>
      </c>
      <c r="AQ529" s="419">
        <v>0</v>
      </c>
      <c r="AR529" s="419">
        <v>0</v>
      </c>
    </row>
    <row r="530" spans="1:44">
      <c r="A530" s="379">
        <v>95711</v>
      </c>
      <c r="B530" t="s">
        <v>1235</v>
      </c>
      <c r="C530" s="380">
        <v>1.6249999999999999E-4</v>
      </c>
      <c r="D530" s="380"/>
      <c r="E530" s="419">
        <v>24106</v>
      </c>
      <c r="F530" s="419">
        <v>-5422</v>
      </c>
      <c r="G530" s="419">
        <v>-22971</v>
      </c>
      <c r="H530" s="419">
        <v>-108952</v>
      </c>
      <c r="I530" s="419">
        <v>0</v>
      </c>
      <c r="J530" s="380">
        <v>1.6249999999999999E-4</v>
      </c>
      <c r="K530" s="380"/>
      <c r="L530" s="419">
        <v>39781</v>
      </c>
      <c r="M530" s="419">
        <v>27474</v>
      </c>
      <c r="N530" s="419">
        <v>12027</v>
      </c>
      <c r="O530" s="419">
        <v>0</v>
      </c>
      <c r="P530" s="419">
        <v>0</v>
      </c>
      <c r="Q530" s="380">
        <v>1.6249999999999999E-4</v>
      </c>
      <c r="R530" s="380"/>
      <c r="S530" s="419">
        <v>-81635</v>
      </c>
      <c r="T530" s="419">
        <v>-80690</v>
      </c>
      <c r="U530" s="419">
        <v>-84768</v>
      </c>
      <c r="V530" s="419">
        <v>-108952</v>
      </c>
      <c r="W530" s="419">
        <v>0</v>
      </c>
      <c r="X530" s="380">
        <v>1.6249999999999999E-4</v>
      </c>
      <c r="Z530" s="419">
        <v>65098</v>
      </c>
      <c r="AA530" s="419">
        <v>45735</v>
      </c>
      <c r="AB530" s="419">
        <v>45734</v>
      </c>
      <c r="AC530" s="419">
        <v>0</v>
      </c>
      <c r="AD530" s="419">
        <v>0</v>
      </c>
      <c r="AE530" s="380">
        <v>1.6249999999999999E-4</v>
      </c>
      <c r="AF530" s="380"/>
      <c r="AG530" s="419">
        <v>4035</v>
      </c>
      <c r="AH530" s="419">
        <v>4035</v>
      </c>
      <c r="AI530" s="419">
        <v>4036</v>
      </c>
      <c r="AJ530" s="419">
        <v>0</v>
      </c>
      <c r="AK530" s="419">
        <v>0</v>
      </c>
      <c r="AL530" s="380">
        <v>1.6249999999999999E-4</v>
      </c>
      <c r="AM530" s="380"/>
      <c r="AN530" s="419">
        <v>-3173</v>
      </c>
      <c r="AO530" s="419">
        <v>-1976</v>
      </c>
      <c r="AP530" s="419">
        <v>0</v>
      </c>
      <c r="AQ530" s="419">
        <v>0</v>
      </c>
      <c r="AR530" s="419">
        <v>0</v>
      </c>
    </row>
    <row r="531" spans="1:44">
      <c r="A531" s="379">
        <v>95721</v>
      </c>
      <c r="B531" t="s">
        <v>1236</v>
      </c>
      <c r="C531" s="380">
        <v>6.1799999999999998E-5</v>
      </c>
      <c r="D531" s="380"/>
      <c r="E531" s="419">
        <v>9683</v>
      </c>
      <c r="F531" s="419">
        <v>-1609</v>
      </c>
      <c r="G531" s="419">
        <v>-3405</v>
      </c>
      <c r="H531" s="419">
        <v>-41435</v>
      </c>
      <c r="I531" s="419">
        <v>0</v>
      </c>
      <c r="J531" s="380">
        <v>6.1799999999999998E-5</v>
      </c>
      <c r="K531" s="380"/>
      <c r="L531" s="419">
        <v>15129</v>
      </c>
      <c r="M531" s="419">
        <v>10449</v>
      </c>
      <c r="N531" s="419">
        <v>4574</v>
      </c>
      <c r="O531" s="419">
        <v>0</v>
      </c>
      <c r="P531" s="419">
        <v>0</v>
      </c>
      <c r="Q531" s="380">
        <v>6.1799999999999998E-5</v>
      </c>
      <c r="R531" s="380"/>
      <c r="S531" s="419">
        <v>-31046</v>
      </c>
      <c r="T531" s="419">
        <v>-30687</v>
      </c>
      <c r="U531" s="419">
        <v>-32238</v>
      </c>
      <c r="V531" s="419">
        <v>-41435</v>
      </c>
      <c r="W531" s="419">
        <v>0</v>
      </c>
      <c r="X531" s="380">
        <v>6.1799999999999998E-5</v>
      </c>
      <c r="Z531" s="419">
        <v>24757</v>
      </c>
      <c r="AA531" s="419">
        <v>17393</v>
      </c>
      <c r="AB531" s="419">
        <v>17393</v>
      </c>
      <c r="AC531" s="419">
        <v>0</v>
      </c>
      <c r="AD531" s="419">
        <v>0</v>
      </c>
      <c r="AE531" s="380">
        <v>6.1799999999999998E-5</v>
      </c>
      <c r="AF531" s="380"/>
      <c r="AG531" s="419">
        <v>6865</v>
      </c>
      <c r="AH531" s="419">
        <v>6865</v>
      </c>
      <c r="AI531" s="419">
        <v>6866</v>
      </c>
      <c r="AJ531" s="419">
        <v>0</v>
      </c>
      <c r="AK531" s="419">
        <v>0</v>
      </c>
      <c r="AL531" s="380">
        <v>6.1799999999999998E-5</v>
      </c>
      <c r="AM531" s="380"/>
      <c r="AN531" s="419">
        <v>-6022</v>
      </c>
      <c r="AO531" s="419">
        <v>-5629</v>
      </c>
      <c r="AP531" s="419">
        <v>0</v>
      </c>
      <c r="AQ531" s="419">
        <v>0</v>
      </c>
      <c r="AR531" s="419">
        <v>0</v>
      </c>
    </row>
    <row r="532" spans="1:44">
      <c r="A532" s="379">
        <v>95733</v>
      </c>
      <c r="B532" t="s">
        <v>1237</v>
      </c>
      <c r="C532" s="380">
        <v>1.36E-5</v>
      </c>
      <c r="D532" s="380"/>
      <c r="E532" s="419">
        <v>2070</v>
      </c>
      <c r="F532" s="419">
        <v>-512</v>
      </c>
      <c r="G532" s="419">
        <v>-1804</v>
      </c>
      <c r="H532" s="419">
        <v>-9118</v>
      </c>
      <c r="I532" s="419">
        <v>0</v>
      </c>
      <c r="J532" s="380">
        <v>1.36E-5</v>
      </c>
      <c r="K532" s="380"/>
      <c r="L532" s="419">
        <v>3329</v>
      </c>
      <c r="M532" s="419">
        <v>2299</v>
      </c>
      <c r="N532" s="419">
        <v>1007</v>
      </c>
      <c r="O532" s="419">
        <v>0</v>
      </c>
      <c r="P532" s="419">
        <v>0</v>
      </c>
      <c r="Q532" s="380">
        <v>1.36E-5</v>
      </c>
      <c r="R532" s="380"/>
      <c r="S532" s="419">
        <v>-6832</v>
      </c>
      <c r="T532" s="419">
        <v>-6753</v>
      </c>
      <c r="U532" s="419">
        <v>-7094</v>
      </c>
      <c r="V532" s="419">
        <v>-9118</v>
      </c>
      <c r="W532" s="419">
        <v>0</v>
      </c>
      <c r="X532" s="380">
        <v>1.36E-5</v>
      </c>
      <c r="Z532" s="419">
        <v>5448</v>
      </c>
      <c r="AA532" s="419">
        <v>3828</v>
      </c>
      <c r="AB532" s="419">
        <v>3828</v>
      </c>
      <c r="AC532" s="419">
        <v>0</v>
      </c>
      <c r="AD532" s="419">
        <v>0</v>
      </c>
      <c r="AE532" s="380">
        <v>1.36E-5</v>
      </c>
      <c r="AF532" s="380"/>
      <c r="AG532" s="419">
        <v>470</v>
      </c>
      <c r="AH532" s="419">
        <v>457</v>
      </c>
      <c r="AI532" s="419">
        <v>455</v>
      </c>
      <c r="AJ532" s="419">
        <v>0</v>
      </c>
      <c r="AK532" s="419">
        <v>0</v>
      </c>
      <c r="AL532" s="380">
        <v>1.36E-5</v>
      </c>
      <c r="AM532" s="380"/>
      <c r="AN532" s="419">
        <v>-345</v>
      </c>
      <c r="AO532" s="419">
        <v>-343</v>
      </c>
      <c r="AP532" s="419">
        <v>0</v>
      </c>
      <c r="AQ532" s="419">
        <v>0</v>
      </c>
      <c r="AR532" s="419">
        <v>0</v>
      </c>
    </row>
    <row r="533" spans="1:44">
      <c r="A533" s="379">
        <v>95801</v>
      </c>
      <c r="B533" t="s">
        <v>1238</v>
      </c>
      <c r="C533" s="380">
        <v>8.8820000000000001E-4</v>
      </c>
      <c r="D533" s="380"/>
      <c r="E533" s="419">
        <v>124472</v>
      </c>
      <c r="F533" s="419">
        <v>-49100</v>
      </c>
      <c r="G533" s="419">
        <v>-154741</v>
      </c>
      <c r="H533" s="419">
        <v>-595515</v>
      </c>
      <c r="I533" s="419">
        <v>0</v>
      </c>
      <c r="J533" s="380">
        <v>8.8820000000000001E-4</v>
      </c>
      <c r="K533" s="380"/>
      <c r="L533" s="419">
        <v>217438</v>
      </c>
      <c r="M533" s="419">
        <v>150170</v>
      </c>
      <c r="N533" s="419">
        <v>65737</v>
      </c>
      <c r="O533" s="419">
        <v>0</v>
      </c>
      <c r="P533" s="419">
        <v>0</v>
      </c>
      <c r="Q533" s="380">
        <v>8.8820000000000001E-4</v>
      </c>
      <c r="R533" s="380"/>
      <c r="S533" s="419">
        <v>-446203</v>
      </c>
      <c r="T533" s="419">
        <v>-441040</v>
      </c>
      <c r="U533" s="419">
        <v>-463330</v>
      </c>
      <c r="V533" s="419">
        <v>-595515</v>
      </c>
      <c r="W533" s="419">
        <v>0</v>
      </c>
      <c r="X533" s="380">
        <v>8.8820000000000001E-4</v>
      </c>
      <c r="Z533" s="419">
        <v>355815</v>
      </c>
      <c r="AA533" s="419">
        <v>249979</v>
      </c>
      <c r="AB533" s="419">
        <v>249978</v>
      </c>
      <c r="AC533" s="419">
        <v>0</v>
      </c>
      <c r="AD533" s="419">
        <v>0</v>
      </c>
      <c r="AE533" s="380">
        <v>8.8820000000000001E-4</v>
      </c>
      <c r="AF533" s="380"/>
      <c r="AG533" s="419">
        <v>5634</v>
      </c>
      <c r="AH533" s="419">
        <v>0</v>
      </c>
      <c r="AI533" s="419">
        <v>0</v>
      </c>
      <c r="AJ533" s="419">
        <v>0</v>
      </c>
      <c r="AK533" s="419">
        <v>0</v>
      </c>
      <c r="AL533" s="380">
        <v>8.8820000000000001E-4</v>
      </c>
      <c r="AM533" s="380"/>
      <c r="AN533" s="419">
        <v>-8212</v>
      </c>
      <c r="AO533" s="419">
        <v>-8209</v>
      </c>
      <c r="AP533" s="419">
        <v>-7126</v>
      </c>
      <c r="AQ533" s="419">
        <v>0</v>
      </c>
      <c r="AR533" s="419">
        <v>0</v>
      </c>
    </row>
    <row r="534" spans="1:44">
      <c r="A534" s="379">
        <v>95802</v>
      </c>
      <c r="B534" t="s">
        <v>1239</v>
      </c>
      <c r="C534" s="380">
        <v>6.9E-6</v>
      </c>
      <c r="D534" s="380"/>
      <c r="E534" s="419">
        <v>5254</v>
      </c>
      <c r="F534" s="419">
        <v>3449</v>
      </c>
      <c r="G534" s="419">
        <v>921</v>
      </c>
      <c r="H534" s="419">
        <v>-4626</v>
      </c>
      <c r="I534" s="419">
        <v>0</v>
      </c>
      <c r="J534" s="380">
        <v>6.9E-6</v>
      </c>
      <c r="K534" s="380"/>
      <c r="L534" s="419">
        <v>1689</v>
      </c>
      <c r="M534" s="419">
        <v>1167</v>
      </c>
      <c r="N534" s="419">
        <v>511</v>
      </c>
      <c r="O534" s="419">
        <v>0</v>
      </c>
      <c r="P534" s="419">
        <v>0</v>
      </c>
      <c r="Q534" s="380">
        <v>6.9E-6</v>
      </c>
      <c r="R534" s="380"/>
      <c r="S534" s="419">
        <v>-3466</v>
      </c>
      <c r="T534" s="419">
        <v>-3426</v>
      </c>
      <c r="U534" s="419">
        <v>-3599</v>
      </c>
      <c r="V534" s="419">
        <v>-4626</v>
      </c>
      <c r="W534" s="419">
        <v>0</v>
      </c>
      <c r="X534" s="380">
        <v>6.9E-6</v>
      </c>
      <c r="Z534" s="419">
        <v>2764</v>
      </c>
      <c r="AA534" s="419">
        <v>1942</v>
      </c>
      <c r="AB534" s="419">
        <v>1942</v>
      </c>
      <c r="AC534" s="419">
        <v>0</v>
      </c>
      <c r="AD534" s="419">
        <v>0</v>
      </c>
      <c r="AE534" s="380">
        <v>6.9E-6</v>
      </c>
      <c r="AF534" s="380"/>
      <c r="AG534" s="419">
        <v>4267</v>
      </c>
      <c r="AH534" s="419">
        <v>3766</v>
      </c>
      <c r="AI534" s="419">
        <v>2067</v>
      </c>
      <c r="AJ534" s="419">
        <v>0</v>
      </c>
      <c r="AK534" s="419">
        <v>0</v>
      </c>
      <c r="AL534" s="380">
        <v>6.9E-6</v>
      </c>
      <c r="AM534" s="380"/>
      <c r="AN534" s="419">
        <v>0</v>
      </c>
      <c r="AO534" s="419">
        <v>0</v>
      </c>
      <c r="AP534" s="419">
        <v>0</v>
      </c>
      <c r="AQ534" s="419">
        <v>0</v>
      </c>
      <c r="AR534" s="419">
        <v>0</v>
      </c>
    </row>
    <row r="535" spans="1:44">
      <c r="A535" s="379">
        <v>95804</v>
      </c>
      <c r="B535" t="s">
        <v>1240</v>
      </c>
      <c r="C535" s="380">
        <v>2.5299999999999998E-5</v>
      </c>
      <c r="D535" s="380"/>
      <c r="E535" s="419">
        <v>1339</v>
      </c>
      <c r="F535" s="419">
        <v>-2852</v>
      </c>
      <c r="G535" s="419">
        <v>-5372</v>
      </c>
      <c r="H535" s="419">
        <v>-16963</v>
      </c>
      <c r="I535" s="419">
        <v>0</v>
      </c>
      <c r="J535" s="380">
        <v>2.5299999999999998E-5</v>
      </c>
      <c r="K535" s="380"/>
      <c r="L535" s="419">
        <v>6194</v>
      </c>
      <c r="M535" s="419">
        <v>4278</v>
      </c>
      <c r="N535" s="419">
        <v>1873</v>
      </c>
      <c r="O535" s="419">
        <v>0</v>
      </c>
      <c r="P535" s="419">
        <v>0</v>
      </c>
      <c r="Q535" s="380">
        <v>2.5299999999999998E-5</v>
      </c>
      <c r="R535" s="380"/>
      <c r="S535" s="419">
        <v>-12710</v>
      </c>
      <c r="T535" s="419">
        <v>-12563</v>
      </c>
      <c r="U535" s="419">
        <v>-13198</v>
      </c>
      <c r="V535" s="419">
        <v>-16963</v>
      </c>
      <c r="W535" s="419">
        <v>0</v>
      </c>
      <c r="X535" s="380">
        <v>2.5299999999999998E-5</v>
      </c>
      <c r="Z535" s="419">
        <v>10135</v>
      </c>
      <c r="AA535" s="419">
        <v>7121</v>
      </c>
      <c r="AB535" s="419">
        <v>7121</v>
      </c>
      <c r="AC535" s="419">
        <v>0</v>
      </c>
      <c r="AD535" s="419">
        <v>0</v>
      </c>
      <c r="AE535" s="380">
        <v>2.5299999999999998E-5</v>
      </c>
      <c r="AF535" s="380"/>
      <c r="AG535" s="419">
        <v>212</v>
      </c>
      <c r="AH535" s="419">
        <v>214</v>
      </c>
      <c r="AI535" s="419">
        <v>0</v>
      </c>
      <c r="AJ535" s="419">
        <v>0</v>
      </c>
      <c r="AK535" s="419">
        <v>0</v>
      </c>
      <c r="AL535" s="380">
        <v>2.5299999999999998E-5</v>
      </c>
      <c r="AM535" s="380"/>
      <c r="AN535" s="419">
        <v>-2492</v>
      </c>
      <c r="AO535" s="419">
        <v>-1902</v>
      </c>
      <c r="AP535" s="419">
        <v>-1168</v>
      </c>
      <c r="AQ535" s="419">
        <v>0</v>
      </c>
      <c r="AR535" s="419">
        <v>0</v>
      </c>
    </row>
    <row r="536" spans="1:44">
      <c r="A536" s="379">
        <v>95811</v>
      </c>
      <c r="B536" t="s">
        <v>1241</v>
      </c>
      <c r="C536" s="380">
        <v>5.2939999999999997E-4</v>
      </c>
      <c r="D536" s="380"/>
      <c r="E536" s="419">
        <v>66065</v>
      </c>
      <c r="F536" s="419">
        <v>-34234</v>
      </c>
      <c r="G536" s="419">
        <v>-104865</v>
      </c>
      <c r="H536" s="419">
        <v>-354949</v>
      </c>
      <c r="I536" s="419">
        <v>0</v>
      </c>
      <c r="J536" s="380">
        <v>5.2939999999999997E-4</v>
      </c>
      <c r="K536" s="380"/>
      <c r="L536" s="419">
        <v>129601</v>
      </c>
      <c r="M536" s="419">
        <v>89507</v>
      </c>
      <c r="N536" s="419">
        <v>39182</v>
      </c>
      <c r="O536" s="419">
        <v>0</v>
      </c>
      <c r="P536" s="419">
        <v>0</v>
      </c>
      <c r="Q536" s="380">
        <v>5.2939999999999997E-4</v>
      </c>
      <c r="R536" s="380"/>
      <c r="S536" s="419">
        <v>-265954</v>
      </c>
      <c r="T536" s="419">
        <v>-262876</v>
      </c>
      <c r="U536" s="419">
        <v>-276162</v>
      </c>
      <c r="V536" s="419">
        <v>-354949</v>
      </c>
      <c r="W536" s="419">
        <v>0</v>
      </c>
      <c r="X536" s="380">
        <v>5.2939999999999997E-4</v>
      </c>
      <c r="Z536" s="419">
        <v>212079</v>
      </c>
      <c r="AA536" s="419">
        <v>148997</v>
      </c>
      <c r="AB536" s="419">
        <v>148996</v>
      </c>
      <c r="AC536" s="419">
        <v>0</v>
      </c>
      <c r="AD536" s="419">
        <v>0</v>
      </c>
      <c r="AE536" s="380">
        <v>5.2939999999999997E-4</v>
      </c>
      <c r="AF536" s="380"/>
      <c r="AG536" s="419">
        <v>7222</v>
      </c>
      <c r="AH536" s="419">
        <v>7021</v>
      </c>
      <c r="AI536" s="419">
        <v>0</v>
      </c>
      <c r="AJ536" s="419">
        <v>0</v>
      </c>
      <c r="AK536" s="419">
        <v>0</v>
      </c>
      <c r="AL536" s="380">
        <v>5.2939999999999997E-4</v>
      </c>
      <c r="AM536" s="380"/>
      <c r="AN536" s="419">
        <v>-16883</v>
      </c>
      <c r="AO536" s="419">
        <v>-16883</v>
      </c>
      <c r="AP536" s="419">
        <v>-16881</v>
      </c>
      <c r="AQ536" s="419">
        <v>0</v>
      </c>
      <c r="AR536" s="419">
        <v>0</v>
      </c>
    </row>
    <row r="537" spans="1:44">
      <c r="A537" s="379">
        <v>95813</v>
      </c>
      <c r="B537" t="s">
        <v>1242</v>
      </c>
      <c r="C537" s="380">
        <v>4.6100000000000002E-5</v>
      </c>
      <c r="D537" s="380"/>
      <c r="E537" s="419">
        <v>28978</v>
      </c>
      <c r="F537" s="419">
        <v>10599</v>
      </c>
      <c r="G537" s="419">
        <v>-2722</v>
      </c>
      <c r="H537" s="419">
        <v>-30909</v>
      </c>
      <c r="I537" s="419">
        <v>0</v>
      </c>
      <c r="J537" s="380">
        <v>4.6100000000000002E-5</v>
      </c>
      <c r="K537" s="380"/>
      <c r="L537" s="419">
        <v>11286</v>
      </c>
      <c r="M537" s="419">
        <v>7794</v>
      </c>
      <c r="N537" s="419">
        <v>3412</v>
      </c>
      <c r="O537" s="419">
        <v>0</v>
      </c>
      <c r="P537" s="419">
        <v>0</v>
      </c>
      <c r="Q537" s="380">
        <v>4.6100000000000002E-5</v>
      </c>
      <c r="R537" s="380"/>
      <c r="S537" s="419">
        <v>-23159</v>
      </c>
      <c r="T537" s="419">
        <v>-22891</v>
      </c>
      <c r="U537" s="419">
        <v>-24048</v>
      </c>
      <c r="V537" s="419">
        <v>-30909</v>
      </c>
      <c r="W537" s="419">
        <v>0</v>
      </c>
      <c r="X537" s="380">
        <v>4.6100000000000002E-5</v>
      </c>
      <c r="Z537" s="419">
        <v>18468</v>
      </c>
      <c r="AA537" s="419">
        <v>12975</v>
      </c>
      <c r="AB537" s="419">
        <v>12975</v>
      </c>
      <c r="AC537" s="419">
        <v>0</v>
      </c>
      <c r="AD537" s="419">
        <v>0</v>
      </c>
      <c r="AE537" s="380">
        <v>4.6100000000000002E-5</v>
      </c>
      <c r="AF537" s="380"/>
      <c r="AG537" s="419">
        <v>22383</v>
      </c>
      <c r="AH537" s="419">
        <v>12721</v>
      </c>
      <c r="AI537" s="419">
        <v>4939</v>
      </c>
      <c r="AJ537" s="419">
        <v>0</v>
      </c>
      <c r="AK537" s="419">
        <v>0</v>
      </c>
      <c r="AL537" s="380">
        <v>4.6100000000000002E-5</v>
      </c>
      <c r="AM537" s="380"/>
      <c r="AN537" s="419">
        <v>0</v>
      </c>
      <c r="AO537" s="419">
        <v>0</v>
      </c>
      <c r="AP537" s="419">
        <v>0</v>
      </c>
      <c r="AQ537" s="419">
        <v>0</v>
      </c>
      <c r="AR537" s="419">
        <v>0</v>
      </c>
    </row>
    <row r="538" spans="1:44">
      <c r="A538" s="379">
        <v>95821</v>
      </c>
      <c r="B538" t="s">
        <v>1243</v>
      </c>
      <c r="C538" s="380">
        <v>7.0999999999999998E-6</v>
      </c>
      <c r="D538" s="380"/>
      <c r="E538" s="419">
        <v>2822</v>
      </c>
      <c r="F538" s="419">
        <v>1073</v>
      </c>
      <c r="G538" s="419">
        <v>-768</v>
      </c>
      <c r="H538" s="419">
        <v>-4760</v>
      </c>
      <c r="I538" s="419">
        <v>0</v>
      </c>
      <c r="J538" s="380">
        <v>7.0999999999999998E-6</v>
      </c>
      <c r="K538" s="380"/>
      <c r="L538" s="419">
        <v>1738</v>
      </c>
      <c r="M538" s="419">
        <v>1200</v>
      </c>
      <c r="N538" s="419">
        <v>525</v>
      </c>
      <c r="O538" s="419">
        <v>0</v>
      </c>
      <c r="P538" s="419">
        <v>0</v>
      </c>
      <c r="Q538" s="380">
        <v>7.0999999999999998E-6</v>
      </c>
      <c r="R538" s="380"/>
      <c r="S538" s="419">
        <v>-3567</v>
      </c>
      <c r="T538" s="419">
        <v>-3526</v>
      </c>
      <c r="U538" s="419">
        <v>-3704</v>
      </c>
      <c r="V538" s="419">
        <v>-4760</v>
      </c>
      <c r="W538" s="419">
        <v>0</v>
      </c>
      <c r="X538" s="380">
        <v>7.0999999999999998E-6</v>
      </c>
      <c r="Z538" s="419">
        <v>2844</v>
      </c>
      <c r="AA538" s="419">
        <v>1998</v>
      </c>
      <c r="AB538" s="419">
        <v>1998</v>
      </c>
      <c r="AC538" s="419">
        <v>0</v>
      </c>
      <c r="AD538" s="419">
        <v>0</v>
      </c>
      <c r="AE538" s="380">
        <v>7.0999999999999998E-6</v>
      </c>
      <c r="AF538" s="380"/>
      <c r="AG538" s="419">
        <v>2037</v>
      </c>
      <c r="AH538" s="419">
        <v>1632</v>
      </c>
      <c r="AI538" s="419">
        <v>413</v>
      </c>
      <c r="AJ538" s="419">
        <v>0</v>
      </c>
      <c r="AK538" s="419">
        <v>0</v>
      </c>
      <c r="AL538" s="380">
        <v>7.0999999999999998E-6</v>
      </c>
      <c r="AM538" s="380"/>
      <c r="AN538" s="419">
        <v>-230</v>
      </c>
      <c r="AO538" s="419">
        <v>-231</v>
      </c>
      <c r="AP538" s="419">
        <v>0</v>
      </c>
      <c r="AQ538" s="419">
        <v>0</v>
      </c>
      <c r="AR538" s="419">
        <v>0</v>
      </c>
    </row>
    <row r="539" spans="1:44">
      <c r="A539" s="379">
        <v>95831</v>
      </c>
      <c r="B539" t="s">
        <v>1244</v>
      </c>
      <c r="C539" s="380">
        <v>2.02E-5</v>
      </c>
      <c r="D539" s="380"/>
      <c r="E539" s="419">
        <v>12453</v>
      </c>
      <c r="F539" s="419">
        <v>6052</v>
      </c>
      <c r="G539" s="419">
        <v>1765</v>
      </c>
      <c r="H539" s="419">
        <v>-13544</v>
      </c>
      <c r="I539" s="419">
        <v>0</v>
      </c>
      <c r="J539" s="380">
        <v>2.02E-5</v>
      </c>
      <c r="K539" s="380"/>
      <c r="L539" s="419">
        <v>4945</v>
      </c>
      <c r="M539" s="419">
        <v>3415</v>
      </c>
      <c r="N539" s="419">
        <v>1495</v>
      </c>
      <c r="O539" s="419">
        <v>0</v>
      </c>
      <c r="P539" s="419">
        <v>0</v>
      </c>
      <c r="Q539" s="380">
        <v>2.02E-5</v>
      </c>
      <c r="R539" s="380"/>
      <c r="S539" s="419">
        <v>-10148</v>
      </c>
      <c r="T539" s="419">
        <v>-10030</v>
      </c>
      <c r="U539" s="419">
        <v>-10537</v>
      </c>
      <c r="V539" s="419">
        <v>-13544</v>
      </c>
      <c r="W539" s="419">
        <v>0</v>
      </c>
      <c r="X539" s="380">
        <v>2.02E-5</v>
      </c>
      <c r="Z539" s="419">
        <v>8092</v>
      </c>
      <c r="AA539" s="419">
        <v>5685</v>
      </c>
      <c r="AB539" s="419">
        <v>5685</v>
      </c>
      <c r="AC539" s="419">
        <v>0</v>
      </c>
      <c r="AD539" s="419">
        <v>0</v>
      </c>
      <c r="AE539" s="380">
        <v>2.02E-5</v>
      </c>
      <c r="AF539" s="380"/>
      <c r="AG539" s="419">
        <v>9564</v>
      </c>
      <c r="AH539" s="419">
        <v>6982</v>
      </c>
      <c r="AI539" s="419">
        <v>5122</v>
      </c>
      <c r="AJ539" s="419">
        <v>0</v>
      </c>
      <c r="AK539" s="419">
        <v>0</v>
      </c>
      <c r="AL539" s="380">
        <v>2.02E-5</v>
      </c>
      <c r="AM539" s="380"/>
      <c r="AN539" s="419">
        <v>0</v>
      </c>
      <c r="AO539" s="419">
        <v>0</v>
      </c>
      <c r="AP539" s="419">
        <v>0</v>
      </c>
      <c r="AQ539" s="419">
        <v>0</v>
      </c>
      <c r="AR539" s="419">
        <v>0</v>
      </c>
    </row>
    <row r="540" spans="1:44">
      <c r="A540" s="379">
        <v>95841</v>
      </c>
      <c r="B540" t="s">
        <v>1245</v>
      </c>
      <c r="C540" s="380">
        <v>2.5299999999999998E-5</v>
      </c>
      <c r="D540" s="380"/>
      <c r="E540" s="419">
        <v>3510</v>
      </c>
      <c r="F540" s="419">
        <v>-1703</v>
      </c>
      <c r="G540" s="419">
        <v>-5453</v>
      </c>
      <c r="H540" s="419">
        <v>-16963</v>
      </c>
      <c r="I540" s="419">
        <v>0</v>
      </c>
      <c r="J540" s="380">
        <v>2.5299999999999998E-5</v>
      </c>
      <c r="K540" s="380"/>
      <c r="L540" s="419">
        <v>6194</v>
      </c>
      <c r="M540" s="419">
        <v>4278</v>
      </c>
      <c r="N540" s="419">
        <v>1873</v>
      </c>
      <c r="O540" s="419">
        <v>0</v>
      </c>
      <c r="P540" s="419">
        <v>0</v>
      </c>
      <c r="Q540" s="380">
        <v>2.5299999999999998E-5</v>
      </c>
      <c r="R540" s="380"/>
      <c r="S540" s="419">
        <v>-12710</v>
      </c>
      <c r="T540" s="419">
        <v>-12563</v>
      </c>
      <c r="U540" s="419">
        <v>-13198</v>
      </c>
      <c r="V540" s="419">
        <v>-16963</v>
      </c>
      <c r="W540" s="419">
        <v>0</v>
      </c>
      <c r="X540" s="380">
        <v>2.5299999999999998E-5</v>
      </c>
      <c r="Z540" s="419">
        <v>10135</v>
      </c>
      <c r="AA540" s="419">
        <v>7121</v>
      </c>
      <c r="AB540" s="419">
        <v>7121</v>
      </c>
      <c r="AC540" s="419">
        <v>0</v>
      </c>
      <c r="AD540" s="419">
        <v>0</v>
      </c>
      <c r="AE540" s="380">
        <v>2.5299999999999998E-5</v>
      </c>
      <c r="AF540" s="380"/>
      <c r="AG540" s="419">
        <v>1430</v>
      </c>
      <c r="AH540" s="419">
        <v>1000</v>
      </c>
      <c r="AI540" s="419">
        <v>0</v>
      </c>
      <c r="AJ540" s="419">
        <v>0</v>
      </c>
      <c r="AK540" s="419">
        <v>0</v>
      </c>
      <c r="AL540" s="380">
        <v>2.5299999999999998E-5</v>
      </c>
      <c r="AM540" s="380"/>
      <c r="AN540" s="419">
        <v>-1539</v>
      </c>
      <c r="AO540" s="419">
        <v>-1539</v>
      </c>
      <c r="AP540" s="419">
        <v>-1249</v>
      </c>
      <c r="AQ540" s="419">
        <v>0</v>
      </c>
      <c r="AR540" s="419">
        <v>0</v>
      </c>
    </row>
    <row r="541" spans="1:44">
      <c r="A541" s="379">
        <v>95851</v>
      </c>
      <c r="B541" t="s">
        <v>1246</v>
      </c>
      <c r="C541" s="380">
        <v>1.0840000000000001E-4</v>
      </c>
      <c r="D541" s="380"/>
      <c r="E541" s="419">
        <v>32367</v>
      </c>
      <c r="F541" s="419">
        <v>-4355</v>
      </c>
      <c r="G541" s="419">
        <v>-28749</v>
      </c>
      <c r="H541" s="419">
        <v>-72679</v>
      </c>
      <c r="I541" s="419">
        <v>0</v>
      </c>
      <c r="J541" s="380">
        <v>1.0840000000000001E-4</v>
      </c>
      <c r="K541" s="380"/>
      <c r="L541" s="419">
        <v>26537</v>
      </c>
      <c r="M541" s="419">
        <v>18327</v>
      </c>
      <c r="N541" s="419">
        <v>8023</v>
      </c>
      <c r="O541" s="419">
        <v>0</v>
      </c>
      <c r="P541" s="419">
        <v>0</v>
      </c>
      <c r="Q541" s="380">
        <v>1.0840000000000001E-4</v>
      </c>
      <c r="R541" s="380"/>
      <c r="S541" s="419">
        <v>-54457</v>
      </c>
      <c r="T541" s="419">
        <v>-53827</v>
      </c>
      <c r="U541" s="419">
        <v>-56547</v>
      </c>
      <c r="V541" s="419">
        <v>-72679</v>
      </c>
      <c r="W541" s="419">
        <v>0</v>
      </c>
      <c r="X541" s="380">
        <v>1.0840000000000001E-4</v>
      </c>
      <c r="Z541" s="419">
        <v>43425</v>
      </c>
      <c r="AA541" s="419">
        <v>30509</v>
      </c>
      <c r="AB541" s="419">
        <v>30508</v>
      </c>
      <c r="AC541" s="419">
        <v>0</v>
      </c>
      <c r="AD541" s="419">
        <v>0</v>
      </c>
      <c r="AE541" s="380">
        <v>1.0840000000000001E-4</v>
      </c>
      <c r="AF541" s="380"/>
      <c r="AG541" s="419">
        <v>28067</v>
      </c>
      <c r="AH541" s="419">
        <v>11842</v>
      </c>
      <c r="AI541" s="419">
        <v>0</v>
      </c>
      <c r="AJ541" s="419">
        <v>0</v>
      </c>
      <c r="AK541" s="419">
        <v>0</v>
      </c>
      <c r="AL541" s="380">
        <v>1.0840000000000001E-4</v>
      </c>
      <c r="AM541" s="380"/>
      <c r="AN541" s="419">
        <v>-11205</v>
      </c>
      <c r="AO541" s="419">
        <v>-11206</v>
      </c>
      <c r="AP541" s="419">
        <v>-10733</v>
      </c>
      <c r="AQ541" s="419">
        <v>0</v>
      </c>
      <c r="AR541" s="419">
        <v>0</v>
      </c>
    </row>
    <row r="542" spans="1:44">
      <c r="A542" s="379">
        <v>95853</v>
      </c>
      <c r="B542" t="s">
        <v>1247</v>
      </c>
      <c r="C542" s="380">
        <v>2.8E-5</v>
      </c>
      <c r="D542" s="380"/>
      <c r="E542" s="419">
        <v>4069</v>
      </c>
      <c r="F542" s="419">
        <v>-2139</v>
      </c>
      <c r="G542" s="419">
        <v>-5304</v>
      </c>
      <c r="H542" s="419">
        <v>-18773</v>
      </c>
      <c r="I542" s="419">
        <v>0</v>
      </c>
      <c r="J542" s="380">
        <v>2.8E-5</v>
      </c>
      <c r="K542" s="380"/>
      <c r="L542" s="419">
        <v>6855</v>
      </c>
      <c r="M542" s="419">
        <v>4734</v>
      </c>
      <c r="N542" s="419">
        <v>2072</v>
      </c>
      <c r="O542" s="419">
        <v>0</v>
      </c>
      <c r="P542" s="419">
        <v>0</v>
      </c>
      <c r="Q542" s="380">
        <v>2.8E-5</v>
      </c>
      <c r="R542" s="380"/>
      <c r="S542" s="419">
        <v>-14066</v>
      </c>
      <c r="T542" s="419">
        <v>-13904</v>
      </c>
      <c r="U542" s="419">
        <v>-14606</v>
      </c>
      <c r="V542" s="419">
        <v>-18773</v>
      </c>
      <c r="W542" s="419">
        <v>0</v>
      </c>
      <c r="X542" s="380">
        <v>2.8E-5</v>
      </c>
      <c r="Z542" s="419">
        <v>11217</v>
      </c>
      <c r="AA542" s="419">
        <v>7880</v>
      </c>
      <c r="AB542" s="419">
        <v>7880</v>
      </c>
      <c r="AC542" s="419">
        <v>0</v>
      </c>
      <c r="AD542" s="419">
        <v>0</v>
      </c>
      <c r="AE542" s="380">
        <v>2.8E-5</v>
      </c>
      <c r="AF542" s="380"/>
      <c r="AG542" s="419">
        <v>913</v>
      </c>
      <c r="AH542" s="419">
        <v>0</v>
      </c>
      <c r="AI542" s="419">
        <v>0</v>
      </c>
      <c r="AJ542" s="419">
        <v>0</v>
      </c>
      <c r="AK542" s="419">
        <v>0</v>
      </c>
      <c r="AL542" s="380">
        <v>2.8E-5</v>
      </c>
      <c r="AM542" s="380"/>
      <c r="AN542" s="419">
        <v>-850</v>
      </c>
      <c r="AO542" s="419">
        <v>-849</v>
      </c>
      <c r="AP542" s="419">
        <v>-650</v>
      </c>
      <c r="AQ542" s="419">
        <v>0</v>
      </c>
      <c r="AR542" s="419">
        <v>0</v>
      </c>
    </row>
    <row r="543" spans="1:44">
      <c r="A543" s="379">
        <v>95901</v>
      </c>
      <c r="B543" t="s">
        <v>1248</v>
      </c>
      <c r="C543" s="380">
        <v>2.0098999999999998E-3</v>
      </c>
      <c r="D543" s="380"/>
      <c r="E543" s="419">
        <v>290461</v>
      </c>
      <c r="F543" s="419">
        <v>-88941</v>
      </c>
      <c r="G543" s="419">
        <v>-319931</v>
      </c>
      <c r="H543" s="419">
        <v>-1347586</v>
      </c>
      <c r="I543" s="419">
        <v>0</v>
      </c>
      <c r="J543" s="380">
        <v>2.0098999999999998E-3</v>
      </c>
      <c r="K543" s="380"/>
      <c r="L543" s="419">
        <v>492040</v>
      </c>
      <c r="M543" s="419">
        <v>339818</v>
      </c>
      <c r="N543" s="419">
        <v>148757</v>
      </c>
      <c r="O543" s="419">
        <v>0</v>
      </c>
      <c r="P543" s="419">
        <v>0</v>
      </c>
      <c r="Q543" s="380">
        <v>2.0098999999999998E-3</v>
      </c>
      <c r="R543" s="380"/>
      <c r="S543" s="419">
        <v>-1009709</v>
      </c>
      <c r="T543" s="419">
        <v>-998026</v>
      </c>
      <c r="U543" s="419">
        <v>-1048466</v>
      </c>
      <c r="V543" s="419">
        <v>-1347586</v>
      </c>
      <c r="W543" s="419">
        <v>0</v>
      </c>
      <c r="X543" s="380">
        <v>2.0098999999999998E-3</v>
      </c>
      <c r="Z543" s="419">
        <v>805170</v>
      </c>
      <c r="AA543" s="419">
        <v>565676</v>
      </c>
      <c r="AB543" s="419">
        <v>565672</v>
      </c>
      <c r="AC543" s="419">
        <v>0</v>
      </c>
      <c r="AD543" s="419">
        <v>0</v>
      </c>
      <c r="AE543" s="380">
        <v>2.0098999999999998E-3</v>
      </c>
      <c r="AF543" s="380"/>
      <c r="AG543" s="419">
        <v>14106</v>
      </c>
      <c r="AH543" s="419">
        <v>14106</v>
      </c>
      <c r="AI543" s="419">
        <v>14106</v>
      </c>
      <c r="AJ543" s="419">
        <v>0</v>
      </c>
      <c r="AK543" s="419">
        <v>0</v>
      </c>
      <c r="AL543" s="380">
        <v>2.0098999999999998E-3</v>
      </c>
      <c r="AM543" s="380"/>
      <c r="AN543" s="419">
        <v>-11146</v>
      </c>
      <c r="AO543" s="419">
        <v>-10515</v>
      </c>
      <c r="AP543" s="419">
        <v>0</v>
      </c>
      <c r="AQ543" s="419">
        <v>0</v>
      </c>
      <c r="AR543" s="419">
        <v>0</v>
      </c>
    </row>
    <row r="544" spans="1:44">
      <c r="A544" s="379">
        <v>95908</v>
      </c>
      <c r="B544" t="s">
        <v>1249</v>
      </c>
      <c r="C544" s="380">
        <v>5.8999999999999998E-5</v>
      </c>
      <c r="D544" s="380"/>
      <c r="E544" s="419">
        <v>-216</v>
      </c>
      <c r="F544" s="419">
        <v>-8749</v>
      </c>
      <c r="G544" s="419">
        <v>-9643</v>
      </c>
      <c r="H544" s="419">
        <v>-39558</v>
      </c>
      <c r="I544" s="419">
        <v>0</v>
      </c>
      <c r="J544" s="380">
        <v>5.8999999999999998E-5</v>
      </c>
      <c r="K544" s="380"/>
      <c r="L544" s="419">
        <v>14444</v>
      </c>
      <c r="M544" s="419">
        <v>9975</v>
      </c>
      <c r="N544" s="419">
        <v>4367</v>
      </c>
      <c r="O544" s="419">
        <v>0</v>
      </c>
      <c r="P544" s="419">
        <v>0</v>
      </c>
      <c r="Q544" s="380">
        <v>5.8999999999999998E-5</v>
      </c>
      <c r="R544" s="380"/>
      <c r="S544" s="419">
        <v>-29640</v>
      </c>
      <c r="T544" s="419">
        <v>-29297</v>
      </c>
      <c r="U544" s="419">
        <v>-30777</v>
      </c>
      <c r="V544" s="419">
        <v>-39558</v>
      </c>
      <c r="W544" s="419">
        <v>0</v>
      </c>
      <c r="X544" s="380">
        <v>5.8999999999999998E-5</v>
      </c>
      <c r="Z544" s="419">
        <v>23636</v>
      </c>
      <c r="AA544" s="419">
        <v>16605</v>
      </c>
      <c r="AB544" s="419">
        <v>16605</v>
      </c>
      <c r="AC544" s="419">
        <v>0</v>
      </c>
      <c r="AD544" s="419">
        <v>0</v>
      </c>
      <c r="AE544" s="380">
        <v>5.8999999999999998E-5</v>
      </c>
      <c r="AF544" s="380"/>
      <c r="AG544" s="419">
        <v>695</v>
      </c>
      <c r="AH544" s="419">
        <v>697</v>
      </c>
      <c r="AI544" s="419">
        <v>162</v>
      </c>
      <c r="AJ544" s="419">
        <v>0</v>
      </c>
      <c r="AK544" s="419">
        <v>0</v>
      </c>
      <c r="AL544" s="380">
        <v>5.8999999999999998E-5</v>
      </c>
      <c r="AM544" s="380"/>
      <c r="AN544" s="419">
        <v>-9351</v>
      </c>
      <c r="AO544" s="419">
        <v>-6729</v>
      </c>
      <c r="AP544" s="419">
        <v>0</v>
      </c>
      <c r="AQ544" s="419">
        <v>0</v>
      </c>
      <c r="AR544" s="419">
        <v>0</v>
      </c>
    </row>
    <row r="545" spans="1:44">
      <c r="A545" s="379">
        <v>95911</v>
      </c>
      <c r="B545" t="s">
        <v>1250</v>
      </c>
      <c r="C545" s="380">
        <v>5.1449999999999998E-4</v>
      </c>
      <c r="D545" s="380"/>
      <c r="E545" s="419">
        <v>33936</v>
      </c>
      <c r="F545" s="419">
        <v>-57090</v>
      </c>
      <c r="G545" s="419">
        <v>-108136</v>
      </c>
      <c r="H545" s="419">
        <v>-344959</v>
      </c>
      <c r="I545" s="419">
        <v>0</v>
      </c>
      <c r="J545" s="380">
        <v>5.1449999999999998E-4</v>
      </c>
      <c r="K545" s="380"/>
      <c r="L545" s="419">
        <v>125954</v>
      </c>
      <c r="M545" s="419">
        <v>86988</v>
      </c>
      <c r="N545" s="419">
        <v>38079</v>
      </c>
      <c r="O545" s="419">
        <v>0</v>
      </c>
      <c r="P545" s="419">
        <v>0</v>
      </c>
      <c r="Q545" s="380">
        <v>5.1449999999999998E-4</v>
      </c>
      <c r="R545" s="380"/>
      <c r="S545" s="419">
        <v>-258468</v>
      </c>
      <c r="T545" s="419">
        <v>-255478</v>
      </c>
      <c r="U545" s="419">
        <v>-268389</v>
      </c>
      <c r="V545" s="419">
        <v>-344959</v>
      </c>
      <c r="W545" s="419">
        <v>0</v>
      </c>
      <c r="X545" s="380">
        <v>5.1449999999999998E-4</v>
      </c>
      <c r="Z545" s="419">
        <v>206110</v>
      </c>
      <c r="AA545" s="419">
        <v>144803</v>
      </c>
      <c r="AB545" s="419">
        <v>144802</v>
      </c>
      <c r="AC545" s="419">
        <v>0</v>
      </c>
      <c r="AD545" s="419">
        <v>0</v>
      </c>
      <c r="AE545" s="380">
        <v>5.1449999999999998E-4</v>
      </c>
      <c r="AF545" s="380"/>
      <c r="AG545" s="419">
        <v>0</v>
      </c>
      <c r="AH545" s="419">
        <v>0</v>
      </c>
      <c r="AI545" s="419">
        <v>0</v>
      </c>
      <c r="AJ545" s="419">
        <v>0</v>
      </c>
      <c r="AK545" s="419">
        <v>0</v>
      </c>
      <c r="AL545" s="380">
        <v>5.1449999999999998E-4</v>
      </c>
      <c r="AM545" s="380"/>
      <c r="AN545" s="419">
        <v>-39660</v>
      </c>
      <c r="AO545" s="419">
        <v>-33403</v>
      </c>
      <c r="AP545" s="419">
        <v>-22628</v>
      </c>
      <c r="AQ545" s="419">
        <v>0</v>
      </c>
      <c r="AR545" s="419">
        <v>0</v>
      </c>
    </row>
    <row r="546" spans="1:44">
      <c r="A546" s="379">
        <v>95917</v>
      </c>
      <c r="B546" t="s">
        <v>1251</v>
      </c>
      <c r="C546" s="380">
        <v>3.0899999999999999E-5</v>
      </c>
      <c r="D546" s="380"/>
      <c r="E546" s="419">
        <v>10695</v>
      </c>
      <c r="F546" s="419">
        <v>5647</v>
      </c>
      <c r="G546" s="419">
        <v>-362</v>
      </c>
      <c r="H546" s="419">
        <v>-20718</v>
      </c>
      <c r="I546" s="419">
        <v>0</v>
      </c>
      <c r="J546" s="380">
        <v>3.0899999999999999E-5</v>
      </c>
      <c r="K546" s="380"/>
      <c r="L546" s="419">
        <v>7565</v>
      </c>
      <c r="M546" s="419">
        <v>5224</v>
      </c>
      <c r="N546" s="419">
        <v>2287</v>
      </c>
      <c r="O546" s="419">
        <v>0</v>
      </c>
      <c r="P546" s="419">
        <v>0</v>
      </c>
      <c r="Q546" s="380">
        <v>3.0899999999999999E-5</v>
      </c>
      <c r="R546" s="380"/>
      <c r="S546" s="419">
        <v>-15523</v>
      </c>
      <c r="T546" s="419">
        <v>-15344</v>
      </c>
      <c r="U546" s="419">
        <v>-16119</v>
      </c>
      <c r="V546" s="419">
        <v>-20718</v>
      </c>
      <c r="W546" s="419">
        <v>0</v>
      </c>
      <c r="X546" s="380">
        <v>3.0899999999999999E-5</v>
      </c>
      <c r="Z546" s="419">
        <v>12379</v>
      </c>
      <c r="AA546" s="419">
        <v>8697</v>
      </c>
      <c r="AB546" s="419">
        <v>8697</v>
      </c>
      <c r="AC546" s="419">
        <v>0</v>
      </c>
      <c r="AD546" s="419">
        <v>0</v>
      </c>
      <c r="AE546" s="380">
        <v>3.0899999999999999E-5</v>
      </c>
      <c r="AF546" s="380"/>
      <c r="AG546" s="419">
        <v>7069</v>
      </c>
      <c r="AH546" s="419">
        <v>7070</v>
      </c>
      <c r="AI546" s="419">
        <v>4773</v>
      </c>
      <c r="AJ546" s="419">
        <v>0</v>
      </c>
      <c r="AK546" s="419">
        <v>0</v>
      </c>
      <c r="AL546" s="380">
        <v>3.0899999999999999E-5</v>
      </c>
      <c r="AM546" s="380"/>
      <c r="AN546" s="419">
        <v>-795</v>
      </c>
      <c r="AO546" s="419">
        <v>0</v>
      </c>
      <c r="AP546" s="419">
        <v>0</v>
      </c>
      <c r="AQ546" s="419">
        <v>0</v>
      </c>
      <c r="AR546" s="419">
        <v>0</v>
      </c>
    </row>
    <row r="547" spans="1:44">
      <c r="A547" s="379">
        <v>95921</v>
      </c>
      <c r="B547" t="s">
        <v>1252</v>
      </c>
      <c r="C547" s="380">
        <v>3.7200000000000003E-5</v>
      </c>
      <c r="D547" s="380"/>
      <c r="E547" s="419">
        <v>802</v>
      </c>
      <c r="F547" s="419">
        <v>-6767</v>
      </c>
      <c r="G547" s="419">
        <v>-11817</v>
      </c>
      <c r="H547" s="419">
        <v>-24942</v>
      </c>
      <c r="I547" s="419">
        <v>0</v>
      </c>
      <c r="J547" s="380">
        <v>3.7200000000000003E-5</v>
      </c>
      <c r="K547" s="380"/>
      <c r="L547" s="419">
        <v>9107</v>
      </c>
      <c r="M547" s="419">
        <v>6289</v>
      </c>
      <c r="N547" s="419">
        <v>2753</v>
      </c>
      <c r="O547" s="419">
        <v>0</v>
      </c>
      <c r="P547" s="419">
        <v>0</v>
      </c>
      <c r="Q547" s="380">
        <v>3.7200000000000003E-5</v>
      </c>
      <c r="R547" s="380"/>
      <c r="S547" s="419">
        <v>-18688</v>
      </c>
      <c r="T547" s="419">
        <v>-18472</v>
      </c>
      <c r="U547" s="419">
        <v>-19405</v>
      </c>
      <c r="V547" s="419">
        <v>-24942</v>
      </c>
      <c r="W547" s="419">
        <v>0</v>
      </c>
      <c r="X547" s="380">
        <v>3.7200000000000003E-5</v>
      </c>
      <c r="Z547" s="419">
        <v>14902</v>
      </c>
      <c r="AA547" s="419">
        <v>10470</v>
      </c>
      <c r="AB547" s="419">
        <v>10470</v>
      </c>
      <c r="AC547" s="419">
        <v>0</v>
      </c>
      <c r="AD547" s="419">
        <v>0</v>
      </c>
      <c r="AE547" s="380">
        <v>3.7200000000000003E-5</v>
      </c>
      <c r="AF547" s="380"/>
      <c r="AG547" s="419">
        <v>1718</v>
      </c>
      <c r="AH547" s="419">
        <v>1182</v>
      </c>
      <c r="AI547" s="419">
        <v>0</v>
      </c>
      <c r="AJ547" s="419">
        <v>0</v>
      </c>
      <c r="AK547" s="419">
        <v>0</v>
      </c>
      <c r="AL547" s="380">
        <v>3.7200000000000003E-5</v>
      </c>
      <c r="AM547" s="380"/>
      <c r="AN547" s="419">
        <v>-6237</v>
      </c>
      <c r="AO547" s="419">
        <v>-6236</v>
      </c>
      <c r="AP547" s="419">
        <v>-5635</v>
      </c>
      <c r="AQ547" s="419">
        <v>0</v>
      </c>
      <c r="AR547" s="419">
        <v>0</v>
      </c>
    </row>
    <row r="548" spans="1:44">
      <c r="A548" s="379">
        <v>96001</v>
      </c>
      <c r="B548" t="s">
        <v>1253</v>
      </c>
      <c r="C548" s="380">
        <v>4.5452399999999997E-2</v>
      </c>
      <c r="D548" s="380"/>
      <c r="E548" s="419">
        <v>6396330</v>
      </c>
      <c r="F548" s="419">
        <v>-2108157</v>
      </c>
      <c r="G548" s="419">
        <v>-8216114</v>
      </c>
      <c r="H548" s="419">
        <v>-30474652</v>
      </c>
      <c r="I548" s="419">
        <v>0</v>
      </c>
      <c r="J548" s="380">
        <v>4.5452399999999997E-2</v>
      </c>
      <c r="K548" s="380"/>
      <c r="L548" s="419">
        <v>11127111</v>
      </c>
      <c r="M548" s="419">
        <v>7684728</v>
      </c>
      <c r="N548" s="419">
        <v>3364023</v>
      </c>
      <c r="O548" s="419">
        <v>0</v>
      </c>
      <c r="P548" s="419">
        <v>0</v>
      </c>
      <c r="Q548" s="380">
        <v>4.5452399999999997E-2</v>
      </c>
      <c r="R548" s="380"/>
      <c r="S548" s="419">
        <v>-22833831</v>
      </c>
      <c r="T548" s="419">
        <v>-22569616</v>
      </c>
      <c r="U548" s="419">
        <v>-23710290</v>
      </c>
      <c r="V548" s="419">
        <v>-30474652</v>
      </c>
      <c r="W548" s="419">
        <v>0</v>
      </c>
      <c r="X548" s="380">
        <v>4.5452399999999997E-2</v>
      </c>
      <c r="Z548" s="419">
        <v>18208322</v>
      </c>
      <c r="AA548" s="419">
        <v>12792351</v>
      </c>
      <c r="AB548" s="419">
        <v>12792260</v>
      </c>
      <c r="AC548" s="419">
        <v>0</v>
      </c>
      <c r="AD548" s="419">
        <v>0</v>
      </c>
      <c r="AE548" s="380">
        <v>4.5452399999999997E-2</v>
      </c>
      <c r="AF548" s="380"/>
      <c r="AG548" s="419">
        <v>698127</v>
      </c>
      <c r="AH548" s="419">
        <v>698128</v>
      </c>
      <c r="AI548" s="419">
        <v>0</v>
      </c>
      <c r="AJ548" s="419">
        <v>0</v>
      </c>
      <c r="AK548" s="419">
        <v>0</v>
      </c>
      <c r="AL548" s="380">
        <v>4.5452399999999997E-2</v>
      </c>
      <c r="AM548" s="380"/>
      <c r="AN548" s="419">
        <v>-803399</v>
      </c>
      <c r="AO548" s="419">
        <v>-713748</v>
      </c>
      <c r="AP548" s="419">
        <v>-662107</v>
      </c>
      <c r="AQ548" s="419">
        <v>0</v>
      </c>
      <c r="AR548" s="419">
        <v>0</v>
      </c>
    </row>
    <row r="549" spans="1:44">
      <c r="A549" s="379">
        <v>96003</v>
      </c>
      <c r="B549" t="s">
        <v>1254</v>
      </c>
      <c r="C549" s="380">
        <v>2.0500000000000002E-3</v>
      </c>
      <c r="D549" s="380"/>
      <c r="E549" s="419">
        <v>466931</v>
      </c>
      <c r="F549" s="419">
        <v>100200</v>
      </c>
      <c r="G549" s="419">
        <v>-214308</v>
      </c>
      <c r="H549" s="419">
        <v>-1374472</v>
      </c>
      <c r="I549" s="419">
        <v>0</v>
      </c>
      <c r="J549" s="380">
        <v>2.0500000000000002E-3</v>
      </c>
      <c r="K549" s="380"/>
      <c r="L549" s="419">
        <v>501856</v>
      </c>
      <c r="M549" s="419">
        <v>346598</v>
      </c>
      <c r="N549" s="419">
        <v>151725</v>
      </c>
      <c r="O549" s="419">
        <v>0</v>
      </c>
      <c r="P549" s="419">
        <v>0</v>
      </c>
      <c r="Q549" s="380">
        <v>2.0500000000000002E-3</v>
      </c>
      <c r="R549" s="380"/>
      <c r="S549" s="419">
        <v>-1029854</v>
      </c>
      <c r="T549" s="419">
        <v>-1017938</v>
      </c>
      <c r="U549" s="419">
        <v>-1069385</v>
      </c>
      <c r="V549" s="419">
        <v>-1374472</v>
      </c>
      <c r="W549" s="419">
        <v>0</v>
      </c>
      <c r="X549" s="380">
        <v>2.0500000000000002E-3</v>
      </c>
      <c r="Z549" s="419">
        <v>821234</v>
      </c>
      <c r="AA549" s="419">
        <v>576962</v>
      </c>
      <c r="AB549" s="419">
        <v>576958</v>
      </c>
      <c r="AC549" s="419">
        <v>0</v>
      </c>
      <c r="AD549" s="419">
        <v>0</v>
      </c>
      <c r="AE549" s="380">
        <v>2.0500000000000002E-3</v>
      </c>
      <c r="AF549" s="380"/>
      <c r="AG549" s="419">
        <v>194578</v>
      </c>
      <c r="AH549" s="419">
        <v>194578</v>
      </c>
      <c r="AI549" s="419">
        <v>126394</v>
      </c>
      <c r="AJ549" s="419">
        <v>0</v>
      </c>
      <c r="AK549" s="419">
        <v>0</v>
      </c>
      <c r="AL549" s="380">
        <v>2.0500000000000002E-3</v>
      </c>
      <c r="AM549" s="380"/>
      <c r="AN549" s="419">
        <v>-20883</v>
      </c>
      <c r="AO549" s="419">
        <v>0</v>
      </c>
      <c r="AP549" s="419">
        <v>0</v>
      </c>
      <c r="AQ549" s="419">
        <v>0</v>
      </c>
      <c r="AR549" s="419">
        <v>0</v>
      </c>
    </row>
    <row r="550" spans="1:44">
      <c r="A550" s="379">
        <v>96004</v>
      </c>
      <c r="B550" t="s">
        <v>1255</v>
      </c>
      <c r="C550" s="380">
        <v>1.0675999999999999E-3</v>
      </c>
      <c r="D550" s="380"/>
      <c r="E550" s="419">
        <v>314659</v>
      </c>
      <c r="F550" s="419">
        <v>99474</v>
      </c>
      <c r="G550" s="419">
        <v>-88825</v>
      </c>
      <c r="H550" s="419">
        <v>-715798</v>
      </c>
      <c r="I550" s="419">
        <v>0</v>
      </c>
      <c r="J550" s="380">
        <v>1.0675999999999999E-3</v>
      </c>
      <c r="K550" s="380"/>
      <c r="L550" s="419">
        <v>261357</v>
      </c>
      <c r="M550" s="419">
        <v>180501</v>
      </c>
      <c r="N550" s="419">
        <v>79015</v>
      </c>
      <c r="O550" s="419">
        <v>0</v>
      </c>
      <c r="P550" s="419">
        <v>0</v>
      </c>
      <c r="Q550" s="380">
        <v>1.0675999999999999E-3</v>
      </c>
      <c r="R550" s="380"/>
      <c r="S550" s="419">
        <v>-536328</v>
      </c>
      <c r="T550" s="419">
        <v>-530122</v>
      </c>
      <c r="U550" s="419">
        <v>-556915</v>
      </c>
      <c r="V550" s="419">
        <v>-715798</v>
      </c>
      <c r="W550" s="419">
        <v>0</v>
      </c>
      <c r="X550" s="380">
        <v>1.0675999999999999E-3</v>
      </c>
      <c r="Z550" s="419">
        <v>427683</v>
      </c>
      <c r="AA550" s="419">
        <v>300471</v>
      </c>
      <c r="AB550" s="419">
        <v>300469</v>
      </c>
      <c r="AC550" s="419">
        <v>0</v>
      </c>
      <c r="AD550" s="419">
        <v>0</v>
      </c>
      <c r="AE550" s="380">
        <v>1.0675999999999999E-3</v>
      </c>
      <c r="AF550" s="380"/>
      <c r="AG550" s="419">
        <v>161947</v>
      </c>
      <c r="AH550" s="419">
        <v>148624</v>
      </c>
      <c r="AI550" s="419">
        <v>88606</v>
      </c>
      <c r="AJ550" s="419">
        <v>0</v>
      </c>
      <c r="AK550" s="419">
        <v>0</v>
      </c>
      <c r="AL550" s="380">
        <v>1.0675999999999999E-3</v>
      </c>
      <c r="AM550" s="380"/>
      <c r="AN550" s="419">
        <v>0</v>
      </c>
      <c r="AO550" s="419">
        <v>0</v>
      </c>
      <c r="AP550" s="419">
        <v>0</v>
      </c>
      <c r="AQ550" s="419">
        <v>0</v>
      </c>
      <c r="AR550" s="419">
        <v>0</v>
      </c>
    </row>
    <row r="551" spans="1:44">
      <c r="A551" s="379">
        <v>96005</v>
      </c>
      <c r="B551" t="s">
        <v>1256</v>
      </c>
      <c r="C551" s="380">
        <v>2.6773999999999999E-3</v>
      </c>
      <c r="D551" s="380"/>
      <c r="E551" s="419">
        <v>488061</v>
      </c>
      <c r="F551" s="419">
        <v>-15966</v>
      </c>
      <c r="G551" s="419">
        <v>-352922</v>
      </c>
      <c r="H551" s="419">
        <v>-1795127</v>
      </c>
      <c r="I551" s="419">
        <v>0</v>
      </c>
      <c r="J551" s="380">
        <v>2.6773999999999999E-3</v>
      </c>
      <c r="K551" s="380"/>
      <c r="L551" s="419">
        <v>655449</v>
      </c>
      <c r="M551" s="419">
        <v>452673</v>
      </c>
      <c r="N551" s="419">
        <v>198160</v>
      </c>
      <c r="O551" s="419">
        <v>0</v>
      </c>
      <c r="P551" s="419">
        <v>0</v>
      </c>
      <c r="Q551" s="380">
        <v>2.6773999999999999E-3</v>
      </c>
      <c r="R551" s="380"/>
      <c r="S551" s="419">
        <v>-1345040</v>
      </c>
      <c r="T551" s="419">
        <v>-1329476</v>
      </c>
      <c r="U551" s="419">
        <v>-1396668</v>
      </c>
      <c r="V551" s="419">
        <v>-1795127</v>
      </c>
      <c r="W551" s="419">
        <v>0</v>
      </c>
      <c r="X551" s="380">
        <v>2.6773999999999999E-3</v>
      </c>
      <c r="Z551" s="419">
        <v>1072572</v>
      </c>
      <c r="AA551" s="419">
        <v>753541</v>
      </c>
      <c r="AB551" s="419">
        <v>753535</v>
      </c>
      <c r="AC551" s="419">
        <v>0</v>
      </c>
      <c r="AD551" s="419">
        <v>0</v>
      </c>
      <c r="AE551" s="380">
        <v>2.6773999999999999E-3</v>
      </c>
      <c r="AF551" s="380"/>
      <c r="AG551" s="419">
        <v>131343</v>
      </c>
      <c r="AH551" s="419">
        <v>131343</v>
      </c>
      <c r="AI551" s="419">
        <v>92051</v>
      </c>
      <c r="AJ551" s="419">
        <v>0</v>
      </c>
      <c r="AK551" s="419">
        <v>0</v>
      </c>
      <c r="AL551" s="380">
        <v>2.6773999999999999E-3</v>
      </c>
      <c r="AM551" s="380"/>
      <c r="AN551" s="419">
        <v>-26263</v>
      </c>
      <c r="AO551" s="419">
        <v>-24047</v>
      </c>
      <c r="AP551" s="419">
        <v>0</v>
      </c>
      <c r="AQ551" s="419">
        <v>0</v>
      </c>
      <c r="AR551" s="419">
        <v>0</v>
      </c>
    </row>
    <row r="552" spans="1:44">
      <c r="A552" s="379">
        <v>96008</v>
      </c>
      <c r="B552" t="s">
        <v>1257</v>
      </c>
      <c r="C552" s="380">
        <v>5.5976000000000003E-3</v>
      </c>
      <c r="D552" s="380"/>
      <c r="E552" s="419">
        <v>-207783</v>
      </c>
      <c r="F552" s="419">
        <v>-1158934</v>
      </c>
      <c r="G552" s="419">
        <v>-1447265</v>
      </c>
      <c r="H552" s="419">
        <v>-3753045</v>
      </c>
      <c r="I552" s="419">
        <v>0</v>
      </c>
      <c r="J552" s="380">
        <v>5.5976000000000003E-3</v>
      </c>
      <c r="K552" s="380"/>
      <c r="L552" s="419">
        <v>1370337</v>
      </c>
      <c r="M552" s="419">
        <v>946397</v>
      </c>
      <c r="N552" s="419">
        <v>414290</v>
      </c>
      <c r="O552" s="419">
        <v>0</v>
      </c>
      <c r="P552" s="419">
        <v>0</v>
      </c>
      <c r="Q552" s="380">
        <v>5.5976000000000003E-3</v>
      </c>
      <c r="R552" s="380"/>
      <c r="S552" s="419">
        <v>-2812055</v>
      </c>
      <c r="T552" s="419">
        <v>-2779516</v>
      </c>
      <c r="U552" s="419">
        <v>-2919994</v>
      </c>
      <c r="V552" s="419">
        <v>-3753045</v>
      </c>
      <c r="W552" s="419">
        <v>0</v>
      </c>
      <c r="X552" s="380">
        <v>5.5976000000000003E-3</v>
      </c>
      <c r="Z552" s="419">
        <v>2242410</v>
      </c>
      <c r="AA552" s="419">
        <v>1575417</v>
      </c>
      <c r="AB552" s="419">
        <v>1575405</v>
      </c>
      <c r="AC552" s="419">
        <v>0</v>
      </c>
      <c r="AD552" s="419">
        <v>0</v>
      </c>
      <c r="AE552" s="380">
        <v>5.5976000000000003E-3</v>
      </c>
      <c r="AF552" s="380"/>
      <c r="AG552" s="419">
        <v>0</v>
      </c>
      <c r="AH552" s="419">
        <v>0</v>
      </c>
      <c r="AI552" s="419">
        <v>0</v>
      </c>
      <c r="AJ552" s="419">
        <v>0</v>
      </c>
      <c r="AK552" s="419">
        <v>0</v>
      </c>
      <c r="AL552" s="380">
        <v>5.5976000000000003E-3</v>
      </c>
      <c r="AM552" s="380"/>
      <c r="AN552" s="419">
        <v>-1008475</v>
      </c>
      <c r="AO552" s="419">
        <v>-901232</v>
      </c>
      <c r="AP552" s="419">
        <v>-516966</v>
      </c>
      <c r="AQ552" s="419">
        <v>0</v>
      </c>
      <c r="AR552" s="419">
        <v>0</v>
      </c>
    </row>
    <row r="553" spans="1:44">
      <c r="A553" s="379">
        <v>96009</v>
      </c>
      <c r="B553" t="s">
        <v>1258</v>
      </c>
      <c r="C553" s="380">
        <v>3.8479999999999997E-4</v>
      </c>
      <c r="D553" s="380"/>
      <c r="E553" s="419">
        <v>78441</v>
      </c>
      <c r="F553" s="419">
        <v>-837</v>
      </c>
      <c r="G553" s="419">
        <v>-60699</v>
      </c>
      <c r="H553" s="419">
        <v>-257998</v>
      </c>
      <c r="I553" s="419">
        <v>0</v>
      </c>
      <c r="J553" s="380">
        <v>3.8479999999999997E-4</v>
      </c>
      <c r="K553" s="380"/>
      <c r="L553" s="419">
        <v>94202</v>
      </c>
      <c r="M553" s="419">
        <v>65059</v>
      </c>
      <c r="N553" s="419">
        <v>28480</v>
      </c>
      <c r="O553" s="419">
        <v>0</v>
      </c>
      <c r="P553" s="419">
        <v>0</v>
      </c>
      <c r="Q553" s="380">
        <v>3.8479999999999997E-4</v>
      </c>
      <c r="R553" s="380"/>
      <c r="S553" s="419">
        <v>-193311</v>
      </c>
      <c r="T553" s="419">
        <v>-191074</v>
      </c>
      <c r="U553" s="419">
        <v>-200731</v>
      </c>
      <c r="V553" s="419">
        <v>-257998</v>
      </c>
      <c r="W553" s="419">
        <v>0</v>
      </c>
      <c r="X553" s="380">
        <v>3.8479999999999997E-4</v>
      </c>
      <c r="Z553" s="419">
        <v>154152</v>
      </c>
      <c r="AA553" s="419">
        <v>108300</v>
      </c>
      <c r="AB553" s="419">
        <v>108299</v>
      </c>
      <c r="AC553" s="419">
        <v>0</v>
      </c>
      <c r="AD553" s="419">
        <v>0</v>
      </c>
      <c r="AE553" s="380">
        <v>3.8479999999999997E-4</v>
      </c>
      <c r="AF553" s="380"/>
      <c r="AG553" s="419">
        <v>24753</v>
      </c>
      <c r="AH553" s="419">
        <v>18231</v>
      </c>
      <c r="AI553" s="419">
        <v>3253</v>
      </c>
      <c r="AJ553" s="419">
        <v>0</v>
      </c>
      <c r="AK553" s="419">
        <v>0</v>
      </c>
      <c r="AL553" s="380">
        <v>3.8479999999999997E-4</v>
      </c>
      <c r="AM553" s="380"/>
      <c r="AN553" s="419">
        <v>-1355</v>
      </c>
      <c r="AO553" s="419">
        <v>-1353</v>
      </c>
      <c r="AP553" s="419">
        <v>0</v>
      </c>
      <c r="AQ553" s="419">
        <v>0</v>
      </c>
      <c r="AR553" s="419">
        <v>0</v>
      </c>
    </row>
    <row r="554" spans="1:44">
      <c r="A554" s="379">
        <v>96011</v>
      </c>
      <c r="B554" t="s">
        <v>1259</v>
      </c>
      <c r="C554" s="380">
        <v>6.8435399999999993E-2</v>
      </c>
      <c r="D554" s="380"/>
      <c r="E554" s="419">
        <v>12985159</v>
      </c>
      <c r="F554" s="419">
        <v>-179028</v>
      </c>
      <c r="G554" s="419">
        <v>-9555775</v>
      </c>
      <c r="H554" s="419">
        <v>-45884156</v>
      </c>
      <c r="I554" s="419">
        <v>0</v>
      </c>
      <c r="J554" s="380">
        <v>6.8435399999999993E-2</v>
      </c>
      <c r="K554" s="380"/>
      <c r="L554" s="419">
        <v>16753533</v>
      </c>
      <c r="M554" s="419">
        <v>11570510</v>
      </c>
      <c r="N554" s="419">
        <v>5065041</v>
      </c>
      <c r="O554" s="419">
        <v>0</v>
      </c>
      <c r="P554" s="419">
        <v>0</v>
      </c>
      <c r="Q554" s="380">
        <v>6.8435399999999993E-2</v>
      </c>
      <c r="R554" s="380"/>
      <c r="S554" s="419">
        <v>-34379755</v>
      </c>
      <c r="T554" s="419">
        <v>-33981940</v>
      </c>
      <c r="U554" s="419">
        <v>-35699395</v>
      </c>
      <c r="V554" s="419">
        <v>-45884156</v>
      </c>
      <c r="W554" s="419">
        <v>0</v>
      </c>
      <c r="X554" s="380">
        <v>6.8435399999999993E-2</v>
      </c>
      <c r="Z554" s="419">
        <v>27415358</v>
      </c>
      <c r="AA554" s="419">
        <v>19260801</v>
      </c>
      <c r="AB554" s="419">
        <v>19260664</v>
      </c>
      <c r="AC554" s="419">
        <v>0</v>
      </c>
      <c r="AD554" s="419">
        <v>0</v>
      </c>
      <c r="AE554" s="380">
        <v>6.8435399999999993E-2</v>
      </c>
      <c r="AF554" s="380"/>
      <c r="AG554" s="419">
        <v>3196023</v>
      </c>
      <c r="AH554" s="419">
        <v>2971601</v>
      </c>
      <c r="AI554" s="419">
        <v>1817915</v>
      </c>
      <c r="AJ554" s="419">
        <v>0</v>
      </c>
      <c r="AK554" s="419">
        <v>0</v>
      </c>
      <c r="AL554" s="380">
        <v>6.8435399999999993E-2</v>
      </c>
      <c r="AM554" s="380"/>
      <c r="AN554" s="419">
        <v>0</v>
      </c>
      <c r="AO554" s="419">
        <v>0</v>
      </c>
      <c r="AP554" s="419">
        <v>0</v>
      </c>
      <c r="AQ554" s="419">
        <v>0</v>
      </c>
      <c r="AR554" s="419">
        <v>0</v>
      </c>
    </row>
    <row r="555" spans="1:44">
      <c r="A555" s="379">
        <v>96012</v>
      </c>
      <c r="B555" t="s">
        <v>1260</v>
      </c>
      <c r="C555" s="380">
        <v>2.3944000000000001E-3</v>
      </c>
      <c r="D555" s="380"/>
      <c r="E555" s="419">
        <v>239434</v>
      </c>
      <c r="F555" s="419">
        <v>-226942</v>
      </c>
      <c r="G555" s="419">
        <v>-477501</v>
      </c>
      <c r="H555" s="419">
        <v>-1605383</v>
      </c>
      <c r="I555" s="419">
        <v>0</v>
      </c>
      <c r="J555" s="380">
        <v>2.3944000000000001E-3</v>
      </c>
      <c r="K555" s="380"/>
      <c r="L555" s="419">
        <v>586168</v>
      </c>
      <c r="M555" s="419">
        <v>404826</v>
      </c>
      <c r="N555" s="419">
        <v>177214</v>
      </c>
      <c r="O555" s="419">
        <v>0</v>
      </c>
      <c r="P555" s="419">
        <v>0</v>
      </c>
      <c r="Q555" s="380">
        <v>2.3944000000000001E-3</v>
      </c>
      <c r="R555" s="380"/>
      <c r="S555" s="419">
        <v>-1202870</v>
      </c>
      <c r="T555" s="419">
        <v>-1188951</v>
      </c>
      <c r="U555" s="419">
        <v>-1249041</v>
      </c>
      <c r="V555" s="419">
        <v>-1605383</v>
      </c>
      <c r="W555" s="419">
        <v>0</v>
      </c>
      <c r="X555" s="380">
        <v>2.3944000000000001E-3</v>
      </c>
      <c r="Z555" s="419">
        <v>959201</v>
      </c>
      <c r="AA555" s="419">
        <v>673892</v>
      </c>
      <c r="AB555" s="419">
        <v>673887</v>
      </c>
      <c r="AC555" s="419">
        <v>0</v>
      </c>
      <c r="AD555" s="419">
        <v>0</v>
      </c>
      <c r="AE555" s="380">
        <v>2.3944000000000001E-3</v>
      </c>
      <c r="AF555" s="380"/>
      <c r="AG555" s="419">
        <v>13644</v>
      </c>
      <c r="AH555" s="419">
        <v>0</v>
      </c>
      <c r="AI555" s="419">
        <v>0</v>
      </c>
      <c r="AJ555" s="419">
        <v>0</v>
      </c>
      <c r="AK555" s="419">
        <v>0</v>
      </c>
      <c r="AL555" s="380">
        <v>2.3944000000000001E-3</v>
      </c>
      <c r="AM555" s="380"/>
      <c r="AN555" s="419">
        <v>-116709</v>
      </c>
      <c r="AO555" s="419">
        <v>-116709</v>
      </c>
      <c r="AP555" s="419">
        <v>-79561</v>
      </c>
      <c r="AQ555" s="419">
        <v>0</v>
      </c>
      <c r="AR555" s="419">
        <v>0</v>
      </c>
    </row>
    <row r="556" spans="1:44">
      <c r="A556" s="379">
        <v>96018</v>
      </c>
      <c r="B556" t="s">
        <v>1261</v>
      </c>
      <c r="C556" s="380">
        <v>4.1100000000000003E-5</v>
      </c>
      <c r="D556" s="380"/>
      <c r="E556" s="419">
        <v>9108</v>
      </c>
      <c r="F556" s="419">
        <v>1326</v>
      </c>
      <c r="G556" s="419">
        <v>-3000</v>
      </c>
      <c r="H556" s="419">
        <v>-27556</v>
      </c>
      <c r="I556" s="419">
        <v>0</v>
      </c>
      <c r="J556" s="380">
        <v>4.1100000000000003E-5</v>
      </c>
      <c r="K556" s="380"/>
      <c r="L556" s="419">
        <v>10062</v>
      </c>
      <c r="M556" s="419">
        <v>6949</v>
      </c>
      <c r="N556" s="419">
        <v>3042</v>
      </c>
      <c r="O556" s="419">
        <v>0</v>
      </c>
      <c r="P556" s="419">
        <v>0</v>
      </c>
      <c r="Q556" s="380">
        <v>4.1100000000000003E-5</v>
      </c>
      <c r="R556" s="380"/>
      <c r="S556" s="419">
        <v>-20647</v>
      </c>
      <c r="T556" s="419">
        <v>-20408</v>
      </c>
      <c r="U556" s="419">
        <v>-21440</v>
      </c>
      <c r="V556" s="419">
        <v>-27556</v>
      </c>
      <c r="W556" s="419">
        <v>0</v>
      </c>
      <c r="X556" s="380">
        <v>4.1100000000000003E-5</v>
      </c>
      <c r="Z556" s="419">
        <v>16465</v>
      </c>
      <c r="AA556" s="419">
        <v>11567</v>
      </c>
      <c r="AB556" s="419">
        <v>11567</v>
      </c>
      <c r="AC556" s="419">
        <v>0</v>
      </c>
      <c r="AD556" s="419">
        <v>0</v>
      </c>
      <c r="AE556" s="380">
        <v>4.1100000000000003E-5</v>
      </c>
      <c r="AF556" s="380"/>
      <c r="AG556" s="419">
        <v>5433</v>
      </c>
      <c r="AH556" s="419">
        <v>5424</v>
      </c>
      <c r="AI556" s="419">
        <v>3831</v>
      </c>
      <c r="AJ556" s="419">
        <v>0</v>
      </c>
      <c r="AK556" s="419">
        <v>0</v>
      </c>
      <c r="AL556" s="380">
        <v>4.1100000000000003E-5</v>
      </c>
      <c r="AM556" s="380"/>
      <c r="AN556" s="419">
        <v>-2205</v>
      </c>
      <c r="AO556" s="419">
        <v>-2206</v>
      </c>
      <c r="AP556" s="419">
        <v>0</v>
      </c>
      <c r="AQ556" s="419">
        <v>0</v>
      </c>
      <c r="AR556" s="419">
        <v>0</v>
      </c>
    </row>
    <row r="557" spans="1:44">
      <c r="A557" s="379">
        <v>96021</v>
      </c>
      <c r="B557" t="s">
        <v>1262</v>
      </c>
      <c r="C557" s="380">
        <v>7.0790000000000002E-4</v>
      </c>
      <c r="D557" s="380"/>
      <c r="E557" s="419">
        <v>74429</v>
      </c>
      <c r="F557" s="419">
        <v>-59826</v>
      </c>
      <c r="G557" s="419">
        <v>-119228</v>
      </c>
      <c r="H557" s="419">
        <v>-474629</v>
      </c>
      <c r="I557" s="419">
        <v>0</v>
      </c>
      <c r="J557" s="380">
        <v>7.0790000000000002E-4</v>
      </c>
      <c r="K557" s="380"/>
      <c r="L557" s="419">
        <v>173300</v>
      </c>
      <c r="M557" s="419">
        <v>119686</v>
      </c>
      <c r="N557" s="419">
        <v>52393</v>
      </c>
      <c r="O557" s="419">
        <v>0</v>
      </c>
      <c r="P557" s="419">
        <v>0</v>
      </c>
      <c r="Q557" s="380">
        <v>7.0790000000000002E-4</v>
      </c>
      <c r="R557" s="380"/>
      <c r="S557" s="419">
        <v>-355626</v>
      </c>
      <c r="T557" s="419">
        <v>-351511</v>
      </c>
      <c r="U557" s="419">
        <v>-369277</v>
      </c>
      <c r="V557" s="419">
        <v>-474629</v>
      </c>
      <c r="W557" s="419">
        <v>0</v>
      </c>
      <c r="X557" s="380">
        <v>7.0790000000000002E-4</v>
      </c>
      <c r="Z557" s="419">
        <v>283586</v>
      </c>
      <c r="AA557" s="419">
        <v>199235</v>
      </c>
      <c r="AB557" s="419">
        <v>199233</v>
      </c>
      <c r="AC557" s="419">
        <v>0</v>
      </c>
      <c r="AD557" s="419">
        <v>0</v>
      </c>
      <c r="AE557" s="380">
        <v>7.0790000000000002E-4</v>
      </c>
      <c r="AF557" s="380"/>
      <c r="AG557" s="419">
        <v>2426</v>
      </c>
      <c r="AH557" s="419">
        <v>2020</v>
      </c>
      <c r="AI557" s="419">
        <v>0</v>
      </c>
      <c r="AJ557" s="419">
        <v>0</v>
      </c>
      <c r="AK557" s="419">
        <v>0</v>
      </c>
      <c r="AL557" s="380">
        <v>7.0790000000000002E-4</v>
      </c>
      <c r="AM557" s="380"/>
      <c r="AN557" s="419">
        <v>-29257</v>
      </c>
      <c r="AO557" s="419">
        <v>-29256</v>
      </c>
      <c r="AP557" s="419">
        <v>-1577</v>
      </c>
      <c r="AQ557" s="419">
        <v>0</v>
      </c>
      <c r="AR557" s="419">
        <v>0</v>
      </c>
    </row>
    <row r="558" spans="1:44">
      <c r="A558" s="379">
        <v>96031</v>
      </c>
      <c r="B558" t="s">
        <v>1263</v>
      </c>
      <c r="C558" s="380">
        <v>7.9569999999999999E-4</v>
      </c>
      <c r="D558" s="380"/>
      <c r="E558" s="419">
        <v>33921</v>
      </c>
      <c r="F558" s="419">
        <v>-106413</v>
      </c>
      <c r="G558" s="419">
        <v>-162595</v>
      </c>
      <c r="H558" s="419">
        <v>-533496</v>
      </c>
      <c r="I558" s="419">
        <v>0</v>
      </c>
      <c r="J558" s="380">
        <v>7.9569999999999999E-4</v>
      </c>
      <c r="K558" s="380"/>
      <c r="L558" s="419">
        <v>194794</v>
      </c>
      <c r="M558" s="419">
        <v>134531</v>
      </c>
      <c r="N558" s="419">
        <v>58891</v>
      </c>
      <c r="O558" s="419">
        <v>0</v>
      </c>
      <c r="P558" s="419">
        <v>0</v>
      </c>
      <c r="Q558" s="380">
        <v>7.9569999999999999E-4</v>
      </c>
      <c r="R558" s="380"/>
      <c r="S558" s="419">
        <v>-399734</v>
      </c>
      <c r="T558" s="419">
        <v>-395109</v>
      </c>
      <c r="U558" s="419">
        <v>-415078</v>
      </c>
      <c r="V558" s="419">
        <v>-533496</v>
      </c>
      <c r="W558" s="419">
        <v>0</v>
      </c>
      <c r="X558" s="380">
        <v>7.9569999999999999E-4</v>
      </c>
      <c r="Z558" s="419">
        <v>318759</v>
      </c>
      <c r="AA558" s="419">
        <v>223946</v>
      </c>
      <c r="AB558" s="419">
        <v>223944</v>
      </c>
      <c r="AC558" s="419">
        <v>0</v>
      </c>
      <c r="AD558" s="419">
        <v>0</v>
      </c>
      <c r="AE558" s="380">
        <v>7.9569999999999999E-4</v>
      </c>
      <c r="AF558" s="380"/>
      <c r="AG558" s="419">
        <v>0</v>
      </c>
      <c r="AH558" s="419">
        <v>0</v>
      </c>
      <c r="AI558" s="419">
        <v>0</v>
      </c>
      <c r="AJ558" s="419">
        <v>0</v>
      </c>
      <c r="AK558" s="419">
        <v>0</v>
      </c>
      <c r="AL558" s="380">
        <v>7.9569999999999999E-4</v>
      </c>
      <c r="AM558" s="380"/>
      <c r="AN558" s="419">
        <v>-79898</v>
      </c>
      <c r="AO558" s="419">
        <v>-69781</v>
      </c>
      <c r="AP558" s="419">
        <v>-30352</v>
      </c>
      <c r="AQ558" s="419">
        <v>0</v>
      </c>
      <c r="AR558" s="419">
        <v>0</v>
      </c>
    </row>
    <row r="559" spans="1:44">
      <c r="A559" s="379">
        <v>96041</v>
      </c>
      <c r="B559" t="s">
        <v>1264</v>
      </c>
      <c r="C559" s="380">
        <v>1.8835E-3</v>
      </c>
      <c r="D559" s="380"/>
      <c r="E559" s="419">
        <v>287448</v>
      </c>
      <c r="F559" s="419">
        <v>-47942</v>
      </c>
      <c r="G559" s="419">
        <v>-281141</v>
      </c>
      <c r="H559" s="419">
        <v>-1262838</v>
      </c>
      <c r="I559" s="419">
        <v>0</v>
      </c>
      <c r="J559" s="380">
        <v>1.8835E-3</v>
      </c>
      <c r="K559" s="380"/>
      <c r="L559" s="419">
        <v>461096</v>
      </c>
      <c r="M559" s="419">
        <v>318447</v>
      </c>
      <c r="N559" s="419">
        <v>139402</v>
      </c>
      <c r="O559" s="419">
        <v>0</v>
      </c>
      <c r="P559" s="419">
        <v>0</v>
      </c>
      <c r="Q559" s="380">
        <v>1.8835E-3</v>
      </c>
      <c r="R559" s="380"/>
      <c r="S559" s="419">
        <v>-946210</v>
      </c>
      <c r="T559" s="419">
        <v>-935261</v>
      </c>
      <c r="U559" s="419">
        <v>-982530</v>
      </c>
      <c r="V559" s="419">
        <v>-1262838</v>
      </c>
      <c r="W559" s="419">
        <v>0</v>
      </c>
      <c r="X559" s="380">
        <v>1.8835E-3</v>
      </c>
      <c r="Z559" s="419">
        <v>754534</v>
      </c>
      <c r="AA559" s="419">
        <v>530102</v>
      </c>
      <c r="AB559" s="419">
        <v>530098</v>
      </c>
      <c r="AC559" s="419">
        <v>0</v>
      </c>
      <c r="AD559" s="419">
        <v>0</v>
      </c>
      <c r="AE559" s="380">
        <v>1.8835E-3</v>
      </c>
      <c r="AF559" s="380"/>
      <c r="AG559" s="419">
        <v>38768</v>
      </c>
      <c r="AH559" s="419">
        <v>38770</v>
      </c>
      <c r="AI559" s="419">
        <v>31889</v>
      </c>
      <c r="AJ559" s="419">
        <v>0</v>
      </c>
      <c r="AK559" s="419">
        <v>0</v>
      </c>
      <c r="AL559" s="380">
        <v>1.8835E-3</v>
      </c>
      <c r="AM559" s="380"/>
      <c r="AN559" s="419">
        <v>-20740</v>
      </c>
      <c r="AO559" s="419">
        <v>0</v>
      </c>
      <c r="AP559" s="419">
        <v>0</v>
      </c>
      <c r="AQ559" s="419">
        <v>0</v>
      </c>
      <c r="AR559" s="419">
        <v>0</v>
      </c>
    </row>
    <row r="560" spans="1:44">
      <c r="A560" s="379">
        <v>96051</v>
      </c>
      <c r="B560" t="s">
        <v>1265</v>
      </c>
      <c r="C560" s="380">
        <v>1.0357000000000001E-3</v>
      </c>
      <c r="D560" s="380"/>
      <c r="E560" s="419">
        <v>119120</v>
      </c>
      <c r="F560" s="419">
        <v>-70624</v>
      </c>
      <c r="G560" s="419">
        <v>-188847</v>
      </c>
      <c r="H560" s="419">
        <v>-694410</v>
      </c>
      <c r="I560" s="419">
        <v>0</v>
      </c>
      <c r="J560" s="380">
        <v>1.0357000000000001E-3</v>
      </c>
      <c r="K560" s="380"/>
      <c r="L560" s="419">
        <v>253548</v>
      </c>
      <c r="M560" s="419">
        <v>175108</v>
      </c>
      <c r="N560" s="419">
        <v>76654</v>
      </c>
      <c r="O560" s="419">
        <v>0</v>
      </c>
      <c r="P560" s="419">
        <v>0</v>
      </c>
      <c r="Q560" s="380">
        <v>1.0357000000000001E-3</v>
      </c>
      <c r="R560" s="380"/>
      <c r="S560" s="419">
        <v>-520303</v>
      </c>
      <c r="T560" s="419">
        <v>-514282</v>
      </c>
      <c r="U560" s="419">
        <v>-540274</v>
      </c>
      <c r="V560" s="419">
        <v>-694410</v>
      </c>
      <c r="W560" s="419">
        <v>0</v>
      </c>
      <c r="X560" s="380">
        <v>1.0357000000000001E-3</v>
      </c>
      <c r="Z560" s="419">
        <v>414903</v>
      </c>
      <c r="AA560" s="419">
        <v>291493</v>
      </c>
      <c r="AB560" s="419">
        <v>291491</v>
      </c>
      <c r="AC560" s="419">
        <v>0</v>
      </c>
      <c r="AD560" s="419">
        <v>0</v>
      </c>
      <c r="AE560" s="380">
        <v>1.0357000000000001E-3</v>
      </c>
      <c r="AF560" s="380"/>
      <c r="AG560" s="419">
        <v>17178</v>
      </c>
      <c r="AH560" s="419">
        <v>17176</v>
      </c>
      <c r="AI560" s="419">
        <v>0</v>
      </c>
      <c r="AJ560" s="419">
        <v>0</v>
      </c>
      <c r="AK560" s="419">
        <v>0</v>
      </c>
      <c r="AL560" s="380">
        <v>1.0357000000000001E-3</v>
      </c>
      <c r="AM560" s="380"/>
      <c r="AN560" s="419">
        <v>-46206</v>
      </c>
      <c r="AO560" s="419">
        <v>-40119</v>
      </c>
      <c r="AP560" s="419">
        <v>-16718</v>
      </c>
      <c r="AQ560" s="419">
        <v>0</v>
      </c>
      <c r="AR560" s="419">
        <v>0</v>
      </c>
    </row>
    <row r="561" spans="1:44">
      <c r="A561" s="379">
        <v>96061</v>
      </c>
      <c r="B561" t="s">
        <v>1266</v>
      </c>
      <c r="C561" s="380">
        <v>3.411E-4</v>
      </c>
      <c r="D561" s="380"/>
      <c r="E561" s="419">
        <v>47572</v>
      </c>
      <c r="F561" s="419">
        <v>-14420</v>
      </c>
      <c r="G561" s="419">
        <v>-52907</v>
      </c>
      <c r="H561" s="419">
        <v>-228699</v>
      </c>
      <c r="I561" s="419">
        <v>0</v>
      </c>
      <c r="J561" s="380">
        <v>3.411E-4</v>
      </c>
      <c r="K561" s="380"/>
      <c r="L561" s="419">
        <v>83504</v>
      </c>
      <c r="M561" s="419">
        <v>57670</v>
      </c>
      <c r="N561" s="419">
        <v>25245</v>
      </c>
      <c r="O561" s="419">
        <v>0</v>
      </c>
      <c r="P561" s="419">
        <v>0</v>
      </c>
      <c r="Q561" s="380">
        <v>3.411E-4</v>
      </c>
      <c r="R561" s="380"/>
      <c r="S561" s="419">
        <v>-171358</v>
      </c>
      <c r="T561" s="419">
        <v>-169375</v>
      </c>
      <c r="U561" s="419">
        <v>-177935</v>
      </c>
      <c r="V561" s="419">
        <v>-228699</v>
      </c>
      <c r="W561" s="419">
        <v>0</v>
      </c>
      <c r="X561" s="380">
        <v>3.411E-4</v>
      </c>
      <c r="Z561" s="419">
        <v>136645</v>
      </c>
      <c r="AA561" s="419">
        <v>96001</v>
      </c>
      <c r="AB561" s="419">
        <v>96000</v>
      </c>
      <c r="AC561" s="419">
        <v>0</v>
      </c>
      <c r="AD561" s="419">
        <v>0</v>
      </c>
      <c r="AE561" s="380">
        <v>3.411E-4</v>
      </c>
      <c r="AF561" s="380"/>
      <c r="AG561" s="419">
        <v>8753</v>
      </c>
      <c r="AH561" s="419">
        <v>8754</v>
      </c>
      <c r="AI561" s="419">
        <v>3783</v>
      </c>
      <c r="AJ561" s="419">
        <v>0</v>
      </c>
      <c r="AK561" s="419">
        <v>0</v>
      </c>
      <c r="AL561" s="380">
        <v>3.411E-4</v>
      </c>
      <c r="AM561" s="380"/>
      <c r="AN561" s="419">
        <v>-9972</v>
      </c>
      <c r="AO561" s="419">
        <v>-7470</v>
      </c>
      <c r="AP561" s="419">
        <v>0</v>
      </c>
      <c r="AQ561" s="419">
        <v>0</v>
      </c>
      <c r="AR561" s="419">
        <v>0</v>
      </c>
    </row>
    <row r="562" spans="1:44">
      <c r="A562" s="379">
        <v>96071</v>
      </c>
      <c r="B562" t="s">
        <v>1267</v>
      </c>
      <c r="C562" s="380">
        <v>1.3278000000000001E-3</v>
      </c>
      <c r="D562" s="380"/>
      <c r="E562" s="419">
        <v>254693</v>
      </c>
      <c r="F562" s="419">
        <v>-8457</v>
      </c>
      <c r="G562" s="419">
        <v>-216872</v>
      </c>
      <c r="H562" s="419">
        <v>-890255</v>
      </c>
      <c r="I562" s="419">
        <v>0</v>
      </c>
      <c r="J562" s="380">
        <v>1.3278000000000001E-3</v>
      </c>
      <c r="K562" s="380"/>
      <c r="L562" s="419">
        <v>325056</v>
      </c>
      <c r="M562" s="419">
        <v>224494</v>
      </c>
      <c r="N562" s="419">
        <v>98273</v>
      </c>
      <c r="O562" s="419">
        <v>0</v>
      </c>
      <c r="P562" s="419">
        <v>0</v>
      </c>
      <c r="Q562" s="380">
        <v>1.3278000000000001E-3</v>
      </c>
      <c r="R562" s="380"/>
      <c r="S562" s="419">
        <v>-667044</v>
      </c>
      <c r="T562" s="419">
        <v>-659326</v>
      </c>
      <c r="U562" s="419">
        <v>-692648</v>
      </c>
      <c r="V562" s="419">
        <v>-890255</v>
      </c>
      <c r="W562" s="419">
        <v>0</v>
      </c>
      <c r="X562" s="380">
        <v>1.3278000000000001E-3</v>
      </c>
      <c r="Z562" s="419">
        <v>531919</v>
      </c>
      <c r="AA562" s="419">
        <v>373703</v>
      </c>
      <c r="AB562" s="419">
        <v>373700</v>
      </c>
      <c r="AC562" s="419">
        <v>0</v>
      </c>
      <c r="AD562" s="419">
        <v>0</v>
      </c>
      <c r="AE562" s="380">
        <v>1.3278000000000001E-3</v>
      </c>
      <c r="AF562" s="380"/>
      <c r="AG562" s="419">
        <v>64762</v>
      </c>
      <c r="AH562" s="419">
        <v>52672</v>
      </c>
      <c r="AI562" s="419">
        <v>3803</v>
      </c>
      <c r="AJ562" s="419">
        <v>0</v>
      </c>
      <c r="AK562" s="419">
        <v>0</v>
      </c>
      <c r="AL562" s="380">
        <v>1.3278000000000001E-3</v>
      </c>
      <c r="AM562" s="380"/>
      <c r="AN562" s="419">
        <v>0</v>
      </c>
      <c r="AO562" s="419">
        <v>0</v>
      </c>
      <c r="AP562" s="419">
        <v>0</v>
      </c>
      <c r="AQ562" s="419">
        <v>0</v>
      </c>
      <c r="AR562" s="419">
        <v>0</v>
      </c>
    </row>
    <row r="563" spans="1:44">
      <c r="A563" s="379">
        <v>96081</v>
      </c>
      <c r="B563" t="s">
        <v>1268</v>
      </c>
      <c r="C563" s="380">
        <v>6.2560000000000003E-4</v>
      </c>
      <c r="D563" s="380"/>
      <c r="E563" s="419">
        <v>117694</v>
      </c>
      <c r="F563" s="419">
        <v>-2289</v>
      </c>
      <c r="G563" s="419">
        <v>-77036</v>
      </c>
      <c r="H563" s="419">
        <v>-419449</v>
      </c>
      <c r="I563" s="419">
        <v>0</v>
      </c>
      <c r="J563" s="380">
        <v>6.2560000000000003E-4</v>
      </c>
      <c r="K563" s="380"/>
      <c r="L563" s="419">
        <v>153152</v>
      </c>
      <c r="M563" s="419">
        <v>105771</v>
      </c>
      <c r="N563" s="419">
        <v>46302</v>
      </c>
      <c r="O563" s="419">
        <v>0</v>
      </c>
      <c r="P563" s="419">
        <v>0</v>
      </c>
      <c r="Q563" s="380">
        <v>6.2560000000000003E-4</v>
      </c>
      <c r="R563" s="380"/>
      <c r="S563" s="419">
        <v>-314281</v>
      </c>
      <c r="T563" s="419">
        <v>-310645</v>
      </c>
      <c r="U563" s="419">
        <v>-326345</v>
      </c>
      <c r="V563" s="419">
        <v>-419449</v>
      </c>
      <c r="W563" s="419">
        <v>0</v>
      </c>
      <c r="X563" s="380">
        <v>6.2560000000000003E-4</v>
      </c>
      <c r="Z563" s="419">
        <v>250617</v>
      </c>
      <c r="AA563" s="419">
        <v>176072</v>
      </c>
      <c r="AB563" s="419">
        <v>176071</v>
      </c>
      <c r="AC563" s="419">
        <v>0</v>
      </c>
      <c r="AD563" s="419">
        <v>0</v>
      </c>
      <c r="AE563" s="380">
        <v>6.2560000000000003E-4</v>
      </c>
      <c r="AF563" s="380"/>
      <c r="AG563" s="419">
        <v>32993</v>
      </c>
      <c r="AH563" s="419">
        <v>31301</v>
      </c>
      <c r="AI563" s="419">
        <v>26936</v>
      </c>
      <c r="AJ563" s="419">
        <v>0</v>
      </c>
      <c r="AK563" s="419">
        <v>0</v>
      </c>
      <c r="AL563" s="380">
        <v>6.2560000000000003E-4</v>
      </c>
      <c r="AM563" s="380"/>
      <c r="AN563" s="419">
        <v>-4787</v>
      </c>
      <c r="AO563" s="419">
        <v>-4788</v>
      </c>
      <c r="AP563" s="419">
        <v>0</v>
      </c>
      <c r="AQ563" s="419">
        <v>0</v>
      </c>
      <c r="AR563" s="419">
        <v>0</v>
      </c>
    </row>
    <row r="564" spans="1:44">
      <c r="A564" s="379">
        <v>96101</v>
      </c>
      <c r="B564" t="s">
        <v>1269</v>
      </c>
      <c r="C564" s="380">
        <v>6.6339999999999997E-4</v>
      </c>
      <c r="D564" s="380"/>
      <c r="E564" s="419">
        <v>110115</v>
      </c>
      <c r="F564" s="419">
        <v>-23832</v>
      </c>
      <c r="G564" s="419">
        <v>-78103</v>
      </c>
      <c r="H564" s="419">
        <v>-444792</v>
      </c>
      <c r="I564" s="419">
        <v>0</v>
      </c>
      <c r="J564" s="380">
        <v>6.6339999999999997E-4</v>
      </c>
      <c r="K564" s="380"/>
      <c r="L564" s="419">
        <v>162406</v>
      </c>
      <c r="M564" s="419">
        <v>112162</v>
      </c>
      <c r="N564" s="419">
        <v>49100</v>
      </c>
      <c r="O564" s="419">
        <v>0</v>
      </c>
      <c r="P564" s="419">
        <v>0</v>
      </c>
      <c r="Q564" s="380">
        <v>6.6339999999999997E-4</v>
      </c>
      <c r="R564" s="380"/>
      <c r="S564" s="419">
        <v>-333271</v>
      </c>
      <c r="T564" s="419">
        <v>-329415</v>
      </c>
      <c r="U564" s="419">
        <v>-346063</v>
      </c>
      <c r="V564" s="419">
        <v>-444792</v>
      </c>
      <c r="W564" s="419">
        <v>0</v>
      </c>
      <c r="X564" s="380">
        <v>6.6339999999999997E-4</v>
      </c>
      <c r="Z564" s="419">
        <v>265759</v>
      </c>
      <c r="AA564" s="419">
        <v>186711</v>
      </c>
      <c r="AB564" s="419">
        <v>186709</v>
      </c>
      <c r="AC564" s="419">
        <v>0</v>
      </c>
      <c r="AD564" s="419">
        <v>0</v>
      </c>
      <c r="AE564" s="380">
        <v>6.6339999999999997E-4</v>
      </c>
      <c r="AF564" s="380"/>
      <c r="AG564" s="419">
        <v>40664</v>
      </c>
      <c r="AH564" s="419">
        <v>32152</v>
      </c>
      <c r="AI564" s="419">
        <v>32151</v>
      </c>
      <c r="AJ564" s="419">
        <v>0</v>
      </c>
      <c r="AK564" s="419">
        <v>0</v>
      </c>
      <c r="AL564" s="380">
        <v>6.6339999999999997E-4</v>
      </c>
      <c r="AM564" s="380"/>
      <c r="AN564" s="419">
        <v>-25443</v>
      </c>
      <c r="AO564" s="419">
        <v>-25442</v>
      </c>
      <c r="AP564" s="419">
        <v>0</v>
      </c>
      <c r="AQ564" s="419">
        <v>0</v>
      </c>
      <c r="AR564" s="419">
        <v>0</v>
      </c>
    </row>
    <row r="565" spans="1:44">
      <c r="A565" s="379">
        <v>96102</v>
      </c>
      <c r="B565" t="s">
        <v>1270</v>
      </c>
      <c r="C565" s="380">
        <v>1.0699999999999999E-5</v>
      </c>
      <c r="D565" s="380"/>
      <c r="E565" s="419">
        <v>-119</v>
      </c>
      <c r="F565" s="419">
        <v>-1604</v>
      </c>
      <c r="G565" s="419">
        <v>-2154</v>
      </c>
      <c r="H565" s="419">
        <v>-7174</v>
      </c>
      <c r="I565" s="419">
        <v>0</v>
      </c>
      <c r="J565" s="380">
        <v>1.0699999999999999E-5</v>
      </c>
      <c r="K565" s="380"/>
      <c r="L565" s="419">
        <v>2619</v>
      </c>
      <c r="M565" s="419">
        <v>1809</v>
      </c>
      <c r="N565" s="419">
        <v>792</v>
      </c>
      <c r="O565" s="419">
        <v>0</v>
      </c>
      <c r="P565" s="419">
        <v>0</v>
      </c>
      <c r="Q565" s="380">
        <v>1.0699999999999999E-5</v>
      </c>
      <c r="R565" s="380"/>
      <c r="S565" s="419">
        <v>-5375</v>
      </c>
      <c r="T565" s="419">
        <v>-5313</v>
      </c>
      <c r="U565" s="419">
        <v>-5582</v>
      </c>
      <c r="V565" s="419">
        <v>-7174</v>
      </c>
      <c r="W565" s="419">
        <v>0</v>
      </c>
      <c r="X565" s="380">
        <v>1.0699999999999999E-5</v>
      </c>
      <c r="Z565" s="419">
        <v>4286</v>
      </c>
      <c r="AA565" s="419">
        <v>3011</v>
      </c>
      <c r="AB565" s="419">
        <v>3011</v>
      </c>
      <c r="AC565" s="419">
        <v>0</v>
      </c>
      <c r="AD565" s="419">
        <v>0</v>
      </c>
      <c r="AE565" s="380">
        <v>1.0699999999999999E-5</v>
      </c>
      <c r="AF565" s="380"/>
      <c r="AG565" s="419">
        <v>0</v>
      </c>
      <c r="AH565" s="419">
        <v>0</v>
      </c>
      <c r="AI565" s="419">
        <v>0</v>
      </c>
      <c r="AJ565" s="419">
        <v>0</v>
      </c>
      <c r="AK565" s="419">
        <v>0</v>
      </c>
      <c r="AL565" s="380">
        <v>1.0699999999999999E-5</v>
      </c>
      <c r="AM565" s="380"/>
      <c r="AN565" s="419">
        <v>-1649</v>
      </c>
      <c r="AO565" s="419">
        <v>-1111</v>
      </c>
      <c r="AP565" s="419">
        <v>-375</v>
      </c>
      <c r="AQ565" s="419">
        <v>0</v>
      </c>
      <c r="AR565" s="419">
        <v>0</v>
      </c>
    </row>
    <row r="566" spans="1:44">
      <c r="A566" s="379">
        <v>96111</v>
      </c>
      <c r="B566" t="s">
        <v>1271</v>
      </c>
      <c r="C566" s="380">
        <v>1.6789999999999999E-4</v>
      </c>
      <c r="D566" s="380"/>
      <c r="E566" s="419">
        <v>41494</v>
      </c>
      <c r="F566" s="419">
        <v>7560</v>
      </c>
      <c r="G566" s="419">
        <v>-23714</v>
      </c>
      <c r="H566" s="419">
        <v>-112573</v>
      </c>
      <c r="I566" s="419">
        <v>0</v>
      </c>
      <c r="J566" s="380">
        <v>1.6789999999999999E-4</v>
      </c>
      <c r="K566" s="380"/>
      <c r="L566" s="419">
        <v>41103</v>
      </c>
      <c r="M566" s="419">
        <v>28387</v>
      </c>
      <c r="N566" s="419">
        <v>12427</v>
      </c>
      <c r="O566" s="419">
        <v>0</v>
      </c>
      <c r="P566" s="419">
        <v>0</v>
      </c>
      <c r="Q566" s="380">
        <v>1.6789999999999999E-4</v>
      </c>
      <c r="R566" s="380"/>
      <c r="S566" s="419">
        <v>-84348</v>
      </c>
      <c r="T566" s="419">
        <v>-83372</v>
      </c>
      <c r="U566" s="419">
        <v>-87585</v>
      </c>
      <c r="V566" s="419">
        <v>-112573</v>
      </c>
      <c r="W566" s="419">
        <v>0</v>
      </c>
      <c r="X566" s="380">
        <v>1.6789999999999999E-4</v>
      </c>
      <c r="Z566" s="419">
        <v>67261</v>
      </c>
      <c r="AA566" s="419">
        <v>47255</v>
      </c>
      <c r="AB566" s="419">
        <v>47254</v>
      </c>
      <c r="AC566" s="419">
        <v>0</v>
      </c>
      <c r="AD566" s="419">
        <v>0</v>
      </c>
      <c r="AE566" s="380">
        <v>1.6789999999999999E-4</v>
      </c>
      <c r="AF566" s="380"/>
      <c r="AG566" s="419">
        <v>17478</v>
      </c>
      <c r="AH566" s="419">
        <v>15290</v>
      </c>
      <c r="AI566" s="419">
        <v>4190</v>
      </c>
      <c r="AJ566" s="419">
        <v>0</v>
      </c>
      <c r="AK566" s="419">
        <v>0</v>
      </c>
      <c r="AL566" s="380">
        <v>1.6789999999999999E-4</v>
      </c>
      <c r="AM566" s="380"/>
      <c r="AN566" s="419">
        <v>0</v>
      </c>
      <c r="AO566" s="419">
        <v>0</v>
      </c>
      <c r="AP566" s="419">
        <v>0</v>
      </c>
      <c r="AQ566" s="419">
        <v>0</v>
      </c>
      <c r="AR566" s="419">
        <v>0</v>
      </c>
    </row>
    <row r="567" spans="1:44">
      <c r="A567" s="379">
        <v>96121</v>
      </c>
      <c r="B567" t="s">
        <v>1272</v>
      </c>
      <c r="C567" s="380">
        <v>1.77E-5</v>
      </c>
      <c r="D567" s="380"/>
      <c r="E567" s="419">
        <v>-755</v>
      </c>
      <c r="F567" s="419">
        <v>-3745</v>
      </c>
      <c r="G567" s="419">
        <v>-2682</v>
      </c>
      <c r="H567" s="419">
        <v>-11867</v>
      </c>
      <c r="I567" s="419">
        <v>0</v>
      </c>
      <c r="J567" s="380">
        <v>1.77E-5</v>
      </c>
      <c r="K567" s="380"/>
      <c r="L567" s="419">
        <v>4333</v>
      </c>
      <c r="M567" s="419">
        <v>2993</v>
      </c>
      <c r="N567" s="419">
        <v>1310</v>
      </c>
      <c r="O567" s="419">
        <v>0</v>
      </c>
      <c r="P567" s="419">
        <v>0</v>
      </c>
      <c r="Q567" s="380">
        <v>1.77E-5</v>
      </c>
      <c r="R567" s="380"/>
      <c r="S567" s="419">
        <v>-8892</v>
      </c>
      <c r="T567" s="419">
        <v>-8789</v>
      </c>
      <c r="U567" s="419">
        <v>-9233</v>
      </c>
      <c r="V567" s="419">
        <v>-11867</v>
      </c>
      <c r="W567" s="419">
        <v>0</v>
      </c>
      <c r="X567" s="380">
        <v>1.77E-5</v>
      </c>
      <c r="Z567" s="419">
        <v>7091</v>
      </c>
      <c r="AA567" s="419">
        <v>4982</v>
      </c>
      <c r="AB567" s="419">
        <v>4982</v>
      </c>
      <c r="AC567" s="419">
        <v>0</v>
      </c>
      <c r="AD567" s="419">
        <v>0</v>
      </c>
      <c r="AE567" s="380">
        <v>1.77E-5</v>
      </c>
      <c r="AF567" s="380"/>
      <c r="AG567" s="419">
        <v>350</v>
      </c>
      <c r="AH567" s="419">
        <v>351</v>
      </c>
      <c r="AI567" s="419">
        <v>259</v>
      </c>
      <c r="AJ567" s="419">
        <v>0</v>
      </c>
      <c r="AK567" s="419">
        <v>0</v>
      </c>
      <c r="AL567" s="380">
        <v>1.77E-5</v>
      </c>
      <c r="AM567" s="380"/>
      <c r="AN567" s="419">
        <v>-3637</v>
      </c>
      <c r="AO567" s="419">
        <v>-3282</v>
      </c>
      <c r="AP567" s="419">
        <v>0</v>
      </c>
      <c r="AQ567" s="419">
        <v>0</v>
      </c>
      <c r="AR567" s="419">
        <v>0</v>
      </c>
    </row>
    <row r="568" spans="1:44">
      <c r="A568" s="379">
        <v>96201</v>
      </c>
      <c r="B568" t="s">
        <v>1273</v>
      </c>
      <c r="C568" s="380">
        <v>1.0398E-3</v>
      </c>
      <c r="D568" s="380"/>
      <c r="E568" s="419">
        <v>154626</v>
      </c>
      <c r="F568" s="419">
        <v>-29318</v>
      </c>
      <c r="G568" s="419">
        <v>-124299</v>
      </c>
      <c r="H568" s="419">
        <v>-697159</v>
      </c>
      <c r="I568" s="419">
        <v>0</v>
      </c>
      <c r="J568" s="380">
        <v>1.0398E-3</v>
      </c>
      <c r="K568" s="380"/>
      <c r="L568" s="419">
        <v>254551</v>
      </c>
      <c r="M568" s="419">
        <v>175801</v>
      </c>
      <c r="N568" s="419">
        <v>76958</v>
      </c>
      <c r="O568" s="419">
        <v>0</v>
      </c>
      <c r="P568" s="419">
        <v>0</v>
      </c>
      <c r="Q568" s="380">
        <v>1.0398E-3</v>
      </c>
      <c r="R568" s="380"/>
      <c r="S568" s="419">
        <v>-522362</v>
      </c>
      <c r="T568" s="419">
        <v>-516318</v>
      </c>
      <c r="U568" s="419">
        <v>-542413</v>
      </c>
      <c r="V568" s="419">
        <v>-697159</v>
      </c>
      <c r="W568" s="419">
        <v>0</v>
      </c>
      <c r="X568" s="380">
        <v>1.0398E-3</v>
      </c>
      <c r="Z568" s="419">
        <v>416546</v>
      </c>
      <c r="AA568" s="419">
        <v>292647</v>
      </c>
      <c r="AB568" s="419">
        <v>292644</v>
      </c>
      <c r="AC568" s="419">
        <v>0</v>
      </c>
      <c r="AD568" s="419">
        <v>0</v>
      </c>
      <c r="AE568" s="380">
        <v>1.0398E-3</v>
      </c>
      <c r="AF568" s="380"/>
      <c r="AG568" s="419">
        <v>48514</v>
      </c>
      <c r="AH568" s="419">
        <v>48514</v>
      </c>
      <c r="AI568" s="419">
        <v>48512</v>
      </c>
      <c r="AJ568" s="419">
        <v>0</v>
      </c>
      <c r="AK568" s="419">
        <v>0</v>
      </c>
      <c r="AL568" s="380">
        <v>1.0398E-3</v>
      </c>
      <c r="AM568" s="380"/>
      <c r="AN568" s="419">
        <v>-42623</v>
      </c>
      <c r="AO568" s="419">
        <v>-29962</v>
      </c>
      <c r="AP568" s="419">
        <v>0</v>
      </c>
      <c r="AQ568" s="419">
        <v>0</v>
      </c>
      <c r="AR568" s="419">
        <v>0</v>
      </c>
    </row>
    <row r="569" spans="1:44">
      <c r="A569" s="379">
        <v>96204</v>
      </c>
      <c r="B569" t="s">
        <v>1274</v>
      </c>
      <c r="C569" s="380">
        <v>1.6200000000000001E-5</v>
      </c>
      <c r="D569" s="380"/>
      <c r="E569" s="419">
        <v>6230</v>
      </c>
      <c r="F569" s="419">
        <v>2860</v>
      </c>
      <c r="G569" s="419">
        <v>-581</v>
      </c>
      <c r="H569" s="419">
        <v>-10862</v>
      </c>
      <c r="I569" s="419">
        <v>0</v>
      </c>
      <c r="J569" s="380">
        <v>1.6200000000000001E-5</v>
      </c>
      <c r="K569" s="380"/>
      <c r="L569" s="419">
        <v>3966</v>
      </c>
      <c r="M569" s="419">
        <v>2739</v>
      </c>
      <c r="N569" s="419">
        <v>1199</v>
      </c>
      <c r="O569" s="419">
        <v>0</v>
      </c>
      <c r="P569" s="419">
        <v>0</v>
      </c>
      <c r="Q569" s="380">
        <v>1.6200000000000001E-5</v>
      </c>
      <c r="R569" s="380"/>
      <c r="S569" s="419">
        <v>-8138</v>
      </c>
      <c r="T569" s="419">
        <v>-8044</v>
      </c>
      <c r="U569" s="419">
        <v>-8451</v>
      </c>
      <c r="V569" s="419">
        <v>-10862</v>
      </c>
      <c r="W569" s="419">
        <v>0</v>
      </c>
      <c r="X569" s="380">
        <v>1.6200000000000001E-5</v>
      </c>
      <c r="Z569" s="419">
        <v>6490</v>
      </c>
      <c r="AA569" s="419">
        <v>4559</v>
      </c>
      <c r="AB569" s="419">
        <v>4559</v>
      </c>
      <c r="AC569" s="419">
        <v>0</v>
      </c>
      <c r="AD569" s="419">
        <v>0</v>
      </c>
      <c r="AE569" s="380">
        <v>1.6200000000000001E-5</v>
      </c>
      <c r="AF569" s="380"/>
      <c r="AG569" s="419">
        <v>3912</v>
      </c>
      <c r="AH569" s="419">
        <v>3606</v>
      </c>
      <c r="AI569" s="419">
        <v>2112</v>
      </c>
      <c r="AJ569" s="419">
        <v>0</v>
      </c>
      <c r="AK569" s="419">
        <v>0</v>
      </c>
      <c r="AL569" s="380">
        <v>1.6200000000000001E-5</v>
      </c>
      <c r="AM569" s="380"/>
      <c r="AN569" s="419">
        <v>0</v>
      </c>
      <c r="AO569" s="419">
        <v>0</v>
      </c>
      <c r="AP569" s="419">
        <v>0</v>
      </c>
      <c r="AQ569" s="419">
        <v>0</v>
      </c>
      <c r="AR569" s="419">
        <v>0</v>
      </c>
    </row>
    <row r="570" spans="1:44">
      <c r="A570" s="379">
        <v>96211</v>
      </c>
      <c r="B570" t="s">
        <v>1275</v>
      </c>
      <c r="C570" s="380">
        <v>2.0299999999999999E-5</v>
      </c>
      <c r="D570" s="380"/>
      <c r="E570" s="419">
        <v>6795</v>
      </c>
      <c r="F570" s="419">
        <v>1854</v>
      </c>
      <c r="G570" s="419">
        <v>-1905</v>
      </c>
      <c r="H570" s="419">
        <v>-13611</v>
      </c>
      <c r="I570" s="419">
        <v>0</v>
      </c>
      <c r="J570" s="380">
        <v>2.0299999999999999E-5</v>
      </c>
      <c r="K570" s="380"/>
      <c r="L570" s="419">
        <v>4970</v>
      </c>
      <c r="M570" s="419">
        <v>3432</v>
      </c>
      <c r="N570" s="419">
        <v>1502</v>
      </c>
      <c r="O570" s="419">
        <v>0</v>
      </c>
      <c r="P570" s="419">
        <v>0</v>
      </c>
      <c r="Q570" s="380">
        <v>2.0299999999999999E-5</v>
      </c>
      <c r="R570" s="380"/>
      <c r="S570" s="419">
        <v>-10198</v>
      </c>
      <c r="T570" s="419">
        <v>-10080</v>
      </c>
      <c r="U570" s="419">
        <v>-10590</v>
      </c>
      <c r="V570" s="419">
        <v>-13611</v>
      </c>
      <c r="W570" s="419">
        <v>0</v>
      </c>
      <c r="X570" s="380">
        <v>2.0299999999999999E-5</v>
      </c>
      <c r="Z570" s="419">
        <v>8132</v>
      </c>
      <c r="AA570" s="419">
        <v>5713</v>
      </c>
      <c r="AB570" s="419">
        <v>5713</v>
      </c>
      <c r="AC570" s="419">
        <v>0</v>
      </c>
      <c r="AD570" s="419">
        <v>0</v>
      </c>
      <c r="AE570" s="380">
        <v>2.0299999999999999E-5</v>
      </c>
      <c r="AF570" s="380"/>
      <c r="AG570" s="419">
        <v>3891</v>
      </c>
      <c r="AH570" s="419">
        <v>2789</v>
      </c>
      <c r="AI570" s="419">
        <v>1470</v>
      </c>
      <c r="AJ570" s="419">
        <v>0</v>
      </c>
      <c r="AK570" s="419">
        <v>0</v>
      </c>
      <c r="AL570" s="380">
        <v>2.0299999999999999E-5</v>
      </c>
      <c r="AM570" s="380"/>
      <c r="AN570" s="419">
        <v>0</v>
      </c>
      <c r="AO570" s="419">
        <v>0</v>
      </c>
      <c r="AP570" s="419">
        <v>0</v>
      </c>
      <c r="AQ570" s="419">
        <v>0</v>
      </c>
      <c r="AR570" s="419">
        <v>0</v>
      </c>
    </row>
    <row r="571" spans="1:44">
      <c r="A571" s="379">
        <v>96221</v>
      </c>
      <c r="B571" t="s">
        <v>1276</v>
      </c>
      <c r="C571" s="380">
        <v>1.8440000000000001E-4</v>
      </c>
      <c r="D571" s="380"/>
      <c r="E571" s="419">
        <v>7747</v>
      </c>
      <c r="F571" s="419">
        <v>-25030</v>
      </c>
      <c r="G571" s="419">
        <v>-36816</v>
      </c>
      <c r="H571" s="419">
        <v>-123635</v>
      </c>
      <c r="I571" s="419">
        <v>0</v>
      </c>
      <c r="J571" s="380">
        <v>1.8440000000000001E-4</v>
      </c>
      <c r="K571" s="380"/>
      <c r="L571" s="419">
        <v>45143</v>
      </c>
      <c r="M571" s="419">
        <v>31177</v>
      </c>
      <c r="N571" s="419">
        <v>13648</v>
      </c>
      <c r="O571" s="419">
        <v>0</v>
      </c>
      <c r="P571" s="419">
        <v>0</v>
      </c>
      <c r="Q571" s="380">
        <v>1.8440000000000001E-4</v>
      </c>
      <c r="R571" s="380"/>
      <c r="S571" s="419">
        <v>-92637</v>
      </c>
      <c r="T571" s="419">
        <v>-91565</v>
      </c>
      <c r="U571" s="419">
        <v>-96192</v>
      </c>
      <c r="V571" s="419">
        <v>-123635</v>
      </c>
      <c r="W571" s="419">
        <v>0</v>
      </c>
      <c r="X571" s="380">
        <v>1.8440000000000001E-4</v>
      </c>
      <c r="Z571" s="419">
        <v>73871</v>
      </c>
      <c r="AA571" s="419">
        <v>51898</v>
      </c>
      <c r="AB571" s="419">
        <v>51898</v>
      </c>
      <c r="AC571" s="419">
        <v>0</v>
      </c>
      <c r="AD571" s="419">
        <v>0</v>
      </c>
      <c r="AE571" s="380">
        <v>1.8440000000000001E-4</v>
      </c>
      <c r="AF571" s="380"/>
      <c r="AG571" s="419">
        <v>0</v>
      </c>
      <c r="AH571" s="419">
        <v>0</v>
      </c>
      <c r="AI571" s="419">
        <v>0</v>
      </c>
      <c r="AJ571" s="419">
        <v>0</v>
      </c>
      <c r="AK571" s="419">
        <v>0</v>
      </c>
      <c r="AL571" s="380">
        <v>1.8440000000000001E-4</v>
      </c>
      <c r="AM571" s="380"/>
      <c r="AN571" s="419">
        <v>-18630</v>
      </c>
      <c r="AO571" s="419">
        <v>-16540</v>
      </c>
      <c r="AP571" s="419">
        <v>-6170</v>
      </c>
      <c r="AQ571" s="419">
        <v>0</v>
      </c>
      <c r="AR571" s="419">
        <v>0</v>
      </c>
    </row>
    <row r="572" spans="1:44">
      <c r="A572" s="379">
        <v>96231</v>
      </c>
      <c r="B572" t="s">
        <v>1277</v>
      </c>
      <c r="C572" s="380">
        <v>1.086E-4</v>
      </c>
      <c r="D572" s="380"/>
      <c r="E572" s="419">
        <v>-449</v>
      </c>
      <c r="F572" s="419">
        <v>-17214</v>
      </c>
      <c r="G572" s="419">
        <v>-17831</v>
      </c>
      <c r="H572" s="419">
        <v>-72813</v>
      </c>
      <c r="I572" s="419">
        <v>0</v>
      </c>
      <c r="J572" s="380">
        <v>1.086E-4</v>
      </c>
      <c r="K572" s="380"/>
      <c r="L572" s="419">
        <v>26586</v>
      </c>
      <c r="M572" s="419">
        <v>18361</v>
      </c>
      <c r="N572" s="419">
        <v>8038</v>
      </c>
      <c r="O572" s="419">
        <v>0</v>
      </c>
      <c r="P572" s="419">
        <v>0</v>
      </c>
      <c r="Q572" s="380">
        <v>1.086E-4</v>
      </c>
      <c r="R572" s="380"/>
      <c r="S572" s="419">
        <v>-54557</v>
      </c>
      <c r="T572" s="419">
        <v>-53926</v>
      </c>
      <c r="U572" s="419">
        <v>-56651</v>
      </c>
      <c r="V572" s="419">
        <v>-72813</v>
      </c>
      <c r="W572" s="419">
        <v>0</v>
      </c>
      <c r="X572" s="380">
        <v>1.086E-4</v>
      </c>
      <c r="Z572" s="419">
        <v>43505</v>
      </c>
      <c r="AA572" s="419">
        <v>30565</v>
      </c>
      <c r="AB572" s="419">
        <v>30565</v>
      </c>
      <c r="AC572" s="419">
        <v>0</v>
      </c>
      <c r="AD572" s="419">
        <v>0</v>
      </c>
      <c r="AE572" s="380">
        <v>1.086E-4</v>
      </c>
      <c r="AF572" s="380"/>
      <c r="AG572" s="419">
        <v>218</v>
      </c>
      <c r="AH572" s="419">
        <v>218</v>
      </c>
      <c r="AI572" s="419">
        <v>217</v>
      </c>
      <c r="AJ572" s="419">
        <v>0</v>
      </c>
      <c r="AK572" s="419">
        <v>0</v>
      </c>
      <c r="AL572" s="380">
        <v>1.086E-4</v>
      </c>
      <c r="AM572" s="380"/>
      <c r="AN572" s="419">
        <v>-16201</v>
      </c>
      <c r="AO572" s="419">
        <v>-12432</v>
      </c>
      <c r="AP572" s="419">
        <v>0</v>
      </c>
      <c r="AQ572" s="419">
        <v>0</v>
      </c>
      <c r="AR572" s="419">
        <v>0</v>
      </c>
    </row>
    <row r="573" spans="1:44">
      <c r="A573" s="379">
        <v>96241</v>
      </c>
      <c r="B573" t="s">
        <v>1278</v>
      </c>
      <c r="C573" s="380">
        <v>5.5600000000000003E-5</v>
      </c>
      <c r="D573" s="380"/>
      <c r="E573" s="419">
        <v>1524</v>
      </c>
      <c r="F573" s="419">
        <v>-10053</v>
      </c>
      <c r="G573" s="419">
        <v>-13621</v>
      </c>
      <c r="H573" s="419">
        <v>-37278</v>
      </c>
      <c r="I573" s="419">
        <v>0</v>
      </c>
      <c r="J573" s="380">
        <v>5.5600000000000003E-5</v>
      </c>
      <c r="K573" s="380"/>
      <c r="L573" s="419">
        <v>13611</v>
      </c>
      <c r="M573" s="419">
        <v>9400</v>
      </c>
      <c r="N573" s="419">
        <v>4115</v>
      </c>
      <c r="O573" s="419">
        <v>0</v>
      </c>
      <c r="P573" s="419">
        <v>0</v>
      </c>
      <c r="Q573" s="380">
        <v>5.5600000000000003E-5</v>
      </c>
      <c r="R573" s="380"/>
      <c r="S573" s="419">
        <v>-27932</v>
      </c>
      <c r="T573" s="419">
        <v>-27608</v>
      </c>
      <c r="U573" s="419">
        <v>-29004</v>
      </c>
      <c r="V573" s="419">
        <v>-37278</v>
      </c>
      <c r="W573" s="419">
        <v>0</v>
      </c>
      <c r="X573" s="380">
        <v>5.5600000000000003E-5</v>
      </c>
      <c r="Z573" s="419">
        <v>22273</v>
      </c>
      <c r="AA573" s="419">
        <v>15648</v>
      </c>
      <c r="AB573" s="419">
        <v>15648</v>
      </c>
      <c r="AC573" s="419">
        <v>0</v>
      </c>
      <c r="AD573" s="419">
        <v>0</v>
      </c>
      <c r="AE573" s="380">
        <v>5.5600000000000003E-5</v>
      </c>
      <c r="AF573" s="380"/>
      <c r="AG573" s="419">
        <v>1886</v>
      </c>
      <c r="AH573" s="419">
        <v>819</v>
      </c>
      <c r="AI573" s="419">
        <v>0</v>
      </c>
      <c r="AJ573" s="419">
        <v>0</v>
      </c>
      <c r="AK573" s="419">
        <v>0</v>
      </c>
      <c r="AL573" s="380">
        <v>5.5600000000000003E-5</v>
      </c>
      <c r="AM573" s="380"/>
      <c r="AN573" s="419">
        <v>-8314</v>
      </c>
      <c r="AO573" s="419">
        <v>-8312</v>
      </c>
      <c r="AP573" s="419">
        <v>-4380</v>
      </c>
      <c r="AQ573" s="419">
        <v>0</v>
      </c>
      <c r="AR573" s="419">
        <v>0</v>
      </c>
    </row>
    <row r="574" spans="1:44">
      <c r="A574" s="379">
        <v>96251</v>
      </c>
      <c r="B574" t="s">
        <v>1279</v>
      </c>
      <c r="C574" s="380">
        <v>1.0340000000000001E-4</v>
      </c>
      <c r="D574" s="380"/>
      <c r="E574" s="419">
        <v>10435</v>
      </c>
      <c r="F574" s="419">
        <v>-8575</v>
      </c>
      <c r="G574" s="419">
        <v>-11341</v>
      </c>
      <c r="H574" s="419">
        <v>-69327</v>
      </c>
      <c r="I574" s="419">
        <v>0</v>
      </c>
      <c r="J574" s="380">
        <v>1.0340000000000001E-4</v>
      </c>
      <c r="K574" s="380"/>
      <c r="L574" s="419">
        <v>25313</v>
      </c>
      <c r="M574" s="419">
        <v>17482</v>
      </c>
      <c r="N574" s="419">
        <v>7653</v>
      </c>
      <c r="O574" s="419">
        <v>0</v>
      </c>
      <c r="P574" s="419">
        <v>0</v>
      </c>
      <c r="Q574" s="380">
        <v>1.0340000000000001E-4</v>
      </c>
      <c r="R574" s="380"/>
      <c r="S574" s="419">
        <v>-51945</v>
      </c>
      <c r="T574" s="419">
        <v>-51344</v>
      </c>
      <c r="U574" s="419">
        <v>-53939</v>
      </c>
      <c r="V574" s="419">
        <v>-69327</v>
      </c>
      <c r="W574" s="419">
        <v>0</v>
      </c>
      <c r="X574" s="380">
        <v>1.0340000000000001E-4</v>
      </c>
      <c r="Z574" s="419">
        <v>41422</v>
      </c>
      <c r="AA574" s="419">
        <v>29101</v>
      </c>
      <c r="AB574" s="419">
        <v>29101</v>
      </c>
      <c r="AC574" s="419">
        <v>0</v>
      </c>
      <c r="AD574" s="419">
        <v>0</v>
      </c>
      <c r="AE574" s="380">
        <v>1.0340000000000001E-4</v>
      </c>
      <c r="AF574" s="380"/>
      <c r="AG574" s="419">
        <v>5845</v>
      </c>
      <c r="AH574" s="419">
        <v>5845</v>
      </c>
      <c r="AI574" s="419">
        <v>5844</v>
      </c>
      <c r="AJ574" s="419">
        <v>0</v>
      </c>
      <c r="AK574" s="419">
        <v>0</v>
      </c>
      <c r="AL574" s="380">
        <v>1.0340000000000001E-4</v>
      </c>
      <c r="AM574" s="380"/>
      <c r="AN574" s="419">
        <v>-10200</v>
      </c>
      <c r="AO574" s="419">
        <v>-9659</v>
      </c>
      <c r="AP574" s="419">
        <v>0</v>
      </c>
      <c r="AQ574" s="419">
        <v>0</v>
      </c>
      <c r="AR574" s="419">
        <v>0</v>
      </c>
    </row>
    <row r="575" spans="1:44">
      <c r="A575" s="379">
        <v>96301</v>
      </c>
      <c r="B575" t="s">
        <v>1280</v>
      </c>
      <c r="C575" s="380">
        <v>4.7479999999999996E-3</v>
      </c>
      <c r="D575" s="380"/>
      <c r="E575" s="419">
        <v>693906</v>
      </c>
      <c r="F575" s="419">
        <v>-196885</v>
      </c>
      <c r="G575" s="419">
        <v>-841428</v>
      </c>
      <c r="H575" s="419">
        <v>-3183411</v>
      </c>
      <c r="I575" s="419">
        <v>0</v>
      </c>
      <c r="J575" s="380">
        <v>4.7479999999999996E-3</v>
      </c>
      <c r="K575" s="380"/>
      <c r="L575" s="419">
        <v>1162348</v>
      </c>
      <c r="M575" s="419">
        <v>802754</v>
      </c>
      <c r="N575" s="419">
        <v>351409</v>
      </c>
      <c r="O575" s="419">
        <v>0</v>
      </c>
      <c r="P575" s="419">
        <v>0</v>
      </c>
      <c r="Q575" s="380">
        <v>4.7479999999999996E-3</v>
      </c>
      <c r="R575" s="380"/>
      <c r="S575" s="419">
        <v>-2385243</v>
      </c>
      <c r="T575" s="419">
        <v>-2357643</v>
      </c>
      <c r="U575" s="419">
        <v>-2476799</v>
      </c>
      <c r="V575" s="419">
        <v>-3183411</v>
      </c>
      <c r="W575" s="419">
        <v>0</v>
      </c>
      <c r="X575" s="380">
        <v>4.7479999999999996E-3</v>
      </c>
      <c r="Z575" s="419">
        <v>1902058</v>
      </c>
      <c r="AA575" s="419">
        <v>1336301</v>
      </c>
      <c r="AB575" s="419">
        <v>1336291</v>
      </c>
      <c r="AC575" s="419">
        <v>0</v>
      </c>
      <c r="AD575" s="419">
        <v>0</v>
      </c>
      <c r="AE575" s="380">
        <v>4.7479999999999996E-3</v>
      </c>
      <c r="AF575" s="380"/>
      <c r="AG575" s="419">
        <v>74034</v>
      </c>
      <c r="AH575" s="419">
        <v>74032</v>
      </c>
      <c r="AI575" s="419">
        <v>0</v>
      </c>
      <c r="AJ575" s="419">
        <v>0</v>
      </c>
      <c r="AK575" s="419">
        <v>0</v>
      </c>
      <c r="AL575" s="380">
        <v>4.7479999999999996E-3</v>
      </c>
      <c r="AM575" s="380"/>
      <c r="AN575" s="419">
        <v>-59291</v>
      </c>
      <c r="AO575" s="419">
        <v>-52329</v>
      </c>
      <c r="AP575" s="419">
        <v>-52329</v>
      </c>
      <c r="AQ575" s="419">
        <v>0</v>
      </c>
      <c r="AR575" s="419">
        <v>0</v>
      </c>
    </row>
    <row r="576" spans="1:44">
      <c r="A576" s="379">
        <v>96302</v>
      </c>
      <c r="B576" t="s">
        <v>1281</v>
      </c>
      <c r="C576" s="380">
        <v>2.2500000000000001E-5</v>
      </c>
      <c r="D576" s="380"/>
      <c r="E576" s="419">
        <v>-3499</v>
      </c>
      <c r="F576" s="419">
        <v>-7562</v>
      </c>
      <c r="G576" s="419">
        <v>-19783</v>
      </c>
      <c r="H576" s="419">
        <v>-15086</v>
      </c>
      <c r="I576" s="419">
        <v>0</v>
      </c>
      <c r="J576" s="380">
        <v>2.2500000000000001E-5</v>
      </c>
      <c r="K576" s="380"/>
      <c r="L576" s="419">
        <v>5508</v>
      </c>
      <c r="M576" s="419">
        <v>3804</v>
      </c>
      <c r="N576" s="419">
        <v>1665</v>
      </c>
      <c r="O576" s="419">
        <v>0</v>
      </c>
      <c r="P576" s="419">
        <v>0</v>
      </c>
      <c r="Q576" s="380">
        <v>2.2500000000000001E-5</v>
      </c>
      <c r="R576" s="380"/>
      <c r="S576" s="419">
        <v>-11303</v>
      </c>
      <c r="T576" s="419">
        <v>-11172</v>
      </c>
      <c r="U576" s="419">
        <v>-11737</v>
      </c>
      <c r="V576" s="419">
        <v>-15086</v>
      </c>
      <c r="W576" s="419">
        <v>0</v>
      </c>
      <c r="X576" s="380">
        <v>2.2500000000000001E-5</v>
      </c>
      <c r="Z576" s="419">
        <v>9014</v>
      </c>
      <c r="AA576" s="419">
        <v>6333</v>
      </c>
      <c r="AB576" s="419">
        <v>6332</v>
      </c>
      <c r="AC576" s="419">
        <v>0</v>
      </c>
      <c r="AD576" s="419">
        <v>0</v>
      </c>
      <c r="AE576" s="380">
        <v>2.2500000000000001E-5</v>
      </c>
      <c r="AF576" s="380"/>
      <c r="AG576" s="419">
        <v>9515</v>
      </c>
      <c r="AH576" s="419">
        <v>9518</v>
      </c>
      <c r="AI576" s="419">
        <v>0</v>
      </c>
      <c r="AJ576" s="419">
        <v>0</v>
      </c>
      <c r="AK576" s="419">
        <v>0</v>
      </c>
      <c r="AL576" s="380">
        <v>2.2500000000000001E-5</v>
      </c>
      <c r="AM576" s="380"/>
      <c r="AN576" s="419">
        <v>-16233</v>
      </c>
      <c r="AO576" s="419">
        <v>-16045</v>
      </c>
      <c r="AP576" s="419">
        <v>-16043</v>
      </c>
      <c r="AQ576" s="419">
        <v>0</v>
      </c>
      <c r="AR576" s="419">
        <v>0</v>
      </c>
    </row>
    <row r="577" spans="1:44">
      <c r="A577" s="379">
        <v>96304</v>
      </c>
      <c r="B577" t="s">
        <v>1282</v>
      </c>
      <c r="C577" s="380">
        <v>5.1400000000000003E-5</v>
      </c>
      <c r="D577" s="380"/>
      <c r="E577" s="419">
        <v>14774</v>
      </c>
      <c r="F577" s="419">
        <v>3554</v>
      </c>
      <c r="G577" s="419">
        <v>-5677</v>
      </c>
      <c r="H577" s="419">
        <v>-34462</v>
      </c>
      <c r="I577" s="419">
        <v>0</v>
      </c>
      <c r="J577" s="380">
        <v>5.1400000000000003E-5</v>
      </c>
      <c r="K577" s="380"/>
      <c r="L577" s="419">
        <v>12583</v>
      </c>
      <c r="M577" s="419">
        <v>8690</v>
      </c>
      <c r="N577" s="419">
        <v>3804</v>
      </c>
      <c r="O577" s="419">
        <v>0</v>
      </c>
      <c r="P577" s="419">
        <v>0</v>
      </c>
      <c r="Q577" s="380">
        <v>5.1400000000000003E-5</v>
      </c>
      <c r="R577" s="380"/>
      <c r="S577" s="419">
        <v>-25822</v>
      </c>
      <c r="T577" s="419">
        <v>-25523</v>
      </c>
      <c r="U577" s="419">
        <v>-26813</v>
      </c>
      <c r="V577" s="419">
        <v>-34462</v>
      </c>
      <c r="W577" s="419">
        <v>0</v>
      </c>
      <c r="X577" s="380">
        <v>5.1400000000000003E-5</v>
      </c>
      <c r="Z577" s="419">
        <v>20591</v>
      </c>
      <c r="AA577" s="419">
        <v>14466</v>
      </c>
      <c r="AB577" s="419">
        <v>14466</v>
      </c>
      <c r="AC577" s="419">
        <v>0</v>
      </c>
      <c r="AD577" s="419">
        <v>0</v>
      </c>
      <c r="AE577" s="380">
        <v>5.1400000000000003E-5</v>
      </c>
      <c r="AF577" s="380"/>
      <c r="AG577" s="419">
        <v>7422</v>
      </c>
      <c r="AH577" s="419">
        <v>5921</v>
      </c>
      <c r="AI577" s="419">
        <v>2866</v>
      </c>
      <c r="AJ577" s="419">
        <v>0</v>
      </c>
      <c r="AK577" s="419">
        <v>0</v>
      </c>
      <c r="AL577" s="380">
        <v>5.1400000000000003E-5</v>
      </c>
      <c r="AM577" s="380"/>
      <c r="AN577" s="419">
        <v>0</v>
      </c>
      <c r="AO577" s="419">
        <v>0</v>
      </c>
      <c r="AP577" s="419">
        <v>0</v>
      </c>
      <c r="AQ577" s="419">
        <v>0</v>
      </c>
      <c r="AR577" s="419">
        <v>0</v>
      </c>
    </row>
    <row r="578" spans="1:44">
      <c r="A578" s="379">
        <v>96305</v>
      </c>
      <c r="B578" t="s">
        <v>1283</v>
      </c>
      <c r="C578" s="380">
        <v>3.8699999999999999E-5</v>
      </c>
      <c r="D578" s="380"/>
      <c r="E578" s="419">
        <v>13252</v>
      </c>
      <c r="F578" s="419">
        <v>4008</v>
      </c>
      <c r="G578" s="419">
        <v>-5839</v>
      </c>
      <c r="H578" s="419">
        <v>-25947</v>
      </c>
      <c r="I578" s="419">
        <v>0</v>
      </c>
      <c r="J578" s="380">
        <v>3.8699999999999999E-5</v>
      </c>
      <c r="K578" s="380"/>
      <c r="L578" s="419">
        <v>9474</v>
      </c>
      <c r="M578" s="419">
        <v>6543</v>
      </c>
      <c r="N578" s="419">
        <v>2864</v>
      </c>
      <c r="O578" s="419">
        <v>0</v>
      </c>
      <c r="P578" s="419">
        <v>0</v>
      </c>
      <c r="Q578" s="380">
        <v>3.8699999999999999E-5</v>
      </c>
      <c r="R578" s="380"/>
      <c r="S578" s="419">
        <v>-19442</v>
      </c>
      <c r="T578" s="419">
        <v>-19217</v>
      </c>
      <c r="U578" s="419">
        <v>-20188</v>
      </c>
      <c r="V578" s="419">
        <v>-25947</v>
      </c>
      <c r="W578" s="419">
        <v>0</v>
      </c>
      <c r="X578" s="380">
        <v>3.8699999999999999E-5</v>
      </c>
      <c r="Z578" s="419">
        <v>15503</v>
      </c>
      <c r="AA578" s="419">
        <v>10892</v>
      </c>
      <c r="AB578" s="419">
        <v>10892</v>
      </c>
      <c r="AC578" s="419">
        <v>0</v>
      </c>
      <c r="AD578" s="419">
        <v>0</v>
      </c>
      <c r="AE578" s="380">
        <v>3.8699999999999999E-5</v>
      </c>
      <c r="AF578" s="380"/>
      <c r="AG578" s="419">
        <v>7717</v>
      </c>
      <c r="AH578" s="419">
        <v>5790</v>
      </c>
      <c r="AI578" s="419">
        <v>593</v>
      </c>
      <c r="AJ578" s="419">
        <v>0</v>
      </c>
      <c r="AK578" s="419">
        <v>0</v>
      </c>
      <c r="AL578" s="380">
        <v>3.8699999999999999E-5</v>
      </c>
      <c r="AM578" s="380"/>
      <c r="AN578" s="419">
        <v>0</v>
      </c>
      <c r="AO578" s="419">
        <v>0</v>
      </c>
      <c r="AP578" s="419">
        <v>0</v>
      </c>
      <c r="AQ578" s="419">
        <v>0</v>
      </c>
      <c r="AR578" s="419">
        <v>0</v>
      </c>
    </row>
    <row r="579" spans="1:44">
      <c r="A579" s="379">
        <v>96310</v>
      </c>
      <c r="B579" t="s">
        <v>1284</v>
      </c>
      <c r="C579" s="380">
        <v>5.6700000000000003E-5</v>
      </c>
      <c r="D579" s="380"/>
      <c r="E579" s="419">
        <v>17976</v>
      </c>
      <c r="F579" s="419">
        <v>8243</v>
      </c>
      <c r="G579" s="419">
        <v>-839</v>
      </c>
      <c r="H579" s="419">
        <v>-38016</v>
      </c>
      <c r="I579" s="419">
        <v>0</v>
      </c>
      <c r="J579" s="380">
        <v>5.6700000000000003E-5</v>
      </c>
      <c r="K579" s="380"/>
      <c r="L579" s="419">
        <v>13881</v>
      </c>
      <c r="M579" s="419">
        <v>9586</v>
      </c>
      <c r="N579" s="419">
        <v>4196</v>
      </c>
      <c r="O579" s="419">
        <v>0</v>
      </c>
      <c r="P579" s="419">
        <v>0</v>
      </c>
      <c r="Q579" s="380">
        <v>5.6700000000000003E-5</v>
      </c>
      <c r="R579" s="380"/>
      <c r="S579" s="419">
        <v>-28484</v>
      </c>
      <c r="T579" s="419">
        <v>-28155</v>
      </c>
      <c r="U579" s="419">
        <v>-29578</v>
      </c>
      <c r="V579" s="419">
        <v>-38016</v>
      </c>
      <c r="W579" s="419">
        <v>0</v>
      </c>
      <c r="X579" s="380">
        <v>5.6700000000000003E-5</v>
      </c>
      <c r="Z579" s="419">
        <v>22714</v>
      </c>
      <c r="AA579" s="419">
        <v>15958</v>
      </c>
      <c r="AB579" s="419">
        <v>15958</v>
      </c>
      <c r="AC579" s="419">
        <v>0</v>
      </c>
      <c r="AD579" s="419">
        <v>0</v>
      </c>
      <c r="AE579" s="380">
        <v>5.6700000000000003E-5</v>
      </c>
      <c r="AF579" s="380"/>
      <c r="AG579" s="419">
        <v>11015</v>
      </c>
      <c r="AH579" s="419">
        <v>11013</v>
      </c>
      <c r="AI579" s="419">
        <v>8585</v>
      </c>
      <c r="AJ579" s="419">
        <v>0</v>
      </c>
      <c r="AK579" s="419">
        <v>0</v>
      </c>
      <c r="AL579" s="380">
        <v>5.6700000000000003E-5</v>
      </c>
      <c r="AM579" s="380"/>
      <c r="AN579" s="419">
        <v>-1150</v>
      </c>
      <c r="AO579" s="419">
        <v>-159</v>
      </c>
      <c r="AP579" s="419">
        <v>0</v>
      </c>
      <c r="AQ579" s="419">
        <v>0</v>
      </c>
      <c r="AR579" s="419">
        <v>0</v>
      </c>
    </row>
    <row r="580" spans="1:44">
      <c r="A580" s="379">
        <v>96311</v>
      </c>
      <c r="B580" t="s">
        <v>1285</v>
      </c>
      <c r="C580" s="380">
        <v>1.3083000000000001E-3</v>
      </c>
      <c r="D580" s="380"/>
      <c r="E580" s="419">
        <v>145230</v>
      </c>
      <c r="F580" s="419">
        <v>-97487</v>
      </c>
      <c r="G580" s="419">
        <v>-266953</v>
      </c>
      <c r="H580" s="419">
        <v>-877181</v>
      </c>
      <c r="I580" s="419">
        <v>0</v>
      </c>
      <c r="J580" s="380">
        <v>1.3083000000000001E-3</v>
      </c>
      <c r="K580" s="380"/>
      <c r="L580" s="419">
        <v>320282</v>
      </c>
      <c r="M580" s="419">
        <v>221197</v>
      </c>
      <c r="N580" s="419">
        <v>96830</v>
      </c>
      <c r="O580" s="419">
        <v>0</v>
      </c>
      <c r="P580" s="419">
        <v>0</v>
      </c>
      <c r="Q580" s="380">
        <v>1.3083000000000001E-3</v>
      </c>
      <c r="R580" s="380"/>
      <c r="S580" s="419">
        <v>-657248</v>
      </c>
      <c r="T580" s="419">
        <v>-649643</v>
      </c>
      <c r="U580" s="419">
        <v>-682476</v>
      </c>
      <c r="V580" s="419">
        <v>-877181</v>
      </c>
      <c r="W580" s="419">
        <v>0</v>
      </c>
      <c r="X580" s="380">
        <v>1.3083000000000001E-3</v>
      </c>
      <c r="Z580" s="419">
        <v>524108</v>
      </c>
      <c r="AA580" s="419">
        <v>368214</v>
      </c>
      <c r="AB580" s="419">
        <v>368212</v>
      </c>
      <c r="AC580" s="419">
        <v>0</v>
      </c>
      <c r="AD580" s="419">
        <v>0</v>
      </c>
      <c r="AE580" s="380">
        <v>1.3083000000000001E-3</v>
      </c>
      <c r="AF580" s="380"/>
      <c r="AG580" s="419">
        <v>22644</v>
      </c>
      <c r="AH580" s="419">
        <v>22643</v>
      </c>
      <c r="AI580" s="419">
        <v>0</v>
      </c>
      <c r="AJ580" s="419">
        <v>0</v>
      </c>
      <c r="AK580" s="419">
        <v>0</v>
      </c>
      <c r="AL580" s="380">
        <v>1.3083000000000001E-3</v>
      </c>
      <c r="AM580" s="380"/>
      <c r="AN580" s="419">
        <v>-64556</v>
      </c>
      <c r="AO580" s="419">
        <v>-59898</v>
      </c>
      <c r="AP580" s="419">
        <v>-49519</v>
      </c>
      <c r="AQ580" s="419">
        <v>0</v>
      </c>
      <c r="AR580" s="419">
        <v>0</v>
      </c>
    </row>
    <row r="581" spans="1:44">
      <c r="A581" s="379">
        <v>96312</v>
      </c>
      <c r="B581" t="s">
        <v>1286</v>
      </c>
      <c r="C581" s="380">
        <v>8.6000000000000007E-6</v>
      </c>
      <c r="D581" s="380"/>
      <c r="E581" s="419">
        <v>-2099</v>
      </c>
      <c r="F581" s="419">
        <v>-2055</v>
      </c>
      <c r="G581" s="419">
        <v>-7016</v>
      </c>
      <c r="H581" s="419">
        <v>-5766</v>
      </c>
      <c r="I581" s="419">
        <v>0</v>
      </c>
      <c r="J581" s="380">
        <v>8.6000000000000007E-6</v>
      </c>
      <c r="K581" s="380"/>
      <c r="L581" s="419">
        <v>2105</v>
      </c>
      <c r="M581" s="419">
        <v>1454</v>
      </c>
      <c r="N581" s="419">
        <v>637</v>
      </c>
      <c r="O581" s="419">
        <v>0</v>
      </c>
      <c r="P581" s="419">
        <v>0</v>
      </c>
      <c r="Q581" s="380">
        <v>8.6000000000000007E-6</v>
      </c>
      <c r="R581" s="380"/>
      <c r="S581" s="419">
        <v>-4320</v>
      </c>
      <c r="T581" s="419">
        <v>-4270</v>
      </c>
      <c r="U581" s="419">
        <v>-4486</v>
      </c>
      <c r="V581" s="419">
        <v>-5766</v>
      </c>
      <c r="W581" s="419">
        <v>0</v>
      </c>
      <c r="X581" s="380">
        <v>8.6000000000000007E-6</v>
      </c>
      <c r="Z581" s="419">
        <v>3445</v>
      </c>
      <c r="AA581" s="419">
        <v>2420</v>
      </c>
      <c r="AB581" s="419">
        <v>2420</v>
      </c>
      <c r="AC581" s="419">
        <v>0</v>
      </c>
      <c r="AD581" s="419">
        <v>0</v>
      </c>
      <c r="AE581" s="380">
        <v>8.6000000000000007E-6</v>
      </c>
      <c r="AF581" s="380"/>
      <c r="AG581" s="419">
        <v>3933</v>
      </c>
      <c r="AH581" s="419">
        <v>3931</v>
      </c>
      <c r="AI581" s="419">
        <v>0</v>
      </c>
      <c r="AJ581" s="419">
        <v>0</v>
      </c>
      <c r="AK581" s="419">
        <v>0</v>
      </c>
      <c r="AL581" s="380">
        <v>8.6000000000000007E-6</v>
      </c>
      <c r="AM581" s="380"/>
      <c r="AN581" s="419">
        <v>-7262</v>
      </c>
      <c r="AO581" s="419">
        <v>-5590</v>
      </c>
      <c r="AP581" s="419">
        <v>-5587</v>
      </c>
      <c r="AQ581" s="419">
        <v>0</v>
      </c>
      <c r="AR581" s="419">
        <v>0</v>
      </c>
    </row>
    <row r="582" spans="1:44">
      <c r="A582" s="379">
        <v>96318</v>
      </c>
      <c r="B582" t="s">
        <v>1287</v>
      </c>
      <c r="C582" s="380">
        <v>2.3858E-3</v>
      </c>
      <c r="D582" s="380"/>
      <c r="E582" s="419">
        <v>521649</v>
      </c>
      <c r="F582" s="419">
        <v>44561</v>
      </c>
      <c r="G582" s="419">
        <v>-357587</v>
      </c>
      <c r="H582" s="419">
        <v>-1599617</v>
      </c>
      <c r="I582" s="419">
        <v>0</v>
      </c>
      <c r="J582" s="380">
        <v>2.3858E-3</v>
      </c>
      <c r="K582" s="380"/>
      <c r="L582" s="419">
        <v>584063</v>
      </c>
      <c r="M582" s="419">
        <v>403372</v>
      </c>
      <c r="N582" s="419">
        <v>176578</v>
      </c>
      <c r="O582" s="419">
        <v>0</v>
      </c>
      <c r="P582" s="419">
        <v>0</v>
      </c>
      <c r="Q582" s="380">
        <v>2.3858E-3</v>
      </c>
      <c r="R582" s="380"/>
      <c r="S582" s="419">
        <v>-1198550</v>
      </c>
      <c r="T582" s="419">
        <v>-1184681</v>
      </c>
      <c r="U582" s="419">
        <v>-1244555</v>
      </c>
      <c r="V582" s="419">
        <v>-1599617</v>
      </c>
      <c r="W582" s="419">
        <v>0</v>
      </c>
      <c r="X582" s="380">
        <v>2.3858E-3</v>
      </c>
      <c r="Z582" s="419">
        <v>955756</v>
      </c>
      <c r="AA582" s="419">
        <v>671471</v>
      </c>
      <c r="AB582" s="419">
        <v>671467</v>
      </c>
      <c r="AC582" s="419">
        <v>0</v>
      </c>
      <c r="AD582" s="419">
        <v>0</v>
      </c>
      <c r="AE582" s="380">
        <v>2.3858E-3</v>
      </c>
      <c r="AF582" s="380"/>
      <c r="AG582" s="419">
        <v>180380</v>
      </c>
      <c r="AH582" s="419">
        <v>154399</v>
      </c>
      <c r="AI582" s="419">
        <v>38923</v>
      </c>
      <c r="AJ582" s="419">
        <v>0</v>
      </c>
      <c r="AK582" s="419">
        <v>0</v>
      </c>
      <c r="AL582" s="380">
        <v>2.3858E-3</v>
      </c>
      <c r="AM582" s="380"/>
      <c r="AN582" s="419">
        <v>0</v>
      </c>
      <c r="AO582" s="419">
        <v>0</v>
      </c>
      <c r="AP582" s="419">
        <v>0</v>
      </c>
      <c r="AQ582" s="419">
        <v>0</v>
      </c>
      <c r="AR582" s="419">
        <v>0</v>
      </c>
    </row>
    <row r="583" spans="1:44">
      <c r="A583" s="379">
        <v>96321</v>
      </c>
      <c r="B583" t="s">
        <v>1288</v>
      </c>
      <c r="C583" s="380">
        <v>4.2299999999999998E-5</v>
      </c>
      <c r="D583" s="380"/>
      <c r="E583" s="419">
        <v>5628</v>
      </c>
      <c r="F583" s="419">
        <v>-2611</v>
      </c>
      <c r="G583" s="419">
        <v>-11965</v>
      </c>
      <c r="H583" s="419">
        <v>-28361</v>
      </c>
      <c r="I583" s="419">
        <v>0</v>
      </c>
      <c r="J583" s="380">
        <v>4.2299999999999998E-5</v>
      </c>
      <c r="K583" s="380"/>
      <c r="L583" s="419">
        <v>10355</v>
      </c>
      <c r="M583" s="419">
        <v>7152</v>
      </c>
      <c r="N583" s="419">
        <v>3131</v>
      </c>
      <c r="O583" s="419">
        <v>0</v>
      </c>
      <c r="P583" s="419">
        <v>0</v>
      </c>
      <c r="Q583" s="380">
        <v>4.2299999999999998E-5</v>
      </c>
      <c r="R583" s="380"/>
      <c r="S583" s="419">
        <v>-21250</v>
      </c>
      <c r="T583" s="419">
        <v>-21004</v>
      </c>
      <c r="U583" s="419">
        <v>-22066</v>
      </c>
      <c r="V583" s="419">
        <v>-28361</v>
      </c>
      <c r="W583" s="419">
        <v>0</v>
      </c>
      <c r="X583" s="380">
        <v>4.2299999999999998E-5</v>
      </c>
      <c r="Z583" s="419">
        <v>16945</v>
      </c>
      <c r="AA583" s="419">
        <v>11905</v>
      </c>
      <c r="AB583" s="419">
        <v>11905</v>
      </c>
      <c r="AC583" s="419">
        <v>0</v>
      </c>
      <c r="AD583" s="419">
        <v>0</v>
      </c>
      <c r="AE583" s="380">
        <v>4.2299999999999998E-5</v>
      </c>
      <c r="AF583" s="380"/>
      <c r="AG583" s="419">
        <v>4515</v>
      </c>
      <c r="AH583" s="419">
        <v>4273</v>
      </c>
      <c r="AI583" s="419">
        <v>0</v>
      </c>
      <c r="AJ583" s="419">
        <v>0</v>
      </c>
      <c r="AK583" s="419">
        <v>0</v>
      </c>
      <c r="AL583" s="380">
        <v>4.2299999999999998E-5</v>
      </c>
      <c r="AM583" s="380"/>
      <c r="AN583" s="419">
        <v>-4937</v>
      </c>
      <c r="AO583" s="419">
        <v>-4937</v>
      </c>
      <c r="AP583" s="419">
        <v>-4935</v>
      </c>
      <c r="AQ583" s="419">
        <v>0</v>
      </c>
      <c r="AR583" s="419">
        <v>0</v>
      </c>
    </row>
    <row r="584" spans="1:44">
      <c r="A584" s="379">
        <v>96331</v>
      </c>
      <c r="B584" t="s">
        <v>1289</v>
      </c>
      <c r="C584" s="380">
        <v>6.6549999999999997E-4</v>
      </c>
      <c r="D584" s="380"/>
      <c r="E584" s="419">
        <v>33203</v>
      </c>
      <c r="F584" s="419">
        <v>-83183</v>
      </c>
      <c r="G584" s="419">
        <v>-133016</v>
      </c>
      <c r="H584" s="419">
        <v>-446200</v>
      </c>
      <c r="I584" s="419">
        <v>0</v>
      </c>
      <c r="J584" s="380">
        <v>6.6549999999999997E-4</v>
      </c>
      <c r="K584" s="380"/>
      <c r="L584" s="419">
        <v>162920</v>
      </c>
      <c r="M584" s="419">
        <v>112517</v>
      </c>
      <c r="N584" s="419">
        <v>49255</v>
      </c>
      <c r="O584" s="419">
        <v>0</v>
      </c>
      <c r="P584" s="419">
        <v>0</v>
      </c>
      <c r="Q584" s="380">
        <v>6.6549999999999997E-4</v>
      </c>
      <c r="R584" s="380"/>
      <c r="S584" s="419">
        <v>-334326</v>
      </c>
      <c r="T584" s="419">
        <v>-330457</v>
      </c>
      <c r="U584" s="419">
        <v>-347159</v>
      </c>
      <c r="V584" s="419">
        <v>-446200</v>
      </c>
      <c r="W584" s="419">
        <v>0</v>
      </c>
      <c r="X584" s="380">
        <v>6.6549999999999997E-4</v>
      </c>
      <c r="Z584" s="419">
        <v>266601</v>
      </c>
      <c r="AA584" s="419">
        <v>187302</v>
      </c>
      <c r="AB584" s="419">
        <v>187300</v>
      </c>
      <c r="AC584" s="419">
        <v>0</v>
      </c>
      <c r="AD584" s="419">
        <v>0</v>
      </c>
      <c r="AE584" s="380">
        <v>6.6549999999999997E-4</v>
      </c>
      <c r="AF584" s="380"/>
      <c r="AG584" s="419">
        <v>0</v>
      </c>
      <c r="AH584" s="419">
        <v>0</v>
      </c>
      <c r="AI584" s="419">
        <v>0</v>
      </c>
      <c r="AJ584" s="419">
        <v>0</v>
      </c>
      <c r="AK584" s="419">
        <v>0</v>
      </c>
      <c r="AL584" s="380">
        <v>6.6549999999999997E-4</v>
      </c>
      <c r="AM584" s="380"/>
      <c r="AN584" s="419">
        <v>-61992</v>
      </c>
      <c r="AO584" s="419">
        <v>-52545</v>
      </c>
      <c r="AP584" s="419">
        <v>-22412</v>
      </c>
      <c r="AQ584" s="419">
        <v>0</v>
      </c>
      <c r="AR584" s="419">
        <v>0</v>
      </c>
    </row>
    <row r="585" spans="1:44">
      <c r="A585" s="379">
        <v>96341</v>
      </c>
      <c r="B585" t="s">
        <v>1290</v>
      </c>
      <c r="C585" s="380">
        <v>7.8499999999999997E-5</v>
      </c>
      <c r="D585" s="380"/>
      <c r="E585" s="419">
        <v>10741</v>
      </c>
      <c r="F585" s="419">
        <v>-4899</v>
      </c>
      <c r="G585" s="419">
        <v>-4603</v>
      </c>
      <c r="H585" s="419">
        <v>-52632</v>
      </c>
      <c r="I585" s="419">
        <v>0</v>
      </c>
      <c r="J585" s="380">
        <v>7.8499999999999997E-5</v>
      </c>
      <c r="K585" s="380"/>
      <c r="L585" s="419">
        <v>19217</v>
      </c>
      <c r="M585" s="419">
        <v>13272</v>
      </c>
      <c r="N585" s="419">
        <v>5810</v>
      </c>
      <c r="O585" s="419">
        <v>0</v>
      </c>
      <c r="P585" s="419">
        <v>0</v>
      </c>
      <c r="Q585" s="380">
        <v>7.8499999999999997E-5</v>
      </c>
      <c r="R585" s="380"/>
      <c r="S585" s="419">
        <v>-39436</v>
      </c>
      <c r="T585" s="419">
        <v>-38980</v>
      </c>
      <c r="U585" s="419">
        <v>-40950</v>
      </c>
      <c r="V585" s="419">
        <v>-52632</v>
      </c>
      <c r="W585" s="419">
        <v>0</v>
      </c>
      <c r="X585" s="380">
        <v>7.8499999999999997E-5</v>
      </c>
      <c r="Z585" s="419">
        <v>31447</v>
      </c>
      <c r="AA585" s="419">
        <v>22093</v>
      </c>
      <c r="AB585" s="419">
        <v>22093</v>
      </c>
      <c r="AC585" s="419">
        <v>0</v>
      </c>
      <c r="AD585" s="419">
        <v>0</v>
      </c>
      <c r="AE585" s="380">
        <v>7.8499999999999997E-5</v>
      </c>
      <c r="AF585" s="380"/>
      <c r="AG585" s="419">
        <v>9240</v>
      </c>
      <c r="AH585" s="419">
        <v>8446</v>
      </c>
      <c r="AI585" s="419">
        <v>8444</v>
      </c>
      <c r="AJ585" s="419">
        <v>0</v>
      </c>
      <c r="AK585" s="419">
        <v>0</v>
      </c>
      <c r="AL585" s="380">
        <v>7.8499999999999997E-5</v>
      </c>
      <c r="AM585" s="380"/>
      <c r="AN585" s="419">
        <v>-9727</v>
      </c>
      <c r="AO585" s="419">
        <v>-9730</v>
      </c>
      <c r="AP585" s="419">
        <v>0</v>
      </c>
      <c r="AQ585" s="419">
        <v>0</v>
      </c>
      <c r="AR585" s="419">
        <v>0</v>
      </c>
    </row>
    <row r="586" spans="1:44">
      <c r="A586" s="379">
        <v>96351</v>
      </c>
      <c r="B586" t="s">
        <v>1291</v>
      </c>
      <c r="C586" s="380">
        <v>1.0480000000000001E-3</v>
      </c>
      <c r="D586" s="380"/>
      <c r="E586" s="419">
        <v>154826</v>
      </c>
      <c r="F586" s="419">
        <v>-39381</v>
      </c>
      <c r="G586" s="419">
        <v>-175705</v>
      </c>
      <c r="H586" s="419">
        <v>-702657</v>
      </c>
      <c r="I586" s="419">
        <v>0</v>
      </c>
      <c r="J586" s="380">
        <v>1.0480000000000001E-3</v>
      </c>
      <c r="K586" s="380"/>
      <c r="L586" s="419">
        <v>256559</v>
      </c>
      <c r="M586" s="419">
        <v>177187</v>
      </c>
      <c r="N586" s="419">
        <v>77565</v>
      </c>
      <c r="O586" s="419">
        <v>0</v>
      </c>
      <c r="P586" s="419">
        <v>0</v>
      </c>
      <c r="Q586" s="380">
        <v>1.0480000000000001E-3</v>
      </c>
      <c r="R586" s="380"/>
      <c r="S586" s="419">
        <v>-526482</v>
      </c>
      <c r="T586" s="419">
        <v>-520390</v>
      </c>
      <c r="U586" s="419">
        <v>-546690</v>
      </c>
      <c r="V586" s="419">
        <v>-702657</v>
      </c>
      <c r="W586" s="419">
        <v>0</v>
      </c>
      <c r="X586" s="380">
        <v>1.0480000000000001E-3</v>
      </c>
      <c r="Z586" s="419">
        <v>419831</v>
      </c>
      <c r="AA586" s="419">
        <v>294954</v>
      </c>
      <c r="AB586" s="419">
        <v>294952</v>
      </c>
      <c r="AC586" s="419">
        <v>0</v>
      </c>
      <c r="AD586" s="419">
        <v>0</v>
      </c>
      <c r="AE586" s="380">
        <v>1.0480000000000001E-3</v>
      </c>
      <c r="AF586" s="380"/>
      <c r="AG586" s="419">
        <v>16299</v>
      </c>
      <c r="AH586" s="419">
        <v>16298</v>
      </c>
      <c r="AI586" s="419">
        <v>0</v>
      </c>
      <c r="AJ586" s="419">
        <v>0</v>
      </c>
      <c r="AK586" s="419">
        <v>0</v>
      </c>
      <c r="AL586" s="380">
        <v>1.0480000000000001E-3</v>
      </c>
      <c r="AM586" s="380"/>
      <c r="AN586" s="419">
        <v>-11381</v>
      </c>
      <c r="AO586" s="419">
        <v>-7430</v>
      </c>
      <c r="AP586" s="419">
        <v>-1532</v>
      </c>
      <c r="AQ586" s="419">
        <v>0</v>
      </c>
      <c r="AR586" s="419">
        <v>0</v>
      </c>
    </row>
    <row r="587" spans="1:44">
      <c r="A587" s="379">
        <v>96361</v>
      </c>
      <c r="B587" t="s">
        <v>1292</v>
      </c>
      <c r="C587" s="380">
        <v>4.5000000000000003E-5</v>
      </c>
      <c r="D587" s="380"/>
      <c r="E587" s="419">
        <v>6695</v>
      </c>
      <c r="F587" s="419">
        <v>-1075</v>
      </c>
      <c r="G587" s="419">
        <v>-8268</v>
      </c>
      <c r="H587" s="419">
        <v>-30171</v>
      </c>
      <c r="I587" s="419">
        <v>0</v>
      </c>
      <c r="J587" s="380">
        <v>4.5000000000000003E-5</v>
      </c>
      <c r="K587" s="380"/>
      <c r="L587" s="419">
        <v>11016</v>
      </c>
      <c r="M587" s="419">
        <v>7608</v>
      </c>
      <c r="N587" s="419">
        <v>3331</v>
      </c>
      <c r="O587" s="419">
        <v>0</v>
      </c>
      <c r="P587" s="419">
        <v>0</v>
      </c>
      <c r="Q587" s="380">
        <v>4.5000000000000003E-5</v>
      </c>
      <c r="R587" s="380"/>
      <c r="S587" s="419">
        <v>-22607</v>
      </c>
      <c r="T587" s="419">
        <v>-22345</v>
      </c>
      <c r="U587" s="419">
        <v>-23474</v>
      </c>
      <c r="V587" s="419">
        <v>-30171</v>
      </c>
      <c r="W587" s="419">
        <v>0</v>
      </c>
      <c r="X587" s="380">
        <v>4.5000000000000003E-5</v>
      </c>
      <c r="Z587" s="419">
        <v>18027</v>
      </c>
      <c r="AA587" s="419">
        <v>12665</v>
      </c>
      <c r="AB587" s="419">
        <v>12665</v>
      </c>
      <c r="AC587" s="419">
        <v>0</v>
      </c>
      <c r="AD587" s="419">
        <v>0</v>
      </c>
      <c r="AE587" s="380">
        <v>4.5000000000000003E-5</v>
      </c>
      <c r="AF587" s="380"/>
      <c r="AG587" s="419">
        <v>2902</v>
      </c>
      <c r="AH587" s="419">
        <v>2901</v>
      </c>
      <c r="AI587" s="419">
        <v>0</v>
      </c>
      <c r="AJ587" s="419">
        <v>0</v>
      </c>
      <c r="AK587" s="419">
        <v>0</v>
      </c>
      <c r="AL587" s="380">
        <v>4.5000000000000003E-5</v>
      </c>
      <c r="AM587" s="380"/>
      <c r="AN587" s="419">
        <v>-2643</v>
      </c>
      <c r="AO587" s="419">
        <v>-1904</v>
      </c>
      <c r="AP587" s="419">
        <v>-790</v>
      </c>
      <c r="AQ587" s="419">
        <v>0</v>
      </c>
      <c r="AR587" s="419">
        <v>0</v>
      </c>
    </row>
    <row r="588" spans="1:44">
      <c r="A588" s="379">
        <v>96371</v>
      </c>
      <c r="B588" t="s">
        <v>1293</v>
      </c>
      <c r="C588" s="380">
        <v>1.384E-4</v>
      </c>
      <c r="D588" s="380"/>
      <c r="E588" s="419">
        <v>14981</v>
      </c>
      <c r="F588" s="419">
        <v>-9786</v>
      </c>
      <c r="G588" s="419">
        <v>-30265</v>
      </c>
      <c r="H588" s="419">
        <v>-92794</v>
      </c>
      <c r="I588" s="419">
        <v>0</v>
      </c>
      <c r="J588" s="380">
        <v>1.384E-4</v>
      </c>
      <c r="K588" s="380"/>
      <c r="L588" s="419">
        <v>33881</v>
      </c>
      <c r="M588" s="419">
        <v>23400</v>
      </c>
      <c r="N588" s="419">
        <v>10243</v>
      </c>
      <c r="O588" s="419">
        <v>0</v>
      </c>
      <c r="P588" s="419">
        <v>0</v>
      </c>
      <c r="Q588" s="380">
        <v>1.384E-4</v>
      </c>
      <c r="R588" s="380"/>
      <c r="S588" s="419">
        <v>-69528</v>
      </c>
      <c r="T588" s="419">
        <v>-68723</v>
      </c>
      <c r="U588" s="419">
        <v>-72196</v>
      </c>
      <c r="V588" s="419">
        <v>-92794</v>
      </c>
      <c r="W588" s="419">
        <v>0</v>
      </c>
      <c r="X588" s="380">
        <v>1.384E-4</v>
      </c>
      <c r="Z588" s="419">
        <v>55443</v>
      </c>
      <c r="AA588" s="419">
        <v>38952</v>
      </c>
      <c r="AB588" s="419">
        <v>38952</v>
      </c>
      <c r="AC588" s="419">
        <v>0</v>
      </c>
      <c r="AD588" s="419">
        <v>0</v>
      </c>
      <c r="AE588" s="380">
        <v>1.384E-4</v>
      </c>
      <c r="AF588" s="380"/>
      <c r="AG588" s="419">
        <v>3851</v>
      </c>
      <c r="AH588" s="419">
        <v>3849</v>
      </c>
      <c r="AI588" s="419">
        <v>0</v>
      </c>
      <c r="AJ588" s="419">
        <v>0</v>
      </c>
      <c r="AK588" s="419">
        <v>0</v>
      </c>
      <c r="AL588" s="380">
        <v>1.384E-4</v>
      </c>
      <c r="AM588" s="380"/>
      <c r="AN588" s="419">
        <v>-8666</v>
      </c>
      <c r="AO588" s="419">
        <v>-7264</v>
      </c>
      <c r="AP588" s="419">
        <v>-7264</v>
      </c>
      <c r="AQ588" s="419">
        <v>0</v>
      </c>
      <c r="AR588" s="419">
        <v>0</v>
      </c>
    </row>
    <row r="589" spans="1:44">
      <c r="A589" s="379">
        <v>96381</v>
      </c>
      <c r="B589" t="s">
        <v>1294</v>
      </c>
      <c r="C589" s="380">
        <v>2.4300000000000001E-5</v>
      </c>
      <c r="D589" s="380"/>
      <c r="E589" s="419">
        <v>569</v>
      </c>
      <c r="F589" s="419">
        <v>-4411</v>
      </c>
      <c r="G589" s="419">
        <v>-6308</v>
      </c>
      <c r="H589" s="419">
        <v>-16293</v>
      </c>
      <c r="I589" s="419">
        <v>0</v>
      </c>
      <c r="J589" s="380">
        <v>2.4300000000000001E-5</v>
      </c>
      <c r="K589" s="380"/>
      <c r="L589" s="419">
        <v>5949</v>
      </c>
      <c r="M589" s="419">
        <v>4108</v>
      </c>
      <c r="N589" s="419">
        <v>1798</v>
      </c>
      <c r="O589" s="419">
        <v>0</v>
      </c>
      <c r="P589" s="419">
        <v>0</v>
      </c>
      <c r="Q589" s="380">
        <v>2.4300000000000001E-5</v>
      </c>
      <c r="R589" s="380"/>
      <c r="S589" s="419">
        <v>-12208</v>
      </c>
      <c r="T589" s="419">
        <v>-12066</v>
      </c>
      <c r="U589" s="419">
        <v>-12676</v>
      </c>
      <c r="V589" s="419">
        <v>-16293</v>
      </c>
      <c r="W589" s="419">
        <v>0</v>
      </c>
      <c r="X589" s="380">
        <v>2.4300000000000001E-5</v>
      </c>
      <c r="Z589" s="419">
        <v>9735</v>
      </c>
      <c r="AA589" s="419">
        <v>6839</v>
      </c>
      <c r="AB589" s="419">
        <v>6839</v>
      </c>
      <c r="AC589" s="419">
        <v>0</v>
      </c>
      <c r="AD589" s="419">
        <v>0</v>
      </c>
      <c r="AE589" s="380">
        <v>2.4300000000000001E-5</v>
      </c>
      <c r="AF589" s="380"/>
      <c r="AG589" s="419">
        <v>386</v>
      </c>
      <c r="AH589" s="419">
        <v>0</v>
      </c>
      <c r="AI589" s="419">
        <v>0</v>
      </c>
      <c r="AJ589" s="419">
        <v>0</v>
      </c>
      <c r="AK589" s="419">
        <v>0</v>
      </c>
      <c r="AL589" s="380">
        <v>2.4300000000000001E-5</v>
      </c>
      <c r="AM589" s="380"/>
      <c r="AN589" s="419">
        <v>-3293</v>
      </c>
      <c r="AO589" s="419">
        <v>-3292</v>
      </c>
      <c r="AP589" s="419">
        <v>-2269</v>
      </c>
      <c r="AQ589" s="419">
        <v>0</v>
      </c>
      <c r="AR589" s="419">
        <v>0</v>
      </c>
    </row>
    <row r="590" spans="1:44">
      <c r="A590" s="379">
        <v>96391</v>
      </c>
      <c r="B590" t="s">
        <v>1295</v>
      </c>
      <c r="C590" s="380">
        <v>1.696E-4</v>
      </c>
      <c r="D590" s="380"/>
      <c r="E590" s="419">
        <v>-16721</v>
      </c>
      <c r="F590" s="419">
        <v>-46216</v>
      </c>
      <c r="G590" s="419">
        <v>-56928</v>
      </c>
      <c r="H590" s="419">
        <v>-113712</v>
      </c>
      <c r="I590" s="419">
        <v>0</v>
      </c>
      <c r="J590" s="380">
        <v>1.696E-4</v>
      </c>
      <c r="K590" s="380"/>
      <c r="L590" s="419">
        <v>41519</v>
      </c>
      <c r="M590" s="419">
        <v>28675</v>
      </c>
      <c r="N590" s="419">
        <v>12552</v>
      </c>
      <c r="O590" s="419">
        <v>0</v>
      </c>
      <c r="P590" s="419">
        <v>0</v>
      </c>
      <c r="Q590" s="380">
        <v>1.696E-4</v>
      </c>
      <c r="R590" s="380"/>
      <c r="S590" s="419">
        <v>-85202</v>
      </c>
      <c r="T590" s="419">
        <v>-84216</v>
      </c>
      <c r="U590" s="419">
        <v>-88472</v>
      </c>
      <c r="V590" s="419">
        <v>-113712</v>
      </c>
      <c r="W590" s="419">
        <v>0</v>
      </c>
      <c r="X590" s="380">
        <v>1.696E-4</v>
      </c>
      <c r="Z590" s="419">
        <v>67942</v>
      </c>
      <c r="AA590" s="419">
        <v>47733</v>
      </c>
      <c r="AB590" s="419">
        <v>47733</v>
      </c>
      <c r="AC590" s="419">
        <v>0</v>
      </c>
      <c r="AD590" s="419">
        <v>0</v>
      </c>
      <c r="AE590" s="380">
        <v>1.696E-4</v>
      </c>
      <c r="AF590" s="380"/>
      <c r="AG590" s="419">
        <v>0</v>
      </c>
      <c r="AH590" s="419">
        <v>0</v>
      </c>
      <c r="AI590" s="419">
        <v>0</v>
      </c>
      <c r="AJ590" s="419">
        <v>0</v>
      </c>
      <c r="AK590" s="419">
        <v>0</v>
      </c>
      <c r="AL590" s="380">
        <v>1.696E-4</v>
      </c>
      <c r="AM590" s="380"/>
      <c r="AN590" s="419">
        <v>-40980</v>
      </c>
      <c r="AO590" s="419">
        <v>-38408</v>
      </c>
      <c r="AP590" s="419">
        <v>-28741</v>
      </c>
      <c r="AQ590" s="419">
        <v>0</v>
      </c>
      <c r="AR590" s="419">
        <v>0</v>
      </c>
    </row>
    <row r="591" spans="1:44">
      <c r="A591" s="379">
        <v>96401</v>
      </c>
      <c r="B591" t="s">
        <v>1296</v>
      </c>
      <c r="C591" s="380">
        <v>4.0784000000000003E-3</v>
      </c>
      <c r="D591" s="380"/>
      <c r="E591" s="419">
        <v>426073</v>
      </c>
      <c r="F591" s="419">
        <v>-318951</v>
      </c>
      <c r="G591" s="419">
        <v>-783513</v>
      </c>
      <c r="H591" s="419">
        <v>-2734461</v>
      </c>
      <c r="I591" s="419">
        <v>0</v>
      </c>
      <c r="J591" s="380">
        <v>4.0784000000000003E-3</v>
      </c>
      <c r="K591" s="380"/>
      <c r="L591" s="419">
        <v>998425</v>
      </c>
      <c r="M591" s="419">
        <v>689543</v>
      </c>
      <c r="N591" s="419">
        <v>301851</v>
      </c>
      <c r="O591" s="419">
        <v>0</v>
      </c>
      <c r="P591" s="419">
        <v>0</v>
      </c>
      <c r="Q591" s="380">
        <v>4.0784000000000003E-3</v>
      </c>
      <c r="R591" s="380"/>
      <c r="S591" s="419">
        <v>-2048858</v>
      </c>
      <c r="T591" s="419">
        <v>-2025150</v>
      </c>
      <c r="U591" s="419">
        <v>-2127501</v>
      </c>
      <c r="V591" s="419">
        <v>-2734461</v>
      </c>
      <c r="W591" s="419">
        <v>0</v>
      </c>
      <c r="X591" s="380">
        <v>4.0784000000000003E-3</v>
      </c>
      <c r="Z591" s="419">
        <v>1633815</v>
      </c>
      <c r="AA591" s="419">
        <v>1147845</v>
      </c>
      <c r="AB591" s="419">
        <v>1147837</v>
      </c>
      <c r="AC591" s="419">
        <v>0</v>
      </c>
      <c r="AD591" s="419">
        <v>0</v>
      </c>
      <c r="AE591" s="380">
        <v>4.0784000000000003E-3</v>
      </c>
      <c r="AF591" s="380"/>
      <c r="AG591" s="419">
        <v>0</v>
      </c>
      <c r="AH591" s="419">
        <v>0</v>
      </c>
      <c r="AI591" s="419">
        <v>0</v>
      </c>
      <c r="AJ591" s="419">
        <v>0</v>
      </c>
      <c r="AK591" s="419">
        <v>0</v>
      </c>
      <c r="AL591" s="380">
        <v>4.0784000000000003E-3</v>
      </c>
      <c r="AM591" s="380"/>
      <c r="AN591" s="419">
        <v>-157309</v>
      </c>
      <c r="AO591" s="419">
        <v>-131189</v>
      </c>
      <c r="AP591" s="419">
        <v>-105700</v>
      </c>
      <c r="AQ591" s="419">
        <v>0</v>
      </c>
      <c r="AR591" s="419">
        <v>0</v>
      </c>
    </row>
    <row r="592" spans="1:44">
      <c r="A592" s="379">
        <v>96404</v>
      </c>
      <c r="B592" t="s">
        <v>1297</v>
      </c>
      <c r="C592" s="380">
        <v>1.032E-4</v>
      </c>
      <c r="D592" s="380"/>
      <c r="E592" s="419">
        <v>33510</v>
      </c>
      <c r="F592" s="419">
        <v>11694</v>
      </c>
      <c r="G592" s="419">
        <v>-6711</v>
      </c>
      <c r="H592" s="419">
        <v>-69193</v>
      </c>
      <c r="I592" s="419">
        <v>0</v>
      </c>
      <c r="J592" s="380">
        <v>1.032E-4</v>
      </c>
      <c r="K592" s="380"/>
      <c r="L592" s="419">
        <v>25264</v>
      </c>
      <c r="M592" s="419">
        <v>17448</v>
      </c>
      <c r="N592" s="419">
        <v>7638</v>
      </c>
      <c r="O592" s="419">
        <v>0</v>
      </c>
      <c r="P592" s="419">
        <v>0</v>
      </c>
      <c r="Q592" s="380">
        <v>1.032E-4</v>
      </c>
      <c r="R592" s="380"/>
      <c r="S592" s="419">
        <v>-51844</v>
      </c>
      <c r="T592" s="419">
        <v>-51244</v>
      </c>
      <c r="U592" s="419">
        <v>-53834</v>
      </c>
      <c r="V592" s="419">
        <v>-69193</v>
      </c>
      <c r="W592" s="419">
        <v>0</v>
      </c>
      <c r="X592" s="380">
        <v>1.032E-4</v>
      </c>
      <c r="Z592" s="419">
        <v>41342</v>
      </c>
      <c r="AA592" s="419">
        <v>29045</v>
      </c>
      <c r="AB592" s="419">
        <v>29045</v>
      </c>
      <c r="AC592" s="419">
        <v>0</v>
      </c>
      <c r="AD592" s="419">
        <v>0</v>
      </c>
      <c r="AE592" s="380">
        <v>1.032E-4</v>
      </c>
      <c r="AF592" s="380"/>
      <c r="AG592" s="419">
        <v>18748</v>
      </c>
      <c r="AH592" s="419">
        <v>16445</v>
      </c>
      <c r="AI592" s="419">
        <v>10440</v>
      </c>
      <c r="AJ592" s="419">
        <v>0</v>
      </c>
      <c r="AK592" s="419">
        <v>0</v>
      </c>
      <c r="AL592" s="380">
        <v>1.032E-4</v>
      </c>
      <c r="AM592" s="380"/>
      <c r="AN592" s="419">
        <v>0</v>
      </c>
      <c r="AO592" s="419">
        <v>0</v>
      </c>
      <c r="AP592" s="419">
        <v>0</v>
      </c>
      <c r="AQ592" s="419">
        <v>0</v>
      </c>
      <c r="AR592" s="419">
        <v>0</v>
      </c>
    </row>
    <row r="593" spans="1:47">
      <c r="A593" s="379">
        <v>96405</v>
      </c>
      <c r="B593" t="s">
        <v>1298</v>
      </c>
      <c r="C593" s="380">
        <v>1.3880000000000001E-4</v>
      </c>
      <c r="D593" s="380"/>
      <c r="E593" s="419">
        <v>31488</v>
      </c>
      <c r="F593" s="419">
        <v>5403</v>
      </c>
      <c r="G593" s="419">
        <v>-12753</v>
      </c>
      <c r="H593" s="419">
        <v>-93062</v>
      </c>
      <c r="I593" s="419">
        <v>0</v>
      </c>
      <c r="J593" s="380">
        <v>1.3880000000000001E-4</v>
      </c>
      <c r="K593" s="380"/>
      <c r="L593" s="419">
        <v>33979</v>
      </c>
      <c r="M593" s="419">
        <v>23467</v>
      </c>
      <c r="N593" s="419">
        <v>10273</v>
      </c>
      <c r="O593" s="419">
        <v>0</v>
      </c>
      <c r="P593" s="419">
        <v>0</v>
      </c>
      <c r="Q593" s="380">
        <v>1.3880000000000001E-4</v>
      </c>
      <c r="R593" s="380"/>
      <c r="S593" s="419">
        <v>-69729</v>
      </c>
      <c r="T593" s="419">
        <v>-68922</v>
      </c>
      <c r="U593" s="419">
        <v>-72405</v>
      </c>
      <c r="V593" s="419">
        <v>-93062</v>
      </c>
      <c r="W593" s="419">
        <v>0</v>
      </c>
      <c r="X593" s="380">
        <v>1.3880000000000001E-4</v>
      </c>
      <c r="Z593" s="419">
        <v>55604</v>
      </c>
      <c r="AA593" s="419">
        <v>39065</v>
      </c>
      <c r="AB593" s="419">
        <v>39064</v>
      </c>
      <c r="AC593" s="419">
        <v>0</v>
      </c>
      <c r="AD593" s="419">
        <v>0</v>
      </c>
      <c r="AE593" s="380">
        <v>1.3880000000000001E-4</v>
      </c>
      <c r="AF593" s="380"/>
      <c r="AG593" s="419">
        <v>16641</v>
      </c>
      <c r="AH593" s="419">
        <v>16642</v>
      </c>
      <c r="AI593" s="419">
        <v>10315</v>
      </c>
      <c r="AJ593" s="419">
        <v>0</v>
      </c>
      <c r="AK593" s="419">
        <v>0</v>
      </c>
      <c r="AL593" s="380">
        <v>1.3880000000000001E-4</v>
      </c>
      <c r="AM593" s="380"/>
      <c r="AN593" s="419">
        <v>-5007</v>
      </c>
      <c r="AO593" s="419">
        <v>-4849</v>
      </c>
      <c r="AP593" s="419">
        <v>0</v>
      </c>
      <c r="AQ593" s="419">
        <v>0</v>
      </c>
      <c r="AR593" s="419">
        <v>0</v>
      </c>
    </row>
    <row r="594" spans="1:47">
      <c r="A594" s="379">
        <v>96411</v>
      </c>
      <c r="B594" t="s">
        <v>1299</v>
      </c>
      <c r="C594" s="380">
        <v>6.8200000000000004E-5</v>
      </c>
      <c r="D594" s="380"/>
      <c r="E594" s="419">
        <v>4135</v>
      </c>
      <c r="F594" s="419">
        <v>-7801</v>
      </c>
      <c r="G594" s="419">
        <v>-12866</v>
      </c>
      <c r="H594" s="419">
        <v>-45726</v>
      </c>
      <c r="I594" s="419">
        <v>0</v>
      </c>
      <c r="J594" s="380">
        <v>6.8200000000000004E-5</v>
      </c>
      <c r="K594" s="380"/>
      <c r="L594" s="419">
        <v>16696</v>
      </c>
      <c r="M594" s="419">
        <v>11531</v>
      </c>
      <c r="N594" s="419">
        <v>5048</v>
      </c>
      <c r="O594" s="419">
        <v>0</v>
      </c>
      <c r="P594" s="419">
        <v>0</v>
      </c>
      <c r="Q594" s="380">
        <v>6.8200000000000004E-5</v>
      </c>
      <c r="R594" s="380"/>
      <c r="S594" s="419">
        <v>-34261</v>
      </c>
      <c r="T594" s="419">
        <v>-33865</v>
      </c>
      <c r="U594" s="419">
        <v>-35577</v>
      </c>
      <c r="V594" s="419">
        <v>-45726</v>
      </c>
      <c r="W594" s="419">
        <v>0</v>
      </c>
      <c r="X594" s="380">
        <v>6.8200000000000004E-5</v>
      </c>
      <c r="Z594" s="419">
        <v>27321</v>
      </c>
      <c r="AA594" s="419">
        <v>19195</v>
      </c>
      <c r="AB594" s="419">
        <v>19194</v>
      </c>
      <c r="AC594" s="419">
        <v>0</v>
      </c>
      <c r="AD594" s="419">
        <v>0</v>
      </c>
      <c r="AE594" s="380">
        <v>6.8200000000000004E-5</v>
      </c>
      <c r="AF594" s="380"/>
      <c r="AG594" s="419">
        <v>0</v>
      </c>
      <c r="AH594" s="419">
        <v>0</v>
      </c>
      <c r="AI594" s="419">
        <v>0</v>
      </c>
      <c r="AJ594" s="419">
        <v>0</v>
      </c>
      <c r="AK594" s="419">
        <v>0</v>
      </c>
      <c r="AL594" s="380">
        <v>6.8200000000000004E-5</v>
      </c>
      <c r="AM594" s="380"/>
      <c r="AN594" s="419">
        <v>-5621</v>
      </c>
      <c r="AO594" s="419">
        <v>-4662</v>
      </c>
      <c r="AP594" s="419">
        <v>-1531</v>
      </c>
      <c r="AQ594" s="419">
        <v>0</v>
      </c>
      <c r="AR594" s="419">
        <v>0</v>
      </c>
    </row>
    <row r="595" spans="1:47">
      <c r="A595" s="379">
        <v>96421</v>
      </c>
      <c r="B595" t="s">
        <v>1300</v>
      </c>
      <c r="C595" s="380">
        <v>4.5800000000000002E-4</v>
      </c>
      <c r="D595" s="380"/>
      <c r="E595" s="419">
        <v>60155</v>
      </c>
      <c r="F595" s="419">
        <v>-22198</v>
      </c>
      <c r="G595" s="419">
        <v>-68959</v>
      </c>
      <c r="H595" s="419">
        <v>-307077</v>
      </c>
      <c r="I595" s="419">
        <v>0</v>
      </c>
      <c r="J595" s="380">
        <v>4.5800000000000002E-4</v>
      </c>
      <c r="K595" s="380"/>
      <c r="L595" s="419">
        <v>112122</v>
      </c>
      <c r="M595" s="419">
        <v>77435</v>
      </c>
      <c r="N595" s="419">
        <v>33897</v>
      </c>
      <c r="O595" s="419">
        <v>0</v>
      </c>
      <c r="P595" s="419">
        <v>0</v>
      </c>
      <c r="Q595" s="380">
        <v>4.5800000000000002E-4</v>
      </c>
      <c r="R595" s="380"/>
      <c r="S595" s="419">
        <v>-230085</v>
      </c>
      <c r="T595" s="419">
        <v>-227422</v>
      </c>
      <c r="U595" s="419">
        <v>-238916</v>
      </c>
      <c r="V595" s="419">
        <v>-307077</v>
      </c>
      <c r="W595" s="419">
        <v>0</v>
      </c>
      <c r="X595" s="380">
        <v>4.5800000000000002E-4</v>
      </c>
      <c r="Z595" s="419">
        <v>183476</v>
      </c>
      <c r="AA595" s="419">
        <v>128902</v>
      </c>
      <c r="AB595" s="419">
        <v>128901</v>
      </c>
      <c r="AC595" s="419">
        <v>0</v>
      </c>
      <c r="AD595" s="419">
        <v>0</v>
      </c>
      <c r="AE595" s="380">
        <v>4.5800000000000002E-4</v>
      </c>
      <c r="AF595" s="380"/>
      <c r="AG595" s="419">
        <v>13244</v>
      </c>
      <c r="AH595" s="419">
        <v>13242</v>
      </c>
      <c r="AI595" s="419">
        <v>7159</v>
      </c>
      <c r="AJ595" s="419">
        <v>0</v>
      </c>
      <c r="AK595" s="419">
        <v>0</v>
      </c>
      <c r="AL595" s="380">
        <v>4.5800000000000002E-4</v>
      </c>
      <c r="AM595" s="380"/>
      <c r="AN595" s="419">
        <v>-18602</v>
      </c>
      <c r="AO595" s="419">
        <v>-14355</v>
      </c>
      <c r="AP595" s="419">
        <v>0</v>
      </c>
      <c r="AQ595" s="419">
        <v>0</v>
      </c>
      <c r="AR595" s="419">
        <v>0</v>
      </c>
    </row>
    <row r="596" spans="1:47">
      <c r="A596" s="379">
        <v>96431</v>
      </c>
      <c r="B596" t="s">
        <v>1301</v>
      </c>
      <c r="C596" s="380">
        <v>4.4400000000000002E-5</v>
      </c>
      <c r="D596" s="380"/>
      <c r="E596" s="419">
        <v>14542</v>
      </c>
      <c r="F596" s="419">
        <v>6955</v>
      </c>
      <c r="G596" s="419">
        <v>-7803</v>
      </c>
      <c r="H596" s="419">
        <v>-29769</v>
      </c>
      <c r="I596" s="419">
        <v>0</v>
      </c>
      <c r="J596" s="380">
        <v>4.4400000000000002E-5</v>
      </c>
      <c r="K596" s="380"/>
      <c r="L596" s="419">
        <v>10869</v>
      </c>
      <c r="M596" s="419">
        <v>7507</v>
      </c>
      <c r="N596" s="419">
        <v>3286</v>
      </c>
      <c r="O596" s="419">
        <v>0</v>
      </c>
      <c r="P596" s="419">
        <v>0</v>
      </c>
      <c r="Q596" s="380">
        <v>4.4400000000000002E-5</v>
      </c>
      <c r="R596" s="380"/>
      <c r="S596" s="419">
        <v>-22305</v>
      </c>
      <c r="T596" s="419">
        <v>-22047</v>
      </c>
      <c r="U596" s="419">
        <v>-23161</v>
      </c>
      <c r="V596" s="419">
        <v>-29769</v>
      </c>
      <c r="W596" s="419">
        <v>0</v>
      </c>
      <c r="X596" s="380">
        <v>4.4400000000000002E-5</v>
      </c>
      <c r="Z596" s="419">
        <v>17787</v>
      </c>
      <c r="AA596" s="419">
        <v>12496</v>
      </c>
      <c r="AB596" s="419">
        <v>12496</v>
      </c>
      <c r="AC596" s="419">
        <v>0</v>
      </c>
      <c r="AD596" s="419">
        <v>0</v>
      </c>
      <c r="AE596" s="380">
        <v>4.4400000000000002E-5</v>
      </c>
      <c r="AF596" s="380"/>
      <c r="AG596" s="419">
        <v>9421</v>
      </c>
      <c r="AH596" s="419">
        <v>9422</v>
      </c>
      <c r="AI596" s="419">
        <v>0</v>
      </c>
      <c r="AJ596" s="419">
        <v>0</v>
      </c>
      <c r="AK596" s="419">
        <v>0</v>
      </c>
      <c r="AL596" s="380">
        <v>4.4400000000000002E-5</v>
      </c>
      <c r="AM596" s="380"/>
      <c r="AN596" s="419">
        <v>-1230</v>
      </c>
      <c r="AO596" s="419">
        <v>-423</v>
      </c>
      <c r="AP596" s="419">
        <v>-424</v>
      </c>
      <c r="AQ596" s="419">
        <v>0</v>
      </c>
      <c r="AR596" s="419">
        <v>0</v>
      </c>
    </row>
    <row r="597" spans="1:47">
      <c r="A597" s="379">
        <v>96441</v>
      </c>
      <c r="B597" t="s">
        <v>1302</v>
      </c>
      <c r="C597" s="380">
        <v>2.97E-5</v>
      </c>
      <c r="D597" s="380"/>
      <c r="E597" s="419">
        <v>7754</v>
      </c>
      <c r="F597" s="419">
        <v>2110</v>
      </c>
      <c r="G597" s="419">
        <v>-4813</v>
      </c>
      <c r="H597" s="419">
        <v>-19913</v>
      </c>
      <c r="I597" s="419">
        <v>0</v>
      </c>
      <c r="J597" s="380">
        <v>2.97E-5</v>
      </c>
      <c r="K597" s="380"/>
      <c r="L597" s="419">
        <v>7271</v>
      </c>
      <c r="M597" s="419">
        <v>5021</v>
      </c>
      <c r="N597" s="419">
        <v>2198</v>
      </c>
      <c r="O597" s="419">
        <v>0</v>
      </c>
      <c r="P597" s="419">
        <v>0</v>
      </c>
      <c r="Q597" s="380">
        <v>2.97E-5</v>
      </c>
      <c r="R597" s="380"/>
      <c r="S597" s="419">
        <v>-14920</v>
      </c>
      <c r="T597" s="419">
        <v>-14748</v>
      </c>
      <c r="U597" s="419">
        <v>-15493</v>
      </c>
      <c r="V597" s="419">
        <v>-19913</v>
      </c>
      <c r="W597" s="419">
        <v>0</v>
      </c>
      <c r="X597" s="380">
        <v>2.97E-5</v>
      </c>
      <c r="Z597" s="419">
        <v>11898</v>
      </c>
      <c r="AA597" s="419">
        <v>8359</v>
      </c>
      <c r="AB597" s="419">
        <v>8359</v>
      </c>
      <c r="AC597" s="419">
        <v>0</v>
      </c>
      <c r="AD597" s="419">
        <v>0</v>
      </c>
      <c r="AE597" s="380">
        <v>2.97E-5</v>
      </c>
      <c r="AF597" s="380"/>
      <c r="AG597" s="419">
        <v>4505</v>
      </c>
      <c r="AH597" s="419">
        <v>4477</v>
      </c>
      <c r="AI597" s="419">
        <v>123</v>
      </c>
      <c r="AJ597" s="419">
        <v>0</v>
      </c>
      <c r="AK597" s="419">
        <v>0</v>
      </c>
      <c r="AL597" s="380">
        <v>2.97E-5</v>
      </c>
      <c r="AM597" s="380"/>
      <c r="AN597" s="419">
        <v>-1000</v>
      </c>
      <c r="AO597" s="419">
        <v>-999</v>
      </c>
      <c r="AP597" s="419">
        <v>0</v>
      </c>
      <c r="AQ597" s="419">
        <v>0</v>
      </c>
      <c r="AR597" s="419">
        <v>0</v>
      </c>
    </row>
    <row r="598" spans="1:47">
      <c r="A598" s="379">
        <v>96451</v>
      </c>
      <c r="B598" t="s">
        <v>1303</v>
      </c>
      <c r="C598" s="380">
        <v>1.2300000000000001E-5</v>
      </c>
      <c r="D598" s="380"/>
      <c r="E598" s="419">
        <v>3049</v>
      </c>
      <c r="F598" s="419">
        <v>1132</v>
      </c>
      <c r="G598" s="419">
        <v>-2152</v>
      </c>
      <c r="H598" s="419">
        <v>-8247</v>
      </c>
      <c r="I598" s="419">
        <v>0</v>
      </c>
      <c r="J598" s="380">
        <v>1.2300000000000001E-5</v>
      </c>
      <c r="K598" s="380"/>
      <c r="L598" s="419">
        <v>3011</v>
      </c>
      <c r="M598" s="419">
        <v>2080</v>
      </c>
      <c r="N598" s="419">
        <v>910</v>
      </c>
      <c r="O598" s="419">
        <v>0</v>
      </c>
      <c r="P598" s="419">
        <v>0</v>
      </c>
      <c r="Q598" s="380">
        <v>1.2300000000000001E-5</v>
      </c>
      <c r="R598" s="380"/>
      <c r="S598" s="419">
        <v>-6179</v>
      </c>
      <c r="T598" s="419">
        <v>-6108</v>
      </c>
      <c r="U598" s="419">
        <v>-6416</v>
      </c>
      <c r="V598" s="419">
        <v>-8247</v>
      </c>
      <c r="W598" s="419">
        <v>0</v>
      </c>
      <c r="X598" s="380">
        <v>1.2300000000000001E-5</v>
      </c>
      <c r="Z598" s="419">
        <v>4927</v>
      </c>
      <c r="AA598" s="419">
        <v>3462</v>
      </c>
      <c r="AB598" s="419">
        <v>3462</v>
      </c>
      <c r="AC598" s="419">
        <v>0</v>
      </c>
      <c r="AD598" s="419">
        <v>0</v>
      </c>
      <c r="AE598" s="380">
        <v>1.2300000000000001E-5</v>
      </c>
      <c r="AF598" s="380"/>
      <c r="AG598" s="419">
        <v>3373</v>
      </c>
      <c r="AH598" s="419">
        <v>3374</v>
      </c>
      <c r="AI598" s="419">
        <v>0</v>
      </c>
      <c r="AJ598" s="419">
        <v>0</v>
      </c>
      <c r="AK598" s="419">
        <v>0</v>
      </c>
      <c r="AL598" s="380">
        <v>1.2300000000000001E-5</v>
      </c>
      <c r="AM598" s="380"/>
      <c r="AN598" s="419">
        <v>-2083</v>
      </c>
      <c r="AO598" s="419">
        <v>-1676</v>
      </c>
      <c r="AP598" s="419">
        <v>-108</v>
      </c>
      <c r="AQ598" s="419">
        <v>0</v>
      </c>
      <c r="AR598" s="419">
        <v>0</v>
      </c>
    </row>
    <row r="599" spans="1:47">
      <c r="A599" s="379">
        <v>96461</v>
      </c>
      <c r="B599" t="s">
        <v>1304</v>
      </c>
      <c r="C599" s="380">
        <v>1.5970000000000001E-4</v>
      </c>
      <c r="D599" s="380"/>
      <c r="E599" s="419">
        <v>31546</v>
      </c>
      <c r="F599" s="419">
        <v>-1171</v>
      </c>
      <c r="G599" s="419">
        <v>-11478</v>
      </c>
      <c r="H599" s="419">
        <v>-107075</v>
      </c>
      <c r="I599" s="419">
        <v>0</v>
      </c>
      <c r="J599" s="380">
        <v>1.5970000000000001E-4</v>
      </c>
      <c r="K599" s="380"/>
      <c r="L599" s="419">
        <v>39096</v>
      </c>
      <c r="M599" s="419">
        <v>27001</v>
      </c>
      <c r="N599" s="419">
        <v>11820</v>
      </c>
      <c r="O599" s="419">
        <v>0</v>
      </c>
      <c r="P599" s="419">
        <v>0</v>
      </c>
      <c r="Q599" s="380">
        <v>1.5970000000000001E-4</v>
      </c>
      <c r="R599" s="380"/>
      <c r="S599" s="419">
        <v>-80228</v>
      </c>
      <c r="T599" s="419">
        <v>-79300</v>
      </c>
      <c r="U599" s="419">
        <v>-83308</v>
      </c>
      <c r="V599" s="419">
        <v>-107075</v>
      </c>
      <c r="W599" s="419">
        <v>0</v>
      </c>
      <c r="X599" s="380">
        <v>1.5970000000000001E-4</v>
      </c>
      <c r="Z599" s="419">
        <v>63976</v>
      </c>
      <c r="AA599" s="419">
        <v>44947</v>
      </c>
      <c r="AB599" s="419">
        <v>44946</v>
      </c>
      <c r="AC599" s="419">
        <v>0</v>
      </c>
      <c r="AD599" s="419">
        <v>0</v>
      </c>
      <c r="AE599" s="380">
        <v>1.5970000000000001E-4</v>
      </c>
      <c r="AF599" s="380"/>
      <c r="AG599" s="419">
        <v>17585</v>
      </c>
      <c r="AH599" s="419">
        <v>15066</v>
      </c>
      <c r="AI599" s="419">
        <v>15064</v>
      </c>
      <c r="AJ599" s="419">
        <v>0</v>
      </c>
      <c r="AK599" s="419">
        <v>0</v>
      </c>
      <c r="AL599" s="380">
        <v>1.5970000000000001E-4</v>
      </c>
      <c r="AM599" s="380"/>
      <c r="AN599" s="419">
        <v>-8883</v>
      </c>
      <c r="AO599" s="419">
        <v>-8885</v>
      </c>
      <c r="AP599" s="419">
        <v>0</v>
      </c>
      <c r="AQ599" s="419">
        <v>0</v>
      </c>
      <c r="AR599" s="419">
        <v>0</v>
      </c>
    </row>
    <row r="600" spans="1:47">
      <c r="A600" s="379">
        <v>96501</v>
      </c>
      <c r="B600" t="s">
        <v>1305</v>
      </c>
      <c r="C600" s="380">
        <v>1.42842E-2</v>
      </c>
      <c r="D600" s="380"/>
      <c r="E600" s="419">
        <v>1816704</v>
      </c>
      <c r="F600" s="419">
        <v>-861565</v>
      </c>
      <c r="G600" s="419">
        <v>-2636637</v>
      </c>
      <c r="H600" s="419">
        <v>-9577185</v>
      </c>
      <c r="I600" s="419">
        <v>0</v>
      </c>
      <c r="J600" s="380">
        <v>1.42842E-2</v>
      </c>
      <c r="K600" s="380"/>
      <c r="L600" s="419">
        <v>3496886</v>
      </c>
      <c r="M600" s="419">
        <v>2415058</v>
      </c>
      <c r="N600" s="419">
        <v>1057202</v>
      </c>
      <c r="O600" s="419">
        <v>0</v>
      </c>
      <c r="P600" s="419">
        <v>0</v>
      </c>
      <c r="Q600" s="380">
        <v>1.42842E-2</v>
      </c>
      <c r="R600" s="380"/>
      <c r="S600" s="419">
        <v>-7175925</v>
      </c>
      <c r="T600" s="419">
        <v>-7092891</v>
      </c>
      <c r="U600" s="419">
        <v>-7451367</v>
      </c>
      <c r="V600" s="419">
        <v>-9577185</v>
      </c>
      <c r="W600" s="419">
        <v>0</v>
      </c>
      <c r="X600" s="380">
        <v>1.42842E-2</v>
      </c>
      <c r="Z600" s="419">
        <v>5722279</v>
      </c>
      <c r="AA600" s="419">
        <v>4020217</v>
      </c>
      <c r="AB600" s="419">
        <v>4020188</v>
      </c>
      <c r="AC600" s="419">
        <v>0</v>
      </c>
      <c r="AD600" s="419">
        <v>0</v>
      </c>
      <c r="AE600" s="380">
        <v>1.42842E-2</v>
      </c>
      <c r="AF600" s="380"/>
      <c r="AG600" s="419">
        <v>58714</v>
      </c>
      <c r="AH600" s="419">
        <v>58712</v>
      </c>
      <c r="AI600" s="419">
        <v>0</v>
      </c>
      <c r="AJ600" s="419">
        <v>0</v>
      </c>
      <c r="AK600" s="419">
        <v>0</v>
      </c>
      <c r="AL600" s="380">
        <v>1.42842E-2</v>
      </c>
      <c r="AM600" s="380"/>
      <c r="AN600" s="419">
        <v>-285250</v>
      </c>
      <c r="AO600" s="419">
        <v>-262661</v>
      </c>
      <c r="AP600" s="419">
        <v>-262660</v>
      </c>
      <c r="AQ600" s="419">
        <v>0</v>
      </c>
      <c r="AR600" s="419">
        <v>0</v>
      </c>
    </row>
    <row r="601" spans="1:47">
      <c r="A601" s="379">
        <v>96502</v>
      </c>
      <c r="B601" t="s">
        <v>1306</v>
      </c>
      <c r="C601" s="380">
        <v>3.366E-4</v>
      </c>
      <c r="D601" s="380"/>
      <c r="E601" s="419">
        <v>36802</v>
      </c>
      <c r="F601" s="419">
        <v>-26902</v>
      </c>
      <c r="G601" s="419">
        <v>-46470</v>
      </c>
      <c r="H601" s="419">
        <v>-225682</v>
      </c>
      <c r="I601" s="419">
        <v>0</v>
      </c>
      <c r="J601" s="380">
        <v>3.366E-4</v>
      </c>
      <c r="K601" s="380"/>
      <c r="L601" s="419">
        <v>82402</v>
      </c>
      <c r="M601" s="419">
        <v>56910</v>
      </c>
      <c r="N601" s="419">
        <v>24912</v>
      </c>
      <c r="O601" s="419">
        <v>0</v>
      </c>
      <c r="P601" s="419">
        <v>0</v>
      </c>
      <c r="Q601" s="380">
        <v>3.366E-4</v>
      </c>
      <c r="R601" s="380"/>
      <c r="S601" s="419">
        <v>-169097</v>
      </c>
      <c r="T601" s="419">
        <v>-167140</v>
      </c>
      <c r="U601" s="419">
        <v>-175588</v>
      </c>
      <c r="V601" s="419">
        <v>-225682</v>
      </c>
      <c r="W601" s="419">
        <v>0</v>
      </c>
      <c r="X601" s="380">
        <v>3.366E-4</v>
      </c>
      <c r="Z601" s="419">
        <v>134843</v>
      </c>
      <c r="AA601" s="419">
        <v>94734</v>
      </c>
      <c r="AB601" s="419">
        <v>94734</v>
      </c>
      <c r="AC601" s="419">
        <v>0</v>
      </c>
      <c r="AD601" s="419">
        <v>0</v>
      </c>
      <c r="AE601" s="380">
        <v>3.366E-4</v>
      </c>
      <c r="AF601" s="380"/>
      <c r="AG601" s="419">
        <v>12930</v>
      </c>
      <c r="AH601" s="419">
        <v>12869</v>
      </c>
      <c r="AI601" s="419">
        <v>9472</v>
      </c>
      <c r="AJ601" s="419">
        <v>0</v>
      </c>
      <c r="AK601" s="419">
        <v>0</v>
      </c>
      <c r="AL601" s="380">
        <v>3.366E-4</v>
      </c>
      <c r="AM601" s="380"/>
      <c r="AN601" s="419">
        <v>-24276</v>
      </c>
      <c r="AO601" s="419">
        <v>-24275</v>
      </c>
      <c r="AP601" s="419">
        <v>0</v>
      </c>
      <c r="AQ601" s="419">
        <v>0</v>
      </c>
      <c r="AR601" s="419">
        <v>0</v>
      </c>
    </row>
    <row r="602" spans="1:47">
      <c r="A602" s="379">
        <v>96503</v>
      </c>
      <c r="B602" t="s">
        <v>1945</v>
      </c>
      <c r="C602" s="380">
        <v>2.9750000000000002E-4</v>
      </c>
      <c r="D602" s="380"/>
      <c r="E602" s="419">
        <v>200050</v>
      </c>
      <c r="F602" s="419">
        <v>110321</v>
      </c>
      <c r="G602" s="419">
        <v>29215</v>
      </c>
      <c r="H602" s="419">
        <v>-199466</v>
      </c>
      <c r="I602" s="419">
        <v>0</v>
      </c>
      <c r="J602" s="380">
        <v>2.9750000000000002E-4</v>
      </c>
      <c r="K602" s="380"/>
      <c r="L602" s="419">
        <v>72830</v>
      </c>
      <c r="M602" s="419">
        <v>50299</v>
      </c>
      <c r="N602" s="419">
        <v>22019</v>
      </c>
      <c r="O602" s="419">
        <v>0</v>
      </c>
      <c r="P602" s="419">
        <v>0</v>
      </c>
      <c r="Q602" s="380">
        <v>2.9750000000000002E-4</v>
      </c>
      <c r="R602" s="380"/>
      <c r="S602" s="419">
        <v>-149454</v>
      </c>
      <c r="T602" s="419">
        <v>-147725</v>
      </c>
      <c r="U602" s="419">
        <v>-155191</v>
      </c>
      <c r="V602" s="419">
        <v>-199466</v>
      </c>
      <c r="W602" s="419">
        <v>0</v>
      </c>
      <c r="X602" s="380">
        <v>2.9750000000000002E-4</v>
      </c>
      <c r="Z602" s="419">
        <v>119179</v>
      </c>
      <c r="AA602" s="419">
        <v>83730</v>
      </c>
      <c r="AB602" s="419">
        <v>83729</v>
      </c>
      <c r="AC602" s="419">
        <v>0</v>
      </c>
      <c r="AD602" s="419">
        <v>0</v>
      </c>
      <c r="AE602" s="380">
        <v>2.9750000000000002E-4</v>
      </c>
      <c r="AF602" s="380"/>
      <c r="AG602" s="419">
        <v>160668</v>
      </c>
      <c r="AH602" s="419">
        <v>127188</v>
      </c>
      <c r="AI602" s="419">
        <v>78658</v>
      </c>
      <c r="AJ602" s="419">
        <v>0</v>
      </c>
      <c r="AK602" s="419">
        <v>0</v>
      </c>
      <c r="AL602" s="380">
        <v>2.9750000000000002E-4</v>
      </c>
      <c r="AM602" s="380"/>
      <c r="AN602" s="419">
        <v>-3173</v>
      </c>
      <c r="AO602" s="419">
        <v>-3171</v>
      </c>
      <c r="AP602" s="419">
        <v>0</v>
      </c>
      <c r="AQ602" s="419">
        <v>0</v>
      </c>
      <c r="AR602" s="419">
        <v>0</v>
      </c>
    </row>
    <row r="603" spans="1:47">
      <c r="A603" s="379">
        <v>96504</v>
      </c>
      <c r="B603" t="s">
        <v>1308</v>
      </c>
      <c r="C603" s="380">
        <v>3.7270000000000001E-4</v>
      </c>
      <c r="D603" s="380"/>
      <c r="E603" s="419">
        <v>38481</v>
      </c>
      <c r="F603" s="419">
        <v>-31809</v>
      </c>
      <c r="G603" s="419">
        <v>-64131</v>
      </c>
      <c r="H603" s="419">
        <v>-249886</v>
      </c>
      <c r="I603" s="419">
        <v>0</v>
      </c>
      <c r="J603" s="380">
        <v>3.7270000000000001E-4</v>
      </c>
      <c r="K603" s="380"/>
      <c r="L603" s="419">
        <v>91240</v>
      </c>
      <c r="M603" s="419">
        <v>63013</v>
      </c>
      <c r="N603" s="419">
        <v>27584</v>
      </c>
      <c r="O603" s="419">
        <v>0</v>
      </c>
      <c r="P603" s="419">
        <v>0</v>
      </c>
      <c r="Q603" s="380">
        <v>3.7270000000000001E-4</v>
      </c>
      <c r="R603" s="380"/>
      <c r="S603" s="419">
        <v>-187233</v>
      </c>
      <c r="T603" s="419">
        <v>-185066</v>
      </c>
      <c r="U603" s="419">
        <v>-194419</v>
      </c>
      <c r="V603" s="419">
        <v>-249886</v>
      </c>
      <c r="W603" s="419">
        <v>0</v>
      </c>
      <c r="X603" s="380">
        <v>3.7270000000000001E-4</v>
      </c>
      <c r="Z603" s="419">
        <v>149304</v>
      </c>
      <c r="AA603" s="419">
        <v>104895</v>
      </c>
      <c r="AB603" s="419">
        <v>104894</v>
      </c>
      <c r="AC603" s="419">
        <v>0</v>
      </c>
      <c r="AD603" s="419">
        <v>0</v>
      </c>
      <c r="AE603" s="380">
        <v>3.7270000000000001E-4</v>
      </c>
      <c r="AF603" s="380"/>
      <c r="AG603" s="419">
        <v>5115</v>
      </c>
      <c r="AH603" s="419">
        <v>5117</v>
      </c>
      <c r="AI603" s="419">
        <v>0</v>
      </c>
      <c r="AJ603" s="419">
        <v>0</v>
      </c>
      <c r="AK603" s="419">
        <v>0</v>
      </c>
      <c r="AL603" s="380">
        <v>3.7270000000000001E-4</v>
      </c>
      <c r="AM603" s="380"/>
      <c r="AN603" s="419">
        <v>-19945</v>
      </c>
      <c r="AO603" s="419">
        <v>-19768</v>
      </c>
      <c r="AP603" s="419">
        <v>-2190</v>
      </c>
      <c r="AQ603" s="419">
        <v>0</v>
      </c>
      <c r="AR603" s="419">
        <v>0</v>
      </c>
    </row>
    <row r="604" spans="1:47">
      <c r="A604" s="379">
        <v>96507</v>
      </c>
      <c r="B604" t="s">
        <v>1309</v>
      </c>
      <c r="C604" s="380">
        <v>2.418E-3</v>
      </c>
      <c r="D604" s="380"/>
      <c r="E604" s="419">
        <v>480069</v>
      </c>
      <c r="F604" s="419">
        <v>14366</v>
      </c>
      <c r="G604" s="419">
        <v>-312082</v>
      </c>
      <c r="H604" s="419">
        <v>-1621206</v>
      </c>
      <c r="I604" s="419">
        <v>0</v>
      </c>
      <c r="J604" s="380">
        <v>2.418E-3</v>
      </c>
      <c r="K604" s="380"/>
      <c r="L604" s="419">
        <v>591946</v>
      </c>
      <c r="M604" s="419">
        <v>408816</v>
      </c>
      <c r="N604" s="419">
        <v>178961</v>
      </c>
      <c r="O604" s="419">
        <v>0</v>
      </c>
      <c r="P604" s="419">
        <v>0</v>
      </c>
      <c r="Q604" s="380">
        <v>2.418E-3</v>
      </c>
      <c r="R604" s="380"/>
      <c r="S604" s="419">
        <v>-1214726</v>
      </c>
      <c r="T604" s="419">
        <v>-1200670</v>
      </c>
      <c r="U604" s="419">
        <v>-1261352</v>
      </c>
      <c r="V604" s="419">
        <v>-1621206</v>
      </c>
      <c r="W604" s="419">
        <v>0</v>
      </c>
      <c r="X604" s="380">
        <v>2.418E-3</v>
      </c>
      <c r="Z604" s="419">
        <v>968656</v>
      </c>
      <c r="AA604" s="419">
        <v>680534</v>
      </c>
      <c r="AB604" s="419">
        <v>680529</v>
      </c>
      <c r="AC604" s="419">
        <v>0</v>
      </c>
      <c r="AD604" s="419">
        <v>0</v>
      </c>
      <c r="AE604" s="380">
        <v>2.418E-3</v>
      </c>
      <c r="AF604" s="380"/>
      <c r="AG604" s="419">
        <v>134193</v>
      </c>
      <c r="AH604" s="419">
        <v>125686</v>
      </c>
      <c r="AI604" s="419">
        <v>89780</v>
      </c>
      <c r="AJ604" s="419">
        <v>0</v>
      </c>
      <c r="AK604" s="419">
        <v>0</v>
      </c>
      <c r="AL604" s="380">
        <v>2.418E-3</v>
      </c>
      <c r="AM604" s="380"/>
      <c r="AN604" s="419">
        <v>0</v>
      </c>
      <c r="AO604" s="419">
        <v>0</v>
      </c>
      <c r="AP604" s="419">
        <v>0</v>
      </c>
      <c r="AQ604" s="419">
        <v>0</v>
      </c>
      <c r="AR604" s="419">
        <v>0</v>
      </c>
    </row>
    <row r="605" spans="1:47">
      <c r="A605" s="379">
        <v>96508</v>
      </c>
      <c r="B605" t="s">
        <v>1310</v>
      </c>
      <c r="C605" s="380">
        <v>8.3000000000000002E-6</v>
      </c>
      <c r="D605" s="380"/>
      <c r="E605" s="419">
        <v>11245</v>
      </c>
      <c r="F605" s="419">
        <v>8271</v>
      </c>
      <c r="G605" s="419">
        <v>4644</v>
      </c>
      <c r="H605" s="419">
        <v>-5565</v>
      </c>
      <c r="I605" s="419">
        <v>0</v>
      </c>
      <c r="J605" s="380">
        <v>8.3000000000000002E-6</v>
      </c>
      <c r="K605" s="380"/>
      <c r="L605" s="419">
        <v>2032</v>
      </c>
      <c r="M605" s="419">
        <v>1403</v>
      </c>
      <c r="N605" s="419">
        <v>614</v>
      </c>
      <c r="O605" s="419">
        <v>0</v>
      </c>
      <c r="P605" s="419">
        <v>0</v>
      </c>
      <c r="Q605" s="380">
        <v>8.3000000000000002E-6</v>
      </c>
      <c r="R605" s="380"/>
      <c r="S605" s="419">
        <v>-4170</v>
      </c>
      <c r="T605" s="419">
        <v>-4121</v>
      </c>
      <c r="U605" s="419">
        <v>-4330</v>
      </c>
      <c r="V605" s="419">
        <v>-5565</v>
      </c>
      <c r="W605" s="419">
        <v>0</v>
      </c>
      <c r="X605" s="380">
        <v>8.3000000000000002E-6</v>
      </c>
      <c r="Z605" s="419">
        <v>3325</v>
      </c>
      <c r="AA605" s="419">
        <v>2336</v>
      </c>
      <c r="AB605" s="419">
        <v>2336</v>
      </c>
      <c r="AC605" s="419">
        <v>0</v>
      </c>
      <c r="AD605" s="419">
        <v>0</v>
      </c>
      <c r="AE605" s="380">
        <v>8.3000000000000002E-6</v>
      </c>
      <c r="AF605" s="380"/>
      <c r="AG605" s="419">
        <v>10058</v>
      </c>
      <c r="AH605" s="419">
        <v>8653</v>
      </c>
      <c r="AI605" s="419">
        <v>6024</v>
      </c>
      <c r="AJ605" s="419">
        <v>0</v>
      </c>
      <c r="AK605" s="419">
        <v>0</v>
      </c>
      <c r="AL605" s="380">
        <v>8.3000000000000002E-6</v>
      </c>
      <c r="AM605" s="380"/>
      <c r="AN605" s="419">
        <v>0</v>
      </c>
      <c r="AO605" s="419">
        <v>0</v>
      </c>
      <c r="AP605" s="419">
        <v>0</v>
      </c>
      <c r="AQ605" s="419">
        <v>0</v>
      </c>
      <c r="AR605" s="419">
        <v>0</v>
      </c>
    </row>
    <row r="606" spans="1:47">
      <c r="A606" s="379">
        <v>96511</v>
      </c>
      <c r="B606" t="s">
        <v>1311</v>
      </c>
      <c r="C606" s="380">
        <v>5.6360000000000004E-4</v>
      </c>
      <c r="D606" s="380"/>
      <c r="E606" s="419">
        <v>58324</v>
      </c>
      <c r="F606" s="419">
        <v>-45954</v>
      </c>
      <c r="G606" s="419">
        <v>-90513</v>
      </c>
      <c r="H606" s="419">
        <v>-377879</v>
      </c>
      <c r="I606" s="419">
        <v>0</v>
      </c>
      <c r="J606" s="380">
        <v>5.6360000000000004E-4</v>
      </c>
      <c r="K606" s="380"/>
      <c r="L606" s="419">
        <v>137974</v>
      </c>
      <c r="M606" s="419">
        <v>95289</v>
      </c>
      <c r="N606" s="419">
        <v>41713</v>
      </c>
      <c r="O606" s="419">
        <v>0</v>
      </c>
      <c r="P606" s="419">
        <v>0</v>
      </c>
      <c r="Q606" s="380">
        <v>5.6360000000000004E-4</v>
      </c>
      <c r="R606" s="380"/>
      <c r="S606" s="419">
        <v>-283135</v>
      </c>
      <c r="T606" s="419">
        <v>-279858</v>
      </c>
      <c r="U606" s="419">
        <v>-294003</v>
      </c>
      <c r="V606" s="419">
        <v>-377879</v>
      </c>
      <c r="W606" s="419">
        <v>0</v>
      </c>
      <c r="X606" s="380">
        <v>5.6360000000000004E-4</v>
      </c>
      <c r="Z606" s="419">
        <v>225779</v>
      </c>
      <c r="AA606" s="419">
        <v>158622</v>
      </c>
      <c r="AB606" s="419">
        <v>158621</v>
      </c>
      <c r="AC606" s="419">
        <v>0</v>
      </c>
      <c r="AD606" s="419">
        <v>0</v>
      </c>
      <c r="AE606" s="380">
        <v>5.6360000000000004E-4</v>
      </c>
      <c r="AF606" s="380"/>
      <c r="AG606" s="419">
        <v>3157</v>
      </c>
      <c r="AH606" s="419">
        <v>3157</v>
      </c>
      <c r="AI606" s="419">
        <v>3156</v>
      </c>
      <c r="AJ606" s="419">
        <v>0</v>
      </c>
      <c r="AK606" s="419">
        <v>0</v>
      </c>
      <c r="AL606" s="380">
        <v>5.6360000000000004E-4</v>
      </c>
      <c r="AM606" s="380"/>
      <c r="AN606" s="419">
        <v>-25451</v>
      </c>
      <c r="AO606" s="419">
        <v>-23164</v>
      </c>
      <c r="AP606" s="419">
        <v>0</v>
      </c>
      <c r="AQ606" s="419">
        <v>0</v>
      </c>
      <c r="AR606" s="419">
        <v>0</v>
      </c>
    </row>
    <row r="607" spans="1:47">
      <c r="A607" s="379">
        <v>96512</v>
      </c>
      <c r="B607" t="s">
        <v>1312</v>
      </c>
      <c r="C607" s="380">
        <v>1.3870000000000001E-4</v>
      </c>
      <c r="D607" s="380"/>
      <c r="E607" s="419">
        <v>22191</v>
      </c>
      <c r="F607" s="419">
        <v>-5815</v>
      </c>
      <c r="G607" s="419">
        <v>-18221</v>
      </c>
      <c r="H607" s="419">
        <v>-92995</v>
      </c>
      <c r="I607" s="419">
        <v>0</v>
      </c>
      <c r="J607" s="380">
        <v>1.3870000000000001E-4</v>
      </c>
      <c r="K607" s="380"/>
      <c r="L607" s="419">
        <v>33955</v>
      </c>
      <c r="M607" s="419">
        <v>23450</v>
      </c>
      <c r="N607" s="419">
        <v>10265</v>
      </c>
      <c r="O607" s="419">
        <v>0</v>
      </c>
      <c r="P607" s="419">
        <v>0</v>
      </c>
      <c r="Q607" s="380">
        <v>1.3870000000000001E-4</v>
      </c>
      <c r="R607" s="380"/>
      <c r="S607" s="419">
        <v>-69678</v>
      </c>
      <c r="T607" s="419">
        <v>-68872</v>
      </c>
      <c r="U607" s="419">
        <v>-72353</v>
      </c>
      <c r="V607" s="419">
        <v>-92995</v>
      </c>
      <c r="W607" s="419">
        <v>0</v>
      </c>
      <c r="X607" s="380">
        <v>1.3870000000000001E-4</v>
      </c>
      <c r="Z607" s="419">
        <v>55563</v>
      </c>
      <c r="AA607" s="419">
        <v>39036</v>
      </c>
      <c r="AB607" s="419">
        <v>39036</v>
      </c>
      <c r="AC607" s="419">
        <v>0</v>
      </c>
      <c r="AD607" s="419">
        <v>0</v>
      </c>
      <c r="AE607" s="380">
        <v>1.3870000000000001E-4</v>
      </c>
      <c r="AF607" s="380"/>
      <c r="AG607" s="419">
        <v>6609</v>
      </c>
      <c r="AH607" s="419">
        <v>4830</v>
      </c>
      <c r="AI607" s="419">
        <v>4831</v>
      </c>
      <c r="AJ607" s="419">
        <v>0</v>
      </c>
      <c r="AK607" s="419">
        <v>0</v>
      </c>
      <c r="AL607" s="380">
        <v>1.3870000000000001E-4</v>
      </c>
      <c r="AM607" s="380"/>
      <c r="AN607" s="419">
        <v>-4258</v>
      </c>
      <c r="AO607" s="419">
        <v>-4259</v>
      </c>
      <c r="AP607" s="419">
        <v>0</v>
      </c>
      <c r="AQ607" s="419">
        <v>0</v>
      </c>
      <c r="AR607" s="419">
        <v>0</v>
      </c>
    </row>
    <row r="608" spans="1:47">
      <c r="A608" s="379">
        <v>96519</v>
      </c>
      <c r="B608" t="s">
        <v>1619</v>
      </c>
      <c r="C608" s="380">
        <v>0</v>
      </c>
      <c r="D608" s="380"/>
      <c r="E608" s="419">
        <v>0</v>
      </c>
      <c r="F608" s="419">
        <v>0</v>
      </c>
      <c r="G608" s="419">
        <v>0</v>
      </c>
      <c r="H608" s="419">
        <v>0</v>
      </c>
      <c r="I608" s="419">
        <v>0</v>
      </c>
      <c r="J608" s="419">
        <v>0</v>
      </c>
      <c r="K608" s="419">
        <v>0</v>
      </c>
      <c r="L608" s="419">
        <v>0</v>
      </c>
      <c r="M608" s="419">
        <v>0</v>
      </c>
      <c r="N608" s="419">
        <v>0</v>
      </c>
      <c r="O608" s="419">
        <v>0</v>
      </c>
      <c r="P608" s="419">
        <v>0</v>
      </c>
      <c r="Q608" s="419">
        <v>0</v>
      </c>
      <c r="R608" s="419">
        <v>0</v>
      </c>
      <c r="S608" s="419">
        <v>0</v>
      </c>
      <c r="T608" s="419">
        <v>0</v>
      </c>
      <c r="U608" s="419">
        <v>0</v>
      </c>
      <c r="V608" s="419">
        <v>0</v>
      </c>
      <c r="W608" s="419">
        <v>0</v>
      </c>
      <c r="X608" s="419">
        <v>0</v>
      </c>
      <c r="Y608" s="419">
        <v>0</v>
      </c>
      <c r="Z608" s="419">
        <v>0</v>
      </c>
      <c r="AA608" s="419">
        <v>0</v>
      </c>
      <c r="AB608" s="419">
        <v>0</v>
      </c>
      <c r="AC608" s="419">
        <v>0</v>
      </c>
      <c r="AD608" s="419">
        <v>0</v>
      </c>
      <c r="AE608" s="419">
        <v>0</v>
      </c>
      <c r="AF608" s="419">
        <v>0</v>
      </c>
      <c r="AG608" s="419">
        <v>0</v>
      </c>
      <c r="AH608" s="419">
        <v>0</v>
      </c>
      <c r="AI608" s="419">
        <v>0</v>
      </c>
      <c r="AJ608" s="419">
        <v>0</v>
      </c>
      <c r="AK608" s="419">
        <v>0</v>
      </c>
      <c r="AL608" s="419">
        <v>0</v>
      </c>
      <c r="AM608" s="419">
        <v>0</v>
      </c>
      <c r="AN608" s="419">
        <v>0</v>
      </c>
      <c r="AO608" s="419">
        <v>0</v>
      </c>
      <c r="AP608" s="419">
        <v>0</v>
      </c>
      <c r="AQ608" s="419">
        <v>0</v>
      </c>
      <c r="AR608" s="419">
        <v>0</v>
      </c>
      <c r="AS608" s="419">
        <v>0</v>
      </c>
      <c r="AT608" s="419">
        <v>0</v>
      </c>
      <c r="AU608" s="419">
        <v>0</v>
      </c>
    </row>
    <row r="609" spans="1:44">
      <c r="A609" s="379">
        <v>96521</v>
      </c>
      <c r="B609" t="s">
        <v>1313</v>
      </c>
      <c r="C609" s="380">
        <v>9.5069999999999996E-4</v>
      </c>
      <c r="D609" s="380"/>
      <c r="E609" s="419">
        <v>105459</v>
      </c>
      <c r="F609" s="419">
        <v>-61477</v>
      </c>
      <c r="G609" s="419">
        <v>-136749</v>
      </c>
      <c r="H609" s="419">
        <v>-637420</v>
      </c>
      <c r="I609" s="419">
        <v>0</v>
      </c>
      <c r="J609" s="380">
        <v>9.5069999999999996E-4</v>
      </c>
      <c r="K609" s="380"/>
      <c r="L609" s="419">
        <v>232739</v>
      </c>
      <c r="M609" s="419">
        <v>160737</v>
      </c>
      <c r="N609" s="419">
        <v>70363</v>
      </c>
      <c r="O609" s="419">
        <v>0</v>
      </c>
      <c r="P609" s="419">
        <v>0</v>
      </c>
      <c r="Q609" s="380">
        <v>9.5069999999999996E-4</v>
      </c>
      <c r="R609" s="380"/>
      <c r="S609" s="419">
        <v>-477601</v>
      </c>
      <c r="T609" s="419">
        <v>-472075</v>
      </c>
      <c r="U609" s="419">
        <v>-495934</v>
      </c>
      <c r="V609" s="419">
        <v>-637420</v>
      </c>
      <c r="W609" s="419">
        <v>0</v>
      </c>
      <c r="X609" s="380">
        <v>9.5069999999999996E-4</v>
      </c>
      <c r="Z609" s="419">
        <v>380852</v>
      </c>
      <c r="AA609" s="419">
        <v>267570</v>
      </c>
      <c r="AB609" s="419">
        <v>267568</v>
      </c>
      <c r="AC609" s="419">
        <v>0</v>
      </c>
      <c r="AD609" s="419">
        <v>0</v>
      </c>
      <c r="AE609" s="380">
        <v>9.5069999999999996E-4</v>
      </c>
      <c r="AF609" s="380"/>
      <c r="AG609" s="419">
        <v>21256</v>
      </c>
      <c r="AH609" s="419">
        <v>21256</v>
      </c>
      <c r="AI609" s="419">
        <v>21254</v>
      </c>
      <c r="AJ609" s="419">
        <v>0</v>
      </c>
      <c r="AK609" s="419">
        <v>0</v>
      </c>
      <c r="AL609" s="380">
        <v>9.5069999999999996E-4</v>
      </c>
      <c r="AM609" s="380"/>
      <c r="AN609" s="419">
        <v>-51787</v>
      </c>
      <c r="AO609" s="419">
        <v>-38965</v>
      </c>
      <c r="AP609" s="419">
        <v>0</v>
      </c>
      <c r="AQ609" s="419">
        <v>0</v>
      </c>
      <c r="AR609" s="419">
        <v>0</v>
      </c>
    </row>
    <row r="610" spans="1:44">
      <c r="A610" s="379">
        <v>96531</v>
      </c>
      <c r="B610" t="s">
        <v>1314</v>
      </c>
      <c r="C610" s="380">
        <v>7.9558000000000007E-3</v>
      </c>
      <c r="D610" s="380"/>
      <c r="E610" s="419">
        <v>719628</v>
      </c>
      <c r="F610" s="419">
        <v>-762385</v>
      </c>
      <c r="G610" s="419">
        <v>-1510748</v>
      </c>
      <c r="H610" s="419">
        <v>-5334157</v>
      </c>
      <c r="I610" s="419">
        <v>0</v>
      </c>
      <c r="J610" s="380">
        <v>7.9558000000000007E-3</v>
      </c>
      <c r="K610" s="380"/>
      <c r="L610" s="419">
        <v>1947643</v>
      </c>
      <c r="M610" s="419">
        <v>1345103</v>
      </c>
      <c r="N610" s="419">
        <v>588825</v>
      </c>
      <c r="O610" s="419">
        <v>0</v>
      </c>
      <c r="P610" s="419">
        <v>0</v>
      </c>
      <c r="Q610" s="380">
        <v>7.9558000000000007E-3</v>
      </c>
      <c r="R610" s="380"/>
      <c r="S610" s="419">
        <v>-3996739</v>
      </c>
      <c r="T610" s="419">
        <v>-3950492</v>
      </c>
      <c r="U610" s="419">
        <v>-4150151</v>
      </c>
      <c r="V610" s="419">
        <v>-5334157</v>
      </c>
      <c r="W610" s="419">
        <v>0</v>
      </c>
      <c r="X610" s="380">
        <v>7.9558000000000007E-3</v>
      </c>
      <c r="Z610" s="419">
        <v>3187109</v>
      </c>
      <c r="AA610" s="419">
        <v>2239120</v>
      </c>
      <c r="AB610" s="419">
        <v>2239104</v>
      </c>
      <c r="AC610" s="419">
        <v>0</v>
      </c>
      <c r="AD610" s="419">
        <v>0</v>
      </c>
      <c r="AE610" s="380">
        <v>7.9558000000000007E-3</v>
      </c>
      <c r="AF610" s="380"/>
      <c r="AG610" s="419">
        <v>0</v>
      </c>
      <c r="AH610" s="419">
        <v>0</v>
      </c>
      <c r="AI610" s="419">
        <v>0</v>
      </c>
      <c r="AJ610" s="419">
        <v>0</v>
      </c>
      <c r="AK610" s="419">
        <v>0</v>
      </c>
      <c r="AL610" s="380">
        <v>7.9558000000000007E-3</v>
      </c>
      <c r="AM610" s="380"/>
      <c r="AN610" s="419">
        <v>-418385</v>
      </c>
      <c r="AO610" s="419">
        <v>-396116</v>
      </c>
      <c r="AP610" s="419">
        <v>-188526</v>
      </c>
      <c r="AQ610" s="419">
        <v>0</v>
      </c>
      <c r="AR610" s="419">
        <v>0</v>
      </c>
    </row>
    <row r="611" spans="1:44">
      <c r="A611" s="379">
        <v>96541</v>
      </c>
      <c r="B611" t="s">
        <v>1315</v>
      </c>
      <c r="C611" s="380">
        <v>4.0220000000000002E-4</v>
      </c>
      <c r="D611" s="380"/>
      <c r="E611" s="419">
        <v>53250</v>
      </c>
      <c r="F611" s="419">
        <v>-21512</v>
      </c>
      <c r="G611" s="419">
        <v>-75358</v>
      </c>
      <c r="H611" s="419">
        <v>-269665</v>
      </c>
      <c r="I611" s="419">
        <v>0</v>
      </c>
      <c r="J611" s="380">
        <v>4.0220000000000002E-4</v>
      </c>
      <c r="K611" s="380"/>
      <c r="L611" s="419">
        <v>98462</v>
      </c>
      <c r="M611" s="419">
        <v>68001</v>
      </c>
      <c r="N611" s="419">
        <v>29768</v>
      </c>
      <c r="O611" s="419">
        <v>0</v>
      </c>
      <c r="P611" s="419">
        <v>0</v>
      </c>
      <c r="Q611" s="380">
        <v>4.0220000000000002E-4</v>
      </c>
      <c r="R611" s="380"/>
      <c r="S611" s="419">
        <v>-202052</v>
      </c>
      <c r="T611" s="419">
        <v>-199714</v>
      </c>
      <c r="U611" s="419">
        <v>-209808</v>
      </c>
      <c r="V611" s="419">
        <v>-269665</v>
      </c>
      <c r="W611" s="419">
        <v>0</v>
      </c>
      <c r="X611" s="380">
        <v>4.0220000000000002E-4</v>
      </c>
      <c r="Z611" s="419">
        <v>161122</v>
      </c>
      <c r="AA611" s="419">
        <v>113197</v>
      </c>
      <c r="AB611" s="419">
        <v>113196</v>
      </c>
      <c r="AC611" s="419">
        <v>0</v>
      </c>
      <c r="AD611" s="419">
        <v>0</v>
      </c>
      <c r="AE611" s="380">
        <v>4.0220000000000002E-4</v>
      </c>
      <c r="AF611" s="380"/>
      <c r="AG611" s="419">
        <v>5523</v>
      </c>
      <c r="AH611" s="419">
        <v>5520</v>
      </c>
      <c r="AI611" s="419">
        <v>0</v>
      </c>
      <c r="AJ611" s="419">
        <v>0</v>
      </c>
      <c r="AK611" s="419">
        <v>0</v>
      </c>
      <c r="AL611" s="380">
        <v>4.0220000000000002E-4</v>
      </c>
      <c r="AM611" s="380"/>
      <c r="AN611" s="419">
        <v>-9805</v>
      </c>
      <c r="AO611" s="419">
        <v>-8516</v>
      </c>
      <c r="AP611" s="419">
        <v>-8514</v>
      </c>
      <c r="AQ611" s="419">
        <v>0</v>
      </c>
      <c r="AR611" s="419">
        <v>0</v>
      </c>
    </row>
    <row r="612" spans="1:44">
      <c r="A612" s="379">
        <v>96601</v>
      </c>
      <c r="B612" t="s">
        <v>1316</v>
      </c>
      <c r="C612" s="380">
        <v>1.5223999999999999E-3</v>
      </c>
      <c r="D612" s="380"/>
      <c r="E612" s="419">
        <v>127142</v>
      </c>
      <c r="F612" s="419">
        <v>-141647</v>
      </c>
      <c r="G612" s="419">
        <v>-280833</v>
      </c>
      <c r="H612" s="419">
        <v>-1020730</v>
      </c>
      <c r="I612" s="419">
        <v>0</v>
      </c>
      <c r="J612" s="380">
        <v>1.5223999999999999E-3</v>
      </c>
      <c r="K612" s="380"/>
      <c r="L612" s="419">
        <v>372696</v>
      </c>
      <c r="M612" s="419">
        <v>257395</v>
      </c>
      <c r="N612" s="419">
        <v>112676</v>
      </c>
      <c r="O612" s="419">
        <v>0</v>
      </c>
      <c r="P612" s="419">
        <v>0</v>
      </c>
      <c r="Q612" s="380">
        <v>1.5223999999999999E-3</v>
      </c>
      <c r="R612" s="380"/>
      <c r="S612" s="419">
        <v>-764805</v>
      </c>
      <c r="T612" s="419">
        <v>-755955</v>
      </c>
      <c r="U612" s="419">
        <v>-794161</v>
      </c>
      <c r="V612" s="419">
        <v>-1020730</v>
      </c>
      <c r="W612" s="419">
        <v>0</v>
      </c>
      <c r="X612" s="380">
        <v>1.5223999999999999E-3</v>
      </c>
      <c r="Z612" s="419">
        <v>609876</v>
      </c>
      <c r="AA612" s="419">
        <v>428472</v>
      </c>
      <c r="AB612" s="419">
        <v>428469</v>
      </c>
      <c r="AC612" s="419">
        <v>0</v>
      </c>
      <c r="AD612" s="419">
        <v>0</v>
      </c>
      <c r="AE612" s="380">
        <v>1.5223999999999999E-3</v>
      </c>
      <c r="AF612" s="380"/>
      <c r="AG612" s="419">
        <v>3683</v>
      </c>
      <c r="AH612" s="419">
        <v>3685</v>
      </c>
      <c r="AI612" s="419">
        <v>0</v>
      </c>
      <c r="AJ612" s="419">
        <v>0</v>
      </c>
      <c r="AK612" s="419">
        <v>0</v>
      </c>
      <c r="AL612" s="380">
        <v>1.5223999999999999E-3</v>
      </c>
      <c r="AM612" s="380"/>
      <c r="AN612" s="419">
        <v>-94308</v>
      </c>
      <c r="AO612" s="419">
        <v>-75244</v>
      </c>
      <c r="AP612" s="419">
        <v>-27817</v>
      </c>
      <c r="AQ612" s="419">
        <v>0</v>
      </c>
      <c r="AR612" s="419">
        <v>0</v>
      </c>
    </row>
    <row r="613" spans="1:44">
      <c r="A613" s="379">
        <v>96604</v>
      </c>
      <c r="B613" t="s">
        <v>1317</v>
      </c>
      <c r="C613" s="380">
        <v>4.4000000000000002E-6</v>
      </c>
      <c r="D613" s="380"/>
      <c r="E613" s="419">
        <v>2023</v>
      </c>
      <c r="F613" s="419">
        <v>1119</v>
      </c>
      <c r="G613" s="419">
        <v>-53</v>
      </c>
      <c r="H613" s="419">
        <v>-2950</v>
      </c>
      <c r="I613" s="419">
        <v>0</v>
      </c>
      <c r="J613" s="380">
        <v>4.4000000000000002E-6</v>
      </c>
      <c r="K613" s="380"/>
      <c r="L613" s="419">
        <v>1077</v>
      </c>
      <c r="M613" s="419">
        <v>744</v>
      </c>
      <c r="N613" s="419">
        <v>326</v>
      </c>
      <c r="O613" s="419">
        <v>0</v>
      </c>
      <c r="P613" s="419">
        <v>0</v>
      </c>
      <c r="Q613" s="380">
        <v>4.4000000000000002E-6</v>
      </c>
      <c r="R613" s="380"/>
      <c r="S613" s="419">
        <v>-2210</v>
      </c>
      <c r="T613" s="419">
        <v>-2185</v>
      </c>
      <c r="U613" s="419">
        <v>-2295</v>
      </c>
      <c r="V613" s="419">
        <v>-2950</v>
      </c>
      <c r="W613" s="419">
        <v>0</v>
      </c>
      <c r="X613" s="380">
        <v>4.4000000000000002E-6</v>
      </c>
      <c r="Z613" s="419">
        <v>1763</v>
      </c>
      <c r="AA613" s="419">
        <v>1238</v>
      </c>
      <c r="AB613" s="419">
        <v>1238</v>
      </c>
      <c r="AC613" s="419">
        <v>0</v>
      </c>
      <c r="AD613" s="419">
        <v>0</v>
      </c>
      <c r="AE613" s="380">
        <v>4.4000000000000002E-6</v>
      </c>
      <c r="AF613" s="380"/>
      <c r="AG613" s="419">
        <v>1393</v>
      </c>
      <c r="AH613" s="419">
        <v>1322</v>
      </c>
      <c r="AI613" s="419">
        <v>678</v>
      </c>
      <c r="AJ613" s="419">
        <v>0</v>
      </c>
      <c r="AK613" s="419">
        <v>0</v>
      </c>
      <c r="AL613" s="380">
        <v>4.4000000000000002E-6</v>
      </c>
      <c r="AM613" s="380"/>
      <c r="AN613" s="419">
        <v>0</v>
      </c>
      <c r="AO613" s="419">
        <v>0</v>
      </c>
      <c r="AP613" s="419">
        <v>0</v>
      </c>
      <c r="AQ613" s="419">
        <v>0</v>
      </c>
      <c r="AR613" s="419">
        <v>0</v>
      </c>
    </row>
    <row r="614" spans="1:44">
      <c r="A614" s="379">
        <v>96611</v>
      </c>
      <c r="B614" t="s">
        <v>1318</v>
      </c>
      <c r="C614" s="380">
        <v>1.2799999999999999E-5</v>
      </c>
      <c r="D614" s="380"/>
      <c r="E614" s="419">
        <v>-316</v>
      </c>
      <c r="F614" s="419">
        <v>-2207</v>
      </c>
      <c r="G614" s="419">
        <v>-5423</v>
      </c>
      <c r="H614" s="419">
        <v>-8582</v>
      </c>
      <c r="I614" s="419">
        <v>0</v>
      </c>
      <c r="J614" s="380">
        <v>1.2799999999999999E-5</v>
      </c>
      <c r="K614" s="380"/>
      <c r="L614" s="419">
        <v>3134</v>
      </c>
      <c r="M614" s="419">
        <v>2164</v>
      </c>
      <c r="N614" s="419">
        <v>947</v>
      </c>
      <c r="O614" s="419">
        <v>0</v>
      </c>
      <c r="P614" s="419">
        <v>0</v>
      </c>
      <c r="Q614" s="380">
        <v>1.2799999999999999E-5</v>
      </c>
      <c r="R614" s="380"/>
      <c r="S614" s="419">
        <v>-6430</v>
      </c>
      <c r="T614" s="419">
        <v>-6356</v>
      </c>
      <c r="U614" s="419">
        <v>-6677</v>
      </c>
      <c r="V614" s="419">
        <v>-8582</v>
      </c>
      <c r="W614" s="419">
        <v>0</v>
      </c>
      <c r="X614" s="380">
        <v>1.2799999999999999E-5</v>
      </c>
      <c r="Z614" s="419">
        <v>5128</v>
      </c>
      <c r="AA614" s="419">
        <v>3602</v>
      </c>
      <c r="AB614" s="419">
        <v>3602</v>
      </c>
      <c r="AC614" s="419">
        <v>0</v>
      </c>
      <c r="AD614" s="419">
        <v>0</v>
      </c>
      <c r="AE614" s="380">
        <v>1.2799999999999999E-5</v>
      </c>
      <c r="AF614" s="380"/>
      <c r="AG614" s="419">
        <v>2729</v>
      </c>
      <c r="AH614" s="419">
        <v>2729</v>
      </c>
      <c r="AI614" s="419">
        <v>0</v>
      </c>
      <c r="AJ614" s="419">
        <v>0</v>
      </c>
      <c r="AK614" s="419">
        <v>0</v>
      </c>
      <c r="AL614" s="380">
        <v>1.2799999999999999E-5</v>
      </c>
      <c r="AM614" s="380"/>
      <c r="AN614" s="419">
        <v>-4877</v>
      </c>
      <c r="AO614" s="419">
        <v>-4346</v>
      </c>
      <c r="AP614" s="419">
        <v>-3295</v>
      </c>
      <c r="AQ614" s="419">
        <v>0</v>
      </c>
      <c r="AR614" s="419">
        <v>0</v>
      </c>
    </row>
    <row r="615" spans="1:44">
      <c r="A615" s="379">
        <v>96612</v>
      </c>
      <c r="B615" t="s">
        <v>1319</v>
      </c>
      <c r="C615" s="380">
        <v>4.6300000000000001E-5</v>
      </c>
      <c r="D615" s="380"/>
      <c r="E615" s="419">
        <v>10782</v>
      </c>
      <c r="F615" s="419">
        <v>2593</v>
      </c>
      <c r="G615" s="419">
        <v>-4089</v>
      </c>
      <c r="H615" s="419">
        <v>-31043</v>
      </c>
      <c r="I615" s="419">
        <v>0</v>
      </c>
      <c r="J615" s="380">
        <v>4.6300000000000001E-5</v>
      </c>
      <c r="K615" s="380"/>
      <c r="L615" s="419">
        <v>11335</v>
      </c>
      <c r="M615" s="419">
        <v>7828</v>
      </c>
      <c r="N615" s="419">
        <v>3427</v>
      </c>
      <c r="O615" s="419">
        <v>0</v>
      </c>
      <c r="P615" s="419">
        <v>0</v>
      </c>
      <c r="Q615" s="380">
        <v>4.6300000000000001E-5</v>
      </c>
      <c r="R615" s="380"/>
      <c r="S615" s="419">
        <v>-23260</v>
      </c>
      <c r="T615" s="419">
        <v>-22990</v>
      </c>
      <c r="U615" s="419">
        <v>-24152</v>
      </c>
      <c r="V615" s="419">
        <v>-31043</v>
      </c>
      <c r="W615" s="419">
        <v>0</v>
      </c>
      <c r="X615" s="380">
        <v>4.6300000000000001E-5</v>
      </c>
      <c r="Z615" s="419">
        <v>18548</v>
      </c>
      <c r="AA615" s="419">
        <v>13031</v>
      </c>
      <c r="AB615" s="419">
        <v>13031</v>
      </c>
      <c r="AC615" s="419">
        <v>0</v>
      </c>
      <c r="AD615" s="419">
        <v>0</v>
      </c>
      <c r="AE615" s="380">
        <v>4.6300000000000001E-5</v>
      </c>
      <c r="AF615" s="380"/>
      <c r="AG615" s="419">
        <v>5469</v>
      </c>
      <c r="AH615" s="419">
        <v>5469</v>
      </c>
      <c r="AI615" s="419">
        <v>3605</v>
      </c>
      <c r="AJ615" s="419">
        <v>0</v>
      </c>
      <c r="AK615" s="419">
        <v>0</v>
      </c>
      <c r="AL615" s="380">
        <v>4.6300000000000001E-5</v>
      </c>
      <c r="AM615" s="380"/>
      <c r="AN615" s="419">
        <v>-1310</v>
      </c>
      <c r="AO615" s="419">
        <v>-745</v>
      </c>
      <c r="AP615" s="419">
        <v>0</v>
      </c>
      <c r="AQ615" s="419">
        <v>0</v>
      </c>
      <c r="AR615" s="419">
        <v>0</v>
      </c>
    </row>
    <row r="616" spans="1:44">
      <c r="A616" s="379">
        <v>96621</v>
      </c>
      <c r="B616" t="s">
        <v>1320</v>
      </c>
      <c r="C616" s="380">
        <v>2.48E-5</v>
      </c>
      <c r="D616" s="380"/>
      <c r="E616" s="419">
        <v>8221</v>
      </c>
      <c r="F616" s="419">
        <v>4105</v>
      </c>
      <c r="G616" s="419">
        <v>512</v>
      </c>
      <c r="H616" s="419">
        <v>-16628</v>
      </c>
      <c r="I616" s="419">
        <v>0</v>
      </c>
      <c r="J616" s="380">
        <v>2.48E-5</v>
      </c>
      <c r="K616" s="380"/>
      <c r="L616" s="419">
        <v>6071</v>
      </c>
      <c r="M616" s="419">
        <v>4193</v>
      </c>
      <c r="N616" s="419">
        <v>1835</v>
      </c>
      <c r="O616" s="419">
        <v>0</v>
      </c>
      <c r="P616" s="419">
        <v>0</v>
      </c>
      <c r="Q616" s="380">
        <v>2.48E-5</v>
      </c>
      <c r="R616" s="380"/>
      <c r="S616" s="419">
        <v>-12459</v>
      </c>
      <c r="T616" s="419">
        <v>-12315</v>
      </c>
      <c r="U616" s="419">
        <v>-12937</v>
      </c>
      <c r="V616" s="419">
        <v>-16628</v>
      </c>
      <c r="W616" s="419">
        <v>0</v>
      </c>
      <c r="X616" s="380">
        <v>2.48E-5</v>
      </c>
      <c r="Z616" s="419">
        <v>9935</v>
      </c>
      <c r="AA616" s="419">
        <v>6980</v>
      </c>
      <c r="AB616" s="419">
        <v>6980</v>
      </c>
      <c r="AC616" s="419">
        <v>0</v>
      </c>
      <c r="AD616" s="419">
        <v>0</v>
      </c>
      <c r="AE616" s="380">
        <v>2.48E-5</v>
      </c>
      <c r="AF616" s="380"/>
      <c r="AG616" s="419">
        <v>5247</v>
      </c>
      <c r="AH616" s="419">
        <v>5247</v>
      </c>
      <c r="AI616" s="419">
        <v>4634</v>
      </c>
      <c r="AJ616" s="419">
        <v>0</v>
      </c>
      <c r="AK616" s="419">
        <v>0</v>
      </c>
      <c r="AL616" s="380">
        <v>2.48E-5</v>
      </c>
      <c r="AM616" s="380"/>
      <c r="AN616" s="419">
        <v>-573</v>
      </c>
      <c r="AO616" s="419">
        <v>0</v>
      </c>
      <c r="AP616" s="419">
        <v>0</v>
      </c>
      <c r="AQ616" s="419">
        <v>0</v>
      </c>
      <c r="AR616" s="419">
        <v>0</v>
      </c>
    </row>
    <row r="617" spans="1:44">
      <c r="A617" s="379">
        <v>96631</v>
      </c>
      <c r="B617" t="s">
        <v>1321</v>
      </c>
      <c r="C617" s="380">
        <v>2.4700000000000001E-5</v>
      </c>
      <c r="D617" s="380"/>
      <c r="E617" s="419">
        <v>5140</v>
      </c>
      <c r="F617" s="419">
        <v>542</v>
      </c>
      <c r="G617" s="419">
        <v>-2967</v>
      </c>
      <c r="H617" s="419">
        <v>-16561</v>
      </c>
      <c r="I617" s="419">
        <v>0</v>
      </c>
      <c r="J617" s="380">
        <v>2.4700000000000001E-5</v>
      </c>
      <c r="K617" s="380"/>
      <c r="L617" s="419">
        <v>6047</v>
      </c>
      <c r="M617" s="419">
        <v>4176</v>
      </c>
      <c r="N617" s="419">
        <v>1828</v>
      </c>
      <c r="O617" s="419">
        <v>0</v>
      </c>
      <c r="P617" s="419">
        <v>0</v>
      </c>
      <c r="Q617" s="380">
        <v>2.4700000000000001E-5</v>
      </c>
      <c r="R617" s="380"/>
      <c r="S617" s="419">
        <v>-12408</v>
      </c>
      <c r="T617" s="419">
        <v>-12265</v>
      </c>
      <c r="U617" s="419">
        <v>-12885</v>
      </c>
      <c r="V617" s="419">
        <v>-16561</v>
      </c>
      <c r="W617" s="419">
        <v>0</v>
      </c>
      <c r="X617" s="380">
        <v>2.4700000000000001E-5</v>
      </c>
      <c r="Z617" s="419">
        <v>9895</v>
      </c>
      <c r="AA617" s="419">
        <v>6952</v>
      </c>
      <c r="AB617" s="419">
        <v>6952</v>
      </c>
      <c r="AC617" s="419">
        <v>0</v>
      </c>
      <c r="AD617" s="419">
        <v>0</v>
      </c>
      <c r="AE617" s="380">
        <v>2.4700000000000001E-5</v>
      </c>
      <c r="AF617" s="380"/>
      <c r="AG617" s="419">
        <v>1811</v>
      </c>
      <c r="AH617" s="419">
        <v>1812</v>
      </c>
      <c r="AI617" s="419">
        <v>1138</v>
      </c>
      <c r="AJ617" s="419">
        <v>0</v>
      </c>
      <c r="AK617" s="419">
        <v>0</v>
      </c>
      <c r="AL617" s="380">
        <v>2.4700000000000001E-5</v>
      </c>
      <c r="AM617" s="380"/>
      <c r="AN617" s="419">
        <v>-205</v>
      </c>
      <c r="AO617" s="419">
        <v>-133</v>
      </c>
      <c r="AP617" s="419">
        <v>0</v>
      </c>
      <c r="AQ617" s="419">
        <v>0</v>
      </c>
      <c r="AR617" s="419">
        <v>0</v>
      </c>
    </row>
    <row r="618" spans="1:44">
      <c r="A618" s="379">
        <v>96641</v>
      </c>
      <c r="B618" t="s">
        <v>1322</v>
      </c>
      <c r="C618" s="380">
        <v>4.1E-5</v>
      </c>
      <c r="D618" s="380"/>
      <c r="E618" s="419">
        <v>16254</v>
      </c>
      <c r="F618" s="419">
        <v>7257</v>
      </c>
      <c r="G618" s="419">
        <v>206</v>
      </c>
      <c r="H618" s="419">
        <v>-27489</v>
      </c>
      <c r="I618" s="419">
        <v>0</v>
      </c>
      <c r="J618" s="380">
        <v>4.1E-5</v>
      </c>
      <c r="K618" s="380"/>
      <c r="L618" s="419">
        <v>10037</v>
      </c>
      <c r="M618" s="419">
        <v>6932</v>
      </c>
      <c r="N618" s="419">
        <v>3034</v>
      </c>
      <c r="O618" s="419">
        <v>0</v>
      </c>
      <c r="P618" s="419">
        <v>0</v>
      </c>
      <c r="Q618" s="380">
        <v>4.1E-5</v>
      </c>
      <c r="R618" s="380"/>
      <c r="S618" s="419">
        <v>-20597</v>
      </c>
      <c r="T618" s="419">
        <v>-20359</v>
      </c>
      <c r="U618" s="419">
        <v>-21388</v>
      </c>
      <c r="V618" s="419">
        <v>-27489</v>
      </c>
      <c r="W618" s="419">
        <v>0</v>
      </c>
      <c r="X618" s="380">
        <v>4.1E-5</v>
      </c>
      <c r="Z618" s="419">
        <v>16425</v>
      </c>
      <c r="AA618" s="419">
        <v>11539</v>
      </c>
      <c r="AB618" s="419">
        <v>11539</v>
      </c>
      <c r="AC618" s="419">
        <v>0</v>
      </c>
      <c r="AD618" s="419">
        <v>0</v>
      </c>
      <c r="AE618" s="380">
        <v>4.1E-5</v>
      </c>
      <c r="AF618" s="380"/>
      <c r="AG618" s="419">
        <v>10389</v>
      </c>
      <c r="AH618" s="419">
        <v>9145</v>
      </c>
      <c r="AI618" s="419">
        <v>7021</v>
      </c>
      <c r="AJ618" s="419">
        <v>0</v>
      </c>
      <c r="AK618" s="419">
        <v>0</v>
      </c>
      <c r="AL618" s="380">
        <v>4.1E-5</v>
      </c>
      <c r="AM618" s="380"/>
      <c r="AN618" s="419">
        <v>0</v>
      </c>
      <c r="AO618" s="419">
        <v>0</v>
      </c>
      <c r="AP618" s="419">
        <v>0</v>
      </c>
      <c r="AQ618" s="419">
        <v>0</v>
      </c>
      <c r="AR618" s="419">
        <v>0</v>
      </c>
    </row>
    <row r="619" spans="1:44">
      <c r="A619" s="379">
        <v>96651</v>
      </c>
      <c r="B619" t="s">
        <v>1323</v>
      </c>
      <c r="C619" s="380">
        <v>2.23E-5</v>
      </c>
      <c r="D619" s="380"/>
      <c r="E619" s="419">
        <v>6025</v>
      </c>
      <c r="F619" s="419">
        <v>1439</v>
      </c>
      <c r="G619" s="419">
        <v>230</v>
      </c>
      <c r="H619" s="419">
        <v>-14952</v>
      </c>
      <c r="I619" s="419">
        <v>0</v>
      </c>
      <c r="J619" s="380">
        <v>2.23E-5</v>
      </c>
      <c r="K619" s="380"/>
      <c r="L619" s="419">
        <v>5459</v>
      </c>
      <c r="M619" s="419">
        <v>3770</v>
      </c>
      <c r="N619" s="419">
        <v>1650</v>
      </c>
      <c r="O619" s="419">
        <v>0</v>
      </c>
      <c r="P619" s="419">
        <v>0</v>
      </c>
      <c r="Q619" s="380">
        <v>2.23E-5</v>
      </c>
      <c r="R619" s="380"/>
      <c r="S619" s="419">
        <v>-11203</v>
      </c>
      <c r="T619" s="419">
        <v>-11073</v>
      </c>
      <c r="U619" s="419">
        <v>-11633</v>
      </c>
      <c r="V619" s="419">
        <v>-14952</v>
      </c>
      <c r="W619" s="419">
        <v>0</v>
      </c>
      <c r="X619" s="380">
        <v>2.23E-5</v>
      </c>
      <c r="Z619" s="419">
        <v>8933</v>
      </c>
      <c r="AA619" s="419">
        <v>6276</v>
      </c>
      <c r="AB619" s="419">
        <v>6276</v>
      </c>
      <c r="AC619" s="419">
        <v>0</v>
      </c>
      <c r="AD619" s="419">
        <v>0</v>
      </c>
      <c r="AE619" s="380">
        <v>2.23E-5</v>
      </c>
      <c r="AF619" s="380"/>
      <c r="AG619" s="419">
        <v>4308</v>
      </c>
      <c r="AH619" s="419">
        <v>3936</v>
      </c>
      <c r="AI619" s="419">
        <v>3937</v>
      </c>
      <c r="AJ619" s="419">
        <v>0</v>
      </c>
      <c r="AK619" s="419">
        <v>0</v>
      </c>
      <c r="AL619" s="380">
        <v>2.23E-5</v>
      </c>
      <c r="AM619" s="380"/>
      <c r="AN619" s="419">
        <v>-1472</v>
      </c>
      <c r="AO619" s="419">
        <v>-1470</v>
      </c>
      <c r="AP619" s="419">
        <v>0</v>
      </c>
      <c r="AQ619" s="419">
        <v>0</v>
      </c>
      <c r="AR619" s="419">
        <v>0</v>
      </c>
    </row>
    <row r="620" spans="1:44">
      <c r="A620" s="379">
        <v>96661</v>
      </c>
      <c r="B620" t="s">
        <v>1324</v>
      </c>
      <c r="C620" s="380">
        <v>2.23E-5</v>
      </c>
      <c r="D620" s="380"/>
      <c r="E620" s="419">
        <v>4038</v>
      </c>
      <c r="F620" s="419">
        <v>-369</v>
      </c>
      <c r="G620" s="419">
        <v>-5797</v>
      </c>
      <c r="H620" s="419">
        <v>-14952</v>
      </c>
      <c r="I620" s="419">
        <v>0</v>
      </c>
      <c r="J620" s="380">
        <v>2.23E-5</v>
      </c>
      <c r="K620" s="380"/>
      <c r="L620" s="419">
        <v>5459</v>
      </c>
      <c r="M620" s="419">
        <v>3770</v>
      </c>
      <c r="N620" s="419">
        <v>1650</v>
      </c>
      <c r="O620" s="419">
        <v>0</v>
      </c>
      <c r="P620" s="419">
        <v>0</v>
      </c>
      <c r="Q620" s="380">
        <v>2.23E-5</v>
      </c>
      <c r="R620" s="380"/>
      <c r="S620" s="419">
        <v>-11203</v>
      </c>
      <c r="T620" s="419">
        <v>-11073</v>
      </c>
      <c r="U620" s="419">
        <v>-11633</v>
      </c>
      <c r="V620" s="419">
        <v>-14952</v>
      </c>
      <c r="W620" s="419">
        <v>0</v>
      </c>
      <c r="X620" s="380">
        <v>2.23E-5</v>
      </c>
      <c r="Z620" s="419">
        <v>8933</v>
      </c>
      <c r="AA620" s="419">
        <v>6276</v>
      </c>
      <c r="AB620" s="419">
        <v>6276</v>
      </c>
      <c r="AC620" s="419">
        <v>0</v>
      </c>
      <c r="AD620" s="419">
        <v>0</v>
      </c>
      <c r="AE620" s="380">
        <v>2.23E-5</v>
      </c>
      <c r="AF620" s="380"/>
      <c r="AG620" s="419">
        <v>2982</v>
      </c>
      <c r="AH620" s="419">
        <v>2792</v>
      </c>
      <c r="AI620" s="419">
        <v>0</v>
      </c>
      <c r="AJ620" s="419">
        <v>0</v>
      </c>
      <c r="AK620" s="419">
        <v>0</v>
      </c>
      <c r="AL620" s="380">
        <v>2.23E-5</v>
      </c>
      <c r="AM620" s="380"/>
      <c r="AN620" s="419">
        <v>-2133</v>
      </c>
      <c r="AO620" s="419">
        <v>-2134</v>
      </c>
      <c r="AP620" s="419">
        <v>-2090</v>
      </c>
      <c r="AQ620" s="419">
        <v>0</v>
      </c>
      <c r="AR620" s="419">
        <v>0</v>
      </c>
    </row>
    <row r="621" spans="1:44">
      <c r="A621" s="379">
        <v>96671</v>
      </c>
      <c r="B621" t="s">
        <v>1325</v>
      </c>
      <c r="C621" s="380">
        <v>1.42E-5</v>
      </c>
      <c r="D621" s="380"/>
      <c r="E621" s="419">
        <v>5389</v>
      </c>
      <c r="F621" s="419">
        <v>2469</v>
      </c>
      <c r="G621" s="419">
        <v>-1058</v>
      </c>
      <c r="H621" s="419">
        <v>-9521</v>
      </c>
      <c r="I621" s="419">
        <v>0</v>
      </c>
      <c r="J621" s="380">
        <v>1.42E-5</v>
      </c>
      <c r="K621" s="380"/>
      <c r="L621" s="419">
        <v>3476</v>
      </c>
      <c r="M621" s="419">
        <v>2401</v>
      </c>
      <c r="N621" s="419">
        <v>1051</v>
      </c>
      <c r="O621" s="419">
        <v>0</v>
      </c>
      <c r="P621" s="419">
        <v>0</v>
      </c>
      <c r="Q621" s="380">
        <v>1.42E-5</v>
      </c>
      <c r="R621" s="380"/>
      <c r="S621" s="419">
        <v>-7134</v>
      </c>
      <c r="T621" s="419">
        <v>-7051</v>
      </c>
      <c r="U621" s="419">
        <v>-7407</v>
      </c>
      <c r="V621" s="419">
        <v>-9521</v>
      </c>
      <c r="W621" s="419">
        <v>0</v>
      </c>
      <c r="X621" s="380">
        <v>1.42E-5</v>
      </c>
      <c r="Z621" s="419">
        <v>5689</v>
      </c>
      <c r="AA621" s="419">
        <v>3997</v>
      </c>
      <c r="AB621" s="419">
        <v>3996</v>
      </c>
      <c r="AC621" s="419">
        <v>0</v>
      </c>
      <c r="AD621" s="419">
        <v>0</v>
      </c>
      <c r="AE621" s="380">
        <v>1.42E-5</v>
      </c>
      <c r="AF621" s="380"/>
      <c r="AG621" s="419">
        <v>3358</v>
      </c>
      <c r="AH621" s="419">
        <v>3122</v>
      </c>
      <c r="AI621" s="419">
        <v>1302</v>
      </c>
      <c r="AJ621" s="419">
        <v>0</v>
      </c>
      <c r="AK621" s="419">
        <v>0</v>
      </c>
      <c r="AL621" s="380">
        <v>1.42E-5</v>
      </c>
      <c r="AM621" s="380"/>
      <c r="AN621" s="419">
        <v>0</v>
      </c>
      <c r="AO621" s="419">
        <v>0</v>
      </c>
      <c r="AP621" s="419">
        <v>0</v>
      </c>
      <c r="AQ621" s="419">
        <v>0</v>
      </c>
      <c r="AR621" s="419">
        <v>0</v>
      </c>
    </row>
    <row r="622" spans="1:44">
      <c r="A622" s="379">
        <v>96681</v>
      </c>
      <c r="B622" t="s">
        <v>1326</v>
      </c>
      <c r="C622" s="380">
        <v>2.0999999999999999E-5</v>
      </c>
      <c r="D622" s="380"/>
      <c r="E622" s="419">
        <v>7720</v>
      </c>
      <c r="F622" s="419">
        <v>2114</v>
      </c>
      <c r="G622" s="419">
        <v>22</v>
      </c>
      <c r="H622" s="419">
        <v>-14080</v>
      </c>
      <c r="I622" s="419">
        <v>0</v>
      </c>
      <c r="J622" s="380">
        <v>2.0999999999999999E-5</v>
      </c>
      <c r="K622" s="380"/>
      <c r="L622" s="419">
        <v>5141</v>
      </c>
      <c r="M622" s="419">
        <v>3551</v>
      </c>
      <c r="N622" s="419">
        <v>1554</v>
      </c>
      <c r="O622" s="419">
        <v>0</v>
      </c>
      <c r="P622" s="419">
        <v>0</v>
      </c>
      <c r="Q622" s="380">
        <v>2.0999999999999999E-5</v>
      </c>
      <c r="R622" s="380"/>
      <c r="S622" s="419">
        <v>-10550</v>
      </c>
      <c r="T622" s="419">
        <v>-10428</v>
      </c>
      <c r="U622" s="419">
        <v>-10955</v>
      </c>
      <c r="V622" s="419">
        <v>-14080</v>
      </c>
      <c r="W622" s="419">
        <v>0</v>
      </c>
      <c r="X622" s="380">
        <v>2.0999999999999999E-5</v>
      </c>
      <c r="Z622" s="419">
        <v>8413</v>
      </c>
      <c r="AA622" s="419">
        <v>5910</v>
      </c>
      <c r="AB622" s="419">
        <v>5910</v>
      </c>
      <c r="AC622" s="419">
        <v>0</v>
      </c>
      <c r="AD622" s="419">
        <v>0</v>
      </c>
      <c r="AE622" s="380">
        <v>2.0999999999999999E-5</v>
      </c>
      <c r="AF622" s="380"/>
      <c r="AG622" s="419">
        <v>6581</v>
      </c>
      <c r="AH622" s="419">
        <v>4944</v>
      </c>
      <c r="AI622" s="419">
        <v>3513</v>
      </c>
      <c r="AJ622" s="419">
        <v>0</v>
      </c>
      <c r="AK622" s="419">
        <v>0</v>
      </c>
      <c r="AL622" s="380">
        <v>2.0999999999999999E-5</v>
      </c>
      <c r="AM622" s="380"/>
      <c r="AN622" s="419">
        <v>-1865</v>
      </c>
      <c r="AO622" s="419">
        <v>-1863</v>
      </c>
      <c r="AP622" s="419">
        <v>0</v>
      </c>
      <c r="AQ622" s="419">
        <v>0</v>
      </c>
      <c r="AR622" s="419">
        <v>0</v>
      </c>
    </row>
    <row r="623" spans="1:44">
      <c r="A623" s="379">
        <v>96701</v>
      </c>
      <c r="B623" t="s">
        <v>1327</v>
      </c>
      <c r="C623" s="380">
        <v>7.8210999999999992E-3</v>
      </c>
      <c r="D623" s="380"/>
      <c r="E623" s="419">
        <v>575431</v>
      </c>
      <c r="F623" s="419">
        <v>-879652</v>
      </c>
      <c r="G623" s="419">
        <v>-1450477</v>
      </c>
      <c r="H623" s="419">
        <v>-5243844</v>
      </c>
      <c r="I623" s="419">
        <v>0</v>
      </c>
      <c r="J623" s="380">
        <v>7.8210999999999992E-3</v>
      </c>
      <c r="K623" s="380"/>
      <c r="L623" s="419">
        <v>1914668</v>
      </c>
      <c r="M623" s="419">
        <v>1322329</v>
      </c>
      <c r="N623" s="419">
        <v>578855</v>
      </c>
      <c r="O623" s="419">
        <v>0</v>
      </c>
      <c r="P623" s="419">
        <v>0</v>
      </c>
      <c r="Q623" s="380">
        <v>7.8210999999999992E-3</v>
      </c>
      <c r="R623" s="380"/>
      <c r="S623" s="419">
        <v>-3929070</v>
      </c>
      <c r="T623" s="419">
        <v>-3883606</v>
      </c>
      <c r="U623" s="419">
        <v>-4079885</v>
      </c>
      <c r="V623" s="419">
        <v>-5243844</v>
      </c>
      <c r="W623" s="419">
        <v>0</v>
      </c>
      <c r="X623" s="380">
        <v>7.8210999999999992E-3</v>
      </c>
      <c r="Z623" s="419">
        <v>3133148</v>
      </c>
      <c r="AA623" s="419">
        <v>2201209</v>
      </c>
      <c r="AB623" s="419">
        <v>2201194</v>
      </c>
      <c r="AC623" s="419">
        <v>0</v>
      </c>
      <c r="AD623" s="419">
        <v>0</v>
      </c>
      <c r="AE623" s="380">
        <v>7.8210999999999992E-3</v>
      </c>
      <c r="AF623" s="380"/>
      <c r="AG623" s="419">
        <v>0</v>
      </c>
      <c r="AH623" s="419">
        <v>0</v>
      </c>
      <c r="AI623" s="419">
        <v>0</v>
      </c>
      <c r="AJ623" s="419">
        <v>0</v>
      </c>
      <c r="AK623" s="419">
        <v>0</v>
      </c>
      <c r="AL623" s="380">
        <v>7.8210999999999992E-3</v>
      </c>
      <c r="AM623" s="380"/>
      <c r="AN623" s="419">
        <v>-543315</v>
      </c>
      <c r="AO623" s="419">
        <v>-519584</v>
      </c>
      <c r="AP623" s="419">
        <v>-150641</v>
      </c>
      <c r="AQ623" s="419">
        <v>0</v>
      </c>
      <c r="AR623" s="419">
        <v>0</v>
      </c>
    </row>
    <row r="624" spans="1:44">
      <c r="A624" s="379">
        <v>96704</v>
      </c>
      <c r="B624" t="s">
        <v>1328</v>
      </c>
      <c r="C624" s="380">
        <v>2.2550000000000001E-4</v>
      </c>
      <c r="D624" s="380"/>
      <c r="E624" s="419">
        <v>81228</v>
      </c>
      <c r="F624" s="419">
        <v>33857</v>
      </c>
      <c r="G624" s="419">
        <v>-13170</v>
      </c>
      <c r="H624" s="419">
        <v>-151192</v>
      </c>
      <c r="I624" s="419">
        <v>0</v>
      </c>
      <c r="J624" s="380">
        <v>2.2550000000000001E-4</v>
      </c>
      <c r="K624" s="380"/>
      <c r="L624" s="419">
        <v>55204</v>
      </c>
      <c r="M624" s="419">
        <v>38126</v>
      </c>
      <c r="N624" s="419">
        <v>16690</v>
      </c>
      <c r="O624" s="419">
        <v>0</v>
      </c>
      <c r="P624" s="419">
        <v>0</v>
      </c>
      <c r="Q624" s="380">
        <v>2.2550000000000001E-4</v>
      </c>
      <c r="R624" s="380"/>
      <c r="S624" s="419">
        <v>-113284</v>
      </c>
      <c r="T624" s="419">
        <v>-111973</v>
      </c>
      <c r="U624" s="419">
        <v>-117632</v>
      </c>
      <c r="V624" s="419">
        <v>-151192</v>
      </c>
      <c r="W624" s="419">
        <v>0</v>
      </c>
      <c r="X624" s="380">
        <v>2.2550000000000001E-4</v>
      </c>
      <c r="Z624" s="419">
        <v>90336</v>
      </c>
      <c r="AA624" s="419">
        <v>63466</v>
      </c>
      <c r="AB624" s="419">
        <v>63465</v>
      </c>
      <c r="AC624" s="419">
        <v>0</v>
      </c>
      <c r="AD624" s="419">
        <v>0</v>
      </c>
      <c r="AE624" s="380">
        <v>2.2550000000000001E-4</v>
      </c>
      <c r="AF624" s="380"/>
      <c r="AG624" s="419">
        <v>48972</v>
      </c>
      <c r="AH624" s="419">
        <v>44238</v>
      </c>
      <c r="AI624" s="419">
        <v>24307</v>
      </c>
      <c r="AJ624" s="419">
        <v>0</v>
      </c>
      <c r="AK624" s="419">
        <v>0</v>
      </c>
      <c r="AL624" s="380">
        <v>2.2550000000000001E-4</v>
      </c>
      <c r="AM624" s="380"/>
      <c r="AN624" s="419">
        <v>0</v>
      </c>
      <c r="AO624" s="419">
        <v>0</v>
      </c>
      <c r="AP624" s="419">
        <v>0</v>
      </c>
      <c r="AQ624" s="419">
        <v>0</v>
      </c>
      <c r="AR624" s="419">
        <v>0</v>
      </c>
    </row>
    <row r="625" spans="1:44">
      <c r="A625" s="379">
        <v>96708</v>
      </c>
      <c r="B625" t="s">
        <v>1329</v>
      </c>
      <c r="C625" s="380">
        <v>8.4489999999999999E-4</v>
      </c>
      <c r="D625" s="380"/>
      <c r="E625" s="419">
        <v>128380</v>
      </c>
      <c r="F625" s="419">
        <v>-37695</v>
      </c>
      <c r="G625" s="419">
        <v>-135864</v>
      </c>
      <c r="H625" s="419">
        <v>-566483</v>
      </c>
      <c r="I625" s="419">
        <v>0</v>
      </c>
      <c r="J625" s="380">
        <v>8.4489999999999999E-4</v>
      </c>
      <c r="K625" s="380"/>
      <c r="L625" s="419">
        <v>206838</v>
      </c>
      <c r="M625" s="419">
        <v>142849</v>
      </c>
      <c r="N625" s="419">
        <v>62533</v>
      </c>
      <c r="O625" s="419">
        <v>0</v>
      </c>
      <c r="P625" s="419">
        <v>0</v>
      </c>
      <c r="Q625" s="380">
        <v>8.4489999999999999E-4</v>
      </c>
      <c r="R625" s="380"/>
      <c r="S625" s="419">
        <v>-424451</v>
      </c>
      <c r="T625" s="419">
        <v>-419539</v>
      </c>
      <c r="U625" s="419">
        <v>-440743</v>
      </c>
      <c r="V625" s="419">
        <v>-566483</v>
      </c>
      <c r="W625" s="419">
        <v>0</v>
      </c>
      <c r="X625" s="380">
        <v>8.4489999999999999E-4</v>
      </c>
      <c r="Z625" s="419">
        <v>338469</v>
      </c>
      <c r="AA625" s="419">
        <v>237793</v>
      </c>
      <c r="AB625" s="419">
        <v>237791</v>
      </c>
      <c r="AC625" s="419">
        <v>0</v>
      </c>
      <c r="AD625" s="419">
        <v>0</v>
      </c>
      <c r="AE625" s="380">
        <v>8.4489999999999999E-4</v>
      </c>
      <c r="AF625" s="380"/>
      <c r="AG625" s="419">
        <v>19448</v>
      </c>
      <c r="AH625" s="419">
        <v>13126</v>
      </c>
      <c r="AI625" s="419">
        <v>4555</v>
      </c>
      <c r="AJ625" s="419">
        <v>0</v>
      </c>
      <c r="AK625" s="419">
        <v>0</v>
      </c>
      <c r="AL625" s="380">
        <v>8.4489999999999999E-4</v>
      </c>
      <c r="AM625" s="380"/>
      <c r="AN625" s="419">
        <v>-11924</v>
      </c>
      <c r="AO625" s="419">
        <v>-11924</v>
      </c>
      <c r="AP625" s="419">
        <v>0</v>
      </c>
      <c r="AQ625" s="419">
        <v>0</v>
      </c>
      <c r="AR625" s="419">
        <v>0</v>
      </c>
    </row>
    <row r="626" spans="1:44">
      <c r="A626" s="379">
        <v>96711</v>
      </c>
      <c r="B626" t="s">
        <v>1330</v>
      </c>
      <c r="C626" s="380">
        <v>3.7699000000000001E-3</v>
      </c>
      <c r="D626" s="380"/>
      <c r="E626" s="419">
        <v>415654</v>
      </c>
      <c r="F626" s="419">
        <v>-268164</v>
      </c>
      <c r="G626" s="419">
        <v>-712810</v>
      </c>
      <c r="H626" s="419">
        <v>-2527620</v>
      </c>
      <c r="I626" s="419">
        <v>0</v>
      </c>
      <c r="J626" s="380">
        <v>3.7699000000000001E-3</v>
      </c>
      <c r="K626" s="380"/>
      <c r="L626" s="419">
        <v>922902</v>
      </c>
      <c r="M626" s="419">
        <v>637385</v>
      </c>
      <c r="N626" s="419">
        <v>279018</v>
      </c>
      <c r="O626" s="419">
        <v>0</v>
      </c>
      <c r="P626" s="419">
        <v>0</v>
      </c>
      <c r="Q626" s="380">
        <v>3.7699000000000001E-3</v>
      </c>
      <c r="R626" s="380"/>
      <c r="S626" s="419">
        <v>-1893877</v>
      </c>
      <c r="T626" s="419">
        <v>-1871963</v>
      </c>
      <c r="U626" s="419">
        <v>-1966572</v>
      </c>
      <c r="V626" s="419">
        <v>-2527620</v>
      </c>
      <c r="W626" s="419">
        <v>0</v>
      </c>
      <c r="X626" s="380">
        <v>3.7699000000000001E-3</v>
      </c>
      <c r="Z626" s="419">
        <v>1510229</v>
      </c>
      <c r="AA626" s="419">
        <v>1061020</v>
      </c>
      <c r="AB626" s="419">
        <v>1061012</v>
      </c>
      <c r="AC626" s="419">
        <v>0</v>
      </c>
      <c r="AD626" s="419">
        <v>0</v>
      </c>
      <c r="AE626" s="380">
        <v>3.7699000000000001E-3</v>
      </c>
      <c r="AF626" s="380"/>
      <c r="AG626" s="419">
        <v>11631</v>
      </c>
      <c r="AH626" s="419">
        <v>11630</v>
      </c>
      <c r="AI626" s="419">
        <v>0</v>
      </c>
      <c r="AJ626" s="419">
        <v>0</v>
      </c>
      <c r="AK626" s="419">
        <v>0</v>
      </c>
      <c r="AL626" s="380">
        <v>3.7699000000000001E-3</v>
      </c>
      <c r="AM626" s="380"/>
      <c r="AN626" s="419">
        <v>-135231</v>
      </c>
      <c r="AO626" s="419">
        <v>-106236</v>
      </c>
      <c r="AP626" s="419">
        <v>-86268</v>
      </c>
      <c r="AQ626" s="419">
        <v>0</v>
      </c>
      <c r="AR626" s="419">
        <v>0</v>
      </c>
    </row>
    <row r="627" spans="1:44">
      <c r="A627" s="379">
        <v>96721</v>
      </c>
      <c r="B627" t="s">
        <v>1331</v>
      </c>
      <c r="C627" s="380">
        <v>2.5119999999999998E-4</v>
      </c>
      <c r="D627" s="380"/>
      <c r="E627" s="419">
        <v>48182</v>
      </c>
      <c r="F627" s="419">
        <v>354</v>
      </c>
      <c r="G627" s="419">
        <v>-38373</v>
      </c>
      <c r="H627" s="419">
        <v>-168423</v>
      </c>
      <c r="I627" s="419">
        <v>0</v>
      </c>
      <c r="J627" s="380">
        <v>2.5119999999999998E-4</v>
      </c>
      <c r="K627" s="380"/>
      <c r="L627" s="419">
        <v>61496</v>
      </c>
      <c r="M627" s="419">
        <v>42471</v>
      </c>
      <c r="N627" s="419">
        <v>18592</v>
      </c>
      <c r="O627" s="419">
        <v>0</v>
      </c>
      <c r="P627" s="419">
        <v>0</v>
      </c>
      <c r="Q627" s="380">
        <v>2.5119999999999998E-4</v>
      </c>
      <c r="R627" s="380"/>
      <c r="S627" s="419">
        <v>-126195</v>
      </c>
      <c r="T627" s="419">
        <v>-124735</v>
      </c>
      <c r="U627" s="419">
        <v>-131039</v>
      </c>
      <c r="V627" s="419">
        <v>-168423</v>
      </c>
      <c r="W627" s="419">
        <v>0</v>
      </c>
      <c r="X627" s="380">
        <v>2.5119999999999998E-4</v>
      </c>
      <c r="Z627" s="419">
        <v>100631</v>
      </c>
      <c r="AA627" s="419">
        <v>70699</v>
      </c>
      <c r="AB627" s="419">
        <v>70698</v>
      </c>
      <c r="AC627" s="419">
        <v>0</v>
      </c>
      <c r="AD627" s="419">
        <v>0</v>
      </c>
      <c r="AE627" s="380">
        <v>2.5119999999999998E-4</v>
      </c>
      <c r="AF627" s="380"/>
      <c r="AG627" s="419">
        <v>13139</v>
      </c>
      <c r="AH627" s="419">
        <v>12807</v>
      </c>
      <c r="AI627" s="419">
        <v>3376</v>
      </c>
      <c r="AJ627" s="419">
        <v>0</v>
      </c>
      <c r="AK627" s="419">
        <v>0</v>
      </c>
      <c r="AL627" s="380">
        <v>2.5119999999999998E-4</v>
      </c>
      <c r="AM627" s="380"/>
      <c r="AN627" s="419">
        <v>-889</v>
      </c>
      <c r="AO627" s="419">
        <v>-888</v>
      </c>
      <c r="AP627" s="419">
        <v>0</v>
      </c>
      <c r="AQ627" s="419">
        <v>0</v>
      </c>
      <c r="AR627" s="419">
        <v>0</v>
      </c>
    </row>
    <row r="628" spans="1:44">
      <c r="A628" s="379">
        <v>96731</v>
      </c>
      <c r="B628" t="s">
        <v>1332</v>
      </c>
      <c r="C628" s="380">
        <v>2.008E-4</v>
      </c>
      <c r="D628" s="380"/>
      <c r="E628" s="419">
        <v>35326</v>
      </c>
      <c r="F628" s="419">
        <v>-2196</v>
      </c>
      <c r="G628" s="419">
        <v>-24691</v>
      </c>
      <c r="H628" s="419">
        <v>-134631</v>
      </c>
      <c r="I628" s="419">
        <v>0</v>
      </c>
      <c r="J628" s="380">
        <v>2.008E-4</v>
      </c>
      <c r="K628" s="380"/>
      <c r="L628" s="419">
        <v>49157</v>
      </c>
      <c r="M628" s="419">
        <v>33950</v>
      </c>
      <c r="N628" s="419">
        <v>14862</v>
      </c>
      <c r="O628" s="419">
        <v>0</v>
      </c>
      <c r="P628" s="419">
        <v>0</v>
      </c>
      <c r="Q628" s="380">
        <v>2.008E-4</v>
      </c>
      <c r="R628" s="380"/>
      <c r="S628" s="419">
        <v>-100875</v>
      </c>
      <c r="T628" s="419">
        <v>-99708</v>
      </c>
      <c r="U628" s="419">
        <v>-104748</v>
      </c>
      <c r="V628" s="419">
        <v>-134631</v>
      </c>
      <c r="W628" s="419">
        <v>0</v>
      </c>
      <c r="X628" s="380">
        <v>2.008E-4</v>
      </c>
      <c r="Z628" s="419">
        <v>80441</v>
      </c>
      <c r="AA628" s="419">
        <v>56514</v>
      </c>
      <c r="AB628" s="419">
        <v>56514</v>
      </c>
      <c r="AC628" s="419">
        <v>0</v>
      </c>
      <c r="AD628" s="419">
        <v>0</v>
      </c>
      <c r="AE628" s="380">
        <v>2.008E-4</v>
      </c>
      <c r="AF628" s="380"/>
      <c r="AG628" s="419">
        <v>8845</v>
      </c>
      <c r="AH628" s="419">
        <v>8847</v>
      </c>
      <c r="AI628" s="419">
        <v>8681</v>
      </c>
      <c r="AJ628" s="419">
        <v>0</v>
      </c>
      <c r="AK628" s="419">
        <v>0</v>
      </c>
      <c r="AL628" s="380">
        <v>2.008E-4</v>
      </c>
      <c r="AM628" s="380"/>
      <c r="AN628" s="419">
        <v>-2242</v>
      </c>
      <c r="AO628" s="419">
        <v>-1799</v>
      </c>
      <c r="AP628" s="419">
        <v>0</v>
      </c>
      <c r="AQ628" s="419">
        <v>0</v>
      </c>
      <c r="AR628" s="419">
        <v>0</v>
      </c>
    </row>
    <row r="629" spans="1:44">
      <c r="A629" s="379">
        <v>96733</v>
      </c>
      <c r="B629" t="s">
        <v>1333</v>
      </c>
      <c r="C629" s="380">
        <v>0</v>
      </c>
      <c r="D629" s="380"/>
      <c r="E629" s="419">
        <v>-3710</v>
      </c>
      <c r="F629" s="419">
        <v>-4259</v>
      </c>
      <c r="G629" s="419">
        <v>0</v>
      </c>
      <c r="H629" s="419">
        <v>0</v>
      </c>
      <c r="I629" s="419">
        <v>0</v>
      </c>
      <c r="J629" s="380">
        <v>0</v>
      </c>
      <c r="K629" s="380"/>
      <c r="L629" s="419">
        <v>0</v>
      </c>
      <c r="M629" s="419">
        <v>0</v>
      </c>
      <c r="N629" s="419">
        <v>0</v>
      </c>
      <c r="O629" s="419">
        <v>0</v>
      </c>
      <c r="P629" s="419">
        <v>0</v>
      </c>
      <c r="Q629" s="380">
        <v>0</v>
      </c>
      <c r="R629" s="380"/>
      <c r="S629" s="419">
        <v>0</v>
      </c>
      <c r="T629" s="419">
        <v>0</v>
      </c>
      <c r="U629" s="419">
        <v>0</v>
      </c>
      <c r="V629" s="419">
        <v>0</v>
      </c>
      <c r="W629" s="419">
        <v>0</v>
      </c>
      <c r="X629" s="380">
        <v>0</v>
      </c>
      <c r="Z629" s="419">
        <v>0</v>
      </c>
      <c r="AA629" s="419">
        <v>0</v>
      </c>
      <c r="AB629" s="419">
        <v>0</v>
      </c>
      <c r="AC629" s="419">
        <v>0</v>
      </c>
      <c r="AD629" s="419">
        <v>0</v>
      </c>
      <c r="AE629" s="380">
        <v>0</v>
      </c>
      <c r="AF629" s="380"/>
      <c r="AG629" s="419">
        <v>550</v>
      </c>
      <c r="AH629" s="419">
        <v>0</v>
      </c>
      <c r="AI629" s="419">
        <v>0</v>
      </c>
      <c r="AJ629" s="419">
        <v>0</v>
      </c>
      <c r="AK629" s="419">
        <v>0</v>
      </c>
      <c r="AL629" s="380">
        <v>0</v>
      </c>
      <c r="AM629" s="380"/>
      <c r="AN629" s="419">
        <v>-4260</v>
      </c>
      <c r="AO629" s="419">
        <v>-4259</v>
      </c>
      <c r="AP629" s="419">
        <v>0</v>
      </c>
      <c r="AQ629" s="419">
        <v>0</v>
      </c>
      <c r="AR629" s="419">
        <v>0</v>
      </c>
    </row>
    <row r="630" spans="1:44">
      <c r="A630" s="379">
        <v>96741</v>
      </c>
      <c r="B630" t="s">
        <v>1334</v>
      </c>
      <c r="C630" s="380">
        <v>8.81E-5</v>
      </c>
      <c r="D630" s="380"/>
      <c r="E630" s="419">
        <v>7231</v>
      </c>
      <c r="F630" s="419">
        <v>-10125</v>
      </c>
      <c r="G630" s="419">
        <v>-15039</v>
      </c>
      <c r="H630" s="419">
        <v>-59069</v>
      </c>
      <c r="I630" s="419">
        <v>0</v>
      </c>
      <c r="J630" s="380">
        <v>8.81E-5</v>
      </c>
      <c r="K630" s="380"/>
      <c r="L630" s="419">
        <v>21568</v>
      </c>
      <c r="M630" s="419">
        <v>14895</v>
      </c>
      <c r="N630" s="419">
        <v>6520</v>
      </c>
      <c r="O630" s="419">
        <v>0</v>
      </c>
      <c r="P630" s="419">
        <v>0</v>
      </c>
      <c r="Q630" s="380">
        <v>8.81E-5</v>
      </c>
      <c r="R630" s="380"/>
      <c r="S630" s="419">
        <v>-44259</v>
      </c>
      <c r="T630" s="419">
        <v>-43746</v>
      </c>
      <c r="U630" s="419">
        <v>-45957</v>
      </c>
      <c r="V630" s="419">
        <v>-59069</v>
      </c>
      <c r="W630" s="419">
        <v>0</v>
      </c>
      <c r="X630" s="380">
        <v>8.81E-5</v>
      </c>
      <c r="Z630" s="419">
        <v>35293</v>
      </c>
      <c r="AA630" s="419">
        <v>24795</v>
      </c>
      <c r="AB630" s="419">
        <v>24795</v>
      </c>
      <c r="AC630" s="419">
        <v>0</v>
      </c>
      <c r="AD630" s="419">
        <v>0</v>
      </c>
      <c r="AE630" s="380">
        <v>8.81E-5</v>
      </c>
      <c r="AF630" s="380"/>
      <c r="AG630" s="419">
        <v>701</v>
      </c>
      <c r="AH630" s="419">
        <v>0</v>
      </c>
      <c r="AI630" s="419">
        <v>0</v>
      </c>
      <c r="AJ630" s="419">
        <v>0</v>
      </c>
      <c r="AK630" s="419">
        <v>0</v>
      </c>
      <c r="AL630" s="380">
        <v>8.81E-5</v>
      </c>
      <c r="AM630" s="380"/>
      <c r="AN630" s="419">
        <v>-6072</v>
      </c>
      <c r="AO630" s="419">
        <v>-6069</v>
      </c>
      <c r="AP630" s="419">
        <v>-397</v>
      </c>
      <c r="AQ630" s="419">
        <v>0</v>
      </c>
      <c r="AR630" s="419">
        <v>0</v>
      </c>
    </row>
    <row r="631" spans="1:44">
      <c r="A631" s="379">
        <v>96751</v>
      </c>
      <c r="B631" t="s">
        <v>1335</v>
      </c>
      <c r="C631" s="380">
        <v>3.2870000000000002E-4</v>
      </c>
      <c r="D631" s="380"/>
      <c r="E631" s="419">
        <v>68221</v>
      </c>
      <c r="F631" s="419">
        <v>5642</v>
      </c>
      <c r="G631" s="419">
        <v>-27600</v>
      </c>
      <c r="H631" s="419">
        <v>-220385</v>
      </c>
      <c r="I631" s="419">
        <v>0</v>
      </c>
      <c r="J631" s="380">
        <v>3.2870000000000002E-4</v>
      </c>
      <c r="K631" s="380"/>
      <c r="L631" s="419">
        <v>80468</v>
      </c>
      <c r="M631" s="419">
        <v>55574</v>
      </c>
      <c r="N631" s="419">
        <v>24328</v>
      </c>
      <c r="O631" s="419">
        <v>0</v>
      </c>
      <c r="P631" s="419">
        <v>0</v>
      </c>
      <c r="Q631" s="380">
        <v>3.2870000000000002E-4</v>
      </c>
      <c r="R631" s="380"/>
      <c r="S631" s="419">
        <v>-165128</v>
      </c>
      <c r="T631" s="419">
        <v>-163218</v>
      </c>
      <c r="U631" s="419">
        <v>-171467</v>
      </c>
      <c r="V631" s="419">
        <v>-220385</v>
      </c>
      <c r="W631" s="419">
        <v>0</v>
      </c>
      <c r="X631" s="380">
        <v>3.2870000000000002E-4</v>
      </c>
      <c r="Z631" s="419">
        <v>131678</v>
      </c>
      <c r="AA631" s="419">
        <v>92511</v>
      </c>
      <c r="AB631" s="419">
        <v>92510</v>
      </c>
      <c r="AC631" s="419">
        <v>0</v>
      </c>
      <c r="AD631" s="419">
        <v>0</v>
      </c>
      <c r="AE631" s="380">
        <v>3.2870000000000002E-4</v>
      </c>
      <c r="AF631" s="380"/>
      <c r="AG631" s="419">
        <v>33049</v>
      </c>
      <c r="AH631" s="419">
        <v>32621</v>
      </c>
      <c r="AI631" s="419">
        <v>27029</v>
      </c>
      <c r="AJ631" s="419">
        <v>0</v>
      </c>
      <c r="AK631" s="419">
        <v>0</v>
      </c>
      <c r="AL631" s="380">
        <v>3.2870000000000002E-4</v>
      </c>
      <c r="AM631" s="380"/>
      <c r="AN631" s="419">
        <v>-11846</v>
      </c>
      <c r="AO631" s="419">
        <v>-11846</v>
      </c>
      <c r="AP631" s="419">
        <v>0</v>
      </c>
      <c r="AQ631" s="419">
        <v>0</v>
      </c>
      <c r="AR631" s="419">
        <v>0</v>
      </c>
    </row>
    <row r="632" spans="1:44">
      <c r="A632" s="379">
        <v>96801</v>
      </c>
      <c r="B632" t="s">
        <v>1336</v>
      </c>
      <c r="C632" s="380">
        <v>7.3797000000000003E-3</v>
      </c>
      <c r="D632" s="380"/>
      <c r="E632" s="419">
        <v>1031436</v>
      </c>
      <c r="F632" s="419">
        <v>-381937</v>
      </c>
      <c r="G632" s="419">
        <v>-1205127</v>
      </c>
      <c r="H632" s="419">
        <v>-4947897</v>
      </c>
      <c r="I632" s="419">
        <v>0</v>
      </c>
      <c r="J632" s="380">
        <v>7.3797000000000003E-3</v>
      </c>
      <c r="K632" s="380"/>
      <c r="L632" s="419">
        <v>1806610</v>
      </c>
      <c r="M632" s="419">
        <v>1247701</v>
      </c>
      <c r="N632" s="419">
        <v>546186</v>
      </c>
      <c r="O632" s="419">
        <v>0</v>
      </c>
      <c r="P632" s="419">
        <v>0</v>
      </c>
      <c r="Q632" s="380">
        <v>7.3797000000000003E-3</v>
      </c>
      <c r="R632" s="380"/>
      <c r="S632" s="419">
        <v>-3707325</v>
      </c>
      <c r="T632" s="419">
        <v>-3664427</v>
      </c>
      <c r="U632" s="419">
        <v>-3849628</v>
      </c>
      <c r="V632" s="419">
        <v>-4947897</v>
      </c>
      <c r="W632" s="419">
        <v>0</v>
      </c>
      <c r="X632" s="380">
        <v>7.3797000000000003E-3</v>
      </c>
      <c r="Z632" s="419">
        <v>2956323</v>
      </c>
      <c r="AA632" s="419">
        <v>2076980</v>
      </c>
      <c r="AB632" s="419">
        <v>2076965</v>
      </c>
      <c r="AC632" s="419">
        <v>0</v>
      </c>
      <c r="AD632" s="419">
        <v>0</v>
      </c>
      <c r="AE632" s="380">
        <v>7.3797000000000003E-3</v>
      </c>
      <c r="AF632" s="380"/>
      <c r="AG632" s="419">
        <v>39365</v>
      </c>
      <c r="AH632" s="419">
        <v>21349</v>
      </c>
      <c r="AI632" s="419">
        <v>21350</v>
      </c>
      <c r="AJ632" s="419">
        <v>0</v>
      </c>
      <c r="AK632" s="419">
        <v>0</v>
      </c>
      <c r="AL632" s="380">
        <v>7.3797000000000003E-3</v>
      </c>
      <c r="AM632" s="380"/>
      <c r="AN632" s="419">
        <v>-63537</v>
      </c>
      <c r="AO632" s="419">
        <v>-63540</v>
      </c>
      <c r="AP632" s="419">
        <v>0</v>
      </c>
      <c r="AQ632" s="419">
        <v>0</v>
      </c>
      <c r="AR632" s="419">
        <v>0</v>
      </c>
    </row>
    <row r="633" spans="1:44">
      <c r="A633" s="379">
        <v>96804</v>
      </c>
      <c r="B633" t="s">
        <v>1337</v>
      </c>
      <c r="C633" s="380">
        <v>2.3699999999999999E-4</v>
      </c>
      <c r="D633" s="380"/>
      <c r="E633" s="419">
        <v>17291</v>
      </c>
      <c r="F633" s="419">
        <v>-22664</v>
      </c>
      <c r="G633" s="419">
        <v>-41384</v>
      </c>
      <c r="H633" s="419">
        <v>-158902</v>
      </c>
      <c r="I633" s="419">
        <v>0</v>
      </c>
      <c r="J633" s="380">
        <v>2.3699999999999999E-4</v>
      </c>
      <c r="K633" s="380"/>
      <c r="L633" s="419">
        <v>58019</v>
      </c>
      <c r="M633" s="419">
        <v>40070</v>
      </c>
      <c r="N633" s="419">
        <v>17541</v>
      </c>
      <c r="O633" s="419">
        <v>0</v>
      </c>
      <c r="P633" s="419">
        <v>0</v>
      </c>
      <c r="Q633" s="380">
        <v>2.3699999999999999E-4</v>
      </c>
      <c r="R633" s="380"/>
      <c r="S633" s="419">
        <v>-119061</v>
      </c>
      <c r="T633" s="419">
        <v>-117684</v>
      </c>
      <c r="U633" s="419">
        <v>-123631</v>
      </c>
      <c r="V633" s="419">
        <v>-158902</v>
      </c>
      <c r="W633" s="419">
        <v>0</v>
      </c>
      <c r="X633" s="380">
        <v>2.3699999999999999E-4</v>
      </c>
      <c r="Z633" s="419">
        <v>94943</v>
      </c>
      <c r="AA633" s="419">
        <v>66702</v>
      </c>
      <c r="AB633" s="419">
        <v>66702</v>
      </c>
      <c r="AC633" s="419">
        <v>0</v>
      </c>
      <c r="AD633" s="419">
        <v>0</v>
      </c>
      <c r="AE633" s="380">
        <v>2.3699999999999999E-4</v>
      </c>
      <c r="AF633" s="380"/>
      <c r="AG633" s="419">
        <v>0</v>
      </c>
      <c r="AH633" s="419">
        <v>0</v>
      </c>
      <c r="AI633" s="419">
        <v>0</v>
      </c>
      <c r="AJ633" s="419">
        <v>0</v>
      </c>
      <c r="AK633" s="419">
        <v>0</v>
      </c>
      <c r="AL633" s="380">
        <v>2.3699999999999999E-4</v>
      </c>
      <c r="AM633" s="380"/>
      <c r="AN633" s="419">
        <v>-16610</v>
      </c>
      <c r="AO633" s="419">
        <v>-11752</v>
      </c>
      <c r="AP633" s="419">
        <v>-1996</v>
      </c>
      <c r="AQ633" s="419">
        <v>0</v>
      </c>
      <c r="AR633" s="419">
        <v>0</v>
      </c>
    </row>
    <row r="634" spans="1:44">
      <c r="A634" s="379">
        <v>96808</v>
      </c>
      <c r="B634" t="s">
        <v>1338</v>
      </c>
      <c r="C634" s="380">
        <v>1.2228E-3</v>
      </c>
      <c r="D634" s="380"/>
      <c r="E634" s="419">
        <v>169503</v>
      </c>
      <c r="F634" s="419">
        <v>-58634</v>
      </c>
      <c r="G634" s="419">
        <v>-218861</v>
      </c>
      <c r="H634" s="419">
        <v>-819856</v>
      </c>
      <c r="I634" s="419">
        <v>0</v>
      </c>
      <c r="J634" s="380">
        <v>1.2228E-3</v>
      </c>
      <c r="K634" s="380"/>
      <c r="L634" s="419">
        <v>299351</v>
      </c>
      <c r="M634" s="419">
        <v>206741</v>
      </c>
      <c r="N634" s="419">
        <v>90502</v>
      </c>
      <c r="O634" s="419">
        <v>0</v>
      </c>
      <c r="P634" s="419">
        <v>0</v>
      </c>
      <c r="Q634" s="380">
        <v>1.2228E-3</v>
      </c>
      <c r="R634" s="380"/>
      <c r="S634" s="419">
        <v>-614296</v>
      </c>
      <c r="T634" s="419">
        <v>-607187</v>
      </c>
      <c r="U634" s="419">
        <v>-637875</v>
      </c>
      <c r="V634" s="419">
        <v>-819856</v>
      </c>
      <c r="W634" s="419">
        <v>0</v>
      </c>
      <c r="X634" s="380">
        <v>1.2228E-3</v>
      </c>
      <c r="Z634" s="419">
        <v>489856</v>
      </c>
      <c r="AA634" s="419">
        <v>344151</v>
      </c>
      <c r="AB634" s="419">
        <v>344149</v>
      </c>
      <c r="AC634" s="419">
        <v>0</v>
      </c>
      <c r="AD634" s="419">
        <v>0</v>
      </c>
      <c r="AE634" s="380">
        <v>1.2228E-3</v>
      </c>
      <c r="AF634" s="380"/>
      <c r="AG634" s="419">
        <v>20485</v>
      </c>
      <c r="AH634" s="419">
        <v>20486</v>
      </c>
      <c r="AI634" s="419">
        <v>0</v>
      </c>
      <c r="AJ634" s="419">
        <v>0</v>
      </c>
      <c r="AK634" s="419">
        <v>0</v>
      </c>
      <c r="AL634" s="380">
        <v>1.2228E-3</v>
      </c>
      <c r="AM634" s="380"/>
      <c r="AN634" s="419">
        <v>-25893</v>
      </c>
      <c r="AO634" s="419">
        <v>-22825</v>
      </c>
      <c r="AP634" s="419">
        <v>-15637</v>
      </c>
      <c r="AQ634" s="419">
        <v>0</v>
      </c>
      <c r="AR634" s="419">
        <v>0</v>
      </c>
    </row>
    <row r="635" spans="1:44">
      <c r="A635" s="379">
        <v>96811</v>
      </c>
      <c r="B635" t="s">
        <v>1339</v>
      </c>
      <c r="C635" s="380">
        <v>5.5815999999999999E-3</v>
      </c>
      <c r="D635" s="380"/>
      <c r="E635" s="419">
        <v>620455</v>
      </c>
      <c r="F635" s="419">
        <v>-421661</v>
      </c>
      <c r="G635" s="419">
        <v>-1033743</v>
      </c>
      <c r="H635" s="419">
        <v>-3742318</v>
      </c>
      <c r="I635" s="419">
        <v>0</v>
      </c>
      <c r="J635" s="380">
        <v>5.5815999999999999E-3</v>
      </c>
      <c r="K635" s="380"/>
      <c r="L635" s="419">
        <v>1366420</v>
      </c>
      <c r="M635" s="419">
        <v>943692</v>
      </c>
      <c r="N635" s="419">
        <v>413105</v>
      </c>
      <c r="O635" s="419">
        <v>0</v>
      </c>
      <c r="P635" s="419">
        <v>0</v>
      </c>
      <c r="Q635" s="380">
        <v>5.5815999999999999E-3</v>
      </c>
      <c r="R635" s="380"/>
      <c r="S635" s="419">
        <v>-2804017</v>
      </c>
      <c r="T635" s="419">
        <v>-2771571</v>
      </c>
      <c r="U635" s="419">
        <v>-2911647</v>
      </c>
      <c r="V635" s="419">
        <v>-3742318</v>
      </c>
      <c r="W635" s="419">
        <v>0</v>
      </c>
      <c r="X635" s="380">
        <v>5.5815999999999999E-3</v>
      </c>
      <c r="Z635" s="419">
        <v>2236000</v>
      </c>
      <c r="AA635" s="419">
        <v>1570913</v>
      </c>
      <c r="AB635" s="419">
        <v>1570902</v>
      </c>
      <c r="AC635" s="419">
        <v>0</v>
      </c>
      <c r="AD635" s="419">
        <v>0</v>
      </c>
      <c r="AE635" s="380">
        <v>5.5815999999999999E-3</v>
      </c>
      <c r="AF635" s="380"/>
      <c r="AG635" s="419">
        <v>0</v>
      </c>
      <c r="AH635" s="419">
        <v>0</v>
      </c>
      <c r="AI635" s="419">
        <v>0</v>
      </c>
      <c r="AJ635" s="419">
        <v>0</v>
      </c>
      <c r="AK635" s="419">
        <v>0</v>
      </c>
      <c r="AL635" s="380">
        <v>5.5815999999999999E-3</v>
      </c>
      <c r="AM635" s="380"/>
      <c r="AN635" s="419">
        <v>-177948</v>
      </c>
      <c r="AO635" s="419">
        <v>-164695</v>
      </c>
      <c r="AP635" s="419">
        <v>-106103</v>
      </c>
      <c r="AQ635" s="419">
        <v>0</v>
      </c>
      <c r="AR635" s="419">
        <v>0</v>
      </c>
    </row>
    <row r="636" spans="1:44">
      <c r="A636" s="379">
        <v>96821</v>
      </c>
      <c r="B636" t="s">
        <v>1340</v>
      </c>
      <c r="C636" s="380">
        <v>1.1953000000000001E-3</v>
      </c>
      <c r="D636" s="380"/>
      <c r="E636" s="419">
        <v>179532</v>
      </c>
      <c r="F636" s="419">
        <v>-24147</v>
      </c>
      <c r="G636" s="419">
        <v>-196912</v>
      </c>
      <c r="H636" s="419">
        <v>-801418</v>
      </c>
      <c r="I636" s="419">
        <v>0</v>
      </c>
      <c r="J636" s="380">
        <v>1.1953000000000001E-3</v>
      </c>
      <c r="K636" s="380"/>
      <c r="L636" s="419">
        <v>292619</v>
      </c>
      <c r="M636" s="419">
        <v>202092</v>
      </c>
      <c r="N636" s="419">
        <v>88467</v>
      </c>
      <c r="O636" s="419">
        <v>0</v>
      </c>
      <c r="P636" s="419">
        <v>0</v>
      </c>
      <c r="Q636" s="380">
        <v>1.1953000000000001E-3</v>
      </c>
      <c r="R636" s="380"/>
      <c r="S636" s="419">
        <v>-600480</v>
      </c>
      <c r="T636" s="419">
        <v>-593532</v>
      </c>
      <c r="U636" s="419">
        <v>-623529</v>
      </c>
      <c r="V636" s="419">
        <v>-801418</v>
      </c>
      <c r="W636" s="419">
        <v>0</v>
      </c>
      <c r="X636" s="380">
        <v>1.1953000000000001E-3</v>
      </c>
      <c r="Z636" s="419">
        <v>478840</v>
      </c>
      <c r="AA636" s="419">
        <v>336411</v>
      </c>
      <c r="AB636" s="419">
        <v>336409</v>
      </c>
      <c r="AC636" s="419">
        <v>0</v>
      </c>
      <c r="AD636" s="419">
        <v>0</v>
      </c>
      <c r="AE636" s="380">
        <v>1.1953000000000001E-3</v>
      </c>
      <c r="AF636" s="380"/>
      <c r="AG636" s="419">
        <v>30882</v>
      </c>
      <c r="AH636" s="419">
        <v>30882</v>
      </c>
      <c r="AI636" s="419">
        <v>1741</v>
      </c>
      <c r="AJ636" s="419">
        <v>0</v>
      </c>
      <c r="AK636" s="419">
        <v>0</v>
      </c>
      <c r="AL636" s="380">
        <v>1.1953000000000001E-3</v>
      </c>
      <c r="AM636" s="380"/>
      <c r="AN636" s="419">
        <v>-22329</v>
      </c>
      <c r="AO636" s="419">
        <v>0</v>
      </c>
      <c r="AP636" s="419">
        <v>0</v>
      </c>
      <c r="AQ636" s="419">
        <v>0</v>
      </c>
      <c r="AR636" s="419">
        <v>0</v>
      </c>
    </row>
    <row r="637" spans="1:44">
      <c r="A637" s="379">
        <v>96831</v>
      </c>
      <c r="B637" t="s">
        <v>1341</v>
      </c>
      <c r="C637" s="380">
        <v>7.9889999999999996E-4</v>
      </c>
      <c r="D637" s="380"/>
      <c r="E637" s="419">
        <v>54918</v>
      </c>
      <c r="F637" s="419">
        <v>-94687</v>
      </c>
      <c r="G637" s="419">
        <v>-192413</v>
      </c>
      <c r="H637" s="419">
        <v>-535642</v>
      </c>
      <c r="I637" s="419">
        <v>0</v>
      </c>
      <c r="J637" s="380">
        <v>7.9889999999999996E-4</v>
      </c>
      <c r="K637" s="380"/>
      <c r="L637" s="419">
        <v>195577</v>
      </c>
      <c r="M637" s="419">
        <v>135072</v>
      </c>
      <c r="N637" s="419">
        <v>59128</v>
      </c>
      <c r="O637" s="419">
        <v>0</v>
      </c>
      <c r="P637" s="419">
        <v>0</v>
      </c>
      <c r="Q637" s="380">
        <v>7.9889999999999996E-4</v>
      </c>
      <c r="R637" s="380"/>
      <c r="S637" s="419">
        <v>-401342</v>
      </c>
      <c r="T637" s="419">
        <v>-396698</v>
      </c>
      <c r="U637" s="419">
        <v>-416747</v>
      </c>
      <c r="V637" s="419">
        <v>-535642</v>
      </c>
      <c r="W637" s="419">
        <v>0</v>
      </c>
      <c r="X637" s="380">
        <v>7.9889999999999996E-4</v>
      </c>
      <c r="Z637" s="419">
        <v>320041</v>
      </c>
      <c r="AA637" s="419">
        <v>224846</v>
      </c>
      <c r="AB637" s="419">
        <v>224845</v>
      </c>
      <c r="AC637" s="419">
        <v>0</v>
      </c>
      <c r="AD637" s="419">
        <v>0</v>
      </c>
      <c r="AE637" s="380">
        <v>7.9889999999999996E-4</v>
      </c>
      <c r="AF637" s="380"/>
      <c r="AG637" s="419">
        <v>8760</v>
      </c>
      <c r="AH637" s="419">
        <v>8758</v>
      </c>
      <c r="AI637" s="419">
        <v>0</v>
      </c>
      <c r="AJ637" s="419">
        <v>0</v>
      </c>
      <c r="AK637" s="419">
        <v>0</v>
      </c>
      <c r="AL637" s="380">
        <v>7.9889999999999996E-4</v>
      </c>
      <c r="AM637" s="380"/>
      <c r="AN637" s="419">
        <v>-68118</v>
      </c>
      <c r="AO637" s="419">
        <v>-66665</v>
      </c>
      <c r="AP637" s="419">
        <v>-59639</v>
      </c>
      <c r="AQ637" s="419">
        <v>0</v>
      </c>
      <c r="AR637" s="419">
        <v>0</v>
      </c>
    </row>
    <row r="638" spans="1:44">
      <c r="A638" s="379">
        <v>96901</v>
      </c>
      <c r="B638" t="s">
        <v>1342</v>
      </c>
      <c r="C638" s="380">
        <v>8.2089999999999995E-4</v>
      </c>
      <c r="D638" s="380"/>
      <c r="E638" s="419">
        <v>60424</v>
      </c>
      <c r="F638" s="419">
        <v>-97792</v>
      </c>
      <c r="G638" s="419">
        <v>-154697</v>
      </c>
      <c r="H638" s="419">
        <v>-550392</v>
      </c>
      <c r="I638" s="419">
        <v>0</v>
      </c>
      <c r="J638" s="380">
        <v>8.2089999999999995E-4</v>
      </c>
      <c r="K638" s="380"/>
      <c r="L638" s="419">
        <v>200963</v>
      </c>
      <c r="M638" s="419">
        <v>138791</v>
      </c>
      <c r="N638" s="419">
        <v>60756</v>
      </c>
      <c r="O638" s="419">
        <v>0</v>
      </c>
      <c r="P638" s="419">
        <v>0</v>
      </c>
      <c r="Q638" s="380">
        <v>8.2089999999999995E-4</v>
      </c>
      <c r="R638" s="380"/>
      <c r="S638" s="419">
        <v>-412394</v>
      </c>
      <c r="T638" s="419">
        <v>-407622</v>
      </c>
      <c r="U638" s="419">
        <v>-428223</v>
      </c>
      <c r="V638" s="419">
        <v>-550392</v>
      </c>
      <c r="W638" s="419">
        <v>0</v>
      </c>
      <c r="X638" s="380">
        <v>8.2089999999999995E-4</v>
      </c>
      <c r="Z638" s="419">
        <v>328854</v>
      </c>
      <c r="AA638" s="419">
        <v>231038</v>
      </c>
      <c r="AB638" s="419">
        <v>231037</v>
      </c>
      <c r="AC638" s="419">
        <v>0</v>
      </c>
      <c r="AD638" s="419">
        <v>0</v>
      </c>
      <c r="AE638" s="380">
        <v>8.2089999999999995E-4</v>
      </c>
      <c r="AF638" s="380"/>
      <c r="AG638" s="419">
        <v>10305</v>
      </c>
      <c r="AH638" s="419">
        <v>7306</v>
      </c>
      <c r="AI638" s="419">
        <v>0</v>
      </c>
      <c r="AJ638" s="419">
        <v>0</v>
      </c>
      <c r="AK638" s="419">
        <v>0</v>
      </c>
      <c r="AL638" s="380">
        <v>8.2089999999999995E-4</v>
      </c>
      <c r="AM638" s="380"/>
      <c r="AN638" s="419">
        <v>-67304</v>
      </c>
      <c r="AO638" s="419">
        <v>-67305</v>
      </c>
      <c r="AP638" s="419">
        <v>-18267</v>
      </c>
      <c r="AQ638" s="419">
        <v>0</v>
      </c>
      <c r="AR638" s="419">
        <v>0</v>
      </c>
    </row>
    <row r="639" spans="1:44">
      <c r="A639" s="379">
        <v>96911</v>
      </c>
      <c r="B639" t="s">
        <v>1343</v>
      </c>
      <c r="C639" s="380">
        <v>2.2000000000000001E-6</v>
      </c>
      <c r="D639" s="380"/>
      <c r="E639" s="419">
        <v>1957</v>
      </c>
      <c r="F639" s="419">
        <v>1289</v>
      </c>
      <c r="G639" s="419">
        <v>174</v>
      </c>
      <c r="H639" s="419">
        <v>-1475</v>
      </c>
      <c r="I639" s="419">
        <v>0</v>
      </c>
      <c r="J639" s="380">
        <v>2.2000000000000001E-6</v>
      </c>
      <c r="K639" s="380"/>
      <c r="L639" s="419">
        <v>539</v>
      </c>
      <c r="M639" s="419">
        <v>372</v>
      </c>
      <c r="N639" s="419">
        <v>163</v>
      </c>
      <c r="O639" s="419">
        <v>0</v>
      </c>
      <c r="P639" s="419">
        <v>0</v>
      </c>
      <c r="Q639" s="380">
        <v>2.2000000000000001E-6</v>
      </c>
      <c r="R639" s="380"/>
      <c r="S639" s="419">
        <v>-1105</v>
      </c>
      <c r="T639" s="419">
        <v>-1092</v>
      </c>
      <c r="U639" s="419">
        <v>-1148</v>
      </c>
      <c r="V639" s="419">
        <v>-1475</v>
      </c>
      <c r="W639" s="419">
        <v>0</v>
      </c>
      <c r="X639" s="380">
        <v>2.2000000000000001E-6</v>
      </c>
      <c r="Z639" s="419">
        <v>881</v>
      </c>
      <c r="AA639" s="419">
        <v>619</v>
      </c>
      <c r="AB639" s="419">
        <v>619</v>
      </c>
      <c r="AC639" s="419">
        <v>0</v>
      </c>
      <c r="AD639" s="419">
        <v>0</v>
      </c>
      <c r="AE639" s="380">
        <v>2.2000000000000001E-6</v>
      </c>
      <c r="AF639" s="380"/>
      <c r="AG639" s="419">
        <v>1642</v>
      </c>
      <c r="AH639" s="419">
        <v>1390</v>
      </c>
      <c r="AI639" s="419">
        <v>540</v>
      </c>
      <c r="AJ639" s="419">
        <v>0</v>
      </c>
      <c r="AK639" s="419">
        <v>0</v>
      </c>
      <c r="AL639" s="380">
        <v>2.2000000000000001E-6</v>
      </c>
      <c r="AM639" s="380"/>
      <c r="AN639" s="419">
        <v>0</v>
      </c>
      <c r="AO639" s="419">
        <v>0</v>
      </c>
      <c r="AP639" s="419">
        <v>0</v>
      </c>
      <c r="AQ639" s="419">
        <v>0</v>
      </c>
      <c r="AR639" s="419">
        <v>0</v>
      </c>
    </row>
    <row r="640" spans="1:44">
      <c r="A640" s="379">
        <v>96912</v>
      </c>
      <c r="B640" t="s">
        <v>1344</v>
      </c>
      <c r="C640" s="380">
        <v>7.25E-5</v>
      </c>
      <c r="D640" s="380"/>
      <c r="E640" s="419">
        <v>7957</v>
      </c>
      <c r="F640" s="419">
        <v>-5861</v>
      </c>
      <c r="G640" s="419">
        <v>-14977</v>
      </c>
      <c r="H640" s="419">
        <v>-48609</v>
      </c>
      <c r="I640" s="419">
        <v>0</v>
      </c>
      <c r="J640" s="380">
        <v>7.25E-5</v>
      </c>
      <c r="K640" s="380"/>
      <c r="L640" s="419">
        <v>17749</v>
      </c>
      <c r="M640" s="419">
        <v>12258</v>
      </c>
      <c r="N640" s="419">
        <v>5366</v>
      </c>
      <c r="O640" s="419">
        <v>0</v>
      </c>
      <c r="P640" s="419">
        <v>0</v>
      </c>
      <c r="Q640" s="380">
        <v>7.25E-5</v>
      </c>
      <c r="R640" s="380"/>
      <c r="S640" s="419">
        <v>-36422</v>
      </c>
      <c r="T640" s="419">
        <v>-36000</v>
      </c>
      <c r="U640" s="419">
        <v>-37820</v>
      </c>
      <c r="V640" s="419">
        <v>-48609</v>
      </c>
      <c r="W640" s="419">
        <v>0</v>
      </c>
      <c r="X640" s="380">
        <v>7.25E-5</v>
      </c>
      <c r="Z640" s="419">
        <v>29044</v>
      </c>
      <c r="AA640" s="419">
        <v>20405</v>
      </c>
      <c r="AB640" s="419">
        <v>20405</v>
      </c>
      <c r="AC640" s="419">
        <v>0</v>
      </c>
      <c r="AD640" s="419">
        <v>0</v>
      </c>
      <c r="AE640" s="380">
        <v>7.25E-5</v>
      </c>
      <c r="AF640" s="380"/>
      <c r="AG640" s="419">
        <v>765</v>
      </c>
      <c r="AH640" s="419">
        <v>656</v>
      </c>
      <c r="AI640" s="419">
        <v>0</v>
      </c>
      <c r="AJ640" s="419">
        <v>0</v>
      </c>
      <c r="AK640" s="419">
        <v>0</v>
      </c>
      <c r="AL640" s="380">
        <v>7.25E-5</v>
      </c>
      <c r="AM640" s="380"/>
      <c r="AN640" s="419">
        <v>-3179</v>
      </c>
      <c r="AO640" s="419">
        <v>-3180</v>
      </c>
      <c r="AP640" s="419">
        <v>-2928</v>
      </c>
      <c r="AQ640" s="419">
        <v>0</v>
      </c>
      <c r="AR640" s="419">
        <v>0</v>
      </c>
    </row>
    <row r="641" spans="1:46">
      <c r="A641" s="379">
        <v>96918</v>
      </c>
      <c r="B641" t="s">
        <v>1345</v>
      </c>
      <c r="C641" s="380">
        <v>2.9200000000000002E-5</v>
      </c>
      <c r="D641" s="380"/>
      <c r="E641" s="419">
        <v>7151</v>
      </c>
      <c r="F641" s="419">
        <v>2460</v>
      </c>
      <c r="G641" s="419">
        <v>-3555</v>
      </c>
      <c r="H641" s="419">
        <v>-19578</v>
      </c>
      <c r="I641" s="419">
        <v>0</v>
      </c>
      <c r="J641" s="380">
        <v>2.9200000000000002E-5</v>
      </c>
      <c r="K641" s="380"/>
      <c r="L641" s="419">
        <v>7148</v>
      </c>
      <c r="M641" s="419">
        <v>4937</v>
      </c>
      <c r="N641" s="419">
        <v>2161</v>
      </c>
      <c r="O641" s="419">
        <v>0</v>
      </c>
      <c r="P641" s="419">
        <v>0</v>
      </c>
      <c r="Q641" s="380">
        <v>2.9200000000000002E-5</v>
      </c>
      <c r="R641" s="380"/>
      <c r="S641" s="419">
        <v>-14669</v>
      </c>
      <c r="T641" s="419">
        <v>-14499</v>
      </c>
      <c r="U641" s="419">
        <v>-15232</v>
      </c>
      <c r="V641" s="419">
        <v>-19578</v>
      </c>
      <c r="W641" s="419">
        <v>0</v>
      </c>
      <c r="X641" s="380">
        <v>2.9200000000000002E-5</v>
      </c>
      <c r="Z641" s="419">
        <v>11698</v>
      </c>
      <c r="AA641" s="419">
        <v>8218</v>
      </c>
      <c r="AB641" s="419">
        <v>8218</v>
      </c>
      <c r="AC641" s="419">
        <v>0</v>
      </c>
      <c r="AD641" s="419">
        <v>0</v>
      </c>
      <c r="AE641" s="380">
        <v>2.9200000000000002E-5</v>
      </c>
      <c r="AF641" s="380"/>
      <c r="AG641" s="419">
        <v>3904</v>
      </c>
      <c r="AH641" s="419">
        <v>3903</v>
      </c>
      <c r="AI641" s="419">
        <v>1298</v>
      </c>
      <c r="AJ641" s="419">
        <v>0</v>
      </c>
      <c r="AK641" s="419">
        <v>0</v>
      </c>
      <c r="AL641" s="380">
        <v>2.9200000000000002E-5</v>
      </c>
      <c r="AM641" s="380"/>
      <c r="AN641" s="419">
        <v>-930</v>
      </c>
      <c r="AO641" s="419">
        <v>-99</v>
      </c>
      <c r="AP641" s="419">
        <v>0</v>
      </c>
      <c r="AQ641" s="419">
        <v>0</v>
      </c>
      <c r="AR641" s="419">
        <v>0</v>
      </c>
    </row>
    <row r="642" spans="1:46">
      <c r="A642" s="379">
        <v>97001</v>
      </c>
      <c r="B642" t="s">
        <v>1346</v>
      </c>
      <c r="C642" s="380">
        <v>1.4491E-3</v>
      </c>
      <c r="D642" s="380"/>
      <c r="E642" s="419">
        <v>320009</v>
      </c>
      <c r="F642" s="419">
        <v>35646</v>
      </c>
      <c r="G642" s="419">
        <v>-183550</v>
      </c>
      <c r="H642" s="419">
        <v>-971584</v>
      </c>
      <c r="I642" s="419">
        <v>0</v>
      </c>
      <c r="J642" s="380">
        <v>1.4491E-3</v>
      </c>
      <c r="K642" s="380"/>
      <c r="L642" s="419">
        <v>354751</v>
      </c>
      <c r="M642" s="419">
        <v>245002</v>
      </c>
      <c r="N642" s="419">
        <v>107251</v>
      </c>
      <c r="O642" s="419">
        <v>0</v>
      </c>
      <c r="P642" s="419">
        <v>0</v>
      </c>
      <c r="Q642" s="380">
        <v>1.4491E-3</v>
      </c>
      <c r="R642" s="380"/>
      <c r="S642" s="419">
        <v>-727981</v>
      </c>
      <c r="T642" s="419">
        <v>-719558</v>
      </c>
      <c r="U642" s="419">
        <v>-755924</v>
      </c>
      <c r="V642" s="419">
        <v>-971584</v>
      </c>
      <c r="W642" s="419">
        <v>0</v>
      </c>
      <c r="X642" s="380">
        <v>1.4491E-3</v>
      </c>
      <c r="Z642" s="419">
        <v>580512</v>
      </c>
      <c r="AA642" s="419">
        <v>407842</v>
      </c>
      <c r="AB642" s="419">
        <v>407839</v>
      </c>
      <c r="AC642" s="419">
        <v>0</v>
      </c>
      <c r="AD642" s="419">
        <v>0</v>
      </c>
      <c r="AE642" s="380">
        <v>1.4491E-3</v>
      </c>
      <c r="AF642" s="380"/>
      <c r="AG642" s="419">
        <v>112727</v>
      </c>
      <c r="AH642" s="419">
        <v>102360</v>
      </c>
      <c r="AI642" s="419">
        <v>57284</v>
      </c>
      <c r="AJ642" s="419">
        <v>0</v>
      </c>
      <c r="AK642" s="419">
        <v>0</v>
      </c>
      <c r="AL642" s="380">
        <v>1.4491E-3</v>
      </c>
      <c r="AM642" s="380"/>
      <c r="AN642" s="419">
        <v>0</v>
      </c>
      <c r="AO642" s="419">
        <v>0</v>
      </c>
      <c r="AP642" s="419">
        <v>0</v>
      </c>
      <c r="AQ642" s="419">
        <v>0</v>
      </c>
      <c r="AR642" s="419">
        <v>0</v>
      </c>
    </row>
    <row r="643" spans="1:46">
      <c r="A643" s="379">
        <v>97002</v>
      </c>
      <c r="B643" t="s">
        <v>1347</v>
      </c>
      <c r="C643" s="380">
        <v>4.395E-4</v>
      </c>
      <c r="D643" s="380"/>
      <c r="E643" s="419">
        <v>-25185</v>
      </c>
      <c r="F643" s="419">
        <v>-90712</v>
      </c>
      <c r="G643" s="419">
        <v>-106773</v>
      </c>
      <c r="H643" s="419">
        <v>-294673</v>
      </c>
      <c r="I643" s="419">
        <v>0</v>
      </c>
      <c r="J643" s="380">
        <v>4.395E-4</v>
      </c>
      <c r="K643" s="380"/>
      <c r="L643" s="419">
        <v>107593</v>
      </c>
      <c r="M643" s="419">
        <v>74307</v>
      </c>
      <c r="N643" s="419">
        <v>32528</v>
      </c>
      <c r="O643" s="419">
        <v>0</v>
      </c>
      <c r="P643" s="419">
        <v>0</v>
      </c>
      <c r="Q643" s="380">
        <v>4.395E-4</v>
      </c>
      <c r="R643" s="380"/>
      <c r="S643" s="419">
        <v>-220791</v>
      </c>
      <c r="T643" s="419">
        <v>-218236</v>
      </c>
      <c r="U643" s="419">
        <v>-229266</v>
      </c>
      <c r="V643" s="419">
        <v>-294673</v>
      </c>
      <c r="W643" s="419">
        <v>0</v>
      </c>
      <c r="X643" s="380">
        <v>4.395E-4</v>
      </c>
      <c r="Z643" s="419">
        <v>176065</v>
      </c>
      <c r="AA643" s="419">
        <v>123695</v>
      </c>
      <c r="AB643" s="419">
        <v>123694</v>
      </c>
      <c r="AC643" s="419">
        <v>0</v>
      </c>
      <c r="AD643" s="419">
        <v>0</v>
      </c>
      <c r="AE643" s="380">
        <v>4.395E-4</v>
      </c>
      <c r="AF643" s="380"/>
      <c r="AG643" s="419">
        <v>0</v>
      </c>
      <c r="AH643" s="419">
        <v>0</v>
      </c>
      <c r="AI643" s="419">
        <v>0</v>
      </c>
      <c r="AJ643" s="419">
        <v>0</v>
      </c>
      <c r="AK643" s="419">
        <v>0</v>
      </c>
      <c r="AL643" s="380">
        <v>4.395E-4</v>
      </c>
      <c r="AM643" s="380"/>
      <c r="AN643" s="419">
        <v>-88052</v>
      </c>
      <c r="AO643" s="419">
        <v>-70478</v>
      </c>
      <c r="AP643" s="419">
        <v>-33729</v>
      </c>
      <c r="AQ643" s="419">
        <v>0</v>
      </c>
      <c r="AR643" s="419">
        <v>0</v>
      </c>
    </row>
    <row r="644" spans="1:46">
      <c r="A644" s="379">
        <v>97004</v>
      </c>
      <c r="B644" t="s">
        <v>1348</v>
      </c>
      <c r="C644" s="380">
        <v>1.5999999999999999E-5</v>
      </c>
      <c r="D644" s="380"/>
      <c r="E644" s="419">
        <v>6807</v>
      </c>
      <c r="F644" s="419">
        <v>3084</v>
      </c>
      <c r="G644" s="419">
        <v>-452</v>
      </c>
      <c r="H644" s="419">
        <v>-10728</v>
      </c>
      <c r="I644" s="419">
        <v>0</v>
      </c>
      <c r="J644" s="380">
        <v>1.5999999999999999E-5</v>
      </c>
      <c r="K644" s="380"/>
      <c r="L644" s="419">
        <v>3917</v>
      </c>
      <c r="M644" s="419">
        <v>2705</v>
      </c>
      <c r="N644" s="419">
        <v>1184</v>
      </c>
      <c r="O644" s="419">
        <v>0</v>
      </c>
      <c r="P644" s="419">
        <v>0</v>
      </c>
      <c r="Q644" s="380">
        <v>1.5999999999999999E-5</v>
      </c>
      <c r="R644" s="380"/>
      <c r="S644" s="419">
        <v>-8038</v>
      </c>
      <c r="T644" s="419">
        <v>-7945</v>
      </c>
      <c r="U644" s="419">
        <v>-8346</v>
      </c>
      <c r="V644" s="419">
        <v>-10728</v>
      </c>
      <c r="W644" s="419">
        <v>0</v>
      </c>
      <c r="X644" s="380">
        <v>1.5999999999999999E-5</v>
      </c>
      <c r="Z644" s="419">
        <v>6410</v>
      </c>
      <c r="AA644" s="419">
        <v>4503</v>
      </c>
      <c r="AB644" s="419">
        <v>4503</v>
      </c>
      <c r="AC644" s="419">
        <v>0</v>
      </c>
      <c r="AD644" s="419">
        <v>0</v>
      </c>
      <c r="AE644" s="380">
        <v>1.5999999999999999E-5</v>
      </c>
      <c r="AF644" s="380"/>
      <c r="AG644" s="419">
        <v>4823</v>
      </c>
      <c r="AH644" s="419">
        <v>4125</v>
      </c>
      <c r="AI644" s="419">
        <v>2207</v>
      </c>
      <c r="AJ644" s="419">
        <v>0</v>
      </c>
      <c r="AK644" s="419">
        <v>0</v>
      </c>
      <c r="AL644" s="380">
        <v>1.5999999999999999E-5</v>
      </c>
      <c r="AM644" s="380"/>
      <c r="AN644" s="419">
        <v>-305</v>
      </c>
      <c r="AO644" s="419">
        <v>-304</v>
      </c>
      <c r="AP644" s="419">
        <v>0</v>
      </c>
      <c r="AQ644" s="419">
        <v>0</v>
      </c>
      <c r="AR644" s="419">
        <v>0</v>
      </c>
    </row>
    <row r="645" spans="1:46">
      <c r="A645" s="379">
        <v>97005</v>
      </c>
      <c r="B645" t="s">
        <v>1349</v>
      </c>
      <c r="C645" s="380">
        <v>3.04E-5</v>
      </c>
      <c r="D645" s="380"/>
      <c r="E645" s="419">
        <v>11015</v>
      </c>
      <c r="F645" s="419">
        <v>5109</v>
      </c>
      <c r="G645" s="419">
        <v>-222</v>
      </c>
      <c r="H645" s="419">
        <v>-20382</v>
      </c>
      <c r="I645" s="419">
        <v>0</v>
      </c>
      <c r="J645" s="380">
        <v>3.04E-5</v>
      </c>
      <c r="K645" s="380"/>
      <c r="L645" s="419">
        <v>7442</v>
      </c>
      <c r="M645" s="419">
        <v>5140</v>
      </c>
      <c r="N645" s="419">
        <v>2250</v>
      </c>
      <c r="O645" s="419">
        <v>0</v>
      </c>
      <c r="P645" s="419">
        <v>0</v>
      </c>
      <c r="Q645" s="380">
        <v>3.04E-5</v>
      </c>
      <c r="R645" s="380"/>
      <c r="S645" s="419">
        <v>-15272</v>
      </c>
      <c r="T645" s="419">
        <v>-15095</v>
      </c>
      <c r="U645" s="419">
        <v>-15858</v>
      </c>
      <c r="V645" s="419">
        <v>-20382</v>
      </c>
      <c r="W645" s="419">
        <v>0</v>
      </c>
      <c r="X645" s="380">
        <v>3.04E-5</v>
      </c>
      <c r="Z645" s="419">
        <v>12178</v>
      </c>
      <c r="AA645" s="419">
        <v>8556</v>
      </c>
      <c r="AB645" s="419">
        <v>8556</v>
      </c>
      <c r="AC645" s="419">
        <v>0</v>
      </c>
      <c r="AD645" s="419">
        <v>0</v>
      </c>
      <c r="AE645" s="380">
        <v>3.04E-5</v>
      </c>
      <c r="AF645" s="380"/>
      <c r="AG645" s="419">
        <v>7117</v>
      </c>
      <c r="AH645" s="419">
        <v>6959</v>
      </c>
      <c r="AI645" s="419">
        <v>4830</v>
      </c>
      <c r="AJ645" s="419">
        <v>0</v>
      </c>
      <c r="AK645" s="419">
        <v>0</v>
      </c>
      <c r="AL645" s="380">
        <v>3.04E-5</v>
      </c>
      <c r="AM645" s="380"/>
      <c r="AN645" s="419">
        <v>-450</v>
      </c>
      <c r="AO645" s="419">
        <v>-451</v>
      </c>
      <c r="AP645" s="419">
        <v>0</v>
      </c>
      <c r="AQ645" s="419">
        <v>0</v>
      </c>
      <c r="AR645" s="419">
        <v>0</v>
      </c>
    </row>
    <row r="646" spans="1:46">
      <c r="A646" s="379">
        <v>97008</v>
      </c>
      <c r="B646" t="s">
        <v>1350</v>
      </c>
      <c r="C646" s="380">
        <v>2.8479999999999998E-4</v>
      </c>
      <c r="D646" s="380"/>
      <c r="E646" s="419">
        <v>49235</v>
      </c>
      <c r="F646" s="419">
        <v>-3701</v>
      </c>
      <c r="G646" s="419">
        <v>-38451</v>
      </c>
      <c r="H646" s="419">
        <v>-190951</v>
      </c>
      <c r="I646" s="419">
        <v>0</v>
      </c>
      <c r="J646" s="380">
        <v>2.8479999999999998E-4</v>
      </c>
      <c r="K646" s="380"/>
      <c r="L646" s="419">
        <v>69721</v>
      </c>
      <c r="M646" s="419">
        <v>48152</v>
      </c>
      <c r="N646" s="419">
        <v>21079</v>
      </c>
      <c r="O646" s="419">
        <v>0</v>
      </c>
      <c r="P646" s="419">
        <v>0</v>
      </c>
      <c r="Q646" s="380">
        <v>2.8479999999999998E-4</v>
      </c>
      <c r="R646" s="380"/>
      <c r="S646" s="419">
        <v>-143074</v>
      </c>
      <c r="T646" s="419">
        <v>-141419</v>
      </c>
      <c r="U646" s="419">
        <v>-148566</v>
      </c>
      <c r="V646" s="419">
        <v>-190951</v>
      </c>
      <c r="W646" s="419">
        <v>0</v>
      </c>
      <c r="X646" s="380">
        <v>2.8479999999999998E-4</v>
      </c>
      <c r="Z646" s="419">
        <v>114091</v>
      </c>
      <c r="AA646" s="419">
        <v>80156</v>
      </c>
      <c r="AB646" s="419">
        <v>80155</v>
      </c>
      <c r="AC646" s="419">
        <v>0</v>
      </c>
      <c r="AD646" s="419">
        <v>0</v>
      </c>
      <c r="AE646" s="380">
        <v>2.8479999999999998E-4</v>
      </c>
      <c r="AF646" s="380"/>
      <c r="AG646" s="419">
        <v>11797</v>
      </c>
      <c r="AH646" s="419">
        <v>11796</v>
      </c>
      <c r="AI646" s="419">
        <v>8881</v>
      </c>
      <c r="AJ646" s="419">
        <v>0</v>
      </c>
      <c r="AK646" s="419">
        <v>0</v>
      </c>
      <c r="AL646" s="380">
        <v>2.8479999999999998E-4</v>
      </c>
      <c r="AM646" s="380"/>
      <c r="AN646" s="419">
        <v>-3300</v>
      </c>
      <c r="AO646" s="419">
        <v>-2386</v>
      </c>
      <c r="AP646" s="419">
        <v>0</v>
      </c>
      <c r="AQ646" s="419">
        <v>0</v>
      </c>
      <c r="AR646" s="419">
        <v>0</v>
      </c>
    </row>
    <row r="647" spans="1:46">
      <c r="A647" s="379">
        <v>97010</v>
      </c>
      <c r="B647" t="s">
        <v>1351</v>
      </c>
      <c r="C647" s="380">
        <v>0</v>
      </c>
      <c r="D647" s="380"/>
      <c r="E647" s="419">
        <v>0</v>
      </c>
      <c r="F647" s="419">
        <v>0</v>
      </c>
      <c r="G647" s="419">
        <v>0</v>
      </c>
      <c r="H647" s="419">
        <v>0</v>
      </c>
      <c r="I647" s="419">
        <v>0</v>
      </c>
      <c r="J647" s="380"/>
      <c r="K647" s="380">
        <v>0</v>
      </c>
      <c r="L647" s="419">
        <v>0</v>
      </c>
      <c r="M647" s="419">
        <v>0</v>
      </c>
      <c r="N647" s="419">
        <v>0</v>
      </c>
      <c r="O647" s="419">
        <v>0</v>
      </c>
      <c r="P647" s="419">
        <v>0</v>
      </c>
      <c r="Q647" s="380"/>
      <c r="R647" s="380">
        <v>0</v>
      </c>
      <c r="S647" s="419">
        <v>0</v>
      </c>
      <c r="T647" s="419">
        <v>0</v>
      </c>
      <c r="U647" s="419">
        <v>0</v>
      </c>
      <c r="V647" s="419">
        <v>0</v>
      </c>
      <c r="W647" s="419">
        <v>0</v>
      </c>
      <c r="X647" s="380"/>
      <c r="Y647" s="419">
        <v>0</v>
      </c>
      <c r="Z647" s="419">
        <v>0</v>
      </c>
      <c r="AA647" s="419">
        <v>0</v>
      </c>
      <c r="AB647" s="419">
        <v>0</v>
      </c>
      <c r="AC647" s="419">
        <v>0</v>
      </c>
      <c r="AD647" s="419">
        <v>0</v>
      </c>
      <c r="AE647" s="380"/>
      <c r="AF647" s="380">
        <v>0</v>
      </c>
      <c r="AG647" s="419">
        <v>0</v>
      </c>
      <c r="AH647" s="419">
        <v>0</v>
      </c>
      <c r="AI647" s="419">
        <v>0</v>
      </c>
      <c r="AJ647" s="419">
        <v>0</v>
      </c>
      <c r="AK647" s="419">
        <v>0</v>
      </c>
      <c r="AL647" s="380"/>
      <c r="AM647" s="380">
        <v>0</v>
      </c>
      <c r="AN647" s="419">
        <v>0</v>
      </c>
      <c r="AO647" s="419">
        <v>0</v>
      </c>
      <c r="AP647" s="419">
        <v>0</v>
      </c>
      <c r="AQ647" s="419">
        <v>0</v>
      </c>
      <c r="AR647" s="419">
        <v>0</v>
      </c>
      <c r="AS647" s="419">
        <v>0</v>
      </c>
      <c r="AT647" s="419">
        <v>0</v>
      </c>
    </row>
    <row r="648" spans="1:46">
      <c r="A648" s="379">
        <v>97011</v>
      </c>
      <c r="B648" t="s">
        <v>1352</v>
      </c>
      <c r="C648" s="380">
        <v>1.8075999999999999E-3</v>
      </c>
      <c r="D648" s="380"/>
      <c r="E648" s="419">
        <v>228740</v>
      </c>
      <c r="F648" s="419">
        <v>-111262</v>
      </c>
      <c r="G648" s="419">
        <v>-309871</v>
      </c>
      <c r="H648" s="419">
        <v>-1211949</v>
      </c>
      <c r="I648" s="419">
        <v>0</v>
      </c>
      <c r="J648" s="380">
        <v>1.8075999999999999E-3</v>
      </c>
      <c r="K648" s="380"/>
      <c r="L648" s="419">
        <v>442515</v>
      </c>
      <c r="M648" s="419">
        <v>305615</v>
      </c>
      <c r="N648" s="419">
        <v>133784</v>
      </c>
      <c r="O648" s="419">
        <v>0</v>
      </c>
      <c r="P648" s="419">
        <v>0</v>
      </c>
      <c r="Q648" s="380">
        <v>1.8075999999999999E-3</v>
      </c>
      <c r="R648" s="380"/>
      <c r="S648" s="419">
        <v>-908080</v>
      </c>
      <c r="T648" s="419">
        <v>-897573</v>
      </c>
      <c r="U648" s="419">
        <v>-942936</v>
      </c>
      <c r="V648" s="419">
        <v>-1211949</v>
      </c>
      <c r="W648" s="419">
        <v>0</v>
      </c>
      <c r="X648" s="380">
        <v>1.8075999999999999E-3</v>
      </c>
      <c r="Z648" s="419">
        <v>724128</v>
      </c>
      <c r="AA648" s="419">
        <v>508740</v>
      </c>
      <c r="AB648" s="419">
        <v>508736</v>
      </c>
      <c r="AC648" s="419">
        <v>0</v>
      </c>
      <c r="AD648" s="419">
        <v>0</v>
      </c>
      <c r="AE648" s="380">
        <v>1.8075999999999999E-3</v>
      </c>
      <c r="AF648" s="380"/>
      <c r="AG648" s="419">
        <v>5687</v>
      </c>
      <c r="AH648" s="419">
        <v>5686</v>
      </c>
      <c r="AI648" s="419">
        <v>0</v>
      </c>
      <c r="AJ648" s="419">
        <v>0</v>
      </c>
      <c r="AK648" s="419">
        <v>0</v>
      </c>
      <c r="AL648" s="380">
        <v>1.8075999999999999E-3</v>
      </c>
      <c r="AM648" s="380"/>
      <c r="AN648" s="419">
        <v>-35510</v>
      </c>
      <c r="AO648" s="419">
        <v>-33730</v>
      </c>
      <c r="AP648" s="419">
        <v>-9455</v>
      </c>
      <c r="AQ648" s="419">
        <v>0</v>
      </c>
      <c r="AR648" s="419">
        <v>0</v>
      </c>
    </row>
    <row r="649" spans="1:46">
      <c r="A649" s="379">
        <v>97012</v>
      </c>
      <c r="B649" t="s">
        <v>1353</v>
      </c>
      <c r="C649" s="380">
        <v>2.1999999999999999E-5</v>
      </c>
      <c r="D649" s="380"/>
      <c r="E649" s="419">
        <v>1447</v>
      </c>
      <c r="F649" s="419">
        <v>-3525</v>
      </c>
      <c r="G649" s="419">
        <v>-5571</v>
      </c>
      <c r="H649" s="419">
        <v>-14750</v>
      </c>
      <c r="I649" s="419">
        <v>0</v>
      </c>
      <c r="J649" s="380">
        <v>2.1999999999999999E-5</v>
      </c>
      <c r="K649" s="380"/>
      <c r="L649" s="419">
        <v>5386</v>
      </c>
      <c r="M649" s="419">
        <v>3720</v>
      </c>
      <c r="N649" s="419">
        <v>1628</v>
      </c>
      <c r="O649" s="419">
        <v>0</v>
      </c>
      <c r="P649" s="419">
        <v>0</v>
      </c>
      <c r="Q649" s="380">
        <v>2.1999999999999999E-5</v>
      </c>
      <c r="R649" s="380"/>
      <c r="S649" s="419">
        <v>-11052</v>
      </c>
      <c r="T649" s="419">
        <v>-10924</v>
      </c>
      <c r="U649" s="419">
        <v>-11476</v>
      </c>
      <c r="V649" s="419">
        <v>-14750</v>
      </c>
      <c r="W649" s="419">
        <v>0</v>
      </c>
      <c r="X649" s="380">
        <v>2.1999999999999999E-5</v>
      </c>
      <c r="Z649" s="419">
        <v>8813</v>
      </c>
      <c r="AA649" s="419">
        <v>6192</v>
      </c>
      <c r="AB649" s="419">
        <v>6192</v>
      </c>
      <c r="AC649" s="419">
        <v>0</v>
      </c>
      <c r="AD649" s="419">
        <v>0</v>
      </c>
      <c r="AE649" s="380">
        <v>2.1999999999999999E-5</v>
      </c>
      <c r="AF649" s="380"/>
      <c r="AG649" s="419">
        <v>1219</v>
      </c>
      <c r="AH649" s="419">
        <v>404</v>
      </c>
      <c r="AI649" s="419">
        <v>0</v>
      </c>
      <c r="AJ649" s="419">
        <v>0</v>
      </c>
      <c r="AK649" s="419">
        <v>0</v>
      </c>
      <c r="AL649" s="380">
        <v>2.1999999999999999E-5</v>
      </c>
      <c r="AM649" s="380"/>
      <c r="AN649" s="419">
        <v>-2919</v>
      </c>
      <c r="AO649" s="419">
        <v>-2917</v>
      </c>
      <c r="AP649" s="419">
        <v>-1915</v>
      </c>
      <c r="AQ649" s="419">
        <v>0</v>
      </c>
      <c r="AR649" s="419">
        <v>0</v>
      </c>
    </row>
    <row r="650" spans="1:46">
      <c r="A650" s="379">
        <v>97013</v>
      </c>
      <c r="B650" t="s">
        <v>1354</v>
      </c>
      <c r="C650" s="380">
        <v>2.0999999999999999E-5</v>
      </c>
      <c r="D650" s="380"/>
      <c r="E650" s="419">
        <v>7956</v>
      </c>
      <c r="F650" s="419">
        <v>3081</v>
      </c>
      <c r="G650" s="419">
        <v>-1573</v>
      </c>
      <c r="H650" s="419">
        <v>-14080</v>
      </c>
      <c r="I650" s="419">
        <v>0</v>
      </c>
      <c r="J650" s="380">
        <v>2.0999999999999999E-5</v>
      </c>
      <c r="K650" s="380"/>
      <c r="L650" s="419">
        <v>5141</v>
      </c>
      <c r="M650" s="419">
        <v>3551</v>
      </c>
      <c r="N650" s="419">
        <v>1554</v>
      </c>
      <c r="O650" s="419">
        <v>0</v>
      </c>
      <c r="P650" s="419">
        <v>0</v>
      </c>
      <c r="Q650" s="380">
        <v>2.0999999999999999E-5</v>
      </c>
      <c r="R650" s="380"/>
      <c r="S650" s="419">
        <v>-10550</v>
      </c>
      <c r="T650" s="419">
        <v>-10428</v>
      </c>
      <c r="U650" s="419">
        <v>-10955</v>
      </c>
      <c r="V650" s="419">
        <v>-14080</v>
      </c>
      <c r="W650" s="419">
        <v>0</v>
      </c>
      <c r="X650" s="380">
        <v>2.0999999999999999E-5</v>
      </c>
      <c r="Z650" s="419">
        <v>8413</v>
      </c>
      <c r="AA650" s="419">
        <v>5910</v>
      </c>
      <c r="AB650" s="419">
        <v>5910</v>
      </c>
      <c r="AC650" s="419">
        <v>0</v>
      </c>
      <c r="AD650" s="419">
        <v>0</v>
      </c>
      <c r="AE650" s="380">
        <v>2.0999999999999999E-5</v>
      </c>
      <c r="AF650" s="380"/>
      <c r="AG650" s="419">
        <v>7065</v>
      </c>
      <c r="AH650" s="419">
        <v>6159</v>
      </c>
      <c r="AI650" s="419">
        <v>1918</v>
      </c>
      <c r="AJ650" s="419">
        <v>0</v>
      </c>
      <c r="AK650" s="419">
        <v>0</v>
      </c>
      <c r="AL650" s="380">
        <v>2.0999999999999999E-5</v>
      </c>
      <c r="AM650" s="380"/>
      <c r="AN650" s="419">
        <v>-2113</v>
      </c>
      <c r="AO650" s="419">
        <v>-2111</v>
      </c>
      <c r="AP650" s="419">
        <v>0</v>
      </c>
      <c r="AQ650" s="419">
        <v>0</v>
      </c>
      <c r="AR650" s="419">
        <v>0</v>
      </c>
    </row>
    <row r="651" spans="1:46">
      <c r="A651" s="379">
        <v>97015</v>
      </c>
      <c r="B651" t="s">
        <v>1355</v>
      </c>
      <c r="C651" s="380">
        <v>4.6799999999999999E-5</v>
      </c>
      <c r="D651" s="380"/>
      <c r="E651" s="419">
        <v>10288</v>
      </c>
      <c r="F651" s="419">
        <v>-388</v>
      </c>
      <c r="G651" s="419">
        <v>-7301</v>
      </c>
      <c r="H651" s="419">
        <v>-31378</v>
      </c>
      <c r="I651" s="419">
        <v>0</v>
      </c>
      <c r="J651" s="380">
        <v>4.6799999999999999E-5</v>
      </c>
      <c r="K651" s="380"/>
      <c r="L651" s="419">
        <v>11457</v>
      </c>
      <c r="M651" s="419">
        <v>7913</v>
      </c>
      <c r="N651" s="419">
        <v>3464</v>
      </c>
      <c r="O651" s="419">
        <v>0</v>
      </c>
      <c r="P651" s="419">
        <v>0</v>
      </c>
      <c r="Q651" s="380">
        <v>4.6799999999999999E-5</v>
      </c>
      <c r="R651" s="380"/>
      <c r="S651" s="419">
        <v>-23511</v>
      </c>
      <c r="T651" s="419">
        <v>-23239</v>
      </c>
      <c r="U651" s="419">
        <v>-24413</v>
      </c>
      <c r="V651" s="419">
        <v>-31378</v>
      </c>
      <c r="W651" s="419">
        <v>0</v>
      </c>
      <c r="X651" s="380">
        <v>4.6799999999999999E-5</v>
      </c>
      <c r="Z651" s="419">
        <v>18748</v>
      </c>
      <c r="AA651" s="419">
        <v>13172</v>
      </c>
      <c r="AB651" s="419">
        <v>13172</v>
      </c>
      <c r="AC651" s="419">
        <v>0</v>
      </c>
      <c r="AD651" s="419">
        <v>0</v>
      </c>
      <c r="AE651" s="380">
        <v>4.6799999999999999E-5</v>
      </c>
      <c r="AF651" s="380"/>
      <c r="AG651" s="419">
        <v>4744</v>
      </c>
      <c r="AH651" s="419">
        <v>2916</v>
      </c>
      <c r="AI651" s="419">
        <v>476</v>
      </c>
      <c r="AJ651" s="419">
        <v>0</v>
      </c>
      <c r="AK651" s="419">
        <v>0</v>
      </c>
      <c r="AL651" s="380">
        <v>4.6799999999999999E-5</v>
      </c>
      <c r="AM651" s="380"/>
      <c r="AN651" s="419">
        <v>-1150</v>
      </c>
      <c r="AO651" s="419">
        <v>-1150</v>
      </c>
      <c r="AP651" s="419">
        <v>0</v>
      </c>
      <c r="AQ651" s="419">
        <v>0</v>
      </c>
      <c r="AR651" s="419">
        <v>0</v>
      </c>
    </row>
    <row r="652" spans="1:46">
      <c r="A652" s="379">
        <v>97018</v>
      </c>
      <c r="B652" t="s">
        <v>1356</v>
      </c>
      <c r="C652" s="380">
        <v>1.63E-5</v>
      </c>
      <c r="D652" s="380"/>
      <c r="E652" s="419">
        <v>4001</v>
      </c>
      <c r="F652" s="419">
        <v>141</v>
      </c>
      <c r="G652" s="419">
        <v>-3614</v>
      </c>
      <c r="H652" s="419">
        <v>-10929</v>
      </c>
      <c r="I652" s="419">
        <v>0</v>
      </c>
      <c r="J652" s="380">
        <v>1.63E-5</v>
      </c>
      <c r="K652" s="380"/>
      <c r="L652" s="419">
        <v>3990</v>
      </c>
      <c r="M652" s="419">
        <v>2756</v>
      </c>
      <c r="N652" s="419">
        <v>1206</v>
      </c>
      <c r="O652" s="419">
        <v>0</v>
      </c>
      <c r="P652" s="419">
        <v>0</v>
      </c>
      <c r="Q652" s="380">
        <v>1.63E-5</v>
      </c>
      <c r="R652" s="380"/>
      <c r="S652" s="419">
        <v>-8189</v>
      </c>
      <c r="T652" s="419">
        <v>-8094</v>
      </c>
      <c r="U652" s="419">
        <v>-8503</v>
      </c>
      <c r="V652" s="419">
        <v>-10929</v>
      </c>
      <c r="W652" s="419">
        <v>0</v>
      </c>
      <c r="X652" s="380">
        <v>1.63E-5</v>
      </c>
      <c r="Z652" s="419">
        <v>6530</v>
      </c>
      <c r="AA652" s="419">
        <v>4588</v>
      </c>
      <c r="AB652" s="419">
        <v>4588</v>
      </c>
      <c r="AC652" s="419">
        <v>0</v>
      </c>
      <c r="AD652" s="419">
        <v>0</v>
      </c>
      <c r="AE652" s="380">
        <v>1.63E-5</v>
      </c>
      <c r="AF652" s="380"/>
      <c r="AG652" s="419">
        <v>2577</v>
      </c>
      <c r="AH652" s="419">
        <v>1798</v>
      </c>
      <c r="AI652" s="419">
        <v>0</v>
      </c>
      <c r="AJ652" s="419">
        <v>0</v>
      </c>
      <c r="AK652" s="419">
        <v>0</v>
      </c>
      <c r="AL652" s="380">
        <v>1.63E-5</v>
      </c>
      <c r="AM652" s="380"/>
      <c r="AN652" s="419">
        <v>-907</v>
      </c>
      <c r="AO652" s="419">
        <v>-907</v>
      </c>
      <c r="AP652" s="419">
        <v>-905</v>
      </c>
      <c r="AQ652" s="419">
        <v>0</v>
      </c>
      <c r="AR652" s="419">
        <v>0</v>
      </c>
    </row>
    <row r="653" spans="1:46">
      <c r="A653" s="379">
        <v>97101</v>
      </c>
      <c r="B653" t="s">
        <v>1357</v>
      </c>
      <c r="C653" s="380">
        <v>2.9548999999999999E-3</v>
      </c>
      <c r="D653" s="380"/>
      <c r="E653" s="419">
        <v>628296</v>
      </c>
      <c r="F653" s="419">
        <v>63800</v>
      </c>
      <c r="G653" s="419">
        <v>-376774</v>
      </c>
      <c r="H653" s="419">
        <v>-1981184</v>
      </c>
      <c r="I653" s="419">
        <v>0</v>
      </c>
      <c r="J653" s="380">
        <v>2.9548999999999999E-3</v>
      </c>
      <c r="K653" s="380"/>
      <c r="L653" s="419">
        <v>723383</v>
      </c>
      <c r="M653" s="419">
        <v>499591</v>
      </c>
      <c r="N653" s="419">
        <v>218698</v>
      </c>
      <c r="O653" s="419">
        <v>0</v>
      </c>
      <c r="P653" s="419">
        <v>0</v>
      </c>
      <c r="Q653" s="380">
        <v>2.9548999999999999E-3</v>
      </c>
      <c r="R653" s="380"/>
      <c r="S653" s="419">
        <v>-1484447</v>
      </c>
      <c r="T653" s="419">
        <v>-1467270</v>
      </c>
      <c r="U653" s="419">
        <v>-1541427</v>
      </c>
      <c r="V653" s="419">
        <v>-1981184</v>
      </c>
      <c r="W653" s="419">
        <v>0</v>
      </c>
      <c r="X653" s="380">
        <v>2.9548999999999999E-3</v>
      </c>
      <c r="Z653" s="419">
        <v>1183739</v>
      </c>
      <c r="AA653" s="419">
        <v>831642</v>
      </c>
      <c r="AB653" s="419">
        <v>831636</v>
      </c>
      <c r="AC653" s="419">
        <v>0</v>
      </c>
      <c r="AD653" s="419">
        <v>0</v>
      </c>
      <c r="AE653" s="380">
        <v>2.9548999999999999E-3</v>
      </c>
      <c r="AF653" s="380"/>
      <c r="AG653" s="419">
        <v>205621</v>
      </c>
      <c r="AH653" s="419">
        <v>199837</v>
      </c>
      <c r="AI653" s="419">
        <v>114319</v>
      </c>
      <c r="AJ653" s="419">
        <v>0</v>
      </c>
      <c r="AK653" s="419">
        <v>0</v>
      </c>
      <c r="AL653" s="380">
        <v>2.9548999999999999E-3</v>
      </c>
      <c r="AM653" s="380"/>
      <c r="AN653" s="419">
        <v>0</v>
      </c>
      <c r="AO653" s="419">
        <v>0</v>
      </c>
      <c r="AP653" s="419">
        <v>0</v>
      </c>
      <c r="AQ653" s="419">
        <v>0</v>
      </c>
      <c r="AR653" s="419">
        <v>0</v>
      </c>
    </row>
    <row r="654" spans="1:46">
      <c r="A654" s="379">
        <v>97104</v>
      </c>
      <c r="B654" t="s">
        <v>1358</v>
      </c>
      <c r="C654" s="380">
        <v>6.2399999999999999E-5</v>
      </c>
      <c r="D654" s="380"/>
      <c r="E654" s="419">
        <v>18948</v>
      </c>
      <c r="F654" s="419">
        <v>5741</v>
      </c>
      <c r="G654" s="419">
        <v>-3232</v>
      </c>
      <c r="H654" s="419">
        <v>-41838</v>
      </c>
      <c r="I654" s="419">
        <v>0</v>
      </c>
      <c r="J654" s="380">
        <v>6.2399999999999999E-5</v>
      </c>
      <c r="K654" s="380"/>
      <c r="L654" s="419">
        <v>15276</v>
      </c>
      <c r="M654" s="419">
        <v>10550</v>
      </c>
      <c r="N654" s="419">
        <v>4618</v>
      </c>
      <c r="O654" s="419">
        <v>0</v>
      </c>
      <c r="P654" s="419">
        <v>0</v>
      </c>
      <c r="Q654" s="380">
        <v>6.2399999999999999E-5</v>
      </c>
      <c r="R654" s="380"/>
      <c r="S654" s="419">
        <v>-31348</v>
      </c>
      <c r="T654" s="419">
        <v>-30985</v>
      </c>
      <c r="U654" s="419">
        <v>-32551</v>
      </c>
      <c r="V654" s="419">
        <v>-41838</v>
      </c>
      <c r="W654" s="419">
        <v>0</v>
      </c>
      <c r="X654" s="380">
        <v>6.2399999999999999E-5</v>
      </c>
      <c r="Z654" s="419">
        <v>24998</v>
      </c>
      <c r="AA654" s="419">
        <v>17562</v>
      </c>
      <c r="AB654" s="419">
        <v>17562</v>
      </c>
      <c r="AC654" s="419">
        <v>0</v>
      </c>
      <c r="AD654" s="419">
        <v>0</v>
      </c>
      <c r="AE654" s="380">
        <v>6.2399999999999999E-5</v>
      </c>
      <c r="AF654" s="380"/>
      <c r="AG654" s="419">
        <v>10022</v>
      </c>
      <c r="AH654" s="419">
        <v>8614</v>
      </c>
      <c r="AI654" s="419">
        <v>7139</v>
      </c>
      <c r="AJ654" s="419">
        <v>0</v>
      </c>
      <c r="AK654" s="419">
        <v>0</v>
      </c>
      <c r="AL654" s="380">
        <v>6.2399999999999999E-5</v>
      </c>
      <c r="AM654" s="380"/>
      <c r="AN654" s="419">
        <v>0</v>
      </c>
      <c r="AO654" s="419">
        <v>0</v>
      </c>
      <c r="AP654" s="419">
        <v>0</v>
      </c>
      <c r="AQ654" s="419">
        <v>0</v>
      </c>
      <c r="AR654" s="419">
        <v>0</v>
      </c>
    </row>
    <row r="655" spans="1:46">
      <c r="A655" s="379">
        <v>97111</v>
      </c>
      <c r="B655" t="s">
        <v>1359</v>
      </c>
      <c r="C655" s="380">
        <v>3.057E-4</v>
      </c>
      <c r="D655" s="380"/>
      <c r="E655" s="419">
        <v>34527</v>
      </c>
      <c r="F655" s="419">
        <v>-21330</v>
      </c>
      <c r="G655" s="419">
        <v>-64158</v>
      </c>
      <c r="H655" s="419">
        <v>-204964</v>
      </c>
      <c r="I655" s="419">
        <v>0</v>
      </c>
      <c r="J655" s="380">
        <v>3.057E-4</v>
      </c>
      <c r="K655" s="380"/>
      <c r="L655" s="419">
        <v>74838</v>
      </c>
      <c r="M655" s="419">
        <v>51685</v>
      </c>
      <c r="N655" s="419">
        <v>22625</v>
      </c>
      <c r="O655" s="419">
        <v>0</v>
      </c>
      <c r="P655" s="419">
        <v>0</v>
      </c>
      <c r="Q655" s="380">
        <v>3.057E-4</v>
      </c>
      <c r="R655" s="380"/>
      <c r="S655" s="419">
        <v>-153574</v>
      </c>
      <c r="T655" s="419">
        <v>-151797</v>
      </c>
      <c r="U655" s="419">
        <v>-159469</v>
      </c>
      <c r="V655" s="419">
        <v>-204964</v>
      </c>
      <c r="W655" s="419">
        <v>0</v>
      </c>
      <c r="X655" s="380">
        <v>3.057E-4</v>
      </c>
      <c r="Z655" s="419">
        <v>122464</v>
      </c>
      <c r="AA655" s="419">
        <v>86038</v>
      </c>
      <c r="AB655" s="419">
        <v>86037</v>
      </c>
      <c r="AC655" s="419">
        <v>0</v>
      </c>
      <c r="AD655" s="419">
        <v>0</v>
      </c>
      <c r="AE655" s="380">
        <v>3.057E-4</v>
      </c>
      <c r="AF655" s="380"/>
      <c r="AG655" s="419">
        <v>10029</v>
      </c>
      <c r="AH655" s="419">
        <v>10029</v>
      </c>
      <c r="AI655" s="419">
        <v>0</v>
      </c>
      <c r="AJ655" s="419">
        <v>0</v>
      </c>
      <c r="AK655" s="419">
        <v>0</v>
      </c>
      <c r="AL655" s="380">
        <v>3.057E-4</v>
      </c>
      <c r="AM655" s="380"/>
      <c r="AN655" s="419">
        <v>-19230</v>
      </c>
      <c r="AO655" s="419">
        <v>-17285</v>
      </c>
      <c r="AP655" s="419">
        <v>-13351</v>
      </c>
      <c r="AQ655" s="419">
        <v>0</v>
      </c>
      <c r="AR655" s="419">
        <v>0</v>
      </c>
    </row>
    <row r="656" spans="1:46">
      <c r="A656" s="379">
        <v>97121</v>
      </c>
      <c r="B656" t="s">
        <v>1360</v>
      </c>
      <c r="C656" s="380">
        <v>1.516E-4</v>
      </c>
      <c r="D656" s="380"/>
      <c r="E656" s="419">
        <v>44576</v>
      </c>
      <c r="F656" s="419">
        <v>14557</v>
      </c>
      <c r="G656" s="419">
        <v>-15086</v>
      </c>
      <c r="H656" s="419">
        <v>-101644</v>
      </c>
      <c r="I656" s="419">
        <v>0</v>
      </c>
      <c r="J656" s="380">
        <v>1.516E-4</v>
      </c>
      <c r="K656" s="380"/>
      <c r="L656" s="419">
        <v>37113</v>
      </c>
      <c r="M656" s="419">
        <v>25631</v>
      </c>
      <c r="N656" s="419">
        <v>11220</v>
      </c>
      <c r="O656" s="419">
        <v>0</v>
      </c>
      <c r="P656" s="419">
        <v>0</v>
      </c>
      <c r="Q656" s="380">
        <v>1.516E-4</v>
      </c>
      <c r="R656" s="380"/>
      <c r="S656" s="419">
        <v>-76159</v>
      </c>
      <c r="T656" s="419">
        <v>-75278</v>
      </c>
      <c r="U656" s="419">
        <v>-79082</v>
      </c>
      <c r="V656" s="419">
        <v>-101644</v>
      </c>
      <c r="W656" s="419">
        <v>0</v>
      </c>
      <c r="X656" s="380">
        <v>1.516E-4</v>
      </c>
      <c r="Z656" s="419">
        <v>60731</v>
      </c>
      <c r="AA656" s="419">
        <v>42667</v>
      </c>
      <c r="AB656" s="419">
        <v>42667</v>
      </c>
      <c r="AC656" s="419">
        <v>0</v>
      </c>
      <c r="AD656" s="419">
        <v>0</v>
      </c>
      <c r="AE656" s="380">
        <v>1.516E-4</v>
      </c>
      <c r="AF656" s="380"/>
      <c r="AG656" s="419">
        <v>22891</v>
      </c>
      <c r="AH656" s="419">
        <v>21537</v>
      </c>
      <c r="AI656" s="419">
        <v>10109</v>
      </c>
      <c r="AJ656" s="419">
        <v>0</v>
      </c>
      <c r="AK656" s="419">
        <v>0</v>
      </c>
      <c r="AL656" s="380">
        <v>1.516E-4</v>
      </c>
      <c r="AM656" s="380"/>
      <c r="AN656" s="419">
        <v>0</v>
      </c>
      <c r="AO656" s="419">
        <v>0</v>
      </c>
      <c r="AP656" s="419">
        <v>0</v>
      </c>
      <c r="AQ656" s="419">
        <v>0</v>
      </c>
      <c r="AR656" s="419">
        <v>0</v>
      </c>
    </row>
    <row r="657" spans="1:44">
      <c r="A657" s="379">
        <v>97131</v>
      </c>
      <c r="B657" t="s">
        <v>1361</v>
      </c>
      <c r="C657" s="380">
        <v>7.1290000000000004E-4</v>
      </c>
      <c r="D657" s="380"/>
      <c r="E657" s="419">
        <v>63972</v>
      </c>
      <c r="F657" s="419">
        <v>-41512</v>
      </c>
      <c r="G657" s="419">
        <v>-137298</v>
      </c>
      <c r="H657" s="419">
        <v>-477981</v>
      </c>
      <c r="I657" s="419">
        <v>0</v>
      </c>
      <c r="J657" s="380">
        <v>7.1290000000000004E-4</v>
      </c>
      <c r="K657" s="380"/>
      <c r="L657" s="419">
        <v>174524</v>
      </c>
      <c r="M657" s="419">
        <v>120531</v>
      </c>
      <c r="N657" s="419">
        <v>52763</v>
      </c>
      <c r="O657" s="419">
        <v>0</v>
      </c>
      <c r="P657" s="419">
        <v>0</v>
      </c>
      <c r="Q657" s="380">
        <v>7.1290000000000004E-4</v>
      </c>
      <c r="R657" s="380"/>
      <c r="S657" s="419">
        <v>-358138</v>
      </c>
      <c r="T657" s="419">
        <v>-353994</v>
      </c>
      <c r="U657" s="419">
        <v>-371885</v>
      </c>
      <c r="V657" s="419">
        <v>-477981</v>
      </c>
      <c r="W657" s="419">
        <v>0</v>
      </c>
      <c r="X657" s="380">
        <v>7.1290000000000004E-4</v>
      </c>
      <c r="Z657" s="419">
        <v>285589</v>
      </c>
      <c r="AA657" s="419">
        <v>200642</v>
      </c>
      <c r="AB657" s="419">
        <v>200641</v>
      </c>
      <c r="AC657" s="419">
        <v>0</v>
      </c>
      <c r="AD657" s="419">
        <v>0</v>
      </c>
      <c r="AE657" s="380">
        <v>7.1290000000000004E-4</v>
      </c>
      <c r="AF657" s="380"/>
      <c r="AG657" s="419">
        <v>10128</v>
      </c>
      <c r="AH657" s="419">
        <v>10127</v>
      </c>
      <c r="AI657" s="419">
        <v>0</v>
      </c>
      <c r="AJ657" s="419">
        <v>0</v>
      </c>
      <c r="AK657" s="419">
        <v>0</v>
      </c>
      <c r="AL657" s="380">
        <v>7.1290000000000004E-4</v>
      </c>
      <c r="AM657" s="380"/>
      <c r="AN657" s="419">
        <v>-48131</v>
      </c>
      <c r="AO657" s="419">
        <v>-18818</v>
      </c>
      <c r="AP657" s="419">
        <v>-18817</v>
      </c>
      <c r="AQ657" s="419">
        <v>0</v>
      </c>
      <c r="AR657" s="419">
        <v>0</v>
      </c>
    </row>
    <row r="658" spans="1:44">
      <c r="A658" s="379">
        <v>97201</v>
      </c>
      <c r="B658" t="s">
        <v>1362</v>
      </c>
      <c r="C658" s="380">
        <v>5.53E-4</v>
      </c>
      <c r="D658" s="380"/>
      <c r="E658" s="419">
        <v>82966</v>
      </c>
      <c r="F658" s="419">
        <v>-21286</v>
      </c>
      <c r="G658" s="419">
        <v>-89751</v>
      </c>
      <c r="H658" s="419">
        <v>-370772</v>
      </c>
      <c r="I658" s="419">
        <v>0</v>
      </c>
      <c r="J658" s="380">
        <v>5.53E-4</v>
      </c>
      <c r="K658" s="380"/>
      <c r="L658" s="419">
        <v>135379</v>
      </c>
      <c r="M658" s="419">
        <v>93497</v>
      </c>
      <c r="N658" s="419">
        <v>40929</v>
      </c>
      <c r="O658" s="419">
        <v>0</v>
      </c>
      <c r="P658" s="419">
        <v>0</v>
      </c>
      <c r="Q658" s="380">
        <v>5.53E-4</v>
      </c>
      <c r="R658" s="380"/>
      <c r="S658" s="419">
        <v>-277810</v>
      </c>
      <c r="T658" s="419">
        <v>-274595</v>
      </c>
      <c r="U658" s="419">
        <v>-288473</v>
      </c>
      <c r="V658" s="419">
        <v>-370772</v>
      </c>
      <c r="W658" s="419">
        <v>0</v>
      </c>
      <c r="X658" s="380">
        <v>5.53E-4</v>
      </c>
      <c r="Z658" s="419">
        <v>221533</v>
      </c>
      <c r="AA658" s="419">
        <v>155639</v>
      </c>
      <c r="AB658" s="419">
        <v>155638</v>
      </c>
      <c r="AC658" s="419">
        <v>0</v>
      </c>
      <c r="AD658" s="419">
        <v>0</v>
      </c>
      <c r="AE658" s="380">
        <v>5.53E-4</v>
      </c>
      <c r="AF658" s="380"/>
      <c r="AG658" s="419">
        <v>16732</v>
      </c>
      <c r="AH658" s="419">
        <v>16731</v>
      </c>
      <c r="AI658" s="419">
        <v>2155</v>
      </c>
      <c r="AJ658" s="419">
        <v>0</v>
      </c>
      <c r="AK658" s="419">
        <v>0</v>
      </c>
      <c r="AL658" s="380">
        <v>5.53E-4</v>
      </c>
      <c r="AM658" s="380"/>
      <c r="AN658" s="419">
        <v>-12868</v>
      </c>
      <c r="AO658" s="419">
        <v>-12558</v>
      </c>
      <c r="AP658" s="419">
        <v>0</v>
      </c>
      <c r="AQ658" s="419">
        <v>0</v>
      </c>
      <c r="AR658" s="419">
        <v>0</v>
      </c>
    </row>
    <row r="659" spans="1:44">
      <c r="A659" s="379">
        <v>97211</v>
      </c>
      <c r="B659" t="s">
        <v>1363</v>
      </c>
      <c r="C659" s="380">
        <v>1.6420000000000001E-4</v>
      </c>
      <c r="D659" s="380"/>
      <c r="E659" s="419">
        <v>55354</v>
      </c>
      <c r="F659" s="419">
        <v>25515</v>
      </c>
      <c r="G659" s="419">
        <v>-14171</v>
      </c>
      <c r="H659" s="419">
        <v>-110092</v>
      </c>
      <c r="I659" s="419">
        <v>0</v>
      </c>
      <c r="J659" s="380">
        <v>1.6420000000000001E-4</v>
      </c>
      <c r="K659" s="380"/>
      <c r="L659" s="419">
        <v>40197</v>
      </c>
      <c r="M659" s="419">
        <v>27762</v>
      </c>
      <c r="N659" s="419">
        <v>12153</v>
      </c>
      <c r="O659" s="419">
        <v>0</v>
      </c>
      <c r="P659" s="419">
        <v>0</v>
      </c>
      <c r="Q659" s="380">
        <v>1.6420000000000001E-4</v>
      </c>
      <c r="R659" s="380"/>
      <c r="S659" s="419">
        <v>-82489</v>
      </c>
      <c r="T659" s="419">
        <v>-81534</v>
      </c>
      <c r="U659" s="419">
        <v>-85655</v>
      </c>
      <c r="V659" s="419">
        <v>-110092</v>
      </c>
      <c r="W659" s="419">
        <v>0</v>
      </c>
      <c r="X659" s="380">
        <v>1.6420000000000001E-4</v>
      </c>
      <c r="Z659" s="419">
        <v>65779</v>
      </c>
      <c r="AA659" s="419">
        <v>46213</v>
      </c>
      <c r="AB659" s="419">
        <v>46213</v>
      </c>
      <c r="AC659" s="419">
        <v>0</v>
      </c>
      <c r="AD659" s="419">
        <v>0</v>
      </c>
      <c r="AE659" s="380">
        <v>1.6420000000000001E-4</v>
      </c>
      <c r="AF659" s="380"/>
      <c r="AG659" s="419">
        <v>41299</v>
      </c>
      <c r="AH659" s="419">
        <v>41298</v>
      </c>
      <c r="AI659" s="419">
        <v>13118</v>
      </c>
      <c r="AJ659" s="419">
        <v>0</v>
      </c>
      <c r="AK659" s="419">
        <v>0</v>
      </c>
      <c r="AL659" s="380">
        <v>1.6420000000000001E-4</v>
      </c>
      <c r="AM659" s="380"/>
      <c r="AN659" s="419">
        <v>-9432</v>
      </c>
      <c r="AO659" s="419">
        <v>-8224</v>
      </c>
      <c r="AP659" s="419">
        <v>0</v>
      </c>
      <c r="AQ659" s="419">
        <v>0</v>
      </c>
      <c r="AR659" s="419">
        <v>0</v>
      </c>
    </row>
    <row r="660" spans="1:44">
      <c r="A660" s="379">
        <v>97213</v>
      </c>
      <c r="B660" t="s">
        <v>1364</v>
      </c>
      <c r="C660" s="380">
        <v>3.5099999999999999E-5</v>
      </c>
      <c r="D660" s="380"/>
      <c r="E660" s="419">
        <v>6450</v>
      </c>
      <c r="F660" s="419">
        <v>-1219</v>
      </c>
      <c r="G660" s="419">
        <v>-5384</v>
      </c>
      <c r="H660" s="419">
        <v>-23534</v>
      </c>
      <c r="I660" s="419">
        <v>0</v>
      </c>
      <c r="J660" s="380">
        <v>3.5099999999999999E-5</v>
      </c>
      <c r="K660" s="380"/>
      <c r="L660" s="419">
        <v>8593</v>
      </c>
      <c r="M660" s="419">
        <v>5934</v>
      </c>
      <c r="N660" s="419">
        <v>2598</v>
      </c>
      <c r="O660" s="419">
        <v>0</v>
      </c>
      <c r="P660" s="419">
        <v>0</v>
      </c>
      <c r="Q660" s="380">
        <v>3.5099999999999999E-5</v>
      </c>
      <c r="R660" s="380"/>
      <c r="S660" s="419">
        <v>-17633</v>
      </c>
      <c r="T660" s="419">
        <v>-17429</v>
      </c>
      <c r="U660" s="419">
        <v>-18310</v>
      </c>
      <c r="V660" s="419">
        <v>-23534</v>
      </c>
      <c r="W660" s="419">
        <v>0</v>
      </c>
      <c r="X660" s="380">
        <v>3.5099999999999999E-5</v>
      </c>
      <c r="Z660" s="419">
        <v>14061</v>
      </c>
      <c r="AA660" s="419">
        <v>9879</v>
      </c>
      <c r="AB660" s="419">
        <v>9879</v>
      </c>
      <c r="AC660" s="419">
        <v>0</v>
      </c>
      <c r="AD660" s="419">
        <v>0</v>
      </c>
      <c r="AE660" s="380">
        <v>3.5099999999999999E-5</v>
      </c>
      <c r="AF660" s="380"/>
      <c r="AG660" s="419">
        <v>2668</v>
      </c>
      <c r="AH660" s="419">
        <v>1634</v>
      </c>
      <c r="AI660" s="419">
        <v>449</v>
      </c>
      <c r="AJ660" s="419">
        <v>0</v>
      </c>
      <c r="AK660" s="419">
        <v>0</v>
      </c>
      <c r="AL660" s="380">
        <v>3.5099999999999999E-5</v>
      </c>
      <c r="AM660" s="380"/>
      <c r="AN660" s="419">
        <v>-1239</v>
      </c>
      <c r="AO660" s="419">
        <v>-1237</v>
      </c>
      <c r="AP660" s="419">
        <v>0</v>
      </c>
      <c r="AQ660" s="419">
        <v>0</v>
      </c>
      <c r="AR660" s="419">
        <v>0</v>
      </c>
    </row>
    <row r="661" spans="1:44">
      <c r="A661" s="379">
        <v>97217</v>
      </c>
      <c r="B661" t="s">
        <v>1365</v>
      </c>
      <c r="C661" s="380">
        <v>8.1999999999999994E-6</v>
      </c>
      <c r="D661" s="380"/>
      <c r="E661" s="419">
        <v>5733</v>
      </c>
      <c r="F661" s="419">
        <v>3317</v>
      </c>
      <c r="G661" s="419">
        <v>478</v>
      </c>
      <c r="H661" s="419">
        <v>-5498</v>
      </c>
      <c r="I661" s="419">
        <v>0</v>
      </c>
      <c r="J661" s="380">
        <v>8.1999999999999994E-6</v>
      </c>
      <c r="K661" s="380"/>
      <c r="L661" s="419">
        <v>2007</v>
      </c>
      <c r="M661" s="419">
        <v>1386</v>
      </c>
      <c r="N661" s="419">
        <v>607</v>
      </c>
      <c r="O661" s="419">
        <v>0</v>
      </c>
      <c r="P661" s="419">
        <v>0</v>
      </c>
      <c r="Q661" s="380">
        <v>8.1999999999999994E-6</v>
      </c>
      <c r="R661" s="380"/>
      <c r="S661" s="419">
        <v>-4119</v>
      </c>
      <c r="T661" s="419">
        <v>-4072</v>
      </c>
      <c r="U661" s="419">
        <v>-4278</v>
      </c>
      <c r="V661" s="419">
        <v>-5498</v>
      </c>
      <c r="W661" s="419">
        <v>0</v>
      </c>
      <c r="X661" s="380">
        <v>8.1999999999999994E-6</v>
      </c>
      <c r="Z661" s="419">
        <v>3285</v>
      </c>
      <c r="AA661" s="419">
        <v>2308</v>
      </c>
      <c r="AB661" s="419">
        <v>2308</v>
      </c>
      <c r="AC661" s="419">
        <v>0</v>
      </c>
      <c r="AD661" s="419">
        <v>0</v>
      </c>
      <c r="AE661" s="380">
        <v>8.1999999999999994E-6</v>
      </c>
      <c r="AF661" s="380"/>
      <c r="AG661" s="419">
        <v>4560</v>
      </c>
      <c r="AH661" s="419">
        <v>3695</v>
      </c>
      <c r="AI661" s="419">
        <v>1841</v>
      </c>
      <c r="AJ661" s="419">
        <v>0</v>
      </c>
      <c r="AK661" s="419">
        <v>0</v>
      </c>
      <c r="AL661" s="380">
        <v>8.1999999999999994E-6</v>
      </c>
      <c r="AM661" s="380"/>
      <c r="AN661" s="419">
        <v>0</v>
      </c>
      <c r="AO661" s="419">
        <v>0</v>
      </c>
      <c r="AP661" s="419">
        <v>0</v>
      </c>
      <c r="AQ661" s="419">
        <v>0</v>
      </c>
      <c r="AR661" s="419">
        <v>0</v>
      </c>
    </row>
    <row r="662" spans="1:44">
      <c r="A662" s="379">
        <v>97221</v>
      </c>
      <c r="B662" t="s">
        <v>1366</v>
      </c>
      <c r="C662" s="380">
        <v>1.26E-5</v>
      </c>
      <c r="D662" s="380"/>
      <c r="E662" s="419">
        <v>7341</v>
      </c>
      <c r="F662" s="419">
        <v>4680</v>
      </c>
      <c r="G662" s="419">
        <v>4049</v>
      </c>
      <c r="H662" s="419">
        <v>-8448</v>
      </c>
      <c r="I662" s="419">
        <v>0</v>
      </c>
      <c r="J662" s="380">
        <v>1.26E-5</v>
      </c>
      <c r="K662" s="380"/>
      <c r="L662" s="419">
        <v>3085</v>
      </c>
      <c r="M662" s="419">
        <v>2130</v>
      </c>
      <c r="N662" s="419">
        <v>933</v>
      </c>
      <c r="O662" s="419">
        <v>0</v>
      </c>
      <c r="P662" s="419">
        <v>0</v>
      </c>
      <c r="Q662" s="380">
        <v>1.26E-5</v>
      </c>
      <c r="R662" s="380"/>
      <c r="S662" s="419">
        <v>-6330</v>
      </c>
      <c r="T662" s="419">
        <v>-6257</v>
      </c>
      <c r="U662" s="419">
        <v>-6573</v>
      </c>
      <c r="V662" s="419">
        <v>-8448</v>
      </c>
      <c r="W662" s="419">
        <v>0</v>
      </c>
      <c r="X662" s="380">
        <v>1.26E-5</v>
      </c>
      <c r="Z662" s="419">
        <v>5048</v>
      </c>
      <c r="AA662" s="419">
        <v>3546</v>
      </c>
      <c r="AB662" s="419">
        <v>3546</v>
      </c>
      <c r="AC662" s="419">
        <v>0</v>
      </c>
      <c r="AD662" s="419">
        <v>0</v>
      </c>
      <c r="AE662" s="380">
        <v>1.26E-5</v>
      </c>
      <c r="AF662" s="380"/>
      <c r="AG662" s="419">
        <v>8200</v>
      </c>
      <c r="AH662" s="419">
        <v>7924</v>
      </c>
      <c r="AI662" s="419">
        <v>6143</v>
      </c>
      <c r="AJ662" s="419">
        <v>0</v>
      </c>
      <c r="AK662" s="419">
        <v>0</v>
      </c>
      <c r="AL662" s="380">
        <v>1.26E-5</v>
      </c>
      <c r="AM662" s="380"/>
      <c r="AN662" s="419">
        <v>-2662</v>
      </c>
      <c r="AO662" s="419">
        <v>-2663</v>
      </c>
      <c r="AP662" s="419">
        <v>0</v>
      </c>
      <c r="AQ662" s="419">
        <v>0</v>
      </c>
      <c r="AR662" s="419">
        <v>0</v>
      </c>
    </row>
    <row r="663" spans="1:44">
      <c r="A663" s="379">
        <v>97301</v>
      </c>
      <c r="B663" t="s">
        <v>1367</v>
      </c>
      <c r="C663" s="380">
        <v>2.4133000000000002E-3</v>
      </c>
      <c r="D663" s="380"/>
      <c r="E663" s="419">
        <v>314566</v>
      </c>
      <c r="F663" s="419">
        <v>-137725</v>
      </c>
      <c r="G663" s="419">
        <v>-380935</v>
      </c>
      <c r="H663" s="419">
        <v>-1618055</v>
      </c>
      <c r="I663" s="419">
        <v>0</v>
      </c>
      <c r="J663" s="380">
        <v>2.4133000000000002E-3</v>
      </c>
      <c r="K663" s="380"/>
      <c r="L663" s="419">
        <v>590795</v>
      </c>
      <c r="M663" s="419">
        <v>408021</v>
      </c>
      <c r="N663" s="419">
        <v>178613</v>
      </c>
      <c r="O663" s="419">
        <v>0</v>
      </c>
      <c r="P663" s="419">
        <v>0</v>
      </c>
      <c r="Q663" s="380">
        <v>2.4133000000000002E-3</v>
      </c>
      <c r="R663" s="380"/>
      <c r="S663" s="419">
        <v>-1212365</v>
      </c>
      <c r="T663" s="419">
        <v>-1198336</v>
      </c>
      <c r="U663" s="419">
        <v>-1258900</v>
      </c>
      <c r="V663" s="419">
        <v>-1618055</v>
      </c>
      <c r="W663" s="419">
        <v>0</v>
      </c>
      <c r="X663" s="380">
        <v>2.4133000000000002E-3</v>
      </c>
      <c r="Z663" s="419">
        <v>966773</v>
      </c>
      <c r="AA663" s="419">
        <v>679211</v>
      </c>
      <c r="AB663" s="419">
        <v>679206</v>
      </c>
      <c r="AC663" s="419">
        <v>0</v>
      </c>
      <c r="AD663" s="419">
        <v>0</v>
      </c>
      <c r="AE663" s="380">
        <v>2.4133000000000002E-3</v>
      </c>
      <c r="AF663" s="380"/>
      <c r="AG663" s="419">
        <v>20146</v>
      </c>
      <c r="AH663" s="419">
        <v>20146</v>
      </c>
      <c r="AI663" s="419">
        <v>20146</v>
      </c>
      <c r="AJ663" s="419">
        <v>0</v>
      </c>
      <c r="AK663" s="419">
        <v>0</v>
      </c>
      <c r="AL663" s="380">
        <v>2.4133000000000002E-3</v>
      </c>
      <c r="AM663" s="380"/>
      <c r="AN663" s="419">
        <v>-50783</v>
      </c>
      <c r="AO663" s="419">
        <v>-46767</v>
      </c>
      <c r="AP663" s="419">
        <v>0</v>
      </c>
      <c r="AQ663" s="419">
        <v>0</v>
      </c>
      <c r="AR663" s="419">
        <v>0</v>
      </c>
    </row>
    <row r="664" spans="1:44">
      <c r="A664" s="379">
        <v>97302</v>
      </c>
      <c r="B664" t="s">
        <v>3617</v>
      </c>
      <c r="C664" s="380">
        <v>4.6400000000000003E-5</v>
      </c>
      <c r="D664" s="380"/>
      <c r="E664" s="419">
        <v>34994</v>
      </c>
      <c r="F664" s="419">
        <v>26221</v>
      </c>
      <c r="G664" s="419">
        <v>-2669</v>
      </c>
      <c r="H664" s="419">
        <v>-31110</v>
      </c>
      <c r="I664" s="419">
        <v>0</v>
      </c>
      <c r="J664" s="380">
        <v>4.6400000000000003E-5</v>
      </c>
      <c r="K664" s="380"/>
      <c r="L664" s="419">
        <v>11359</v>
      </c>
      <c r="M664" s="419">
        <v>7845</v>
      </c>
      <c r="N664" s="419">
        <v>3434</v>
      </c>
      <c r="O664" s="419">
        <v>0</v>
      </c>
      <c r="P664" s="419">
        <v>0</v>
      </c>
      <c r="Q664" s="380">
        <v>4.6400000000000003E-5</v>
      </c>
      <c r="R664" s="380"/>
      <c r="S664" s="419">
        <v>-23310</v>
      </c>
      <c r="T664" s="419">
        <v>-23040</v>
      </c>
      <c r="U664" s="419">
        <v>-24205</v>
      </c>
      <c r="V664" s="419">
        <v>-31110</v>
      </c>
      <c r="W664" s="419">
        <v>0</v>
      </c>
      <c r="X664" s="380">
        <v>4.6400000000000003E-5</v>
      </c>
      <c r="Z664" s="419">
        <v>18588</v>
      </c>
      <c r="AA664" s="419">
        <v>13059</v>
      </c>
      <c r="AB664" s="419">
        <v>13059</v>
      </c>
      <c r="AC664" s="419">
        <v>0</v>
      </c>
      <c r="AD664" s="419">
        <v>0</v>
      </c>
      <c r="AE664" s="380">
        <v>4.6400000000000003E-5</v>
      </c>
      <c r="AF664" s="380"/>
      <c r="AG664" s="419">
        <v>28357</v>
      </c>
      <c r="AH664" s="419">
        <v>28357</v>
      </c>
      <c r="AI664" s="419">
        <v>5043</v>
      </c>
      <c r="AJ664" s="419">
        <v>0</v>
      </c>
      <c r="AK664" s="419">
        <v>0</v>
      </c>
      <c r="AL664" s="380">
        <v>4.6400000000000003E-5</v>
      </c>
      <c r="AM664" s="380"/>
      <c r="AN664" s="419">
        <v>0</v>
      </c>
      <c r="AO664" s="419">
        <v>0</v>
      </c>
      <c r="AP664" s="419">
        <v>0</v>
      </c>
      <c r="AQ664" s="419">
        <v>0</v>
      </c>
      <c r="AR664" s="419">
        <v>0</v>
      </c>
    </row>
    <row r="665" spans="1:44">
      <c r="A665" s="379">
        <v>97304</v>
      </c>
      <c r="B665" t="s">
        <v>1368</v>
      </c>
      <c r="C665" s="380">
        <v>1.9599999999999999E-5</v>
      </c>
      <c r="D665" s="380"/>
      <c r="E665" s="419">
        <v>14079</v>
      </c>
      <c r="F665" s="419">
        <v>9390</v>
      </c>
      <c r="G665" s="419">
        <v>3251</v>
      </c>
      <c r="H665" s="419">
        <v>-13141</v>
      </c>
      <c r="I665" s="419">
        <v>0</v>
      </c>
      <c r="J665" s="380">
        <v>1.9599999999999999E-5</v>
      </c>
      <c r="K665" s="380"/>
      <c r="L665" s="419">
        <v>4798</v>
      </c>
      <c r="M665" s="419">
        <v>3314</v>
      </c>
      <c r="N665" s="419">
        <v>1451</v>
      </c>
      <c r="O665" s="419">
        <v>0</v>
      </c>
      <c r="P665" s="419">
        <v>0</v>
      </c>
      <c r="Q665" s="380">
        <v>1.9599999999999999E-5</v>
      </c>
      <c r="R665" s="380"/>
      <c r="S665" s="419">
        <v>-9846</v>
      </c>
      <c r="T665" s="419">
        <v>-9732</v>
      </c>
      <c r="U665" s="419">
        <v>-10224</v>
      </c>
      <c r="V665" s="419">
        <v>-13141</v>
      </c>
      <c r="W665" s="419">
        <v>0</v>
      </c>
      <c r="X665" s="380">
        <v>1.9599999999999999E-5</v>
      </c>
      <c r="Z665" s="419">
        <v>7852</v>
      </c>
      <c r="AA665" s="419">
        <v>5516</v>
      </c>
      <c r="AB665" s="419">
        <v>5516</v>
      </c>
      <c r="AC665" s="419">
        <v>0</v>
      </c>
      <c r="AD665" s="419">
        <v>0</v>
      </c>
      <c r="AE665" s="380">
        <v>1.9599999999999999E-5</v>
      </c>
      <c r="AF665" s="380"/>
      <c r="AG665" s="419">
        <v>11275</v>
      </c>
      <c r="AH665" s="419">
        <v>10292</v>
      </c>
      <c r="AI665" s="419">
        <v>6508</v>
      </c>
      <c r="AJ665" s="419">
        <v>0</v>
      </c>
      <c r="AK665" s="419">
        <v>0</v>
      </c>
      <c r="AL665" s="380">
        <v>1.9599999999999999E-5</v>
      </c>
      <c r="AM665" s="380"/>
      <c r="AN665" s="419">
        <v>0</v>
      </c>
      <c r="AO665" s="419">
        <v>0</v>
      </c>
      <c r="AP665" s="419">
        <v>0</v>
      </c>
      <c r="AQ665" s="419">
        <v>0</v>
      </c>
      <c r="AR665" s="419">
        <v>0</v>
      </c>
    </row>
    <row r="666" spans="1:44">
      <c r="A666" s="379">
        <v>97311</v>
      </c>
      <c r="B666" t="s">
        <v>1369</v>
      </c>
      <c r="C666" s="380">
        <v>8.6180000000000002E-4</v>
      </c>
      <c r="D666" s="380"/>
      <c r="E666" s="419">
        <v>105440</v>
      </c>
      <c r="F666" s="419">
        <v>-50524</v>
      </c>
      <c r="G666" s="419">
        <v>-131432</v>
      </c>
      <c r="H666" s="419">
        <v>-577814</v>
      </c>
      <c r="I666" s="419">
        <v>0</v>
      </c>
      <c r="J666" s="380">
        <v>8.6180000000000002E-4</v>
      </c>
      <c r="K666" s="380"/>
      <c r="L666" s="419">
        <v>210976</v>
      </c>
      <c r="M666" s="419">
        <v>145706</v>
      </c>
      <c r="N666" s="419">
        <v>63784</v>
      </c>
      <c r="O666" s="419">
        <v>0</v>
      </c>
      <c r="P666" s="419">
        <v>0</v>
      </c>
      <c r="Q666" s="380">
        <v>8.6180000000000002E-4</v>
      </c>
      <c r="R666" s="380"/>
      <c r="S666" s="419">
        <v>-432941</v>
      </c>
      <c r="T666" s="419">
        <v>-427931</v>
      </c>
      <c r="U666" s="419">
        <v>-449559</v>
      </c>
      <c r="V666" s="419">
        <v>-577814</v>
      </c>
      <c r="W666" s="419">
        <v>0</v>
      </c>
      <c r="X666" s="380">
        <v>8.6180000000000002E-4</v>
      </c>
      <c r="Z666" s="419">
        <v>345239</v>
      </c>
      <c r="AA666" s="419">
        <v>242549</v>
      </c>
      <c r="AB666" s="419">
        <v>242548</v>
      </c>
      <c r="AC666" s="419">
        <v>0</v>
      </c>
      <c r="AD666" s="419">
        <v>0</v>
      </c>
      <c r="AE666" s="380">
        <v>8.6180000000000002E-4</v>
      </c>
      <c r="AF666" s="380"/>
      <c r="AG666" s="419">
        <v>11796</v>
      </c>
      <c r="AH666" s="419">
        <v>11796</v>
      </c>
      <c r="AI666" s="419">
        <v>11795</v>
      </c>
      <c r="AJ666" s="419">
        <v>0</v>
      </c>
      <c r="AK666" s="419">
        <v>0</v>
      </c>
      <c r="AL666" s="380">
        <v>8.6180000000000002E-4</v>
      </c>
      <c r="AM666" s="380"/>
      <c r="AN666" s="419">
        <v>-29630</v>
      </c>
      <c r="AO666" s="419">
        <v>-22644</v>
      </c>
      <c r="AP666" s="419">
        <v>0</v>
      </c>
      <c r="AQ666" s="419">
        <v>0</v>
      </c>
      <c r="AR666" s="419">
        <v>0</v>
      </c>
    </row>
    <row r="667" spans="1:44">
      <c r="A667" s="379">
        <v>97401</v>
      </c>
      <c r="B667" t="s">
        <v>1370</v>
      </c>
      <c r="C667" s="380">
        <v>7.1457999999999999E-3</v>
      </c>
      <c r="D667" s="380"/>
      <c r="E667" s="419">
        <v>1049601</v>
      </c>
      <c r="F667" s="419">
        <v>-321817</v>
      </c>
      <c r="G667" s="419">
        <v>-1103208</v>
      </c>
      <c r="H667" s="419">
        <v>-4791073</v>
      </c>
      <c r="I667" s="419">
        <v>0</v>
      </c>
      <c r="J667" s="380">
        <v>7.1457999999999999E-3</v>
      </c>
      <c r="K667" s="380"/>
      <c r="L667" s="419">
        <v>1749349</v>
      </c>
      <c r="M667" s="419">
        <v>1208155</v>
      </c>
      <c r="N667" s="419">
        <v>528875</v>
      </c>
      <c r="O667" s="419">
        <v>0</v>
      </c>
      <c r="P667" s="419">
        <v>0</v>
      </c>
      <c r="Q667" s="380">
        <v>7.1457999999999999E-3</v>
      </c>
      <c r="R667" s="380"/>
      <c r="S667" s="419">
        <v>-3589821</v>
      </c>
      <c r="T667" s="419">
        <v>-3548283</v>
      </c>
      <c r="U667" s="419">
        <v>-3727614</v>
      </c>
      <c r="V667" s="419">
        <v>-4791073</v>
      </c>
      <c r="W667" s="419">
        <v>0</v>
      </c>
      <c r="X667" s="380">
        <v>7.1457999999999999E-3</v>
      </c>
      <c r="Z667" s="419">
        <v>2862622</v>
      </c>
      <c r="AA667" s="419">
        <v>2011150</v>
      </c>
      <c r="AB667" s="419">
        <v>2011135</v>
      </c>
      <c r="AC667" s="419">
        <v>0</v>
      </c>
      <c r="AD667" s="419">
        <v>0</v>
      </c>
      <c r="AE667" s="380">
        <v>7.1457999999999999E-3</v>
      </c>
      <c r="AF667" s="380"/>
      <c r="AG667" s="419">
        <v>104685</v>
      </c>
      <c r="AH667" s="419">
        <v>84397</v>
      </c>
      <c r="AI667" s="419">
        <v>84396</v>
      </c>
      <c r="AJ667" s="419">
        <v>0</v>
      </c>
      <c r="AK667" s="419">
        <v>0</v>
      </c>
      <c r="AL667" s="380">
        <v>7.1457999999999999E-3</v>
      </c>
      <c r="AM667" s="380"/>
      <c r="AN667" s="419">
        <v>-77234</v>
      </c>
      <c r="AO667" s="419">
        <v>-77236</v>
      </c>
      <c r="AP667" s="419">
        <v>0</v>
      </c>
      <c r="AQ667" s="419">
        <v>0</v>
      </c>
      <c r="AR667" s="419">
        <v>0</v>
      </c>
    </row>
    <row r="668" spans="1:44">
      <c r="A668" s="379">
        <v>97402</v>
      </c>
      <c r="B668" t="s">
        <v>1371</v>
      </c>
      <c r="C668" s="380">
        <v>5.0399999999999999E-5</v>
      </c>
      <c r="D668" s="380"/>
      <c r="E668" s="419">
        <v>12588</v>
      </c>
      <c r="F668" s="419">
        <v>2437</v>
      </c>
      <c r="G668" s="419">
        <v>-9158</v>
      </c>
      <c r="H668" s="419">
        <v>-33792</v>
      </c>
      <c r="I668" s="419">
        <v>0</v>
      </c>
      <c r="J668" s="380">
        <v>5.0399999999999999E-5</v>
      </c>
      <c r="K668" s="380"/>
      <c r="L668" s="419">
        <v>12338</v>
      </c>
      <c r="M668" s="419">
        <v>8521</v>
      </c>
      <c r="N668" s="419">
        <v>3730</v>
      </c>
      <c r="O668" s="419">
        <v>0</v>
      </c>
      <c r="P668" s="419">
        <v>0</v>
      </c>
      <c r="Q668" s="380">
        <v>5.0399999999999999E-5</v>
      </c>
      <c r="R668" s="380"/>
      <c r="S668" s="419">
        <v>-25319</v>
      </c>
      <c r="T668" s="419">
        <v>-25026</v>
      </c>
      <c r="U668" s="419">
        <v>-26291</v>
      </c>
      <c r="V668" s="419">
        <v>-33792</v>
      </c>
      <c r="W668" s="419">
        <v>0</v>
      </c>
      <c r="X668" s="380">
        <v>5.0399999999999999E-5</v>
      </c>
      <c r="Z668" s="419">
        <v>20190</v>
      </c>
      <c r="AA668" s="419">
        <v>14185</v>
      </c>
      <c r="AB668" s="419">
        <v>14185</v>
      </c>
      <c r="AC668" s="419">
        <v>0</v>
      </c>
      <c r="AD668" s="419">
        <v>0</v>
      </c>
      <c r="AE668" s="380">
        <v>5.0399999999999999E-5</v>
      </c>
      <c r="AF668" s="380"/>
      <c r="AG668" s="419">
        <v>6172</v>
      </c>
      <c r="AH668" s="419">
        <v>5551</v>
      </c>
      <c r="AI668" s="419">
        <v>0</v>
      </c>
      <c r="AJ668" s="419">
        <v>0</v>
      </c>
      <c r="AK668" s="419">
        <v>0</v>
      </c>
      <c r="AL668" s="380">
        <v>5.0399999999999999E-5</v>
      </c>
      <c r="AM668" s="380"/>
      <c r="AN668" s="419">
        <v>-793</v>
      </c>
      <c r="AO668" s="419">
        <v>-794</v>
      </c>
      <c r="AP668" s="419">
        <v>-782</v>
      </c>
      <c r="AQ668" s="419">
        <v>0</v>
      </c>
      <c r="AR668" s="419">
        <v>0</v>
      </c>
    </row>
    <row r="669" spans="1:44">
      <c r="A669" s="379">
        <v>97404</v>
      </c>
      <c r="B669" t="s">
        <v>1372</v>
      </c>
      <c r="C669" s="380">
        <v>2.321E-4</v>
      </c>
      <c r="D669" s="380"/>
      <c r="E669" s="419">
        <v>37337</v>
      </c>
      <c r="F669" s="419">
        <v>-3559</v>
      </c>
      <c r="G669" s="419">
        <v>-29699</v>
      </c>
      <c r="H669" s="419">
        <v>-155617</v>
      </c>
      <c r="I669" s="419">
        <v>0</v>
      </c>
      <c r="J669" s="380">
        <v>2.321E-4</v>
      </c>
      <c r="K669" s="380"/>
      <c r="L669" s="419">
        <v>56820</v>
      </c>
      <c r="M669" s="419">
        <v>39242</v>
      </c>
      <c r="N669" s="419">
        <v>17178</v>
      </c>
      <c r="O669" s="419">
        <v>0</v>
      </c>
      <c r="P669" s="419">
        <v>0</v>
      </c>
      <c r="Q669" s="380">
        <v>2.321E-4</v>
      </c>
      <c r="R669" s="380"/>
      <c r="S669" s="419">
        <v>-116600</v>
      </c>
      <c r="T669" s="419">
        <v>-115250</v>
      </c>
      <c r="U669" s="419">
        <v>-121075</v>
      </c>
      <c r="V669" s="419">
        <v>-155617</v>
      </c>
      <c r="W669" s="419">
        <v>0</v>
      </c>
      <c r="X669" s="380">
        <v>2.321E-4</v>
      </c>
      <c r="Z669" s="419">
        <v>92980</v>
      </c>
      <c r="AA669" s="419">
        <v>65323</v>
      </c>
      <c r="AB669" s="419">
        <v>65323</v>
      </c>
      <c r="AC669" s="419">
        <v>0</v>
      </c>
      <c r="AD669" s="419">
        <v>0</v>
      </c>
      <c r="AE669" s="380">
        <v>2.321E-4</v>
      </c>
      <c r="AF669" s="380"/>
      <c r="AG669" s="419">
        <v>9078</v>
      </c>
      <c r="AH669" s="419">
        <v>9078</v>
      </c>
      <c r="AI669" s="419">
        <v>8875</v>
      </c>
      <c r="AJ669" s="419">
        <v>0</v>
      </c>
      <c r="AK669" s="419">
        <v>0</v>
      </c>
      <c r="AL669" s="380">
        <v>2.321E-4</v>
      </c>
      <c r="AM669" s="380"/>
      <c r="AN669" s="419">
        <v>-4941</v>
      </c>
      <c r="AO669" s="419">
        <v>-1952</v>
      </c>
      <c r="AP669" s="419">
        <v>0</v>
      </c>
      <c r="AQ669" s="419">
        <v>0</v>
      </c>
      <c r="AR669" s="419">
        <v>0</v>
      </c>
    </row>
    <row r="670" spans="1:44">
      <c r="A670" s="379">
        <v>97405</v>
      </c>
      <c r="B670" t="s">
        <v>1373</v>
      </c>
      <c r="C670" s="380">
        <v>9.7899999999999994E-5</v>
      </c>
      <c r="D670" s="380"/>
      <c r="E670" s="419">
        <v>23730</v>
      </c>
      <c r="F670" s="419">
        <v>1145</v>
      </c>
      <c r="G670" s="419">
        <v>-13520</v>
      </c>
      <c r="H670" s="419">
        <v>-65639</v>
      </c>
      <c r="I670" s="419">
        <v>0</v>
      </c>
      <c r="J670" s="380">
        <v>9.7899999999999994E-5</v>
      </c>
      <c r="K670" s="380"/>
      <c r="L670" s="419">
        <v>23967</v>
      </c>
      <c r="M670" s="419">
        <v>16552</v>
      </c>
      <c r="N670" s="419">
        <v>7246</v>
      </c>
      <c r="O670" s="419">
        <v>0</v>
      </c>
      <c r="P670" s="419">
        <v>0</v>
      </c>
      <c r="Q670" s="380">
        <v>9.7899999999999994E-5</v>
      </c>
      <c r="R670" s="380"/>
      <c r="S670" s="419">
        <v>-49182</v>
      </c>
      <c r="T670" s="419">
        <v>-48613</v>
      </c>
      <c r="U670" s="419">
        <v>-51070</v>
      </c>
      <c r="V670" s="419">
        <v>-65639</v>
      </c>
      <c r="W670" s="419">
        <v>0</v>
      </c>
      <c r="X670" s="380">
        <v>9.7899999999999994E-5</v>
      </c>
      <c r="Z670" s="419">
        <v>39219</v>
      </c>
      <c r="AA670" s="419">
        <v>27553</v>
      </c>
      <c r="AB670" s="419">
        <v>27553</v>
      </c>
      <c r="AC670" s="419">
        <v>0</v>
      </c>
      <c r="AD670" s="419">
        <v>0</v>
      </c>
      <c r="AE670" s="380">
        <v>9.7899999999999994E-5</v>
      </c>
      <c r="AF670" s="380"/>
      <c r="AG670" s="419">
        <v>9726</v>
      </c>
      <c r="AH670" s="419">
        <v>5653</v>
      </c>
      <c r="AI670" s="419">
        <v>2751</v>
      </c>
      <c r="AJ670" s="419">
        <v>0</v>
      </c>
      <c r="AK670" s="419">
        <v>0</v>
      </c>
      <c r="AL670" s="380">
        <v>9.7899999999999994E-5</v>
      </c>
      <c r="AM670" s="380"/>
      <c r="AN670" s="419">
        <v>0</v>
      </c>
      <c r="AO670" s="419">
        <v>0</v>
      </c>
      <c r="AP670" s="419">
        <v>0</v>
      </c>
      <c r="AQ670" s="419">
        <v>0</v>
      </c>
      <c r="AR670" s="419">
        <v>0</v>
      </c>
    </row>
    <row r="671" spans="1:44">
      <c r="A671" s="379">
        <v>97408</v>
      </c>
      <c r="B671" t="s">
        <v>1374</v>
      </c>
      <c r="C671" s="380">
        <v>3.8099999999999998E-5</v>
      </c>
      <c r="D671" s="380"/>
      <c r="E671" s="419">
        <v>9916</v>
      </c>
      <c r="F671" s="419">
        <v>2161</v>
      </c>
      <c r="G671" s="419">
        <v>-5893</v>
      </c>
      <c r="H671" s="419">
        <v>-25545</v>
      </c>
      <c r="I671" s="419">
        <v>0</v>
      </c>
      <c r="J671" s="380">
        <v>3.8099999999999998E-5</v>
      </c>
      <c r="K671" s="380"/>
      <c r="L671" s="419">
        <v>9327</v>
      </c>
      <c r="M671" s="419">
        <v>6442</v>
      </c>
      <c r="N671" s="419">
        <v>2820</v>
      </c>
      <c r="O671" s="419">
        <v>0</v>
      </c>
      <c r="P671" s="419">
        <v>0</v>
      </c>
      <c r="Q671" s="380">
        <v>3.8099999999999998E-5</v>
      </c>
      <c r="R671" s="380"/>
      <c r="S671" s="419">
        <v>-19140</v>
      </c>
      <c r="T671" s="419">
        <v>-18919</v>
      </c>
      <c r="U671" s="419">
        <v>-19875</v>
      </c>
      <c r="V671" s="419">
        <v>-25545</v>
      </c>
      <c r="W671" s="419">
        <v>0</v>
      </c>
      <c r="X671" s="380">
        <v>3.8099999999999998E-5</v>
      </c>
      <c r="Z671" s="419">
        <v>15263</v>
      </c>
      <c r="AA671" s="419">
        <v>10723</v>
      </c>
      <c r="AB671" s="419">
        <v>10723</v>
      </c>
      <c r="AC671" s="419">
        <v>0</v>
      </c>
      <c r="AD671" s="419">
        <v>0</v>
      </c>
      <c r="AE671" s="380">
        <v>3.8099999999999998E-5</v>
      </c>
      <c r="AF671" s="380"/>
      <c r="AG671" s="419">
        <v>4466</v>
      </c>
      <c r="AH671" s="419">
        <v>3915</v>
      </c>
      <c r="AI671" s="419">
        <v>439</v>
      </c>
      <c r="AJ671" s="419">
        <v>0</v>
      </c>
      <c r="AK671" s="419">
        <v>0</v>
      </c>
      <c r="AL671" s="380">
        <v>3.8099999999999998E-5</v>
      </c>
      <c r="AM671" s="380"/>
      <c r="AN671" s="419">
        <v>0</v>
      </c>
      <c r="AO671" s="419">
        <v>0</v>
      </c>
      <c r="AP671" s="419">
        <v>0</v>
      </c>
      <c r="AQ671" s="419">
        <v>0</v>
      </c>
      <c r="AR671" s="419">
        <v>0</v>
      </c>
    </row>
    <row r="672" spans="1:44">
      <c r="A672" s="379">
        <v>97411</v>
      </c>
      <c r="B672" t="s">
        <v>1375</v>
      </c>
      <c r="C672" s="380">
        <v>5.8314999999999999E-3</v>
      </c>
      <c r="D672" s="380"/>
      <c r="E672" s="419">
        <v>361800</v>
      </c>
      <c r="F672" s="419">
        <v>-664536</v>
      </c>
      <c r="G672" s="419">
        <v>-1311765</v>
      </c>
      <c r="H672" s="419">
        <v>-3909869</v>
      </c>
      <c r="I672" s="419">
        <v>0</v>
      </c>
      <c r="J672" s="380">
        <v>5.8314999999999999E-3</v>
      </c>
      <c r="K672" s="380"/>
      <c r="L672" s="419">
        <v>1427598</v>
      </c>
      <c r="M672" s="419">
        <v>985943</v>
      </c>
      <c r="N672" s="419">
        <v>431601</v>
      </c>
      <c r="O672" s="419">
        <v>0</v>
      </c>
      <c r="P672" s="419">
        <v>0</v>
      </c>
      <c r="Q672" s="380">
        <v>5.8314999999999999E-3</v>
      </c>
      <c r="R672" s="380"/>
      <c r="S672" s="419">
        <v>-2929559</v>
      </c>
      <c r="T672" s="419">
        <v>-2895660</v>
      </c>
      <c r="U672" s="419">
        <v>-3042008</v>
      </c>
      <c r="V672" s="419">
        <v>-3909869</v>
      </c>
      <c r="W672" s="419">
        <v>0</v>
      </c>
      <c r="X672" s="380">
        <v>5.8314999999999999E-3</v>
      </c>
      <c r="Z672" s="419">
        <v>2336111</v>
      </c>
      <c r="AA672" s="419">
        <v>1641247</v>
      </c>
      <c r="AB672" s="419">
        <v>1641235</v>
      </c>
      <c r="AC672" s="419">
        <v>0</v>
      </c>
      <c r="AD672" s="419">
        <v>0</v>
      </c>
      <c r="AE672" s="380">
        <v>5.8314999999999999E-3</v>
      </c>
      <c r="AF672" s="380"/>
      <c r="AG672" s="419">
        <v>8440</v>
      </c>
      <c r="AH672" s="419">
        <v>8440</v>
      </c>
      <c r="AI672" s="419">
        <v>0</v>
      </c>
      <c r="AJ672" s="419">
        <v>0</v>
      </c>
      <c r="AK672" s="419">
        <v>0</v>
      </c>
      <c r="AL672" s="380">
        <v>5.8314999999999999E-3</v>
      </c>
      <c r="AM672" s="380"/>
      <c r="AN672" s="419">
        <v>-480790</v>
      </c>
      <c r="AO672" s="419">
        <v>-404506</v>
      </c>
      <c r="AP672" s="419">
        <v>-342593</v>
      </c>
      <c r="AQ672" s="419">
        <v>0</v>
      </c>
      <c r="AR672" s="419">
        <v>0</v>
      </c>
    </row>
    <row r="673" spans="1:46">
      <c r="A673" s="379">
        <v>97412</v>
      </c>
      <c r="B673" t="s">
        <v>1376</v>
      </c>
      <c r="C673" s="380">
        <v>4.1450999999999997E-3</v>
      </c>
      <c r="D673" s="380"/>
      <c r="E673" s="419">
        <v>480707</v>
      </c>
      <c r="F673" s="419">
        <v>-325304</v>
      </c>
      <c r="G673" s="419">
        <v>-781829</v>
      </c>
      <c r="H673" s="419">
        <v>-2779182</v>
      </c>
      <c r="I673" s="419">
        <v>0</v>
      </c>
      <c r="J673" s="380">
        <v>4.1450999999999997E-3</v>
      </c>
      <c r="K673" s="380"/>
      <c r="L673" s="419">
        <v>1014754</v>
      </c>
      <c r="M673" s="419">
        <v>700820</v>
      </c>
      <c r="N673" s="419">
        <v>306787</v>
      </c>
      <c r="O673" s="419">
        <v>0</v>
      </c>
      <c r="P673" s="419">
        <v>0</v>
      </c>
      <c r="Q673" s="380">
        <v>4.1450999999999997E-3</v>
      </c>
      <c r="R673" s="380"/>
      <c r="S673" s="419">
        <v>-2082366</v>
      </c>
      <c r="T673" s="419">
        <v>-2058270</v>
      </c>
      <c r="U673" s="419">
        <v>-2162296</v>
      </c>
      <c r="V673" s="419">
        <v>-2779182</v>
      </c>
      <c r="W673" s="419">
        <v>0</v>
      </c>
      <c r="X673" s="380">
        <v>4.1450999999999997E-3</v>
      </c>
      <c r="Z673" s="419">
        <v>1660535</v>
      </c>
      <c r="AA673" s="419">
        <v>1166618</v>
      </c>
      <c r="AB673" s="419">
        <v>1166609</v>
      </c>
      <c r="AC673" s="419">
        <v>0</v>
      </c>
      <c r="AD673" s="419">
        <v>0</v>
      </c>
      <c r="AE673" s="380">
        <v>4.1450999999999997E-3</v>
      </c>
      <c r="AF673" s="380"/>
      <c r="AG673" s="419">
        <v>22254</v>
      </c>
      <c r="AH673" s="419">
        <v>0</v>
      </c>
      <c r="AI673" s="419">
        <v>0</v>
      </c>
      <c r="AJ673" s="419">
        <v>0</v>
      </c>
      <c r="AK673" s="419">
        <v>0</v>
      </c>
      <c r="AL673" s="380">
        <v>4.1450999999999997E-3</v>
      </c>
      <c r="AM673" s="380"/>
      <c r="AN673" s="419">
        <v>-134470</v>
      </c>
      <c r="AO673" s="419">
        <v>-134472</v>
      </c>
      <c r="AP673" s="419">
        <v>-92929</v>
      </c>
      <c r="AQ673" s="419">
        <v>0</v>
      </c>
      <c r="AR673" s="419">
        <v>0</v>
      </c>
    </row>
    <row r="674" spans="1:46">
      <c r="A674" s="379">
        <v>97413</v>
      </c>
      <c r="B674" t="s">
        <v>1377</v>
      </c>
      <c r="C674" s="380">
        <v>3.165E-4</v>
      </c>
      <c r="D674" s="380"/>
      <c r="E674" s="419">
        <v>93170</v>
      </c>
      <c r="F674" s="419">
        <v>29337</v>
      </c>
      <c r="G674" s="419">
        <v>-18639</v>
      </c>
      <c r="H674" s="419">
        <v>-212205</v>
      </c>
      <c r="I674" s="419">
        <v>0</v>
      </c>
      <c r="J674" s="380">
        <v>3.165E-4</v>
      </c>
      <c r="K674" s="380"/>
      <c r="L674" s="419">
        <v>77482</v>
      </c>
      <c r="M674" s="419">
        <v>53511</v>
      </c>
      <c r="N674" s="419">
        <v>23425</v>
      </c>
      <c r="O674" s="419">
        <v>0</v>
      </c>
      <c r="P674" s="419">
        <v>0</v>
      </c>
      <c r="Q674" s="380">
        <v>3.165E-4</v>
      </c>
      <c r="R674" s="380"/>
      <c r="S674" s="419">
        <v>-158999</v>
      </c>
      <c r="T674" s="419">
        <v>-157160</v>
      </c>
      <c r="U674" s="419">
        <v>-165103</v>
      </c>
      <c r="V674" s="419">
        <v>-212205</v>
      </c>
      <c r="W674" s="419">
        <v>0</v>
      </c>
      <c r="X674" s="380">
        <v>3.165E-4</v>
      </c>
      <c r="Z674" s="419">
        <v>126791</v>
      </c>
      <c r="AA674" s="419">
        <v>89077</v>
      </c>
      <c r="AB674" s="419">
        <v>89077</v>
      </c>
      <c r="AC674" s="419">
        <v>0</v>
      </c>
      <c r="AD674" s="419">
        <v>0</v>
      </c>
      <c r="AE674" s="380">
        <v>3.165E-4</v>
      </c>
      <c r="AF674" s="380"/>
      <c r="AG674" s="419">
        <v>47896</v>
      </c>
      <c r="AH674" s="419">
        <v>43909</v>
      </c>
      <c r="AI674" s="419">
        <v>33962</v>
      </c>
      <c r="AJ674" s="419">
        <v>0</v>
      </c>
      <c r="AK674" s="419">
        <v>0</v>
      </c>
      <c r="AL674" s="380">
        <v>3.165E-4</v>
      </c>
      <c r="AM674" s="380"/>
      <c r="AN674" s="419">
        <v>0</v>
      </c>
      <c r="AO674" s="419">
        <v>0</v>
      </c>
      <c r="AP674" s="419">
        <v>0</v>
      </c>
      <c r="AQ674" s="419">
        <v>0</v>
      </c>
      <c r="AR674" s="419">
        <v>0</v>
      </c>
    </row>
    <row r="675" spans="1:46">
      <c r="A675" s="379">
        <v>97421</v>
      </c>
      <c r="B675" t="s">
        <v>1378</v>
      </c>
      <c r="C675" s="380">
        <v>4.3879999999999999E-4</v>
      </c>
      <c r="D675" s="380"/>
      <c r="E675" s="419">
        <v>53858</v>
      </c>
      <c r="F675" s="419">
        <v>-30749</v>
      </c>
      <c r="G675" s="419">
        <v>-70745</v>
      </c>
      <c r="H675" s="419">
        <v>-294204</v>
      </c>
      <c r="I675" s="419">
        <v>0</v>
      </c>
      <c r="J675" s="380">
        <v>4.3879999999999999E-4</v>
      </c>
      <c r="K675" s="380"/>
      <c r="L675" s="419">
        <v>107422</v>
      </c>
      <c r="M675" s="419">
        <v>74189</v>
      </c>
      <c r="N675" s="419">
        <v>32476</v>
      </c>
      <c r="O675" s="419">
        <v>0</v>
      </c>
      <c r="P675" s="419">
        <v>0</v>
      </c>
      <c r="Q675" s="380">
        <v>4.3879999999999999E-4</v>
      </c>
      <c r="R675" s="380"/>
      <c r="S675" s="419">
        <v>-220439</v>
      </c>
      <c r="T675" s="419">
        <v>-217888</v>
      </c>
      <c r="U675" s="419">
        <v>-228900</v>
      </c>
      <c r="V675" s="419">
        <v>-294204</v>
      </c>
      <c r="W675" s="419">
        <v>0</v>
      </c>
      <c r="X675" s="380">
        <v>4.3879999999999999E-4</v>
      </c>
      <c r="Z675" s="419">
        <v>175784</v>
      </c>
      <c r="AA675" s="419">
        <v>123498</v>
      </c>
      <c r="AB675" s="419">
        <v>123497</v>
      </c>
      <c r="AC675" s="419">
        <v>0</v>
      </c>
      <c r="AD675" s="419">
        <v>0</v>
      </c>
      <c r="AE675" s="380">
        <v>4.3879999999999999E-4</v>
      </c>
      <c r="AF675" s="380"/>
      <c r="AG675" s="419">
        <v>3822</v>
      </c>
      <c r="AH675" s="419">
        <v>2183</v>
      </c>
      <c r="AI675" s="419">
        <v>2182</v>
      </c>
      <c r="AJ675" s="419">
        <v>0</v>
      </c>
      <c r="AK675" s="419">
        <v>0</v>
      </c>
      <c r="AL675" s="380">
        <v>4.3879999999999999E-4</v>
      </c>
      <c r="AM675" s="380"/>
      <c r="AN675" s="419">
        <v>-12731</v>
      </c>
      <c r="AO675" s="419">
        <v>-12731</v>
      </c>
      <c r="AP675" s="419">
        <v>0</v>
      </c>
      <c r="AQ675" s="419">
        <v>0</v>
      </c>
      <c r="AR675" s="419">
        <v>0</v>
      </c>
    </row>
    <row r="676" spans="1:46">
      <c r="A676" s="379">
        <v>97423</v>
      </c>
      <c r="B676" t="s">
        <v>1379</v>
      </c>
      <c r="C676" s="380">
        <v>3.5299999999999997E-5</v>
      </c>
      <c r="D676" s="380"/>
      <c r="E676" s="419">
        <v>13574</v>
      </c>
      <c r="F676" s="419">
        <v>3412</v>
      </c>
      <c r="G676" s="419">
        <v>-4937</v>
      </c>
      <c r="H676" s="419">
        <v>-23668</v>
      </c>
      <c r="I676" s="419">
        <v>0</v>
      </c>
      <c r="J676" s="380">
        <v>3.5299999999999997E-5</v>
      </c>
      <c r="K676" s="380"/>
      <c r="L676" s="419">
        <v>8642</v>
      </c>
      <c r="M676" s="419">
        <v>5968</v>
      </c>
      <c r="N676" s="419">
        <v>2613</v>
      </c>
      <c r="O676" s="419">
        <v>0</v>
      </c>
      <c r="P676" s="419">
        <v>0</v>
      </c>
      <c r="Q676" s="380">
        <v>3.5299999999999997E-5</v>
      </c>
      <c r="R676" s="380"/>
      <c r="S676" s="419">
        <v>-17734</v>
      </c>
      <c r="T676" s="419">
        <v>-17528</v>
      </c>
      <c r="U676" s="419">
        <v>-18414</v>
      </c>
      <c r="V676" s="419">
        <v>-23668</v>
      </c>
      <c r="W676" s="419">
        <v>0</v>
      </c>
      <c r="X676" s="380">
        <v>3.5299999999999997E-5</v>
      </c>
      <c r="Z676" s="419">
        <v>14141</v>
      </c>
      <c r="AA676" s="419">
        <v>9935</v>
      </c>
      <c r="AB676" s="419">
        <v>9935</v>
      </c>
      <c r="AC676" s="419">
        <v>0</v>
      </c>
      <c r="AD676" s="419">
        <v>0</v>
      </c>
      <c r="AE676" s="380">
        <v>3.5299999999999997E-5</v>
      </c>
      <c r="AF676" s="380"/>
      <c r="AG676" s="419">
        <v>9992</v>
      </c>
      <c r="AH676" s="419">
        <v>6504</v>
      </c>
      <c r="AI676" s="419">
        <v>929</v>
      </c>
      <c r="AJ676" s="419">
        <v>0</v>
      </c>
      <c r="AK676" s="419">
        <v>0</v>
      </c>
      <c r="AL676" s="380">
        <v>3.5299999999999997E-5</v>
      </c>
      <c r="AM676" s="380"/>
      <c r="AN676" s="419">
        <v>-1467</v>
      </c>
      <c r="AO676" s="419">
        <v>-1467</v>
      </c>
      <c r="AP676" s="419">
        <v>0</v>
      </c>
      <c r="AQ676" s="419">
        <v>0</v>
      </c>
      <c r="AR676" s="419">
        <v>0</v>
      </c>
    </row>
    <row r="677" spans="1:46">
      <c r="A677" s="379">
        <v>97431</v>
      </c>
      <c r="B677" t="s">
        <v>1380</v>
      </c>
      <c r="C677" s="380">
        <v>9.3900000000000006E-5</v>
      </c>
      <c r="D677" s="380"/>
      <c r="E677" s="419">
        <v>17275</v>
      </c>
      <c r="F677" s="419">
        <v>-3694</v>
      </c>
      <c r="G677" s="419">
        <v>-15172</v>
      </c>
      <c r="H677" s="419">
        <v>-62958</v>
      </c>
      <c r="I677" s="419">
        <v>0</v>
      </c>
      <c r="J677" s="380">
        <v>9.3900000000000006E-5</v>
      </c>
      <c r="K677" s="380"/>
      <c r="L677" s="419">
        <v>22987</v>
      </c>
      <c r="M677" s="419">
        <v>15876</v>
      </c>
      <c r="N677" s="419">
        <v>6950</v>
      </c>
      <c r="O677" s="419">
        <v>0</v>
      </c>
      <c r="P677" s="419">
        <v>0</v>
      </c>
      <c r="Q677" s="380">
        <v>9.3900000000000006E-5</v>
      </c>
      <c r="R677" s="380"/>
      <c r="S677" s="419">
        <v>-47172</v>
      </c>
      <c r="T677" s="419">
        <v>-46627</v>
      </c>
      <c r="U677" s="419">
        <v>-48983</v>
      </c>
      <c r="V677" s="419">
        <v>-62958</v>
      </c>
      <c r="W677" s="419">
        <v>0</v>
      </c>
      <c r="X677" s="380">
        <v>9.3900000000000006E-5</v>
      </c>
      <c r="Z677" s="419">
        <v>37617</v>
      </c>
      <c r="AA677" s="419">
        <v>26428</v>
      </c>
      <c r="AB677" s="419">
        <v>26427</v>
      </c>
      <c r="AC677" s="419">
        <v>0</v>
      </c>
      <c r="AD677" s="419">
        <v>0</v>
      </c>
      <c r="AE677" s="380">
        <v>9.3900000000000006E-5</v>
      </c>
      <c r="AF677" s="380"/>
      <c r="AG677" s="419">
        <v>5619</v>
      </c>
      <c r="AH677" s="419">
        <v>2407</v>
      </c>
      <c r="AI677" s="419">
        <v>434</v>
      </c>
      <c r="AJ677" s="419">
        <v>0</v>
      </c>
      <c r="AK677" s="419">
        <v>0</v>
      </c>
      <c r="AL677" s="380">
        <v>9.3900000000000006E-5</v>
      </c>
      <c r="AM677" s="380"/>
      <c r="AN677" s="419">
        <v>-1776</v>
      </c>
      <c r="AO677" s="419">
        <v>-1778</v>
      </c>
      <c r="AP677" s="419">
        <v>0</v>
      </c>
      <c r="AQ677" s="419">
        <v>0</v>
      </c>
      <c r="AR677" s="419">
        <v>0</v>
      </c>
    </row>
    <row r="678" spans="1:46">
      <c r="A678" s="379">
        <v>97441</v>
      </c>
      <c r="B678" t="s">
        <v>1381</v>
      </c>
      <c r="C678" s="380">
        <v>5.3300000000000001E-5</v>
      </c>
      <c r="D678" s="380"/>
      <c r="E678" s="419">
        <v>-5732</v>
      </c>
      <c r="F678" s="419">
        <v>-10850</v>
      </c>
      <c r="G678" s="419">
        <v>-15571</v>
      </c>
      <c r="H678" s="419">
        <v>-35736</v>
      </c>
      <c r="I678" s="419">
        <v>0</v>
      </c>
      <c r="J678" s="380">
        <v>5.3300000000000001E-5</v>
      </c>
      <c r="K678" s="380"/>
      <c r="L678" s="419">
        <v>13048</v>
      </c>
      <c r="M678" s="419">
        <v>9012</v>
      </c>
      <c r="N678" s="419">
        <v>3945</v>
      </c>
      <c r="O678" s="419">
        <v>0</v>
      </c>
      <c r="P678" s="419">
        <v>0</v>
      </c>
      <c r="Q678" s="380">
        <v>5.3300000000000001E-5</v>
      </c>
      <c r="R678" s="380"/>
      <c r="S678" s="419">
        <v>-26776</v>
      </c>
      <c r="T678" s="419">
        <v>-26466</v>
      </c>
      <c r="U678" s="419">
        <v>-27804</v>
      </c>
      <c r="V678" s="419">
        <v>-35736</v>
      </c>
      <c r="W678" s="419">
        <v>0</v>
      </c>
      <c r="X678" s="380">
        <v>5.3300000000000001E-5</v>
      </c>
      <c r="Z678" s="419">
        <v>21352</v>
      </c>
      <c r="AA678" s="419">
        <v>15001</v>
      </c>
      <c r="AB678" s="419">
        <v>15001</v>
      </c>
      <c r="AC678" s="419">
        <v>0</v>
      </c>
      <c r="AD678" s="419">
        <v>0</v>
      </c>
      <c r="AE678" s="380">
        <v>5.3300000000000001E-5</v>
      </c>
      <c r="AF678" s="380"/>
      <c r="AG678" s="419">
        <v>0</v>
      </c>
      <c r="AH678" s="419">
        <v>0</v>
      </c>
      <c r="AI678" s="419">
        <v>0</v>
      </c>
      <c r="AJ678" s="419">
        <v>0</v>
      </c>
      <c r="AK678" s="419">
        <v>0</v>
      </c>
      <c r="AL678" s="380">
        <v>5.3300000000000001E-5</v>
      </c>
      <c r="AM678" s="380"/>
      <c r="AN678" s="419">
        <v>-13356</v>
      </c>
      <c r="AO678" s="419">
        <v>-8397</v>
      </c>
      <c r="AP678" s="419">
        <v>-6713</v>
      </c>
      <c r="AQ678" s="419">
        <v>0</v>
      </c>
      <c r="AR678" s="419">
        <v>0</v>
      </c>
    </row>
    <row r="679" spans="1:46">
      <c r="A679" s="379">
        <v>97451</v>
      </c>
      <c r="B679" t="s">
        <v>1382</v>
      </c>
      <c r="C679" s="380">
        <v>6.6299999999999996E-4</v>
      </c>
      <c r="D679" s="380"/>
      <c r="E679" s="419">
        <v>57500</v>
      </c>
      <c r="F679" s="419">
        <v>-70764</v>
      </c>
      <c r="G679" s="419">
        <v>-176224</v>
      </c>
      <c r="H679" s="419">
        <v>-444524</v>
      </c>
      <c r="I679" s="419">
        <v>0</v>
      </c>
      <c r="J679" s="380">
        <v>6.6299999999999996E-4</v>
      </c>
      <c r="K679" s="380"/>
      <c r="L679" s="419">
        <v>162308</v>
      </c>
      <c r="M679" s="419">
        <v>112095</v>
      </c>
      <c r="N679" s="419">
        <v>49070</v>
      </c>
      <c r="O679" s="419">
        <v>0</v>
      </c>
      <c r="P679" s="419">
        <v>0</v>
      </c>
      <c r="Q679" s="380">
        <v>6.6299999999999996E-4</v>
      </c>
      <c r="R679" s="380"/>
      <c r="S679" s="419">
        <v>-333070</v>
      </c>
      <c r="T679" s="419">
        <v>-329216</v>
      </c>
      <c r="U679" s="419">
        <v>-345855</v>
      </c>
      <c r="V679" s="419">
        <v>-444524</v>
      </c>
      <c r="W679" s="419">
        <v>0</v>
      </c>
      <c r="X679" s="380">
        <v>6.6299999999999996E-4</v>
      </c>
      <c r="Z679" s="419">
        <v>265599</v>
      </c>
      <c r="AA679" s="419">
        <v>186598</v>
      </c>
      <c r="AB679" s="419">
        <v>186597</v>
      </c>
      <c r="AC679" s="419">
        <v>0</v>
      </c>
      <c r="AD679" s="419">
        <v>0</v>
      </c>
      <c r="AE679" s="380">
        <v>6.6299999999999996E-4</v>
      </c>
      <c r="AF679" s="380"/>
      <c r="AG679" s="419">
        <v>29170</v>
      </c>
      <c r="AH679" s="419">
        <v>26266</v>
      </c>
      <c r="AI679" s="419">
        <v>0</v>
      </c>
      <c r="AJ679" s="419">
        <v>0</v>
      </c>
      <c r="AK679" s="419">
        <v>0</v>
      </c>
      <c r="AL679" s="380">
        <v>6.6299999999999996E-4</v>
      </c>
      <c r="AM679" s="380"/>
      <c r="AN679" s="419">
        <v>-66507</v>
      </c>
      <c r="AO679" s="419">
        <v>-66507</v>
      </c>
      <c r="AP679" s="419">
        <v>-66036</v>
      </c>
      <c r="AQ679" s="419">
        <v>0</v>
      </c>
      <c r="AR679" s="419">
        <v>0</v>
      </c>
    </row>
    <row r="680" spans="1:46">
      <c r="A680" s="379">
        <v>97461</v>
      </c>
      <c r="B680" t="s">
        <v>1383</v>
      </c>
      <c r="C680" s="380">
        <v>5.3189999999999997E-4</v>
      </c>
      <c r="D680" s="380"/>
      <c r="E680" s="419">
        <v>29276</v>
      </c>
      <c r="F680" s="419">
        <v>-61605</v>
      </c>
      <c r="G680" s="419">
        <v>-120087</v>
      </c>
      <c r="H680" s="419">
        <v>-356625</v>
      </c>
      <c r="I680" s="419">
        <v>0</v>
      </c>
      <c r="J680" s="380">
        <v>5.3189999999999997E-4</v>
      </c>
      <c r="K680" s="380"/>
      <c r="L680" s="419">
        <v>130213</v>
      </c>
      <c r="M680" s="419">
        <v>89929</v>
      </c>
      <c r="N680" s="419">
        <v>39367</v>
      </c>
      <c r="O680" s="419">
        <v>0</v>
      </c>
      <c r="P680" s="419">
        <v>0</v>
      </c>
      <c r="Q680" s="380">
        <v>5.3189999999999997E-4</v>
      </c>
      <c r="R680" s="380"/>
      <c r="S680" s="419">
        <v>-267210</v>
      </c>
      <c r="T680" s="419">
        <v>-264118</v>
      </c>
      <c r="U680" s="419">
        <v>-277466</v>
      </c>
      <c r="V680" s="419">
        <v>-356625</v>
      </c>
      <c r="W680" s="419">
        <v>0</v>
      </c>
      <c r="X680" s="380">
        <v>5.3189999999999997E-4</v>
      </c>
      <c r="Z680" s="419">
        <v>213080</v>
      </c>
      <c r="AA680" s="419">
        <v>149701</v>
      </c>
      <c r="AB680" s="419">
        <v>149700</v>
      </c>
      <c r="AC680" s="419">
        <v>0</v>
      </c>
      <c r="AD680" s="419">
        <v>0</v>
      </c>
      <c r="AE680" s="380">
        <v>5.3189999999999997E-4</v>
      </c>
      <c r="AF680" s="380"/>
      <c r="AG680" s="419">
        <v>3188</v>
      </c>
      <c r="AH680" s="419">
        <v>3188</v>
      </c>
      <c r="AI680" s="419">
        <v>0</v>
      </c>
      <c r="AJ680" s="419">
        <v>0</v>
      </c>
      <c r="AK680" s="419">
        <v>0</v>
      </c>
      <c r="AL680" s="380">
        <v>5.3189999999999997E-4</v>
      </c>
      <c r="AM680" s="380"/>
      <c r="AN680" s="419">
        <v>-49995</v>
      </c>
      <c r="AO680" s="419">
        <v>-40305</v>
      </c>
      <c r="AP680" s="419">
        <v>-31688</v>
      </c>
      <c r="AQ680" s="419">
        <v>0</v>
      </c>
      <c r="AR680" s="419">
        <v>0</v>
      </c>
    </row>
    <row r="681" spans="1:46">
      <c r="A681" s="379">
        <v>97463</v>
      </c>
      <c r="B681" t="s">
        <v>1384</v>
      </c>
      <c r="C681" s="380">
        <v>0</v>
      </c>
      <c r="D681" s="380"/>
      <c r="E681" s="419">
        <v>0</v>
      </c>
      <c r="F681" s="419">
        <v>0</v>
      </c>
      <c r="G681" s="419">
        <v>0</v>
      </c>
      <c r="H681" s="419">
        <v>0</v>
      </c>
      <c r="I681" s="419">
        <v>0</v>
      </c>
      <c r="J681" s="380">
        <v>0</v>
      </c>
      <c r="K681" s="380"/>
      <c r="L681" s="419">
        <v>0</v>
      </c>
      <c r="M681" s="419">
        <v>0</v>
      </c>
      <c r="N681" s="419">
        <v>0</v>
      </c>
      <c r="O681" s="419">
        <v>0</v>
      </c>
      <c r="P681" s="419">
        <v>0</v>
      </c>
      <c r="Q681" s="380">
        <v>0</v>
      </c>
      <c r="R681" s="380"/>
      <c r="S681" s="419">
        <v>0</v>
      </c>
      <c r="T681" s="419">
        <v>0</v>
      </c>
      <c r="U681" s="419">
        <v>0</v>
      </c>
      <c r="V681" s="419">
        <v>0</v>
      </c>
      <c r="W681" s="419">
        <v>0</v>
      </c>
      <c r="X681" s="380">
        <v>0</v>
      </c>
      <c r="Z681" s="419">
        <v>0</v>
      </c>
      <c r="AA681" s="419">
        <v>0</v>
      </c>
      <c r="AB681" s="419">
        <v>0</v>
      </c>
      <c r="AC681" s="419">
        <v>0</v>
      </c>
      <c r="AD681" s="419">
        <v>0</v>
      </c>
      <c r="AE681" s="380">
        <v>0</v>
      </c>
      <c r="AF681" s="380"/>
      <c r="AG681" s="419">
        <v>0</v>
      </c>
      <c r="AH681" s="419">
        <v>0</v>
      </c>
      <c r="AI681" s="419">
        <v>0</v>
      </c>
      <c r="AJ681" s="419">
        <v>0</v>
      </c>
      <c r="AK681" s="419">
        <v>0</v>
      </c>
      <c r="AL681" s="380">
        <v>0</v>
      </c>
      <c r="AM681" s="380"/>
      <c r="AN681" s="419">
        <v>-5607</v>
      </c>
      <c r="AO681" s="419">
        <v>0</v>
      </c>
      <c r="AP681" s="419">
        <v>0</v>
      </c>
      <c r="AQ681" s="419">
        <v>0</v>
      </c>
      <c r="AR681" s="419">
        <v>0</v>
      </c>
    </row>
    <row r="682" spans="1:46">
      <c r="A682" s="379">
        <v>97471</v>
      </c>
      <c r="B682" t="s">
        <v>1385</v>
      </c>
      <c r="C682" s="380">
        <v>2.0100000000000001E-5</v>
      </c>
      <c r="D682" s="380"/>
      <c r="E682" s="419">
        <v>10075</v>
      </c>
      <c r="F682" s="419">
        <v>4648</v>
      </c>
      <c r="G682" s="419">
        <v>-237</v>
      </c>
      <c r="H682" s="419">
        <v>-13477</v>
      </c>
      <c r="I682" s="419">
        <v>0</v>
      </c>
      <c r="J682" s="380">
        <v>2.0100000000000001E-5</v>
      </c>
      <c r="K682" s="380"/>
      <c r="L682" s="419">
        <v>4921</v>
      </c>
      <c r="M682" s="419">
        <v>3398</v>
      </c>
      <c r="N682" s="419">
        <v>1488</v>
      </c>
      <c r="O682" s="419">
        <v>0</v>
      </c>
      <c r="P682" s="419">
        <v>0</v>
      </c>
      <c r="Q682" s="380">
        <v>2.0100000000000001E-5</v>
      </c>
      <c r="R682" s="380"/>
      <c r="S682" s="419">
        <v>-10098</v>
      </c>
      <c r="T682" s="419">
        <v>-9981</v>
      </c>
      <c r="U682" s="419">
        <v>-10485</v>
      </c>
      <c r="V682" s="419">
        <v>-13477</v>
      </c>
      <c r="W682" s="419">
        <v>0</v>
      </c>
      <c r="X682" s="380">
        <v>2.0100000000000001E-5</v>
      </c>
      <c r="Z682" s="419">
        <v>8052</v>
      </c>
      <c r="AA682" s="419">
        <v>5657</v>
      </c>
      <c r="AB682" s="419">
        <v>5657</v>
      </c>
      <c r="AC682" s="419">
        <v>0</v>
      </c>
      <c r="AD682" s="419">
        <v>0</v>
      </c>
      <c r="AE682" s="380">
        <v>2.0100000000000001E-5</v>
      </c>
      <c r="AF682" s="380"/>
      <c r="AG682" s="419">
        <v>7200</v>
      </c>
      <c r="AH682" s="419">
        <v>5574</v>
      </c>
      <c r="AI682" s="419">
        <v>3103</v>
      </c>
      <c r="AJ682" s="419">
        <v>0</v>
      </c>
      <c r="AK682" s="419">
        <v>0</v>
      </c>
      <c r="AL682" s="380">
        <v>2.0100000000000001E-5</v>
      </c>
      <c r="AM682" s="380"/>
      <c r="AN682" s="419">
        <v>0</v>
      </c>
      <c r="AO682" s="419">
        <v>0</v>
      </c>
      <c r="AP682" s="419">
        <v>0</v>
      </c>
      <c r="AQ682" s="419">
        <v>0</v>
      </c>
      <c r="AR682" s="419">
        <v>0</v>
      </c>
    </row>
    <row r="683" spans="1:46">
      <c r="A683" s="379">
        <v>97481</v>
      </c>
      <c r="B683" t="s">
        <v>1386</v>
      </c>
      <c r="C683" s="380">
        <v>2.0999999999999998E-6</v>
      </c>
      <c r="D683" s="380"/>
      <c r="E683" s="419">
        <v>-394</v>
      </c>
      <c r="F683" s="419">
        <v>-921</v>
      </c>
      <c r="G683" s="419">
        <v>151</v>
      </c>
      <c r="H683" s="419">
        <v>-1408</v>
      </c>
      <c r="I683" s="419">
        <v>0</v>
      </c>
      <c r="J683" s="380">
        <v>2.0999999999999998E-6</v>
      </c>
      <c r="K683" s="380"/>
      <c r="L683" s="419">
        <v>514</v>
      </c>
      <c r="M683" s="419">
        <v>355</v>
      </c>
      <c r="N683" s="419">
        <v>155</v>
      </c>
      <c r="O683" s="419">
        <v>0</v>
      </c>
      <c r="P683" s="419">
        <v>0</v>
      </c>
      <c r="Q683" s="380">
        <v>2.0999999999999998E-6</v>
      </c>
      <c r="R683" s="380"/>
      <c r="S683" s="419">
        <v>-1055</v>
      </c>
      <c r="T683" s="419">
        <v>-1043</v>
      </c>
      <c r="U683" s="419">
        <v>-1095</v>
      </c>
      <c r="V683" s="419">
        <v>-1408</v>
      </c>
      <c r="W683" s="419">
        <v>0</v>
      </c>
      <c r="X683" s="380">
        <v>2.0999999999999998E-6</v>
      </c>
      <c r="Z683" s="419">
        <v>841</v>
      </c>
      <c r="AA683" s="419">
        <v>591</v>
      </c>
      <c r="AB683" s="419">
        <v>591</v>
      </c>
      <c r="AC683" s="419">
        <v>0</v>
      </c>
      <c r="AD683" s="419">
        <v>0</v>
      </c>
      <c r="AE683" s="380">
        <v>2.0999999999999998E-6</v>
      </c>
      <c r="AF683" s="380"/>
      <c r="AG683" s="419">
        <v>1431</v>
      </c>
      <c r="AH683" s="419">
        <v>1300</v>
      </c>
      <c r="AI683" s="419">
        <v>500</v>
      </c>
      <c r="AJ683" s="419">
        <v>0</v>
      </c>
      <c r="AK683" s="419">
        <v>0</v>
      </c>
      <c r="AL683" s="380">
        <v>2.0999999999999998E-6</v>
      </c>
      <c r="AM683" s="380"/>
      <c r="AN683" s="419">
        <v>-2125</v>
      </c>
      <c r="AO683" s="419">
        <v>-2124</v>
      </c>
      <c r="AP683" s="419">
        <v>0</v>
      </c>
      <c r="AQ683" s="419">
        <v>0</v>
      </c>
      <c r="AR683" s="419">
        <v>0</v>
      </c>
    </row>
    <row r="684" spans="1:46">
      <c r="A684" s="379">
        <v>97491</v>
      </c>
      <c r="B684" t="s">
        <v>3720</v>
      </c>
      <c r="C684" s="380">
        <v>0</v>
      </c>
      <c r="D684" s="380"/>
      <c r="E684" s="419">
        <v>0</v>
      </c>
      <c r="F684" s="419">
        <v>0</v>
      </c>
      <c r="G684" s="419">
        <v>0</v>
      </c>
      <c r="H684" s="419">
        <v>0</v>
      </c>
      <c r="I684" s="419">
        <v>0</v>
      </c>
      <c r="J684" s="380"/>
      <c r="K684" s="380">
        <v>0</v>
      </c>
      <c r="L684" s="419">
        <v>0</v>
      </c>
      <c r="M684" s="419">
        <v>0</v>
      </c>
      <c r="N684" s="419">
        <v>0</v>
      </c>
      <c r="O684" s="419">
        <v>0</v>
      </c>
      <c r="P684" s="419">
        <v>0</v>
      </c>
      <c r="Q684" s="380"/>
      <c r="R684" s="380">
        <v>0</v>
      </c>
      <c r="S684" s="419">
        <v>0</v>
      </c>
      <c r="T684" s="419">
        <v>0</v>
      </c>
      <c r="U684" s="419">
        <v>0</v>
      </c>
      <c r="V684" s="419">
        <v>0</v>
      </c>
      <c r="W684" s="419">
        <v>0</v>
      </c>
      <c r="X684" s="380"/>
      <c r="Y684" s="419">
        <v>0</v>
      </c>
      <c r="Z684" s="419">
        <v>0</v>
      </c>
      <c r="AA684" s="419">
        <v>0</v>
      </c>
      <c r="AB684" s="419">
        <v>0</v>
      </c>
      <c r="AC684" s="419">
        <v>0</v>
      </c>
      <c r="AD684" s="419">
        <v>0</v>
      </c>
      <c r="AE684" s="380"/>
      <c r="AF684" s="380">
        <v>0</v>
      </c>
      <c r="AG684" s="419">
        <v>0</v>
      </c>
      <c r="AH684" s="419">
        <v>0</v>
      </c>
      <c r="AI684" s="419">
        <v>0</v>
      </c>
      <c r="AJ684" s="419">
        <v>0</v>
      </c>
      <c r="AK684" s="419">
        <v>0</v>
      </c>
      <c r="AL684" s="380"/>
      <c r="AM684" s="380">
        <v>0</v>
      </c>
      <c r="AN684" s="419">
        <v>0</v>
      </c>
      <c r="AO684" s="419">
        <v>0</v>
      </c>
      <c r="AP684" s="419">
        <v>0</v>
      </c>
      <c r="AQ684" s="419">
        <v>0</v>
      </c>
      <c r="AR684" s="419">
        <v>0</v>
      </c>
      <c r="AS684" s="419">
        <v>0</v>
      </c>
      <c r="AT684" s="419">
        <v>0</v>
      </c>
    </row>
    <row r="685" spans="1:46">
      <c r="A685" s="379">
        <v>97501</v>
      </c>
      <c r="B685" t="s">
        <v>1388</v>
      </c>
      <c r="C685" s="380">
        <v>1.2677999999999999E-3</v>
      </c>
      <c r="D685" s="380"/>
      <c r="E685" s="419">
        <v>246063</v>
      </c>
      <c r="F685" s="419">
        <v>7167</v>
      </c>
      <c r="G685" s="419">
        <v>-185259</v>
      </c>
      <c r="H685" s="419">
        <v>-850027</v>
      </c>
      <c r="I685" s="419">
        <v>0</v>
      </c>
      <c r="J685" s="380">
        <v>1.2677999999999999E-3</v>
      </c>
      <c r="K685" s="380"/>
      <c r="L685" s="419">
        <v>310368</v>
      </c>
      <c r="M685" s="419">
        <v>214349</v>
      </c>
      <c r="N685" s="419">
        <v>93832</v>
      </c>
      <c r="O685" s="419">
        <v>0</v>
      </c>
      <c r="P685" s="419">
        <v>0</v>
      </c>
      <c r="Q685" s="380">
        <v>1.2677999999999999E-3</v>
      </c>
      <c r="R685" s="380"/>
      <c r="S685" s="419">
        <v>-636902</v>
      </c>
      <c r="T685" s="419">
        <v>-629532</v>
      </c>
      <c r="U685" s="419">
        <v>-661349</v>
      </c>
      <c r="V685" s="419">
        <v>-850027</v>
      </c>
      <c r="W685" s="419">
        <v>0</v>
      </c>
      <c r="X685" s="380">
        <v>1.2677999999999999E-3</v>
      </c>
      <c r="Z685" s="419">
        <v>507883</v>
      </c>
      <c r="AA685" s="419">
        <v>356816</v>
      </c>
      <c r="AB685" s="419">
        <v>356813</v>
      </c>
      <c r="AC685" s="419">
        <v>0</v>
      </c>
      <c r="AD685" s="419">
        <v>0</v>
      </c>
      <c r="AE685" s="380">
        <v>1.2677999999999999E-3</v>
      </c>
      <c r="AF685" s="380"/>
      <c r="AG685" s="419">
        <v>65533</v>
      </c>
      <c r="AH685" s="419">
        <v>65534</v>
      </c>
      <c r="AI685" s="419">
        <v>25445</v>
      </c>
      <c r="AJ685" s="419">
        <v>0</v>
      </c>
      <c r="AK685" s="419">
        <v>0</v>
      </c>
      <c r="AL685" s="380">
        <v>1.2677999999999999E-3</v>
      </c>
      <c r="AM685" s="380"/>
      <c r="AN685" s="419">
        <v>-819</v>
      </c>
      <c r="AO685" s="419">
        <v>0</v>
      </c>
      <c r="AP685" s="419">
        <v>0</v>
      </c>
      <c r="AQ685" s="419">
        <v>0</v>
      </c>
      <c r="AR685" s="419">
        <v>0</v>
      </c>
    </row>
    <row r="686" spans="1:46">
      <c r="A686" s="379">
        <v>97517</v>
      </c>
      <c r="B686" t="s">
        <v>3740</v>
      </c>
      <c r="C686" s="380">
        <v>0</v>
      </c>
      <c r="D686" s="380"/>
      <c r="E686" s="419">
        <v>359</v>
      </c>
      <c r="F686" s="419">
        <v>359</v>
      </c>
      <c r="G686" s="419">
        <v>360</v>
      </c>
      <c r="H686" s="419">
        <v>0</v>
      </c>
      <c r="I686" s="419">
        <v>0</v>
      </c>
      <c r="J686" s="380">
        <v>0</v>
      </c>
      <c r="K686" s="380"/>
      <c r="L686" s="419">
        <v>0</v>
      </c>
      <c r="M686" s="419">
        <v>0</v>
      </c>
      <c r="N686" s="419">
        <v>0</v>
      </c>
      <c r="O686" s="419">
        <v>0</v>
      </c>
      <c r="P686" s="419">
        <v>0</v>
      </c>
      <c r="Q686" s="380">
        <v>0</v>
      </c>
      <c r="R686" s="380"/>
      <c r="S686" s="419">
        <v>0</v>
      </c>
      <c r="T686" s="419">
        <v>0</v>
      </c>
      <c r="U686" s="419">
        <v>0</v>
      </c>
      <c r="V686" s="419">
        <v>0</v>
      </c>
      <c r="W686" s="419">
        <v>0</v>
      </c>
      <c r="X686" s="380">
        <v>0</v>
      </c>
      <c r="Z686" s="419">
        <v>0</v>
      </c>
      <c r="AA686" s="419">
        <v>0</v>
      </c>
      <c r="AB686" s="419">
        <v>0</v>
      </c>
      <c r="AC686" s="419">
        <v>0</v>
      </c>
      <c r="AD686" s="419">
        <v>0</v>
      </c>
      <c r="AE686" s="380">
        <v>0</v>
      </c>
      <c r="AF686" s="380"/>
      <c r="AG686" s="419">
        <v>359</v>
      </c>
      <c r="AH686" s="419">
        <v>359</v>
      </c>
      <c r="AI686" s="419">
        <v>360</v>
      </c>
      <c r="AJ686" s="419">
        <v>0</v>
      </c>
      <c r="AK686" s="419">
        <v>0</v>
      </c>
      <c r="AL686" s="380">
        <v>0</v>
      </c>
      <c r="AM686" s="380"/>
      <c r="AN686" s="419">
        <v>0</v>
      </c>
      <c r="AO686" s="419">
        <v>0</v>
      </c>
      <c r="AP686" s="419">
        <v>0</v>
      </c>
      <c r="AQ686" s="419">
        <v>0</v>
      </c>
      <c r="AR686" s="419">
        <v>0</v>
      </c>
    </row>
    <row r="687" spans="1:46">
      <c r="A687" s="379">
        <v>97511</v>
      </c>
      <c r="B687" t="s">
        <v>1389</v>
      </c>
      <c r="C687" s="380">
        <v>2.388E-4</v>
      </c>
      <c r="D687" s="380"/>
      <c r="E687" s="419">
        <v>59013</v>
      </c>
      <c r="F687" s="419">
        <v>20732</v>
      </c>
      <c r="G687" s="419">
        <v>-26975</v>
      </c>
      <c r="H687" s="419">
        <v>-160109</v>
      </c>
      <c r="I687" s="419">
        <v>0</v>
      </c>
      <c r="J687" s="380">
        <v>2.388E-4</v>
      </c>
      <c r="K687" s="380"/>
      <c r="L687" s="419">
        <v>58460</v>
      </c>
      <c r="M687" s="419">
        <v>40374</v>
      </c>
      <c r="N687" s="419">
        <v>17674</v>
      </c>
      <c r="O687" s="419">
        <v>0</v>
      </c>
      <c r="P687" s="419">
        <v>0</v>
      </c>
      <c r="Q687" s="380">
        <v>2.388E-4</v>
      </c>
      <c r="R687" s="380"/>
      <c r="S687" s="419">
        <v>-119965</v>
      </c>
      <c r="T687" s="419">
        <v>-118577</v>
      </c>
      <c r="U687" s="419">
        <v>-124570</v>
      </c>
      <c r="V687" s="419">
        <v>-160109</v>
      </c>
      <c r="W687" s="419">
        <v>0</v>
      </c>
      <c r="X687" s="380">
        <v>2.388E-4</v>
      </c>
      <c r="Z687" s="419">
        <v>95664</v>
      </c>
      <c r="AA687" s="419">
        <v>67209</v>
      </c>
      <c r="AB687" s="419">
        <v>67209</v>
      </c>
      <c r="AC687" s="419">
        <v>0</v>
      </c>
      <c r="AD687" s="419">
        <v>0</v>
      </c>
      <c r="AE687" s="380">
        <v>2.388E-4</v>
      </c>
      <c r="AF687" s="380"/>
      <c r="AG687" s="419">
        <v>31728</v>
      </c>
      <c r="AH687" s="419">
        <v>31726</v>
      </c>
      <c r="AI687" s="419">
        <v>12712</v>
      </c>
      <c r="AJ687" s="419">
        <v>0</v>
      </c>
      <c r="AK687" s="419">
        <v>0</v>
      </c>
      <c r="AL687" s="380">
        <v>2.388E-4</v>
      </c>
      <c r="AM687" s="380"/>
      <c r="AN687" s="419">
        <v>-6874</v>
      </c>
      <c r="AO687" s="419">
        <v>0</v>
      </c>
      <c r="AP687" s="419">
        <v>0</v>
      </c>
      <c r="AQ687" s="419">
        <v>0</v>
      </c>
      <c r="AR687" s="419">
        <v>0</v>
      </c>
    </row>
    <row r="688" spans="1:46">
      <c r="A688" s="379">
        <v>97521</v>
      </c>
      <c r="B688" t="s">
        <v>1390</v>
      </c>
      <c r="C688" s="380">
        <v>1.3080000000000001E-4</v>
      </c>
      <c r="D688" s="380"/>
      <c r="E688" s="419">
        <v>19010</v>
      </c>
      <c r="F688" s="419">
        <v>-4606</v>
      </c>
      <c r="G688" s="419">
        <v>-23499</v>
      </c>
      <c r="H688" s="419">
        <v>-87698</v>
      </c>
      <c r="I688" s="419">
        <v>0</v>
      </c>
      <c r="J688" s="380">
        <v>1.3080000000000001E-4</v>
      </c>
      <c r="K688" s="380"/>
      <c r="L688" s="419">
        <v>32021</v>
      </c>
      <c r="M688" s="419">
        <v>22115</v>
      </c>
      <c r="N688" s="419">
        <v>9681</v>
      </c>
      <c r="O688" s="419">
        <v>0</v>
      </c>
      <c r="P688" s="419">
        <v>0</v>
      </c>
      <c r="Q688" s="380">
        <v>1.3080000000000001E-4</v>
      </c>
      <c r="R688" s="380"/>
      <c r="S688" s="419">
        <v>-65710</v>
      </c>
      <c r="T688" s="419">
        <v>-64949</v>
      </c>
      <c r="U688" s="419">
        <v>-68232</v>
      </c>
      <c r="V688" s="419">
        <v>-87698</v>
      </c>
      <c r="W688" s="419">
        <v>0</v>
      </c>
      <c r="X688" s="380">
        <v>1.3080000000000001E-4</v>
      </c>
      <c r="Z688" s="419">
        <v>52399</v>
      </c>
      <c r="AA688" s="419">
        <v>36813</v>
      </c>
      <c r="AB688" s="419">
        <v>36813</v>
      </c>
      <c r="AC688" s="419">
        <v>0</v>
      </c>
      <c r="AD688" s="419">
        <v>0</v>
      </c>
      <c r="AE688" s="380">
        <v>1.3080000000000001E-4</v>
      </c>
      <c r="AF688" s="380"/>
      <c r="AG688" s="419">
        <v>6139</v>
      </c>
      <c r="AH688" s="419">
        <v>6139</v>
      </c>
      <c r="AI688" s="419">
        <v>0</v>
      </c>
      <c r="AJ688" s="419">
        <v>0</v>
      </c>
      <c r="AK688" s="419">
        <v>0</v>
      </c>
      <c r="AL688" s="380">
        <v>1.3080000000000001E-4</v>
      </c>
      <c r="AM688" s="380"/>
      <c r="AN688" s="419">
        <v>-5839</v>
      </c>
      <c r="AO688" s="419">
        <v>-4724</v>
      </c>
      <c r="AP688" s="419">
        <v>-1761</v>
      </c>
      <c r="AQ688" s="419">
        <v>0</v>
      </c>
      <c r="AR688" s="419">
        <v>0</v>
      </c>
    </row>
    <row r="689" spans="1:44">
      <c r="A689" s="379">
        <v>97527</v>
      </c>
      <c r="B689" t="s">
        <v>1641</v>
      </c>
      <c r="C689" s="380">
        <v>6.0000000000000002E-6</v>
      </c>
      <c r="D689" s="380"/>
      <c r="E689" s="419">
        <v>1018</v>
      </c>
      <c r="F689" s="419">
        <v>-981</v>
      </c>
      <c r="G689" s="419">
        <v>369</v>
      </c>
      <c r="H689" s="419">
        <v>-4023</v>
      </c>
      <c r="I689" s="419">
        <v>0</v>
      </c>
      <c r="J689" s="380">
        <v>6.0000000000000002E-6</v>
      </c>
      <c r="K689" s="380"/>
      <c r="L689" s="419">
        <v>1469</v>
      </c>
      <c r="M689" s="419">
        <v>1014</v>
      </c>
      <c r="N689" s="419">
        <v>444</v>
      </c>
      <c r="O689" s="419">
        <v>0</v>
      </c>
      <c r="P689" s="419">
        <v>0</v>
      </c>
      <c r="Q689" s="380">
        <v>6.0000000000000002E-6</v>
      </c>
      <c r="R689" s="380"/>
      <c r="S689" s="419">
        <v>-3014</v>
      </c>
      <c r="T689" s="419">
        <v>-2979</v>
      </c>
      <c r="U689" s="419">
        <v>-3130</v>
      </c>
      <c r="V689" s="419">
        <v>-4023</v>
      </c>
      <c r="W689" s="419">
        <v>0</v>
      </c>
      <c r="X689" s="380">
        <v>6.0000000000000002E-6</v>
      </c>
      <c r="Z689" s="419">
        <v>2404</v>
      </c>
      <c r="AA689" s="419">
        <v>1689</v>
      </c>
      <c r="AB689" s="419">
        <v>1689</v>
      </c>
      <c r="AC689" s="419">
        <v>0</v>
      </c>
      <c r="AD689" s="419">
        <v>0</v>
      </c>
      <c r="AE689" s="380">
        <v>6.0000000000000002E-6</v>
      </c>
      <c r="AF689" s="380"/>
      <c r="AG689" s="419">
        <v>4795</v>
      </c>
      <c r="AH689" s="419">
        <v>3930</v>
      </c>
      <c r="AI689" s="419">
        <v>1366</v>
      </c>
      <c r="AJ689" s="419">
        <v>0</v>
      </c>
      <c r="AK689" s="419">
        <v>0</v>
      </c>
      <c r="AL689" s="380">
        <v>6.0000000000000002E-6</v>
      </c>
      <c r="AM689" s="380"/>
      <c r="AN689" s="419">
        <v>-4636</v>
      </c>
      <c r="AO689" s="419">
        <v>-4635</v>
      </c>
      <c r="AP689" s="419">
        <v>0</v>
      </c>
      <c r="AQ689" s="419">
        <v>0</v>
      </c>
      <c r="AR689" s="419">
        <v>0</v>
      </c>
    </row>
    <row r="690" spans="1:44">
      <c r="A690" s="379">
        <v>97531</v>
      </c>
      <c r="B690" t="s">
        <v>1391</v>
      </c>
      <c r="C690" s="380">
        <v>8.2000000000000001E-5</v>
      </c>
      <c r="D690" s="380"/>
      <c r="E690" s="419">
        <v>19402</v>
      </c>
      <c r="F690" s="419">
        <v>1359</v>
      </c>
      <c r="G690" s="419">
        <v>-6538</v>
      </c>
      <c r="H690" s="419">
        <v>-54979</v>
      </c>
      <c r="I690" s="419">
        <v>0</v>
      </c>
      <c r="J690" s="380">
        <v>8.2000000000000001E-5</v>
      </c>
      <c r="K690" s="380"/>
      <c r="L690" s="419">
        <v>20074</v>
      </c>
      <c r="M690" s="419">
        <v>13864</v>
      </c>
      <c r="N690" s="419">
        <v>6069</v>
      </c>
      <c r="O690" s="419">
        <v>0</v>
      </c>
      <c r="P690" s="419">
        <v>0</v>
      </c>
      <c r="Q690" s="380">
        <v>8.2000000000000001E-5</v>
      </c>
      <c r="R690" s="380"/>
      <c r="S690" s="419">
        <v>-41194</v>
      </c>
      <c r="T690" s="419">
        <v>-40718</v>
      </c>
      <c r="U690" s="419">
        <v>-42775</v>
      </c>
      <c r="V690" s="419">
        <v>-54979</v>
      </c>
      <c r="W690" s="419">
        <v>0</v>
      </c>
      <c r="X690" s="380">
        <v>8.2000000000000001E-5</v>
      </c>
      <c r="Z690" s="419">
        <v>32849</v>
      </c>
      <c r="AA690" s="419">
        <v>23078</v>
      </c>
      <c r="AB690" s="419">
        <v>23078</v>
      </c>
      <c r="AC690" s="419">
        <v>0</v>
      </c>
      <c r="AD690" s="419">
        <v>0</v>
      </c>
      <c r="AE690" s="380">
        <v>8.2000000000000001E-5</v>
      </c>
      <c r="AF690" s="380"/>
      <c r="AG690" s="419">
        <v>14489</v>
      </c>
      <c r="AH690" s="419">
        <v>11950</v>
      </c>
      <c r="AI690" s="419">
        <v>7090</v>
      </c>
      <c r="AJ690" s="419">
        <v>0</v>
      </c>
      <c r="AK690" s="419">
        <v>0</v>
      </c>
      <c r="AL690" s="380">
        <v>8.2000000000000001E-5</v>
      </c>
      <c r="AM690" s="380"/>
      <c r="AN690" s="419">
        <v>-6816</v>
      </c>
      <c r="AO690" s="419">
        <v>-6815</v>
      </c>
      <c r="AP690" s="419">
        <v>0</v>
      </c>
      <c r="AQ690" s="419">
        <v>0</v>
      </c>
      <c r="AR690" s="419">
        <v>0</v>
      </c>
    </row>
    <row r="691" spans="1:44">
      <c r="A691" s="379">
        <v>97601</v>
      </c>
      <c r="B691" t="s">
        <v>1392</v>
      </c>
      <c r="C691" s="380">
        <v>5.3641000000000001E-3</v>
      </c>
      <c r="D691" s="380"/>
      <c r="E691" s="419">
        <v>737255</v>
      </c>
      <c r="F691" s="419">
        <v>-274301</v>
      </c>
      <c r="G691" s="419">
        <v>-882418</v>
      </c>
      <c r="H691" s="419">
        <v>-3596490</v>
      </c>
      <c r="I691" s="419">
        <v>0</v>
      </c>
      <c r="J691" s="380">
        <v>5.3641000000000001E-3</v>
      </c>
      <c r="K691" s="380"/>
      <c r="L691" s="419">
        <v>1313175</v>
      </c>
      <c r="M691" s="419">
        <v>906919</v>
      </c>
      <c r="N691" s="419">
        <v>397008</v>
      </c>
      <c r="O691" s="419">
        <v>0</v>
      </c>
      <c r="P691" s="419">
        <v>0</v>
      </c>
      <c r="Q691" s="380">
        <v>5.3641000000000001E-3</v>
      </c>
      <c r="R691" s="380"/>
      <c r="S691" s="419">
        <v>-2694752</v>
      </c>
      <c r="T691" s="419">
        <v>-2663571</v>
      </c>
      <c r="U691" s="419">
        <v>-2798188</v>
      </c>
      <c r="V691" s="419">
        <v>-3596490</v>
      </c>
      <c r="W691" s="419">
        <v>0</v>
      </c>
      <c r="X691" s="380">
        <v>5.3641000000000001E-3</v>
      </c>
      <c r="Z691" s="419">
        <v>2148869</v>
      </c>
      <c r="AA691" s="419">
        <v>1509699</v>
      </c>
      <c r="AB691" s="419">
        <v>1509688</v>
      </c>
      <c r="AC691" s="419">
        <v>0</v>
      </c>
      <c r="AD691" s="419">
        <v>0</v>
      </c>
      <c r="AE691" s="380">
        <v>5.3641000000000001E-3</v>
      </c>
      <c r="AF691" s="380"/>
      <c r="AG691" s="419">
        <v>9076</v>
      </c>
      <c r="AH691" s="419">
        <v>9076</v>
      </c>
      <c r="AI691" s="419">
        <v>9074</v>
      </c>
      <c r="AJ691" s="419">
        <v>0</v>
      </c>
      <c r="AK691" s="419">
        <v>0</v>
      </c>
      <c r="AL691" s="380">
        <v>5.3641000000000001E-3</v>
      </c>
      <c r="AM691" s="380"/>
      <c r="AN691" s="419">
        <v>-39113</v>
      </c>
      <c r="AO691" s="419">
        <v>-36424</v>
      </c>
      <c r="AP691" s="419">
        <v>0</v>
      </c>
      <c r="AQ691" s="419">
        <v>0</v>
      </c>
      <c r="AR691" s="419">
        <v>0</v>
      </c>
    </row>
    <row r="692" spans="1:44">
      <c r="A692" s="379">
        <v>97607</v>
      </c>
      <c r="B692" t="s">
        <v>1393</v>
      </c>
      <c r="C692" s="380">
        <v>2.5599999999999999E-5</v>
      </c>
      <c r="D692" s="380"/>
      <c r="E692" s="419">
        <v>14272</v>
      </c>
      <c r="F692" s="419">
        <v>8000</v>
      </c>
      <c r="G692" s="419">
        <v>1963</v>
      </c>
      <c r="H692" s="419">
        <v>-17164</v>
      </c>
      <c r="I692" s="419">
        <v>0</v>
      </c>
      <c r="J692" s="380">
        <v>2.5599999999999999E-5</v>
      </c>
      <c r="K692" s="380"/>
      <c r="L692" s="419">
        <v>6267</v>
      </c>
      <c r="M692" s="419">
        <v>4328</v>
      </c>
      <c r="N692" s="419">
        <v>1895</v>
      </c>
      <c r="O692" s="419">
        <v>0</v>
      </c>
      <c r="P692" s="419">
        <v>0</v>
      </c>
      <c r="Q692" s="380">
        <v>2.5599999999999999E-5</v>
      </c>
      <c r="R692" s="380"/>
      <c r="S692" s="419">
        <v>-12861</v>
      </c>
      <c r="T692" s="419">
        <v>-12712</v>
      </c>
      <c r="U692" s="419">
        <v>-13354</v>
      </c>
      <c r="V692" s="419">
        <v>-17164</v>
      </c>
      <c r="W692" s="419">
        <v>0</v>
      </c>
      <c r="X692" s="380">
        <v>2.5599999999999999E-5</v>
      </c>
      <c r="Z692" s="419">
        <v>10255</v>
      </c>
      <c r="AA692" s="419">
        <v>7205</v>
      </c>
      <c r="AB692" s="419">
        <v>7205</v>
      </c>
      <c r="AC692" s="419">
        <v>0</v>
      </c>
      <c r="AD692" s="419">
        <v>0</v>
      </c>
      <c r="AE692" s="380">
        <v>2.5599999999999999E-5</v>
      </c>
      <c r="AF692" s="380"/>
      <c r="AG692" s="419">
        <v>10611</v>
      </c>
      <c r="AH692" s="419">
        <v>9179</v>
      </c>
      <c r="AI692" s="419">
        <v>6217</v>
      </c>
      <c r="AJ692" s="419">
        <v>0</v>
      </c>
      <c r="AK692" s="419">
        <v>0</v>
      </c>
      <c r="AL692" s="380">
        <v>2.5599999999999999E-5</v>
      </c>
      <c r="AM692" s="380"/>
      <c r="AN692" s="419">
        <v>0</v>
      </c>
      <c r="AO692" s="419">
        <v>0</v>
      </c>
      <c r="AP692" s="419">
        <v>0</v>
      </c>
      <c r="AQ692" s="419">
        <v>0</v>
      </c>
      <c r="AR692" s="419">
        <v>0</v>
      </c>
    </row>
    <row r="693" spans="1:44">
      <c r="A693" s="379">
        <v>97611</v>
      </c>
      <c r="B693" t="s">
        <v>1394</v>
      </c>
      <c r="C693" s="380">
        <v>2.4091999999999998E-3</v>
      </c>
      <c r="D693" s="380"/>
      <c r="E693" s="419">
        <v>361634</v>
      </c>
      <c r="F693" s="419">
        <v>-68369</v>
      </c>
      <c r="G693" s="419">
        <v>-405347</v>
      </c>
      <c r="H693" s="419">
        <v>-1615306</v>
      </c>
      <c r="I693" s="419">
        <v>0</v>
      </c>
      <c r="J693" s="380">
        <v>2.4091999999999998E-3</v>
      </c>
      <c r="K693" s="380"/>
      <c r="L693" s="419">
        <v>589791</v>
      </c>
      <c r="M693" s="419">
        <v>407328</v>
      </c>
      <c r="N693" s="419">
        <v>178310</v>
      </c>
      <c r="O693" s="419">
        <v>0</v>
      </c>
      <c r="P693" s="419">
        <v>0</v>
      </c>
      <c r="Q693" s="380">
        <v>2.4091999999999998E-3</v>
      </c>
      <c r="R693" s="380"/>
      <c r="S693" s="419">
        <v>-1210305</v>
      </c>
      <c r="T693" s="419">
        <v>-1196300</v>
      </c>
      <c r="U693" s="419">
        <v>-1256762</v>
      </c>
      <c r="V693" s="419">
        <v>-1615306</v>
      </c>
      <c r="W693" s="419">
        <v>0</v>
      </c>
      <c r="X693" s="380">
        <v>2.4091999999999998E-3</v>
      </c>
      <c r="Z693" s="419">
        <v>965130</v>
      </c>
      <c r="AA693" s="419">
        <v>678057</v>
      </c>
      <c r="AB693" s="419">
        <v>678052</v>
      </c>
      <c r="AC693" s="419">
        <v>0</v>
      </c>
      <c r="AD693" s="419">
        <v>0</v>
      </c>
      <c r="AE693" s="380">
        <v>2.4091999999999998E-3</v>
      </c>
      <c r="AF693" s="380"/>
      <c r="AG693" s="419">
        <v>49774</v>
      </c>
      <c r="AH693" s="419">
        <v>49773</v>
      </c>
      <c r="AI693" s="419">
        <v>0</v>
      </c>
      <c r="AJ693" s="419">
        <v>0</v>
      </c>
      <c r="AK693" s="419">
        <v>0</v>
      </c>
      <c r="AL693" s="380">
        <v>2.4091999999999998E-3</v>
      </c>
      <c r="AM693" s="380"/>
      <c r="AN693" s="419">
        <v>-32756</v>
      </c>
      <c r="AO693" s="419">
        <v>-7227</v>
      </c>
      <c r="AP693" s="419">
        <v>-4947</v>
      </c>
      <c r="AQ693" s="419">
        <v>0</v>
      </c>
      <c r="AR693" s="419">
        <v>0</v>
      </c>
    </row>
    <row r="694" spans="1:44">
      <c r="A694" s="379">
        <v>97613</v>
      </c>
      <c r="B694" t="s">
        <v>1395</v>
      </c>
      <c r="C694" s="380">
        <v>9.9099999999999996E-5</v>
      </c>
      <c r="D694" s="380"/>
      <c r="E694" s="419">
        <v>29455</v>
      </c>
      <c r="F694" s="419">
        <v>9543</v>
      </c>
      <c r="G694" s="419">
        <v>-4505</v>
      </c>
      <c r="H694" s="419">
        <v>-66444</v>
      </c>
      <c r="I694" s="419">
        <v>0</v>
      </c>
      <c r="J694" s="380">
        <v>9.9099999999999996E-5</v>
      </c>
      <c r="K694" s="380"/>
      <c r="L694" s="419">
        <v>24260</v>
      </c>
      <c r="M694" s="419">
        <v>16755</v>
      </c>
      <c r="N694" s="419">
        <v>7335</v>
      </c>
      <c r="O694" s="419">
        <v>0</v>
      </c>
      <c r="P694" s="419">
        <v>0</v>
      </c>
      <c r="Q694" s="380">
        <v>9.9099999999999996E-5</v>
      </c>
      <c r="R694" s="380"/>
      <c r="S694" s="419">
        <v>-49785</v>
      </c>
      <c r="T694" s="419">
        <v>-49209</v>
      </c>
      <c r="U694" s="419">
        <v>-51696</v>
      </c>
      <c r="V694" s="419">
        <v>-66444</v>
      </c>
      <c r="W694" s="419">
        <v>0</v>
      </c>
      <c r="X694" s="380">
        <v>9.9099999999999996E-5</v>
      </c>
      <c r="Z694" s="419">
        <v>39700</v>
      </c>
      <c r="AA694" s="419">
        <v>27891</v>
      </c>
      <c r="AB694" s="419">
        <v>27891</v>
      </c>
      <c r="AC694" s="419">
        <v>0</v>
      </c>
      <c r="AD694" s="419">
        <v>0</v>
      </c>
      <c r="AE694" s="380">
        <v>9.9099999999999996E-5</v>
      </c>
      <c r="AF694" s="380"/>
      <c r="AG694" s="419">
        <v>17741</v>
      </c>
      <c r="AH694" s="419">
        <v>16566</v>
      </c>
      <c r="AI694" s="419">
        <v>11965</v>
      </c>
      <c r="AJ694" s="419">
        <v>0</v>
      </c>
      <c r="AK694" s="419">
        <v>0</v>
      </c>
      <c r="AL694" s="380">
        <v>9.9099999999999996E-5</v>
      </c>
      <c r="AM694" s="380"/>
      <c r="AN694" s="419">
        <v>-2461</v>
      </c>
      <c r="AO694" s="419">
        <v>-2460</v>
      </c>
      <c r="AP694" s="419">
        <v>0</v>
      </c>
      <c r="AQ694" s="419">
        <v>0</v>
      </c>
      <c r="AR694" s="419">
        <v>0</v>
      </c>
    </row>
    <row r="695" spans="1:44">
      <c r="A695" s="379">
        <v>97621</v>
      </c>
      <c r="B695" t="s">
        <v>1396</v>
      </c>
      <c r="C695" s="380">
        <v>4.1300000000000001E-4</v>
      </c>
      <c r="D695" s="380"/>
      <c r="E695" s="419">
        <v>18609</v>
      </c>
      <c r="F695" s="419">
        <v>-52387</v>
      </c>
      <c r="G695" s="419">
        <v>-76889</v>
      </c>
      <c r="H695" s="419">
        <v>-276906</v>
      </c>
      <c r="I695" s="419">
        <v>0</v>
      </c>
      <c r="J695" s="380">
        <v>4.1300000000000001E-4</v>
      </c>
      <c r="K695" s="380"/>
      <c r="L695" s="419">
        <v>101106</v>
      </c>
      <c r="M695" s="419">
        <v>69827</v>
      </c>
      <c r="N695" s="419">
        <v>30567</v>
      </c>
      <c r="O695" s="419">
        <v>0</v>
      </c>
      <c r="P695" s="419">
        <v>0</v>
      </c>
      <c r="Q695" s="380">
        <v>4.1300000000000001E-4</v>
      </c>
      <c r="R695" s="380"/>
      <c r="S695" s="419">
        <v>-207478</v>
      </c>
      <c r="T695" s="419">
        <v>-205077</v>
      </c>
      <c r="U695" s="419">
        <v>-215442</v>
      </c>
      <c r="V695" s="419">
        <v>-276906</v>
      </c>
      <c r="W695" s="419">
        <v>0</v>
      </c>
      <c r="X695" s="380">
        <v>4.1300000000000001E-4</v>
      </c>
      <c r="Z695" s="419">
        <v>165449</v>
      </c>
      <c r="AA695" s="419">
        <v>116237</v>
      </c>
      <c r="AB695" s="419">
        <v>116236</v>
      </c>
      <c r="AC695" s="419">
        <v>0</v>
      </c>
      <c r="AD695" s="419">
        <v>0</v>
      </c>
      <c r="AE695" s="380">
        <v>4.1300000000000001E-4</v>
      </c>
      <c r="AF695" s="380"/>
      <c r="AG695" s="419">
        <v>0</v>
      </c>
      <c r="AH695" s="419">
        <v>0</v>
      </c>
      <c r="AI695" s="419">
        <v>0</v>
      </c>
      <c r="AJ695" s="419">
        <v>0</v>
      </c>
      <c r="AK695" s="419">
        <v>0</v>
      </c>
      <c r="AL695" s="380">
        <v>4.1300000000000001E-4</v>
      </c>
      <c r="AM695" s="380"/>
      <c r="AN695" s="419">
        <v>-40468</v>
      </c>
      <c r="AO695" s="419">
        <v>-33374</v>
      </c>
      <c r="AP695" s="419">
        <v>-8250</v>
      </c>
      <c r="AQ695" s="419">
        <v>0</v>
      </c>
      <c r="AR695" s="419">
        <v>0</v>
      </c>
    </row>
    <row r="696" spans="1:44">
      <c r="A696" s="379">
        <v>97623</v>
      </c>
      <c r="B696" t="s">
        <v>1397</v>
      </c>
      <c r="C696" s="380">
        <v>2.6599999999999999E-5</v>
      </c>
      <c r="D696" s="380"/>
      <c r="E696" s="419">
        <v>4428</v>
      </c>
      <c r="F696" s="419">
        <v>449</v>
      </c>
      <c r="G696" s="419">
        <v>-2944</v>
      </c>
      <c r="H696" s="419">
        <v>-17835</v>
      </c>
      <c r="I696" s="419">
        <v>0</v>
      </c>
      <c r="J696" s="380">
        <v>2.6599999999999999E-5</v>
      </c>
      <c r="K696" s="380"/>
      <c r="L696" s="419">
        <v>6512</v>
      </c>
      <c r="M696" s="419">
        <v>4497</v>
      </c>
      <c r="N696" s="419">
        <v>1969</v>
      </c>
      <c r="O696" s="419">
        <v>0</v>
      </c>
      <c r="P696" s="419">
        <v>0</v>
      </c>
      <c r="Q696" s="380">
        <v>2.6599999999999999E-5</v>
      </c>
      <c r="R696" s="380"/>
      <c r="S696" s="419">
        <v>-13363</v>
      </c>
      <c r="T696" s="419">
        <v>-13208</v>
      </c>
      <c r="U696" s="419">
        <v>-13876</v>
      </c>
      <c r="V696" s="419">
        <v>-17835</v>
      </c>
      <c r="W696" s="419">
        <v>0</v>
      </c>
      <c r="X696" s="380">
        <v>2.6599999999999999E-5</v>
      </c>
      <c r="Z696" s="419">
        <v>10656</v>
      </c>
      <c r="AA696" s="419">
        <v>7486</v>
      </c>
      <c r="AB696" s="419">
        <v>7486</v>
      </c>
      <c r="AC696" s="419">
        <v>0</v>
      </c>
      <c r="AD696" s="419">
        <v>0</v>
      </c>
      <c r="AE696" s="380">
        <v>2.6599999999999999E-5</v>
      </c>
      <c r="AF696" s="380"/>
      <c r="AG696" s="419">
        <v>1675</v>
      </c>
      <c r="AH696" s="419">
        <v>1674</v>
      </c>
      <c r="AI696" s="419">
        <v>1477</v>
      </c>
      <c r="AJ696" s="419">
        <v>0</v>
      </c>
      <c r="AK696" s="419">
        <v>0</v>
      </c>
      <c r="AL696" s="380">
        <v>2.6599999999999999E-5</v>
      </c>
      <c r="AM696" s="380"/>
      <c r="AN696" s="419">
        <v>-1052</v>
      </c>
      <c r="AO696" s="419">
        <v>0</v>
      </c>
      <c r="AP696" s="419">
        <v>0</v>
      </c>
      <c r="AQ696" s="419">
        <v>0</v>
      </c>
      <c r="AR696" s="419">
        <v>0</v>
      </c>
    </row>
    <row r="697" spans="1:44">
      <c r="A697" s="379">
        <v>97627</v>
      </c>
      <c r="B697" t="s">
        <v>1398</v>
      </c>
      <c r="C697" s="380">
        <v>3.4999999999999999E-6</v>
      </c>
      <c r="D697" s="380"/>
      <c r="E697" s="419">
        <v>-423</v>
      </c>
      <c r="F697" s="419">
        <v>-1212</v>
      </c>
      <c r="G697" s="419">
        <v>-723</v>
      </c>
      <c r="H697" s="419">
        <v>-2347</v>
      </c>
      <c r="I697" s="419">
        <v>0</v>
      </c>
      <c r="J697" s="380">
        <v>3.4999999999999999E-6</v>
      </c>
      <c r="K697" s="380"/>
      <c r="L697" s="419">
        <v>857</v>
      </c>
      <c r="M697" s="419">
        <v>592</v>
      </c>
      <c r="N697" s="419">
        <v>259</v>
      </c>
      <c r="O697" s="419">
        <v>0</v>
      </c>
      <c r="P697" s="419">
        <v>0</v>
      </c>
      <c r="Q697" s="380">
        <v>3.4999999999999999E-6</v>
      </c>
      <c r="R697" s="380"/>
      <c r="S697" s="419">
        <v>-1758</v>
      </c>
      <c r="T697" s="419">
        <v>-1738</v>
      </c>
      <c r="U697" s="419">
        <v>-1826</v>
      </c>
      <c r="V697" s="419">
        <v>-2347</v>
      </c>
      <c r="W697" s="419">
        <v>0</v>
      </c>
      <c r="X697" s="380">
        <v>3.4999999999999999E-6</v>
      </c>
      <c r="Z697" s="419">
        <v>1402</v>
      </c>
      <c r="AA697" s="419">
        <v>985</v>
      </c>
      <c r="AB697" s="419">
        <v>985</v>
      </c>
      <c r="AC697" s="419">
        <v>0</v>
      </c>
      <c r="AD697" s="419">
        <v>0</v>
      </c>
      <c r="AE697" s="380">
        <v>3.4999999999999999E-6</v>
      </c>
      <c r="AF697" s="380"/>
      <c r="AG697" s="419">
        <v>274</v>
      </c>
      <c r="AH697" s="419">
        <v>147</v>
      </c>
      <c r="AI697" s="419">
        <v>0</v>
      </c>
      <c r="AJ697" s="419">
        <v>0</v>
      </c>
      <c r="AK697" s="419">
        <v>0</v>
      </c>
      <c r="AL697" s="380">
        <v>3.4999999999999999E-6</v>
      </c>
      <c r="AM697" s="380"/>
      <c r="AN697" s="419">
        <v>-1198</v>
      </c>
      <c r="AO697" s="419">
        <v>-1198</v>
      </c>
      <c r="AP697" s="419">
        <v>-141</v>
      </c>
      <c r="AQ697" s="419">
        <v>0</v>
      </c>
      <c r="AR697" s="419">
        <v>0</v>
      </c>
    </row>
    <row r="698" spans="1:44">
      <c r="A698" s="379">
        <v>97631</v>
      </c>
      <c r="B698" t="s">
        <v>1399</v>
      </c>
      <c r="C698" s="380">
        <v>1.984E-4</v>
      </c>
      <c r="D698" s="380"/>
      <c r="E698" s="419">
        <v>18835</v>
      </c>
      <c r="F698" s="419">
        <v>-17403</v>
      </c>
      <c r="G698" s="419">
        <v>-41320</v>
      </c>
      <c r="H698" s="419">
        <v>-133022</v>
      </c>
      <c r="I698" s="419">
        <v>0</v>
      </c>
      <c r="J698" s="380">
        <v>1.984E-4</v>
      </c>
      <c r="K698" s="380"/>
      <c r="L698" s="419">
        <v>48570</v>
      </c>
      <c r="M698" s="419">
        <v>33544</v>
      </c>
      <c r="N698" s="419">
        <v>14684</v>
      </c>
      <c r="O698" s="419">
        <v>0</v>
      </c>
      <c r="P698" s="419">
        <v>0</v>
      </c>
      <c r="Q698" s="380">
        <v>1.984E-4</v>
      </c>
      <c r="R698" s="380"/>
      <c r="S698" s="419">
        <v>-99670</v>
      </c>
      <c r="T698" s="419">
        <v>-98517</v>
      </c>
      <c r="U698" s="419">
        <v>-103496</v>
      </c>
      <c r="V698" s="419">
        <v>-133022</v>
      </c>
      <c r="W698" s="419">
        <v>0</v>
      </c>
      <c r="X698" s="380">
        <v>1.984E-4</v>
      </c>
      <c r="Z698" s="419">
        <v>79479</v>
      </c>
      <c r="AA698" s="419">
        <v>55839</v>
      </c>
      <c r="AB698" s="419">
        <v>55838</v>
      </c>
      <c r="AC698" s="419">
        <v>0</v>
      </c>
      <c r="AD698" s="419">
        <v>0</v>
      </c>
      <c r="AE698" s="380">
        <v>1.984E-4</v>
      </c>
      <c r="AF698" s="380"/>
      <c r="AG698" s="419">
        <v>3522</v>
      </c>
      <c r="AH698" s="419">
        <v>3523</v>
      </c>
      <c r="AI698" s="419">
        <v>0</v>
      </c>
      <c r="AJ698" s="419">
        <v>0</v>
      </c>
      <c r="AK698" s="419">
        <v>0</v>
      </c>
      <c r="AL698" s="380">
        <v>1.984E-4</v>
      </c>
      <c r="AM698" s="380"/>
      <c r="AN698" s="419">
        <v>-13066</v>
      </c>
      <c r="AO698" s="419">
        <v>-11792</v>
      </c>
      <c r="AP698" s="419">
        <v>-8346</v>
      </c>
      <c r="AQ698" s="419">
        <v>0</v>
      </c>
      <c r="AR698" s="419">
        <v>0</v>
      </c>
    </row>
    <row r="699" spans="1:44">
      <c r="A699" s="379">
        <v>97637</v>
      </c>
      <c r="B699" t="s">
        <v>1400</v>
      </c>
      <c r="C699" s="380">
        <v>0</v>
      </c>
      <c r="D699" s="380"/>
      <c r="E699" s="419">
        <v>-436</v>
      </c>
      <c r="F699" s="419">
        <v>-629</v>
      </c>
      <c r="G699" s="419">
        <v>114</v>
      </c>
      <c r="H699" s="419">
        <v>0</v>
      </c>
      <c r="I699" s="419">
        <v>0</v>
      </c>
      <c r="J699" s="380">
        <v>0</v>
      </c>
      <c r="K699" s="380"/>
      <c r="L699" s="419">
        <v>0</v>
      </c>
      <c r="M699" s="419">
        <v>0</v>
      </c>
      <c r="N699" s="419">
        <v>0</v>
      </c>
      <c r="O699" s="419">
        <v>0</v>
      </c>
      <c r="P699" s="419">
        <v>0</v>
      </c>
      <c r="Q699" s="380">
        <v>0</v>
      </c>
      <c r="R699" s="380"/>
      <c r="S699" s="419">
        <v>0</v>
      </c>
      <c r="T699" s="419">
        <v>0</v>
      </c>
      <c r="U699" s="419">
        <v>0</v>
      </c>
      <c r="V699" s="419">
        <v>0</v>
      </c>
      <c r="W699" s="419">
        <v>0</v>
      </c>
      <c r="X699" s="380">
        <v>0</v>
      </c>
      <c r="Z699" s="419">
        <v>0</v>
      </c>
      <c r="AA699" s="419">
        <v>0</v>
      </c>
      <c r="AB699" s="419">
        <v>0</v>
      </c>
      <c r="AC699" s="419">
        <v>0</v>
      </c>
      <c r="AD699" s="419">
        <v>0</v>
      </c>
      <c r="AE699" s="380">
        <v>0</v>
      </c>
      <c r="AF699" s="380"/>
      <c r="AG699" s="419">
        <v>546</v>
      </c>
      <c r="AH699" s="419">
        <v>353</v>
      </c>
      <c r="AI699" s="419">
        <v>114</v>
      </c>
      <c r="AJ699" s="419">
        <v>0</v>
      </c>
      <c r="AK699" s="419">
        <v>0</v>
      </c>
      <c r="AL699" s="380">
        <v>0</v>
      </c>
      <c r="AM699" s="380"/>
      <c r="AN699" s="419">
        <v>-982</v>
      </c>
      <c r="AO699" s="419">
        <v>-982</v>
      </c>
      <c r="AP699" s="419">
        <v>0</v>
      </c>
      <c r="AQ699" s="419">
        <v>0</v>
      </c>
      <c r="AR699" s="419">
        <v>0</v>
      </c>
    </row>
    <row r="700" spans="1:44">
      <c r="A700" s="379">
        <v>97641</v>
      </c>
      <c r="B700" t="s">
        <v>1401</v>
      </c>
      <c r="C700" s="380">
        <v>7.7799999999999994E-5</v>
      </c>
      <c r="D700" s="380"/>
      <c r="E700" s="419">
        <v>30442</v>
      </c>
      <c r="F700" s="419">
        <v>17801</v>
      </c>
      <c r="G700" s="419">
        <v>4333</v>
      </c>
      <c r="H700" s="419">
        <v>-52163</v>
      </c>
      <c r="I700" s="419">
        <v>0</v>
      </c>
      <c r="J700" s="380">
        <v>7.7799999999999994E-5</v>
      </c>
      <c r="K700" s="380"/>
      <c r="L700" s="419">
        <v>19046</v>
      </c>
      <c r="M700" s="419">
        <v>13154</v>
      </c>
      <c r="N700" s="419">
        <v>5758</v>
      </c>
      <c r="O700" s="419">
        <v>0</v>
      </c>
      <c r="P700" s="419">
        <v>0</v>
      </c>
      <c r="Q700" s="380">
        <v>7.7799999999999994E-5</v>
      </c>
      <c r="R700" s="380"/>
      <c r="S700" s="419">
        <v>-39084</v>
      </c>
      <c r="T700" s="419">
        <v>-38632</v>
      </c>
      <c r="U700" s="419">
        <v>-40584</v>
      </c>
      <c r="V700" s="419">
        <v>-52163</v>
      </c>
      <c r="W700" s="419">
        <v>0</v>
      </c>
      <c r="X700" s="380">
        <v>7.7799999999999994E-5</v>
      </c>
      <c r="Z700" s="419">
        <v>31167</v>
      </c>
      <c r="AA700" s="419">
        <v>21896</v>
      </c>
      <c r="AB700" s="419">
        <v>21896</v>
      </c>
      <c r="AC700" s="419">
        <v>0</v>
      </c>
      <c r="AD700" s="419">
        <v>0</v>
      </c>
      <c r="AE700" s="380">
        <v>7.7799999999999994E-5</v>
      </c>
      <c r="AF700" s="380"/>
      <c r="AG700" s="419">
        <v>21386</v>
      </c>
      <c r="AH700" s="419">
        <v>21383</v>
      </c>
      <c r="AI700" s="419">
        <v>17263</v>
      </c>
      <c r="AJ700" s="419">
        <v>0</v>
      </c>
      <c r="AK700" s="419">
        <v>0</v>
      </c>
      <c r="AL700" s="380">
        <v>7.7799999999999994E-5</v>
      </c>
      <c r="AM700" s="380"/>
      <c r="AN700" s="419">
        <v>-2073</v>
      </c>
      <c r="AO700" s="419">
        <v>0</v>
      </c>
      <c r="AP700" s="419">
        <v>0</v>
      </c>
      <c r="AQ700" s="419">
        <v>0</v>
      </c>
      <c r="AR700" s="419">
        <v>0</v>
      </c>
    </row>
    <row r="701" spans="1:44">
      <c r="A701" s="379">
        <v>97651</v>
      </c>
      <c r="B701" t="s">
        <v>1402</v>
      </c>
      <c r="C701" s="380">
        <v>4.8879999999999996E-4</v>
      </c>
      <c r="D701" s="380"/>
      <c r="E701" s="419">
        <v>29369</v>
      </c>
      <c r="F701" s="419">
        <v>-58677</v>
      </c>
      <c r="G701" s="419">
        <v>-107297</v>
      </c>
      <c r="H701" s="419">
        <v>-327728</v>
      </c>
      <c r="I701" s="419">
        <v>0</v>
      </c>
      <c r="J701" s="380">
        <v>4.8879999999999996E-4</v>
      </c>
      <c r="K701" s="380"/>
      <c r="L701" s="419">
        <v>119662</v>
      </c>
      <c r="M701" s="419">
        <v>82642</v>
      </c>
      <c r="N701" s="419">
        <v>36177</v>
      </c>
      <c r="O701" s="419">
        <v>0</v>
      </c>
      <c r="P701" s="419">
        <v>0</v>
      </c>
      <c r="Q701" s="380">
        <v>4.8879999999999996E-4</v>
      </c>
      <c r="R701" s="380"/>
      <c r="S701" s="419">
        <v>-245557</v>
      </c>
      <c r="T701" s="419">
        <v>-242716</v>
      </c>
      <c r="U701" s="419">
        <v>-254983</v>
      </c>
      <c r="V701" s="419">
        <v>-327728</v>
      </c>
      <c r="W701" s="419">
        <v>0</v>
      </c>
      <c r="X701" s="380">
        <v>4.8879999999999996E-4</v>
      </c>
      <c r="Z701" s="419">
        <v>195814</v>
      </c>
      <c r="AA701" s="419">
        <v>137570</v>
      </c>
      <c r="AB701" s="419">
        <v>137569</v>
      </c>
      <c r="AC701" s="419">
        <v>0</v>
      </c>
      <c r="AD701" s="419">
        <v>0</v>
      </c>
      <c r="AE701" s="380">
        <v>4.8879999999999996E-4</v>
      </c>
      <c r="AF701" s="380"/>
      <c r="AG701" s="419">
        <v>0</v>
      </c>
      <c r="AH701" s="419">
        <v>0</v>
      </c>
      <c r="AI701" s="419">
        <v>0</v>
      </c>
      <c r="AJ701" s="419">
        <v>0</v>
      </c>
      <c r="AK701" s="419">
        <v>0</v>
      </c>
      <c r="AL701" s="380">
        <v>4.8879999999999996E-4</v>
      </c>
      <c r="AM701" s="380"/>
      <c r="AN701" s="419">
        <v>-40550</v>
      </c>
      <c r="AO701" s="419">
        <v>-36173</v>
      </c>
      <c r="AP701" s="419">
        <v>-26060</v>
      </c>
      <c r="AQ701" s="419">
        <v>0</v>
      </c>
      <c r="AR701" s="419">
        <v>0</v>
      </c>
    </row>
    <row r="702" spans="1:44">
      <c r="A702" s="379">
        <v>97661</v>
      </c>
      <c r="B702" t="s">
        <v>1403</v>
      </c>
      <c r="C702" s="380">
        <v>4.74E-5</v>
      </c>
      <c r="D702" s="380"/>
      <c r="E702" s="419">
        <v>7778</v>
      </c>
      <c r="F702" s="419">
        <v>-700</v>
      </c>
      <c r="G702" s="419">
        <v>-4855</v>
      </c>
      <c r="H702" s="419">
        <v>-31780</v>
      </c>
      <c r="I702" s="419">
        <v>0</v>
      </c>
      <c r="J702" s="380">
        <v>4.74E-5</v>
      </c>
      <c r="K702" s="380"/>
      <c r="L702" s="419">
        <v>11604</v>
      </c>
      <c r="M702" s="419">
        <v>8014</v>
      </c>
      <c r="N702" s="419">
        <v>3508</v>
      </c>
      <c r="O702" s="419">
        <v>0</v>
      </c>
      <c r="P702" s="419">
        <v>0</v>
      </c>
      <c r="Q702" s="380">
        <v>4.74E-5</v>
      </c>
      <c r="R702" s="380"/>
      <c r="S702" s="419">
        <v>-23812</v>
      </c>
      <c r="T702" s="419">
        <v>-23537</v>
      </c>
      <c r="U702" s="419">
        <v>-24726</v>
      </c>
      <c r="V702" s="419">
        <v>-31780</v>
      </c>
      <c r="W702" s="419">
        <v>0</v>
      </c>
      <c r="X702" s="380">
        <v>4.74E-5</v>
      </c>
      <c r="Z702" s="419">
        <v>18989</v>
      </c>
      <c r="AA702" s="419">
        <v>13340</v>
      </c>
      <c r="AB702" s="419">
        <v>13340</v>
      </c>
      <c r="AC702" s="419">
        <v>0</v>
      </c>
      <c r="AD702" s="419">
        <v>0</v>
      </c>
      <c r="AE702" s="380">
        <v>4.74E-5</v>
      </c>
      <c r="AF702" s="380"/>
      <c r="AG702" s="419">
        <v>4857</v>
      </c>
      <c r="AH702" s="419">
        <v>4856</v>
      </c>
      <c r="AI702" s="419">
        <v>3023</v>
      </c>
      <c r="AJ702" s="419">
        <v>0</v>
      </c>
      <c r="AK702" s="419">
        <v>0</v>
      </c>
      <c r="AL702" s="380">
        <v>4.74E-5</v>
      </c>
      <c r="AM702" s="380"/>
      <c r="AN702" s="419">
        <v>-3860</v>
      </c>
      <c r="AO702" s="419">
        <v>-3373</v>
      </c>
      <c r="AP702" s="419">
        <v>0</v>
      </c>
      <c r="AQ702" s="419">
        <v>0</v>
      </c>
      <c r="AR702" s="419">
        <v>0</v>
      </c>
    </row>
    <row r="703" spans="1:44">
      <c r="A703" s="379">
        <v>97701</v>
      </c>
      <c r="B703" t="s">
        <v>1404</v>
      </c>
      <c r="C703" s="380">
        <v>2.4559E-3</v>
      </c>
      <c r="D703" s="380"/>
      <c r="E703" s="419">
        <v>345789</v>
      </c>
      <c r="F703" s="419">
        <v>-128063</v>
      </c>
      <c r="G703" s="419">
        <v>-381443</v>
      </c>
      <c r="H703" s="419">
        <v>-1646617</v>
      </c>
      <c r="I703" s="419">
        <v>0</v>
      </c>
      <c r="J703" s="380">
        <v>2.4559E-3</v>
      </c>
      <c r="K703" s="380"/>
      <c r="L703" s="419">
        <v>601224</v>
      </c>
      <c r="M703" s="419">
        <v>415224</v>
      </c>
      <c r="N703" s="419">
        <v>181766</v>
      </c>
      <c r="O703" s="419">
        <v>0</v>
      </c>
      <c r="P703" s="419">
        <v>0</v>
      </c>
      <c r="Q703" s="380">
        <v>2.4559E-3</v>
      </c>
      <c r="R703" s="380"/>
      <c r="S703" s="419">
        <v>-1233766</v>
      </c>
      <c r="T703" s="419">
        <v>-1219489</v>
      </c>
      <c r="U703" s="419">
        <v>-1281123</v>
      </c>
      <c r="V703" s="419">
        <v>-1646617</v>
      </c>
      <c r="W703" s="419">
        <v>0</v>
      </c>
      <c r="X703" s="380">
        <v>2.4559E-3</v>
      </c>
      <c r="Z703" s="419">
        <v>983838</v>
      </c>
      <c r="AA703" s="419">
        <v>691201</v>
      </c>
      <c r="AB703" s="419">
        <v>691196</v>
      </c>
      <c r="AC703" s="419">
        <v>0</v>
      </c>
      <c r="AD703" s="419">
        <v>0</v>
      </c>
      <c r="AE703" s="380">
        <v>2.4559E-3</v>
      </c>
      <c r="AF703" s="380"/>
      <c r="AG703" s="419">
        <v>36207</v>
      </c>
      <c r="AH703" s="419">
        <v>26717</v>
      </c>
      <c r="AI703" s="419">
        <v>26718</v>
      </c>
      <c r="AJ703" s="419">
        <v>0</v>
      </c>
      <c r="AK703" s="419">
        <v>0</v>
      </c>
      <c r="AL703" s="380">
        <v>2.4559E-3</v>
      </c>
      <c r="AM703" s="380"/>
      <c r="AN703" s="419">
        <v>-41714</v>
      </c>
      <c r="AO703" s="419">
        <v>-41716</v>
      </c>
      <c r="AP703" s="419">
        <v>0</v>
      </c>
      <c r="AQ703" s="419">
        <v>0</v>
      </c>
      <c r="AR703" s="419">
        <v>0</v>
      </c>
    </row>
    <row r="704" spans="1:44">
      <c r="A704" s="379">
        <v>97705</v>
      </c>
      <c r="B704" t="s">
        <v>1405</v>
      </c>
      <c r="C704" s="380">
        <v>2.9300000000000001E-5</v>
      </c>
      <c r="D704" s="380"/>
      <c r="E704" s="419">
        <v>5905</v>
      </c>
      <c r="F704" s="419">
        <v>490</v>
      </c>
      <c r="G704" s="419">
        <v>-3462</v>
      </c>
      <c r="H704" s="419">
        <v>-19645</v>
      </c>
      <c r="I704" s="419">
        <v>0</v>
      </c>
      <c r="J704" s="380">
        <v>2.9300000000000001E-5</v>
      </c>
      <c r="K704" s="380"/>
      <c r="L704" s="419">
        <v>7173</v>
      </c>
      <c r="M704" s="419">
        <v>4954</v>
      </c>
      <c r="N704" s="419">
        <v>2169</v>
      </c>
      <c r="O704" s="419">
        <v>0</v>
      </c>
      <c r="P704" s="419">
        <v>0</v>
      </c>
      <c r="Q704" s="380">
        <v>2.9300000000000001E-5</v>
      </c>
      <c r="R704" s="380"/>
      <c r="S704" s="419">
        <v>-14719</v>
      </c>
      <c r="T704" s="419">
        <v>-14549</v>
      </c>
      <c r="U704" s="419">
        <v>-15284</v>
      </c>
      <c r="V704" s="419">
        <v>-19645</v>
      </c>
      <c r="W704" s="419">
        <v>0</v>
      </c>
      <c r="X704" s="380">
        <v>2.9300000000000001E-5</v>
      </c>
      <c r="Z704" s="419">
        <v>11738</v>
      </c>
      <c r="AA704" s="419">
        <v>8246</v>
      </c>
      <c r="AB704" s="419">
        <v>8246</v>
      </c>
      <c r="AC704" s="419">
        <v>0</v>
      </c>
      <c r="AD704" s="419">
        <v>0</v>
      </c>
      <c r="AE704" s="380">
        <v>2.9300000000000001E-5</v>
      </c>
      <c r="AF704" s="380"/>
      <c r="AG704" s="419">
        <v>3443</v>
      </c>
      <c r="AH704" s="419">
        <v>3442</v>
      </c>
      <c r="AI704" s="419">
        <v>1407</v>
      </c>
      <c r="AJ704" s="419">
        <v>0</v>
      </c>
      <c r="AK704" s="419">
        <v>0</v>
      </c>
      <c r="AL704" s="380">
        <v>2.9300000000000001E-5</v>
      </c>
      <c r="AM704" s="380"/>
      <c r="AN704" s="419">
        <v>-1730</v>
      </c>
      <c r="AO704" s="419">
        <v>-1603</v>
      </c>
      <c r="AP704" s="419">
        <v>0</v>
      </c>
      <c r="AQ704" s="419">
        <v>0</v>
      </c>
      <c r="AR704" s="419">
        <v>0</v>
      </c>
    </row>
    <row r="705" spans="1:44">
      <c r="A705" s="379">
        <v>97711</v>
      </c>
      <c r="B705" t="s">
        <v>1406</v>
      </c>
      <c r="C705" s="380">
        <v>8.1419999999999995E-4</v>
      </c>
      <c r="D705" s="380"/>
      <c r="E705" s="419">
        <v>102806</v>
      </c>
      <c r="F705" s="419">
        <v>-53887</v>
      </c>
      <c r="G705" s="419">
        <v>-140782</v>
      </c>
      <c r="H705" s="419">
        <v>-545900</v>
      </c>
      <c r="I705" s="419">
        <v>0</v>
      </c>
      <c r="J705" s="380">
        <v>8.1419999999999995E-4</v>
      </c>
      <c r="K705" s="380"/>
      <c r="L705" s="419">
        <v>199323</v>
      </c>
      <c r="M705" s="419">
        <v>137658</v>
      </c>
      <c r="N705" s="419">
        <v>60261</v>
      </c>
      <c r="O705" s="419">
        <v>0</v>
      </c>
      <c r="P705" s="419">
        <v>0</v>
      </c>
      <c r="Q705" s="380">
        <v>8.1419999999999995E-4</v>
      </c>
      <c r="R705" s="380"/>
      <c r="S705" s="419">
        <v>-409028</v>
      </c>
      <c r="T705" s="419">
        <v>-404295</v>
      </c>
      <c r="U705" s="419">
        <v>-424728</v>
      </c>
      <c r="V705" s="419">
        <v>-545900</v>
      </c>
      <c r="W705" s="419">
        <v>0</v>
      </c>
      <c r="X705" s="380">
        <v>8.1419999999999995E-4</v>
      </c>
      <c r="Z705" s="419">
        <v>326170</v>
      </c>
      <c r="AA705" s="419">
        <v>229153</v>
      </c>
      <c r="AB705" s="419">
        <v>229151</v>
      </c>
      <c r="AC705" s="419">
        <v>0</v>
      </c>
      <c r="AD705" s="419">
        <v>0</v>
      </c>
      <c r="AE705" s="380">
        <v>8.1419999999999995E-4</v>
      </c>
      <c r="AF705" s="380"/>
      <c r="AG705" s="419">
        <v>2747</v>
      </c>
      <c r="AH705" s="419">
        <v>0</v>
      </c>
      <c r="AI705" s="419">
        <v>0</v>
      </c>
      <c r="AJ705" s="419">
        <v>0</v>
      </c>
      <c r="AK705" s="419">
        <v>0</v>
      </c>
      <c r="AL705" s="380">
        <v>8.1419999999999995E-4</v>
      </c>
      <c r="AM705" s="380"/>
      <c r="AN705" s="419">
        <v>-16406</v>
      </c>
      <c r="AO705" s="419">
        <v>-16403</v>
      </c>
      <c r="AP705" s="419">
        <v>-5466</v>
      </c>
      <c r="AQ705" s="419">
        <v>0</v>
      </c>
      <c r="AR705" s="419">
        <v>0</v>
      </c>
    </row>
    <row r="706" spans="1:44">
      <c r="A706" s="379">
        <v>97713</v>
      </c>
      <c r="B706" t="s">
        <v>1407</v>
      </c>
      <c r="C706" s="380">
        <v>6.1199999999999997E-5</v>
      </c>
      <c r="D706" s="380"/>
      <c r="E706" s="419">
        <v>13271</v>
      </c>
      <c r="F706" s="419">
        <v>593</v>
      </c>
      <c r="G706" s="419">
        <v>-8833</v>
      </c>
      <c r="H706" s="419">
        <v>-41033</v>
      </c>
      <c r="I706" s="419">
        <v>0</v>
      </c>
      <c r="J706" s="380">
        <v>6.1199999999999997E-5</v>
      </c>
      <c r="K706" s="380"/>
      <c r="L706" s="419">
        <v>14982</v>
      </c>
      <c r="M706" s="419">
        <v>10347</v>
      </c>
      <c r="N706" s="419">
        <v>4530</v>
      </c>
      <c r="O706" s="419">
        <v>0</v>
      </c>
      <c r="P706" s="419">
        <v>0</v>
      </c>
      <c r="Q706" s="380">
        <v>6.1199999999999997E-5</v>
      </c>
      <c r="R706" s="380"/>
      <c r="S706" s="419">
        <v>-30745</v>
      </c>
      <c r="T706" s="419">
        <v>-30389</v>
      </c>
      <c r="U706" s="419">
        <v>-31925</v>
      </c>
      <c r="V706" s="419">
        <v>-41033</v>
      </c>
      <c r="W706" s="419">
        <v>0</v>
      </c>
      <c r="X706" s="380">
        <v>6.1199999999999997E-5</v>
      </c>
      <c r="Z706" s="419">
        <v>24517</v>
      </c>
      <c r="AA706" s="419">
        <v>17224</v>
      </c>
      <c r="AB706" s="419">
        <v>17224</v>
      </c>
      <c r="AC706" s="419">
        <v>0</v>
      </c>
      <c r="AD706" s="419">
        <v>0</v>
      </c>
      <c r="AE706" s="380">
        <v>6.1199999999999997E-5</v>
      </c>
      <c r="AF706" s="380"/>
      <c r="AG706" s="419">
        <v>4689</v>
      </c>
      <c r="AH706" s="419">
        <v>3583</v>
      </c>
      <c r="AI706" s="419">
        <v>1338</v>
      </c>
      <c r="AJ706" s="419">
        <v>0</v>
      </c>
      <c r="AK706" s="419">
        <v>0</v>
      </c>
      <c r="AL706" s="380">
        <v>6.1199999999999997E-5</v>
      </c>
      <c r="AM706" s="380"/>
      <c r="AN706" s="419">
        <v>-172</v>
      </c>
      <c r="AO706" s="419">
        <v>-172</v>
      </c>
      <c r="AP706" s="419">
        <v>0</v>
      </c>
      <c r="AQ706" s="419">
        <v>0</v>
      </c>
      <c r="AR706" s="419">
        <v>0</v>
      </c>
    </row>
    <row r="707" spans="1:44">
      <c r="A707" s="379">
        <v>97717</v>
      </c>
      <c r="B707" t="s">
        <v>1408</v>
      </c>
      <c r="C707" s="380">
        <v>1.6399999999999999E-5</v>
      </c>
      <c r="D707" s="380"/>
      <c r="E707" s="419">
        <v>8968</v>
      </c>
      <c r="F707" s="419">
        <v>5781</v>
      </c>
      <c r="G707" s="419">
        <v>3396</v>
      </c>
      <c r="H707" s="419">
        <v>-10996</v>
      </c>
      <c r="I707" s="419">
        <v>0</v>
      </c>
      <c r="J707" s="380">
        <v>1.6399999999999999E-5</v>
      </c>
      <c r="K707" s="380"/>
      <c r="L707" s="419">
        <v>4015</v>
      </c>
      <c r="M707" s="419">
        <v>2773</v>
      </c>
      <c r="N707" s="419">
        <v>1214</v>
      </c>
      <c r="O707" s="419">
        <v>0</v>
      </c>
      <c r="P707" s="419">
        <v>0</v>
      </c>
      <c r="Q707" s="380">
        <v>1.6399999999999999E-5</v>
      </c>
      <c r="R707" s="380"/>
      <c r="S707" s="419">
        <v>-8239</v>
      </c>
      <c r="T707" s="419">
        <v>-8144</v>
      </c>
      <c r="U707" s="419">
        <v>-8555</v>
      </c>
      <c r="V707" s="419">
        <v>-10996</v>
      </c>
      <c r="W707" s="419">
        <v>0</v>
      </c>
      <c r="X707" s="380">
        <v>1.6399999999999999E-5</v>
      </c>
      <c r="Z707" s="419">
        <v>6570</v>
      </c>
      <c r="AA707" s="419">
        <v>4616</v>
      </c>
      <c r="AB707" s="419">
        <v>4616</v>
      </c>
      <c r="AC707" s="419">
        <v>0</v>
      </c>
      <c r="AD707" s="419">
        <v>0</v>
      </c>
      <c r="AE707" s="380">
        <v>1.6399999999999999E-5</v>
      </c>
      <c r="AF707" s="380"/>
      <c r="AG707" s="419">
        <v>6640</v>
      </c>
      <c r="AH707" s="419">
        <v>6556</v>
      </c>
      <c r="AI707" s="419">
        <v>6121</v>
      </c>
      <c r="AJ707" s="419">
        <v>0</v>
      </c>
      <c r="AK707" s="419">
        <v>0</v>
      </c>
      <c r="AL707" s="380">
        <v>1.6399999999999999E-5</v>
      </c>
      <c r="AM707" s="380"/>
      <c r="AN707" s="419">
        <v>-18</v>
      </c>
      <c r="AO707" s="419">
        <v>-20</v>
      </c>
      <c r="AP707" s="419">
        <v>0</v>
      </c>
      <c r="AQ707" s="419">
        <v>0</v>
      </c>
      <c r="AR707" s="419">
        <v>0</v>
      </c>
    </row>
    <row r="708" spans="1:44">
      <c r="A708" s="379">
        <v>97721</v>
      </c>
      <c r="B708" t="s">
        <v>1409</v>
      </c>
      <c r="C708" s="380">
        <v>4.7889999999999999E-4</v>
      </c>
      <c r="D708" s="380"/>
      <c r="E708" s="419">
        <v>11214</v>
      </c>
      <c r="F708" s="419">
        <v>-80201</v>
      </c>
      <c r="G708" s="419">
        <v>-111606</v>
      </c>
      <c r="H708" s="419">
        <v>-321090</v>
      </c>
      <c r="I708" s="419">
        <v>0</v>
      </c>
      <c r="J708" s="380">
        <v>4.7889999999999999E-4</v>
      </c>
      <c r="K708" s="380"/>
      <c r="L708" s="419">
        <v>117239</v>
      </c>
      <c r="M708" s="419">
        <v>80969</v>
      </c>
      <c r="N708" s="419">
        <v>35444</v>
      </c>
      <c r="O708" s="419">
        <v>0</v>
      </c>
      <c r="P708" s="419">
        <v>0</v>
      </c>
      <c r="Q708" s="380">
        <v>4.7889999999999999E-4</v>
      </c>
      <c r="R708" s="380"/>
      <c r="S708" s="419">
        <v>-240584</v>
      </c>
      <c r="T708" s="419">
        <v>-237800</v>
      </c>
      <c r="U708" s="419">
        <v>-249819</v>
      </c>
      <c r="V708" s="419">
        <v>-321090</v>
      </c>
      <c r="W708" s="419">
        <v>0</v>
      </c>
      <c r="X708" s="380">
        <v>4.7889999999999999E-4</v>
      </c>
      <c r="Z708" s="419">
        <v>191848</v>
      </c>
      <c r="AA708" s="419">
        <v>134784</v>
      </c>
      <c r="AB708" s="419">
        <v>134783</v>
      </c>
      <c r="AC708" s="419">
        <v>0</v>
      </c>
      <c r="AD708" s="419">
        <v>0</v>
      </c>
      <c r="AE708" s="380">
        <v>4.7889999999999999E-4</v>
      </c>
      <c r="AF708" s="380"/>
      <c r="AG708" s="419">
        <v>868</v>
      </c>
      <c r="AH708" s="419">
        <v>0</v>
      </c>
      <c r="AI708" s="419">
        <v>0</v>
      </c>
      <c r="AJ708" s="419">
        <v>0</v>
      </c>
      <c r="AK708" s="419">
        <v>0</v>
      </c>
      <c r="AL708" s="380">
        <v>4.7889999999999999E-4</v>
      </c>
      <c r="AM708" s="380"/>
      <c r="AN708" s="419">
        <v>-58157</v>
      </c>
      <c r="AO708" s="419">
        <v>-58154</v>
      </c>
      <c r="AP708" s="419">
        <v>-32014</v>
      </c>
      <c r="AQ708" s="419">
        <v>0</v>
      </c>
      <c r="AR708" s="419">
        <v>0</v>
      </c>
    </row>
    <row r="709" spans="1:44">
      <c r="A709" s="379">
        <v>97727</v>
      </c>
      <c r="B709" t="s">
        <v>1410</v>
      </c>
      <c r="C709" s="380">
        <v>2.0699999999999998E-5</v>
      </c>
      <c r="D709" s="380"/>
      <c r="E709" s="419">
        <v>6100</v>
      </c>
      <c r="F709" s="419">
        <v>2344</v>
      </c>
      <c r="G709" s="419">
        <v>-291</v>
      </c>
      <c r="H709" s="419">
        <v>-13879</v>
      </c>
      <c r="I709" s="419">
        <v>0</v>
      </c>
      <c r="J709" s="380">
        <v>2.0699999999999998E-5</v>
      </c>
      <c r="K709" s="380"/>
      <c r="L709" s="419">
        <v>5068</v>
      </c>
      <c r="M709" s="419">
        <v>3500</v>
      </c>
      <c r="N709" s="419">
        <v>1532</v>
      </c>
      <c r="O709" s="419">
        <v>0</v>
      </c>
      <c r="P709" s="419">
        <v>0</v>
      </c>
      <c r="Q709" s="380">
        <v>2.0699999999999998E-5</v>
      </c>
      <c r="R709" s="380"/>
      <c r="S709" s="419">
        <v>-10399</v>
      </c>
      <c r="T709" s="419">
        <v>-10279</v>
      </c>
      <c r="U709" s="419">
        <v>-10798</v>
      </c>
      <c r="V709" s="419">
        <v>-13879</v>
      </c>
      <c r="W709" s="419">
        <v>0</v>
      </c>
      <c r="X709" s="380">
        <v>2.0699999999999998E-5</v>
      </c>
      <c r="Z709" s="419">
        <v>8292</v>
      </c>
      <c r="AA709" s="419">
        <v>5826</v>
      </c>
      <c r="AB709" s="419">
        <v>5826</v>
      </c>
      <c r="AC709" s="419">
        <v>0</v>
      </c>
      <c r="AD709" s="419">
        <v>0</v>
      </c>
      <c r="AE709" s="380">
        <v>2.0699999999999998E-5</v>
      </c>
      <c r="AF709" s="380"/>
      <c r="AG709" s="419">
        <v>3306</v>
      </c>
      <c r="AH709" s="419">
        <v>3307</v>
      </c>
      <c r="AI709" s="419">
        <v>3149</v>
      </c>
      <c r="AJ709" s="419">
        <v>0</v>
      </c>
      <c r="AK709" s="419">
        <v>0</v>
      </c>
      <c r="AL709" s="380">
        <v>2.0699999999999998E-5</v>
      </c>
      <c r="AM709" s="380"/>
      <c r="AN709" s="419">
        <v>-167</v>
      </c>
      <c r="AO709" s="419">
        <v>-10</v>
      </c>
      <c r="AP709" s="419">
        <v>0</v>
      </c>
      <c r="AQ709" s="419">
        <v>0</v>
      </c>
      <c r="AR709" s="419">
        <v>0</v>
      </c>
    </row>
    <row r="710" spans="1:44">
      <c r="A710" s="379">
        <v>97731</v>
      </c>
      <c r="B710" t="s">
        <v>1411</v>
      </c>
      <c r="C710" s="380">
        <v>3.2299999999999999E-5</v>
      </c>
      <c r="D710" s="380"/>
      <c r="E710" s="419">
        <v>4344</v>
      </c>
      <c r="F710" s="419">
        <v>-2086</v>
      </c>
      <c r="G710" s="419">
        <v>-7705</v>
      </c>
      <c r="H710" s="419">
        <v>-21656</v>
      </c>
      <c r="I710" s="419">
        <v>0</v>
      </c>
      <c r="J710" s="380">
        <v>3.2299999999999999E-5</v>
      </c>
      <c r="K710" s="380"/>
      <c r="L710" s="419">
        <v>7907</v>
      </c>
      <c r="M710" s="419">
        <v>5461</v>
      </c>
      <c r="N710" s="419">
        <v>2391</v>
      </c>
      <c r="O710" s="419">
        <v>0</v>
      </c>
      <c r="P710" s="419">
        <v>0</v>
      </c>
      <c r="Q710" s="380">
        <v>3.2299999999999999E-5</v>
      </c>
      <c r="R710" s="380"/>
      <c r="S710" s="419">
        <v>-16226</v>
      </c>
      <c r="T710" s="419">
        <v>-16039</v>
      </c>
      <c r="U710" s="419">
        <v>-16849</v>
      </c>
      <c r="V710" s="419">
        <v>-21656</v>
      </c>
      <c r="W710" s="419">
        <v>0</v>
      </c>
      <c r="X710" s="380">
        <v>3.2299999999999999E-5</v>
      </c>
      <c r="Z710" s="419">
        <v>12939</v>
      </c>
      <c r="AA710" s="419">
        <v>9091</v>
      </c>
      <c r="AB710" s="419">
        <v>9091</v>
      </c>
      <c r="AC710" s="419">
        <v>0</v>
      </c>
      <c r="AD710" s="419">
        <v>0</v>
      </c>
      <c r="AE710" s="380">
        <v>3.2299999999999999E-5</v>
      </c>
      <c r="AF710" s="380"/>
      <c r="AG710" s="419">
        <v>2062</v>
      </c>
      <c r="AH710" s="419">
        <v>1739</v>
      </c>
      <c r="AI710" s="419">
        <v>0</v>
      </c>
      <c r="AJ710" s="419">
        <v>0</v>
      </c>
      <c r="AK710" s="419">
        <v>0</v>
      </c>
      <c r="AL710" s="380">
        <v>3.2299999999999999E-5</v>
      </c>
      <c r="AM710" s="380"/>
      <c r="AN710" s="419">
        <v>-2338</v>
      </c>
      <c r="AO710" s="419">
        <v>-2338</v>
      </c>
      <c r="AP710" s="419">
        <v>-2338</v>
      </c>
      <c r="AQ710" s="419">
        <v>0</v>
      </c>
      <c r="AR710" s="419">
        <v>0</v>
      </c>
    </row>
    <row r="711" spans="1:44">
      <c r="A711" s="379">
        <v>97801</v>
      </c>
      <c r="B711" t="s">
        <v>1946</v>
      </c>
      <c r="C711" s="380">
        <v>6.0962000000000004E-3</v>
      </c>
      <c r="D711" s="380"/>
      <c r="E711" s="419">
        <v>915582</v>
      </c>
      <c r="F711" s="419">
        <v>-180145</v>
      </c>
      <c r="G711" s="419">
        <v>-1016853</v>
      </c>
      <c r="H711" s="419">
        <v>-4087344</v>
      </c>
      <c r="I711" s="419">
        <v>0</v>
      </c>
      <c r="J711" s="380">
        <v>6.0962000000000004E-3</v>
      </c>
      <c r="K711" s="380"/>
      <c r="L711" s="419">
        <v>1492399</v>
      </c>
      <c r="M711" s="419">
        <v>1030697</v>
      </c>
      <c r="N711" s="419">
        <v>451192</v>
      </c>
      <c r="O711" s="419">
        <v>0</v>
      </c>
      <c r="P711" s="419">
        <v>0</v>
      </c>
      <c r="Q711" s="380">
        <v>6.0962000000000004E-3</v>
      </c>
      <c r="R711" s="380"/>
      <c r="S711" s="419">
        <v>-3062536</v>
      </c>
      <c r="T711" s="419">
        <v>-3027099</v>
      </c>
      <c r="U711" s="419">
        <v>-3180089</v>
      </c>
      <c r="V711" s="419">
        <v>-4087344</v>
      </c>
      <c r="W711" s="419">
        <v>0</v>
      </c>
      <c r="X711" s="380">
        <v>6.0962000000000004E-3</v>
      </c>
      <c r="Z711" s="419">
        <v>2442150</v>
      </c>
      <c r="AA711" s="419">
        <v>1715745</v>
      </c>
      <c r="AB711" s="419">
        <v>1715733</v>
      </c>
      <c r="AC711" s="419">
        <v>0</v>
      </c>
      <c r="AD711" s="419">
        <v>0</v>
      </c>
      <c r="AE711" s="380">
        <v>6.0962000000000004E-3</v>
      </c>
      <c r="AF711" s="380"/>
      <c r="AG711" s="419">
        <v>181868</v>
      </c>
      <c r="AH711" s="419">
        <v>181866</v>
      </c>
      <c r="AI711" s="419">
        <v>0</v>
      </c>
      <c r="AJ711" s="419">
        <v>0</v>
      </c>
      <c r="AK711" s="419">
        <v>0</v>
      </c>
      <c r="AL711" s="380">
        <v>6.0962000000000004E-3</v>
      </c>
      <c r="AM711" s="380"/>
      <c r="AN711" s="419">
        <v>-138299</v>
      </c>
      <c r="AO711" s="419">
        <v>-81354</v>
      </c>
      <c r="AP711" s="419">
        <v>-3689</v>
      </c>
      <c r="AQ711" s="419">
        <v>0</v>
      </c>
      <c r="AR711" s="419">
        <v>0</v>
      </c>
    </row>
    <row r="712" spans="1:44">
      <c r="A712" s="379">
        <v>97802</v>
      </c>
      <c r="B712" t="s">
        <v>1413</v>
      </c>
      <c r="C712" s="380">
        <v>1.5919999999999999E-4</v>
      </c>
      <c r="D712" s="380"/>
      <c r="E712" s="419">
        <v>15434</v>
      </c>
      <c r="F712" s="419">
        <v>-17852</v>
      </c>
      <c r="G712" s="419">
        <v>-26863</v>
      </c>
      <c r="H712" s="419">
        <v>-106739</v>
      </c>
      <c r="I712" s="419">
        <v>0</v>
      </c>
      <c r="J712" s="380">
        <v>1.5919999999999999E-4</v>
      </c>
      <c r="K712" s="380"/>
      <c r="L712" s="419">
        <v>38973</v>
      </c>
      <c r="M712" s="419">
        <v>26916</v>
      </c>
      <c r="N712" s="419">
        <v>11783</v>
      </c>
      <c r="O712" s="419">
        <v>0</v>
      </c>
      <c r="P712" s="419">
        <v>0</v>
      </c>
      <c r="Q712" s="380">
        <v>1.5919999999999999E-4</v>
      </c>
      <c r="R712" s="380"/>
      <c r="S712" s="419">
        <v>-79977</v>
      </c>
      <c r="T712" s="419">
        <v>-79052</v>
      </c>
      <c r="U712" s="419">
        <v>-83047</v>
      </c>
      <c r="V712" s="419">
        <v>-106739</v>
      </c>
      <c r="W712" s="419">
        <v>0</v>
      </c>
      <c r="X712" s="380">
        <v>1.5919999999999999E-4</v>
      </c>
      <c r="Z712" s="419">
        <v>63776</v>
      </c>
      <c r="AA712" s="419">
        <v>44806</v>
      </c>
      <c r="AB712" s="419">
        <v>44806</v>
      </c>
      <c r="AC712" s="419">
        <v>0</v>
      </c>
      <c r="AD712" s="419">
        <v>0</v>
      </c>
      <c r="AE712" s="380">
        <v>1.5919999999999999E-4</v>
      </c>
      <c r="AF712" s="380"/>
      <c r="AG712" s="419">
        <v>6410</v>
      </c>
      <c r="AH712" s="419">
        <v>3225</v>
      </c>
      <c r="AI712" s="419">
        <v>0</v>
      </c>
      <c r="AJ712" s="419">
        <v>0</v>
      </c>
      <c r="AK712" s="419">
        <v>0</v>
      </c>
      <c r="AL712" s="380">
        <v>1.5919999999999999E-4</v>
      </c>
      <c r="AM712" s="380"/>
      <c r="AN712" s="419">
        <v>-13748</v>
      </c>
      <c r="AO712" s="419">
        <v>-13747</v>
      </c>
      <c r="AP712" s="419">
        <v>-405</v>
      </c>
      <c r="AQ712" s="419">
        <v>0</v>
      </c>
      <c r="AR712" s="419">
        <v>0</v>
      </c>
    </row>
    <row r="713" spans="1:44">
      <c r="A713" s="379">
        <v>97803</v>
      </c>
      <c r="B713" t="s">
        <v>1414</v>
      </c>
      <c r="C713" s="380">
        <v>7.86E-5</v>
      </c>
      <c r="D713" s="380"/>
      <c r="E713" s="419">
        <v>14426</v>
      </c>
      <c r="F713" s="419">
        <v>-1437</v>
      </c>
      <c r="G713" s="419">
        <v>-8654</v>
      </c>
      <c r="H713" s="419">
        <v>-52699</v>
      </c>
      <c r="I713" s="419">
        <v>0</v>
      </c>
      <c r="J713" s="380">
        <v>7.86E-5</v>
      </c>
      <c r="K713" s="380"/>
      <c r="L713" s="419">
        <v>19242</v>
      </c>
      <c r="M713" s="419">
        <v>13289</v>
      </c>
      <c r="N713" s="419">
        <v>5817</v>
      </c>
      <c r="O713" s="419">
        <v>0</v>
      </c>
      <c r="P713" s="419">
        <v>0</v>
      </c>
      <c r="Q713" s="380">
        <v>7.86E-5</v>
      </c>
      <c r="R713" s="380"/>
      <c r="S713" s="419">
        <v>-39486</v>
      </c>
      <c r="T713" s="419">
        <v>-39029</v>
      </c>
      <c r="U713" s="419">
        <v>-41002</v>
      </c>
      <c r="V713" s="419">
        <v>-52699</v>
      </c>
      <c r="W713" s="419">
        <v>0</v>
      </c>
      <c r="X713" s="380">
        <v>7.86E-5</v>
      </c>
      <c r="Z713" s="419">
        <v>31487</v>
      </c>
      <c r="AA713" s="419">
        <v>22122</v>
      </c>
      <c r="AB713" s="419">
        <v>22121</v>
      </c>
      <c r="AC713" s="419">
        <v>0</v>
      </c>
      <c r="AD713" s="419">
        <v>0</v>
      </c>
      <c r="AE713" s="380">
        <v>7.86E-5</v>
      </c>
      <c r="AF713" s="380"/>
      <c r="AG713" s="419">
        <v>5412</v>
      </c>
      <c r="AH713" s="419">
        <v>4411</v>
      </c>
      <c r="AI713" s="419">
        <v>4410</v>
      </c>
      <c r="AJ713" s="419">
        <v>0</v>
      </c>
      <c r="AK713" s="419">
        <v>0</v>
      </c>
      <c r="AL713" s="380">
        <v>7.86E-5</v>
      </c>
      <c r="AM713" s="380"/>
      <c r="AN713" s="419">
        <v>-2229</v>
      </c>
      <c r="AO713" s="419">
        <v>-2230</v>
      </c>
      <c r="AP713" s="419">
        <v>0</v>
      </c>
      <c r="AQ713" s="419">
        <v>0</v>
      </c>
      <c r="AR713" s="419">
        <v>0</v>
      </c>
    </row>
    <row r="714" spans="1:44">
      <c r="A714" s="379">
        <v>97805</v>
      </c>
      <c r="B714" t="s">
        <v>1415</v>
      </c>
      <c r="C714" s="380">
        <v>8.0400000000000003E-5</v>
      </c>
      <c r="D714" s="380"/>
      <c r="E714" s="419">
        <v>9042</v>
      </c>
      <c r="F714" s="419">
        <v>-7088</v>
      </c>
      <c r="G714" s="419">
        <v>-17100</v>
      </c>
      <c r="H714" s="419">
        <v>-53906</v>
      </c>
      <c r="I714" s="419">
        <v>0</v>
      </c>
      <c r="J714" s="380">
        <v>8.0400000000000003E-5</v>
      </c>
      <c r="K714" s="380"/>
      <c r="L714" s="419">
        <v>19683</v>
      </c>
      <c r="M714" s="419">
        <v>13593</v>
      </c>
      <c r="N714" s="419">
        <v>5951</v>
      </c>
      <c r="O714" s="419">
        <v>0</v>
      </c>
      <c r="P714" s="419">
        <v>0</v>
      </c>
      <c r="Q714" s="380">
        <v>8.0400000000000003E-5</v>
      </c>
      <c r="R714" s="380"/>
      <c r="S714" s="419">
        <v>-40390</v>
      </c>
      <c r="T714" s="419">
        <v>-39923</v>
      </c>
      <c r="U714" s="419">
        <v>-41941</v>
      </c>
      <c r="V714" s="419">
        <v>-53906</v>
      </c>
      <c r="W714" s="419">
        <v>0</v>
      </c>
      <c r="X714" s="380">
        <v>8.0400000000000003E-5</v>
      </c>
      <c r="Z714" s="419">
        <v>32208</v>
      </c>
      <c r="AA714" s="419">
        <v>22628</v>
      </c>
      <c r="AB714" s="419">
        <v>22628</v>
      </c>
      <c r="AC714" s="419">
        <v>0</v>
      </c>
      <c r="AD714" s="419">
        <v>0</v>
      </c>
      <c r="AE714" s="380">
        <v>8.0400000000000003E-5</v>
      </c>
      <c r="AF714" s="380"/>
      <c r="AG714" s="419">
        <v>1747</v>
      </c>
      <c r="AH714" s="419">
        <v>819</v>
      </c>
      <c r="AI714" s="419">
        <v>0</v>
      </c>
      <c r="AJ714" s="419">
        <v>0</v>
      </c>
      <c r="AK714" s="419">
        <v>0</v>
      </c>
      <c r="AL714" s="380">
        <v>8.0400000000000003E-5</v>
      </c>
      <c r="AM714" s="380"/>
      <c r="AN714" s="419">
        <v>-4206</v>
      </c>
      <c r="AO714" s="419">
        <v>-4205</v>
      </c>
      <c r="AP714" s="419">
        <v>-3738</v>
      </c>
      <c r="AQ714" s="419">
        <v>0</v>
      </c>
      <c r="AR714" s="419">
        <v>0</v>
      </c>
    </row>
    <row r="715" spans="1:44">
      <c r="A715" s="379">
        <v>97811</v>
      </c>
      <c r="B715" t="s">
        <v>1416</v>
      </c>
      <c r="C715" s="380">
        <v>2.2604000000000001E-3</v>
      </c>
      <c r="D715" s="380"/>
      <c r="E715" s="419">
        <v>248945</v>
      </c>
      <c r="F715" s="419">
        <v>-177316</v>
      </c>
      <c r="G715" s="419">
        <v>-404049</v>
      </c>
      <c r="H715" s="419">
        <v>-1515539</v>
      </c>
      <c r="I715" s="419">
        <v>0</v>
      </c>
      <c r="J715" s="380">
        <v>2.2604000000000001E-3</v>
      </c>
      <c r="K715" s="380"/>
      <c r="L715" s="419">
        <v>553364</v>
      </c>
      <c r="M715" s="419">
        <v>382170</v>
      </c>
      <c r="N715" s="419">
        <v>167297</v>
      </c>
      <c r="O715" s="419">
        <v>0</v>
      </c>
      <c r="P715" s="419">
        <v>0</v>
      </c>
      <c r="Q715" s="380">
        <v>2.2604000000000001E-3</v>
      </c>
      <c r="R715" s="380"/>
      <c r="S715" s="419">
        <v>-1135553</v>
      </c>
      <c r="T715" s="419">
        <v>-1122413</v>
      </c>
      <c r="U715" s="419">
        <v>-1179140</v>
      </c>
      <c r="V715" s="419">
        <v>-1515539</v>
      </c>
      <c r="W715" s="419">
        <v>0</v>
      </c>
      <c r="X715" s="380">
        <v>2.2604000000000001E-3</v>
      </c>
      <c r="Z715" s="419">
        <v>905521</v>
      </c>
      <c r="AA715" s="419">
        <v>636178</v>
      </c>
      <c r="AB715" s="419">
        <v>636174</v>
      </c>
      <c r="AC715" s="419">
        <v>0</v>
      </c>
      <c r="AD715" s="419">
        <v>0</v>
      </c>
      <c r="AE715" s="380">
        <v>2.2604000000000001E-3</v>
      </c>
      <c r="AF715" s="380"/>
      <c r="AG715" s="419">
        <v>0</v>
      </c>
      <c r="AH715" s="419">
        <v>0</v>
      </c>
      <c r="AI715" s="419">
        <v>0</v>
      </c>
      <c r="AJ715" s="419">
        <v>0</v>
      </c>
      <c r="AK715" s="419">
        <v>0</v>
      </c>
      <c r="AL715" s="380">
        <v>2.2604000000000001E-3</v>
      </c>
      <c r="AM715" s="380"/>
      <c r="AN715" s="419">
        <v>-74387</v>
      </c>
      <c r="AO715" s="419">
        <v>-73251</v>
      </c>
      <c r="AP715" s="419">
        <v>-28380</v>
      </c>
      <c r="AQ715" s="419">
        <v>0</v>
      </c>
      <c r="AR715" s="419">
        <v>0</v>
      </c>
    </row>
    <row r="716" spans="1:44">
      <c r="A716" s="379">
        <v>97817</v>
      </c>
      <c r="B716" t="s">
        <v>1417</v>
      </c>
      <c r="C716" s="380">
        <v>2.0400000000000001E-5</v>
      </c>
      <c r="D716" s="380"/>
      <c r="E716" s="419">
        <v>8101</v>
      </c>
      <c r="F716" s="419">
        <v>3980</v>
      </c>
      <c r="G716" s="419">
        <v>-1447</v>
      </c>
      <c r="H716" s="419">
        <v>-13678</v>
      </c>
      <c r="I716" s="419">
        <v>0</v>
      </c>
      <c r="J716" s="380">
        <v>2.0400000000000001E-5</v>
      </c>
      <c r="K716" s="380"/>
      <c r="L716" s="419">
        <v>4994</v>
      </c>
      <c r="M716" s="419">
        <v>3449</v>
      </c>
      <c r="N716" s="419">
        <v>1510</v>
      </c>
      <c r="O716" s="419">
        <v>0</v>
      </c>
      <c r="P716" s="419">
        <v>0</v>
      </c>
      <c r="Q716" s="380">
        <v>2.0400000000000001E-5</v>
      </c>
      <c r="R716" s="380"/>
      <c r="S716" s="419">
        <v>-10248</v>
      </c>
      <c r="T716" s="419">
        <v>-10130</v>
      </c>
      <c r="U716" s="419">
        <v>-10642</v>
      </c>
      <c r="V716" s="419">
        <v>-13678</v>
      </c>
      <c r="W716" s="419">
        <v>0</v>
      </c>
      <c r="X716" s="380">
        <v>2.0400000000000001E-5</v>
      </c>
      <c r="Z716" s="419">
        <v>8172</v>
      </c>
      <c r="AA716" s="419">
        <v>5741</v>
      </c>
      <c r="AB716" s="419">
        <v>5741</v>
      </c>
      <c r="AC716" s="419">
        <v>0</v>
      </c>
      <c r="AD716" s="419">
        <v>0</v>
      </c>
      <c r="AE716" s="380">
        <v>2.0400000000000001E-5</v>
      </c>
      <c r="AF716" s="380"/>
      <c r="AG716" s="419">
        <v>5183</v>
      </c>
      <c r="AH716" s="419">
        <v>4920</v>
      </c>
      <c r="AI716" s="419">
        <v>1944</v>
      </c>
      <c r="AJ716" s="419">
        <v>0</v>
      </c>
      <c r="AK716" s="419">
        <v>0</v>
      </c>
      <c r="AL716" s="380">
        <v>2.0400000000000001E-5</v>
      </c>
      <c r="AM716" s="380"/>
      <c r="AN716" s="419">
        <v>0</v>
      </c>
      <c r="AO716" s="419">
        <v>0</v>
      </c>
      <c r="AP716" s="419">
        <v>0</v>
      </c>
      <c r="AQ716" s="419">
        <v>0</v>
      </c>
      <c r="AR716" s="419">
        <v>0</v>
      </c>
    </row>
    <row r="717" spans="1:44">
      <c r="A717" s="379">
        <v>97818</v>
      </c>
      <c r="B717" t="s">
        <v>1418</v>
      </c>
      <c r="C717" s="380">
        <v>1.49E-5</v>
      </c>
      <c r="D717" s="380"/>
      <c r="E717" s="419">
        <v>1060</v>
      </c>
      <c r="F717" s="419">
        <v>-1510</v>
      </c>
      <c r="G717" s="419">
        <v>-2023</v>
      </c>
      <c r="H717" s="419">
        <v>-9990</v>
      </c>
      <c r="I717" s="419">
        <v>0</v>
      </c>
      <c r="J717" s="380">
        <v>1.49E-5</v>
      </c>
      <c r="K717" s="380"/>
      <c r="L717" s="419">
        <v>3648</v>
      </c>
      <c r="M717" s="419">
        <v>2519</v>
      </c>
      <c r="N717" s="419">
        <v>1103</v>
      </c>
      <c r="O717" s="419">
        <v>0</v>
      </c>
      <c r="P717" s="419">
        <v>0</v>
      </c>
      <c r="Q717" s="380">
        <v>1.49E-5</v>
      </c>
      <c r="R717" s="380"/>
      <c r="S717" s="419">
        <v>-7485</v>
      </c>
      <c r="T717" s="419">
        <v>-7399</v>
      </c>
      <c r="U717" s="419">
        <v>-7773</v>
      </c>
      <c r="V717" s="419">
        <v>-9990</v>
      </c>
      <c r="W717" s="419">
        <v>0</v>
      </c>
      <c r="X717" s="380">
        <v>1.49E-5</v>
      </c>
      <c r="Z717" s="419">
        <v>5969</v>
      </c>
      <c r="AA717" s="419">
        <v>4194</v>
      </c>
      <c r="AB717" s="419">
        <v>4194</v>
      </c>
      <c r="AC717" s="419">
        <v>0</v>
      </c>
      <c r="AD717" s="419">
        <v>0</v>
      </c>
      <c r="AE717" s="380">
        <v>1.49E-5</v>
      </c>
      <c r="AF717" s="380"/>
      <c r="AG717" s="419">
        <v>1398</v>
      </c>
      <c r="AH717" s="419">
        <v>1400</v>
      </c>
      <c r="AI717" s="419">
        <v>453</v>
      </c>
      <c r="AJ717" s="419">
        <v>0</v>
      </c>
      <c r="AK717" s="419">
        <v>0</v>
      </c>
      <c r="AL717" s="380">
        <v>1.49E-5</v>
      </c>
      <c r="AM717" s="380"/>
      <c r="AN717" s="419">
        <v>-2470</v>
      </c>
      <c r="AO717" s="419">
        <v>-2224</v>
      </c>
      <c r="AP717" s="419">
        <v>0</v>
      </c>
      <c r="AQ717" s="419">
        <v>0</v>
      </c>
      <c r="AR717" s="419">
        <v>0</v>
      </c>
    </row>
    <row r="718" spans="1:44">
      <c r="A718" s="379">
        <v>97821</v>
      </c>
      <c r="B718" t="s">
        <v>1419</v>
      </c>
      <c r="C718" s="380">
        <v>1.2430000000000001E-4</v>
      </c>
      <c r="D718" s="380"/>
      <c r="E718" s="419">
        <v>28348</v>
      </c>
      <c r="F718" s="419">
        <v>2700</v>
      </c>
      <c r="G718" s="419">
        <v>-8997</v>
      </c>
      <c r="H718" s="419">
        <v>-83340</v>
      </c>
      <c r="I718" s="419">
        <v>0</v>
      </c>
      <c r="J718" s="380">
        <v>1.2430000000000001E-4</v>
      </c>
      <c r="K718" s="380"/>
      <c r="L718" s="419">
        <v>30430</v>
      </c>
      <c r="M718" s="419">
        <v>21016</v>
      </c>
      <c r="N718" s="419">
        <v>9200</v>
      </c>
      <c r="O718" s="419">
        <v>0</v>
      </c>
      <c r="P718" s="419">
        <v>0</v>
      </c>
      <c r="Q718" s="380">
        <v>1.2430000000000001E-4</v>
      </c>
      <c r="R718" s="380"/>
      <c r="S718" s="419">
        <v>-62444</v>
      </c>
      <c r="T718" s="419">
        <v>-61722</v>
      </c>
      <c r="U718" s="419">
        <v>-64841</v>
      </c>
      <c r="V718" s="419">
        <v>-83340</v>
      </c>
      <c r="W718" s="419">
        <v>0</v>
      </c>
      <c r="X718" s="380">
        <v>1.2430000000000001E-4</v>
      </c>
      <c r="Z718" s="419">
        <v>49795</v>
      </c>
      <c r="AA718" s="419">
        <v>34984</v>
      </c>
      <c r="AB718" s="419">
        <v>34983</v>
      </c>
      <c r="AC718" s="419">
        <v>0</v>
      </c>
      <c r="AD718" s="419">
        <v>0</v>
      </c>
      <c r="AE718" s="380">
        <v>1.2430000000000001E-4</v>
      </c>
      <c r="AF718" s="380"/>
      <c r="AG718" s="419">
        <v>19680</v>
      </c>
      <c r="AH718" s="419">
        <v>17533</v>
      </c>
      <c r="AI718" s="419">
        <v>11661</v>
      </c>
      <c r="AJ718" s="419">
        <v>0</v>
      </c>
      <c r="AK718" s="419">
        <v>0</v>
      </c>
      <c r="AL718" s="380">
        <v>1.2430000000000001E-4</v>
      </c>
      <c r="AM718" s="380"/>
      <c r="AN718" s="419">
        <v>-9113</v>
      </c>
      <c r="AO718" s="419">
        <v>-9111</v>
      </c>
      <c r="AP718" s="419">
        <v>0</v>
      </c>
      <c r="AQ718" s="419">
        <v>0</v>
      </c>
      <c r="AR718" s="419">
        <v>0</v>
      </c>
    </row>
    <row r="719" spans="1:44">
      <c r="A719" s="379">
        <v>97823</v>
      </c>
      <c r="B719" t="s">
        <v>1420</v>
      </c>
      <c r="C719" s="380">
        <v>1.9000000000000001E-5</v>
      </c>
      <c r="D719" s="380"/>
      <c r="E719" s="419">
        <v>6044</v>
      </c>
      <c r="F719" s="419">
        <v>2975</v>
      </c>
      <c r="G719" s="419">
        <v>-2464</v>
      </c>
      <c r="H719" s="419">
        <v>-12739</v>
      </c>
      <c r="I719" s="419">
        <v>0</v>
      </c>
      <c r="J719" s="380">
        <v>1.9000000000000001E-5</v>
      </c>
      <c r="K719" s="380"/>
      <c r="L719" s="419">
        <v>4651</v>
      </c>
      <c r="M719" s="419">
        <v>3212</v>
      </c>
      <c r="N719" s="419">
        <v>1406</v>
      </c>
      <c r="O719" s="419">
        <v>0</v>
      </c>
      <c r="P719" s="419">
        <v>0</v>
      </c>
      <c r="Q719" s="380">
        <v>1.9000000000000001E-5</v>
      </c>
      <c r="R719" s="380"/>
      <c r="S719" s="419">
        <v>-9545</v>
      </c>
      <c r="T719" s="419">
        <v>-9435</v>
      </c>
      <c r="U719" s="419">
        <v>-9911</v>
      </c>
      <c r="V719" s="419">
        <v>-12739</v>
      </c>
      <c r="W719" s="419">
        <v>0</v>
      </c>
      <c r="X719" s="380">
        <v>1.9000000000000001E-5</v>
      </c>
      <c r="Z719" s="419">
        <v>7611</v>
      </c>
      <c r="AA719" s="419">
        <v>5347</v>
      </c>
      <c r="AB719" s="419">
        <v>5347</v>
      </c>
      <c r="AC719" s="419">
        <v>0</v>
      </c>
      <c r="AD719" s="419">
        <v>0</v>
      </c>
      <c r="AE719" s="380">
        <v>1.9000000000000001E-5</v>
      </c>
      <c r="AF719" s="380"/>
      <c r="AG719" s="419">
        <v>3852</v>
      </c>
      <c r="AH719" s="419">
        <v>3851</v>
      </c>
      <c r="AI719" s="419">
        <v>694</v>
      </c>
      <c r="AJ719" s="419">
        <v>0</v>
      </c>
      <c r="AK719" s="419">
        <v>0</v>
      </c>
      <c r="AL719" s="380">
        <v>1.9000000000000001E-5</v>
      </c>
      <c r="AM719" s="380"/>
      <c r="AN719" s="419">
        <v>-525</v>
      </c>
      <c r="AO719" s="419">
        <v>0</v>
      </c>
      <c r="AP719" s="419">
        <v>0</v>
      </c>
      <c r="AQ719" s="419">
        <v>0</v>
      </c>
      <c r="AR719" s="419">
        <v>0</v>
      </c>
    </row>
    <row r="720" spans="1:44">
      <c r="A720" s="379">
        <v>97831</v>
      </c>
      <c r="B720" t="s">
        <v>1421</v>
      </c>
      <c r="C720" s="380">
        <v>1.9469999999999999E-4</v>
      </c>
      <c r="D720" s="380"/>
      <c r="E720" s="419">
        <v>46883</v>
      </c>
      <c r="F720" s="419">
        <v>10894</v>
      </c>
      <c r="G720" s="419">
        <v>-28732</v>
      </c>
      <c r="H720" s="419">
        <v>-130541</v>
      </c>
      <c r="I720" s="419">
        <v>0</v>
      </c>
      <c r="J720" s="380">
        <v>1.9469999999999999E-4</v>
      </c>
      <c r="K720" s="380"/>
      <c r="L720" s="419">
        <v>47664</v>
      </c>
      <c r="M720" s="419">
        <v>32918</v>
      </c>
      <c r="N720" s="419">
        <v>14410</v>
      </c>
      <c r="O720" s="419">
        <v>0</v>
      </c>
      <c r="P720" s="419">
        <v>0</v>
      </c>
      <c r="Q720" s="380">
        <v>1.9469999999999999E-4</v>
      </c>
      <c r="R720" s="380"/>
      <c r="S720" s="419">
        <v>-97811</v>
      </c>
      <c r="T720" s="419">
        <v>-96679</v>
      </c>
      <c r="U720" s="419">
        <v>-101565</v>
      </c>
      <c r="V720" s="419">
        <v>-130541</v>
      </c>
      <c r="W720" s="419">
        <v>0</v>
      </c>
      <c r="X720" s="380">
        <v>1.9469999999999999E-4</v>
      </c>
      <c r="Z720" s="419">
        <v>77997</v>
      </c>
      <c r="AA720" s="419">
        <v>54797</v>
      </c>
      <c r="AB720" s="419">
        <v>54797</v>
      </c>
      <c r="AC720" s="419">
        <v>0</v>
      </c>
      <c r="AD720" s="419">
        <v>0</v>
      </c>
      <c r="AE720" s="380">
        <v>1.9469999999999999E-4</v>
      </c>
      <c r="AF720" s="380"/>
      <c r="AG720" s="419">
        <v>19859</v>
      </c>
      <c r="AH720" s="419">
        <v>19858</v>
      </c>
      <c r="AI720" s="419">
        <v>3626</v>
      </c>
      <c r="AJ720" s="419">
        <v>0</v>
      </c>
      <c r="AK720" s="419">
        <v>0</v>
      </c>
      <c r="AL720" s="380">
        <v>1.9469999999999999E-4</v>
      </c>
      <c r="AM720" s="380"/>
      <c r="AN720" s="419">
        <v>-826</v>
      </c>
      <c r="AO720" s="419">
        <v>0</v>
      </c>
      <c r="AP720" s="419">
        <v>0</v>
      </c>
      <c r="AQ720" s="419">
        <v>0</v>
      </c>
      <c r="AR720" s="419">
        <v>0</v>
      </c>
    </row>
    <row r="721" spans="1:44">
      <c r="A721" s="379">
        <v>97837</v>
      </c>
      <c r="B721" t="s">
        <v>1422</v>
      </c>
      <c r="C721" s="380">
        <v>1.3699999999999999E-5</v>
      </c>
      <c r="D721" s="380"/>
      <c r="E721" s="419">
        <v>4199</v>
      </c>
      <c r="F721" s="419">
        <v>1257</v>
      </c>
      <c r="G721" s="419">
        <v>264</v>
      </c>
      <c r="H721" s="419">
        <v>-9185</v>
      </c>
      <c r="I721" s="419">
        <v>0</v>
      </c>
      <c r="J721" s="380">
        <v>1.3699999999999999E-5</v>
      </c>
      <c r="K721" s="380"/>
      <c r="L721" s="419">
        <v>3354</v>
      </c>
      <c r="M721" s="419">
        <v>2316</v>
      </c>
      <c r="N721" s="419">
        <v>1014</v>
      </c>
      <c r="O721" s="419">
        <v>0</v>
      </c>
      <c r="P721" s="419">
        <v>0</v>
      </c>
      <c r="Q721" s="380">
        <v>1.3699999999999999E-5</v>
      </c>
      <c r="R721" s="380"/>
      <c r="S721" s="419">
        <v>-6882</v>
      </c>
      <c r="T721" s="419">
        <v>-6803</v>
      </c>
      <c r="U721" s="419">
        <v>-7147</v>
      </c>
      <c r="V721" s="419">
        <v>-9185</v>
      </c>
      <c r="W721" s="419">
        <v>0</v>
      </c>
      <c r="X721" s="380">
        <v>1.3699999999999999E-5</v>
      </c>
      <c r="Z721" s="419">
        <v>5488</v>
      </c>
      <c r="AA721" s="419">
        <v>3856</v>
      </c>
      <c r="AB721" s="419">
        <v>3856</v>
      </c>
      <c r="AC721" s="419">
        <v>0</v>
      </c>
      <c r="AD721" s="419">
        <v>0</v>
      </c>
      <c r="AE721" s="380">
        <v>1.3699999999999999E-5</v>
      </c>
      <c r="AF721" s="380"/>
      <c r="AG721" s="419">
        <v>3040</v>
      </c>
      <c r="AH721" s="419">
        <v>2689</v>
      </c>
      <c r="AI721" s="419">
        <v>2541</v>
      </c>
      <c r="AJ721" s="419">
        <v>0</v>
      </c>
      <c r="AK721" s="419">
        <v>0</v>
      </c>
      <c r="AL721" s="380">
        <v>1.3699999999999999E-5</v>
      </c>
      <c r="AM721" s="380"/>
      <c r="AN721" s="419">
        <v>-801</v>
      </c>
      <c r="AO721" s="419">
        <v>-801</v>
      </c>
      <c r="AP721" s="419">
        <v>0</v>
      </c>
      <c r="AQ721" s="419">
        <v>0</v>
      </c>
      <c r="AR721" s="419">
        <v>0</v>
      </c>
    </row>
    <row r="722" spans="1:44">
      <c r="A722" s="379">
        <v>97840</v>
      </c>
      <c r="B722" t="s">
        <v>1423</v>
      </c>
      <c r="C722" s="380">
        <v>1.3679999999999999E-4</v>
      </c>
      <c r="D722" s="380"/>
      <c r="E722" s="419">
        <v>65277</v>
      </c>
      <c r="F722" s="419">
        <v>28824</v>
      </c>
      <c r="G722" s="419">
        <v>-4938</v>
      </c>
      <c r="H722" s="419">
        <v>-91721</v>
      </c>
      <c r="I722" s="419">
        <v>0</v>
      </c>
      <c r="J722" s="380">
        <v>1.3679999999999999E-4</v>
      </c>
      <c r="K722" s="380"/>
      <c r="L722" s="419">
        <v>33490</v>
      </c>
      <c r="M722" s="419">
        <v>23129</v>
      </c>
      <c r="N722" s="419">
        <v>10125</v>
      </c>
      <c r="O722" s="419">
        <v>0</v>
      </c>
      <c r="P722" s="419">
        <v>0</v>
      </c>
      <c r="Q722" s="380">
        <v>1.3679999999999999E-4</v>
      </c>
      <c r="R722" s="380"/>
      <c r="S722" s="419">
        <v>-68724</v>
      </c>
      <c r="T722" s="419">
        <v>-67929</v>
      </c>
      <c r="U722" s="419">
        <v>-71362</v>
      </c>
      <c r="V722" s="419">
        <v>-91721</v>
      </c>
      <c r="W722" s="419">
        <v>0</v>
      </c>
      <c r="X722" s="380">
        <v>1.3679999999999999E-4</v>
      </c>
      <c r="Z722" s="419">
        <v>54802</v>
      </c>
      <c r="AA722" s="419">
        <v>38502</v>
      </c>
      <c r="AB722" s="419">
        <v>38501</v>
      </c>
      <c r="AC722" s="419">
        <v>0</v>
      </c>
      <c r="AD722" s="419">
        <v>0</v>
      </c>
      <c r="AE722" s="380">
        <v>1.3679999999999999E-4</v>
      </c>
      <c r="AF722" s="380"/>
      <c r="AG722" s="419">
        <v>45709</v>
      </c>
      <c r="AH722" s="419">
        <v>35122</v>
      </c>
      <c r="AI722" s="419">
        <v>17798</v>
      </c>
      <c r="AJ722" s="419">
        <v>0</v>
      </c>
      <c r="AK722" s="419">
        <v>0</v>
      </c>
      <c r="AL722" s="380">
        <v>1.3679999999999999E-4</v>
      </c>
      <c r="AM722" s="380"/>
      <c r="AN722" s="419">
        <v>0</v>
      </c>
      <c r="AO722" s="419">
        <v>0</v>
      </c>
      <c r="AP722" s="419">
        <v>0</v>
      </c>
      <c r="AQ722" s="419">
        <v>0</v>
      </c>
      <c r="AR722" s="419">
        <v>0</v>
      </c>
    </row>
    <row r="723" spans="1:44">
      <c r="A723" s="379">
        <v>97841</v>
      </c>
      <c r="B723" t="s">
        <v>1424</v>
      </c>
      <c r="C723" s="380">
        <v>1.3499999999999999E-5</v>
      </c>
      <c r="D723" s="380"/>
      <c r="E723" s="419">
        <v>2713</v>
      </c>
      <c r="F723" s="419">
        <v>178</v>
      </c>
      <c r="G723" s="419">
        <v>-1958</v>
      </c>
      <c r="H723" s="419">
        <v>-9051</v>
      </c>
      <c r="I723" s="419">
        <v>0</v>
      </c>
      <c r="J723" s="380">
        <v>1.3499999999999999E-5</v>
      </c>
      <c r="K723" s="380"/>
      <c r="L723" s="419">
        <v>3305</v>
      </c>
      <c r="M723" s="419">
        <v>2282</v>
      </c>
      <c r="N723" s="419">
        <v>999</v>
      </c>
      <c r="O723" s="419">
        <v>0</v>
      </c>
      <c r="P723" s="419">
        <v>0</v>
      </c>
      <c r="Q723" s="380">
        <v>1.3499999999999999E-5</v>
      </c>
      <c r="R723" s="380"/>
      <c r="S723" s="419">
        <v>-6782</v>
      </c>
      <c r="T723" s="419">
        <v>-6703</v>
      </c>
      <c r="U723" s="419">
        <v>-7042</v>
      </c>
      <c r="V723" s="419">
        <v>-9051</v>
      </c>
      <c r="W723" s="419">
        <v>0</v>
      </c>
      <c r="X723" s="380">
        <v>1.3499999999999999E-5</v>
      </c>
      <c r="Z723" s="419">
        <v>5408</v>
      </c>
      <c r="AA723" s="419">
        <v>3800</v>
      </c>
      <c r="AB723" s="419">
        <v>3799</v>
      </c>
      <c r="AC723" s="419">
        <v>0</v>
      </c>
      <c r="AD723" s="419">
        <v>0</v>
      </c>
      <c r="AE723" s="380">
        <v>1.3499999999999999E-5</v>
      </c>
      <c r="AF723" s="380"/>
      <c r="AG723" s="419">
        <v>798</v>
      </c>
      <c r="AH723" s="419">
        <v>799</v>
      </c>
      <c r="AI723" s="419">
        <v>286</v>
      </c>
      <c r="AJ723" s="419">
        <v>0</v>
      </c>
      <c r="AK723" s="419">
        <v>0</v>
      </c>
      <c r="AL723" s="380">
        <v>1.3499999999999999E-5</v>
      </c>
      <c r="AM723" s="380"/>
      <c r="AN723" s="419">
        <v>-16</v>
      </c>
      <c r="AO723" s="419">
        <v>0</v>
      </c>
      <c r="AP723" s="419">
        <v>0</v>
      </c>
      <c r="AQ723" s="419">
        <v>0</v>
      </c>
      <c r="AR723" s="419">
        <v>0</v>
      </c>
    </row>
    <row r="724" spans="1:44">
      <c r="A724" s="379">
        <v>97847</v>
      </c>
      <c r="B724" t="s">
        <v>1425</v>
      </c>
      <c r="C724" s="380">
        <v>2.0999999999999998E-6</v>
      </c>
      <c r="D724" s="380"/>
      <c r="E724" s="419">
        <v>2123</v>
      </c>
      <c r="F724" s="419">
        <v>1472</v>
      </c>
      <c r="G724" s="419">
        <v>364</v>
      </c>
      <c r="H724" s="419">
        <v>-1408</v>
      </c>
      <c r="I724" s="419">
        <v>0</v>
      </c>
      <c r="J724" s="380">
        <v>2.0999999999999998E-6</v>
      </c>
      <c r="K724" s="380"/>
      <c r="L724" s="419">
        <v>514</v>
      </c>
      <c r="M724" s="419">
        <v>355</v>
      </c>
      <c r="N724" s="419">
        <v>155</v>
      </c>
      <c r="O724" s="419">
        <v>0</v>
      </c>
      <c r="P724" s="419">
        <v>0</v>
      </c>
      <c r="Q724" s="380">
        <v>2.0999999999999998E-6</v>
      </c>
      <c r="R724" s="380"/>
      <c r="S724" s="419">
        <v>-1055</v>
      </c>
      <c r="T724" s="419">
        <v>-1043</v>
      </c>
      <c r="U724" s="419">
        <v>-1095</v>
      </c>
      <c r="V724" s="419">
        <v>-1408</v>
      </c>
      <c r="W724" s="419">
        <v>0</v>
      </c>
      <c r="X724" s="380">
        <v>2.0999999999999998E-6</v>
      </c>
      <c r="Z724" s="419">
        <v>841</v>
      </c>
      <c r="AA724" s="419">
        <v>591</v>
      </c>
      <c r="AB724" s="419">
        <v>591</v>
      </c>
      <c r="AC724" s="419">
        <v>0</v>
      </c>
      <c r="AD724" s="419">
        <v>0</v>
      </c>
      <c r="AE724" s="380">
        <v>2.0999999999999998E-6</v>
      </c>
      <c r="AF724" s="380"/>
      <c r="AG724" s="419">
        <v>1823</v>
      </c>
      <c r="AH724" s="419">
        <v>1569</v>
      </c>
      <c r="AI724" s="419">
        <v>713</v>
      </c>
      <c r="AJ724" s="419">
        <v>0</v>
      </c>
      <c r="AK724" s="419">
        <v>0</v>
      </c>
      <c r="AL724" s="380">
        <v>2.0999999999999998E-6</v>
      </c>
      <c r="AM724" s="380"/>
      <c r="AN724" s="419">
        <v>0</v>
      </c>
      <c r="AO724" s="419">
        <v>0</v>
      </c>
      <c r="AP724" s="419">
        <v>0</v>
      </c>
      <c r="AQ724" s="419">
        <v>0</v>
      </c>
      <c r="AR724" s="419">
        <v>0</v>
      </c>
    </row>
    <row r="725" spans="1:44">
      <c r="A725" s="379">
        <v>97851</v>
      </c>
      <c r="B725" t="s">
        <v>1426</v>
      </c>
      <c r="C725" s="380">
        <v>2.6120000000000001E-4</v>
      </c>
      <c r="D725" s="380"/>
      <c r="E725" s="419">
        <v>15402</v>
      </c>
      <c r="F725" s="419">
        <v>-29837</v>
      </c>
      <c r="G725" s="419">
        <v>-44966</v>
      </c>
      <c r="H725" s="419">
        <v>-175128</v>
      </c>
      <c r="I725" s="419">
        <v>0</v>
      </c>
      <c r="J725" s="380">
        <v>2.6120000000000001E-4</v>
      </c>
      <c r="K725" s="380"/>
      <c r="L725" s="419">
        <v>63944</v>
      </c>
      <c r="M725" s="419">
        <v>44162</v>
      </c>
      <c r="N725" s="419">
        <v>19332</v>
      </c>
      <c r="O725" s="419">
        <v>0</v>
      </c>
      <c r="P725" s="419">
        <v>0</v>
      </c>
      <c r="Q725" s="380">
        <v>2.6120000000000001E-4</v>
      </c>
      <c r="R725" s="380"/>
      <c r="S725" s="419">
        <v>-131219</v>
      </c>
      <c r="T725" s="419">
        <v>-129700</v>
      </c>
      <c r="U725" s="419">
        <v>-136255</v>
      </c>
      <c r="V725" s="419">
        <v>-175128</v>
      </c>
      <c r="W725" s="419">
        <v>0</v>
      </c>
      <c r="X725" s="380">
        <v>2.6120000000000001E-4</v>
      </c>
      <c r="Z725" s="419">
        <v>104637</v>
      </c>
      <c r="AA725" s="419">
        <v>73513</v>
      </c>
      <c r="AB725" s="419">
        <v>73513</v>
      </c>
      <c r="AC725" s="419">
        <v>0</v>
      </c>
      <c r="AD725" s="419">
        <v>0</v>
      </c>
      <c r="AE725" s="380">
        <v>2.6120000000000001E-4</v>
      </c>
      <c r="AF725" s="380"/>
      <c r="AG725" s="419">
        <v>0</v>
      </c>
      <c r="AH725" s="419">
        <v>0</v>
      </c>
      <c r="AI725" s="419">
        <v>0</v>
      </c>
      <c r="AJ725" s="419">
        <v>0</v>
      </c>
      <c r="AK725" s="419">
        <v>0</v>
      </c>
      <c r="AL725" s="380">
        <v>2.6120000000000001E-4</v>
      </c>
      <c r="AM725" s="380"/>
      <c r="AN725" s="419">
        <v>-21960</v>
      </c>
      <c r="AO725" s="419">
        <v>-17812</v>
      </c>
      <c r="AP725" s="419">
        <v>-1556</v>
      </c>
      <c r="AQ725" s="419">
        <v>0</v>
      </c>
      <c r="AR725" s="419">
        <v>0</v>
      </c>
    </row>
    <row r="726" spans="1:44">
      <c r="A726" s="379">
        <v>97853</v>
      </c>
      <c r="B726" t="s">
        <v>1427</v>
      </c>
      <c r="C726" s="380">
        <v>8.53E-5</v>
      </c>
      <c r="D726" s="380"/>
      <c r="E726" s="419">
        <v>7217</v>
      </c>
      <c r="F726" s="419">
        <v>-5992</v>
      </c>
      <c r="G726" s="419">
        <v>-10843</v>
      </c>
      <c r="H726" s="419">
        <v>-57191</v>
      </c>
      <c r="I726" s="419">
        <v>0</v>
      </c>
      <c r="J726" s="380">
        <v>8.53E-5</v>
      </c>
      <c r="K726" s="380"/>
      <c r="L726" s="419">
        <v>20882</v>
      </c>
      <c r="M726" s="419">
        <v>14422</v>
      </c>
      <c r="N726" s="419">
        <v>6313</v>
      </c>
      <c r="O726" s="419">
        <v>0</v>
      </c>
      <c r="P726" s="419">
        <v>0</v>
      </c>
      <c r="Q726" s="380">
        <v>8.53E-5</v>
      </c>
      <c r="R726" s="380"/>
      <c r="S726" s="419">
        <v>-42852</v>
      </c>
      <c r="T726" s="419">
        <v>-42356</v>
      </c>
      <c r="U726" s="419">
        <v>-44497</v>
      </c>
      <c r="V726" s="419">
        <v>-57191</v>
      </c>
      <c r="W726" s="419">
        <v>0</v>
      </c>
      <c r="X726" s="380">
        <v>8.53E-5</v>
      </c>
      <c r="Z726" s="419">
        <v>34171</v>
      </c>
      <c r="AA726" s="419">
        <v>24007</v>
      </c>
      <c r="AB726" s="419">
        <v>24007</v>
      </c>
      <c r="AC726" s="419">
        <v>0</v>
      </c>
      <c r="AD726" s="419">
        <v>0</v>
      </c>
      <c r="AE726" s="380">
        <v>8.53E-5</v>
      </c>
      <c r="AF726" s="380"/>
      <c r="AG726" s="419">
        <v>3335</v>
      </c>
      <c r="AH726" s="419">
        <v>3335</v>
      </c>
      <c r="AI726" s="419">
        <v>3334</v>
      </c>
      <c r="AJ726" s="419">
        <v>0</v>
      </c>
      <c r="AK726" s="419">
        <v>0</v>
      </c>
      <c r="AL726" s="380">
        <v>8.53E-5</v>
      </c>
      <c r="AM726" s="380"/>
      <c r="AN726" s="419">
        <v>-8319</v>
      </c>
      <c r="AO726" s="419">
        <v>-5400</v>
      </c>
      <c r="AP726" s="419">
        <v>0</v>
      </c>
      <c r="AQ726" s="419">
        <v>0</v>
      </c>
      <c r="AR726" s="419">
        <v>0</v>
      </c>
    </row>
    <row r="727" spans="1:44">
      <c r="A727" s="379">
        <v>97861</v>
      </c>
      <c r="B727" t="s">
        <v>1428</v>
      </c>
      <c r="C727" s="380">
        <v>5.24E-5</v>
      </c>
      <c r="D727" s="380"/>
      <c r="E727" s="419">
        <v>14478</v>
      </c>
      <c r="F727" s="419">
        <v>7701</v>
      </c>
      <c r="G727" s="419">
        <v>-2757</v>
      </c>
      <c r="H727" s="419">
        <v>-35133</v>
      </c>
      <c r="I727" s="419">
        <v>0</v>
      </c>
      <c r="J727" s="380">
        <v>5.24E-5</v>
      </c>
      <c r="K727" s="380"/>
      <c r="L727" s="419">
        <v>12828</v>
      </c>
      <c r="M727" s="419">
        <v>8859</v>
      </c>
      <c r="N727" s="419">
        <v>3878</v>
      </c>
      <c r="O727" s="419">
        <v>0</v>
      </c>
      <c r="P727" s="419">
        <v>0</v>
      </c>
      <c r="Q727" s="380">
        <v>5.24E-5</v>
      </c>
      <c r="R727" s="380"/>
      <c r="S727" s="419">
        <v>-26324</v>
      </c>
      <c r="T727" s="419">
        <v>-26019</v>
      </c>
      <c r="U727" s="419">
        <v>-27335</v>
      </c>
      <c r="V727" s="419">
        <v>-35133</v>
      </c>
      <c r="W727" s="419">
        <v>0</v>
      </c>
      <c r="X727" s="380">
        <v>5.24E-5</v>
      </c>
      <c r="Z727" s="419">
        <v>20992</v>
      </c>
      <c r="AA727" s="419">
        <v>14748</v>
      </c>
      <c r="AB727" s="419">
        <v>14748</v>
      </c>
      <c r="AC727" s="419">
        <v>0</v>
      </c>
      <c r="AD727" s="419">
        <v>0</v>
      </c>
      <c r="AE727" s="380">
        <v>5.24E-5</v>
      </c>
      <c r="AF727" s="380"/>
      <c r="AG727" s="419">
        <v>10115</v>
      </c>
      <c r="AH727" s="419">
        <v>10113</v>
      </c>
      <c r="AI727" s="419">
        <v>5952</v>
      </c>
      <c r="AJ727" s="419">
        <v>0</v>
      </c>
      <c r="AK727" s="419">
        <v>0</v>
      </c>
      <c r="AL727" s="380">
        <v>5.24E-5</v>
      </c>
      <c r="AM727" s="380"/>
      <c r="AN727" s="419">
        <v>-3133</v>
      </c>
      <c r="AO727" s="419">
        <v>0</v>
      </c>
      <c r="AP727" s="419">
        <v>0</v>
      </c>
      <c r="AQ727" s="419">
        <v>0</v>
      </c>
      <c r="AR727" s="419">
        <v>0</v>
      </c>
    </row>
    <row r="728" spans="1:44">
      <c r="A728" s="379">
        <v>97871</v>
      </c>
      <c r="B728" t="s">
        <v>1429</v>
      </c>
      <c r="C728" s="380">
        <v>3.1339999999999997E-4</v>
      </c>
      <c r="D728" s="380"/>
      <c r="E728" s="419">
        <v>158949</v>
      </c>
      <c r="F728" s="419">
        <v>69032</v>
      </c>
      <c r="G728" s="419">
        <v>15234</v>
      </c>
      <c r="H728" s="419">
        <v>-210127</v>
      </c>
      <c r="I728" s="419">
        <v>0</v>
      </c>
      <c r="J728" s="380">
        <v>3.1339999999999997E-4</v>
      </c>
      <c r="K728" s="380"/>
      <c r="L728" s="419">
        <v>76723</v>
      </c>
      <c r="M728" s="419">
        <v>52987</v>
      </c>
      <c r="N728" s="419">
        <v>23195</v>
      </c>
      <c r="O728" s="419">
        <v>0</v>
      </c>
      <c r="P728" s="419">
        <v>0</v>
      </c>
      <c r="Q728" s="380">
        <v>3.1339999999999997E-4</v>
      </c>
      <c r="R728" s="380"/>
      <c r="S728" s="419">
        <v>-157442</v>
      </c>
      <c r="T728" s="419">
        <v>-155620</v>
      </c>
      <c r="U728" s="419">
        <v>-163485</v>
      </c>
      <c r="V728" s="419">
        <v>-210127</v>
      </c>
      <c r="W728" s="419">
        <v>0</v>
      </c>
      <c r="X728" s="380">
        <v>3.1339999999999997E-4</v>
      </c>
      <c r="Z728" s="419">
        <v>125549</v>
      </c>
      <c r="AA728" s="419">
        <v>88205</v>
      </c>
      <c r="AB728" s="419">
        <v>88204</v>
      </c>
      <c r="AC728" s="419">
        <v>0</v>
      </c>
      <c r="AD728" s="419">
        <v>0</v>
      </c>
      <c r="AE728" s="380">
        <v>3.1339999999999997E-4</v>
      </c>
      <c r="AF728" s="380"/>
      <c r="AG728" s="419">
        <v>124979</v>
      </c>
      <c r="AH728" s="419">
        <v>94320</v>
      </c>
      <c r="AI728" s="419">
        <v>67320</v>
      </c>
      <c r="AJ728" s="419">
        <v>0</v>
      </c>
      <c r="AK728" s="419">
        <v>0</v>
      </c>
      <c r="AL728" s="380">
        <v>3.1339999999999997E-4</v>
      </c>
      <c r="AM728" s="380"/>
      <c r="AN728" s="419">
        <v>-10860</v>
      </c>
      <c r="AO728" s="419">
        <v>-10860</v>
      </c>
      <c r="AP728" s="419">
        <v>0</v>
      </c>
      <c r="AQ728" s="419">
        <v>0</v>
      </c>
      <c r="AR728" s="419">
        <v>0</v>
      </c>
    </row>
    <row r="729" spans="1:44">
      <c r="A729" s="379">
        <v>97877</v>
      </c>
      <c r="B729" t="s">
        <v>1430</v>
      </c>
      <c r="C729" s="380">
        <v>9.5000000000000005E-6</v>
      </c>
      <c r="D729" s="380"/>
      <c r="E729" s="419">
        <v>4416</v>
      </c>
      <c r="F729" s="419">
        <v>2258</v>
      </c>
      <c r="G729" s="419">
        <v>-1023</v>
      </c>
      <c r="H729" s="419">
        <v>-6370</v>
      </c>
      <c r="I729" s="419">
        <v>0</v>
      </c>
      <c r="J729" s="380">
        <v>9.5000000000000005E-6</v>
      </c>
      <c r="K729" s="380"/>
      <c r="L729" s="419">
        <v>2326</v>
      </c>
      <c r="M729" s="419">
        <v>1606</v>
      </c>
      <c r="N729" s="419">
        <v>703</v>
      </c>
      <c r="O729" s="419">
        <v>0</v>
      </c>
      <c r="P729" s="419">
        <v>0</v>
      </c>
      <c r="Q729" s="380">
        <v>9.5000000000000005E-6</v>
      </c>
      <c r="R729" s="380"/>
      <c r="S729" s="419">
        <v>-4772</v>
      </c>
      <c r="T729" s="419">
        <v>-4717</v>
      </c>
      <c r="U729" s="419">
        <v>-4956</v>
      </c>
      <c r="V729" s="419">
        <v>-6370</v>
      </c>
      <c r="W729" s="419">
        <v>0</v>
      </c>
      <c r="X729" s="380">
        <v>9.5000000000000005E-6</v>
      </c>
      <c r="Z729" s="419">
        <v>3806</v>
      </c>
      <c r="AA729" s="419">
        <v>2674</v>
      </c>
      <c r="AB729" s="419">
        <v>2674</v>
      </c>
      <c r="AC729" s="419">
        <v>0</v>
      </c>
      <c r="AD729" s="419">
        <v>0</v>
      </c>
      <c r="AE729" s="380">
        <v>9.5000000000000005E-6</v>
      </c>
      <c r="AF729" s="380"/>
      <c r="AG729" s="419">
        <v>3056</v>
      </c>
      <c r="AH729" s="419">
        <v>2695</v>
      </c>
      <c r="AI729" s="419">
        <v>556</v>
      </c>
      <c r="AJ729" s="419">
        <v>0</v>
      </c>
      <c r="AK729" s="419">
        <v>0</v>
      </c>
      <c r="AL729" s="380">
        <v>9.5000000000000005E-6</v>
      </c>
      <c r="AM729" s="380"/>
      <c r="AN729" s="419">
        <v>0</v>
      </c>
      <c r="AO729" s="419">
        <v>0</v>
      </c>
      <c r="AP729" s="419">
        <v>0</v>
      </c>
      <c r="AQ729" s="419">
        <v>0</v>
      </c>
      <c r="AR729" s="419">
        <v>0</v>
      </c>
    </row>
    <row r="730" spans="1:44">
      <c r="A730" s="379">
        <v>97901</v>
      </c>
      <c r="B730" t="s">
        <v>1431</v>
      </c>
      <c r="C730" s="380">
        <v>3.7361E-3</v>
      </c>
      <c r="D730" s="380"/>
      <c r="E730" s="419">
        <v>369274</v>
      </c>
      <c r="F730" s="419">
        <v>-332487</v>
      </c>
      <c r="G730" s="419">
        <v>-659871</v>
      </c>
      <c r="H730" s="419">
        <v>-2504958</v>
      </c>
      <c r="I730" s="419">
        <v>0</v>
      </c>
      <c r="J730" s="380">
        <v>3.7361E-3</v>
      </c>
      <c r="K730" s="380"/>
      <c r="L730" s="419">
        <v>914627</v>
      </c>
      <c r="M730" s="419">
        <v>631670</v>
      </c>
      <c r="N730" s="419">
        <v>276516</v>
      </c>
      <c r="O730" s="419">
        <v>0</v>
      </c>
      <c r="P730" s="419">
        <v>0</v>
      </c>
      <c r="Q730" s="380">
        <v>3.7361E-3</v>
      </c>
      <c r="R730" s="380"/>
      <c r="S730" s="419">
        <v>-1876897</v>
      </c>
      <c r="T730" s="419">
        <v>-1855179</v>
      </c>
      <c r="U730" s="419">
        <v>-1948940</v>
      </c>
      <c r="V730" s="419">
        <v>-2504958</v>
      </c>
      <c r="W730" s="419">
        <v>0</v>
      </c>
      <c r="X730" s="380">
        <v>3.7361E-3</v>
      </c>
      <c r="Z730" s="419">
        <v>1496689</v>
      </c>
      <c r="AA730" s="419">
        <v>1051507</v>
      </c>
      <c r="AB730" s="419">
        <v>1051499</v>
      </c>
      <c r="AC730" s="419">
        <v>0</v>
      </c>
      <c r="AD730" s="419">
        <v>0</v>
      </c>
      <c r="AE730" s="380">
        <v>3.7361E-3</v>
      </c>
      <c r="AF730" s="380"/>
      <c r="AG730" s="419">
        <v>0</v>
      </c>
      <c r="AH730" s="419">
        <v>0</v>
      </c>
      <c r="AI730" s="419">
        <v>0</v>
      </c>
      <c r="AJ730" s="419">
        <v>0</v>
      </c>
      <c r="AK730" s="419">
        <v>0</v>
      </c>
      <c r="AL730" s="380">
        <v>3.7361E-3</v>
      </c>
      <c r="AM730" s="380"/>
      <c r="AN730" s="419">
        <v>-165145</v>
      </c>
      <c r="AO730" s="419">
        <v>-160485</v>
      </c>
      <c r="AP730" s="419">
        <v>-38946</v>
      </c>
      <c r="AQ730" s="419">
        <v>0</v>
      </c>
      <c r="AR730" s="419">
        <v>0</v>
      </c>
    </row>
    <row r="731" spans="1:44">
      <c r="A731" s="379">
        <v>97911</v>
      </c>
      <c r="B731" t="s">
        <v>1432</v>
      </c>
      <c r="C731" s="380">
        <v>1.1257999999999999E-3</v>
      </c>
      <c r="D731" s="380"/>
      <c r="E731" s="419">
        <v>139976</v>
      </c>
      <c r="F731" s="419">
        <v>-73031</v>
      </c>
      <c r="G731" s="419">
        <v>-216344</v>
      </c>
      <c r="H731" s="419">
        <v>-754820</v>
      </c>
      <c r="I731" s="419">
        <v>0</v>
      </c>
      <c r="J731" s="380">
        <v>1.1257999999999999E-3</v>
      </c>
      <c r="K731" s="380"/>
      <c r="L731" s="419">
        <v>275605</v>
      </c>
      <c r="M731" s="419">
        <v>190341</v>
      </c>
      <c r="N731" s="419">
        <v>83323</v>
      </c>
      <c r="O731" s="419">
        <v>0</v>
      </c>
      <c r="P731" s="419">
        <v>0</v>
      </c>
      <c r="Q731" s="380">
        <v>1.1257999999999999E-3</v>
      </c>
      <c r="R731" s="380"/>
      <c r="S731" s="419">
        <v>-565566</v>
      </c>
      <c r="T731" s="419">
        <v>-559022</v>
      </c>
      <c r="U731" s="419">
        <v>-587275</v>
      </c>
      <c r="V731" s="419">
        <v>-754820</v>
      </c>
      <c r="W731" s="419">
        <v>0</v>
      </c>
      <c r="X731" s="380">
        <v>1.1257999999999999E-3</v>
      </c>
      <c r="Z731" s="419">
        <v>450998</v>
      </c>
      <c r="AA731" s="419">
        <v>316851</v>
      </c>
      <c r="AB731" s="419">
        <v>316849</v>
      </c>
      <c r="AC731" s="419">
        <v>0</v>
      </c>
      <c r="AD731" s="419">
        <v>0</v>
      </c>
      <c r="AE731" s="380">
        <v>1.1257999999999999E-3</v>
      </c>
      <c r="AF731" s="380"/>
      <c r="AG731" s="419">
        <v>14135</v>
      </c>
      <c r="AH731" s="419">
        <v>13994</v>
      </c>
      <c r="AI731" s="419">
        <v>0</v>
      </c>
      <c r="AJ731" s="419">
        <v>0</v>
      </c>
      <c r="AK731" s="419">
        <v>0</v>
      </c>
      <c r="AL731" s="380">
        <v>1.1257999999999999E-3</v>
      </c>
      <c r="AM731" s="380"/>
      <c r="AN731" s="419">
        <v>-35196</v>
      </c>
      <c r="AO731" s="419">
        <v>-35195</v>
      </c>
      <c r="AP731" s="419">
        <v>-29241</v>
      </c>
      <c r="AQ731" s="419">
        <v>0</v>
      </c>
      <c r="AR731" s="419">
        <v>0</v>
      </c>
    </row>
    <row r="732" spans="1:44">
      <c r="A732" s="379">
        <v>97913</v>
      </c>
      <c r="B732" t="s">
        <v>1433</v>
      </c>
      <c r="C732" s="380">
        <v>3.4400000000000003E-5</v>
      </c>
      <c r="D732" s="380"/>
      <c r="E732" s="419">
        <v>18749</v>
      </c>
      <c r="F732" s="419">
        <v>10477</v>
      </c>
      <c r="G732" s="419">
        <v>4416</v>
      </c>
      <c r="H732" s="419">
        <v>-23064</v>
      </c>
      <c r="I732" s="419">
        <v>0</v>
      </c>
      <c r="J732" s="380">
        <v>3.4400000000000003E-5</v>
      </c>
      <c r="K732" s="380"/>
      <c r="L732" s="419">
        <v>8421</v>
      </c>
      <c r="M732" s="419">
        <v>5816</v>
      </c>
      <c r="N732" s="419">
        <v>2546</v>
      </c>
      <c r="O732" s="419">
        <v>0</v>
      </c>
      <c r="P732" s="419">
        <v>0</v>
      </c>
      <c r="Q732" s="380">
        <v>3.4400000000000003E-5</v>
      </c>
      <c r="R732" s="380"/>
      <c r="S732" s="419">
        <v>-17281</v>
      </c>
      <c r="T732" s="419">
        <v>-17081</v>
      </c>
      <c r="U732" s="419">
        <v>-17945</v>
      </c>
      <c r="V732" s="419">
        <v>-23064</v>
      </c>
      <c r="W732" s="419">
        <v>0</v>
      </c>
      <c r="X732" s="380">
        <v>3.4400000000000003E-5</v>
      </c>
      <c r="Z732" s="419">
        <v>13781</v>
      </c>
      <c r="AA732" s="419">
        <v>9682</v>
      </c>
      <c r="AB732" s="419">
        <v>9682</v>
      </c>
      <c r="AC732" s="419">
        <v>0</v>
      </c>
      <c r="AD732" s="419">
        <v>0</v>
      </c>
      <c r="AE732" s="380">
        <v>3.4400000000000003E-5</v>
      </c>
      <c r="AF732" s="380"/>
      <c r="AG732" s="419">
        <v>13828</v>
      </c>
      <c r="AH732" s="419">
        <v>12060</v>
      </c>
      <c r="AI732" s="419">
        <v>10133</v>
      </c>
      <c r="AJ732" s="419">
        <v>0</v>
      </c>
      <c r="AK732" s="419">
        <v>0</v>
      </c>
      <c r="AL732" s="380">
        <v>3.4400000000000003E-5</v>
      </c>
      <c r="AM732" s="380"/>
      <c r="AN732" s="419">
        <v>0</v>
      </c>
      <c r="AO732" s="419">
        <v>0</v>
      </c>
      <c r="AP732" s="419">
        <v>0</v>
      </c>
      <c r="AQ732" s="419">
        <v>0</v>
      </c>
      <c r="AR732" s="419">
        <v>0</v>
      </c>
    </row>
    <row r="733" spans="1:44">
      <c r="A733" s="379">
        <v>97917</v>
      </c>
      <c r="B733" t="s">
        <v>1434</v>
      </c>
      <c r="C733" s="380">
        <v>2.2500000000000001E-5</v>
      </c>
      <c r="D733" s="380"/>
      <c r="E733" s="419">
        <v>10546</v>
      </c>
      <c r="F733" s="419">
        <v>5696</v>
      </c>
      <c r="G733" s="419">
        <v>759</v>
      </c>
      <c r="H733" s="419">
        <v>-15086</v>
      </c>
      <c r="I733" s="419">
        <v>0</v>
      </c>
      <c r="J733" s="380">
        <v>2.2500000000000001E-5</v>
      </c>
      <c r="K733" s="380"/>
      <c r="L733" s="419">
        <v>5508</v>
      </c>
      <c r="M733" s="419">
        <v>3804</v>
      </c>
      <c r="N733" s="419">
        <v>1665</v>
      </c>
      <c r="O733" s="419">
        <v>0</v>
      </c>
      <c r="P733" s="419">
        <v>0</v>
      </c>
      <c r="Q733" s="380">
        <v>2.2500000000000001E-5</v>
      </c>
      <c r="R733" s="380"/>
      <c r="S733" s="419">
        <v>-11303</v>
      </c>
      <c r="T733" s="419">
        <v>-11172</v>
      </c>
      <c r="U733" s="419">
        <v>-11737</v>
      </c>
      <c r="V733" s="419">
        <v>-15086</v>
      </c>
      <c r="W733" s="419">
        <v>0</v>
      </c>
      <c r="X733" s="380">
        <v>2.2500000000000001E-5</v>
      </c>
      <c r="Z733" s="419">
        <v>9014</v>
      </c>
      <c r="AA733" s="419">
        <v>6333</v>
      </c>
      <c r="AB733" s="419">
        <v>6332</v>
      </c>
      <c r="AC733" s="419">
        <v>0</v>
      </c>
      <c r="AD733" s="419">
        <v>0</v>
      </c>
      <c r="AE733" s="380">
        <v>2.2500000000000001E-5</v>
      </c>
      <c r="AF733" s="380"/>
      <c r="AG733" s="419">
        <v>7327</v>
      </c>
      <c r="AH733" s="419">
        <v>6731</v>
      </c>
      <c r="AI733" s="419">
        <v>4499</v>
      </c>
      <c r="AJ733" s="419">
        <v>0</v>
      </c>
      <c r="AK733" s="419">
        <v>0</v>
      </c>
      <c r="AL733" s="380">
        <v>2.2500000000000001E-5</v>
      </c>
      <c r="AM733" s="380"/>
      <c r="AN733" s="419">
        <v>0</v>
      </c>
      <c r="AO733" s="419">
        <v>0</v>
      </c>
      <c r="AP733" s="419">
        <v>0</v>
      </c>
      <c r="AQ733" s="419">
        <v>0</v>
      </c>
      <c r="AR733" s="419">
        <v>0</v>
      </c>
    </row>
    <row r="734" spans="1:44">
      <c r="A734" s="379">
        <v>97921</v>
      </c>
      <c r="B734" t="s">
        <v>1435</v>
      </c>
      <c r="C734" s="380">
        <v>2.14E-4</v>
      </c>
      <c r="D734" s="380"/>
      <c r="E734" s="419">
        <v>32346</v>
      </c>
      <c r="F734" s="419">
        <v>-10019</v>
      </c>
      <c r="G734" s="419">
        <v>-35560</v>
      </c>
      <c r="H734" s="419">
        <v>-143481</v>
      </c>
      <c r="I734" s="419">
        <v>0</v>
      </c>
      <c r="J734" s="380">
        <v>2.14E-4</v>
      </c>
      <c r="K734" s="380"/>
      <c r="L734" s="419">
        <v>52389</v>
      </c>
      <c r="M734" s="419">
        <v>36181</v>
      </c>
      <c r="N734" s="419">
        <v>15839</v>
      </c>
      <c r="O734" s="419">
        <v>0</v>
      </c>
      <c r="P734" s="419">
        <v>0</v>
      </c>
      <c r="Q734" s="380">
        <v>2.14E-4</v>
      </c>
      <c r="R734" s="380"/>
      <c r="S734" s="419">
        <v>-107507</v>
      </c>
      <c r="T734" s="419">
        <v>-106263</v>
      </c>
      <c r="U734" s="419">
        <v>-111633</v>
      </c>
      <c r="V734" s="419">
        <v>-143481</v>
      </c>
      <c r="W734" s="419">
        <v>0</v>
      </c>
      <c r="X734" s="380">
        <v>2.14E-4</v>
      </c>
      <c r="Z734" s="419">
        <v>85729</v>
      </c>
      <c r="AA734" s="419">
        <v>60229</v>
      </c>
      <c r="AB734" s="419">
        <v>60229</v>
      </c>
      <c r="AC734" s="419">
        <v>0</v>
      </c>
      <c r="AD734" s="419">
        <v>0</v>
      </c>
      <c r="AE734" s="380">
        <v>2.14E-4</v>
      </c>
      <c r="AF734" s="380"/>
      <c r="AG734" s="419">
        <v>5019</v>
      </c>
      <c r="AH734" s="419">
        <v>3120</v>
      </c>
      <c r="AI734" s="419">
        <v>5</v>
      </c>
      <c r="AJ734" s="419">
        <v>0</v>
      </c>
      <c r="AK734" s="419">
        <v>0</v>
      </c>
      <c r="AL734" s="380">
        <v>2.14E-4</v>
      </c>
      <c r="AM734" s="380"/>
      <c r="AN734" s="419">
        <v>-3284</v>
      </c>
      <c r="AO734" s="419">
        <v>-3286</v>
      </c>
      <c r="AP734" s="419">
        <v>0</v>
      </c>
      <c r="AQ734" s="419">
        <v>0</v>
      </c>
      <c r="AR734" s="419">
        <v>0</v>
      </c>
    </row>
    <row r="735" spans="1:44">
      <c r="A735" s="379">
        <v>97931</v>
      </c>
      <c r="B735" t="s">
        <v>1436</v>
      </c>
      <c r="C735" s="380">
        <v>6.9499999999999995E-5</v>
      </c>
      <c r="D735" s="380"/>
      <c r="E735" s="419">
        <v>8912</v>
      </c>
      <c r="F735" s="419">
        <v>-3789</v>
      </c>
      <c r="G735" s="419">
        <v>-16325</v>
      </c>
      <c r="H735" s="419">
        <v>-46598</v>
      </c>
      <c r="I735" s="419">
        <v>0</v>
      </c>
      <c r="J735" s="380">
        <v>6.9499999999999995E-5</v>
      </c>
      <c r="K735" s="380"/>
      <c r="L735" s="419">
        <v>17014</v>
      </c>
      <c r="M735" s="419">
        <v>11751</v>
      </c>
      <c r="N735" s="419">
        <v>5144</v>
      </c>
      <c r="O735" s="419">
        <v>0</v>
      </c>
      <c r="P735" s="419">
        <v>0</v>
      </c>
      <c r="Q735" s="380">
        <v>6.9499999999999995E-5</v>
      </c>
      <c r="R735" s="380"/>
      <c r="S735" s="419">
        <v>-34915</v>
      </c>
      <c r="T735" s="419">
        <v>-34511</v>
      </c>
      <c r="U735" s="419">
        <v>-36255</v>
      </c>
      <c r="V735" s="419">
        <v>-46598</v>
      </c>
      <c r="W735" s="419">
        <v>0</v>
      </c>
      <c r="X735" s="380">
        <v>6.9499999999999995E-5</v>
      </c>
      <c r="Z735" s="419">
        <v>27842</v>
      </c>
      <c r="AA735" s="419">
        <v>19560</v>
      </c>
      <c r="AB735" s="419">
        <v>19560</v>
      </c>
      <c r="AC735" s="419">
        <v>0</v>
      </c>
      <c r="AD735" s="419">
        <v>0</v>
      </c>
      <c r="AE735" s="380">
        <v>6.9499999999999995E-5</v>
      </c>
      <c r="AF735" s="380"/>
      <c r="AG735" s="419">
        <v>4187</v>
      </c>
      <c r="AH735" s="419">
        <v>4186</v>
      </c>
      <c r="AI735" s="419">
        <v>0</v>
      </c>
      <c r="AJ735" s="419">
        <v>0</v>
      </c>
      <c r="AK735" s="419">
        <v>0</v>
      </c>
      <c r="AL735" s="380">
        <v>6.9499999999999995E-5</v>
      </c>
      <c r="AM735" s="380"/>
      <c r="AN735" s="419">
        <v>-5216</v>
      </c>
      <c r="AO735" s="419">
        <v>-4775</v>
      </c>
      <c r="AP735" s="419">
        <v>-4774</v>
      </c>
      <c r="AQ735" s="419">
        <v>0</v>
      </c>
      <c r="AR735" s="419">
        <v>0</v>
      </c>
    </row>
    <row r="736" spans="1:44">
      <c r="A736" s="379">
        <v>97941</v>
      </c>
      <c r="B736" t="s">
        <v>1437</v>
      </c>
      <c r="C736" s="380">
        <v>2.106E-4</v>
      </c>
      <c r="D736" s="380"/>
      <c r="E736" s="419">
        <v>33725</v>
      </c>
      <c r="F736" s="419">
        <v>-8809</v>
      </c>
      <c r="G736" s="419">
        <v>-42729</v>
      </c>
      <c r="H736" s="419">
        <v>-141202</v>
      </c>
      <c r="I736" s="419">
        <v>0</v>
      </c>
      <c r="J736" s="380">
        <v>2.106E-4</v>
      </c>
      <c r="K736" s="380"/>
      <c r="L736" s="419">
        <v>51557</v>
      </c>
      <c r="M736" s="419">
        <v>35607</v>
      </c>
      <c r="N736" s="419">
        <v>15587</v>
      </c>
      <c r="O736" s="419">
        <v>0</v>
      </c>
      <c r="P736" s="419">
        <v>0</v>
      </c>
      <c r="Q736" s="380">
        <v>2.106E-4</v>
      </c>
      <c r="R736" s="380"/>
      <c r="S736" s="419">
        <v>-105799</v>
      </c>
      <c r="T736" s="419">
        <v>-104574</v>
      </c>
      <c r="U736" s="419">
        <v>-109860</v>
      </c>
      <c r="V736" s="419">
        <v>-141202</v>
      </c>
      <c r="W736" s="419">
        <v>0</v>
      </c>
      <c r="X736" s="380">
        <v>2.106E-4</v>
      </c>
      <c r="Z736" s="419">
        <v>84367</v>
      </c>
      <c r="AA736" s="419">
        <v>59272</v>
      </c>
      <c r="AB736" s="419">
        <v>59272</v>
      </c>
      <c r="AC736" s="419">
        <v>0</v>
      </c>
      <c r="AD736" s="419">
        <v>0</v>
      </c>
      <c r="AE736" s="380">
        <v>2.106E-4</v>
      </c>
      <c r="AF736" s="380"/>
      <c r="AG736" s="419">
        <v>11330</v>
      </c>
      <c r="AH736" s="419">
        <v>8616</v>
      </c>
      <c r="AI736" s="419">
        <v>0</v>
      </c>
      <c r="AJ736" s="419">
        <v>0</v>
      </c>
      <c r="AK736" s="419">
        <v>0</v>
      </c>
      <c r="AL736" s="380">
        <v>2.106E-4</v>
      </c>
      <c r="AM736" s="380"/>
      <c r="AN736" s="419">
        <v>-7730</v>
      </c>
      <c r="AO736" s="419">
        <v>-7730</v>
      </c>
      <c r="AP736" s="419">
        <v>-7728</v>
      </c>
      <c r="AQ736" s="419">
        <v>0</v>
      </c>
      <c r="AR736" s="419">
        <v>0</v>
      </c>
    </row>
    <row r="737" spans="1:44">
      <c r="A737" s="379">
        <v>97947</v>
      </c>
      <c r="B737" t="s">
        <v>1438</v>
      </c>
      <c r="C737" s="380">
        <v>1.63E-5</v>
      </c>
      <c r="D737" s="380"/>
      <c r="E737" s="419">
        <v>8216</v>
      </c>
      <c r="F737" s="419">
        <v>3801</v>
      </c>
      <c r="G737" s="419">
        <v>66</v>
      </c>
      <c r="H737" s="419">
        <v>-10929</v>
      </c>
      <c r="I737" s="419">
        <v>0</v>
      </c>
      <c r="J737" s="380">
        <v>1.63E-5</v>
      </c>
      <c r="K737" s="380"/>
      <c r="L737" s="419">
        <v>3990</v>
      </c>
      <c r="M737" s="419">
        <v>2756</v>
      </c>
      <c r="N737" s="419">
        <v>1206</v>
      </c>
      <c r="O737" s="419">
        <v>0</v>
      </c>
      <c r="P737" s="419">
        <v>0</v>
      </c>
      <c r="Q737" s="380">
        <v>1.63E-5</v>
      </c>
      <c r="R737" s="380"/>
      <c r="S737" s="419">
        <v>-8189</v>
      </c>
      <c r="T737" s="419">
        <v>-8094</v>
      </c>
      <c r="U737" s="419">
        <v>-8503</v>
      </c>
      <c r="V737" s="419">
        <v>-10929</v>
      </c>
      <c r="W737" s="419">
        <v>0</v>
      </c>
      <c r="X737" s="380">
        <v>1.63E-5</v>
      </c>
      <c r="Z737" s="419">
        <v>6530</v>
      </c>
      <c r="AA737" s="419">
        <v>4588</v>
      </c>
      <c r="AB737" s="419">
        <v>4588</v>
      </c>
      <c r="AC737" s="419">
        <v>0</v>
      </c>
      <c r="AD737" s="419">
        <v>0</v>
      </c>
      <c r="AE737" s="380">
        <v>1.63E-5</v>
      </c>
      <c r="AF737" s="380"/>
      <c r="AG737" s="419">
        <v>5885</v>
      </c>
      <c r="AH737" s="419">
        <v>4551</v>
      </c>
      <c r="AI737" s="419">
        <v>2775</v>
      </c>
      <c r="AJ737" s="419">
        <v>0</v>
      </c>
      <c r="AK737" s="419">
        <v>0</v>
      </c>
      <c r="AL737" s="380">
        <v>1.63E-5</v>
      </c>
      <c r="AM737" s="380"/>
      <c r="AN737" s="419">
        <v>0</v>
      </c>
      <c r="AO737" s="419">
        <v>0</v>
      </c>
      <c r="AP737" s="419">
        <v>0</v>
      </c>
      <c r="AQ737" s="419">
        <v>0</v>
      </c>
      <c r="AR737" s="419">
        <v>0</v>
      </c>
    </row>
    <row r="738" spans="1:44">
      <c r="A738" s="379">
        <v>97948</v>
      </c>
      <c r="B738" t="s">
        <v>1439</v>
      </c>
      <c r="C738" s="380">
        <v>2.6400000000000001E-5</v>
      </c>
      <c r="D738" s="380"/>
      <c r="E738" s="419">
        <v>3933</v>
      </c>
      <c r="F738" s="419">
        <v>-1153</v>
      </c>
      <c r="G738" s="419">
        <v>-5310</v>
      </c>
      <c r="H738" s="419">
        <v>-17701</v>
      </c>
      <c r="I738" s="419">
        <v>0</v>
      </c>
      <c r="J738" s="380">
        <v>2.6400000000000001E-5</v>
      </c>
      <c r="K738" s="380"/>
      <c r="L738" s="419">
        <v>6463</v>
      </c>
      <c r="M738" s="419">
        <v>4464</v>
      </c>
      <c r="N738" s="419">
        <v>1954</v>
      </c>
      <c r="O738" s="419">
        <v>0</v>
      </c>
      <c r="P738" s="419">
        <v>0</v>
      </c>
      <c r="Q738" s="380">
        <v>2.6400000000000001E-5</v>
      </c>
      <c r="R738" s="380"/>
      <c r="S738" s="419">
        <v>-13263</v>
      </c>
      <c r="T738" s="419">
        <v>-13109</v>
      </c>
      <c r="U738" s="419">
        <v>-13772</v>
      </c>
      <c r="V738" s="419">
        <v>-17701</v>
      </c>
      <c r="W738" s="419">
        <v>0</v>
      </c>
      <c r="X738" s="380">
        <v>2.6400000000000001E-5</v>
      </c>
      <c r="Z738" s="419">
        <v>10576</v>
      </c>
      <c r="AA738" s="419">
        <v>7430</v>
      </c>
      <c r="AB738" s="419">
        <v>7430</v>
      </c>
      <c r="AC738" s="419">
        <v>0</v>
      </c>
      <c r="AD738" s="419">
        <v>0</v>
      </c>
      <c r="AE738" s="380">
        <v>2.6400000000000001E-5</v>
      </c>
      <c r="AF738" s="380"/>
      <c r="AG738" s="419">
        <v>1078</v>
      </c>
      <c r="AH738" s="419">
        <v>983</v>
      </c>
      <c r="AI738" s="419">
        <v>0</v>
      </c>
      <c r="AJ738" s="419">
        <v>0</v>
      </c>
      <c r="AK738" s="419">
        <v>0</v>
      </c>
      <c r="AL738" s="380">
        <v>2.6400000000000001E-5</v>
      </c>
      <c r="AM738" s="380"/>
      <c r="AN738" s="419">
        <v>-921</v>
      </c>
      <c r="AO738" s="419">
        <v>-921</v>
      </c>
      <c r="AP738" s="419">
        <v>-922</v>
      </c>
      <c r="AQ738" s="419">
        <v>0</v>
      </c>
      <c r="AR738" s="419">
        <v>0</v>
      </c>
    </row>
    <row r="739" spans="1:44">
      <c r="A739" s="379">
        <v>97951</v>
      </c>
      <c r="B739" t="s">
        <v>1440</v>
      </c>
      <c r="C739" s="380">
        <v>1.1387999999999999E-3</v>
      </c>
      <c r="D739" s="380"/>
      <c r="E739" s="419">
        <v>184612</v>
      </c>
      <c r="F739" s="419">
        <v>-30685</v>
      </c>
      <c r="G739" s="419">
        <v>-177367</v>
      </c>
      <c r="H739" s="419">
        <v>-763536</v>
      </c>
      <c r="I739" s="419">
        <v>0</v>
      </c>
      <c r="J739" s="380">
        <v>1.1387999999999999E-3</v>
      </c>
      <c r="K739" s="380"/>
      <c r="L739" s="419">
        <v>278787</v>
      </c>
      <c r="M739" s="419">
        <v>192539</v>
      </c>
      <c r="N739" s="419">
        <v>84285</v>
      </c>
      <c r="O739" s="419">
        <v>0</v>
      </c>
      <c r="P739" s="419">
        <v>0</v>
      </c>
      <c r="Q739" s="380">
        <v>1.1387999999999999E-3</v>
      </c>
      <c r="R739" s="380"/>
      <c r="S739" s="419">
        <v>-572097</v>
      </c>
      <c r="T739" s="419">
        <v>-565477</v>
      </c>
      <c r="U739" s="419">
        <v>-594056</v>
      </c>
      <c r="V739" s="419">
        <v>-763536</v>
      </c>
      <c r="W739" s="419">
        <v>0</v>
      </c>
      <c r="X739" s="380">
        <v>1.1387999999999999E-3</v>
      </c>
      <c r="Z739" s="419">
        <v>456206</v>
      </c>
      <c r="AA739" s="419">
        <v>320510</v>
      </c>
      <c r="AB739" s="419">
        <v>320507</v>
      </c>
      <c r="AC739" s="419">
        <v>0</v>
      </c>
      <c r="AD739" s="419">
        <v>0</v>
      </c>
      <c r="AE739" s="380">
        <v>1.1387999999999999E-3</v>
      </c>
      <c r="AF739" s="380"/>
      <c r="AG739" s="419">
        <v>21741</v>
      </c>
      <c r="AH739" s="419">
        <v>21743</v>
      </c>
      <c r="AI739" s="419">
        <v>11897</v>
      </c>
      <c r="AJ739" s="419">
        <v>0</v>
      </c>
      <c r="AK739" s="419">
        <v>0</v>
      </c>
      <c r="AL739" s="380">
        <v>1.1387999999999999E-3</v>
      </c>
      <c r="AM739" s="380"/>
      <c r="AN739" s="419">
        <v>-25</v>
      </c>
      <c r="AO739" s="419">
        <v>0</v>
      </c>
      <c r="AP739" s="419">
        <v>0</v>
      </c>
      <c r="AQ739" s="419">
        <v>0</v>
      </c>
      <c r="AR739" s="419">
        <v>0</v>
      </c>
    </row>
    <row r="740" spans="1:44">
      <c r="A740" s="379">
        <v>97957</v>
      </c>
      <c r="B740" t="s">
        <v>1441</v>
      </c>
      <c r="C740" s="380">
        <v>1.1800000000000001E-5</v>
      </c>
      <c r="D740" s="380"/>
      <c r="E740" s="419">
        <v>5806</v>
      </c>
      <c r="F740" s="419">
        <v>2914</v>
      </c>
      <c r="G740" s="419">
        <v>-641</v>
      </c>
      <c r="H740" s="419">
        <v>-7912</v>
      </c>
      <c r="I740" s="419">
        <v>0</v>
      </c>
      <c r="J740" s="380">
        <v>1.1800000000000001E-5</v>
      </c>
      <c r="K740" s="380"/>
      <c r="L740" s="419">
        <v>2889</v>
      </c>
      <c r="M740" s="419">
        <v>1995</v>
      </c>
      <c r="N740" s="419">
        <v>873</v>
      </c>
      <c r="O740" s="419">
        <v>0</v>
      </c>
      <c r="P740" s="419">
        <v>0</v>
      </c>
      <c r="Q740" s="380">
        <v>1.1800000000000001E-5</v>
      </c>
      <c r="R740" s="380"/>
      <c r="S740" s="419">
        <v>-5928</v>
      </c>
      <c r="T740" s="419">
        <v>-5859</v>
      </c>
      <c r="U740" s="419">
        <v>-6155</v>
      </c>
      <c r="V740" s="419">
        <v>-7912</v>
      </c>
      <c r="W740" s="419">
        <v>0</v>
      </c>
      <c r="X740" s="380">
        <v>1.1800000000000001E-5</v>
      </c>
      <c r="Z740" s="419">
        <v>4727</v>
      </c>
      <c r="AA740" s="419">
        <v>3321</v>
      </c>
      <c r="AB740" s="419">
        <v>3321</v>
      </c>
      <c r="AC740" s="419">
        <v>0</v>
      </c>
      <c r="AD740" s="419">
        <v>0</v>
      </c>
      <c r="AE740" s="380">
        <v>1.1800000000000001E-5</v>
      </c>
      <c r="AF740" s="380"/>
      <c r="AG740" s="419">
        <v>4118</v>
      </c>
      <c r="AH740" s="419">
        <v>3457</v>
      </c>
      <c r="AI740" s="419">
        <v>1320</v>
      </c>
      <c r="AJ740" s="419">
        <v>0</v>
      </c>
      <c r="AK740" s="419">
        <v>0</v>
      </c>
      <c r="AL740" s="380">
        <v>1.1800000000000001E-5</v>
      </c>
      <c r="AM740" s="380"/>
      <c r="AN740" s="419">
        <v>0</v>
      </c>
      <c r="AO740" s="419">
        <v>0</v>
      </c>
      <c r="AP740" s="419">
        <v>0</v>
      </c>
      <c r="AQ740" s="419">
        <v>0</v>
      </c>
      <c r="AR740" s="419">
        <v>0</v>
      </c>
    </row>
    <row r="741" spans="1:44">
      <c r="A741" s="379">
        <v>98001</v>
      </c>
      <c r="B741" t="s">
        <v>1442</v>
      </c>
      <c r="C741" s="380">
        <v>5.5972000000000001E-3</v>
      </c>
      <c r="D741" s="380"/>
      <c r="E741" s="419">
        <v>974796</v>
      </c>
      <c r="F741" s="419">
        <v>-127163</v>
      </c>
      <c r="G741" s="419">
        <v>-832742</v>
      </c>
      <c r="H741" s="419">
        <v>-3752777</v>
      </c>
      <c r="I741" s="419">
        <v>0</v>
      </c>
      <c r="J741" s="380">
        <v>5.5972000000000001E-3</v>
      </c>
      <c r="K741" s="380"/>
      <c r="L741" s="419">
        <v>1370239</v>
      </c>
      <c r="M741" s="419">
        <v>946330</v>
      </c>
      <c r="N741" s="419">
        <v>414260</v>
      </c>
      <c r="O741" s="419">
        <v>0</v>
      </c>
      <c r="P741" s="419">
        <v>0</v>
      </c>
      <c r="Q741" s="380">
        <v>5.5972000000000001E-3</v>
      </c>
      <c r="R741" s="380"/>
      <c r="S741" s="419">
        <v>-2811854</v>
      </c>
      <c r="T741" s="419">
        <v>-2779318</v>
      </c>
      <c r="U741" s="419">
        <v>-2919785</v>
      </c>
      <c r="V741" s="419">
        <v>-3752777</v>
      </c>
      <c r="W741" s="419">
        <v>0</v>
      </c>
      <c r="X741" s="380">
        <v>5.5972000000000001E-3</v>
      </c>
      <c r="Z741" s="419">
        <v>2242250</v>
      </c>
      <c r="AA741" s="419">
        <v>1575304</v>
      </c>
      <c r="AB741" s="419">
        <v>1575293</v>
      </c>
      <c r="AC741" s="419">
        <v>0</v>
      </c>
      <c r="AD741" s="419">
        <v>0</v>
      </c>
      <c r="AE741" s="380">
        <v>5.5972000000000001E-3</v>
      </c>
      <c r="AF741" s="380"/>
      <c r="AG741" s="419">
        <v>187857</v>
      </c>
      <c r="AH741" s="419">
        <v>144219</v>
      </c>
      <c r="AI741" s="419">
        <v>97490</v>
      </c>
      <c r="AJ741" s="419">
        <v>0</v>
      </c>
      <c r="AK741" s="419">
        <v>0</v>
      </c>
      <c r="AL741" s="380">
        <v>5.5972000000000001E-3</v>
      </c>
      <c r="AM741" s="380"/>
      <c r="AN741" s="419">
        <v>-13696</v>
      </c>
      <c r="AO741" s="419">
        <v>-13698</v>
      </c>
      <c r="AP741" s="419">
        <v>0</v>
      </c>
      <c r="AQ741" s="419">
        <v>0</v>
      </c>
      <c r="AR741" s="419">
        <v>0</v>
      </c>
    </row>
    <row r="742" spans="1:44">
      <c r="A742" s="379">
        <v>98002</v>
      </c>
      <c r="B742" t="s">
        <v>1443</v>
      </c>
      <c r="C742" s="380">
        <v>5.5999999999999997E-6</v>
      </c>
      <c r="D742" s="380"/>
      <c r="E742" s="419">
        <v>1437</v>
      </c>
      <c r="F742" s="419">
        <v>100</v>
      </c>
      <c r="G742" s="419">
        <v>-1094</v>
      </c>
      <c r="H742" s="419">
        <v>-3755</v>
      </c>
      <c r="I742" s="419">
        <v>0</v>
      </c>
      <c r="J742" s="380">
        <v>5.5999999999999997E-6</v>
      </c>
      <c r="K742" s="380"/>
      <c r="L742" s="419">
        <v>1371</v>
      </c>
      <c r="M742" s="419">
        <v>947</v>
      </c>
      <c r="N742" s="419">
        <v>414</v>
      </c>
      <c r="O742" s="419">
        <v>0</v>
      </c>
      <c r="P742" s="419">
        <v>0</v>
      </c>
      <c r="Q742" s="380">
        <v>5.5999999999999997E-6</v>
      </c>
      <c r="R742" s="380"/>
      <c r="S742" s="419">
        <v>-2813</v>
      </c>
      <c r="T742" s="419">
        <v>-2781</v>
      </c>
      <c r="U742" s="419">
        <v>-2921</v>
      </c>
      <c r="V742" s="419">
        <v>-3755</v>
      </c>
      <c r="W742" s="419">
        <v>0</v>
      </c>
      <c r="X742" s="380">
        <v>5.5999999999999997E-6</v>
      </c>
      <c r="Z742" s="419">
        <v>2243</v>
      </c>
      <c r="AA742" s="419">
        <v>1576</v>
      </c>
      <c r="AB742" s="419">
        <v>1576</v>
      </c>
      <c r="AC742" s="419">
        <v>0</v>
      </c>
      <c r="AD742" s="419">
        <v>0</v>
      </c>
      <c r="AE742" s="380">
        <v>5.5999999999999997E-6</v>
      </c>
      <c r="AF742" s="380"/>
      <c r="AG742" s="419">
        <v>800</v>
      </c>
      <c r="AH742" s="419">
        <v>522</v>
      </c>
      <c r="AI742" s="419">
        <v>0</v>
      </c>
      <c r="AJ742" s="419">
        <v>0</v>
      </c>
      <c r="AK742" s="419">
        <v>0</v>
      </c>
      <c r="AL742" s="380">
        <v>5.5999999999999997E-6</v>
      </c>
      <c r="AM742" s="380"/>
      <c r="AN742" s="419">
        <v>-164</v>
      </c>
      <c r="AO742" s="419">
        <v>-164</v>
      </c>
      <c r="AP742" s="419">
        <v>-163</v>
      </c>
      <c r="AQ742" s="419">
        <v>0</v>
      </c>
      <c r="AR742" s="419">
        <v>0</v>
      </c>
    </row>
    <row r="743" spans="1:44">
      <c r="A743" s="379">
        <v>98003</v>
      </c>
      <c r="B743" t="s">
        <v>1444</v>
      </c>
      <c r="C743" s="380">
        <v>8.2000000000000001E-5</v>
      </c>
      <c r="D743" s="380"/>
      <c r="E743" s="419">
        <v>42504</v>
      </c>
      <c r="F743" s="419">
        <v>20425</v>
      </c>
      <c r="G743" s="419">
        <v>1570</v>
      </c>
      <c r="H743" s="419">
        <v>-54979</v>
      </c>
      <c r="I743" s="419">
        <v>0</v>
      </c>
      <c r="J743" s="380">
        <v>8.2000000000000001E-5</v>
      </c>
      <c r="K743" s="380"/>
      <c r="L743" s="419">
        <v>20074</v>
      </c>
      <c r="M743" s="419">
        <v>13864</v>
      </c>
      <c r="N743" s="419">
        <v>6069</v>
      </c>
      <c r="O743" s="419">
        <v>0</v>
      </c>
      <c r="P743" s="419">
        <v>0</v>
      </c>
      <c r="Q743" s="380">
        <v>8.2000000000000001E-5</v>
      </c>
      <c r="R743" s="380"/>
      <c r="S743" s="419">
        <v>-41194</v>
      </c>
      <c r="T743" s="419">
        <v>-40718</v>
      </c>
      <c r="U743" s="419">
        <v>-42775</v>
      </c>
      <c r="V743" s="419">
        <v>-54979</v>
      </c>
      <c r="W743" s="419">
        <v>0</v>
      </c>
      <c r="X743" s="380">
        <v>8.2000000000000001E-5</v>
      </c>
      <c r="Z743" s="419">
        <v>32849</v>
      </c>
      <c r="AA743" s="419">
        <v>23078</v>
      </c>
      <c r="AB743" s="419">
        <v>23078</v>
      </c>
      <c r="AC743" s="419">
        <v>0</v>
      </c>
      <c r="AD743" s="419">
        <v>0</v>
      </c>
      <c r="AE743" s="380">
        <v>8.2000000000000001E-5</v>
      </c>
      <c r="AF743" s="380"/>
      <c r="AG743" s="419">
        <v>30775</v>
      </c>
      <c r="AH743" s="419">
        <v>24201</v>
      </c>
      <c r="AI743" s="419">
        <v>15198</v>
      </c>
      <c r="AJ743" s="419">
        <v>0</v>
      </c>
      <c r="AK743" s="419">
        <v>0</v>
      </c>
      <c r="AL743" s="380">
        <v>8.2000000000000001E-5</v>
      </c>
      <c r="AM743" s="380"/>
      <c r="AN743" s="419">
        <v>0</v>
      </c>
      <c r="AO743" s="419">
        <v>0</v>
      </c>
      <c r="AP743" s="419">
        <v>0</v>
      </c>
      <c r="AQ743" s="419">
        <v>0</v>
      </c>
      <c r="AR743" s="419">
        <v>0</v>
      </c>
    </row>
    <row r="744" spans="1:44">
      <c r="A744" s="379">
        <v>98004</v>
      </c>
      <c r="B744" t="s">
        <v>1445</v>
      </c>
      <c r="C744" s="380">
        <v>1.74E-4</v>
      </c>
      <c r="D744" s="380"/>
      <c r="E744" s="419">
        <v>87396</v>
      </c>
      <c r="F744" s="419">
        <v>49631</v>
      </c>
      <c r="G744" s="419">
        <v>5658</v>
      </c>
      <c r="H744" s="419">
        <v>-116662</v>
      </c>
      <c r="I744" s="419">
        <v>0</v>
      </c>
      <c r="J744" s="380">
        <v>1.74E-4</v>
      </c>
      <c r="K744" s="380"/>
      <c r="L744" s="419">
        <v>42597</v>
      </c>
      <c r="M744" s="419">
        <v>29419</v>
      </c>
      <c r="N744" s="419">
        <v>12878</v>
      </c>
      <c r="O744" s="419">
        <v>0</v>
      </c>
      <c r="P744" s="419">
        <v>0</v>
      </c>
      <c r="Q744" s="380">
        <v>1.74E-4</v>
      </c>
      <c r="R744" s="380"/>
      <c r="S744" s="419">
        <v>-87412</v>
      </c>
      <c r="T744" s="419">
        <v>-86401</v>
      </c>
      <c r="U744" s="419">
        <v>-90767</v>
      </c>
      <c r="V744" s="419">
        <v>-116662</v>
      </c>
      <c r="W744" s="419">
        <v>0</v>
      </c>
      <c r="X744" s="380">
        <v>1.74E-4</v>
      </c>
      <c r="Z744" s="419">
        <v>69705</v>
      </c>
      <c r="AA744" s="419">
        <v>48971</v>
      </c>
      <c r="AB744" s="419">
        <v>48971</v>
      </c>
      <c r="AC744" s="419">
        <v>0</v>
      </c>
      <c r="AD744" s="419">
        <v>0</v>
      </c>
      <c r="AE744" s="380">
        <v>1.74E-4</v>
      </c>
      <c r="AF744" s="380"/>
      <c r="AG744" s="419">
        <v>62506</v>
      </c>
      <c r="AH744" s="419">
        <v>57642</v>
      </c>
      <c r="AI744" s="419">
        <v>34576</v>
      </c>
      <c r="AJ744" s="419">
        <v>0</v>
      </c>
      <c r="AK744" s="419">
        <v>0</v>
      </c>
      <c r="AL744" s="380">
        <v>1.74E-4</v>
      </c>
      <c r="AM744" s="380"/>
      <c r="AN744" s="419">
        <v>0</v>
      </c>
      <c r="AO744" s="419">
        <v>0</v>
      </c>
      <c r="AP744" s="419">
        <v>0</v>
      </c>
      <c r="AQ744" s="419">
        <v>0</v>
      </c>
      <c r="AR744" s="419">
        <v>0</v>
      </c>
    </row>
    <row r="745" spans="1:44">
      <c r="A745" s="379">
        <v>98008</v>
      </c>
      <c r="B745" t="s">
        <v>1446</v>
      </c>
      <c r="C745" s="380">
        <v>6.9E-6</v>
      </c>
      <c r="D745" s="380"/>
      <c r="E745" s="419">
        <v>752</v>
      </c>
      <c r="F745" s="419">
        <v>-490</v>
      </c>
      <c r="G745" s="419">
        <v>-1044</v>
      </c>
      <c r="H745" s="419">
        <v>-4626</v>
      </c>
      <c r="I745" s="419">
        <v>0</v>
      </c>
      <c r="J745" s="380">
        <v>6.9E-6</v>
      </c>
      <c r="K745" s="380"/>
      <c r="L745" s="419">
        <v>1689</v>
      </c>
      <c r="M745" s="419">
        <v>1167</v>
      </c>
      <c r="N745" s="419">
        <v>511</v>
      </c>
      <c r="O745" s="419">
        <v>0</v>
      </c>
      <c r="P745" s="419">
        <v>0</v>
      </c>
      <c r="Q745" s="380">
        <v>6.9E-6</v>
      </c>
      <c r="R745" s="380"/>
      <c r="S745" s="419">
        <v>-3466</v>
      </c>
      <c r="T745" s="419">
        <v>-3426</v>
      </c>
      <c r="U745" s="419">
        <v>-3599</v>
      </c>
      <c r="V745" s="419">
        <v>-4626</v>
      </c>
      <c r="W745" s="419">
        <v>0</v>
      </c>
      <c r="X745" s="380">
        <v>6.9E-6</v>
      </c>
      <c r="Z745" s="419">
        <v>2764</v>
      </c>
      <c r="AA745" s="419">
        <v>1942</v>
      </c>
      <c r="AB745" s="419">
        <v>1942</v>
      </c>
      <c r="AC745" s="419">
        <v>0</v>
      </c>
      <c r="AD745" s="419">
        <v>0</v>
      </c>
      <c r="AE745" s="380">
        <v>6.9E-6</v>
      </c>
      <c r="AF745" s="380"/>
      <c r="AG745" s="419">
        <v>103</v>
      </c>
      <c r="AH745" s="419">
        <v>103</v>
      </c>
      <c r="AI745" s="419">
        <v>102</v>
      </c>
      <c r="AJ745" s="419">
        <v>0</v>
      </c>
      <c r="AK745" s="419">
        <v>0</v>
      </c>
      <c r="AL745" s="380">
        <v>6.9E-6</v>
      </c>
      <c r="AM745" s="380"/>
      <c r="AN745" s="419">
        <v>-338</v>
      </c>
      <c r="AO745" s="419">
        <v>-276</v>
      </c>
      <c r="AP745" s="419">
        <v>0</v>
      </c>
      <c r="AQ745" s="419">
        <v>0</v>
      </c>
      <c r="AR745" s="419">
        <v>0</v>
      </c>
    </row>
    <row r="746" spans="1:44">
      <c r="A746" s="379">
        <v>98011</v>
      </c>
      <c r="B746" t="s">
        <v>1447</v>
      </c>
      <c r="C746" s="380">
        <v>3.2637999999999999E-3</v>
      </c>
      <c r="D746" s="380"/>
      <c r="E746" s="419">
        <v>303094</v>
      </c>
      <c r="F746" s="419">
        <v>-334346</v>
      </c>
      <c r="G746" s="419">
        <v>-687637</v>
      </c>
      <c r="H746" s="419">
        <v>-2188293</v>
      </c>
      <c r="I746" s="419">
        <v>0</v>
      </c>
      <c r="J746" s="380">
        <v>3.2637999999999999E-3</v>
      </c>
      <c r="K746" s="380"/>
      <c r="L746" s="419">
        <v>799004</v>
      </c>
      <c r="M746" s="419">
        <v>551817</v>
      </c>
      <c r="N746" s="419">
        <v>241560</v>
      </c>
      <c r="O746" s="419">
        <v>0</v>
      </c>
      <c r="P746" s="419">
        <v>0</v>
      </c>
      <c r="Q746" s="380">
        <v>3.2637999999999999E-3</v>
      </c>
      <c r="R746" s="380"/>
      <c r="S746" s="419">
        <v>-1639629</v>
      </c>
      <c r="T746" s="419">
        <v>-1620656</v>
      </c>
      <c r="U746" s="419">
        <v>-1702565</v>
      </c>
      <c r="V746" s="419">
        <v>-2188293</v>
      </c>
      <c r="W746" s="419">
        <v>0</v>
      </c>
      <c r="X746" s="380">
        <v>3.2637999999999999E-3</v>
      </c>
      <c r="Z746" s="419">
        <v>1307485</v>
      </c>
      <c r="AA746" s="419">
        <v>918580</v>
      </c>
      <c r="AB746" s="419">
        <v>918574</v>
      </c>
      <c r="AC746" s="419">
        <v>0</v>
      </c>
      <c r="AD746" s="419">
        <v>0</v>
      </c>
      <c r="AE746" s="380">
        <v>3.2637999999999999E-3</v>
      </c>
      <c r="AF746" s="380"/>
      <c r="AG746" s="419">
        <v>28964</v>
      </c>
      <c r="AH746" s="419">
        <v>8642</v>
      </c>
      <c r="AI746" s="419">
        <v>0</v>
      </c>
      <c r="AJ746" s="419">
        <v>0</v>
      </c>
      <c r="AK746" s="419">
        <v>0</v>
      </c>
      <c r="AL746" s="380">
        <v>3.2637999999999999E-3</v>
      </c>
      <c r="AM746" s="380"/>
      <c r="AN746" s="419">
        <v>-192730</v>
      </c>
      <c r="AO746" s="419">
        <v>-192729</v>
      </c>
      <c r="AP746" s="419">
        <v>-145206</v>
      </c>
      <c r="AQ746" s="419">
        <v>0</v>
      </c>
      <c r="AR746" s="419">
        <v>0</v>
      </c>
    </row>
    <row r="747" spans="1:44">
      <c r="A747" s="379">
        <v>98013</v>
      </c>
      <c r="B747" t="s">
        <v>1448</v>
      </c>
      <c r="C747" s="380">
        <v>1.3109999999999999E-4</v>
      </c>
      <c r="D747" s="380"/>
      <c r="E747" s="419">
        <v>44726</v>
      </c>
      <c r="F747" s="419">
        <v>6009</v>
      </c>
      <c r="G747" s="419">
        <v>-28659</v>
      </c>
      <c r="H747" s="419">
        <v>-87899</v>
      </c>
      <c r="I747" s="419">
        <v>0</v>
      </c>
      <c r="J747" s="380">
        <v>1.3109999999999999E-4</v>
      </c>
      <c r="K747" s="380"/>
      <c r="L747" s="419">
        <v>32094</v>
      </c>
      <c r="M747" s="419">
        <v>22165</v>
      </c>
      <c r="N747" s="419">
        <v>9703</v>
      </c>
      <c r="O747" s="419">
        <v>0</v>
      </c>
      <c r="P747" s="419">
        <v>0</v>
      </c>
      <c r="Q747" s="380">
        <v>1.3109999999999999E-4</v>
      </c>
      <c r="R747" s="380"/>
      <c r="S747" s="419">
        <v>-65860</v>
      </c>
      <c r="T747" s="419">
        <v>-65098</v>
      </c>
      <c r="U747" s="419">
        <v>-68388</v>
      </c>
      <c r="V747" s="419">
        <v>-87899</v>
      </c>
      <c r="W747" s="419">
        <v>0</v>
      </c>
      <c r="X747" s="380">
        <v>1.3109999999999999E-4</v>
      </c>
      <c r="Z747" s="419">
        <v>52519</v>
      </c>
      <c r="AA747" s="419">
        <v>36897</v>
      </c>
      <c r="AB747" s="419">
        <v>36897</v>
      </c>
      <c r="AC747" s="419">
        <v>0</v>
      </c>
      <c r="AD747" s="419">
        <v>0</v>
      </c>
      <c r="AE747" s="380">
        <v>1.3109999999999999E-4</v>
      </c>
      <c r="AF747" s="380"/>
      <c r="AG747" s="419">
        <v>32843</v>
      </c>
      <c r="AH747" s="419">
        <v>18915</v>
      </c>
      <c r="AI747" s="419">
        <v>0</v>
      </c>
      <c r="AJ747" s="419">
        <v>0</v>
      </c>
      <c r="AK747" s="419">
        <v>0</v>
      </c>
      <c r="AL747" s="380">
        <v>1.3109999999999999E-4</v>
      </c>
      <c r="AM747" s="380"/>
      <c r="AN747" s="419">
        <v>-6870</v>
      </c>
      <c r="AO747" s="419">
        <v>-6870</v>
      </c>
      <c r="AP747" s="419">
        <v>-6871</v>
      </c>
      <c r="AQ747" s="419">
        <v>0</v>
      </c>
      <c r="AR747" s="419">
        <v>0</v>
      </c>
    </row>
    <row r="748" spans="1:44">
      <c r="A748" s="379">
        <v>98021</v>
      </c>
      <c r="B748" t="s">
        <v>1449</v>
      </c>
      <c r="C748" s="380">
        <v>3.8399999999999998E-5</v>
      </c>
      <c r="D748" s="380"/>
      <c r="E748" s="419">
        <v>4696</v>
      </c>
      <c r="F748" s="419">
        <v>4472</v>
      </c>
      <c r="G748" s="419">
        <v>-4482</v>
      </c>
      <c r="H748" s="419">
        <v>-25746</v>
      </c>
      <c r="I748" s="419">
        <v>0</v>
      </c>
      <c r="J748" s="380">
        <v>3.8399999999999998E-5</v>
      </c>
      <c r="K748" s="380"/>
      <c r="L748" s="419">
        <v>9401</v>
      </c>
      <c r="M748" s="419">
        <v>6492</v>
      </c>
      <c r="N748" s="419">
        <v>2842</v>
      </c>
      <c r="O748" s="419">
        <v>0</v>
      </c>
      <c r="P748" s="419">
        <v>0</v>
      </c>
      <c r="Q748" s="380">
        <v>3.8399999999999998E-5</v>
      </c>
      <c r="R748" s="380"/>
      <c r="S748" s="419">
        <v>-19291</v>
      </c>
      <c r="T748" s="419">
        <v>-19068</v>
      </c>
      <c r="U748" s="419">
        <v>-20031</v>
      </c>
      <c r="V748" s="419">
        <v>-25746</v>
      </c>
      <c r="W748" s="419">
        <v>0</v>
      </c>
      <c r="X748" s="380">
        <v>3.8399999999999998E-5</v>
      </c>
      <c r="Z748" s="419">
        <v>15383</v>
      </c>
      <c r="AA748" s="419">
        <v>10807</v>
      </c>
      <c r="AB748" s="419">
        <v>10807</v>
      </c>
      <c r="AC748" s="419">
        <v>0</v>
      </c>
      <c r="AD748" s="419">
        <v>0</v>
      </c>
      <c r="AE748" s="380">
        <v>3.8399999999999998E-5</v>
      </c>
      <c r="AF748" s="380"/>
      <c r="AG748" s="419">
        <v>6242</v>
      </c>
      <c r="AH748" s="419">
        <v>6241</v>
      </c>
      <c r="AI748" s="419">
        <v>1900</v>
      </c>
      <c r="AJ748" s="419">
        <v>0</v>
      </c>
      <c r="AK748" s="419">
        <v>0</v>
      </c>
      <c r="AL748" s="380">
        <v>3.8399999999999998E-5</v>
      </c>
      <c r="AM748" s="380"/>
      <c r="AN748" s="419">
        <v>-7039</v>
      </c>
      <c r="AO748" s="419">
        <v>0</v>
      </c>
      <c r="AP748" s="419">
        <v>0</v>
      </c>
      <c r="AQ748" s="419">
        <v>0</v>
      </c>
      <c r="AR748" s="419">
        <v>0</v>
      </c>
    </row>
    <row r="749" spans="1:44">
      <c r="A749" s="379">
        <v>98023</v>
      </c>
      <c r="B749" t="s">
        <v>1450</v>
      </c>
      <c r="C749" s="380">
        <v>6.3999999999999997E-6</v>
      </c>
      <c r="D749" s="380"/>
      <c r="E749" s="419">
        <v>-3354</v>
      </c>
      <c r="F749" s="419">
        <v>-4974</v>
      </c>
      <c r="G749" s="419">
        <v>-4420</v>
      </c>
      <c r="H749" s="419">
        <v>-4291</v>
      </c>
      <c r="I749" s="419">
        <v>0</v>
      </c>
      <c r="J749" s="380">
        <v>6.3999999999999997E-6</v>
      </c>
      <c r="K749" s="380"/>
      <c r="L749" s="419">
        <v>1567</v>
      </c>
      <c r="M749" s="419">
        <v>1082</v>
      </c>
      <c r="N749" s="419">
        <v>474</v>
      </c>
      <c r="O749" s="419">
        <v>0</v>
      </c>
      <c r="P749" s="419">
        <v>0</v>
      </c>
      <c r="Q749" s="380">
        <v>6.3999999999999997E-6</v>
      </c>
      <c r="R749" s="380"/>
      <c r="S749" s="419">
        <v>-3215</v>
      </c>
      <c r="T749" s="419">
        <v>-3178</v>
      </c>
      <c r="U749" s="419">
        <v>-3339</v>
      </c>
      <c r="V749" s="419">
        <v>-4291</v>
      </c>
      <c r="W749" s="419">
        <v>0</v>
      </c>
      <c r="X749" s="380">
        <v>6.3999999999999997E-6</v>
      </c>
      <c r="Z749" s="419">
        <v>2564</v>
      </c>
      <c r="AA749" s="419">
        <v>1801</v>
      </c>
      <c r="AB749" s="419">
        <v>1801</v>
      </c>
      <c r="AC749" s="419">
        <v>0</v>
      </c>
      <c r="AD749" s="419">
        <v>0</v>
      </c>
      <c r="AE749" s="380">
        <v>6.3999999999999997E-6</v>
      </c>
      <c r="AF749" s="380"/>
      <c r="AG749" s="419">
        <v>1232</v>
      </c>
      <c r="AH749" s="419">
        <v>825</v>
      </c>
      <c r="AI749" s="419">
        <v>0</v>
      </c>
      <c r="AJ749" s="419">
        <v>0</v>
      </c>
      <c r="AK749" s="419">
        <v>0</v>
      </c>
      <c r="AL749" s="380">
        <v>6.3999999999999997E-6</v>
      </c>
      <c r="AM749" s="380"/>
      <c r="AN749" s="419">
        <v>-5502</v>
      </c>
      <c r="AO749" s="419">
        <v>-5504</v>
      </c>
      <c r="AP749" s="419">
        <v>-3356</v>
      </c>
      <c r="AQ749" s="419">
        <v>0</v>
      </c>
      <c r="AR749" s="419">
        <v>0</v>
      </c>
    </row>
    <row r="750" spans="1:44">
      <c r="A750" s="379">
        <v>98031</v>
      </c>
      <c r="B750" t="s">
        <v>1451</v>
      </c>
      <c r="C750" s="380">
        <v>1.563E-4</v>
      </c>
      <c r="D750" s="380"/>
      <c r="E750" s="419">
        <v>23725</v>
      </c>
      <c r="F750" s="419">
        <v>-7120</v>
      </c>
      <c r="G750" s="419">
        <v>-11471</v>
      </c>
      <c r="H750" s="419">
        <v>-104795</v>
      </c>
      <c r="I750" s="419">
        <v>0</v>
      </c>
      <c r="J750" s="380">
        <v>1.563E-4</v>
      </c>
      <c r="K750" s="380"/>
      <c r="L750" s="419">
        <v>38263</v>
      </c>
      <c r="M750" s="419">
        <v>26426</v>
      </c>
      <c r="N750" s="419">
        <v>11568</v>
      </c>
      <c r="O750" s="419">
        <v>0</v>
      </c>
      <c r="P750" s="419">
        <v>0</v>
      </c>
      <c r="Q750" s="380">
        <v>1.563E-4</v>
      </c>
      <c r="R750" s="380"/>
      <c r="S750" s="419">
        <v>-78520</v>
      </c>
      <c r="T750" s="419">
        <v>-77612</v>
      </c>
      <c r="U750" s="419">
        <v>-81534</v>
      </c>
      <c r="V750" s="419">
        <v>-104795</v>
      </c>
      <c r="W750" s="419">
        <v>0</v>
      </c>
      <c r="X750" s="380">
        <v>1.563E-4</v>
      </c>
      <c r="Z750" s="419">
        <v>62614</v>
      </c>
      <c r="AA750" s="419">
        <v>43990</v>
      </c>
      <c r="AB750" s="419">
        <v>43990</v>
      </c>
      <c r="AC750" s="419">
        <v>0</v>
      </c>
      <c r="AD750" s="419">
        <v>0</v>
      </c>
      <c r="AE750" s="380">
        <v>1.563E-4</v>
      </c>
      <c r="AF750" s="380"/>
      <c r="AG750" s="419">
        <v>15797</v>
      </c>
      <c r="AH750" s="419">
        <v>14505</v>
      </c>
      <c r="AI750" s="419">
        <v>14505</v>
      </c>
      <c r="AJ750" s="419">
        <v>0</v>
      </c>
      <c r="AK750" s="419">
        <v>0</v>
      </c>
      <c r="AL750" s="380">
        <v>1.563E-4</v>
      </c>
      <c r="AM750" s="380"/>
      <c r="AN750" s="419">
        <v>-14429</v>
      </c>
      <c r="AO750" s="419">
        <v>-14429</v>
      </c>
      <c r="AP750" s="419">
        <v>0</v>
      </c>
      <c r="AQ750" s="419">
        <v>0</v>
      </c>
      <c r="AR750" s="419">
        <v>0</v>
      </c>
    </row>
    <row r="751" spans="1:44">
      <c r="A751" s="379">
        <v>98041</v>
      </c>
      <c r="B751" t="s">
        <v>1452</v>
      </c>
      <c r="C751" s="380">
        <v>2.4140000000000001E-4</v>
      </c>
      <c r="D751" s="380"/>
      <c r="E751" s="419">
        <v>37154</v>
      </c>
      <c r="F751" s="419">
        <v>-11370</v>
      </c>
      <c r="G751" s="419">
        <v>-29892</v>
      </c>
      <c r="H751" s="419">
        <v>-161852</v>
      </c>
      <c r="I751" s="419">
        <v>0</v>
      </c>
      <c r="J751" s="380">
        <v>2.4140000000000001E-4</v>
      </c>
      <c r="K751" s="380"/>
      <c r="L751" s="419">
        <v>59097</v>
      </c>
      <c r="M751" s="419">
        <v>40814</v>
      </c>
      <c r="N751" s="419">
        <v>17866</v>
      </c>
      <c r="O751" s="419">
        <v>0</v>
      </c>
      <c r="P751" s="419">
        <v>0</v>
      </c>
      <c r="Q751" s="380">
        <v>2.4140000000000001E-4</v>
      </c>
      <c r="R751" s="380"/>
      <c r="S751" s="419">
        <v>-121272</v>
      </c>
      <c r="T751" s="419">
        <v>-119868</v>
      </c>
      <c r="U751" s="419">
        <v>-125927</v>
      </c>
      <c r="V751" s="419">
        <v>-161852</v>
      </c>
      <c r="W751" s="419">
        <v>0</v>
      </c>
      <c r="X751" s="380">
        <v>2.4140000000000001E-4</v>
      </c>
      <c r="Z751" s="419">
        <v>96705</v>
      </c>
      <c r="AA751" s="419">
        <v>67941</v>
      </c>
      <c r="AB751" s="419">
        <v>67940</v>
      </c>
      <c r="AC751" s="419">
        <v>0</v>
      </c>
      <c r="AD751" s="419">
        <v>0</v>
      </c>
      <c r="AE751" s="380">
        <v>2.4140000000000001E-4</v>
      </c>
      <c r="AF751" s="380"/>
      <c r="AG751" s="419">
        <v>13109</v>
      </c>
      <c r="AH751" s="419">
        <v>10229</v>
      </c>
      <c r="AI751" s="419">
        <v>10229</v>
      </c>
      <c r="AJ751" s="419">
        <v>0</v>
      </c>
      <c r="AK751" s="419">
        <v>0</v>
      </c>
      <c r="AL751" s="380">
        <v>2.4140000000000001E-4</v>
      </c>
      <c r="AM751" s="380"/>
      <c r="AN751" s="419">
        <v>-10485</v>
      </c>
      <c r="AO751" s="419">
        <v>-10486</v>
      </c>
      <c r="AP751" s="419">
        <v>0</v>
      </c>
      <c r="AQ751" s="419">
        <v>0</v>
      </c>
      <c r="AR751" s="419">
        <v>0</v>
      </c>
    </row>
    <row r="752" spans="1:44">
      <c r="A752" s="379">
        <v>98051</v>
      </c>
      <c r="B752" t="s">
        <v>1453</v>
      </c>
      <c r="C752" s="380">
        <v>2.499E-4</v>
      </c>
      <c r="D752" s="380"/>
      <c r="E752" s="419">
        <v>26108</v>
      </c>
      <c r="F752" s="419">
        <v>-21205</v>
      </c>
      <c r="G752" s="419">
        <v>-31368</v>
      </c>
      <c r="H752" s="419">
        <v>-167551</v>
      </c>
      <c r="I752" s="419">
        <v>0</v>
      </c>
      <c r="J752" s="380">
        <v>2.499E-4</v>
      </c>
      <c r="K752" s="380"/>
      <c r="L752" s="419">
        <v>61178</v>
      </c>
      <c r="M752" s="419">
        <v>42251</v>
      </c>
      <c r="N752" s="419">
        <v>18496</v>
      </c>
      <c r="O752" s="419">
        <v>0</v>
      </c>
      <c r="P752" s="419">
        <v>0</v>
      </c>
      <c r="Q752" s="380">
        <v>2.499E-4</v>
      </c>
      <c r="R752" s="380"/>
      <c r="S752" s="419">
        <v>-125542</v>
      </c>
      <c r="T752" s="419">
        <v>-124089</v>
      </c>
      <c r="U752" s="419">
        <v>-130361</v>
      </c>
      <c r="V752" s="419">
        <v>-167551</v>
      </c>
      <c r="W752" s="419">
        <v>0</v>
      </c>
      <c r="X752" s="380">
        <v>2.499E-4</v>
      </c>
      <c r="Z752" s="419">
        <v>100110</v>
      </c>
      <c r="AA752" s="419">
        <v>70333</v>
      </c>
      <c r="AB752" s="419">
        <v>70333</v>
      </c>
      <c r="AC752" s="419">
        <v>0</v>
      </c>
      <c r="AD752" s="419">
        <v>0</v>
      </c>
      <c r="AE752" s="380">
        <v>2.499E-4</v>
      </c>
      <c r="AF752" s="380"/>
      <c r="AG752" s="419">
        <v>14621</v>
      </c>
      <c r="AH752" s="419">
        <v>14558</v>
      </c>
      <c r="AI752" s="419">
        <v>10164</v>
      </c>
      <c r="AJ752" s="419">
        <v>0</v>
      </c>
      <c r="AK752" s="419">
        <v>0</v>
      </c>
      <c r="AL752" s="380">
        <v>2.499E-4</v>
      </c>
      <c r="AM752" s="380"/>
      <c r="AN752" s="419">
        <v>-24259</v>
      </c>
      <c r="AO752" s="419">
        <v>-24258</v>
      </c>
      <c r="AP752" s="419">
        <v>0</v>
      </c>
      <c r="AQ752" s="419">
        <v>0</v>
      </c>
      <c r="AR752" s="419">
        <v>0</v>
      </c>
    </row>
    <row r="753" spans="1:44">
      <c r="A753" s="379">
        <v>98061</v>
      </c>
      <c r="B753" t="s">
        <v>1454</v>
      </c>
      <c r="C753" s="380">
        <v>1.2410000000000001E-4</v>
      </c>
      <c r="D753" s="380"/>
      <c r="E753" s="419">
        <v>12728</v>
      </c>
      <c r="F753" s="419">
        <v>-13580</v>
      </c>
      <c r="G753" s="419">
        <v>-24494</v>
      </c>
      <c r="H753" s="419">
        <v>-83206</v>
      </c>
      <c r="I753" s="419">
        <v>0</v>
      </c>
      <c r="J753" s="380">
        <v>1.2410000000000001E-4</v>
      </c>
      <c r="K753" s="380"/>
      <c r="L753" s="419">
        <v>30381</v>
      </c>
      <c r="M753" s="419">
        <v>20982</v>
      </c>
      <c r="N753" s="419">
        <v>9185</v>
      </c>
      <c r="O753" s="419">
        <v>0</v>
      </c>
      <c r="P753" s="419">
        <v>0</v>
      </c>
      <c r="Q753" s="380">
        <v>1.2410000000000001E-4</v>
      </c>
      <c r="R753" s="380"/>
      <c r="S753" s="419">
        <v>-62344</v>
      </c>
      <c r="T753" s="419">
        <v>-61622</v>
      </c>
      <c r="U753" s="419">
        <v>-64737</v>
      </c>
      <c r="V753" s="419">
        <v>-83206</v>
      </c>
      <c r="W753" s="419">
        <v>0</v>
      </c>
      <c r="X753" s="380">
        <v>1.2410000000000001E-4</v>
      </c>
      <c r="Z753" s="419">
        <v>49715</v>
      </c>
      <c r="AA753" s="419">
        <v>34927</v>
      </c>
      <c r="AB753" s="419">
        <v>34927</v>
      </c>
      <c r="AC753" s="419">
        <v>0</v>
      </c>
      <c r="AD753" s="419">
        <v>0</v>
      </c>
      <c r="AE753" s="380">
        <v>1.2410000000000001E-4</v>
      </c>
      <c r="AF753" s="380"/>
      <c r="AG753" s="419">
        <v>2865</v>
      </c>
      <c r="AH753" s="419">
        <v>20</v>
      </c>
      <c r="AI753" s="419">
        <v>0</v>
      </c>
      <c r="AJ753" s="419">
        <v>0</v>
      </c>
      <c r="AK753" s="419">
        <v>0</v>
      </c>
      <c r="AL753" s="380">
        <v>1.2410000000000001E-4</v>
      </c>
      <c r="AM753" s="380"/>
      <c r="AN753" s="419">
        <v>-7889</v>
      </c>
      <c r="AO753" s="419">
        <v>-7887</v>
      </c>
      <c r="AP753" s="419">
        <v>-3869</v>
      </c>
      <c r="AQ753" s="419">
        <v>0</v>
      </c>
      <c r="AR753" s="419">
        <v>0</v>
      </c>
    </row>
    <row r="754" spans="1:44">
      <c r="A754" s="379">
        <v>98071</v>
      </c>
      <c r="B754" t="s">
        <v>1455</v>
      </c>
      <c r="C754" s="380">
        <v>6.6600000000000006E-5</v>
      </c>
      <c r="D754" s="380"/>
      <c r="E754" s="419">
        <v>30183</v>
      </c>
      <c r="F754" s="419">
        <v>15767</v>
      </c>
      <c r="G754" s="419">
        <v>-2076</v>
      </c>
      <c r="H754" s="419">
        <v>-44654</v>
      </c>
      <c r="I754" s="419">
        <v>0</v>
      </c>
      <c r="J754" s="380">
        <v>6.6600000000000006E-5</v>
      </c>
      <c r="K754" s="380"/>
      <c r="L754" s="419">
        <v>16304</v>
      </c>
      <c r="M754" s="419">
        <v>11260</v>
      </c>
      <c r="N754" s="419">
        <v>4929</v>
      </c>
      <c r="O754" s="419">
        <v>0</v>
      </c>
      <c r="P754" s="419">
        <v>0</v>
      </c>
      <c r="Q754" s="380">
        <v>6.6600000000000006E-5</v>
      </c>
      <c r="R754" s="380"/>
      <c r="S754" s="419">
        <v>-33458</v>
      </c>
      <c r="T754" s="419">
        <v>-33071</v>
      </c>
      <c r="U754" s="419">
        <v>-34742</v>
      </c>
      <c r="V754" s="419">
        <v>-44654</v>
      </c>
      <c r="W754" s="419">
        <v>0</v>
      </c>
      <c r="X754" s="380">
        <v>6.6600000000000006E-5</v>
      </c>
      <c r="Z754" s="419">
        <v>26680</v>
      </c>
      <c r="AA754" s="419">
        <v>18744</v>
      </c>
      <c r="AB754" s="419">
        <v>18744</v>
      </c>
      <c r="AC754" s="419">
        <v>0</v>
      </c>
      <c r="AD754" s="419">
        <v>0</v>
      </c>
      <c r="AE754" s="380">
        <v>6.6600000000000006E-5</v>
      </c>
      <c r="AF754" s="380"/>
      <c r="AG754" s="419">
        <v>20657</v>
      </c>
      <c r="AH754" s="419">
        <v>18834</v>
      </c>
      <c r="AI754" s="419">
        <v>8993</v>
      </c>
      <c r="AJ754" s="419">
        <v>0</v>
      </c>
      <c r="AK754" s="419">
        <v>0</v>
      </c>
      <c r="AL754" s="380">
        <v>6.6600000000000006E-5</v>
      </c>
      <c r="AM754" s="380"/>
      <c r="AN754" s="419">
        <v>0</v>
      </c>
      <c r="AO754" s="419">
        <v>0</v>
      </c>
      <c r="AP754" s="419">
        <v>0</v>
      </c>
      <c r="AQ754" s="419">
        <v>0</v>
      </c>
      <c r="AR754" s="419">
        <v>0</v>
      </c>
    </row>
    <row r="755" spans="1:44">
      <c r="A755" s="379">
        <v>98081</v>
      </c>
      <c r="B755" t="s">
        <v>1456</v>
      </c>
      <c r="C755" s="380">
        <v>1.42E-5</v>
      </c>
      <c r="D755" s="380"/>
      <c r="E755" s="419">
        <v>1186</v>
      </c>
      <c r="F755" s="419">
        <v>-1217</v>
      </c>
      <c r="G755" s="419">
        <v>-2286</v>
      </c>
      <c r="H755" s="419">
        <v>-9521</v>
      </c>
      <c r="I755" s="419">
        <v>0</v>
      </c>
      <c r="J755" s="380">
        <v>1.42E-5</v>
      </c>
      <c r="K755" s="380"/>
      <c r="L755" s="419">
        <v>3476</v>
      </c>
      <c r="M755" s="419">
        <v>2401</v>
      </c>
      <c r="N755" s="419">
        <v>1051</v>
      </c>
      <c r="O755" s="419">
        <v>0</v>
      </c>
      <c r="P755" s="419">
        <v>0</v>
      </c>
      <c r="Q755" s="380">
        <v>1.42E-5</v>
      </c>
      <c r="R755" s="380"/>
      <c r="S755" s="419">
        <v>-7134</v>
      </c>
      <c r="T755" s="419">
        <v>-7051</v>
      </c>
      <c r="U755" s="419">
        <v>-7407</v>
      </c>
      <c r="V755" s="419">
        <v>-9521</v>
      </c>
      <c r="W755" s="419">
        <v>0</v>
      </c>
      <c r="X755" s="380">
        <v>1.42E-5</v>
      </c>
      <c r="Z755" s="419">
        <v>5689</v>
      </c>
      <c r="AA755" s="419">
        <v>3997</v>
      </c>
      <c r="AB755" s="419">
        <v>3996</v>
      </c>
      <c r="AC755" s="419">
        <v>0</v>
      </c>
      <c r="AD755" s="419">
        <v>0</v>
      </c>
      <c r="AE755" s="380">
        <v>1.42E-5</v>
      </c>
      <c r="AF755" s="380"/>
      <c r="AG755" s="419">
        <v>76</v>
      </c>
      <c r="AH755" s="419">
        <v>76</v>
      </c>
      <c r="AI755" s="419">
        <v>74</v>
      </c>
      <c r="AJ755" s="419">
        <v>0</v>
      </c>
      <c r="AK755" s="419">
        <v>0</v>
      </c>
      <c r="AL755" s="380">
        <v>1.42E-5</v>
      </c>
      <c r="AM755" s="380"/>
      <c r="AN755" s="419">
        <v>-921</v>
      </c>
      <c r="AO755" s="419">
        <v>-640</v>
      </c>
      <c r="AP755" s="419">
        <v>0</v>
      </c>
      <c r="AQ755" s="419">
        <v>0</v>
      </c>
      <c r="AR755" s="419">
        <v>0</v>
      </c>
    </row>
    <row r="756" spans="1:44">
      <c r="A756" s="379">
        <v>98091</v>
      </c>
      <c r="B756" t="s">
        <v>1457</v>
      </c>
      <c r="C756" s="380">
        <v>4.8000000000000001E-5</v>
      </c>
      <c r="D756" s="380"/>
      <c r="E756" s="419">
        <v>3824</v>
      </c>
      <c r="F756" s="419">
        <v>-6516</v>
      </c>
      <c r="G756" s="419">
        <v>-6817</v>
      </c>
      <c r="H756" s="419">
        <v>-32183</v>
      </c>
      <c r="I756" s="419">
        <v>0</v>
      </c>
      <c r="J756" s="380">
        <v>4.8000000000000001E-5</v>
      </c>
      <c r="K756" s="380"/>
      <c r="L756" s="419">
        <v>11751</v>
      </c>
      <c r="M756" s="419">
        <v>8115</v>
      </c>
      <c r="N756" s="419">
        <v>3553</v>
      </c>
      <c r="O756" s="419">
        <v>0</v>
      </c>
      <c r="P756" s="419">
        <v>0</v>
      </c>
      <c r="Q756" s="380">
        <v>4.8000000000000001E-5</v>
      </c>
      <c r="R756" s="380"/>
      <c r="S756" s="419">
        <v>-24114</v>
      </c>
      <c r="T756" s="419">
        <v>-23835</v>
      </c>
      <c r="U756" s="419">
        <v>-25039</v>
      </c>
      <c r="V756" s="419">
        <v>-32183</v>
      </c>
      <c r="W756" s="419">
        <v>0</v>
      </c>
      <c r="X756" s="380">
        <v>4.8000000000000001E-5</v>
      </c>
      <c r="Z756" s="419">
        <v>19229</v>
      </c>
      <c r="AA756" s="419">
        <v>13509</v>
      </c>
      <c r="AB756" s="419">
        <v>13509</v>
      </c>
      <c r="AC756" s="419">
        <v>0</v>
      </c>
      <c r="AD756" s="419">
        <v>0</v>
      </c>
      <c r="AE756" s="380">
        <v>4.8000000000000001E-5</v>
      </c>
      <c r="AF756" s="380"/>
      <c r="AG756" s="419">
        <v>4241</v>
      </c>
      <c r="AH756" s="419">
        <v>2977</v>
      </c>
      <c r="AI756" s="419">
        <v>1160</v>
      </c>
      <c r="AJ756" s="419">
        <v>0</v>
      </c>
      <c r="AK756" s="419">
        <v>0</v>
      </c>
      <c r="AL756" s="380">
        <v>4.8000000000000001E-5</v>
      </c>
      <c r="AM756" s="380"/>
      <c r="AN756" s="419">
        <v>-7283</v>
      </c>
      <c r="AO756" s="419">
        <v>-7282</v>
      </c>
      <c r="AP756" s="419">
        <v>0</v>
      </c>
      <c r="AQ756" s="419">
        <v>0</v>
      </c>
      <c r="AR756" s="419">
        <v>0</v>
      </c>
    </row>
    <row r="757" spans="1:44">
      <c r="A757" s="379">
        <v>98101</v>
      </c>
      <c r="B757" t="s">
        <v>1458</v>
      </c>
      <c r="C757" s="380">
        <v>2.7187000000000001E-3</v>
      </c>
      <c r="D757" s="380"/>
      <c r="E757" s="419">
        <v>346164</v>
      </c>
      <c r="F757" s="419">
        <v>-121951</v>
      </c>
      <c r="G757" s="419">
        <v>-492522</v>
      </c>
      <c r="H757" s="419">
        <v>-1822818</v>
      </c>
      <c r="I757" s="419">
        <v>0</v>
      </c>
      <c r="J757" s="380">
        <v>2.7187000000000001E-3</v>
      </c>
      <c r="K757" s="380"/>
      <c r="L757" s="419">
        <v>665560</v>
      </c>
      <c r="M757" s="419">
        <v>459656</v>
      </c>
      <c r="N757" s="419">
        <v>201216</v>
      </c>
      <c r="O757" s="419">
        <v>0</v>
      </c>
      <c r="P757" s="419">
        <v>0</v>
      </c>
      <c r="Q757" s="380">
        <v>2.7187000000000001E-3</v>
      </c>
      <c r="R757" s="380"/>
      <c r="S757" s="419">
        <v>-1365788</v>
      </c>
      <c r="T757" s="419">
        <v>-1349984</v>
      </c>
      <c r="U757" s="419">
        <v>-1418213</v>
      </c>
      <c r="V757" s="419">
        <v>-1822818</v>
      </c>
      <c r="W757" s="419">
        <v>0</v>
      </c>
      <c r="X757" s="380">
        <v>2.7187000000000001E-3</v>
      </c>
      <c r="Z757" s="419">
        <v>1089117</v>
      </c>
      <c r="AA757" s="419">
        <v>765165</v>
      </c>
      <c r="AB757" s="419">
        <v>765159</v>
      </c>
      <c r="AC757" s="419">
        <v>0</v>
      </c>
      <c r="AD757" s="419">
        <v>0</v>
      </c>
      <c r="AE757" s="380">
        <v>2.7187000000000001E-3</v>
      </c>
      <c r="AF757" s="380"/>
      <c r="AG757" s="419">
        <v>43895</v>
      </c>
      <c r="AH757" s="419">
        <v>43895</v>
      </c>
      <c r="AI757" s="419">
        <v>0</v>
      </c>
      <c r="AJ757" s="419">
        <v>0</v>
      </c>
      <c r="AK757" s="419">
        <v>0</v>
      </c>
      <c r="AL757" s="380">
        <v>2.7187000000000001E-3</v>
      </c>
      <c r="AM757" s="380"/>
      <c r="AN757" s="419">
        <v>-86620</v>
      </c>
      <c r="AO757" s="419">
        <v>-40683</v>
      </c>
      <c r="AP757" s="419">
        <v>-40684</v>
      </c>
      <c r="AQ757" s="419">
        <v>0</v>
      </c>
      <c r="AR757" s="419">
        <v>0</v>
      </c>
    </row>
    <row r="758" spans="1:44">
      <c r="A758" s="379">
        <v>98102</v>
      </c>
      <c r="B758" t="s">
        <v>1459</v>
      </c>
      <c r="C758" s="380">
        <v>1.4760000000000001E-4</v>
      </c>
      <c r="D758" s="380"/>
      <c r="E758" s="419">
        <v>19077</v>
      </c>
      <c r="F758" s="419">
        <v>-7729</v>
      </c>
      <c r="G758" s="419">
        <v>-26524</v>
      </c>
      <c r="H758" s="419">
        <v>-98962</v>
      </c>
      <c r="I758" s="419">
        <v>0</v>
      </c>
      <c r="J758" s="380">
        <v>1.4760000000000001E-4</v>
      </c>
      <c r="K758" s="380"/>
      <c r="L758" s="419">
        <v>36134</v>
      </c>
      <c r="M758" s="419">
        <v>24955</v>
      </c>
      <c r="N758" s="419">
        <v>10924</v>
      </c>
      <c r="O758" s="419">
        <v>0</v>
      </c>
      <c r="P758" s="419">
        <v>0</v>
      </c>
      <c r="Q758" s="380">
        <v>1.4760000000000001E-4</v>
      </c>
      <c r="R758" s="380"/>
      <c r="S758" s="419">
        <v>-74150</v>
      </c>
      <c r="T758" s="419">
        <v>-73292</v>
      </c>
      <c r="U758" s="419">
        <v>-76996</v>
      </c>
      <c r="V758" s="419">
        <v>-98962</v>
      </c>
      <c r="W758" s="419">
        <v>0</v>
      </c>
      <c r="X758" s="380">
        <v>1.4760000000000001E-4</v>
      </c>
      <c r="Z758" s="419">
        <v>59129</v>
      </c>
      <c r="AA758" s="419">
        <v>41541</v>
      </c>
      <c r="AB758" s="419">
        <v>41541</v>
      </c>
      <c r="AC758" s="419">
        <v>0</v>
      </c>
      <c r="AD758" s="419">
        <v>0</v>
      </c>
      <c r="AE758" s="380">
        <v>1.4760000000000001E-4</v>
      </c>
      <c r="AF758" s="380"/>
      <c r="AG758" s="419">
        <v>2199</v>
      </c>
      <c r="AH758" s="419">
        <v>2200</v>
      </c>
      <c r="AI758" s="419">
        <v>0</v>
      </c>
      <c r="AJ758" s="419">
        <v>0</v>
      </c>
      <c r="AK758" s="419">
        <v>0</v>
      </c>
      <c r="AL758" s="380">
        <v>1.4760000000000001E-4</v>
      </c>
      <c r="AM758" s="380"/>
      <c r="AN758" s="419">
        <v>-4235</v>
      </c>
      <c r="AO758" s="419">
        <v>-3133</v>
      </c>
      <c r="AP758" s="419">
        <v>-1993</v>
      </c>
      <c r="AQ758" s="419">
        <v>0</v>
      </c>
      <c r="AR758" s="419">
        <v>0</v>
      </c>
    </row>
    <row r="759" spans="1:44">
      <c r="A759" s="379">
        <v>98103</v>
      </c>
      <c r="B759" t="s">
        <v>1460</v>
      </c>
      <c r="C759" s="380">
        <v>4.9779999999999996E-4</v>
      </c>
      <c r="D759" s="380"/>
      <c r="E759" s="419">
        <v>59188</v>
      </c>
      <c r="F759" s="419">
        <v>-26943</v>
      </c>
      <c r="G759" s="419">
        <v>-89215</v>
      </c>
      <c r="H759" s="419">
        <v>-333762</v>
      </c>
      <c r="I759" s="419">
        <v>0</v>
      </c>
      <c r="J759" s="380">
        <v>4.9779999999999996E-4</v>
      </c>
      <c r="K759" s="380"/>
      <c r="L759" s="419">
        <v>121865</v>
      </c>
      <c r="M759" s="419">
        <v>84164</v>
      </c>
      <c r="N759" s="419">
        <v>36843</v>
      </c>
      <c r="O759" s="419">
        <v>0</v>
      </c>
      <c r="P759" s="419">
        <v>0</v>
      </c>
      <c r="Q759" s="380">
        <v>4.9779999999999996E-4</v>
      </c>
      <c r="R759" s="380"/>
      <c r="S759" s="419">
        <v>-250079</v>
      </c>
      <c r="T759" s="419">
        <v>-247185</v>
      </c>
      <c r="U759" s="419">
        <v>-259678</v>
      </c>
      <c r="V759" s="419">
        <v>-333762</v>
      </c>
      <c r="W759" s="419">
        <v>0</v>
      </c>
      <c r="X759" s="380">
        <v>4.9779999999999996E-4</v>
      </c>
      <c r="Z759" s="419">
        <v>199420</v>
      </c>
      <c r="AA759" s="419">
        <v>140103</v>
      </c>
      <c r="AB759" s="419">
        <v>140102</v>
      </c>
      <c r="AC759" s="419">
        <v>0</v>
      </c>
      <c r="AD759" s="419">
        <v>0</v>
      </c>
      <c r="AE759" s="380">
        <v>4.9779999999999996E-4</v>
      </c>
      <c r="AF759" s="380"/>
      <c r="AG759" s="419">
        <v>6516</v>
      </c>
      <c r="AH759" s="419">
        <v>6516</v>
      </c>
      <c r="AI759" s="419">
        <v>0</v>
      </c>
      <c r="AJ759" s="419">
        <v>0</v>
      </c>
      <c r="AK759" s="419">
        <v>0</v>
      </c>
      <c r="AL759" s="380">
        <v>4.9779999999999996E-4</v>
      </c>
      <c r="AM759" s="380"/>
      <c r="AN759" s="419">
        <v>-18534</v>
      </c>
      <c r="AO759" s="419">
        <v>-10541</v>
      </c>
      <c r="AP759" s="419">
        <v>-6482</v>
      </c>
      <c r="AQ759" s="419">
        <v>0</v>
      </c>
      <c r="AR759" s="419">
        <v>0</v>
      </c>
    </row>
    <row r="760" spans="1:44">
      <c r="A760" s="379">
        <v>98107</v>
      </c>
      <c r="B760" t="s">
        <v>1461</v>
      </c>
      <c r="C760" s="380">
        <v>2.4700000000000001E-5</v>
      </c>
      <c r="D760" s="380"/>
      <c r="E760" s="419">
        <v>17550</v>
      </c>
      <c r="F760" s="419">
        <v>12108</v>
      </c>
      <c r="G760" s="419">
        <v>6570</v>
      </c>
      <c r="H760" s="419">
        <v>-16561</v>
      </c>
      <c r="I760" s="419">
        <v>0</v>
      </c>
      <c r="J760" s="380">
        <v>2.4700000000000001E-5</v>
      </c>
      <c r="K760" s="380"/>
      <c r="L760" s="419">
        <v>6047</v>
      </c>
      <c r="M760" s="419">
        <v>4176</v>
      </c>
      <c r="N760" s="419">
        <v>1828</v>
      </c>
      <c r="O760" s="419">
        <v>0</v>
      </c>
      <c r="P760" s="419">
        <v>0</v>
      </c>
      <c r="Q760" s="380">
        <v>2.4700000000000001E-5</v>
      </c>
      <c r="R760" s="380"/>
      <c r="S760" s="419">
        <v>-12408</v>
      </c>
      <c r="T760" s="419">
        <v>-12265</v>
      </c>
      <c r="U760" s="419">
        <v>-12885</v>
      </c>
      <c r="V760" s="419">
        <v>-16561</v>
      </c>
      <c r="W760" s="419">
        <v>0</v>
      </c>
      <c r="X760" s="380">
        <v>2.4700000000000001E-5</v>
      </c>
      <c r="Z760" s="419">
        <v>9895</v>
      </c>
      <c r="AA760" s="419">
        <v>6952</v>
      </c>
      <c r="AB760" s="419">
        <v>6952</v>
      </c>
      <c r="AC760" s="419">
        <v>0</v>
      </c>
      <c r="AD760" s="419">
        <v>0</v>
      </c>
      <c r="AE760" s="380">
        <v>2.4700000000000001E-5</v>
      </c>
      <c r="AF760" s="380"/>
      <c r="AG760" s="419">
        <v>14016</v>
      </c>
      <c r="AH760" s="419">
        <v>13245</v>
      </c>
      <c r="AI760" s="419">
        <v>10675</v>
      </c>
      <c r="AJ760" s="419">
        <v>0</v>
      </c>
      <c r="AK760" s="419">
        <v>0</v>
      </c>
      <c r="AL760" s="380">
        <v>2.4700000000000001E-5</v>
      </c>
      <c r="AM760" s="380"/>
      <c r="AN760" s="419">
        <v>0</v>
      </c>
      <c r="AO760" s="419">
        <v>0</v>
      </c>
      <c r="AP760" s="419">
        <v>0</v>
      </c>
      <c r="AQ760" s="419">
        <v>0</v>
      </c>
      <c r="AR760" s="419">
        <v>0</v>
      </c>
    </row>
    <row r="761" spans="1:44">
      <c r="A761" s="379">
        <v>98109</v>
      </c>
      <c r="B761" t="s">
        <v>1462</v>
      </c>
      <c r="C761" s="380">
        <v>1.6750000000000001E-4</v>
      </c>
      <c r="D761" s="380"/>
      <c r="E761" s="419">
        <v>44817</v>
      </c>
      <c r="F761" s="419">
        <v>13041</v>
      </c>
      <c r="G761" s="419">
        <v>-12265</v>
      </c>
      <c r="H761" s="419">
        <v>-112304</v>
      </c>
      <c r="I761" s="419">
        <v>0</v>
      </c>
      <c r="J761" s="380">
        <v>1.6750000000000001E-4</v>
      </c>
      <c r="K761" s="380"/>
      <c r="L761" s="419">
        <v>41005</v>
      </c>
      <c r="M761" s="419">
        <v>28320</v>
      </c>
      <c r="N761" s="419">
        <v>12397</v>
      </c>
      <c r="O761" s="419">
        <v>0</v>
      </c>
      <c r="P761" s="419">
        <v>0</v>
      </c>
      <c r="Q761" s="380">
        <v>1.6750000000000001E-4</v>
      </c>
      <c r="R761" s="380"/>
      <c r="S761" s="419">
        <v>-84147</v>
      </c>
      <c r="T761" s="419">
        <v>-83173</v>
      </c>
      <c r="U761" s="419">
        <v>-87377</v>
      </c>
      <c r="V761" s="419">
        <v>-112304</v>
      </c>
      <c r="W761" s="419">
        <v>0</v>
      </c>
      <c r="X761" s="380">
        <v>1.6750000000000001E-4</v>
      </c>
      <c r="Z761" s="419">
        <v>67101</v>
      </c>
      <c r="AA761" s="419">
        <v>47142</v>
      </c>
      <c r="AB761" s="419">
        <v>47142</v>
      </c>
      <c r="AC761" s="419">
        <v>0</v>
      </c>
      <c r="AD761" s="419">
        <v>0</v>
      </c>
      <c r="AE761" s="380">
        <v>1.6750000000000001E-4</v>
      </c>
      <c r="AF761" s="380"/>
      <c r="AG761" s="419">
        <v>21585</v>
      </c>
      <c r="AH761" s="419">
        <v>21477</v>
      </c>
      <c r="AI761" s="419">
        <v>15573</v>
      </c>
      <c r="AJ761" s="419">
        <v>0</v>
      </c>
      <c r="AK761" s="419">
        <v>0</v>
      </c>
      <c r="AL761" s="380">
        <v>1.6750000000000001E-4</v>
      </c>
      <c r="AM761" s="380"/>
      <c r="AN761" s="419">
        <v>-727</v>
      </c>
      <c r="AO761" s="419">
        <v>-725</v>
      </c>
      <c r="AP761" s="419">
        <v>0</v>
      </c>
      <c r="AQ761" s="419">
        <v>0</v>
      </c>
      <c r="AR761" s="419">
        <v>0</v>
      </c>
    </row>
    <row r="762" spans="1:44">
      <c r="A762" s="379">
        <v>98111</v>
      </c>
      <c r="B762" t="s">
        <v>1463</v>
      </c>
      <c r="C762" s="380">
        <v>9.9400000000000009E-4</v>
      </c>
      <c r="D762" s="380"/>
      <c r="E762" s="419">
        <v>93202</v>
      </c>
      <c r="F762" s="419">
        <v>-86970</v>
      </c>
      <c r="G762" s="419">
        <v>-173875</v>
      </c>
      <c r="H762" s="419">
        <v>-666451</v>
      </c>
      <c r="I762" s="419">
        <v>0</v>
      </c>
      <c r="J762" s="380">
        <v>9.9400000000000009E-4</v>
      </c>
      <c r="K762" s="380"/>
      <c r="L762" s="419">
        <v>243339</v>
      </c>
      <c r="M762" s="419">
        <v>168058</v>
      </c>
      <c r="N762" s="419">
        <v>73568</v>
      </c>
      <c r="O762" s="419">
        <v>0</v>
      </c>
      <c r="P762" s="419">
        <v>0</v>
      </c>
      <c r="Q762" s="380">
        <v>9.9400000000000009E-4</v>
      </c>
      <c r="R762" s="380"/>
      <c r="S762" s="419">
        <v>-499354</v>
      </c>
      <c r="T762" s="419">
        <v>-493576</v>
      </c>
      <c r="U762" s="419">
        <v>-518521</v>
      </c>
      <c r="V762" s="419">
        <v>-666451</v>
      </c>
      <c r="W762" s="419">
        <v>0</v>
      </c>
      <c r="X762" s="380">
        <v>9.9400000000000009E-4</v>
      </c>
      <c r="Z762" s="419">
        <v>398198</v>
      </c>
      <c r="AA762" s="419">
        <v>279756</v>
      </c>
      <c r="AB762" s="419">
        <v>279754</v>
      </c>
      <c r="AC762" s="419">
        <v>0</v>
      </c>
      <c r="AD762" s="419">
        <v>0</v>
      </c>
      <c r="AE762" s="380">
        <v>9.9400000000000009E-4</v>
      </c>
      <c r="AF762" s="380"/>
      <c r="AG762" s="419">
        <v>0</v>
      </c>
      <c r="AH762" s="419">
        <v>0</v>
      </c>
      <c r="AI762" s="419">
        <v>0</v>
      </c>
      <c r="AJ762" s="419">
        <v>0</v>
      </c>
      <c r="AK762" s="419">
        <v>0</v>
      </c>
      <c r="AL762" s="380">
        <v>9.9400000000000009E-4</v>
      </c>
      <c r="AM762" s="380"/>
      <c r="AN762" s="419">
        <v>-48981</v>
      </c>
      <c r="AO762" s="419">
        <v>-41208</v>
      </c>
      <c r="AP762" s="419">
        <v>-8676</v>
      </c>
      <c r="AQ762" s="419">
        <v>0</v>
      </c>
      <c r="AR762" s="419">
        <v>0</v>
      </c>
    </row>
    <row r="763" spans="1:44">
      <c r="A763" s="379">
        <v>98113</v>
      </c>
      <c r="B763" t="s">
        <v>1464</v>
      </c>
      <c r="C763" s="380">
        <v>3.3099999999999998E-5</v>
      </c>
      <c r="D763" s="380"/>
      <c r="E763" s="419">
        <v>10771</v>
      </c>
      <c r="F763" s="419">
        <v>4618</v>
      </c>
      <c r="G763" s="419">
        <v>-924</v>
      </c>
      <c r="H763" s="419">
        <v>-22193</v>
      </c>
      <c r="I763" s="419">
        <v>0</v>
      </c>
      <c r="J763" s="380">
        <v>3.3099999999999998E-5</v>
      </c>
      <c r="K763" s="380"/>
      <c r="L763" s="419">
        <v>8103</v>
      </c>
      <c r="M763" s="419">
        <v>5596</v>
      </c>
      <c r="N763" s="419">
        <v>2450</v>
      </c>
      <c r="O763" s="419">
        <v>0</v>
      </c>
      <c r="P763" s="419">
        <v>0</v>
      </c>
      <c r="Q763" s="380">
        <v>3.3099999999999998E-5</v>
      </c>
      <c r="R763" s="380"/>
      <c r="S763" s="419">
        <v>-16628</v>
      </c>
      <c r="T763" s="419">
        <v>-16436</v>
      </c>
      <c r="U763" s="419">
        <v>-17267</v>
      </c>
      <c r="V763" s="419">
        <v>-22193</v>
      </c>
      <c r="W763" s="419">
        <v>0</v>
      </c>
      <c r="X763" s="380">
        <v>3.3099999999999998E-5</v>
      </c>
      <c r="Z763" s="419">
        <v>13260</v>
      </c>
      <c r="AA763" s="419">
        <v>9316</v>
      </c>
      <c r="AB763" s="419">
        <v>9316</v>
      </c>
      <c r="AC763" s="419">
        <v>0</v>
      </c>
      <c r="AD763" s="419">
        <v>0</v>
      </c>
      <c r="AE763" s="380">
        <v>3.3099999999999998E-5</v>
      </c>
      <c r="AF763" s="380"/>
      <c r="AG763" s="419">
        <v>6140</v>
      </c>
      <c r="AH763" s="419">
        <v>6142</v>
      </c>
      <c r="AI763" s="419">
        <v>4577</v>
      </c>
      <c r="AJ763" s="419">
        <v>0</v>
      </c>
      <c r="AK763" s="419">
        <v>0</v>
      </c>
      <c r="AL763" s="380">
        <v>3.3099999999999998E-5</v>
      </c>
      <c r="AM763" s="380"/>
      <c r="AN763" s="419">
        <v>-104</v>
      </c>
      <c r="AO763" s="419">
        <v>0</v>
      </c>
      <c r="AP763" s="419">
        <v>0</v>
      </c>
      <c r="AQ763" s="419">
        <v>0</v>
      </c>
      <c r="AR763" s="419">
        <v>0</v>
      </c>
    </row>
    <row r="764" spans="1:44">
      <c r="A764" s="379">
        <v>98121</v>
      </c>
      <c r="B764" t="s">
        <v>1465</v>
      </c>
      <c r="C764" s="380">
        <v>2.0699999999999999E-4</v>
      </c>
      <c r="D764" s="380"/>
      <c r="E764" s="419">
        <v>29284</v>
      </c>
      <c r="F764" s="419">
        <v>-11159</v>
      </c>
      <c r="G764" s="419">
        <v>-31144</v>
      </c>
      <c r="H764" s="419">
        <v>-138788</v>
      </c>
      <c r="I764" s="419">
        <v>0</v>
      </c>
      <c r="J764" s="380">
        <v>2.0699999999999999E-4</v>
      </c>
      <c r="K764" s="380"/>
      <c r="L764" s="419">
        <v>50675</v>
      </c>
      <c r="M764" s="419">
        <v>34998</v>
      </c>
      <c r="N764" s="419">
        <v>15320</v>
      </c>
      <c r="O764" s="419">
        <v>0</v>
      </c>
      <c r="P764" s="419">
        <v>0</v>
      </c>
      <c r="Q764" s="380">
        <v>2.0699999999999999E-4</v>
      </c>
      <c r="R764" s="380"/>
      <c r="S764" s="419">
        <v>-103990</v>
      </c>
      <c r="T764" s="419">
        <v>-102787</v>
      </c>
      <c r="U764" s="419">
        <v>-107982</v>
      </c>
      <c r="V764" s="419">
        <v>-138788</v>
      </c>
      <c r="W764" s="419">
        <v>0</v>
      </c>
      <c r="X764" s="380">
        <v>2.0699999999999999E-4</v>
      </c>
      <c r="Z764" s="419">
        <v>82925</v>
      </c>
      <c r="AA764" s="419">
        <v>58259</v>
      </c>
      <c r="AB764" s="419">
        <v>58259</v>
      </c>
      <c r="AC764" s="419">
        <v>0</v>
      </c>
      <c r="AD764" s="419">
        <v>0</v>
      </c>
      <c r="AE764" s="380">
        <v>2.0699999999999999E-4</v>
      </c>
      <c r="AF764" s="380"/>
      <c r="AG764" s="419">
        <v>4563</v>
      </c>
      <c r="AH764" s="419">
        <v>3259</v>
      </c>
      <c r="AI764" s="419">
        <v>3259</v>
      </c>
      <c r="AJ764" s="419">
        <v>0</v>
      </c>
      <c r="AK764" s="419">
        <v>0</v>
      </c>
      <c r="AL764" s="380">
        <v>2.0699999999999999E-4</v>
      </c>
      <c r="AM764" s="380"/>
      <c r="AN764" s="419">
        <v>-4889</v>
      </c>
      <c r="AO764" s="419">
        <v>-4888</v>
      </c>
      <c r="AP764" s="419">
        <v>0</v>
      </c>
      <c r="AQ764" s="419">
        <v>0</v>
      </c>
      <c r="AR764" s="419">
        <v>0</v>
      </c>
    </row>
    <row r="765" spans="1:44">
      <c r="A765" s="379">
        <v>98131</v>
      </c>
      <c r="B765" t="s">
        <v>1466</v>
      </c>
      <c r="C765" s="380">
        <v>2.6879999999999997E-4</v>
      </c>
      <c r="D765" s="380"/>
      <c r="E765" s="419">
        <v>50753</v>
      </c>
      <c r="F765" s="419">
        <v>2638</v>
      </c>
      <c r="G765" s="419">
        <v>-39407</v>
      </c>
      <c r="H765" s="419">
        <v>-180223</v>
      </c>
      <c r="I765" s="419">
        <v>0</v>
      </c>
      <c r="J765" s="380">
        <v>2.6879999999999997E-4</v>
      </c>
      <c r="K765" s="380"/>
      <c r="L765" s="419">
        <v>65804</v>
      </c>
      <c r="M765" s="419">
        <v>45447</v>
      </c>
      <c r="N765" s="419">
        <v>19894</v>
      </c>
      <c r="O765" s="419">
        <v>0</v>
      </c>
      <c r="P765" s="419">
        <v>0</v>
      </c>
      <c r="Q765" s="380">
        <v>2.6879999999999997E-4</v>
      </c>
      <c r="R765" s="380"/>
      <c r="S765" s="419">
        <v>-135037</v>
      </c>
      <c r="T765" s="419">
        <v>-133474</v>
      </c>
      <c r="U765" s="419">
        <v>-140220</v>
      </c>
      <c r="V765" s="419">
        <v>-180223</v>
      </c>
      <c r="W765" s="419">
        <v>0</v>
      </c>
      <c r="X765" s="380">
        <v>2.6879999999999997E-4</v>
      </c>
      <c r="Z765" s="419">
        <v>107682</v>
      </c>
      <c r="AA765" s="419">
        <v>75652</v>
      </c>
      <c r="AB765" s="419">
        <v>75652</v>
      </c>
      <c r="AC765" s="419">
        <v>0</v>
      </c>
      <c r="AD765" s="419">
        <v>0</v>
      </c>
      <c r="AE765" s="380">
        <v>2.6879999999999997E-4</v>
      </c>
      <c r="AF765" s="380"/>
      <c r="AG765" s="419">
        <v>15011</v>
      </c>
      <c r="AH765" s="419">
        <v>15013</v>
      </c>
      <c r="AI765" s="419">
        <v>5267</v>
      </c>
      <c r="AJ765" s="419">
        <v>0</v>
      </c>
      <c r="AK765" s="419">
        <v>0</v>
      </c>
      <c r="AL765" s="380">
        <v>2.6879999999999997E-4</v>
      </c>
      <c r="AM765" s="380"/>
      <c r="AN765" s="419">
        <v>-2707</v>
      </c>
      <c r="AO765" s="419">
        <v>0</v>
      </c>
      <c r="AP765" s="419">
        <v>0</v>
      </c>
      <c r="AQ765" s="419">
        <v>0</v>
      </c>
      <c r="AR765" s="419">
        <v>0</v>
      </c>
    </row>
    <row r="766" spans="1:44">
      <c r="A766" s="379">
        <v>98141</v>
      </c>
      <c r="B766" t="s">
        <v>1467</v>
      </c>
      <c r="C766" s="380">
        <v>2.8400000000000002E-4</v>
      </c>
      <c r="D766" s="380"/>
      <c r="E766" s="419">
        <v>24687</v>
      </c>
      <c r="F766" s="419">
        <v>-26196</v>
      </c>
      <c r="G766" s="419">
        <v>-54882</v>
      </c>
      <c r="H766" s="419">
        <v>-190415</v>
      </c>
      <c r="I766" s="419">
        <v>0</v>
      </c>
      <c r="J766" s="380">
        <v>2.8400000000000002E-4</v>
      </c>
      <c r="K766" s="380"/>
      <c r="L766" s="419">
        <v>69525</v>
      </c>
      <c r="M766" s="419">
        <v>48016</v>
      </c>
      <c r="N766" s="419">
        <v>21019</v>
      </c>
      <c r="O766" s="419">
        <v>0</v>
      </c>
      <c r="P766" s="419">
        <v>0</v>
      </c>
      <c r="Q766" s="380">
        <v>2.8400000000000002E-4</v>
      </c>
      <c r="R766" s="380"/>
      <c r="S766" s="419">
        <v>-142673</v>
      </c>
      <c r="T766" s="419">
        <v>-141022</v>
      </c>
      <c r="U766" s="419">
        <v>-148149</v>
      </c>
      <c r="V766" s="419">
        <v>-190415</v>
      </c>
      <c r="W766" s="419">
        <v>0</v>
      </c>
      <c r="X766" s="380">
        <v>2.8400000000000002E-4</v>
      </c>
      <c r="Z766" s="419">
        <v>113771</v>
      </c>
      <c r="AA766" s="419">
        <v>79930</v>
      </c>
      <c r="AB766" s="419">
        <v>79930</v>
      </c>
      <c r="AC766" s="419">
        <v>0</v>
      </c>
      <c r="AD766" s="419">
        <v>0</v>
      </c>
      <c r="AE766" s="380">
        <v>2.8400000000000002E-4</v>
      </c>
      <c r="AF766" s="380"/>
      <c r="AG766" s="419">
        <v>0</v>
      </c>
      <c r="AH766" s="419">
        <v>0</v>
      </c>
      <c r="AI766" s="419">
        <v>0</v>
      </c>
      <c r="AJ766" s="419">
        <v>0</v>
      </c>
      <c r="AK766" s="419">
        <v>0</v>
      </c>
      <c r="AL766" s="380">
        <v>2.8400000000000002E-4</v>
      </c>
      <c r="AM766" s="380"/>
      <c r="AN766" s="419">
        <v>-15936</v>
      </c>
      <c r="AO766" s="419">
        <v>-13120</v>
      </c>
      <c r="AP766" s="419">
        <v>-7682</v>
      </c>
      <c r="AQ766" s="419">
        <v>0</v>
      </c>
      <c r="AR766" s="419">
        <v>0</v>
      </c>
    </row>
    <row r="767" spans="1:44">
      <c r="A767" s="379">
        <v>98147</v>
      </c>
      <c r="B767" t="s">
        <v>1468</v>
      </c>
      <c r="C767" s="380">
        <v>1.13E-5</v>
      </c>
      <c r="D767" s="380"/>
      <c r="E767" s="419">
        <v>6860</v>
      </c>
      <c r="F767" s="419">
        <v>3962</v>
      </c>
      <c r="G767" s="419">
        <v>241</v>
      </c>
      <c r="H767" s="419">
        <v>-7576</v>
      </c>
      <c r="I767" s="419">
        <v>0</v>
      </c>
      <c r="J767" s="380">
        <v>1.13E-5</v>
      </c>
      <c r="K767" s="380"/>
      <c r="L767" s="419">
        <v>2766</v>
      </c>
      <c r="M767" s="419">
        <v>1911</v>
      </c>
      <c r="N767" s="419">
        <v>836</v>
      </c>
      <c r="O767" s="419">
        <v>0</v>
      </c>
      <c r="P767" s="419">
        <v>0</v>
      </c>
      <c r="Q767" s="380">
        <v>1.13E-5</v>
      </c>
      <c r="R767" s="380"/>
      <c r="S767" s="419">
        <v>-5677</v>
      </c>
      <c r="T767" s="419">
        <v>-5611</v>
      </c>
      <c r="U767" s="419">
        <v>-5895</v>
      </c>
      <c r="V767" s="419">
        <v>-7576</v>
      </c>
      <c r="W767" s="419">
        <v>0</v>
      </c>
      <c r="X767" s="380">
        <v>1.13E-5</v>
      </c>
      <c r="Z767" s="419">
        <v>4527</v>
      </c>
      <c r="AA767" s="419">
        <v>3180</v>
      </c>
      <c r="AB767" s="419">
        <v>3180</v>
      </c>
      <c r="AC767" s="419">
        <v>0</v>
      </c>
      <c r="AD767" s="419">
        <v>0</v>
      </c>
      <c r="AE767" s="380">
        <v>1.13E-5</v>
      </c>
      <c r="AF767" s="380"/>
      <c r="AG767" s="419">
        <v>5244</v>
      </c>
      <c r="AH767" s="419">
        <v>4482</v>
      </c>
      <c r="AI767" s="419">
        <v>2120</v>
      </c>
      <c r="AJ767" s="419">
        <v>0</v>
      </c>
      <c r="AK767" s="419">
        <v>0</v>
      </c>
      <c r="AL767" s="380">
        <v>1.13E-5</v>
      </c>
      <c r="AM767" s="380"/>
      <c r="AN767" s="419">
        <v>0</v>
      </c>
      <c r="AO767" s="419">
        <v>0</v>
      </c>
      <c r="AP767" s="419">
        <v>0</v>
      </c>
      <c r="AQ767" s="419">
        <v>0</v>
      </c>
      <c r="AR767" s="419">
        <v>0</v>
      </c>
    </row>
    <row r="768" spans="1:44">
      <c r="A768" s="379">
        <v>98161</v>
      </c>
      <c r="B768" t="s">
        <v>1469</v>
      </c>
      <c r="C768" s="380">
        <v>5.5999999999999997E-6</v>
      </c>
      <c r="D768" s="380"/>
      <c r="E768" s="419">
        <v>2798</v>
      </c>
      <c r="F768" s="419">
        <v>1431</v>
      </c>
      <c r="G768" s="419">
        <v>-203</v>
      </c>
      <c r="H768" s="419">
        <v>-3755</v>
      </c>
      <c r="I768" s="419">
        <v>0</v>
      </c>
      <c r="J768" s="380">
        <v>5.5999999999999997E-6</v>
      </c>
      <c r="K768" s="380"/>
      <c r="L768" s="419">
        <v>1371</v>
      </c>
      <c r="M768" s="419">
        <v>947</v>
      </c>
      <c r="N768" s="419">
        <v>414</v>
      </c>
      <c r="O768" s="419">
        <v>0</v>
      </c>
      <c r="P768" s="419">
        <v>0</v>
      </c>
      <c r="Q768" s="380">
        <v>5.5999999999999997E-6</v>
      </c>
      <c r="R768" s="380"/>
      <c r="S768" s="419">
        <v>-2813</v>
      </c>
      <c r="T768" s="419">
        <v>-2781</v>
      </c>
      <c r="U768" s="419">
        <v>-2921</v>
      </c>
      <c r="V768" s="419">
        <v>-3755</v>
      </c>
      <c r="W768" s="419">
        <v>0</v>
      </c>
      <c r="X768" s="380">
        <v>5.5999999999999997E-6</v>
      </c>
      <c r="Z768" s="419">
        <v>2243</v>
      </c>
      <c r="AA768" s="419">
        <v>1576</v>
      </c>
      <c r="AB768" s="419">
        <v>1576</v>
      </c>
      <c r="AC768" s="419">
        <v>0</v>
      </c>
      <c r="AD768" s="419">
        <v>0</v>
      </c>
      <c r="AE768" s="380">
        <v>5.5999999999999997E-6</v>
      </c>
      <c r="AF768" s="380"/>
      <c r="AG768" s="419">
        <v>1997</v>
      </c>
      <c r="AH768" s="419">
        <v>1689</v>
      </c>
      <c r="AI768" s="419">
        <v>728</v>
      </c>
      <c r="AJ768" s="419">
        <v>0</v>
      </c>
      <c r="AK768" s="419">
        <v>0</v>
      </c>
      <c r="AL768" s="380">
        <v>5.5999999999999997E-6</v>
      </c>
      <c r="AM768" s="380"/>
      <c r="AN768" s="419">
        <v>0</v>
      </c>
      <c r="AO768" s="419">
        <v>0</v>
      </c>
      <c r="AP768" s="419">
        <v>0</v>
      </c>
      <c r="AQ768" s="419">
        <v>0</v>
      </c>
      <c r="AR768" s="419">
        <v>0</v>
      </c>
    </row>
    <row r="769" spans="1:44">
      <c r="A769" s="379">
        <v>98201</v>
      </c>
      <c r="B769" t="s">
        <v>1470</v>
      </c>
      <c r="C769" s="380">
        <v>2.9794999999999999E-3</v>
      </c>
      <c r="D769" s="380"/>
      <c r="E769" s="419">
        <v>237496</v>
      </c>
      <c r="F769" s="419">
        <v>-317858</v>
      </c>
      <c r="G769" s="419">
        <v>-620613</v>
      </c>
      <c r="H769" s="419">
        <v>-1997677</v>
      </c>
      <c r="I769" s="419">
        <v>0</v>
      </c>
      <c r="J769" s="380">
        <v>2.9794999999999999E-3</v>
      </c>
      <c r="K769" s="380"/>
      <c r="L769" s="419">
        <v>729405</v>
      </c>
      <c r="M769" s="419">
        <v>503750</v>
      </c>
      <c r="N769" s="419">
        <v>220519</v>
      </c>
      <c r="O769" s="419">
        <v>0</v>
      </c>
      <c r="P769" s="419">
        <v>0</v>
      </c>
      <c r="Q769" s="380">
        <v>2.9794999999999999E-3</v>
      </c>
      <c r="R769" s="380"/>
      <c r="S769" s="419">
        <v>-1496805</v>
      </c>
      <c r="T769" s="419">
        <v>-1479486</v>
      </c>
      <c r="U769" s="419">
        <v>-1554259</v>
      </c>
      <c r="V769" s="419">
        <v>-1997677</v>
      </c>
      <c r="W769" s="419">
        <v>0</v>
      </c>
      <c r="X769" s="380">
        <v>2.9794999999999999E-3</v>
      </c>
      <c r="Z769" s="419">
        <v>1193594</v>
      </c>
      <c r="AA769" s="419">
        <v>838565</v>
      </c>
      <c r="AB769" s="419">
        <v>838559</v>
      </c>
      <c r="AC769" s="419">
        <v>0</v>
      </c>
      <c r="AD769" s="419">
        <v>0</v>
      </c>
      <c r="AE769" s="380">
        <v>2.9794999999999999E-3</v>
      </c>
      <c r="AF769" s="380"/>
      <c r="AG769" s="419">
        <v>24557</v>
      </c>
      <c r="AH769" s="419">
        <v>24557</v>
      </c>
      <c r="AI769" s="419">
        <v>0</v>
      </c>
      <c r="AJ769" s="419">
        <v>0</v>
      </c>
      <c r="AK769" s="419">
        <v>0</v>
      </c>
      <c r="AL769" s="380">
        <v>2.9794999999999999E-3</v>
      </c>
      <c r="AM769" s="380"/>
      <c r="AN769" s="419">
        <v>-213255</v>
      </c>
      <c r="AO769" s="419">
        <v>-205244</v>
      </c>
      <c r="AP769" s="419">
        <v>-125432</v>
      </c>
      <c r="AQ769" s="419">
        <v>0</v>
      </c>
      <c r="AR769" s="419">
        <v>0</v>
      </c>
    </row>
    <row r="770" spans="1:44">
      <c r="A770" s="379">
        <v>98205</v>
      </c>
      <c r="B770" t="s">
        <v>1471</v>
      </c>
      <c r="C770" s="380">
        <v>3.9700000000000003E-5</v>
      </c>
      <c r="D770" s="380"/>
      <c r="E770" s="419">
        <v>7177</v>
      </c>
      <c r="F770" s="419">
        <v>787</v>
      </c>
      <c r="G770" s="419">
        <v>293</v>
      </c>
      <c r="H770" s="419">
        <v>-26618</v>
      </c>
      <c r="I770" s="419">
        <v>0</v>
      </c>
      <c r="J770" s="380">
        <v>3.9700000000000003E-5</v>
      </c>
      <c r="K770" s="380"/>
      <c r="L770" s="419">
        <v>9719</v>
      </c>
      <c r="M770" s="419">
        <v>6712</v>
      </c>
      <c r="N770" s="419">
        <v>2938</v>
      </c>
      <c r="O770" s="419">
        <v>0</v>
      </c>
      <c r="P770" s="419">
        <v>0</v>
      </c>
      <c r="Q770" s="380">
        <v>3.9700000000000003E-5</v>
      </c>
      <c r="R770" s="380"/>
      <c r="S770" s="419">
        <v>-19944</v>
      </c>
      <c r="T770" s="419">
        <v>-19713</v>
      </c>
      <c r="U770" s="419">
        <v>-20710</v>
      </c>
      <c r="V770" s="419">
        <v>-26618</v>
      </c>
      <c r="W770" s="419">
        <v>0</v>
      </c>
      <c r="X770" s="380">
        <v>3.9700000000000003E-5</v>
      </c>
      <c r="Z770" s="419">
        <v>15904</v>
      </c>
      <c r="AA770" s="419">
        <v>11173</v>
      </c>
      <c r="AB770" s="419">
        <v>11173</v>
      </c>
      <c r="AC770" s="419">
        <v>0</v>
      </c>
      <c r="AD770" s="419">
        <v>0</v>
      </c>
      <c r="AE770" s="380">
        <v>3.9700000000000003E-5</v>
      </c>
      <c r="AF770" s="380"/>
      <c r="AG770" s="419">
        <v>7797</v>
      </c>
      <c r="AH770" s="419">
        <v>7798</v>
      </c>
      <c r="AI770" s="419">
        <v>6892</v>
      </c>
      <c r="AJ770" s="419">
        <v>0</v>
      </c>
      <c r="AK770" s="419">
        <v>0</v>
      </c>
      <c r="AL770" s="380">
        <v>3.9700000000000003E-5</v>
      </c>
      <c r="AM770" s="380"/>
      <c r="AN770" s="419">
        <v>-6299</v>
      </c>
      <c r="AO770" s="419">
        <v>-5183</v>
      </c>
      <c r="AP770" s="419">
        <v>0</v>
      </c>
      <c r="AQ770" s="419">
        <v>0</v>
      </c>
      <c r="AR770" s="419">
        <v>0</v>
      </c>
    </row>
    <row r="771" spans="1:44">
      <c r="A771" s="379">
        <v>98211</v>
      </c>
      <c r="B771" t="s">
        <v>1472</v>
      </c>
      <c r="C771" s="380">
        <v>8.5130000000000004E-4</v>
      </c>
      <c r="D771" s="380"/>
      <c r="E771" s="419">
        <v>75826</v>
      </c>
      <c r="F771" s="419">
        <v>-78742</v>
      </c>
      <c r="G771" s="419">
        <v>-168537</v>
      </c>
      <c r="H771" s="419">
        <v>-570775</v>
      </c>
      <c r="I771" s="419">
        <v>0</v>
      </c>
      <c r="J771" s="380">
        <v>8.5130000000000004E-4</v>
      </c>
      <c r="K771" s="380"/>
      <c r="L771" s="419">
        <v>208405</v>
      </c>
      <c r="M771" s="419">
        <v>143931</v>
      </c>
      <c r="N771" s="419">
        <v>63006</v>
      </c>
      <c r="O771" s="419">
        <v>0</v>
      </c>
      <c r="P771" s="419">
        <v>0</v>
      </c>
      <c r="Q771" s="380">
        <v>8.5130000000000004E-4</v>
      </c>
      <c r="R771" s="380"/>
      <c r="S771" s="419">
        <v>-427666</v>
      </c>
      <c r="T771" s="419">
        <v>-422717</v>
      </c>
      <c r="U771" s="419">
        <v>-444081</v>
      </c>
      <c r="V771" s="419">
        <v>-570775</v>
      </c>
      <c r="W771" s="419">
        <v>0</v>
      </c>
      <c r="X771" s="380">
        <v>8.5130000000000004E-4</v>
      </c>
      <c r="Z771" s="419">
        <v>341032</v>
      </c>
      <c r="AA771" s="419">
        <v>239594</v>
      </c>
      <c r="AB771" s="419">
        <v>239592</v>
      </c>
      <c r="AC771" s="419">
        <v>0</v>
      </c>
      <c r="AD771" s="419">
        <v>0</v>
      </c>
      <c r="AE771" s="380">
        <v>8.5130000000000004E-4</v>
      </c>
      <c r="AF771" s="380"/>
      <c r="AG771" s="419">
        <v>6305</v>
      </c>
      <c r="AH771" s="419">
        <v>6305</v>
      </c>
      <c r="AI771" s="419">
        <v>0</v>
      </c>
      <c r="AJ771" s="419">
        <v>0</v>
      </c>
      <c r="AK771" s="419">
        <v>0</v>
      </c>
      <c r="AL771" s="380">
        <v>8.5130000000000004E-4</v>
      </c>
      <c r="AM771" s="380"/>
      <c r="AN771" s="419">
        <v>-52250</v>
      </c>
      <c r="AO771" s="419">
        <v>-45855</v>
      </c>
      <c r="AP771" s="419">
        <v>-27054</v>
      </c>
      <c r="AQ771" s="419">
        <v>0</v>
      </c>
      <c r="AR771" s="419">
        <v>0</v>
      </c>
    </row>
    <row r="772" spans="1:44">
      <c r="A772" s="379">
        <v>98218</v>
      </c>
      <c r="B772" t="s">
        <v>1473</v>
      </c>
      <c r="C772" s="380">
        <v>1.91E-5</v>
      </c>
      <c r="D772" s="380"/>
      <c r="E772" s="419">
        <v>4397</v>
      </c>
      <c r="F772" s="419">
        <v>186</v>
      </c>
      <c r="G772" s="419">
        <v>-2515</v>
      </c>
      <c r="H772" s="419">
        <v>-12806</v>
      </c>
      <c r="I772" s="419">
        <v>0</v>
      </c>
      <c r="J772" s="380">
        <v>1.91E-5</v>
      </c>
      <c r="K772" s="380"/>
      <c r="L772" s="419">
        <v>4676</v>
      </c>
      <c r="M772" s="419">
        <v>3229</v>
      </c>
      <c r="N772" s="419">
        <v>1414</v>
      </c>
      <c r="O772" s="419">
        <v>0</v>
      </c>
      <c r="P772" s="419">
        <v>0</v>
      </c>
      <c r="Q772" s="380">
        <v>1.91E-5</v>
      </c>
      <c r="R772" s="380"/>
      <c r="S772" s="419">
        <v>-9595</v>
      </c>
      <c r="T772" s="419">
        <v>-9484</v>
      </c>
      <c r="U772" s="419">
        <v>-9964</v>
      </c>
      <c r="V772" s="419">
        <v>-12806</v>
      </c>
      <c r="W772" s="419">
        <v>0</v>
      </c>
      <c r="X772" s="380">
        <v>1.91E-5</v>
      </c>
      <c r="Z772" s="419">
        <v>7651</v>
      </c>
      <c r="AA772" s="419">
        <v>5376</v>
      </c>
      <c r="AB772" s="419">
        <v>5376</v>
      </c>
      <c r="AC772" s="419">
        <v>0</v>
      </c>
      <c r="AD772" s="419">
        <v>0</v>
      </c>
      <c r="AE772" s="380">
        <v>1.91E-5</v>
      </c>
      <c r="AF772" s="380"/>
      <c r="AG772" s="419">
        <v>1799</v>
      </c>
      <c r="AH772" s="419">
        <v>1199</v>
      </c>
      <c r="AI772" s="419">
        <v>659</v>
      </c>
      <c r="AJ772" s="419">
        <v>0</v>
      </c>
      <c r="AK772" s="419">
        <v>0</v>
      </c>
      <c r="AL772" s="380">
        <v>1.91E-5</v>
      </c>
      <c r="AM772" s="380"/>
      <c r="AN772" s="419">
        <v>-134</v>
      </c>
      <c r="AO772" s="419">
        <v>-134</v>
      </c>
      <c r="AP772" s="419">
        <v>0</v>
      </c>
      <c r="AQ772" s="419">
        <v>0</v>
      </c>
      <c r="AR772" s="419">
        <v>0</v>
      </c>
    </row>
    <row r="773" spans="1:44">
      <c r="A773" s="379">
        <v>98221</v>
      </c>
      <c r="B773" t="s">
        <v>1474</v>
      </c>
      <c r="C773" s="380">
        <v>2.44E-5</v>
      </c>
      <c r="D773" s="380"/>
      <c r="E773" s="419">
        <v>2655</v>
      </c>
      <c r="F773" s="419">
        <v>-2299</v>
      </c>
      <c r="G773" s="419">
        <v>-5058</v>
      </c>
      <c r="H773" s="419">
        <v>-16360</v>
      </c>
      <c r="I773" s="419">
        <v>0</v>
      </c>
      <c r="J773" s="380">
        <v>2.44E-5</v>
      </c>
      <c r="K773" s="380"/>
      <c r="L773" s="419">
        <v>5973</v>
      </c>
      <c r="M773" s="419">
        <v>4125</v>
      </c>
      <c r="N773" s="419">
        <v>1806</v>
      </c>
      <c r="O773" s="419">
        <v>0</v>
      </c>
      <c r="P773" s="419">
        <v>0</v>
      </c>
      <c r="Q773" s="380">
        <v>2.44E-5</v>
      </c>
      <c r="R773" s="380"/>
      <c r="S773" s="419">
        <v>-12258</v>
      </c>
      <c r="T773" s="419">
        <v>-12116</v>
      </c>
      <c r="U773" s="419">
        <v>-12728</v>
      </c>
      <c r="V773" s="419">
        <v>-16360</v>
      </c>
      <c r="W773" s="419">
        <v>0</v>
      </c>
      <c r="X773" s="380">
        <v>2.44E-5</v>
      </c>
      <c r="Z773" s="419">
        <v>9775</v>
      </c>
      <c r="AA773" s="419">
        <v>6867</v>
      </c>
      <c r="AB773" s="419">
        <v>6867</v>
      </c>
      <c r="AC773" s="419">
        <v>0</v>
      </c>
      <c r="AD773" s="419">
        <v>0</v>
      </c>
      <c r="AE773" s="380">
        <v>2.44E-5</v>
      </c>
      <c r="AF773" s="380"/>
      <c r="AG773" s="419">
        <v>1816</v>
      </c>
      <c r="AH773" s="419">
        <v>1477</v>
      </c>
      <c r="AI773" s="419">
        <v>0</v>
      </c>
      <c r="AJ773" s="419">
        <v>0</v>
      </c>
      <c r="AK773" s="419">
        <v>0</v>
      </c>
      <c r="AL773" s="380">
        <v>2.44E-5</v>
      </c>
      <c r="AM773" s="380"/>
      <c r="AN773" s="419">
        <v>-2651</v>
      </c>
      <c r="AO773" s="419">
        <v>-2652</v>
      </c>
      <c r="AP773" s="419">
        <v>-1003</v>
      </c>
      <c r="AQ773" s="419">
        <v>0</v>
      </c>
      <c r="AR773" s="419">
        <v>0</v>
      </c>
    </row>
    <row r="774" spans="1:44">
      <c r="A774" s="379">
        <v>98231</v>
      </c>
      <c r="B774" t="s">
        <v>1475</v>
      </c>
      <c r="C774" s="380">
        <v>4.3099999999999997E-5</v>
      </c>
      <c r="D774" s="380"/>
      <c r="E774" s="419">
        <v>13851</v>
      </c>
      <c r="F774" s="419">
        <v>3956</v>
      </c>
      <c r="G774" s="419">
        <v>-699</v>
      </c>
      <c r="H774" s="419">
        <v>-28897</v>
      </c>
      <c r="I774" s="419">
        <v>0</v>
      </c>
      <c r="J774" s="380">
        <v>4.3099999999999997E-5</v>
      </c>
      <c r="K774" s="380"/>
      <c r="L774" s="419">
        <v>10551</v>
      </c>
      <c r="M774" s="419">
        <v>7287</v>
      </c>
      <c r="N774" s="419">
        <v>3190</v>
      </c>
      <c r="O774" s="419">
        <v>0</v>
      </c>
      <c r="P774" s="419">
        <v>0</v>
      </c>
      <c r="Q774" s="380">
        <v>4.3099999999999997E-5</v>
      </c>
      <c r="R774" s="380"/>
      <c r="S774" s="419">
        <v>-21652</v>
      </c>
      <c r="T774" s="419">
        <v>-21402</v>
      </c>
      <c r="U774" s="419">
        <v>-22483</v>
      </c>
      <c r="V774" s="419">
        <v>-28897</v>
      </c>
      <c r="W774" s="419">
        <v>0</v>
      </c>
      <c r="X774" s="380">
        <v>4.3099999999999997E-5</v>
      </c>
      <c r="Z774" s="419">
        <v>17266</v>
      </c>
      <c r="AA774" s="419">
        <v>12130</v>
      </c>
      <c r="AB774" s="419">
        <v>12130</v>
      </c>
      <c r="AC774" s="419">
        <v>0</v>
      </c>
      <c r="AD774" s="419">
        <v>0</v>
      </c>
      <c r="AE774" s="380">
        <v>4.3099999999999997E-5</v>
      </c>
      <c r="AF774" s="380"/>
      <c r="AG774" s="419">
        <v>8417</v>
      </c>
      <c r="AH774" s="419">
        <v>6671</v>
      </c>
      <c r="AI774" s="419">
        <v>6464</v>
      </c>
      <c r="AJ774" s="419">
        <v>0</v>
      </c>
      <c r="AK774" s="419">
        <v>0</v>
      </c>
      <c r="AL774" s="380">
        <v>4.3099999999999997E-5</v>
      </c>
      <c r="AM774" s="380"/>
      <c r="AN774" s="419">
        <v>-731</v>
      </c>
      <c r="AO774" s="419">
        <v>-730</v>
      </c>
      <c r="AP774" s="419">
        <v>0</v>
      </c>
      <c r="AQ774" s="419">
        <v>0</v>
      </c>
      <c r="AR774" s="419">
        <v>0</v>
      </c>
    </row>
    <row r="775" spans="1:44">
      <c r="A775" s="379">
        <v>98237</v>
      </c>
      <c r="B775" t="s">
        <v>1476</v>
      </c>
      <c r="C775" s="380">
        <v>6.4999999999999996E-6</v>
      </c>
      <c r="D775" s="380"/>
      <c r="E775" s="419">
        <v>1543</v>
      </c>
      <c r="F775" s="419">
        <v>152</v>
      </c>
      <c r="G775" s="419">
        <v>-896</v>
      </c>
      <c r="H775" s="419">
        <v>-4358</v>
      </c>
      <c r="I775" s="419">
        <v>0</v>
      </c>
      <c r="J775" s="380">
        <v>6.4999999999999996E-6</v>
      </c>
      <c r="K775" s="380"/>
      <c r="L775" s="419">
        <v>1591</v>
      </c>
      <c r="M775" s="419">
        <v>1099</v>
      </c>
      <c r="N775" s="419">
        <v>481</v>
      </c>
      <c r="O775" s="419">
        <v>0</v>
      </c>
      <c r="P775" s="419">
        <v>0</v>
      </c>
      <c r="Q775" s="380">
        <v>6.4999999999999996E-6</v>
      </c>
      <c r="R775" s="380"/>
      <c r="S775" s="419">
        <v>-3265</v>
      </c>
      <c r="T775" s="419">
        <v>-3228</v>
      </c>
      <c r="U775" s="419">
        <v>-3391</v>
      </c>
      <c r="V775" s="419">
        <v>-4358</v>
      </c>
      <c r="W775" s="419">
        <v>0</v>
      </c>
      <c r="X775" s="380">
        <v>6.4999999999999996E-6</v>
      </c>
      <c r="Z775" s="419">
        <v>2604</v>
      </c>
      <c r="AA775" s="419">
        <v>1829</v>
      </c>
      <c r="AB775" s="419">
        <v>1829</v>
      </c>
      <c r="AC775" s="419">
        <v>0</v>
      </c>
      <c r="AD775" s="419">
        <v>0</v>
      </c>
      <c r="AE775" s="380">
        <v>6.4999999999999996E-6</v>
      </c>
      <c r="AF775" s="380"/>
      <c r="AG775" s="419">
        <v>653</v>
      </c>
      <c r="AH775" s="419">
        <v>491</v>
      </c>
      <c r="AI775" s="419">
        <v>185</v>
      </c>
      <c r="AJ775" s="419">
        <v>0</v>
      </c>
      <c r="AK775" s="419">
        <v>0</v>
      </c>
      <c r="AL775" s="380">
        <v>6.4999999999999996E-6</v>
      </c>
      <c r="AM775" s="380"/>
      <c r="AN775" s="419">
        <v>-40</v>
      </c>
      <c r="AO775" s="419">
        <v>-39</v>
      </c>
      <c r="AP775" s="419">
        <v>0</v>
      </c>
      <c r="AQ775" s="419">
        <v>0</v>
      </c>
      <c r="AR775" s="419">
        <v>0</v>
      </c>
    </row>
    <row r="776" spans="1:44">
      <c r="A776" s="379">
        <v>98241</v>
      </c>
      <c r="B776" t="s">
        <v>1477</v>
      </c>
      <c r="C776" s="380">
        <v>6.0000000000000002E-6</v>
      </c>
      <c r="D776" s="380"/>
      <c r="E776" s="419">
        <v>-2648</v>
      </c>
      <c r="F776" s="419">
        <v>-3566</v>
      </c>
      <c r="G776" s="419">
        <v>-2408</v>
      </c>
      <c r="H776" s="419">
        <v>-4023</v>
      </c>
      <c r="I776" s="419">
        <v>0</v>
      </c>
      <c r="J776" s="380">
        <v>6.0000000000000002E-6</v>
      </c>
      <c r="K776" s="380"/>
      <c r="L776" s="419">
        <v>1469</v>
      </c>
      <c r="M776" s="419">
        <v>1014</v>
      </c>
      <c r="N776" s="419">
        <v>444</v>
      </c>
      <c r="O776" s="419">
        <v>0</v>
      </c>
      <c r="P776" s="419">
        <v>0</v>
      </c>
      <c r="Q776" s="380">
        <v>6.0000000000000002E-6</v>
      </c>
      <c r="R776" s="380"/>
      <c r="S776" s="419">
        <v>-3014</v>
      </c>
      <c r="T776" s="419">
        <v>-2979</v>
      </c>
      <c r="U776" s="419">
        <v>-3130</v>
      </c>
      <c r="V776" s="419">
        <v>-4023</v>
      </c>
      <c r="W776" s="419">
        <v>0</v>
      </c>
      <c r="X776" s="380">
        <v>6.0000000000000002E-6</v>
      </c>
      <c r="Z776" s="419">
        <v>2404</v>
      </c>
      <c r="AA776" s="419">
        <v>1689</v>
      </c>
      <c r="AB776" s="419">
        <v>1689</v>
      </c>
      <c r="AC776" s="419">
        <v>0</v>
      </c>
      <c r="AD776" s="419">
        <v>0</v>
      </c>
      <c r="AE776" s="380">
        <v>6.0000000000000002E-6</v>
      </c>
      <c r="AF776" s="380"/>
      <c r="AG776" s="419">
        <v>1576</v>
      </c>
      <c r="AH776" s="419">
        <v>1575</v>
      </c>
      <c r="AI776" s="419">
        <v>0</v>
      </c>
      <c r="AJ776" s="419">
        <v>0</v>
      </c>
      <c r="AK776" s="419">
        <v>0</v>
      </c>
      <c r="AL776" s="380">
        <v>6.0000000000000002E-6</v>
      </c>
      <c r="AM776" s="380"/>
      <c r="AN776" s="419">
        <v>-5083</v>
      </c>
      <c r="AO776" s="419">
        <v>-4865</v>
      </c>
      <c r="AP776" s="419">
        <v>-1411</v>
      </c>
      <c r="AQ776" s="419">
        <v>0</v>
      </c>
      <c r="AR776" s="419">
        <v>0</v>
      </c>
    </row>
    <row r="777" spans="1:44">
      <c r="A777" s="379">
        <v>98251</v>
      </c>
      <c r="B777" t="s">
        <v>1478</v>
      </c>
      <c r="C777" s="380">
        <v>2.6000000000000001E-6</v>
      </c>
      <c r="D777" s="380"/>
      <c r="E777" s="419">
        <v>1770</v>
      </c>
      <c r="F777" s="419">
        <v>1118</v>
      </c>
      <c r="G777" s="419">
        <v>190</v>
      </c>
      <c r="H777" s="419">
        <v>-1743</v>
      </c>
      <c r="I777" s="419">
        <v>0</v>
      </c>
      <c r="J777" s="380">
        <v>2.6000000000000001E-6</v>
      </c>
      <c r="K777" s="380"/>
      <c r="L777" s="419">
        <v>637</v>
      </c>
      <c r="M777" s="419">
        <v>440</v>
      </c>
      <c r="N777" s="419">
        <v>192</v>
      </c>
      <c r="O777" s="419">
        <v>0</v>
      </c>
      <c r="P777" s="419">
        <v>0</v>
      </c>
      <c r="Q777" s="380">
        <v>2.6000000000000001E-6</v>
      </c>
      <c r="R777" s="380"/>
      <c r="S777" s="419">
        <v>-1306</v>
      </c>
      <c r="T777" s="419">
        <v>-1291</v>
      </c>
      <c r="U777" s="419">
        <v>-1356</v>
      </c>
      <c r="V777" s="419">
        <v>-1743</v>
      </c>
      <c r="W777" s="419">
        <v>0</v>
      </c>
      <c r="X777" s="380">
        <v>2.6000000000000001E-6</v>
      </c>
      <c r="Z777" s="419">
        <v>1042</v>
      </c>
      <c r="AA777" s="419">
        <v>732</v>
      </c>
      <c r="AB777" s="419">
        <v>732</v>
      </c>
      <c r="AC777" s="419">
        <v>0</v>
      </c>
      <c r="AD777" s="419">
        <v>0</v>
      </c>
      <c r="AE777" s="380">
        <v>2.6000000000000001E-6</v>
      </c>
      <c r="AF777" s="380"/>
      <c r="AG777" s="419">
        <v>1397</v>
      </c>
      <c r="AH777" s="419">
        <v>1237</v>
      </c>
      <c r="AI777" s="419">
        <v>622</v>
      </c>
      <c r="AJ777" s="419">
        <v>0</v>
      </c>
      <c r="AK777" s="419">
        <v>0</v>
      </c>
      <c r="AL777" s="380">
        <v>2.6000000000000001E-6</v>
      </c>
      <c r="AM777" s="380"/>
      <c r="AN777" s="419">
        <v>0</v>
      </c>
      <c r="AO777" s="419">
        <v>0</v>
      </c>
      <c r="AP777" s="419">
        <v>0</v>
      </c>
      <c r="AQ777" s="419">
        <v>0</v>
      </c>
      <c r="AR777" s="419">
        <v>0</v>
      </c>
    </row>
    <row r="778" spans="1:44">
      <c r="A778" s="379">
        <v>98261</v>
      </c>
      <c r="B778" t="s">
        <v>1479</v>
      </c>
      <c r="C778" s="380">
        <v>3.4799999999999999E-5</v>
      </c>
      <c r="D778" s="380"/>
      <c r="E778" s="419">
        <v>6597</v>
      </c>
      <c r="F778" s="419">
        <v>-607</v>
      </c>
      <c r="G778" s="419">
        <v>-6053</v>
      </c>
      <c r="H778" s="419">
        <v>-23332</v>
      </c>
      <c r="I778" s="419">
        <v>0</v>
      </c>
      <c r="J778" s="380">
        <v>3.4799999999999999E-5</v>
      </c>
      <c r="K778" s="380"/>
      <c r="L778" s="419">
        <v>8519</v>
      </c>
      <c r="M778" s="419">
        <v>5884</v>
      </c>
      <c r="N778" s="419">
        <v>2576</v>
      </c>
      <c r="O778" s="419">
        <v>0</v>
      </c>
      <c r="P778" s="419">
        <v>0</v>
      </c>
      <c r="Q778" s="380">
        <v>3.4799999999999999E-5</v>
      </c>
      <c r="R778" s="380"/>
      <c r="S778" s="419">
        <v>-17482</v>
      </c>
      <c r="T778" s="419">
        <v>-17280</v>
      </c>
      <c r="U778" s="419">
        <v>-18153</v>
      </c>
      <c r="V778" s="419">
        <v>-23332</v>
      </c>
      <c r="W778" s="419">
        <v>0</v>
      </c>
      <c r="X778" s="380">
        <v>3.4799999999999999E-5</v>
      </c>
      <c r="Z778" s="419">
        <v>13941</v>
      </c>
      <c r="AA778" s="419">
        <v>9794</v>
      </c>
      <c r="AB778" s="419">
        <v>9794</v>
      </c>
      <c r="AC778" s="419">
        <v>0</v>
      </c>
      <c r="AD778" s="419">
        <v>0</v>
      </c>
      <c r="AE778" s="380">
        <v>3.4799999999999999E-5</v>
      </c>
      <c r="AF778" s="380"/>
      <c r="AG778" s="419">
        <v>1889</v>
      </c>
      <c r="AH778" s="419">
        <v>1265</v>
      </c>
      <c r="AI778" s="419">
        <v>0</v>
      </c>
      <c r="AJ778" s="419">
        <v>0</v>
      </c>
      <c r="AK778" s="419">
        <v>0</v>
      </c>
      <c r="AL778" s="380">
        <v>3.4799999999999999E-5</v>
      </c>
      <c r="AM778" s="380"/>
      <c r="AN778" s="419">
        <v>-270</v>
      </c>
      <c r="AO778" s="419">
        <v>-270</v>
      </c>
      <c r="AP778" s="419">
        <v>-270</v>
      </c>
      <c r="AQ778" s="419">
        <v>0</v>
      </c>
      <c r="AR778" s="419">
        <v>0</v>
      </c>
    </row>
    <row r="779" spans="1:44">
      <c r="A779" s="379">
        <v>98271</v>
      </c>
      <c r="B779" t="s">
        <v>1480</v>
      </c>
      <c r="C779" s="380">
        <v>7.9999999999999996E-6</v>
      </c>
      <c r="D779" s="380"/>
      <c r="E779" s="419">
        <v>2852</v>
      </c>
      <c r="F779" s="419">
        <v>1038</v>
      </c>
      <c r="G779" s="419">
        <v>-909</v>
      </c>
      <c r="H779" s="419">
        <v>-5364</v>
      </c>
      <c r="I779" s="419">
        <v>0</v>
      </c>
      <c r="J779" s="380">
        <v>7.9999999999999996E-6</v>
      </c>
      <c r="K779" s="380"/>
      <c r="L779" s="419">
        <v>1958</v>
      </c>
      <c r="M779" s="419">
        <v>1353</v>
      </c>
      <c r="N779" s="419">
        <v>592</v>
      </c>
      <c r="O779" s="419">
        <v>0</v>
      </c>
      <c r="P779" s="419">
        <v>0</v>
      </c>
      <c r="Q779" s="380">
        <v>7.9999999999999996E-6</v>
      </c>
      <c r="R779" s="380"/>
      <c r="S779" s="419">
        <v>-4019</v>
      </c>
      <c r="T779" s="419">
        <v>-3972</v>
      </c>
      <c r="U779" s="419">
        <v>-4173</v>
      </c>
      <c r="V779" s="419">
        <v>-5364</v>
      </c>
      <c r="W779" s="419">
        <v>0</v>
      </c>
      <c r="X779" s="380">
        <v>7.9999999999999996E-6</v>
      </c>
      <c r="Z779" s="419">
        <v>3205</v>
      </c>
      <c r="AA779" s="419">
        <v>2252</v>
      </c>
      <c r="AB779" s="419">
        <v>2252</v>
      </c>
      <c r="AC779" s="419">
        <v>0</v>
      </c>
      <c r="AD779" s="419">
        <v>0</v>
      </c>
      <c r="AE779" s="380">
        <v>7.9999999999999996E-6</v>
      </c>
      <c r="AF779" s="380"/>
      <c r="AG779" s="419">
        <v>1708</v>
      </c>
      <c r="AH779" s="419">
        <v>1405</v>
      </c>
      <c r="AI779" s="419">
        <v>420</v>
      </c>
      <c r="AJ779" s="419">
        <v>0</v>
      </c>
      <c r="AK779" s="419">
        <v>0</v>
      </c>
      <c r="AL779" s="380">
        <v>7.9999999999999996E-6</v>
      </c>
      <c r="AM779" s="380"/>
      <c r="AN779" s="419">
        <v>0</v>
      </c>
      <c r="AO779" s="419">
        <v>0</v>
      </c>
      <c r="AP779" s="419">
        <v>0</v>
      </c>
      <c r="AQ779" s="419">
        <v>0</v>
      </c>
      <c r="AR779" s="419">
        <v>0</v>
      </c>
    </row>
    <row r="780" spans="1:44">
      <c r="A780" s="379">
        <v>98301</v>
      </c>
      <c r="B780" t="s">
        <v>1481</v>
      </c>
      <c r="C780" s="380">
        <v>1.8951E-3</v>
      </c>
      <c r="D780" s="380"/>
      <c r="E780" s="419">
        <v>362327</v>
      </c>
      <c r="F780" s="419">
        <v>-3606</v>
      </c>
      <c r="G780" s="419">
        <v>-277462</v>
      </c>
      <c r="H780" s="419">
        <v>-1270615</v>
      </c>
      <c r="I780" s="419">
        <v>0</v>
      </c>
      <c r="J780" s="380">
        <v>1.8951E-3</v>
      </c>
      <c r="K780" s="380"/>
      <c r="L780" s="419">
        <v>463936</v>
      </c>
      <c r="M780" s="419">
        <v>320408</v>
      </c>
      <c r="N780" s="419">
        <v>140260</v>
      </c>
      <c r="O780" s="419">
        <v>0</v>
      </c>
      <c r="P780" s="419">
        <v>0</v>
      </c>
      <c r="Q780" s="380">
        <v>1.8951E-3</v>
      </c>
      <c r="R780" s="380"/>
      <c r="S780" s="419">
        <v>-952038</v>
      </c>
      <c r="T780" s="419">
        <v>-941021</v>
      </c>
      <c r="U780" s="419">
        <v>-988581</v>
      </c>
      <c r="V780" s="419">
        <v>-1270615</v>
      </c>
      <c r="W780" s="419">
        <v>0</v>
      </c>
      <c r="X780" s="380">
        <v>1.8951E-3</v>
      </c>
      <c r="Z780" s="419">
        <v>759181</v>
      </c>
      <c r="AA780" s="419">
        <v>533366</v>
      </c>
      <c r="AB780" s="419">
        <v>533363</v>
      </c>
      <c r="AC780" s="419">
        <v>0</v>
      </c>
      <c r="AD780" s="419">
        <v>0</v>
      </c>
      <c r="AE780" s="380">
        <v>1.8951E-3</v>
      </c>
      <c r="AF780" s="380"/>
      <c r="AG780" s="419">
        <v>91248</v>
      </c>
      <c r="AH780" s="419">
        <v>83641</v>
      </c>
      <c r="AI780" s="419">
        <v>37496</v>
      </c>
      <c r="AJ780" s="419">
        <v>0</v>
      </c>
      <c r="AK780" s="419">
        <v>0</v>
      </c>
      <c r="AL780" s="380">
        <v>1.8951E-3</v>
      </c>
      <c r="AM780" s="380"/>
      <c r="AN780" s="419">
        <v>0</v>
      </c>
      <c r="AO780" s="419">
        <v>0</v>
      </c>
      <c r="AP780" s="419">
        <v>0</v>
      </c>
      <c r="AQ780" s="419">
        <v>0</v>
      </c>
      <c r="AR780" s="419">
        <v>0</v>
      </c>
    </row>
    <row r="781" spans="1:44">
      <c r="A781" s="379">
        <v>98304</v>
      </c>
      <c r="B781" t="s">
        <v>1482</v>
      </c>
      <c r="C781" s="380">
        <v>2.1699999999999999E-5</v>
      </c>
      <c r="D781" s="380"/>
      <c r="E781" s="419">
        <v>7927</v>
      </c>
      <c r="F781" s="419">
        <v>3225</v>
      </c>
      <c r="G781" s="419">
        <v>-1531</v>
      </c>
      <c r="H781" s="419">
        <v>-14549</v>
      </c>
      <c r="I781" s="419">
        <v>0</v>
      </c>
      <c r="J781" s="380">
        <v>2.1699999999999999E-5</v>
      </c>
      <c r="K781" s="380"/>
      <c r="L781" s="419">
        <v>5312</v>
      </c>
      <c r="M781" s="419">
        <v>3669</v>
      </c>
      <c r="N781" s="419">
        <v>1606</v>
      </c>
      <c r="O781" s="419">
        <v>0</v>
      </c>
      <c r="P781" s="419">
        <v>0</v>
      </c>
      <c r="Q781" s="380">
        <v>2.1699999999999999E-5</v>
      </c>
      <c r="R781" s="380"/>
      <c r="S781" s="419">
        <v>-10901</v>
      </c>
      <c r="T781" s="419">
        <v>-10775</v>
      </c>
      <c r="U781" s="419">
        <v>-11320</v>
      </c>
      <c r="V781" s="419">
        <v>-14549</v>
      </c>
      <c r="W781" s="419">
        <v>0</v>
      </c>
      <c r="X781" s="380">
        <v>2.1699999999999999E-5</v>
      </c>
      <c r="Z781" s="419">
        <v>8693</v>
      </c>
      <c r="AA781" s="419">
        <v>6107</v>
      </c>
      <c r="AB781" s="419">
        <v>6107</v>
      </c>
      <c r="AC781" s="419">
        <v>0</v>
      </c>
      <c r="AD781" s="419">
        <v>0</v>
      </c>
      <c r="AE781" s="380">
        <v>2.1699999999999999E-5</v>
      </c>
      <c r="AF781" s="380"/>
      <c r="AG781" s="419">
        <v>4823</v>
      </c>
      <c r="AH781" s="419">
        <v>4224</v>
      </c>
      <c r="AI781" s="419">
        <v>2076</v>
      </c>
      <c r="AJ781" s="419">
        <v>0</v>
      </c>
      <c r="AK781" s="419">
        <v>0</v>
      </c>
      <c r="AL781" s="380">
        <v>2.1699999999999999E-5</v>
      </c>
      <c r="AM781" s="380"/>
      <c r="AN781" s="419">
        <v>0</v>
      </c>
      <c r="AO781" s="419">
        <v>0</v>
      </c>
      <c r="AP781" s="419">
        <v>0</v>
      </c>
      <c r="AQ781" s="419">
        <v>0</v>
      </c>
      <c r="AR781" s="419">
        <v>0</v>
      </c>
    </row>
    <row r="782" spans="1:44">
      <c r="A782" s="379">
        <v>98308</v>
      </c>
      <c r="B782" t="s">
        <v>1483</v>
      </c>
      <c r="C782" s="380">
        <v>2.4199999999999999E-5</v>
      </c>
      <c r="D782" s="380"/>
      <c r="E782" s="419">
        <v>15344</v>
      </c>
      <c r="F782" s="419">
        <v>9883</v>
      </c>
      <c r="G782" s="419">
        <v>4181</v>
      </c>
      <c r="H782" s="419">
        <v>-16225</v>
      </c>
      <c r="I782" s="419">
        <v>0</v>
      </c>
      <c r="J782" s="380">
        <v>2.4199999999999999E-5</v>
      </c>
      <c r="K782" s="380"/>
      <c r="L782" s="419">
        <v>5924</v>
      </c>
      <c r="M782" s="419">
        <v>4092</v>
      </c>
      <c r="N782" s="419">
        <v>1791</v>
      </c>
      <c r="O782" s="419">
        <v>0</v>
      </c>
      <c r="P782" s="419">
        <v>0</v>
      </c>
      <c r="Q782" s="380">
        <v>2.4199999999999999E-5</v>
      </c>
      <c r="R782" s="380"/>
      <c r="S782" s="419">
        <v>-12157</v>
      </c>
      <c r="T782" s="419">
        <v>-12017</v>
      </c>
      <c r="U782" s="419">
        <v>-12624</v>
      </c>
      <c r="V782" s="419">
        <v>-16225</v>
      </c>
      <c r="W782" s="419">
        <v>0</v>
      </c>
      <c r="X782" s="380">
        <v>2.4199999999999999E-5</v>
      </c>
      <c r="Z782" s="419">
        <v>9695</v>
      </c>
      <c r="AA782" s="419">
        <v>6811</v>
      </c>
      <c r="AB782" s="419">
        <v>6811</v>
      </c>
      <c r="AC782" s="419">
        <v>0</v>
      </c>
      <c r="AD782" s="419">
        <v>0</v>
      </c>
      <c r="AE782" s="380">
        <v>2.4199999999999999E-5</v>
      </c>
      <c r="AF782" s="380"/>
      <c r="AG782" s="419">
        <v>11882</v>
      </c>
      <c r="AH782" s="419">
        <v>10997</v>
      </c>
      <c r="AI782" s="419">
        <v>8203</v>
      </c>
      <c r="AJ782" s="419">
        <v>0</v>
      </c>
      <c r="AK782" s="419">
        <v>0</v>
      </c>
      <c r="AL782" s="380">
        <v>2.4199999999999999E-5</v>
      </c>
      <c r="AM782" s="380"/>
      <c r="AN782" s="419">
        <v>0</v>
      </c>
      <c r="AO782" s="419">
        <v>0</v>
      </c>
      <c r="AP782" s="419">
        <v>0</v>
      </c>
      <c r="AQ782" s="419">
        <v>0</v>
      </c>
      <c r="AR782" s="419">
        <v>0</v>
      </c>
    </row>
    <row r="783" spans="1:44">
      <c r="A783" s="379">
        <v>98311</v>
      </c>
      <c r="B783" t="s">
        <v>1484</v>
      </c>
      <c r="C783" s="380">
        <v>9.904E-4</v>
      </c>
      <c r="D783" s="380"/>
      <c r="E783" s="419">
        <v>55681</v>
      </c>
      <c r="F783" s="419">
        <v>-110227</v>
      </c>
      <c r="G783" s="419">
        <v>-194581</v>
      </c>
      <c r="H783" s="419">
        <v>-664037</v>
      </c>
      <c r="I783" s="419">
        <v>0</v>
      </c>
      <c r="J783" s="380">
        <v>9.904E-4</v>
      </c>
      <c r="K783" s="380"/>
      <c r="L783" s="419">
        <v>242458</v>
      </c>
      <c r="M783" s="419">
        <v>167449</v>
      </c>
      <c r="N783" s="419">
        <v>73301</v>
      </c>
      <c r="O783" s="419">
        <v>0</v>
      </c>
      <c r="P783" s="419">
        <v>0</v>
      </c>
      <c r="Q783" s="380">
        <v>9.904E-4</v>
      </c>
      <c r="R783" s="380"/>
      <c r="S783" s="419">
        <v>-497545</v>
      </c>
      <c r="T783" s="419">
        <v>-491788</v>
      </c>
      <c r="U783" s="419">
        <v>-516643</v>
      </c>
      <c r="V783" s="419">
        <v>-664037</v>
      </c>
      <c r="W783" s="419">
        <v>0</v>
      </c>
      <c r="X783" s="380">
        <v>9.904E-4</v>
      </c>
      <c r="Z783" s="419">
        <v>396756</v>
      </c>
      <c r="AA783" s="419">
        <v>278743</v>
      </c>
      <c r="AB783" s="419">
        <v>278741</v>
      </c>
      <c r="AC783" s="419">
        <v>0</v>
      </c>
      <c r="AD783" s="419">
        <v>0</v>
      </c>
      <c r="AE783" s="380">
        <v>9.904E-4</v>
      </c>
      <c r="AF783" s="380"/>
      <c r="AG783" s="419">
        <v>0</v>
      </c>
      <c r="AH783" s="419">
        <v>0</v>
      </c>
      <c r="AI783" s="419">
        <v>0</v>
      </c>
      <c r="AJ783" s="419">
        <v>0</v>
      </c>
      <c r="AK783" s="419">
        <v>0</v>
      </c>
      <c r="AL783" s="380">
        <v>9.904E-4</v>
      </c>
      <c r="AM783" s="380"/>
      <c r="AN783" s="419">
        <v>-85988</v>
      </c>
      <c r="AO783" s="419">
        <v>-64631</v>
      </c>
      <c r="AP783" s="419">
        <v>-29980</v>
      </c>
      <c r="AQ783" s="419">
        <v>0</v>
      </c>
      <c r="AR783" s="419">
        <v>0</v>
      </c>
    </row>
    <row r="784" spans="1:44">
      <c r="A784" s="379">
        <v>98313</v>
      </c>
      <c r="B784" t="s">
        <v>1485</v>
      </c>
      <c r="C784" s="380">
        <v>1.9320000000000001E-4</v>
      </c>
      <c r="D784" s="380"/>
      <c r="E784" s="419">
        <v>130713</v>
      </c>
      <c r="F784" s="419">
        <v>62162</v>
      </c>
      <c r="G784" s="419">
        <v>10222</v>
      </c>
      <c r="H784" s="419">
        <v>-129536</v>
      </c>
      <c r="I784" s="419">
        <v>0</v>
      </c>
      <c r="J784" s="380">
        <v>1.9320000000000001E-4</v>
      </c>
      <c r="K784" s="380"/>
      <c r="L784" s="419">
        <v>47297</v>
      </c>
      <c r="M784" s="419">
        <v>32665</v>
      </c>
      <c r="N784" s="419">
        <v>14299</v>
      </c>
      <c r="O784" s="419">
        <v>0</v>
      </c>
      <c r="P784" s="419">
        <v>0</v>
      </c>
      <c r="Q784" s="380">
        <v>1.9320000000000001E-4</v>
      </c>
      <c r="R784" s="380"/>
      <c r="S784" s="419">
        <v>-97057</v>
      </c>
      <c r="T784" s="419">
        <v>-95934</v>
      </c>
      <c r="U784" s="419">
        <v>-100783</v>
      </c>
      <c r="V784" s="419">
        <v>-129536</v>
      </c>
      <c r="W784" s="419">
        <v>0</v>
      </c>
      <c r="X784" s="380">
        <v>1.9320000000000001E-4</v>
      </c>
      <c r="Z784" s="419">
        <v>77396</v>
      </c>
      <c r="AA784" s="419">
        <v>54375</v>
      </c>
      <c r="AB784" s="419">
        <v>54375</v>
      </c>
      <c r="AC784" s="419">
        <v>0</v>
      </c>
      <c r="AD784" s="419">
        <v>0</v>
      </c>
      <c r="AE784" s="380">
        <v>1.9320000000000001E-4</v>
      </c>
      <c r="AF784" s="380"/>
      <c r="AG784" s="419">
        <v>103077</v>
      </c>
      <c r="AH784" s="419">
        <v>71056</v>
      </c>
      <c r="AI784" s="419">
        <v>42331</v>
      </c>
      <c r="AJ784" s="419">
        <v>0</v>
      </c>
      <c r="AK784" s="419">
        <v>0</v>
      </c>
      <c r="AL784" s="380">
        <v>1.9320000000000001E-4</v>
      </c>
      <c r="AM784" s="380"/>
      <c r="AN784" s="419">
        <v>0</v>
      </c>
      <c r="AO784" s="419">
        <v>0</v>
      </c>
      <c r="AP784" s="419">
        <v>0</v>
      </c>
      <c r="AQ784" s="419">
        <v>0</v>
      </c>
      <c r="AR784" s="419">
        <v>0</v>
      </c>
    </row>
    <row r="785" spans="1:44">
      <c r="A785" s="379">
        <v>98321</v>
      </c>
      <c r="B785" t="s">
        <v>1486</v>
      </c>
      <c r="C785" s="380">
        <v>1.26E-5</v>
      </c>
      <c r="D785" s="380"/>
      <c r="E785" s="419">
        <v>685</v>
      </c>
      <c r="F785" s="419">
        <v>-1698</v>
      </c>
      <c r="G785" s="419">
        <v>-2008</v>
      </c>
      <c r="H785" s="419">
        <v>-8448</v>
      </c>
      <c r="I785" s="419">
        <v>0</v>
      </c>
      <c r="J785" s="380">
        <v>1.26E-5</v>
      </c>
      <c r="K785" s="380"/>
      <c r="L785" s="419">
        <v>3085</v>
      </c>
      <c r="M785" s="419">
        <v>2130</v>
      </c>
      <c r="N785" s="419">
        <v>933</v>
      </c>
      <c r="O785" s="419">
        <v>0</v>
      </c>
      <c r="P785" s="419">
        <v>0</v>
      </c>
      <c r="Q785" s="380">
        <v>1.26E-5</v>
      </c>
      <c r="R785" s="380"/>
      <c r="S785" s="419">
        <v>-6330</v>
      </c>
      <c r="T785" s="419">
        <v>-6257</v>
      </c>
      <c r="U785" s="419">
        <v>-6573</v>
      </c>
      <c r="V785" s="419">
        <v>-8448</v>
      </c>
      <c r="W785" s="419">
        <v>0</v>
      </c>
      <c r="X785" s="380">
        <v>1.26E-5</v>
      </c>
      <c r="Z785" s="419">
        <v>5048</v>
      </c>
      <c r="AA785" s="419">
        <v>3546</v>
      </c>
      <c r="AB785" s="419">
        <v>3546</v>
      </c>
      <c r="AC785" s="419">
        <v>0</v>
      </c>
      <c r="AD785" s="419">
        <v>0</v>
      </c>
      <c r="AE785" s="380">
        <v>1.26E-5</v>
      </c>
      <c r="AF785" s="380"/>
      <c r="AG785" s="419">
        <v>88</v>
      </c>
      <c r="AH785" s="419">
        <v>88</v>
      </c>
      <c r="AI785" s="419">
        <v>86</v>
      </c>
      <c r="AJ785" s="419">
        <v>0</v>
      </c>
      <c r="AK785" s="419">
        <v>0</v>
      </c>
      <c r="AL785" s="380">
        <v>1.26E-5</v>
      </c>
      <c r="AM785" s="380"/>
      <c r="AN785" s="419">
        <v>-1206</v>
      </c>
      <c r="AO785" s="419">
        <v>-1205</v>
      </c>
      <c r="AP785" s="419">
        <v>0</v>
      </c>
      <c r="AQ785" s="419">
        <v>0</v>
      </c>
      <c r="AR785" s="419">
        <v>0</v>
      </c>
    </row>
    <row r="786" spans="1:44">
      <c r="A786" s="379">
        <v>98331</v>
      </c>
      <c r="B786" t="s">
        <v>1487</v>
      </c>
      <c r="C786" s="380">
        <v>6.1E-6</v>
      </c>
      <c r="D786" s="380"/>
      <c r="E786" s="419">
        <v>2502</v>
      </c>
      <c r="F786" s="419">
        <v>1012</v>
      </c>
      <c r="G786" s="419">
        <v>2182</v>
      </c>
      <c r="H786" s="419">
        <v>-4090</v>
      </c>
      <c r="I786" s="419">
        <v>0</v>
      </c>
      <c r="J786" s="380">
        <v>6.1E-6</v>
      </c>
      <c r="K786" s="380"/>
      <c r="L786" s="419">
        <v>1493</v>
      </c>
      <c r="M786" s="419">
        <v>1031</v>
      </c>
      <c r="N786" s="419">
        <v>451</v>
      </c>
      <c r="O786" s="419">
        <v>0</v>
      </c>
      <c r="P786" s="419">
        <v>0</v>
      </c>
      <c r="Q786" s="380">
        <v>6.1E-6</v>
      </c>
      <c r="R786" s="380"/>
      <c r="S786" s="419">
        <v>-3064</v>
      </c>
      <c r="T786" s="419">
        <v>-3029</v>
      </c>
      <c r="U786" s="419">
        <v>-3182</v>
      </c>
      <c r="V786" s="419">
        <v>-4090</v>
      </c>
      <c r="W786" s="419">
        <v>0</v>
      </c>
      <c r="X786" s="380">
        <v>6.1E-6</v>
      </c>
      <c r="Z786" s="419">
        <v>2444</v>
      </c>
      <c r="AA786" s="419">
        <v>1717</v>
      </c>
      <c r="AB786" s="419">
        <v>1717</v>
      </c>
      <c r="AC786" s="419">
        <v>0</v>
      </c>
      <c r="AD786" s="419">
        <v>0</v>
      </c>
      <c r="AE786" s="380">
        <v>6.1E-6</v>
      </c>
      <c r="AF786" s="380"/>
      <c r="AG786" s="419">
        <v>3834</v>
      </c>
      <c r="AH786" s="419">
        <v>3498</v>
      </c>
      <c r="AI786" s="419">
        <v>3196</v>
      </c>
      <c r="AJ786" s="419">
        <v>0</v>
      </c>
      <c r="AK786" s="419">
        <v>0</v>
      </c>
      <c r="AL786" s="380">
        <v>6.1E-6</v>
      </c>
      <c r="AM786" s="380"/>
      <c r="AN786" s="419">
        <v>-2205</v>
      </c>
      <c r="AO786" s="419">
        <v>-2205</v>
      </c>
      <c r="AP786" s="419">
        <v>0</v>
      </c>
      <c r="AQ786" s="419">
        <v>0</v>
      </c>
      <c r="AR786" s="419">
        <v>0</v>
      </c>
    </row>
    <row r="787" spans="1:44">
      <c r="A787" s="379">
        <v>98401</v>
      </c>
      <c r="B787" t="s">
        <v>1488</v>
      </c>
      <c r="C787" s="380">
        <v>2.8972999999999998E-3</v>
      </c>
      <c r="D787" s="380"/>
      <c r="E787" s="419">
        <v>508556</v>
      </c>
      <c r="F787" s="419">
        <v>-62069</v>
      </c>
      <c r="G787" s="419">
        <v>-476282</v>
      </c>
      <c r="H787" s="419">
        <v>-1942564</v>
      </c>
      <c r="I787" s="419">
        <v>0</v>
      </c>
      <c r="J787" s="380">
        <v>2.8972999999999998E-3</v>
      </c>
      <c r="K787" s="380"/>
      <c r="L787" s="419">
        <v>709282</v>
      </c>
      <c r="M787" s="419">
        <v>489852</v>
      </c>
      <c r="N787" s="419">
        <v>214435</v>
      </c>
      <c r="O787" s="419">
        <v>0</v>
      </c>
      <c r="P787" s="419">
        <v>0</v>
      </c>
      <c r="Q787" s="380">
        <v>2.8972999999999998E-3</v>
      </c>
      <c r="R787" s="380"/>
      <c r="S787" s="419">
        <v>-1455511</v>
      </c>
      <c r="T787" s="419">
        <v>-1438669</v>
      </c>
      <c r="U787" s="419">
        <v>-1511379</v>
      </c>
      <c r="V787" s="419">
        <v>-1942564</v>
      </c>
      <c r="W787" s="419">
        <v>0</v>
      </c>
      <c r="X787" s="380">
        <v>2.8972999999999998E-3</v>
      </c>
      <c r="Z787" s="419">
        <v>1160664</v>
      </c>
      <c r="AA787" s="419">
        <v>815431</v>
      </c>
      <c r="AB787" s="419">
        <v>815425</v>
      </c>
      <c r="AC787" s="419">
        <v>0</v>
      </c>
      <c r="AD787" s="419">
        <v>0</v>
      </c>
      <c r="AE787" s="380">
        <v>2.8972999999999998E-3</v>
      </c>
      <c r="AF787" s="380"/>
      <c r="AG787" s="419">
        <v>94121</v>
      </c>
      <c r="AH787" s="419">
        <v>71317</v>
      </c>
      <c r="AI787" s="419">
        <v>5237</v>
      </c>
      <c r="AJ787" s="419">
        <v>0</v>
      </c>
      <c r="AK787" s="419">
        <v>0</v>
      </c>
      <c r="AL787" s="380">
        <v>2.8972999999999998E-3</v>
      </c>
      <c r="AM787" s="380"/>
      <c r="AN787" s="419">
        <v>0</v>
      </c>
      <c r="AO787" s="419">
        <v>0</v>
      </c>
      <c r="AP787" s="419">
        <v>0</v>
      </c>
      <c r="AQ787" s="419">
        <v>0</v>
      </c>
      <c r="AR787" s="419">
        <v>0</v>
      </c>
    </row>
    <row r="788" spans="1:44">
      <c r="A788" s="379">
        <v>98404</v>
      </c>
      <c r="B788" t="s">
        <v>1489</v>
      </c>
      <c r="C788" s="380">
        <v>2.23E-5</v>
      </c>
      <c r="D788" s="380"/>
      <c r="E788" s="419">
        <v>7938</v>
      </c>
      <c r="F788" s="419">
        <v>3541</v>
      </c>
      <c r="G788" s="419">
        <v>531</v>
      </c>
      <c r="H788" s="419">
        <v>-14952</v>
      </c>
      <c r="I788" s="419">
        <v>0</v>
      </c>
      <c r="J788" s="380">
        <v>2.23E-5</v>
      </c>
      <c r="K788" s="380"/>
      <c r="L788" s="419">
        <v>5459</v>
      </c>
      <c r="M788" s="419">
        <v>3770</v>
      </c>
      <c r="N788" s="419">
        <v>1650</v>
      </c>
      <c r="O788" s="419">
        <v>0</v>
      </c>
      <c r="P788" s="419">
        <v>0</v>
      </c>
      <c r="Q788" s="380">
        <v>2.23E-5</v>
      </c>
      <c r="R788" s="380"/>
      <c r="S788" s="419">
        <v>-11203</v>
      </c>
      <c r="T788" s="419">
        <v>-11073</v>
      </c>
      <c r="U788" s="419">
        <v>-11633</v>
      </c>
      <c r="V788" s="419">
        <v>-14952</v>
      </c>
      <c r="W788" s="419">
        <v>0</v>
      </c>
      <c r="X788" s="380">
        <v>2.23E-5</v>
      </c>
      <c r="Z788" s="419">
        <v>8933</v>
      </c>
      <c r="AA788" s="419">
        <v>6276</v>
      </c>
      <c r="AB788" s="419">
        <v>6276</v>
      </c>
      <c r="AC788" s="419">
        <v>0</v>
      </c>
      <c r="AD788" s="419">
        <v>0</v>
      </c>
      <c r="AE788" s="380">
        <v>2.23E-5</v>
      </c>
      <c r="AF788" s="380"/>
      <c r="AG788" s="419">
        <v>4833</v>
      </c>
      <c r="AH788" s="419">
        <v>4652</v>
      </c>
      <c r="AI788" s="419">
        <v>4238</v>
      </c>
      <c r="AJ788" s="419">
        <v>0</v>
      </c>
      <c r="AK788" s="419">
        <v>0</v>
      </c>
      <c r="AL788" s="380">
        <v>2.23E-5</v>
      </c>
      <c r="AM788" s="380"/>
      <c r="AN788" s="419">
        <v>-84</v>
      </c>
      <c r="AO788" s="419">
        <v>-84</v>
      </c>
      <c r="AP788" s="419">
        <v>0</v>
      </c>
      <c r="AQ788" s="419">
        <v>0</v>
      </c>
      <c r="AR788" s="419">
        <v>0</v>
      </c>
    </row>
    <row r="789" spans="1:44">
      <c r="A789" s="379">
        <v>98411</v>
      </c>
      <c r="B789" t="s">
        <v>1490</v>
      </c>
      <c r="C789" s="380">
        <v>1.7966E-3</v>
      </c>
      <c r="D789" s="380"/>
      <c r="E789" s="419">
        <v>156434</v>
      </c>
      <c r="F789" s="419">
        <v>-166791</v>
      </c>
      <c r="G789" s="419">
        <v>-303403</v>
      </c>
      <c r="H789" s="419">
        <v>-1204574</v>
      </c>
      <c r="I789" s="419">
        <v>0</v>
      </c>
      <c r="J789" s="380">
        <v>1.7966E-3</v>
      </c>
      <c r="K789" s="380"/>
      <c r="L789" s="419">
        <v>439822</v>
      </c>
      <c r="M789" s="419">
        <v>303755</v>
      </c>
      <c r="N789" s="419">
        <v>132970</v>
      </c>
      <c r="O789" s="419">
        <v>0</v>
      </c>
      <c r="P789" s="419">
        <v>0</v>
      </c>
      <c r="Q789" s="380">
        <v>1.7966E-3</v>
      </c>
      <c r="R789" s="380"/>
      <c r="S789" s="419">
        <v>-902554</v>
      </c>
      <c r="T789" s="419">
        <v>-892111</v>
      </c>
      <c r="U789" s="419">
        <v>-937198</v>
      </c>
      <c r="V789" s="419">
        <v>-1204574</v>
      </c>
      <c r="W789" s="419">
        <v>0</v>
      </c>
      <c r="X789" s="380">
        <v>1.7966E-3</v>
      </c>
      <c r="Z789" s="419">
        <v>719722</v>
      </c>
      <c r="AA789" s="419">
        <v>505644</v>
      </c>
      <c r="AB789" s="419">
        <v>505640</v>
      </c>
      <c r="AC789" s="419">
        <v>0</v>
      </c>
      <c r="AD789" s="419">
        <v>0</v>
      </c>
      <c r="AE789" s="380">
        <v>1.7966E-3</v>
      </c>
      <c r="AF789" s="380"/>
      <c r="AG789" s="419">
        <v>0</v>
      </c>
      <c r="AH789" s="419">
        <v>0</v>
      </c>
      <c r="AI789" s="419">
        <v>0</v>
      </c>
      <c r="AJ789" s="419">
        <v>0</v>
      </c>
      <c r="AK789" s="419">
        <v>0</v>
      </c>
      <c r="AL789" s="380">
        <v>1.7966E-3</v>
      </c>
      <c r="AM789" s="380"/>
      <c r="AN789" s="419">
        <v>-100556</v>
      </c>
      <c r="AO789" s="419">
        <v>-84079</v>
      </c>
      <c r="AP789" s="419">
        <v>-4815</v>
      </c>
      <c r="AQ789" s="419">
        <v>0</v>
      </c>
      <c r="AR789" s="419">
        <v>0</v>
      </c>
    </row>
    <row r="790" spans="1:44">
      <c r="A790" s="379">
        <v>98414</v>
      </c>
      <c r="B790" t="s">
        <v>1491</v>
      </c>
      <c r="C790" s="380">
        <v>3.9700000000000003E-5</v>
      </c>
      <c r="D790" s="380"/>
      <c r="E790" s="419">
        <v>8065</v>
      </c>
      <c r="F790" s="419">
        <v>463</v>
      </c>
      <c r="G790" s="419">
        <v>-4768</v>
      </c>
      <c r="H790" s="419">
        <v>-26618</v>
      </c>
      <c r="I790" s="419">
        <v>0</v>
      </c>
      <c r="J790" s="380">
        <v>3.9700000000000003E-5</v>
      </c>
      <c r="K790" s="380"/>
      <c r="L790" s="419">
        <v>9719</v>
      </c>
      <c r="M790" s="419">
        <v>6712</v>
      </c>
      <c r="N790" s="419">
        <v>2938</v>
      </c>
      <c r="O790" s="419">
        <v>0</v>
      </c>
      <c r="P790" s="419">
        <v>0</v>
      </c>
      <c r="Q790" s="380">
        <v>3.9700000000000003E-5</v>
      </c>
      <c r="R790" s="380"/>
      <c r="S790" s="419">
        <v>-19944</v>
      </c>
      <c r="T790" s="419">
        <v>-19713</v>
      </c>
      <c r="U790" s="419">
        <v>-20710</v>
      </c>
      <c r="V790" s="419">
        <v>-26618</v>
      </c>
      <c r="W790" s="419">
        <v>0</v>
      </c>
      <c r="X790" s="380">
        <v>3.9700000000000003E-5</v>
      </c>
      <c r="Z790" s="419">
        <v>15904</v>
      </c>
      <c r="AA790" s="419">
        <v>11173</v>
      </c>
      <c r="AB790" s="419">
        <v>11173</v>
      </c>
      <c r="AC790" s="419">
        <v>0</v>
      </c>
      <c r="AD790" s="419">
        <v>0</v>
      </c>
      <c r="AE790" s="380">
        <v>3.9700000000000003E-5</v>
      </c>
      <c r="AF790" s="380"/>
      <c r="AG790" s="419">
        <v>6236</v>
      </c>
      <c r="AH790" s="419">
        <v>4315</v>
      </c>
      <c r="AI790" s="419">
        <v>1831</v>
      </c>
      <c r="AJ790" s="419">
        <v>0</v>
      </c>
      <c r="AK790" s="419">
        <v>0</v>
      </c>
      <c r="AL790" s="380">
        <v>3.9700000000000003E-5</v>
      </c>
      <c r="AM790" s="380"/>
      <c r="AN790" s="419">
        <v>-3850</v>
      </c>
      <c r="AO790" s="419">
        <v>-2024</v>
      </c>
      <c r="AP790" s="419">
        <v>0</v>
      </c>
      <c r="AQ790" s="419">
        <v>0</v>
      </c>
      <c r="AR790" s="419">
        <v>0</v>
      </c>
    </row>
    <row r="791" spans="1:44">
      <c r="A791" s="379">
        <v>98417</v>
      </c>
      <c r="B791" t="s">
        <v>1492</v>
      </c>
      <c r="C791" s="380">
        <v>2.1399999999999998E-5</v>
      </c>
      <c r="D791" s="380"/>
      <c r="E791" s="419">
        <v>8592</v>
      </c>
      <c r="F791" s="419">
        <v>3812</v>
      </c>
      <c r="G791" s="419">
        <v>-963</v>
      </c>
      <c r="H791" s="419">
        <v>-14348</v>
      </c>
      <c r="I791" s="419">
        <v>0</v>
      </c>
      <c r="J791" s="380">
        <v>2.1399999999999998E-5</v>
      </c>
      <c r="K791" s="380"/>
      <c r="L791" s="419">
        <v>5239</v>
      </c>
      <c r="M791" s="419">
        <v>3618</v>
      </c>
      <c r="N791" s="419">
        <v>1584</v>
      </c>
      <c r="O791" s="419">
        <v>0</v>
      </c>
      <c r="P791" s="419">
        <v>0</v>
      </c>
      <c r="Q791" s="380">
        <v>2.1399999999999998E-5</v>
      </c>
      <c r="R791" s="380"/>
      <c r="S791" s="419">
        <v>-10751</v>
      </c>
      <c r="T791" s="419">
        <v>-10626</v>
      </c>
      <c r="U791" s="419">
        <v>-11163</v>
      </c>
      <c r="V791" s="419">
        <v>-14348</v>
      </c>
      <c r="W791" s="419">
        <v>0</v>
      </c>
      <c r="X791" s="380">
        <v>2.1399999999999998E-5</v>
      </c>
      <c r="Z791" s="419">
        <v>8573</v>
      </c>
      <c r="AA791" s="419">
        <v>6023</v>
      </c>
      <c r="AB791" s="419">
        <v>6023</v>
      </c>
      <c r="AC791" s="419">
        <v>0</v>
      </c>
      <c r="AD791" s="419">
        <v>0</v>
      </c>
      <c r="AE791" s="380">
        <v>2.1399999999999998E-5</v>
      </c>
      <c r="AF791" s="380"/>
      <c r="AG791" s="419">
        <v>5531</v>
      </c>
      <c r="AH791" s="419">
        <v>4797</v>
      </c>
      <c r="AI791" s="419">
        <v>2593</v>
      </c>
      <c r="AJ791" s="419">
        <v>0</v>
      </c>
      <c r="AK791" s="419">
        <v>0</v>
      </c>
      <c r="AL791" s="380">
        <v>2.1399999999999998E-5</v>
      </c>
      <c r="AM791" s="380"/>
      <c r="AN791" s="419">
        <v>0</v>
      </c>
      <c r="AO791" s="419">
        <v>0</v>
      </c>
      <c r="AP791" s="419">
        <v>0</v>
      </c>
      <c r="AQ791" s="419">
        <v>0</v>
      </c>
      <c r="AR791" s="419">
        <v>0</v>
      </c>
    </row>
    <row r="792" spans="1:44">
      <c r="A792" s="379">
        <v>98421</v>
      </c>
      <c r="B792" t="s">
        <v>1493</v>
      </c>
      <c r="C792" s="380">
        <v>1.053E-4</v>
      </c>
      <c r="D792" s="380"/>
      <c r="E792" s="419">
        <v>14393</v>
      </c>
      <c r="F792" s="419">
        <v>-9397</v>
      </c>
      <c r="G792" s="419">
        <v>-19152</v>
      </c>
      <c r="H792" s="419">
        <v>-70601</v>
      </c>
      <c r="I792" s="419">
        <v>0</v>
      </c>
      <c r="J792" s="380">
        <v>1.053E-4</v>
      </c>
      <c r="K792" s="380"/>
      <c r="L792" s="419">
        <v>25778</v>
      </c>
      <c r="M792" s="419">
        <v>17803</v>
      </c>
      <c r="N792" s="419">
        <v>7793</v>
      </c>
      <c r="O792" s="419">
        <v>0</v>
      </c>
      <c r="P792" s="419">
        <v>0</v>
      </c>
      <c r="Q792" s="380">
        <v>1.053E-4</v>
      </c>
      <c r="R792" s="380"/>
      <c r="S792" s="419">
        <v>-52899</v>
      </c>
      <c r="T792" s="419">
        <v>-52287</v>
      </c>
      <c r="U792" s="419">
        <v>-54930</v>
      </c>
      <c r="V792" s="419">
        <v>-70601</v>
      </c>
      <c r="W792" s="419">
        <v>0</v>
      </c>
      <c r="X792" s="380">
        <v>1.053E-4</v>
      </c>
      <c r="Z792" s="419">
        <v>42183</v>
      </c>
      <c r="AA792" s="419">
        <v>29636</v>
      </c>
      <c r="AB792" s="419">
        <v>29636</v>
      </c>
      <c r="AC792" s="419">
        <v>0</v>
      </c>
      <c r="AD792" s="419">
        <v>0</v>
      </c>
      <c r="AE792" s="380">
        <v>1.053E-4</v>
      </c>
      <c r="AF792" s="380"/>
      <c r="AG792" s="419">
        <v>4302</v>
      </c>
      <c r="AH792" s="419">
        <v>420</v>
      </c>
      <c r="AI792" s="419">
        <v>0</v>
      </c>
      <c r="AJ792" s="419">
        <v>0</v>
      </c>
      <c r="AK792" s="419">
        <v>0</v>
      </c>
      <c r="AL792" s="380">
        <v>1.053E-4</v>
      </c>
      <c r="AM792" s="380"/>
      <c r="AN792" s="419">
        <v>-4971</v>
      </c>
      <c r="AO792" s="419">
        <v>-4969</v>
      </c>
      <c r="AP792" s="419">
        <v>-1651</v>
      </c>
      <c r="AQ792" s="419">
        <v>0</v>
      </c>
      <c r="AR792" s="419">
        <v>0</v>
      </c>
    </row>
    <row r="793" spans="1:44">
      <c r="A793" s="379">
        <v>98427</v>
      </c>
      <c r="B793" t="s">
        <v>1494</v>
      </c>
      <c r="C793" s="380">
        <v>1.9E-6</v>
      </c>
      <c r="D793" s="380"/>
      <c r="E793" s="419">
        <v>1522</v>
      </c>
      <c r="F793" s="419">
        <v>946</v>
      </c>
      <c r="G793" s="419">
        <v>-151</v>
      </c>
      <c r="H793" s="419">
        <v>-1274</v>
      </c>
      <c r="I793" s="419">
        <v>0</v>
      </c>
      <c r="J793" s="380">
        <v>1.9E-6</v>
      </c>
      <c r="K793" s="380"/>
      <c r="L793" s="419">
        <v>465</v>
      </c>
      <c r="M793" s="419">
        <v>321</v>
      </c>
      <c r="N793" s="419">
        <v>141</v>
      </c>
      <c r="O793" s="419">
        <v>0</v>
      </c>
      <c r="P793" s="419">
        <v>0</v>
      </c>
      <c r="Q793" s="380">
        <v>1.9E-6</v>
      </c>
      <c r="R793" s="380"/>
      <c r="S793" s="419">
        <v>-954</v>
      </c>
      <c r="T793" s="419">
        <v>-943</v>
      </c>
      <c r="U793" s="419">
        <v>-991</v>
      </c>
      <c r="V793" s="419">
        <v>-1274</v>
      </c>
      <c r="W793" s="419">
        <v>0</v>
      </c>
      <c r="X793" s="380">
        <v>1.9E-6</v>
      </c>
      <c r="Z793" s="419">
        <v>761</v>
      </c>
      <c r="AA793" s="419">
        <v>535</v>
      </c>
      <c r="AB793" s="419">
        <v>535</v>
      </c>
      <c r="AC793" s="419">
        <v>0</v>
      </c>
      <c r="AD793" s="419">
        <v>0</v>
      </c>
      <c r="AE793" s="380">
        <v>1.9E-6</v>
      </c>
      <c r="AF793" s="380"/>
      <c r="AG793" s="419">
        <v>1250</v>
      </c>
      <c r="AH793" s="419">
        <v>1033</v>
      </c>
      <c r="AI793" s="419">
        <v>164</v>
      </c>
      <c r="AJ793" s="419">
        <v>0</v>
      </c>
      <c r="AK793" s="419">
        <v>0</v>
      </c>
      <c r="AL793" s="380">
        <v>1.9E-6</v>
      </c>
      <c r="AM793" s="380"/>
      <c r="AN793" s="419">
        <v>0</v>
      </c>
      <c r="AO793" s="419">
        <v>0</v>
      </c>
      <c r="AP793" s="419">
        <v>0</v>
      </c>
      <c r="AQ793" s="419">
        <v>0</v>
      </c>
      <c r="AR793" s="419">
        <v>0</v>
      </c>
    </row>
    <row r="794" spans="1:44">
      <c r="A794" s="379">
        <v>98431</v>
      </c>
      <c r="B794" t="s">
        <v>1495</v>
      </c>
      <c r="C794" s="380">
        <v>2.589E-4</v>
      </c>
      <c r="D794" s="380"/>
      <c r="E794" s="419">
        <v>51089</v>
      </c>
      <c r="F794" s="419">
        <v>6521</v>
      </c>
      <c r="G794" s="419">
        <v>-23826</v>
      </c>
      <c r="H794" s="419">
        <v>-173586</v>
      </c>
      <c r="I794" s="419">
        <v>0</v>
      </c>
      <c r="J794" s="380">
        <v>2.589E-4</v>
      </c>
      <c r="K794" s="380"/>
      <c r="L794" s="419">
        <v>63381</v>
      </c>
      <c r="M794" s="419">
        <v>43773</v>
      </c>
      <c r="N794" s="419">
        <v>19162</v>
      </c>
      <c r="O794" s="419">
        <v>0</v>
      </c>
      <c r="P794" s="419">
        <v>0</v>
      </c>
      <c r="Q794" s="380">
        <v>2.589E-4</v>
      </c>
      <c r="R794" s="380"/>
      <c r="S794" s="419">
        <v>-130063</v>
      </c>
      <c r="T794" s="419">
        <v>-128558</v>
      </c>
      <c r="U794" s="419">
        <v>-135055</v>
      </c>
      <c r="V794" s="419">
        <v>-173586</v>
      </c>
      <c r="W794" s="419">
        <v>0</v>
      </c>
      <c r="X794" s="380">
        <v>2.589E-4</v>
      </c>
      <c r="Z794" s="419">
        <v>103716</v>
      </c>
      <c r="AA794" s="419">
        <v>72866</v>
      </c>
      <c r="AB794" s="419">
        <v>72866</v>
      </c>
      <c r="AC794" s="419">
        <v>0</v>
      </c>
      <c r="AD794" s="419">
        <v>0</v>
      </c>
      <c r="AE794" s="380">
        <v>2.589E-4</v>
      </c>
      <c r="AF794" s="380"/>
      <c r="AG794" s="419">
        <v>19831</v>
      </c>
      <c r="AH794" s="419">
        <v>19832</v>
      </c>
      <c r="AI794" s="419">
        <v>19201</v>
      </c>
      <c r="AJ794" s="419">
        <v>0</v>
      </c>
      <c r="AK794" s="419">
        <v>0</v>
      </c>
      <c r="AL794" s="380">
        <v>2.589E-4</v>
      </c>
      <c r="AM794" s="380"/>
      <c r="AN794" s="419">
        <v>-5776</v>
      </c>
      <c r="AO794" s="419">
        <v>-1392</v>
      </c>
      <c r="AP794" s="419">
        <v>0</v>
      </c>
      <c r="AQ794" s="419">
        <v>0</v>
      </c>
      <c r="AR794" s="419">
        <v>0</v>
      </c>
    </row>
    <row r="795" spans="1:44">
      <c r="A795" s="379">
        <v>98441</v>
      </c>
      <c r="B795" t="s">
        <v>1496</v>
      </c>
      <c r="C795" s="380">
        <v>1.2449999999999999E-4</v>
      </c>
      <c r="D795" s="380"/>
      <c r="E795" s="419">
        <v>23246</v>
      </c>
      <c r="F795" s="419">
        <v>-3313</v>
      </c>
      <c r="G795" s="419">
        <v>-21010</v>
      </c>
      <c r="H795" s="419">
        <v>-83474</v>
      </c>
      <c r="I795" s="419">
        <v>0</v>
      </c>
      <c r="J795" s="380">
        <v>1.2449999999999999E-4</v>
      </c>
      <c r="K795" s="380"/>
      <c r="L795" s="419">
        <v>30479</v>
      </c>
      <c r="M795" s="419">
        <v>21049</v>
      </c>
      <c r="N795" s="419">
        <v>9214</v>
      </c>
      <c r="O795" s="419">
        <v>0</v>
      </c>
      <c r="P795" s="419">
        <v>0</v>
      </c>
      <c r="Q795" s="380">
        <v>1.2449999999999999E-4</v>
      </c>
      <c r="R795" s="380"/>
      <c r="S795" s="419">
        <v>-62545</v>
      </c>
      <c r="T795" s="419">
        <v>-61821</v>
      </c>
      <c r="U795" s="419">
        <v>-64946</v>
      </c>
      <c r="V795" s="419">
        <v>-83474</v>
      </c>
      <c r="W795" s="419">
        <v>0</v>
      </c>
      <c r="X795" s="380">
        <v>1.2449999999999999E-4</v>
      </c>
      <c r="Z795" s="419">
        <v>49875</v>
      </c>
      <c r="AA795" s="419">
        <v>35040</v>
      </c>
      <c r="AB795" s="419">
        <v>35040</v>
      </c>
      <c r="AC795" s="419">
        <v>0</v>
      </c>
      <c r="AD795" s="419">
        <v>0</v>
      </c>
      <c r="AE795" s="380">
        <v>1.2449999999999999E-4</v>
      </c>
      <c r="AF795" s="380"/>
      <c r="AG795" s="419">
        <v>8168</v>
      </c>
      <c r="AH795" s="419">
        <v>5149</v>
      </c>
      <c r="AI795" s="419">
        <v>0</v>
      </c>
      <c r="AJ795" s="419">
        <v>0</v>
      </c>
      <c r="AK795" s="419">
        <v>0</v>
      </c>
      <c r="AL795" s="380">
        <v>1.2449999999999999E-4</v>
      </c>
      <c r="AM795" s="380"/>
      <c r="AN795" s="419">
        <v>-2731</v>
      </c>
      <c r="AO795" s="419">
        <v>-2730</v>
      </c>
      <c r="AP795" s="419">
        <v>-318</v>
      </c>
      <c r="AQ795" s="419">
        <v>0</v>
      </c>
      <c r="AR795" s="419">
        <v>0</v>
      </c>
    </row>
    <row r="796" spans="1:44">
      <c r="A796" s="379">
        <v>98451</v>
      </c>
      <c r="B796" t="s">
        <v>1497</v>
      </c>
      <c r="C796" s="380">
        <v>4.9799999999999998E-5</v>
      </c>
      <c r="D796" s="380"/>
      <c r="E796" s="419">
        <v>12499</v>
      </c>
      <c r="F796" s="419">
        <v>3990</v>
      </c>
      <c r="G796" s="419">
        <v>2878</v>
      </c>
      <c r="H796" s="419">
        <v>-33390</v>
      </c>
      <c r="I796" s="419">
        <v>0</v>
      </c>
      <c r="J796" s="380">
        <v>4.9799999999999998E-5</v>
      </c>
      <c r="K796" s="380"/>
      <c r="L796" s="419">
        <v>12191</v>
      </c>
      <c r="M796" s="419">
        <v>8420</v>
      </c>
      <c r="N796" s="419">
        <v>3686</v>
      </c>
      <c r="O796" s="419">
        <v>0</v>
      </c>
      <c r="P796" s="419">
        <v>0</v>
      </c>
      <c r="Q796" s="380">
        <v>4.9799999999999998E-5</v>
      </c>
      <c r="R796" s="380"/>
      <c r="S796" s="419">
        <v>-25018</v>
      </c>
      <c r="T796" s="419">
        <v>-24728</v>
      </c>
      <c r="U796" s="419">
        <v>-25978</v>
      </c>
      <c r="V796" s="419">
        <v>-33390</v>
      </c>
      <c r="W796" s="419">
        <v>0</v>
      </c>
      <c r="X796" s="380">
        <v>4.9799999999999998E-5</v>
      </c>
      <c r="Z796" s="419">
        <v>19950</v>
      </c>
      <c r="AA796" s="419">
        <v>14016</v>
      </c>
      <c r="AB796" s="419">
        <v>14016</v>
      </c>
      <c r="AC796" s="419">
        <v>0</v>
      </c>
      <c r="AD796" s="419">
        <v>0</v>
      </c>
      <c r="AE796" s="380">
        <v>4.9799999999999998E-5</v>
      </c>
      <c r="AF796" s="380"/>
      <c r="AG796" s="419">
        <v>11193</v>
      </c>
      <c r="AH796" s="419">
        <v>11194</v>
      </c>
      <c r="AI796" s="419">
        <v>11154</v>
      </c>
      <c r="AJ796" s="419">
        <v>0</v>
      </c>
      <c r="AK796" s="419">
        <v>0</v>
      </c>
      <c r="AL796" s="380">
        <v>4.9799999999999998E-5</v>
      </c>
      <c r="AM796" s="380"/>
      <c r="AN796" s="419">
        <v>-5817</v>
      </c>
      <c r="AO796" s="419">
        <v>-4912</v>
      </c>
      <c r="AP796" s="419">
        <v>0</v>
      </c>
      <c r="AQ796" s="419">
        <v>0</v>
      </c>
      <c r="AR796" s="419">
        <v>0</v>
      </c>
    </row>
    <row r="797" spans="1:44">
      <c r="A797" s="379">
        <v>98471</v>
      </c>
      <c r="B797" t="s">
        <v>1642</v>
      </c>
      <c r="C797" s="380">
        <v>8.3999999999999992E-6</v>
      </c>
      <c r="D797" s="380"/>
      <c r="E797" s="419">
        <v>3781</v>
      </c>
      <c r="F797" s="419">
        <v>908</v>
      </c>
      <c r="G797" s="419">
        <v>-693</v>
      </c>
      <c r="H797" s="419">
        <v>-5632</v>
      </c>
      <c r="I797" s="419">
        <v>0</v>
      </c>
      <c r="J797" s="380">
        <v>8.3999999999999992E-6</v>
      </c>
      <c r="K797" s="380"/>
      <c r="L797" s="419">
        <v>2056</v>
      </c>
      <c r="M797" s="419">
        <v>1420</v>
      </c>
      <c r="N797" s="419">
        <v>622</v>
      </c>
      <c r="O797" s="419">
        <v>0</v>
      </c>
      <c r="P797" s="419">
        <v>0</v>
      </c>
      <c r="Q797" s="380">
        <v>8.3999999999999992E-6</v>
      </c>
      <c r="R797" s="380"/>
      <c r="S797" s="419">
        <v>-4220</v>
      </c>
      <c r="T797" s="419">
        <v>-4171</v>
      </c>
      <c r="U797" s="419">
        <v>-4382</v>
      </c>
      <c r="V797" s="419">
        <v>-5632</v>
      </c>
      <c r="W797" s="419">
        <v>0</v>
      </c>
      <c r="X797" s="380">
        <v>8.3999999999999992E-6</v>
      </c>
      <c r="Z797" s="419">
        <v>3365</v>
      </c>
      <c r="AA797" s="419">
        <v>2364</v>
      </c>
      <c r="AB797" s="419">
        <v>2364</v>
      </c>
      <c r="AC797" s="419">
        <v>0</v>
      </c>
      <c r="AD797" s="419">
        <v>0</v>
      </c>
      <c r="AE797" s="380">
        <v>8.3999999999999992E-6</v>
      </c>
      <c r="AF797" s="380"/>
      <c r="AG797" s="419">
        <v>2580</v>
      </c>
      <c r="AH797" s="419">
        <v>1295</v>
      </c>
      <c r="AI797" s="419">
        <v>703</v>
      </c>
      <c r="AJ797" s="419">
        <v>0</v>
      </c>
      <c r="AK797" s="419">
        <v>0</v>
      </c>
      <c r="AL797" s="380">
        <v>8.3999999999999992E-6</v>
      </c>
      <c r="AM797" s="380"/>
      <c r="AN797" s="419">
        <v>0</v>
      </c>
      <c r="AO797" s="419">
        <v>0</v>
      </c>
      <c r="AP797" s="419">
        <v>0</v>
      </c>
      <c r="AQ797" s="419">
        <v>0</v>
      </c>
      <c r="AR797" s="419">
        <v>0</v>
      </c>
    </row>
    <row r="798" spans="1:44">
      <c r="A798" s="379">
        <v>98481</v>
      </c>
      <c r="B798" t="s">
        <v>1498</v>
      </c>
      <c r="C798" s="380">
        <v>7.0199999999999999E-5</v>
      </c>
      <c r="D798" s="380"/>
      <c r="E798" s="419">
        <v>13535</v>
      </c>
      <c r="F798" s="419">
        <v>-283</v>
      </c>
      <c r="G798" s="419">
        <v>-6492</v>
      </c>
      <c r="H798" s="419">
        <v>-47067</v>
      </c>
      <c r="I798" s="419">
        <v>0</v>
      </c>
      <c r="J798" s="380">
        <v>7.0199999999999999E-5</v>
      </c>
      <c r="K798" s="380"/>
      <c r="L798" s="419">
        <v>17186</v>
      </c>
      <c r="M798" s="419">
        <v>11869</v>
      </c>
      <c r="N798" s="419">
        <v>5196</v>
      </c>
      <c r="O798" s="419">
        <v>0</v>
      </c>
      <c r="P798" s="419">
        <v>0</v>
      </c>
      <c r="Q798" s="380">
        <v>7.0199999999999999E-5</v>
      </c>
      <c r="R798" s="380"/>
      <c r="S798" s="419">
        <v>-35266</v>
      </c>
      <c r="T798" s="419">
        <v>-34858</v>
      </c>
      <c r="U798" s="419">
        <v>-36620</v>
      </c>
      <c r="V798" s="419">
        <v>-47067</v>
      </c>
      <c r="W798" s="419">
        <v>0</v>
      </c>
      <c r="X798" s="380">
        <v>7.0199999999999999E-5</v>
      </c>
      <c r="Z798" s="419">
        <v>28122</v>
      </c>
      <c r="AA798" s="419">
        <v>19757</v>
      </c>
      <c r="AB798" s="419">
        <v>19757</v>
      </c>
      <c r="AC798" s="419">
        <v>0</v>
      </c>
      <c r="AD798" s="419">
        <v>0</v>
      </c>
      <c r="AE798" s="380">
        <v>7.0199999999999999E-5</v>
      </c>
      <c r="AF798" s="380"/>
      <c r="AG798" s="419">
        <v>5723</v>
      </c>
      <c r="AH798" s="419">
        <v>5176</v>
      </c>
      <c r="AI798" s="419">
        <v>5175</v>
      </c>
      <c r="AJ798" s="419">
        <v>0</v>
      </c>
      <c r="AK798" s="419">
        <v>0</v>
      </c>
      <c r="AL798" s="380">
        <v>7.0199999999999999E-5</v>
      </c>
      <c r="AM798" s="380"/>
      <c r="AN798" s="419">
        <v>-2230</v>
      </c>
      <c r="AO798" s="419">
        <v>-2227</v>
      </c>
      <c r="AP798" s="419">
        <v>0</v>
      </c>
      <c r="AQ798" s="419">
        <v>0</v>
      </c>
      <c r="AR798" s="419">
        <v>0</v>
      </c>
    </row>
    <row r="799" spans="1:44">
      <c r="A799" s="379">
        <v>98501</v>
      </c>
      <c r="B799" t="s">
        <v>1499</v>
      </c>
      <c r="C799" s="380">
        <v>2.1158000000000001E-3</v>
      </c>
      <c r="D799" s="380"/>
      <c r="E799" s="419">
        <v>580906</v>
      </c>
      <c r="F799" s="419">
        <v>168320</v>
      </c>
      <c r="G799" s="419">
        <v>-190844</v>
      </c>
      <c r="H799" s="419">
        <v>-1418589</v>
      </c>
      <c r="I799" s="419">
        <v>0</v>
      </c>
      <c r="J799" s="380">
        <v>2.1158000000000001E-3</v>
      </c>
      <c r="K799" s="380"/>
      <c r="L799" s="419">
        <v>517965</v>
      </c>
      <c r="M799" s="419">
        <v>357723</v>
      </c>
      <c r="N799" s="419">
        <v>156595</v>
      </c>
      <c r="O799" s="419">
        <v>0</v>
      </c>
      <c r="P799" s="419">
        <v>0</v>
      </c>
      <c r="Q799" s="380">
        <v>2.1158000000000001E-3</v>
      </c>
      <c r="R799" s="380"/>
      <c r="S799" s="419">
        <v>-1062910</v>
      </c>
      <c r="T799" s="419">
        <v>-1050611</v>
      </c>
      <c r="U799" s="419">
        <v>-1103709</v>
      </c>
      <c r="V799" s="419">
        <v>-1418589</v>
      </c>
      <c r="W799" s="419">
        <v>0</v>
      </c>
      <c r="X799" s="380">
        <v>2.1158000000000001E-3</v>
      </c>
      <c r="Z799" s="419">
        <v>847594</v>
      </c>
      <c r="AA799" s="419">
        <v>595481</v>
      </c>
      <c r="AB799" s="419">
        <v>595477</v>
      </c>
      <c r="AC799" s="419">
        <v>0</v>
      </c>
      <c r="AD799" s="419">
        <v>0</v>
      </c>
      <c r="AE799" s="380">
        <v>2.1158000000000001E-3</v>
      </c>
      <c r="AF799" s="380"/>
      <c r="AG799" s="419">
        <v>278257</v>
      </c>
      <c r="AH799" s="419">
        <v>265727</v>
      </c>
      <c r="AI799" s="419">
        <v>160793</v>
      </c>
      <c r="AJ799" s="419">
        <v>0</v>
      </c>
      <c r="AK799" s="419">
        <v>0</v>
      </c>
      <c r="AL799" s="380">
        <v>2.1158000000000001E-3</v>
      </c>
      <c r="AM799" s="380"/>
      <c r="AN799" s="419">
        <v>0</v>
      </c>
      <c r="AO799" s="419">
        <v>0</v>
      </c>
      <c r="AP799" s="419">
        <v>0</v>
      </c>
      <c r="AQ799" s="419">
        <v>0</v>
      </c>
      <c r="AR799" s="419">
        <v>0</v>
      </c>
    </row>
    <row r="800" spans="1:44">
      <c r="A800" s="379">
        <v>98511</v>
      </c>
      <c r="B800" t="s">
        <v>1500</v>
      </c>
      <c r="C800" s="380">
        <v>4.9599999999999999E-5</v>
      </c>
      <c r="D800" s="380"/>
      <c r="E800" s="419">
        <v>10115</v>
      </c>
      <c r="F800" s="419">
        <v>1418</v>
      </c>
      <c r="G800" s="419">
        <v>-4496</v>
      </c>
      <c r="H800" s="419">
        <v>-33256</v>
      </c>
      <c r="I800" s="419">
        <v>0</v>
      </c>
      <c r="J800" s="380">
        <v>4.9599999999999999E-5</v>
      </c>
      <c r="K800" s="380"/>
      <c r="L800" s="419">
        <v>12142</v>
      </c>
      <c r="M800" s="419">
        <v>8386</v>
      </c>
      <c r="N800" s="419">
        <v>3671</v>
      </c>
      <c r="O800" s="419">
        <v>0</v>
      </c>
      <c r="P800" s="419">
        <v>0</v>
      </c>
      <c r="Q800" s="380">
        <v>4.9599999999999999E-5</v>
      </c>
      <c r="R800" s="380"/>
      <c r="S800" s="419">
        <v>-24917</v>
      </c>
      <c r="T800" s="419">
        <v>-24629</v>
      </c>
      <c r="U800" s="419">
        <v>-25874</v>
      </c>
      <c r="V800" s="419">
        <v>-33256</v>
      </c>
      <c r="W800" s="419">
        <v>0</v>
      </c>
      <c r="X800" s="380">
        <v>4.9599999999999999E-5</v>
      </c>
      <c r="Z800" s="419">
        <v>19870</v>
      </c>
      <c r="AA800" s="419">
        <v>13960</v>
      </c>
      <c r="AB800" s="419">
        <v>13960</v>
      </c>
      <c r="AC800" s="419">
        <v>0</v>
      </c>
      <c r="AD800" s="419">
        <v>0</v>
      </c>
      <c r="AE800" s="380">
        <v>4.9599999999999999E-5</v>
      </c>
      <c r="AF800" s="380"/>
      <c r="AG800" s="419">
        <v>5304</v>
      </c>
      <c r="AH800" s="419">
        <v>5306</v>
      </c>
      <c r="AI800" s="419">
        <v>3747</v>
      </c>
      <c r="AJ800" s="419">
        <v>0</v>
      </c>
      <c r="AK800" s="419">
        <v>0</v>
      </c>
      <c r="AL800" s="380">
        <v>4.9599999999999999E-5</v>
      </c>
      <c r="AM800" s="380"/>
      <c r="AN800" s="419">
        <v>-2284</v>
      </c>
      <c r="AO800" s="419">
        <v>-1605</v>
      </c>
      <c r="AP800" s="419">
        <v>0</v>
      </c>
      <c r="AQ800" s="419">
        <v>0</v>
      </c>
      <c r="AR800" s="419">
        <v>0</v>
      </c>
    </row>
    <row r="801" spans="1:44">
      <c r="A801" s="379">
        <v>98517</v>
      </c>
      <c r="B801" t="s">
        <v>1501</v>
      </c>
      <c r="C801" s="380">
        <v>1.5999999999999999E-5</v>
      </c>
      <c r="D801" s="380"/>
      <c r="E801" s="419">
        <v>10224</v>
      </c>
      <c r="F801" s="419">
        <v>6770</v>
      </c>
      <c r="G801" s="419">
        <v>4713</v>
      </c>
      <c r="H801" s="419">
        <v>-10728</v>
      </c>
      <c r="I801" s="419">
        <v>0</v>
      </c>
      <c r="J801" s="380">
        <v>1.5999999999999999E-5</v>
      </c>
      <c r="K801" s="380"/>
      <c r="L801" s="419">
        <v>3917</v>
      </c>
      <c r="M801" s="419">
        <v>2705</v>
      </c>
      <c r="N801" s="419">
        <v>1184</v>
      </c>
      <c r="O801" s="419">
        <v>0</v>
      </c>
      <c r="P801" s="419">
        <v>0</v>
      </c>
      <c r="Q801" s="380">
        <v>1.5999999999999999E-5</v>
      </c>
      <c r="R801" s="380"/>
      <c r="S801" s="419">
        <v>-8038</v>
      </c>
      <c r="T801" s="419">
        <v>-7945</v>
      </c>
      <c r="U801" s="419">
        <v>-8346</v>
      </c>
      <c r="V801" s="419">
        <v>-10728</v>
      </c>
      <c r="W801" s="419">
        <v>0</v>
      </c>
      <c r="X801" s="380">
        <v>1.5999999999999999E-5</v>
      </c>
      <c r="Z801" s="419">
        <v>6410</v>
      </c>
      <c r="AA801" s="419">
        <v>4503</v>
      </c>
      <c r="AB801" s="419">
        <v>4503</v>
      </c>
      <c r="AC801" s="419">
        <v>0</v>
      </c>
      <c r="AD801" s="419">
        <v>0</v>
      </c>
      <c r="AE801" s="380">
        <v>1.5999999999999999E-5</v>
      </c>
      <c r="AF801" s="380"/>
      <c r="AG801" s="419">
        <v>8263</v>
      </c>
      <c r="AH801" s="419">
        <v>7833</v>
      </c>
      <c r="AI801" s="419">
        <v>7372</v>
      </c>
      <c r="AJ801" s="419">
        <v>0</v>
      </c>
      <c r="AK801" s="419">
        <v>0</v>
      </c>
      <c r="AL801" s="380">
        <v>1.5999999999999999E-5</v>
      </c>
      <c r="AM801" s="380"/>
      <c r="AN801" s="419">
        <v>-328</v>
      </c>
      <c r="AO801" s="419">
        <v>-326</v>
      </c>
      <c r="AP801" s="419">
        <v>0</v>
      </c>
      <c r="AQ801" s="419">
        <v>0</v>
      </c>
      <c r="AR801" s="419">
        <v>0</v>
      </c>
    </row>
    <row r="802" spans="1:44">
      <c r="A802" s="379">
        <v>98521</v>
      </c>
      <c r="B802" t="s">
        <v>1502</v>
      </c>
      <c r="C802" s="380">
        <v>6.4740000000000002E-4</v>
      </c>
      <c r="D802" s="380"/>
      <c r="E802" s="419">
        <v>79188</v>
      </c>
      <c r="F802" s="419">
        <v>-36420</v>
      </c>
      <c r="G802" s="419">
        <v>-118700</v>
      </c>
      <c r="H802" s="419">
        <v>-434065</v>
      </c>
      <c r="I802" s="419">
        <v>0</v>
      </c>
      <c r="J802" s="380">
        <v>6.4740000000000002E-4</v>
      </c>
      <c r="K802" s="380"/>
      <c r="L802" s="419">
        <v>158489</v>
      </c>
      <c r="M802" s="419">
        <v>109457</v>
      </c>
      <c r="N802" s="419">
        <v>47915</v>
      </c>
      <c r="O802" s="419">
        <v>0</v>
      </c>
      <c r="P802" s="419">
        <v>0</v>
      </c>
      <c r="Q802" s="380">
        <v>6.4740000000000002E-4</v>
      </c>
      <c r="R802" s="380"/>
      <c r="S802" s="419">
        <v>-325233</v>
      </c>
      <c r="T802" s="419">
        <v>-321470</v>
      </c>
      <c r="U802" s="419">
        <v>-337717</v>
      </c>
      <c r="V802" s="419">
        <v>-434065</v>
      </c>
      <c r="W802" s="419">
        <v>0</v>
      </c>
      <c r="X802" s="380">
        <v>6.4740000000000002E-4</v>
      </c>
      <c r="Z802" s="419">
        <v>259350</v>
      </c>
      <c r="AA802" s="419">
        <v>182207</v>
      </c>
      <c r="AB802" s="419">
        <v>182206</v>
      </c>
      <c r="AC802" s="419">
        <v>0</v>
      </c>
      <c r="AD802" s="419">
        <v>0</v>
      </c>
      <c r="AE802" s="380">
        <v>6.4740000000000002E-4</v>
      </c>
      <c r="AF802" s="380"/>
      <c r="AG802" s="419">
        <v>9129</v>
      </c>
      <c r="AH802" s="419">
        <v>9127</v>
      </c>
      <c r="AI802" s="419">
        <v>0</v>
      </c>
      <c r="AJ802" s="419">
        <v>0</v>
      </c>
      <c r="AK802" s="419">
        <v>0</v>
      </c>
      <c r="AL802" s="380">
        <v>6.4740000000000002E-4</v>
      </c>
      <c r="AM802" s="380"/>
      <c r="AN802" s="419">
        <v>-22547</v>
      </c>
      <c r="AO802" s="419">
        <v>-15741</v>
      </c>
      <c r="AP802" s="419">
        <v>-11104</v>
      </c>
      <c r="AQ802" s="419">
        <v>0</v>
      </c>
      <c r="AR802" s="419">
        <v>0</v>
      </c>
    </row>
    <row r="803" spans="1:44">
      <c r="A803" s="379">
        <v>98601</v>
      </c>
      <c r="B803" t="s">
        <v>1503</v>
      </c>
      <c r="C803" s="380">
        <v>3.5036999999999998E-3</v>
      </c>
      <c r="D803" s="380"/>
      <c r="E803" s="419">
        <v>441941</v>
      </c>
      <c r="F803" s="419">
        <v>-218290</v>
      </c>
      <c r="G803" s="419">
        <v>-658866</v>
      </c>
      <c r="H803" s="419">
        <v>-2349140</v>
      </c>
      <c r="I803" s="419">
        <v>0</v>
      </c>
      <c r="J803" s="380">
        <v>3.5036999999999998E-3</v>
      </c>
      <c r="K803" s="380"/>
      <c r="L803" s="419">
        <v>857734</v>
      </c>
      <c r="M803" s="419">
        <v>592378</v>
      </c>
      <c r="N803" s="419">
        <v>259316</v>
      </c>
      <c r="O803" s="419">
        <v>0</v>
      </c>
      <c r="P803" s="419">
        <v>0</v>
      </c>
      <c r="Q803" s="380">
        <v>3.5036999999999998E-3</v>
      </c>
      <c r="R803" s="380"/>
      <c r="S803" s="419">
        <v>-1760147</v>
      </c>
      <c r="T803" s="419">
        <v>-1739780</v>
      </c>
      <c r="U803" s="419">
        <v>-1827709</v>
      </c>
      <c r="V803" s="419">
        <v>-2349140</v>
      </c>
      <c r="W803" s="419">
        <v>0</v>
      </c>
      <c r="X803" s="380">
        <v>3.5036999999999998E-3</v>
      </c>
      <c r="Z803" s="419">
        <v>1403589</v>
      </c>
      <c r="AA803" s="419">
        <v>986099</v>
      </c>
      <c r="AB803" s="419">
        <v>986092</v>
      </c>
      <c r="AC803" s="419">
        <v>0</v>
      </c>
      <c r="AD803" s="419">
        <v>0</v>
      </c>
      <c r="AE803" s="380">
        <v>3.5036999999999998E-3</v>
      </c>
      <c r="AF803" s="380"/>
      <c r="AG803" s="419">
        <v>19582</v>
      </c>
      <c r="AH803" s="419">
        <v>19580</v>
      </c>
      <c r="AI803" s="419">
        <v>0</v>
      </c>
      <c r="AJ803" s="419">
        <v>0</v>
      </c>
      <c r="AK803" s="419">
        <v>0</v>
      </c>
      <c r="AL803" s="380">
        <v>3.5036999999999998E-3</v>
      </c>
      <c r="AM803" s="380"/>
      <c r="AN803" s="419">
        <v>-78817</v>
      </c>
      <c r="AO803" s="419">
        <v>-76567</v>
      </c>
      <c r="AP803" s="419">
        <v>-76565</v>
      </c>
      <c r="AQ803" s="419">
        <v>0</v>
      </c>
      <c r="AR803" s="419">
        <v>0</v>
      </c>
    </row>
    <row r="804" spans="1:44">
      <c r="A804" s="379">
        <v>98604</v>
      </c>
      <c r="B804" t="s">
        <v>1504</v>
      </c>
      <c r="C804" s="380">
        <v>1.5099999999999999E-5</v>
      </c>
      <c r="D804" s="380"/>
      <c r="E804" s="419">
        <v>5333</v>
      </c>
      <c r="F804" s="419">
        <v>2256</v>
      </c>
      <c r="G804" s="419">
        <v>-1622</v>
      </c>
      <c r="H804" s="419">
        <v>-10124</v>
      </c>
      <c r="I804" s="419">
        <v>0</v>
      </c>
      <c r="J804" s="380">
        <v>1.5099999999999999E-5</v>
      </c>
      <c r="K804" s="380"/>
      <c r="L804" s="419">
        <v>3697</v>
      </c>
      <c r="M804" s="419">
        <v>2553</v>
      </c>
      <c r="N804" s="419">
        <v>1118</v>
      </c>
      <c r="O804" s="419">
        <v>0</v>
      </c>
      <c r="P804" s="419">
        <v>0</v>
      </c>
      <c r="Q804" s="380">
        <v>1.5099999999999999E-5</v>
      </c>
      <c r="R804" s="380"/>
      <c r="S804" s="419">
        <v>-7586</v>
      </c>
      <c r="T804" s="419">
        <v>-7498</v>
      </c>
      <c r="U804" s="419">
        <v>-7877</v>
      </c>
      <c r="V804" s="419">
        <v>-10124</v>
      </c>
      <c r="W804" s="419">
        <v>0</v>
      </c>
      <c r="X804" s="380">
        <v>1.5099999999999999E-5</v>
      </c>
      <c r="Z804" s="419">
        <v>6049</v>
      </c>
      <c r="AA804" s="419">
        <v>4250</v>
      </c>
      <c r="AB804" s="419">
        <v>4250</v>
      </c>
      <c r="AC804" s="419">
        <v>0</v>
      </c>
      <c r="AD804" s="419">
        <v>0</v>
      </c>
      <c r="AE804" s="380">
        <v>1.5099999999999999E-5</v>
      </c>
      <c r="AF804" s="380"/>
      <c r="AG804" s="419">
        <v>3173</v>
      </c>
      <c r="AH804" s="419">
        <v>2951</v>
      </c>
      <c r="AI804" s="419">
        <v>887</v>
      </c>
      <c r="AJ804" s="419">
        <v>0</v>
      </c>
      <c r="AK804" s="419">
        <v>0</v>
      </c>
      <c r="AL804" s="380">
        <v>1.5099999999999999E-5</v>
      </c>
      <c r="AM804" s="380"/>
      <c r="AN804" s="419">
        <v>0</v>
      </c>
      <c r="AO804" s="419">
        <v>0</v>
      </c>
      <c r="AP804" s="419">
        <v>0</v>
      </c>
      <c r="AQ804" s="419">
        <v>0</v>
      </c>
      <c r="AR804" s="419">
        <v>0</v>
      </c>
    </row>
    <row r="805" spans="1:44">
      <c r="A805" s="379">
        <v>98607</v>
      </c>
      <c r="B805" t="s">
        <v>1505</v>
      </c>
      <c r="C805" s="380">
        <v>5.4E-6</v>
      </c>
      <c r="D805" s="380"/>
      <c r="E805" s="419">
        <v>1596</v>
      </c>
      <c r="F805" s="419">
        <v>230</v>
      </c>
      <c r="G805" s="419">
        <v>-428</v>
      </c>
      <c r="H805" s="419">
        <v>-3621</v>
      </c>
      <c r="I805" s="419">
        <v>0</v>
      </c>
      <c r="J805" s="380">
        <v>5.4E-6</v>
      </c>
      <c r="K805" s="380"/>
      <c r="L805" s="419">
        <v>1322</v>
      </c>
      <c r="M805" s="419">
        <v>913</v>
      </c>
      <c r="N805" s="419">
        <v>400</v>
      </c>
      <c r="O805" s="419">
        <v>0</v>
      </c>
      <c r="P805" s="419">
        <v>0</v>
      </c>
      <c r="Q805" s="380">
        <v>5.4E-6</v>
      </c>
      <c r="R805" s="380"/>
      <c r="S805" s="419">
        <v>-2713</v>
      </c>
      <c r="T805" s="419">
        <v>-2681</v>
      </c>
      <c r="U805" s="419">
        <v>-2817</v>
      </c>
      <c r="V805" s="419">
        <v>-3621</v>
      </c>
      <c r="W805" s="419">
        <v>0</v>
      </c>
      <c r="X805" s="380">
        <v>5.4E-6</v>
      </c>
      <c r="Z805" s="419">
        <v>2163</v>
      </c>
      <c r="AA805" s="419">
        <v>1520</v>
      </c>
      <c r="AB805" s="419">
        <v>1520</v>
      </c>
      <c r="AC805" s="419">
        <v>0</v>
      </c>
      <c r="AD805" s="419">
        <v>0</v>
      </c>
      <c r="AE805" s="380">
        <v>5.4E-6</v>
      </c>
      <c r="AF805" s="380"/>
      <c r="AG805" s="419">
        <v>1015</v>
      </c>
      <c r="AH805" s="419">
        <v>667</v>
      </c>
      <c r="AI805" s="419">
        <v>469</v>
      </c>
      <c r="AJ805" s="419">
        <v>0</v>
      </c>
      <c r="AK805" s="419">
        <v>0</v>
      </c>
      <c r="AL805" s="380">
        <v>5.4E-6</v>
      </c>
      <c r="AM805" s="380"/>
      <c r="AN805" s="419">
        <v>-191</v>
      </c>
      <c r="AO805" s="419">
        <v>-189</v>
      </c>
      <c r="AP805" s="419">
        <v>0</v>
      </c>
      <c r="AQ805" s="419">
        <v>0</v>
      </c>
      <c r="AR805" s="419">
        <v>0</v>
      </c>
    </row>
    <row r="806" spans="1:44">
      <c r="A806" s="379">
        <v>98608</v>
      </c>
      <c r="B806" t="s">
        <v>1506</v>
      </c>
      <c r="C806" s="380">
        <v>6.9300000000000004E-5</v>
      </c>
      <c r="D806" s="380"/>
      <c r="E806" s="419">
        <v>22060</v>
      </c>
      <c r="F806" s="419">
        <v>9211</v>
      </c>
      <c r="G806" s="419">
        <v>-8054</v>
      </c>
      <c r="H806" s="419">
        <v>-46464</v>
      </c>
      <c r="I806" s="419">
        <v>0</v>
      </c>
      <c r="J806" s="380">
        <v>6.9300000000000004E-5</v>
      </c>
      <c r="K806" s="380"/>
      <c r="L806" s="419">
        <v>16965</v>
      </c>
      <c r="M806" s="419">
        <v>11717</v>
      </c>
      <c r="N806" s="419">
        <v>5129</v>
      </c>
      <c r="O806" s="419">
        <v>0</v>
      </c>
      <c r="P806" s="419">
        <v>0</v>
      </c>
      <c r="Q806" s="380">
        <v>6.9300000000000004E-5</v>
      </c>
      <c r="R806" s="380"/>
      <c r="S806" s="419">
        <v>-34814</v>
      </c>
      <c r="T806" s="419">
        <v>-34411</v>
      </c>
      <c r="U806" s="419">
        <v>-36150</v>
      </c>
      <c r="V806" s="419">
        <v>-46464</v>
      </c>
      <c r="W806" s="419">
        <v>0</v>
      </c>
      <c r="X806" s="380">
        <v>6.9300000000000004E-5</v>
      </c>
      <c r="Z806" s="419">
        <v>27762</v>
      </c>
      <c r="AA806" s="419">
        <v>19504</v>
      </c>
      <c r="AB806" s="419">
        <v>19504</v>
      </c>
      <c r="AC806" s="419">
        <v>0</v>
      </c>
      <c r="AD806" s="419">
        <v>0</v>
      </c>
      <c r="AE806" s="380">
        <v>6.9300000000000004E-5</v>
      </c>
      <c r="AF806" s="380"/>
      <c r="AG806" s="419">
        <v>12399</v>
      </c>
      <c r="AH806" s="419">
        <v>12401</v>
      </c>
      <c r="AI806" s="419">
        <v>3463</v>
      </c>
      <c r="AJ806" s="419">
        <v>0</v>
      </c>
      <c r="AK806" s="419">
        <v>0</v>
      </c>
      <c r="AL806" s="380">
        <v>6.9300000000000004E-5</v>
      </c>
      <c r="AM806" s="380"/>
      <c r="AN806" s="419">
        <v>-252</v>
      </c>
      <c r="AO806" s="419">
        <v>0</v>
      </c>
      <c r="AP806" s="419">
        <v>0</v>
      </c>
      <c r="AQ806" s="419">
        <v>0</v>
      </c>
      <c r="AR806" s="419">
        <v>0</v>
      </c>
    </row>
    <row r="807" spans="1:44">
      <c r="A807" s="379">
        <v>98611</v>
      </c>
      <c r="B807" t="s">
        <v>1507</v>
      </c>
      <c r="C807" s="380">
        <v>1.1E-4</v>
      </c>
      <c r="D807" s="380"/>
      <c r="E807" s="419">
        <v>20040</v>
      </c>
      <c r="F807" s="419">
        <v>-6029</v>
      </c>
      <c r="G807" s="419">
        <v>-16481</v>
      </c>
      <c r="H807" s="419">
        <v>-73752</v>
      </c>
      <c r="I807" s="419">
        <v>0</v>
      </c>
      <c r="J807" s="380">
        <v>1.1E-4</v>
      </c>
      <c r="K807" s="380"/>
      <c r="L807" s="419">
        <v>26929</v>
      </c>
      <c r="M807" s="419">
        <v>18598</v>
      </c>
      <c r="N807" s="419">
        <v>8141</v>
      </c>
      <c r="O807" s="419">
        <v>0</v>
      </c>
      <c r="P807" s="419">
        <v>0</v>
      </c>
      <c r="Q807" s="380">
        <v>1.1E-4</v>
      </c>
      <c r="R807" s="380"/>
      <c r="S807" s="419">
        <v>-55260</v>
      </c>
      <c r="T807" s="419">
        <v>-54621</v>
      </c>
      <c r="U807" s="419">
        <v>-57382</v>
      </c>
      <c r="V807" s="419">
        <v>-73752</v>
      </c>
      <c r="W807" s="419">
        <v>0</v>
      </c>
      <c r="X807" s="380">
        <v>1.1E-4</v>
      </c>
      <c r="Z807" s="419">
        <v>44066</v>
      </c>
      <c r="AA807" s="419">
        <v>30959</v>
      </c>
      <c r="AB807" s="419">
        <v>30959</v>
      </c>
      <c r="AC807" s="419">
        <v>0</v>
      </c>
      <c r="AD807" s="419">
        <v>0</v>
      </c>
      <c r="AE807" s="380">
        <v>1.1E-4</v>
      </c>
      <c r="AF807" s="380"/>
      <c r="AG807" s="419">
        <v>8622</v>
      </c>
      <c r="AH807" s="419">
        <v>3351</v>
      </c>
      <c r="AI807" s="419">
        <v>1801</v>
      </c>
      <c r="AJ807" s="419">
        <v>0</v>
      </c>
      <c r="AK807" s="419">
        <v>0</v>
      </c>
      <c r="AL807" s="380">
        <v>1.1E-4</v>
      </c>
      <c r="AM807" s="380"/>
      <c r="AN807" s="419">
        <v>-4317</v>
      </c>
      <c r="AO807" s="419">
        <v>-4316</v>
      </c>
      <c r="AP807" s="419">
        <v>0</v>
      </c>
      <c r="AQ807" s="419">
        <v>0</v>
      </c>
      <c r="AR807" s="419">
        <v>0</v>
      </c>
    </row>
    <row r="808" spans="1:44">
      <c r="A808" s="379">
        <v>98621</v>
      </c>
      <c r="B808" t="s">
        <v>1508</v>
      </c>
      <c r="C808" s="380">
        <v>1.405E-4</v>
      </c>
      <c r="D808" s="380"/>
      <c r="E808" s="419">
        <v>21860</v>
      </c>
      <c r="F808" s="419">
        <v>-4764</v>
      </c>
      <c r="G808" s="419">
        <v>-23822</v>
      </c>
      <c r="H808" s="419">
        <v>-94202</v>
      </c>
      <c r="I808" s="419">
        <v>0</v>
      </c>
      <c r="J808" s="380">
        <v>1.405E-4</v>
      </c>
      <c r="K808" s="380"/>
      <c r="L808" s="419">
        <v>34396</v>
      </c>
      <c r="M808" s="419">
        <v>23755</v>
      </c>
      <c r="N808" s="419">
        <v>10399</v>
      </c>
      <c r="O808" s="419">
        <v>0</v>
      </c>
      <c r="P808" s="419">
        <v>0</v>
      </c>
      <c r="Q808" s="380">
        <v>1.405E-4</v>
      </c>
      <c r="R808" s="380"/>
      <c r="S808" s="419">
        <v>-70583</v>
      </c>
      <c r="T808" s="419">
        <v>-69766</v>
      </c>
      <c r="U808" s="419">
        <v>-73292</v>
      </c>
      <c r="V808" s="419">
        <v>-94202</v>
      </c>
      <c r="W808" s="419">
        <v>0</v>
      </c>
      <c r="X808" s="380">
        <v>1.405E-4</v>
      </c>
      <c r="Z808" s="419">
        <v>56285</v>
      </c>
      <c r="AA808" s="419">
        <v>39543</v>
      </c>
      <c r="AB808" s="419">
        <v>39543</v>
      </c>
      <c r="AC808" s="419">
        <v>0</v>
      </c>
      <c r="AD808" s="419">
        <v>0</v>
      </c>
      <c r="AE808" s="380">
        <v>1.405E-4</v>
      </c>
      <c r="AF808" s="380"/>
      <c r="AG808" s="419">
        <v>3792</v>
      </c>
      <c r="AH808" s="419">
        <v>3734</v>
      </c>
      <c r="AI808" s="419">
        <v>0</v>
      </c>
      <c r="AJ808" s="419">
        <v>0</v>
      </c>
      <c r="AK808" s="419">
        <v>0</v>
      </c>
      <c r="AL808" s="380">
        <v>1.405E-4</v>
      </c>
      <c r="AM808" s="380"/>
      <c r="AN808" s="419">
        <v>-2030</v>
      </c>
      <c r="AO808" s="419">
        <v>-2030</v>
      </c>
      <c r="AP808" s="419">
        <v>-472</v>
      </c>
      <c r="AQ808" s="419">
        <v>0</v>
      </c>
      <c r="AR808" s="419">
        <v>0</v>
      </c>
    </row>
    <row r="809" spans="1:44">
      <c r="A809" s="379">
        <v>98627</v>
      </c>
      <c r="B809" t="s">
        <v>1509</v>
      </c>
      <c r="C809" s="380">
        <v>1.0200000000000001E-5</v>
      </c>
      <c r="D809" s="380"/>
      <c r="E809" s="419">
        <v>2562</v>
      </c>
      <c r="F809" s="419">
        <v>801</v>
      </c>
      <c r="G809" s="419">
        <v>-85</v>
      </c>
      <c r="H809" s="419">
        <v>-6839</v>
      </c>
      <c r="I809" s="419">
        <v>0</v>
      </c>
      <c r="J809" s="380">
        <v>1.0200000000000001E-5</v>
      </c>
      <c r="K809" s="380"/>
      <c r="L809" s="419">
        <v>2497</v>
      </c>
      <c r="M809" s="419">
        <v>1725</v>
      </c>
      <c r="N809" s="419">
        <v>755</v>
      </c>
      <c r="O809" s="419">
        <v>0</v>
      </c>
      <c r="P809" s="419">
        <v>0</v>
      </c>
      <c r="Q809" s="380">
        <v>1.0200000000000001E-5</v>
      </c>
      <c r="R809" s="380"/>
      <c r="S809" s="419">
        <v>-5124</v>
      </c>
      <c r="T809" s="419">
        <v>-5065</v>
      </c>
      <c r="U809" s="419">
        <v>-5321</v>
      </c>
      <c r="V809" s="419">
        <v>-6839</v>
      </c>
      <c r="W809" s="419">
        <v>0</v>
      </c>
      <c r="X809" s="380">
        <v>1.0200000000000001E-5</v>
      </c>
      <c r="Z809" s="419">
        <v>4086</v>
      </c>
      <c r="AA809" s="419">
        <v>2871</v>
      </c>
      <c r="AB809" s="419">
        <v>2871</v>
      </c>
      <c r="AC809" s="419">
        <v>0</v>
      </c>
      <c r="AD809" s="419">
        <v>0</v>
      </c>
      <c r="AE809" s="380">
        <v>1.0200000000000001E-5</v>
      </c>
      <c r="AF809" s="380"/>
      <c r="AG809" s="419">
        <v>1610</v>
      </c>
      <c r="AH809" s="419">
        <v>1610</v>
      </c>
      <c r="AI809" s="419">
        <v>1610</v>
      </c>
      <c r="AJ809" s="419">
        <v>0</v>
      </c>
      <c r="AK809" s="419">
        <v>0</v>
      </c>
      <c r="AL809" s="380">
        <v>1.0200000000000001E-5</v>
      </c>
      <c r="AM809" s="380"/>
      <c r="AN809" s="419">
        <v>-507</v>
      </c>
      <c r="AO809" s="419">
        <v>-340</v>
      </c>
      <c r="AP809" s="419">
        <v>0</v>
      </c>
      <c r="AQ809" s="419">
        <v>0</v>
      </c>
      <c r="AR809" s="419">
        <v>0</v>
      </c>
    </row>
    <row r="810" spans="1:44">
      <c r="A810" s="379">
        <v>98631</v>
      </c>
      <c r="B810" t="s">
        <v>1510</v>
      </c>
      <c r="C810" s="380">
        <v>8.5400000000000005E-4</v>
      </c>
      <c r="D810" s="380"/>
      <c r="E810" s="419">
        <v>51989</v>
      </c>
      <c r="F810" s="419">
        <v>-114230</v>
      </c>
      <c r="G810" s="419">
        <v>-189052</v>
      </c>
      <c r="H810" s="419">
        <v>-572585</v>
      </c>
      <c r="I810" s="419">
        <v>0</v>
      </c>
      <c r="J810" s="380">
        <v>8.5400000000000005E-4</v>
      </c>
      <c r="K810" s="380"/>
      <c r="L810" s="419">
        <v>209066</v>
      </c>
      <c r="M810" s="419">
        <v>144387</v>
      </c>
      <c r="N810" s="419">
        <v>63206</v>
      </c>
      <c r="O810" s="419">
        <v>0</v>
      </c>
      <c r="P810" s="419">
        <v>0</v>
      </c>
      <c r="Q810" s="380">
        <v>8.5400000000000005E-4</v>
      </c>
      <c r="R810" s="380"/>
      <c r="S810" s="419">
        <v>-429022</v>
      </c>
      <c r="T810" s="419">
        <v>-424058</v>
      </c>
      <c r="U810" s="419">
        <v>-445490</v>
      </c>
      <c r="V810" s="419">
        <v>-572585</v>
      </c>
      <c r="W810" s="419">
        <v>0</v>
      </c>
      <c r="X810" s="380">
        <v>8.5400000000000005E-4</v>
      </c>
      <c r="Z810" s="419">
        <v>342114</v>
      </c>
      <c r="AA810" s="419">
        <v>240354</v>
      </c>
      <c r="AB810" s="419">
        <v>240352</v>
      </c>
      <c r="AC810" s="419">
        <v>0</v>
      </c>
      <c r="AD810" s="419">
        <v>0</v>
      </c>
      <c r="AE810" s="380">
        <v>8.5400000000000005E-4</v>
      </c>
      <c r="AF810" s="380"/>
      <c r="AG810" s="419">
        <v>4747</v>
      </c>
      <c r="AH810" s="419">
        <v>0</v>
      </c>
      <c r="AI810" s="419">
        <v>0</v>
      </c>
      <c r="AJ810" s="419">
        <v>0</v>
      </c>
      <c r="AK810" s="419">
        <v>0</v>
      </c>
      <c r="AL810" s="380">
        <v>8.5400000000000005E-4</v>
      </c>
      <c r="AM810" s="380"/>
      <c r="AN810" s="419">
        <v>-74916</v>
      </c>
      <c r="AO810" s="419">
        <v>-74913</v>
      </c>
      <c r="AP810" s="419">
        <v>-47120</v>
      </c>
      <c r="AQ810" s="419">
        <v>0</v>
      </c>
      <c r="AR810" s="419">
        <v>0</v>
      </c>
    </row>
    <row r="811" spans="1:44">
      <c r="A811" s="379">
        <v>98637</v>
      </c>
      <c r="B811" t="s">
        <v>1511</v>
      </c>
      <c r="C811" s="380">
        <v>2.1299999999999999E-5</v>
      </c>
      <c r="D811" s="380"/>
      <c r="E811" s="419">
        <v>11161</v>
      </c>
      <c r="F811" s="419">
        <v>5980</v>
      </c>
      <c r="G811" s="419">
        <v>-2619</v>
      </c>
      <c r="H811" s="419">
        <v>-14281</v>
      </c>
      <c r="I811" s="419">
        <v>0</v>
      </c>
      <c r="J811" s="380">
        <v>2.1299999999999999E-5</v>
      </c>
      <c r="K811" s="380"/>
      <c r="L811" s="419">
        <v>5214</v>
      </c>
      <c r="M811" s="419">
        <v>3601</v>
      </c>
      <c r="N811" s="419">
        <v>1576</v>
      </c>
      <c r="O811" s="419">
        <v>0</v>
      </c>
      <c r="P811" s="419">
        <v>0</v>
      </c>
      <c r="Q811" s="380">
        <v>2.1299999999999999E-5</v>
      </c>
      <c r="R811" s="380"/>
      <c r="S811" s="419">
        <v>-10700</v>
      </c>
      <c r="T811" s="419">
        <v>-10577</v>
      </c>
      <c r="U811" s="419">
        <v>-11111</v>
      </c>
      <c r="V811" s="419">
        <v>-14281</v>
      </c>
      <c r="W811" s="419">
        <v>0</v>
      </c>
      <c r="X811" s="380">
        <v>2.1299999999999999E-5</v>
      </c>
      <c r="Z811" s="419">
        <v>8533</v>
      </c>
      <c r="AA811" s="419">
        <v>5995</v>
      </c>
      <c r="AB811" s="419">
        <v>5995</v>
      </c>
      <c r="AC811" s="419">
        <v>0</v>
      </c>
      <c r="AD811" s="419">
        <v>0</v>
      </c>
      <c r="AE811" s="380">
        <v>2.1299999999999999E-5</v>
      </c>
      <c r="AF811" s="380"/>
      <c r="AG811" s="419">
        <v>8114</v>
      </c>
      <c r="AH811" s="419">
        <v>6961</v>
      </c>
      <c r="AI811" s="419">
        <v>921</v>
      </c>
      <c r="AJ811" s="419">
        <v>0</v>
      </c>
      <c r="AK811" s="419">
        <v>0</v>
      </c>
      <c r="AL811" s="380">
        <v>2.1299999999999999E-5</v>
      </c>
      <c r="AM811" s="380"/>
      <c r="AN811" s="419">
        <v>0</v>
      </c>
      <c r="AO811" s="419">
        <v>0</v>
      </c>
      <c r="AP811" s="419">
        <v>0</v>
      </c>
      <c r="AQ811" s="419">
        <v>0</v>
      </c>
      <c r="AR811" s="419">
        <v>0</v>
      </c>
    </row>
    <row r="812" spans="1:44">
      <c r="A812" s="379">
        <v>98641</v>
      </c>
      <c r="B812" t="s">
        <v>1512</v>
      </c>
      <c r="C812" s="380">
        <v>3.1060000000000001E-4</v>
      </c>
      <c r="D812" s="380"/>
      <c r="E812" s="419">
        <v>64121</v>
      </c>
      <c r="F812" s="419">
        <v>5122</v>
      </c>
      <c r="G812" s="419">
        <v>-39970</v>
      </c>
      <c r="H812" s="419">
        <v>-208249</v>
      </c>
      <c r="I812" s="419">
        <v>0</v>
      </c>
      <c r="J812" s="380">
        <v>3.1060000000000001E-4</v>
      </c>
      <c r="K812" s="380"/>
      <c r="L812" s="419">
        <v>76037</v>
      </c>
      <c r="M812" s="419">
        <v>52514</v>
      </c>
      <c r="N812" s="419">
        <v>22988</v>
      </c>
      <c r="O812" s="419">
        <v>0</v>
      </c>
      <c r="P812" s="419">
        <v>0</v>
      </c>
      <c r="Q812" s="380">
        <v>3.1060000000000001E-4</v>
      </c>
      <c r="R812" s="380"/>
      <c r="S812" s="419">
        <v>-156036</v>
      </c>
      <c r="T812" s="419">
        <v>-154230</v>
      </c>
      <c r="U812" s="419">
        <v>-162025</v>
      </c>
      <c r="V812" s="419">
        <v>-208249</v>
      </c>
      <c r="W812" s="419">
        <v>0</v>
      </c>
      <c r="X812" s="380">
        <v>3.1060000000000001E-4</v>
      </c>
      <c r="Z812" s="419">
        <v>124427</v>
      </c>
      <c r="AA812" s="419">
        <v>87417</v>
      </c>
      <c r="AB812" s="419">
        <v>87416</v>
      </c>
      <c r="AC812" s="419">
        <v>0</v>
      </c>
      <c r="AD812" s="419">
        <v>0</v>
      </c>
      <c r="AE812" s="380">
        <v>3.1060000000000001E-4</v>
      </c>
      <c r="AF812" s="380"/>
      <c r="AG812" s="419">
        <v>21353</v>
      </c>
      <c r="AH812" s="419">
        <v>21079</v>
      </c>
      <c r="AI812" s="419">
        <v>11651</v>
      </c>
      <c r="AJ812" s="419">
        <v>0</v>
      </c>
      <c r="AK812" s="419">
        <v>0</v>
      </c>
      <c r="AL812" s="380">
        <v>3.1060000000000001E-4</v>
      </c>
      <c r="AM812" s="380"/>
      <c r="AN812" s="419">
        <v>-1660</v>
      </c>
      <c r="AO812" s="419">
        <v>-1658</v>
      </c>
      <c r="AP812" s="419">
        <v>0</v>
      </c>
      <c r="AQ812" s="419">
        <v>0</v>
      </c>
      <c r="AR812" s="419">
        <v>0</v>
      </c>
    </row>
    <row r="813" spans="1:44">
      <c r="A813" s="379">
        <v>98701</v>
      </c>
      <c r="B813" t="s">
        <v>1513</v>
      </c>
      <c r="C813" s="380">
        <v>1.0554E-3</v>
      </c>
      <c r="D813" s="380"/>
      <c r="E813" s="419">
        <v>178753</v>
      </c>
      <c r="F813" s="419">
        <v>-10902</v>
      </c>
      <c r="G813" s="419">
        <v>-135488</v>
      </c>
      <c r="H813" s="419">
        <v>-707618</v>
      </c>
      <c r="I813" s="419">
        <v>0</v>
      </c>
      <c r="J813" s="380">
        <v>1.0554E-3</v>
      </c>
      <c r="K813" s="380"/>
      <c r="L813" s="419">
        <v>258370</v>
      </c>
      <c r="M813" s="419">
        <v>178439</v>
      </c>
      <c r="N813" s="419">
        <v>78112</v>
      </c>
      <c r="O813" s="419">
        <v>0</v>
      </c>
      <c r="P813" s="419">
        <v>0</v>
      </c>
      <c r="Q813" s="380">
        <v>1.0554E-3</v>
      </c>
      <c r="R813" s="380"/>
      <c r="S813" s="419">
        <v>-530199</v>
      </c>
      <c r="T813" s="419">
        <v>-524064</v>
      </c>
      <c r="U813" s="419">
        <v>-550550</v>
      </c>
      <c r="V813" s="419">
        <v>-707618</v>
      </c>
      <c r="W813" s="419">
        <v>0</v>
      </c>
      <c r="X813" s="380">
        <v>1.0554E-3</v>
      </c>
      <c r="Z813" s="419">
        <v>422795</v>
      </c>
      <c r="AA813" s="419">
        <v>297037</v>
      </c>
      <c r="AB813" s="419">
        <v>297035</v>
      </c>
      <c r="AC813" s="419">
        <v>0</v>
      </c>
      <c r="AD813" s="419">
        <v>0</v>
      </c>
      <c r="AE813" s="380">
        <v>1.0554E-3</v>
      </c>
      <c r="AF813" s="380"/>
      <c r="AG813" s="419">
        <v>57066</v>
      </c>
      <c r="AH813" s="419">
        <v>57065</v>
      </c>
      <c r="AI813" s="419">
        <v>39915</v>
      </c>
      <c r="AJ813" s="419">
        <v>0</v>
      </c>
      <c r="AK813" s="419">
        <v>0</v>
      </c>
      <c r="AL813" s="380">
        <v>1.0554E-3</v>
      </c>
      <c r="AM813" s="380"/>
      <c r="AN813" s="419">
        <v>-29279</v>
      </c>
      <c r="AO813" s="419">
        <v>-19379</v>
      </c>
      <c r="AP813" s="419">
        <v>0</v>
      </c>
      <c r="AQ813" s="419">
        <v>0</v>
      </c>
      <c r="AR813" s="419">
        <v>0</v>
      </c>
    </row>
    <row r="814" spans="1:44">
      <c r="A814" s="379">
        <v>98711</v>
      </c>
      <c r="B814" t="s">
        <v>1514</v>
      </c>
      <c r="C814" s="380">
        <v>1.6440000000000001E-4</v>
      </c>
      <c r="D814" s="380"/>
      <c r="E814" s="419">
        <v>15706</v>
      </c>
      <c r="F814" s="419">
        <v>-10349</v>
      </c>
      <c r="G814" s="419">
        <v>-18362</v>
      </c>
      <c r="H814" s="419">
        <v>-110226</v>
      </c>
      <c r="I814" s="419">
        <v>0</v>
      </c>
      <c r="J814" s="380">
        <v>1.6440000000000001E-4</v>
      </c>
      <c r="K814" s="380"/>
      <c r="L814" s="419">
        <v>40246</v>
      </c>
      <c r="M814" s="419">
        <v>27795</v>
      </c>
      <c r="N814" s="419">
        <v>12168</v>
      </c>
      <c r="O814" s="419">
        <v>0</v>
      </c>
      <c r="P814" s="419">
        <v>0</v>
      </c>
      <c r="Q814" s="380">
        <v>1.6440000000000001E-4</v>
      </c>
      <c r="R814" s="380"/>
      <c r="S814" s="419">
        <v>-82589</v>
      </c>
      <c r="T814" s="419">
        <v>-81634</v>
      </c>
      <c r="U814" s="419">
        <v>-85759</v>
      </c>
      <c r="V814" s="419">
        <v>-110226</v>
      </c>
      <c r="W814" s="419">
        <v>0</v>
      </c>
      <c r="X814" s="380">
        <v>1.6440000000000001E-4</v>
      </c>
      <c r="Z814" s="419">
        <v>65859</v>
      </c>
      <c r="AA814" s="419">
        <v>46270</v>
      </c>
      <c r="AB814" s="419">
        <v>46269</v>
      </c>
      <c r="AC814" s="419">
        <v>0</v>
      </c>
      <c r="AD814" s="419">
        <v>0</v>
      </c>
      <c r="AE814" s="380">
        <v>1.6440000000000001E-4</v>
      </c>
      <c r="AF814" s="380"/>
      <c r="AG814" s="419">
        <v>8961</v>
      </c>
      <c r="AH814" s="419">
        <v>8961</v>
      </c>
      <c r="AI814" s="419">
        <v>8960</v>
      </c>
      <c r="AJ814" s="419">
        <v>0</v>
      </c>
      <c r="AK814" s="419">
        <v>0</v>
      </c>
      <c r="AL814" s="380">
        <v>1.6440000000000001E-4</v>
      </c>
      <c r="AM814" s="380"/>
      <c r="AN814" s="419">
        <v>-16771</v>
      </c>
      <c r="AO814" s="419">
        <v>-11741</v>
      </c>
      <c r="AP814" s="419">
        <v>0</v>
      </c>
      <c r="AQ814" s="419">
        <v>0</v>
      </c>
      <c r="AR814" s="419">
        <v>0</v>
      </c>
    </row>
    <row r="815" spans="1:44">
      <c r="A815" s="379">
        <v>98717</v>
      </c>
      <c r="B815" t="s">
        <v>1515</v>
      </c>
      <c r="C815" s="380">
        <v>1.1600000000000001E-5</v>
      </c>
      <c r="D815" s="380"/>
      <c r="E815" s="419">
        <v>-2516</v>
      </c>
      <c r="F815" s="419">
        <v>-4277</v>
      </c>
      <c r="G815" s="419">
        <v>-3916</v>
      </c>
      <c r="H815" s="419">
        <v>-7777</v>
      </c>
      <c r="I815" s="419">
        <v>0</v>
      </c>
      <c r="J815" s="380">
        <v>1.1600000000000001E-5</v>
      </c>
      <c r="K815" s="380"/>
      <c r="L815" s="419">
        <v>2840</v>
      </c>
      <c r="M815" s="419">
        <v>1961</v>
      </c>
      <c r="N815" s="419">
        <v>859</v>
      </c>
      <c r="O815" s="419">
        <v>0</v>
      </c>
      <c r="P815" s="419">
        <v>0</v>
      </c>
      <c r="Q815" s="380">
        <v>1.1600000000000001E-5</v>
      </c>
      <c r="R815" s="380"/>
      <c r="S815" s="419">
        <v>-5827</v>
      </c>
      <c r="T815" s="419">
        <v>-5760</v>
      </c>
      <c r="U815" s="419">
        <v>-6051</v>
      </c>
      <c r="V815" s="419">
        <v>-7777</v>
      </c>
      <c r="W815" s="419">
        <v>0</v>
      </c>
      <c r="X815" s="380">
        <v>1.1600000000000001E-5</v>
      </c>
      <c r="Z815" s="419">
        <v>4647</v>
      </c>
      <c r="AA815" s="419">
        <v>3265</v>
      </c>
      <c r="AB815" s="419">
        <v>3265</v>
      </c>
      <c r="AC815" s="419">
        <v>0</v>
      </c>
      <c r="AD815" s="419">
        <v>0</v>
      </c>
      <c r="AE815" s="380">
        <v>1.1600000000000001E-5</v>
      </c>
      <c r="AF815" s="380"/>
      <c r="AG815" s="419">
        <v>371</v>
      </c>
      <c r="AH815" s="419">
        <v>372</v>
      </c>
      <c r="AI815" s="419">
        <v>0</v>
      </c>
      <c r="AJ815" s="419">
        <v>0</v>
      </c>
      <c r="AK815" s="419">
        <v>0</v>
      </c>
      <c r="AL815" s="380">
        <v>1.1600000000000001E-5</v>
      </c>
      <c r="AM815" s="380"/>
      <c r="AN815" s="419">
        <v>-4547</v>
      </c>
      <c r="AO815" s="419">
        <v>-4115</v>
      </c>
      <c r="AP815" s="419">
        <v>-1989</v>
      </c>
      <c r="AQ815" s="419">
        <v>0</v>
      </c>
      <c r="AR815" s="419">
        <v>0</v>
      </c>
    </row>
    <row r="816" spans="1:44">
      <c r="A816" s="379">
        <v>98801</v>
      </c>
      <c r="B816" t="s">
        <v>1516</v>
      </c>
      <c r="C816" s="380">
        <v>2.4087000000000002E-3</v>
      </c>
      <c r="D816" s="380"/>
      <c r="E816" s="419">
        <v>515731</v>
      </c>
      <c r="F816" s="419">
        <v>79318</v>
      </c>
      <c r="G816" s="419">
        <v>-318684</v>
      </c>
      <c r="H816" s="419">
        <v>-1614971</v>
      </c>
      <c r="I816" s="419">
        <v>0</v>
      </c>
      <c r="J816" s="380">
        <v>2.4087000000000002E-3</v>
      </c>
      <c r="K816" s="380"/>
      <c r="L816" s="419">
        <v>589669</v>
      </c>
      <c r="M816" s="419">
        <v>407244</v>
      </c>
      <c r="N816" s="419">
        <v>178273</v>
      </c>
      <c r="O816" s="419">
        <v>0</v>
      </c>
      <c r="P816" s="419">
        <v>0</v>
      </c>
      <c r="Q816" s="380">
        <v>2.4087000000000002E-3</v>
      </c>
      <c r="R816" s="380"/>
      <c r="S816" s="419">
        <v>-1210054</v>
      </c>
      <c r="T816" s="419">
        <v>-1196052</v>
      </c>
      <c r="U816" s="419">
        <v>-1256501</v>
      </c>
      <c r="V816" s="419">
        <v>-1614971</v>
      </c>
      <c r="W816" s="419">
        <v>0</v>
      </c>
      <c r="X816" s="380">
        <v>2.4087000000000002E-3</v>
      </c>
      <c r="Z816" s="419">
        <v>964930</v>
      </c>
      <c r="AA816" s="419">
        <v>677917</v>
      </c>
      <c r="AB816" s="419">
        <v>677912</v>
      </c>
      <c r="AC816" s="419">
        <v>0</v>
      </c>
      <c r="AD816" s="419">
        <v>0</v>
      </c>
      <c r="AE816" s="380">
        <v>2.4087000000000002E-3</v>
      </c>
      <c r="AF816" s="380"/>
      <c r="AG816" s="419">
        <v>190207</v>
      </c>
      <c r="AH816" s="419">
        <v>190209</v>
      </c>
      <c r="AI816" s="419">
        <v>81632</v>
      </c>
      <c r="AJ816" s="419">
        <v>0</v>
      </c>
      <c r="AK816" s="419">
        <v>0</v>
      </c>
      <c r="AL816" s="380">
        <v>2.4087000000000002E-3</v>
      </c>
      <c r="AM816" s="380"/>
      <c r="AN816" s="419">
        <v>-19021</v>
      </c>
      <c r="AO816" s="419">
        <v>0</v>
      </c>
      <c r="AP816" s="419">
        <v>0</v>
      </c>
      <c r="AQ816" s="419">
        <v>0</v>
      </c>
      <c r="AR816" s="419">
        <v>0</v>
      </c>
    </row>
    <row r="817" spans="1:44">
      <c r="A817" s="379">
        <v>98811</v>
      </c>
      <c r="B817" t="s">
        <v>1517</v>
      </c>
      <c r="C817" s="380">
        <v>5.6229999999999995E-4</v>
      </c>
      <c r="D817" s="380"/>
      <c r="E817" s="419">
        <v>54903</v>
      </c>
      <c r="F817" s="419">
        <v>-53252</v>
      </c>
      <c r="G817" s="419">
        <v>-135162</v>
      </c>
      <c r="H817" s="419">
        <v>-377008</v>
      </c>
      <c r="I817" s="419">
        <v>0</v>
      </c>
      <c r="J817" s="380">
        <v>5.6229999999999995E-4</v>
      </c>
      <c r="K817" s="380"/>
      <c r="L817" s="419">
        <v>137656</v>
      </c>
      <c r="M817" s="419">
        <v>95069</v>
      </c>
      <c r="N817" s="419">
        <v>41617</v>
      </c>
      <c r="O817" s="419">
        <v>0</v>
      </c>
      <c r="P817" s="419">
        <v>0</v>
      </c>
      <c r="Q817" s="380">
        <v>5.6229999999999995E-4</v>
      </c>
      <c r="R817" s="380"/>
      <c r="S817" s="419">
        <v>-282482</v>
      </c>
      <c r="T817" s="419">
        <v>-279213</v>
      </c>
      <c r="U817" s="419">
        <v>-293324</v>
      </c>
      <c r="V817" s="419">
        <v>-377008</v>
      </c>
      <c r="W817" s="419">
        <v>0</v>
      </c>
      <c r="X817" s="380">
        <v>5.6229999999999995E-4</v>
      </c>
      <c r="Z817" s="419">
        <v>225259</v>
      </c>
      <c r="AA817" s="419">
        <v>158257</v>
      </c>
      <c r="AB817" s="419">
        <v>158255</v>
      </c>
      <c r="AC817" s="419">
        <v>0</v>
      </c>
      <c r="AD817" s="419">
        <v>0</v>
      </c>
      <c r="AE817" s="380">
        <v>5.6229999999999995E-4</v>
      </c>
      <c r="AF817" s="380"/>
      <c r="AG817" s="419">
        <v>16179</v>
      </c>
      <c r="AH817" s="419">
        <v>14344</v>
      </c>
      <c r="AI817" s="419">
        <v>0</v>
      </c>
      <c r="AJ817" s="419">
        <v>0</v>
      </c>
      <c r="AK817" s="419">
        <v>0</v>
      </c>
      <c r="AL817" s="380">
        <v>5.6229999999999995E-4</v>
      </c>
      <c r="AM817" s="380"/>
      <c r="AN817" s="419">
        <v>-41709</v>
      </c>
      <c r="AO817" s="419">
        <v>-41709</v>
      </c>
      <c r="AP817" s="419">
        <v>-41710</v>
      </c>
      <c r="AQ817" s="419">
        <v>0</v>
      </c>
      <c r="AR817" s="419">
        <v>0</v>
      </c>
    </row>
    <row r="818" spans="1:44">
      <c r="A818" s="379">
        <v>98817</v>
      </c>
      <c r="B818" t="s">
        <v>1518</v>
      </c>
      <c r="C818" s="380">
        <v>1.5999999999999999E-5</v>
      </c>
      <c r="D818" s="380"/>
      <c r="E818" s="419">
        <v>3338</v>
      </c>
      <c r="F818" s="419">
        <v>73</v>
      </c>
      <c r="G818" s="419">
        <v>-534</v>
      </c>
      <c r="H818" s="419">
        <v>-10728</v>
      </c>
      <c r="I818" s="419">
        <v>0</v>
      </c>
      <c r="J818" s="380">
        <v>1.5999999999999999E-5</v>
      </c>
      <c r="K818" s="380"/>
      <c r="L818" s="419">
        <v>3917</v>
      </c>
      <c r="M818" s="419">
        <v>2705</v>
      </c>
      <c r="N818" s="419">
        <v>1184</v>
      </c>
      <c r="O818" s="419">
        <v>0</v>
      </c>
      <c r="P818" s="419">
        <v>0</v>
      </c>
      <c r="Q818" s="380">
        <v>1.5999999999999999E-5</v>
      </c>
      <c r="R818" s="380"/>
      <c r="S818" s="419">
        <v>-8038</v>
      </c>
      <c r="T818" s="419">
        <v>-7945</v>
      </c>
      <c r="U818" s="419">
        <v>-8346</v>
      </c>
      <c r="V818" s="419">
        <v>-10728</v>
      </c>
      <c r="W818" s="419">
        <v>0</v>
      </c>
      <c r="X818" s="380">
        <v>1.5999999999999999E-5</v>
      </c>
      <c r="Z818" s="419">
        <v>6410</v>
      </c>
      <c r="AA818" s="419">
        <v>4503</v>
      </c>
      <c r="AB818" s="419">
        <v>4503</v>
      </c>
      <c r="AC818" s="419">
        <v>0</v>
      </c>
      <c r="AD818" s="419">
        <v>0</v>
      </c>
      <c r="AE818" s="380">
        <v>1.5999999999999999E-5</v>
      </c>
      <c r="AF818" s="380"/>
      <c r="AG818" s="419">
        <v>2364</v>
      </c>
      <c r="AH818" s="419">
        <v>2124</v>
      </c>
      <c r="AI818" s="419">
        <v>2125</v>
      </c>
      <c r="AJ818" s="419">
        <v>0</v>
      </c>
      <c r="AK818" s="419">
        <v>0</v>
      </c>
      <c r="AL818" s="380">
        <v>1.5999999999999999E-5</v>
      </c>
      <c r="AM818" s="380"/>
      <c r="AN818" s="419">
        <v>-1315</v>
      </c>
      <c r="AO818" s="419">
        <v>-1314</v>
      </c>
      <c r="AP818" s="419">
        <v>0</v>
      </c>
      <c r="AQ818" s="419">
        <v>0</v>
      </c>
      <c r="AR818" s="419">
        <v>0</v>
      </c>
    </row>
    <row r="819" spans="1:44">
      <c r="A819" s="379">
        <v>98901</v>
      </c>
      <c r="B819" t="s">
        <v>1519</v>
      </c>
      <c r="C819" s="380">
        <v>2.7609999999999999E-4</v>
      </c>
      <c r="D819" s="380"/>
      <c r="E819" s="419">
        <v>41429</v>
      </c>
      <c r="F819" s="419">
        <v>-5265</v>
      </c>
      <c r="G819" s="419">
        <v>-46913</v>
      </c>
      <c r="H819" s="419">
        <v>-185118</v>
      </c>
      <c r="I819" s="419">
        <v>0</v>
      </c>
      <c r="J819" s="380">
        <v>2.7609999999999999E-4</v>
      </c>
      <c r="K819" s="380"/>
      <c r="L819" s="419">
        <v>67591</v>
      </c>
      <c r="M819" s="419">
        <v>46681</v>
      </c>
      <c r="N819" s="419">
        <v>20435</v>
      </c>
      <c r="O819" s="419">
        <v>0</v>
      </c>
      <c r="P819" s="419">
        <v>0</v>
      </c>
      <c r="Q819" s="380">
        <v>2.7609999999999999E-4</v>
      </c>
      <c r="R819" s="380"/>
      <c r="S819" s="419">
        <v>-138704</v>
      </c>
      <c r="T819" s="419">
        <v>-137099</v>
      </c>
      <c r="U819" s="419">
        <v>-144028</v>
      </c>
      <c r="V819" s="419">
        <v>-185118</v>
      </c>
      <c r="W819" s="419">
        <v>0</v>
      </c>
      <c r="X819" s="380">
        <v>2.7609999999999999E-4</v>
      </c>
      <c r="Z819" s="419">
        <v>110606</v>
      </c>
      <c r="AA819" s="419">
        <v>77707</v>
      </c>
      <c r="AB819" s="419">
        <v>77706</v>
      </c>
      <c r="AC819" s="419">
        <v>0</v>
      </c>
      <c r="AD819" s="419">
        <v>0</v>
      </c>
      <c r="AE819" s="380">
        <v>2.7609999999999999E-4</v>
      </c>
      <c r="AF819" s="380"/>
      <c r="AG819" s="419">
        <v>8478</v>
      </c>
      <c r="AH819" s="419">
        <v>8474</v>
      </c>
      <c r="AI819" s="419">
        <v>0</v>
      </c>
      <c r="AJ819" s="419">
        <v>0</v>
      </c>
      <c r="AK819" s="419">
        <v>0</v>
      </c>
      <c r="AL819" s="380">
        <v>2.7609999999999999E-4</v>
      </c>
      <c r="AM819" s="380"/>
      <c r="AN819" s="419">
        <v>-6542</v>
      </c>
      <c r="AO819" s="419">
        <v>-1028</v>
      </c>
      <c r="AP819" s="419">
        <v>-1026</v>
      </c>
      <c r="AQ819" s="419">
        <v>0</v>
      </c>
      <c r="AR819" s="419">
        <v>0</v>
      </c>
    </row>
    <row r="820" spans="1:44">
      <c r="A820" s="379">
        <v>98904</v>
      </c>
      <c r="B820" t="s">
        <v>1520</v>
      </c>
      <c r="C820" s="380">
        <v>2.9000000000000002E-6</v>
      </c>
      <c r="D820" s="380"/>
      <c r="E820" s="419">
        <v>-258</v>
      </c>
      <c r="F820" s="419">
        <v>-956</v>
      </c>
      <c r="G820" s="419">
        <v>-1160</v>
      </c>
      <c r="H820" s="419">
        <v>-1944</v>
      </c>
      <c r="I820" s="419">
        <v>0</v>
      </c>
      <c r="J820" s="380">
        <v>2.9000000000000002E-6</v>
      </c>
      <c r="K820" s="380"/>
      <c r="L820" s="419">
        <v>710</v>
      </c>
      <c r="M820" s="419">
        <v>490</v>
      </c>
      <c r="N820" s="419">
        <v>215</v>
      </c>
      <c r="O820" s="419">
        <v>0</v>
      </c>
      <c r="P820" s="419">
        <v>0</v>
      </c>
      <c r="Q820" s="380">
        <v>2.9000000000000002E-6</v>
      </c>
      <c r="R820" s="380"/>
      <c r="S820" s="419">
        <v>-1457</v>
      </c>
      <c r="T820" s="419">
        <v>-1440</v>
      </c>
      <c r="U820" s="419">
        <v>-1513</v>
      </c>
      <c r="V820" s="419">
        <v>-1944</v>
      </c>
      <c r="W820" s="419">
        <v>0</v>
      </c>
      <c r="X820" s="380">
        <v>2.9000000000000002E-6</v>
      </c>
      <c r="Z820" s="419">
        <v>1162</v>
      </c>
      <c r="AA820" s="419">
        <v>816</v>
      </c>
      <c r="AB820" s="419">
        <v>816</v>
      </c>
      <c r="AC820" s="419">
        <v>0</v>
      </c>
      <c r="AD820" s="419">
        <v>0</v>
      </c>
      <c r="AE820" s="380">
        <v>2.9000000000000002E-6</v>
      </c>
      <c r="AF820" s="380"/>
      <c r="AG820" s="419">
        <v>151</v>
      </c>
      <c r="AH820" s="419">
        <v>0</v>
      </c>
      <c r="AI820" s="419">
        <v>0</v>
      </c>
      <c r="AJ820" s="419">
        <v>0</v>
      </c>
      <c r="AK820" s="419">
        <v>0</v>
      </c>
      <c r="AL820" s="380">
        <v>2.9000000000000002E-6</v>
      </c>
      <c r="AM820" s="380"/>
      <c r="AN820" s="419">
        <v>-824</v>
      </c>
      <c r="AO820" s="419">
        <v>-822</v>
      </c>
      <c r="AP820" s="419">
        <v>-678</v>
      </c>
      <c r="AQ820" s="419">
        <v>0</v>
      </c>
      <c r="AR820" s="419">
        <v>0</v>
      </c>
    </row>
    <row r="821" spans="1:44">
      <c r="A821" s="379">
        <v>98911</v>
      </c>
      <c r="B821" t="s">
        <v>1521</v>
      </c>
      <c r="C821" s="380">
        <v>2.2500000000000001E-5</v>
      </c>
      <c r="D821" s="380"/>
      <c r="E821" s="419">
        <v>10626</v>
      </c>
      <c r="F821" s="419">
        <v>5016</v>
      </c>
      <c r="G821" s="419">
        <v>-1520</v>
      </c>
      <c r="H821" s="419">
        <v>-15086</v>
      </c>
      <c r="I821" s="419">
        <v>0</v>
      </c>
      <c r="J821" s="380">
        <v>2.2500000000000001E-5</v>
      </c>
      <c r="K821" s="380"/>
      <c r="L821" s="419">
        <v>5508</v>
      </c>
      <c r="M821" s="419">
        <v>3804</v>
      </c>
      <c r="N821" s="419">
        <v>1665</v>
      </c>
      <c r="O821" s="419">
        <v>0</v>
      </c>
      <c r="P821" s="419">
        <v>0</v>
      </c>
      <c r="Q821" s="380">
        <v>2.2500000000000001E-5</v>
      </c>
      <c r="R821" s="380"/>
      <c r="S821" s="419">
        <v>-11303</v>
      </c>
      <c r="T821" s="419">
        <v>-11172</v>
      </c>
      <c r="U821" s="419">
        <v>-11737</v>
      </c>
      <c r="V821" s="419">
        <v>-15086</v>
      </c>
      <c r="W821" s="419">
        <v>0</v>
      </c>
      <c r="X821" s="380">
        <v>2.2500000000000001E-5</v>
      </c>
      <c r="Z821" s="419">
        <v>9014</v>
      </c>
      <c r="AA821" s="419">
        <v>6333</v>
      </c>
      <c r="AB821" s="419">
        <v>6332</v>
      </c>
      <c r="AC821" s="419">
        <v>0</v>
      </c>
      <c r="AD821" s="419">
        <v>0</v>
      </c>
      <c r="AE821" s="380">
        <v>2.2500000000000001E-5</v>
      </c>
      <c r="AF821" s="380"/>
      <c r="AG821" s="419">
        <v>7697</v>
      </c>
      <c r="AH821" s="419">
        <v>6340</v>
      </c>
      <c r="AI821" s="419">
        <v>2220</v>
      </c>
      <c r="AJ821" s="419">
        <v>0</v>
      </c>
      <c r="AK821" s="419">
        <v>0</v>
      </c>
      <c r="AL821" s="380">
        <v>2.2500000000000001E-5</v>
      </c>
      <c r="AM821" s="380"/>
      <c r="AN821" s="419">
        <v>-290</v>
      </c>
      <c r="AO821" s="419">
        <v>-289</v>
      </c>
      <c r="AP821" s="419">
        <v>0</v>
      </c>
      <c r="AQ821" s="419">
        <v>0</v>
      </c>
      <c r="AR821" s="419">
        <v>0</v>
      </c>
    </row>
    <row r="822" spans="1:44">
      <c r="A822" s="379">
        <v>99001</v>
      </c>
      <c r="B822" t="s">
        <v>1522</v>
      </c>
      <c r="C822" s="380">
        <v>9.5493999999999996E-3</v>
      </c>
      <c r="D822" s="380"/>
      <c r="E822" s="419">
        <v>1830469</v>
      </c>
      <c r="F822" s="419">
        <v>15103</v>
      </c>
      <c r="G822" s="419">
        <v>-1438707</v>
      </c>
      <c r="H822" s="419">
        <v>-6402624</v>
      </c>
      <c r="I822" s="419">
        <v>0</v>
      </c>
      <c r="J822" s="380">
        <v>9.5493999999999996E-3</v>
      </c>
      <c r="K822" s="380"/>
      <c r="L822" s="419">
        <v>2337770</v>
      </c>
      <c r="M822" s="419">
        <v>1614536</v>
      </c>
      <c r="N822" s="419">
        <v>706770</v>
      </c>
      <c r="O822" s="419">
        <v>0</v>
      </c>
      <c r="P822" s="419">
        <v>0</v>
      </c>
      <c r="Q822" s="380">
        <v>9.5493999999999996E-3</v>
      </c>
      <c r="R822" s="380"/>
      <c r="S822" s="419">
        <v>-4797313</v>
      </c>
      <c r="T822" s="419">
        <v>-4741802</v>
      </c>
      <c r="U822" s="419">
        <v>-4981454</v>
      </c>
      <c r="V822" s="419">
        <v>-6402624</v>
      </c>
      <c r="W822" s="419">
        <v>0</v>
      </c>
      <c r="X822" s="380">
        <v>9.5493999999999996E-3</v>
      </c>
      <c r="Z822" s="419">
        <v>3825509</v>
      </c>
      <c r="AA822" s="419">
        <v>2687631</v>
      </c>
      <c r="AB822" s="419">
        <v>2687612</v>
      </c>
      <c r="AC822" s="419">
        <v>0</v>
      </c>
      <c r="AD822" s="419">
        <v>0</v>
      </c>
      <c r="AE822" s="380">
        <v>9.5493999999999996E-3</v>
      </c>
      <c r="AF822" s="380"/>
      <c r="AG822" s="419">
        <v>464503</v>
      </c>
      <c r="AH822" s="419">
        <v>454738</v>
      </c>
      <c r="AI822" s="419">
        <v>148365</v>
      </c>
      <c r="AJ822" s="419">
        <v>0</v>
      </c>
      <c r="AK822" s="419">
        <v>0</v>
      </c>
      <c r="AL822" s="380">
        <v>9.5493999999999996E-3</v>
      </c>
      <c r="AM822" s="380"/>
      <c r="AN822" s="419">
        <v>0</v>
      </c>
      <c r="AO822" s="419">
        <v>0</v>
      </c>
      <c r="AP822" s="419">
        <v>0</v>
      </c>
      <c r="AQ822" s="419">
        <v>0</v>
      </c>
      <c r="AR822" s="419">
        <v>0</v>
      </c>
    </row>
    <row r="823" spans="1:44">
      <c r="A823" s="379">
        <v>99011</v>
      </c>
      <c r="B823" t="s">
        <v>1523</v>
      </c>
      <c r="C823" s="380">
        <v>3.8801E-3</v>
      </c>
      <c r="D823" s="380"/>
      <c r="E823" s="419">
        <v>603158</v>
      </c>
      <c r="F823" s="419">
        <v>-130703</v>
      </c>
      <c r="G823" s="419">
        <v>-619898</v>
      </c>
      <c r="H823" s="419">
        <v>-2601506</v>
      </c>
      <c r="I823" s="419">
        <v>0</v>
      </c>
      <c r="J823" s="380">
        <v>3.8801E-3</v>
      </c>
      <c r="K823" s="380"/>
      <c r="L823" s="419">
        <v>949880</v>
      </c>
      <c r="M823" s="419">
        <v>656016</v>
      </c>
      <c r="N823" s="419">
        <v>287174</v>
      </c>
      <c r="O823" s="419">
        <v>0</v>
      </c>
      <c r="P823" s="419">
        <v>0</v>
      </c>
      <c r="Q823" s="380">
        <v>3.8801E-3</v>
      </c>
      <c r="R823" s="380"/>
      <c r="S823" s="419">
        <v>-1949238</v>
      </c>
      <c r="T823" s="419">
        <v>-1926683</v>
      </c>
      <c r="U823" s="419">
        <v>-2024058</v>
      </c>
      <c r="V823" s="419">
        <v>-2601506</v>
      </c>
      <c r="W823" s="419">
        <v>0</v>
      </c>
      <c r="X823" s="380">
        <v>3.8801E-3</v>
      </c>
      <c r="Z823" s="419">
        <v>1554376</v>
      </c>
      <c r="AA823" s="419">
        <v>1092035</v>
      </c>
      <c r="AB823" s="419">
        <v>1092027</v>
      </c>
      <c r="AC823" s="419">
        <v>0</v>
      </c>
      <c r="AD823" s="419">
        <v>0</v>
      </c>
      <c r="AE823" s="380">
        <v>3.8801E-3</v>
      </c>
      <c r="AF823" s="380"/>
      <c r="AG823" s="419">
        <v>48140</v>
      </c>
      <c r="AH823" s="419">
        <v>47929</v>
      </c>
      <c r="AI823" s="419">
        <v>24959</v>
      </c>
      <c r="AJ823" s="419">
        <v>0</v>
      </c>
      <c r="AK823" s="419">
        <v>0</v>
      </c>
      <c r="AL823" s="380">
        <v>3.8801E-3</v>
      </c>
      <c r="AM823" s="380"/>
      <c r="AN823" s="419">
        <v>0</v>
      </c>
      <c r="AO823" s="419">
        <v>0</v>
      </c>
      <c r="AP823" s="419">
        <v>0</v>
      </c>
      <c r="AQ823" s="419">
        <v>0</v>
      </c>
      <c r="AR823" s="419">
        <v>0</v>
      </c>
    </row>
    <row r="824" spans="1:44">
      <c r="A824" s="379">
        <v>99013</v>
      </c>
      <c r="B824" t="s">
        <v>1524</v>
      </c>
      <c r="C824" s="380">
        <v>7.5599999999999994E-5</v>
      </c>
      <c r="D824" s="380"/>
      <c r="E824" s="419">
        <v>33198</v>
      </c>
      <c r="F824" s="419">
        <v>19258</v>
      </c>
      <c r="G824" s="419">
        <v>8304</v>
      </c>
      <c r="H824" s="419">
        <v>-50688</v>
      </c>
      <c r="I824" s="419">
        <v>0</v>
      </c>
      <c r="J824" s="380">
        <v>7.5599999999999994E-5</v>
      </c>
      <c r="K824" s="380"/>
      <c r="L824" s="419">
        <v>18507</v>
      </c>
      <c r="M824" s="419">
        <v>12782</v>
      </c>
      <c r="N824" s="419">
        <v>5595</v>
      </c>
      <c r="O824" s="419">
        <v>0</v>
      </c>
      <c r="P824" s="419">
        <v>0</v>
      </c>
      <c r="Q824" s="380">
        <v>7.5599999999999994E-5</v>
      </c>
      <c r="R824" s="380"/>
      <c r="S824" s="419">
        <v>-37979</v>
      </c>
      <c r="T824" s="419">
        <v>-37540</v>
      </c>
      <c r="U824" s="419">
        <v>-39437</v>
      </c>
      <c r="V824" s="419">
        <v>-50688</v>
      </c>
      <c r="W824" s="419">
        <v>0</v>
      </c>
      <c r="X824" s="380">
        <v>7.5599999999999994E-5</v>
      </c>
      <c r="Z824" s="419">
        <v>30286</v>
      </c>
      <c r="AA824" s="419">
        <v>21277</v>
      </c>
      <c r="AB824" s="419">
        <v>21277</v>
      </c>
      <c r="AC824" s="419">
        <v>0</v>
      </c>
      <c r="AD824" s="419">
        <v>0</v>
      </c>
      <c r="AE824" s="380">
        <v>7.5599999999999994E-5</v>
      </c>
      <c r="AF824" s="380"/>
      <c r="AG824" s="419">
        <v>22743</v>
      </c>
      <c r="AH824" s="419">
        <v>22739</v>
      </c>
      <c r="AI824" s="419">
        <v>20869</v>
      </c>
      <c r="AJ824" s="419">
        <v>0</v>
      </c>
      <c r="AK824" s="419">
        <v>0</v>
      </c>
      <c r="AL824" s="380">
        <v>7.5599999999999994E-5</v>
      </c>
      <c r="AM824" s="380"/>
      <c r="AN824" s="419">
        <v>-359</v>
      </c>
      <c r="AO824" s="419">
        <v>0</v>
      </c>
      <c r="AP824" s="419">
        <v>0</v>
      </c>
      <c r="AQ824" s="419">
        <v>0</v>
      </c>
      <c r="AR824" s="419">
        <v>0</v>
      </c>
    </row>
    <row r="825" spans="1:44">
      <c r="A825" s="379">
        <v>99014</v>
      </c>
      <c r="B825" t="s">
        <v>1525</v>
      </c>
      <c r="C825" s="380">
        <v>1.9899999999999999E-5</v>
      </c>
      <c r="D825" s="380"/>
      <c r="E825" s="419">
        <v>5755</v>
      </c>
      <c r="F825" s="419">
        <v>2049</v>
      </c>
      <c r="G825" s="419">
        <v>-2729</v>
      </c>
      <c r="H825" s="419">
        <v>-13342</v>
      </c>
      <c r="I825" s="419">
        <v>0</v>
      </c>
      <c r="J825" s="380">
        <v>1.9899999999999999E-5</v>
      </c>
      <c r="K825" s="380"/>
      <c r="L825" s="419">
        <v>4872</v>
      </c>
      <c r="M825" s="419">
        <v>3365</v>
      </c>
      <c r="N825" s="419">
        <v>1473</v>
      </c>
      <c r="O825" s="419">
        <v>0</v>
      </c>
      <c r="P825" s="419">
        <v>0</v>
      </c>
      <c r="Q825" s="380">
        <v>1.9899999999999999E-5</v>
      </c>
      <c r="R825" s="380"/>
      <c r="S825" s="419">
        <v>-9997</v>
      </c>
      <c r="T825" s="419">
        <v>-9881</v>
      </c>
      <c r="U825" s="419">
        <v>-10381</v>
      </c>
      <c r="V825" s="419">
        <v>-13342</v>
      </c>
      <c r="W825" s="419">
        <v>0</v>
      </c>
      <c r="X825" s="380">
        <v>1.9899999999999999E-5</v>
      </c>
      <c r="Z825" s="419">
        <v>7972</v>
      </c>
      <c r="AA825" s="419">
        <v>5601</v>
      </c>
      <c r="AB825" s="419">
        <v>5601</v>
      </c>
      <c r="AC825" s="419">
        <v>0</v>
      </c>
      <c r="AD825" s="419">
        <v>0</v>
      </c>
      <c r="AE825" s="380">
        <v>1.9899999999999999E-5</v>
      </c>
      <c r="AF825" s="380"/>
      <c r="AG825" s="419">
        <v>3255</v>
      </c>
      <c r="AH825" s="419">
        <v>3254</v>
      </c>
      <c r="AI825" s="419">
        <v>578</v>
      </c>
      <c r="AJ825" s="419">
        <v>0</v>
      </c>
      <c r="AK825" s="419">
        <v>0</v>
      </c>
      <c r="AL825" s="380">
        <v>1.9899999999999999E-5</v>
      </c>
      <c r="AM825" s="380"/>
      <c r="AN825" s="419">
        <v>-347</v>
      </c>
      <c r="AO825" s="419">
        <v>-290</v>
      </c>
      <c r="AP825" s="419">
        <v>0</v>
      </c>
      <c r="AQ825" s="419">
        <v>0</v>
      </c>
      <c r="AR825" s="419">
        <v>0</v>
      </c>
    </row>
    <row r="826" spans="1:44">
      <c r="A826" s="379">
        <v>99017</v>
      </c>
      <c r="B826" t="s">
        <v>1526</v>
      </c>
      <c r="C826" s="380">
        <v>4.8300000000000002E-5</v>
      </c>
      <c r="D826" s="380"/>
      <c r="E826" s="419">
        <v>9727</v>
      </c>
      <c r="F826" s="419">
        <v>1421</v>
      </c>
      <c r="G826" s="419">
        <v>-278</v>
      </c>
      <c r="H826" s="419">
        <v>-32384</v>
      </c>
      <c r="I826" s="419">
        <v>0</v>
      </c>
      <c r="J826" s="380">
        <v>4.8300000000000002E-5</v>
      </c>
      <c r="K826" s="380"/>
      <c r="L826" s="419">
        <v>11824</v>
      </c>
      <c r="M826" s="419">
        <v>8166</v>
      </c>
      <c r="N826" s="419">
        <v>3575</v>
      </c>
      <c r="O826" s="419">
        <v>0</v>
      </c>
      <c r="P826" s="419">
        <v>0</v>
      </c>
      <c r="Q826" s="380">
        <v>4.8300000000000002E-5</v>
      </c>
      <c r="R826" s="380"/>
      <c r="S826" s="419">
        <v>-24264</v>
      </c>
      <c r="T826" s="419">
        <v>-23984</v>
      </c>
      <c r="U826" s="419">
        <v>-25196</v>
      </c>
      <c r="V826" s="419">
        <v>-32384</v>
      </c>
      <c r="W826" s="419">
        <v>0</v>
      </c>
      <c r="X826" s="380">
        <v>4.8300000000000002E-5</v>
      </c>
      <c r="Z826" s="419">
        <v>19349</v>
      </c>
      <c r="AA826" s="419">
        <v>13594</v>
      </c>
      <c r="AB826" s="419">
        <v>13594</v>
      </c>
      <c r="AC826" s="419">
        <v>0</v>
      </c>
      <c r="AD826" s="419">
        <v>0</v>
      </c>
      <c r="AE826" s="380">
        <v>4.8300000000000002E-5</v>
      </c>
      <c r="AF826" s="380"/>
      <c r="AG826" s="419">
        <v>8115</v>
      </c>
      <c r="AH826" s="419">
        <v>8117</v>
      </c>
      <c r="AI826" s="419">
        <v>7749</v>
      </c>
      <c r="AJ826" s="419">
        <v>0</v>
      </c>
      <c r="AK826" s="419">
        <v>0</v>
      </c>
      <c r="AL826" s="380">
        <v>4.8300000000000002E-5</v>
      </c>
      <c r="AM826" s="380"/>
      <c r="AN826" s="419">
        <v>-5297</v>
      </c>
      <c r="AO826" s="419">
        <v>-4472</v>
      </c>
      <c r="AP826" s="419">
        <v>0</v>
      </c>
      <c r="AQ826" s="419">
        <v>0</v>
      </c>
      <c r="AR826" s="419">
        <v>0</v>
      </c>
    </row>
    <row r="827" spans="1:44">
      <c r="A827" s="379">
        <v>99021</v>
      </c>
      <c r="B827" t="s">
        <v>1527</v>
      </c>
      <c r="C827" s="380">
        <v>1.3019999999999999E-4</v>
      </c>
      <c r="D827" s="380"/>
      <c r="E827" s="419">
        <v>12458</v>
      </c>
      <c r="F827" s="419">
        <v>-8854</v>
      </c>
      <c r="G827" s="419">
        <v>-21859</v>
      </c>
      <c r="H827" s="419">
        <v>-87296</v>
      </c>
      <c r="I827" s="419">
        <v>0</v>
      </c>
      <c r="J827" s="380">
        <v>1.3019999999999999E-4</v>
      </c>
      <c r="K827" s="380"/>
      <c r="L827" s="419">
        <v>31874</v>
      </c>
      <c r="M827" s="419">
        <v>22013</v>
      </c>
      <c r="N827" s="419">
        <v>9636</v>
      </c>
      <c r="O827" s="419">
        <v>0</v>
      </c>
      <c r="P827" s="419">
        <v>0</v>
      </c>
      <c r="Q827" s="380">
        <v>1.3019999999999999E-4</v>
      </c>
      <c r="R827" s="380"/>
      <c r="S827" s="419">
        <v>-65408</v>
      </c>
      <c r="T827" s="419">
        <v>-64651</v>
      </c>
      <c r="U827" s="419">
        <v>-67919</v>
      </c>
      <c r="V827" s="419">
        <v>-87296</v>
      </c>
      <c r="W827" s="419">
        <v>0</v>
      </c>
      <c r="X827" s="380">
        <v>1.3019999999999999E-4</v>
      </c>
      <c r="Z827" s="419">
        <v>52158</v>
      </c>
      <c r="AA827" s="419">
        <v>36644</v>
      </c>
      <c r="AB827" s="419">
        <v>36644</v>
      </c>
      <c r="AC827" s="419">
        <v>0</v>
      </c>
      <c r="AD827" s="419">
        <v>0</v>
      </c>
      <c r="AE827" s="380">
        <v>1.3019999999999999E-4</v>
      </c>
      <c r="AF827" s="380"/>
      <c r="AG827" s="419">
        <v>923</v>
      </c>
      <c r="AH827" s="419">
        <v>923</v>
      </c>
      <c r="AI827" s="419">
        <v>0</v>
      </c>
      <c r="AJ827" s="419">
        <v>0</v>
      </c>
      <c r="AK827" s="419">
        <v>0</v>
      </c>
      <c r="AL827" s="380">
        <v>1.3019999999999999E-4</v>
      </c>
      <c r="AM827" s="380"/>
      <c r="AN827" s="419">
        <v>-7089</v>
      </c>
      <c r="AO827" s="419">
        <v>-3783</v>
      </c>
      <c r="AP827" s="419">
        <v>-220</v>
      </c>
      <c r="AQ827" s="419">
        <v>0</v>
      </c>
      <c r="AR827" s="419">
        <v>0</v>
      </c>
    </row>
    <row r="828" spans="1:44">
      <c r="A828" s="379">
        <v>99022</v>
      </c>
      <c r="B828" t="s">
        <v>211</v>
      </c>
      <c r="C828" s="380">
        <v>7.7999999999999999E-6</v>
      </c>
      <c r="D828" s="380"/>
      <c r="E828" s="419">
        <v>6969</v>
      </c>
      <c r="F828" s="419">
        <v>4230</v>
      </c>
      <c r="G828" s="419">
        <v>1297</v>
      </c>
      <c r="H828" s="419">
        <v>-5230</v>
      </c>
      <c r="I828" s="419">
        <v>0</v>
      </c>
      <c r="J828" s="380">
        <v>7.7999999999999999E-6</v>
      </c>
      <c r="K828" s="380"/>
      <c r="L828" s="419">
        <v>1910</v>
      </c>
      <c r="M828" s="419">
        <v>1319</v>
      </c>
      <c r="N828" s="419">
        <v>577</v>
      </c>
      <c r="O828" s="419">
        <v>0</v>
      </c>
      <c r="P828" s="419">
        <v>0</v>
      </c>
      <c r="Q828" s="380">
        <v>7.7999999999999999E-6</v>
      </c>
      <c r="R828" s="380"/>
      <c r="S828" s="419">
        <v>-3918</v>
      </c>
      <c r="T828" s="419">
        <v>-3873</v>
      </c>
      <c r="U828" s="419">
        <v>-4069</v>
      </c>
      <c r="V828" s="419">
        <v>-5230</v>
      </c>
      <c r="W828" s="419">
        <v>0</v>
      </c>
      <c r="X828" s="380">
        <v>7.7999999999999999E-6</v>
      </c>
      <c r="Z828" s="419">
        <v>3125</v>
      </c>
      <c r="AA828" s="419">
        <v>2195</v>
      </c>
      <c r="AB828" s="419">
        <v>2195</v>
      </c>
      <c r="AC828" s="419">
        <v>0</v>
      </c>
      <c r="AD828" s="419">
        <v>0</v>
      </c>
      <c r="AE828" s="380">
        <v>7.7999999999999999E-6</v>
      </c>
      <c r="AF828" s="380"/>
      <c r="AG828" s="419">
        <v>5852</v>
      </c>
      <c r="AH828" s="419">
        <v>4589</v>
      </c>
      <c r="AI828" s="419">
        <v>2594</v>
      </c>
      <c r="AJ828" s="419">
        <v>0</v>
      </c>
      <c r="AK828" s="419">
        <v>0</v>
      </c>
      <c r="AL828" s="380">
        <v>7.7999999999999999E-6</v>
      </c>
      <c r="AM828" s="380"/>
      <c r="AN828" s="419">
        <v>0</v>
      </c>
      <c r="AO828" s="419">
        <v>0</v>
      </c>
      <c r="AP828" s="419">
        <v>0</v>
      </c>
      <c r="AQ828" s="419">
        <v>0</v>
      </c>
      <c r="AR828" s="419">
        <v>0</v>
      </c>
    </row>
    <row r="829" spans="1:44">
      <c r="A829" s="379">
        <v>99031</v>
      </c>
      <c r="B829" t="s">
        <v>1528</v>
      </c>
      <c r="C829" s="380">
        <v>9.4400000000000004E-5</v>
      </c>
      <c r="D829" s="380"/>
      <c r="E829" s="419">
        <v>-2355</v>
      </c>
      <c r="F829" s="419">
        <v>-16049</v>
      </c>
      <c r="G829" s="419">
        <v>-15548</v>
      </c>
      <c r="H829" s="419">
        <v>-63293</v>
      </c>
      <c r="I829" s="419">
        <v>0</v>
      </c>
      <c r="J829" s="380">
        <v>9.4400000000000004E-5</v>
      </c>
      <c r="K829" s="380"/>
      <c r="L829" s="419">
        <v>23110</v>
      </c>
      <c r="M829" s="419">
        <v>15960</v>
      </c>
      <c r="N829" s="419">
        <v>6987</v>
      </c>
      <c r="O829" s="419">
        <v>0</v>
      </c>
      <c r="P829" s="419">
        <v>0</v>
      </c>
      <c r="Q829" s="380">
        <v>9.4400000000000004E-5</v>
      </c>
      <c r="R829" s="380"/>
      <c r="S829" s="419">
        <v>-47424</v>
      </c>
      <c r="T829" s="419">
        <v>-46875</v>
      </c>
      <c r="U829" s="419">
        <v>-49244</v>
      </c>
      <c r="V829" s="419">
        <v>-63293</v>
      </c>
      <c r="W829" s="419">
        <v>0</v>
      </c>
      <c r="X829" s="380">
        <v>9.4400000000000004E-5</v>
      </c>
      <c r="Z829" s="419">
        <v>37817</v>
      </c>
      <c r="AA829" s="419">
        <v>26568</v>
      </c>
      <c r="AB829" s="419">
        <v>26568</v>
      </c>
      <c r="AC829" s="419">
        <v>0</v>
      </c>
      <c r="AD829" s="419">
        <v>0</v>
      </c>
      <c r="AE829" s="380">
        <v>9.4400000000000004E-5</v>
      </c>
      <c r="AF829" s="380"/>
      <c r="AG829" s="419">
        <v>142</v>
      </c>
      <c r="AH829" s="419">
        <v>142</v>
      </c>
      <c r="AI829" s="419">
        <v>141</v>
      </c>
      <c r="AJ829" s="419">
        <v>0</v>
      </c>
      <c r="AK829" s="419">
        <v>0</v>
      </c>
      <c r="AL829" s="380">
        <v>9.4400000000000004E-5</v>
      </c>
      <c r="AM829" s="380"/>
      <c r="AN829" s="419">
        <v>-16000</v>
      </c>
      <c r="AO829" s="419">
        <v>-11844</v>
      </c>
      <c r="AP829" s="419">
        <v>0</v>
      </c>
      <c r="AQ829" s="419">
        <v>0</v>
      </c>
      <c r="AR829" s="419">
        <v>0</v>
      </c>
    </row>
    <row r="830" spans="1:44">
      <c r="A830" s="379">
        <v>99041</v>
      </c>
      <c r="B830" t="s">
        <v>1529</v>
      </c>
      <c r="C830" s="380">
        <v>6.4740000000000002E-4</v>
      </c>
      <c r="D830" s="380"/>
      <c r="E830" s="419">
        <v>77784</v>
      </c>
      <c r="F830" s="419">
        <v>-41349</v>
      </c>
      <c r="G830" s="419">
        <v>-113429</v>
      </c>
      <c r="H830" s="419">
        <v>-434065</v>
      </c>
      <c r="I830" s="419">
        <v>0</v>
      </c>
      <c r="J830" s="380">
        <v>6.4740000000000002E-4</v>
      </c>
      <c r="K830" s="380"/>
      <c r="L830" s="419">
        <v>158489</v>
      </c>
      <c r="M830" s="419">
        <v>109457</v>
      </c>
      <c r="N830" s="419">
        <v>47915</v>
      </c>
      <c r="O830" s="419">
        <v>0</v>
      </c>
      <c r="P830" s="419">
        <v>0</v>
      </c>
      <c r="Q830" s="380">
        <v>6.4740000000000002E-4</v>
      </c>
      <c r="R830" s="380"/>
      <c r="S830" s="419">
        <v>-325233</v>
      </c>
      <c r="T830" s="419">
        <v>-321470</v>
      </c>
      <c r="U830" s="419">
        <v>-337717</v>
      </c>
      <c r="V830" s="419">
        <v>-434065</v>
      </c>
      <c r="W830" s="419">
        <v>0</v>
      </c>
      <c r="X830" s="380">
        <v>6.4740000000000002E-4</v>
      </c>
      <c r="Z830" s="419">
        <v>259350</v>
      </c>
      <c r="AA830" s="419">
        <v>182207</v>
      </c>
      <c r="AB830" s="419">
        <v>182206</v>
      </c>
      <c r="AC830" s="419">
        <v>0</v>
      </c>
      <c r="AD830" s="419">
        <v>0</v>
      </c>
      <c r="AE830" s="380">
        <v>6.4740000000000002E-4</v>
      </c>
      <c r="AF830" s="380"/>
      <c r="AG830" s="419">
        <v>3544</v>
      </c>
      <c r="AH830" s="419">
        <v>3545</v>
      </c>
      <c r="AI830" s="419">
        <v>0</v>
      </c>
      <c r="AJ830" s="419">
        <v>0</v>
      </c>
      <c r="AK830" s="419">
        <v>0</v>
      </c>
      <c r="AL830" s="380">
        <v>6.4740000000000002E-4</v>
      </c>
      <c r="AM830" s="380"/>
      <c r="AN830" s="419">
        <v>-18366</v>
      </c>
      <c r="AO830" s="419">
        <v>-15088</v>
      </c>
      <c r="AP830" s="419">
        <v>-5833</v>
      </c>
      <c r="AQ830" s="419">
        <v>0</v>
      </c>
      <c r="AR830" s="419">
        <v>0</v>
      </c>
    </row>
    <row r="831" spans="1:44">
      <c r="A831" s="379">
        <v>99047</v>
      </c>
      <c r="B831" t="s">
        <v>1530</v>
      </c>
      <c r="C831" s="380">
        <v>1.98E-5</v>
      </c>
      <c r="D831" s="380"/>
      <c r="E831" s="419">
        <v>10672</v>
      </c>
      <c r="F831" s="419">
        <v>6250</v>
      </c>
      <c r="G831" s="419">
        <v>1584</v>
      </c>
      <c r="H831" s="419">
        <v>-13275</v>
      </c>
      <c r="I831" s="419">
        <v>0</v>
      </c>
      <c r="J831" s="380">
        <v>1.98E-5</v>
      </c>
      <c r="K831" s="380"/>
      <c r="L831" s="419">
        <v>4847</v>
      </c>
      <c r="M831" s="419">
        <v>3348</v>
      </c>
      <c r="N831" s="419">
        <v>1465</v>
      </c>
      <c r="O831" s="419">
        <v>0</v>
      </c>
      <c r="P831" s="419">
        <v>0</v>
      </c>
      <c r="Q831" s="380">
        <v>1.98E-5</v>
      </c>
      <c r="R831" s="380"/>
      <c r="S831" s="419">
        <v>-9947</v>
      </c>
      <c r="T831" s="419">
        <v>-9832</v>
      </c>
      <c r="U831" s="419">
        <v>-10329</v>
      </c>
      <c r="V831" s="419">
        <v>-13275</v>
      </c>
      <c r="W831" s="419">
        <v>0</v>
      </c>
      <c r="X831" s="380">
        <v>1.98E-5</v>
      </c>
      <c r="Z831" s="419">
        <v>7932</v>
      </c>
      <c r="AA831" s="419">
        <v>5573</v>
      </c>
      <c r="AB831" s="419">
        <v>5573</v>
      </c>
      <c r="AC831" s="419">
        <v>0</v>
      </c>
      <c r="AD831" s="419">
        <v>0</v>
      </c>
      <c r="AE831" s="380">
        <v>1.98E-5</v>
      </c>
      <c r="AF831" s="380"/>
      <c r="AG831" s="419">
        <v>7840</v>
      </c>
      <c r="AH831" s="419">
        <v>7161</v>
      </c>
      <c r="AI831" s="419">
        <v>4875</v>
      </c>
      <c r="AJ831" s="419">
        <v>0</v>
      </c>
      <c r="AK831" s="419">
        <v>0</v>
      </c>
      <c r="AL831" s="380">
        <v>1.98E-5</v>
      </c>
      <c r="AM831" s="380"/>
      <c r="AN831" s="419">
        <v>0</v>
      </c>
      <c r="AO831" s="419">
        <v>0</v>
      </c>
      <c r="AP831" s="419">
        <v>0</v>
      </c>
      <c r="AQ831" s="419">
        <v>0</v>
      </c>
      <c r="AR831" s="419">
        <v>0</v>
      </c>
    </row>
    <row r="832" spans="1:44">
      <c r="A832" s="379">
        <v>99051</v>
      </c>
      <c r="B832" t="s">
        <v>1531</v>
      </c>
      <c r="C832" s="380">
        <v>3.3849999999999999E-4</v>
      </c>
      <c r="D832" s="380"/>
      <c r="E832" s="419">
        <v>29838</v>
      </c>
      <c r="F832" s="419">
        <v>-31294</v>
      </c>
      <c r="G832" s="419">
        <v>-70734</v>
      </c>
      <c r="H832" s="419">
        <v>-226955</v>
      </c>
      <c r="I832" s="419">
        <v>0</v>
      </c>
      <c r="J832" s="380">
        <v>3.3849999999999999E-4</v>
      </c>
      <c r="K832" s="380"/>
      <c r="L832" s="419">
        <v>82868</v>
      </c>
      <c r="M832" s="419">
        <v>57231</v>
      </c>
      <c r="N832" s="419">
        <v>25053</v>
      </c>
      <c r="O832" s="419">
        <v>0</v>
      </c>
      <c r="P832" s="419">
        <v>0</v>
      </c>
      <c r="Q832" s="380">
        <v>3.3849999999999999E-4</v>
      </c>
      <c r="R832" s="380"/>
      <c r="S832" s="419">
        <v>-170052</v>
      </c>
      <c r="T832" s="419">
        <v>-168084</v>
      </c>
      <c r="U832" s="419">
        <v>-176579</v>
      </c>
      <c r="V832" s="419">
        <v>-226955</v>
      </c>
      <c r="W832" s="419">
        <v>0</v>
      </c>
      <c r="X832" s="380">
        <v>3.3849999999999999E-4</v>
      </c>
      <c r="Z832" s="419">
        <v>135604</v>
      </c>
      <c r="AA832" s="419">
        <v>95269</v>
      </c>
      <c r="AB832" s="419">
        <v>95268</v>
      </c>
      <c r="AC832" s="419">
        <v>0</v>
      </c>
      <c r="AD832" s="419">
        <v>0</v>
      </c>
      <c r="AE832" s="380">
        <v>3.3849999999999999E-4</v>
      </c>
      <c r="AF832" s="380"/>
      <c r="AG832" s="419">
        <v>2951</v>
      </c>
      <c r="AH832" s="419">
        <v>2950</v>
      </c>
      <c r="AI832" s="419">
        <v>0</v>
      </c>
      <c r="AJ832" s="419">
        <v>0</v>
      </c>
      <c r="AK832" s="419">
        <v>0</v>
      </c>
      <c r="AL832" s="380">
        <v>3.3849999999999999E-4</v>
      </c>
      <c r="AM832" s="380"/>
      <c r="AN832" s="419">
        <v>-21533</v>
      </c>
      <c r="AO832" s="419">
        <v>-18660</v>
      </c>
      <c r="AP832" s="419">
        <v>-14476</v>
      </c>
      <c r="AQ832" s="419">
        <v>0</v>
      </c>
      <c r="AR832" s="419">
        <v>0</v>
      </c>
    </row>
    <row r="833" spans="1:44">
      <c r="A833" s="379">
        <v>99061</v>
      </c>
      <c r="B833" t="s">
        <v>1532</v>
      </c>
      <c r="C833" s="380">
        <v>5.4E-6</v>
      </c>
      <c r="D833" s="380"/>
      <c r="E833" s="419">
        <v>2640</v>
      </c>
      <c r="F833" s="419">
        <v>778</v>
      </c>
      <c r="G833" s="419">
        <v>-196</v>
      </c>
      <c r="H833" s="419">
        <v>-3621</v>
      </c>
      <c r="I833" s="419">
        <v>0</v>
      </c>
      <c r="J833" s="380">
        <v>5.4E-6</v>
      </c>
      <c r="K833" s="380"/>
      <c r="L833" s="419">
        <v>1322</v>
      </c>
      <c r="M833" s="419">
        <v>913</v>
      </c>
      <c r="N833" s="419">
        <v>400</v>
      </c>
      <c r="O833" s="419">
        <v>0</v>
      </c>
      <c r="P833" s="419">
        <v>0</v>
      </c>
      <c r="Q833" s="380">
        <v>5.4E-6</v>
      </c>
      <c r="R833" s="380"/>
      <c r="S833" s="419">
        <v>-2713</v>
      </c>
      <c r="T833" s="419">
        <v>-2681</v>
      </c>
      <c r="U833" s="419">
        <v>-2817</v>
      </c>
      <c r="V833" s="419">
        <v>-3621</v>
      </c>
      <c r="W833" s="419">
        <v>0</v>
      </c>
      <c r="X833" s="380">
        <v>5.4E-6</v>
      </c>
      <c r="Z833" s="419">
        <v>2163</v>
      </c>
      <c r="AA833" s="419">
        <v>1520</v>
      </c>
      <c r="AB833" s="419">
        <v>1520</v>
      </c>
      <c r="AC833" s="419">
        <v>0</v>
      </c>
      <c r="AD833" s="419">
        <v>0</v>
      </c>
      <c r="AE833" s="380">
        <v>5.4E-6</v>
      </c>
      <c r="AF833" s="380"/>
      <c r="AG833" s="419">
        <v>1868</v>
      </c>
      <c r="AH833" s="419">
        <v>1026</v>
      </c>
      <c r="AI833" s="419">
        <v>701</v>
      </c>
      <c r="AJ833" s="419">
        <v>0</v>
      </c>
      <c r="AK833" s="419">
        <v>0</v>
      </c>
      <c r="AL833" s="380">
        <v>5.4E-6</v>
      </c>
      <c r="AM833" s="380"/>
      <c r="AN833" s="419">
        <v>0</v>
      </c>
      <c r="AO833" s="419">
        <v>0</v>
      </c>
      <c r="AP833" s="419">
        <v>0</v>
      </c>
      <c r="AQ833" s="419">
        <v>0</v>
      </c>
      <c r="AR833" s="419">
        <v>0</v>
      </c>
    </row>
    <row r="834" spans="1:44">
      <c r="A834" s="379">
        <v>99071</v>
      </c>
      <c r="B834" t="s">
        <v>1533</v>
      </c>
      <c r="C834" s="380">
        <v>2.48E-5</v>
      </c>
      <c r="D834" s="380"/>
      <c r="E834" s="419">
        <v>5279</v>
      </c>
      <c r="F834" s="419">
        <v>1438</v>
      </c>
      <c r="G834" s="419">
        <v>-2292</v>
      </c>
      <c r="H834" s="419">
        <v>-16628</v>
      </c>
      <c r="I834" s="419">
        <v>0</v>
      </c>
      <c r="J834" s="380">
        <v>2.48E-5</v>
      </c>
      <c r="K834" s="380"/>
      <c r="L834" s="419">
        <v>6071</v>
      </c>
      <c r="M834" s="419">
        <v>4193</v>
      </c>
      <c r="N834" s="419">
        <v>1835</v>
      </c>
      <c r="O834" s="419">
        <v>0</v>
      </c>
      <c r="P834" s="419">
        <v>0</v>
      </c>
      <c r="Q834" s="380">
        <v>2.48E-5</v>
      </c>
      <c r="R834" s="380"/>
      <c r="S834" s="419">
        <v>-12459</v>
      </c>
      <c r="T834" s="419">
        <v>-12315</v>
      </c>
      <c r="U834" s="419">
        <v>-12937</v>
      </c>
      <c r="V834" s="419">
        <v>-16628</v>
      </c>
      <c r="W834" s="419">
        <v>0</v>
      </c>
      <c r="X834" s="380">
        <v>2.48E-5</v>
      </c>
      <c r="Z834" s="419">
        <v>9935</v>
      </c>
      <c r="AA834" s="419">
        <v>6980</v>
      </c>
      <c r="AB834" s="419">
        <v>6980</v>
      </c>
      <c r="AC834" s="419">
        <v>0</v>
      </c>
      <c r="AD834" s="419">
        <v>0</v>
      </c>
      <c r="AE834" s="380">
        <v>2.48E-5</v>
      </c>
      <c r="AF834" s="380"/>
      <c r="AG834" s="419">
        <v>2966</v>
      </c>
      <c r="AH834" s="419">
        <v>2966</v>
      </c>
      <c r="AI834" s="419">
        <v>1830</v>
      </c>
      <c r="AJ834" s="419">
        <v>0</v>
      </c>
      <c r="AK834" s="419">
        <v>0</v>
      </c>
      <c r="AL834" s="380">
        <v>2.48E-5</v>
      </c>
      <c r="AM834" s="380"/>
      <c r="AN834" s="419">
        <v>-1234</v>
      </c>
      <c r="AO834" s="419">
        <v>-386</v>
      </c>
      <c r="AP834" s="419">
        <v>0</v>
      </c>
      <c r="AQ834" s="419">
        <v>0</v>
      </c>
      <c r="AR834" s="419">
        <v>0</v>
      </c>
    </row>
    <row r="835" spans="1:44">
      <c r="A835" s="379">
        <v>99081</v>
      </c>
      <c r="B835" t="s">
        <v>1534</v>
      </c>
      <c r="C835" s="380">
        <v>5.0699999999999999E-5</v>
      </c>
      <c r="D835" s="380"/>
      <c r="E835" s="419">
        <v>18013</v>
      </c>
      <c r="F835" s="419">
        <v>7365</v>
      </c>
      <c r="G835" s="419">
        <v>-2688</v>
      </c>
      <c r="H835" s="419">
        <v>-33993</v>
      </c>
      <c r="I835" s="419">
        <v>0</v>
      </c>
      <c r="J835" s="380">
        <v>5.0699999999999999E-5</v>
      </c>
      <c r="K835" s="380"/>
      <c r="L835" s="419">
        <v>12412</v>
      </c>
      <c r="M835" s="419">
        <v>8572</v>
      </c>
      <c r="N835" s="419">
        <v>3752</v>
      </c>
      <c r="O835" s="419">
        <v>0</v>
      </c>
      <c r="P835" s="419">
        <v>0</v>
      </c>
      <c r="Q835" s="380">
        <v>5.0699999999999999E-5</v>
      </c>
      <c r="R835" s="380"/>
      <c r="S835" s="419">
        <v>-25470</v>
      </c>
      <c r="T835" s="419">
        <v>-25175</v>
      </c>
      <c r="U835" s="419">
        <v>-26448</v>
      </c>
      <c r="V835" s="419">
        <v>-33993</v>
      </c>
      <c r="W835" s="419">
        <v>0</v>
      </c>
      <c r="X835" s="380">
        <v>5.0699999999999999E-5</v>
      </c>
      <c r="Z835" s="419">
        <v>20311</v>
      </c>
      <c r="AA835" s="419">
        <v>14269</v>
      </c>
      <c r="AB835" s="419">
        <v>14269</v>
      </c>
      <c r="AC835" s="419">
        <v>0</v>
      </c>
      <c r="AD835" s="419">
        <v>0</v>
      </c>
      <c r="AE835" s="380">
        <v>5.0699999999999999E-5</v>
      </c>
      <c r="AF835" s="380"/>
      <c r="AG835" s="419">
        <v>10760</v>
      </c>
      <c r="AH835" s="419">
        <v>9699</v>
      </c>
      <c r="AI835" s="419">
        <v>5739</v>
      </c>
      <c r="AJ835" s="419">
        <v>0</v>
      </c>
      <c r="AK835" s="419">
        <v>0</v>
      </c>
      <c r="AL835" s="380">
        <v>5.0699999999999999E-5</v>
      </c>
      <c r="AM835" s="380"/>
      <c r="AN835" s="419">
        <v>0</v>
      </c>
      <c r="AO835" s="419">
        <v>0</v>
      </c>
      <c r="AP835" s="419">
        <v>0</v>
      </c>
      <c r="AQ835" s="419">
        <v>0</v>
      </c>
      <c r="AR835" s="419">
        <v>0</v>
      </c>
    </row>
    <row r="836" spans="1:44">
      <c r="A836" s="379">
        <v>99091</v>
      </c>
      <c r="B836" t="s">
        <v>1535</v>
      </c>
      <c r="C836" s="380">
        <v>7.4000000000000003E-6</v>
      </c>
      <c r="D836" s="380"/>
      <c r="E836" s="419">
        <v>4841</v>
      </c>
      <c r="F836" s="419">
        <v>2877</v>
      </c>
      <c r="G836" s="419">
        <v>-4865</v>
      </c>
      <c r="H836" s="419">
        <v>-4962</v>
      </c>
      <c r="I836" s="419">
        <v>0</v>
      </c>
      <c r="J836" s="380">
        <v>7.4000000000000003E-6</v>
      </c>
      <c r="K836" s="380"/>
      <c r="L836" s="419">
        <v>1812</v>
      </c>
      <c r="M836" s="419">
        <v>1251</v>
      </c>
      <c r="N836" s="419">
        <v>548</v>
      </c>
      <c r="O836" s="419">
        <v>0</v>
      </c>
      <c r="P836" s="419">
        <v>0</v>
      </c>
      <c r="Q836" s="380">
        <v>7.4000000000000003E-6</v>
      </c>
      <c r="R836" s="380"/>
      <c r="S836" s="419">
        <v>-3718</v>
      </c>
      <c r="T836" s="419">
        <v>-3675</v>
      </c>
      <c r="U836" s="419">
        <v>-3860</v>
      </c>
      <c r="V836" s="419">
        <v>-4962</v>
      </c>
      <c r="W836" s="419">
        <v>0</v>
      </c>
      <c r="X836" s="380">
        <v>7.4000000000000003E-6</v>
      </c>
      <c r="Z836" s="419">
        <v>2964</v>
      </c>
      <c r="AA836" s="419">
        <v>2083</v>
      </c>
      <c r="AB836" s="419">
        <v>2083</v>
      </c>
      <c r="AC836" s="419">
        <v>0</v>
      </c>
      <c r="AD836" s="419">
        <v>0</v>
      </c>
      <c r="AE836" s="380">
        <v>7.4000000000000003E-6</v>
      </c>
      <c r="AF836" s="380"/>
      <c r="AG836" s="419">
        <v>7419</v>
      </c>
      <c r="AH836" s="419">
        <v>6854</v>
      </c>
      <c r="AI836" s="419">
        <v>0</v>
      </c>
      <c r="AJ836" s="419">
        <v>0</v>
      </c>
      <c r="AK836" s="419">
        <v>0</v>
      </c>
      <c r="AL836" s="380">
        <v>7.4000000000000003E-6</v>
      </c>
      <c r="AM836" s="380"/>
      <c r="AN836" s="419">
        <v>-3636</v>
      </c>
      <c r="AO836" s="419">
        <v>-3636</v>
      </c>
      <c r="AP836" s="419">
        <v>-3636</v>
      </c>
      <c r="AQ836" s="419">
        <v>0</v>
      </c>
      <c r="AR836" s="419">
        <v>0</v>
      </c>
    </row>
    <row r="837" spans="1:44">
      <c r="A837" s="379">
        <v>99101</v>
      </c>
      <c r="B837" t="s">
        <v>1536</v>
      </c>
      <c r="C837" s="380">
        <v>1.8289000000000001E-3</v>
      </c>
      <c r="D837" s="380"/>
      <c r="E837" s="419">
        <v>100495</v>
      </c>
      <c r="F837" s="419">
        <v>-236123</v>
      </c>
      <c r="G837" s="419">
        <v>-339612</v>
      </c>
      <c r="H837" s="419">
        <v>-1226230</v>
      </c>
      <c r="I837" s="419">
        <v>0</v>
      </c>
      <c r="J837" s="380">
        <v>1.8289000000000001E-3</v>
      </c>
      <c r="K837" s="380"/>
      <c r="L837" s="419">
        <v>447729</v>
      </c>
      <c r="M837" s="419">
        <v>309216</v>
      </c>
      <c r="N837" s="419">
        <v>135361</v>
      </c>
      <c r="O837" s="419">
        <v>0</v>
      </c>
      <c r="P837" s="419">
        <v>0</v>
      </c>
      <c r="Q837" s="380">
        <v>1.8289000000000001E-3</v>
      </c>
      <c r="R837" s="380"/>
      <c r="S837" s="419">
        <v>-918781</v>
      </c>
      <c r="T837" s="419">
        <v>-908149</v>
      </c>
      <c r="U837" s="419">
        <v>-954048</v>
      </c>
      <c r="V837" s="419">
        <v>-1226230</v>
      </c>
      <c r="W837" s="419">
        <v>0</v>
      </c>
      <c r="X837" s="380">
        <v>1.8289000000000001E-3</v>
      </c>
      <c r="Z837" s="419">
        <v>732661</v>
      </c>
      <c r="AA837" s="419">
        <v>514735</v>
      </c>
      <c r="AB837" s="419">
        <v>514731</v>
      </c>
      <c r="AC837" s="419">
        <v>0</v>
      </c>
      <c r="AD837" s="419">
        <v>0</v>
      </c>
      <c r="AE837" s="380">
        <v>1.8289000000000001E-3</v>
      </c>
      <c r="AF837" s="380"/>
      <c r="AG837" s="419">
        <v>0</v>
      </c>
      <c r="AH837" s="419">
        <v>0</v>
      </c>
      <c r="AI837" s="419">
        <v>0</v>
      </c>
      <c r="AJ837" s="419">
        <v>0</v>
      </c>
      <c r="AK837" s="419">
        <v>0</v>
      </c>
      <c r="AL837" s="380">
        <v>1.8289000000000001E-3</v>
      </c>
      <c r="AM837" s="380"/>
      <c r="AN837" s="419">
        <v>-161114</v>
      </c>
      <c r="AO837" s="419">
        <v>-151925</v>
      </c>
      <c r="AP837" s="419">
        <v>-35656</v>
      </c>
      <c r="AQ837" s="419">
        <v>0</v>
      </c>
      <c r="AR837" s="419">
        <v>0</v>
      </c>
    </row>
    <row r="838" spans="1:44">
      <c r="A838" s="379">
        <v>99104</v>
      </c>
      <c r="B838" t="s">
        <v>1537</v>
      </c>
      <c r="C838" s="380">
        <v>3.6199999999999999E-5</v>
      </c>
      <c r="D838" s="380"/>
      <c r="E838" s="419">
        <v>19205</v>
      </c>
      <c r="F838" s="419">
        <v>10488</v>
      </c>
      <c r="G838" s="419">
        <v>705</v>
      </c>
      <c r="H838" s="419">
        <v>-24271</v>
      </c>
      <c r="I838" s="419">
        <v>0</v>
      </c>
      <c r="J838" s="380">
        <v>3.6199999999999999E-5</v>
      </c>
      <c r="K838" s="380"/>
      <c r="L838" s="419">
        <v>8862</v>
      </c>
      <c r="M838" s="419">
        <v>6120</v>
      </c>
      <c r="N838" s="419">
        <v>2679</v>
      </c>
      <c r="O838" s="419">
        <v>0</v>
      </c>
      <c r="P838" s="419">
        <v>0</v>
      </c>
      <c r="Q838" s="380">
        <v>3.6199999999999999E-5</v>
      </c>
      <c r="R838" s="380"/>
      <c r="S838" s="419">
        <v>-18186</v>
      </c>
      <c r="T838" s="419">
        <v>-17975</v>
      </c>
      <c r="U838" s="419">
        <v>-18884</v>
      </c>
      <c r="V838" s="419">
        <v>-24271</v>
      </c>
      <c r="W838" s="419">
        <v>0</v>
      </c>
      <c r="X838" s="380">
        <v>3.6199999999999999E-5</v>
      </c>
      <c r="Z838" s="419">
        <v>14502</v>
      </c>
      <c r="AA838" s="419">
        <v>10188</v>
      </c>
      <c r="AB838" s="419">
        <v>10188</v>
      </c>
      <c r="AC838" s="419">
        <v>0</v>
      </c>
      <c r="AD838" s="419">
        <v>0</v>
      </c>
      <c r="AE838" s="380">
        <v>3.6199999999999999E-5</v>
      </c>
      <c r="AF838" s="380"/>
      <c r="AG838" s="419">
        <v>14027</v>
      </c>
      <c r="AH838" s="419">
        <v>12155</v>
      </c>
      <c r="AI838" s="419">
        <v>6722</v>
      </c>
      <c r="AJ838" s="419">
        <v>0</v>
      </c>
      <c r="AK838" s="419">
        <v>0</v>
      </c>
      <c r="AL838" s="380">
        <v>3.6199999999999999E-5</v>
      </c>
      <c r="AM838" s="380"/>
      <c r="AN838" s="419">
        <v>0</v>
      </c>
      <c r="AO838" s="419">
        <v>0</v>
      </c>
      <c r="AP838" s="419">
        <v>0</v>
      </c>
      <c r="AQ838" s="419">
        <v>0</v>
      </c>
      <c r="AR838" s="419">
        <v>0</v>
      </c>
    </row>
    <row r="839" spans="1:44">
      <c r="A839" s="379">
        <v>99109</v>
      </c>
      <c r="B839" t="s">
        <v>1538</v>
      </c>
      <c r="C839" s="380">
        <v>1.18E-4</v>
      </c>
      <c r="D839" s="380"/>
      <c r="E839" s="419">
        <v>15321</v>
      </c>
      <c r="F839" s="419">
        <v>-6309</v>
      </c>
      <c r="G839" s="419">
        <v>-17474</v>
      </c>
      <c r="H839" s="419">
        <v>-79116</v>
      </c>
      <c r="I839" s="419">
        <v>0</v>
      </c>
      <c r="J839" s="380">
        <v>1.18E-4</v>
      </c>
      <c r="K839" s="380"/>
      <c r="L839" s="419">
        <v>28887</v>
      </c>
      <c r="M839" s="419">
        <v>19950</v>
      </c>
      <c r="N839" s="419">
        <v>8733</v>
      </c>
      <c r="O839" s="419">
        <v>0</v>
      </c>
      <c r="P839" s="419">
        <v>0</v>
      </c>
      <c r="Q839" s="380">
        <v>1.18E-4</v>
      </c>
      <c r="R839" s="380"/>
      <c r="S839" s="419">
        <v>-59279</v>
      </c>
      <c r="T839" s="419">
        <v>-58593</v>
      </c>
      <c r="U839" s="419">
        <v>-61555</v>
      </c>
      <c r="V839" s="419">
        <v>-79116</v>
      </c>
      <c r="W839" s="419">
        <v>0</v>
      </c>
      <c r="X839" s="380">
        <v>1.18E-4</v>
      </c>
      <c r="Z839" s="419">
        <v>47271</v>
      </c>
      <c r="AA839" s="419">
        <v>33211</v>
      </c>
      <c r="AB839" s="419">
        <v>33210</v>
      </c>
      <c r="AC839" s="419">
        <v>0</v>
      </c>
      <c r="AD839" s="419">
        <v>0</v>
      </c>
      <c r="AE839" s="380">
        <v>1.18E-4</v>
      </c>
      <c r="AF839" s="380"/>
      <c r="AG839" s="419">
        <v>2140</v>
      </c>
      <c r="AH839" s="419">
        <v>2140</v>
      </c>
      <c r="AI839" s="419">
        <v>2138</v>
      </c>
      <c r="AJ839" s="419">
        <v>0</v>
      </c>
      <c r="AK839" s="419">
        <v>0</v>
      </c>
      <c r="AL839" s="380">
        <v>1.18E-4</v>
      </c>
      <c r="AM839" s="380"/>
      <c r="AN839" s="419">
        <v>-3698</v>
      </c>
      <c r="AO839" s="419">
        <v>-3017</v>
      </c>
      <c r="AP839" s="419">
        <v>0</v>
      </c>
      <c r="AQ839" s="419">
        <v>0</v>
      </c>
      <c r="AR839" s="419">
        <v>0</v>
      </c>
    </row>
    <row r="840" spans="1:44">
      <c r="A840" s="379">
        <v>99110</v>
      </c>
      <c r="B840" t="s">
        <v>1539</v>
      </c>
      <c r="C840" s="380">
        <v>2.02E-4</v>
      </c>
      <c r="D840" s="380"/>
      <c r="E840" s="419">
        <v>89991</v>
      </c>
      <c r="F840" s="419">
        <v>44434</v>
      </c>
      <c r="G840" s="419">
        <v>-18339</v>
      </c>
      <c r="H840" s="419">
        <v>-135436</v>
      </c>
      <c r="I840" s="419">
        <v>0</v>
      </c>
      <c r="J840" s="380">
        <v>2.02E-4</v>
      </c>
      <c r="K840" s="380"/>
      <c r="L840" s="419">
        <v>49451</v>
      </c>
      <c r="M840" s="419">
        <v>34153</v>
      </c>
      <c r="N840" s="419">
        <v>14950</v>
      </c>
      <c r="O840" s="419">
        <v>0</v>
      </c>
      <c r="P840" s="419">
        <v>0</v>
      </c>
      <c r="Q840" s="380">
        <v>2.02E-4</v>
      </c>
      <c r="R840" s="380"/>
      <c r="S840" s="419">
        <v>-101478</v>
      </c>
      <c r="T840" s="419">
        <v>-100304</v>
      </c>
      <c r="U840" s="419">
        <v>-105374</v>
      </c>
      <c r="V840" s="419">
        <v>-135436</v>
      </c>
      <c r="W840" s="419">
        <v>0</v>
      </c>
      <c r="X840" s="380">
        <v>2.02E-4</v>
      </c>
      <c r="Z840" s="419">
        <v>80922</v>
      </c>
      <c r="AA840" s="419">
        <v>56852</v>
      </c>
      <c r="AB840" s="419">
        <v>56851</v>
      </c>
      <c r="AC840" s="419">
        <v>0</v>
      </c>
      <c r="AD840" s="419">
        <v>0</v>
      </c>
      <c r="AE840" s="380">
        <v>2.02E-4</v>
      </c>
      <c r="AF840" s="380"/>
      <c r="AG840" s="419">
        <v>61096</v>
      </c>
      <c r="AH840" s="419">
        <v>53733</v>
      </c>
      <c r="AI840" s="419">
        <v>15234</v>
      </c>
      <c r="AJ840" s="419">
        <v>0</v>
      </c>
      <c r="AK840" s="419">
        <v>0</v>
      </c>
      <c r="AL840" s="380">
        <v>2.02E-4</v>
      </c>
      <c r="AM840" s="380"/>
      <c r="AN840" s="419">
        <v>0</v>
      </c>
      <c r="AO840" s="419">
        <v>0</v>
      </c>
      <c r="AP840" s="419">
        <v>0</v>
      </c>
      <c r="AQ840" s="419">
        <v>0</v>
      </c>
      <c r="AR840" s="419">
        <v>0</v>
      </c>
    </row>
    <row r="841" spans="1:44">
      <c r="A841" s="379">
        <v>99111</v>
      </c>
      <c r="B841" t="s">
        <v>1540</v>
      </c>
      <c r="C841" s="380">
        <v>1.2878E-3</v>
      </c>
      <c r="D841" s="380"/>
      <c r="E841" s="419">
        <v>127549</v>
      </c>
      <c r="F841" s="419">
        <v>-113498</v>
      </c>
      <c r="G841" s="419">
        <v>-283101</v>
      </c>
      <c r="H841" s="419">
        <v>-863436</v>
      </c>
      <c r="I841" s="419">
        <v>0</v>
      </c>
      <c r="J841" s="380">
        <v>1.2878E-3</v>
      </c>
      <c r="K841" s="380"/>
      <c r="L841" s="419">
        <v>315264</v>
      </c>
      <c r="M841" s="419">
        <v>217731</v>
      </c>
      <c r="N841" s="419">
        <v>95313</v>
      </c>
      <c r="O841" s="419">
        <v>0</v>
      </c>
      <c r="P841" s="419">
        <v>0</v>
      </c>
      <c r="Q841" s="380">
        <v>1.2878E-3</v>
      </c>
      <c r="R841" s="380"/>
      <c r="S841" s="419">
        <v>-646950</v>
      </c>
      <c r="T841" s="419">
        <v>-639464</v>
      </c>
      <c r="U841" s="419">
        <v>-671782</v>
      </c>
      <c r="V841" s="419">
        <v>-863436</v>
      </c>
      <c r="W841" s="419">
        <v>0</v>
      </c>
      <c r="X841" s="380">
        <v>1.2878E-3</v>
      </c>
      <c r="Z841" s="419">
        <v>515895</v>
      </c>
      <c r="AA841" s="419">
        <v>362445</v>
      </c>
      <c r="AB841" s="419">
        <v>362442</v>
      </c>
      <c r="AC841" s="419">
        <v>0</v>
      </c>
      <c r="AD841" s="419">
        <v>0</v>
      </c>
      <c r="AE841" s="380">
        <v>1.2878E-3</v>
      </c>
      <c r="AF841" s="380"/>
      <c r="AG841" s="419">
        <v>21348</v>
      </c>
      <c r="AH841" s="419">
        <v>21347</v>
      </c>
      <c r="AI841" s="419">
        <v>0</v>
      </c>
      <c r="AJ841" s="419">
        <v>0</v>
      </c>
      <c r="AK841" s="419">
        <v>0</v>
      </c>
      <c r="AL841" s="380">
        <v>1.2878E-3</v>
      </c>
      <c r="AM841" s="380"/>
      <c r="AN841" s="419">
        <v>-78008</v>
      </c>
      <c r="AO841" s="419">
        <v>-75557</v>
      </c>
      <c r="AP841" s="419">
        <v>-69074</v>
      </c>
      <c r="AQ841" s="419">
        <v>0</v>
      </c>
      <c r="AR841" s="419">
        <v>0</v>
      </c>
    </row>
    <row r="842" spans="1:44">
      <c r="A842" s="379">
        <v>99201</v>
      </c>
      <c r="B842" t="s">
        <v>1541</v>
      </c>
      <c r="C842" s="380">
        <v>3.7127800000000002E-2</v>
      </c>
      <c r="D842" s="380"/>
      <c r="E842" s="419">
        <v>6628684</v>
      </c>
      <c r="F842" s="419">
        <v>-533105</v>
      </c>
      <c r="G842" s="419">
        <v>-5269472</v>
      </c>
      <c r="H842" s="419">
        <v>-24893225</v>
      </c>
      <c r="I842" s="419">
        <v>0</v>
      </c>
      <c r="J842" s="380">
        <v>3.7127800000000002E-2</v>
      </c>
      <c r="K842" s="380"/>
      <c r="L842" s="419">
        <v>9089182</v>
      </c>
      <c r="M842" s="419">
        <v>6277271</v>
      </c>
      <c r="N842" s="419">
        <v>2747903</v>
      </c>
      <c r="O842" s="419">
        <v>0</v>
      </c>
      <c r="P842" s="419">
        <v>0</v>
      </c>
      <c r="Q842" s="380">
        <v>3.7127800000000002E-2</v>
      </c>
      <c r="R842" s="380"/>
      <c r="S842" s="419">
        <v>-18651819</v>
      </c>
      <c r="T842" s="419">
        <v>-18435995</v>
      </c>
      <c r="U842" s="419">
        <v>-19367754</v>
      </c>
      <c r="V842" s="419">
        <v>-24893225</v>
      </c>
      <c r="W842" s="419">
        <v>0</v>
      </c>
      <c r="X842" s="380">
        <v>3.7127800000000002E-2</v>
      </c>
      <c r="Z842" s="419">
        <v>14873471</v>
      </c>
      <c r="AA842" s="419">
        <v>10449434</v>
      </c>
      <c r="AB842" s="419">
        <v>10449359</v>
      </c>
      <c r="AC842" s="419">
        <v>0</v>
      </c>
      <c r="AD842" s="419">
        <v>0</v>
      </c>
      <c r="AE842" s="380">
        <v>3.7127800000000002E-2</v>
      </c>
      <c r="AF842" s="380"/>
      <c r="AG842" s="419">
        <v>1317850</v>
      </c>
      <c r="AH842" s="419">
        <v>1176185</v>
      </c>
      <c r="AI842" s="419">
        <v>901020</v>
      </c>
      <c r="AJ842" s="419">
        <v>0</v>
      </c>
      <c r="AK842" s="419">
        <v>0</v>
      </c>
      <c r="AL842" s="380">
        <v>3.7127800000000002E-2</v>
      </c>
      <c r="AM842" s="380"/>
      <c r="AN842" s="419">
        <v>0</v>
      </c>
      <c r="AO842" s="419">
        <v>0</v>
      </c>
      <c r="AP842" s="419">
        <v>0</v>
      </c>
      <c r="AQ842" s="419">
        <v>0</v>
      </c>
      <c r="AR842" s="419">
        <v>0</v>
      </c>
    </row>
    <row r="843" spans="1:44">
      <c r="A843" s="379">
        <v>99202</v>
      </c>
      <c r="B843" t="s">
        <v>1542</v>
      </c>
      <c r="C843" s="380">
        <v>3.0500000000000002E-3</v>
      </c>
      <c r="D843" s="380"/>
      <c r="E843" s="419">
        <v>457835</v>
      </c>
      <c r="F843" s="419">
        <v>-116648</v>
      </c>
      <c r="G843" s="419">
        <v>-471077</v>
      </c>
      <c r="H843" s="419">
        <v>-2044946</v>
      </c>
      <c r="I843" s="419">
        <v>0</v>
      </c>
      <c r="J843" s="380">
        <v>3.0500000000000002E-3</v>
      </c>
      <c r="K843" s="380"/>
      <c r="L843" s="419">
        <v>746664</v>
      </c>
      <c r="M843" s="419">
        <v>515670</v>
      </c>
      <c r="N843" s="419">
        <v>225737</v>
      </c>
      <c r="O843" s="419">
        <v>0</v>
      </c>
      <c r="P843" s="419">
        <v>0</v>
      </c>
      <c r="Q843" s="380">
        <v>3.0500000000000002E-3</v>
      </c>
      <c r="R843" s="380"/>
      <c r="S843" s="419">
        <v>-1532222</v>
      </c>
      <c r="T843" s="419">
        <v>-1514493</v>
      </c>
      <c r="U843" s="419">
        <v>-1591036</v>
      </c>
      <c r="V843" s="419">
        <v>-2044946</v>
      </c>
      <c r="W843" s="419">
        <v>0</v>
      </c>
      <c r="X843" s="380">
        <v>3.0500000000000002E-3</v>
      </c>
      <c r="Z843" s="419">
        <v>1221836</v>
      </c>
      <c r="AA843" s="419">
        <v>858407</v>
      </c>
      <c r="AB843" s="419">
        <v>858401</v>
      </c>
      <c r="AC843" s="419">
        <v>0</v>
      </c>
      <c r="AD843" s="419">
        <v>0</v>
      </c>
      <c r="AE843" s="380">
        <v>3.0500000000000002E-3</v>
      </c>
      <c r="AF843" s="380"/>
      <c r="AG843" s="419">
        <v>35822</v>
      </c>
      <c r="AH843" s="419">
        <v>35822</v>
      </c>
      <c r="AI843" s="419">
        <v>35821</v>
      </c>
      <c r="AJ843" s="419">
        <v>0</v>
      </c>
      <c r="AK843" s="419">
        <v>0</v>
      </c>
      <c r="AL843" s="380">
        <v>3.0500000000000002E-3</v>
      </c>
      <c r="AM843" s="380"/>
      <c r="AN843" s="419">
        <v>-14265</v>
      </c>
      <c r="AO843" s="419">
        <v>-12054</v>
      </c>
      <c r="AP843" s="419">
        <v>0</v>
      </c>
      <c r="AQ843" s="419">
        <v>0</v>
      </c>
      <c r="AR843" s="419">
        <v>0</v>
      </c>
    </row>
    <row r="844" spans="1:44">
      <c r="A844" s="379">
        <v>99203</v>
      </c>
      <c r="B844" t="s">
        <v>1543</v>
      </c>
      <c r="C844" s="380">
        <v>3.7080000000000001E-4</v>
      </c>
      <c r="D844" s="380"/>
      <c r="E844" s="419">
        <v>60295</v>
      </c>
      <c r="F844" s="419">
        <v>-7151</v>
      </c>
      <c r="G844" s="419">
        <v>-71435</v>
      </c>
      <c r="H844" s="419">
        <v>-248612</v>
      </c>
      <c r="I844" s="419">
        <v>0</v>
      </c>
      <c r="J844" s="380">
        <v>3.7080000000000001E-4</v>
      </c>
      <c r="K844" s="380"/>
      <c r="L844" s="419">
        <v>90775</v>
      </c>
      <c r="M844" s="419">
        <v>62692</v>
      </c>
      <c r="N844" s="419">
        <v>27444</v>
      </c>
      <c r="O844" s="419">
        <v>0</v>
      </c>
      <c r="P844" s="419">
        <v>0</v>
      </c>
      <c r="Q844" s="380">
        <v>3.7080000000000001E-4</v>
      </c>
      <c r="R844" s="380"/>
      <c r="S844" s="419">
        <v>-186278</v>
      </c>
      <c r="T844" s="419">
        <v>-184123</v>
      </c>
      <c r="U844" s="419">
        <v>-193428</v>
      </c>
      <c r="V844" s="419">
        <v>-248612</v>
      </c>
      <c r="W844" s="419">
        <v>0</v>
      </c>
      <c r="X844" s="380">
        <v>3.7080000000000001E-4</v>
      </c>
      <c r="Z844" s="419">
        <v>148543</v>
      </c>
      <c r="AA844" s="419">
        <v>104360</v>
      </c>
      <c r="AB844" s="419">
        <v>104359</v>
      </c>
      <c r="AC844" s="419">
        <v>0</v>
      </c>
      <c r="AD844" s="419">
        <v>0</v>
      </c>
      <c r="AE844" s="380">
        <v>3.7080000000000001E-4</v>
      </c>
      <c r="AF844" s="380"/>
      <c r="AG844" s="419">
        <v>19730</v>
      </c>
      <c r="AH844" s="419">
        <v>19730</v>
      </c>
      <c r="AI844" s="419">
        <v>0</v>
      </c>
      <c r="AJ844" s="419">
        <v>0</v>
      </c>
      <c r="AK844" s="419">
        <v>0</v>
      </c>
      <c r="AL844" s="380">
        <v>3.7080000000000001E-4</v>
      </c>
      <c r="AM844" s="380"/>
      <c r="AN844" s="419">
        <v>-12475</v>
      </c>
      <c r="AO844" s="419">
        <v>-9810</v>
      </c>
      <c r="AP844" s="419">
        <v>-9810</v>
      </c>
      <c r="AQ844" s="419">
        <v>0</v>
      </c>
      <c r="AR844" s="419">
        <v>0</v>
      </c>
    </row>
    <row r="845" spans="1:44">
      <c r="A845" s="379">
        <v>99204</v>
      </c>
      <c r="B845" t="s">
        <v>1544</v>
      </c>
      <c r="C845" s="380">
        <v>1.1161999999999999E-3</v>
      </c>
      <c r="D845" s="380"/>
      <c r="E845" s="419">
        <v>328610</v>
      </c>
      <c r="F845" s="419">
        <v>103762</v>
      </c>
      <c r="G845" s="419">
        <v>-62723</v>
      </c>
      <c r="H845" s="419">
        <v>-748383</v>
      </c>
      <c r="I845" s="419">
        <v>0</v>
      </c>
      <c r="J845" s="380">
        <v>1.1161999999999999E-3</v>
      </c>
      <c r="K845" s="380"/>
      <c r="L845" s="419">
        <v>273255</v>
      </c>
      <c r="M845" s="419">
        <v>188718</v>
      </c>
      <c r="N845" s="419">
        <v>82612</v>
      </c>
      <c r="O845" s="419">
        <v>0</v>
      </c>
      <c r="P845" s="419">
        <v>0</v>
      </c>
      <c r="Q845" s="380">
        <v>1.1161999999999999E-3</v>
      </c>
      <c r="R845" s="380"/>
      <c r="S845" s="419">
        <v>-560743</v>
      </c>
      <c r="T845" s="419">
        <v>-554255</v>
      </c>
      <c r="U845" s="419">
        <v>-582267</v>
      </c>
      <c r="V845" s="419">
        <v>-748383</v>
      </c>
      <c r="W845" s="419">
        <v>0</v>
      </c>
      <c r="X845" s="380">
        <v>1.1161999999999999E-3</v>
      </c>
      <c r="Z845" s="419">
        <v>447152</v>
      </c>
      <c r="AA845" s="419">
        <v>314149</v>
      </c>
      <c r="AB845" s="419">
        <v>314147</v>
      </c>
      <c r="AC845" s="419">
        <v>0</v>
      </c>
      <c r="AD845" s="419">
        <v>0</v>
      </c>
      <c r="AE845" s="380">
        <v>1.1161999999999999E-3</v>
      </c>
      <c r="AF845" s="380"/>
      <c r="AG845" s="419">
        <v>168946</v>
      </c>
      <c r="AH845" s="419">
        <v>155150</v>
      </c>
      <c r="AI845" s="419">
        <v>122785</v>
      </c>
      <c r="AJ845" s="419">
        <v>0</v>
      </c>
      <c r="AK845" s="419">
        <v>0</v>
      </c>
      <c r="AL845" s="380">
        <v>1.1161999999999999E-3</v>
      </c>
      <c r="AM845" s="380"/>
      <c r="AN845" s="419">
        <v>0</v>
      </c>
      <c r="AO845" s="419">
        <v>0</v>
      </c>
      <c r="AP845" s="419">
        <v>0</v>
      </c>
      <c r="AQ845" s="419">
        <v>0</v>
      </c>
      <c r="AR845" s="419">
        <v>0</v>
      </c>
    </row>
    <row r="846" spans="1:44">
      <c r="A846" s="379">
        <v>99206</v>
      </c>
      <c r="B846" t="s">
        <v>1545</v>
      </c>
      <c r="C846" s="380">
        <v>1.9970000000000001E-3</v>
      </c>
      <c r="D846" s="380"/>
      <c r="E846" s="419">
        <v>526814</v>
      </c>
      <c r="F846" s="419">
        <v>45482</v>
      </c>
      <c r="G846" s="419">
        <v>-212345</v>
      </c>
      <c r="H846" s="419">
        <v>-1338937</v>
      </c>
      <c r="I846" s="419">
        <v>0</v>
      </c>
      <c r="J846" s="380">
        <v>1.9970000000000001E-3</v>
      </c>
      <c r="K846" s="380"/>
      <c r="L846" s="419">
        <v>488882</v>
      </c>
      <c r="M846" s="419">
        <v>337637</v>
      </c>
      <c r="N846" s="419">
        <v>147802</v>
      </c>
      <c r="O846" s="419">
        <v>0</v>
      </c>
      <c r="P846" s="419">
        <v>0</v>
      </c>
      <c r="Q846" s="380">
        <v>1.9970000000000001E-3</v>
      </c>
      <c r="R846" s="380"/>
      <c r="S846" s="419">
        <v>-1003229</v>
      </c>
      <c r="T846" s="419">
        <v>-991620</v>
      </c>
      <c r="U846" s="419">
        <v>-1041737</v>
      </c>
      <c r="V846" s="419">
        <v>-1338937</v>
      </c>
      <c r="W846" s="419">
        <v>0</v>
      </c>
      <c r="X846" s="380">
        <v>1.9970000000000001E-3</v>
      </c>
      <c r="Z846" s="419">
        <v>800002</v>
      </c>
      <c r="AA846" s="419">
        <v>562046</v>
      </c>
      <c r="AB846" s="419">
        <v>562042</v>
      </c>
      <c r="AC846" s="419">
        <v>0</v>
      </c>
      <c r="AD846" s="419">
        <v>0</v>
      </c>
      <c r="AE846" s="380">
        <v>1.9970000000000001E-3</v>
      </c>
      <c r="AF846" s="380"/>
      <c r="AG846" s="419">
        <v>266386</v>
      </c>
      <c r="AH846" s="419">
        <v>162648</v>
      </c>
      <c r="AI846" s="419">
        <v>119548</v>
      </c>
      <c r="AJ846" s="419">
        <v>0</v>
      </c>
      <c r="AK846" s="419">
        <v>0</v>
      </c>
      <c r="AL846" s="380">
        <v>1.9970000000000001E-3</v>
      </c>
      <c r="AM846" s="380"/>
      <c r="AN846" s="419">
        <v>-25227</v>
      </c>
      <c r="AO846" s="419">
        <v>-25229</v>
      </c>
      <c r="AP846" s="419">
        <v>0</v>
      </c>
      <c r="AQ846" s="419">
        <v>0</v>
      </c>
      <c r="AR846" s="419">
        <v>0</v>
      </c>
    </row>
    <row r="847" spans="1:44">
      <c r="A847" s="379">
        <v>99207</v>
      </c>
      <c r="B847" t="s">
        <v>1947</v>
      </c>
      <c r="C847" s="380">
        <v>1.4200000000000001E-4</v>
      </c>
      <c r="D847" s="380"/>
      <c r="E847" s="419">
        <v>120662</v>
      </c>
      <c r="F847" s="419">
        <v>70813</v>
      </c>
      <c r="G847" s="419">
        <v>30538</v>
      </c>
      <c r="H847" s="419">
        <v>-95207</v>
      </c>
      <c r="I847" s="419">
        <v>0</v>
      </c>
      <c r="J847" s="380">
        <v>1.4200000000000001E-4</v>
      </c>
      <c r="K847" s="380"/>
      <c r="L847" s="419">
        <v>34763</v>
      </c>
      <c r="M847" s="419">
        <v>24008</v>
      </c>
      <c r="N847" s="419">
        <v>10510</v>
      </c>
      <c r="O847" s="419">
        <v>0</v>
      </c>
      <c r="P847" s="419">
        <v>0</v>
      </c>
      <c r="Q847" s="380">
        <v>1.4200000000000001E-4</v>
      </c>
      <c r="R847" s="380"/>
      <c r="S847" s="419">
        <v>-71336</v>
      </c>
      <c r="T847" s="419">
        <v>-70511</v>
      </c>
      <c r="U847" s="419">
        <v>-74074</v>
      </c>
      <c r="V847" s="419">
        <v>-95207</v>
      </c>
      <c r="W847" s="419">
        <v>0</v>
      </c>
      <c r="X847" s="380">
        <v>1.4200000000000001E-4</v>
      </c>
      <c r="Z847" s="419">
        <v>56885</v>
      </c>
      <c r="AA847" s="419">
        <v>39965</v>
      </c>
      <c r="AB847" s="419">
        <v>39965</v>
      </c>
      <c r="AC847" s="419">
        <v>0</v>
      </c>
      <c r="AD847" s="419">
        <v>0</v>
      </c>
      <c r="AE847" s="380">
        <v>1.4200000000000001E-4</v>
      </c>
      <c r="AF847" s="380"/>
      <c r="AG847" s="419">
        <v>100545</v>
      </c>
      <c r="AH847" s="419">
        <v>77547</v>
      </c>
      <c r="AI847" s="419">
        <v>54137</v>
      </c>
      <c r="AJ847" s="419">
        <v>0</v>
      </c>
      <c r="AK847" s="419">
        <v>0</v>
      </c>
      <c r="AL847" s="380">
        <v>1.4200000000000001E-4</v>
      </c>
      <c r="AM847" s="380"/>
      <c r="AN847" s="419">
        <v>-195</v>
      </c>
      <c r="AO847" s="419">
        <v>-196</v>
      </c>
      <c r="AP847" s="419">
        <v>0</v>
      </c>
      <c r="AQ847" s="419">
        <v>0</v>
      </c>
      <c r="AR847" s="419">
        <v>0</v>
      </c>
    </row>
    <row r="848" spans="1:44">
      <c r="A848" s="379">
        <v>99208</v>
      </c>
      <c r="B848" t="s">
        <v>1547</v>
      </c>
      <c r="C848" s="380">
        <v>2.9770000000000003E-4</v>
      </c>
      <c r="D848" s="380"/>
      <c r="E848" s="419">
        <v>34816</v>
      </c>
      <c r="F848" s="419">
        <v>-33987</v>
      </c>
      <c r="G848" s="419">
        <v>-75259</v>
      </c>
      <c r="H848" s="419">
        <v>-199600</v>
      </c>
      <c r="I848" s="419">
        <v>0</v>
      </c>
      <c r="J848" s="380">
        <v>2.9770000000000003E-4</v>
      </c>
      <c r="K848" s="380"/>
      <c r="L848" s="419">
        <v>72879</v>
      </c>
      <c r="M848" s="419">
        <v>50333</v>
      </c>
      <c r="N848" s="419">
        <v>22033</v>
      </c>
      <c r="O848" s="419">
        <v>0</v>
      </c>
      <c r="P848" s="419">
        <v>0</v>
      </c>
      <c r="Q848" s="380">
        <v>2.9770000000000003E-4</v>
      </c>
      <c r="R848" s="380"/>
      <c r="S848" s="419">
        <v>-149555</v>
      </c>
      <c r="T848" s="419">
        <v>-147824</v>
      </c>
      <c r="U848" s="419">
        <v>-155296</v>
      </c>
      <c r="V848" s="419">
        <v>-199600</v>
      </c>
      <c r="W848" s="419">
        <v>0</v>
      </c>
      <c r="X848" s="380">
        <v>2.9770000000000003E-4</v>
      </c>
      <c r="Z848" s="419">
        <v>119259</v>
      </c>
      <c r="AA848" s="419">
        <v>83786</v>
      </c>
      <c r="AB848" s="419">
        <v>83786</v>
      </c>
      <c r="AC848" s="419">
        <v>0</v>
      </c>
      <c r="AD848" s="419">
        <v>0</v>
      </c>
      <c r="AE848" s="380">
        <v>2.9770000000000003E-4</v>
      </c>
      <c r="AF848" s="380"/>
      <c r="AG848" s="419">
        <v>20055</v>
      </c>
      <c r="AH848" s="419">
        <v>7541</v>
      </c>
      <c r="AI848" s="419">
        <v>0</v>
      </c>
      <c r="AJ848" s="419">
        <v>0</v>
      </c>
      <c r="AK848" s="419">
        <v>0</v>
      </c>
      <c r="AL848" s="380">
        <v>2.9770000000000003E-4</v>
      </c>
      <c r="AM848" s="380"/>
      <c r="AN848" s="419">
        <v>-27822</v>
      </c>
      <c r="AO848" s="419">
        <v>-27823</v>
      </c>
      <c r="AP848" s="419">
        <v>-25782</v>
      </c>
      <c r="AQ848" s="419">
        <v>0</v>
      </c>
      <c r="AR848" s="419">
        <v>0</v>
      </c>
    </row>
    <row r="849" spans="1:44">
      <c r="A849" s="379">
        <v>99210</v>
      </c>
      <c r="B849" t="s">
        <v>1548</v>
      </c>
      <c r="C849" s="380">
        <v>1.9134E-3</v>
      </c>
      <c r="D849" s="380"/>
      <c r="E849" s="419">
        <v>425802</v>
      </c>
      <c r="F849" s="419">
        <v>41071</v>
      </c>
      <c r="G849" s="419">
        <v>-289465</v>
      </c>
      <c r="H849" s="419">
        <v>-1282885</v>
      </c>
      <c r="I849" s="419">
        <v>0</v>
      </c>
      <c r="J849" s="380">
        <v>1.9134E-3</v>
      </c>
      <c r="K849" s="380"/>
      <c r="L849" s="419">
        <v>468416</v>
      </c>
      <c r="M849" s="419">
        <v>323502</v>
      </c>
      <c r="N849" s="419">
        <v>141615</v>
      </c>
      <c r="O849" s="419">
        <v>0</v>
      </c>
      <c r="P849" s="419">
        <v>0</v>
      </c>
      <c r="Q849" s="380">
        <v>1.9134E-3</v>
      </c>
      <c r="R849" s="380"/>
      <c r="S849" s="419">
        <v>-961231</v>
      </c>
      <c r="T849" s="419">
        <v>-950108</v>
      </c>
      <c r="U849" s="419">
        <v>-998127</v>
      </c>
      <c r="V849" s="419">
        <v>-1282885</v>
      </c>
      <c r="W849" s="419">
        <v>0</v>
      </c>
      <c r="X849" s="380">
        <v>1.9134E-3</v>
      </c>
      <c r="Z849" s="419">
        <v>766512</v>
      </c>
      <c r="AA849" s="419">
        <v>538517</v>
      </c>
      <c r="AB849" s="419">
        <v>538513</v>
      </c>
      <c r="AC849" s="419">
        <v>0</v>
      </c>
      <c r="AD849" s="419">
        <v>0</v>
      </c>
      <c r="AE849" s="380">
        <v>1.9134E-3</v>
      </c>
      <c r="AF849" s="380"/>
      <c r="AG849" s="419">
        <v>152105</v>
      </c>
      <c r="AH849" s="419">
        <v>129160</v>
      </c>
      <c r="AI849" s="419">
        <v>28534</v>
      </c>
      <c r="AJ849" s="419">
        <v>0</v>
      </c>
      <c r="AK849" s="419">
        <v>0</v>
      </c>
      <c r="AL849" s="380">
        <v>1.9134E-3</v>
      </c>
      <c r="AM849" s="380"/>
      <c r="AN849" s="419">
        <v>0</v>
      </c>
      <c r="AO849" s="419">
        <v>0</v>
      </c>
      <c r="AP849" s="419">
        <v>0</v>
      </c>
      <c r="AQ849" s="419">
        <v>0</v>
      </c>
      <c r="AR849" s="419">
        <v>0</v>
      </c>
    </row>
    <row r="850" spans="1:44">
      <c r="A850" s="379">
        <v>99211</v>
      </c>
      <c r="B850" t="s">
        <v>1549</v>
      </c>
      <c r="C850" s="380">
        <v>3.65305E-2</v>
      </c>
      <c r="D850" s="380"/>
      <c r="E850" s="419">
        <v>3936052</v>
      </c>
      <c r="F850" s="419">
        <v>-3133641</v>
      </c>
      <c r="G850" s="419">
        <v>-6839419</v>
      </c>
      <c r="H850" s="419">
        <v>-24492750</v>
      </c>
      <c r="I850" s="419">
        <v>0</v>
      </c>
      <c r="J850" s="380">
        <v>3.65305E-2</v>
      </c>
      <c r="K850" s="380"/>
      <c r="L850" s="419">
        <v>8942959</v>
      </c>
      <c r="M850" s="419">
        <v>6176285</v>
      </c>
      <c r="N850" s="419">
        <v>2703695</v>
      </c>
      <c r="O850" s="419">
        <v>0</v>
      </c>
      <c r="P850" s="419">
        <v>0</v>
      </c>
      <c r="Q850" s="380">
        <v>3.65305E-2</v>
      </c>
      <c r="R850" s="380"/>
      <c r="S850" s="419">
        <v>-18351754</v>
      </c>
      <c r="T850" s="419">
        <v>-18139402</v>
      </c>
      <c r="U850" s="419">
        <v>-19056172</v>
      </c>
      <c r="V850" s="419">
        <v>-24492750</v>
      </c>
      <c r="W850" s="419">
        <v>0</v>
      </c>
      <c r="X850" s="380">
        <v>3.65305E-2</v>
      </c>
      <c r="Z850" s="419">
        <v>14634191</v>
      </c>
      <c r="AA850" s="419">
        <v>10281327</v>
      </c>
      <c r="AB850" s="419">
        <v>10281254</v>
      </c>
      <c r="AC850" s="419">
        <v>0</v>
      </c>
      <c r="AD850" s="419">
        <v>0</v>
      </c>
      <c r="AE850" s="380">
        <v>3.65305E-2</v>
      </c>
      <c r="AF850" s="380"/>
      <c r="AG850" s="419">
        <v>162508</v>
      </c>
      <c r="AH850" s="419">
        <v>0</v>
      </c>
      <c r="AI850" s="419">
        <v>0</v>
      </c>
      <c r="AJ850" s="419">
        <v>0</v>
      </c>
      <c r="AK850" s="419">
        <v>0</v>
      </c>
      <c r="AL850" s="380">
        <v>3.65305E-2</v>
      </c>
      <c r="AM850" s="380"/>
      <c r="AN850" s="419">
        <v>-1451852</v>
      </c>
      <c r="AO850" s="419">
        <v>-1451851</v>
      </c>
      <c r="AP850" s="419">
        <v>-768196</v>
      </c>
      <c r="AQ850" s="419">
        <v>0</v>
      </c>
      <c r="AR850" s="419">
        <v>0</v>
      </c>
    </row>
    <row r="851" spans="1:44">
      <c r="A851" s="379">
        <v>99212</v>
      </c>
      <c r="B851" t="s">
        <v>1550</v>
      </c>
      <c r="C851" s="380">
        <v>7.08E-5</v>
      </c>
      <c r="D851" s="380"/>
      <c r="E851" s="419">
        <v>-711</v>
      </c>
      <c r="F851" s="419">
        <v>-11795</v>
      </c>
      <c r="G851" s="419">
        <v>-23832</v>
      </c>
      <c r="H851" s="419">
        <v>-47470</v>
      </c>
      <c r="I851" s="419">
        <v>0</v>
      </c>
      <c r="J851" s="380">
        <v>7.08E-5</v>
      </c>
      <c r="K851" s="380"/>
      <c r="L851" s="419">
        <v>17332</v>
      </c>
      <c r="M851" s="419">
        <v>11970</v>
      </c>
      <c r="N851" s="419">
        <v>5240</v>
      </c>
      <c r="O851" s="419">
        <v>0</v>
      </c>
      <c r="P851" s="419">
        <v>0</v>
      </c>
      <c r="Q851" s="380">
        <v>7.08E-5</v>
      </c>
      <c r="R851" s="380"/>
      <c r="S851" s="419">
        <v>-35568</v>
      </c>
      <c r="T851" s="419">
        <v>-35156</v>
      </c>
      <c r="U851" s="419">
        <v>-36933</v>
      </c>
      <c r="V851" s="419">
        <v>-47470</v>
      </c>
      <c r="W851" s="419">
        <v>0</v>
      </c>
      <c r="X851" s="380">
        <v>7.08E-5</v>
      </c>
      <c r="Z851" s="419">
        <v>28363</v>
      </c>
      <c r="AA851" s="419">
        <v>19926</v>
      </c>
      <c r="AB851" s="419">
        <v>19926</v>
      </c>
      <c r="AC851" s="419">
        <v>0</v>
      </c>
      <c r="AD851" s="419">
        <v>0</v>
      </c>
      <c r="AE851" s="380">
        <v>7.08E-5</v>
      </c>
      <c r="AF851" s="380"/>
      <c r="AG851" s="419">
        <v>4683</v>
      </c>
      <c r="AH851" s="419">
        <v>4683</v>
      </c>
      <c r="AI851" s="419">
        <v>0</v>
      </c>
      <c r="AJ851" s="419">
        <v>0</v>
      </c>
      <c r="AK851" s="419">
        <v>0</v>
      </c>
      <c r="AL851" s="380">
        <v>7.08E-5</v>
      </c>
      <c r="AM851" s="380"/>
      <c r="AN851" s="419">
        <v>-15521</v>
      </c>
      <c r="AO851" s="419">
        <v>-13218</v>
      </c>
      <c r="AP851" s="419">
        <v>-12065</v>
      </c>
      <c r="AQ851" s="419">
        <v>0</v>
      </c>
      <c r="AR851" s="419">
        <v>0</v>
      </c>
    </row>
    <row r="852" spans="1:44">
      <c r="A852" s="379">
        <v>99213</v>
      </c>
      <c r="B852" t="s">
        <v>1551</v>
      </c>
      <c r="C852" s="380">
        <v>6.7599999999999995E-4</v>
      </c>
      <c r="D852" s="380"/>
      <c r="E852" s="419">
        <v>99212</v>
      </c>
      <c r="F852" s="419">
        <v>-32265</v>
      </c>
      <c r="G852" s="419">
        <v>-100787</v>
      </c>
      <c r="H852" s="419">
        <v>-453240</v>
      </c>
      <c r="I852" s="419">
        <v>0</v>
      </c>
      <c r="J852" s="380">
        <v>6.7599999999999995E-4</v>
      </c>
      <c r="K852" s="380"/>
      <c r="L852" s="419">
        <v>165490</v>
      </c>
      <c r="M852" s="419">
        <v>114293</v>
      </c>
      <c r="N852" s="419">
        <v>50032</v>
      </c>
      <c r="O852" s="419">
        <v>0</v>
      </c>
      <c r="P852" s="419">
        <v>0</v>
      </c>
      <c r="Q852" s="380">
        <v>6.7599999999999995E-4</v>
      </c>
      <c r="R852" s="380"/>
      <c r="S852" s="419">
        <v>-339601</v>
      </c>
      <c r="T852" s="419">
        <v>-335671</v>
      </c>
      <c r="U852" s="419">
        <v>-352636</v>
      </c>
      <c r="V852" s="419">
        <v>-453240</v>
      </c>
      <c r="W852" s="419">
        <v>0</v>
      </c>
      <c r="X852" s="380">
        <v>6.7599999999999995E-4</v>
      </c>
      <c r="Z852" s="419">
        <v>270807</v>
      </c>
      <c r="AA852" s="419">
        <v>190257</v>
      </c>
      <c r="AB852" s="419">
        <v>190255</v>
      </c>
      <c r="AC852" s="419">
        <v>0</v>
      </c>
      <c r="AD852" s="419">
        <v>0</v>
      </c>
      <c r="AE852" s="380">
        <v>6.7599999999999995E-4</v>
      </c>
      <c r="AF852" s="380"/>
      <c r="AG852" s="419">
        <v>18899</v>
      </c>
      <c r="AH852" s="419">
        <v>15241</v>
      </c>
      <c r="AI852" s="419">
        <v>11562</v>
      </c>
      <c r="AJ852" s="419">
        <v>0</v>
      </c>
      <c r="AK852" s="419">
        <v>0</v>
      </c>
      <c r="AL852" s="380">
        <v>6.7599999999999995E-4</v>
      </c>
      <c r="AM852" s="380"/>
      <c r="AN852" s="419">
        <v>-16383</v>
      </c>
      <c r="AO852" s="419">
        <v>-16385</v>
      </c>
      <c r="AP852" s="419">
        <v>0</v>
      </c>
      <c r="AQ852" s="419">
        <v>0</v>
      </c>
      <c r="AR852" s="419">
        <v>0</v>
      </c>
    </row>
    <row r="853" spans="1:44">
      <c r="A853" s="379">
        <v>99218</v>
      </c>
      <c r="B853" t="s">
        <v>1552</v>
      </c>
      <c r="C853" s="380">
        <v>3.7296999999999999E-3</v>
      </c>
      <c r="D853" s="380"/>
      <c r="E853" s="419">
        <v>756318</v>
      </c>
      <c r="F853" s="419">
        <v>4060</v>
      </c>
      <c r="G853" s="419">
        <v>-654149</v>
      </c>
      <c r="H853" s="419">
        <v>-2500667</v>
      </c>
      <c r="I853" s="419">
        <v>0</v>
      </c>
      <c r="J853" s="380">
        <v>3.7296999999999999E-3</v>
      </c>
      <c r="K853" s="380"/>
      <c r="L853" s="419">
        <v>913060</v>
      </c>
      <c r="M853" s="419">
        <v>630588</v>
      </c>
      <c r="N853" s="419">
        <v>276043</v>
      </c>
      <c r="O853" s="419">
        <v>0</v>
      </c>
      <c r="P853" s="419">
        <v>0</v>
      </c>
      <c r="Q853" s="380">
        <v>3.7296999999999999E-3</v>
      </c>
      <c r="R853" s="380"/>
      <c r="S853" s="419">
        <v>-1873682</v>
      </c>
      <c r="T853" s="419">
        <v>-1852001</v>
      </c>
      <c r="U853" s="419">
        <v>-1945602</v>
      </c>
      <c r="V853" s="419">
        <v>-2500667</v>
      </c>
      <c r="W853" s="419">
        <v>0</v>
      </c>
      <c r="X853" s="380">
        <v>3.7296999999999999E-3</v>
      </c>
      <c r="Z853" s="419">
        <v>1494125</v>
      </c>
      <c r="AA853" s="419">
        <v>1049705</v>
      </c>
      <c r="AB853" s="419">
        <v>1049698</v>
      </c>
      <c r="AC853" s="419">
        <v>0</v>
      </c>
      <c r="AD853" s="419">
        <v>0</v>
      </c>
      <c r="AE853" s="380">
        <v>3.7296999999999999E-3</v>
      </c>
      <c r="AF853" s="380"/>
      <c r="AG853" s="419">
        <v>257105</v>
      </c>
      <c r="AH853" s="419">
        <v>210058</v>
      </c>
      <c r="AI853" s="419">
        <v>0</v>
      </c>
      <c r="AJ853" s="419">
        <v>0</v>
      </c>
      <c r="AK853" s="419">
        <v>0</v>
      </c>
      <c r="AL853" s="380">
        <v>3.7296999999999999E-3</v>
      </c>
      <c r="AM853" s="380"/>
      <c r="AN853" s="419">
        <v>-34290</v>
      </c>
      <c r="AO853" s="419">
        <v>-34290</v>
      </c>
      <c r="AP853" s="419">
        <v>-34288</v>
      </c>
      <c r="AQ853" s="419">
        <v>0</v>
      </c>
      <c r="AR853" s="419">
        <v>0</v>
      </c>
    </row>
    <row r="854" spans="1:44">
      <c r="A854" s="379">
        <v>99221</v>
      </c>
      <c r="B854" t="s">
        <v>1553</v>
      </c>
      <c r="C854" s="380">
        <v>1.21263E-2</v>
      </c>
      <c r="D854" s="380"/>
      <c r="E854" s="419">
        <v>1484027</v>
      </c>
      <c r="F854" s="419">
        <v>-768280</v>
      </c>
      <c r="G854" s="419">
        <v>-2097374</v>
      </c>
      <c r="H854" s="419">
        <v>-8130369</v>
      </c>
      <c r="I854" s="419">
        <v>0</v>
      </c>
      <c r="J854" s="380">
        <v>1.21263E-2</v>
      </c>
      <c r="K854" s="380"/>
      <c r="L854" s="419">
        <v>2968615</v>
      </c>
      <c r="M854" s="419">
        <v>2050218</v>
      </c>
      <c r="N854" s="419">
        <v>897492</v>
      </c>
      <c r="O854" s="419">
        <v>0</v>
      </c>
      <c r="P854" s="419">
        <v>0</v>
      </c>
      <c r="Q854" s="380">
        <v>1.21263E-2</v>
      </c>
      <c r="R854" s="380"/>
      <c r="S854" s="419">
        <v>-6091865</v>
      </c>
      <c r="T854" s="419">
        <v>-6021375</v>
      </c>
      <c r="U854" s="419">
        <v>-6325697</v>
      </c>
      <c r="V854" s="419">
        <v>-8130369</v>
      </c>
      <c r="W854" s="419">
        <v>0</v>
      </c>
      <c r="X854" s="380">
        <v>1.21263E-2</v>
      </c>
      <c r="Z854" s="419">
        <v>4857820</v>
      </c>
      <c r="AA854" s="419">
        <v>3412887</v>
      </c>
      <c r="AB854" s="419">
        <v>3412862</v>
      </c>
      <c r="AC854" s="419">
        <v>0</v>
      </c>
      <c r="AD854" s="419">
        <v>0</v>
      </c>
      <c r="AE854" s="380">
        <v>1.21263E-2</v>
      </c>
      <c r="AF854" s="380"/>
      <c r="AG854" s="419">
        <v>0</v>
      </c>
      <c r="AH854" s="419">
        <v>0</v>
      </c>
      <c r="AI854" s="419">
        <v>0</v>
      </c>
      <c r="AJ854" s="419">
        <v>0</v>
      </c>
      <c r="AK854" s="419">
        <v>0</v>
      </c>
      <c r="AL854" s="380">
        <v>1.21263E-2</v>
      </c>
      <c r="AM854" s="380"/>
      <c r="AN854" s="419">
        <v>-250543</v>
      </c>
      <c r="AO854" s="419">
        <v>-210010</v>
      </c>
      <c r="AP854" s="419">
        <v>-82031</v>
      </c>
      <c r="AQ854" s="419">
        <v>0</v>
      </c>
      <c r="AR854" s="419">
        <v>0</v>
      </c>
    </row>
    <row r="855" spans="1:44">
      <c r="A855" s="379">
        <v>99222</v>
      </c>
      <c r="B855" t="s">
        <v>1554</v>
      </c>
      <c r="C855" s="380">
        <v>3.3099999999999998E-5</v>
      </c>
      <c r="D855" s="380"/>
      <c r="E855" s="419">
        <v>2462</v>
      </c>
      <c r="F855" s="419">
        <v>-3128</v>
      </c>
      <c r="G855" s="419">
        <v>-5471</v>
      </c>
      <c r="H855" s="419">
        <v>-22193</v>
      </c>
      <c r="I855" s="419">
        <v>0</v>
      </c>
      <c r="J855" s="380">
        <v>3.3099999999999998E-5</v>
      </c>
      <c r="K855" s="380"/>
      <c r="L855" s="419">
        <v>8103</v>
      </c>
      <c r="M855" s="419">
        <v>5596</v>
      </c>
      <c r="N855" s="419">
        <v>2450</v>
      </c>
      <c r="O855" s="419">
        <v>0</v>
      </c>
      <c r="P855" s="419">
        <v>0</v>
      </c>
      <c r="Q855" s="380">
        <v>3.3099999999999998E-5</v>
      </c>
      <c r="R855" s="380"/>
      <c r="S855" s="419">
        <v>-16628</v>
      </c>
      <c r="T855" s="419">
        <v>-16436</v>
      </c>
      <c r="U855" s="419">
        <v>-17267</v>
      </c>
      <c r="V855" s="419">
        <v>-22193</v>
      </c>
      <c r="W855" s="419">
        <v>0</v>
      </c>
      <c r="X855" s="380">
        <v>3.3099999999999998E-5</v>
      </c>
      <c r="Z855" s="419">
        <v>13260</v>
      </c>
      <c r="AA855" s="419">
        <v>9316</v>
      </c>
      <c r="AB855" s="419">
        <v>9316</v>
      </c>
      <c r="AC855" s="419">
        <v>0</v>
      </c>
      <c r="AD855" s="419">
        <v>0</v>
      </c>
      <c r="AE855" s="380">
        <v>3.3099999999999998E-5</v>
      </c>
      <c r="AF855" s="380"/>
      <c r="AG855" s="419">
        <v>29</v>
      </c>
      <c r="AH855" s="419">
        <v>29</v>
      </c>
      <c r="AI855" s="419">
        <v>30</v>
      </c>
      <c r="AJ855" s="419">
        <v>0</v>
      </c>
      <c r="AK855" s="419">
        <v>0</v>
      </c>
      <c r="AL855" s="380">
        <v>3.3099999999999998E-5</v>
      </c>
      <c r="AM855" s="380"/>
      <c r="AN855" s="419">
        <v>-2302</v>
      </c>
      <c r="AO855" s="419">
        <v>-1633</v>
      </c>
      <c r="AP855" s="419">
        <v>0</v>
      </c>
      <c r="AQ855" s="419">
        <v>0</v>
      </c>
      <c r="AR855" s="419">
        <v>0</v>
      </c>
    </row>
    <row r="856" spans="1:44">
      <c r="A856" s="379">
        <v>99231</v>
      </c>
      <c r="B856" t="s">
        <v>1555</v>
      </c>
      <c r="C856" s="380">
        <v>4.5189999999999998E-4</v>
      </c>
      <c r="D856" s="380"/>
      <c r="E856" s="419">
        <v>110861</v>
      </c>
      <c r="F856" s="419">
        <v>28355</v>
      </c>
      <c r="G856" s="419">
        <v>-45892</v>
      </c>
      <c r="H856" s="419">
        <v>-302987</v>
      </c>
      <c r="I856" s="419">
        <v>0</v>
      </c>
      <c r="J856" s="380">
        <v>4.5189999999999998E-4</v>
      </c>
      <c r="K856" s="380"/>
      <c r="L856" s="419">
        <v>110629</v>
      </c>
      <c r="M856" s="419">
        <v>76404</v>
      </c>
      <c r="N856" s="419">
        <v>33446</v>
      </c>
      <c r="O856" s="419">
        <v>0</v>
      </c>
      <c r="P856" s="419">
        <v>0</v>
      </c>
      <c r="Q856" s="380">
        <v>4.5189999999999998E-4</v>
      </c>
      <c r="R856" s="380"/>
      <c r="S856" s="419">
        <v>-227020</v>
      </c>
      <c r="T856" s="419">
        <v>-224393</v>
      </c>
      <c r="U856" s="419">
        <v>-235734</v>
      </c>
      <c r="V856" s="419">
        <v>-302987</v>
      </c>
      <c r="W856" s="419">
        <v>0</v>
      </c>
      <c r="X856" s="380">
        <v>4.5189999999999998E-4</v>
      </c>
      <c r="Z856" s="419">
        <v>181032</v>
      </c>
      <c r="AA856" s="419">
        <v>127185</v>
      </c>
      <c r="AB856" s="419">
        <v>127184</v>
      </c>
      <c r="AC856" s="419">
        <v>0</v>
      </c>
      <c r="AD856" s="419">
        <v>0</v>
      </c>
      <c r="AE856" s="380">
        <v>4.5189999999999998E-4</v>
      </c>
      <c r="AF856" s="380"/>
      <c r="AG856" s="419">
        <v>51261</v>
      </c>
      <c r="AH856" s="419">
        <v>51259</v>
      </c>
      <c r="AI856" s="419">
        <v>29212</v>
      </c>
      <c r="AJ856" s="419">
        <v>0</v>
      </c>
      <c r="AK856" s="419">
        <v>0</v>
      </c>
      <c r="AL856" s="380">
        <v>4.5189999999999998E-4</v>
      </c>
      <c r="AM856" s="380"/>
      <c r="AN856" s="419">
        <v>-5041</v>
      </c>
      <c r="AO856" s="419">
        <v>-2100</v>
      </c>
      <c r="AP856" s="419">
        <v>0</v>
      </c>
      <c r="AQ856" s="419">
        <v>0</v>
      </c>
      <c r="AR856" s="419">
        <v>0</v>
      </c>
    </row>
    <row r="857" spans="1:44">
      <c r="A857" s="379">
        <v>99241</v>
      </c>
      <c r="B857" t="s">
        <v>1556</v>
      </c>
      <c r="C857" s="380">
        <v>5.4799999999999998E-4</v>
      </c>
      <c r="D857" s="380"/>
      <c r="E857" s="419">
        <v>53137</v>
      </c>
      <c r="F857" s="419">
        <v>-47343</v>
      </c>
      <c r="G857" s="419">
        <v>-115831</v>
      </c>
      <c r="H857" s="419">
        <v>-367420</v>
      </c>
      <c r="I857" s="419">
        <v>0</v>
      </c>
      <c r="J857" s="380">
        <v>5.4799999999999998E-4</v>
      </c>
      <c r="K857" s="380"/>
      <c r="L857" s="419">
        <v>134155</v>
      </c>
      <c r="M857" s="419">
        <v>92651</v>
      </c>
      <c r="N857" s="419">
        <v>40559</v>
      </c>
      <c r="O857" s="419">
        <v>0</v>
      </c>
      <c r="P857" s="419">
        <v>0</v>
      </c>
      <c r="Q857" s="380">
        <v>5.4799999999999998E-4</v>
      </c>
      <c r="R857" s="380"/>
      <c r="S857" s="419">
        <v>-275298</v>
      </c>
      <c r="T857" s="419">
        <v>-272112</v>
      </c>
      <c r="U857" s="419">
        <v>-285865</v>
      </c>
      <c r="V857" s="419">
        <v>-367420</v>
      </c>
      <c r="W857" s="419">
        <v>0</v>
      </c>
      <c r="X857" s="380">
        <v>5.4799999999999998E-4</v>
      </c>
      <c r="Z857" s="419">
        <v>219530</v>
      </c>
      <c r="AA857" s="419">
        <v>154232</v>
      </c>
      <c r="AB857" s="419">
        <v>154231</v>
      </c>
      <c r="AC857" s="419">
        <v>0</v>
      </c>
      <c r="AD857" s="419">
        <v>0</v>
      </c>
      <c r="AE857" s="380">
        <v>5.4799999999999998E-4</v>
      </c>
      <c r="AF857" s="380"/>
      <c r="AG857" s="419">
        <v>3938</v>
      </c>
      <c r="AH857" s="419">
        <v>3938</v>
      </c>
      <c r="AI857" s="419">
        <v>0</v>
      </c>
      <c r="AJ857" s="419">
        <v>0</v>
      </c>
      <c r="AK857" s="419">
        <v>0</v>
      </c>
      <c r="AL857" s="380">
        <v>5.4799999999999998E-4</v>
      </c>
      <c r="AM857" s="380"/>
      <c r="AN857" s="419">
        <v>-29188</v>
      </c>
      <c r="AO857" s="419">
        <v>-26052</v>
      </c>
      <c r="AP857" s="419">
        <v>-24756</v>
      </c>
      <c r="AQ857" s="419">
        <v>0</v>
      </c>
      <c r="AR857" s="419">
        <v>0</v>
      </c>
    </row>
    <row r="858" spans="1:44">
      <c r="A858" s="379">
        <v>99251</v>
      </c>
      <c r="B858" t="s">
        <v>1557</v>
      </c>
      <c r="C858" s="380">
        <v>1.6489E-3</v>
      </c>
      <c r="D858" s="380"/>
      <c r="E858" s="419">
        <v>242388</v>
      </c>
      <c r="F858" s="419">
        <v>-65467</v>
      </c>
      <c r="G858" s="419">
        <v>-268006</v>
      </c>
      <c r="H858" s="419">
        <v>-1105545</v>
      </c>
      <c r="I858" s="419">
        <v>0</v>
      </c>
      <c r="J858" s="380">
        <v>1.6489E-3</v>
      </c>
      <c r="K858" s="380"/>
      <c r="L858" s="419">
        <v>403664</v>
      </c>
      <c r="M858" s="419">
        <v>278783</v>
      </c>
      <c r="N858" s="419">
        <v>122038</v>
      </c>
      <c r="O858" s="419">
        <v>0</v>
      </c>
      <c r="P858" s="419">
        <v>0</v>
      </c>
      <c r="Q858" s="380">
        <v>1.6489E-3</v>
      </c>
      <c r="R858" s="380"/>
      <c r="S858" s="419">
        <v>-828355</v>
      </c>
      <c r="T858" s="419">
        <v>-818770</v>
      </c>
      <c r="U858" s="419">
        <v>-860150</v>
      </c>
      <c r="V858" s="419">
        <v>-1105545</v>
      </c>
      <c r="W858" s="419">
        <v>0</v>
      </c>
      <c r="X858" s="380">
        <v>1.6489E-3</v>
      </c>
      <c r="Z858" s="419">
        <v>660553</v>
      </c>
      <c r="AA858" s="419">
        <v>464075</v>
      </c>
      <c r="AB858" s="419">
        <v>464071</v>
      </c>
      <c r="AC858" s="419">
        <v>0</v>
      </c>
      <c r="AD858" s="419">
        <v>0</v>
      </c>
      <c r="AE858" s="380">
        <v>1.6489E-3</v>
      </c>
      <c r="AF858" s="380"/>
      <c r="AG858" s="419">
        <v>10447</v>
      </c>
      <c r="AH858" s="419">
        <v>10445</v>
      </c>
      <c r="AI858" s="419">
        <v>6035</v>
      </c>
      <c r="AJ858" s="419">
        <v>0</v>
      </c>
      <c r="AK858" s="419">
        <v>0</v>
      </c>
      <c r="AL858" s="380">
        <v>1.6489E-3</v>
      </c>
      <c r="AM858" s="380"/>
      <c r="AN858" s="419">
        <v>-3921</v>
      </c>
      <c r="AO858" s="419">
        <v>0</v>
      </c>
      <c r="AP858" s="419">
        <v>0</v>
      </c>
      <c r="AQ858" s="419">
        <v>0</v>
      </c>
      <c r="AR858" s="419">
        <v>0</v>
      </c>
    </row>
    <row r="859" spans="1:44">
      <c r="A859" s="379">
        <v>99252</v>
      </c>
      <c r="B859" t="s">
        <v>1558</v>
      </c>
      <c r="C859" s="380">
        <v>6.3929999999999998E-4</v>
      </c>
      <c r="D859" s="380"/>
      <c r="E859" s="419">
        <v>18975</v>
      </c>
      <c r="F859" s="419">
        <v>-94289</v>
      </c>
      <c r="G859" s="419">
        <v>-119061</v>
      </c>
      <c r="H859" s="419">
        <v>-428634</v>
      </c>
      <c r="I859" s="419">
        <v>0</v>
      </c>
      <c r="J859" s="380">
        <v>6.3929999999999998E-4</v>
      </c>
      <c r="K859" s="380"/>
      <c r="L859" s="419">
        <v>156506</v>
      </c>
      <c r="M859" s="419">
        <v>108088</v>
      </c>
      <c r="N859" s="419">
        <v>47316</v>
      </c>
      <c r="O859" s="419">
        <v>0</v>
      </c>
      <c r="P859" s="419">
        <v>0</v>
      </c>
      <c r="Q859" s="380">
        <v>6.3929999999999998E-4</v>
      </c>
      <c r="R859" s="380"/>
      <c r="S859" s="419">
        <v>-321164</v>
      </c>
      <c r="T859" s="419">
        <v>-317448</v>
      </c>
      <c r="U859" s="419">
        <v>-333491</v>
      </c>
      <c r="V859" s="419">
        <v>-428634</v>
      </c>
      <c r="W859" s="419">
        <v>0</v>
      </c>
      <c r="X859" s="380">
        <v>6.3929999999999998E-4</v>
      </c>
      <c r="Z859" s="419">
        <v>256105</v>
      </c>
      <c r="AA859" s="419">
        <v>179928</v>
      </c>
      <c r="AB859" s="419">
        <v>179927</v>
      </c>
      <c r="AC859" s="419">
        <v>0</v>
      </c>
      <c r="AD859" s="419">
        <v>0</v>
      </c>
      <c r="AE859" s="380">
        <v>6.3929999999999998E-4</v>
      </c>
      <c r="AF859" s="380"/>
      <c r="AG859" s="419">
        <v>0</v>
      </c>
      <c r="AH859" s="419">
        <v>0</v>
      </c>
      <c r="AI859" s="419">
        <v>0</v>
      </c>
      <c r="AJ859" s="419">
        <v>0</v>
      </c>
      <c r="AK859" s="419">
        <v>0</v>
      </c>
      <c r="AL859" s="380">
        <v>6.3929999999999998E-4</v>
      </c>
      <c r="AM859" s="380"/>
      <c r="AN859" s="419">
        <v>-72472</v>
      </c>
      <c r="AO859" s="419">
        <v>-64857</v>
      </c>
      <c r="AP859" s="419">
        <v>-12813</v>
      </c>
      <c r="AQ859" s="419">
        <v>0</v>
      </c>
      <c r="AR859" s="419">
        <v>0</v>
      </c>
    </row>
    <row r="860" spans="1:44">
      <c r="A860" s="379">
        <v>99261</v>
      </c>
      <c r="B860" t="s">
        <v>1559</v>
      </c>
      <c r="C860" s="380">
        <v>2.2912000000000002E-3</v>
      </c>
      <c r="D860" s="380"/>
      <c r="E860" s="419">
        <v>272174</v>
      </c>
      <c r="F860" s="419">
        <v>-155370</v>
      </c>
      <c r="G860" s="419">
        <v>-414603</v>
      </c>
      <c r="H860" s="419">
        <v>-1536190</v>
      </c>
      <c r="I860" s="419">
        <v>0</v>
      </c>
      <c r="J860" s="380">
        <v>2.2912000000000002E-3</v>
      </c>
      <c r="K860" s="380"/>
      <c r="L860" s="419">
        <v>560904</v>
      </c>
      <c r="M860" s="419">
        <v>387378</v>
      </c>
      <c r="N860" s="419">
        <v>169576</v>
      </c>
      <c r="O860" s="419">
        <v>0</v>
      </c>
      <c r="P860" s="419">
        <v>0</v>
      </c>
      <c r="Q860" s="380">
        <v>2.2912000000000002E-3</v>
      </c>
      <c r="R860" s="380"/>
      <c r="S860" s="419">
        <v>-1151026</v>
      </c>
      <c r="T860" s="419">
        <v>-1137707</v>
      </c>
      <c r="U860" s="419">
        <v>-1195207</v>
      </c>
      <c r="V860" s="419">
        <v>-1536190</v>
      </c>
      <c r="W860" s="419">
        <v>0</v>
      </c>
      <c r="X860" s="380">
        <v>2.2912000000000002E-3</v>
      </c>
      <c r="Z860" s="419">
        <v>917859</v>
      </c>
      <c r="AA860" s="419">
        <v>644847</v>
      </c>
      <c r="AB860" s="419">
        <v>644842</v>
      </c>
      <c r="AC860" s="419">
        <v>0</v>
      </c>
      <c r="AD860" s="419">
        <v>0</v>
      </c>
      <c r="AE860" s="380">
        <v>2.2912000000000002E-3</v>
      </c>
      <c r="AF860" s="380"/>
      <c r="AG860" s="419">
        <v>470</v>
      </c>
      <c r="AH860" s="419">
        <v>472</v>
      </c>
      <c r="AI860" s="419">
        <v>0</v>
      </c>
      <c r="AJ860" s="419">
        <v>0</v>
      </c>
      <c r="AK860" s="419">
        <v>0</v>
      </c>
      <c r="AL860" s="380">
        <v>2.2912000000000002E-3</v>
      </c>
      <c r="AM860" s="380"/>
      <c r="AN860" s="419">
        <v>-56033</v>
      </c>
      <c r="AO860" s="419">
        <v>-50360</v>
      </c>
      <c r="AP860" s="419">
        <v>-33814</v>
      </c>
      <c r="AQ860" s="419">
        <v>0</v>
      </c>
      <c r="AR860" s="419">
        <v>0</v>
      </c>
    </row>
    <row r="861" spans="1:44">
      <c r="A861" s="379">
        <v>99271</v>
      </c>
      <c r="B861" t="s">
        <v>1560</v>
      </c>
      <c r="C861" s="380">
        <v>5.0762000000000003E-3</v>
      </c>
      <c r="D861" s="380"/>
      <c r="E861" s="419">
        <v>1036072</v>
      </c>
      <c r="F861" s="419">
        <v>57660</v>
      </c>
      <c r="G861" s="419">
        <v>-641770</v>
      </c>
      <c r="H861" s="419">
        <v>-3403460</v>
      </c>
      <c r="I861" s="419">
        <v>0</v>
      </c>
      <c r="J861" s="380">
        <v>5.0762000000000003E-3</v>
      </c>
      <c r="K861" s="380"/>
      <c r="L861" s="419">
        <v>1242694</v>
      </c>
      <c r="M861" s="419">
        <v>858243</v>
      </c>
      <c r="N861" s="419">
        <v>375700</v>
      </c>
      <c r="O861" s="419">
        <v>0</v>
      </c>
      <c r="P861" s="419">
        <v>0</v>
      </c>
      <c r="Q861" s="380">
        <v>5.0762000000000003E-3</v>
      </c>
      <c r="R861" s="380"/>
      <c r="S861" s="419">
        <v>-2550120</v>
      </c>
      <c r="T861" s="419">
        <v>-2520612</v>
      </c>
      <c r="U861" s="419">
        <v>-2648005</v>
      </c>
      <c r="V861" s="419">
        <v>-3403460</v>
      </c>
      <c r="W861" s="419">
        <v>0</v>
      </c>
      <c r="X861" s="380">
        <v>5.0762000000000003E-3</v>
      </c>
      <c r="Z861" s="419">
        <v>2033536</v>
      </c>
      <c r="AA861" s="419">
        <v>1428671</v>
      </c>
      <c r="AB861" s="419">
        <v>1428661</v>
      </c>
      <c r="AC861" s="419">
        <v>0</v>
      </c>
      <c r="AD861" s="419">
        <v>0</v>
      </c>
      <c r="AE861" s="380">
        <v>5.0762000000000003E-3</v>
      </c>
      <c r="AF861" s="380"/>
      <c r="AG861" s="419">
        <v>331055</v>
      </c>
      <c r="AH861" s="419">
        <v>312449</v>
      </c>
      <c r="AI861" s="419">
        <v>201874</v>
      </c>
      <c r="AJ861" s="419">
        <v>0</v>
      </c>
      <c r="AK861" s="419">
        <v>0</v>
      </c>
      <c r="AL861" s="380">
        <v>5.0762000000000003E-3</v>
      </c>
      <c r="AM861" s="380"/>
      <c r="AN861" s="419">
        <v>-21093</v>
      </c>
      <c r="AO861" s="419">
        <v>-21091</v>
      </c>
      <c r="AP861" s="419">
        <v>0</v>
      </c>
      <c r="AQ861" s="419">
        <v>0</v>
      </c>
      <c r="AR861" s="419">
        <v>0</v>
      </c>
    </row>
    <row r="862" spans="1:44">
      <c r="A862" s="379">
        <v>99281</v>
      </c>
      <c r="B862" t="s">
        <v>1561</v>
      </c>
      <c r="C862" s="380">
        <v>3.4172E-3</v>
      </c>
      <c r="D862" s="380"/>
      <c r="E862" s="419">
        <v>942634</v>
      </c>
      <c r="F862" s="419">
        <v>291745</v>
      </c>
      <c r="G862" s="419">
        <v>-148637</v>
      </c>
      <c r="H862" s="419">
        <v>-2291144</v>
      </c>
      <c r="I862" s="419">
        <v>0</v>
      </c>
      <c r="J862" s="380">
        <v>3.4172E-3</v>
      </c>
      <c r="K862" s="380"/>
      <c r="L862" s="419">
        <v>836558</v>
      </c>
      <c r="M862" s="419">
        <v>577753</v>
      </c>
      <c r="N862" s="419">
        <v>252914</v>
      </c>
      <c r="O862" s="419">
        <v>0</v>
      </c>
      <c r="P862" s="419">
        <v>0</v>
      </c>
      <c r="Q862" s="380">
        <v>3.4172E-3</v>
      </c>
      <c r="R862" s="380"/>
      <c r="S862" s="419">
        <v>-1716692</v>
      </c>
      <c r="T862" s="419">
        <v>-1696828</v>
      </c>
      <c r="U862" s="419">
        <v>-1782586</v>
      </c>
      <c r="V862" s="419">
        <v>-2291144</v>
      </c>
      <c r="W862" s="419">
        <v>0</v>
      </c>
      <c r="X862" s="380">
        <v>3.4172E-3</v>
      </c>
      <c r="Z862" s="419">
        <v>1368937</v>
      </c>
      <c r="AA862" s="419">
        <v>961754</v>
      </c>
      <c r="AB862" s="419">
        <v>961747</v>
      </c>
      <c r="AC862" s="419">
        <v>0</v>
      </c>
      <c r="AD862" s="419">
        <v>0</v>
      </c>
      <c r="AE862" s="380">
        <v>3.4172E-3</v>
      </c>
      <c r="AF862" s="380"/>
      <c r="AG862" s="419">
        <v>453842</v>
      </c>
      <c r="AH862" s="419">
        <v>449079</v>
      </c>
      <c r="AI862" s="419">
        <v>419288</v>
      </c>
      <c r="AJ862" s="419">
        <v>0</v>
      </c>
      <c r="AK862" s="419">
        <v>0</v>
      </c>
      <c r="AL862" s="380">
        <v>3.4172E-3</v>
      </c>
      <c r="AM862" s="380"/>
      <c r="AN862" s="419">
        <v>-11</v>
      </c>
      <c r="AO862" s="419">
        <v>-13</v>
      </c>
      <c r="AP862" s="419">
        <v>0</v>
      </c>
      <c r="AQ862" s="419">
        <v>0</v>
      </c>
      <c r="AR862" s="419">
        <v>0</v>
      </c>
    </row>
    <row r="863" spans="1:44">
      <c r="A863" s="379">
        <v>99291</v>
      </c>
      <c r="B863" t="s">
        <v>1562</v>
      </c>
      <c r="C863" s="380">
        <v>9.6429999999999997E-4</v>
      </c>
      <c r="D863" s="380"/>
      <c r="E863" s="419">
        <v>177741</v>
      </c>
      <c r="F863" s="419">
        <v>-7732</v>
      </c>
      <c r="G863" s="419">
        <v>-99028</v>
      </c>
      <c r="H863" s="419">
        <v>-646538</v>
      </c>
      <c r="I863" s="419">
        <v>0</v>
      </c>
      <c r="J863" s="380">
        <v>9.6429999999999997E-4</v>
      </c>
      <c r="K863" s="380"/>
      <c r="L863" s="419">
        <v>236068</v>
      </c>
      <c r="M863" s="419">
        <v>163036</v>
      </c>
      <c r="N863" s="419">
        <v>71370</v>
      </c>
      <c r="O863" s="419">
        <v>0</v>
      </c>
      <c r="P863" s="419">
        <v>0</v>
      </c>
      <c r="Q863" s="380">
        <v>9.6429999999999997E-4</v>
      </c>
      <c r="R863" s="380"/>
      <c r="S863" s="419">
        <v>-484433</v>
      </c>
      <c r="T863" s="419">
        <v>-478828</v>
      </c>
      <c r="U863" s="419">
        <v>-503028</v>
      </c>
      <c r="V863" s="419">
        <v>-646538</v>
      </c>
      <c r="W863" s="419">
        <v>0</v>
      </c>
      <c r="X863" s="380">
        <v>9.6429999999999997E-4</v>
      </c>
      <c r="Z863" s="419">
        <v>386301</v>
      </c>
      <c r="AA863" s="419">
        <v>271397</v>
      </c>
      <c r="AB863" s="419">
        <v>271395</v>
      </c>
      <c r="AC863" s="419">
        <v>0</v>
      </c>
      <c r="AD863" s="419">
        <v>0</v>
      </c>
      <c r="AE863" s="380">
        <v>9.6429999999999997E-4</v>
      </c>
      <c r="AF863" s="380"/>
      <c r="AG863" s="419">
        <v>64378</v>
      </c>
      <c r="AH863" s="419">
        <v>61236</v>
      </c>
      <c r="AI863" s="419">
        <v>61235</v>
      </c>
      <c r="AJ863" s="419">
        <v>0</v>
      </c>
      <c r="AK863" s="419">
        <v>0</v>
      </c>
      <c r="AL863" s="380">
        <v>9.6429999999999997E-4</v>
      </c>
      <c r="AM863" s="380"/>
      <c r="AN863" s="419">
        <v>-24573</v>
      </c>
      <c r="AO863" s="419">
        <v>-24573</v>
      </c>
      <c r="AP863" s="419">
        <v>0</v>
      </c>
      <c r="AQ863" s="419">
        <v>0</v>
      </c>
      <c r="AR863" s="419">
        <v>0</v>
      </c>
    </row>
    <row r="864" spans="1:44">
      <c r="A864" s="379">
        <v>99301</v>
      </c>
      <c r="B864" t="s">
        <v>1563</v>
      </c>
      <c r="C864" s="380">
        <v>1.4434000000000001E-3</v>
      </c>
      <c r="D864" s="380"/>
      <c r="E864" s="419">
        <v>100409</v>
      </c>
      <c r="F864" s="419">
        <v>-157122</v>
      </c>
      <c r="G864" s="419">
        <v>-279942</v>
      </c>
      <c r="H864" s="419">
        <v>-967762</v>
      </c>
      <c r="I864" s="419">
        <v>0</v>
      </c>
      <c r="J864" s="380">
        <v>1.4434000000000001E-3</v>
      </c>
      <c r="K864" s="380"/>
      <c r="L864" s="419">
        <v>353356</v>
      </c>
      <c r="M864" s="419">
        <v>244039</v>
      </c>
      <c r="N864" s="419">
        <v>106829</v>
      </c>
      <c r="O864" s="419">
        <v>0</v>
      </c>
      <c r="P864" s="419">
        <v>0</v>
      </c>
      <c r="Q864" s="380">
        <v>1.4434000000000001E-3</v>
      </c>
      <c r="R864" s="380"/>
      <c r="S864" s="419">
        <v>-725118</v>
      </c>
      <c r="T864" s="419">
        <v>-716727</v>
      </c>
      <c r="U864" s="419">
        <v>-752951</v>
      </c>
      <c r="V864" s="419">
        <v>-967762</v>
      </c>
      <c r="W864" s="419">
        <v>0</v>
      </c>
      <c r="X864" s="380">
        <v>1.4434000000000001E-3</v>
      </c>
      <c r="Z864" s="419">
        <v>578229</v>
      </c>
      <c r="AA864" s="419">
        <v>406238</v>
      </c>
      <c r="AB864" s="419">
        <v>406235</v>
      </c>
      <c r="AC864" s="419">
        <v>0</v>
      </c>
      <c r="AD864" s="419">
        <v>0</v>
      </c>
      <c r="AE864" s="380">
        <v>1.4434000000000001E-3</v>
      </c>
      <c r="AF864" s="380"/>
      <c r="AG864" s="419">
        <v>0</v>
      </c>
      <c r="AH864" s="419">
        <v>0</v>
      </c>
      <c r="AI864" s="419">
        <v>0</v>
      </c>
      <c r="AJ864" s="419">
        <v>0</v>
      </c>
      <c r="AK864" s="419">
        <v>0</v>
      </c>
      <c r="AL864" s="380">
        <v>1.4434000000000001E-3</v>
      </c>
      <c r="AM864" s="380"/>
      <c r="AN864" s="419">
        <v>-106058</v>
      </c>
      <c r="AO864" s="419">
        <v>-90672</v>
      </c>
      <c r="AP864" s="419">
        <v>-40055</v>
      </c>
      <c r="AQ864" s="419">
        <v>0</v>
      </c>
      <c r="AR864" s="419">
        <v>0</v>
      </c>
    </row>
    <row r="865" spans="1:44">
      <c r="A865" s="379">
        <v>99304</v>
      </c>
      <c r="B865" t="s">
        <v>1564</v>
      </c>
      <c r="C865" s="380">
        <v>6.7000000000000002E-6</v>
      </c>
      <c r="D865" s="380"/>
      <c r="E865" s="419">
        <v>5160</v>
      </c>
      <c r="F865" s="419">
        <v>3204</v>
      </c>
      <c r="G865" s="419">
        <v>617</v>
      </c>
      <c r="H865" s="419">
        <v>-4492</v>
      </c>
      <c r="I865" s="419">
        <v>0</v>
      </c>
      <c r="J865" s="380">
        <v>6.7000000000000002E-6</v>
      </c>
      <c r="K865" s="380"/>
      <c r="L865" s="419">
        <v>1640</v>
      </c>
      <c r="M865" s="419">
        <v>1133</v>
      </c>
      <c r="N865" s="419">
        <v>496</v>
      </c>
      <c r="O865" s="419">
        <v>0</v>
      </c>
      <c r="P865" s="419">
        <v>0</v>
      </c>
      <c r="Q865" s="380">
        <v>6.7000000000000002E-6</v>
      </c>
      <c r="R865" s="380"/>
      <c r="S865" s="419">
        <v>-3366</v>
      </c>
      <c r="T865" s="419">
        <v>-3327</v>
      </c>
      <c r="U865" s="419">
        <v>-3495</v>
      </c>
      <c r="V865" s="419">
        <v>-4492</v>
      </c>
      <c r="W865" s="419">
        <v>0</v>
      </c>
      <c r="X865" s="380">
        <v>6.7000000000000002E-6</v>
      </c>
      <c r="Z865" s="419">
        <v>2684</v>
      </c>
      <c r="AA865" s="419">
        <v>1886</v>
      </c>
      <c r="AB865" s="419">
        <v>1886</v>
      </c>
      <c r="AC865" s="419">
        <v>0</v>
      </c>
      <c r="AD865" s="419">
        <v>0</v>
      </c>
      <c r="AE865" s="380">
        <v>6.7000000000000002E-6</v>
      </c>
      <c r="AF865" s="380"/>
      <c r="AG865" s="419">
        <v>4202</v>
      </c>
      <c r="AH865" s="419">
        <v>3512</v>
      </c>
      <c r="AI865" s="419">
        <v>1730</v>
      </c>
      <c r="AJ865" s="419">
        <v>0</v>
      </c>
      <c r="AK865" s="419">
        <v>0</v>
      </c>
      <c r="AL865" s="380">
        <v>6.7000000000000002E-6</v>
      </c>
      <c r="AM865" s="380"/>
      <c r="AN865" s="419">
        <v>0</v>
      </c>
      <c r="AO865" s="419">
        <v>0</v>
      </c>
      <c r="AP865" s="419">
        <v>0</v>
      </c>
      <c r="AQ865" s="419">
        <v>0</v>
      </c>
      <c r="AR865" s="419">
        <v>0</v>
      </c>
    </row>
    <row r="866" spans="1:44">
      <c r="A866" s="379">
        <v>99311</v>
      </c>
      <c r="B866" t="s">
        <v>1565</v>
      </c>
      <c r="C866" s="380">
        <v>5.6799999999999998E-5</v>
      </c>
      <c r="D866" s="380"/>
      <c r="E866" s="419">
        <v>5847</v>
      </c>
      <c r="F866" s="419">
        <v>-5913</v>
      </c>
      <c r="G866" s="419">
        <v>-9251</v>
      </c>
      <c r="H866" s="419">
        <v>-38083</v>
      </c>
      <c r="I866" s="419">
        <v>0</v>
      </c>
      <c r="J866" s="380">
        <v>5.6799999999999998E-5</v>
      </c>
      <c r="K866" s="380"/>
      <c r="L866" s="419">
        <v>13905</v>
      </c>
      <c r="M866" s="419">
        <v>9603</v>
      </c>
      <c r="N866" s="419">
        <v>4204</v>
      </c>
      <c r="O866" s="419">
        <v>0</v>
      </c>
      <c r="P866" s="419">
        <v>0</v>
      </c>
      <c r="Q866" s="380">
        <v>5.6799999999999998E-5</v>
      </c>
      <c r="R866" s="380"/>
      <c r="S866" s="419">
        <v>-28535</v>
      </c>
      <c r="T866" s="419">
        <v>-28204</v>
      </c>
      <c r="U866" s="419">
        <v>-29630</v>
      </c>
      <c r="V866" s="419">
        <v>-38083</v>
      </c>
      <c r="W866" s="419">
        <v>0</v>
      </c>
      <c r="X866" s="380">
        <v>5.6799999999999998E-5</v>
      </c>
      <c r="Z866" s="419">
        <v>22754</v>
      </c>
      <c r="AA866" s="419">
        <v>15986</v>
      </c>
      <c r="AB866" s="419">
        <v>15986</v>
      </c>
      <c r="AC866" s="419">
        <v>0</v>
      </c>
      <c r="AD866" s="419">
        <v>0</v>
      </c>
      <c r="AE866" s="380">
        <v>5.6799999999999998E-5</v>
      </c>
      <c r="AF866" s="380"/>
      <c r="AG866" s="419">
        <v>1211</v>
      </c>
      <c r="AH866" s="419">
        <v>190</v>
      </c>
      <c r="AI866" s="419">
        <v>189</v>
      </c>
      <c r="AJ866" s="419">
        <v>0</v>
      </c>
      <c r="AK866" s="419">
        <v>0</v>
      </c>
      <c r="AL866" s="380">
        <v>5.6799999999999998E-5</v>
      </c>
      <c r="AM866" s="380"/>
      <c r="AN866" s="419">
        <v>-3488</v>
      </c>
      <c r="AO866" s="419">
        <v>-3488</v>
      </c>
      <c r="AP866" s="419">
        <v>0</v>
      </c>
      <c r="AQ866" s="419">
        <v>0</v>
      </c>
      <c r="AR866" s="419">
        <v>0</v>
      </c>
    </row>
    <row r="867" spans="1:44">
      <c r="A867" s="379">
        <v>99321</v>
      </c>
      <c r="B867" t="s">
        <v>1566</v>
      </c>
      <c r="C867" s="380">
        <v>1.0230000000000001E-4</v>
      </c>
      <c r="D867" s="380"/>
      <c r="E867" s="419">
        <v>54534</v>
      </c>
      <c r="F867" s="419">
        <v>28669</v>
      </c>
      <c r="G867" s="419">
        <v>-2846</v>
      </c>
      <c r="H867" s="419">
        <v>-68589</v>
      </c>
      <c r="I867" s="419">
        <v>0</v>
      </c>
      <c r="J867" s="380">
        <v>1.0230000000000001E-4</v>
      </c>
      <c r="K867" s="380"/>
      <c r="L867" s="419">
        <v>25044</v>
      </c>
      <c r="M867" s="419">
        <v>17296</v>
      </c>
      <c r="N867" s="419">
        <v>7571</v>
      </c>
      <c r="O867" s="419">
        <v>0</v>
      </c>
      <c r="P867" s="419">
        <v>0</v>
      </c>
      <c r="Q867" s="380">
        <v>1.0230000000000001E-4</v>
      </c>
      <c r="R867" s="380"/>
      <c r="S867" s="419">
        <v>-51392</v>
      </c>
      <c r="T867" s="419">
        <v>-50798</v>
      </c>
      <c r="U867" s="419">
        <v>-53365</v>
      </c>
      <c r="V867" s="419">
        <v>-68589</v>
      </c>
      <c r="W867" s="419">
        <v>0</v>
      </c>
      <c r="X867" s="380">
        <v>1.0230000000000001E-4</v>
      </c>
      <c r="Z867" s="419">
        <v>40982</v>
      </c>
      <c r="AA867" s="419">
        <v>28792</v>
      </c>
      <c r="AB867" s="419">
        <v>28792</v>
      </c>
      <c r="AC867" s="419">
        <v>0</v>
      </c>
      <c r="AD867" s="419">
        <v>0</v>
      </c>
      <c r="AE867" s="380">
        <v>1.0230000000000001E-4</v>
      </c>
      <c r="AF867" s="380"/>
      <c r="AG867" s="419">
        <v>39900</v>
      </c>
      <c r="AH867" s="419">
        <v>33379</v>
      </c>
      <c r="AI867" s="419">
        <v>14156</v>
      </c>
      <c r="AJ867" s="419">
        <v>0</v>
      </c>
      <c r="AK867" s="419">
        <v>0</v>
      </c>
      <c r="AL867" s="380">
        <v>1.0230000000000001E-4</v>
      </c>
      <c r="AM867" s="380"/>
      <c r="AN867" s="419">
        <v>0</v>
      </c>
      <c r="AO867" s="419">
        <v>0</v>
      </c>
      <c r="AP867" s="419">
        <v>0</v>
      </c>
      <c r="AQ867" s="419">
        <v>0</v>
      </c>
      <c r="AR867" s="419">
        <v>0</v>
      </c>
    </row>
    <row r="868" spans="1:44">
      <c r="A868" s="379">
        <v>99401</v>
      </c>
      <c r="B868" t="s">
        <v>1567</v>
      </c>
      <c r="C868" s="380">
        <v>7.381E-4</v>
      </c>
      <c r="D868" s="380"/>
      <c r="E868" s="419">
        <v>82985</v>
      </c>
      <c r="F868" s="419">
        <v>-42009</v>
      </c>
      <c r="G868" s="419">
        <v>-125563</v>
      </c>
      <c r="H868" s="419">
        <v>-494877</v>
      </c>
      <c r="I868" s="419">
        <v>0</v>
      </c>
      <c r="J868" s="380">
        <v>7.381E-4</v>
      </c>
      <c r="K868" s="380"/>
      <c r="L868" s="419">
        <v>180693</v>
      </c>
      <c r="M868" s="419">
        <v>124792</v>
      </c>
      <c r="N868" s="419">
        <v>54628</v>
      </c>
      <c r="O868" s="419">
        <v>0</v>
      </c>
      <c r="P868" s="419">
        <v>0</v>
      </c>
      <c r="Q868" s="380">
        <v>7.381E-4</v>
      </c>
      <c r="R868" s="380"/>
      <c r="S868" s="419">
        <v>-370798</v>
      </c>
      <c r="T868" s="419">
        <v>-366507</v>
      </c>
      <c r="U868" s="419">
        <v>-385031</v>
      </c>
      <c r="V868" s="419">
        <v>-494877</v>
      </c>
      <c r="W868" s="419">
        <v>0</v>
      </c>
      <c r="X868" s="380">
        <v>7.381E-4</v>
      </c>
      <c r="Z868" s="419">
        <v>295684</v>
      </c>
      <c r="AA868" s="419">
        <v>207735</v>
      </c>
      <c r="AB868" s="419">
        <v>207733</v>
      </c>
      <c r="AC868" s="419">
        <v>0</v>
      </c>
      <c r="AD868" s="419">
        <v>0</v>
      </c>
      <c r="AE868" s="380">
        <v>7.381E-4</v>
      </c>
      <c r="AF868" s="380"/>
      <c r="AG868" s="419">
        <v>2028</v>
      </c>
      <c r="AH868" s="419">
        <v>2027</v>
      </c>
      <c r="AI868" s="419">
        <v>0</v>
      </c>
      <c r="AJ868" s="419">
        <v>0</v>
      </c>
      <c r="AK868" s="419">
        <v>0</v>
      </c>
      <c r="AL868" s="380">
        <v>7.381E-4</v>
      </c>
      <c r="AM868" s="380"/>
      <c r="AN868" s="419">
        <v>-24622</v>
      </c>
      <c r="AO868" s="419">
        <v>-10056</v>
      </c>
      <c r="AP868" s="419">
        <v>-2893</v>
      </c>
      <c r="AQ868" s="419">
        <v>0</v>
      </c>
      <c r="AR868" s="419">
        <v>0</v>
      </c>
    </row>
    <row r="869" spans="1:44">
      <c r="A869" s="379">
        <v>99404</v>
      </c>
      <c r="B869" t="s">
        <v>1568</v>
      </c>
      <c r="C869" s="380">
        <v>7.4000000000000003E-6</v>
      </c>
      <c r="D869" s="380"/>
      <c r="E869" s="419">
        <v>2208</v>
      </c>
      <c r="F869" s="419">
        <v>620</v>
      </c>
      <c r="G869" s="419">
        <v>-840</v>
      </c>
      <c r="H869" s="419">
        <v>-4962</v>
      </c>
      <c r="I869" s="419">
        <v>0</v>
      </c>
      <c r="J869" s="380">
        <v>7.4000000000000003E-6</v>
      </c>
      <c r="K869" s="380"/>
      <c r="L869" s="419">
        <v>1812</v>
      </c>
      <c r="M869" s="419">
        <v>1251</v>
      </c>
      <c r="N869" s="419">
        <v>548</v>
      </c>
      <c r="O869" s="419">
        <v>0</v>
      </c>
      <c r="P869" s="419">
        <v>0</v>
      </c>
      <c r="Q869" s="380">
        <v>7.4000000000000003E-6</v>
      </c>
      <c r="R869" s="380"/>
      <c r="S869" s="419">
        <v>-3718</v>
      </c>
      <c r="T869" s="419">
        <v>-3675</v>
      </c>
      <c r="U869" s="419">
        <v>-3860</v>
      </c>
      <c r="V869" s="419">
        <v>-4962</v>
      </c>
      <c r="W869" s="419">
        <v>0</v>
      </c>
      <c r="X869" s="380">
        <v>7.4000000000000003E-6</v>
      </c>
      <c r="Z869" s="419">
        <v>2964</v>
      </c>
      <c r="AA869" s="419">
        <v>2083</v>
      </c>
      <c r="AB869" s="419">
        <v>2083</v>
      </c>
      <c r="AC869" s="419">
        <v>0</v>
      </c>
      <c r="AD869" s="419">
        <v>0</v>
      </c>
      <c r="AE869" s="380">
        <v>7.4000000000000003E-6</v>
      </c>
      <c r="AF869" s="380"/>
      <c r="AG869" s="419">
        <v>1150</v>
      </c>
      <c r="AH869" s="419">
        <v>961</v>
      </c>
      <c r="AI869" s="419">
        <v>389</v>
      </c>
      <c r="AJ869" s="419">
        <v>0</v>
      </c>
      <c r="AK869" s="419">
        <v>0</v>
      </c>
      <c r="AL869" s="380">
        <v>7.4000000000000003E-6</v>
      </c>
      <c r="AM869" s="380"/>
      <c r="AN869" s="419">
        <v>0</v>
      </c>
      <c r="AO869" s="419">
        <v>0</v>
      </c>
      <c r="AP869" s="419">
        <v>0</v>
      </c>
      <c r="AQ869" s="419">
        <v>0</v>
      </c>
      <c r="AR869" s="419">
        <v>0</v>
      </c>
    </row>
    <row r="870" spans="1:44">
      <c r="A870" s="379">
        <v>99405</v>
      </c>
      <c r="B870" t="s">
        <v>1569</v>
      </c>
      <c r="C870" s="380">
        <v>5.27E-5</v>
      </c>
      <c r="D870" s="380"/>
      <c r="E870" s="419">
        <v>12591</v>
      </c>
      <c r="F870" s="419">
        <v>2062</v>
      </c>
      <c r="G870" s="419">
        <v>-9915</v>
      </c>
      <c r="H870" s="419">
        <v>-35334</v>
      </c>
      <c r="I870" s="419">
        <v>0</v>
      </c>
      <c r="J870" s="380">
        <v>5.27E-5</v>
      </c>
      <c r="K870" s="380"/>
      <c r="L870" s="419">
        <v>12901</v>
      </c>
      <c r="M870" s="419">
        <v>8910</v>
      </c>
      <c r="N870" s="419">
        <v>3900</v>
      </c>
      <c r="O870" s="419">
        <v>0</v>
      </c>
      <c r="P870" s="419">
        <v>0</v>
      </c>
      <c r="Q870" s="380">
        <v>5.27E-5</v>
      </c>
      <c r="R870" s="380"/>
      <c r="S870" s="419">
        <v>-26475</v>
      </c>
      <c r="T870" s="419">
        <v>-26168</v>
      </c>
      <c r="U870" s="419">
        <v>-27491</v>
      </c>
      <c r="V870" s="419">
        <v>-35334</v>
      </c>
      <c r="W870" s="419">
        <v>0</v>
      </c>
      <c r="X870" s="380">
        <v>5.27E-5</v>
      </c>
      <c r="Z870" s="419">
        <v>21112</v>
      </c>
      <c r="AA870" s="419">
        <v>14832</v>
      </c>
      <c r="AB870" s="419">
        <v>14832</v>
      </c>
      <c r="AC870" s="419">
        <v>0</v>
      </c>
      <c r="AD870" s="419">
        <v>0</v>
      </c>
      <c r="AE870" s="380">
        <v>5.27E-5</v>
      </c>
      <c r="AF870" s="380"/>
      <c r="AG870" s="419">
        <v>6211</v>
      </c>
      <c r="AH870" s="419">
        <v>5646</v>
      </c>
      <c r="AI870" s="419">
        <v>0</v>
      </c>
      <c r="AJ870" s="419">
        <v>0</v>
      </c>
      <c r="AK870" s="419">
        <v>0</v>
      </c>
      <c r="AL870" s="380">
        <v>5.27E-5</v>
      </c>
      <c r="AM870" s="380"/>
      <c r="AN870" s="419">
        <v>-1158</v>
      </c>
      <c r="AO870" s="419">
        <v>-1158</v>
      </c>
      <c r="AP870" s="419">
        <v>-1156</v>
      </c>
      <c r="AQ870" s="419">
        <v>0</v>
      </c>
      <c r="AR870" s="419">
        <v>0</v>
      </c>
    </row>
    <row r="871" spans="1:44">
      <c r="A871" s="379">
        <v>99411</v>
      </c>
      <c r="B871" t="s">
        <v>1570</v>
      </c>
      <c r="C871" s="380">
        <v>1.64E-4</v>
      </c>
      <c r="D871" s="380"/>
      <c r="E871" s="419">
        <v>25985</v>
      </c>
      <c r="F871" s="419">
        <v>-8144</v>
      </c>
      <c r="G871" s="419">
        <v>-30800</v>
      </c>
      <c r="H871" s="419">
        <v>-109958</v>
      </c>
      <c r="I871" s="419">
        <v>0</v>
      </c>
      <c r="J871" s="380">
        <v>1.64E-4</v>
      </c>
      <c r="K871" s="380"/>
      <c r="L871" s="419">
        <v>40149</v>
      </c>
      <c r="M871" s="419">
        <v>27728</v>
      </c>
      <c r="N871" s="419">
        <v>12138</v>
      </c>
      <c r="O871" s="419">
        <v>0</v>
      </c>
      <c r="P871" s="419">
        <v>0</v>
      </c>
      <c r="Q871" s="380">
        <v>1.64E-4</v>
      </c>
      <c r="R871" s="380"/>
      <c r="S871" s="419">
        <v>-82388</v>
      </c>
      <c r="T871" s="419">
        <v>-81435</v>
      </c>
      <c r="U871" s="419">
        <v>-85551</v>
      </c>
      <c r="V871" s="419">
        <v>-109958</v>
      </c>
      <c r="W871" s="419">
        <v>0</v>
      </c>
      <c r="X871" s="380">
        <v>1.64E-4</v>
      </c>
      <c r="Z871" s="419">
        <v>65699</v>
      </c>
      <c r="AA871" s="419">
        <v>46157</v>
      </c>
      <c r="AB871" s="419">
        <v>46157</v>
      </c>
      <c r="AC871" s="419">
        <v>0</v>
      </c>
      <c r="AD871" s="419">
        <v>0</v>
      </c>
      <c r="AE871" s="380">
        <v>1.64E-4</v>
      </c>
      <c r="AF871" s="380"/>
      <c r="AG871" s="419">
        <v>6071</v>
      </c>
      <c r="AH871" s="419">
        <v>2952</v>
      </c>
      <c r="AI871" s="419">
        <v>0</v>
      </c>
      <c r="AJ871" s="419">
        <v>0</v>
      </c>
      <c r="AK871" s="419">
        <v>0</v>
      </c>
      <c r="AL871" s="380">
        <v>1.64E-4</v>
      </c>
      <c r="AM871" s="380"/>
      <c r="AN871" s="419">
        <v>-3546</v>
      </c>
      <c r="AO871" s="419">
        <v>-3546</v>
      </c>
      <c r="AP871" s="419">
        <v>-3544</v>
      </c>
      <c r="AQ871" s="419">
        <v>0</v>
      </c>
      <c r="AR871" s="419">
        <v>0</v>
      </c>
    </row>
    <row r="872" spans="1:44">
      <c r="A872" s="379">
        <v>99413</v>
      </c>
      <c r="B872" t="s">
        <v>1571</v>
      </c>
      <c r="C872" s="380">
        <v>3.7299999999999999E-5</v>
      </c>
      <c r="D872" s="380"/>
      <c r="E872" s="419">
        <v>17971</v>
      </c>
      <c r="F872" s="419">
        <v>11773</v>
      </c>
      <c r="G872" s="419">
        <v>-2043</v>
      </c>
      <c r="H872" s="419">
        <v>-25009</v>
      </c>
      <c r="I872" s="419">
        <v>0</v>
      </c>
      <c r="J872" s="380">
        <v>3.7299999999999999E-5</v>
      </c>
      <c r="K872" s="380"/>
      <c r="L872" s="419">
        <v>9131</v>
      </c>
      <c r="M872" s="419">
        <v>6306</v>
      </c>
      <c r="N872" s="419">
        <v>2761</v>
      </c>
      <c r="O872" s="419">
        <v>0</v>
      </c>
      <c r="P872" s="419">
        <v>0</v>
      </c>
      <c r="Q872" s="380">
        <v>3.7299999999999999E-5</v>
      </c>
      <c r="R872" s="380"/>
      <c r="S872" s="419">
        <v>-18738</v>
      </c>
      <c r="T872" s="419">
        <v>-18522</v>
      </c>
      <c r="U872" s="419">
        <v>-19458</v>
      </c>
      <c r="V872" s="419">
        <v>-25009</v>
      </c>
      <c r="W872" s="419">
        <v>0</v>
      </c>
      <c r="X872" s="380">
        <v>3.7299999999999999E-5</v>
      </c>
      <c r="Z872" s="419">
        <v>14942</v>
      </c>
      <c r="AA872" s="419">
        <v>10498</v>
      </c>
      <c r="AB872" s="419">
        <v>10498</v>
      </c>
      <c r="AC872" s="419">
        <v>0</v>
      </c>
      <c r="AD872" s="419">
        <v>0</v>
      </c>
      <c r="AE872" s="380">
        <v>3.7299999999999999E-5</v>
      </c>
      <c r="AF872" s="380"/>
      <c r="AG872" s="419">
        <v>13489</v>
      </c>
      <c r="AH872" s="419">
        <v>13491</v>
      </c>
      <c r="AI872" s="419">
        <v>4156</v>
      </c>
      <c r="AJ872" s="419">
        <v>0</v>
      </c>
      <c r="AK872" s="419">
        <v>0</v>
      </c>
      <c r="AL872" s="380">
        <v>3.7299999999999999E-5</v>
      </c>
      <c r="AM872" s="380"/>
      <c r="AN872" s="419">
        <v>-853</v>
      </c>
      <c r="AO872" s="419">
        <v>0</v>
      </c>
      <c r="AP872" s="419">
        <v>0</v>
      </c>
      <c r="AQ872" s="419">
        <v>0</v>
      </c>
      <c r="AR872" s="419">
        <v>0</v>
      </c>
    </row>
    <row r="873" spans="1:44">
      <c r="A873" s="379">
        <v>99421</v>
      </c>
      <c r="B873" t="s">
        <v>1572</v>
      </c>
      <c r="C873" s="380">
        <v>1.2300000000000001E-5</v>
      </c>
      <c r="D873" s="380"/>
      <c r="E873" s="419">
        <v>1456</v>
      </c>
      <c r="F873" s="419">
        <v>-1100</v>
      </c>
      <c r="G873" s="419">
        <v>-1418</v>
      </c>
      <c r="H873" s="419">
        <v>-8247</v>
      </c>
      <c r="I873" s="419">
        <v>0</v>
      </c>
      <c r="J873" s="380">
        <v>1.2300000000000001E-5</v>
      </c>
      <c r="K873" s="380"/>
      <c r="L873" s="419">
        <v>3011</v>
      </c>
      <c r="M873" s="419">
        <v>2080</v>
      </c>
      <c r="N873" s="419">
        <v>910</v>
      </c>
      <c r="O873" s="419">
        <v>0</v>
      </c>
      <c r="P873" s="419">
        <v>0</v>
      </c>
      <c r="Q873" s="380">
        <v>1.2300000000000001E-5</v>
      </c>
      <c r="R873" s="380"/>
      <c r="S873" s="419">
        <v>-6179</v>
      </c>
      <c r="T873" s="419">
        <v>-6108</v>
      </c>
      <c r="U873" s="419">
        <v>-6416</v>
      </c>
      <c r="V873" s="419">
        <v>-8247</v>
      </c>
      <c r="W873" s="419">
        <v>0</v>
      </c>
      <c r="X873" s="380">
        <v>1.2300000000000001E-5</v>
      </c>
      <c r="Z873" s="419">
        <v>4927</v>
      </c>
      <c r="AA873" s="419">
        <v>3462</v>
      </c>
      <c r="AB873" s="419">
        <v>3462</v>
      </c>
      <c r="AC873" s="419">
        <v>0</v>
      </c>
      <c r="AD873" s="419">
        <v>0</v>
      </c>
      <c r="AE873" s="380">
        <v>1.2300000000000001E-5</v>
      </c>
      <c r="AF873" s="380"/>
      <c r="AG873" s="419">
        <v>931</v>
      </c>
      <c r="AH873" s="419">
        <v>700</v>
      </c>
      <c r="AI873" s="419">
        <v>626</v>
      </c>
      <c r="AJ873" s="419">
        <v>0</v>
      </c>
      <c r="AK873" s="419">
        <v>0</v>
      </c>
      <c r="AL873" s="380">
        <v>1.2300000000000001E-5</v>
      </c>
      <c r="AM873" s="380"/>
      <c r="AN873" s="419">
        <v>-1234</v>
      </c>
      <c r="AO873" s="419">
        <v>-1234</v>
      </c>
      <c r="AP873" s="419">
        <v>0</v>
      </c>
      <c r="AQ873" s="419">
        <v>0</v>
      </c>
      <c r="AR873" s="419">
        <v>0</v>
      </c>
    </row>
    <row r="874" spans="1:44">
      <c r="A874" s="379">
        <v>99431</v>
      </c>
      <c r="B874" t="s">
        <v>1573</v>
      </c>
      <c r="C874" s="380">
        <v>1.8099999999999999E-5</v>
      </c>
      <c r="D874" s="380"/>
      <c r="E874" s="419">
        <v>1143</v>
      </c>
      <c r="F874" s="419">
        <v>-1741</v>
      </c>
      <c r="G874" s="419">
        <v>-3914</v>
      </c>
      <c r="H874" s="419">
        <v>-12136</v>
      </c>
      <c r="I874" s="419">
        <v>0</v>
      </c>
      <c r="J874" s="380">
        <v>1.8099999999999999E-5</v>
      </c>
      <c r="K874" s="380"/>
      <c r="L874" s="419">
        <v>4431</v>
      </c>
      <c r="M874" s="419">
        <v>3060</v>
      </c>
      <c r="N874" s="419">
        <v>1340</v>
      </c>
      <c r="O874" s="419">
        <v>0</v>
      </c>
      <c r="P874" s="419">
        <v>0</v>
      </c>
      <c r="Q874" s="380">
        <v>1.8099999999999999E-5</v>
      </c>
      <c r="R874" s="380"/>
      <c r="S874" s="419">
        <v>-9093</v>
      </c>
      <c r="T874" s="419">
        <v>-8988</v>
      </c>
      <c r="U874" s="419">
        <v>-9442</v>
      </c>
      <c r="V874" s="419">
        <v>-12136</v>
      </c>
      <c r="W874" s="419">
        <v>0</v>
      </c>
      <c r="X874" s="380">
        <v>1.8099999999999999E-5</v>
      </c>
      <c r="Z874" s="419">
        <v>7251</v>
      </c>
      <c r="AA874" s="419">
        <v>5094</v>
      </c>
      <c r="AB874" s="419">
        <v>5094</v>
      </c>
      <c r="AC874" s="419">
        <v>0</v>
      </c>
      <c r="AD874" s="419">
        <v>0</v>
      </c>
      <c r="AE874" s="380">
        <v>1.8099999999999999E-5</v>
      </c>
      <c r="AF874" s="380"/>
      <c r="AG874" s="419">
        <v>1462</v>
      </c>
      <c r="AH874" s="419">
        <v>1461</v>
      </c>
      <c r="AI874" s="419">
        <v>0</v>
      </c>
      <c r="AJ874" s="419">
        <v>0</v>
      </c>
      <c r="AK874" s="419">
        <v>0</v>
      </c>
      <c r="AL874" s="380">
        <v>1.8099999999999999E-5</v>
      </c>
      <c r="AM874" s="380"/>
      <c r="AN874" s="419">
        <v>-2908</v>
      </c>
      <c r="AO874" s="419">
        <v>-2368</v>
      </c>
      <c r="AP874" s="419">
        <v>-906</v>
      </c>
      <c r="AQ874" s="419">
        <v>0</v>
      </c>
      <c r="AR874" s="419">
        <v>0</v>
      </c>
    </row>
    <row r="875" spans="1:44">
      <c r="A875" s="379">
        <v>99501</v>
      </c>
      <c r="B875" t="s">
        <v>1574</v>
      </c>
      <c r="C875" s="380">
        <v>1.6647999999999999E-3</v>
      </c>
      <c r="D875" s="380"/>
      <c r="E875" s="419">
        <v>298583</v>
      </c>
      <c r="F875" s="419">
        <v>-22274</v>
      </c>
      <c r="G875" s="419">
        <v>-246310</v>
      </c>
      <c r="H875" s="419">
        <v>-1116205</v>
      </c>
      <c r="I875" s="419">
        <v>0</v>
      </c>
      <c r="J875" s="380">
        <v>1.6647999999999999E-3</v>
      </c>
      <c r="K875" s="380"/>
      <c r="L875" s="419">
        <v>407556</v>
      </c>
      <c r="M875" s="419">
        <v>281471</v>
      </c>
      <c r="N875" s="419">
        <v>123215</v>
      </c>
      <c r="O875" s="419">
        <v>0</v>
      </c>
      <c r="P875" s="419">
        <v>0</v>
      </c>
      <c r="Q875" s="380">
        <v>1.6647999999999999E-3</v>
      </c>
      <c r="R875" s="380"/>
      <c r="S875" s="419">
        <v>-836342</v>
      </c>
      <c r="T875" s="419">
        <v>-826665</v>
      </c>
      <c r="U875" s="419">
        <v>-868445</v>
      </c>
      <c r="V875" s="419">
        <v>-1116205</v>
      </c>
      <c r="W875" s="419">
        <v>0</v>
      </c>
      <c r="X875" s="380">
        <v>1.6647999999999999E-3</v>
      </c>
      <c r="Z875" s="419">
        <v>666922</v>
      </c>
      <c r="AA875" s="419">
        <v>468550</v>
      </c>
      <c r="AB875" s="419">
        <v>468546</v>
      </c>
      <c r="AC875" s="419">
        <v>0</v>
      </c>
      <c r="AD875" s="419">
        <v>0</v>
      </c>
      <c r="AE875" s="380">
        <v>1.6647999999999999E-3</v>
      </c>
      <c r="AF875" s="380"/>
      <c r="AG875" s="419">
        <v>60447</v>
      </c>
      <c r="AH875" s="419">
        <v>54370</v>
      </c>
      <c r="AI875" s="419">
        <v>30374</v>
      </c>
      <c r="AJ875" s="419">
        <v>0</v>
      </c>
      <c r="AK875" s="419">
        <v>0</v>
      </c>
      <c r="AL875" s="380">
        <v>1.6647999999999999E-3</v>
      </c>
      <c r="AM875" s="380"/>
      <c r="AN875" s="419">
        <v>0</v>
      </c>
      <c r="AO875" s="419">
        <v>0</v>
      </c>
      <c r="AP875" s="419">
        <v>0</v>
      </c>
      <c r="AQ875" s="419">
        <v>0</v>
      </c>
      <c r="AR875" s="419">
        <v>0</v>
      </c>
    </row>
    <row r="876" spans="1:44">
      <c r="A876" s="379">
        <v>99502</v>
      </c>
      <c r="B876" t="s">
        <v>1575</v>
      </c>
      <c r="C876" s="380">
        <v>1.5300000000000001E-4</v>
      </c>
      <c r="D876" s="380"/>
      <c r="E876" s="419">
        <v>22950</v>
      </c>
      <c r="F876" s="419">
        <v>-8261</v>
      </c>
      <c r="G876" s="419">
        <v>-25420</v>
      </c>
      <c r="H876" s="419">
        <v>-102583</v>
      </c>
      <c r="I876" s="419">
        <v>0</v>
      </c>
      <c r="J876" s="380">
        <v>1.5300000000000001E-4</v>
      </c>
      <c r="K876" s="380"/>
      <c r="L876" s="419">
        <v>37456</v>
      </c>
      <c r="M876" s="419">
        <v>25868</v>
      </c>
      <c r="N876" s="419">
        <v>11324</v>
      </c>
      <c r="O876" s="419">
        <v>0</v>
      </c>
      <c r="P876" s="419">
        <v>0</v>
      </c>
      <c r="Q876" s="380">
        <v>1.5300000000000001E-4</v>
      </c>
      <c r="R876" s="380"/>
      <c r="S876" s="419">
        <v>-76862</v>
      </c>
      <c r="T876" s="419">
        <v>-75973</v>
      </c>
      <c r="U876" s="419">
        <v>-79813</v>
      </c>
      <c r="V876" s="419">
        <v>-102583</v>
      </c>
      <c r="W876" s="419">
        <v>0</v>
      </c>
      <c r="X876" s="380">
        <v>1.5300000000000001E-4</v>
      </c>
      <c r="Z876" s="419">
        <v>61292</v>
      </c>
      <c r="AA876" s="419">
        <v>43061</v>
      </c>
      <c r="AB876" s="419">
        <v>43061</v>
      </c>
      <c r="AC876" s="419">
        <v>0</v>
      </c>
      <c r="AD876" s="419">
        <v>0</v>
      </c>
      <c r="AE876" s="380">
        <v>1.5300000000000001E-4</v>
      </c>
      <c r="AF876" s="380"/>
      <c r="AG876" s="419">
        <v>4308</v>
      </c>
      <c r="AH876" s="419">
        <v>2026</v>
      </c>
      <c r="AI876" s="419">
        <v>8</v>
      </c>
      <c r="AJ876" s="419">
        <v>0</v>
      </c>
      <c r="AK876" s="419">
        <v>0</v>
      </c>
      <c r="AL876" s="380">
        <v>1.5300000000000001E-4</v>
      </c>
      <c r="AM876" s="380"/>
      <c r="AN876" s="419">
        <v>-3244</v>
      </c>
      <c r="AO876" s="419">
        <v>-3243</v>
      </c>
      <c r="AP876" s="419">
        <v>0</v>
      </c>
      <c r="AQ876" s="419">
        <v>0</v>
      </c>
      <c r="AR876" s="419">
        <v>0</v>
      </c>
    </row>
    <row r="877" spans="1:44">
      <c r="A877" s="379">
        <v>99508</v>
      </c>
      <c r="B877" t="s">
        <v>1576</v>
      </c>
      <c r="C877" s="380">
        <v>2.1100000000000001E-5</v>
      </c>
      <c r="D877" s="380"/>
      <c r="E877" s="419">
        <v>3011</v>
      </c>
      <c r="F877" s="419">
        <v>-916</v>
      </c>
      <c r="G877" s="419">
        <v>-3127</v>
      </c>
      <c r="H877" s="419">
        <v>-14147</v>
      </c>
      <c r="I877" s="419">
        <v>0</v>
      </c>
      <c r="J877" s="380">
        <v>2.1100000000000001E-5</v>
      </c>
      <c r="K877" s="380"/>
      <c r="L877" s="419">
        <v>5165</v>
      </c>
      <c r="M877" s="419">
        <v>3567</v>
      </c>
      <c r="N877" s="419">
        <v>1562</v>
      </c>
      <c r="O877" s="419">
        <v>0</v>
      </c>
      <c r="P877" s="419">
        <v>0</v>
      </c>
      <c r="Q877" s="380">
        <v>2.1100000000000001E-5</v>
      </c>
      <c r="R877" s="380"/>
      <c r="S877" s="419">
        <v>-10600</v>
      </c>
      <c r="T877" s="419">
        <v>-10477</v>
      </c>
      <c r="U877" s="419">
        <v>-11007</v>
      </c>
      <c r="V877" s="419">
        <v>-14147</v>
      </c>
      <c r="W877" s="419">
        <v>0</v>
      </c>
      <c r="X877" s="380">
        <v>2.1100000000000001E-5</v>
      </c>
      <c r="Z877" s="419">
        <v>8453</v>
      </c>
      <c r="AA877" s="419">
        <v>5938</v>
      </c>
      <c r="AB877" s="419">
        <v>5938</v>
      </c>
      <c r="AC877" s="419">
        <v>0</v>
      </c>
      <c r="AD877" s="419">
        <v>0</v>
      </c>
      <c r="AE877" s="380">
        <v>2.1100000000000001E-5</v>
      </c>
      <c r="AF877" s="380"/>
      <c r="AG877" s="419">
        <v>382</v>
      </c>
      <c r="AH877" s="419">
        <v>382</v>
      </c>
      <c r="AI877" s="419">
        <v>380</v>
      </c>
      <c r="AJ877" s="419">
        <v>0</v>
      </c>
      <c r="AK877" s="419">
        <v>0</v>
      </c>
      <c r="AL877" s="380">
        <v>2.1100000000000001E-5</v>
      </c>
      <c r="AM877" s="380"/>
      <c r="AN877" s="419">
        <v>-389</v>
      </c>
      <c r="AO877" s="419">
        <v>-326</v>
      </c>
      <c r="AP877" s="419">
        <v>0</v>
      </c>
      <c r="AQ877" s="419">
        <v>0</v>
      </c>
      <c r="AR877" s="419">
        <v>0</v>
      </c>
    </row>
    <row r="878" spans="1:44">
      <c r="A878" s="379">
        <v>99509</v>
      </c>
      <c r="B878" t="s">
        <v>1577</v>
      </c>
      <c r="C878" s="380">
        <v>2.1699999999999999E-5</v>
      </c>
      <c r="D878" s="380"/>
      <c r="E878" s="419">
        <v>2329</v>
      </c>
      <c r="F878" s="419">
        <v>-1399</v>
      </c>
      <c r="G878" s="419">
        <v>-2465</v>
      </c>
      <c r="H878" s="419">
        <v>-14549</v>
      </c>
      <c r="I878" s="419">
        <v>0</v>
      </c>
      <c r="J878" s="380">
        <v>2.1699999999999999E-5</v>
      </c>
      <c r="K878" s="380"/>
      <c r="L878" s="419">
        <v>5312</v>
      </c>
      <c r="M878" s="419">
        <v>3669</v>
      </c>
      <c r="N878" s="419">
        <v>1606</v>
      </c>
      <c r="O878" s="419">
        <v>0</v>
      </c>
      <c r="P878" s="419">
        <v>0</v>
      </c>
      <c r="Q878" s="380">
        <v>2.1699999999999999E-5</v>
      </c>
      <c r="R878" s="380"/>
      <c r="S878" s="419">
        <v>-10901</v>
      </c>
      <c r="T878" s="419">
        <v>-10775</v>
      </c>
      <c r="U878" s="419">
        <v>-11320</v>
      </c>
      <c r="V878" s="419">
        <v>-14549</v>
      </c>
      <c r="W878" s="419">
        <v>0</v>
      </c>
      <c r="X878" s="380">
        <v>2.1699999999999999E-5</v>
      </c>
      <c r="Z878" s="419">
        <v>8693</v>
      </c>
      <c r="AA878" s="419">
        <v>6107</v>
      </c>
      <c r="AB878" s="419">
        <v>6107</v>
      </c>
      <c r="AC878" s="419">
        <v>0</v>
      </c>
      <c r="AD878" s="419">
        <v>0</v>
      </c>
      <c r="AE878" s="380">
        <v>2.1699999999999999E-5</v>
      </c>
      <c r="AF878" s="380"/>
      <c r="AG878" s="419">
        <v>1142</v>
      </c>
      <c r="AH878" s="419">
        <v>1142</v>
      </c>
      <c r="AI878" s="419">
        <v>1142</v>
      </c>
      <c r="AJ878" s="419">
        <v>0</v>
      </c>
      <c r="AK878" s="419">
        <v>0</v>
      </c>
      <c r="AL878" s="380">
        <v>2.1699999999999999E-5</v>
      </c>
      <c r="AM878" s="380"/>
      <c r="AN878" s="419">
        <v>-1917</v>
      </c>
      <c r="AO878" s="419">
        <v>-1542</v>
      </c>
      <c r="AP878" s="419">
        <v>0</v>
      </c>
      <c r="AQ878" s="419">
        <v>0</v>
      </c>
      <c r="AR878" s="419">
        <v>0</v>
      </c>
    </row>
    <row r="879" spans="1:44">
      <c r="A879" s="379">
        <v>99511</v>
      </c>
      <c r="B879" t="s">
        <v>1578</v>
      </c>
      <c r="C879" s="380">
        <v>1.3062E-3</v>
      </c>
      <c r="D879" s="380"/>
      <c r="E879" s="419">
        <v>109066</v>
      </c>
      <c r="F879" s="419">
        <v>-117391</v>
      </c>
      <c r="G879" s="419">
        <v>-241123</v>
      </c>
      <c r="H879" s="419">
        <v>-875773</v>
      </c>
      <c r="I879" s="419">
        <v>0</v>
      </c>
      <c r="J879" s="380">
        <v>1.3062E-3</v>
      </c>
      <c r="K879" s="380"/>
      <c r="L879" s="419">
        <v>319768</v>
      </c>
      <c r="M879" s="419">
        <v>220842</v>
      </c>
      <c r="N879" s="419">
        <v>96674</v>
      </c>
      <c r="O879" s="419">
        <v>0</v>
      </c>
      <c r="P879" s="419">
        <v>0</v>
      </c>
      <c r="Q879" s="380">
        <v>1.3062E-3</v>
      </c>
      <c r="R879" s="380"/>
      <c r="S879" s="419">
        <v>-656193</v>
      </c>
      <c r="T879" s="419">
        <v>-648600</v>
      </c>
      <c r="U879" s="419">
        <v>-681381</v>
      </c>
      <c r="V879" s="419">
        <v>-875773</v>
      </c>
      <c r="W879" s="419">
        <v>0</v>
      </c>
      <c r="X879" s="380">
        <v>1.3062E-3</v>
      </c>
      <c r="Z879" s="419">
        <v>523266</v>
      </c>
      <c r="AA879" s="419">
        <v>367623</v>
      </c>
      <c r="AB879" s="419">
        <v>367621</v>
      </c>
      <c r="AC879" s="419">
        <v>0</v>
      </c>
      <c r="AD879" s="419">
        <v>0</v>
      </c>
      <c r="AE879" s="380">
        <v>1.3062E-3</v>
      </c>
      <c r="AF879" s="380"/>
      <c r="AG879" s="419">
        <v>0</v>
      </c>
      <c r="AH879" s="419">
        <v>0</v>
      </c>
      <c r="AI879" s="419">
        <v>0</v>
      </c>
      <c r="AJ879" s="419">
        <v>0</v>
      </c>
      <c r="AK879" s="419">
        <v>0</v>
      </c>
      <c r="AL879" s="380">
        <v>1.3062E-3</v>
      </c>
      <c r="AM879" s="380"/>
      <c r="AN879" s="419">
        <v>-77775</v>
      </c>
      <c r="AO879" s="419">
        <v>-57256</v>
      </c>
      <c r="AP879" s="419">
        <v>-24037</v>
      </c>
      <c r="AQ879" s="419">
        <v>0</v>
      </c>
      <c r="AR879" s="419">
        <v>0</v>
      </c>
    </row>
    <row r="880" spans="1:44">
      <c r="A880" s="379">
        <v>99521</v>
      </c>
      <c r="B880" t="s">
        <v>1579</v>
      </c>
      <c r="C880" s="380">
        <v>5.2010000000000001E-4</v>
      </c>
      <c r="D880" s="380"/>
      <c r="E880" s="419">
        <v>63510</v>
      </c>
      <c r="F880" s="419">
        <v>-40132</v>
      </c>
      <c r="G880" s="419">
        <v>-83137</v>
      </c>
      <c r="H880" s="419">
        <v>-348714</v>
      </c>
      <c r="I880" s="419">
        <v>0</v>
      </c>
      <c r="J880" s="380">
        <v>5.2010000000000001E-4</v>
      </c>
      <c r="K880" s="380"/>
      <c r="L880" s="419">
        <v>127325</v>
      </c>
      <c r="M880" s="419">
        <v>87934</v>
      </c>
      <c r="N880" s="419">
        <v>38494</v>
      </c>
      <c r="O880" s="419">
        <v>0</v>
      </c>
      <c r="P880" s="419">
        <v>0</v>
      </c>
      <c r="Q880" s="380">
        <v>5.2010000000000001E-4</v>
      </c>
      <c r="R880" s="380"/>
      <c r="S880" s="419">
        <v>-261282</v>
      </c>
      <c r="T880" s="419">
        <v>-258258</v>
      </c>
      <c r="U880" s="419">
        <v>-271311</v>
      </c>
      <c r="V880" s="419">
        <v>-348714</v>
      </c>
      <c r="W880" s="419">
        <v>0</v>
      </c>
      <c r="X880" s="380">
        <v>5.2010000000000001E-4</v>
      </c>
      <c r="Z880" s="419">
        <v>208353</v>
      </c>
      <c r="AA880" s="419">
        <v>146380</v>
      </c>
      <c r="AB880" s="419">
        <v>146379</v>
      </c>
      <c r="AC880" s="419">
        <v>0</v>
      </c>
      <c r="AD880" s="419">
        <v>0</v>
      </c>
      <c r="AE880" s="380">
        <v>5.2010000000000001E-4</v>
      </c>
      <c r="AF880" s="380"/>
      <c r="AG880" s="419">
        <v>8602</v>
      </c>
      <c r="AH880" s="419">
        <v>3300</v>
      </c>
      <c r="AI880" s="419">
        <v>3301</v>
      </c>
      <c r="AJ880" s="419">
        <v>0</v>
      </c>
      <c r="AK880" s="419">
        <v>0</v>
      </c>
      <c r="AL880" s="380">
        <v>5.2010000000000001E-4</v>
      </c>
      <c r="AM880" s="380"/>
      <c r="AN880" s="419">
        <v>-19488</v>
      </c>
      <c r="AO880" s="419">
        <v>-19488</v>
      </c>
      <c r="AP880" s="419">
        <v>0</v>
      </c>
      <c r="AQ880" s="419">
        <v>0</v>
      </c>
      <c r="AR880" s="419">
        <v>0</v>
      </c>
    </row>
    <row r="881" spans="1:44">
      <c r="A881" s="379">
        <v>99527</v>
      </c>
      <c r="B881" t="s">
        <v>1580</v>
      </c>
      <c r="C881" s="380">
        <v>1.04E-5</v>
      </c>
      <c r="D881" s="380"/>
      <c r="E881" s="419">
        <v>3039</v>
      </c>
      <c r="F881" s="419">
        <v>937</v>
      </c>
      <c r="G881" s="419">
        <v>-764</v>
      </c>
      <c r="H881" s="419">
        <v>-6973</v>
      </c>
      <c r="I881" s="419">
        <v>0</v>
      </c>
      <c r="J881" s="380">
        <v>1.04E-5</v>
      </c>
      <c r="K881" s="380"/>
      <c r="L881" s="419">
        <v>2546</v>
      </c>
      <c r="M881" s="419">
        <v>1758</v>
      </c>
      <c r="N881" s="419">
        <v>770</v>
      </c>
      <c r="O881" s="419">
        <v>0</v>
      </c>
      <c r="P881" s="419">
        <v>0</v>
      </c>
      <c r="Q881" s="380">
        <v>1.04E-5</v>
      </c>
      <c r="R881" s="380"/>
      <c r="S881" s="419">
        <v>-5225</v>
      </c>
      <c r="T881" s="419">
        <v>-5164</v>
      </c>
      <c r="U881" s="419">
        <v>-5425</v>
      </c>
      <c r="V881" s="419">
        <v>-6973</v>
      </c>
      <c r="W881" s="419">
        <v>0</v>
      </c>
      <c r="X881" s="380">
        <v>1.04E-5</v>
      </c>
      <c r="Z881" s="419">
        <v>4166</v>
      </c>
      <c r="AA881" s="419">
        <v>2927</v>
      </c>
      <c r="AB881" s="419">
        <v>2927</v>
      </c>
      <c r="AC881" s="419">
        <v>0</v>
      </c>
      <c r="AD881" s="419">
        <v>0</v>
      </c>
      <c r="AE881" s="380">
        <v>1.04E-5</v>
      </c>
      <c r="AF881" s="380"/>
      <c r="AG881" s="419">
        <v>1552</v>
      </c>
      <c r="AH881" s="419">
        <v>1416</v>
      </c>
      <c r="AI881" s="419">
        <v>964</v>
      </c>
      <c r="AJ881" s="419">
        <v>0</v>
      </c>
      <c r="AK881" s="419">
        <v>0</v>
      </c>
      <c r="AL881" s="380">
        <v>1.04E-5</v>
      </c>
      <c r="AM881" s="380"/>
      <c r="AN881" s="419">
        <v>0</v>
      </c>
      <c r="AO881" s="419">
        <v>0</v>
      </c>
      <c r="AP881" s="419">
        <v>0</v>
      </c>
      <c r="AQ881" s="419">
        <v>0</v>
      </c>
      <c r="AR881" s="419">
        <v>0</v>
      </c>
    </row>
    <row r="882" spans="1:44">
      <c r="A882" s="379">
        <v>99531</v>
      </c>
      <c r="B882" t="s">
        <v>1581</v>
      </c>
      <c r="C882" s="380">
        <v>8.7800000000000006E-5</v>
      </c>
      <c r="D882" s="380"/>
      <c r="E882" s="419">
        <v>35075</v>
      </c>
      <c r="F882" s="419">
        <v>12689</v>
      </c>
      <c r="G882" s="419">
        <v>-6633</v>
      </c>
      <c r="H882" s="419">
        <v>-58868</v>
      </c>
      <c r="I882" s="419">
        <v>0</v>
      </c>
      <c r="J882" s="380">
        <v>8.7800000000000006E-5</v>
      </c>
      <c r="K882" s="380"/>
      <c r="L882" s="419">
        <v>21494</v>
      </c>
      <c r="M882" s="419">
        <v>14845</v>
      </c>
      <c r="N882" s="419">
        <v>6498</v>
      </c>
      <c r="O882" s="419">
        <v>0</v>
      </c>
      <c r="P882" s="419">
        <v>0</v>
      </c>
      <c r="Q882" s="380">
        <v>8.7800000000000006E-5</v>
      </c>
      <c r="R882" s="380"/>
      <c r="S882" s="419">
        <v>-44108</v>
      </c>
      <c r="T882" s="419">
        <v>-43598</v>
      </c>
      <c r="U882" s="419">
        <v>-45801</v>
      </c>
      <c r="V882" s="419">
        <v>-58868</v>
      </c>
      <c r="W882" s="419">
        <v>0</v>
      </c>
      <c r="X882" s="380">
        <v>8.7800000000000006E-5</v>
      </c>
      <c r="Z882" s="419">
        <v>35173</v>
      </c>
      <c r="AA882" s="419">
        <v>24711</v>
      </c>
      <c r="AB882" s="419">
        <v>24711</v>
      </c>
      <c r="AC882" s="419">
        <v>0</v>
      </c>
      <c r="AD882" s="419">
        <v>0</v>
      </c>
      <c r="AE882" s="380">
        <v>8.7800000000000006E-5</v>
      </c>
      <c r="AF882" s="380"/>
      <c r="AG882" s="419">
        <v>22516</v>
      </c>
      <c r="AH882" s="419">
        <v>16731</v>
      </c>
      <c r="AI882" s="419">
        <v>7959</v>
      </c>
      <c r="AJ882" s="419">
        <v>0</v>
      </c>
      <c r="AK882" s="419">
        <v>0</v>
      </c>
      <c r="AL882" s="380">
        <v>8.7800000000000006E-5</v>
      </c>
      <c r="AM882" s="380"/>
      <c r="AN882" s="419">
        <v>0</v>
      </c>
      <c r="AO882" s="419">
        <v>0</v>
      </c>
      <c r="AP882" s="419">
        <v>0</v>
      </c>
      <c r="AQ882" s="419">
        <v>0</v>
      </c>
      <c r="AR882" s="419">
        <v>0</v>
      </c>
    </row>
    <row r="883" spans="1:44">
      <c r="A883" s="379">
        <v>99601</v>
      </c>
      <c r="B883" t="s">
        <v>1582</v>
      </c>
      <c r="C883" s="380">
        <v>5.0832000000000004E-3</v>
      </c>
      <c r="D883" s="380"/>
      <c r="E883" s="419">
        <v>287079</v>
      </c>
      <c r="F883" s="419">
        <v>-675392</v>
      </c>
      <c r="G883" s="419">
        <v>-976638</v>
      </c>
      <c r="H883" s="419">
        <v>-3408153</v>
      </c>
      <c r="I883" s="419">
        <v>0</v>
      </c>
      <c r="J883" s="380">
        <v>5.0832000000000004E-3</v>
      </c>
      <c r="K883" s="380"/>
      <c r="L883" s="419">
        <v>1244408</v>
      </c>
      <c r="M883" s="419">
        <v>859427</v>
      </c>
      <c r="N883" s="419">
        <v>376218</v>
      </c>
      <c r="O883" s="419">
        <v>0</v>
      </c>
      <c r="P883" s="419">
        <v>0</v>
      </c>
      <c r="Q883" s="380">
        <v>5.0832000000000004E-3</v>
      </c>
      <c r="R883" s="380"/>
      <c r="S883" s="419">
        <v>-2553637</v>
      </c>
      <c r="T883" s="419">
        <v>-2524088</v>
      </c>
      <c r="U883" s="419">
        <v>-2651656</v>
      </c>
      <c r="V883" s="419">
        <v>-3408153</v>
      </c>
      <c r="W883" s="419">
        <v>0</v>
      </c>
      <c r="X883" s="380">
        <v>5.0832000000000004E-3</v>
      </c>
      <c r="Z883" s="419">
        <v>2036340</v>
      </c>
      <c r="AA883" s="419">
        <v>1430641</v>
      </c>
      <c r="AB883" s="419">
        <v>1430631</v>
      </c>
      <c r="AC883" s="419">
        <v>0</v>
      </c>
      <c r="AD883" s="419">
        <v>0</v>
      </c>
      <c r="AE883" s="380">
        <v>5.0832000000000004E-3</v>
      </c>
      <c r="AF883" s="380"/>
      <c r="AG883" s="419">
        <v>1339</v>
      </c>
      <c r="AH883" s="419">
        <v>0</v>
      </c>
      <c r="AI883" s="419">
        <v>0</v>
      </c>
      <c r="AJ883" s="419">
        <v>0</v>
      </c>
      <c r="AK883" s="419">
        <v>0</v>
      </c>
      <c r="AL883" s="380">
        <v>5.0832000000000004E-3</v>
      </c>
      <c r="AM883" s="380"/>
      <c r="AN883" s="419">
        <v>-441371</v>
      </c>
      <c r="AO883" s="419">
        <v>-441372</v>
      </c>
      <c r="AP883" s="419">
        <v>-131831</v>
      </c>
      <c r="AQ883" s="419">
        <v>0</v>
      </c>
      <c r="AR883" s="419">
        <v>0</v>
      </c>
    </row>
    <row r="884" spans="1:44">
      <c r="A884" s="379">
        <v>99602</v>
      </c>
      <c r="B884" t="s">
        <v>1583</v>
      </c>
      <c r="C884" s="380">
        <v>6.1600000000000007E-5</v>
      </c>
      <c r="D884" s="380"/>
      <c r="E884" s="419">
        <v>5620</v>
      </c>
      <c r="F884" s="419">
        <v>-5922</v>
      </c>
      <c r="G884" s="419">
        <v>-11219</v>
      </c>
      <c r="H884" s="419">
        <v>-41301</v>
      </c>
      <c r="I884" s="419">
        <v>0</v>
      </c>
      <c r="J884" s="380">
        <v>6.1600000000000007E-5</v>
      </c>
      <c r="K884" s="380"/>
      <c r="L884" s="419">
        <v>15080</v>
      </c>
      <c r="M884" s="419">
        <v>10415</v>
      </c>
      <c r="N884" s="419">
        <v>4559</v>
      </c>
      <c r="O884" s="419">
        <v>0</v>
      </c>
      <c r="P884" s="419">
        <v>0</v>
      </c>
      <c r="Q884" s="380">
        <v>6.1600000000000007E-5</v>
      </c>
      <c r="R884" s="380"/>
      <c r="S884" s="419">
        <v>-30946</v>
      </c>
      <c r="T884" s="419">
        <v>-30588</v>
      </c>
      <c r="U884" s="419">
        <v>-32134</v>
      </c>
      <c r="V884" s="419">
        <v>-41301</v>
      </c>
      <c r="W884" s="419">
        <v>0</v>
      </c>
      <c r="X884" s="380">
        <v>6.1600000000000007E-5</v>
      </c>
      <c r="Z884" s="419">
        <v>24677</v>
      </c>
      <c r="AA884" s="419">
        <v>17337</v>
      </c>
      <c r="AB884" s="419">
        <v>17337</v>
      </c>
      <c r="AC884" s="419">
        <v>0</v>
      </c>
      <c r="AD884" s="419">
        <v>0</v>
      </c>
      <c r="AE884" s="380">
        <v>6.1600000000000007E-5</v>
      </c>
      <c r="AF884" s="380"/>
      <c r="AG884" s="419">
        <v>0</v>
      </c>
      <c r="AH884" s="419">
        <v>0</v>
      </c>
      <c r="AI884" s="419">
        <v>0</v>
      </c>
      <c r="AJ884" s="419">
        <v>0</v>
      </c>
      <c r="AK884" s="419">
        <v>0</v>
      </c>
      <c r="AL884" s="380">
        <v>6.1600000000000007E-5</v>
      </c>
      <c r="AM884" s="380"/>
      <c r="AN884" s="419">
        <v>-3191</v>
      </c>
      <c r="AO884" s="419">
        <v>-3086</v>
      </c>
      <c r="AP884" s="419">
        <v>-981</v>
      </c>
      <c r="AQ884" s="419">
        <v>0</v>
      </c>
      <c r="AR884" s="419">
        <v>0</v>
      </c>
    </row>
    <row r="885" spans="1:44">
      <c r="A885" s="379">
        <v>99603</v>
      </c>
      <c r="B885" t="s">
        <v>1584</v>
      </c>
      <c r="C885" s="380">
        <v>1.6080000000000001E-4</v>
      </c>
      <c r="D885" s="380"/>
      <c r="E885" s="419">
        <v>39075</v>
      </c>
      <c r="F885" s="419">
        <v>4224</v>
      </c>
      <c r="G885" s="419">
        <v>-12350</v>
      </c>
      <c r="H885" s="419">
        <v>-107812</v>
      </c>
      <c r="I885" s="419">
        <v>0</v>
      </c>
      <c r="J885" s="380">
        <v>1.6080000000000001E-4</v>
      </c>
      <c r="K885" s="380"/>
      <c r="L885" s="419">
        <v>39365</v>
      </c>
      <c r="M885" s="419">
        <v>27187</v>
      </c>
      <c r="N885" s="419">
        <v>11901</v>
      </c>
      <c r="O885" s="419">
        <v>0</v>
      </c>
      <c r="P885" s="419">
        <v>0</v>
      </c>
      <c r="Q885" s="380">
        <v>1.6080000000000001E-4</v>
      </c>
      <c r="R885" s="380"/>
      <c r="S885" s="419">
        <v>-80781</v>
      </c>
      <c r="T885" s="419">
        <v>-79846</v>
      </c>
      <c r="U885" s="419">
        <v>-83881</v>
      </c>
      <c r="V885" s="419">
        <v>-107812</v>
      </c>
      <c r="W885" s="419">
        <v>0</v>
      </c>
      <c r="X885" s="380">
        <v>1.6080000000000001E-4</v>
      </c>
      <c r="Z885" s="419">
        <v>64417</v>
      </c>
      <c r="AA885" s="419">
        <v>45256</v>
      </c>
      <c r="AB885" s="419">
        <v>45256</v>
      </c>
      <c r="AC885" s="419">
        <v>0</v>
      </c>
      <c r="AD885" s="419">
        <v>0</v>
      </c>
      <c r="AE885" s="380">
        <v>1.6080000000000001E-4</v>
      </c>
      <c r="AF885" s="380"/>
      <c r="AG885" s="419">
        <v>18825</v>
      </c>
      <c r="AH885" s="419">
        <v>14376</v>
      </c>
      <c r="AI885" s="419">
        <v>14374</v>
      </c>
      <c r="AJ885" s="419">
        <v>0</v>
      </c>
      <c r="AK885" s="419">
        <v>0</v>
      </c>
      <c r="AL885" s="380">
        <v>1.6080000000000001E-4</v>
      </c>
      <c r="AM885" s="380"/>
      <c r="AN885" s="419">
        <v>-2751</v>
      </c>
      <c r="AO885" s="419">
        <v>-2749</v>
      </c>
      <c r="AP885" s="419">
        <v>0</v>
      </c>
      <c r="AQ885" s="419">
        <v>0</v>
      </c>
      <c r="AR885" s="419">
        <v>0</v>
      </c>
    </row>
    <row r="886" spans="1:44">
      <c r="A886" s="379">
        <v>99604</v>
      </c>
      <c r="B886" t="s">
        <v>1585</v>
      </c>
      <c r="C886" s="380">
        <v>1.142E-4</v>
      </c>
      <c r="D886" s="380"/>
      <c r="E886" s="419">
        <v>33867</v>
      </c>
      <c r="F886" s="419">
        <v>9859</v>
      </c>
      <c r="G886" s="419">
        <v>-11964</v>
      </c>
      <c r="H886" s="419">
        <v>-76568</v>
      </c>
      <c r="I886" s="419">
        <v>0</v>
      </c>
      <c r="J886" s="380">
        <v>1.142E-4</v>
      </c>
      <c r="K886" s="380"/>
      <c r="L886" s="419">
        <v>27957</v>
      </c>
      <c r="M886" s="419">
        <v>19308</v>
      </c>
      <c r="N886" s="419">
        <v>8452</v>
      </c>
      <c r="O886" s="419">
        <v>0</v>
      </c>
      <c r="P886" s="419">
        <v>0</v>
      </c>
      <c r="Q886" s="380">
        <v>1.142E-4</v>
      </c>
      <c r="R886" s="380"/>
      <c r="S886" s="419">
        <v>-57370</v>
      </c>
      <c r="T886" s="419">
        <v>-56707</v>
      </c>
      <c r="U886" s="419">
        <v>-59573</v>
      </c>
      <c r="V886" s="419">
        <v>-76568</v>
      </c>
      <c r="W886" s="419">
        <v>0</v>
      </c>
      <c r="X886" s="380">
        <v>1.142E-4</v>
      </c>
      <c r="Z886" s="419">
        <v>45749</v>
      </c>
      <c r="AA886" s="419">
        <v>32141</v>
      </c>
      <c r="AB886" s="419">
        <v>32141</v>
      </c>
      <c r="AC886" s="419">
        <v>0</v>
      </c>
      <c r="AD886" s="419">
        <v>0</v>
      </c>
      <c r="AE886" s="380">
        <v>1.142E-4</v>
      </c>
      <c r="AF886" s="380"/>
      <c r="AG886" s="419">
        <v>17531</v>
      </c>
      <c r="AH886" s="419">
        <v>15117</v>
      </c>
      <c r="AI886" s="419">
        <v>7016</v>
      </c>
      <c r="AJ886" s="419">
        <v>0</v>
      </c>
      <c r="AK886" s="419">
        <v>0</v>
      </c>
      <c r="AL886" s="380">
        <v>1.142E-4</v>
      </c>
      <c r="AM886" s="380"/>
      <c r="AN886" s="419">
        <v>0</v>
      </c>
      <c r="AO886" s="419">
        <v>0</v>
      </c>
      <c r="AP886" s="419">
        <v>0</v>
      </c>
      <c r="AQ886" s="419">
        <v>0</v>
      </c>
      <c r="AR886" s="419">
        <v>0</v>
      </c>
    </row>
    <row r="887" spans="1:44">
      <c r="A887" s="379">
        <v>99609</v>
      </c>
      <c r="B887" t="s">
        <v>1586</v>
      </c>
      <c r="C887" s="380">
        <v>3.0599999999999998E-5</v>
      </c>
      <c r="D887" s="380"/>
      <c r="E887" s="419">
        <v>6597</v>
      </c>
      <c r="F887" s="419">
        <v>-223</v>
      </c>
      <c r="G887" s="419">
        <v>-5030</v>
      </c>
      <c r="H887" s="419">
        <v>-20517</v>
      </c>
      <c r="I887" s="419">
        <v>0</v>
      </c>
      <c r="J887" s="380">
        <v>3.0599999999999998E-5</v>
      </c>
      <c r="K887" s="380"/>
      <c r="L887" s="419">
        <v>7491</v>
      </c>
      <c r="M887" s="419">
        <v>5174</v>
      </c>
      <c r="N887" s="419">
        <v>2265</v>
      </c>
      <c r="O887" s="419">
        <v>0</v>
      </c>
      <c r="P887" s="419">
        <v>0</v>
      </c>
      <c r="Q887" s="380">
        <v>3.0599999999999998E-5</v>
      </c>
      <c r="R887" s="380"/>
      <c r="S887" s="419">
        <v>-15372</v>
      </c>
      <c r="T887" s="419">
        <v>-15195</v>
      </c>
      <c r="U887" s="419">
        <v>-15963</v>
      </c>
      <c r="V887" s="419">
        <v>-20517</v>
      </c>
      <c r="W887" s="419">
        <v>0</v>
      </c>
      <c r="X887" s="380">
        <v>3.0599999999999998E-5</v>
      </c>
      <c r="Z887" s="419">
        <v>12258</v>
      </c>
      <c r="AA887" s="419">
        <v>8612</v>
      </c>
      <c r="AB887" s="419">
        <v>8612</v>
      </c>
      <c r="AC887" s="419">
        <v>0</v>
      </c>
      <c r="AD887" s="419">
        <v>0</v>
      </c>
      <c r="AE887" s="380">
        <v>3.0599999999999998E-5</v>
      </c>
      <c r="AF887" s="380"/>
      <c r="AG887" s="419">
        <v>2343</v>
      </c>
      <c r="AH887" s="419">
        <v>1307</v>
      </c>
      <c r="AI887" s="419">
        <v>56</v>
      </c>
      <c r="AJ887" s="419">
        <v>0</v>
      </c>
      <c r="AK887" s="419">
        <v>0</v>
      </c>
      <c r="AL887" s="380">
        <v>3.0599999999999998E-5</v>
      </c>
      <c r="AM887" s="380"/>
      <c r="AN887" s="419">
        <v>-123</v>
      </c>
      <c r="AO887" s="419">
        <v>-121</v>
      </c>
      <c r="AP887" s="419">
        <v>0</v>
      </c>
      <c r="AQ887" s="419">
        <v>0</v>
      </c>
      <c r="AR887" s="419">
        <v>0</v>
      </c>
    </row>
    <row r="888" spans="1:44">
      <c r="A888" s="379">
        <v>99610</v>
      </c>
      <c r="B888" t="s">
        <v>1587</v>
      </c>
      <c r="C888" s="380">
        <v>1.7650000000000001E-4</v>
      </c>
      <c r="D888" s="380"/>
      <c r="E888" s="419">
        <v>31927</v>
      </c>
      <c r="F888" s="419">
        <v>-147</v>
      </c>
      <c r="G888" s="419">
        <v>-21650</v>
      </c>
      <c r="H888" s="419">
        <v>-118339</v>
      </c>
      <c r="I888" s="419">
        <v>0</v>
      </c>
      <c r="J888" s="380">
        <v>1.7650000000000001E-4</v>
      </c>
      <c r="K888" s="380"/>
      <c r="L888" s="419">
        <v>43209</v>
      </c>
      <c r="M888" s="419">
        <v>29841</v>
      </c>
      <c r="N888" s="419">
        <v>13063</v>
      </c>
      <c r="O888" s="419">
        <v>0</v>
      </c>
      <c r="P888" s="419">
        <v>0</v>
      </c>
      <c r="Q888" s="380">
        <v>1.7650000000000001E-4</v>
      </c>
      <c r="R888" s="380"/>
      <c r="S888" s="419">
        <v>-88668</v>
      </c>
      <c r="T888" s="419">
        <v>-87642</v>
      </c>
      <c r="U888" s="419">
        <v>-92071</v>
      </c>
      <c r="V888" s="419">
        <v>-118339</v>
      </c>
      <c r="W888" s="419">
        <v>0</v>
      </c>
      <c r="X888" s="380">
        <v>1.7650000000000001E-4</v>
      </c>
      <c r="Z888" s="419">
        <v>70706</v>
      </c>
      <c r="AA888" s="419">
        <v>49675</v>
      </c>
      <c r="AB888" s="419">
        <v>49675</v>
      </c>
      <c r="AC888" s="419">
        <v>0</v>
      </c>
      <c r="AD888" s="419">
        <v>0</v>
      </c>
      <c r="AE888" s="380">
        <v>1.7650000000000001E-4</v>
      </c>
      <c r="AF888" s="380"/>
      <c r="AG888" s="419">
        <v>10400</v>
      </c>
      <c r="AH888" s="419">
        <v>10401</v>
      </c>
      <c r="AI888" s="419">
        <v>7683</v>
      </c>
      <c r="AJ888" s="419">
        <v>0</v>
      </c>
      <c r="AK888" s="419">
        <v>0</v>
      </c>
      <c r="AL888" s="380">
        <v>1.7650000000000001E-4</v>
      </c>
      <c r="AM888" s="380"/>
      <c r="AN888" s="419">
        <v>-3720</v>
      </c>
      <c r="AO888" s="419">
        <v>-2422</v>
      </c>
      <c r="AP888" s="419">
        <v>0</v>
      </c>
      <c r="AQ888" s="419">
        <v>0</v>
      </c>
      <c r="AR888" s="419">
        <v>0</v>
      </c>
    </row>
    <row r="889" spans="1:44">
      <c r="A889" s="379">
        <v>99611</v>
      </c>
      <c r="B889" t="s">
        <v>1588</v>
      </c>
      <c r="C889" s="380">
        <v>3.1145000000000001E-3</v>
      </c>
      <c r="D889" s="380"/>
      <c r="E889" s="419">
        <v>336761</v>
      </c>
      <c r="F889" s="419">
        <v>-260738</v>
      </c>
      <c r="G889" s="419">
        <v>-587333</v>
      </c>
      <c r="H889" s="419">
        <v>-2088191</v>
      </c>
      <c r="I889" s="419">
        <v>0</v>
      </c>
      <c r="J889" s="380">
        <v>3.1145000000000001E-3</v>
      </c>
      <c r="K889" s="380"/>
      <c r="L889" s="419">
        <v>762455</v>
      </c>
      <c r="M889" s="419">
        <v>526575</v>
      </c>
      <c r="N889" s="419">
        <v>230510</v>
      </c>
      <c r="O889" s="419">
        <v>0</v>
      </c>
      <c r="P889" s="419">
        <v>0</v>
      </c>
      <c r="Q889" s="380">
        <v>3.1145000000000001E-3</v>
      </c>
      <c r="R889" s="380"/>
      <c r="S889" s="419">
        <v>-1564625</v>
      </c>
      <c r="T889" s="419">
        <v>-1546521</v>
      </c>
      <c r="U889" s="419">
        <v>-1624682</v>
      </c>
      <c r="V889" s="419">
        <v>-2088191</v>
      </c>
      <c r="W889" s="419">
        <v>0</v>
      </c>
      <c r="X889" s="380">
        <v>3.1145000000000001E-3</v>
      </c>
      <c r="Z889" s="419">
        <v>1247675</v>
      </c>
      <c r="AA889" s="419">
        <v>876560</v>
      </c>
      <c r="AB889" s="419">
        <v>876554</v>
      </c>
      <c r="AC889" s="419">
        <v>0</v>
      </c>
      <c r="AD889" s="419">
        <v>0</v>
      </c>
      <c r="AE889" s="380">
        <v>3.1145000000000001E-3</v>
      </c>
      <c r="AF889" s="380"/>
      <c r="AG889" s="419">
        <v>8608</v>
      </c>
      <c r="AH889" s="419">
        <v>0</v>
      </c>
      <c r="AI889" s="419">
        <v>0</v>
      </c>
      <c r="AJ889" s="419">
        <v>0</v>
      </c>
      <c r="AK889" s="419">
        <v>0</v>
      </c>
      <c r="AL889" s="380">
        <v>3.1145000000000001E-3</v>
      </c>
      <c r="AM889" s="380"/>
      <c r="AN889" s="419">
        <v>-117352</v>
      </c>
      <c r="AO889" s="419">
        <v>-117352</v>
      </c>
      <c r="AP889" s="419">
        <v>-69715</v>
      </c>
      <c r="AQ889" s="419">
        <v>0</v>
      </c>
      <c r="AR889" s="419">
        <v>0</v>
      </c>
    </row>
    <row r="890" spans="1:44">
      <c r="A890" s="379">
        <v>99613</v>
      </c>
      <c r="B890" t="s">
        <v>1589</v>
      </c>
      <c r="C890" s="380">
        <v>3.5100000000000002E-4</v>
      </c>
      <c r="D890" s="380"/>
      <c r="E890" s="419">
        <v>96816</v>
      </c>
      <c r="F890" s="419">
        <v>-8382</v>
      </c>
      <c r="G890" s="419">
        <v>-41074</v>
      </c>
      <c r="H890" s="419">
        <v>-235336</v>
      </c>
      <c r="I890" s="419">
        <v>0</v>
      </c>
      <c r="J890" s="380">
        <v>3.5100000000000002E-4</v>
      </c>
      <c r="K890" s="380"/>
      <c r="L890" s="419">
        <v>85928</v>
      </c>
      <c r="M890" s="419">
        <v>59344</v>
      </c>
      <c r="N890" s="419">
        <v>25978</v>
      </c>
      <c r="O890" s="419">
        <v>0</v>
      </c>
      <c r="P890" s="419">
        <v>0</v>
      </c>
      <c r="Q890" s="380">
        <v>3.5100000000000002E-4</v>
      </c>
      <c r="R890" s="380"/>
      <c r="S890" s="419">
        <v>-176331</v>
      </c>
      <c r="T890" s="419">
        <v>-174291</v>
      </c>
      <c r="U890" s="419">
        <v>-183100</v>
      </c>
      <c r="V890" s="419">
        <v>-235336</v>
      </c>
      <c r="W890" s="419">
        <v>0</v>
      </c>
      <c r="X890" s="380">
        <v>3.5100000000000002E-4</v>
      </c>
      <c r="Z890" s="419">
        <v>140611</v>
      </c>
      <c r="AA890" s="419">
        <v>98787</v>
      </c>
      <c r="AB890" s="419">
        <v>98786</v>
      </c>
      <c r="AC890" s="419">
        <v>0</v>
      </c>
      <c r="AD890" s="419">
        <v>0</v>
      </c>
      <c r="AE890" s="380">
        <v>3.5100000000000002E-4</v>
      </c>
      <c r="AF890" s="380"/>
      <c r="AG890" s="419">
        <v>56094</v>
      </c>
      <c r="AH890" s="419">
        <v>17262</v>
      </c>
      <c r="AI890" s="419">
        <v>17262</v>
      </c>
      <c r="AJ890" s="419">
        <v>0</v>
      </c>
      <c r="AK890" s="419">
        <v>0</v>
      </c>
      <c r="AL890" s="380">
        <v>3.5100000000000002E-4</v>
      </c>
      <c r="AM890" s="380"/>
      <c r="AN890" s="419">
        <v>-9486</v>
      </c>
      <c r="AO890" s="419">
        <v>-9484</v>
      </c>
      <c r="AP890" s="419">
        <v>0</v>
      </c>
      <c r="AQ890" s="419">
        <v>0</v>
      </c>
      <c r="AR890" s="419">
        <v>0</v>
      </c>
    </row>
    <row r="891" spans="1:44">
      <c r="A891" s="379">
        <v>99621</v>
      </c>
      <c r="B891" t="s">
        <v>1590</v>
      </c>
      <c r="C891" s="380">
        <v>3.3369999999999998E-4</v>
      </c>
      <c r="D891" s="380"/>
      <c r="E891" s="419">
        <v>39543</v>
      </c>
      <c r="F891" s="419">
        <v>-23119</v>
      </c>
      <c r="G891" s="419">
        <v>-51056</v>
      </c>
      <c r="H891" s="419">
        <v>-223737</v>
      </c>
      <c r="I891" s="419">
        <v>0</v>
      </c>
      <c r="J891" s="380">
        <v>3.3369999999999998E-4</v>
      </c>
      <c r="K891" s="380"/>
      <c r="L891" s="419">
        <v>81692</v>
      </c>
      <c r="M891" s="419">
        <v>56419</v>
      </c>
      <c r="N891" s="419">
        <v>24698</v>
      </c>
      <c r="O891" s="419">
        <v>0</v>
      </c>
      <c r="P891" s="419">
        <v>0</v>
      </c>
      <c r="Q891" s="380">
        <v>3.3369999999999998E-4</v>
      </c>
      <c r="R891" s="380"/>
      <c r="S891" s="419">
        <v>-167640</v>
      </c>
      <c r="T891" s="419">
        <v>-165700</v>
      </c>
      <c r="U891" s="419">
        <v>-174075</v>
      </c>
      <c r="V891" s="419">
        <v>-223737</v>
      </c>
      <c r="W891" s="419">
        <v>0</v>
      </c>
      <c r="X891" s="380">
        <v>3.3369999999999998E-4</v>
      </c>
      <c r="Z891" s="419">
        <v>133681</v>
      </c>
      <c r="AA891" s="419">
        <v>93918</v>
      </c>
      <c r="AB891" s="419">
        <v>93918</v>
      </c>
      <c r="AC891" s="419">
        <v>0</v>
      </c>
      <c r="AD891" s="419">
        <v>0</v>
      </c>
      <c r="AE891" s="380">
        <v>3.3369999999999998E-4</v>
      </c>
      <c r="AF891" s="380"/>
      <c r="AG891" s="419">
        <v>4404</v>
      </c>
      <c r="AH891" s="419">
        <v>4404</v>
      </c>
      <c r="AI891" s="419">
        <v>4403</v>
      </c>
      <c r="AJ891" s="419">
        <v>0</v>
      </c>
      <c r="AK891" s="419">
        <v>0</v>
      </c>
      <c r="AL891" s="380">
        <v>3.3369999999999998E-4</v>
      </c>
      <c r="AM891" s="380"/>
      <c r="AN891" s="419">
        <v>-12594</v>
      </c>
      <c r="AO891" s="419">
        <v>-12160</v>
      </c>
      <c r="AP891" s="419">
        <v>0</v>
      </c>
      <c r="AQ891" s="419">
        <v>0</v>
      </c>
      <c r="AR891" s="419">
        <v>0</v>
      </c>
    </row>
    <row r="892" spans="1:44">
      <c r="A892" s="379">
        <v>99623</v>
      </c>
      <c r="B892" t="s">
        <v>1591</v>
      </c>
      <c r="C892" s="380">
        <v>1.6399999999999999E-5</v>
      </c>
      <c r="D892" s="380"/>
      <c r="E892" s="419">
        <v>-95</v>
      </c>
      <c r="F892" s="419">
        <v>-3186</v>
      </c>
      <c r="G892" s="419">
        <v>-3048</v>
      </c>
      <c r="H892" s="419">
        <v>-10996</v>
      </c>
      <c r="I892" s="419">
        <v>0</v>
      </c>
      <c r="J892" s="380">
        <v>1.6399999999999999E-5</v>
      </c>
      <c r="K892" s="380"/>
      <c r="L892" s="419">
        <v>4015</v>
      </c>
      <c r="M892" s="419">
        <v>2773</v>
      </c>
      <c r="N892" s="419">
        <v>1214</v>
      </c>
      <c r="O892" s="419">
        <v>0</v>
      </c>
      <c r="P892" s="419">
        <v>0</v>
      </c>
      <c r="Q892" s="380">
        <v>1.6399999999999999E-5</v>
      </c>
      <c r="R892" s="380"/>
      <c r="S892" s="419">
        <v>-8239</v>
      </c>
      <c r="T892" s="419">
        <v>-8144</v>
      </c>
      <c r="U892" s="419">
        <v>-8555</v>
      </c>
      <c r="V892" s="419">
        <v>-10996</v>
      </c>
      <c r="W892" s="419">
        <v>0</v>
      </c>
      <c r="X892" s="380">
        <v>1.6399999999999999E-5</v>
      </c>
      <c r="Z892" s="419">
        <v>6570</v>
      </c>
      <c r="AA892" s="419">
        <v>4616</v>
      </c>
      <c r="AB892" s="419">
        <v>4616</v>
      </c>
      <c r="AC892" s="419">
        <v>0</v>
      </c>
      <c r="AD892" s="419">
        <v>0</v>
      </c>
      <c r="AE892" s="380">
        <v>1.6399999999999999E-5</v>
      </c>
      <c r="AF892" s="380"/>
      <c r="AG892" s="419">
        <v>2726</v>
      </c>
      <c r="AH892" s="419">
        <v>2727</v>
      </c>
      <c r="AI892" s="419">
        <v>0</v>
      </c>
      <c r="AJ892" s="419">
        <v>0</v>
      </c>
      <c r="AK892" s="419">
        <v>0</v>
      </c>
      <c r="AL892" s="380">
        <v>1.6399999999999999E-5</v>
      </c>
      <c r="AM892" s="380"/>
      <c r="AN892" s="419">
        <v>-5167</v>
      </c>
      <c r="AO892" s="419">
        <v>-5158</v>
      </c>
      <c r="AP892" s="419">
        <v>-323</v>
      </c>
      <c r="AQ892" s="419">
        <v>0</v>
      </c>
      <c r="AR892" s="419">
        <v>0</v>
      </c>
    </row>
    <row r="893" spans="1:44">
      <c r="A893" s="379">
        <v>99631</v>
      </c>
      <c r="B893" t="s">
        <v>1592</v>
      </c>
      <c r="C893" s="380">
        <v>8.5699999999999996E-5</v>
      </c>
      <c r="D893" s="380"/>
      <c r="E893" s="419">
        <v>1691</v>
      </c>
      <c r="F893" s="419">
        <v>-14135</v>
      </c>
      <c r="G893" s="419">
        <v>-9665</v>
      </c>
      <c r="H893" s="419">
        <v>-57460</v>
      </c>
      <c r="I893" s="419">
        <v>0</v>
      </c>
      <c r="J893" s="380">
        <v>8.5699999999999996E-5</v>
      </c>
      <c r="K893" s="380"/>
      <c r="L893" s="419">
        <v>20980</v>
      </c>
      <c r="M893" s="419">
        <v>14489</v>
      </c>
      <c r="N893" s="419">
        <v>6343</v>
      </c>
      <c r="O893" s="419">
        <v>0</v>
      </c>
      <c r="P893" s="419">
        <v>0</v>
      </c>
      <c r="Q893" s="380">
        <v>8.5699999999999996E-5</v>
      </c>
      <c r="R893" s="380"/>
      <c r="S893" s="419">
        <v>-43053</v>
      </c>
      <c r="T893" s="419">
        <v>-42555</v>
      </c>
      <c r="U893" s="419">
        <v>-44705</v>
      </c>
      <c r="V893" s="419">
        <v>-57460</v>
      </c>
      <c r="W893" s="419">
        <v>0</v>
      </c>
      <c r="X893" s="380">
        <v>8.5699999999999996E-5</v>
      </c>
      <c r="Z893" s="419">
        <v>34332</v>
      </c>
      <c r="AA893" s="419">
        <v>24120</v>
      </c>
      <c r="AB893" s="419">
        <v>24120</v>
      </c>
      <c r="AC893" s="419">
        <v>0</v>
      </c>
      <c r="AD893" s="419">
        <v>0</v>
      </c>
      <c r="AE893" s="380">
        <v>8.5699999999999996E-5</v>
      </c>
      <c r="AF893" s="380"/>
      <c r="AG893" s="419">
        <v>4576</v>
      </c>
      <c r="AH893" s="419">
        <v>4576</v>
      </c>
      <c r="AI893" s="419">
        <v>4577</v>
      </c>
      <c r="AJ893" s="419">
        <v>0</v>
      </c>
      <c r="AK893" s="419">
        <v>0</v>
      </c>
      <c r="AL893" s="380">
        <v>8.5699999999999996E-5</v>
      </c>
      <c r="AM893" s="380"/>
      <c r="AN893" s="419">
        <v>-15144</v>
      </c>
      <c r="AO893" s="419">
        <v>-14765</v>
      </c>
      <c r="AP893" s="419">
        <v>0</v>
      </c>
      <c r="AQ893" s="419">
        <v>0</v>
      </c>
      <c r="AR893" s="419">
        <v>0</v>
      </c>
    </row>
    <row r="894" spans="1:44">
      <c r="A894" s="379">
        <v>99651</v>
      </c>
      <c r="B894" t="s">
        <v>1593</v>
      </c>
      <c r="C894" s="380">
        <v>5.3699999999999997E-5</v>
      </c>
      <c r="D894" s="380"/>
      <c r="E894" s="419">
        <v>-224</v>
      </c>
      <c r="F894" s="419">
        <v>-8822</v>
      </c>
      <c r="G894" s="419">
        <v>-16130</v>
      </c>
      <c r="H894" s="419">
        <v>-36004</v>
      </c>
      <c r="I894" s="419">
        <v>0</v>
      </c>
      <c r="J894" s="380">
        <v>5.3699999999999997E-5</v>
      </c>
      <c r="K894" s="380"/>
      <c r="L894" s="419">
        <v>13146</v>
      </c>
      <c r="M894" s="419">
        <v>9079</v>
      </c>
      <c r="N894" s="419">
        <v>3974</v>
      </c>
      <c r="O894" s="419">
        <v>0</v>
      </c>
      <c r="P894" s="419">
        <v>0</v>
      </c>
      <c r="Q894" s="380">
        <v>5.3699999999999997E-5</v>
      </c>
      <c r="R894" s="380"/>
      <c r="S894" s="419">
        <v>-26977</v>
      </c>
      <c r="T894" s="419">
        <v>-26665</v>
      </c>
      <c r="U894" s="419">
        <v>-28013</v>
      </c>
      <c r="V894" s="419">
        <v>-36004</v>
      </c>
      <c r="W894" s="419">
        <v>0</v>
      </c>
      <c r="X894" s="380">
        <v>5.3699999999999997E-5</v>
      </c>
      <c r="Z894" s="419">
        <v>21512</v>
      </c>
      <c r="AA894" s="419">
        <v>15114</v>
      </c>
      <c r="AB894" s="419">
        <v>15113</v>
      </c>
      <c r="AC894" s="419">
        <v>0</v>
      </c>
      <c r="AD894" s="419">
        <v>0</v>
      </c>
      <c r="AE894" s="380">
        <v>5.3699999999999997E-5</v>
      </c>
      <c r="AF894" s="380"/>
      <c r="AG894" s="419">
        <v>1912</v>
      </c>
      <c r="AH894" s="419">
        <v>1911</v>
      </c>
      <c r="AI894" s="419">
        <v>0</v>
      </c>
      <c r="AJ894" s="419">
        <v>0</v>
      </c>
      <c r="AK894" s="419">
        <v>0</v>
      </c>
      <c r="AL894" s="380">
        <v>5.3699999999999997E-5</v>
      </c>
      <c r="AM894" s="380"/>
      <c r="AN894" s="419">
        <v>-9817</v>
      </c>
      <c r="AO894" s="419">
        <v>-8261</v>
      </c>
      <c r="AP894" s="419">
        <v>-7204</v>
      </c>
      <c r="AQ894" s="419">
        <v>0</v>
      </c>
      <c r="AR894" s="419">
        <v>0</v>
      </c>
    </row>
    <row r="895" spans="1:44">
      <c r="A895" s="379">
        <v>99661</v>
      </c>
      <c r="B895" t="s">
        <v>1594</v>
      </c>
      <c r="C895" s="380">
        <v>3.4199999999999998E-5</v>
      </c>
      <c r="D895" s="380"/>
      <c r="E895" s="419">
        <v>22492</v>
      </c>
      <c r="F895" s="419">
        <v>11121</v>
      </c>
      <c r="G895" s="419">
        <v>-2849</v>
      </c>
      <c r="H895" s="419">
        <v>-22930</v>
      </c>
      <c r="I895" s="419">
        <v>0</v>
      </c>
      <c r="J895" s="380">
        <v>3.4199999999999998E-5</v>
      </c>
      <c r="K895" s="380"/>
      <c r="L895" s="419">
        <v>8372</v>
      </c>
      <c r="M895" s="419">
        <v>5782</v>
      </c>
      <c r="N895" s="419">
        <v>2531</v>
      </c>
      <c r="O895" s="419">
        <v>0</v>
      </c>
      <c r="P895" s="419">
        <v>0</v>
      </c>
      <c r="Q895" s="380">
        <v>3.4199999999999998E-5</v>
      </c>
      <c r="R895" s="380"/>
      <c r="S895" s="419">
        <v>-17181</v>
      </c>
      <c r="T895" s="419">
        <v>-16982</v>
      </c>
      <c r="U895" s="419">
        <v>-17840</v>
      </c>
      <c r="V895" s="419">
        <v>-22930</v>
      </c>
      <c r="W895" s="419">
        <v>0</v>
      </c>
      <c r="X895" s="380">
        <v>3.4199999999999998E-5</v>
      </c>
      <c r="Z895" s="419">
        <v>13701</v>
      </c>
      <c r="AA895" s="419">
        <v>9625</v>
      </c>
      <c r="AB895" s="419">
        <v>9625</v>
      </c>
      <c r="AC895" s="419">
        <v>0</v>
      </c>
      <c r="AD895" s="419">
        <v>0</v>
      </c>
      <c r="AE895" s="380">
        <v>3.4199999999999998E-5</v>
      </c>
      <c r="AF895" s="380"/>
      <c r="AG895" s="419">
        <v>17600</v>
      </c>
      <c r="AH895" s="419">
        <v>12696</v>
      </c>
      <c r="AI895" s="419">
        <v>2835</v>
      </c>
      <c r="AJ895" s="419">
        <v>0</v>
      </c>
      <c r="AK895" s="419">
        <v>0</v>
      </c>
      <c r="AL895" s="380">
        <v>3.4199999999999998E-5</v>
      </c>
      <c r="AM895" s="380"/>
      <c r="AN895" s="419">
        <v>0</v>
      </c>
      <c r="AO895" s="419">
        <v>0</v>
      </c>
      <c r="AP895" s="419">
        <v>0</v>
      </c>
      <c r="AQ895" s="419">
        <v>0</v>
      </c>
      <c r="AR895" s="419">
        <v>0</v>
      </c>
    </row>
    <row r="896" spans="1:44">
      <c r="A896" s="379">
        <v>99701</v>
      </c>
      <c r="B896" t="s">
        <v>1595</v>
      </c>
      <c r="C896" s="380">
        <v>3.0317999999999999E-3</v>
      </c>
      <c r="D896" s="380"/>
      <c r="E896" s="419">
        <v>399372</v>
      </c>
      <c r="F896" s="419">
        <v>-170234</v>
      </c>
      <c r="G896" s="419">
        <v>-548364</v>
      </c>
      <c r="H896" s="419">
        <v>-2032743</v>
      </c>
      <c r="I896" s="419">
        <v>0</v>
      </c>
      <c r="J896" s="380">
        <v>3.0317999999999999E-3</v>
      </c>
      <c r="K896" s="380"/>
      <c r="L896" s="419">
        <v>742209</v>
      </c>
      <c r="M896" s="419">
        <v>512592</v>
      </c>
      <c r="N896" s="419">
        <v>224390</v>
      </c>
      <c r="O896" s="419">
        <v>0</v>
      </c>
      <c r="P896" s="419">
        <v>0</v>
      </c>
      <c r="Q896" s="380">
        <v>3.0317999999999999E-3</v>
      </c>
      <c r="R896" s="380"/>
      <c r="S896" s="419">
        <v>-1523079</v>
      </c>
      <c r="T896" s="419">
        <v>-1505455</v>
      </c>
      <c r="U896" s="419">
        <v>-1581542</v>
      </c>
      <c r="V896" s="419">
        <v>-2032743</v>
      </c>
      <c r="W896" s="419">
        <v>0</v>
      </c>
      <c r="X896" s="380">
        <v>3.0317999999999999E-3</v>
      </c>
      <c r="Z896" s="419">
        <v>1214545</v>
      </c>
      <c r="AA896" s="419">
        <v>853285</v>
      </c>
      <c r="AB896" s="419">
        <v>853279</v>
      </c>
      <c r="AC896" s="419">
        <v>0</v>
      </c>
      <c r="AD896" s="419">
        <v>0</v>
      </c>
      <c r="AE896" s="380">
        <v>3.0317999999999999E-3</v>
      </c>
      <c r="AF896" s="380"/>
      <c r="AG896" s="419">
        <v>17246</v>
      </c>
      <c r="AH896" s="419">
        <v>17246</v>
      </c>
      <c r="AI896" s="419">
        <v>0</v>
      </c>
      <c r="AJ896" s="419">
        <v>0</v>
      </c>
      <c r="AK896" s="419">
        <v>0</v>
      </c>
      <c r="AL896" s="380">
        <v>3.0317999999999999E-3</v>
      </c>
      <c r="AM896" s="380"/>
      <c r="AN896" s="419">
        <v>-51549</v>
      </c>
      <c r="AO896" s="419">
        <v>-47902</v>
      </c>
      <c r="AP896" s="419">
        <v>-44491</v>
      </c>
      <c r="AQ896" s="419">
        <v>0</v>
      </c>
      <c r="AR896" s="419">
        <v>0</v>
      </c>
    </row>
    <row r="897" spans="1:44">
      <c r="A897" s="379">
        <v>99705</v>
      </c>
      <c r="B897" t="s">
        <v>1596</v>
      </c>
      <c r="C897" s="380">
        <v>1.716E-4</v>
      </c>
      <c r="D897" s="380"/>
      <c r="E897" s="419">
        <v>47272</v>
      </c>
      <c r="F897" s="419">
        <v>13748</v>
      </c>
      <c r="G897" s="419">
        <v>-19427</v>
      </c>
      <c r="H897" s="419">
        <v>-115053</v>
      </c>
      <c r="I897" s="419">
        <v>0</v>
      </c>
      <c r="J897" s="380">
        <v>1.716E-4</v>
      </c>
      <c r="K897" s="380"/>
      <c r="L897" s="419">
        <v>42009</v>
      </c>
      <c r="M897" s="419">
        <v>29013</v>
      </c>
      <c r="N897" s="419">
        <v>12700</v>
      </c>
      <c r="O897" s="419">
        <v>0</v>
      </c>
      <c r="P897" s="419">
        <v>0</v>
      </c>
      <c r="Q897" s="380">
        <v>1.716E-4</v>
      </c>
      <c r="R897" s="380"/>
      <c r="S897" s="419">
        <v>-86206</v>
      </c>
      <c r="T897" s="419">
        <v>-85209</v>
      </c>
      <c r="U897" s="419">
        <v>-89515</v>
      </c>
      <c r="V897" s="419">
        <v>-115053</v>
      </c>
      <c r="W897" s="419">
        <v>0</v>
      </c>
      <c r="X897" s="380">
        <v>1.716E-4</v>
      </c>
      <c r="Z897" s="419">
        <v>68743</v>
      </c>
      <c r="AA897" s="419">
        <v>48296</v>
      </c>
      <c r="AB897" s="419">
        <v>48296</v>
      </c>
      <c r="AC897" s="419">
        <v>0</v>
      </c>
      <c r="AD897" s="419">
        <v>0</v>
      </c>
      <c r="AE897" s="380">
        <v>1.716E-4</v>
      </c>
      <c r="AF897" s="380"/>
      <c r="AG897" s="419">
        <v>22726</v>
      </c>
      <c r="AH897" s="419">
        <v>21648</v>
      </c>
      <c r="AI897" s="419">
        <v>9092</v>
      </c>
      <c r="AJ897" s="419">
        <v>0</v>
      </c>
      <c r="AK897" s="419">
        <v>0</v>
      </c>
      <c r="AL897" s="380">
        <v>1.716E-4</v>
      </c>
      <c r="AM897" s="380"/>
      <c r="AN897" s="419">
        <v>0</v>
      </c>
      <c r="AO897" s="419">
        <v>0</v>
      </c>
      <c r="AP897" s="419">
        <v>0</v>
      </c>
      <c r="AQ897" s="419">
        <v>0</v>
      </c>
      <c r="AR897" s="419">
        <v>0</v>
      </c>
    </row>
    <row r="898" spans="1:44">
      <c r="A898" s="379">
        <v>99711</v>
      </c>
      <c r="B898" t="s">
        <v>1597</v>
      </c>
      <c r="C898" s="380">
        <v>3.9609999999999998E-4</v>
      </c>
      <c r="D898" s="380"/>
      <c r="E898" s="419">
        <v>41945</v>
      </c>
      <c r="F898" s="419">
        <v>-32916</v>
      </c>
      <c r="G898" s="419">
        <v>-81720</v>
      </c>
      <c r="H898" s="419">
        <v>-265575</v>
      </c>
      <c r="I898" s="419">
        <v>0</v>
      </c>
      <c r="J898" s="380">
        <v>3.9609999999999998E-4</v>
      </c>
      <c r="K898" s="380"/>
      <c r="L898" s="419">
        <v>96968</v>
      </c>
      <c r="M898" s="419">
        <v>66969</v>
      </c>
      <c r="N898" s="419">
        <v>29316</v>
      </c>
      <c r="O898" s="419">
        <v>0</v>
      </c>
      <c r="P898" s="419">
        <v>0</v>
      </c>
      <c r="Q898" s="380">
        <v>3.9609999999999998E-4</v>
      </c>
      <c r="R898" s="380"/>
      <c r="S898" s="419">
        <v>-198988</v>
      </c>
      <c r="T898" s="419">
        <v>-196685</v>
      </c>
      <c r="U898" s="419">
        <v>-206626</v>
      </c>
      <c r="V898" s="419">
        <v>-265575</v>
      </c>
      <c r="W898" s="419">
        <v>0</v>
      </c>
      <c r="X898" s="380">
        <v>3.9609999999999998E-4</v>
      </c>
      <c r="Z898" s="419">
        <v>158678</v>
      </c>
      <c r="AA898" s="419">
        <v>111480</v>
      </c>
      <c r="AB898" s="419">
        <v>111480</v>
      </c>
      <c r="AC898" s="419">
        <v>0</v>
      </c>
      <c r="AD898" s="419">
        <v>0</v>
      </c>
      <c r="AE898" s="380">
        <v>3.9609999999999998E-4</v>
      </c>
      <c r="AF898" s="380"/>
      <c r="AG898" s="419">
        <v>3319</v>
      </c>
      <c r="AH898" s="419">
        <v>3319</v>
      </c>
      <c r="AI898" s="419">
        <v>0</v>
      </c>
      <c r="AJ898" s="419">
        <v>0</v>
      </c>
      <c r="AK898" s="419">
        <v>0</v>
      </c>
      <c r="AL898" s="380">
        <v>3.9609999999999998E-4</v>
      </c>
      <c r="AM898" s="380"/>
      <c r="AN898" s="419">
        <v>-18032</v>
      </c>
      <c r="AO898" s="419">
        <v>-17999</v>
      </c>
      <c r="AP898" s="419">
        <v>-15890</v>
      </c>
      <c r="AQ898" s="419">
        <v>0</v>
      </c>
      <c r="AR898" s="419">
        <v>0</v>
      </c>
    </row>
    <row r="899" spans="1:44">
      <c r="A899" s="379">
        <v>99717</v>
      </c>
      <c r="B899" t="s">
        <v>1598</v>
      </c>
      <c r="C899" s="380">
        <v>1.7900000000000001E-5</v>
      </c>
      <c r="D899" s="380"/>
      <c r="E899" s="419">
        <v>-685</v>
      </c>
      <c r="F899" s="419">
        <v>-3718</v>
      </c>
      <c r="G899" s="419">
        <v>-1724</v>
      </c>
      <c r="H899" s="419">
        <v>-12001</v>
      </c>
      <c r="I899" s="419">
        <v>0</v>
      </c>
      <c r="J899" s="380">
        <v>1.7900000000000001E-5</v>
      </c>
      <c r="K899" s="380"/>
      <c r="L899" s="419">
        <v>4382</v>
      </c>
      <c r="M899" s="419">
        <v>3026</v>
      </c>
      <c r="N899" s="419">
        <v>1325</v>
      </c>
      <c r="O899" s="419">
        <v>0</v>
      </c>
      <c r="P899" s="419">
        <v>0</v>
      </c>
      <c r="Q899" s="380">
        <v>1.7900000000000001E-5</v>
      </c>
      <c r="R899" s="380"/>
      <c r="S899" s="419">
        <v>-8992</v>
      </c>
      <c r="T899" s="419">
        <v>-8888</v>
      </c>
      <c r="U899" s="419">
        <v>-9338</v>
      </c>
      <c r="V899" s="419">
        <v>-12001</v>
      </c>
      <c r="W899" s="419">
        <v>0</v>
      </c>
      <c r="X899" s="380">
        <v>1.7900000000000001E-5</v>
      </c>
      <c r="Z899" s="419">
        <v>7171</v>
      </c>
      <c r="AA899" s="419">
        <v>5038</v>
      </c>
      <c r="AB899" s="419">
        <v>5038</v>
      </c>
      <c r="AC899" s="419">
        <v>0</v>
      </c>
      <c r="AD899" s="419">
        <v>0</v>
      </c>
      <c r="AE899" s="380">
        <v>1.7900000000000001E-5</v>
      </c>
      <c r="AF899" s="380"/>
      <c r="AG899" s="419">
        <v>1465</v>
      </c>
      <c r="AH899" s="419">
        <v>1463</v>
      </c>
      <c r="AI899" s="419">
        <v>1251</v>
      </c>
      <c r="AJ899" s="419">
        <v>0</v>
      </c>
      <c r="AK899" s="419">
        <v>0</v>
      </c>
      <c r="AL899" s="380">
        <v>1.7900000000000001E-5</v>
      </c>
      <c r="AM899" s="380"/>
      <c r="AN899" s="419">
        <v>-4711</v>
      </c>
      <c r="AO899" s="419">
        <v>-4357</v>
      </c>
      <c r="AP899" s="419">
        <v>0</v>
      </c>
      <c r="AQ899" s="419">
        <v>0</v>
      </c>
      <c r="AR899" s="419">
        <v>0</v>
      </c>
    </row>
    <row r="900" spans="1:44">
      <c r="A900" s="379">
        <v>99721</v>
      </c>
      <c r="B900" t="s">
        <v>1599</v>
      </c>
      <c r="C900" s="380">
        <v>5.8679999999999995E-4</v>
      </c>
      <c r="D900" s="380"/>
      <c r="E900" s="419">
        <v>71982</v>
      </c>
      <c r="F900" s="419">
        <v>-37488</v>
      </c>
      <c r="G900" s="419">
        <v>-93883</v>
      </c>
      <c r="H900" s="419">
        <v>-393434</v>
      </c>
      <c r="I900" s="419">
        <v>0</v>
      </c>
      <c r="J900" s="380">
        <v>5.8679999999999995E-4</v>
      </c>
      <c r="K900" s="380"/>
      <c r="L900" s="419">
        <v>143653</v>
      </c>
      <c r="M900" s="419">
        <v>99211</v>
      </c>
      <c r="N900" s="419">
        <v>43430</v>
      </c>
      <c r="O900" s="419">
        <v>0</v>
      </c>
      <c r="P900" s="419">
        <v>0</v>
      </c>
      <c r="Q900" s="380">
        <v>5.8679999999999995E-4</v>
      </c>
      <c r="R900" s="380"/>
      <c r="S900" s="419">
        <v>-294790</v>
      </c>
      <c r="T900" s="419">
        <v>-291378</v>
      </c>
      <c r="U900" s="419">
        <v>-306105</v>
      </c>
      <c r="V900" s="419">
        <v>-393434</v>
      </c>
      <c r="W900" s="419">
        <v>0</v>
      </c>
      <c r="X900" s="380">
        <v>5.8679999999999995E-4</v>
      </c>
      <c r="Z900" s="419">
        <v>235073</v>
      </c>
      <c r="AA900" s="419">
        <v>165152</v>
      </c>
      <c r="AB900" s="419">
        <v>165151</v>
      </c>
      <c r="AC900" s="419">
        <v>0</v>
      </c>
      <c r="AD900" s="419">
        <v>0</v>
      </c>
      <c r="AE900" s="380">
        <v>5.8679999999999995E-4</v>
      </c>
      <c r="AF900" s="380"/>
      <c r="AG900" s="419">
        <v>4222</v>
      </c>
      <c r="AH900" s="419">
        <v>4223</v>
      </c>
      <c r="AI900" s="419">
        <v>3641</v>
      </c>
      <c r="AJ900" s="419">
        <v>0</v>
      </c>
      <c r="AK900" s="419">
        <v>0</v>
      </c>
      <c r="AL900" s="380">
        <v>5.8679999999999995E-4</v>
      </c>
      <c r="AM900" s="380"/>
      <c r="AN900" s="419">
        <v>-16176</v>
      </c>
      <c r="AO900" s="419">
        <v>-14696</v>
      </c>
      <c r="AP900" s="419">
        <v>0</v>
      </c>
      <c r="AQ900" s="419">
        <v>0</v>
      </c>
      <c r="AR900" s="419">
        <v>0</v>
      </c>
    </row>
    <row r="901" spans="1:44">
      <c r="A901" s="379">
        <v>99727</v>
      </c>
      <c r="B901" t="s">
        <v>1600</v>
      </c>
      <c r="C901" s="380">
        <v>1.84E-5</v>
      </c>
      <c r="D901" s="380"/>
      <c r="E901" s="419">
        <v>20102</v>
      </c>
      <c r="F901" s="419">
        <v>9251</v>
      </c>
      <c r="G901" s="419">
        <v>-204</v>
      </c>
      <c r="H901" s="419">
        <v>-12337</v>
      </c>
      <c r="I901" s="419">
        <v>0</v>
      </c>
      <c r="J901" s="380">
        <v>1.84E-5</v>
      </c>
      <c r="K901" s="380"/>
      <c r="L901" s="419">
        <v>4504</v>
      </c>
      <c r="M901" s="419">
        <v>3111</v>
      </c>
      <c r="N901" s="419">
        <v>1362</v>
      </c>
      <c r="O901" s="419">
        <v>0</v>
      </c>
      <c r="P901" s="419">
        <v>0</v>
      </c>
      <c r="Q901" s="380">
        <v>1.84E-5</v>
      </c>
      <c r="R901" s="380"/>
      <c r="S901" s="419">
        <v>-9244</v>
      </c>
      <c r="T901" s="419">
        <v>-9137</v>
      </c>
      <c r="U901" s="419">
        <v>-9598</v>
      </c>
      <c r="V901" s="419">
        <v>-12337</v>
      </c>
      <c r="W901" s="419">
        <v>0</v>
      </c>
      <c r="X901" s="380">
        <v>1.84E-5</v>
      </c>
      <c r="Z901" s="419">
        <v>7371</v>
      </c>
      <c r="AA901" s="419">
        <v>5179</v>
      </c>
      <c r="AB901" s="419">
        <v>5179</v>
      </c>
      <c r="AC901" s="419">
        <v>0</v>
      </c>
      <c r="AD901" s="419">
        <v>0</v>
      </c>
      <c r="AE901" s="380">
        <v>1.84E-5</v>
      </c>
      <c r="AF901" s="380"/>
      <c r="AG901" s="419">
        <v>17471</v>
      </c>
      <c r="AH901" s="419">
        <v>10098</v>
      </c>
      <c r="AI901" s="419">
        <v>2853</v>
      </c>
      <c r="AJ901" s="419">
        <v>0</v>
      </c>
      <c r="AK901" s="419">
        <v>0</v>
      </c>
      <c r="AL901" s="380">
        <v>1.84E-5</v>
      </c>
      <c r="AM901" s="380"/>
      <c r="AN901" s="419">
        <v>0</v>
      </c>
      <c r="AO901" s="419">
        <v>0</v>
      </c>
      <c r="AP901" s="419">
        <v>0</v>
      </c>
      <c r="AQ901" s="419">
        <v>0</v>
      </c>
      <c r="AR901" s="419">
        <v>0</v>
      </c>
    </row>
    <row r="902" spans="1:44">
      <c r="A902" s="379">
        <v>99801</v>
      </c>
      <c r="B902" t="s">
        <v>1601</v>
      </c>
      <c r="C902" s="380">
        <v>4.6610999999999996E-3</v>
      </c>
      <c r="D902" s="380"/>
      <c r="E902" s="419">
        <v>436932</v>
      </c>
      <c r="F902" s="419">
        <v>-384346</v>
      </c>
      <c r="G902" s="419">
        <v>-818289</v>
      </c>
      <c r="H902" s="419">
        <v>-3125146</v>
      </c>
      <c r="I902" s="419">
        <v>0</v>
      </c>
      <c r="J902" s="380">
        <v>4.6610999999999996E-3</v>
      </c>
      <c r="K902" s="380"/>
      <c r="L902" s="419">
        <v>1141075</v>
      </c>
      <c r="M902" s="419">
        <v>788061</v>
      </c>
      <c r="N902" s="419">
        <v>344977</v>
      </c>
      <c r="O902" s="419">
        <v>0</v>
      </c>
      <c r="P902" s="419">
        <v>0</v>
      </c>
      <c r="Q902" s="380">
        <v>4.6610999999999996E-3</v>
      </c>
      <c r="R902" s="380"/>
      <c r="S902" s="419">
        <v>-2341587</v>
      </c>
      <c r="T902" s="419">
        <v>-2314493</v>
      </c>
      <c r="U902" s="419">
        <v>-2431467</v>
      </c>
      <c r="V902" s="419">
        <v>-3125146</v>
      </c>
      <c r="W902" s="419">
        <v>0</v>
      </c>
      <c r="X902" s="380">
        <v>4.6610999999999996E-3</v>
      </c>
      <c r="Z902" s="419">
        <v>1867246</v>
      </c>
      <c r="AA902" s="419">
        <v>1311843</v>
      </c>
      <c r="AB902" s="419">
        <v>1311834</v>
      </c>
      <c r="AC902" s="419">
        <v>0</v>
      </c>
      <c r="AD902" s="419">
        <v>0</v>
      </c>
      <c r="AE902" s="380">
        <v>4.6610999999999996E-3</v>
      </c>
      <c r="AF902" s="380"/>
      <c r="AG902" s="419">
        <v>0</v>
      </c>
      <c r="AH902" s="419">
        <v>0</v>
      </c>
      <c r="AI902" s="419">
        <v>0</v>
      </c>
      <c r="AJ902" s="419">
        <v>0</v>
      </c>
      <c r="AK902" s="419">
        <v>0</v>
      </c>
      <c r="AL902" s="380">
        <v>4.6610999999999996E-3</v>
      </c>
      <c r="AM902" s="380"/>
      <c r="AN902" s="419">
        <v>-229802</v>
      </c>
      <c r="AO902" s="419">
        <v>-169757</v>
      </c>
      <c r="AP902" s="419">
        <v>-43633</v>
      </c>
      <c r="AQ902" s="419">
        <v>0</v>
      </c>
      <c r="AR902" s="419">
        <v>0</v>
      </c>
    </row>
    <row r="903" spans="1:44">
      <c r="A903" s="379">
        <v>99802</v>
      </c>
      <c r="B903" t="s">
        <v>1602</v>
      </c>
      <c r="C903" s="380">
        <v>1.0900000000000001E-5</v>
      </c>
      <c r="D903" s="380"/>
      <c r="E903" s="419">
        <v>3049</v>
      </c>
      <c r="F903" s="419">
        <v>-251</v>
      </c>
      <c r="G903" s="419">
        <v>-2281</v>
      </c>
      <c r="H903" s="419">
        <v>-7308</v>
      </c>
      <c r="I903" s="419">
        <v>0</v>
      </c>
      <c r="J903" s="380">
        <v>1.0900000000000001E-5</v>
      </c>
      <c r="K903" s="380"/>
      <c r="L903" s="419">
        <v>2668</v>
      </c>
      <c r="M903" s="419">
        <v>1843</v>
      </c>
      <c r="N903" s="419">
        <v>807</v>
      </c>
      <c r="O903" s="419">
        <v>0</v>
      </c>
      <c r="P903" s="419">
        <v>0</v>
      </c>
      <c r="Q903" s="380">
        <v>1.0900000000000001E-5</v>
      </c>
      <c r="R903" s="380"/>
      <c r="S903" s="419">
        <v>-5476</v>
      </c>
      <c r="T903" s="419">
        <v>-5412</v>
      </c>
      <c r="U903" s="419">
        <v>-5686</v>
      </c>
      <c r="V903" s="419">
        <v>-7308</v>
      </c>
      <c r="W903" s="419">
        <v>0</v>
      </c>
      <c r="X903" s="380">
        <v>1.0900000000000001E-5</v>
      </c>
      <c r="Z903" s="419">
        <v>4367</v>
      </c>
      <c r="AA903" s="419">
        <v>3068</v>
      </c>
      <c r="AB903" s="419">
        <v>3068</v>
      </c>
      <c r="AC903" s="419">
        <v>0</v>
      </c>
      <c r="AD903" s="419">
        <v>0</v>
      </c>
      <c r="AE903" s="380">
        <v>1.0900000000000001E-5</v>
      </c>
      <c r="AF903" s="380"/>
      <c r="AG903" s="419">
        <v>1959</v>
      </c>
      <c r="AH903" s="419">
        <v>719</v>
      </c>
      <c r="AI903" s="419">
        <v>0</v>
      </c>
      <c r="AJ903" s="419">
        <v>0</v>
      </c>
      <c r="AK903" s="419">
        <v>0</v>
      </c>
      <c r="AL903" s="380">
        <v>1.0900000000000001E-5</v>
      </c>
      <c r="AM903" s="380"/>
      <c r="AN903" s="419">
        <v>-469</v>
      </c>
      <c r="AO903" s="419">
        <v>-469</v>
      </c>
      <c r="AP903" s="419">
        <v>-470</v>
      </c>
      <c r="AQ903" s="419">
        <v>0</v>
      </c>
      <c r="AR903" s="419">
        <v>0</v>
      </c>
    </row>
    <row r="904" spans="1:44">
      <c r="A904" s="379">
        <v>99804</v>
      </c>
      <c r="B904" t="s">
        <v>1603</v>
      </c>
      <c r="C904" s="380">
        <v>8.8300000000000005E-5</v>
      </c>
      <c r="D904" s="380"/>
      <c r="E904" s="419">
        <v>30732</v>
      </c>
      <c r="F904" s="419">
        <v>14071</v>
      </c>
      <c r="G904" s="419">
        <v>-1569</v>
      </c>
      <c r="H904" s="419">
        <v>-59203</v>
      </c>
      <c r="I904" s="419">
        <v>0</v>
      </c>
      <c r="J904" s="380">
        <v>8.8300000000000005E-5</v>
      </c>
      <c r="K904" s="380"/>
      <c r="L904" s="419">
        <v>21617</v>
      </c>
      <c r="M904" s="419">
        <v>14929</v>
      </c>
      <c r="N904" s="419">
        <v>6535</v>
      </c>
      <c r="O904" s="419">
        <v>0</v>
      </c>
      <c r="P904" s="419">
        <v>0</v>
      </c>
      <c r="Q904" s="380">
        <v>8.8300000000000005E-5</v>
      </c>
      <c r="R904" s="380"/>
      <c r="S904" s="419">
        <v>-44359</v>
      </c>
      <c r="T904" s="419">
        <v>-43846</v>
      </c>
      <c r="U904" s="419">
        <v>-46062</v>
      </c>
      <c r="V904" s="419">
        <v>-59203</v>
      </c>
      <c r="W904" s="419">
        <v>0</v>
      </c>
      <c r="X904" s="380">
        <v>8.8300000000000005E-5</v>
      </c>
      <c r="Z904" s="419">
        <v>35373</v>
      </c>
      <c r="AA904" s="419">
        <v>24852</v>
      </c>
      <c r="AB904" s="419">
        <v>24851</v>
      </c>
      <c r="AC904" s="419">
        <v>0</v>
      </c>
      <c r="AD904" s="419">
        <v>0</v>
      </c>
      <c r="AE904" s="380">
        <v>8.8300000000000005E-5</v>
      </c>
      <c r="AF904" s="380"/>
      <c r="AG904" s="419">
        <v>18134</v>
      </c>
      <c r="AH904" s="419">
        <v>18136</v>
      </c>
      <c r="AI904" s="419">
        <v>13107</v>
      </c>
      <c r="AJ904" s="419">
        <v>0</v>
      </c>
      <c r="AK904" s="419">
        <v>0</v>
      </c>
      <c r="AL904" s="380">
        <v>8.8300000000000005E-5</v>
      </c>
      <c r="AM904" s="380"/>
      <c r="AN904" s="419">
        <v>-33</v>
      </c>
      <c r="AO904" s="419">
        <v>0</v>
      </c>
      <c r="AP904" s="419">
        <v>0</v>
      </c>
      <c r="AQ904" s="419">
        <v>0</v>
      </c>
      <c r="AR904" s="419">
        <v>0</v>
      </c>
    </row>
    <row r="905" spans="1:44">
      <c r="A905" s="379">
        <v>99811</v>
      </c>
      <c r="B905" t="s">
        <v>1604</v>
      </c>
      <c r="C905" s="380">
        <v>6.2027999999999996E-3</v>
      </c>
      <c r="D905" s="380"/>
      <c r="E905" s="419">
        <v>620563</v>
      </c>
      <c r="F905" s="419">
        <v>-491441</v>
      </c>
      <c r="G905" s="419">
        <v>-1142473</v>
      </c>
      <c r="H905" s="419">
        <v>-4158816</v>
      </c>
      <c r="I905" s="419">
        <v>0</v>
      </c>
      <c r="J905" s="380">
        <v>6.2027999999999996E-3</v>
      </c>
      <c r="K905" s="380"/>
      <c r="L905" s="419">
        <v>1518495</v>
      </c>
      <c r="M905" s="419">
        <v>1048720</v>
      </c>
      <c r="N905" s="419">
        <v>459082</v>
      </c>
      <c r="O905" s="419">
        <v>0</v>
      </c>
      <c r="P905" s="419">
        <v>0</v>
      </c>
      <c r="Q905" s="380">
        <v>6.2027999999999996E-3</v>
      </c>
      <c r="R905" s="380"/>
      <c r="S905" s="419">
        <v>-3116088</v>
      </c>
      <c r="T905" s="419">
        <v>-3080031</v>
      </c>
      <c r="U905" s="419">
        <v>-3235697</v>
      </c>
      <c r="V905" s="419">
        <v>-4158816</v>
      </c>
      <c r="W905" s="419">
        <v>0</v>
      </c>
      <c r="X905" s="380">
        <v>6.2027999999999996E-3</v>
      </c>
      <c r="Z905" s="419">
        <v>2484854</v>
      </c>
      <c r="AA905" s="419">
        <v>1745747</v>
      </c>
      <c r="AB905" s="419">
        <v>1745735</v>
      </c>
      <c r="AC905" s="419">
        <v>0</v>
      </c>
      <c r="AD905" s="419">
        <v>0</v>
      </c>
      <c r="AE905" s="380">
        <v>6.2027999999999996E-3</v>
      </c>
      <c r="AF905" s="380"/>
      <c r="AG905" s="419">
        <v>0</v>
      </c>
      <c r="AH905" s="419">
        <v>0</v>
      </c>
      <c r="AI905" s="419">
        <v>0</v>
      </c>
      <c r="AJ905" s="419">
        <v>0</v>
      </c>
      <c r="AK905" s="419">
        <v>0</v>
      </c>
      <c r="AL905" s="380">
        <v>6.2027999999999996E-3</v>
      </c>
      <c r="AM905" s="380"/>
      <c r="AN905" s="419">
        <v>-266698</v>
      </c>
      <c r="AO905" s="419">
        <v>-205877</v>
      </c>
      <c r="AP905" s="419">
        <v>-111593</v>
      </c>
      <c r="AQ905" s="419">
        <v>0</v>
      </c>
      <c r="AR905" s="419">
        <v>0</v>
      </c>
    </row>
    <row r="906" spans="1:44">
      <c r="A906" s="379">
        <v>99812</v>
      </c>
      <c r="B906" t="s">
        <v>1605</v>
      </c>
      <c r="C906" s="380">
        <v>1.77E-5</v>
      </c>
      <c r="D906" s="380"/>
      <c r="E906" s="419">
        <v>15114</v>
      </c>
      <c r="F906" s="419">
        <v>9839</v>
      </c>
      <c r="G906" s="419">
        <v>2114</v>
      </c>
      <c r="H906" s="419">
        <v>-11867</v>
      </c>
      <c r="I906" s="419">
        <v>0</v>
      </c>
      <c r="J906" s="380">
        <v>1.77E-5</v>
      </c>
      <c r="K906" s="380"/>
      <c r="L906" s="419">
        <v>4333</v>
      </c>
      <c r="M906" s="419">
        <v>2993</v>
      </c>
      <c r="N906" s="419">
        <v>1310</v>
      </c>
      <c r="O906" s="419">
        <v>0</v>
      </c>
      <c r="P906" s="419">
        <v>0</v>
      </c>
      <c r="Q906" s="380">
        <v>1.77E-5</v>
      </c>
      <c r="R906" s="380"/>
      <c r="S906" s="419">
        <v>-8892</v>
      </c>
      <c r="T906" s="419">
        <v>-8789</v>
      </c>
      <c r="U906" s="419">
        <v>-9233</v>
      </c>
      <c r="V906" s="419">
        <v>-11867</v>
      </c>
      <c r="W906" s="419">
        <v>0</v>
      </c>
      <c r="X906" s="380">
        <v>1.77E-5</v>
      </c>
      <c r="Z906" s="419">
        <v>7091</v>
      </c>
      <c r="AA906" s="419">
        <v>4982</v>
      </c>
      <c r="AB906" s="419">
        <v>4982</v>
      </c>
      <c r="AC906" s="419">
        <v>0</v>
      </c>
      <c r="AD906" s="419">
        <v>0</v>
      </c>
      <c r="AE906" s="380">
        <v>1.77E-5</v>
      </c>
      <c r="AF906" s="380"/>
      <c r="AG906" s="419">
        <v>12582</v>
      </c>
      <c r="AH906" s="419">
        <v>10653</v>
      </c>
      <c r="AI906" s="419">
        <v>5055</v>
      </c>
      <c r="AJ906" s="419">
        <v>0</v>
      </c>
      <c r="AK906" s="419">
        <v>0</v>
      </c>
      <c r="AL906" s="380">
        <v>1.77E-5</v>
      </c>
      <c r="AM906" s="380"/>
      <c r="AN906" s="419">
        <v>0</v>
      </c>
      <c r="AO906" s="419">
        <v>0</v>
      </c>
      <c r="AP906" s="419">
        <v>0</v>
      </c>
      <c r="AQ906" s="419">
        <v>0</v>
      </c>
      <c r="AR906" s="419">
        <v>0</v>
      </c>
    </row>
    <row r="907" spans="1:44">
      <c r="A907" s="379">
        <v>99818</v>
      </c>
      <c r="B907" t="s">
        <v>1606</v>
      </c>
      <c r="C907" s="380">
        <v>2.4600000000000002E-5</v>
      </c>
      <c r="D907" s="380"/>
      <c r="E907" s="419">
        <v>-7398</v>
      </c>
      <c r="F907" s="419">
        <v>-11792</v>
      </c>
      <c r="G907" s="419">
        <v>-17405</v>
      </c>
      <c r="H907" s="419">
        <v>-16494</v>
      </c>
      <c r="I907" s="419">
        <v>0</v>
      </c>
      <c r="J907" s="380">
        <v>2.4600000000000002E-5</v>
      </c>
      <c r="K907" s="380"/>
      <c r="L907" s="419">
        <v>6022</v>
      </c>
      <c r="M907" s="419">
        <v>4159</v>
      </c>
      <c r="N907" s="419">
        <v>1821</v>
      </c>
      <c r="O907" s="419">
        <v>0</v>
      </c>
      <c r="P907" s="419">
        <v>0</v>
      </c>
      <c r="Q907" s="380">
        <v>2.4600000000000002E-5</v>
      </c>
      <c r="R907" s="380"/>
      <c r="S907" s="419">
        <v>-12358</v>
      </c>
      <c r="T907" s="419">
        <v>-12215</v>
      </c>
      <c r="U907" s="419">
        <v>-12833</v>
      </c>
      <c r="V907" s="419">
        <v>-16494</v>
      </c>
      <c r="W907" s="419">
        <v>0</v>
      </c>
      <c r="X907" s="380">
        <v>2.4600000000000002E-5</v>
      </c>
      <c r="Z907" s="419">
        <v>9855</v>
      </c>
      <c r="AA907" s="419">
        <v>6924</v>
      </c>
      <c r="AB907" s="419">
        <v>6923</v>
      </c>
      <c r="AC907" s="419">
        <v>0</v>
      </c>
      <c r="AD907" s="419">
        <v>0</v>
      </c>
      <c r="AE907" s="380">
        <v>2.4600000000000002E-5</v>
      </c>
      <c r="AF907" s="380"/>
      <c r="AG907" s="419">
        <v>2917</v>
      </c>
      <c r="AH907" s="419">
        <v>2915</v>
      </c>
      <c r="AI907" s="419">
        <v>0</v>
      </c>
      <c r="AJ907" s="419">
        <v>0</v>
      </c>
      <c r="AK907" s="419">
        <v>0</v>
      </c>
      <c r="AL907" s="380">
        <v>2.4600000000000002E-5</v>
      </c>
      <c r="AM907" s="380"/>
      <c r="AN907" s="419">
        <v>-13834</v>
      </c>
      <c r="AO907" s="419">
        <v>-13575</v>
      </c>
      <c r="AP907" s="419">
        <v>-13316</v>
      </c>
      <c r="AQ907" s="419">
        <v>0</v>
      </c>
      <c r="AR907" s="419">
        <v>0</v>
      </c>
    </row>
    <row r="908" spans="1:44">
      <c r="A908" s="379">
        <v>99821</v>
      </c>
      <c r="B908" t="s">
        <v>1607</v>
      </c>
      <c r="C908" s="380">
        <v>1.089E-4</v>
      </c>
      <c r="D908" s="380"/>
      <c r="E908" s="419">
        <v>27864</v>
      </c>
      <c r="F908" s="419">
        <v>5941</v>
      </c>
      <c r="G908" s="419">
        <v>-6652</v>
      </c>
      <c r="H908" s="419">
        <v>-73015</v>
      </c>
      <c r="I908" s="419">
        <v>0</v>
      </c>
      <c r="J908" s="380">
        <v>1.089E-4</v>
      </c>
      <c r="K908" s="380"/>
      <c r="L908" s="419">
        <v>26660</v>
      </c>
      <c r="M908" s="419">
        <v>18412</v>
      </c>
      <c r="N908" s="419">
        <v>8060</v>
      </c>
      <c r="O908" s="419">
        <v>0</v>
      </c>
      <c r="P908" s="419">
        <v>0</v>
      </c>
      <c r="Q908" s="380">
        <v>1.089E-4</v>
      </c>
      <c r="R908" s="380"/>
      <c r="S908" s="419">
        <v>-54708</v>
      </c>
      <c r="T908" s="419">
        <v>-54075</v>
      </c>
      <c r="U908" s="419">
        <v>-56808</v>
      </c>
      <c r="V908" s="419">
        <v>-73015</v>
      </c>
      <c r="W908" s="419">
        <v>0</v>
      </c>
      <c r="X908" s="380">
        <v>1.089E-4</v>
      </c>
      <c r="Z908" s="419">
        <v>43626</v>
      </c>
      <c r="AA908" s="419">
        <v>30649</v>
      </c>
      <c r="AB908" s="419">
        <v>30649</v>
      </c>
      <c r="AC908" s="419">
        <v>0</v>
      </c>
      <c r="AD908" s="419">
        <v>0</v>
      </c>
      <c r="AE908" s="380">
        <v>1.089E-4</v>
      </c>
      <c r="AF908" s="380"/>
      <c r="AG908" s="419">
        <v>14406</v>
      </c>
      <c r="AH908" s="419">
        <v>13075</v>
      </c>
      <c r="AI908" s="419">
        <v>11447</v>
      </c>
      <c r="AJ908" s="419">
        <v>0</v>
      </c>
      <c r="AK908" s="419">
        <v>0</v>
      </c>
      <c r="AL908" s="380">
        <v>1.089E-4</v>
      </c>
      <c r="AM908" s="380"/>
      <c r="AN908" s="419">
        <v>-2120</v>
      </c>
      <c r="AO908" s="419">
        <v>-2120</v>
      </c>
      <c r="AP908" s="419">
        <v>0</v>
      </c>
      <c r="AQ908" s="419">
        <v>0</v>
      </c>
      <c r="AR908" s="419">
        <v>0</v>
      </c>
    </row>
    <row r="909" spans="1:44">
      <c r="A909" s="379">
        <v>99831</v>
      </c>
      <c r="B909" t="s">
        <v>1608</v>
      </c>
      <c r="C909" s="380">
        <v>3.3500000000000001E-5</v>
      </c>
      <c r="D909" s="380"/>
      <c r="E909" s="419">
        <v>-4200</v>
      </c>
      <c r="F909" s="419">
        <v>-8739</v>
      </c>
      <c r="G909" s="419">
        <v>-15518</v>
      </c>
      <c r="H909" s="419">
        <v>-22461</v>
      </c>
      <c r="I909" s="419">
        <v>0</v>
      </c>
      <c r="J909" s="380">
        <v>3.3500000000000001E-5</v>
      </c>
      <c r="K909" s="380"/>
      <c r="L909" s="419">
        <v>8201</v>
      </c>
      <c r="M909" s="419">
        <v>5664</v>
      </c>
      <c r="N909" s="419">
        <v>2479</v>
      </c>
      <c r="O909" s="419">
        <v>0</v>
      </c>
      <c r="P909" s="419">
        <v>0</v>
      </c>
      <c r="Q909" s="380">
        <v>3.3500000000000001E-5</v>
      </c>
      <c r="R909" s="380"/>
      <c r="S909" s="419">
        <v>-16829</v>
      </c>
      <c r="T909" s="419">
        <v>-16635</v>
      </c>
      <c r="U909" s="419">
        <v>-17475</v>
      </c>
      <c r="V909" s="419">
        <v>-22461</v>
      </c>
      <c r="W909" s="419">
        <v>0</v>
      </c>
      <c r="X909" s="380">
        <v>3.3500000000000001E-5</v>
      </c>
      <c r="Z909" s="419">
        <v>13420</v>
      </c>
      <c r="AA909" s="419">
        <v>9428</v>
      </c>
      <c r="AB909" s="419">
        <v>9428</v>
      </c>
      <c r="AC909" s="419">
        <v>0</v>
      </c>
      <c r="AD909" s="419">
        <v>0</v>
      </c>
      <c r="AE909" s="380">
        <v>3.3500000000000001E-5</v>
      </c>
      <c r="AF909" s="380"/>
      <c r="AG909" s="419">
        <v>2758</v>
      </c>
      <c r="AH909" s="419">
        <v>2754</v>
      </c>
      <c r="AI909" s="419">
        <v>0</v>
      </c>
      <c r="AJ909" s="419">
        <v>0</v>
      </c>
      <c r="AK909" s="419">
        <v>0</v>
      </c>
      <c r="AL909" s="380">
        <v>3.3500000000000001E-5</v>
      </c>
      <c r="AM909" s="380"/>
      <c r="AN909" s="419">
        <v>-11750</v>
      </c>
      <c r="AO909" s="419">
        <v>-9950</v>
      </c>
      <c r="AP909" s="419">
        <v>-9950</v>
      </c>
      <c r="AQ909" s="419">
        <v>0</v>
      </c>
      <c r="AR909" s="419">
        <v>0</v>
      </c>
    </row>
    <row r="910" spans="1:44">
      <c r="A910" s="379">
        <v>99841</v>
      </c>
      <c r="B910" t="s">
        <v>1609</v>
      </c>
      <c r="C910" s="380">
        <v>5.5099999999999998E-5</v>
      </c>
      <c r="D910" s="380"/>
      <c r="E910" s="419">
        <v>21661</v>
      </c>
      <c r="F910" s="419">
        <v>12919</v>
      </c>
      <c r="G910" s="419">
        <v>-6630</v>
      </c>
      <c r="H910" s="419">
        <v>-36943</v>
      </c>
      <c r="I910" s="419">
        <v>0</v>
      </c>
      <c r="J910" s="380">
        <v>5.5099999999999998E-5</v>
      </c>
      <c r="K910" s="380"/>
      <c r="L910" s="419">
        <v>13489</v>
      </c>
      <c r="M910" s="419">
        <v>9316</v>
      </c>
      <c r="N910" s="419">
        <v>4078</v>
      </c>
      <c r="O910" s="419">
        <v>0</v>
      </c>
      <c r="P910" s="419">
        <v>0</v>
      </c>
      <c r="Q910" s="380">
        <v>5.5099999999999998E-5</v>
      </c>
      <c r="R910" s="380"/>
      <c r="S910" s="419">
        <v>-27680</v>
      </c>
      <c r="T910" s="419">
        <v>-27360</v>
      </c>
      <c r="U910" s="419">
        <v>-28743</v>
      </c>
      <c r="V910" s="419">
        <v>-36943</v>
      </c>
      <c r="W910" s="419">
        <v>0</v>
      </c>
      <c r="X910" s="380">
        <v>5.5099999999999998E-5</v>
      </c>
      <c r="Z910" s="419">
        <v>22073</v>
      </c>
      <c r="AA910" s="419">
        <v>15508</v>
      </c>
      <c r="AB910" s="419">
        <v>15508</v>
      </c>
      <c r="AC910" s="419">
        <v>0</v>
      </c>
      <c r="AD910" s="419">
        <v>0</v>
      </c>
      <c r="AE910" s="380">
        <v>5.5099999999999998E-5</v>
      </c>
      <c r="AF910" s="380"/>
      <c r="AG910" s="419">
        <v>17620</v>
      </c>
      <c r="AH910" s="419">
        <v>17618</v>
      </c>
      <c r="AI910" s="419">
        <v>2527</v>
      </c>
      <c r="AJ910" s="419">
        <v>0</v>
      </c>
      <c r="AK910" s="419">
        <v>0</v>
      </c>
      <c r="AL910" s="380">
        <v>5.5099999999999998E-5</v>
      </c>
      <c r="AM910" s="380"/>
      <c r="AN910" s="419">
        <v>-3841</v>
      </c>
      <c r="AO910" s="419">
        <v>-2163</v>
      </c>
      <c r="AP910" s="419">
        <v>0</v>
      </c>
      <c r="AQ910" s="419">
        <v>0</v>
      </c>
      <c r="AR910" s="419">
        <v>0</v>
      </c>
    </row>
    <row r="911" spans="1:44">
      <c r="A911" s="379">
        <v>99851</v>
      </c>
      <c r="B911" t="s">
        <v>1610</v>
      </c>
      <c r="C911" s="380">
        <v>7.6000000000000001E-6</v>
      </c>
      <c r="D911" s="380"/>
      <c r="E911" s="419">
        <v>-2871</v>
      </c>
      <c r="F911" s="419">
        <v>-3821</v>
      </c>
      <c r="G911" s="419">
        <v>-1435</v>
      </c>
      <c r="H911" s="419">
        <v>-5096</v>
      </c>
      <c r="I911" s="419">
        <v>0</v>
      </c>
      <c r="J911" s="380">
        <v>7.6000000000000001E-6</v>
      </c>
      <c r="K911" s="380"/>
      <c r="L911" s="419">
        <v>1861</v>
      </c>
      <c r="M911" s="419">
        <v>1285</v>
      </c>
      <c r="N911" s="419">
        <v>562</v>
      </c>
      <c r="O911" s="419">
        <v>0</v>
      </c>
      <c r="P911" s="419">
        <v>0</v>
      </c>
      <c r="Q911" s="380">
        <v>7.6000000000000001E-6</v>
      </c>
      <c r="R911" s="380"/>
      <c r="S911" s="419">
        <v>-3818</v>
      </c>
      <c r="T911" s="419">
        <v>-3774</v>
      </c>
      <c r="U911" s="419">
        <v>-3965</v>
      </c>
      <c r="V911" s="419">
        <v>-5096</v>
      </c>
      <c r="W911" s="419">
        <v>0</v>
      </c>
      <c r="X911" s="380">
        <v>7.6000000000000001E-6</v>
      </c>
      <c r="Z911" s="419">
        <v>3045</v>
      </c>
      <c r="AA911" s="419">
        <v>2139</v>
      </c>
      <c r="AB911" s="419">
        <v>2139</v>
      </c>
      <c r="AC911" s="419">
        <v>0</v>
      </c>
      <c r="AD911" s="419">
        <v>0</v>
      </c>
      <c r="AE911" s="380">
        <v>7.6000000000000001E-6</v>
      </c>
      <c r="AF911" s="380"/>
      <c r="AG911" s="419">
        <v>0</v>
      </c>
      <c r="AH911" s="419">
        <v>0</v>
      </c>
      <c r="AI911" s="419">
        <v>0</v>
      </c>
      <c r="AJ911" s="419">
        <v>0</v>
      </c>
      <c r="AK911" s="419">
        <v>0</v>
      </c>
      <c r="AL911" s="380">
        <v>7.6000000000000001E-6</v>
      </c>
      <c r="AM911" s="380"/>
      <c r="AN911" s="419">
        <v>-3959</v>
      </c>
      <c r="AO911" s="419">
        <v>-3471</v>
      </c>
      <c r="AP911" s="419">
        <v>-171</v>
      </c>
      <c r="AQ911" s="419">
        <v>0</v>
      </c>
      <c r="AR911" s="419">
        <v>0</v>
      </c>
    </row>
    <row r="912" spans="1:44">
      <c r="A912" s="379">
        <v>99901</v>
      </c>
      <c r="B912" t="s">
        <v>1611</v>
      </c>
      <c r="C912" s="380">
        <v>1.4748999999999999E-3</v>
      </c>
      <c r="D912" s="380"/>
      <c r="E912" s="419">
        <v>112355</v>
      </c>
      <c r="F912" s="419">
        <v>-146511</v>
      </c>
      <c r="G912" s="419">
        <v>-308585</v>
      </c>
      <c r="H912" s="419">
        <v>-988882</v>
      </c>
      <c r="I912" s="419">
        <v>0</v>
      </c>
      <c r="J912" s="380">
        <v>1.4748999999999999E-3</v>
      </c>
      <c r="K912" s="380"/>
      <c r="L912" s="419">
        <v>361067</v>
      </c>
      <c r="M912" s="419">
        <v>249364</v>
      </c>
      <c r="N912" s="419">
        <v>109160</v>
      </c>
      <c r="O912" s="419">
        <v>0</v>
      </c>
      <c r="P912" s="419">
        <v>0</v>
      </c>
      <c r="Q912" s="380">
        <v>1.4748999999999999E-3</v>
      </c>
      <c r="R912" s="380"/>
      <c r="S912" s="419">
        <v>-740943</v>
      </c>
      <c r="T912" s="419">
        <v>-732369</v>
      </c>
      <c r="U912" s="419">
        <v>-769383</v>
      </c>
      <c r="V912" s="419">
        <v>-988882</v>
      </c>
      <c r="W912" s="419">
        <v>0</v>
      </c>
      <c r="X912" s="380">
        <v>1.4748999999999999E-3</v>
      </c>
      <c r="Z912" s="419">
        <v>590848</v>
      </c>
      <c r="AA912" s="419">
        <v>415103</v>
      </c>
      <c r="AB912" s="419">
        <v>415100</v>
      </c>
      <c r="AC912" s="419">
        <v>0</v>
      </c>
      <c r="AD912" s="419">
        <v>0</v>
      </c>
      <c r="AE912" s="380">
        <v>1.4748999999999999E-3</v>
      </c>
      <c r="AF912" s="380"/>
      <c r="AG912" s="419">
        <v>0</v>
      </c>
      <c r="AH912" s="419">
        <v>0</v>
      </c>
      <c r="AI912" s="419">
        <v>0</v>
      </c>
      <c r="AJ912" s="419">
        <v>0</v>
      </c>
      <c r="AK912" s="419">
        <v>0</v>
      </c>
      <c r="AL912" s="380">
        <v>1.4748999999999999E-3</v>
      </c>
      <c r="AM912" s="380"/>
      <c r="AN912" s="419">
        <v>-98617</v>
      </c>
      <c r="AO912" s="419">
        <v>-78609</v>
      </c>
      <c r="AP912" s="419">
        <v>-63462</v>
      </c>
      <c r="AQ912" s="419">
        <v>0</v>
      </c>
      <c r="AR912" s="419">
        <v>0</v>
      </c>
    </row>
    <row r="913" spans="1:44">
      <c r="A913" s="379">
        <v>99911</v>
      </c>
      <c r="B913" t="s">
        <v>1612</v>
      </c>
      <c r="C913" s="380">
        <v>2.4499999999999999E-4</v>
      </c>
      <c r="D913" s="380"/>
      <c r="E913" s="419">
        <v>55459</v>
      </c>
      <c r="F913" s="419">
        <v>10875</v>
      </c>
      <c r="G913" s="419">
        <v>-32841</v>
      </c>
      <c r="H913" s="419">
        <v>-164266</v>
      </c>
      <c r="I913" s="419">
        <v>0</v>
      </c>
      <c r="J913" s="380">
        <v>2.4499999999999999E-4</v>
      </c>
      <c r="K913" s="380"/>
      <c r="L913" s="419">
        <v>59978</v>
      </c>
      <c r="M913" s="419">
        <v>41423</v>
      </c>
      <c r="N913" s="419">
        <v>18133</v>
      </c>
      <c r="O913" s="419">
        <v>0</v>
      </c>
      <c r="P913" s="419">
        <v>0</v>
      </c>
      <c r="Q913" s="380">
        <v>2.4499999999999999E-4</v>
      </c>
      <c r="R913" s="380"/>
      <c r="S913" s="419">
        <v>-123080</v>
      </c>
      <c r="T913" s="419">
        <v>-121656</v>
      </c>
      <c r="U913" s="419">
        <v>-127804</v>
      </c>
      <c r="V913" s="419">
        <v>-164266</v>
      </c>
      <c r="W913" s="419">
        <v>0</v>
      </c>
      <c r="X913" s="380">
        <v>2.4499999999999999E-4</v>
      </c>
      <c r="Z913" s="419">
        <v>98147</v>
      </c>
      <c r="AA913" s="419">
        <v>68954</v>
      </c>
      <c r="AB913" s="419">
        <v>68954</v>
      </c>
      <c r="AC913" s="419">
        <v>0</v>
      </c>
      <c r="AD913" s="419">
        <v>0</v>
      </c>
      <c r="AE913" s="380">
        <v>2.4499999999999999E-4</v>
      </c>
      <c r="AF913" s="380"/>
      <c r="AG913" s="419">
        <v>22153</v>
      </c>
      <c r="AH913" s="419">
        <v>22154</v>
      </c>
      <c r="AI913" s="419">
        <v>7876</v>
      </c>
      <c r="AJ913" s="419">
        <v>0</v>
      </c>
      <c r="AK913" s="419">
        <v>0</v>
      </c>
      <c r="AL913" s="380">
        <v>2.4499999999999999E-4</v>
      </c>
      <c r="AM913" s="380"/>
      <c r="AN913" s="419">
        <v>-1739</v>
      </c>
      <c r="AO913" s="419">
        <v>0</v>
      </c>
      <c r="AP913" s="419">
        <v>0</v>
      </c>
      <c r="AQ913" s="419">
        <v>0</v>
      </c>
      <c r="AR913" s="419">
        <v>0</v>
      </c>
    </row>
    <row r="914" spans="1:44">
      <c r="A914" s="379">
        <v>99921</v>
      </c>
      <c r="B914" t="s">
        <v>1613</v>
      </c>
      <c r="C914" s="380">
        <v>1.4080000000000001E-4</v>
      </c>
      <c r="D914" s="380"/>
      <c r="E914" s="419">
        <v>17409</v>
      </c>
      <c r="F914" s="419">
        <v>-5011</v>
      </c>
      <c r="G914" s="419">
        <v>-29214</v>
      </c>
      <c r="H914" s="419">
        <v>-94403</v>
      </c>
      <c r="I914" s="419">
        <v>0</v>
      </c>
      <c r="J914" s="380">
        <v>1.4080000000000001E-4</v>
      </c>
      <c r="K914" s="380"/>
      <c r="L914" s="419">
        <v>34469</v>
      </c>
      <c r="M914" s="419">
        <v>23805</v>
      </c>
      <c r="N914" s="419">
        <v>10421</v>
      </c>
      <c r="O914" s="419">
        <v>0</v>
      </c>
      <c r="P914" s="419">
        <v>0</v>
      </c>
      <c r="Q914" s="380">
        <v>1.4080000000000001E-4</v>
      </c>
      <c r="R914" s="380"/>
      <c r="S914" s="419">
        <v>-70733</v>
      </c>
      <c r="T914" s="419">
        <v>-69915</v>
      </c>
      <c r="U914" s="419">
        <v>-73448</v>
      </c>
      <c r="V914" s="419">
        <v>-94403</v>
      </c>
      <c r="W914" s="419">
        <v>0</v>
      </c>
      <c r="X914" s="380">
        <v>1.4080000000000001E-4</v>
      </c>
      <c r="Z914" s="419">
        <v>56405</v>
      </c>
      <c r="AA914" s="419">
        <v>39627</v>
      </c>
      <c r="AB914" s="419">
        <v>39627</v>
      </c>
      <c r="AC914" s="419">
        <v>0</v>
      </c>
      <c r="AD914" s="419">
        <v>0</v>
      </c>
      <c r="AE914" s="380">
        <v>1.4080000000000001E-4</v>
      </c>
      <c r="AF914" s="380"/>
      <c r="AG914" s="419">
        <v>7286</v>
      </c>
      <c r="AH914" s="419">
        <v>7286</v>
      </c>
      <c r="AI914" s="419">
        <v>0</v>
      </c>
      <c r="AJ914" s="419">
        <v>0</v>
      </c>
      <c r="AK914" s="419">
        <v>0</v>
      </c>
      <c r="AL914" s="380">
        <v>1.4080000000000001E-4</v>
      </c>
      <c r="AM914" s="380"/>
      <c r="AN914" s="419">
        <v>-10018</v>
      </c>
      <c r="AO914" s="419">
        <v>-5814</v>
      </c>
      <c r="AP914" s="419">
        <v>-5814</v>
      </c>
      <c r="AQ914" s="419">
        <v>0</v>
      </c>
      <c r="AR914" s="419">
        <v>0</v>
      </c>
    </row>
    <row r="915" spans="1:44">
      <c r="A915" s="379">
        <v>99931</v>
      </c>
      <c r="B915" t="s">
        <v>1614</v>
      </c>
      <c r="C915" s="380">
        <v>2.7399999999999999E-5</v>
      </c>
      <c r="D915" s="380"/>
      <c r="E915" s="419">
        <v>7836</v>
      </c>
      <c r="F915" s="419">
        <v>2255</v>
      </c>
      <c r="G915" s="419">
        <v>-3643</v>
      </c>
      <c r="H915" s="419">
        <v>-18371</v>
      </c>
      <c r="I915" s="419">
        <v>0</v>
      </c>
      <c r="J915" s="380">
        <v>2.7399999999999999E-5</v>
      </c>
      <c r="K915" s="380"/>
      <c r="L915" s="419">
        <v>6708</v>
      </c>
      <c r="M915" s="419">
        <v>4633</v>
      </c>
      <c r="N915" s="419">
        <v>2028</v>
      </c>
      <c r="O915" s="419">
        <v>0</v>
      </c>
      <c r="P915" s="419">
        <v>0</v>
      </c>
      <c r="Q915" s="380">
        <v>2.7399999999999999E-5</v>
      </c>
      <c r="R915" s="380"/>
      <c r="S915" s="419">
        <v>-13765</v>
      </c>
      <c r="T915" s="419">
        <v>-13606</v>
      </c>
      <c r="U915" s="419">
        <v>-14293</v>
      </c>
      <c r="V915" s="419">
        <v>-18371</v>
      </c>
      <c r="W915" s="419">
        <v>0</v>
      </c>
      <c r="X915" s="380">
        <v>2.7399999999999999E-5</v>
      </c>
      <c r="Z915" s="419">
        <v>10976</v>
      </c>
      <c r="AA915" s="419">
        <v>7712</v>
      </c>
      <c r="AB915" s="419">
        <v>7712</v>
      </c>
      <c r="AC915" s="419">
        <v>0</v>
      </c>
      <c r="AD915" s="419">
        <v>0</v>
      </c>
      <c r="AE915" s="380">
        <v>2.7399999999999999E-5</v>
      </c>
      <c r="AF915" s="380"/>
      <c r="AG915" s="419">
        <v>3917</v>
      </c>
      <c r="AH915" s="419">
        <v>3516</v>
      </c>
      <c r="AI915" s="419">
        <v>910</v>
      </c>
      <c r="AJ915" s="419">
        <v>0</v>
      </c>
      <c r="AK915" s="419">
        <v>0</v>
      </c>
      <c r="AL915" s="380">
        <v>2.7399999999999999E-5</v>
      </c>
      <c r="AM915" s="380"/>
      <c r="AN915" s="419">
        <v>0</v>
      </c>
      <c r="AO915" s="419">
        <v>0</v>
      </c>
      <c r="AP915" s="419">
        <v>0</v>
      </c>
      <c r="AQ915" s="419">
        <v>0</v>
      </c>
      <c r="AR915" s="419">
        <v>0</v>
      </c>
    </row>
    <row r="916" spans="1:44">
      <c r="A916" s="379">
        <v>99941</v>
      </c>
      <c r="B916" t="s">
        <v>1615</v>
      </c>
      <c r="C916" s="380">
        <v>5.52E-5</v>
      </c>
      <c r="D916" s="380"/>
      <c r="E916" s="419">
        <v>-4778</v>
      </c>
      <c r="F916" s="419">
        <v>-14711</v>
      </c>
      <c r="G916" s="419">
        <v>-11830</v>
      </c>
      <c r="H916" s="419">
        <v>-37010</v>
      </c>
      <c r="I916" s="419">
        <v>0</v>
      </c>
      <c r="J916" s="380">
        <v>5.52E-5</v>
      </c>
      <c r="K916" s="380"/>
      <c r="L916" s="419">
        <v>13513</v>
      </c>
      <c r="M916" s="419">
        <v>9333</v>
      </c>
      <c r="N916" s="419">
        <v>4085</v>
      </c>
      <c r="O916" s="419">
        <v>0</v>
      </c>
      <c r="P916" s="419">
        <v>0</v>
      </c>
      <c r="Q916" s="380">
        <v>5.52E-5</v>
      </c>
      <c r="R916" s="380"/>
      <c r="S916" s="419">
        <v>-27731</v>
      </c>
      <c r="T916" s="419">
        <v>-27410</v>
      </c>
      <c r="U916" s="419">
        <v>-28795</v>
      </c>
      <c r="V916" s="419">
        <v>-37010</v>
      </c>
      <c r="W916" s="419">
        <v>0</v>
      </c>
      <c r="X916" s="380">
        <v>5.52E-5</v>
      </c>
      <c r="Z916" s="419">
        <v>22113</v>
      </c>
      <c r="AA916" s="419">
        <v>15536</v>
      </c>
      <c r="AB916" s="419">
        <v>15536</v>
      </c>
      <c r="AC916" s="419">
        <v>0</v>
      </c>
      <c r="AD916" s="419">
        <v>0</v>
      </c>
      <c r="AE916" s="380">
        <v>5.52E-5</v>
      </c>
      <c r="AF916" s="380"/>
      <c r="AG916" s="419">
        <v>0</v>
      </c>
      <c r="AH916" s="419">
        <v>0</v>
      </c>
      <c r="AI916" s="419">
        <v>0</v>
      </c>
      <c r="AJ916" s="419">
        <v>0</v>
      </c>
      <c r="AK916" s="419">
        <v>0</v>
      </c>
      <c r="AL916" s="380">
        <v>5.52E-5</v>
      </c>
      <c r="AM916" s="380"/>
      <c r="AN916" s="419">
        <v>-12673</v>
      </c>
      <c r="AO916" s="419">
        <v>-12170</v>
      </c>
      <c r="AP916" s="419">
        <v>-2656</v>
      </c>
      <c r="AQ916" s="419">
        <v>0</v>
      </c>
      <c r="AR916" s="419">
        <v>0</v>
      </c>
    </row>
    <row r="917" spans="1:44">
      <c r="A917" s="379">
        <v>99991</v>
      </c>
      <c r="B917" t="s">
        <v>1616</v>
      </c>
      <c r="C917" s="380">
        <v>4.4989999999999999E-4</v>
      </c>
      <c r="D917" s="380"/>
      <c r="E917" s="419">
        <v>45030</v>
      </c>
      <c r="F917" s="419">
        <v>-38422</v>
      </c>
      <c r="G917" s="419">
        <v>-66388</v>
      </c>
      <c r="H917" s="419">
        <v>-301646</v>
      </c>
      <c r="I917" s="419">
        <v>0</v>
      </c>
      <c r="J917" s="380">
        <v>4.4989999999999999E-4</v>
      </c>
      <c r="K917" s="380"/>
      <c r="L917" s="419">
        <v>110139</v>
      </c>
      <c r="M917" s="419">
        <v>76065</v>
      </c>
      <c r="N917" s="419">
        <v>33298</v>
      </c>
      <c r="O917" s="419">
        <v>0</v>
      </c>
      <c r="P917" s="419">
        <v>0</v>
      </c>
      <c r="Q917" s="380">
        <v>4.4989999999999999E-4</v>
      </c>
      <c r="R917" s="380"/>
      <c r="S917" s="419">
        <v>-226015</v>
      </c>
      <c r="T917" s="419">
        <v>-223400</v>
      </c>
      <c r="U917" s="419">
        <v>-234691</v>
      </c>
      <c r="V917" s="419">
        <v>-301646</v>
      </c>
      <c r="W917" s="419">
        <v>0</v>
      </c>
      <c r="X917" s="380">
        <v>4.4989999999999999E-4</v>
      </c>
      <c r="Z917" s="419">
        <v>180231</v>
      </c>
      <c r="AA917" s="419">
        <v>126622</v>
      </c>
      <c r="AB917" s="419">
        <v>126621</v>
      </c>
      <c r="AC917" s="419">
        <v>0</v>
      </c>
      <c r="AD917" s="419">
        <v>0</v>
      </c>
      <c r="AE917" s="380">
        <v>4.4989999999999999E-4</v>
      </c>
      <c r="AF917" s="380"/>
      <c r="AG917" s="419">
        <v>8383</v>
      </c>
      <c r="AH917" s="419">
        <v>8383</v>
      </c>
      <c r="AI917" s="419">
        <v>8384</v>
      </c>
      <c r="AJ917" s="419">
        <v>0</v>
      </c>
      <c r="AK917" s="419">
        <v>0</v>
      </c>
      <c r="AL917" s="380">
        <v>4.4989999999999999E-4</v>
      </c>
      <c r="AM917" s="380"/>
      <c r="AN917" s="419">
        <v>-27708</v>
      </c>
      <c r="AO917" s="419">
        <v>-26092</v>
      </c>
      <c r="AP917" s="419">
        <v>0</v>
      </c>
      <c r="AQ917" s="419">
        <v>0</v>
      </c>
      <c r="AR917" s="419">
        <v>0</v>
      </c>
    </row>
    <row r="918" spans="1:44">
      <c r="A918" s="379">
        <v>99999</v>
      </c>
      <c r="B918" t="s">
        <v>1617</v>
      </c>
      <c r="C918" s="380">
        <v>9.9799999999999997E-4</v>
      </c>
      <c r="D918" s="380"/>
      <c r="E918" s="419">
        <v>241674</v>
      </c>
      <c r="F918" s="419">
        <v>29156</v>
      </c>
      <c r="G918" s="419">
        <v>-141060</v>
      </c>
      <c r="H918" s="419">
        <v>-669133</v>
      </c>
      <c r="I918" s="419">
        <v>0</v>
      </c>
      <c r="J918" s="380">
        <v>9.9799999999999997E-4</v>
      </c>
      <c r="K918" s="380"/>
      <c r="L918" s="419">
        <v>244318</v>
      </c>
      <c r="M918" s="419">
        <v>168734</v>
      </c>
      <c r="N918" s="419">
        <v>73864</v>
      </c>
      <c r="O918" s="419">
        <v>0</v>
      </c>
      <c r="P918" s="419">
        <v>0</v>
      </c>
      <c r="Q918" s="380">
        <v>9.9799999999999997E-4</v>
      </c>
      <c r="R918" s="380"/>
      <c r="S918" s="419">
        <v>-501363</v>
      </c>
      <c r="T918" s="419">
        <v>-495562</v>
      </c>
      <c r="U918" s="419">
        <v>-520608</v>
      </c>
      <c r="V918" s="419">
        <v>-669133</v>
      </c>
      <c r="W918" s="419">
        <v>0</v>
      </c>
      <c r="X918" s="380">
        <v>9.9799999999999997E-4</v>
      </c>
      <c r="Z918" s="419">
        <v>399801</v>
      </c>
      <c r="AA918" s="419">
        <v>280882</v>
      </c>
      <c r="AB918" s="419">
        <v>280880</v>
      </c>
      <c r="AC918" s="419">
        <v>0</v>
      </c>
      <c r="AD918" s="419">
        <v>0</v>
      </c>
      <c r="AE918" s="380">
        <v>9.9799999999999997E-4</v>
      </c>
      <c r="AF918" s="380"/>
      <c r="AG918" s="419">
        <v>98918</v>
      </c>
      <c r="AH918" s="419">
        <v>75102</v>
      </c>
      <c r="AI918" s="419">
        <v>24804</v>
      </c>
      <c r="AJ918" s="419">
        <v>0</v>
      </c>
      <c r="AK918" s="419">
        <v>0</v>
      </c>
      <c r="AL918" s="380">
        <v>9.9799999999999997E-4</v>
      </c>
      <c r="AM918" s="380"/>
      <c r="AN918" s="419">
        <v>0</v>
      </c>
      <c r="AO918" s="419">
        <v>0</v>
      </c>
      <c r="AP918" s="419">
        <v>0</v>
      </c>
      <c r="AQ918" s="419">
        <v>0</v>
      </c>
      <c r="AR918" s="419">
        <v>0</v>
      </c>
    </row>
    <row r="919" spans="1:44">
      <c r="C919" s="380"/>
      <c r="D919" s="380"/>
      <c r="E919" s="419"/>
      <c r="F919" s="419"/>
      <c r="G919" s="419"/>
      <c r="H919" s="419"/>
      <c r="I919" s="419"/>
      <c r="J919" s="380"/>
      <c r="K919" s="380"/>
      <c r="L919" s="419"/>
      <c r="M919" s="419"/>
      <c r="N919" s="419"/>
      <c r="O919" s="419"/>
      <c r="Q919" s="380"/>
      <c r="R919" s="380"/>
      <c r="S919" s="419"/>
      <c r="T919" s="419"/>
      <c r="U919" s="419"/>
      <c r="V919" s="419"/>
      <c r="W919" s="419"/>
      <c r="X919" s="380"/>
      <c r="Z919" s="419"/>
      <c r="AA919" s="419"/>
      <c r="AB919" s="419"/>
      <c r="AC919" s="419"/>
      <c r="AD919" s="419"/>
      <c r="AE919" s="380"/>
      <c r="AF919" s="380"/>
      <c r="AG919" s="419"/>
      <c r="AH919" s="419"/>
      <c r="AI919" s="419"/>
      <c r="AJ919" s="419"/>
      <c r="AK919" s="419"/>
      <c r="AL919" s="380"/>
      <c r="AM919" s="380"/>
      <c r="AN919" s="419"/>
      <c r="AO919" s="419"/>
      <c r="AP919" s="419"/>
      <c r="AQ919" s="419"/>
      <c r="AR919" s="419"/>
    </row>
    <row r="920" spans="1:44">
      <c r="C920" s="380">
        <f>SUM(C7:C919)</f>
        <v>1.0000000000000004</v>
      </c>
      <c r="D920" s="380"/>
      <c r="E920" s="420">
        <f>SUM(E7:E919)</f>
        <v>143116385</v>
      </c>
      <c r="F920" s="420">
        <f t="shared" ref="F920:H920" si="1">SUM(F7:F919)</f>
        <v>-45978117</v>
      </c>
      <c r="G920" s="420">
        <f t="shared" si="1"/>
        <v>-166196023</v>
      </c>
      <c r="H920" s="420">
        <f t="shared" si="1"/>
        <v>-670474008</v>
      </c>
      <c r="I920" s="419">
        <v>0</v>
      </c>
      <c r="J920" s="380">
        <f>SUM(J7:J919)</f>
        <v>1.0000000000000004</v>
      </c>
      <c r="K920" s="380"/>
      <c r="L920" s="420">
        <f>SUM(L7:L919)</f>
        <v>244807986</v>
      </c>
      <c r="M920" s="420">
        <f t="shared" ref="M920:N920" si="2">SUM(M7:M919)</f>
        <v>169071979</v>
      </c>
      <c r="N920" s="420">
        <f t="shared" si="2"/>
        <v>74012007</v>
      </c>
      <c r="O920" s="419">
        <v>0</v>
      </c>
      <c r="Q920" s="380">
        <f>SUM(Q7:Q919)</f>
        <v>1.0000000000000004</v>
      </c>
      <c r="R920" s="380"/>
      <c r="S920" s="420">
        <f>SUM(S7:S919)</f>
        <v>-502367976</v>
      </c>
      <c r="T920" s="420">
        <f t="shared" ref="T920:V920" si="3">SUM(T7:T919)</f>
        <v>-496555005</v>
      </c>
      <c r="U920" s="420">
        <f t="shared" si="3"/>
        <v>-521651015</v>
      </c>
      <c r="V920" s="420">
        <f t="shared" si="3"/>
        <v>-670474008</v>
      </c>
      <c r="W920" s="419">
        <v>0</v>
      </c>
      <c r="X920" s="380">
        <f>SUM(X7:X919)</f>
        <v>1.0000000000000004</v>
      </c>
      <c r="Z920" s="420">
        <f>SUM(Z7:Z919)</f>
        <v>400602003</v>
      </c>
      <c r="AA920" s="420">
        <f t="shared" ref="AA920:AB920" si="4">SUM(AA7:AA919)</f>
        <v>281445003</v>
      </c>
      <c r="AB920" s="420">
        <f t="shared" si="4"/>
        <v>281442998</v>
      </c>
      <c r="AC920" s="419">
        <v>0</v>
      </c>
      <c r="AD920" s="419">
        <v>0</v>
      </c>
      <c r="AE920" s="380">
        <f>SUM(AE7:AE919)</f>
        <v>1.0000000000000004</v>
      </c>
      <c r="AF920" s="380"/>
      <c r="AG920" s="420">
        <f>SUM(AG7:AG919)</f>
        <v>27795704</v>
      </c>
      <c r="AH920" s="420">
        <f t="shared" ref="AH920:AI920" si="5">SUM(AH7:AH919)</f>
        <v>24193338</v>
      </c>
      <c r="AI920" s="420">
        <f t="shared" si="5"/>
        <v>12382210</v>
      </c>
      <c r="AJ920" s="419">
        <v>0</v>
      </c>
      <c r="AK920" s="419">
        <v>0</v>
      </c>
      <c r="AL920" s="380">
        <f>SUM(AL7:AL919)</f>
        <v>1.0000000000000004</v>
      </c>
      <c r="AM920" s="380"/>
      <c r="AN920" s="420">
        <f>SUM(AN7:AN919)</f>
        <v>-27795592</v>
      </c>
      <c r="AO920" s="420">
        <f t="shared" ref="AO920:AP920" si="6">SUM(AO7:AO919)</f>
        <v>-24193280</v>
      </c>
      <c r="AP920" s="420">
        <f t="shared" si="6"/>
        <v>-12382223</v>
      </c>
      <c r="AQ920" s="419">
        <v>0</v>
      </c>
      <c r="AR920" s="419">
        <v>0</v>
      </c>
    </row>
    <row r="921" spans="1:44">
      <c r="C921" s="380"/>
      <c r="D921" s="380"/>
      <c r="E921" s="419"/>
      <c r="F921" s="419"/>
      <c r="G921" s="419"/>
      <c r="H921" s="419"/>
      <c r="I921" s="419"/>
    </row>
    <row r="922" spans="1:44">
      <c r="C922" s="380"/>
      <c r="D922" s="380"/>
      <c r="E922" s="419"/>
      <c r="F922" s="419"/>
      <c r="G922" s="419"/>
      <c r="H922" s="419"/>
      <c r="I922" s="419"/>
    </row>
    <row r="923" spans="1:44">
      <c r="C923" s="380"/>
      <c r="D923" s="380"/>
      <c r="E923" s="419"/>
      <c r="F923" s="419"/>
      <c r="G923" s="419"/>
      <c r="H923" s="419"/>
      <c r="I923" s="419"/>
    </row>
    <row r="924" spans="1:44">
      <c r="C924" s="380"/>
      <c r="D924" s="380"/>
      <c r="E924" s="419"/>
      <c r="F924" s="419"/>
      <c r="G924" s="419"/>
      <c r="H924" s="419"/>
      <c r="I924" s="419"/>
    </row>
    <row r="925" spans="1:44">
      <c r="C925" s="380"/>
      <c r="D925" s="380"/>
      <c r="E925" s="419"/>
      <c r="F925" s="419"/>
      <c r="G925" s="419"/>
      <c r="H925" s="419"/>
      <c r="I925" s="419"/>
    </row>
    <row r="926" spans="1:44">
      <c r="C926" s="380"/>
      <c r="D926" s="380"/>
      <c r="E926" s="419"/>
      <c r="F926" s="419"/>
      <c r="G926" s="419"/>
      <c r="H926" s="419"/>
      <c r="I926" s="419"/>
    </row>
    <row r="927" spans="1:44">
      <c r="C927" s="380"/>
      <c r="D927" s="380"/>
      <c r="E927" s="419"/>
      <c r="F927" s="419"/>
      <c r="G927" s="419"/>
      <c r="H927" s="419"/>
      <c r="I927" s="419"/>
    </row>
    <row r="928" spans="1:44">
      <c r="C928" s="380"/>
      <c r="D928" s="380"/>
      <c r="E928" s="419"/>
      <c r="F928" s="419"/>
      <c r="G928" s="419"/>
      <c r="H928" s="419"/>
      <c r="I928" s="419"/>
    </row>
    <row r="929" spans="3:9">
      <c r="C929" s="380"/>
      <c r="D929" s="380"/>
      <c r="E929" s="419"/>
      <c r="F929" s="419"/>
      <c r="G929" s="419"/>
      <c r="H929" s="419"/>
      <c r="I929" s="419"/>
    </row>
    <row r="930" spans="3:9">
      <c r="C930" s="380"/>
      <c r="D930" s="380"/>
      <c r="E930" s="419"/>
      <c r="F930" s="419"/>
      <c r="G930" s="419"/>
      <c r="H930" s="419"/>
      <c r="I930" s="419"/>
    </row>
    <row r="931" spans="3:9">
      <c r="E931" s="419"/>
      <c r="F931" s="419"/>
      <c r="G931" s="419"/>
      <c r="H931" s="419" t="s">
        <v>1930</v>
      </c>
      <c r="I931" s="419"/>
    </row>
    <row r="932" spans="3:9">
      <c r="C932" s="343"/>
      <c r="E932" s="419"/>
      <c r="F932" s="419"/>
      <c r="G932" s="419"/>
      <c r="H932" s="419"/>
      <c r="I932" s="419"/>
    </row>
    <row r="933" spans="3:9">
      <c r="C933" s="421"/>
      <c r="E933" s="419"/>
      <c r="F933" s="419"/>
      <c r="G933" s="419"/>
      <c r="H933" s="419"/>
      <c r="I933" s="419"/>
    </row>
  </sheetData>
  <sheetProtection algorithmName="SHA-512" hashValue="5ccsUhxYjzMsJMxVdVkPw6VVgHj+oGbrKrIRksA5L61tyAheR1cN4ANV0Ap9wZLrc0wc4nxbU4QGxoffac8Ptg==" saltValue="UUQAGkAiPWaxJ8cpk0eDv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3D956-7972-497D-940E-FF704E46DA63}">
  <dimension ref="A1:CN923"/>
  <sheetViews>
    <sheetView topLeftCell="G1" zoomScaleNormal="100" workbookViewId="0">
      <pane ySplit="7" topLeftCell="A8" activePane="bottomLeft" state="frozen"/>
      <selection pane="bottomLeft" activeCell="G1" sqref="G1"/>
    </sheetView>
  </sheetViews>
  <sheetFormatPr defaultColWidth="9.140625" defaultRowHeight="15"/>
  <cols>
    <col min="1" max="1" width="15.28515625" style="376" customWidth="1"/>
    <col min="2" max="2" width="55.5703125" style="210" bestFit="1" customWidth="1"/>
    <col min="3" max="3" width="13.85546875" style="210" customWidth="1"/>
    <col min="4" max="4" width="4.140625" customWidth="1"/>
    <col min="5" max="9" width="19.28515625" style="210" customWidth="1"/>
    <col min="10" max="10" width="4.140625" style="210" customWidth="1"/>
    <col min="11" max="15" width="19.28515625" style="210" customWidth="1"/>
    <col min="16" max="16" width="4.140625" style="210" customWidth="1"/>
    <col min="17" max="21" width="19.28515625" style="210" customWidth="1"/>
    <col min="22" max="22" width="4.140625" style="210" customWidth="1"/>
    <col min="23" max="27" width="19.28515625" style="210" customWidth="1"/>
    <col min="28" max="28" width="4.140625" style="210" customWidth="1"/>
    <col min="29" max="33" width="19.28515625" style="210" customWidth="1"/>
    <col min="34" max="34" width="4.140625" style="210" customWidth="1"/>
    <col min="35" max="39" width="19.28515625" style="210" customWidth="1"/>
    <col min="40" max="16384" width="9.140625" style="210"/>
  </cols>
  <sheetData>
    <row r="1" spans="1:92" s="47" customFormat="1">
      <c r="A1" s="96"/>
      <c r="B1" s="47" t="s">
        <v>715</v>
      </c>
      <c r="C1" s="343">
        <f>SUM(C8:C923)</f>
        <v>1.0000000000000002</v>
      </c>
      <c r="D1"/>
      <c r="E1" s="249">
        <f>SUM(E9:E919)</f>
        <v>344174210</v>
      </c>
      <c r="F1" s="249">
        <f>SUM(F9:F919)</f>
        <v>458020984</v>
      </c>
      <c r="G1" s="249">
        <f>SUM(G9:G919)</f>
        <v>268949594</v>
      </c>
      <c r="H1" s="249">
        <f>SUM(H9:H919)</f>
        <v>148815184</v>
      </c>
      <c r="I1" s="53">
        <v>0</v>
      </c>
      <c r="J1" s="246"/>
      <c r="K1" s="247">
        <f>SUM(K9:K919)</f>
        <v>185400506</v>
      </c>
      <c r="L1" s="247">
        <f>SUM(L9:L919)</f>
        <v>170786175</v>
      </c>
      <c r="M1" s="247">
        <f>SUM(M9:M919)</f>
        <v>95053641</v>
      </c>
      <c r="N1" s="247">
        <f>SUM(N9:N919)</f>
        <v>0</v>
      </c>
      <c r="O1" s="247">
        <f>SUM(O9:O919)</f>
        <v>0</v>
      </c>
      <c r="Q1" s="247">
        <f>SUM(Q9:Q919)</f>
        <v>12018444</v>
      </c>
      <c r="R1" s="247">
        <f>SUM(R9:R919)</f>
        <v>168097287</v>
      </c>
      <c r="S1" s="247">
        <f>SUM(S9:S919)</f>
        <v>173910030</v>
      </c>
      <c r="T1" s="247">
        <f>SUM(T9:T919)</f>
        <v>148815184</v>
      </c>
      <c r="U1" s="247">
        <f>SUM(U9:U919)</f>
        <v>0</v>
      </c>
      <c r="W1" s="248">
        <f>SUM(W9:W919)</f>
        <v>146769289</v>
      </c>
      <c r="X1" s="248">
        <f>SUM(X9:X919)</f>
        <v>119151545</v>
      </c>
      <c r="Y1" s="248">
        <f>SUM(Y9:Y919)</f>
        <v>0</v>
      </c>
      <c r="Z1" s="248">
        <f>SUM(Z9:Z919)</f>
        <v>0</v>
      </c>
      <c r="AA1" s="248">
        <f>SUM(AA9:AA919)</f>
        <v>0</v>
      </c>
      <c r="AB1" s="249"/>
      <c r="AC1" s="248">
        <f>SUM(AC9:AC919)</f>
        <v>18775436</v>
      </c>
      <c r="AD1" s="248">
        <f>SUM(AD9:AD919)</f>
        <v>15399142</v>
      </c>
      <c r="AE1" s="248">
        <f>SUM(AE9:AE919)</f>
        <v>11796776</v>
      </c>
      <c r="AF1" s="248">
        <f>SUM(AF9:AF919)</f>
        <v>0</v>
      </c>
      <c r="AG1" s="248">
        <f>SUM(AG9:AG919)</f>
        <v>0</v>
      </c>
      <c r="AH1" s="248"/>
      <c r="AI1" s="248">
        <f>SUM(AI9:AI919)</f>
        <v>-18789465</v>
      </c>
      <c r="AJ1" s="248">
        <f>SUM(AJ9:AJ919)</f>
        <v>-15413165</v>
      </c>
      <c r="AK1" s="248">
        <f>SUM(AK9:AK919)</f>
        <v>-11810853</v>
      </c>
      <c r="AL1" s="248">
        <f>SUM(AL9:AL919)</f>
        <v>0</v>
      </c>
      <c r="AM1" s="248">
        <f>SUM(AM9:AM919)</f>
        <v>-15413165</v>
      </c>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row>
    <row r="2" spans="1:92">
      <c r="A2" s="74" t="str">
        <f>+'Changes to Update Template '!C47</f>
        <v>Measurement date 6/30/2021</v>
      </c>
    </row>
    <row r="3" spans="1:92">
      <c r="C3" s="378">
        <f>+C1-1</f>
        <v>0</v>
      </c>
      <c r="E3" s="365"/>
    </row>
    <row r="4" spans="1:92">
      <c r="E4" s="365"/>
    </row>
    <row r="5" spans="1:92">
      <c r="E5" s="365"/>
    </row>
    <row r="6" spans="1:92" s="47" customFormat="1">
      <c r="A6" s="96"/>
      <c r="D6"/>
      <c r="E6" s="377">
        <v>2021</v>
      </c>
      <c r="F6" s="377">
        <v>2022</v>
      </c>
      <c r="G6" s="377">
        <v>2023</v>
      </c>
      <c r="H6" s="377">
        <v>2024</v>
      </c>
      <c r="I6" s="377">
        <v>2025</v>
      </c>
      <c r="K6" s="7">
        <v>2020</v>
      </c>
      <c r="L6" s="7">
        <v>2021</v>
      </c>
      <c r="M6" s="7">
        <v>2022</v>
      </c>
      <c r="N6" s="7">
        <v>2023</v>
      </c>
      <c r="O6" s="7">
        <v>2024</v>
      </c>
      <c r="Q6" s="7">
        <v>2020</v>
      </c>
      <c r="R6" s="7">
        <v>2021</v>
      </c>
      <c r="S6" s="7">
        <v>2022</v>
      </c>
      <c r="T6" s="7">
        <v>2023</v>
      </c>
      <c r="U6" s="7">
        <v>2024</v>
      </c>
      <c r="W6" s="7">
        <v>2020</v>
      </c>
      <c r="X6" s="7">
        <v>2021</v>
      </c>
      <c r="Y6" s="7">
        <v>2022</v>
      </c>
      <c r="Z6" s="7">
        <v>2023</v>
      </c>
      <c r="AA6" s="7">
        <v>2024</v>
      </c>
      <c r="AC6" s="7">
        <v>2020</v>
      </c>
      <c r="AD6" s="7">
        <v>2021</v>
      </c>
      <c r="AE6" s="7">
        <v>2022</v>
      </c>
      <c r="AF6" s="7">
        <v>2023</v>
      </c>
      <c r="AG6" s="7">
        <v>2024</v>
      </c>
      <c r="AI6" s="7">
        <v>2020</v>
      </c>
      <c r="AJ6" s="7">
        <v>2021</v>
      </c>
      <c r="AK6" s="7">
        <v>2022</v>
      </c>
      <c r="AL6" s="7">
        <v>2023</v>
      </c>
      <c r="AM6" s="7">
        <v>2024</v>
      </c>
    </row>
    <row r="7" spans="1:92" ht="90">
      <c r="A7" s="7" t="s">
        <v>0</v>
      </c>
      <c r="B7" s="7" t="s">
        <v>1</v>
      </c>
      <c r="C7" s="7" t="s">
        <v>263</v>
      </c>
      <c r="E7" s="7" t="s">
        <v>702</v>
      </c>
      <c r="F7" s="7" t="s">
        <v>702</v>
      </c>
      <c r="G7" s="7" t="s">
        <v>702</v>
      </c>
      <c r="H7" s="7" t="s">
        <v>702</v>
      </c>
      <c r="I7" s="7" t="s">
        <v>702</v>
      </c>
      <c r="K7" s="7" t="s">
        <v>5</v>
      </c>
      <c r="L7" s="7" t="s">
        <v>5</v>
      </c>
      <c r="M7" s="7" t="s">
        <v>5</v>
      </c>
      <c r="N7" s="7" t="s">
        <v>5</v>
      </c>
      <c r="O7" s="7" t="s">
        <v>5</v>
      </c>
      <c r="Q7" s="7" t="s">
        <v>6</v>
      </c>
      <c r="R7" s="7" t="s">
        <v>6</v>
      </c>
      <c r="S7" s="7" t="s">
        <v>6</v>
      </c>
      <c r="T7" s="7" t="s">
        <v>6</v>
      </c>
      <c r="U7" s="7" t="s">
        <v>6</v>
      </c>
      <c r="W7" s="7" t="s">
        <v>7</v>
      </c>
      <c r="X7" s="7" t="s">
        <v>7</v>
      </c>
      <c r="Y7" s="7" t="s">
        <v>7</v>
      </c>
      <c r="Z7" s="7" t="s">
        <v>7</v>
      </c>
      <c r="AA7" s="7" t="s">
        <v>7</v>
      </c>
      <c r="AC7" s="7" t="s">
        <v>703</v>
      </c>
      <c r="AD7" s="7" t="s">
        <v>703</v>
      </c>
      <c r="AE7" s="7" t="s">
        <v>703</v>
      </c>
      <c r="AF7" s="7" t="s">
        <v>703</v>
      </c>
      <c r="AG7" s="7" t="s">
        <v>703</v>
      </c>
      <c r="AI7" s="7" t="s">
        <v>704</v>
      </c>
      <c r="AJ7" s="7" t="s">
        <v>704</v>
      </c>
      <c r="AK7" s="7" t="s">
        <v>704</v>
      </c>
      <c r="AL7" s="7" t="s">
        <v>704</v>
      </c>
      <c r="AM7" s="7" t="s">
        <v>704</v>
      </c>
    </row>
    <row r="8" spans="1:92">
      <c r="A8" s="358">
        <v>91414</v>
      </c>
      <c r="B8" s="359" t="s">
        <v>3614</v>
      </c>
      <c r="C8" s="360">
        <v>2.4499999999999999E-5</v>
      </c>
      <c r="E8" s="2">
        <v>14618</v>
      </c>
      <c r="F8" s="2">
        <v>17407</v>
      </c>
      <c r="G8" s="2">
        <v>12775</v>
      </c>
      <c r="H8" s="2">
        <v>3646</v>
      </c>
      <c r="I8" s="2">
        <v>0</v>
      </c>
      <c r="J8" s="2"/>
      <c r="K8" s="2">
        <v>4543</v>
      </c>
      <c r="L8" s="2">
        <v>4184</v>
      </c>
      <c r="M8" s="2">
        <v>2329</v>
      </c>
      <c r="N8" s="2">
        <v>0</v>
      </c>
      <c r="O8" s="2">
        <v>0</v>
      </c>
      <c r="P8" s="2"/>
      <c r="Q8" s="2">
        <v>294</v>
      </c>
      <c r="R8" s="2">
        <v>4119</v>
      </c>
      <c r="S8" s="2">
        <v>4261</v>
      </c>
      <c r="T8" s="2">
        <v>3646</v>
      </c>
      <c r="U8" s="2">
        <v>0</v>
      </c>
      <c r="V8" s="2"/>
      <c r="W8" s="2">
        <v>3596</v>
      </c>
      <c r="X8" s="2">
        <v>2919</v>
      </c>
      <c r="Y8" s="2">
        <v>0</v>
      </c>
      <c r="Z8" s="2">
        <v>0</v>
      </c>
      <c r="AA8" s="2">
        <v>0</v>
      </c>
      <c r="AB8" s="2"/>
      <c r="AC8" s="2">
        <v>6185</v>
      </c>
      <c r="AD8" s="2">
        <v>6185</v>
      </c>
      <c r="AE8" s="2">
        <v>6185</v>
      </c>
      <c r="AF8" s="2">
        <v>0</v>
      </c>
      <c r="AG8" s="2">
        <v>0</v>
      </c>
      <c r="AH8" s="2"/>
      <c r="AI8" s="2">
        <v>0</v>
      </c>
      <c r="AJ8" s="2">
        <v>0</v>
      </c>
      <c r="AK8" s="2">
        <v>0</v>
      </c>
      <c r="AL8" s="2">
        <v>0</v>
      </c>
      <c r="AM8" s="2">
        <v>0</v>
      </c>
    </row>
    <row r="9" spans="1:92">
      <c r="A9" s="346">
        <v>92414</v>
      </c>
      <c r="B9" s="347" t="s">
        <v>70</v>
      </c>
      <c r="C9" s="371"/>
      <c r="E9" s="2">
        <v>0</v>
      </c>
      <c r="F9" s="2">
        <v>0</v>
      </c>
      <c r="G9" s="2">
        <v>0</v>
      </c>
      <c r="H9" s="2">
        <v>0</v>
      </c>
      <c r="I9" s="2">
        <v>0</v>
      </c>
      <c r="J9" s="2"/>
      <c r="K9" s="2">
        <v>0</v>
      </c>
      <c r="L9" s="2">
        <v>0</v>
      </c>
      <c r="M9" s="2">
        <v>0</v>
      </c>
      <c r="N9" s="2">
        <v>0</v>
      </c>
      <c r="O9" s="2">
        <v>0</v>
      </c>
      <c r="P9" s="2"/>
      <c r="Q9" s="2">
        <v>0</v>
      </c>
      <c r="R9" s="2">
        <v>0</v>
      </c>
      <c r="S9" s="2">
        <v>0</v>
      </c>
      <c r="T9" s="2">
        <v>0</v>
      </c>
      <c r="U9" s="2">
        <v>0</v>
      </c>
      <c r="V9" s="2"/>
      <c r="W9" s="2">
        <v>0</v>
      </c>
      <c r="X9" s="2">
        <v>0</v>
      </c>
      <c r="Y9" s="2">
        <v>0</v>
      </c>
      <c r="Z9" s="2">
        <v>0</v>
      </c>
      <c r="AA9" s="2">
        <v>0</v>
      </c>
      <c r="AB9" s="2"/>
      <c r="AC9" s="2">
        <v>0</v>
      </c>
      <c r="AD9" s="2">
        <v>0</v>
      </c>
      <c r="AE9" s="2">
        <v>0</v>
      </c>
      <c r="AF9" s="2">
        <v>0</v>
      </c>
      <c r="AG9" s="2">
        <v>0</v>
      </c>
      <c r="AH9" s="2"/>
      <c r="AI9" s="2">
        <v>0</v>
      </c>
      <c r="AJ9" s="2">
        <v>0</v>
      </c>
      <c r="AK9" s="2">
        <v>0</v>
      </c>
      <c r="AL9" s="2">
        <v>0</v>
      </c>
      <c r="AM9" s="2">
        <v>0</v>
      </c>
    </row>
    <row r="10" spans="1:92">
      <c r="A10" s="346">
        <v>92608</v>
      </c>
      <c r="B10" s="347" t="s">
        <v>3718</v>
      </c>
      <c r="C10" s="371"/>
      <c r="E10" s="2">
        <v>0</v>
      </c>
      <c r="F10" s="2">
        <v>0</v>
      </c>
      <c r="G10" s="2">
        <v>0</v>
      </c>
      <c r="H10" s="2">
        <v>0</v>
      </c>
      <c r="I10" s="2">
        <v>0</v>
      </c>
      <c r="J10" s="2"/>
      <c r="K10" s="2">
        <v>0</v>
      </c>
      <c r="L10" s="2">
        <v>0</v>
      </c>
      <c r="M10" s="2">
        <v>0</v>
      </c>
      <c r="N10" s="2">
        <v>0</v>
      </c>
      <c r="O10" s="2">
        <v>0</v>
      </c>
      <c r="P10" s="2"/>
      <c r="Q10" s="2">
        <v>0</v>
      </c>
      <c r="R10" s="2">
        <v>0</v>
      </c>
      <c r="S10" s="2">
        <v>0</v>
      </c>
      <c r="T10" s="2">
        <v>0</v>
      </c>
      <c r="U10" s="2">
        <v>0</v>
      </c>
      <c r="V10" s="2"/>
      <c r="W10" s="2">
        <v>0</v>
      </c>
      <c r="X10" s="2">
        <v>0</v>
      </c>
      <c r="Y10" s="2">
        <v>0</v>
      </c>
      <c r="Z10" s="2">
        <v>0</v>
      </c>
      <c r="AA10" s="2">
        <v>0</v>
      </c>
      <c r="AB10" s="2"/>
      <c r="AC10" s="2">
        <v>0</v>
      </c>
      <c r="AD10" s="2">
        <v>0</v>
      </c>
      <c r="AE10" s="2">
        <v>0</v>
      </c>
      <c r="AF10" s="2">
        <v>0</v>
      </c>
      <c r="AG10" s="2">
        <v>0</v>
      </c>
      <c r="AH10" s="2"/>
      <c r="AI10" s="2">
        <v>0</v>
      </c>
      <c r="AJ10" s="2">
        <v>0</v>
      </c>
      <c r="AK10" s="2">
        <v>0</v>
      </c>
      <c r="AL10" s="2">
        <v>0</v>
      </c>
      <c r="AM10" s="2">
        <v>0</v>
      </c>
    </row>
    <row r="11" spans="1:92">
      <c r="A11" s="362">
        <v>93027</v>
      </c>
      <c r="B11" s="363" t="s">
        <v>1005</v>
      </c>
      <c r="C11" s="371"/>
      <c r="E11" s="2">
        <v>-3601</v>
      </c>
      <c r="F11" s="2">
        <v>-3720</v>
      </c>
      <c r="G11" s="2">
        <v>-3192</v>
      </c>
      <c r="H11" s="2">
        <v>0</v>
      </c>
      <c r="I11" s="2">
        <v>0</v>
      </c>
      <c r="J11" s="2"/>
      <c r="K11" s="2">
        <v>0</v>
      </c>
      <c r="L11" s="2">
        <v>0</v>
      </c>
      <c r="M11" s="2">
        <v>0</v>
      </c>
      <c r="N11" s="2">
        <v>0</v>
      </c>
      <c r="O11" s="2">
        <v>0</v>
      </c>
      <c r="P11" s="2"/>
      <c r="Q11" s="2">
        <v>0</v>
      </c>
      <c r="R11" s="2">
        <v>0</v>
      </c>
      <c r="S11" s="2">
        <v>0</v>
      </c>
      <c r="T11" s="2">
        <v>0</v>
      </c>
      <c r="U11" s="2">
        <v>0</v>
      </c>
      <c r="V11" s="2"/>
      <c r="W11" s="2">
        <v>0</v>
      </c>
      <c r="X11" s="2">
        <v>0</v>
      </c>
      <c r="Y11" s="2">
        <v>0</v>
      </c>
      <c r="Z11" s="2">
        <v>0</v>
      </c>
      <c r="AA11" s="2">
        <v>0</v>
      </c>
      <c r="AB11" s="2"/>
      <c r="AC11" s="2">
        <v>119</v>
      </c>
      <c r="AD11" s="2">
        <v>0</v>
      </c>
      <c r="AE11" s="2">
        <v>0</v>
      </c>
      <c r="AF11" s="2">
        <v>0</v>
      </c>
      <c r="AG11" s="2">
        <v>0</v>
      </c>
      <c r="AH11" s="2"/>
      <c r="AI11" s="2">
        <v>-3720</v>
      </c>
      <c r="AJ11" s="2">
        <v>-3720</v>
      </c>
      <c r="AK11" s="2">
        <v>-3192</v>
      </c>
      <c r="AL11" s="2">
        <v>0</v>
      </c>
      <c r="AM11" s="2">
        <v>-3720</v>
      </c>
    </row>
    <row r="12" spans="1:92">
      <c r="A12" s="362">
        <v>93028</v>
      </c>
      <c r="B12" s="363" t="s">
        <v>3615</v>
      </c>
      <c r="C12" s="360">
        <v>2.16E-5</v>
      </c>
      <c r="E12" s="2">
        <v>17256</v>
      </c>
      <c r="F12" s="2">
        <v>19715</v>
      </c>
      <c r="G12" s="2">
        <v>15631</v>
      </c>
      <c r="H12" s="2">
        <v>3215</v>
      </c>
      <c r="I12" s="2">
        <v>0</v>
      </c>
      <c r="J12" s="2"/>
      <c r="K12" s="2">
        <v>4005</v>
      </c>
      <c r="L12" s="2">
        <v>3689</v>
      </c>
      <c r="M12" s="2">
        <v>2053</v>
      </c>
      <c r="N12" s="2">
        <v>0</v>
      </c>
      <c r="O12" s="2">
        <v>0</v>
      </c>
      <c r="P12" s="2"/>
      <c r="Q12" s="2">
        <v>260</v>
      </c>
      <c r="R12" s="2">
        <v>3631</v>
      </c>
      <c r="S12" s="2">
        <v>3757</v>
      </c>
      <c r="T12" s="2">
        <v>3215</v>
      </c>
      <c r="U12" s="2">
        <v>0</v>
      </c>
      <c r="V12" s="2"/>
      <c r="W12" s="2">
        <v>3170</v>
      </c>
      <c r="X12" s="2">
        <v>2574</v>
      </c>
      <c r="Y12" s="2">
        <v>0</v>
      </c>
      <c r="Z12" s="2">
        <v>0</v>
      </c>
      <c r="AA12" s="2">
        <v>0</v>
      </c>
      <c r="AB12" s="2"/>
      <c r="AC12" s="2">
        <v>9821</v>
      </c>
      <c r="AD12" s="2">
        <v>9821</v>
      </c>
      <c r="AE12" s="2">
        <v>9821</v>
      </c>
      <c r="AF12" s="2">
        <v>0</v>
      </c>
      <c r="AG12" s="2">
        <v>0</v>
      </c>
      <c r="AH12" s="2"/>
      <c r="AI12" s="2">
        <v>0</v>
      </c>
      <c r="AJ12" s="2">
        <v>0</v>
      </c>
      <c r="AK12" s="2">
        <v>0</v>
      </c>
      <c r="AL12" s="2">
        <v>0</v>
      </c>
      <c r="AM12" s="2">
        <v>0</v>
      </c>
    </row>
    <row r="13" spans="1:92">
      <c r="A13" s="346">
        <v>93202</v>
      </c>
      <c r="B13" s="347" t="s">
        <v>1022</v>
      </c>
      <c r="C13" s="371"/>
      <c r="E13" s="2">
        <v>0</v>
      </c>
      <c r="F13" s="2">
        <v>0</v>
      </c>
      <c r="G13" s="2">
        <v>0</v>
      </c>
      <c r="H13" s="2">
        <v>0</v>
      </c>
      <c r="I13" s="2">
        <v>0</v>
      </c>
      <c r="J13" s="2"/>
      <c r="K13" s="2">
        <v>0</v>
      </c>
      <c r="L13" s="2">
        <v>0</v>
      </c>
      <c r="M13" s="2">
        <v>0</v>
      </c>
      <c r="N13" s="2">
        <v>0</v>
      </c>
      <c r="O13" s="2">
        <v>0</v>
      </c>
      <c r="P13" s="2"/>
      <c r="Q13" s="2">
        <v>0</v>
      </c>
      <c r="R13" s="2">
        <v>0</v>
      </c>
      <c r="S13" s="2">
        <v>0</v>
      </c>
      <c r="T13" s="2">
        <v>0</v>
      </c>
      <c r="U13" s="2">
        <v>0</v>
      </c>
      <c r="V13" s="2"/>
      <c r="W13" s="2">
        <v>0</v>
      </c>
      <c r="X13" s="2">
        <v>0</v>
      </c>
      <c r="Y13" s="2">
        <v>0</v>
      </c>
      <c r="Z13" s="2">
        <v>0</v>
      </c>
      <c r="AA13" s="2">
        <v>0</v>
      </c>
      <c r="AB13" s="2"/>
      <c r="AC13" s="2">
        <v>0</v>
      </c>
      <c r="AD13" s="2">
        <v>0</v>
      </c>
      <c r="AE13" s="2">
        <v>0</v>
      </c>
      <c r="AF13" s="2">
        <v>0</v>
      </c>
      <c r="AG13" s="2">
        <v>0</v>
      </c>
      <c r="AH13" s="2"/>
      <c r="AI13" s="2">
        <v>0</v>
      </c>
      <c r="AJ13" s="2">
        <v>0</v>
      </c>
      <c r="AK13" s="2">
        <v>0</v>
      </c>
      <c r="AL13" s="2">
        <v>0</v>
      </c>
      <c r="AM13" s="2">
        <v>0</v>
      </c>
    </row>
    <row r="14" spans="1:92">
      <c r="A14" s="362">
        <v>93402</v>
      </c>
      <c r="B14" s="363" t="s">
        <v>1041</v>
      </c>
      <c r="C14" s="371"/>
      <c r="E14" s="2">
        <v>-18552</v>
      </c>
      <c r="F14" s="2">
        <v>-18172</v>
      </c>
      <c r="G14" s="2">
        <v>-16204</v>
      </c>
      <c r="H14" s="2">
        <v>0</v>
      </c>
      <c r="I14" s="2">
        <v>0</v>
      </c>
      <c r="J14" s="2"/>
      <c r="K14" s="2">
        <v>0</v>
      </c>
      <c r="L14" s="2">
        <v>0</v>
      </c>
      <c r="M14" s="2">
        <v>0</v>
      </c>
      <c r="N14" s="2">
        <v>0</v>
      </c>
      <c r="O14" s="2">
        <v>0</v>
      </c>
      <c r="P14" s="2"/>
      <c r="Q14" s="2">
        <v>0</v>
      </c>
      <c r="R14" s="2">
        <v>0</v>
      </c>
      <c r="S14" s="2">
        <v>0</v>
      </c>
      <c r="T14" s="2">
        <v>0</v>
      </c>
      <c r="U14" s="2">
        <v>0</v>
      </c>
      <c r="V14" s="2"/>
      <c r="W14" s="2">
        <v>0</v>
      </c>
      <c r="X14" s="2">
        <v>0</v>
      </c>
      <c r="Y14" s="2">
        <v>0</v>
      </c>
      <c r="Z14" s="2">
        <v>0</v>
      </c>
      <c r="AA14" s="2">
        <v>0</v>
      </c>
      <c r="AB14" s="2"/>
      <c r="AC14" s="2">
        <v>0</v>
      </c>
      <c r="AD14" s="2">
        <v>0</v>
      </c>
      <c r="AE14" s="2">
        <v>0</v>
      </c>
      <c r="AF14" s="2">
        <v>0</v>
      </c>
      <c r="AG14" s="2">
        <v>0</v>
      </c>
      <c r="AH14" s="2"/>
      <c r="AI14" s="2">
        <v>-18552</v>
      </c>
      <c r="AJ14" s="2">
        <v>-18172</v>
      </c>
      <c r="AK14" s="2">
        <v>-16204</v>
      </c>
      <c r="AL14" s="2">
        <v>0</v>
      </c>
      <c r="AM14" s="2">
        <v>-18172</v>
      </c>
    </row>
    <row r="15" spans="1:92">
      <c r="A15" s="346">
        <v>93408</v>
      </c>
      <c r="B15" s="347" t="s">
        <v>1043</v>
      </c>
      <c r="C15" s="371"/>
      <c r="E15" s="2">
        <v>-303143</v>
      </c>
      <c r="F15" s="2">
        <v>0</v>
      </c>
      <c r="G15" s="2">
        <v>0</v>
      </c>
      <c r="H15" s="2">
        <v>0</v>
      </c>
      <c r="I15" s="2">
        <v>0</v>
      </c>
      <c r="J15" s="2"/>
      <c r="K15" s="2">
        <v>0</v>
      </c>
      <c r="L15" s="2">
        <v>0</v>
      </c>
      <c r="M15" s="2">
        <v>0</v>
      </c>
      <c r="N15" s="2">
        <v>0</v>
      </c>
      <c r="O15" s="2">
        <v>0</v>
      </c>
      <c r="P15" s="2"/>
      <c r="Q15" s="2">
        <v>0</v>
      </c>
      <c r="R15" s="2">
        <v>0</v>
      </c>
      <c r="S15" s="2">
        <v>0</v>
      </c>
      <c r="T15" s="2">
        <v>0</v>
      </c>
      <c r="U15" s="2">
        <v>0</v>
      </c>
      <c r="V15" s="2"/>
      <c r="W15" s="2">
        <v>0</v>
      </c>
      <c r="X15" s="2">
        <v>0</v>
      </c>
      <c r="Y15" s="2">
        <v>0</v>
      </c>
      <c r="Z15" s="2">
        <v>0</v>
      </c>
      <c r="AA15" s="2">
        <v>0</v>
      </c>
      <c r="AB15" s="2"/>
      <c r="AC15" s="2">
        <v>0</v>
      </c>
      <c r="AD15" s="2">
        <v>0</v>
      </c>
      <c r="AE15" s="2">
        <v>0</v>
      </c>
      <c r="AF15" s="2">
        <v>0</v>
      </c>
      <c r="AG15" s="2">
        <v>0</v>
      </c>
      <c r="AH15" s="2"/>
      <c r="AI15" s="2">
        <v>-303143</v>
      </c>
      <c r="AJ15" s="2">
        <v>0</v>
      </c>
      <c r="AK15" s="2">
        <v>0</v>
      </c>
      <c r="AL15" s="2">
        <v>0</v>
      </c>
      <c r="AM15" s="2">
        <v>0</v>
      </c>
    </row>
    <row r="16" spans="1:92">
      <c r="A16" s="346">
        <v>94402</v>
      </c>
      <c r="B16" s="347" t="s">
        <v>1139</v>
      </c>
      <c r="C16" s="371"/>
      <c r="E16" s="2">
        <v>0</v>
      </c>
      <c r="F16" s="2">
        <v>0</v>
      </c>
      <c r="G16" s="2">
        <v>0</v>
      </c>
      <c r="H16" s="2">
        <v>0</v>
      </c>
      <c r="I16" s="2">
        <v>0</v>
      </c>
      <c r="J16" s="2"/>
      <c r="K16" s="2">
        <v>0</v>
      </c>
      <c r="L16" s="2">
        <v>0</v>
      </c>
      <c r="M16" s="2">
        <v>0</v>
      </c>
      <c r="N16" s="2">
        <v>0</v>
      </c>
      <c r="O16" s="2">
        <v>0</v>
      </c>
      <c r="P16" s="2"/>
      <c r="Q16" s="2">
        <v>0</v>
      </c>
      <c r="R16" s="2">
        <v>0</v>
      </c>
      <c r="S16" s="2">
        <v>0</v>
      </c>
      <c r="T16" s="2">
        <v>0</v>
      </c>
      <c r="U16" s="2">
        <v>0</v>
      </c>
      <c r="V16" s="2"/>
      <c r="W16" s="2">
        <v>0</v>
      </c>
      <c r="X16" s="2">
        <v>0</v>
      </c>
      <c r="Y16" s="2">
        <v>0</v>
      </c>
      <c r="Z16" s="2">
        <v>0</v>
      </c>
      <c r="AA16" s="2">
        <v>0</v>
      </c>
      <c r="AB16" s="2"/>
      <c r="AC16" s="2">
        <v>0</v>
      </c>
      <c r="AD16" s="2">
        <v>0</v>
      </c>
      <c r="AE16" s="2">
        <v>0</v>
      </c>
      <c r="AF16" s="2">
        <v>0</v>
      </c>
      <c r="AG16" s="2">
        <v>0</v>
      </c>
      <c r="AH16" s="2"/>
      <c r="AI16" s="2">
        <v>0</v>
      </c>
      <c r="AJ16" s="2">
        <v>0</v>
      </c>
      <c r="AK16" s="2">
        <v>0</v>
      </c>
      <c r="AL16" s="2">
        <v>0</v>
      </c>
      <c r="AM16" s="2">
        <v>0</v>
      </c>
    </row>
    <row r="17" spans="1:39">
      <c r="A17" s="346">
        <v>94512</v>
      </c>
      <c r="B17" s="347" t="s">
        <v>1151</v>
      </c>
      <c r="C17" s="371"/>
      <c r="E17" s="2">
        <v>0</v>
      </c>
      <c r="F17" s="2">
        <v>0</v>
      </c>
      <c r="G17" s="2">
        <v>0</v>
      </c>
      <c r="H17" s="2">
        <v>0</v>
      </c>
      <c r="I17" s="2">
        <v>0</v>
      </c>
      <c r="J17" s="2"/>
      <c r="K17" s="2">
        <v>0</v>
      </c>
      <c r="L17" s="2">
        <v>0</v>
      </c>
      <c r="M17" s="2">
        <v>0</v>
      </c>
      <c r="N17" s="2">
        <v>0</v>
      </c>
      <c r="O17" s="2">
        <v>0</v>
      </c>
      <c r="P17" s="2"/>
      <c r="Q17" s="2">
        <v>0</v>
      </c>
      <c r="R17" s="2">
        <v>0</v>
      </c>
      <c r="S17" s="2">
        <v>0</v>
      </c>
      <c r="T17" s="2">
        <v>0</v>
      </c>
      <c r="U17" s="2">
        <v>0</v>
      </c>
      <c r="V17" s="2"/>
      <c r="W17" s="2">
        <v>0</v>
      </c>
      <c r="X17" s="2">
        <v>0</v>
      </c>
      <c r="Y17" s="2">
        <v>0</v>
      </c>
      <c r="Z17" s="2">
        <v>0</v>
      </c>
      <c r="AA17" s="2">
        <v>0</v>
      </c>
      <c r="AB17" s="2"/>
      <c r="AC17" s="2">
        <v>0</v>
      </c>
      <c r="AD17" s="2">
        <v>0</v>
      </c>
      <c r="AE17" s="2">
        <v>0</v>
      </c>
      <c r="AF17" s="2">
        <v>0</v>
      </c>
      <c r="AG17" s="2">
        <v>0</v>
      </c>
      <c r="AH17" s="2"/>
      <c r="AI17" s="2">
        <v>0</v>
      </c>
      <c r="AJ17" s="2">
        <v>0</v>
      </c>
      <c r="AK17" s="2">
        <v>0</v>
      </c>
      <c r="AL17" s="2">
        <v>0</v>
      </c>
      <c r="AM17" s="2">
        <v>0</v>
      </c>
    </row>
    <row r="18" spans="1:39">
      <c r="A18" s="362">
        <v>94606</v>
      </c>
      <c r="B18" s="363" t="s">
        <v>1162</v>
      </c>
      <c r="C18" s="371"/>
      <c r="E18" s="2">
        <v>-51492</v>
      </c>
      <c r="F18" s="2">
        <v>-46761</v>
      </c>
      <c r="G18" s="2">
        <v>-40452</v>
      </c>
      <c r="H18" s="2">
        <v>0</v>
      </c>
      <c r="I18" s="2">
        <v>0</v>
      </c>
      <c r="J18" s="2"/>
      <c r="K18" s="2">
        <v>0</v>
      </c>
      <c r="L18" s="2">
        <v>0</v>
      </c>
      <c r="M18" s="2">
        <v>0</v>
      </c>
      <c r="N18" s="2">
        <v>0</v>
      </c>
      <c r="O18" s="2">
        <v>0</v>
      </c>
      <c r="P18" s="2"/>
      <c r="Q18" s="2">
        <v>0</v>
      </c>
      <c r="R18" s="2">
        <v>0</v>
      </c>
      <c r="S18" s="2">
        <v>0</v>
      </c>
      <c r="T18" s="2">
        <v>0</v>
      </c>
      <c r="U18" s="2">
        <v>0</v>
      </c>
      <c r="V18" s="2"/>
      <c r="W18" s="2">
        <v>0</v>
      </c>
      <c r="X18" s="2">
        <v>0</v>
      </c>
      <c r="Y18" s="2">
        <v>0</v>
      </c>
      <c r="Z18" s="2">
        <v>0</v>
      </c>
      <c r="AA18" s="2">
        <v>0</v>
      </c>
      <c r="AB18" s="2"/>
      <c r="AC18" s="2">
        <v>0</v>
      </c>
      <c r="AD18" s="2">
        <v>0</v>
      </c>
      <c r="AE18" s="2">
        <v>0</v>
      </c>
      <c r="AF18" s="2">
        <v>0</v>
      </c>
      <c r="AG18" s="2">
        <v>0</v>
      </c>
      <c r="AH18" s="2"/>
      <c r="AI18" s="2">
        <v>-51492</v>
      </c>
      <c r="AJ18" s="2">
        <v>-46761</v>
      </c>
      <c r="AK18" s="2">
        <v>-40452</v>
      </c>
      <c r="AL18" s="2">
        <v>0</v>
      </c>
      <c r="AM18" s="2">
        <v>-46761</v>
      </c>
    </row>
    <row r="19" spans="1:39">
      <c r="A19" s="346">
        <v>95412</v>
      </c>
      <c r="B19" s="347" t="s">
        <v>3719</v>
      </c>
      <c r="C19" s="371"/>
      <c r="E19" s="2">
        <v>0</v>
      </c>
      <c r="F19" s="2">
        <v>0</v>
      </c>
      <c r="G19" s="2">
        <v>0</v>
      </c>
      <c r="H19" s="2">
        <v>0</v>
      </c>
      <c r="I19" s="2">
        <v>0</v>
      </c>
      <c r="J19" s="2"/>
      <c r="K19" s="2">
        <v>0</v>
      </c>
      <c r="L19" s="2">
        <v>0</v>
      </c>
      <c r="M19" s="2">
        <v>0</v>
      </c>
      <c r="N19" s="2">
        <v>0</v>
      </c>
      <c r="O19" s="2">
        <v>0</v>
      </c>
      <c r="P19" s="2"/>
      <c r="Q19" s="2">
        <v>0</v>
      </c>
      <c r="R19" s="2">
        <v>0</v>
      </c>
      <c r="S19" s="2">
        <v>0</v>
      </c>
      <c r="T19" s="2">
        <v>0</v>
      </c>
      <c r="U19" s="2">
        <v>0</v>
      </c>
      <c r="V19" s="2"/>
      <c r="W19" s="2">
        <v>0</v>
      </c>
      <c r="X19" s="2">
        <v>0</v>
      </c>
      <c r="Y19" s="2">
        <v>0</v>
      </c>
      <c r="Z19" s="2">
        <v>0</v>
      </c>
      <c r="AA19" s="2">
        <v>0</v>
      </c>
      <c r="AB19" s="2"/>
      <c r="AC19" s="2">
        <v>0</v>
      </c>
      <c r="AD19" s="2">
        <v>0</v>
      </c>
      <c r="AE19" s="2">
        <v>0</v>
      </c>
      <c r="AF19" s="2">
        <v>0</v>
      </c>
      <c r="AG19" s="2">
        <v>0</v>
      </c>
      <c r="AH19" s="2"/>
      <c r="AI19" s="2">
        <v>0</v>
      </c>
      <c r="AJ19" s="2">
        <v>0</v>
      </c>
      <c r="AK19" s="2">
        <v>0</v>
      </c>
      <c r="AL19" s="2">
        <v>0</v>
      </c>
      <c r="AM19" s="2">
        <v>0</v>
      </c>
    </row>
    <row r="20" spans="1:39">
      <c r="A20" s="346">
        <v>97010</v>
      </c>
      <c r="B20" s="347" t="s">
        <v>1351</v>
      </c>
      <c r="C20" s="371"/>
      <c r="E20" s="2">
        <v>0</v>
      </c>
      <c r="F20" s="2">
        <v>0</v>
      </c>
      <c r="G20" s="2">
        <v>0</v>
      </c>
      <c r="H20" s="2">
        <v>0</v>
      </c>
      <c r="I20" s="2">
        <v>0</v>
      </c>
      <c r="J20" s="2"/>
      <c r="K20" s="2">
        <v>0</v>
      </c>
      <c r="L20" s="2">
        <v>0</v>
      </c>
      <c r="M20" s="2">
        <v>0</v>
      </c>
      <c r="N20" s="2">
        <v>0</v>
      </c>
      <c r="O20" s="2">
        <v>0</v>
      </c>
      <c r="P20" s="2"/>
      <c r="Q20" s="2">
        <v>0</v>
      </c>
      <c r="R20" s="2">
        <v>0</v>
      </c>
      <c r="S20" s="2">
        <v>0</v>
      </c>
      <c r="T20" s="2">
        <v>0</v>
      </c>
      <c r="U20" s="2">
        <v>0</v>
      </c>
      <c r="V20" s="2"/>
      <c r="W20" s="2">
        <v>0</v>
      </c>
      <c r="X20" s="2">
        <v>0</v>
      </c>
      <c r="Y20" s="2">
        <v>0</v>
      </c>
      <c r="Z20" s="2">
        <v>0</v>
      </c>
      <c r="AA20" s="2">
        <v>0</v>
      </c>
      <c r="AB20" s="2"/>
      <c r="AC20" s="2">
        <v>0</v>
      </c>
      <c r="AD20" s="2">
        <v>0</v>
      </c>
      <c r="AE20" s="2">
        <v>0</v>
      </c>
      <c r="AF20" s="2">
        <v>0</v>
      </c>
      <c r="AG20" s="2">
        <v>0</v>
      </c>
      <c r="AH20" s="2"/>
      <c r="AI20" s="2">
        <v>0</v>
      </c>
      <c r="AJ20" s="2">
        <v>0</v>
      </c>
      <c r="AK20" s="2">
        <v>0</v>
      </c>
      <c r="AL20" s="2">
        <v>0</v>
      </c>
      <c r="AM20" s="2">
        <v>0</v>
      </c>
    </row>
    <row r="21" spans="1:39">
      <c r="A21" s="346">
        <v>97302</v>
      </c>
      <c r="B21" s="347" t="s">
        <v>3617</v>
      </c>
      <c r="C21" s="360">
        <v>4.1300000000000001E-5</v>
      </c>
      <c r="E21" s="2">
        <v>37528</v>
      </c>
      <c r="F21" s="2">
        <v>42231</v>
      </c>
      <c r="G21" s="2">
        <v>34422</v>
      </c>
      <c r="H21" s="2">
        <v>6146</v>
      </c>
      <c r="I21" s="2">
        <v>0</v>
      </c>
      <c r="J21" s="2"/>
      <c r="K21" s="2">
        <v>7657</v>
      </c>
      <c r="L21" s="2">
        <v>7054</v>
      </c>
      <c r="M21" s="2">
        <v>3926</v>
      </c>
      <c r="N21" s="2">
        <v>0</v>
      </c>
      <c r="O21" s="2">
        <v>0</v>
      </c>
      <c r="P21" s="2"/>
      <c r="Q21" s="2">
        <v>496</v>
      </c>
      <c r="R21" s="2">
        <v>6943</v>
      </c>
      <c r="S21" s="2">
        <v>7183</v>
      </c>
      <c r="T21" s="2">
        <v>6146</v>
      </c>
      <c r="U21" s="2">
        <v>0</v>
      </c>
      <c r="V21" s="2"/>
      <c r="W21" s="2">
        <v>6062</v>
      </c>
      <c r="X21" s="2">
        <v>4921</v>
      </c>
      <c r="Y21" s="2">
        <v>0</v>
      </c>
      <c r="Z21" s="2">
        <v>0</v>
      </c>
      <c r="AA21" s="2">
        <v>0</v>
      </c>
      <c r="AB21" s="2"/>
      <c r="AC21" s="2">
        <v>23313</v>
      </c>
      <c r="AD21" s="2">
        <v>23313</v>
      </c>
      <c r="AE21" s="2">
        <v>23313</v>
      </c>
      <c r="AF21" s="2">
        <v>0</v>
      </c>
      <c r="AG21" s="2">
        <v>0</v>
      </c>
      <c r="AH21" s="2"/>
      <c r="AI21" s="2">
        <v>0</v>
      </c>
      <c r="AJ21" s="2">
        <v>0</v>
      </c>
      <c r="AK21" s="2">
        <v>0</v>
      </c>
      <c r="AL21" s="2">
        <v>0</v>
      </c>
      <c r="AM21" s="2">
        <v>0</v>
      </c>
    </row>
    <row r="22" spans="1:39">
      <c r="A22" s="346">
        <v>97491</v>
      </c>
      <c r="B22" s="347" t="s">
        <v>3720</v>
      </c>
      <c r="C22" s="371"/>
      <c r="E22" s="2">
        <v>0</v>
      </c>
      <c r="F22" s="2">
        <v>0</v>
      </c>
      <c r="G22" s="2">
        <v>0</v>
      </c>
      <c r="H22" s="2">
        <v>0</v>
      </c>
      <c r="I22" s="2">
        <v>0</v>
      </c>
      <c r="J22" s="2"/>
      <c r="K22" s="2">
        <v>0</v>
      </c>
      <c r="L22" s="2">
        <v>0</v>
      </c>
      <c r="M22" s="2">
        <v>0</v>
      </c>
      <c r="N22" s="2">
        <v>0</v>
      </c>
      <c r="O22" s="2">
        <v>0</v>
      </c>
      <c r="P22" s="2"/>
      <c r="Q22" s="2">
        <v>0</v>
      </c>
      <c r="R22" s="2">
        <v>0</v>
      </c>
      <c r="S22" s="2">
        <v>0</v>
      </c>
      <c r="T22" s="2">
        <v>0</v>
      </c>
      <c r="U22" s="2">
        <v>0</v>
      </c>
      <c r="V22" s="2"/>
      <c r="W22" s="2">
        <v>0</v>
      </c>
      <c r="X22" s="2">
        <v>0</v>
      </c>
      <c r="Y22" s="2">
        <v>0</v>
      </c>
      <c r="Z22" s="2">
        <v>0</v>
      </c>
      <c r="AA22" s="2">
        <v>0</v>
      </c>
      <c r="AB22" s="2"/>
      <c r="AC22" s="2">
        <v>0</v>
      </c>
      <c r="AD22" s="2">
        <v>0</v>
      </c>
      <c r="AE22" s="2">
        <v>0</v>
      </c>
      <c r="AF22" s="2">
        <v>0</v>
      </c>
      <c r="AG22" s="2">
        <v>0</v>
      </c>
      <c r="AH22" s="2"/>
      <c r="AI22" s="2">
        <v>0</v>
      </c>
      <c r="AJ22" s="2">
        <v>0</v>
      </c>
      <c r="AK22" s="2">
        <v>0</v>
      </c>
      <c r="AL22" s="2">
        <v>0</v>
      </c>
      <c r="AM22" s="2">
        <v>0</v>
      </c>
    </row>
    <row r="23" spans="1:39">
      <c r="A23" s="369">
        <v>71786</v>
      </c>
      <c r="B23" s="347" t="s">
        <v>1491</v>
      </c>
      <c r="C23" s="371"/>
      <c r="E23" s="2">
        <v>0</v>
      </c>
      <c r="F23" s="2">
        <v>0</v>
      </c>
      <c r="G23" s="2">
        <v>0</v>
      </c>
      <c r="H23" s="2">
        <v>0</v>
      </c>
      <c r="I23" s="2">
        <v>0</v>
      </c>
      <c r="J23" s="2"/>
      <c r="K23" s="2">
        <v>0</v>
      </c>
      <c r="L23" s="2">
        <v>0</v>
      </c>
      <c r="M23" s="2">
        <v>0</v>
      </c>
      <c r="N23" s="2">
        <v>0</v>
      </c>
      <c r="O23" s="2">
        <v>0</v>
      </c>
      <c r="P23" s="2"/>
      <c r="Q23" s="2">
        <v>0</v>
      </c>
      <c r="R23" s="2">
        <v>0</v>
      </c>
      <c r="S23" s="2">
        <v>0</v>
      </c>
      <c r="T23" s="2">
        <v>0</v>
      </c>
      <c r="U23" s="2">
        <v>0</v>
      </c>
      <c r="V23" s="2"/>
      <c r="W23" s="2">
        <v>0</v>
      </c>
      <c r="X23" s="2">
        <v>0</v>
      </c>
      <c r="Y23" s="2">
        <v>0</v>
      </c>
      <c r="Z23" s="2">
        <v>0</v>
      </c>
      <c r="AA23" s="2">
        <v>0</v>
      </c>
      <c r="AB23" s="2"/>
      <c r="AC23" s="2">
        <v>0</v>
      </c>
      <c r="AD23" s="2">
        <v>0</v>
      </c>
      <c r="AE23" s="2">
        <v>0</v>
      </c>
      <c r="AF23" s="2">
        <v>0</v>
      </c>
      <c r="AG23" s="2">
        <v>0</v>
      </c>
      <c r="AH23" s="2"/>
      <c r="AI23" s="2">
        <v>-6946</v>
      </c>
      <c r="AJ23" s="2">
        <v>-1825</v>
      </c>
      <c r="AK23" s="2">
        <v>0</v>
      </c>
      <c r="AL23" s="2">
        <v>0</v>
      </c>
      <c r="AM23" s="2">
        <v>-1825</v>
      </c>
    </row>
    <row r="24" spans="1:39">
      <c r="A24" s="370">
        <v>98414</v>
      </c>
      <c r="B24" s="344" t="s">
        <v>1491</v>
      </c>
      <c r="C24" s="360">
        <v>3.5099999999999999E-5</v>
      </c>
      <c r="E24" s="2">
        <v>11132</v>
      </c>
      <c r="F24" s="2">
        <v>16633</v>
      </c>
      <c r="G24" s="2">
        <v>9903</v>
      </c>
      <c r="H24" s="2">
        <v>5224</v>
      </c>
      <c r="I24" s="2">
        <v>0</v>
      </c>
      <c r="J24" s="2"/>
      <c r="K24" s="2">
        <v>6508</v>
      </c>
      <c r="L24" s="2">
        <v>5995</v>
      </c>
      <c r="M24" s="2">
        <v>3337</v>
      </c>
      <c r="N24" s="2">
        <v>0</v>
      </c>
      <c r="O24" s="2">
        <v>0</v>
      </c>
      <c r="P24" s="2"/>
      <c r="Q24" s="2">
        <v>422</v>
      </c>
      <c r="R24" s="2">
        <v>5900</v>
      </c>
      <c r="S24" s="2">
        <v>6105</v>
      </c>
      <c r="T24" s="2">
        <v>5224</v>
      </c>
      <c r="U24" s="2">
        <v>0</v>
      </c>
      <c r="V24" s="2"/>
      <c r="W24" s="2">
        <v>5152</v>
      </c>
      <c r="X24" s="2">
        <v>4182</v>
      </c>
      <c r="Y24" s="2">
        <v>0</v>
      </c>
      <c r="Z24" s="2">
        <v>0</v>
      </c>
      <c r="AA24" s="2">
        <v>0</v>
      </c>
      <c r="AB24" s="2"/>
      <c r="AC24" s="2">
        <v>8021</v>
      </c>
      <c r="AD24" s="2">
        <v>4406</v>
      </c>
      <c r="AE24" s="2">
        <v>2485</v>
      </c>
      <c r="AF24" s="2">
        <v>0</v>
      </c>
      <c r="AG24" s="2">
        <v>0</v>
      </c>
      <c r="AH24" s="2"/>
      <c r="AI24" s="2">
        <v>-2025</v>
      </c>
      <c r="AJ24" s="2">
        <v>-2025</v>
      </c>
      <c r="AK24" s="2">
        <v>-2024</v>
      </c>
      <c r="AL24" s="2">
        <v>0</v>
      </c>
      <c r="AM24" s="2">
        <v>-2025</v>
      </c>
    </row>
    <row r="25" spans="1:39">
      <c r="A25" s="369">
        <v>92509</v>
      </c>
      <c r="B25" s="347" t="s">
        <v>1618</v>
      </c>
      <c r="C25" s="371"/>
      <c r="E25" s="2">
        <v>0</v>
      </c>
      <c r="F25" s="2">
        <v>0</v>
      </c>
      <c r="G25" s="2">
        <v>0</v>
      </c>
      <c r="H25" s="2">
        <v>0</v>
      </c>
      <c r="I25" s="2">
        <v>0</v>
      </c>
      <c r="J25" s="2"/>
      <c r="K25" s="2">
        <v>0</v>
      </c>
      <c r="L25" s="2">
        <v>0</v>
      </c>
      <c r="M25" s="2">
        <v>0</v>
      </c>
      <c r="N25" s="2">
        <v>0</v>
      </c>
      <c r="O25" s="2">
        <v>0</v>
      </c>
      <c r="P25" s="2"/>
      <c r="Q25" s="2">
        <v>0</v>
      </c>
      <c r="R25" s="2">
        <v>0</v>
      </c>
      <c r="S25" s="2">
        <v>0</v>
      </c>
      <c r="T25" s="2">
        <v>0</v>
      </c>
      <c r="U25" s="2">
        <v>0</v>
      </c>
      <c r="V25" s="2"/>
      <c r="W25" s="2">
        <v>0</v>
      </c>
      <c r="X25" s="2">
        <v>0</v>
      </c>
      <c r="Y25" s="2">
        <v>0</v>
      </c>
      <c r="Z25" s="2">
        <v>0</v>
      </c>
      <c r="AA25" s="2">
        <v>0</v>
      </c>
      <c r="AB25" s="2"/>
      <c r="AC25" s="2">
        <v>0</v>
      </c>
      <c r="AD25" s="2">
        <v>0</v>
      </c>
      <c r="AE25" s="2">
        <v>0</v>
      </c>
      <c r="AF25" s="2">
        <v>0</v>
      </c>
      <c r="AG25" s="2">
        <v>0</v>
      </c>
      <c r="AH25" s="2"/>
      <c r="AI25" s="2">
        <v>0</v>
      </c>
      <c r="AJ25" s="2">
        <v>0</v>
      </c>
      <c r="AK25" s="2">
        <v>0</v>
      </c>
      <c r="AL25" s="2">
        <v>0</v>
      </c>
      <c r="AM25" s="2">
        <v>0</v>
      </c>
    </row>
    <row r="26" spans="1:39">
      <c r="A26" s="369">
        <v>96519</v>
      </c>
      <c r="B26" s="347" t="s">
        <v>1619</v>
      </c>
      <c r="C26" s="371"/>
      <c r="E26" s="2">
        <v>0</v>
      </c>
      <c r="F26" s="2">
        <v>0</v>
      </c>
      <c r="G26" s="2">
        <v>0</v>
      </c>
      <c r="H26" s="2">
        <v>0</v>
      </c>
      <c r="I26" s="2">
        <v>0</v>
      </c>
      <c r="J26" s="2"/>
      <c r="K26" s="2">
        <v>0</v>
      </c>
      <c r="L26" s="2">
        <v>0</v>
      </c>
      <c r="M26" s="2">
        <v>0</v>
      </c>
      <c r="N26" s="2">
        <v>0</v>
      </c>
      <c r="O26" s="2">
        <v>0</v>
      </c>
      <c r="P26" s="2"/>
      <c r="Q26" s="2">
        <v>0</v>
      </c>
      <c r="R26" s="2">
        <v>0</v>
      </c>
      <c r="S26" s="2">
        <v>0</v>
      </c>
      <c r="T26" s="2">
        <v>0</v>
      </c>
      <c r="U26" s="2">
        <v>0</v>
      </c>
      <c r="V26" s="2"/>
      <c r="W26" s="2">
        <v>0</v>
      </c>
      <c r="X26" s="2">
        <v>0</v>
      </c>
      <c r="Y26" s="2">
        <v>0</v>
      </c>
      <c r="Z26" s="2">
        <v>0</v>
      </c>
      <c r="AA26" s="2">
        <v>0</v>
      </c>
      <c r="AB26" s="2"/>
      <c r="AC26" s="2">
        <v>0</v>
      </c>
      <c r="AD26" s="2">
        <v>0</v>
      </c>
      <c r="AE26" s="2">
        <v>0</v>
      </c>
      <c r="AF26" s="2">
        <v>0</v>
      </c>
      <c r="AG26" s="2">
        <v>0</v>
      </c>
      <c r="AH26" s="2"/>
      <c r="AI26" s="2">
        <v>0</v>
      </c>
      <c r="AJ26" s="2">
        <v>0</v>
      </c>
      <c r="AK26" s="2">
        <v>0</v>
      </c>
      <c r="AL26" s="2">
        <v>0</v>
      </c>
      <c r="AM26" s="2">
        <v>0</v>
      </c>
    </row>
    <row r="27" spans="1:39">
      <c r="A27" s="370">
        <v>97461</v>
      </c>
      <c r="B27" s="356" t="s">
        <v>1383</v>
      </c>
      <c r="C27" s="360">
        <v>5.7600000000000001E-4</v>
      </c>
      <c r="E27" s="2">
        <v>184051</v>
      </c>
      <c r="F27" s="2">
        <v>248720</v>
      </c>
      <c r="G27" s="2">
        <v>149501</v>
      </c>
      <c r="H27" s="2">
        <v>85721</v>
      </c>
      <c r="I27" s="2">
        <v>0</v>
      </c>
      <c r="J27" s="2"/>
      <c r="K27" s="2">
        <v>106796</v>
      </c>
      <c r="L27" s="2">
        <v>98377</v>
      </c>
      <c r="M27" s="2">
        <v>54753</v>
      </c>
      <c r="N27" s="2">
        <v>0</v>
      </c>
      <c r="O27" s="2">
        <v>0</v>
      </c>
      <c r="P27" s="2"/>
      <c r="Q27" s="2">
        <v>6923</v>
      </c>
      <c r="R27" s="2">
        <v>96828</v>
      </c>
      <c r="S27" s="2">
        <v>100177</v>
      </c>
      <c r="T27" s="2">
        <v>85721</v>
      </c>
      <c r="U27" s="2">
        <v>0</v>
      </c>
      <c r="V27" s="2"/>
      <c r="W27" s="2">
        <v>84543</v>
      </c>
      <c r="X27" s="2">
        <v>68634</v>
      </c>
      <c r="Y27" s="2">
        <v>0</v>
      </c>
      <c r="Z27" s="2">
        <v>0</v>
      </c>
      <c r="AA27" s="2">
        <v>0</v>
      </c>
      <c r="AB27" s="2"/>
      <c r="AC27" s="2">
        <v>4098</v>
      </c>
      <c r="AD27" s="2">
        <v>3188</v>
      </c>
      <c r="AE27" s="2">
        <v>3188</v>
      </c>
      <c r="AF27" s="2">
        <v>0</v>
      </c>
      <c r="AG27" s="2">
        <v>0</v>
      </c>
      <c r="AH27" s="2"/>
      <c r="AI27" s="2">
        <v>-18309</v>
      </c>
      <c r="AJ27" s="2">
        <v>-18307</v>
      </c>
      <c r="AK27" s="2">
        <v>-8617</v>
      </c>
      <c r="AL27" s="2">
        <v>0</v>
      </c>
      <c r="AM27" s="2">
        <v>-18307</v>
      </c>
    </row>
    <row r="28" spans="1:39">
      <c r="A28" s="369">
        <v>97463</v>
      </c>
      <c r="B28" s="347" t="s">
        <v>1384</v>
      </c>
      <c r="C28" s="371"/>
      <c r="E28" s="2">
        <v>-7626</v>
      </c>
      <c r="F28" s="2">
        <v>-5607</v>
      </c>
      <c r="G28" s="2">
        <v>0</v>
      </c>
      <c r="H28" s="2">
        <v>0</v>
      </c>
      <c r="I28" s="2">
        <v>0</v>
      </c>
      <c r="J28" s="2"/>
      <c r="K28" s="2">
        <v>0</v>
      </c>
      <c r="L28" s="2">
        <v>0</v>
      </c>
      <c r="M28" s="2">
        <v>0</v>
      </c>
      <c r="N28" s="2">
        <v>0</v>
      </c>
      <c r="O28" s="2">
        <v>0</v>
      </c>
      <c r="P28" s="2"/>
      <c r="Q28" s="2">
        <v>0</v>
      </c>
      <c r="R28" s="2">
        <v>0</v>
      </c>
      <c r="S28" s="2">
        <v>0</v>
      </c>
      <c r="T28" s="2">
        <v>0</v>
      </c>
      <c r="U28" s="2">
        <v>0</v>
      </c>
      <c r="V28" s="2"/>
      <c r="W28" s="2">
        <v>0</v>
      </c>
      <c r="X28" s="2">
        <v>0</v>
      </c>
      <c r="Y28" s="2">
        <v>0</v>
      </c>
      <c r="Z28" s="2">
        <v>0</v>
      </c>
      <c r="AA28" s="2">
        <v>0</v>
      </c>
      <c r="AB28" s="2"/>
      <c r="AC28" s="2">
        <v>0</v>
      </c>
      <c r="AD28" s="2">
        <v>0</v>
      </c>
      <c r="AE28" s="2">
        <v>0</v>
      </c>
      <c r="AF28" s="2">
        <v>0</v>
      </c>
      <c r="AG28" s="2">
        <v>0</v>
      </c>
      <c r="AH28" s="2"/>
      <c r="AI28" s="2">
        <v>-7626</v>
      </c>
      <c r="AJ28" s="2">
        <v>-5607</v>
      </c>
      <c r="AK28" s="2">
        <v>0</v>
      </c>
      <c r="AL28" s="2">
        <v>0</v>
      </c>
      <c r="AM28" s="2">
        <v>-5607</v>
      </c>
    </row>
    <row r="29" spans="1:39">
      <c r="A29" s="370">
        <v>98604</v>
      </c>
      <c r="B29" s="356" t="s">
        <v>1504</v>
      </c>
      <c r="C29" s="360">
        <v>1.45E-5</v>
      </c>
      <c r="E29" s="2">
        <v>7146</v>
      </c>
      <c r="F29" s="2">
        <v>8929</v>
      </c>
      <c r="G29" s="2">
        <v>5964</v>
      </c>
      <c r="H29" s="2">
        <v>2158</v>
      </c>
      <c r="I29" s="2">
        <v>0</v>
      </c>
      <c r="J29" s="2"/>
      <c r="K29" s="2">
        <v>2688</v>
      </c>
      <c r="L29" s="2">
        <v>2477</v>
      </c>
      <c r="M29" s="2">
        <v>1378</v>
      </c>
      <c r="N29" s="2">
        <v>0</v>
      </c>
      <c r="O29" s="2">
        <v>0</v>
      </c>
      <c r="P29" s="2"/>
      <c r="Q29" s="2">
        <v>174</v>
      </c>
      <c r="R29" s="2">
        <v>2438</v>
      </c>
      <c r="S29" s="2">
        <v>2522</v>
      </c>
      <c r="T29" s="2">
        <v>2158</v>
      </c>
      <c r="U29" s="2">
        <v>0</v>
      </c>
      <c r="V29" s="2"/>
      <c r="W29" s="2">
        <v>2128</v>
      </c>
      <c r="X29" s="2">
        <v>1728</v>
      </c>
      <c r="Y29" s="2">
        <v>0</v>
      </c>
      <c r="Z29" s="2">
        <v>0</v>
      </c>
      <c r="AA29" s="2">
        <v>0</v>
      </c>
      <c r="AB29" s="2"/>
      <c r="AC29" s="2">
        <v>2287</v>
      </c>
      <c r="AD29" s="2">
        <v>2286</v>
      </c>
      <c r="AE29" s="2">
        <v>2064</v>
      </c>
      <c r="AF29" s="2">
        <v>0</v>
      </c>
      <c r="AG29" s="2">
        <v>0</v>
      </c>
      <c r="AH29" s="2"/>
      <c r="AI29" s="2">
        <v>-131</v>
      </c>
      <c r="AJ29" s="2">
        <v>0</v>
      </c>
      <c r="AK29" s="2">
        <v>0</v>
      </c>
      <c r="AL29" s="2">
        <v>0</v>
      </c>
      <c r="AM29" s="2">
        <v>0</v>
      </c>
    </row>
    <row r="30" spans="1:39">
      <c r="A30" s="369">
        <v>98647</v>
      </c>
      <c r="B30" s="347" t="s">
        <v>1620</v>
      </c>
      <c r="C30" s="371"/>
      <c r="E30" s="2">
        <v>0</v>
      </c>
      <c r="F30" s="2">
        <v>0</v>
      </c>
      <c r="G30" s="2">
        <v>0</v>
      </c>
      <c r="H30" s="2">
        <v>0</v>
      </c>
      <c r="I30" s="2">
        <v>0</v>
      </c>
      <c r="J30" s="2"/>
      <c r="K30" s="2">
        <v>0</v>
      </c>
      <c r="L30" s="2">
        <v>0</v>
      </c>
      <c r="M30" s="2">
        <v>0</v>
      </c>
      <c r="N30" s="2">
        <v>0</v>
      </c>
      <c r="O30" s="2">
        <v>0</v>
      </c>
      <c r="P30" s="2"/>
      <c r="Q30" s="2">
        <v>0</v>
      </c>
      <c r="R30" s="2">
        <v>0</v>
      </c>
      <c r="S30" s="2">
        <v>0</v>
      </c>
      <c r="T30" s="2">
        <v>0</v>
      </c>
      <c r="U30" s="2">
        <v>0</v>
      </c>
      <c r="V30" s="2"/>
      <c r="W30" s="2">
        <v>0</v>
      </c>
      <c r="X30" s="2">
        <v>0</v>
      </c>
      <c r="Y30" s="2">
        <v>0</v>
      </c>
      <c r="Z30" s="2">
        <v>0</v>
      </c>
      <c r="AA30" s="2">
        <v>0</v>
      </c>
      <c r="AB30" s="2"/>
      <c r="AC30" s="2">
        <v>0</v>
      </c>
      <c r="AD30" s="2">
        <v>0</v>
      </c>
      <c r="AE30" s="2">
        <v>0</v>
      </c>
      <c r="AF30" s="2">
        <v>0</v>
      </c>
      <c r="AG30" s="2">
        <v>0</v>
      </c>
      <c r="AH30" s="2"/>
      <c r="AI30" s="2">
        <v>0</v>
      </c>
      <c r="AJ30" s="2">
        <v>0</v>
      </c>
      <c r="AK30" s="2">
        <v>0</v>
      </c>
      <c r="AL30" s="2">
        <v>0</v>
      </c>
      <c r="AM30" s="2">
        <v>0</v>
      </c>
    </row>
    <row r="31" spans="1:39">
      <c r="A31" s="351">
        <v>70505</v>
      </c>
      <c r="B31" s="344" t="s">
        <v>727</v>
      </c>
      <c r="C31" s="360">
        <v>2.9159999999999999E-4</v>
      </c>
      <c r="E31" s="2">
        <v>76861</v>
      </c>
      <c r="F31" s="2">
        <v>118052</v>
      </c>
      <c r="G31" s="2">
        <v>67524</v>
      </c>
      <c r="H31" s="2">
        <v>43396</v>
      </c>
      <c r="I31" s="2">
        <v>0</v>
      </c>
      <c r="J31" s="2"/>
      <c r="K31" s="2">
        <v>54065</v>
      </c>
      <c r="L31" s="2">
        <v>49804</v>
      </c>
      <c r="M31" s="2">
        <v>27719</v>
      </c>
      <c r="N31" s="2">
        <v>0</v>
      </c>
      <c r="O31" s="2">
        <v>0</v>
      </c>
      <c r="P31" s="2"/>
      <c r="Q31" s="2">
        <v>3505</v>
      </c>
      <c r="R31" s="2">
        <v>49019</v>
      </c>
      <c r="S31" s="2">
        <v>50714</v>
      </c>
      <c r="T31" s="2">
        <v>43396</v>
      </c>
      <c r="U31" s="2">
        <v>0</v>
      </c>
      <c r="V31" s="2"/>
      <c r="W31" s="2">
        <v>42800</v>
      </c>
      <c r="X31" s="2">
        <v>34746</v>
      </c>
      <c r="Y31" s="2">
        <v>0</v>
      </c>
      <c r="Z31" s="2">
        <v>0</v>
      </c>
      <c r="AA31" s="2">
        <v>0</v>
      </c>
      <c r="AB31" s="2"/>
      <c r="AC31" s="2">
        <v>0</v>
      </c>
      <c r="AD31" s="2">
        <v>0</v>
      </c>
      <c r="AE31" s="2">
        <v>0</v>
      </c>
      <c r="AF31" s="2">
        <v>0</v>
      </c>
      <c r="AG31" s="2">
        <v>0</v>
      </c>
      <c r="AH31" s="2"/>
      <c r="AI31" s="2">
        <v>-23509</v>
      </c>
      <c r="AJ31" s="2">
        <v>-15517</v>
      </c>
      <c r="AK31" s="2">
        <v>-10909</v>
      </c>
      <c r="AL31" s="2">
        <v>0</v>
      </c>
      <c r="AM31" s="2">
        <v>-15517</v>
      </c>
    </row>
    <row r="32" spans="1:39">
      <c r="A32" s="351">
        <v>72265</v>
      </c>
      <c r="B32" s="344" t="s">
        <v>728</v>
      </c>
      <c r="C32" s="360">
        <v>1.5550000000000001E-4</v>
      </c>
      <c r="E32" s="2">
        <v>60274</v>
      </c>
      <c r="F32" s="2">
        <v>77234</v>
      </c>
      <c r="G32" s="2">
        <v>45817</v>
      </c>
      <c r="H32" s="2">
        <v>23142</v>
      </c>
      <c r="I32" s="2">
        <v>0</v>
      </c>
      <c r="J32" s="2"/>
      <c r="K32" s="2">
        <v>28831</v>
      </c>
      <c r="L32" s="2">
        <v>26558</v>
      </c>
      <c r="M32" s="2">
        <v>14782</v>
      </c>
      <c r="N32" s="2">
        <v>0</v>
      </c>
      <c r="O32" s="2">
        <v>0</v>
      </c>
      <c r="P32" s="2"/>
      <c r="Q32" s="2">
        <v>1869</v>
      </c>
      <c r="R32" s="2">
        <v>26140</v>
      </c>
      <c r="S32" s="2">
        <v>27044</v>
      </c>
      <c r="T32" s="2">
        <v>23142</v>
      </c>
      <c r="U32" s="2">
        <v>0</v>
      </c>
      <c r="V32" s="2"/>
      <c r="W32" s="2">
        <v>22824</v>
      </c>
      <c r="X32" s="2">
        <v>18529</v>
      </c>
      <c r="Y32" s="2">
        <v>0</v>
      </c>
      <c r="Z32" s="2">
        <v>0</v>
      </c>
      <c r="AA32" s="2">
        <v>0</v>
      </c>
      <c r="AB32" s="2"/>
      <c r="AC32" s="2">
        <v>8191</v>
      </c>
      <c r="AD32" s="2">
        <v>7448</v>
      </c>
      <c r="AE32" s="2">
        <v>5431</v>
      </c>
      <c r="AF32" s="2">
        <v>0</v>
      </c>
      <c r="AG32" s="2">
        <v>0</v>
      </c>
      <c r="AH32" s="2"/>
      <c r="AI32" s="2">
        <v>-1441</v>
      </c>
      <c r="AJ32" s="2">
        <v>-1441</v>
      </c>
      <c r="AK32" s="2">
        <v>-1440</v>
      </c>
      <c r="AL32" s="2">
        <v>0</v>
      </c>
      <c r="AM32" s="2">
        <v>-1441</v>
      </c>
    </row>
    <row r="33" spans="1:39">
      <c r="A33" s="351">
        <v>72593</v>
      </c>
      <c r="B33" s="344" t="s">
        <v>729</v>
      </c>
      <c r="C33" s="360">
        <v>6.7000000000000002E-6</v>
      </c>
      <c r="E33" s="2">
        <v>2867</v>
      </c>
      <c r="F33" s="2">
        <v>2876</v>
      </c>
      <c r="G33" s="2">
        <v>1755</v>
      </c>
      <c r="H33" s="2">
        <v>997</v>
      </c>
      <c r="I33" s="2">
        <v>0</v>
      </c>
      <c r="J33" s="2"/>
      <c r="K33" s="2">
        <v>1242</v>
      </c>
      <c r="L33" s="2">
        <v>1144</v>
      </c>
      <c r="M33" s="2">
        <v>637</v>
      </c>
      <c r="N33" s="2">
        <v>0</v>
      </c>
      <c r="O33" s="2">
        <v>0</v>
      </c>
      <c r="P33" s="2"/>
      <c r="Q33" s="2">
        <v>81</v>
      </c>
      <c r="R33" s="2">
        <v>1126</v>
      </c>
      <c r="S33" s="2">
        <v>1165</v>
      </c>
      <c r="T33" s="2">
        <v>997</v>
      </c>
      <c r="U33" s="2">
        <v>0</v>
      </c>
      <c r="V33" s="2"/>
      <c r="W33" s="2">
        <v>983</v>
      </c>
      <c r="X33" s="2">
        <v>798</v>
      </c>
      <c r="Y33" s="2">
        <v>0</v>
      </c>
      <c r="Z33" s="2">
        <v>0</v>
      </c>
      <c r="AA33" s="2">
        <v>0</v>
      </c>
      <c r="AB33" s="2"/>
      <c r="AC33" s="2">
        <v>809</v>
      </c>
      <c r="AD33" s="2">
        <v>54</v>
      </c>
      <c r="AE33" s="2">
        <v>55</v>
      </c>
      <c r="AF33" s="2">
        <v>0</v>
      </c>
      <c r="AG33" s="2">
        <v>0</v>
      </c>
      <c r="AH33" s="2"/>
      <c r="AI33" s="2">
        <v>-248</v>
      </c>
      <c r="AJ33" s="2">
        <v>-246</v>
      </c>
      <c r="AK33" s="2">
        <v>-102</v>
      </c>
      <c r="AL33" s="2">
        <v>0</v>
      </c>
      <c r="AM33" s="2">
        <v>-246</v>
      </c>
    </row>
    <row r="34" spans="1:39">
      <c r="A34" s="351">
        <v>72657</v>
      </c>
      <c r="B34" s="344" t="s">
        <v>730</v>
      </c>
      <c r="C34" s="360">
        <v>3.8000000000000002E-5</v>
      </c>
      <c r="E34" s="2">
        <v>10385</v>
      </c>
      <c r="F34" s="2">
        <v>15538</v>
      </c>
      <c r="G34" s="2">
        <v>8863</v>
      </c>
      <c r="H34" s="2">
        <v>5655</v>
      </c>
      <c r="I34" s="2">
        <v>0</v>
      </c>
      <c r="J34" s="2"/>
      <c r="K34" s="2">
        <v>7046</v>
      </c>
      <c r="L34" s="2">
        <v>6490</v>
      </c>
      <c r="M34" s="2">
        <v>3612</v>
      </c>
      <c r="N34" s="2">
        <v>0</v>
      </c>
      <c r="O34" s="2">
        <v>0</v>
      </c>
      <c r="P34" s="2"/>
      <c r="Q34" s="2">
        <v>457</v>
      </c>
      <c r="R34" s="2">
        <v>6388</v>
      </c>
      <c r="S34" s="2">
        <v>6609</v>
      </c>
      <c r="T34" s="2">
        <v>5655</v>
      </c>
      <c r="U34" s="2">
        <v>0</v>
      </c>
      <c r="V34" s="2"/>
      <c r="W34" s="2">
        <v>5577</v>
      </c>
      <c r="X34" s="2">
        <v>4528</v>
      </c>
      <c r="Y34" s="2">
        <v>0</v>
      </c>
      <c r="Z34" s="2">
        <v>0</v>
      </c>
      <c r="AA34" s="2">
        <v>0</v>
      </c>
      <c r="AB34" s="2"/>
      <c r="AC34" s="2">
        <v>0</v>
      </c>
      <c r="AD34" s="2">
        <v>0</v>
      </c>
      <c r="AE34" s="2">
        <v>0</v>
      </c>
      <c r="AF34" s="2">
        <v>0</v>
      </c>
      <c r="AG34" s="2">
        <v>0</v>
      </c>
      <c r="AH34" s="2"/>
      <c r="AI34" s="2">
        <v>-2695</v>
      </c>
      <c r="AJ34" s="2">
        <v>-1868</v>
      </c>
      <c r="AK34" s="2">
        <v>-1358</v>
      </c>
      <c r="AL34" s="2">
        <v>0</v>
      </c>
      <c r="AM34" s="2">
        <v>-1868</v>
      </c>
    </row>
    <row r="35" spans="1:39">
      <c r="A35" s="351">
        <v>90001</v>
      </c>
      <c r="B35" s="344" t="s">
        <v>731</v>
      </c>
      <c r="C35" s="360">
        <v>8.8630000000000002E-4</v>
      </c>
      <c r="E35" s="2">
        <v>318630</v>
      </c>
      <c r="F35" s="2">
        <v>422668</v>
      </c>
      <c r="G35" s="2">
        <v>254763</v>
      </c>
      <c r="H35" s="2">
        <v>131901</v>
      </c>
      <c r="I35" s="2">
        <v>0</v>
      </c>
      <c r="J35" s="2"/>
      <c r="K35" s="2">
        <v>164328</v>
      </c>
      <c r="L35" s="2">
        <v>151375</v>
      </c>
      <c r="M35" s="2">
        <v>84250</v>
      </c>
      <c r="N35" s="2">
        <v>0</v>
      </c>
      <c r="O35" s="2">
        <v>0</v>
      </c>
      <c r="P35" s="2"/>
      <c r="Q35" s="2">
        <v>10652</v>
      </c>
      <c r="R35" s="2">
        <v>148991</v>
      </c>
      <c r="S35" s="2">
        <v>154144</v>
      </c>
      <c r="T35" s="2">
        <v>131901</v>
      </c>
      <c r="U35" s="2">
        <v>0</v>
      </c>
      <c r="V35" s="2"/>
      <c r="W35" s="2">
        <v>130088</v>
      </c>
      <c r="X35" s="2">
        <v>105609</v>
      </c>
      <c r="Y35" s="2">
        <v>0</v>
      </c>
      <c r="Z35" s="2">
        <v>0</v>
      </c>
      <c r="AA35" s="2">
        <v>0</v>
      </c>
      <c r="AB35" s="2"/>
      <c r="AC35" s="2">
        <v>16695</v>
      </c>
      <c r="AD35" s="2">
        <v>16693</v>
      </c>
      <c r="AE35" s="2">
        <v>16369</v>
      </c>
      <c r="AF35" s="2">
        <v>0</v>
      </c>
      <c r="AG35" s="2">
        <v>0</v>
      </c>
      <c r="AH35" s="2"/>
      <c r="AI35" s="2">
        <v>-3133</v>
      </c>
      <c r="AJ35" s="2">
        <v>0</v>
      </c>
      <c r="AK35" s="2">
        <v>0</v>
      </c>
      <c r="AL35" s="2">
        <v>0</v>
      </c>
      <c r="AM35" s="2">
        <v>0</v>
      </c>
    </row>
    <row r="36" spans="1:39">
      <c r="A36" s="351">
        <v>90002</v>
      </c>
      <c r="B36" s="344" t="s">
        <v>3639</v>
      </c>
      <c r="C36" s="360">
        <v>7.7999999999999999E-6</v>
      </c>
      <c r="E36" s="2">
        <v>3717</v>
      </c>
      <c r="F36" s="2">
        <v>4479</v>
      </c>
      <c r="G36" s="2">
        <v>2827</v>
      </c>
      <c r="H36" s="2">
        <v>1161</v>
      </c>
      <c r="I36" s="2">
        <v>0</v>
      </c>
      <c r="J36" s="2"/>
      <c r="K36" s="2">
        <v>1446</v>
      </c>
      <c r="L36" s="2">
        <v>1332</v>
      </c>
      <c r="M36" s="2">
        <v>741</v>
      </c>
      <c r="N36" s="2">
        <v>0</v>
      </c>
      <c r="O36" s="2">
        <v>0</v>
      </c>
      <c r="P36" s="2"/>
      <c r="Q36" s="2">
        <v>94</v>
      </c>
      <c r="R36" s="2">
        <v>1311</v>
      </c>
      <c r="S36" s="2">
        <v>1357</v>
      </c>
      <c r="T36" s="2">
        <v>1161</v>
      </c>
      <c r="U36" s="2">
        <v>0</v>
      </c>
      <c r="V36" s="2"/>
      <c r="W36" s="2">
        <v>1145</v>
      </c>
      <c r="X36" s="2">
        <v>929</v>
      </c>
      <c r="Y36" s="2">
        <v>0</v>
      </c>
      <c r="Z36" s="2">
        <v>0</v>
      </c>
      <c r="AA36" s="2">
        <v>0</v>
      </c>
      <c r="AB36" s="2"/>
      <c r="AC36" s="2">
        <v>1032</v>
      </c>
      <c r="AD36" s="2">
        <v>907</v>
      </c>
      <c r="AE36" s="2">
        <v>729</v>
      </c>
      <c r="AF36" s="2">
        <v>0</v>
      </c>
      <c r="AG36" s="2">
        <v>0</v>
      </c>
      <c r="AH36" s="2"/>
      <c r="AI36" s="2">
        <v>0</v>
      </c>
      <c r="AJ36" s="2">
        <v>0</v>
      </c>
      <c r="AK36" s="2">
        <v>0</v>
      </c>
      <c r="AL36" s="2">
        <v>0</v>
      </c>
      <c r="AM36" s="2">
        <v>0</v>
      </c>
    </row>
    <row r="37" spans="1:39">
      <c r="A37" s="351">
        <v>90011</v>
      </c>
      <c r="B37" s="344" t="s">
        <v>733</v>
      </c>
      <c r="C37" s="360">
        <v>1.6799999999999999E-4</v>
      </c>
      <c r="E37" s="2">
        <v>47683</v>
      </c>
      <c r="F37" s="2">
        <v>69902</v>
      </c>
      <c r="G37" s="2">
        <v>40030</v>
      </c>
      <c r="H37" s="2">
        <v>25002</v>
      </c>
      <c r="I37" s="2">
        <v>0</v>
      </c>
      <c r="J37" s="2"/>
      <c r="K37" s="2">
        <v>31149</v>
      </c>
      <c r="L37" s="2">
        <v>28693</v>
      </c>
      <c r="M37" s="2">
        <v>15970</v>
      </c>
      <c r="N37" s="2">
        <v>0</v>
      </c>
      <c r="O37" s="2">
        <v>0</v>
      </c>
      <c r="P37" s="2"/>
      <c r="Q37" s="2">
        <v>2019</v>
      </c>
      <c r="R37" s="2">
        <v>28242</v>
      </c>
      <c r="S37" s="2">
        <v>29218</v>
      </c>
      <c r="T37" s="2">
        <v>25002</v>
      </c>
      <c r="U37" s="2">
        <v>0</v>
      </c>
      <c r="V37" s="2"/>
      <c r="W37" s="2">
        <v>24658</v>
      </c>
      <c r="X37" s="2">
        <v>20018</v>
      </c>
      <c r="Y37" s="2">
        <v>0</v>
      </c>
      <c r="Z37" s="2">
        <v>0</v>
      </c>
      <c r="AA37" s="2">
        <v>0</v>
      </c>
      <c r="AB37" s="2"/>
      <c r="AC37" s="2">
        <v>0</v>
      </c>
      <c r="AD37" s="2">
        <v>0</v>
      </c>
      <c r="AE37" s="2">
        <v>0</v>
      </c>
      <c r="AF37" s="2">
        <v>0</v>
      </c>
      <c r="AG37" s="2">
        <v>0</v>
      </c>
      <c r="AH37" s="2"/>
      <c r="AI37" s="2">
        <v>-10143</v>
      </c>
      <c r="AJ37" s="2">
        <v>-7051</v>
      </c>
      <c r="AK37" s="2">
        <v>-5158</v>
      </c>
      <c r="AL37" s="2">
        <v>0</v>
      </c>
      <c r="AM37" s="2">
        <v>-7051</v>
      </c>
    </row>
    <row r="38" spans="1:39">
      <c r="A38" s="351">
        <v>90092</v>
      </c>
      <c r="B38" s="344" t="s">
        <v>2802</v>
      </c>
      <c r="C38" s="360">
        <v>4.2119999999999999E-4</v>
      </c>
      <c r="E38" s="2">
        <v>169117</v>
      </c>
      <c r="F38" s="2">
        <v>219089</v>
      </c>
      <c r="G38" s="2">
        <v>135776</v>
      </c>
      <c r="H38" s="2">
        <v>62684</v>
      </c>
      <c r="I38" s="2">
        <v>0</v>
      </c>
      <c r="J38" s="2"/>
      <c r="K38" s="2">
        <v>78094</v>
      </c>
      <c r="L38" s="2">
        <v>71938</v>
      </c>
      <c r="M38" s="2">
        <v>40038</v>
      </c>
      <c r="N38" s="2">
        <v>0</v>
      </c>
      <c r="O38" s="2">
        <v>0</v>
      </c>
      <c r="P38" s="2"/>
      <c r="Q38" s="2">
        <v>5062</v>
      </c>
      <c r="R38" s="2">
        <v>70806</v>
      </c>
      <c r="S38" s="2">
        <v>73254</v>
      </c>
      <c r="T38" s="2">
        <v>62684</v>
      </c>
      <c r="U38" s="2">
        <v>0</v>
      </c>
      <c r="V38" s="2"/>
      <c r="W38" s="2">
        <v>61822</v>
      </c>
      <c r="X38" s="2">
        <v>50189</v>
      </c>
      <c r="Y38" s="2">
        <v>0</v>
      </c>
      <c r="Z38" s="2">
        <v>0</v>
      </c>
      <c r="AA38" s="2">
        <v>0</v>
      </c>
      <c r="AB38" s="2"/>
      <c r="AC38" s="2">
        <v>26157</v>
      </c>
      <c r="AD38" s="2">
        <v>26156</v>
      </c>
      <c r="AE38" s="2">
        <v>22484</v>
      </c>
      <c r="AF38" s="2">
        <v>0</v>
      </c>
      <c r="AG38" s="2">
        <v>0</v>
      </c>
      <c r="AH38" s="2"/>
      <c r="AI38" s="2">
        <v>-2018</v>
      </c>
      <c r="AJ38" s="2">
        <v>0</v>
      </c>
      <c r="AK38" s="2">
        <v>0</v>
      </c>
      <c r="AL38" s="2">
        <v>0</v>
      </c>
      <c r="AM38" s="2">
        <v>0</v>
      </c>
    </row>
    <row r="39" spans="1:39">
      <c r="A39" s="351">
        <v>90096</v>
      </c>
      <c r="B39" s="344" t="s">
        <v>735</v>
      </c>
      <c r="C39" s="360">
        <v>9.6089999999999999E-4</v>
      </c>
      <c r="E39" s="2">
        <v>345200</v>
      </c>
      <c r="F39" s="2">
        <v>505958</v>
      </c>
      <c r="G39" s="2">
        <v>315581</v>
      </c>
      <c r="H39" s="2">
        <v>143003</v>
      </c>
      <c r="I39" s="2">
        <v>0</v>
      </c>
      <c r="J39" s="2"/>
      <c r="K39" s="2">
        <v>178160</v>
      </c>
      <c r="L39" s="2">
        <v>164116</v>
      </c>
      <c r="M39" s="2">
        <v>91341</v>
      </c>
      <c r="N39" s="2">
        <v>0</v>
      </c>
      <c r="O39" s="2">
        <v>0</v>
      </c>
      <c r="P39" s="2"/>
      <c r="Q39" s="2">
        <v>11549</v>
      </c>
      <c r="R39" s="2">
        <v>161532</v>
      </c>
      <c r="S39" s="2">
        <v>167118</v>
      </c>
      <c r="T39" s="2">
        <v>143003</v>
      </c>
      <c r="U39" s="2">
        <v>0</v>
      </c>
      <c r="V39" s="2"/>
      <c r="W39" s="2">
        <v>141037</v>
      </c>
      <c r="X39" s="2">
        <v>114498</v>
      </c>
      <c r="Y39" s="2">
        <v>0</v>
      </c>
      <c r="Z39" s="2">
        <v>0</v>
      </c>
      <c r="AA39" s="2">
        <v>0</v>
      </c>
      <c r="AB39" s="2"/>
      <c r="AC39" s="2">
        <v>65810</v>
      </c>
      <c r="AD39" s="2">
        <v>65812</v>
      </c>
      <c r="AE39" s="2">
        <v>57122</v>
      </c>
      <c r="AF39" s="2">
        <v>0</v>
      </c>
      <c r="AG39" s="2">
        <v>0</v>
      </c>
      <c r="AH39" s="2"/>
      <c r="AI39" s="2">
        <v>-51356</v>
      </c>
      <c r="AJ39" s="2">
        <v>0</v>
      </c>
      <c r="AK39" s="2">
        <v>0</v>
      </c>
      <c r="AL39" s="2">
        <v>0</v>
      </c>
      <c r="AM39" s="2">
        <v>0</v>
      </c>
    </row>
    <row r="40" spans="1:39">
      <c r="A40" s="351">
        <v>90098</v>
      </c>
      <c r="B40" s="344" t="s">
        <v>736</v>
      </c>
      <c r="C40" s="360">
        <v>2.5950000000000002E-4</v>
      </c>
      <c r="E40" s="2">
        <v>88684</v>
      </c>
      <c r="F40" s="2">
        <v>116830</v>
      </c>
      <c r="G40" s="2">
        <v>63989</v>
      </c>
      <c r="H40" s="2">
        <v>38619</v>
      </c>
      <c r="I40" s="2">
        <v>0</v>
      </c>
      <c r="J40" s="2"/>
      <c r="K40" s="2">
        <v>48114</v>
      </c>
      <c r="L40" s="2">
        <v>44321</v>
      </c>
      <c r="M40" s="2">
        <v>24668</v>
      </c>
      <c r="N40" s="2">
        <v>0</v>
      </c>
      <c r="O40" s="2">
        <v>0</v>
      </c>
      <c r="P40" s="2"/>
      <c r="Q40" s="2">
        <v>3119</v>
      </c>
      <c r="R40" s="2">
        <v>43623</v>
      </c>
      <c r="S40" s="2">
        <v>45132</v>
      </c>
      <c r="T40" s="2">
        <v>38619</v>
      </c>
      <c r="U40" s="2">
        <v>0</v>
      </c>
      <c r="V40" s="2"/>
      <c r="W40" s="2">
        <v>38088</v>
      </c>
      <c r="X40" s="2">
        <v>30921</v>
      </c>
      <c r="Y40" s="2">
        <v>0</v>
      </c>
      <c r="Z40" s="2">
        <v>0</v>
      </c>
      <c r="AA40" s="2">
        <v>0</v>
      </c>
      <c r="AB40" s="2"/>
      <c r="AC40" s="2">
        <v>10629</v>
      </c>
      <c r="AD40" s="2">
        <v>9231</v>
      </c>
      <c r="AE40" s="2">
        <v>5453</v>
      </c>
      <c r="AF40" s="2">
        <v>0</v>
      </c>
      <c r="AG40" s="2">
        <v>0</v>
      </c>
      <c r="AH40" s="2"/>
      <c r="AI40" s="2">
        <v>-11266</v>
      </c>
      <c r="AJ40" s="2">
        <v>-11266</v>
      </c>
      <c r="AK40" s="2">
        <v>-11264</v>
      </c>
      <c r="AL40" s="2">
        <v>0</v>
      </c>
      <c r="AM40" s="2">
        <v>-11266</v>
      </c>
    </row>
    <row r="41" spans="1:39">
      <c r="A41" s="351">
        <v>90099</v>
      </c>
      <c r="B41" s="344" t="s">
        <v>3640</v>
      </c>
      <c r="C41" s="360">
        <v>6.7920000000000003E-4</v>
      </c>
      <c r="E41" s="2">
        <v>236099</v>
      </c>
      <c r="F41" s="2">
        <v>291591</v>
      </c>
      <c r="G41" s="2">
        <v>164179</v>
      </c>
      <c r="H41" s="2">
        <v>101080</v>
      </c>
      <c r="I41" s="2">
        <v>0</v>
      </c>
      <c r="J41" s="2"/>
      <c r="K41" s="2">
        <v>125930</v>
      </c>
      <c r="L41" s="2">
        <v>116003</v>
      </c>
      <c r="M41" s="2">
        <v>64563</v>
      </c>
      <c r="N41" s="2">
        <v>0</v>
      </c>
      <c r="O41" s="2">
        <v>0</v>
      </c>
      <c r="P41" s="2"/>
      <c r="Q41" s="2">
        <v>8163</v>
      </c>
      <c r="R41" s="2">
        <v>114177</v>
      </c>
      <c r="S41" s="2">
        <v>118125</v>
      </c>
      <c r="T41" s="2">
        <v>101080</v>
      </c>
      <c r="U41" s="2">
        <v>0</v>
      </c>
      <c r="V41" s="2"/>
      <c r="W41" s="2">
        <v>99690</v>
      </c>
      <c r="X41" s="2">
        <v>80931</v>
      </c>
      <c r="Y41" s="2">
        <v>0</v>
      </c>
      <c r="Z41" s="2">
        <v>0</v>
      </c>
      <c r="AA41" s="2">
        <v>0</v>
      </c>
      <c r="AB41" s="2"/>
      <c r="AC41" s="2">
        <v>21836</v>
      </c>
      <c r="AD41" s="2">
        <v>0</v>
      </c>
      <c r="AE41" s="2">
        <v>0</v>
      </c>
      <c r="AF41" s="2">
        <v>0</v>
      </c>
      <c r="AG41" s="2">
        <v>0</v>
      </c>
      <c r="AH41" s="2"/>
      <c r="AI41" s="2">
        <v>-19520</v>
      </c>
      <c r="AJ41" s="2">
        <v>-19520</v>
      </c>
      <c r="AK41" s="2">
        <v>-18509</v>
      </c>
      <c r="AL41" s="2">
        <v>0</v>
      </c>
      <c r="AM41" s="2">
        <v>-19520</v>
      </c>
    </row>
    <row r="42" spans="1:39">
      <c r="A42" s="351">
        <v>90101</v>
      </c>
      <c r="B42" s="344" t="s">
        <v>738</v>
      </c>
      <c r="C42" s="360">
        <v>6.2649999999999997E-3</v>
      </c>
      <c r="E42" s="2">
        <v>2108087</v>
      </c>
      <c r="F42" s="2">
        <v>2799260</v>
      </c>
      <c r="G42" s="2">
        <v>1649857</v>
      </c>
      <c r="H42" s="2">
        <v>932370</v>
      </c>
      <c r="I42" s="2">
        <v>0</v>
      </c>
      <c r="J42" s="2"/>
      <c r="K42" s="2">
        <v>1161587</v>
      </c>
      <c r="L42" s="2">
        <v>1070024</v>
      </c>
      <c r="M42" s="2">
        <v>595538</v>
      </c>
      <c r="N42" s="2">
        <v>0</v>
      </c>
      <c r="O42" s="2">
        <v>0</v>
      </c>
      <c r="P42" s="2"/>
      <c r="Q42" s="2">
        <v>75299</v>
      </c>
      <c r="R42" s="2">
        <v>1053178</v>
      </c>
      <c r="S42" s="2">
        <v>1089596</v>
      </c>
      <c r="T42" s="2">
        <v>932370</v>
      </c>
      <c r="U42" s="2">
        <v>0</v>
      </c>
      <c r="V42" s="2"/>
      <c r="W42" s="2">
        <v>919552</v>
      </c>
      <c r="X42" s="2">
        <v>746519</v>
      </c>
      <c r="Y42" s="2">
        <v>0</v>
      </c>
      <c r="Z42" s="2">
        <v>0</v>
      </c>
      <c r="AA42" s="2">
        <v>0</v>
      </c>
      <c r="AB42" s="2"/>
      <c r="AC42" s="2">
        <v>44728</v>
      </c>
      <c r="AD42" s="2">
        <v>22619</v>
      </c>
      <c r="AE42" s="2">
        <v>22620</v>
      </c>
      <c r="AF42" s="2">
        <v>0</v>
      </c>
      <c r="AG42" s="2">
        <v>0</v>
      </c>
      <c r="AH42" s="2"/>
      <c r="AI42" s="2">
        <v>-93079</v>
      </c>
      <c r="AJ42" s="2">
        <v>-93080</v>
      </c>
      <c r="AK42" s="2">
        <v>-57897</v>
      </c>
      <c r="AL42" s="2">
        <v>0</v>
      </c>
      <c r="AM42" s="2">
        <v>-93080</v>
      </c>
    </row>
    <row r="43" spans="1:39">
      <c r="A43" s="351">
        <v>90111</v>
      </c>
      <c r="B43" s="344" t="s">
        <v>739</v>
      </c>
      <c r="C43" s="360">
        <v>4.9195999999999997E-3</v>
      </c>
      <c r="E43" s="2">
        <v>1622274</v>
      </c>
      <c r="F43" s="2">
        <v>2178608</v>
      </c>
      <c r="G43" s="2">
        <v>1246661</v>
      </c>
      <c r="H43" s="2">
        <v>732145</v>
      </c>
      <c r="I43" s="2">
        <v>0</v>
      </c>
      <c r="J43" s="2"/>
      <c r="K43" s="2">
        <v>912138</v>
      </c>
      <c r="L43" s="2">
        <v>840238</v>
      </c>
      <c r="M43" s="2">
        <v>467647</v>
      </c>
      <c r="N43" s="2">
        <v>0</v>
      </c>
      <c r="O43" s="2">
        <v>0</v>
      </c>
      <c r="P43" s="2"/>
      <c r="Q43" s="2">
        <v>59129</v>
      </c>
      <c r="R43" s="2">
        <v>827009</v>
      </c>
      <c r="S43" s="2">
        <v>855607</v>
      </c>
      <c r="T43" s="2">
        <v>732145</v>
      </c>
      <c r="U43" s="2">
        <v>0</v>
      </c>
      <c r="V43" s="2"/>
      <c r="W43" s="2">
        <v>722079</v>
      </c>
      <c r="X43" s="2">
        <v>586205</v>
      </c>
      <c r="Y43" s="2">
        <v>0</v>
      </c>
      <c r="Z43" s="2">
        <v>0</v>
      </c>
      <c r="AA43" s="2">
        <v>0</v>
      </c>
      <c r="AB43" s="2"/>
      <c r="AC43" s="2">
        <v>5522</v>
      </c>
      <c r="AD43" s="2">
        <v>1750</v>
      </c>
      <c r="AE43" s="2">
        <v>0</v>
      </c>
      <c r="AF43" s="2">
        <v>0</v>
      </c>
      <c r="AG43" s="2">
        <v>0</v>
      </c>
      <c r="AH43" s="2"/>
      <c r="AI43" s="2">
        <v>-76594</v>
      </c>
      <c r="AJ43" s="2">
        <v>-76594</v>
      </c>
      <c r="AK43" s="2">
        <v>-76593</v>
      </c>
      <c r="AL43" s="2">
        <v>0</v>
      </c>
      <c r="AM43" s="2">
        <v>-76594</v>
      </c>
    </row>
    <row r="44" spans="1:39">
      <c r="A44" s="351">
        <v>90114</v>
      </c>
      <c r="B44" s="344" t="s">
        <v>740</v>
      </c>
      <c r="C44" s="360">
        <v>1.1237E-3</v>
      </c>
      <c r="E44" s="2">
        <v>800784</v>
      </c>
      <c r="F44" s="2">
        <v>803292</v>
      </c>
      <c r="G44" s="2">
        <v>459384</v>
      </c>
      <c r="H44" s="2">
        <v>167231</v>
      </c>
      <c r="I44" s="2">
        <v>0</v>
      </c>
      <c r="J44" s="2"/>
      <c r="K44" s="2">
        <v>208344</v>
      </c>
      <c r="L44" s="2">
        <v>191921</v>
      </c>
      <c r="M44" s="2">
        <v>106817</v>
      </c>
      <c r="N44" s="2">
        <v>0</v>
      </c>
      <c r="O44" s="2">
        <v>0</v>
      </c>
      <c r="P44" s="2"/>
      <c r="Q44" s="2">
        <v>13506</v>
      </c>
      <c r="R44" s="2">
        <v>188900</v>
      </c>
      <c r="S44" s="2">
        <v>195432</v>
      </c>
      <c r="T44" s="2">
        <v>167231</v>
      </c>
      <c r="U44" s="2">
        <v>0</v>
      </c>
      <c r="V44" s="2"/>
      <c r="W44" s="2">
        <v>164932</v>
      </c>
      <c r="X44" s="2">
        <v>133897</v>
      </c>
      <c r="Y44" s="2">
        <v>0</v>
      </c>
      <c r="Z44" s="2">
        <v>0</v>
      </c>
      <c r="AA44" s="2">
        <v>0</v>
      </c>
      <c r="AB44" s="2"/>
      <c r="AC44" s="2">
        <v>414064</v>
      </c>
      <c r="AD44" s="2">
        <v>288636</v>
      </c>
      <c r="AE44" s="2">
        <v>157196</v>
      </c>
      <c r="AF44" s="2">
        <v>0</v>
      </c>
      <c r="AG44" s="2">
        <v>0</v>
      </c>
      <c r="AH44" s="2"/>
      <c r="AI44" s="2">
        <v>-62</v>
      </c>
      <c r="AJ44" s="2">
        <v>-62</v>
      </c>
      <c r="AK44" s="2">
        <v>-61</v>
      </c>
      <c r="AL44" s="2">
        <v>0</v>
      </c>
      <c r="AM44" s="2">
        <v>-62</v>
      </c>
    </row>
    <row r="45" spans="1:39">
      <c r="A45" s="351">
        <v>90117</v>
      </c>
      <c r="B45" s="344" t="s">
        <v>741</v>
      </c>
      <c r="C45" s="360">
        <v>1.3799999999999999E-4</v>
      </c>
      <c r="E45" s="2">
        <v>67797</v>
      </c>
      <c r="F45" s="2">
        <v>79442</v>
      </c>
      <c r="G45" s="2">
        <v>49843</v>
      </c>
      <c r="H45" s="2">
        <v>20537</v>
      </c>
      <c r="I45" s="2">
        <v>0</v>
      </c>
      <c r="J45" s="2"/>
      <c r="K45" s="2">
        <v>25586</v>
      </c>
      <c r="L45" s="2">
        <v>23570</v>
      </c>
      <c r="M45" s="2">
        <v>13118</v>
      </c>
      <c r="N45" s="2">
        <v>0</v>
      </c>
      <c r="O45" s="2">
        <v>0</v>
      </c>
      <c r="P45" s="2"/>
      <c r="Q45" s="2">
        <v>1659</v>
      </c>
      <c r="R45" s="2">
        <v>23198</v>
      </c>
      <c r="S45" s="2">
        <v>24001</v>
      </c>
      <c r="T45" s="2">
        <v>20537</v>
      </c>
      <c r="U45" s="2">
        <v>0</v>
      </c>
      <c r="V45" s="2"/>
      <c r="W45" s="2">
        <v>20255</v>
      </c>
      <c r="X45" s="2">
        <v>16444</v>
      </c>
      <c r="Y45" s="2">
        <v>0</v>
      </c>
      <c r="Z45" s="2">
        <v>0</v>
      </c>
      <c r="AA45" s="2">
        <v>0</v>
      </c>
      <c r="AB45" s="2"/>
      <c r="AC45" s="2">
        <v>20297</v>
      </c>
      <c r="AD45" s="2">
        <v>16230</v>
      </c>
      <c r="AE45" s="2">
        <v>12724</v>
      </c>
      <c r="AF45" s="2">
        <v>0</v>
      </c>
      <c r="AG45" s="2">
        <v>0</v>
      </c>
      <c r="AH45" s="2"/>
      <c r="AI45" s="2">
        <v>0</v>
      </c>
      <c r="AJ45" s="2">
        <v>0</v>
      </c>
      <c r="AK45" s="2">
        <v>0</v>
      </c>
      <c r="AL45" s="2">
        <v>0</v>
      </c>
      <c r="AM45" s="2">
        <v>0</v>
      </c>
    </row>
    <row r="46" spans="1:39">
      <c r="A46" s="351">
        <v>90121</v>
      </c>
      <c r="B46" s="344" t="s">
        <v>742</v>
      </c>
      <c r="C46" s="360">
        <v>1.0861E-3</v>
      </c>
      <c r="E46" s="2">
        <v>327638</v>
      </c>
      <c r="F46" s="2">
        <v>458392</v>
      </c>
      <c r="G46" s="2">
        <v>271279</v>
      </c>
      <c r="H46" s="2">
        <v>161636</v>
      </c>
      <c r="I46" s="2">
        <v>0</v>
      </c>
      <c r="J46" s="2"/>
      <c r="K46" s="2">
        <v>201373</v>
      </c>
      <c r="L46" s="2">
        <v>185499</v>
      </c>
      <c r="M46" s="2">
        <v>103242</v>
      </c>
      <c r="N46" s="2">
        <v>0</v>
      </c>
      <c r="O46" s="2">
        <v>0</v>
      </c>
      <c r="P46" s="2"/>
      <c r="Q46" s="2">
        <v>13054</v>
      </c>
      <c r="R46" s="2">
        <v>182579</v>
      </c>
      <c r="S46" s="2">
        <v>188892</v>
      </c>
      <c r="T46" s="2">
        <v>161636</v>
      </c>
      <c r="U46" s="2">
        <v>0</v>
      </c>
      <c r="V46" s="2"/>
      <c r="W46" s="2">
        <v>159413</v>
      </c>
      <c r="X46" s="2">
        <v>129416</v>
      </c>
      <c r="Y46" s="2">
        <v>0</v>
      </c>
      <c r="Z46" s="2">
        <v>0</v>
      </c>
      <c r="AA46" s="2">
        <v>0</v>
      </c>
      <c r="AB46" s="2"/>
      <c r="AC46" s="2">
        <v>0</v>
      </c>
      <c r="AD46" s="2">
        <v>0</v>
      </c>
      <c r="AE46" s="2">
        <v>0</v>
      </c>
      <c r="AF46" s="2">
        <v>0</v>
      </c>
      <c r="AG46" s="2">
        <v>0</v>
      </c>
      <c r="AH46" s="2"/>
      <c r="AI46" s="2">
        <v>-46202</v>
      </c>
      <c r="AJ46" s="2">
        <v>-39102</v>
      </c>
      <c r="AK46" s="2">
        <v>-20855</v>
      </c>
      <c r="AL46" s="2">
        <v>0</v>
      </c>
      <c r="AM46" s="2">
        <v>-39102</v>
      </c>
    </row>
    <row r="47" spans="1:39">
      <c r="A47" s="351">
        <v>90131</v>
      </c>
      <c r="B47" s="344" t="s">
        <v>743</v>
      </c>
      <c r="C47" s="360">
        <v>4.9819999999999997E-4</v>
      </c>
      <c r="E47" s="2">
        <v>163104</v>
      </c>
      <c r="F47" s="2">
        <v>226810</v>
      </c>
      <c r="G47" s="2">
        <v>135159</v>
      </c>
      <c r="H47" s="2">
        <v>74143</v>
      </c>
      <c r="I47" s="2">
        <v>0</v>
      </c>
      <c r="J47" s="2"/>
      <c r="K47" s="2">
        <v>92371</v>
      </c>
      <c r="L47" s="2">
        <v>85090</v>
      </c>
      <c r="M47" s="2">
        <v>47358</v>
      </c>
      <c r="N47" s="2">
        <v>0</v>
      </c>
      <c r="O47" s="2">
        <v>0</v>
      </c>
      <c r="P47" s="2"/>
      <c r="Q47" s="2">
        <v>5988</v>
      </c>
      <c r="R47" s="2">
        <v>83750</v>
      </c>
      <c r="S47" s="2">
        <v>86646</v>
      </c>
      <c r="T47" s="2">
        <v>74143</v>
      </c>
      <c r="U47" s="2">
        <v>0</v>
      </c>
      <c r="V47" s="2"/>
      <c r="W47" s="2">
        <v>73124</v>
      </c>
      <c r="X47" s="2">
        <v>59364</v>
      </c>
      <c r="Y47" s="2">
        <v>0</v>
      </c>
      <c r="Z47" s="2">
        <v>0</v>
      </c>
      <c r="AA47" s="2">
        <v>0</v>
      </c>
      <c r="AB47" s="2"/>
      <c r="AC47" s="2">
        <v>1158</v>
      </c>
      <c r="AD47" s="2">
        <v>1158</v>
      </c>
      <c r="AE47" s="2">
        <v>1155</v>
      </c>
      <c r="AF47" s="2">
        <v>0</v>
      </c>
      <c r="AG47" s="2">
        <v>0</v>
      </c>
      <c r="AH47" s="2"/>
      <c r="AI47" s="2">
        <v>-9537</v>
      </c>
      <c r="AJ47" s="2">
        <v>-2552</v>
      </c>
      <c r="AK47" s="2">
        <v>0</v>
      </c>
      <c r="AL47" s="2">
        <v>0</v>
      </c>
      <c r="AM47" s="2">
        <v>-2552</v>
      </c>
    </row>
    <row r="48" spans="1:39">
      <c r="A48" s="351">
        <v>90141</v>
      </c>
      <c r="B48" s="344" t="s">
        <v>744</v>
      </c>
      <c r="C48" s="360">
        <v>1.6770000000000001E-4</v>
      </c>
      <c r="E48" s="2">
        <v>65564</v>
      </c>
      <c r="F48" s="2">
        <v>82811</v>
      </c>
      <c r="G48" s="2">
        <v>51801</v>
      </c>
      <c r="H48" s="2">
        <v>24957</v>
      </c>
      <c r="I48" s="2">
        <v>0</v>
      </c>
      <c r="J48" s="2"/>
      <c r="K48" s="2">
        <v>31093</v>
      </c>
      <c r="L48" s="2">
        <v>28642</v>
      </c>
      <c r="M48" s="2">
        <v>15941</v>
      </c>
      <c r="N48" s="2">
        <v>0</v>
      </c>
      <c r="O48" s="2">
        <v>0</v>
      </c>
      <c r="P48" s="2"/>
      <c r="Q48" s="2">
        <v>2016</v>
      </c>
      <c r="R48" s="2">
        <v>28191</v>
      </c>
      <c r="S48" s="2">
        <v>29166</v>
      </c>
      <c r="T48" s="2">
        <v>24957</v>
      </c>
      <c r="U48" s="2">
        <v>0</v>
      </c>
      <c r="V48" s="2"/>
      <c r="W48" s="2">
        <v>24614</v>
      </c>
      <c r="X48" s="2">
        <v>19983</v>
      </c>
      <c r="Y48" s="2">
        <v>0</v>
      </c>
      <c r="Z48" s="2">
        <v>0</v>
      </c>
      <c r="AA48" s="2">
        <v>0</v>
      </c>
      <c r="AB48" s="2"/>
      <c r="AC48" s="2">
        <v>8542</v>
      </c>
      <c r="AD48" s="2">
        <v>6697</v>
      </c>
      <c r="AE48" s="2">
        <v>6694</v>
      </c>
      <c r="AF48" s="2">
        <v>0</v>
      </c>
      <c r="AG48" s="2">
        <v>0</v>
      </c>
      <c r="AH48" s="2"/>
      <c r="AI48" s="2">
        <v>-701</v>
      </c>
      <c r="AJ48" s="2">
        <v>-702</v>
      </c>
      <c r="AK48" s="2">
        <v>0</v>
      </c>
      <c r="AL48" s="2">
        <v>0</v>
      </c>
      <c r="AM48" s="2">
        <v>-702</v>
      </c>
    </row>
    <row r="49" spans="1:39">
      <c r="A49" s="351">
        <v>90151</v>
      </c>
      <c r="B49" s="344" t="s">
        <v>745</v>
      </c>
      <c r="C49" s="360">
        <v>8.8999999999999995E-6</v>
      </c>
      <c r="E49" s="2">
        <v>1529</v>
      </c>
      <c r="F49" s="2">
        <v>2852</v>
      </c>
      <c r="G49" s="2">
        <v>1497</v>
      </c>
      <c r="H49" s="2">
        <v>1325</v>
      </c>
      <c r="I49" s="2">
        <v>0</v>
      </c>
      <c r="J49" s="2"/>
      <c r="K49" s="2">
        <v>1650</v>
      </c>
      <c r="L49" s="2">
        <v>1520</v>
      </c>
      <c r="M49" s="2">
        <v>846</v>
      </c>
      <c r="N49" s="2">
        <v>0</v>
      </c>
      <c r="O49" s="2">
        <v>0</v>
      </c>
      <c r="P49" s="2"/>
      <c r="Q49" s="2">
        <v>107</v>
      </c>
      <c r="R49" s="2">
        <v>1496</v>
      </c>
      <c r="S49" s="2">
        <v>1548</v>
      </c>
      <c r="T49" s="2">
        <v>1325</v>
      </c>
      <c r="U49" s="2">
        <v>0</v>
      </c>
      <c r="V49" s="2"/>
      <c r="W49" s="2">
        <v>1306</v>
      </c>
      <c r="X49" s="2">
        <v>1060</v>
      </c>
      <c r="Y49" s="2">
        <v>0</v>
      </c>
      <c r="Z49" s="2">
        <v>0</v>
      </c>
      <c r="AA49" s="2">
        <v>0</v>
      </c>
      <c r="AB49" s="2"/>
      <c r="AC49" s="2">
        <v>0</v>
      </c>
      <c r="AD49" s="2">
        <v>0</v>
      </c>
      <c r="AE49" s="2">
        <v>0</v>
      </c>
      <c r="AF49" s="2">
        <v>0</v>
      </c>
      <c r="AG49" s="2">
        <v>0</v>
      </c>
      <c r="AH49" s="2"/>
      <c r="AI49" s="2">
        <v>-1534</v>
      </c>
      <c r="AJ49" s="2">
        <v>-1224</v>
      </c>
      <c r="AK49" s="2">
        <v>-897</v>
      </c>
      <c r="AL49" s="2">
        <v>0</v>
      </c>
      <c r="AM49" s="2">
        <v>-1224</v>
      </c>
    </row>
    <row r="50" spans="1:39">
      <c r="A50" s="351">
        <v>90161</v>
      </c>
      <c r="B50" s="344" t="s">
        <v>746</v>
      </c>
      <c r="C50" s="360">
        <v>2.73E-5</v>
      </c>
      <c r="E50" s="2">
        <v>4876</v>
      </c>
      <c r="F50" s="2">
        <v>8103</v>
      </c>
      <c r="G50" s="2">
        <v>2276</v>
      </c>
      <c r="H50" s="2">
        <v>4063</v>
      </c>
      <c r="I50" s="2">
        <v>0</v>
      </c>
      <c r="J50" s="2"/>
      <c r="K50" s="2">
        <v>5062</v>
      </c>
      <c r="L50" s="2">
        <v>4663</v>
      </c>
      <c r="M50" s="2">
        <v>2595</v>
      </c>
      <c r="N50" s="2">
        <v>0</v>
      </c>
      <c r="O50" s="2">
        <v>0</v>
      </c>
      <c r="P50" s="2"/>
      <c r="Q50" s="2">
        <v>328</v>
      </c>
      <c r="R50" s="2">
        <v>4589</v>
      </c>
      <c r="S50" s="2">
        <v>4748</v>
      </c>
      <c r="T50" s="2">
        <v>4063</v>
      </c>
      <c r="U50" s="2">
        <v>0</v>
      </c>
      <c r="V50" s="2"/>
      <c r="W50" s="2">
        <v>4007</v>
      </c>
      <c r="X50" s="2">
        <v>3253</v>
      </c>
      <c r="Y50" s="2">
        <v>0</v>
      </c>
      <c r="Z50" s="2">
        <v>0</v>
      </c>
      <c r="AA50" s="2">
        <v>0</v>
      </c>
      <c r="AB50" s="2"/>
      <c r="AC50" s="2">
        <v>664</v>
      </c>
      <c r="AD50" s="2">
        <v>666</v>
      </c>
      <c r="AE50" s="2">
        <v>0</v>
      </c>
      <c r="AF50" s="2">
        <v>0</v>
      </c>
      <c r="AG50" s="2">
        <v>0</v>
      </c>
      <c r="AH50" s="2"/>
      <c r="AI50" s="2">
        <v>-5185</v>
      </c>
      <c r="AJ50" s="2">
        <v>-5068</v>
      </c>
      <c r="AK50" s="2">
        <v>-5067</v>
      </c>
      <c r="AL50" s="2">
        <v>0</v>
      </c>
      <c r="AM50" s="2">
        <v>-5068</v>
      </c>
    </row>
    <row r="51" spans="1:39">
      <c r="A51" s="351">
        <v>90201</v>
      </c>
      <c r="B51" s="344" t="s">
        <v>747</v>
      </c>
      <c r="C51" s="360">
        <v>1.3292E-3</v>
      </c>
      <c r="E51" s="2">
        <v>480257</v>
      </c>
      <c r="F51" s="2">
        <v>640602</v>
      </c>
      <c r="G51" s="2">
        <v>395710</v>
      </c>
      <c r="H51" s="2">
        <v>197814</v>
      </c>
      <c r="I51" s="2">
        <v>0</v>
      </c>
      <c r="J51" s="2"/>
      <c r="K51" s="2">
        <v>246446</v>
      </c>
      <c r="L51" s="2">
        <v>227019</v>
      </c>
      <c r="M51" s="2">
        <v>126351</v>
      </c>
      <c r="N51" s="2">
        <v>0</v>
      </c>
      <c r="O51" s="2">
        <v>0</v>
      </c>
      <c r="P51" s="2"/>
      <c r="Q51" s="2">
        <v>15976</v>
      </c>
      <c r="R51" s="2">
        <v>223445</v>
      </c>
      <c r="S51" s="2">
        <v>231172</v>
      </c>
      <c r="T51" s="2">
        <v>197814</v>
      </c>
      <c r="U51" s="2">
        <v>0</v>
      </c>
      <c r="V51" s="2"/>
      <c r="W51" s="2">
        <v>195095</v>
      </c>
      <c r="X51" s="2">
        <v>158383</v>
      </c>
      <c r="Y51" s="2">
        <v>0</v>
      </c>
      <c r="Z51" s="2">
        <v>0</v>
      </c>
      <c r="AA51" s="2">
        <v>0</v>
      </c>
      <c r="AB51" s="2"/>
      <c r="AC51" s="2">
        <v>38189</v>
      </c>
      <c r="AD51" s="2">
        <v>38189</v>
      </c>
      <c r="AE51" s="2">
        <v>38187</v>
      </c>
      <c r="AF51" s="2">
        <v>0</v>
      </c>
      <c r="AG51" s="2">
        <v>0</v>
      </c>
      <c r="AH51" s="2"/>
      <c r="AI51" s="2">
        <v>-15449</v>
      </c>
      <c r="AJ51" s="2">
        <v>-6434</v>
      </c>
      <c r="AK51" s="2">
        <v>0</v>
      </c>
      <c r="AL51" s="2">
        <v>0</v>
      </c>
      <c r="AM51" s="2">
        <v>-6434</v>
      </c>
    </row>
    <row r="52" spans="1:39">
      <c r="A52" s="351">
        <v>90203</v>
      </c>
      <c r="B52" s="344" t="s">
        <v>3641</v>
      </c>
      <c r="C52" s="360">
        <v>1.8110000000000001E-4</v>
      </c>
      <c r="E52" s="2">
        <v>51248</v>
      </c>
      <c r="F52" s="2">
        <v>78232</v>
      </c>
      <c r="G52" s="2">
        <v>43211</v>
      </c>
      <c r="H52" s="2">
        <v>26952</v>
      </c>
      <c r="I52" s="2">
        <v>0</v>
      </c>
      <c r="J52" s="2"/>
      <c r="K52" s="2">
        <v>33578</v>
      </c>
      <c r="L52" s="2">
        <v>30931</v>
      </c>
      <c r="M52" s="2">
        <v>17215</v>
      </c>
      <c r="N52" s="2">
        <v>0</v>
      </c>
      <c r="O52" s="2">
        <v>0</v>
      </c>
      <c r="P52" s="2"/>
      <c r="Q52" s="2">
        <v>2177</v>
      </c>
      <c r="R52" s="2">
        <v>30444</v>
      </c>
      <c r="S52" s="2">
        <v>31497</v>
      </c>
      <c r="T52" s="2">
        <v>26952</v>
      </c>
      <c r="U52" s="2">
        <v>0</v>
      </c>
      <c r="V52" s="2"/>
      <c r="W52" s="2">
        <v>26581</v>
      </c>
      <c r="X52" s="2">
        <v>21579</v>
      </c>
      <c r="Y52" s="2">
        <v>0</v>
      </c>
      <c r="Z52" s="2">
        <v>0</v>
      </c>
      <c r="AA52" s="2">
        <v>0</v>
      </c>
      <c r="AB52" s="2"/>
      <c r="AC52" s="2">
        <v>1514</v>
      </c>
      <c r="AD52" s="2">
        <v>1515</v>
      </c>
      <c r="AE52" s="2">
        <v>735</v>
      </c>
      <c r="AF52" s="2">
        <v>0</v>
      </c>
      <c r="AG52" s="2">
        <v>0</v>
      </c>
      <c r="AH52" s="2"/>
      <c r="AI52" s="2">
        <v>-12602</v>
      </c>
      <c r="AJ52" s="2">
        <v>-6237</v>
      </c>
      <c r="AK52" s="2">
        <v>-6236</v>
      </c>
      <c r="AL52" s="2">
        <v>0</v>
      </c>
      <c r="AM52" s="2">
        <v>-6237</v>
      </c>
    </row>
    <row r="53" spans="1:39">
      <c r="A53" s="351">
        <v>90205</v>
      </c>
      <c r="B53" s="344" t="s">
        <v>749</v>
      </c>
      <c r="C53" s="360">
        <v>3.0199999999999999E-5</v>
      </c>
      <c r="E53" s="2">
        <v>10600</v>
      </c>
      <c r="F53" s="2">
        <v>14550</v>
      </c>
      <c r="G53" s="2">
        <v>8251</v>
      </c>
      <c r="H53" s="2">
        <v>4494</v>
      </c>
      <c r="I53" s="2">
        <v>0</v>
      </c>
      <c r="J53" s="2"/>
      <c r="K53" s="2">
        <v>5599</v>
      </c>
      <c r="L53" s="2">
        <v>5158</v>
      </c>
      <c r="M53" s="2">
        <v>2871</v>
      </c>
      <c r="N53" s="2">
        <v>0</v>
      </c>
      <c r="O53" s="2">
        <v>0</v>
      </c>
      <c r="P53" s="2"/>
      <c r="Q53" s="2">
        <v>363</v>
      </c>
      <c r="R53" s="2">
        <v>5077</v>
      </c>
      <c r="S53" s="2">
        <v>5252</v>
      </c>
      <c r="T53" s="2">
        <v>4494</v>
      </c>
      <c r="U53" s="2">
        <v>0</v>
      </c>
      <c r="V53" s="2"/>
      <c r="W53" s="2">
        <v>4433</v>
      </c>
      <c r="X53" s="2">
        <v>3599</v>
      </c>
      <c r="Y53" s="2">
        <v>0</v>
      </c>
      <c r="Z53" s="2">
        <v>0</v>
      </c>
      <c r="AA53" s="2">
        <v>0</v>
      </c>
      <c r="AB53" s="2"/>
      <c r="AC53" s="2">
        <v>860</v>
      </c>
      <c r="AD53" s="2">
        <v>858</v>
      </c>
      <c r="AE53" s="2">
        <v>268</v>
      </c>
      <c r="AF53" s="2">
        <v>0</v>
      </c>
      <c r="AG53" s="2">
        <v>0</v>
      </c>
      <c r="AH53" s="2"/>
      <c r="AI53" s="2">
        <v>-655</v>
      </c>
      <c r="AJ53" s="2">
        <v>-142</v>
      </c>
      <c r="AK53" s="2">
        <v>-140</v>
      </c>
      <c r="AL53" s="2">
        <v>0</v>
      </c>
      <c r="AM53" s="2">
        <v>-142</v>
      </c>
    </row>
    <row r="54" spans="1:39">
      <c r="A54" s="351">
        <v>90206</v>
      </c>
      <c r="B54" s="344" t="s">
        <v>3642</v>
      </c>
      <c r="C54" s="360">
        <v>3.6870000000000002E-4</v>
      </c>
      <c r="E54" s="2">
        <v>119653</v>
      </c>
      <c r="F54" s="2">
        <v>165755</v>
      </c>
      <c r="G54" s="2">
        <v>97478</v>
      </c>
      <c r="H54" s="2">
        <v>54871</v>
      </c>
      <c r="I54" s="2">
        <v>0</v>
      </c>
      <c r="J54" s="2"/>
      <c r="K54" s="2">
        <v>68360</v>
      </c>
      <c r="L54" s="2">
        <v>62972</v>
      </c>
      <c r="M54" s="2">
        <v>35048</v>
      </c>
      <c r="N54" s="2">
        <v>0</v>
      </c>
      <c r="O54" s="2">
        <v>0</v>
      </c>
      <c r="P54" s="2"/>
      <c r="Q54" s="2">
        <v>4431</v>
      </c>
      <c r="R54" s="2">
        <v>61980</v>
      </c>
      <c r="S54" s="2">
        <v>64124</v>
      </c>
      <c r="T54" s="2">
        <v>54871</v>
      </c>
      <c r="U54" s="2">
        <v>0</v>
      </c>
      <c r="V54" s="2"/>
      <c r="W54" s="2">
        <v>54116</v>
      </c>
      <c r="X54" s="2">
        <v>43933</v>
      </c>
      <c r="Y54" s="2">
        <v>0</v>
      </c>
      <c r="Z54" s="2">
        <v>0</v>
      </c>
      <c r="AA54" s="2">
        <v>0</v>
      </c>
      <c r="AB54" s="2"/>
      <c r="AC54" s="2">
        <v>9089</v>
      </c>
      <c r="AD54" s="2">
        <v>9089</v>
      </c>
      <c r="AE54" s="2">
        <v>9088</v>
      </c>
      <c r="AF54" s="2">
        <v>0</v>
      </c>
      <c r="AG54" s="2">
        <v>0</v>
      </c>
      <c r="AH54" s="2"/>
      <c r="AI54" s="2">
        <v>-16343</v>
      </c>
      <c r="AJ54" s="2">
        <v>-12219</v>
      </c>
      <c r="AK54" s="2">
        <v>-10782</v>
      </c>
      <c r="AL54" s="2">
        <v>0</v>
      </c>
      <c r="AM54" s="2">
        <v>-12219</v>
      </c>
    </row>
    <row r="55" spans="1:39">
      <c r="A55" s="351">
        <v>90211</v>
      </c>
      <c r="B55" s="344" t="s">
        <v>751</v>
      </c>
      <c r="C55" s="360">
        <v>1.473E-4</v>
      </c>
      <c r="E55" s="2">
        <v>50871</v>
      </c>
      <c r="F55" s="2">
        <v>68471</v>
      </c>
      <c r="G55" s="2">
        <v>38833</v>
      </c>
      <c r="H55" s="2">
        <v>21921</v>
      </c>
      <c r="I55" s="2">
        <v>0</v>
      </c>
      <c r="J55" s="2"/>
      <c r="K55" s="2">
        <v>27311</v>
      </c>
      <c r="L55" s="2">
        <v>25158</v>
      </c>
      <c r="M55" s="2">
        <v>14002</v>
      </c>
      <c r="N55" s="2">
        <v>0</v>
      </c>
      <c r="O55" s="2">
        <v>0</v>
      </c>
      <c r="P55" s="2"/>
      <c r="Q55" s="2">
        <v>1770</v>
      </c>
      <c r="R55" s="2">
        <v>24762</v>
      </c>
      <c r="S55" s="2">
        <v>25618</v>
      </c>
      <c r="T55" s="2">
        <v>21921</v>
      </c>
      <c r="U55" s="2">
        <v>0</v>
      </c>
      <c r="V55" s="2"/>
      <c r="W55" s="2">
        <v>21620</v>
      </c>
      <c r="X55" s="2">
        <v>17552</v>
      </c>
      <c r="Y55" s="2">
        <v>0</v>
      </c>
      <c r="Z55" s="2">
        <v>0</v>
      </c>
      <c r="AA55" s="2">
        <v>0</v>
      </c>
      <c r="AB55" s="2"/>
      <c r="AC55" s="2">
        <v>2962</v>
      </c>
      <c r="AD55" s="2">
        <v>2964</v>
      </c>
      <c r="AE55" s="2">
        <v>1177</v>
      </c>
      <c r="AF55" s="2">
        <v>0</v>
      </c>
      <c r="AG55" s="2">
        <v>0</v>
      </c>
      <c r="AH55" s="2"/>
      <c r="AI55" s="2">
        <v>-2792</v>
      </c>
      <c r="AJ55" s="2">
        <v>-1965</v>
      </c>
      <c r="AK55" s="2">
        <v>-1964</v>
      </c>
      <c r="AL55" s="2">
        <v>0</v>
      </c>
      <c r="AM55" s="2">
        <v>-1965</v>
      </c>
    </row>
    <row r="56" spans="1:39">
      <c r="A56" s="351">
        <v>90301</v>
      </c>
      <c r="B56" s="344" t="s">
        <v>752</v>
      </c>
      <c r="C56" s="360">
        <v>7.2150000000000003E-4</v>
      </c>
      <c r="E56" s="2">
        <v>241616</v>
      </c>
      <c r="F56" s="2">
        <v>324105</v>
      </c>
      <c r="G56" s="2">
        <v>189200</v>
      </c>
      <c r="H56" s="2">
        <v>107375</v>
      </c>
      <c r="I56" s="2">
        <v>0</v>
      </c>
      <c r="J56" s="2"/>
      <c r="K56" s="2">
        <v>133773</v>
      </c>
      <c r="L56" s="2">
        <v>123228</v>
      </c>
      <c r="M56" s="2">
        <v>68584</v>
      </c>
      <c r="N56" s="2">
        <v>0</v>
      </c>
      <c r="O56" s="2">
        <v>0</v>
      </c>
      <c r="P56" s="2"/>
      <c r="Q56" s="2">
        <v>8672</v>
      </c>
      <c r="R56" s="2">
        <v>121288</v>
      </c>
      <c r="S56" s="2">
        <v>125482</v>
      </c>
      <c r="T56" s="2">
        <v>107375</v>
      </c>
      <c r="U56" s="2">
        <v>0</v>
      </c>
      <c r="V56" s="2"/>
      <c r="W56" s="2">
        <v>105899</v>
      </c>
      <c r="X56" s="2">
        <v>85972</v>
      </c>
      <c r="Y56" s="2">
        <v>0</v>
      </c>
      <c r="Z56" s="2">
        <v>0</v>
      </c>
      <c r="AA56" s="2">
        <v>0</v>
      </c>
      <c r="AB56" s="2"/>
      <c r="AC56" s="2">
        <v>0</v>
      </c>
      <c r="AD56" s="2">
        <v>0</v>
      </c>
      <c r="AE56" s="2">
        <v>0</v>
      </c>
      <c r="AF56" s="2">
        <v>0</v>
      </c>
      <c r="AG56" s="2">
        <v>0</v>
      </c>
      <c r="AH56" s="2"/>
      <c r="AI56" s="2">
        <v>-6728</v>
      </c>
      <c r="AJ56" s="2">
        <v>-6383</v>
      </c>
      <c r="AK56" s="2">
        <v>-4866</v>
      </c>
      <c r="AL56" s="2">
        <v>0</v>
      </c>
      <c r="AM56" s="2">
        <v>-6383</v>
      </c>
    </row>
    <row r="57" spans="1:39">
      <c r="A57" s="351">
        <v>90305</v>
      </c>
      <c r="B57" s="344" t="s">
        <v>753</v>
      </c>
      <c r="C57" s="360">
        <v>1.4750000000000001E-4</v>
      </c>
      <c r="E57" s="2">
        <v>61339</v>
      </c>
      <c r="F57" s="2">
        <v>77208</v>
      </c>
      <c r="G57" s="2">
        <v>48916</v>
      </c>
      <c r="H57" s="2">
        <v>21951</v>
      </c>
      <c r="I57" s="2">
        <v>0</v>
      </c>
      <c r="J57" s="2"/>
      <c r="K57" s="2">
        <v>27348</v>
      </c>
      <c r="L57" s="2">
        <v>25192</v>
      </c>
      <c r="M57" s="2">
        <v>14021</v>
      </c>
      <c r="N57" s="2">
        <v>0</v>
      </c>
      <c r="O57" s="2">
        <v>0</v>
      </c>
      <c r="P57" s="2"/>
      <c r="Q57" s="2">
        <v>1773</v>
      </c>
      <c r="R57" s="2">
        <v>24795</v>
      </c>
      <c r="S57" s="2">
        <v>25653</v>
      </c>
      <c r="T57" s="2">
        <v>21951</v>
      </c>
      <c r="U57" s="2">
        <v>0</v>
      </c>
      <c r="V57" s="2"/>
      <c r="W57" s="2">
        <v>21649</v>
      </c>
      <c r="X57" s="2">
        <v>17576</v>
      </c>
      <c r="Y57" s="2">
        <v>0</v>
      </c>
      <c r="Z57" s="2">
        <v>0</v>
      </c>
      <c r="AA57" s="2">
        <v>0</v>
      </c>
      <c r="AB57" s="2"/>
      <c r="AC57" s="2">
        <v>10569</v>
      </c>
      <c r="AD57" s="2">
        <v>9645</v>
      </c>
      <c r="AE57" s="2">
        <v>9242</v>
      </c>
      <c r="AF57" s="2">
        <v>0</v>
      </c>
      <c r="AG57" s="2">
        <v>0</v>
      </c>
      <c r="AH57" s="2"/>
      <c r="AI57" s="2">
        <v>0</v>
      </c>
      <c r="AJ57" s="2">
        <v>0</v>
      </c>
      <c r="AK57" s="2">
        <v>0</v>
      </c>
      <c r="AL57" s="2">
        <v>0</v>
      </c>
      <c r="AM57" s="2">
        <v>0</v>
      </c>
    </row>
    <row r="58" spans="1:39">
      <c r="A58" s="351">
        <v>90307</v>
      </c>
      <c r="B58" s="344" t="s">
        <v>754</v>
      </c>
      <c r="C58" s="360">
        <v>5.1000000000000003E-6</v>
      </c>
      <c r="E58" s="2">
        <v>2169</v>
      </c>
      <c r="F58" s="2">
        <v>2624</v>
      </c>
      <c r="G58" s="2">
        <v>1669</v>
      </c>
      <c r="H58" s="2">
        <v>759</v>
      </c>
      <c r="I58" s="2">
        <v>0</v>
      </c>
      <c r="J58" s="2"/>
      <c r="K58" s="2">
        <v>946</v>
      </c>
      <c r="L58" s="2">
        <v>871</v>
      </c>
      <c r="M58" s="2">
        <v>485</v>
      </c>
      <c r="N58" s="2">
        <v>0</v>
      </c>
      <c r="O58" s="2">
        <v>0</v>
      </c>
      <c r="P58" s="2"/>
      <c r="Q58" s="2">
        <v>61</v>
      </c>
      <c r="R58" s="2">
        <v>857</v>
      </c>
      <c r="S58" s="2">
        <v>887</v>
      </c>
      <c r="T58" s="2">
        <v>759</v>
      </c>
      <c r="U58" s="2">
        <v>0</v>
      </c>
      <c r="V58" s="2"/>
      <c r="W58" s="2">
        <v>749</v>
      </c>
      <c r="X58" s="2">
        <v>608</v>
      </c>
      <c r="Y58" s="2">
        <v>0</v>
      </c>
      <c r="Z58" s="2">
        <v>0</v>
      </c>
      <c r="AA58" s="2">
        <v>0</v>
      </c>
      <c r="AB58" s="2"/>
      <c r="AC58" s="2">
        <v>421</v>
      </c>
      <c r="AD58" s="2">
        <v>296</v>
      </c>
      <c r="AE58" s="2">
        <v>297</v>
      </c>
      <c r="AF58" s="2">
        <v>0</v>
      </c>
      <c r="AG58" s="2">
        <v>0</v>
      </c>
      <c r="AH58" s="2"/>
      <c r="AI58" s="2">
        <v>-8</v>
      </c>
      <c r="AJ58" s="2">
        <v>-8</v>
      </c>
      <c r="AK58" s="2">
        <v>0</v>
      </c>
      <c r="AL58" s="2">
        <v>0</v>
      </c>
      <c r="AM58" s="2">
        <v>-8</v>
      </c>
    </row>
    <row r="59" spans="1:39">
      <c r="A59" s="351">
        <v>90401</v>
      </c>
      <c r="B59" s="344" t="s">
        <v>755</v>
      </c>
      <c r="C59" s="360">
        <v>1.3274000000000001E-3</v>
      </c>
      <c r="E59" s="2">
        <v>509766</v>
      </c>
      <c r="F59" s="2">
        <v>663722</v>
      </c>
      <c r="G59" s="2">
        <v>415152</v>
      </c>
      <c r="H59" s="2">
        <v>197546</v>
      </c>
      <c r="I59" s="2">
        <v>0</v>
      </c>
      <c r="J59" s="2"/>
      <c r="K59" s="2">
        <v>246112</v>
      </c>
      <c r="L59" s="2">
        <v>226712</v>
      </c>
      <c r="M59" s="2">
        <v>126180</v>
      </c>
      <c r="N59" s="2">
        <v>0</v>
      </c>
      <c r="O59" s="2">
        <v>0</v>
      </c>
      <c r="P59" s="2"/>
      <c r="Q59" s="2">
        <v>15954</v>
      </c>
      <c r="R59" s="2">
        <v>223143</v>
      </c>
      <c r="S59" s="2">
        <v>230859</v>
      </c>
      <c r="T59" s="2">
        <v>197546</v>
      </c>
      <c r="U59" s="2">
        <v>0</v>
      </c>
      <c r="V59" s="2"/>
      <c r="W59" s="2">
        <v>194830</v>
      </c>
      <c r="X59" s="2">
        <v>158169</v>
      </c>
      <c r="Y59" s="2">
        <v>0</v>
      </c>
      <c r="Z59" s="2">
        <v>0</v>
      </c>
      <c r="AA59" s="2">
        <v>0</v>
      </c>
      <c r="AB59" s="2"/>
      <c r="AC59" s="2">
        <v>58114</v>
      </c>
      <c r="AD59" s="2">
        <v>58114</v>
      </c>
      <c r="AE59" s="2">
        <v>58113</v>
      </c>
      <c r="AF59" s="2">
        <v>0</v>
      </c>
      <c r="AG59" s="2">
        <v>0</v>
      </c>
      <c r="AH59" s="2"/>
      <c r="AI59" s="2">
        <v>-5244</v>
      </c>
      <c r="AJ59" s="2">
        <v>-2416</v>
      </c>
      <c r="AK59" s="2">
        <v>0</v>
      </c>
      <c r="AL59" s="2">
        <v>0</v>
      </c>
      <c r="AM59" s="2">
        <v>-2416</v>
      </c>
    </row>
    <row r="60" spans="1:39">
      <c r="A60" s="351">
        <v>90411</v>
      </c>
      <c r="B60" s="344" t="s">
        <v>756</v>
      </c>
      <c r="C60" s="360">
        <v>3.4289999999999999E-4</v>
      </c>
      <c r="E60" s="2">
        <v>114404</v>
      </c>
      <c r="F60" s="2">
        <v>155860</v>
      </c>
      <c r="G60" s="2">
        <v>93462</v>
      </c>
      <c r="H60" s="2">
        <v>51031</v>
      </c>
      <c r="I60" s="2">
        <v>0</v>
      </c>
      <c r="J60" s="2"/>
      <c r="K60" s="2">
        <v>63577</v>
      </c>
      <c r="L60" s="2">
        <v>58565</v>
      </c>
      <c r="M60" s="2">
        <v>32595</v>
      </c>
      <c r="N60" s="2">
        <v>0</v>
      </c>
      <c r="O60" s="2">
        <v>0</v>
      </c>
      <c r="P60" s="2"/>
      <c r="Q60" s="2">
        <v>4121</v>
      </c>
      <c r="R60" s="2">
        <v>57643</v>
      </c>
      <c r="S60" s="2">
        <v>59636</v>
      </c>
      <c r="T60" s="2">
        <v>51031</v>
      </c>
      <c r="U60" s="2">
        <v>0</v>
      </c>
      <c r="V60" s="2"/>
      <c r="W60" s="2">
        <v>50329</v>
      </c>
      <c r="X60" s="2">
        <v>40859</v>
      </c>
      <c r="Y60" s="2">
        <v>0</v>
      </c>
      <c r="Z60" s="2">
        <v>0</v>
      </c>
      <c r="AA60" s="2">
        <v>0</v>
      </c>
      <c r="AB60" s="2"/>
      <c r="AC60" s="2">
        <v>6508</v>
      </c>
      <c r="AD60" s="2">
        <v>6508</v>
      </c>
      <c r="AE60" s="2">
        <v>6509</v>
      </c>
      <c r="AF60" s="2">
        <v>0</v>
      </c>
      <c r="AG60" s="2">
        <v>0</v>
      </c>
      <c r="AH60" s="2"/>
      <c r="AI60" s="2">
        <v>-10131</v>
      </c>
      <c r="AJ60" s="2">
        <v>-7715</v>
      </c>
      <c r="AK60" s="2">
        <v>-5278</v>
      </c>
      <c r="AL60" s="2">
        <v>0</v>
      </c>
      <c r="AM60" s="2">
        <v>-7715</v>
      </c>
    </row>
    <row r="61" spans="1:39">
      <c r="A61" s="351">
        <v>90413</v>
      </c>
      <c r="B61" s="344" t="s">
        <v>757</v>
      </c>
      <c r="C61" s="360">
        <v>3.3899999999999997E-5</v>
      </c>
      <c r="E61" s="2">
        <v>12593</v>
      </c>
      <c r="F61" s="2">
        <v>16682</v>
      </c>
      <c r="G61" s="2">
        <v>9836</v>
      </c>
      <c r="H61" s="2">
        <v>5045</v>
      </c>
      <c r="I61" s="2">
        <v>0</v>
      </c>
      <c r="J61" s="2"/>
      <c r="K61" s="2">
        <v>6285</v>
      </c>
      <c r="L61" s="2">
        <v>5790</v>
      </c>
      <c r="M61" s="2">
        <v>3222</v>
      </c>
      <c r="N61" s="2">
        <v>0</v>
      </c>
      <c r="O61" s="2">
        <v>0</v>
      </c>
      <c r="P61" s="2"/>
      <c r="Q61" s="2">
        <v>407</v>
      </c>
      <c r="R61" s="2">
        <v>5699</v>
      </c>
      <c r="S61" s="2">
        <v>5896</v>
      </c>
      <c r="T61" s="2">
        <v>5045</v>
      </c>
      <c r="U61" s="2">
        <v>0</v>
      </c>
      <c r="V61" s="2"/>
      <c r="W61" s="2">
        <v>4976</v>
      </c>
      <c r="X61" s="2">
        <v>4039</v>
      </c>
      <c r="Y61" s="2">
        <v>0</v>
      </c>
      <c r="Z61" s="2">
        <v>0</v>
      </c>
      <c r="AA61" s="2">
        <v>0</v>
      </c>
      <c r="AB61" s="2"/>
      <c r="AC61" s="2">
        <v>1154</v>
      </c>
      <c r="AD61" s="2">
        <v>1154</v>
      </c>
      <c r="AE61" s="2">
        <v>718</v>
      </c>
      <c r="AF61" s="2">
        <v>0</v>
      </c>
      <c r="AG61" s="2">
        <v>0</v>
      </c>
      <c r="AH61" s="2"/>
      <c r="AI61" s="2">
        <v>-229</v>
      </c>
      <c r="AJ61" s="2">
        <v>0</v>
      </c>
      <c r="AK61" s="2">
        <v>0</v>
      </c>
      <c r="AL61" s="2">
        <v>0</v>
      </c>
      <c r="AM61" s="2">
        <v>0</v>
      </c>
    </row>
    <row r="62" spans="1:39">
      <c r="A62" s="351">
        <v>90417</v>
      </c>
      <c r="B62" s="344" t="s">
        <v>758</v>
      </c>
      <c r="C62" s="360">
        <v>9.5999999999999996E-6</v>
      </c>
      <c r="E62" s="2">
        <v>5551</v>
      </c>
      <c r="F62" s="2">
        <v>6110</v>
      </c>
      <c r="G62" s="2">
        <v>3641</v>
      </c>
      <c r="H62" s="2">
        <v>1429</v>
      </c>
      <c r="I62" s="2">
        <v>0</v>
      </c>
      <c r="J62" s="2"/>
      <c r="K62" s="2">
        <v>1780</v>
      </c>
      <c r="L62" s="2">
        <v>1640</v>
      </c>
      <c r="M62" s="2">
        <v>913</v>
      </c>
      <c r="N62" s="2">
        <v>0</v>
      </c>
      <c r="O62" s="2">
        <v>0</v>
      </c>
      <c r="P62" s="2"/>
      <c r="Q62" s="2">
        <v>115</v>
      </c>
      <c r="R62" s="2">
        <v>1614</v>
      </c>
      <c r="S62" s="2">
        <v>1670</v>
      </c>
      <c r="T62" s="2">
        <v>1429</v>
      </c>
      <c r="U62" s="2">
        <v>0</v>
      </c>
      <c r="V62" s="2"/>
      <c r="W62" s="2">
        <v>1409</v>
      </c>
      <c r="X62" s="2">
        <v>1144</v>
      </c>
      <c r="Y62" s="2">
        <v>0</v>
      </c>
      <c r="Z62" s="2">
        <v>0</v>
      </c>
      <c r="AA62" s="2">
        <v>0</v>
      </c>
      <c r="AB62" s="2"/>
      <c r="AC62" s="2">
        <v>2247</v>
      </c>
      <c r="AD62" s="2">
        <v>1712</v>
      </c>
      <c r="AE62" s="2">
        <v>1058</v>
      </c>
      <c r="AF62" s="2">
        <v>0</v>
      </c>
      <c r="AG62" s="2">
        <v>0</v>
      </c>
      <c r="AH62" s="2"/>
      <c r="AI62" s="2">
        <v>0</v>
      </c>
      <c r="AJ62" s="2">
        <v>0</v>
      </c>
      <c r="AK62" s="2">
        <v>0</v>
      </c>
      <c r="AL62" s="2">
        <v>0</v>
      </c>
      <c r="AM62" s="2">
        <v>0</v>
      </c>
    </row>
    <row r="63" spans="1:39">
      <c r="A63" s="351">
        <v>90421</v>
      </c>
      <c r="B63" s="344" t="s">
        <v>759</v>
      </c>
      <c r="C63" s="360">
        <v>2.5199999999999999E-5</v>
      </c>
      <c r="E63" s="2">
        <v>10169</v>
      </c>
      <c r="F63" s="2">
        <v>13625</v>
      </c>
      <c r="G63" s="2">
        <v>9284</v>
      </c>
      <c r="H63" s="2">
        <v>3750</v>
      </c>
      <c r="I63" s="2">
        <v>0</v>
      </c>
      <c r="J63" s="2"/>
      <c r="K63" s="2">
        <v>4672</v>
      </c>
      <c r="L63" s="2">
        <v>4304</v>
      </c>
      <c r="M63" s="2">
        <v>2395</v>
      </c>
      <c r="N63" s="2">
        <v>0</v>
      </c>
      <c r="O63" s="2">
        <v>0</v>
      </c>
      <c r="P63" s="2"/>
      <c r="Q63" s="2">
        <v>303</v>
      </c>
      <c r="R63" s="2">
        <v>4236</v>
      </c>
      <c r="S63" s="2">
        <v>4383</v>
      </c>
      <c r="T63" s="2">
        <v>3750</v>
      </c>
      <c r="U63" s="2">
        <v>0</v>
      </c>
      <c r="V63" s="2"/>
      <c r="W63" s="2">
        <v>3699</v>
      </c>
      <c r="X63" s="2">
        <v>3003</v>
      </c>
      <c r="Y63" s="2">
        <v>0</v>
      </c>
      <c r="Z63" s="2">
        <v>0</v>
      </c>
      <c r="AA63" s="2">
        <v>0</v>
      </c>
      <c r="AB63" s="2"/>
      <c r="AC63" s="2">
        <v>2849</v>
      </c>
      <c r="AD63" s="2">
        <v>2849</v>
      </c>
      <c r="AE63" s="2">
        <v>2848</v>
      </c>
      <c r="AF63" s="2">
        <v>0</v>
      </c>
      <c r="AG63" s="2">
        <v>0</v>
      </c>
      <c r="AH63" s="2"/>
      <c r="AI63" s="2">
        <v>-1354</v>
      </c>
      <c r="AJ63" s="2">
        <v>-767</v>
      </c>
      <c r="AK63" s="2">
        <v>-342</v>
      </c>
      <c r="AL63" s="2">
        <v>0</v>
      </c>
      <c r="AM63" s="2">
        <v>-767</v>
      </c>
    </row>
    <row r="64" spans="1:39">
      <c r="A64" s="351">
        <v>90431</v>
      </c>
      <c r="B64" s="344" t="s">
        <v>760</v>
      </c>
      <c r="C64" s="360">
        <v>4.85E-5</v>
      </c>
      <c r="E64" s="2">
        <v>17807</v>
      </c>
      <c r="F64" s="2">
        <v>22475</v>
      </c>
      <c r="G64" s="2">
        <v>13661</v>
      </c>
      <c r="H64" s="2">
        <v>7218</v>
      </c>
      <c r="I64" s="2">
        <v>0</v>
      </c>
      <c r="J64" s="2"/>
      <c r="K64" s="2">
        <v>8992</v>
      </c>
      <c r="L64" s="2">
        <v>8284</v>
      </c>
      <c r="M64" s="2">
        <v>4610</v>
      </c>
      <c r="N64" s="2">
        <v>0</v>
      </c>
      <c r="O64" s="2">
        <v>0</v>
      </c>
      <c r="P64" s="2"/>
      <c r="Q64" s="2">
        <v>583</v>
      </c>
      <c r="R64" s="2">
        <v>8153</v>
      </c>
      <c r="S64" s="2">
        <v>8435</v>
      </c>
      <c r="T64" s="2">
        <v>7218</v>
      </c>
      <c r="U64" s="2">
        <v>0</v>
      </c>
      <c r="V64" s="2"/>
      <c r="W64" s="2">
        <v>7119</v>
      </c>
      <c r="X64" s="2">
        <v>5779</v>
      </c>
      <c r="Y64" s="2">
        <v>0</v>
      </c>
      <c r="Z64" s="2">
        <v>0</v>
      </c>
      <c r="AA64" s="2">
        <v>0</v>
      </c>
      <c r="AB64" s="2"/>
      <c r="AC64" s="2">
        <v>1506</v>
      </c>
      <c r="AD64" s="2">
        <v>651</v>
      </c>
      <c r="AE64" s="2">
        <v>649</v>
      </c>
      <c r="AF64" s="2">
        <v>0</v>
      </c>
      <c r="AG64" s="2">
        <v>0</v>
      </c>
      <c r="AH64" s="2"/>
      <c r="AI64" s="2">
        <v>-393</v>
      </c>
      <c r="AJ64" s="2">
        <v>-392</v>
      </c>
      <c r="AK64" s="2">
        <v>-33</v>
      </c>
      <c r="AL64" s="2">
        <v>0</v>
      </c>
      <c r="AM64" s="2">
        <v>-392</v>
      </c>
    </row>
    <row r="65" spans="1:39">
      <c r="A65" s="351">
        <v>90441</v>
      </c>
      <c r="B65" s="344" t="s">
        <v>761</v>
      </c>
      <c r="C65" s="360">
        <v>5.8000000000000004E-6</v>
      </c>
      <c r="E65" s="2">
        <v>2710</v>
      </c>
      <c r="F65" s="2">
        <v>3325</v>
      </c>
      <c r="G65" s="2">
        <v>2075</v>
      </c>
      <c r="H65" s="2">
        <v>863</v>
      </c>
      <c r="I65" s="2">
        <v>0</v>
      </c>
      <c r="J65" s="2"/>
      <c r="K65" s="2">
        <v>1075</v>
      </c>
      <c r="L65" s="2">
        <v>991</v>
      </c>
      <c r="M65" s="2">
        <v>551</v>
      </c>
      <c r="N65" s="2">
        <v>0</v>
      </c>
      <c r="O65" s="2">
        <v>0</v>
      </c>
      <c r="P65" s="2"/>
      <c r="Q65" s="2">
        <v>70</v>
      </c>
      <c r="R65" s="2">
        <v>975</v>
      </c>
      <c r="S65" s="2">
        <v>1009</v>
      </c>
      <c r="T65" s="2">
        <v>863</v>
      </c>
      <c r="U65" s="2">
        <v>0</v>
      </c>
      <c r="V65" s="2"/>
      <c r="W65" s="2">
        <v>851</v>
      </c>
      <c r="X65" s="2">
        <v>691</v>
      </c>
      <c r="Y65" s="2">
        <v>0</v>
      </c>
      <c r="Z65" s="2">
        <v>0</v>
      </c>
      <c r="AA65" s="2">
        <v>0</v>
      </c>
      <c r="AB65" s="2"/>
      <c r="AC65" s="2">
        <v>714</v>
      </c>
      <c r="AD65" s="2">
        <v>668</v>
      </c>
      <c r="AE65" s="2">
        <v>515</v>
      </c>
      <c r="AF65" s="2">
        <v>0</v>
      </c>
      <c r="AG65" s="2">
        <v>0</v>
      </c>
      <c r="AH65" s="2"/>
      <c r="AI65" s="2">
        <v>0</v>
      </c>
      <c r="AJ65" s="2">
        <v>0</v>
      </c>
      <c r="AK65" s="2">
        <v>0</v>
      </c>
      <c r="AL65" s="2">
        <v>0</v>
      </c>
      <c r="AM65" s="2">
        <v>0</v>
      </c>
    </row>
    <row r="66" spans="1:39">
      <c r="A66" s="351">
        <v>90451</v>
      </c>
      <c r="B66" s="344" t="s">
        <v>762</v>
      </c>
      <c r="C66" s="360">
        <v>2.2399999999999999E-5</v>
      </c>
      <c r="E66" s="2">
        <v>8122</v>
      </c>
      <c r="F66" s="2">
        <v>10855</v>
      </c>
      <c r="G66" s="2">
        <v>5971</v>
      </c>
      <c r="H66" s="2">
        <v>3334</v>
      </c>
      <c r="I66" s="2">
        <v>0</v>
      </c>
      <c r="J66" s="2"/>
      <c r="K66" s="2">
        <v>4153</v>
      </c>
      <c r="L66" s="2">
        <v>3826</v>
      </c>
      <c r="M66" s="2">
        <v>2129</v>
      </c>
      <c r="N66" s="2">
        <v>0</v>
      </c>
      <c r="O66" s="2">
        <v>0</v>
      </c>
      <c r="P66" s="2"/>
      <c r="Q66" s="2">
        <v>269</v>
      </c>
      <c r="R66" s="2">
        <v>3766</v>
      </c>
      <c r="S66" s="2">
        <v>3896</v>
      </c>
      <c r="T66" s="2">
        <v>3334</v>
      </c>
      <c r="U66" s="2">
        <v>0</v>
      </c>
      <c r="V66" s="2"/>
      <c r="W66" s="2">
        <v>3288</v>
      </c>
      <c r="X66" s="2">
        <v>2669</v>
      </c>
      <c r="Y66" s="2">
        <v>0</v>
      </c>
      <c r="Z66" s="2">
        <v>0</v>
      </c>
      <c r="AA66" s="2">
        <v>0</v>
      </c>
      <c r="AB66" s="2"/>
      <c r="AC66" s="2">
        <v>1110</v>
      </c>
      <c r="AD66" s="2">
        <v>1111</v>
      </c>
      <c r="AE66" s="2">
        <v>462</v>
      </c>
      <c r="AF66" s="2">
        <v>0</v>
      </c>
      <c r="AG66" s="2">
        <v>0</v>
      </c>
      <c r="AH66" s="2"/>
      <c r="AI66" s="2">
        <v>-698</v>
      </c>
      <c r="AJ66" s="2">
        <v>-517</v>
      </c>
      <c r="AK66" s="2">
        <v>-516</v>
      </c>
      <c r="AL66" s="2">
        <v>0</v>
      </c>
      <c r="AM66" s="2">
        <v>-517</v>
      </c>
    </row>
    <row r="67" spans="1:39">
      <c r="A67" s="351">
        <v>90461</v>
      </c>
      <c r="B67" s="344" t="s">
        <v>763</v>
      </c>
      <c r="C67" s="360">
        <v>1.9E-6</v>
      </c>
      <c r="E67" s="2">
        <v>124</v>
      </c>
      <c r="F67" s="2">
        <v>1921</v>
      </c>
      <c r="G67" s="2">
        <v>1541</v>
      </c>
      <c r="H67" s="2">
        <v>283</v>
      </c>
      <c r="I67" s="2">
        <v>0</v>
      </c>
      <c r="J67" s="2"/>
      <c r="K67" s="2">
        <v>352</v>
      </c>
      <c r="L67" s="2">
        <v>325</v>
      </c>
      <c r="M67" s="2">
        <v>181</v>
      </c>
      <c r="N67" s="2">
        <v>0</v>
      </c>
      <c r="O67" s="2">
        <v>0</v>
      </c>
      <c r="P67" s="2"/>
      <c r="Q67" s="2">
        <v>23</v>
      </c>
      <c r="R67" s="2">
        <v>319</v>
      </c>
      <c r="S67" s="2">
        <v>330</v>
      </c>
      <c r="T67" s="2">
        <v>283</v>
      </c>
      <c r="U67" s="2">
        <v>0</v>
      </c>
      <c r="V67" s="2"/>
      <c r="W67" s="2">
        <v>279</v>
      </c>
      <c r="X67" s="2">
        <v>226</v>
      </c>
      <c r="Y67" s="2">
        <v>0</v>
      </c>
      <c r="Z67" s="2">
        <v>0</v>
      </c>
      <c r="AA67" s="2">
        <v>0</v>
      </c>
      <c r="AB67" s="2"/>
      <c r="AC67" s="2">
        <v>1708</v>
      </c>
      <c r="AD67" s="2">
        <v>1706</v>
      </c>
      <c r="AE67" s="2">
        <v>1686</v>
      </c>
      <c r="AF67" s="2">
        <v>0</v>
      </c>
      <c r="AG67" s="2">
        <v>0</v>
      </c>
      <c r="AH67" s="2"/>
      <c r="AI67" s="2">
        <v>-2238</v>
      </c>
      <c r="AJ67" s="2">
        <v>-655</v>
      </c>
      <c r="AK67" s="2">
        <v>-656</v>
      </c>
      <c r="AL67" s="2">
        <v>0</v>
      </c>
      <c r="AM67" s="2">
        <v>-655</v>
      </c>
    </row>
    <row r="68" spans="1:39">
      <c r="A68" s="351">
        <v>90501</v>
      </c>
      <c r="B68" s="344" t="s">
        <v>764</v>
      </c>
      <c r="C68" s="360">
        <v>1.4997999999999999E-3</v>
      </c>
      <c r="E68" s="2">
        <v>563134</v>
      </c>
      <c r="F68" s="2">
        <v>727075</v>
      </c>
      <c r="G68" s="2">
        <v>444977</v>
      </c>
      <c r="H68" s="2">
        <v>223203</v>
      </c>
      <c r="I68" s="2">
        <v>0</v>
      </c>
      <c r="J68" s="2"/>
      <c r="K68" s="2">
        <v>278076</v>
      </c>
      <c r="L68" s="2">
        <v>256157</v>
      </c>
      <c r="M68" s="2">
        <v>142568</v>
      </c>
      <c r="N68" s="2">
        <v>0</v>
      </c>
      <c r="O68" s="2">
        <v>0</v>
      </c>
      <c r="P68" s="2"/>
      <c r="Q68" s="2">
        <v>18026</v>
      </c>
      <c r="R68" s="2">
        <v>252124</v>
      </c>
      <c r="S68" s="2">
        <v>260842</v>
      </c>
      <c r="T68" s="2">
        <v>223203</v>
      </c>
      <c r="U68" s="2">
        <v>0</v>
      </c>
      <c r="V68" s="2"/>
      <c r="W68" s="2">
        <v>220135</v>
      </c>
      <c r="X68" s="2">
        <v>178712</v>
      </c>
      <c r="Y68" s="2">
        <v>0</v>
      </c>
      <c r="Z68" s="2">
        <v>0</v>
      </c>
      <c r="AA68" s="2">
        <v>0</v>
      </c>
      <c r="AB68" s="2"/>
      <c r="AC68" s="2">
        <v>48384</v>
      </c>
      <c r="AD68" s="2">
        <v>41569</v>
      </c>
      <c r="AE68" s="2">
        <v>41567</v>
      </c>
      <c r="AF68" s="2">
        <v>0</v>
      </c>
      <c r="AG68" s="2">
        <v>0</v>
      </c>
      <c r="AH68" s="2"/>
      <c r="AI68" s="2">
        <v>-1487</v>
      </c>
      <c r="AJ68" s="2">
        <v>-1487</v>
      </c>
      <c r="AK68" s="2">
        <v>0</v>
      </c>
      <c r="AL68" s="2">
        <v>0</v>
      </c>
      <c r="AM68" s="2">
        <v>-1487</v>
      </c>
    </row>
    <row r="69" spans="1:39">
      <c r="A69" s="351">
        <v>90507</v>
      </c>
      <c r="B69" s="344" t="s">
        <v>34</v>
      </c>
      <c r="C69" s="360">
        <v>1.1199999999999999E-5</v>
      </c>
      <c r="E69" s="2">
        <v>11835</v>
      </c>
      <c r="F69" s="2">
        <v>11749</v>
      </c>
      <c r="G69" s="2">
        <v>8096</v>
      </c>
      <c r="H69" s="2">
        <v>1667</v>
      </c>
      <c r="I69" s="2">
        <v>0</v>
      </c>
      <c r="J69" s="2"/>
      <c r="K69" s="2">
        <v>2077</v>
      </c>
      <c r="L69" s="2">
        <v>1913</v>
      </c>
      <c r="M69" s="2">
        <v>1065</v>
      </c>
      <c r="N69" s="2">
        <v>0</v>
      </c>
      <c r="O69" s="2">
        <v>0</v>
      </c>
      <c r="P69" s="2"/>
      <c r="Q69" s="2">
        <v>135</v>
      </c>
      <c r="R69" s="2">
        <v>1883</v>
      </c>
      <c r="S69" s="2">
        <v>1948</v>
      </c>
      <c r="T69" s="2">
        <v>1667</v>
      </c>
      <c r="U69" s="2">
        <v>0</v>
      </c>
      <c r="V69" s="2"/>
      <c r="W69" s="2">
        <v>1644</v>
      </c>
      <c r="X69" s="2">
        <v>1335</v>
      </c>
      <c r="Y69" s="2">
        <v>0</v>
      </c>
      <c r="Z69" s="2">
        <v>0</v>
      </c>
      <c r="AA69" s="2">
        <v>0</v>
      </c>
      <c r="AB69" s="2"/>
      <c r="AC69" s="2">
        <v>7979</v>
      </c>
      <c r="AD69" s="2">
        <v>6618</v>
      </c>
      <c r="AE69" s="2">
        <v>5083</v>
      </c>
      <c r="AF69" s="2">
        <v>0</v>
      </c>
      <c r="AG69" s="2">
        <v>0</v>
      </c>
      <c r="AH69" s="2"/>
      <c r="AI69" s="2">
        <v>0</v>
      </c>
      <c r="AJ69" s="2">
        <v>0</v>
      </c>
      <c r="AK69" s="2">
        <v>0</v>
      </c>
      <c r="AL69" s="2">
        <v>0</v>
      </c>
      <c r="AM69" s="2">
        <v>0</v>
      </c>
    </row>
    <row r="70" spans="1:39">
      <c r="A70" s="351">
        <v>90511</v>
      </c>
      <c r="B70" s="344" t="s">
        <v>765</v>
      </c>
      <c r="C70" s="360">
        <v>9.2200000000000005E-5</v>
      </c>
      <c r="E70" s="2">
        <v>39343</v>
      </c>
      <c r="F70" s="2">
        <v>48774</v>
      </c>
      <c r="G70" s="2">
        <v>29285</v>
      </c>
      <c r="H70" s="2">
        <v>13721</v>
      </c>
      <c r="I70" s="2">
        <v>0</v>
      </c>
      <c r="J70" s="2"/>
      <c r="K70" s="2">
        <v>17095</v>
      </c>
      <c r="L70" s="2">
        <v>15747</v>
      </c>
      <c r="M70" s="2">
        <v>8764</v>
      </c>
      <c r="N70" s="2">
        <v>0</v>
      </c>
      <c r="O70" s="2">
        <v>0</v>
      </c>
      <c r="P70" s="2"/>
      <c r="Q70" s="2">
        <v>1108</v>
      </c>
      <c r="R70" s="2">
        <v>15499</v>
      </c>
      <c r="S70" s="2">
        <v>16035</v>
      </c>
      <c r="T70" s="2">
        <v>13721</v>
      </c>
      <c r="U70" s="2">
        <v>0</v>
      </c>
      <c r="V70" s="2"/>
      <c r="W70" s="2">
        <v>13533</v>
      </c>
      <c r="X70" s="2">
        <v>10986</v>
      </c>
      <c r="Y70" s="2">
        <v>0</v>
      </c>
      <c r="Z70" s="2">
        <v>0</v>
      </c>
      <c r="AA70" s="2">
        <v>0</v>
      </c>
      <c r="AB70" s="2"/>
      <c r="AC70" s="2">
        <v>8493</v>
      </c>
      <c r="AD70" s="2">
        <v>7428</v>
      </c>
      <c r="AE70" s="2">
        <v>5370</v>
      </c>
      <c r="AF70" s="2">
        <v>0</v>
      </c>
      <c r="AG70" s="2">
        <v>0</v>
      </c>
      <c r="AH70" s="2"/>
      <c r="AI70" s="2">
        <v>-886</v>
      </c>
      <c r="AJ70" s="2">
        <v>-886</v>
      </c>
      <c r="AK70" s="2">
        <v>-884</v>
      </c>
      <c r="AL70" s="2">
        <v>0</v>
      </c>
      <c r="AM70" s="2">
        <v>-886</v>
      </c>
    </row>
    <row r="71" spans="1:39">
      <c r="A71" s="351">
        <v>90521</v>
      </c>
      <c r="B71" s="344" t="s">
        <v>766</v>
      </c>
      <c r="C71" s="360">
        <v>1.4129999999999999E-4</v>
      </c>
      <c r="E71" s="2">
        <v>42025</v>
      </c>
      <c r="F71" s="2">
        <v>59733</v>
      </c>
      <c r="G71" s="2">
        <v>36238</v>
      </c>
      <c r="H71" s="2">
        <v>21029</v>
      </c>
      <c r="I71" s="2">
        <v>0</v>
      </c>
      <c r="J71" s="2"/>
      <c r="K71" s="2">
        <v>26198</v>
      </c>
      <c r="L71" s="2">
        <v>24133</v>
      </c>
      <c r="M71" s="2">
        <v>13432</v>
      </c>
      <c r="N71" s="2">
        <v>0</v>
      </c>
      <c r="O71" s="2">
        <v>0</v>
      </c>
      <c r="P71" s="2"/>
      <c r="Q71" s="2">
        <v>1698</v>
      </c>
      <c r="R71" s="2">
        <v>23753</v>
      </c>
      <c r="S71" s="2">
        <v>24575</v>
      </c>
      <c r="T71" s="2">
        <v>21029</v>
      </c>
      <c r="U71" s="2">
        <v>0</v>
      </c>
      <c r="V71" s="2"/>
      <c r="W71" s="2">
        <v>20739</v>
      </c>
      <c r="X71" s="2">
        <v>16837</v>
      </c>
      <c r="Y71" s="2">
        <v>0</v>
      </c>
      <c r="Z71" s="2">
        <v>0</v>
      </c>
      <c r="AA71" s="2">
        <v>0</v>
      </c>
      <c r="AB71" s="2"/>
      <c r="AC71" s="2">
        <v>0</v>
      </c>
      <c r="AD71" s="2">
        <v>0</v>
      </c>
      <c r="AE71" s="2">
        <v>0</v>
      </c>
      <c r="AF71" s="2">
        <v>0</v>
      </c>
      <c r="AG71" s="2">
        <v>0</v>
      </c>
      <c r="AH71" s="2"/>
      <c r="AI71" s="2">
        <v>-6610</v>
      </c>
      <c r="AJ71" s="2">
        <v>-4990</v>
      </c>
      <c r="AK71" s="2">
        <v>-1769</v>
      </c>
      <c r="AL71" s="2">
        <v>0</v>
      </c>
      <c r="AM71" s="2">
        <v>-4990</v>
      </c>
    </row>
    <row r="72" spans="1:39">
      <c r="A72" s="351">
        <v>90601</v>
      </c>
      <c r="B72" s="344" t="s">
        <v>767</v>
      </c>
      <c r="C72" s="360">
        <v>1.242E-3</v>
      </c>
      <c r="E72" s="2">
        <v>475045</v>
      </c>
      <c r="F72" s="2">
        <v>615696</v>
      </c>
      <c r="G72" s="2">
        <v>387364</v>
      </c>
      <c r="H72" s="2">
        <v>184837</v>
      </c>
      <c r="I72" s="2">
        <v>0</v>
      </c>
      <c r="J72" s="2"/>
      <c r="K72" s="2">
        <v>230278</v>
      </c>
      <c r="L72" s="2">
        <v>212126</v>
      </c>
      <c r="M72" s="2">
        <v>118062</v>
      </c>
      <c r="N72" s="2">
        <v>0</v>
      </c>
      <c r="O72" s="2">
        <v>0</v>
      </c>
      <c r="P72" s="2"/>
      <c r="Q72" s="2">
        <v>14928</v>
      </c>
      <c r="R72" s="2">
        <v>208786</v>
      </c>
      <c r="S72" s="2">
        <v>216006</v>
      </c>
      <c r="T72" s="2">
        <v>184837</v>
      </c>
      <c r="U72" s="2">
        <v>0</v>
      </c>
      <c r="V72" s="2"/>
      <c r="W72" s="2">
        <v>182296</v>
      </c>
      <c r="X72" s="2">
        <v>147993</v>
      </c>
      <c r="Y72" s="2">
        <v>0</v>
      </c>
      <c r="Z72" s="2">
        <v>0</v>
      </c>
      <c r="AA72" s="2">
        <v>0</v>
      </c>
      <c r="AB72" s="2"/>
      <c r="AC72" s="2">
        <v>54047</v>
      </c>
      <c r="AD72" s="2">
        <v>53293</v>
      </c>
      <c r="AE72" s="2">
        <v>53296</v>
      </c>
      <c r="AF72" s="2">
        <v>0</v>
      </c>
      <c r="AG72" s="2">
        <v>0</v>
      </c>
      <c r="AH72" s="2"/>
      <c r="AI72" s="2">
        <v>-6504</v>
      </c>
      <c r="AJ72" s="2">
        <v>-6502</v>
      </c>
      <c r="AK72" s="2">
        <v>0</v>
      </c>
      <c r="AL72" s="2">
        <v>0</v>
      </c>
      <c r="AM72" s="2">
        <v>-6502</v>
      </c>
    </row>
    <row r="73" spans="1:39">
      <c r="A73" s="351">
        <v>90602</v>
      </c>
      <c r="B73" s="344" t="s">
        <v>259</v>
      </c>
      <c r="C73" s="360">
        <v>8.0099999999999995E-5</v>
      </c>
      <c r="E73" s="2">
        <v>29257</v>
      </c>
      <c r="F73" s="2">
        <v>37175</v>
      </c>
      <c r="G73" s="2">
        <v>19549</v>
      </c>
      <c r="H73" s="2">
        <v>11921</v>
      </c>
      <c r="I73" s="2">
        <v>0</v>
      </c>
      <c r="J73" s="2"/>
      <c r="K73" s="2">
        <v>14851</v>
      </c>
      <c r="L73" s="2">
        <v>13681</v>
      </c>
      <c r="M73" s="2">
        <v>7614</v>
      </c>
      <c r="N73" s="2">
        <v>0</v>
      </c>
      <c r="O73" s="2">
        <v>0</v>
      </c>
      <c r="P73" s="2"/>
      <c r="Q73" s="2">
        <v>963</v>
      </c>
      <c r="R73" s="2">
        <v>13465</v>
      </c>
      <c r="S73" s="2">
        <v>13931</v>
      </c>
      <c r="T73" s="2">
        <v>11921</v>
      </c>
      <c r="U73" s="2">
        <v>0</v>
      </c>
      <c r="V73" s="2"/>
      <c r="W73" s="2">
        <v>11757</v>
      </c>
      <c r="X73" s="2">
        <v>9544</v>
      </c>
      <c r="Y73" s="2">
        <v>0</v>
      </c>
      <c r="Z73" s="2">
        <v>0</v>
      </c>
      <c r="AA73" s="2">
        <v>0</v>
      </c>
      <c r="AB73" s="2"/>
      <c r="AC73" s="2">
        <v>11261</v>
      </c>
      <c r="AD73" s="2">
        <v>10060</v>
      </c>
      <c r="AE73" s="2">
        <v>7580</v>
      </c>
      <c r="AF73" s="2">
        <v>0</v>
      </c>
      <c r="AG73" s="2">
        <v>0</v>
      </c>
      <c r="AH73" s="2"/>
      <c r="AI73" s="2">
        <v>-9575</v>
      </c>
      <c r="AJ73" s="2">
        <v>-9575</v>
      </c>
      <c r="AK73" s="2">
        <v>-9576</v>
      </c>
      <c r="AL73" s="2">
        <v>0</v>
      </c>
      <c r="AM73" s="2">
        <v>-9575</v>
      </c>
    </row>
    <row r="74" spans="1:39">
      <c r="A74" s="351">
        <v>90605</v>
      </c>
      <c r="B74" s="344" t="s">
        <v>3643</v>
      </c>
      <c r="C74" s="360">
        <v>4.8399999999999997E-5</v>
      </c>
      <c r="E74" s="2">
        <v>22237</v>
      </c>
      <c r="F74" s="2">
        <v>25905</v>
      </c>
      <c r="G74" s="2">
        <v>15568</v>
      </c>
      <c r="H74" s="2">
        <v>7203</v>
      </c>
      <c r="I74" s="2">
        <v>0</v>
      </c>
      <c r="J74" s="2"/>
      <c r="K74" s="2">
        <v>8974</v>
      </c>
      <c r="L74" s="2">
        <v>8266</v>
      </c>
      <c r="M74" s="2">
        <v>4601</v>
      </c>
      <c r="N74" s="2">
        <v>0</v>
      </c>
      <c r="O74" s="2">
        <v>0</v>
      </c>
      <c r="P74" s="2"/>
      <c r="Q74" s="2">
        <v>582</v>
      </c>
      <c r="R74" s="2">
        <v>8136</v>
      </c>
      <c r="S74" s="2">
        <v>8418</v>
      </c>
      <c r="T74" s="2">
        <v>7203</v>
      </c>
      <c r="U74" s="2">
        <v>0</v>
      </c>
      <c r="V74" s="2"/>
      <c r="W74" s="2">
        <v>7104</v>
      </c>
      <c r="X74" s="2">
        <v>5767</v>
      </c>
      <c r="Y74" s="2">
        <v>0</v>
      </c>
      <c r="Z74" s="2">
        <v>0</v>
      </c>
      <c r="AA74" s="2">
        <v>0</v>
      </c>
      <c r="AB74" s="2"/>
      <c r="AC74" s="2">
        <v>5762</v>
      </c>
      <c r="AD74" s="2">
        <v>3921</v>
      </c>
      <c r="AE74" s="2">
        <v>2734</v>
      </c>
      <c r="AF74" s="2">
        <v>0</v>
      </c>
      <c r="AG74" s="2">
        <v>0</v>
      </c>
      <c r="AH74" s="2"/>
      <c r="AI74" s="2">
        <v>-185</v>
      </c>
      <c r="AJ74" s="2">
        <v>-185</v>
      </c>
      <c r="AK74" s="2">
        <v>-185</v>
      </c>
      <c r="AL74" s="2">
        <v>0</v>
      </c>
      <c r="AM74" s="2">
        <v>-185</v>
      </c>
    </row>
    <row r="75" spans="1:39">
      <c r="A75" s="351">
        <v>90611</v>
      </c>
      <c r="B75" s="344" t="s">
        <v>769</v>
      </c>
      <c r="C75" s="360">
        <v>1.4320000000000001E-4</v>
      </c>
      <c r="E75" s="2">
        <v>40496</v>
      </c>
      <c r="F75" s="2">
        <v>58916</v>
      </c>
      <c r="G75" s="2">
        <v>33966</v>
      </c>
      <c r="H75" s="2">
        <v>21311</v>
      </c>
      <c r="I75" s="2">
        <v>0</v>
      </c>
      <c r="J75" s="2"/>
      <c r="K75" s="2">
        <v>26551</v>
      </c>
      <c r="L75" s="2">
        <v>24458</v>
      </c>
      <c r="M75" s="2">
        <v>13612</v>
      </c>
      <c r="N75" s="2">
        <v>0</v>
      </c>
      <c r="O75" s="2">
        <v>0</v>
      </c>
      <c r="P75" s="2"/>
      <c r="Q75" s="2">
        <v>1721</v>
      </c>
      <c r="R75" s="2">
        <v>24073</v>
      </c>
      <c r="S75" s="2">
        <v>24905</v>
      </c>
      <c r="T75" s="2">
        <v>21311</v>
      </c>
      <c r="U75" s="2">
        <v>0</v>
      </c>
      <c r="V75" s="2"/>
      <c r="W75" s="2">
        <v>21018</v>
      </c>
      <c r="X75" s="2">
        <v>17063</v>
      </c>
      <c r="Y75" s="2">
        <v>0</v>
      </c>
      <c r="Z75" s="2">
        <v>0</v>
      </c>
      <c r="AA75" s="2">
        <v>0</v>
      </c>
      <c r="AB75" s="2"/>
      <c r="AC75" s="2">
        <v>1242</v>
      </c>
      <c r="AD75" s="2">
        <v>1242</v>
      </c>
      <c r="AE75" s="2">
        <v>1244</v>
      </c>
      <c r="AF75" s="2">
        <v>0</v>
      </c>
      <c r="AG75" s="2">
        <v>0</v>
      </c>
      <c r="AH75" s="2"/>
      <c r="AI75" s="2">
        <v>-10036</v>
      </c>
      <c r="AJ75" s="2">
        <v>-7920</v>
      </c>
      <c r="AK75" s="2">
        <v>-5795</v>
      </c>
      <c r="AL75" s="2">
        <v>0</v>
      </c>
      <c r="AM75" s="2">
        <v>-7920</v>
      </c>
    </row>
    <row r="76" spans="1:39">
      <c r="A76" s="351">
        <v>90617</v>
      </c>
      <c r="B76" s="344" t="s">
        <v>770</v>
      </c>
      <c r="C76" s="360">
        <v>2.94E-5</v>
      </c>
      <c r="E76" s="2">
        <v>13290</v>
      </c>
      <c r="F76" s="2">
        <v>15994</v>
      </c>
      <c r="G76" s="2">
        <v>9948</v>
      </c>
      <c r="H76" s="2">
        <v>4375</v>
      </c>
      <c r="I76" s="2">
        <v>0</v>
      </c>
      <c r="J76" s="2"/>
      <c r="K76" s="2">
        <v>5451</v>
      </c>
      <c r="L76" s="2">
        <v>5021</v>
      </c>
      <c r="M76" s="2">
        <v>2795</v>
      </c>
      <c r="N76" s="2">
        <v>0</v>
      </c>
      <c r="O76" s="2">
        <v>0</v>
      </c>
      <c r="P76" s="2"/>
      <c r="Q76" s="2">
        <v>353</v>
      </c>
      <c r="R76" s="2">
        <v>4942</v>
      </c>
      <c r="S76" s="2">
        <v>5113</v>
      </c>
      <c r="T76" s="2">
        <v>4375</v>
      </c>
      <c r="U76" s="2">
        <v>0</v>
      </c>
      <c r="V76" s="2"/>
      <c r="W76" s="2">
        <v>4315</v>
      </c>
      <c r="X76" s="2">
        <v>3503</v>
      </c>
      <c r="Y76" s="2">
        <v>0</v>
      </c>
      <c r="Z76" s="2">
        <v>0</v>
      </c>
      <c r="AA76" s="2">
        <v>0</v>
      </c>
      <c r="AB76" s="2"/>
      <c r="AC76" s="2">
        <v>3171</v>
      </c>
      <c r="AD76" s="2">
        <v>2528</v>
      </c>
      <c r="AE76" s="2">
        <v>2040</v>
      </c>
      <c r="AF76" s="2">
        <v>0</v>
      </c>
      <c r="AG76" s="2">
        <v>0</v>
      </c>
      <c r="AH76" s="2"/>
      <c r="AI76" s="2">
        <v>0</v>
      </c>
      <c r="AJ76" s="2">
        <v>0</v>
      </c>
      <c r="AK76" s="2">
        <v>0</v>
      </c>
      <c r="AL76" s="2">
        <v>0</v>
      </c>
      <c r="AM76" s="2">
        <v>0</v>
      </c>
    </row>
    <row r="77" spans="1:39">
      <c r="A77" s="351">
        <v>90621</v>
      </c>
      <c r="B77" s="344" t="s">
        <v>771</v>
      </c>
      <c r="C77" s="360">
        <v>6.9300000000000004E-5</v>
      </c>
      <c r="E77" s="2">
        <v>20143</v>
      </c>
      <c r="F77" s="2">
        <v>31435</v>
      </c>
      <c r="G77" s="2">
        <v>19020</v>
      </c>
      <c r="H77" s="2">
        <v>10313</v>
      </c>
      <c r="I77" s="2">
        <v>0</v>
      </c>
      <c r="J77" s="2"/>
      <c r="K77" s="2">
        <v>12849</v>
      </c>
      <c r="L77" s="2">
        <v>11836</v>
      </c>
      <c r="M77" s="2">
        <v>6588</v>
      </c>
      <c r="N77" s="2">
        <v>0</v>
      </c>
      <c r="O77" s="2">
        <v>0</v>
      </c>
      <c r="P77" s="2"/>
      <c r="Q77" s="2">
        <v>833</v>
      </c>
      <c r="R77" s="2">
        <v>11650</v>
      </c>
      <c r="S77" s="2">
        <v>12053</v>
      </c>
      <c r="T77" s="2">
        <v>10313</v>
      </c>
      <c r="U77" s="2">
        <v>0</v>
      </c>
      <c r="V77" s="2"/>
      <c r="W77" s="2">
        <v>10172</v>
      </c>
      <c r="X77" s="2">
        <v>8258</v>
      </c>
      <c r="Y77" s="2">
        <v>0</v>
      </c>
      <c r="Z77" s="2">
        <v>0</v>
      </c>
      <c r="AA77" s="2">
        <v>0</v>
      </c>
      <c r="AB77" s="2"/>
      <c r="AC77" s="2">
        <v>552</v>
      </c>
      <c r="AD77" s="2">
        <v>552</v>
      </c>
      <c r="AE77" s="2">
        <v>552</v>
      </c>
      <c r="AF77" s="2">
        <v>0</v>
      </c>
      <c r="AG77" s="2">
        <v>0</v>
      </c>
      <c r="AH77" s="2"/>
      <c r="AI77" s="2">
        <v>-4263</v>
      </c>
      <c r="AJ77" s="2">
        <v>-861</v>
      </c>
      <c r="AK77" s="2">
        <v>-173</v>
      </c>
      <c r="AL77" s="2">
        <v>0</v>
      </c>
      <c r="AM77" s="2">
        <v>-861</v>
      </c>
    </row>
    <row r="78" spans="1:39">
      <c r="A78" s="351">
        <v>90631</v>
      </c>
      <c r="B78" s="344" t="s">
        <v>772</v>
      </c>
      <c r="C78" s="360">
        <v>3.636E-4</v>
      </c>
      <c r="E78" s="2">
        <v>125692</v>
      </c>
      <c r="F78" s="2">
        <v>165716</v>
      </c>
      <c r="G78" s="2">
        <v>101020</v>
      </c>
      <c r="H78" s="2">
        <v>54112</v>
      </c>
      <c r="I78" s="2">
        <v>0</v>
      </c>
      <c r="J78" s="2"/>
      <c r="K78" s="2">
        <v>67415</v>
      </c>
      <c r="L78" s="2">
        <v>62101</v>
      </c>
      <c r="M78" s="2">
        <v>34563</v>
      </c>
      <c r="N78" s="2">
        <v>0</v>
      </c>
      <c r="O78" s="2">
        <v>0</v>
      </c>
      <c r="P78" s="2"/>
      <c r="Q78" s="2">
        <v>4370</v>
      </c>
      <c r="R78" s="2">
        <v>61123</v>
      </c>
      <c r="S78" s="2">
        <v>63237</v>
      </c>
      <c r="T78" s="2">
        <v>54112</v>
      </c>
      <c r="U78" s="2">
        <v>0</v>
      </c>
      <c r="V78" s="2"/>
      <c r="W78" s="2">
        <v>53368</v>
      </c>
      <c r="X78" s="2">
        <v>43325</v>
      </c>
      <c r="Y78" s="2">
        <v>0</v>
      </c>
      <c r="Z78" s="2">
        <v>0</v>
      </c>
      <c r="AA78" s="2">
        <v>0</v>
      </c>
      <c r="AB78" s="2"/>
      <c r="AC78" s="2">
        <v>4597</v>
      </c>
      <c r="AD78" s="2">
        <v>3223</v>
      </c>
      <c r="AE78" s="2">
        <v>3220</v>
      </c>
      <c r="AF78" s="2">
        <v>0</v>
      </c>
      <c r="AG78" s="2">
        <v>0</v>
      </c>
      <c r="AH78" s="2"/>
      <c r="AI78" s="2">
        <v>-4058</v>
      </c>
      <c r="AJ78" s="2">
        <v>-4056</v>
      </c>
      <c r="AK78" s="2">
        <v>0</v>
      </c>
      <c r="AL78" s="2">
        <v>0</v>
      </c>
      <c r="AM78" s="2">
        <v>-4056</v>
      </c>
    </row>
    <row r="79" spans="1:39">
      <c r="A79" s="351">
        <v>90641</v>
      </c>
      <c r="B79" s="344" t="s">
        <v>773</v>
      </c>
      <c r="C79" s="360">
        <v>1.1E-5</v>
      </c>
      <c r="E79" s="2">
        <v>3751</v>
      </c>
      <c r="F79" s="2">
        <v>4984</v>
      </c>
      <c r="G79" s="2">
        <v>2884</v>
      </c>
      <c r="H79" s="2">
        <v>1637</v>
      </c>
      <c r="I79" s="2">
        <v>0</v>
      </c>
      <c r="J79" s="2"/>
      <c r="K79" s="2">
        <v>2039</v>
      </c>
      <c r="L79" s="2">
        <v>1879</v>
      </c>
      <c r="M79" s="2">
        <v>1046</v>
      </c>
      <c r="N79" s="2">
        <v>0</v>
      </c>
      <c r="O79" s="2">
        <v>0</v>
      </c>
      <c r="P79" s="2"/>
      <c r="Q79" s="2">
        <v>132</v>
      </c>
      <c r="R79" s="2">
        <v>1849</v>
      </c>
      <c r="S79" s="2">
        <v>1913</v>
      </c>
      <c r="T79" s="2">
        <v>1637</v>
      </c>
      <c r="U79" s="2">
        <v>0</v>
      </c>
      <c r="V79" s="2"/>
      <c r="W79" s="2">
        <v>1615</v>
      </c>
      <c r="X79" s="2">
        <v>1311</v>
      </c>
      <c r="Y79" s="2">
        <v>0</v>
      </c>
      <c r="Z79" s="2">
        <v>0</v>
      </c>
      <c r="AA79" s="2">
        <v>0</v>
      </c>
      <c r="AB79" s="2"/>
      <c r="AC79" s="2">
        <v>70</v>
      </c>
      <c r="AD79" s="2">
        <v>50</v>
      </c>
      <c r="AE79" s="2">
        <v>28</v>
      </c>
      <c r="AF79" s="2">
        <v>0</v>
      </c>
      <c r="AG79" s="2">
        <v>0</v>
      </c>
      <c r="AH79" s="2"/>
      <c r="AI79" s="2">
        <v>-105</v>
      </c>
      <c r="AJ79" s="2">
        <v>-105</v>
      </c>
      <c r="AK79" s="2">
        <v>-103</v>
      </c>
      <c r="AL79" s="2">
        <v>0</v>
      </c>
      <c r="AM79" s="2">
        <v>-105</v>
      </c>
    </row>
    <row r="80" spans="1:39">
      <c r="A80" s="351">
        <v>90651</v>
      </c>
      <c r="B80" s="344" t="s">
        <v>774</v>
      </c>
      <c r="C80" s="360">
        <v>9.5199999999999997E-5</v>
      </c>
      <c r="E80" s="2">
        <v>62450</v>
      </c>
      <c r="F80" s="2">
        <v>64672</v>
      </c>
      <c r="G80" s="2">
        <v>35410</v>
      </c>
      <c r="H80" s="2">
        <v>14168</v>
      </c>
      <c r="I80" s="2">
        <v>0</v>
      </c>
      <c r="J80" s="2"/>
      <c r="K80" s="2">
        <v>17651</v>
      </c>
      <c r="L80" s="2">
        <v>16260</v>
      </c>
      <c r="M80" s="2">
        <v>9050</v>
      </c>
      <c r="N80" s="2">
        <v>0</v>
      </c>
      <c r="O80" s="2">
        <v>0</v>
      </c>
      <c r="P80" s="2"/>
      <c r="Q80" s="2">
        <v>1144</v>
      </c>
      <c r="R80" s="2">
        <v>16004</v>
      </c>
      <c r="S80" s="2">
        <v>16557</v>
      </c>
      <c r="T80" s="2">
        <v>14168</v>
      </c>
      <c r="U80" s="2">
        <v>0</v>
      </c>
      <c r="V80" s="2"/>
      <c r="W80" s="2">
        <v>13973</v>
      </c>
      <c r="X80" s="2">
        <v>11344</v>
      </c>
      <c r="Y80" s="2">
        <v>0</v>
      </c>
      <c r="Z80" s="2">
        <v>0</v>
      </c>
      <c r="AA80" s="2">
        <v>0</v>
      </c>
      <c r="AB80" s="2"/>
      <c r="AC80" s="2">
        <v>30466</v>
      </c>
      <c r="AD80" s="2">
        <v>21848</v>
      </c>
      <c r="AE80" s="2">
        <v>10585</v>
      </c>
      <c r="AF80" s="2">
        <v>0</v>
      </c>
      <c r="AG80" s="2">
        <v>0</v>
      </c>
      <c r="AH80" s="2"/>
      <c r="AI80" s="2">
        <v>-784</v>
      </c>
      <c r="AJ80" s="2">
        <v>-784</v>
      </c>
      <c r="AK80" s="2">
        <v>-782</v>
      </c>
      <c r="AL80" s="2">
        <v>0</v>
      </c>
      <c r="AM80" s="2">
        <v>-784</v>
      </c>
    </row>
    <row r="81" spans="1:39">
      <c r="A81" s="351">
        <v>90701</v>
      </c>
      <c r="B81" s="344" t="s">
        <v>775</v>
      </c>
      <c r="C81" s="360">
        <v>2.5049E-3</v>
      </c>
      <c r="E81" s="2">
        <v>772842</v>
      </c>
      <c r="F81" s="2">
        <v>1029781</v>
      </c>
      <c r="G81" s="2">
        <v>578765</v>
      </c>
      <c r="H81" s="2">
        <v>372784</v>
      </c>
      <c r="I81" s="2">
        <v>0</v>
      </c>
      <c r="J81" s="2"/>
      <c r="K81" s="2">
        <v>464431</v>
      </c>
      <c r="L81" s="2">
        <v>427822</v>
      </c>
      <c r="M81" s="2">
        <v>238111</v>
      </c>
      <c r="N81" s="2">
        <v>0</v>
      </c>
      <c r="O81" s="2">
        <v>0</v>
      </c>
      <c r="P81" s="2"/>
      <c r="Q81" s="2">
        <v>30106</v>
      </c>
      <c r="R81" s="2">
        <v>421086</v>
      </c>
      <c r="S81" s="2">
        <v>435647</v>
      </c>
      <c r="T81" s="2">
        <v>372784</v>
      </c>
      <c r="U81" s="2">
        <v>0</v>
      </c>
      <c r="V81" s="2"/>
      <c r="W81" s="2">
        <v>367659</v>
      </c>
      <c r="X81" s="2">
        <v>298476</v>
      </c>
      <c r="Y81" s="2">
        <v>0</v>
      </c>
      <c r="Z81" s="2">
        <v>0</v>
      </c>
      <c r="AA81" s="2">
        <v>0</v>
      </c>
      <c r="AB81" s="2"/>
      <c r="AC81" s="2">
        <v>28249</v>
      </c>
      <c r="AD81" s="2">
        <v>0</v>
      </c>
      <c r="AE81" s="2">
        <v>0</v>
      </c>
      <c r="AF81" s="2">
        <v>0</v>
      </c>
      <c r="AG81" s="2">
        <v>0</v>
      </c>
      <c r="AH81" s="2"/>
      <c r="AI81" s="2">
        <v>-117603</v>
      </c>
      <c r="AJ81" s="2">
        <v>-117603</v>
      </c>
      <c r="AK81" s="2">
        <v>-94993</v>
      </c>
      <c r="AL81" s="2">
        <v>0</v>
      </c>
      <c r="AM81" s="2">
        <v>-117603</v>
      </c>
    </row>
    <row r="82" spans="1:39">
      <c r="A82" s="351">
        <v>90704</v>
      </c>
      <c r="B82" s="344" t="s">
        <v>776</v>
      </c>
      <c r="C82" s="360">
        <v>4.1999999999999998E-5</v>
      </c>
      <c r="E82" s="2">
        <v>24095</v>
      </c>
      <c r="F82" s="2">
        <v>27427</v>
      </c>
      <c r="G82" s="2">
        <v>17271</v>
      </c>
      <c r="H82" s="2">
        <v>6251</v>
      </c>
      <c r="I82" s="2">
        <v>0</v>
      </c>
      <c r="J82" s="2"/>
      <c r="K82" s="2">
        <v>7787</v>
      </c>
      <c r="L82" s="2">
        <v>7173</v>
      </c>
      <c r="M82" s="2">
        <v>3992</v>
      </c>
      <c r="N82" s="2">
        <v>0</v>
      </c>
      <c r="O82" s="2">
        <v>0</v>
      </c>
      <c r="P82" s="2"/>
      <c r="Q82" s="2">
        <v>505</v>
      </c>
      <c r="R82" s="2">
        <v>7060</v>
      </c>
      <c r="S82" s="2">
        <v>7305</v>
      </c>
      <c r="T82" s="2">
        <v>6251</v>
      </c>
      <c r="U82" s="2">
        <v>0</v>
      </c>
      <c r="V82" s="2"/>
      <c r="W82" s="2">
        <v>6165</v>
      </c>
      <c r="X82" s="2">
        <v>5005</v>
      </c>
      <c r="Y82" s="2">
        <v>0</v>
      </c>
      <c r="Z82" s="2">
        <v>0</v>
      </c>
      <c r="AA82" s="2">
        <v>0</v>
      </c>
      <c r="AB82" s="2"/>
      <c r="AC82" s="2">
        <v>9638</v>
      </c>
      <c r="AD82" s="2">
        <v>8189</v>
      </c>
      <c r="AE82" s="2">
        <v>5974</v>
      </c>
      <c r="AF82" s="2">
        <v>0</v>
      </c>
      <c r="AG82" s="2">
        <v>0</v>
      </c>
      <c r="AH82" s="2"/>
      <c r="AI82" s="2">
        <v>0</v>
      </c>
      <c r="AJ82" s="2">
        <v>0</v>
      </c>
      <c r="AK82" s="2">
        <v>0</v>
      </c>
      <c r="AL82" s="2">
        <v>0</v>
      </c>
      <c r="AM82" s="2">
        <v>0</v>
      </c>
    </row>
    <row r="83" spans="1:39">
      <c r="A83" s="351">
        <v>90705</v>
      </c>
      <c r="B83" s="344" t="s">
        <v>777</v>
      </c>
      <c r="C83" s="360">
        <v>3.3800000000000002E-5</v>
      </c>
      <c r="E83" s="2">
        <v>13592</v>
      </c>
      <c r="F83" s="2">
        <v>14485</v>
      </c>
      <c r="G83" s="2">
        <v>9955</v>
      </c>
      <c r="H83" s="2">
        <v>5030</v>
      </c>
      <c r="I83" s="2">
        <v>0</v>
      </c>
      <c r="J83" s="2"/>
      <c r="K83" s="2">
        <v>6267</v>
      </c>
      <c r="L83" s="2">
        <v>5773</v>
      </c>
      <c r="M83" s="2">
        <v>3213</v>
      </c>
      <c r="N83" s="2">
        <v>0</v>
      </c>
      <c r="O83" s="2">
        <v>0</v>
      </c>
      <c r="P83" s="2"/>
      <c r="Q83" s="2">
        <v>406</v>
      </c>
      <c r="R83" s="2">
        <v>5682</v>
      </c>
      <c r="S83" s="2">
        <v>5878</v>
      </c>
      <c r="T83" s="2">
        <v>5030</v>
      </c>
      <c r="U83" s="2">
        <v>0</v>
      </c>
      <c r="V83" s="2"/>
      <c r="W83" s="2">
        <v>4961</v>
      </c>
      <c r="X83" s="2">
        <v>4028</v>
      </c>
      <c r="Y83" s="2">
        <v>0</v>
      </c>
      <c r="Z83" s="2">
        <v>0</v>
      </c>
      <c r="AA83" s="2">
        <v>0</v>
      </c>
      <c r="AB83" s="2"/>
      <c r="AC83" s="2">
        <v>4926</v>
      </c>
      <c r="AD83" s="2">
        <v>1970</v>
      </c>
      <c r="AE83" s="2">
        <v>1972</v>
      </c>
      <c r="AF83" s="2">
        <v>0</v>
      </c>
      <c r="AG83" s="2">
        <v>0</v>
      </c>
      <c r="AH83" s="2"/>
      <c r="AI83" s="2">
        <v>-2968</v>
      </c>
      <c r="AJ83" s="2">
        <v>-2968</v>
      </c>
      <c r="AK83" s="2">
        <v>-1108</v>
      </c>
      <c r="AL83" s="2">
        <v>0</v>
      </c>
      <c r="AM83" s="2">
        <v>-2968</v>
      </c>
    </row>
    <row r="84" spans="1:39">
      <c r="A84" s="351">
        <v>90709</v>
      </c>
      <c r="B84" s="344" t="s">
        <v>778</v>
      </c>
      <c r="C84" s="360">
        <v>1.4219999999999999E-4</v>
      </c>
      <c r="E84" s="2">
        <v>52855</v>
      </c>
      <c r="F84" s="2">
        <v>71534</v>
      </c>
      <c r="G84" s="2">
        <v>34878</v>
      </c>
      <c r="H84" s="2">
        <v>21162</v>
      </c>
      <c r="I84" s="2">
        <v>0</v>
      </c>
      <c r="J84" s="2"/>
      <c r="K84" s="2">
        <v>26365</v>
      </c>
      <c r="L84" s="2">
        <v>24287</v>
      </c>
      <c r="M84" s="2">
        <v>13517</v>
      </c>
      <c r="N84" s="2">
        <v>0</v>
      </c>
      <c r="O84" s="2">
        <v>0</v>
      </c>
      <c r="P84" s="2"/>
      <c r="Q84" s="2">
        <v>1709</v>
      </c>
      <c r="R84" s="2">
        <v>23905</v>
      </c>
      <c r="S84" s="2">
        <v>24731</v>
      </c>
      <c r="T84" s="2">
        <v>21162</v>
      </c>
      <c r="U84" s="2">
        <v>0</v>
      </c>
      <c r="V84" s="2"/>
      <c r="W84" s="2">
        <v>20872</v>
      </c>
      <c r="X84" s="2">
        <v>16944</v>
      </c>
      <c r="Y84" s="2">
        <v>0</v>
      </c>
      <c r="Z84" s="2">
        <v>0</v>
      </c>
      <c r="AA84" s="2">
        <v>0</v>
      </c>
      <c r="AB84" s="2"/>
      <c r="AC84" s="2">
        <v>10068</v>
      </c>
      <c r="AD84" s="2">
        <v>10066</v>
      </c>
      <c r="AE84" s="2">
        <v>298</v>
      </c>
      <c r="AF84" s="2">
        <v>0</v>
      </c>
      <c r="AG84" s="2">
        <v>0</v>
      </c>
      <c r="AH84" s="2"/>
      <c r="AI84" s="2">
        <v>-6159</v>
      </c>
      <c r="AJ84" s="2">
        <v>-3668</v>
      </c>
      <c r="AK84" s="2">
        <v>-3668</v>
      </c>
      <c r="AL84" s="2">
        <v>0</v>
      </c>
      <c r="AM84" s="2">
        <v>-3668</v>
      </c>
    </row>
    <row r="85" spans="1:39">
      <c r="A85" s="351">
        <v>90711</v>
      </c>
      <c r="B85" s="344" t="s">
        <v>779</v>
      </c>
      <c r="C85" s="360">
        <v>1.5904000000000001E-3</v>
      </c>
      <c r="E85" s="2">
        <v>523963</v>
      </c>
      <c r="F85" s="2">
        <v>712266</v>
      </c>
      <c r="G85" s="2">
        <v>426633</v>
      </c>
      <c r="H85" s="2">
        <v>236687</v>
      </c>
      <c r="I85" s="2">
        <v>0</v>
      </c>
      <c r="J85" s="2"/>
      <c r="K85" s="2">
        <v>294874</v>
      </c>
      <c r="L85" s="2">
        <v>271631</v>
      </c>
      <c r="M85" s="2">
        <v>151180</v>
      </c>
      <c r="N85" s="2">
        <v>0</v>
      </c>
      <c r="O85" s="2">
        <v>0</v>
      </c>
      <c r="P85" s="2"/>
      <c r="Q85" s="2">
        <v>19115</v>
      </c>
      <c r="R85" s="2">
        <v>267354</v>
      </c>
      <c r="S85" s="2">
        <v>276599</v>
      </c>
      <c r="T85" s="2">
        <v>236687</v>
      </c>
      <c r="U85" s="2">
        <v>0</v>
      </c>
      <c r="V85" s="2"/>
      <c r="W85" s="2">
        <v>233433</v>
      </c>
      <c r="X85" s="2">
        <v>189507</v>
      </c>
      <c r="Y85" s="2">
        <v>0</v>
      </c>
      <c r="Z85" s="2">
        <v>0</v>
      </c>
      <c r="AA85" s="2">
        <v>0</v>
      </c>
      <c r="AB85" s="2"/>
      <c r="AC85" s="2">
        <v>12880</v>
      </c>
      <c r="AD85" s="2">
        <v>12880</v>
      </c>
      <c r="AE85" s="2">
        <v>12880</v>
      </c>
      <c r="AF85" s="2">
        <v>0</v>
      </c>
      <c r="AG85" s="2">
        <v>0</v>
      </c>
      <c r="AH85" s="2"/>
      <c r="AI85" s="2">
        <v>-36339</v>
      </c>
      <c r="AJ85" s="2">
        <v>-29106</v>
      </c>
      <c r="AK85" s="2">
        <v>-14026</v>
      </c>
      <c r="AL85" s="2">
        <v>0</v>
      </c>
      <c r="AM85" s="2">
        <v>-29106</v>
      </c>
    </row>
    <row r="86" spans="1:39">
      <c r="A86" s="351">
        <v>90721</v>
      </c>
      <c r="B86" s="344" t="s">
        <v>780</v>
      </c>
      <c r="C86" s="360">
        <v>2.12E-5</v>
      </c>
      <c r="E86" s="2">
        <v>6474</v>
      </c>
      <c r="F86" s="2">
        <v>9913</v>
      </c>
      <c r="G86" s="2">
        <v>5852</v>
      </c>
      <c r="H86" s="2">
        <v>3155</v>
      </c>
      <c r="I86" s="2">
        <v>0</v>
      </c>
      <c r="J86" s="2"/>
      <c r="K86" s="2">
        <v>3931</v>
      </c>
      <c r="L86" s="2">
        <v>3621</v>
      </c>
      <c r="M86" s="2">
        <v>2015</v>
      </c>
      <c r="N86" s="2">
        <v>0</v>
      </c>
      <c r="O86" s="2">
        <v>0</v>
      </c>
      <c r="P86" s="2"/>
      <c r="Q86" s="2">
        <v>255</v>
      </c>
      <c r="R86" s="2">
        <v>3564</v>
      </c>
      <c r="S86" s="2">
        <v>3687</v>
      </c>
      <c r="T86" s="2">
        <v>3155</v>
      </c>
      <c r="U86" s="2">
        <v>0</v>
      </c>
      <c r="V86" s="2"/>
      <c r="W86" s="2">
        <v>3112</v>
      </c>
      <c r="X86" s="2">
        <v>2526</v>
      </c>
      <c r="Y86" s="2">
        <v>0</v>
      </c>
      <c r="Z86" s="2">
        <v>0</v>
      </c>
      <c r="AA86" s="2">
        <v>0</v>
      </c>
      <c r="AB86" s="2"/>
      <c r="AC86" s="2">
        <v>1249</v>
      </c>
      <c r="AD86" s="2">
        <v>1247</v>
      </c>
      <c r="AE86" s="2">
        <v>1196</v>
      </c>
      <c r="AF86" s="2">
        <v>0</v>
      </c>
      <c r="AG86" s="2">
        <v>0</v>
      </c>
      <c r="AH86" s="2"/>
      <c r="AI86" s="2">
        <v>-2073</v>
      </c>
      <c r="AJ86" s="2">
        <v>-1045</v>
      </c>
      <c r="AK86" s="2">
        <v>-1046</v>
      </c>
      <c r="AL86" s="2">
        <v>0</v>
      </c>
      <c r="AM86" s="2">
        <v>-1045</v>
      </c>
    </row>
    <row r="87" spans="1:39">
      <c r="A87" s="351">
        <v>90731</v>
      </c>
      <c r="B87" s="344" t="s">
        <v>781</v>
      </c>
      <c r="C87" s="360">
        <v>1.5310000000000001E-4</v>
      </c>
      <c r="E87" s="2">
        <v>53825</v>
      </c>
      <c r="F87" s="2">
        <v>74285</v>
      </c>
      <c r="G87" s="2">
        <v>48574</v>
      </c>
      <c r="H87" s="2">
        <v>22785</v>
      </c>
      <c r="I87" s="2">
        <v>0</v>
      </c>
      <c r="J87" s="2"/>
      <c r="K87" s="2">
        <v>28386</v>
      </c>
      <c r="L87" s="2">
        <v>26149</v>
      </c>
      <c r="M87" s="2">
        <v>14553</v>
      </c>
      <c r="N87" s="2">
        <v>0</v>
      </c>
      <c r="O87" s="2">
        <v>0</v>
      </c>
      <c r="P87" s="2"/>
      <c r="Q87" s="2">
        <v>1840</v>
      </c>
      <c r="R87" s="2">
        <v>25737</v>
      </c>
      <c r="S87" s="2">
        <v>26627</v>
      </c>
      <c r="T87" s="2">
        <v>22785</v>
      </c>
      <c r="U87" s="2">
        <v>0</v>
      </c>
      <c r="V87" s="2"/>
      <c r="W87" s="2">
        <v>22471</v>
      </c>
      <c r="X87" s="2">
        <v>18243</v>
      </c>
      <c r="Y87" s="2">
        <v>0</v>
      </c>
      <c r="Z87" s="2">
        <v>0</v>
      </c>
      <c r="AA87" s="2">
        <v>0</v>
      </c>
      <c r="AB87" s="2"/>
      <c r="AC87" s="2">
        <v>7574</v>
      </c>
      <c r="AD87" s="2">
        <v>7574</v>
      </c>
      <c r="AE87" s="2">
        <v>7575</v>
      </c>
      <c r="AF87" s="2">
        <v>0</v>
      </c>
      <c r="AG87" s="2">
        <v>0</v>
      </c>
      <c r="AH87" s="2"/>
      <c r="AI87" s="2">
        <v>-6446</v>
      </c>
      <c r="AJ87" s="2">
        <v>-3418</v>
      </c>
      <c r="AK87" s="2">
        <v>-181</v>
      </c>
      <c r="AL87" s="2">
        <v>0</v>
      </c>
      <c r="AM87" s="2">
        <v>-3418</v>
      </c>
    </row>
    <row r="88" spans="1:39">
      <c r="A88" s="351">
        <v>90741</v>
      </c>
      <c r="B88" s="344" t="s">
        <v>782</v>
      </c>
      <c r="C88" s="360">
        <v>1.33E-5</v>
      </c>
      <c r="E88" s="2">
        <v>5236</v>
      </c>
      <c r="F88" s="2">
        <v>6801</v>
      </c>
      <c r="G88" s="2">
        <v>3282</v>
      </c>
      <c r="H88" s="2">
        <v>1979</v>
      </c>
      <c r="I88" s="2">
        <v>0</v>
      </c>
      <c r="J88" s="2"/>
      <c r="K88" s="2">
        <v>2466</v>
      </c>
      <c r="L88" s="2">
        <v>2272</v>
      </c>
      <c r="M88" s="2">
        <v>1264</v>
      </c>
      <c r="N88" s="2">
        <v>0</v>
      </c>
      <c r="O88" s="2">
        <v>0</v>
      </c>
      <c r="P88" s="2"/>
      <c r="Q88" s="2">
        <v>160</v>
      </c>
      <c r="R88" s="2">
        <v>2236</v>
      </c>
      <c r="S88" s="2">
        <v>2313</v>
      </c>
      <c r="T88" s="2">
        <v>1979</v>
      </c>
      <c r="U88" s="2">
        <v>0</v>
      </c>
      <c r="V88" s="2"/>
      <c r="W88" s="2">
        <v>1952</v>
      </c>
      <c r="X88" s="2">
        <v>1585</v>
      </c>
      <c r="Y88" s="2">
        <v>0</v>
      </c>
      <c r="Z88" s="2">
        <v>0</v>
      </c>
      <c r="AA88" s="2">
        <v>0</v>
      </c>
      <c r="AB88" s="2"/>
      <c r="AC88" s="2">
        <v>1003</v>
      </c>
      <c r="AD88" s="2">
        <v>1002</v>
      </c>
      <c r="AE88" s="2">
        <v>0</v>
      </c>
      <c r="AF88" s="2">
        <v>0</v>
      </c>
      <c r="AG88" s="2">
        <v>0</v>
      </c>
      <c r="AH88" s="2"/>
      <c r="AI88" s="2">
        <v>-345</v>
      </c>
      <c r="AJ88" s="2">
        <v>-294</v>
      </c>
      <c r="AK88" s="2">
        <v>-295</v>
      </c>
      <c r="AL88" s="2">
        <v>0</v>
      </c>
      <c r="AM88" s="2">
        <v>-294</v>
      </c>
    </row>
    <row r="89" spans="1:39">
      <c r="A89" s="351">
        <v>90751</v>
      </c>
      <c r="B89" s="344" t="s">
        <v>783</v>
      </c>
      <c r="C89" s="360">
        <v>6.2600000000000004E-5</v>
      </c>
      <c r="E89" s="2">
        <v>17699</v>
      </c>
      <c r="F89" s="2">
        <v>25097</v>
      </c>
      <c r="G89" s="2">
        <v>12644</v>
      </c>
      <c r="H89" s="2">
        <v>9316</v>
      </c>
      <c r="I89" s="2">
        <v>0</v>
      </c>
      <c r="J89" s="2"/>
      <c r="K89" s="2">
        <v>11607</v>
      </c>
      <c r="L89" s="2">
        <v>10692</v>
      </c>
      <c r="M89" s="2">
        <v>5951</v>
      </c>
      <c r="N89" s="2">
        <v>0</v>
      </c>
      <c r="O89" s="2">
        <v>0</v>
      </c>
      <c r="P89" s="2"/>
      <c r="Q89" s="2">
        <v>752</v>
      </c>
      <c r="R89" s="2">
        <v>10523</v>
      </c>
      <c r="S89" s="2">
        <v>10887</v>
      </c>
      <c r="T89" s="2">
        <v>9316</v>
      </c>
      <c r="U89" s="2">
        <v>0</v>
      </c>
      <c r="V89" s="2"/>
      <c r="W89" s="2">
        <v>9188</v>
      </c>
      <c r="X89" s="2">
        <v>7459</v>
      </c>
      <c r="Y89" s="2">
        <v>0</v>
      </c>
      <c r="Z89" s="2">
        <v>0</v>
      </c>
      <c r="AA89" s="2">
        <v>0</v>
      </c>
      <c r="AB89" s="2"/>
      <c r="AC89" s="2">
        <v>617</v>
      </c>
      <c r="AD89" s="2">
        <v>618</v>
      </c>
      <c r="AE89" s="2">
        <v>0</v>
      </c>
      <c r="AF89" s="2">
        <v>0</v>
      </c>
      <c r="AG89" s="2">
        <v>0</v>
      </c>
      <c r="AH89" s="2"/>
      <c r="AI89" s="2">
        <v>-4465</v>
      </c>
      <c r="AJ89" s="2">
        <v>-4195</v>
      </c>
      <c r="AK89" s="2">
        <v>-4194</v>
      </c>
      <c r="AL89" s="2">
        <v>0</v>
      </c>
      <c r="AM89" s="2">
        <v>-4195</v>
      </c>
    </row>
    <row r="90" spans="1:39">
      <c r="A90" s="351">
        <v>90801</v>
      </c>
      <c r="B90" s="344" t="s">
        <v>784</v>
      </c>
      <c r="C90" s="360">
        <v>1.2543000000000001E-3</v>
      </c>
      <c r="E90" s="2">
        <v>376276</v>
      </c>
      <c r="F90" s="2">
        <v>506974</v>
      </c>
      <c r="G90" s="2">
        <v>282428</v>
      </c>
      <c r="H90" s="2">
        <v>186667</v>
      </c>
      <c r="I90" s="2">
        <v>0</v>
      </c>
      <c r="J90" s="2"/>
      <c r="K90" s="2">
        <v>232559</v>
      </c>
      <c r="L90" s="2">
        <v>214227</v>
      </c>
      <c r="M90" s="2">
        <v>119231</v>
      </c>
      <c r="N90" s="2">
        <v>0</v>
      </c>
      <c r="O90" s="2">
        <v>0</v>
      </c>
      <c r="P90" s="2"/>
      <c r="Q90" s="2">
        <v>15075</v>
      </c>
      <c r="R90" s="2">
        <v>210854</v>
      </c>
      <c r="S90" s="2">
        <v>218145</v>
      </c>
      <c r="T90" s="2">
        <v>186667</v>
      </c>
      <c r="U90" s="2">
        <v>0</v>
      </c>
      <c r="V90" s="2"/>
      <c r="W90" s="2">
        <v>184101</v>
      </c>
      <c r="X90" s="2">
        <v>149459</v>
      </c>
      <c r="Y90" s="2">
        <v>0</v>
      </c>
      <c r="Z90" s="2">
        <v>0</v>
      </c>
      <c r="AA90" s="2">
        <v>0</v>
      </c>
      <c r="AB90" s="2"/>
      <c r="AC90" s="2">
        <v>12107</v>
      </c>
      <c r="AD90" s="2">
        <v>0</v>
      </c>
      <c r="AE90" s="2">
        <v>0</v>
      </c>
      <c r="AF90" s="2">
        <v>0</v>
      </c>
      <c r="AG90" s="2">
        <v>0</v>
      </c>
      <c r="AH90" s="2"/>
      <c r="AI90" s="2">
        <v>-67566</v>
      </c>
      <c r="AJ90" s="2">
        <v>-67566</v>
      </c>
      <c r="AK90" s="2">
        <v>-54948</v>
      </c>
      <c r="AL90" s="2">
        <v>0</v>
      </c>
      <c r="AM90" s="2">
        <v>-67566</v>
      </c>
    </row>
    <row r="91" spans="1:39">
      <c r="A91" s="351">
        <v>90804</v>
      </c>
      <c r="B91" s="344" t="s">
        <v>785</v>
      </c>
      <c r="C91" s="360">
        <v>5.0000000000000004E-6</v>
      </c>
      <c r="E91" s="2">
        <v>1458</v>
      </c>
      <c r="F91" s="2">
        <v>2016</v>
      </c>
      <c r="G91" s="2">
        <v>1127</v>
      </c>
      <c r="H91" s="2">
        <v>744</v>
      </c>
      <c r="I91" s="2">
        <v>0</v>
      </c>
      <c r="J91" s="2"/>
      <c r="K91" s="2">
        <v>927</v>
      </c>
      <c r="L91" s="2">
        <v>854</v>
      </c>
      <c r="M91" s="2">
        <v>475</v>
      </c>
      <c r="N91" s="2">
        <v>0</v>
      </c>
      <c r="O91" s="2">
        <v>0</v>
      </c>
      <c r="P91" s="2"/>
      <c r="Q91" s="2">
        <v>60</v>
      </c>
      <c r="R91" s="2">
        <v>841</v>
      </c>
      <c r="S91" s="2">
        <v>870</v>
      </c>
      <c r="T91" s="2">
        <v>744</v>
      </c>
      <c r="U91" s="2">
        <v>0</v>
      </c>
      <c r="V91" s="2"/>
      <c r="W91" s="2">
        <v>734</v>
      </c>
      <c r="X91" s="2">
        <v>596</v>
      </c>
      <c r="Y91" s="2">
        <v>0</v>
      </c>
      <c r="Z91" s="2">
        <v>0</v>
      </c>
      <c r="AA91" s="2">
        <v>0</v>
      </c>
      <c r="AB91" s="2"/>
      <c r="AC91" s="2">
        <v>13</v>
      </c>
      <c r="AD91" s="2">
        <v>0</v>
      </c>
      <c r="AE91" s="2">
        <v>0</v>
      </c>
      <c r="AF91" s="2">
        <v>0</v>
      </c>
      <c r="AG91" s="2">
        <v>0</v>
      </c>
      <c r="AH91" s="2"/>
      <c r="AI91" s="2">
        <v>-276</v>
      </c>
      <c r="AJ91" s="2">
        <v>-275</v>
      </c>
      <c r="AK91" s="2">
        <v>-218</v>
      </c>
      <c r="AL91" s="2">
        <v>0</v>
      </c>
      <c r="AM91" s="2">
        <v>-275</v>
      </c>
    </row>
    <row r="92" spans="1:39">
      <c r="A92" s="351">
        <v>90805</v>
      </c>
      <c r="B92" s="344" t="s">
        <v>786</v>
      </c>
      <c r="C92" s="360">
        <v>6.3E-5</v>
      </c>
      <c r="E92" s="2">
        <v>31314</v>
      </c>
      <c r="F92" s="2">
        <v>36665</v>
      </c>
      <c r="G92" s="2">
        <v>20464</v>
      </c>
      <c r="H92" s="2">
        <v>9376</v>
      </c>
      <c r="I92" s="2">
        <v>0</v>
      </c>
      <c r="J92" s="2"/>
      <c r="K92" s="2">
        <v>11681</v>
      </c>
      <c r="L92" s="2">
        <v>10760</v>
      </c>
      <c r="M92" s="2">
        <v>5989</v>
      </c>
      <c r="N92" s="2">
        <v>0</v>
      </c>
      <c r="O92" s="2">
        <v>0</v>
      </c>
      <c r="P92" s="2"/>
      <c r="Q92" s="2">
        <v>757</v>
      </c>
      <c r="R92" s="2">
        <v>10591</v>
      </c>
      <c r="S92" s="2">
        <v>10957</v>
      </c>
      <c r="T92" s="2">
        <v>9376</v>
      </c>
      <c r="U92" s="2">
        <v>0</v>
      </c>
      <c r="V92" s="2"/>
      <c r="W92" s="2">
        <v>9247</v>
      </c>
      <c r="X92" s="2">
        <v>7507</v>
      </c>
      <c r="Y92" s="2">
        <v>0</v>
      </c>
      <c r="Z92" s="2">
        <v>0</v>
      </c>
      <c r="AA92" s="2">
        <v>0</v>
      </c>
      <c r="AB92" s="2"/>
      <c r="AC92" s="2">
        <v>9629</v>
      </c>
      <c r="AD92" s="2">
        <v>7807</v>
      </c>
      <c r="AE92" s="2">
        <v>3518</v>
      </c>
      <c r="AF92" s="2">
        <v>0</v>
      </c>
      <c r="AG92" s="2">
        <v>0</v>
      </c>
      <c r="AH92" s="2"/>
      <c r="AI92" s="2">
        <v>0</v>
      </c>
      <c r="AJ92" s="2">
        <v>0</v>
      </c>
      <c r="AK92" s="2">
        <v>0</v>
      </c>
      <c r="AL92" s="2">
        <v>0</v>
      </c>
      <c r="AM92" s="2">
        <v>0</v>
      </c>
    </row>
    <row r="93" spans="1:39">
      <c r="A93" s="351">
        <v>90808</v>
      </c>
      <c r="B93" s="344" t="s">
        <v>3644</v>
      </c>
      <c r="C93" s="360">
        <v>1.4809999999999999E-4</v>
      </c>
      <c r="E93" s="2">
        <v>66316</v>
      </c>
      <c r="F93" s="2">
        <v>81985</v>
      </c>
      <c r="G93" s="2">
        <v>54053</v>
      </c>
      <c r="H93" s="2">
        <v>22041</v>
      </c>
      <c r="I93" s="2">
        <v>0</v>
      </c>
      <c r="J93" s="2"/>
      <c r="K93" s="2">
        <v>27459</v>
      </c>
      <c r="L93" s="2">
        <v>25295</v>
      </c>
      <c r="M93" s="2">
        <v>14078</v>
      </c>
      <c r="N93" s="2">
        <v>0</v>
      </c>
      <c r="O93" s="2">
        <v>0</v>
      </c>
      <c r="P93" s="2"/>
      <c r="Q93" s="2">
        <v>1780</v>
      </c>
      <c r="R93" s="2">
        <v>24896</v>
      </c>
      <c r="S93" s="2">
        <v>25757</v>
      </c>
      <c r="T93" s="2">
        <v>22041</v>
      </c>
      <c r="U93" s="2">
        <v>0</v>
      </c>
      <c r="V93" s="2"/>
      <c r="W93" s="2">
        <v>21738</v>
      </c>
      <c r="X93" s="2">
        <v>17647</v>
      </c>
      <c r="Y93" s="2">
        <v>0</v>
      </c>
      <c r="Z93" s="2">
        <v>0</v>
      </c>
      <c r="AA93" s="2">
        <v>0</v>
      </c>
      <c r="AB93" s="2"/>
      <c r="AC93" s="2">
        <v>15411</v>
      </c>
      <c r="AD93" s="2">
        <v>14220</v>
      </c>
      <c r="AE93" s="2">
        <v>14218</v>
      </c>
      <c r="AF93" s="2">
        <v>0</v>
      </c>
      <c r="AG93" s="2">
        <v>0</v>
      </c>
      <c r="AH93" s="2"/>
      <c r="AI93" s="2">
        <v>-72</v>
      </c>
      <c r="AJ93" s="2">
        <v>-73</v>
      </c>
      <c r="AK93" s="2">
        <v>0</v>
      </c>
      <c r="AL93" s="2">
        <v>0</v>
      </c>
      <c r="AM93" s="2">
        <v>-73</v>
      </c>
    </row>
    <row r="94" spans="1:39">
      <c r="A94" s="351">
        <v>90811</v>
      </c>
      <c r="B94" s="344" t="s">
        <v>788</v>
      </c>
      <c r="C94" s="360">
        <v>3.8999999999999999E-5</v>
      </c>
      <c r="E94" s="2">
        <v>10910</v>
      </c>
      <c r="F94" s="2">
        <v>17175</v>
      </c>
      <c r="G94" s="2">
        <v>10513</v>
      </c>
      <c r="H94" s="2">
        <v>5804</v>
      </c>
      <c r="I94" s="2">
        <v>0</v>
      </c>
      <c r="J94" s="2"/>
      <c r="K94" s="2">
        <v>7231</v>
      </c>
      <c r="L94" s="2">
        <v>6661</v>
      </c>
      <c r="M94" s="2">
        <v>3707</v>
      </c>
      <c r="N94" s="2">
        <v>0</v>
      </c>
      <c r="O94" s="2">
        <v>0</v>
      </c>
      <c r="P94" s="2"/>
      <c r="Q94" s="2">
        <v>469</v>
      </c>
      <c r="R94" s="2">
        <v>6556</v>
      </c>
      <c r="S94" s="2">
        <v>6783</v>
      </c>
      <c r="T94" s="2">
        <v>5804</v>
      </c>
      <c r="U94" s="2">
        <v>0</v>
      </c>
      <c r="V94" s="2"/>
      <c r="W94" s="2">
        <v>5724</v>
      </c>
      <c r="X94" s="2">
        <v>4647</v>
      </c>
      <c r="Y94" s="2">
        <v>0</v>
      </c>
      <c r="Z94" s="2">
        <v>0</v>
      </c>
      <c r="AA94" s="2">
        <v>0</v>
      </c>
      <c r="AB94" s="2"/>
      <c r="AC94" s="2">
        <v>955</v>
      </c>
      <c r="AD94" s="2">
        <v>955</v>
      </c>
      <c r="AE94" s="2">
        <v>955</v>
      </c>
      <c r="AF94" s="2">
        <v>0</v>
      </c>
      <c r="AG94" s="2">
        <v>0</v>
      </c>
      <c r="AH94" s="2"/>
      <c r="AI94" s="2">
        <v>-3469</v>
      </c>
      <c r="AJ94" s="2">
        <v>-1644</v>
      </c>
      <c r="AK94" s="2">
        <v>-932</v>
      </c>
      <c r="AL94" s="2">
        <v>0</v>
      </c>
      <c r="AM94" s="2">
        <v>-1644</v>
      </c>
    </row>
    <row r="95" spans="1:39">
      <c r="A95" s="351">
        <v>90812</v>
      </c>
      <c r="B95" s="344" t="s">
        <v>789</v>
      </c>
      <c r="C95" s="360">
        <v>2.0900000000000001E-4</v>
      </c>
      <c r="E95" s="2">
        <v>66768</v>
      </c>
      <c r="F95" s="2">
        <v>87901</v>
      </c>
      <c r="G95" s="2">
        <v>49520</v>
      </c>
      <c r="H95" s="2">
        <v>31104</v>
      </c>
      <c r="I95" s="2">
        <v>0</v>
      </c>
      <c r="J95" s="2"/>
      <c r="K95" s="2">
        <v>38750</v>
      </c>
      <c r="L95" s="2">
        <v>35696</v>
      </c>
      <c r="M95" s="2">
        <v>19867</v>
      </c>
      <c r="N95" s="2">
        <v>0</v>
      </c>
      <c r="O95" s="2">
        <v>0</v>
      </c>
      <c r="P95" s="2"/>
      <c r="Q95" s="2">
        <v>2512</v>
      </c>
      <c r="R95" s="2">
        <v>35134</v>
      </c>
      <c r="S95" s="2">
        <v>36349</v>
      </c>
      <c r="T95" s="2">
        <v>31104</v>
      </c>
      <c r="U95" s="2">
        <v>0</v>
      </c>
      <c r="V95" s="2"/>
      <c r="W95" s="2">
        <v>30676</v>
      </c>
      <c r="X95" s="2">
        <v>24904</v>
      </c>
      <c r="Y95" s="2">
        <v>0</v>
      </c>
      <c r="Z95" s="2">
        <v>0</v>
      </c>
      <c r="AA95" s="2">
        <v>0</v>
      </c>
      <c r="AB95" s="2"/>
      <c r="AC95" s="2">
        <v>2663</v>
      </c>
      <c r="AD95" s="2">
        <v>0</v>
      </c>
      <c r="AE95" s="2">
        <v>0</v>
      </c>
      <c r="AF95" s="2">
        <v>0</v>
      </c>
      <c r="AG95" s="2">
        <v>0</v>
      </c>
      <c r="AH95" s="2"/>
      <c r="AI95" s="2">
        <v>-7833</v>
      </c>
      <c r="AJ95" s="2">
        <v>-7833</v>
      </c>
      <c r="AK95" s="2">
        <v>-6696</v>
      </c>
      <c r="AL95" s="2">
        <v>0</v>
      </c>
      <c r="AM95" s="2">
        <v>-7833</v>
      </c>
    </row>
    <row r="96" spans="1:39">
      <c r="A96" s="351">
        <v>90813</v>
      </c>
      <c r="B96" s="344" t="s">
        <v>790</v>
      </c>
      <c r="C96" s="360">
        <v>4.0999999999999997E-6</v>
      </c>
      <c r="E96" s="2">
        <v>845</v>
      </c>
      <c r="F96" s="2">
        <v>1418</v>
      </c>
      <c r="G96" s="2">
        <v>746</v>
      </c>
      <c r="H96" s="2">
        <v>610</v>
      </c>
      <c r="I96" s="2">
        <v>0</v>
      </c>
      <c r="J96" s="2"/>
      <c r="K96" s="2">
        <v>760</v>
      </c>
      <c r="L96" s="2">
        <v>700</v>
      </c>
      <c r="M96" s="2">
        <v>390</v>
      </c>
      <c r="N96" s="2">
        <v>0</v>
      </c>
      <c r="O96" s="2">
        <v>0</v>
      </c>
      <c r="P96" s="2"/>
      <c r="Q96" s="2">
        <v>49</v>
      </c>
      <c r="R96" s="2">
        <v>689</v>
      </c>
      <c r="S96" s="2">
        <v>713</v>
      </c>
      <c r="T96" s="2">
        <v>610</v>
      </c>
      <c r="U96" s="2">
        <v>0</v>
      </c>
      <c r="V96" s="2"/>
      <c r="W96" s="2">
        <v>602</v>
      </c>
      <c r="X96" s="2">
        <v>489</v>
      </c>
      <c r="Y96" s="2">
        <v>0</v>
      </c>
      <c r="Z96" s="2">
        <v>0</v>
      </c>
      <c r="AA96" s="2">
        <v>0</v>
      </c>
      <c r="AB96" s="2"/>
      <c r="AC96" s="2">
        <v>0</v>
      </c>
      <c r="AD96" s="2">
        <v>0</v>
      </c>
      <c r="AE96" s="2">
        <v>0</v>
      </c>
      <c r="AF96" s="2">
        <v>0</v>
      </c>
      <c r="AG96" s="2">
        <v>0</v>
      </c>
      <c r="AH96" s="2"/>
      <c r="AI96" s="2">
        <v>-566</v>
      </c>
      <c r="AJ96" s="2">
        <v>-460</v>
      </c>
      <c r="AK96" s="2">
        <v>-357</v>
      </c>
      <c r="AL96" s="2">
        <v>0</v>
      </c>
      <c r="AM96" s="2">
        <v>-460</v>
      </c>
    </row>
    <row r="97" spans="1:39">
      <c r="A97" s="351">
        <v>90861</v>
      </c>
      <c r="B97" s="344" t="s">
        <v>791</v>
      </c>
      <c r="C97" s="360">
        <v>2.5000000000000002E-6</v>
      </c>
      <c r="E97" s="2">
        <v>1268</v>
      </c>
      <c r="F97" s="2">
        <v>1295</v>
      </c>
      <c r="G97" s="2">
        <v>-332</v>
      </c>
      <c r="H97" s="2">
        <v>372</v>
      </c>
      <c r="I97" s="2">
        <v>0</v>
      </c>
      <c r="J97" s="2"/>
      <c r="K97" s="2">
        <v>464</v>
      </c>
      <c r="L97" s="2">
        <v>427</v>
      </c>
      <c r="M97" s="2">
        <v>238</v>
      </c>
      <c r="N97" s="2">
        <v>0</v>
      </c>
      <c r="O97" s="2">
        <v>0</v>
      </c>
      <c r="P97" s="2"/>
      <c r="Q97" s="2">
        <v>30</v>
      </c>
      <c r="R97" s="2">
        <v>420</v>
      </c>
      <c r="S97" s="2">
        <v>435</v>
      </c>
      <c r="T97" s="2">
        <v>372</v>
      </c>
      <c r="U97" s="2">
        <v>0</v>
      </c>
      <c r="V97" s="2"/>
      <c r="W97" s="2">
        <v>367</v>
      </c>
      <c r="X97" s="2">
        <v>298</v>
      </c>
      <c r="Y97" s="2">
        <v>0</v>
      </c>
      <c r="Z97" s="2">
        <v>0</v>
      </c>
      <c r="AA97" s="2">
        <v>0</v>
      </c>
      <c r="AB97" s="2"/>
      <c r="AC97" s="2">
        <v>2263</v>
      </c>
      <c r="AD97" s="2">
        <v>2006</v>
      </c>
      <c r="AE97" s="2">
        <v>849</v>
      </c>
      <c r="AF97" s="2">
        <v>0</v>
      </c>
      <c r="AG97" s="2">
        <v>0</v>
      </c>
      <c r="AH97" s="2"/>
      <c r="AI97" s="2">
        <v>-1856</v>
      </c>
      <c r="AJ97" s="2">
        <v>-1856</v>
      </c>
      <c r="AK97" s="2">
        <v>-1854</v>
      </c>
      <c r="AL97" s="2">
        <v>0</v>
      </c>
      <c r="AM97" s="2">
        <v>-1856</v>
      </c>
    </row>
    <row r="98" spans="1:39">
      <c r="A98" s="351">
        <v>90901</v>
      </c>
      <c r="B98" s="344" t="s">
        <v>792</v>
      </c>
      <c r="C98" s="360">
        <v>2.0888E-3</v>
      </c>
      <c r="E98" s="2">
        <v>672024</v>
      </c>
      <c r="F98" s="2">
        <v>905373</v>
      </c>
      <c r="G98" s="2">
        <v>511741</v>
      </c>
      <c r="H98" s="2">
        <v>310859</v>
      </c>
      <c r="I98" s="2">
        <v>0</v>
      </c>
      <c r="J98" s="2"/>
      <c r="K98" s="2">
        <v>387282</v>
      </c>
      <c r="L98" s="2">
        <v>356755</v>
      </c>
      <c r="M98" s="2">
        <v>198557</v>
      </c>
      <c r="N98" s="2">
        <v>0</v>
      </c>
      <c r="O98" s="2">
        <v>0</v>
      </c>
      <c r="P98" s="2"/>
      <c r="Q98" s="2">
        <v>25105</v>
      </c>
      <c r="R98" s="2">
        <v>351138</v>
      </c>
      <c r="S98" s="2">
        <v>363280</v>
      </c>
      <c r="T98" s="2">
        <v>310859</v>
      </c>
      <c r="U98" s="2">
        <v>0</v>
      </c>
      <c r="V98" s="2"/>
      <c r="W98" s="2">
        <v>306586</v>
      </c>
      <c r="X98" s="2">
        <v>248895</v>
      </c>
      <c r="Y98" s="2">
        <v>0</v>
      </c>
      <c r="Z98" s="2">
        <v>0</v>
      </c>
      <c r="AA98" s="2">
        <v>0</v>
      </c>
      <c r="AB98" s="2"/>
      <c r="AC98" s="2">
        <v>25949</v>
      </c>
      <c r="AD98" s="2">
        <v>21485</v>
      </c>
      <c r="AE98" s="2">
        <v>21485</v>
      </c>
      <c r="AF98" s="2">
        <v>0</v>
      </c>
      <c r="AG98" s="2">
        <v>0</v>
      </c>
      <c r="AH98" s="2"/>
      <c r="AI98" s="2">
        <v>-72898</v>
      </c>
      <c r="AJ98" s="2">
        <v>-72900</v>
      </c>
      <c r="AK98" s="2">
        <v>-71581</v>
      </c>
      <c r="AL98" s="2">
        <v>0</v>
      </c>
      <c r="AM98" s="2">
        <v>-72900</v>
      </c>
    </row>
    <row r="99" spans="1:39">
      <c r="A99" s="351">
        <v>90911</v>
      </c>
      <c r="B99" s="344" t="s">
        <v>793</v>
      </c>
      <c r="C99" s="360">
        <v>3.7490000000000001E-4</v>
      </c>
      <c r="E99" s="2">
        <v>110846</v>
      </c>
      <c r="F99" s="2">
        <v>151829</v>
      </c>
      <c r="G99" s="2">
        <v>84992</v>
      </c>
      <c r="H99" s="2">
        <v>55793</v>
      </c>
      <c r="I99" s="2">
        <v>0</v>
      </c>
      <c r="J99" s="2"/>
      <c r="K99" s="2">
        <v>69510</v>
      </c>
      <c r="L99" s="2">
        <v>64031</v>
      </c>
      <c r="M99" s="2">
        <v>35637</v>
      </c>
      <c r="N99" s="2">
        <v>0</v>
      </c>
      <c r="O99" s="2">
        <v>0</v>
      </c>
      <c r="P99" s="2"/>
      <c r="Q99" s="2">
        <v>4506</v>
      </c>
      <c r="R99" s="2">
        <v>63023</v>
      </c>
      <c r="S99" s="2">
        <v>65202</v>
      </c>
      <c r="T99" s="2">
        <v>55793</v>
      </c>
      <c r="U99" s="2">
        <v>0</v>
      </c>
      <c r="V99" s="2"/>
      <c r="W99" s="2">
        <v>55026</v>
      </c>
      <c r="X99" s="2">
        <v>44672</v>
      </c>
      <c r="Y99" s="2">
        <v>0</v>
      </c>
      <c r="Z99" s="2">
        <v>0</v>
      </c>
      <c r="AA99" s="2">
        <v>0</v>
      </c>
      <c r="AB99" s="2"/>
      <c r="AC99" s="2">
        <v>1700</v>
      </c>
      <c r="AD99" s="2">
        <v>0</v>
      </c>
      <c r="AE99" s="2">
        <v>0</v>
      </c>
      <c r="AF99" s="2">
        <v>0</v>
      </c>
      <c r="AG99" s="2">
        <v>0</v>
      </c>
      <c r="AH99" s="2"/>
      <c r="AI99" s="2">
        <v>-19896</v>
      </c>
      <c r="AJ99" s="2">
        <v>-19897</v>
      </c>
      <c r="AK99" s="2">
        <v>-15847</v>
      </c>
      <c r="AL99" s="2">
        <v>0</v>
      </c>
      <c r="AM99" s="2">
        <v>-19897</v>
      </c>
    </row>
    <row r="100" spans="1:39">
      <c r="A100" s="351">
        <v>90917</v>
      </c>
      <c r="B100" s="344" t="s">
        <v>794</v>
      </c>
      <c r="C100" s="360">
        <v>9.7999999999999993E-6</v>
      </c>
      <c r="E100" s="2">
        <v>3585</v>
      </c>
      <c r="F100" s="2">
        <v>4831</v>
      </c>
      <c r="G100" s="2">
        <v>3320</v>
      </c>
      <c r="H100" s="2">
        <v>1458</v>
      </c>
      <c r="I100" s="2">
        <v>0</v>
      </c>
      <c r="J100" s="2"/>
      <c r="K100" s="2">
        <v>1817</v>
      </c>
      <c r="L100" s="2">
        <v>1674</v>
      </c>
      <c r="M100" s="2">
        <v>932</v>
      </c>
      <c r="N100" s="2">
        <v>0</v>
      </c>
      <c r="O100" s="2">
        <v>0</v>
      </c>
      <c r="P100" s="2"/>
      <c r="Q100" s="2">
        <v>118</v>
      </c>
      <c r="R100" s="2">
        <v>1647</v>
      </c>
      <c r="S100" s="2">
        <v>1704</v>
      </c>
      <c r="T100" s="2">
        <v>1458</v>
      </c>
      <c r="U100" s="2">
        <v>0</v>
      </c>
      <c r="V100" s="2"/>
      <c r="W100" s="2">
        <v>1438</v>
      </c>
      <c r="X100" s="2">
        <v>1168</v>
      </c>
      <c r="Y100" s="2">
        <v>0</v>
      </c>
      <c r="Z100" s="2">
        <v>0</v>
      </c>
      <c r="AA100" s="2">
        <v>0</v>
      </c>
      <c r="AB100" s="2"/>
      <c r="AC100" s="2">
        <v>1205</v>
      </c>
      <c r="AD100" s="2">
        <v>1205</v>
      </c>
      <c r="AE100" s="2">
        <v>1203</v>
      </c>
      <c r="AF100" s="2">
        <v>0</v>
      </c>
      <c r="AG100" s="2">
        <v>0</v>
      </c>
      <c r="AH100" s="2"/>
      <c r="AI100" s="2">
        <v>-993</v>
      </c>
      <c r="AJ100" s="2">
        <v>-863</v>
      </c>
      <c r="AK100" s="2">
        <v>-519</v>
      </c>
      <c r="AL100" s="2">
        <v>0</v>
      </c>
      <c r="AM100" s="2">
        <v>-863</v>
      </c>
    </row>
    <row r="101" spans="1:39">
      <c r="A101" s="351">
        <v>90918</v>
      </c>
      <c r="B101" s="344" t="s">
        <v>3645</v>
      </c>
      <c r="C101" s="360">
        <v>9.9000000000000001E-6</v>
      </c>
      <c r="E101" s="2">
        <v>2504</v>
      </c>
      <c r="F101" s="2">
        <v>3852</v>
      </c>
      <c r="G101" s="2">
        <v>2188</v>
      </c>
      <c r="H101" s="2">
        <v>1473</v>
      </c>
      <c r="I101" s="2">
        <v>0</v>
      </c>
      <c r="J101" s="2"/>
      <c r="K101" s="2">
        <v>1836</v>
      </c>
      <c r="L101" s="2">
        <v>1691</v>
      </c>
      <c r="M101" s="2">
        <v>941</v>
      </c>
      <c r="N101" s="2">
        <v>0</v>
      </c>
      <c r="O101" s="2">
        <v>0</v>
      </c>
      <c r="P101" s="2"/>
      <c r="Q101" s="2">
        <v>119</v>
      </c>
      <c r="R101" s="2">
        <v>1664</v>
      </c>
      <c r="S101" s="2">
        <v>1722</v>
      </c>
      <c r="T101" s="2">
        <v>1473</v>
      </c>
      <c r="U101" s="2">
        <v>0</v>
      </c>
      <c r="V101" s="2"/>
      <c r="W101" s="2">
        <v>1453</v>
      </c>
      <c r="X101" s="2">
        <v>1180</v>
      </c>
      <c r="Y101" s="2">
        <v>0</v>
      </c>
      <c r="Z101" s="2">
        <v>0</v>
      </c>
      <c r="AA101" s="2">
        <v>0</v>
      </c>
      <c r="AB101" s="2"/>
      <c r="AC101" s="2">
        <v>0</v>
      </c>
      <c r="AD101" s="2">
        <v>0</v>
      </c>
      <c r="AE101" s="2">
        <v>0</v>
      </c>
      <c r="AF101" s="2">
        <v>0</v>
      </c>
      <c r="AG101" s="2">
        <v>0</v>
      </c>
      <c r="AH101" s="2"/>
      <c r="AI101" s="2">
        <v>-904</v>
      </c>
      <c r="AJ101" s="2">
        <v>-683</v>
      </c>
      <c r="AK101" s="2">
        <v>-475</v>
      </c>
      <c r="AL101" s="2">
        <v>0</v>
      </c>
      <c r="AM101" s="2">
        <v>-683</v>
      </c>
    </row>
    <row r="102" spans="1:39">
      <c r="A102" s="351">
        <v>90921</v>
      </c>
      <c r="B102" s="344" t="s">
        <v>796</v>
      </c>
      <c r="C102" s="360">
        <v>1.027E-4</v>
      </c>
      <c r="E102" s="2">
        <v>37790</v>
      </c>
      <c r="F102" s="2">
        <v>42405</v>
      </c>
      <c r="G102" s="2">
        <v>23243</v>
      </c>
      <c r="H102" s="2">
        <v>15284</v>
      </c>
      <c r="I102" s="2">
        <v>0</v>
      </c>
      <c r="J102" s="2"/>
      <c r="K102" s="2">
        <v>19042</v>
      </c>
      <c r="L102" s="2">
        <v>17541</v>
      </c>
      <c r="M102" s="2">
        <v>9762</v>
      </c>
      <c r="N102" s="2">
        <v>0</v>
      </c>
      <c r="O102" s="2">
        <v>0</v>
      </c>
      <c r="P102" s="2"/>
      <c r="Q102" s="2">
        <v>1234</v>
      </c>
      <c r="R102" s="2">
        <v>17264</v>
      </c>
      <c r="S102" s="2">
        <v>17861</v>
      </c>
      <c r="T102" s="2">
        <v>15284</v>
      </c>
      <c r="U102" s="2">
        <v>0</v>
      </c>
      <c r="V102" s="2"/>
      <c r="W102" s="2">
        <v>15074</v>
      </c>
      <c r="X102" s="2">
        <v>12237</v>
      </c>
      <c r="Y102" s="2">
        <v>0</v>
      </c>
      <c r="Z102" s="2">
        <v>0</v>
      </c>
      <c r="AA102" s="2">
        <v>0</v>
      </c>
      <c r="AB102" s="2"/>
      <c r="AC102" s="2">
        <v>7078</v>
      </c>
      <c r="AD102" s="2">
        <v>0</v>
      </c>
      <c r="AE102" s="2">
        <v>0</v>
      </c>
      <c r="AF102" s="2">
        <v>0</v>
      </c>
      <c r="AG102" s="2">
        <v>0</v>
      </c>
      <c r="AH102" s="2"/>
      <c r="AI102" s="2">
        <v>-4638</v>
      </c>
      <c r="AJ102" s="2">
        <v>-4637</v>
      </c>
      <c r="AK102" s="2">
        <v>-4380</v>
      </c>
      <c r="AL102" s="2">
        <v>0</v>
      </c>
      <c r="AM102" s="2">
        <v>-4637</v>
      </c>
    </row>
    <row r="103" spans="1:39">
      <c r="A103" s="351">
        <v>90931</v>
      </c>
      <c r="B103" s="344" t="s">
        <v>797</v>
      </c>
      <c r="C103" s="360">
        <v>3.18E-5</v>
      </c>
      <c r="E103" s="2">
        <v>4678</v>
      </c>
      <c r="F103" s="2">
        <v>10678</v>
      </c>
      <c r="G103" s="2">
        <v>5590</v>
      </c>
      <c r="H103" s="2">
        <v>4733</v>
      </c>
      <c r="I103" s="2">
        <v>0</v>
      </c>
      <c r="J103" s="2"/>
      <c r="K103" s="2">
        <v>5896</v>
      </c>
      <c r="L103" s="2">
        <v>5431</v>
      </c>
      <c r="M103" s="2">
        <v>3023</v>
      </c>
      <c r="N103" s="2">
        <v>0</v>
      </c>
      <c r="O103" s="2">
        <v>0</v>
      </c>
      <c r="P103" s="2"/>
      <c r="Q103" s="2">
        <v>382</v>
      </c>
      <c r="R103" s="2">
        <v>5346</v>
      </c>
      <c r="S103" s="2">
        <v>5531</v>
      </c>
      <c r="T103" s="2">
        <v>4733</v>
      </c>
      <c r="U103" s="2">
        <v>0</v>
      </c>
      <c r="V103" s="2"/>
      <c r="W103" s="2">
        <v>4667</v>
      </c>
      <c r="X103" s="2">
        <v>3789</v>
      </c>
      <c r="Y103" s="2">
        <v>0</v>
      </c>
      <c r="Z103" s="2">
        <v>0</v>
      </c>
      <c r="AA103" s="2">
        <v>0</v>
      </c>
      <c r="AB103" s="2"/>
      <c r="AC103" s="2">
        <v>0</v>
      </c>
      <c r="AD103" s="2">
        <v>0</v>
      </c>
      <c r="AE103" s="2">
        <v>0</v>
      </c>
      <c r="AF103" s="2">
        <v>0</v>
      </c>
      <c r="AG103" s="2">
        <v>0</v>
      </c>
      <c r="AH103" s="2"/>
      <c r="AI103" s="2">
        <v>-6267</v>
      </c>
      <c r="AJ103" s="2">
        <v>-3888</v>
      </c>
      <c r="AK103" s="2">
        <v>-2964</v>
      </c>
      <c r="AL103" s="2">
        <v>0</v>
      </c>
      <c r="AM103" s="2">
        <v>-3888</v>
      </c>
    </row>
    <row r="104" spans="1:39">
      <c r="A104" s="351">
        <v>90941</v>
      </c>
      <c r="B104" s="344" t="s">
        <v>798</v>
      </c>
      <c r="C104" s="360">
        <v>6.9999999999999994E-5</v>
      </c>
      <c r="E104" s="2">
        <v>17938</v>
      </c>
      <c r="F104" s="2">
        <v>28709</v>
      </c>
      <c r="G104" s="2">
        <v>13595</v>
      </c>
      <c r="H104" s="2">
        <v>10418</v>
      </c>
      <c r="I104" s="2">
        <v>0</v>
      </c>
      <c r="J104" s="2"/>
      <c r="K104" s="2">
        <v>12979</v>
      </c>
      <c r="L104" s="2">
        <v>11956</v>
      </c>
      <c r="M104" s="2">
        <v>6654</v>
      </c>
      <c r="N104" s="2">
        <v>0</v>
      </c>
      <c r="O104" s="2">
        <v>0</v>
      </c>
      <c r="P104" s="2"/>
      <c r="Q104" s="2">
        <v>841</v>
      </c>
      <c r="R104" s="2">
        <v>11767</v>
      </c>
      <c r="S104" s="2">
        <v>12174</v>
      </c>
      <c r="T104" s="2">
        <v>10418</v>
      </c>
      <c r="U104" s="2">
        <v>0</v>
      </c>
      <c r="V104" s="2"/>
      <c r="W104" s="2">
        <v>10274</v>
      </c>
      <c r="X104" s="2">
        <v>8341</v>
      </c>
      <c r="Y104" s="2">
        <v>0</v>
      </c>
      <c r="Z104" s="2">
        <v>0</v>
      </c>
      <c r="AA104" s="2">
        <v>0</v>
      </c>
      <c r="AB104" s="2"/>
      <c r="AC104" s="2">
        <v>1877</v>
      </c>
      <c r="AD104" s="2">
        <v>1878</v>
      </c>
      <c r="AE104" s="2">
        <v>0</v>
      </c>
      <c r="AF104" s="2">
        <v>0</v>
      </c>
      <c r="AG104" s="2">
        <v>0</v>
      </c>
      <c r="AH104" s="2"/>
      <c r="AI104" s="2">
        <v>-8033</v>
      </c>
      <c r="AJ104" s="2">
        <v>-5233</v>
      </c>
      <c r="AK104" s="2">
        <v>-5233</v>
      </c>
      <c r="AL104" s="2">
        <v>0</v>
      </c>
      <c r="AM104" s="2">
        <v>-5233</v>
      </c>
    </row>
    <row r="105" spans="1:39">
      <c r="A105" s="351">
        <v>91001</v>
      </c>
      <c r="B105" s="344" t="s">
        <v>799</v>
      </c>
      <c r="C105" s="360">
        <v>7.1149000000000004E-3</v>
      </c>
      <c r="E105" s="2">
        <v>2341434</v>
      </c>
      <c r="F105" s="2">
        <v>3181882</v>
      </c>
      <c r="G105" s="2">
        <v>1874109</v>
      </c>
      <c r="H105" s="2">
        <v>1058854</v>
      </c>
      <c r="I105" s="2">
        <v>0</v>
      </c>
      <c r="J105" s="2"/>
      <c r="K105" s="2">
        <v>1319166</v>
      </c>
      <c r="L105" s="2">
        <v>1215182</v>
      </c>
      <c r="M105" s="2">
        <v>676328</v>
      </c>
      <c r="N105" s="2">
        <v>0</v>
      </c>
      <c r="O105" s="2">
        <v>0</v>
      </c>
      <c r="P105" s="2"/>
      <c r="Q105" s="2">
        <v>85514</v>
      </c>
      <c r="R105" s="2">
        <v>1196050</v>
      </c>
      <c r="S105" s="2">
        <v>1237409</v>
      </c>
      <c r="T105" s="2">
        <v>1058854</v>
      </c>
      <c r="U105" s="2">
        <v>0</v>
      </c>
      <c r="V105" s="2"/>
      <c r="W105" s="2">
        <v>1044297</v>
      </c>
      <c r="X105" s="2">
        <v>847790</v>
      </c>
      <c r="Y105" s="2">
        <v>0</v>
      </c>
      <c r="Z105" s="2">
        <v>0</v>
      </c>
      <c r="AA105" s="2">
        <v>0</v>
      </c>
      <c r="AB105" s="2"/>
      <c r="AC105" s="2">
        <v>87212</v>
      </c>
      <c r="AD105" s="2">
        <v>87212</v>
      </c>
      <c r="AE105" s="2">
        <v>87213</v>
      </c>
      <c r="AF105" s="2">
        <v>0</v>
      </c>
      <c r="AG105" s="2">
        <v>0</v>
      </c>
      <c r="AH105" s="2"/>
      <c r="AI105" s="2">
        <v>-194755</v>
      </c>
      <c r="AJ105" s="2">
        <v>-164352</v>
      </c>
      <c r="AK105" s="2">
        <v>-126841</v>
      </c>
      <c r="AL105" s="2">
        <v>0</v>
      </c>
      <c r="AM105" s="2">
        <v>-164352</v>
      </c>
    </row>
    <row r="106" spans="1:39">
      <c r="A106" s="351">
        <v>91002</v>
      </c>
      <c r="B106" s="344" t="s">
        <v>800</v>
      </c>
      <c r="C106" s="360">
        <v>1.1846999999999999E-3</v>
      </c>
      <c r="E106" s="2">
        <v>419112</v>
      </c>
      <c r="F106" s="2">
        <v>544800</v>
      </c>
      <c r="G106" s="2">
        <v>286093</v>
      </c>
      <c r="H106" s="2">
        <v>176309</v>
      </c>
      <c r="I106" s="2">
        <v>0</v>
      </c>
      <c r="J106" s="2"/>
      <c r="K106" s="2">
        <v>219654</v>
      </c>
      <c r="L106" s="2">
        <v>202340</v>
      </c>
      <c r="M106" s="2">
        <v>112615</v>
      </c>
      <c r="N106" s="2">
        <v>0</v>
      </c>
      <c r="O106" s="2">
        <v>0</v>
      </c>
      <c r="P106" s="2"/>
      <c r="Q106" s="2">
        <v>14239</v>
      </c>
      <c r="R106" s="2">
        <v>199154</v>
      </c>
      <c r="S106" s="2">
        <v>206041</v>
      </c>
      <c r="T106" s="2">
        <v>176309</v>
      </c>
      <c r="U106" s="2">
        <v>0</v>
      </c>
      <c r="V106" s="2"/>
      <c r="W106" s="2">
        <v>173886</v>
      </c>
      <c r="X106" s="2">
        <v>141165</v>
      </c>
      <c r="Y106" s="2">
        <v>0</v>
      </c>
      <c r="Z106" s="2">
        <v>0</v>
      </c>
      <c r="AA106" s="2">
        <v>0</v>
      </c>
      <c r="AB106" s="2"/>
      <c r="AC106" s="2">
        <v>89732</v>
      </c>
      <c r="AD106" s="2">
        <v>80540</v>
      </c>
      <c r="AE106" s="2">
        <v>45836</v>
      </c>
      <c r="AF106" s="2">
        <v>0</v>
      </c>
      <c r="AG106" s="2">
        <v>0</v>
      </c>
      <c r="AH106" s="2"/>
      <c r="AI106" s="2">
        <v>-78399</v>
      </c>
      <c r="AJ106" s="2">
        <v>-78399</v>
      </c>
      <c r="AK106" s="2">
        <v>-78399</v>
      </c>
      <c r="AL106" s="2">
        <v>0</v>
      </c>
      <c r="AM106" s="2">
        <v>-78399</v>
      </c>
    </row>
    <row r="107" spans="1:39">
      <c r="A107" s="351">
        <v>91003</v>
      </c>
      <c r="B107" s="344" t="s">
        <v>3646</v>
      </c>
      <c r="C107" s="360">
        <v>5.7609999999999996E-4</v>
      </c>
      <c r="E107" s="2">
        <v>200400</v>
      </c>
      <c r="F107" s="2">
        <v>263619</v>
      </c>
      <c r="G107" s="2">
        <v>159621</v>
      </c>
      <c r="H107" s="2">
        <v>85736</v>
      </c>
      <c r="I107" s="2">
        <v>0</v>
      </c>
      <c r="J107" s="2"/>
      <c r="K107" s="2">
        <v>106814</v>
      </c>
      <c r="L107" s="2">
        <v>98394</v>
      </c>
      <c r="M107" s="2">
        <v>54763</v>
      </c>
      <c r="N107" s="2">
        <v>0</v>
      </c>
      <c r="O107" s="2">
        <v>0</v>
      </c>
      <c r="P107" s="2"/>
      <c r="Q107" s="2">
        <v>6924</v>
      </c>
      <c r="R107" s="2">
        <v>96845</v>
      </c>
      <c r="S107" s="2">
        <v>100194</v>
      </c>
      <c r="T107" s="2">
        <v>85736</v>
      </c>
      <c r="U107" s="2">
        <v>0</v>
      </c>
      <c r="V107" s="2"/>
      <c r="W107" s="2">
        <v>84558</v>
      </c>
      <c r="X107" s="2">
        <v>68646</v>
      </c>
      <c r="Y107" s="2">
        <v>0</v>
      </c>
      <c r="Z107" s="2">
        <v>0</v>
      </c>
      <c r="AA107" s="2">
        <v>0</v>
      </c>
      <c r="AB107" s="2"/>
      <c r="AC107" s="2">
        <v>14607</v>
      </c>
      <c r="AD107" s="2">
        <v>12235</v>
      </c>
      <c r="AE107" s="2">
        <v>12237</v>
      </c>
      <c r="AF107" s="2">
        <v>0</v>
      </c>
      <c r="AG107" s="2">
        <v>0</v>
      </c>
      <c r="AH107" s="2"/>
      <c r="AI107" s="2">
        <v>-12503</v>
      </c>
      <c r="AJ107" s="2">
        <v>-12501</v>
      </c>
      <c r="AK107" s="2">
        <v>-7573</v>
      </c>
      <c r="AL107" s="2">
        <v>0</v>
      </c>
      <c r="AM107" s="2">
        <v>-12501</v>
      </c>
    </row>
    <row r="108" spans="1:39">
      <c r="A108" s="351">
        <v>91004</v>
      </c>
      <c r="B108" s="344" t="s">
        <v>802</v>
      </c>
      <c r="C108" s="360">
        <v>3.6600000000000002E-5</v>
      </c>
      <c r="E108" s="2">
        <v>16093</v>
      </c>
      <c r="F108" s="2">
        <v>18524</v>
      </c>
      <c r="G108" s="2">
        <v>9778</v>
      </c>
      <c r="H108" s="2">
        <v>5447</v>
      </c>
      <c r="I108" s="2">
        <v>0</v>
      </c>
      <c r="J108" s="2"/>
      <c r="K108" s="2">
        <v>6786</v>
      </c>
      <c r="L108" s="2">
        <v>6251</v>
      </c>
      <c r="M108" s="2">
        <v>3479</v>
      </c>
      <c r="N108" s="2">
        <v>0</v>
      </c>
      <c r="O108" s="2">
        <v>0</v>
      </c>
      <c r="P108" s="2"/>
      <c r="Q108" s="2">
        <v>440</v>
      </c>
      <c r="R108" s="2">
        <v>6153</v>
      </c>
      <c r="S108" s="2">
        <v>6365</v>
      </c>
      <c r="T108" s="2">
        <v>5447</v>
      </c>
      <c r="U108" s="2">
        <v>0</v>
      </c>
      <c r="V108" s="2"/>
      <c r="W108" s="2">
        <v>5372</v>
      </c>
      <c r="X108" s="2">
        <v>4361</v>
      </c>
      <c r="Y108" s="2">
        <v>0</v>
      </c>
      <c r="Z108" s="2">
        <v>0</v>
      </c>
      <c r="AA108" s="2">
        <v>0</v>
      </c>
      <c r="AB108" s="2"/>
      <c r="AC108" s="2">
        <v>4337</v>
      </c>
      <c r="AD108" s="2">
        <v>2601</v>
      </c>
      <c r="AE108" s="2">
        <v>776</v>
      </c>
      <c r="AF108" s="2">
        <v>0</v>
      </c>
      <c r="AG108" s="2">
        <v>0</v>
      </c>
      <c r="AH108" s="2"/>
      <c r="AI108" s="2">
        <v>-842</v>
      </c>
      <c r="AJ108" s="2">
        <v>-842</v>
      </c>
      <c r="AK108" s="2">
        <v>-842</v>
      </c>
      <c r="AL108" s="2">
        <v>0</v>
      </c>
      <c r="AM108" s="2">
        <v>-842</v>
      </c>
    </row>
    <row r="109" spans="1:39">
      <c r="A109" s="351">
        <v>91006</v>
      </c>
      <c r="B109" s="344" t="s">
        <v>3647</v>
      </c>
      <c r="C109" s="360">
        <v>1.0206E-3</v>
      </c>
      <c r="E109" s="2">
        <v>315893</v>
      </c>
      <c r="F109" s="2">
        <v>433787</v>
      </c>
      <c r="G109" s="2">
        <v>244239</v>
      </c>
      <c r="H109" s="2">
        <v>151888</v>
      </c>
      <c r="I109" s="2">
        <v>0</v>
      </c>
      <c r="J109" s="2"/>
      <c r="K109" s="2">
        <v>189228</v>
      </c>
      <c r="L109" s="2">
        <v>174312</v>
      </c>
      <c r="M109" s="2">
        <v>97016</v>
      </c>
      <c r="N109" s="2">
        <v>0</v>
      </c>
      <c r="O109" s="2">
        <v>0</v>
      </c>
      <c r="P109" s="2"/>
      <c r="Q109" s="2">
        <v>12267</v>
      </c>
      <c r="R109" s="2">
        <v>171568</v>
      </c>
      <c r="S109" s="2">
        <v>177501</v>
      </c>
      <c r="T109" s="2">
        <v>151888</v>
      </c>
      <c r="U109" s="2">
        <v>0</v>
      </c>
      <c r="V109" s="2"/>
      <c r="W109" s="2">
        <v>149800</v>
      </c>
      <c r="X109" s="2">
        <v>121612</v>
      </c>
      <c r="Y109" s="2">
        <v>0</v>
      </c>
      <c r="Z109" s="2">
        <v>0</v>
      </c>
      <c r="AA109" s="2">
        <v>0</v>
      </c>
      <c r="AB109" s="2"/>
      <c r="AC109" s="2">
        <v>0</v>
      </c>
      <c r="AD109" s="2">
        <v>0</v>
      </c>
      <c r="AE109" s="2">
        <v>0</v>
      </c>
      <c r="AF109" s="2">
        <v>0</v>
      </c>
      <c r="AG109" s="2">
        <v>0</v>
      </c>
      <c r="AH109" s="2"/>
      <c r="AI109" s="2">
        <v>-35402</v>
      </c>
      <c r="AJ109" s="2">
        <v>-33705</v>
      </c>
      <c r="AK109" s="2">
        <v>-30278</v>
      </c>
      <c r="AL109" s="2">
        <v>0</v>
      </c>
      <c r="AM109" s="2">
        <v>-33705</v>
      </c>
    </row>
    <row r="110" spans="1:39">
      <c r="A110" s="351">
        <v>91007</v>
      </c>
      <c r="B110" s="344" t="s">
        <v>804</v>
      </c>
      <c r="C110" s="360">
        <v>9.5000000000000005E-6</v>
      </c>
      <c r="E110" s="2">
        <v>3992</v>
      </c>
      <c r="F110" s="2">
        <v>4549</v>
      </c>
      <c r="G110" s="2">
        <v>2734</v>
      </c>
      <c r="H110" s="2">
        <v>1414</v>
      </c>
      <c r="I110" s="2">
        <v>0</v>
      </c>
      <c r="J110" s="2"/>
      <c r="K110" s="2">
        <v>1761</v>
      </c>
      <c r="L110" s="2">
        <v>1623</v>
      </c>
      <c r="M110" s="2">
        <v>903</v>
      </c>
      <c r="N110" s="2">
        <v>0</v>
      </c>
      <c r="O110" s="2">
        <v>0</v>
      </c>
      <c r="P110" s="2"/>
      <c r="Q110" s="2">
        <v>114</v>
      </c>
      <c r="R110" s="2">
        <v>1597</v>
      </c>
      <c r="S110" s="2">
        <v>1652</v>
      </c>
      <c r="T110" s="2">
        <v>1414</v>
      </c>
      <c r="U110" s="2">
        <v>0</v>
      </c>
      <c r="V110" s="2"/>
      <c r="W110" s="2">
        <v>1394</v>
      </c>
      <c r="X110" s="2">
        <v>1132</v>
      </c>
      <c r="Y110" s="2">
        <v>0</v>
      </c>
      <c r="Z110" s="2">
        <v>0</v>
      </c>
      <c r="AA110" s="2">
        <v>0</v>
      </c>
      <c r="AB110" s="2"/>
      <c r="AC110" s="2">
        <v>1090</v>
      </c>
      <c r="AD110" s="2">
        <v>564</v>
      </c>
      <c r="AE110" s="2">
        <v>545</v>
      </c>
      <c r="AF110" s="2">
        <v>0</v>
      </c>
      <c r="AG110" s="2">
        <v>0</v>
      </c>
      <c r="AH110" s="2"/>
      <c r="AI110" s="2">
        <v>-367</v>
      </c>
      <c r="AJ110" s="2">
        <v>-367</v>
      </c>
      <c r="AK110" s="2">
        <v>-366</v>
      </c>
      <c r="AL110" s="2">
        <v>0</v>
      </c>
      <c r="AM110" s="2">
        <v>-367</v>
      </c>
    </row>
    <row r="111" spans="1:39">
      <c r="A111" s="351">
        <v>91008</v>
      </c>
      <c r="B111" s="344" t="s">
        <v>805</v>
      </c>
      <c r="C111" s="360">
        <v>1.5430000000000001E-4</v>
      </c>
      <c r="E111" s="2">
        <v>64143</v>
      </c>
      <c r="F111" s="2">
        <v>79883</v>
      </c>
      <c r="G111" s="2">
        <v>46531</v>
      </c>
      <c r="H111" s="2">
        <v>22963</v>
      </c>
      <c r="I111" s="2">
        <v>0</v>
      </c>
      <c r="J111" s="2"/>
      <c r="K111" s="2">
        <v>28609</v>
      </c>
      <c r="L111" s="2">
        <v>26354</v>
      </c>
      <c r="M111" s="2">
        <v>14667</v>
      </c>
      <c r="N111" s="2">
        <v>0</v>
      </c>
      <c r="O111" s="2">
        <v>0</v>
      </c>
      <c r="P111" s="2"/>
      <c r="Q111" s="2">
        <v>1855</v>
      </c>
      <c r="R111" s="2">
        <v>25939</v>
      </c>
      <c r="S111" s="2">
        <v>26836</v>
      </c>
      <c r="T111" s="2">
        <v>22963</v>
      </c>
      <c r="U111" s="2">
        <v>0</v>
      </c>
      <c r="V111" s="2"/>
      <c r="W111" s="2">
        <v>22648</v>
      </c>
      <c r="X111" s="2">
        <v>18386</v>
      </c>
      <c r="Y111" s="2">
        <v>0</v>
      </c>
      <c r="Z111" s="2">
        <v>0</v>
      </c>
      <c r="AA111" s="2">
        <v>0</v>
      </c>
      <c r="AB111" s="2"/>
      <c r="AC111" s="2">
        <v>11031</v>
      </c>
      <c r="AD111" s="2">
        <v>9204</v>
      </c>
      <c r="AE111" s="2">
        <v>5028</v>
      </c>
      <c r="AF111" s="2">
        <v>0</v>
      </c>
      <c r="AG111" s="2">
        <v>0</v>
      </c>
      <c r="AH111" s="2"/>
      <c r="AI111" s="2">
        <v>0</v>
      </c>
      <c r="AJ111" s="2">
        <v>0</v>
      </c>
      <c r="AK111" s="2">
        <v>0</v>
      </c>
      <c r="AL111" s="2">
        <v>0</v>
      </c>
      <c r="AM111" s="2">
        <v>0</v>
      </c>
    </row>
    <row r="112" spans="1:39">
      <c r="A112" s="351">
        <v>91009</v>
      </c>
      <c r="B112" s="344" t="s">
        <v>806</v>
      </c>
      <c r="C112" s="360">
        <v>1.22E-5</v>
      </c>
      <c r="E112" s="2">
        <v>8073</v>
      </c>
      <c r="F112" s="2">
        <v>8990</v>
      </c>
      <c r="G112" s="2">
        <v>6205</v>
      </c>
      <c r="H112" s="2">
        <v>1816</v>
      </c>
      <c r="I112" s="2">
        <v>0</v>
      </c>
      <c r="J112" s="2"/>
      <c r="K112" s="2">
        <v>2262</v>
      </c>
      <c r="L112" s="2">
        <v>2084</v>
      </c>
      <c r="M112" s="2">
        <v>1160</v>
      </c>
      <c r="N112" s="2">
        <v>0</v>
      </c>
      <c r="O112" s="2">
        <v>0</v>
      </c>
      <c r="P112" s="2"/>
      <c r="Q112" s="2">
        <v>147</v>
      </c>
      <c r="R112" s="2">
        <v>2051</v>
      </c>
      <c r="S112" s="2">
        <v>2122</v>
      </c>
      <c r="T112" s="2">
        <v>1816</v>
      </c>
      <c r="U112" s="2">
        <v>0</v>
      </c>
      <c r="V112" s="2"/>
      <c r="W112" s="2">
        <v>1791</v>
      </c>
      <c r="X112" s="2">
        <v>1454</v>
      </c>
      <c r="Y112" s="2">
        <v>0</v>
      </c>
      <c r="Z112" s="2">
        <v>0</v>
      </c>
      <c r="AA112" s="2">
        <v>0</v>
      </c>
      <c r="AB112" s="2"/>
      <c r="AC112" s="2">
        <v>4033</v>
      </c>
      <c r="AD112" s="2">
        <v>3561</v>
      </c>
      <c r="AE112" s="2">
        <v>3085</v>
      </c>
      <c r="AF112" s="2">
        <v>0</v>
      </c>
      <c r="AG112" s="2">
        <v>0</v>
      </c>
      <c r="AH112" s="2"/>
      <c r="AI112" s="2">
        <v>-160</v>
      </c>
      <c r="AJ112" s="2">
        <v>-160</v>
      </c>
      <c r="AK112" s="2">
        <v>-162</v>
      </c>
      <c r="AL112" s="2">
        <v>0</v>
      </c>
      <c r="AM112" s="2">
        <v>-160</v>
      </c>
    </row>
    <row r="113" spans="1:39">
      <c r="A113" s="351">
        <v>91010</v>
      </c>
      <c r="B113" s="344" t="s">
        <v>807</v>
      </c>
      <c r="C113" s="360">
        <v>4.9400000000000001E-5</v>
      </c>
      <c r="E113" s="2">
        <v>16107</v>
      </c>
      <c r="F113" s="2">
        <v>21377</v>
      </c>
      <c r="G113" s="2">
        <v>13717</v>
      </c>
      <c r="H113" s="2">
        <v>7352</v>
      </c>
      <c r="I113" s="2">
        <v>0</v>
      </c>
      <c r="J113" s="2"/>
      <c r="K113" s="2">
        <v>9159</v>
      </c>
      <c r="L113" s="2">
        <v>8437</v>
      </c>
      <c r="M113" s="2">
        <v>4696</v>
      </c>
      <c r="N113" s="2">
        <v>0</v>
      </c>
      <c r="O113" s="2">
        <v>0</v>
      </c>
      <c r="P113" s="2"/>
      <c r="Q113" s="2">
        <v>594</v>
      </c>
      <c r="R113" s="2">
        <v>8304</v>
      </c>
      <c r="S113" s="2">
        <v>8592</v>
      </c>
      <c r="T113" s="2">
        <v>7352</v>
      </c>
      <c r="U113" s="2">
        <v>0</v>
      </c>
      <c r="V113" s="2"/>
      <c r="W113" s="2">
        <v>7251</v>
      </c>
      <c r="X113" s="2">
        <v>5886</v>
      </c>
      <c r="Y113" s="2">
        <v>0</v>
      </c>
      <c r="Z113" s="2">
        <v>0</v>
      </c>
      <c r="AA113" s="2">
        <v>0</v>
      </c>
      <c r="AB113" s="2"/>
      <c r="AC113" s="2">
        <v>1420</v>
      </c>
      <c r="AD113" s="2">
        <v>1068</v>
      </c>
      <c r="AE113" s="2">
        <v>1068</v>
      </c>
      <c r="AF113" s="2">
        <v>0</v>
      </c>
      <c r="AG113" s="2">
        <v>0</v>
      </c>
      <c r="AH113" s="2"/>
      <c r="AI113" s="2">
        <v>-2317</v>
      </c>
      <c r="AJ113" s="2">
        <v>-2318</v>
      </c>
      <c r="AK113" s="2">
        <v>-639</v>
      </c>
      <c r="AL113" s="2">
        <v>0</v>
      </c>
      <c r="AM113" s="2">
        <v>-2318</v>
      </c>
    </row>
    <row r="114" spans="1:39">
      <c r="A114" s="351">
        <v>91011</v>
      </c>
      <c r="B114" s="344" t="s">
        <v>808</v>
      </c>
      <c r="C114" s="360">
        <v>3.701E-4</v>
      </c>
      <c r="E114" s="2">
        <v>154120</v>
      </c>
      <c r="F114" s="2">
        <v>190465</v>
      </c>
      <c r="G114" s="2">
        <v>120863</v>
      </c>
      <c r="H114" s="2">
        <v>55079</v>
      </c>
      <c r="I114" s="2">
        <v>0</v>
      </c>
      <c r="J114" s="2"/>
      <c r="K114" s="2">
        <v>68620</v>
      </c>
      <c r="L114" s="2">
        <v>63211</v>
      </c>
      <c r="M114" s="2">
        <v>35181</v>
      </c>
      <c r="N114" s="2">
        <v>0</v>
      </c>
      <c r="O114" s="2">
        <v>0</v>
      </c>
      <c r="P114" s="2"/>
      <c r="Q114" s="2">
        <v>4448</v>
      </c>
      <c r="R114" s="2">
        <v>62216</v>
      </c>
      <c r="S114" s="2">
        <v>64367</v>
      </c>
      <c r="T114" s="2">
        <v>55079</v>
      </c>
      <c r="U114" s="2">
        <v>0</v>
      </c>
      <c r="V114" s="2"/>
      <c r="W114" s="2">
        <v>54322</v>
      </c>
      <c r="X114" s="2">
        <v>44100</v>
      </c>
      <c r="Y114" s="2">
        <v>0</v>
      </c>
      <c r="Z114" s="2">
        <v>0</v>
      </c>
      <c r="AA114" s="2">
        <v>0</v>
      </c>
      <c r="AB114" s="2"/>
      <c r="AC114" s="2">
        <v>33429</v>
      </c>
      <c r="AD114" s="2">
        <v>27638</v>
      </c>
      <c r="AE114" s="2">
        <v>27639</v>
      </c>
      <c r="AF114" s="2">
        <v>0</v>
      </c>
      <c r="AG114" s="2">
        <v>0</v>
      </c>
      <c r="AH114" s="2"/>
      <c r="AI114" s="2">
        <v>-6699</v>
      </c>
      <c r="AJ114" s="2">
        <v>-6700</v>
      </c>
      <c r="AK114" s="2">
        <v>-6324</v>
      </c>
      <c r="AL114" s="2">
        <v>0</v>
      </c>
      <c r="AM114" s="2">
        <v>-6700</v>
      </c>
    </row>
    <row r="115" spans="1:39">
      <c r="A115" s="351">
        <v>91012</v>
      </c>
      <c r="B115" s="344" t="s">
        <v>809</v>
      </c>
      <c r="C115" s="360">
        <v>1.1600000000000001E-5</v>
      </c>
      <c r="E115" s="2">
        <v>3372</v>
      </c>
      <c r="F115" s="2">
        <v>4003</v>
      </c>
      <c r="G115" s="2">
        <v>2583</v>
      </c>
      <c r="H115" s="2">
        <v>1726</v>
      </c>
      <c r="I115" s="2">
        <v>0</v>
      </c>
      <c r="J115" s="2"/>
      <c r="K115" s="2">
        <v>2151</v>
      </c>
      <c r="L115" s="2">
        <v>1981</v>
      </c>
      <c r="M115" s="2">
        <v>1103</v>
      </c>
      <c r="N115" s="2">
        <v>0</v>
      </c>
      <c r="O115" s="2">
        <v>0</v>
      </c>
      <c r="P115" s="2"/>
      <c r="Q115" s="2">
        <v>139</v>
      </c>
      <c r="R115" s="2">
        <v>1950</v>
      </c>
      <c r="S115" s="2">
        <v>2017</v>
      </c>
      <c r="T115" s="2">
        <v>1726</v>
      </c>
      <c r="U115" s="2">
        <v>0</v>
      </c>
      <c r="V115" s="2"/>
      <c r="W115" s="2">
        <v>1703</v>
      </c>
      <c r="X115" s="2">
        <v>1382</v>
      </c>
      <c r="Y115" s="2">
        <v>0</v>
      </c>
      <c r="Z115" s="2">
        <v>0</v>
      </c>
      <c r="AA115" s="2">
        <v>0</v>
      </c>
      <c r="AB115" s="2"/>
      <c r="AC115" s="2">
        <v>1194</v>
      </c>
      <c r="AD115" s="2">
        <v>504</v>
      </c>
      <c r="AE115" s="2">
        <v>502</v>
      </c>
      <c r="AF115" s="2">
        <v>0</v>
      </c>
      <c r="AG115" s="2">
        <v>0</v>
      </c>
      <c r="AH115" s="2"/>
      <c r="AI115" s="2">
        <v>-1815</v>
      </c>
      <c r="AJ115" s="2">
        <v>-1814</v>
      </c>
      <c r="AK115" s="2">
        <v>-1039</v>
      </c>
      <c r="AL115" s="2">
        <v>0</v>
      </c>
      <c r="AM115" s="2">
        <v>-1814</v>
      </c>
    </row>
    <row r="116" spans="1:39">
      <c r="A116" s="351">
        <v>91013</v>
      </c>
      <c r="B116" s="344" t="s">
        <v>810</v>
      </c>
      <c r="C116" s="360">
        <v>3.7200000000000003E-5</v>
      </c>
      <c r="E116" s="2">
        <v>28070</v>
      </c>
      <c r="F116" s="2">
        <v>28325</v>
      </c>
      <c r="G116" s="2">
        <v>17066</v>
      </c>
      <c r="H116" s="2">
        <v>5536</v>
      </c>
      <c r="I116" s="2">
        <v>0</v>
      </c>
      <c r="J116" s="2"/>
      <c r="K116" s="2">
        <v>6897</v>
      </c>
      <c r="L116" s="2">
        <v>6354</v>
      </c>
      <c r="M116" s="2">
        <v>3536</v>
      </c>
      <c r="N116" s="2">
        <v>0</v>
      </c>
      <c r="O116" s="2">
        <v>0</v>
      </c>
      <c r="P116" s="2"/>
      <c r="Q116" s="2">
        <v>447</v>
      </c>
      <c r="R116" s="2">
        <v>6254</v>
      </c>
      <c r="S116" s="2">
        <v>6470</v>
      </c>
      <c r="T116" s="2">
        <v>5536</v>
      </c>
      <c r="U116" s="2">
        <v>0</v>
      </c>
      <c r="V116" s="2"/>
      <c r="W116" s="2">
        <v>5460</v>
      </c>
      <c r="X116" s="2">
        <v>4433</v>
      </c>
      <c r="Y116" s="2">
        <v>0</v>
      </c>
      <c r="Z116" s="2">
        <v>0</v>
      </c>
      <c r="AA116" s="2">
        <v>0</v>
      </c>
      <c r="AB116" s="2"/>
      <c r="AC116" s="2">
        <v>15266</v>
      </c>
      <c r="AD116" s="2">
        <v>11284</v>
      </c>
      <c r="AE116" s="2">
        <v>7060</v>
      </c>
      <c r="AF116" s="2">
        <v>0</v>
      </c>
      <c r="AG116" s="2">
        <v>0</v>
      </c>
      <c r="AH116" s="2"/>
      <c r="AI116" s="2">
        <v>0</v>
      </c>
      <c r="AJ116" s="2">
        <v>0</v>
      </c>
      <c r="AK116" s="2">
        <v>0</v>
      </c>
      <c r="AL116" s="2">
        <v>0</v>
      </c>
      <c r="AM116" s="2">
        <v>0</v>
      </c>
    </row>
    <row r="117" spans="1:39">
      <c r="A117" s="351">
        <v>91014</v>
      </c>
      <c r="B117" s="344" t="s">
        <v>811</v>
      </c>
      <c r="C117" s="360">
        <v>1.762E-4</v>
      </c>
      <c r="E117" s="2">
        <v>55312</v>
      </c>
      <c r="F117" s="2">
        <v>75042</v>
      </c>
      <c r="G117" s="2">
        <v>45366</v>
      </c>
      <c r="H117" s="2">
        <v>26222</v>
      </c>
      <c r="I117" s="2">
        <v>0</v>
      </c>
      <c r="J117" s="2"/>
      <c r="K117" s="2">
        <v>32669</v>
      </c>
      <c r="L117" s="2">
        <v>30094</v>
      </c>
      <c r="M117" s="2">
        <v>16749</v>
      </c>
      <c r="N117" s="2">
        <v>0</v>
      </c>
      <c r="O117" s="2">
        <v>0</v>
      </c>
      <c r="P117" s="2"/>
      <c r="Q117" s="2">
        <v>2118</v>
      </c>
      <c r="R117" s="2">
        <v>29620</v>
      </c>
      <c r="S117" s="2">
        <v>30644</v>
      </c>
      <c r="T117" s="2">
        <v>26222</v>
      </c>
      <c r="U117" s="2">
        <v>0</v>
      </c>
      <c r="V117" s="2"/>
      <c r="W117" s="2">
        <v>25862</v>
      </c>
      <c r="X117" s="2">
        <v>20995</v>
      </c>
      <c r="Y117" s="2">
        <v>0</v>
      </c>
      <c r="Z117" s="2">
        <v>0</v>
      </c>
      <c r="AA117" s="2">
        <v>0</v>
      </c>
      <c r="AB117" s="2"/>
      <c r="AC117" s="2">
        <v>1764</v>
      </c>
      <c r="AD117" s="2">
        <v>1434</v>
      </c>
      <c r="AE117" s="2">
        <v>1433</v>
      </c>
      <c r="AF117" s="2">
        <v>0</v>
      </c>
      <c r="AG117" s="2">
        <v>0</v>
      </c>
      <c r="AH117" s="2"/>
      <c r="AI117" s="2">
        <v>-7101</v>
      </c>
      <c r="AJ117" s="2">
        <v>-7101</v>
      </c>
      <c r="AK117" s="2">
        <v>-3460</v>
      </c>
      <c r="AL117" s="2">
        <v>0</v>
      </c>
      <c r="AM117" s="2">
        <v>-7101</v>
      </c>
    </row>
    <row r="118" spans="1:39">
      <c r="A118" s="351">
        <v>91015</v>
      </c>
      <c r="B118" s="344" t="s">
        <v>1640</v>
      </c>
      <c r="C118" s="360">
        <v>1.6699999999999999E-5</v>
      </c>
      <c r="E118" s="2">
        <v>15076</v>
      </c>
      <c r="F118" s="2">
        <v>16979</v>
      </c>
      <c r="G118" s="2">
        <v>8751</v>
      </c>
      <c r="H118" s="2">
        <v>2485</v>
      </c>
      <c r="I118" s="2">
        <v>0</v>
      </c>
      <c r="J118" s="2"/>
      <c r="K118" s="2">
        <v>3096</v>
      </c>
      <c r="L118" s="2">
        <v>2852</v>
      </c>
      <c r="M118" s="2">
        <v>1587</v>
      </c>
      <c r="N118" s="2">
        <v>0</v>
      </c>
      <c r="O118" s="2">
        <v>0</v>
      </c>
      <c r="P118" s="2"/>
      <c r="Q118" s="2">
        <v>201</v>
      </c>
      <c r="R118" s="2">
        <v>2807</v>
      </c>
      <c r="S118" s="2">
        <v>2904</v>
      </c>
      <c r="T118" s="2">
        <v>2485</v>
      </c>
      <c r="U118" s="2">
        <v>0</v>
      </c>
      <c r="V118" s="2"/>
      <c r="W118" s="2">
        <v>2451</v>
      </c>
      <c r="X118" s="2">
        <v>1990</v>
      </c>
      <c r="Y118" s="2">
        <v>0</v>
      </c>
      <c r="Z118" s="2">
        <v>0</v>
      </c>
      <c r="AA118" s="2">
        <v>0</v>
      </c>
      <c r="AB118" s="2"/>
      <c r="AC118" s="2">
        <v>9328</v>
      </c>
      <c r="AD118" s="2">
        <v>9330</v>
      </c>
      <c r="AE118" s="2">
        <v>4260</v>
      </c>
      <c r="AF118" s="2">
        <v>0</v>
      </c>
      <c r="AG118" s="2">
        <v>0</v>
      </c>
      <c r="AH118" s="2"/>
      <c r="AI118" s="2">
        <v>0</v>
      </c>
      <c r="AJ118" s="2">
        <v>0</v>
      </c>
      <c r="AK118" s="2">
        <v>0</v>
      </c>
      <c r="AL118" s="2">
        <v>0</v>
      </c>
      <c r="AM118" s="2">
        <v>0</v>
      </c>
    </row>
    <row r="119" spans="1:39">
      <c r="A119" s="351">
        <v>91017</v>
      </c>
      <c r="B119" s="344" t="s">
        <v>812</v>
      </c>
      <c r="C119" s="360">
        <v>2.8500000000000002E-5</v>
      </c>
      <c r="E119" s="2">
        <v>12708</v>
      </c>
      <c r="F119" s="2">
        <v>15471</v>
      </c>
      <c r="G119" s="2">
        <v>9902</v>
      </c>
      <c r="H119" s="2">
        <v>4241</v>
      </c>
      <c r="I119" s="2">
        <v>0</v>
      </c>
      <c r="J119" s="2"/>
      <c r="K119" s="2">
        <v>5284</v>
      </c>
      <c r="L119" s="2">
        <v>4868</v>
      </c>
      <c r="M119" s="2">
        <v>2709</v>
      </c>
      <c r="N119" s="2">
        <v>0</v>
      </c>
      <c r="O119" s="2">
        <v>0</v>
      </c>
      <c r="P119" s="2"/>
      <c r="Q119" s="2">
        <v>343</v>
      </c>
      <c r="R119" s="2">
        <v>4791</v>
      </c>
      <c r="S119" s="2">
        <v>4957</v>
      </c>
      <c r="T119" s="2">
        <v>4241</v>
      </c>
      <c r="U119" s="2">
        <v>0</v>
      </c>
      <c r="V119" s="2"/>
      <c r="W119" s="2">
        <v>4183</v>
      </c>
      <c r="X119" s="2">
        <v>3396</v>
      </c>
      <c r="Y119" s="2">
        <v>0</v>
      </c>
      <c r="Z119" s="2">
        <v>0</v>
      </c>
      <c r="AA119" s="2">
        <v>0</v>
      </c>
      <c r="AB119" s="2"/>
      <c r="AC119" s="2">
        <v>2898</v>
      </c>
      <c r="AD119" s="2">
        <v>2416</v>
      </c>
      <c r="AE119" s="2">
        <v>2236</v>
      </c>
      <c r="AF119" s="2">
        <v>0</v>
      </c>
      <c r="AG119" s="2">
        <v>0</v>
      </c>
      <c r="AH119" s="2"/>
      <c r="AI119" s="2">
        <v>0</v>
      </c>
      <c r="AJ119" s="2">
        <v>0</v>
      </c>
      <c r="AK119" s="2">
        <v>0</v>
      </c>
      <c r="AL119" s="2">
        <v>0</v>
      </c>
      <c r="AM119" s="2">
        <v>0</v>
      </c>
    </row>
    <row r="120" spans="1:39">
      <c r="A120" s="351">
        <v>91020</v>
      </c>
      <c r="B120" s="344" t="s">
        <v>813</v>
      </c>
      <c r="C120" s="360">
        <v>2.1399999999999998E-5</v>
      </c>
      <c r="E120" s="2">
        <v>6943</v>
      </c>
      <c r="F120" s="2">
        <v>8804</v>
      </c>
      <c r="G120" s="2">
        <v>3711</v>
      </c>
      <c r="H120" s="2">
        <v>3185</v>
      </c>
      <c r="I120" s="2">
        <v>0</v>
      </c>
      <c r="J120" s="2"/>
      <c r="K120" s="2">
        <v>3968</v>
      </c>
      <c r="L120" s="2">
        <v>3655</v>
      </c>
      <c r="M120" s="2">
        <v>2034</v>
      </c>
      <c r="N120" s="2">
        <v>0</v>
      </c>
      <c r="O120" s="2">
        <v>0</v>
      </c>
      <c r="P120" s="2"/>
      <c r="Q120" s="2">
        <v>257</v>
      </c>
      <c r="R120" s="2">
        <v>3597</v>
      </c>
      <c r="S120" s="2">
        <v>3722</v>
      </c>
      <c r="T120" s="2">
        <v>3185</v>
      </c>
      <c r="U120" s="2">
        <v>0</v>
      </c>
      <c r="V120" s="2"/>
      <c r="W120" s="2">
        <v>3141</v>
      </c>
      <c r="X120" s="2">
        <v>2550</v>
      </c>
      <c r="Y120" s="2">
        <v>0</v>
      </c>
      <c r="Z120" s="2">
        <v>0</v>
      </c>
      <c r="AA120" s="2">
        <v>0</v>
      </c>
      <c r="AB120" s="2"/>
      <c r="AC120" s="2">
        <v>1622</v>
      </c>
      <c r="AD120" s="2">
        <v>1047</v>
      </c>
      <c r="AE120" s="2">
        <v>0</v>
      </c>
      <c r="AF120" s="2">
        <v>0</v>
      </c>
      <c r="AG120" s="2">
        <v>0</v>
      </c>
      <c r="AH120" s="2"/>
      <c r="AI120" s="2">
        <v>-2045</v>
      </c>
      <c r="AJ120" s="2">
        <v>-2045</v>
      </c>
      <c r="AK120" s="2">
        <v>-2045</v>
      </c>
      <c r="AL120" s="2">
        <v>0</v>
      </c>
      <c r="AM120" s="2">
        <v>-2045</v>
      </c>
    </row>
    <row r="121" spans="1:39">
      <c r="A121" s="351">
        <v>91021</v>
      </c>
      <c r="B121" s="344" t="s">
        <v>814</v>
      </c>
      <c r="C121" s="360">
        <v>9.5620000000000004E-4</v>
      </c>
      <c r="E121" s="2">
        <v>358298</v>
      </c>
      <c r="F121" s="2">
        <v>469888</v>
      </c>
      <c r="G121" s="2">
        <v>284982</v>
      </c>
      <c r="H121" s="2">
        <v>142304</v>
      </c>
      <c r="I121" s="2">
        <v>0</v>
      </c>
      <c r="J121" s="2"/>
      <c r="K121" s="2">
        <v>177288</v>
      </c>
      <c r="L121" s="2">
        <v>163313</v>
      </c>
      <c r="M121" s="2">
        <v>90894</v>
      </c>
      <c r="N121" s="2">
        <v>0</v>
      </c>
      <c r="O121" s="2">
        <v>0</v>
      </c>
      <c r="P121" s="2"/>
      <c r="Q121" s="2">
        <v>11493</v>
      </c>
      <c r="R121" s="2">
        <v>160742</v>
      </c>
      <c r="S121" s="2">
        <v>166300</v>
      </c>
      <c r="T121" s="2">
        <v>142304</v>
      </c>
      <c r="U121" s="2">
        <v>0</v>
      </c>
      <c r="V121" s="2"/>
      <c r="W121" s="2">
        <v>140347</v>
      </c>
      <c r="X121" s="2">
        <v>113938</v>
      </c>
      <c r="Y121" s="2">
        <v>0</v>
      </c>
      <c r="Z121" s="2">
        <v>0</v>
      </c>
      <c r="AA121" s="2">
        <v>0</v>
      </c>
      <c r="AB121" s="2"/>
      <c r="AC121" s="2">
        <v>31896</v>
      </c>
      <c r="AD121" s="2">
        <v>31895</v>
      </c>
      <c r="AE121" s="2">
        <v>27788</v>
      </c>
      <c r="AF121" s="2">
        <v>0</v>
      </c>
      <c r="AG121" s="2">
        <v>0</v>
      </c>
      <c r="AH121" s="2"/>
      <c r="AI121" s="2">
        <v>-2726</v>
      </c>
      <c r="AJ121" s="2">
        <v>0</v>
      </c>
      <c r="AK121" s="2">
        <v>0</v>
      </c>
      <c r="AL121" s="2">
        <v>0</v>
      </c>
      <c r="AM121" s="2">
        <v>0</v>
      </c>
    </row>
    <row r="122" spans="1:39">
      <c r="A122" s="351">
        <v>91024</v>
      </c>
      <c r="B122" s="344" t="s">
        <v>815</v>
      </c>
      <c r="C122" s="360">
        <v>1.0170000000000001E-4</v>
      </c>
      <c r="E122" s="2">
        <v>45775</v>
      </c>
      <c r="F122" s="2">
        <v>56040</v>
      </c>
      <c r="G122" s="2">
        <v>32833</v>
      </c>
      <c r="H122" s="2">
        <v>15135</v>
      </c>
      <c r="I122" s="2">
        <v>0</v>
      </c>
      <c r="J122" s="2"/>
      <c r="K122" s="2">
        <v>18856</v>
      </c>
      <c r="L122" s="2">
        <v>17370</v>
      </c>
      <c r="M122" s="2">
        <v>9667</v>
      </c>
      <c r="N122" s="2">
        <v>0</v>
      </c>
      <c r="O122" s="2">
        <v>0</v>
      </c>
      <c r="P122" s="2"/>
      <c r="Q122" s="2">
        <v>1222</v>
      </c>
      <c r="R122" s="2">
        <v>17096</v>
      </c>
      <c r="S122" s="2">
        <v>17687</v>
      </c>
      <c r="T122" s="2">
        <v>15135</v>
      </c>
      <c r="U122" s="2">
        <v>0</v>
      </c>
      <c r="V122" s="2"/>
      <c r="W122" s="2">
        <v>14927</v>
      </c>
      <c r="X122" s="2">
        <v>12118</v>
      </c>
      <c r="Y122" s="2">
        <v>0</v>
      </c>
      <c r="Z122" s="2">
        <v>0</v>
      </c>
      <c r="AA122" s="2">
        <v>0</v>
      </c>
      <c r="AB122" s="2"/>
      <c r="AC122" s="2">
        <v>10770</v>
      </c>
      <c r="AD122" s="2">
        <v>9456</v>
      </c>
      <c r="AE122" s="2">
        <v>5479</v>
      </c>
      <c r="AF122" s="2">
        <v>0</v>
      </c>
      <c r="AG122" s="2">
        <v>0</v>
      </c>
      <c r="AH122" s="2"/>
      <c r="AI122" s="2">
        <v>0</v>
      </c>
      <c r="AJ122" s="2">
        <v>0</v>
      </c>
      <c r="AK122" s="2">
        <v>0</v>
      </c>
      <c r="AL122" s="2">
        <v>0</v>
      </c>
      <c r="AM122" s="2">
        <v>0</v>
      </c>
    </row>
    <row r="123" spans="1:39">
      <c r="A123" s="351">
        <v>91026</v>
      </c>
      <c r="B123" s="344" t="s">
        <v>43</v>
      </c>
      <c r="C123" s="360">
        <v>3.5800000000000003E-5</v>
      </c>
      <c r="E123" s="2">
        <v>24336</v>
      </c>
      <c r="F123" s="2">
        <v>27293</v>
      </c>
      <c r="G123" s="2">
        <v>14862</v>
      </c>
      <c r="H123" s="2">
        <v>5328</v>
      </c>
      <c r="I123" s="2">
        <v>0</v>
      </c>
      <c r="J123" s="2"/>
      <c r="K123" s="2">
        <v>6638</v>
      </c>
      <c r="L123" s="2">
        <v>6114</v>
      </c>
      <c r="M123" s="2">
        <v>3403</v>
      </c>
      <c r="N123" s="2">
        <v>0</v>
      </c>
      <c r="O123" s="2">
        <v>0</v>
      </c>
      <c r="P123" s="2"/>
      <c r="Q123" s="2">
        <v>430</v>
      </c>
      <c r="R123" s="2">
        <v>6018</v>
      </c>
      <c r="S123" s="2">
        <v>6226</v>
      </c>
      <c r="T123" s="2">
        <v>5328</v>
      </c>
      <c r="U123" s="2">
        <v>0</v>
      </c>
      <c r="V123" s="2"/>
      <c r="W123" s="2">
        <v>5255</v>
      </c>
      <c r="X123" s="2">
        <v>4266</v>
      </c>
      <c r="Y123" s="2">
        <v>0</v>
      </c>
      <c r="Z123" s="2">
        <v>0</v>
      </c>
      <c r="AA123" s="2">
        <v>0</v>
      </c>
      <c r="AB123" s="2"/>
      <c r="AC123" s="2">
        <v>12013</v>
      </c>
      <c r="AD123" s="2">
        <v>10895</v>
      </c>
      <c r="AE123" s="2">
        <v>5233</v>
      </c>
      <c r="AF123" s="2">
        <v>0</v>
      </c>
      <c r="AG123" s="2">
        <v>0</v>
      </c>
      <c r="AH123" s="2"/>
      <c r="AI123" s="2">
        <v>0</v>
      </c>
      <c r="AJ123" s="2">
        <v>0</v>
      </c>
      <c r="AK123" s="2">
        <v>0</v>
      </c>
      <c r="AL123" s="2">
        <v>0</v>
      </c>
      <c r="AM123" s="2">
        <v>0</v>
      </c>
    </row>
    <row r="124" spans="1:39">
      <c r="A124" s="351">
        <v>91027</v>
      </c>
      <c r="B124" s="344" t="s">
        <v>2798</v>
      </c>
      <c r="C124" s="360">
        <v>1.7099999999999999E-5</v>
      </c>
      <c r="E124" s="2">
        <v>12821</v>
      </c>
      <c r="F124" s="2">
        <v>13214</v>
      </c>
      <c r="G124" s="2">
        <v>8230</v>
      </c>
      <c r="H124" s="2">
        <v>2545</v>
      </c>
      <c r="I124" s="2">
        <v>0</v>
      </c>
      <c r="J124" s="2"/>
      <c r="K124" s="2">
        <v>3170</v>
      </c>
      <c r="L124" s="2">
        <v>2921</v>
      </c>
      <c r="M124" s="2">
        <v>1625</v>
      </c>
      <c r="N124" s="2">
        <v>0</v>
      </c>
      <c r="O124" s="2">
        <v>0</v>
      </c>
      <c r="P124" s="2"/>
      <c r="Q124" s="2">
        <v>206</v>
      </c>
      <c r="R124" s="2">
        <v>2875</v>
      </c>
      <c r="S124" s="2">
        <v>2974</v>
      </c>
      <c r="T124" s="2">
        <v>2545</v>
      </c>
      <c r="U124" s="2">
        <v>0</v>
      </c>
      <c r="V124" s="2"/>
      <c r="W124" s="2">
        <v>2510</v>
      </c>
      <c r="X124" s="2">
        <v>2038</v>
      </c>
      <c r="Y124" s="2">
        <v>0</v>
      </c>
      <c r="Z124" s="2">
        <v>0</v>
      </c>
      <c r="AA124" s="2">
        <v>0</v>
      </c>
      <c r="AB124" s="2"/>
      <c r="AC124" s="2">
        <v>6935</v>
      </c>
      <c r="AD124" s="2">
        <v>5380</v>
      </c>
      <c r="AE124" s="2">
        <v>3631</v>
      </c>
      <c r="AF124" s="2">
        <v>0</v>
      </c>
      <c r="AG124" s="2">
        <v>0</v>
      </c>
      <c r="AH124" s="2"/>
      <c r="AI124" s="2">
        <v>0</v>
      </c>
      <c r="AJ124" s="2">
        <v>0</v>
      </c>
      <c r="AK124" s="2">
        <v>0</v>
      </c>
      <c r="AL124" s="2">
        <v>0</v>
      </c>
      <c r="AM124" s="2">
        <v>0</v>
      </c>
    </row>
    <row r="125" spans="1:39">
      <c r="A125" s="351">
        <v>91032</v>
      </c>
      <c r="B125" s="344" t="s">
        <v>817</v>
      </c>
      <c r="C125" s="360">
        <v>2.02E-5</v>
      </c>
      <c r="E125" s="2">
        <v>18538</v>
      </c>
      <c r="F125" s="2">
        <v>19356</v>
      </c>
      <c r="G125" s="2">
        <v>13553</v>
      </c>
      <c r="H125" s="2">
        <v>3006</v>
      </c>
      <c r="I125" s="2">
        <v>0</v>
      </c>
      <c r="J125" s="2"/>
      <c r="K125" s="2">
        <v>3745</v>
      </c>
      <c r="L125" s="2">
        <v>3450</v>
      </c>
      <c r="M125" s="2">
        <v>1920</v>
      </c>
      <c r="N125" s="2">
        <v>0</v>
      </c>
      <c r="O125" s="2">
        <v>0</v>
      </c>
      <c r="P125" s="2"/>
      <c r="Q125" s="2">
        <v>243</v>
      </c>
      <c r="R125" s="2">
        <v>3396</v>
      </c>
      <c r="S125" s="2">
        <v>3513</v>
      </c>
      <c r="T125" s="2">
        <v>3006</v>
      </c>
      <c r="U125" s="2">
        <v>0</v>
      </c>
      <c r="V125" s="2"/>
      <c r="W125" s="2">
        <v>2965</v>
      </c>
      <c r="X125" s="2">
        <v>2407</v>
      </c>
      <c r="Y125" s="2">
        <v>0</v>
      </c>
      <c r="Z125" s="2">
        <v>0</v>
      </c>
      <c r="AA125" s="2">
        <v>0</v>
      </c>
      <c r="AB125" s="2"/>
      <c r="AC125" s="2">
        <v>11585</v>
      </c>
      <c r="AD125" s="2">
        <v>10103</v>
      </c>
      <c r="AE125" s="2">
        <v>8120</v>
      </c>
      <c r="AF125" s="2">
        <v>0</v>
      </c>
      <c r="AG125" s="2">
        <v>0</v>
      </c>
      <c r="AH125" s="2"/>
      <c r="AI125" s="2">
        <v>0</v>
      </c>
      <c r="AJ125" s="2">
        <v>0</v>
      </c>
      <c r="AK125" s="2">
        <v>0</v>
      </c>
      <c r="AL125" s="2">
        <v>0</v>
      </c>
      <c r="AM125" s="2">
        <v>0</v>
      </c>
    </row>
    <row r="126" spans="1:39">
      <c r="A126" s="351">
        <v>91041</v>
      </c>
      <c r="B126" s="344" t="s">
        <v>818</v>
      </c>
      <c r="C126" s="360">
        <v>4.773E-4</v>
      </c>
      <c r="E126" s="2">
        <v>153531</v>
      </c>
      <c r="F126" s="2">
        <v>218845</v>
      </c>
      <c r="G126" s="2">
        <v>129717</v>
      </c>
      <c r="H126" s="2">
        <v>71033</v>
      </c>
      <c r="I126" s="2">
        <v>0</v>
      </c>
      <c r="J126" s="2"/>
      <c r="K126" s="2">
        <v>88496</v>
      </c>
      <c r="L126" s="2">
        <v>81520</v>
      </c>
      <c r="M126" s="2">
        <v>45371</v>
      </c>
      <c r="N126" s="2">
        <v>0</v>
      </c>
      <c r="O126" s="2">
        <v>0</v>
      </c>
      <c r="P126" s="2"/>
      <c r="Q126" s="2">
        <v>5737</v>
      </c>
      <c r="R126" s="2">
        <v>80237</v>
      </c>
      <c r="S126" s="2">
        <v>83011</v>
      </c>
      <c r="T126" s="2">
        <v>71033</v>
      </c>
      <c r="U126" s="2">
        <v>0</v>
      </c>
      <c r="V126" s="2"/>
      <c r="W126" s="2">
        <v>70056</v>
      </c>
      <c r="X126" s="2">
        <v>56874</v>
      </c>
      <c r="Y126" s="2">
        <v>0</v>
      </c>
      <c r="Z126" s="2">
        <v>0</v>
      </c>
      <c r="AA126" s="2">
        <v>0</v>
      </c>
      <c r="AB126" s="2"/>
      <c r="AC126" s="2">
        <v>7394</v>
      </c>
      <c r="AD126" s="2">
        <v>7394</v>
      </c>
      <c r="AE126" s="2">
        <v>7393</v>
      </c>
      <c r="AF126" s="2">
        <v>0</v>
      </c>
      <c r="AG126" s="2">
        <v>0</v>
      </c>
      <c r="AH126" s="2"/>
      <c r="AI126" s="2">
        <v>-18152</v>
      </c>
      <c r="AJ126" s="2">
        <v>-7180</v>
      </c>
      <c r="AK126" s="2">
        <v>-6058</v>
      </c>
      <c r="AL126" s="2">
        <v>0</v>
      </c>
      <c r="AM126" s="2">
        <v>-7180</v>
      </c>
    </row>
    <row r="127" spans="1:39">
      <c r="A127" s="351">
        <v>91042</v>
      </c>
      <c r="B127" s="344" t="s">
        <v>819</v>
      </c>
      <c r="C127" s="360">
        <v>2.7510000000000002E-4</v>
      </c>
      <c r="E127" s="2">
        <v>99971</v>
      </c>
      <c r="F127" s="2">
        <v>128237</v>
      </c>
      <c r="G127" s="2">
        <v>73369</v>
      </c>
      <c r="H127" s="2">
        <v>40941</v>
      </c>
      <c r="I127" s="2">
        <v>0</v>
      </c>
      <c r="J127" s="2"/>
      <c r="K127" s="2">
        <v>51006</v>
      </c>
      <c r="L127" s="2">
        <v>46985</v>
      </c>
      <c r="M127" s="2">
        <v>26150</v>
      </c>
      <c r="N127" s="2">
        <v>0</v>
      </c>
      <c r="O127" s="2">
        <v>0</v>
      </c>
      <c r="P127" s="2"/>
      <c r="Q127" s="2">
        <v>3306</v>
      </c>
      <c r="R127" s="2">
        <v>46246</v>
      </c>
      <c r="S127" s="2">
        <v>47845</v>
      </c>
      <c r="T127" s="2">
        <v>40941</v>
      </c>
      <c r="U127" s="2">
        <v>0</v>
      </c>
      <c r="V127" s="2"/>
      <c r="W127" s="2">
        <v>40378</v>
      </c>
      <c r="X127" s="2">
        <v>32780</v>
      </c>
      <c r="Y127" s="2">
        <v>0</v>
      </c>
      <c r="Z127" s="2">
        <v>0</v>
      </c>
      <c r="AA127" s="2">
        <v>0</v>
      </c>
      <c r="AB127" s="2"/>
      <c r="AC127" s="2">
        <v>8502</v>
      </c>
      <c r="AD127" s="2">
        <v>5447</v>
      </c>
      <c r="AE127" s="2">
        <v>2595</v>
      </c>
      <c r="AF127" s="2">
        <v>0</v>
      </c>
      <c r="AG127" s="2">
        <v>0</v>
      </c>
      <c r="AH127" s="2"/>
      <c r="AI127" s="2">
        <v>-3221</v>
      </c>
      <c r="AJ127" s="2">
        <v>-3221</v>
      </c>
      <c r="AK127" s="2">
        <v>-3221</v>
      </c>
      <c r="AL127" s="2">
        <v>0</v>
      </c>
      <c r="AM127" s="2">
        <v>-3221</v>
      </c>
    </row>
    <row r="128" spans="1:39">
      <c r="A128" s="351">
        <v>91047</v>
      </c>
      <c r="B128" s="344" t="s">
        <v>820</v>
      </c>
      <c r="C128" s="360">
        <v>1.03E-5</v>
      </c>
      <c r="E128" s="2">
        <v>10242</v>
      </c>
      <c r="F128" s="2">
        <v>9354</v>
      </c>
      <c r="G128" s="2">
        <v>5139</v>
      </c>
      <c r="H128" s="2">
        <v>1533</v>
      </c>
      <c r="I128" s="2">
        <v>0</v>
      </c>
      <c r="J128" s="2"/>
      <c r="K128" s="2">
        <v>1910</v>
      </c>
      <c r="L128" s="2">
        <v>1759</v>
      </c>
      <c r="M128" s="2">
        <v>979</v>
      </c>
      <c r="N128" s="2">
        <v>0</v>
      </c>
      <c r="O128" s="2">
        <v>0</v>
      </c>
      <c r="P128" s="2"/>
      <c r="Q128" s="2">
        <v>124</v>
      </c>
      <c r="R128" s="2">
        <v>1731</v>
      </c>
      <c r="S128" s="2">
        <v>1791</v>
      </c>
      <c r="T128" s="2">
        <v>1533</v>
      </c>
      <c r="U128" s="2">
        <v>0</v>
      </c>
      <c r="V128" s="2"/>
      <c r="W128" s="2">
        <v>1512</v>
      </c>
      <c r="X128" s="2">
        <v>1227</v>
      </c>
      <c r="Y128" s="2">
        <v>0</v>
      </c>
      <c r="Z128" s="2">
        <v>0</v>
      </c>
      <c r="AA128" s="2">
        <v>0</v>
      </c>
      <c r="AB128" s="2"/>
      <c r="AC128" s="2">
        <v>6702</v>
      </c>
      <c r="AD128" s="2">
        <v>4643</v>
      </c>
      <c r="AE128" s="2">
        <v>2376</v>
      </c>
      <c r="AF128" s="2">
        <v>0</v>
      </c>
      <c r="AG128" s="2">
        <v>0</v>
      </c>
      <c r="AH128" s="2"/>
      <c r="AI128" s="2">
        <v>-6</v>
      </c>
      <c r="AJ128" s="2">
        <v>-6</v>
      </c>
      <c r="AK128" s="2">
        <v>-7</v>
      </c>
      <c r="AL128" s="2">
        <v>0</v>
      </c>
      <c r="AM128" s="2">
        <v>-6</v>
      </c>
    </row>
    <row r="129" spans="1:39">
      <c r="A129" s="351">
        <v>91051</v>
      </c>
      <c r="B129" s="344" t="s">
        <v>821</v>
      </c>
      <c r="C129" s="360">
        <v>6.2199999999999994E-5</v>
      </c>
      <c r="E129" s="2">
        <v>20510</v>
      </c>
      <c r="F129" s="2">
        <v>29205</v>
      </c>
      <c r="G129" s="2">
        <v>17156</v>
      </c>
      <c r="H129" s="2">
        <v>9257</v>
      </c>
      <c r="I129" s="2">
        <v>0</v>
      </c>
      <c r="J129" s="2"/>
      <c r="K129" s="2">
        <v>11532</v>
      </c>
      <c r="L129" s="2">
        <v>10623</v>
      </c>
      <c r="M129" s="2">
        <v>5913</v>
      </c>
      <c r="N129" s="2">
        <v>0</v>
      </c>
      <c r="O129" s="2">
        <v>0</v>
      </c>
      <c r="P129" s="2"/>
      <c r="Q129" s="2">
        <v>748</v>
      </c>
      <c r="R129" s="2">
        <v>10456</v>
      </c>
      <c r="S129" s="2">
        <v>10818</v>
      </c>
      <c r="T129" s="2">
        <v>9257</v>
      </c>
      <c r="U129" s="2">
        <v>0</v>
      </c>
      <c r="V129" s="2"/>
      <c r="W129" s="2">
        <v>9129</v>
      </c>
      <c r="X129" s="2">
        <v>7412</v>
      </c>
      <c r="Y129" s="2">
        <v>0</v>
      </c>
      <c r="Z129" s="2">
        <v>0</v>
      </c>
      <c r="AA129" s="2">
        <v>0</v>
      </c>
      <c r="AB129" s="2"/>
      <c r="AC129" s="2">
        <v>991</v>
      </c>
      <c r="AD129" s="2">
        <v>989</v>
      </c>
      <c r="AE129" s="2">
        <v>698</v>
      </c>
      <c r="AF129" s="2">
        <v>0</v>
      </c>
      <c r="AG129" s="2">
        <v>0</v>
      </c>
      <c r="AH129" s="2"/>
      <c r="AI129" s="2">
        <v>-1890</v>
      </c>
      <c r="AJ129" s="2">
        <v>-275</v>
      </c>
      <c r="AK129" s="2">
        <v>-273</v>
      </c>
      <c r="AL129" s="2">
        <v>0</v>
      </c>
      <c r="AM129" s="2">
        <v>-275</v>
      </c>
    </row>
    <row r="130" spans="1:39">
      <c r="A130" s="351">
        <v>91057</v>
      </c>
      <c r="B130" s="344" t="s">
        <v>822</v>
      </c>
      <c r="C130" s="360">
        <v>1.1E-5</v>
      </c>
      <c r="E130" s="2">
        <v>5402</v>
      </c>
      <c r="F130" s="2">
        <v>6154</v>
      </c>
      <c r="G130" s="2">
        <v>3403</v>
      </c>
      <c r="H130" s="2">
        <v>1637</v>
      </c>
      <c r="I130" s="2">
        <v>0</v>
      </c>
      <c r="J130" s="2"/>
      <c r="K130" s="2">
        <v>2039</v>
      </c>
      <c r="L130" s="2">
        <v>1879</v>
      </c>
      <c r="M130" s="2">
        <v>1046</v>
      </c>
      <c r="N130" s="2">
        <v>0</v>
      </c>
      <c r="O130" s="2">
        <v>0</v>
      </c>
      <c r="P130" s="2"/>
      <c r="Q130" s="2">
        <v>132</v>
      </c>
      <c r="R130" s="2">
        <v>1849</v>
      </c>
      <c r="S130" s="2">
        <v>1913</v>
      </c>
      <c r="T130" s="2">
        <v>1637</v>
      </c>
      <c r="U130" s="2">
        <v>0</v>
      </c>
      <c r="V130" s="2"/>
      <c r="W130" s="2">
        <v>1615</v>
      </c>
      <c r="X130" s="2">
        <v>1311</v>
      </c>
      <c r="Y130" s="2">
        <v>0</v>
      </c>
      <c r="Z130" s="2">
        <v>0</v>
      </c>
      <c r="AA130" s="2">
        <v>0</v>
      </c>
      <c r="AB130" s="2"/>
      <c r="AC130" s="2">
        <v>2452</v>
      </c>
      <c r="AD130" s="2">
        <v>1951</v>
      </c>
      <c r="AE130" s="2">
        <v>1278</v>
      </c>
      <c r="AF130" s="2">
        <v>0</v>
      </c>
      <c r="AG130" s="2">
        <v>0</v>
      </c>
      <c r="AH130" s="2"/>
      <c r="AI130" s="2">
        <v>-836</v>
      </c>
      <c r="AJ130" s="2">
        <v>-836</v>
      </c>
      <c r="AK130" s="2">
        <v>-834</v>
      </c>
      <c r="AL130" s="2">
        <v>0</v>
      </c>
      <c r="AM130" s="2">
        <v>-836</v>
      </c>
    </row>
    <row r="131" spans="1:39">
      <c r="A131" s="351">
        <v>91061</v>
      </c>
      <c r="B131" s="344" t="s">
        <v>823</v>
      </c>
      <c r="C131" s="360">
        <v>3.7950000000000001E-4</v>
      </c>
      <c r="E131" s="2">
        <v>123371</v>
      </c>
      <c r="F131" s="2">
        <v>164209</v>
      </c>
      <c r="G131" s="2">
        <v>99078</v>
      </c>
      <c r="H131" s="2">
        <v>56478</v>
      </c>
      <c r="I131" s="2">
        <v>0</v>
      </c>
      <c r="J131" s="2"/>
      <c r="K131" s="2">
        <v>70363</v>
      </c>
      <c r="L131" s="2">
        <v>64816</v>
      </c>
      <c r="M131" s="2">
        <v>36075</v>
      </c>
      <c r="N131" s="2">
        <v>0</v>
      </c>
      <c r="O131" s="2">
        <v>0</v>
      </c>
      <c r="P131" s="2"/>
      <c r="Q131" s="2">
        <v>4561</v>
      </c>
      <c r="R131" s="2">
        <v>63796</v>
      </c>
      <c r="S131" s="2">
        <v>66002</v>
      </c>
      <c r="T131" s="2">
        <v>56478</v>
      </c>
      <c r="U131" s="2">
        <v>0</v>
      </c>
      <c r="V131" s="2"/>
      <c r="W131" s="2">
        <v>55701</v>
      </c>
      <c r="X131" s="2">
        <v>45220</v>
      </c>
      <c r="Y131" s="2">
        <v>0</v>
      </c>
      <c r="Z131" s="2">
        <v>0</v>
      </c>
      <c r="AA131" s="2">
        <v>0</v>
      </c>
      <c r="AB131" s="2"/>
      <c r="AC131" s="2">
        <v>3371</v>
      </c>
      <c r="AD131" s="2">
        <v>1002</v>
      </c>
      <c r="AE131" s="2">
        <v>1004</v>
      </c>
      <c r="AF131" s="2">
        <v>0</v>
      </c>
      <c r="AG131" s="2">
        <v>0</v>
      </c>
      <c r="AH131" s="2"/>
      <c r="AI131" s="2">
        <v>-10625</v>
      </c>
      <c r="AJ131" s="2">
        <v>-10625</v>
      </c>
      <c r="AK131" s="2">
        <v>-4003</v>
      </c>
      <c r="AL131" s="2">
        <v>0</v>
      </c>
      <c r="AM131" s="2">
        <v>-10625</v>
      </c>
    </row>
    <row r="132" spans="1:39">
      <c r="A132" s="351">
        <v>91067</v>
      </c>
      <c r="B132" s="344" t="s">
        <v>824</v>
      </c>
      <c r="C132" s="360">
        <v>1.5400000000000002E-5</v>
      </c>
      <c r="E132" s="2">
        <v>5915</v>
      </c>
      <c r="F132" s="2">
        <v>7769</v>
      </c>
      <c r="G132" s="2">
        <v>4468</v>
      </c>
      <c r="H132" s="2">
        <v>2292</v>
      </c>
      <c r="I132" s="2">
        <v>0</v>
      </c>
      <c r="J132" s="2"/>
      <c r="K132" s="2">
        <v>2855</v>
      </c>
      <c r="L132" s="2">
        <v>2630</v>
      </c>
      <c r="M132" s="2">
        <v>1464</v>
      </c>
      <c r="N132" s="2">
        <v>0</v>
      </c>
      <c r="O132" s="2">
        <v>0</v>
      </c>
      <c r="P132" s="2"/>
      <c r="Q132" s="2">
        <v>185</v>
      </c>
      <c r="R132" s="2">
        <v>2589</v>
      </c>
      <c r="S132" s="2">
        <v>2678</v>
      </c>
      <c r="T132" s="2">
        <v>2292</v>
      </c>
      <c r="U132" s="2">
        <v>0</v>
      </c>
      <c r="V132" s="2"/>
      <c r="W132" s="2">
        <v>2260</v>
      </c>
      <c r="X132" s="2">
        <v>1835</v>
      </c>
      <c r="Y132" s="2">
        <v>0</v>
      </c>
      <c r="Z132" s="2">
        <v>0</v>
      </c>
      <c r="AA132" s="2">
        <v>0</v>
      </c>
      <c r="AB132" s="2"/>
      <c r="AC132" s="2">
        <v>716</v>
      </c>
      <c r="AD132" s="2">
        <v>715</v>
      </c>
      <c r="AE132" s="2">
        <v>326</v>
      </c>
      <c r="AF132" s="2">
        <v>0</v>
      </c>
      <c r="AG132" s="2">
        <v>0</v>
      </c>
      <c r="AH132" s="2"/>
      <c r="AI132" s="2">
        <v>-101</v>
      </c>
      <c r="AJ132" s="2">
        <v>0</v>
      </c>
      <c r="AK132" s="2">
        <v>0</v>
      </c>
      <c r="AL132" s="2">
        <v>0</v>
      </c>
      <c r="AM132" s="2">
        <v>0</v>
      </c>
    </row>
    <row r="133" spans="1:39">
      <c r="A133" s="351">
        <v>91071</v>
      </c>
      <c r="B133" s="344" t="s">
        <v>3648</v>
      </c>
      <c r="C133" s="360">
        <v>2.186E-4</v>
      </c>
      <c r="E133" s="2">
        <v>60432</v>
      </c>
      <c r="F133" s="2">
        <v>90279</v>
      </c>
      <c r="G133" s="2">
        <v>49129</v>
      </c>
      <c r="H133" s="2">
        <v>32532</v>
      </c>
      <c r="I133" s="2">
        <v>0</v>
      </c>
      <c r="J133" s="2"/>
      <c r="K133" s="2">
        <v>40530</v>
      </c>
      <c r="L133" s="2">
        <v>37336</v>
      </c>
      <c r="M133" s="2">
        <v>20780</v>
      </c>
      <c r="N133" s="2">
        <v>0</v>
      </c>
      <c r="O133" s="2">
        <v>0</v>
      </c>
      <c r="P133" s="2"/>
      <c r="Q133" s="2">
        <v>2627</v>
      </c>
      <c r="R133" s="2">
        <v>36748</v>
      </c>
      <c r="S133" s="2">
        <v>38018</v>
      </c>
      <c r="T133" s="2">
        <v>32532</v>
      </c>
      <c r="U133" s="2">
        <v>0</v>
      </c>
      <c r="V133" s="2"/>
      <c r="W133" s="2">
        <v>32085</v>
      </c>
      <c r="X133" s="2">
        <v>26048</v>
      </c>
      <c r="Y133" s="2">
        <v>0</v>
      </c>
      <c r="Z133" s="2">
        <v>0</v>
      </c>
      <c r="AA133" s="2">
        <v>0</v>
      </c>
      <c r="AB133" s="2"/>
      <c r="AC133" s="2">
        <v>0</v>
      </c>
      <c r="AD133" s="2">
        <v>0</v>
      </c>
      <c r="AE133" s="2">
        <v>0</v>
      </c>
      <c r="AF133" s="2">
        <v>0</v>
      </c>
      <c r="AG133" s="2">
        <v>0</v>
      </c>
      <c r="AH133" s="2"/>
      <c r="AI133" s="2">
        <v>-14810</v>
      </c>
      <c r="AJ133" s="2">
        <v>-9853</v>
      </c>
      <c r="AK133" s="2">
        <v>-9669</v>
      </c>
      <c r="AL133" s="2">
        <v>0</v>
      </c>
      <c r="AM133" s="2">
        <v>-9853</v>
      </c>
    </row>
    <row r="134" spans="1:39">
      <c r="A134" s="351">
        <v>91077</v>
      </c>
      <c r="B134" s="344" t="s">
        <v>826</v>
      </c>
      <c r="C134" s="360">
        <v>1.1600000000000001E-5</v>
      </c>
      <c r="E134" s="2">
        <v>7927</v>
      </c>
      <c r="F134" s="2">
        <v>8991</v>
      </c>
      <c r="G134" s="2">
        <v>6621</v>
      </c>
      <c r="H134" s="2">
        <v>1726</v>
      </c>
      <c r="I134" s="2">
        <v>0</v>
      </c>
      <c r="J134" s="2"/>
      <c r="K134" s="2">
        <v>2151</v>
      </c>
      <c r="L134" s="2">
        <v>1981</v>
      </c>
      <c r="M134" s="2">
        <v>1103</v>
      </c>
      <c r="N134" s="2">
        <v>0</v>
      </c>
      <c r="O134" s="2">
        <v>0</v>
      </c>
      <c r="P134" s="2"/>
      <c r="Q134" s="2">
        <v>139</v>
      </c>
      <c r="R134" s="2">
        <v>1950</v>
      </c>
      <c r="S134" s="2">
        <v>2017</v>
      </c>
      <c r="T134" s="2">
        <v>1726</v>
      </c>
      <c r="U134" s="2">
        <v>0</v>
      </c>
      <c r="V134" s="2"/>
      <c r="W134" s="2">
        <v>1703</v>
      </c>
      <c r="X134" s="2">
        <v>1382</v>
      </c>
      <c r="Y134" s="2">
        <v>0</v>
      </c>
      <c r="Z134" s="2">
        <v>0</v>
      </c>
      <c r="AA134" s="2">
        <v>0</v>
      </c>
      <c r="AB134" s="2"/>
      <c r="AC134" s="2">
        <v>3934</v>
      </c>
      <c r="AD134" s="2">
        <v>3678</v>
      </c>
      <c r="AE134" s="2">
        <v>3501</v>
      </c>
      <c r="AF134" s="2">
        <v>0</v>
      </c>
      <c r="AG134" s="2">
        <v>0</v>
      </c>
      <c r="AH134" s="2"/>
      <c r="AI134" s="2">
        <v>0</v>
      </c>
      <c r="AJ134" s="2">
        <v>0</v>
      </c>
      <c r="AK134" s="2">
        <v>0</v>
      </c>
      <c r="AL134" s="2">
        <v>0</v>
      </c>
      <c r="AM134" s="2">
        <v>0</v>
      </c>
    </row>
    <row r="135" spans="1:39">
      <c r="A135" s="351">
        <v>91081</v>
      </c>
      <c r="B135" s="344" t="s">
        <v>827</v>
      </c>
      <c r="C135" s="360">
        <v>4.2880000000000001E-4</v>
      </c>
      <c r="E135" s="2">
        <v>154644</v>
      </c>
      <c r="F135" s="2">
        <v>203348</v>
      </c>
      <c r="G135" s="2">
        <v>117490</v>
      </c>
      <c r="H135" s="2">
        <v>63815</v>
      </c>
      <c r="I135" s="2">
        <v>0</v>
      </c>
      <c r="J135" s="2"/>
      <c r="K135" s="2">
        <v>79503</v>
      </c>
      <c r="L135" s="2">
        <v>73236</v>
      </c>
      <c r="M135" s="2">
        <v>40761</v>
      </c>
      <c r="N135" s="2">
        <v>0</v>
      </c>
      <c r="O135" s="2">
        <v>0</v>
      </c>
      <c r="P135" s="2"/>
      <c r="Q135" s="2">
        <v>5154</v>
      </c>
      <c r="R135" s="2">
        <v>72083</v>
      </c>
      <c r="S135" s="2">
        <v>74576</v>
      </c>
      <c r="T135" s="2">
        <v>63815</v>
      </c>
      <c r="U135" s="2">
        <v>0</v>
      </c>
      <c r="V135" s="2"/>
      <c r="W135" s="2">
        <v>62938</v>
      </c>
      <c r="X135" s="2">
        <v>51095</v>
      </c>
      <c r="Y135" s="2">
        <v>0</v>
      </c>
      <c r="Z135" s="2">
        <v>0</v>
      </c>
      <c r="AA135" s="2">
        <v>0</v>
      </c>
      <c r="AB135" s="2"/>
      <c r="AC135" s="2">
        <v>8760</v>
      </c>
      <c r="AD135" s="2">
        <v>8645</v>
      </c>
      <c r="AE135" s="2">
        <v>3865</v>
      </c>
      <c r="AF135" s="2">
        <v>0</v>
      </c>
      <c r="AG135" s="2">
        <v>0</v>
      </c>
      <c r="AH135" s="2"/>
      <c r="AI135" s="2">
        <v>-1711</v>
      </c>
      <c r="AJ135" s="2">
        <v>-1711</v>
      </c>
      <c r="AK135" s="2">
        <v>-1712</v>
      </c>
      <c r="AL135" s="2">
        <v>0</v>
      </c>
      <c r="AM135" s="2">
        <v>-1711</v>
      </c>
    </row>
    <row r="136" spans="1:39">
      <c r="A136" s="351">
        <v>91091</v>
      </c>
      <c r="B136" s="344" t="s">
        <v>828</v>
      </c>
      <c r="C136" s="360">
        <v>5.6079999999999997E-4</v>
      </c>
      <c r="E136" s="2">
        <v>190500</v>
      </c>
      <c r="F136" s="2">
        <v>262926</v>
      </c>
      <c r="G136" s="2">
        <v>163916</v>
      </c>
      <c r="H136" s="2">
        <v>83459</v>
      </c>
      <c r="I136" s="2">
        <v>0</v>
      </c>
      <c r="J136" s="2"/>
      <c r="K136" s="2">
        <v>103977</v>
      </c>
      <c r="L136" s="2">
        <v>95781</v>
      </c>
      <c r="M136" s="2">
        <v>53309</v>
      </c>
      <c r="N136" s="2">
        <v>0</v>
      </c>
      <c r="O136" s="2">
        <v>0</v>
      </c>
      <c r="P136" s="2"/>
      <c r="Q136" s="2">
        <v>6740</v>
      </c>
      <c r="R136" s="2">
        <v>94273</v>
      </c>
      <c r="S136" s="2">
        <v>97533</v>
      </c>
      <c r="T136" s="2">
        <v>83459</v>
      </c>
      <c r="U136" s="2">
        <v>0</v>
      </c>
      <c r="V136" s="2"/>
      <c r="W136" s="2">
        <v>82312</v>
      </c>
      <c r="X136" s="2">
        <v>66823</v>
      </c>
      <c r="Y136" s="2">
        <v>0</v>
      </c>
      <c r="Z136" s="2">
        <v>0</v>
      </c>
      <c r="AA136" s="2">
        <v>0</v>
      </c>
      <c r="AB136" s="2"/>
      <c r="AC136" s="2">
        <v>13073</v>
      </c>
      <c r="AD136" s="2">
        <v>13073</v>
      </c>
      <c r="AE136" s="2">
        <v>13074</v>
      </c>
      <c r="AF136" s="2">
        <v>0</v>
      </c>
      <c r="AG136" s="2">
        <v>0</v>
      </c>
      <c r="AH136" s="2"/>
      <c r="AI136" s="2">
        <v>-15602</v>
      </c>
      <c r="AJ136" s="2">
        <v>-7024</v>
      </c>
      <c r="AK136" s="2">
        <v>0</v>
      </c>
      <c r="AL136" s="2">
        <v>0</v>
      </c>
      <c r="AM136" s="2">
        <v>-7024</v>
      </c>
    </row>
    <row r="137" spans="1:39">
      <c r="A137" s="351">
        <v>91101</v>
      </c>
      <c r="B137" s="344" t="s">
        <v>829</v>
      </c>
      <c r="C137" s="360">
        <v>1.2932900000000001E-2</v>
      </c>
      <c r="E137" s="2">
        <v>3972364</v>
      </c>
      <c r="F137" s="2">
        <v>5529258</v>
      </c>
      <c r="G137" s="2">
        <v>3132894</v>
      </c>
      <c r="H137" s="2">
        <v>1924700</v>
      </c>
      <c r="I137" s="2">
        <v>0</v>
      </c>
      <c r="J137" s="2"/>
      <c r="K137" s="2">
        <v>2397876</v>
      </c>
      <c r="L137" s="2">
        <v>2208862</v>
      </c>
      <c r="M137" s="2">
        <v>1229376</v>
      </c>
      <c r="N137" s="2">
        <v>0</v>
      </c>
      <c r="O137" s="2">
        <v>0</v>
      </c>
      <c r="P137" s="2"/>
      <c r="Q137" s="2">
        <v>155441</v>
      </c>
      <c r="R137" s="2">
        <v>2174085</v>
      </c>
      <c r="S137" s="2">
        <v>2249264</v>
      </c>
      <c r="T137" s="2">
        <v>1924700</v>
      </c>
      <c r="U137" s="2">
        <v>0</v>
      </c>
      <c r="V137" s="2"/>
      <c r="W137" s="2">
        <v>1898239</v>
      </c>
      <c r="X137" s="2">
        <v>1541046</v>
      </c>
      <c r="Y137" s="2">
        <v>0</v>
      </c>
      <c r="Z137" s="2">
        <v>0</v>
      </c>
      <c r="AA137" s="2">
        <v>0</v>
      </c>
      <c r="AB137" s="2"/>
      <c r="AC137" s="2">
        <v>0</v>
      </c>
      <c r="AD137" s="2">
        <v>0</v>
      </c>
      <c r="AE137" s="2">
        <v>0</v>
      </c>
      <c r="AF137" s="2">
        <v>0</v>
      </c>
      <c r="AG137" s="2">
        <v>0</v>
      </c>
      <c r="AH137" s="2"/>
      <c r="AI137" s="2">
        <v>-479192</v>
      </c>
      <c r="AJ137" s="2">
        <v>-394735</v>
      </c>
      <c r="AK137" s="2">
        <v>-345746</v>
      </c>
      <c r="AL137" s="2">
        <v>0</v>
      </c>
      <c r="AM137" s="2">
        <v>-394735</v>
      </c>
    </row>
    <row r="138" spans="1:39">
      <c r="A138" s="351">
        <v>91102</v>
      </c>
      <c r="B138" s="344" t="s">
        <v>830</v>
      </c>
      <c r="C138" s="360">
        <v>2.8190000000000002E-4</v>
      </c>
      <c r="E138" s="2">
        <v>84818</v>
      </c>
      <c r="F138" s="2">
        <v>111503</v>
      </c>
      <c r="G138" s="2">
        <v>58510</v>
      </c>
      <c r="H138" s="2">
        <v>41953</v>
      </c>
      <c r="I138" s="2">
        <v>0</v>
      </c>
      <c r="J138" s="2"/>
      <c r="K138" s="2">
        <v>52267</v>
      </c>
      <c r="L138" s="2">
        <v>48147</v>
      </c>
      <c r="M138" s="2">
        <v>26797</v>
      </c>
      <c r="N138" s="2">
        <v>0</v>
      </c>
      <c r="O138" s="2">
        <v>0</v>
      </c>
      <c r="P138" s="2"/>
      <c r="Q138" s="2">
        <v>3388</v>
      </c>
      <c r="R138" s="2">
        <v>47389</v>
      </c>
      <c r="S138" s="2">
        <v>49027</v>
      </c>
      <c r="T138" s="2">
        <v>41953</v>
      </c>
      <c r="U138" s="2">
        <v>0</v>
      </c>
      <c r="V138" s="2"/>
      <c r="W138" s="2">
        <v>41376</v>
      </c>
      <c r="X138" s="2">
        <v>33590</v>
      </c>
      <c r="Y138" s="2">
        <v>0</v>
      </c>
      <c r="Z138" s="2">
        <v>0</v>
      </c>
      <c r="AA138" s="2">
        <v>0</v>
      </c>
      <c r="AB138" s="2"/>
      <c r="AC138" s="2">
        <v>5454</v>
      </c>
      <c r="AD138" s="2">
        <v>45</v>
      </c>
      <c r="AE138" s="2">
        <v>45</v>
      </c>
      <c r="AF138" s="2">
        <v>0</v>
      </c>
      <c r="AG138" s="2">
        <v>0</v>
      </c>
      <c r="AH138" s="2"/>
      <c r="AI138" s="2">
        <v>-17667</v>
      </c>
      <c r="AJ138" s="2">
        <v>-17668</v>
      </c>
      <c r="AK138" s="2">
        <v>-17359</v>
      </c>
      <c r="AL138" s="2">
        <v>0</v>
      </c>
      <c r="AM138" s="2">
        <v>-17668</v>
      </c>
    </row>
    <row r="139" spans="1:39">
      <c r="A139" s="351">
        <v>91104</v>
      </c>
      <c r="B139" s="344" t="s">
        <v>831</v>
      </c>
      <c r="C139" s="360">
        <v>1.7499999999999998E-5</v>
      </c>
      <c r="E139" s="2">
        <v>10590</v>
      </c>
      <c r="F139" s="2">
        <v>12234</v>
      </c>
      <c r="G139" s="2">
        <v>8200</v>
      </c>
      <c r="H139" s="2">
        <v>2604</v>
      </c>
      <c r="I139" s="2">
        <v>0</v>
      </c>
      <c r="J139" s="2"/>
      <c r="K139" s="2">
        <v>3245</v>
      </c>
      <c r="L139" s="2">
        <v>2989</v>
      </c>
      <c r="M139" s="2">
        <v>1664</v>
      </c>
      <c r="N139" s="2">
        <v>0</v>
      </c>
      <c r="O139" s="2">
        <v>0</v>
      </c>
      <c r="P139" s="2"/>
      <c r="Q139" s="2">
        <v>210</v>
      </c>
      <c r="R139" s="2">
        <v>2942</v>
      </c>
      <c r="S139" s="2">
        <v>3044</v>
      </c>
      <c r="T139" s="2">
        <v>2604</v>
      </c>
      <c r="U139" s="2">
        <v>0</v>
      </c>
      <c r="V139" s="2"/>
      <c r="W139" s="2">
        <v>2569</v>
      </c>
      <c r="X139" s="2">
        <v>2085</v>
      </c>
      <c r="Y139" s="2">
        <v>0</v>
      </c>
      <c r="Z139" s="2">
        <v>0</v>
      </c>
      <c r="AA139" s="2">
        <v>0</v>
      </c>
      <c r="AB139" s="2"/>
      <c r="AC139" s="2">
        <v>4566</v>
      </c>
      <c r="AD139" s="2">
        <v>4218</v>
      </c>
      <c r="AE139" s="2">
        <v>3492</v>
      </c>
      <c r="AF139" s="2">
        <v>0</v>
      </c>
      <c r="AG139" s="2">
        <v>0</v>
      </c>
      <c r="AH139" s="2"/>
      <c r="AI139" s="2">
        <v>0</v>
      </c>
      <c r="AJ139" s="2">
        <v>0</v>
      </c>
      <c r="AK139" s="2">
        <v>0</v>
      </c>
      <c r="AL139" s="2">
        <v>0</v>
      </c>
      <c r="AM139" s="2">
        <v>0</v>
      </c>
    </row>
    <row r="140" spans="1:39">
      <c r="A140" s="351">
        <v>91107</v>
      </c>
      <c r="B140" s="344" t="s">
        <v>3649</v>
      </c>
      <c r="C140" s="360">
        <v>3.8999999999999999E-5</v>
      </c>
      <c r="E140" s="2">
        <v>13234</v>
      </c>
      <c r="F140" s="2">
        <v>16369</v>
      </c>
      <c r="G140" s="2">
        <v>9744</v>
      </c>
      <c r="H140" s="2">
        <v>5804</v>
      </c>
      <c r="I140" s="2">
        <v>0</v>
      </c>
      <c r="J140" s="2"/>
      <c r="K140" s="2">
        <v>7231</v>
      </c>
      <c r="L140" s="2">
        <v>6661</v>
      </c>
      <c r="M140" s="2">
        <v>3707</v>
      </c>
      <c r="N140" s="2">
        <v>0</v>
      </c>
      <c r="O140" s="2">
        <v>0</v>
      </c>
      <c r="P140" s="2"/>
      <c r="Q140" s="2">
        <v>469</v>
      </c>
      <c r="R140" s="2">
        <v>6556</v>
      </c>
      <c r="S140" s="2">
        <v>6783</v>
      </c>
      <c r="T140" s="2">
        <v>5804</v>
      </c>
      <c r="U140" s="2">
        <v>0</v>
      </c>
      <c r="V140" s="2"/>
      <c r="W140" s="2">
        <v>5724</v>
      </c>
      <c r="X140" s="2">
        <v>4647</v>
      </c>
      <c r="Y140" s="2">
        <v>0</v>
      </c>
      <c r="Z140" s="2">
        <v>0</v>
      </c>
      <c r="AA140" s="2">
        <v>0</v>
      </c>
      <c r="AB140" s="2"/>
      <c r="AC140" s="2">
        <v>3399</v>
      </c>
      <c r="AD140" s="2">
        <v>2092</v>
      </c>
      <c r="AE140" s="2">
        <v>2091</v>
      </c>
      <c r="AF140" s="2">
        <v>0</v>
      </c>
      <c r="AG140" s="2">
        <v>0</v>
      </c>
      <c r="AH140" s="2"/>
      <c r="AI140" s="2">
        <v>-3589</v>
      </c>
      <c r="AJ140" s="2">
        <v>-3587</v>
      </c>
      <c r="AK140" s="2">
        <v>-2837</v>
      </c>
      <c r="AL140" s="2">
        <v>0</v>
      </c>
      <c r="AM140" s="2">
        <v>-3587</v>
      </c>
    </row>
    <row r="141" spans="1:39">
      <c r="A141" s="351">
        <v>91108</v>
      </c>
      <c r="B141" s="344" t="s">
        <v>3650</v>
      </c>
      <c r="C141" s="360">
        <v>1.1678999999999999E-3</v>
      </c>
      <c r="E141" s="2">
        <v>419230</v>
      </c>
      <c r="F141" s="2">
        <v>546973</v>
      </c>
      <c r="G141" s="2">
        <v>320124</v>
      </c>
      <c r="H141" s="2">
        <v>173809</v>
      </c>
      <c r="I141" s="2">
        <v>0</v>
      </c>
      <c r="J141" s="2"/>
      <c r="K141" s="2">
        <v>216539</v>
      </c>
      <c r="L141" s="2">
        <v>199470</v>
      </c>
      <c r="M141" s="2">
        <v>111018</v>
      </c>
      <c r="N141" s="2">
        <v>0</v>
      </c>
      <c r="O141" s="2">
        <v>0</v>
      </c>
      <c r="P141" s="2"/>
      <c r="Q141" s="2">
        <v>14037</v>
      </c>
      <c r="R141" s="2">
        <v>196330</v>
      </c>
      <c r="S141" s="2">
        <v>203119</v>
      </c>
      <c r="T141" s="2">
        <v>173809</v>
      </c>
      <c r="U141" s="2">
        <v>0</v>
      </c>
      <c r="V141" s="2"/>
      <c r="W141" s="2">
        <v>171420</v>
      </c>
      <c r="X141" s="2">
        <v>139163</v>
      </c>
      <c r="Y141" s="2">
        <v>0</v>
      </c>
      <c r="Z141" s="2">
        <v>0</v>
      </c>
      <c r="AA141" s="2">
        <v>0</v>
      </c>
      <c r="AB141" s="2"/>
      <c r="AC141" s="2">
        <v>22835</v>
      </c>
      <c r="AD141" s="2">
        <v>17611</v>
      </c>
      <c r="AE141" s="2">
        <v>11586</v>
      </c>
      <c r="AF141" s="2">
        <v>0</v>
      </c>
      <c r="AG141" s="2">
        <v>0</v>
      </c>
      <c r="AH141" s="2"/>
      <c r="AI141" s="2">
        <v>-5601</v>
      </c>
      <c r="AJ141" s="2">
        <v>-5601</v>
      </c>
      <c r="AK141" s="2">
        <v>-5599</v>
      </c>
      <c r="AL141" s="2">
        <v>0</v>
      </c>
      <c r="AM141" s="2">
        <v>-5601</v>
      </c>
    </row>
    <row r="142" spans="1:39">
      <c r="A142" s="351">
        <v>91109</v>
      </c>
      <c r="B142" s="344" t="s">
        <v>2785</v>
      </c>
      <c r="C142" s="360">
        <v>9.8599999999999998E-5</v>
      </c>
      <c r="E142" s="2">
        <v>36223</v>
      </c>
      <c r="F142" s="2">
        <v>46324</v>
      </c>
      <c r="G142" s="2">
        <v>26829</v>
      </c>
      <c r="H142" s="2">
        <v>14674</v>
      </c>
      <c r="I142" s="2">
        <v>0</v>
      </c>
      <c r="J142" s="2"/>
      <c r="K142" s="2">
        <v>18281</v>
      </c>
      <c r="L142" s="2">
        <v>16840</v>
      </c>
      <c r="M142" s="2">
        <v>9373</v>
      </c>
      <c r="N142" s="2">
        <v>0</v>
      </c>
      <c r="O142" s="2">
        <v>0</v>
      </c>
      <c r="P142" s="2"/>
      <c r="Q142" s="2">
        <v>1185</v>
      </c>
      <c r="R142" s="2">
        <v>16575</v>
      </c>
      <c r="S142" s="2">
        <v>17148</v>
      </c>
      <c r="T142" s="2">
        <v>14674</v>
      </c>
      <c r="U142" s="2">
        <v>0</v>
      </c>
      <c r="V142" s="2"/>
      <c r="W142" s="2">
        <v>14472</v>
      </c>
      <c r="X142" s="2">
        <v>11749</v>
      </c>
      <c r="Y142" s="2">
        <v>0</v>
      </c>
      <c r="Z142" s="2">
        <v>0</v>
      </c>
      <c r="AA142" s="2">
        <v>0</v>
      </c>
      <c r="AB142" s="2"/>
      <c r="AC142" s="2">
        <v>2285</v>
      </c>
      <c r="AD142" s="2">
        <v>1160</v>
      </c>
      <c r="AE142" s="2">
        <v>308</v>
      </c>
      <c r="AF142" s="2">
        <v>0</v>
      </c>
      <c r="AG142" s="2">
        <v>0</v>
      </c>
      <c r="AH142" s="2"/>
      <c r="AI142" s="2">
        <v>0</v>
      </c>
      <c r="AJ142" s="2">
        <v>0</v>
      </c>
      <c r="AK142" s="2">
        <v>0</v>
      </c>
      <c r="AL142" s="2">
        <v>0</v>
      </c>
      <c r="AM142" s="2">
        <v>0</v>
      </c>
    </row>
    <row r="143" spans="1:39">
      <c r="A143" s="351">
        <v>91111</v>
      </c>
      <c r="B143" s="344" t="s">
        <v>835</v>
      </c>
      <c r="C143" s="360">
        <v>2.0149999999999999E-4</v>
      </c>
      <c r="E143" s="2">
        <v>73875</v>
      </c>
      <c r="F143" s="2">
        <v>94891</v>
      </c>
      <c r="G143" s="2">
        <v>55635</v>
      </c>
      <c r="H143" s="2">
        <v>29988</v>
      </c>
      <c r="I143" s="2">
        <v>0</v>
      </c>
      <c r="J143" s="2"/>
      <c r="K143" s="2">
        <v>37360</v>
      </c>
      <c r="L143" s="2">
        <v>34415</v>
      </c>
      <c r="M143" s="2">
        <v>19154</v>
      </c>
      <c r="N143" s="2">
        <v>0</v>
      </c>
      <c r="O143" s="2">
        <v>0</v>
      </c>
      <c r="P143" s="2"/>
      <c r="Q143" s="2">
        <v>2422</v>
      </c>
      <c r="R143" s="2">
        <v>33873</v>
      </c>
      <c r="S143" s="2">
        <v>35044</v>
      </c>
      <c r="T143" s="2">
        <v>29988</v>
      </c>
      <c r="U143" s="2">
        <v>0</v>
      </c>
      <c r="V143" s="2"/>
      <c r="W143" s="2">
        <v>29575</v>
      </c>
      <c r="X143" s="2">
        <v>24010</v>
      </c>
      <c r="Y143" s="2">
        <v>0</v>
      </c>
      <c r="Z143" s="2">
        <v>0</v>
      </c>
      <c r="AA143" s="2">
        <v>0</v>
      </c>
      <c r="AB143" s="2"/>
      <c r="AC143" s="2">
        <v>9342</v>
      </c>
      <c r="AD143" s="2">
        <v>7417</v>
      </c>
      <c r="AE143" s="2">
        <v>6259</v>
      </c>
      <c r="AF143" s="2">
        <v>0</v>
      </c>
      <c r="AG143" s="2">
        <v>0</v>
      </c>
      <c r="AH143" s="2"/>
      <c r="AI143" s="2">
        <v>-4824</v>
      </c>
      <c r="AJ143" s="2">
        <v>-4824</v>
      </c>
      <c r="AK143" s="2">
        <v>-4822</v>
      </c>
      <c r="AL143" s="2">
        <v>0</v>
      </c>
      <c r="AM143" s="2">
        <v>-4824</v>
      </c>
    </row>
    <row r="144" spans="1:39">
      <c r="A144" s="351">
        <v>91120</v>
      </c>
      <c r="B144" s="344" t="s">
        <v>3651</v>
      </c>
      <c r="C144" s="360">
        <v>2.6830000000000002E-4</v>
      </c>
      <c r="E144" s="2">
        <v>119570</v>
      </c>
      <c r="F144" s="2">
        <v>151005</v>
      </c>
      <c r="G144" s="2">
        <v>102998</v>
      </c>
      <c r="H144" s="2">
        <v>39929</v>
      </c>
      <c r="I144" s="2">
        <v>0</v>
      </c>
      <c r="J144" s="2"/>
      <c r="K144" s="2">
        <v>49745</v>
      </c>
      <c r="L144" s="2">
        <v>45824</v>
      </c>
      <c r="M144" s="2">
        <v>25504</v>
      </c>
      <c r="N144" s="2">
        <v>0</v>
      </c>
      <c r="O144" s="2">
        <v>0</v>
      </c>
      <c r="P144" s="2"/>
      <c r="Q144" s="2">
        <v>3225</v>
      </c>
      <c r="R144" s="2">
        <v>45103</v>
      </c>
      <c r="S144" s="2">
        <v>46662</v>
      </c>
      <c r="T144" s="2">
        <v>39929</v>
      </c>
      <c r="U144" s="2">
        <v>0</v>
      </c>
      <c r="V144" s="2"/>
      <c r="W144" s="2">
        <v>39380</v>
      </c>
      <c r="X144" s="2">
        <v>31970</v>
      </c>
      <c r="Y144" s="2">
        <v>0</v>
      </c>
      <c r="Z144" s="2">
        <v>0</v>
      </c>
      <c r="AA144" s="2">
        <v>0</v>
      </c>
      <c r="AB144" s="2"/>
      <c r="AC144" s="2">
        <v>30832</v>
      </c>
      <c r="AD144" s="2">
        <v>30832</v>
      </c>
      <c r="AE144" s="2">
        <v>30832</v>
      </c>
      <c r="AF144" s="2">
        <v>0</v>
      </c>
      <c r="AG144" s="2">
        <v>0</v>
      </c>
      <c r="AH144" s="2"/>
      <c r="AI144" s="2">
        <v>-3612</v>
      </c>
      <c r="AJ144" s="2">
        <v>-2724</v>
      </c>
      <c r="AK144" s="2">
        <v>0</v>
      </c>
      <c r="AL144" s="2">
        <v>0</v>
      </c>
      <c r="AM144" s="2">
        <v>-2724</v>
      </c>
    </row>
    <row r="145" spans="1:39">
      <c r="A145" s="351">
        <v>91121</v>
      </c>
      <c r="B145" s="344" t="s">
        <v>837</v>
      </c>
      <c r="C145" s="360">
        <v>1.04712E-2</v>
      </c>
      <c r="E145" s="2">
        <v>3414756</v>
      </c>
      <c r="F145" s="2">
        <v>4635071</v>
      </c>
      <c r="G145" s="2">
        <v>2675326</v>
      </c>
      <c r="H145" s="2">
        <v>1558345</v>
      </c>
      <c r="I145" s="2">
        <v>0</v>
      </c>
      <c r="J145" s="2"/>
      <c r="K145" s="2">
        <v>1941455</v>
      </c>
      <c r="L145" s="2">
        <v>1788418</v>
      </c>
      <c r="M145" s="2">
        <v>995371</v>
      </c>
      <c r="N145" s="2">
        <v>0</v>
      </c>
      <c r="O145" s="2">
        <v>0</v>
      </c>
      <c r="P145" s="2"/>
      <c r="Q145" s="2">
        <v>125853</v>
      </c>
      <c r="R145" s="2">
        <v>1760261</v>
      </c>
      <c r="S145" s="2">
        <v>1821130</v>
      </c>
      <c r="T145" s="2">
        <v>1558345</v>
      </c>
      <c r="U145" s="2">
        <v>0</v>
      </c>
      <c r="V145" s="2"/>
      <c r="W145" s="2">
        <v>1536921</v>
      </c>
      <c r="X145" s="2">
        <v>1247717</v>
      </c>
      <c r="Y145" s="2">
        <v>0</v>
      </c>
      <c r="Z145" s="2">
        <v>0</v>
      </c>
      <c r="AA145" s="2">
        <v>0</v>
      </c>
      <c r="AB145" s="2"/>
      <c r="AC145" s="2">
        <v>0</v>
      </c>
      <c r="AD145" s="2">
        <v>0</v>
      </c>
      <c r="AE145" s="2">
        <v>0</v>
      </c>
      <c r="AF145" s="2">
        <v>0</v>
      </c>
      <c r="AG145" s="2">
        <v>0</v>
      </c>
      <c r="AH145" s="2"/>
      <c r="AI145" s="2">
        <v>-189473</v>
      </c>
      <c r="AJ145" s="2">
        <v>-161325</v>
      </c>
      <c r="AK145" s="2">
        <v>-141175</v>
      </c>
      <c r="AL145" s="2">
        <v>0</v>
      </c>
      <c r="AM145" s="2">
        <v>-161325</v>
      </c>
    </row>
    <row r="146" spans="1:39">
      <c r="A146" s="351">
        <v>91127</v>
      </c>
      <c r="B146" s="344" t="s">
        <v>838</v>
      </c>
      <c r="C146" s="360">
        <v>2.8170000000000002E-4</v>
      </c>
      <c r="E146" s="2">
        <v>118496</v>
      </c>
      <c r="F146" s="2">
        <v>148126</v>
      </c>
      <c r="G146" s="2">
        <v>87960</v>
      </c>
      <c r="H146" s="2">
        <v>41923</v>
      </c>
      <c r="I146" s="2">
        <v>0</v>
      </c>
      <c r="J146" s="2"/>
      <c r="K146" s="2">
        <v>52230</v>
      </c>
      <c r="L146" s="2">
        <v>48113</v>
      </c>
      <c r="M146" s="2">
        <v>26778</v>
      </c>
      <c r="N146" s="2">
        <v>0</v>
      </c>
      <c r="O146" s="2">
        <v>0</v>
      </c>
      <c r="P146" s="2"/>
      <c r="Q146" s="2">
        <v>3386</v>
      </c>
      <c r="R146" s="2">
        <v>47355</v>
      </c>
      <c r="S146" s="2">
        <v>48993</v>
      </c>
      <c r="T146" s="2">
        <v>41923</v>
      </c>
      <c r="U146" s="2">
        <v>0</v>
      </c>
      <c r="V146" s="2"/>
      <c r="W146" s="2">
        <v>41347</v>
      </c>
      <c r="X146" s="2">
        <v>33567</v>
      </c>
      <c r="Y146" s="2">
        <v>0</v>
      </c>
      <c r="Z146" s="2">
        <v>0</v>
      </c>
      <c r="AA146" s="2">
        <v>0</v>
      </c>
      <c r="AB146" s="2"/>
      <c r="AC146" s="2">
        <v>21533</v>
      </c>
      <c r="AD146" s="2">
        <v>19091</v>
      </c>
      <c r="AE146" s="2">
        <v>12189</v>
      </c>
      <c r="AF146" s="2">
        <v>0</v>
      </c>
      <c r="AG146" s="2">
        <v>0</v>
      </c>
      <c r="AH146" s="2"/>
      <c r="AI146" s="2">
        <v>0</v>
      </c>
      <c r="AJ146" s="2">
        <v>0</v>
      </c>
      <c r="AK146" s="2">
        <v>0</v>
      </c>
      <c r="AL146" s="2">
        <v>0</v>
      </c>
      <c r="AM146" s="2">
        <v>0</v>
      </c>
    </row>
    <row r="147" spans="1:39">
      <c r="A147" s="351">
        <v>91128</v>
      </c>
      <c r="B147" s="344" t="s">
        <v>839</v>
      </c>
      <c r="C147" s="360">
        <v>5.1889999999999998E-4</v>
      </c>
      <c r="E147" s="2">
        <v>197299</v>
      </c>
      <c r="F147" s="2">
        <v>254381</v>
      </c>
      <c r="G147" s="2">
        <v>159075</v>
      </c>
      <c r="H147" s="2">
        <v>77224</v>
      </c>
      <c r="I147" s="2">
        <v>0</v>
      </c>
      <c r="J147" s="2"/>
      <c r="K147" s="2">
        <v>96209</v>
      </c>
      <c r="L147" s="2">
        <v>88625</v>
      </c>
      <c r="M147" s="2">
        <v>49326</v>
      </c>
      <c r="N147" s="2">
        <v>0</v>
      </c>
      <c r="O147" s="2">
        <v>0</v>
      </c>
      <c r="P147" s="2"/>
      <c r="Q147" s="2">
        <v>6237</v>
      </c>
      <c r="R147" s="2">
        <v>87230</v>
      </c>
      <c r="S147" s="2">
        <v>90246</v>
      </c>
      <c r="T147" s="2">
        <v>77224</v>
      </c>
      <c r="U147" s="2">
        <v>0</v>
      </c>
      <c r="V147" s="2"/>
      <c r="W147" s="2">
        <v>76162</v>
      </c>
      <c r="X147" s="2">
        <v>61831</v>
      </c>
      <c r="Y147" s="2">
        <v>0</v>
      </c>
      <c r="Z147" s="2">
        <v>0</v>
      </c>
      <c r="AA147" s="2">
        <v>0</v>
      </c>
      <c r="AB147" s="2"/>
      <c r="AC147" s="2">
        <v>27310</v>
      </c>
      <c r="AD147" s="2">
        <v>25313</v>
      </c>
      <c r="AE147" s="2">
        <v>25314</v>
      </c>
      <c r="AF147" s="2">
        <v>0</v>
      </c>
      <c r="AG147" s="2">
        <v>0</v>
      </c>
      <c r="AH147" s="2"/>
      <c r="AI147" s="2">
        <v>-8619</v>
      </c>
      <c r="AJ147" s="2">
        <v>-8618</v>
      </c>
      <c r="AK147" s="2">
        <v>-5811</v>
      </c>
      <c r="AL147" s="2">
        <v>0</v>
      </c>
      <c r="AM147" s="2">
        <v>-8618</v>
      </c>
    </row>
    <row r="148" spans="1:39">
      <c r="A148" s="351">
        <v>91138</v>
      </c>
      <c r="B148" s="344" t="s">
        <v>3652</v>
      </c>
      <c r="C148" s="360">
        <v>4.5300000000000001E-4</v>
      </c>
      <c r="E148" s="2">
        <v>81417</v>
      </c>
      <c r="F148" s="2">
        <v>145897</v>
      </c>
      <c r="G148" s="2">
        <v>93551</v>
      </c>
      <c r="H148" s="2">
        <v>67416</v>
      </c>
      <c r="I148" s="2">
        <v>0</v>
      </c>
      <c r="J148" s="2"/>
      <c r="K148" s="2">
        <v>83990</v>
      </c>
      <c r="L148" s="2">
        <v>77370</v>
      </c>
      <c r="M148" s="2">
        <v>43061</v>
      </c>
      <c r="N148" s="2">
        <v>0</v>
      </c>
      <c r="O148" s="2">
        <v>0</v>
      </c>
      <c r="P148" s="2"/>
      <c r="Q148" s="2">
        <v>5445</v>
      </c>
      <c r="R148" s="2">
        <v>76152</v>
      </c>
      <c r="S148" s="2">
        <v>78785</v>
      </c>
      <c r="T148" s="2">
        <v>67416</v>
      </c>
      <c r="U148" s="2">
        <v>0</v>
      </c>
      <c r="V148" s="2"/>
      <c r="W148" s="2">
        <v>66490</v>
      </c>
      <c r="X148" s="2">
        <v>53978</v>
      </c>
      <c r="Y148" s="2">
        <v>0</v>
      </c>
      <c r="Z148" s="2">
        <v>0</v>
      </c>
      <c r="AA148" s="2">
        <v>0</v>
      </c>
      <c r="AB148" s="2"/>
      <c r="AC148" s="2">
        <v>0</v>
      </c>
      <c r="AD148" s="2">
        <v>0</v>
      </c>
      <c r="AE148" s="2">
        <v>0</v>
      </c>
      <c r="AF148" s="2">
        <v>0</v>
      </c>
      <c r="AG148" s="2">
        <v>0</v>
      </c>
      <c r="AH148" s="2"/>
      <c r="AI148" s="2">
        <v>-74508</v>
      </c>
      <c r="AJ148" s="2">
        <v>-61603</v>
      </c>
      <c r="AK148" s="2">
        <v>-28295</v>
      </c>
      <c r="AL148" s="2">
        <v>0</v>
      </c>
      <c r="AM148" s="2">
        <v>-61603</v>
      </c>
    </row>
    <row r="149" spans="1:39">
      <c r="A149" s="351">
        <v>91141</v>
      </c>
      <c r="B149" s="344" t="s">
        <v>841</v>
      </c>
      <c r="C149" s="360">
        <v>6.3380000000000001E-4</v>
      </c>
      <c r="E149" s="2">
        <v>200644</v>
      </c>
      <c r="F149" s="2">
        <v>275232</v>
      </c>
      <c r="G149" s="2">
        <v>161236</v>
      </c>
      <c r="H149" s="2">
        <v>94323</v>
      </c>
      <c r="I149" s="2">
        <v>0</v>
      </c>
      <c r="J149" s="2"/>
      <c r="K149" s="2">
        <v>117512</v>
      </c>
      <c r="L149" s="2">
        <v>108249</v>
      </c>
      <c r="M149" s="2">
        <v>60248</v>
      </c>
      <c r="N149" s="2">
        <v>0</v>
      </c>
      <c r="O149" s="2">
        <v>0</v>
      </c>
      <c r="P149" s="2"/>
      <c r="Q149" s="2">
        <v>7618</v>
      </c>
      <c r="R149" s="2">
        <v>106545</v>
      </c>
      <c r="S149" s="2">
        <v>110229</v>
      </c>
      <c r="T149" s="2">
        <v>94323</v>
      </c>
      <c r="U149" s="2">
        <v>0</v>
      </c>
      <c r="V149" s="2"/>
      <c r="W149" s="2">
        <v>93027</v>
      </c>
      <c r="X149" s="2">
        <v>75522</v>
      </c>
      <c r="Y149" s="2">
        <v>0</v>
      </c>
      <c r="Z149" s="2">
        <v>0</v>
      </c>
      <c r="AA149" s="2">
        <v>0</v>
      </c>
      <c r="AB149" s="2"/>
      <c r="AC149" s="2">
        <v>7734</v>
      </c>
      <c r="AD149" s="2">
        <v>7734</v>
      </c>
      <c r="AE149" s="2">
        <v>7735</v>
      </c>
      <c r="AF149" s="2">
        <v>0</v>
      </c>
      <c r="AG149" s="2">
        <v>0</v>
      </c>
      <c r="AH149" s="2"/>
      <c r="AI149" s="2">
        <v>-25247</v>
      </c>
      <c r="AJ149" s="2">
        <v>-22818</v>
      </c>
      <c r="AK149" s="2">
        <v>-16976</v>
      </c>
      <c r="AL149" s="2">
        <v>0</v>
      </c>
      <c r="AM149" s="2">
        <v>-22818</v>
      </c>
    </row>
    <row r="150" spans="1:39">
      <c r="A150" s="351">
        <v>91147</v>
      </c>
      <c r="B150" s="344" t="s">
        <v>842</v>
      </c>
      <c r="C150" s="360">
        <v>2.8399999999999999E-5</v>
      </c>
      <c r="E150" s="2">
        <v>12289</v>
      </c>
      <c r="F150" s="2">
        <v>15131</v>
      </c>
      <c r="G150" s="2">
        <v>9324</v>
      </c>
      <c r="H150" s="2">
        <v>4227</v>
      </c>
      <c r="I150" s="2">
        <v>0</v>
      </c>
      <c r="J150" s="2"/>
      <c r="K150" s="2">
        <v>5266</v>
      </c>
      <c r="L150" s="2">
        <v>4851</v>
      </c>
      <c r="M150" s="2">
        <v>2700</v>
      </c>
      <c r="N150" s="2">
        <v>0</v>
      </c>
      <c r="O150" s="2">
        <v>0</v>
      </c>
      <c r="P150" s="2"/>
      <c r="Q150" s="2">
        <v>341</v>
      </c>
      <c r="R150" s="2">
        <v>4774</v>
      </c>
      <c r="S150" s="2">
        <v>4939</v>
      </c>
      <c r="T150" s="2">
        <v>4227</v>
      </c>
      <c r="U150" s="2">
        <v>0</v>
      </c>
      <c r="V150" s="2"/>
      <c r="W150" s="2">
        <v>4168</v>
      </c>
      <c r="X150" s="2">
        <v>3384</v>
      </c>
      <c r="Y150" s="2">
        <v>0</v>
      </c>
      <c r="Z150" s="2">
        <v>0</v>
      </c>
      <c r="AA150" s="2">
        <v>0</v>
      </c>
      <c r="AB150" s="2"/>
      <c r="AC150" s="2">
        <v>2649</v>
      </c>
      <c r="AD150" s="2">
        <v>2257</v>
      </c>
      <c r="AE150" s="2">
        <v>1821</v>
      </c>
      <c r="AF150" s="2">
        <v>0</v>
      </c>
      <c r="AG150" s="2">
        <v>0</v>
      </c>
      <c r="AH150" s="2"/>
      <c r="AI150" s="2">
        <v>-135</v>
      </c>
      <c r="AJ150" s="2">
        <v>-135</v>
      </c>
      <c r="AK150" s="2">
        <v>-136</v>
      </c>
      <c r="AL150" s="2">
        <v>0</v>
      </c>
      <c r="AM150" s="2">
        <v>-135</v>
      </c>
    </row>
    <row r="151" spans="1:39">
      <c r="A151" s="351">
        <v>91151</v>
      </c>
      <c r="B151" s="344" t="s">
        <v>843</v>
      </c>
      <c r="C151" s="360">
        <v>6.0360000000000003E-4</v>
      </c>
      <c r="E151" s="2">
        <v>179761</v>
      </c>
      <c r="F151" s="2">
        <v>252015</v>
      </c>
      <c r="G151" s="2">
        <v>147497</v>
      </c>
      <c r="H151" s="2">
        <v>89829</v>
      </c>
      <c r="I151" s="2">
        <v>0</v>
      </c>
      <c r="J151" s="2"/>
      <c r="K151" s="2">
        <v>111913</v>
      </c>
      <c r="L151" s="2">
        <v>103091</v>
      </c>
      <c r="M151" s="2">
        <v>57377</v>
      </c>
      <c r="N151" s="2">
        <v>0</v>
      </c>
      <c r="O151" s="2">
        <v>0</v>
      </c>
      <c r="P151" s="2"/>
      <c r="Q151" s="2">
        <v>7255</v>
      </c>
      <c r="R151" s="2">
        <v>101468</v>
      </c>
      <c r="S151" s="2">
        <v>104977</v>
      </c>
      <c r="T151" s="2">
        <v>89829</v>
      </c>
      <c r="U151" s="2">
        <v>0</v>
      </c>
      <c r="V151" s="2"/>
      <c r="W151" s="2">
        <v>88594</v>
      </c>
      <c r="X151" s="2">
        <v>71923</v>
      </c>
      <c r="Y151" s="2">
        <v>0</v>
      </c>
      <c r="Z151" s="2">
        <v>0</v>
      </c>
      <c r="AA151" s="2">
        <v>0</v>
      </c>
      <c r="AB151" s="2"/>
      <c r="AC151" s="2">
        <v>0</v>
      </c>
      <c r="AD151" s="2">
        <v>0</v>
      </c>
      <c r="AE151" s="2">
        <v>0</v>
      </c>
      <c r="AF151" s="2">
        <v>0</v>
      </c>
      <c r="AG151" s="2">
        <v>0</v>
      </c>
      <c r="AH151" s="2"/>
      <c r="AI151" s="2">
        <v>-28001</v>
      </c>
      <c r="AJ151" s="2">
        <v>-24467</v>
      </c>
      <c r="AK151" s="2">
        <v>-14857</v>
      </c>
      <c r="AL151" s="2">
        <v>0</v>
      </c>
      <c r="AM151" s="2">
        <v>-24467</v>
      </c>
    </row>
    <row r="152" spans="1:39">
      <c r="A152" s="351">
        <v>91154</v>
      </c>
      <c r="B152" s="344" t="s">
        <v>3653</v>
      </c>
      <c r="C152" s="360">
        <v>2.1999999999999999E-5</v>
      </c>
      <c r="E152" s="2">
        <v>7472</v>
      </c>
      <c r="F152" s="2">
        <v>9091</v>
      </c>
      <c r="G152" s="2">
        <v>5475</v>
      </c>
      <c r="H152" s="2">
        <v>3274</v>
      </c>
      <c r="I152" s="2">
        <v>0</v>
      </c>
      <c r="J152" s="2"/>
      <c r="K152" s="2">
        <v>4079</v>
      </c>
      <c r="L152" s="2">
        <v>3757</v>
      </c>
      <c r="M152" s="2">
        <v>2091</v>
      </c>
      <c r="N152" s="2">
        <v>0</v>
      </c>
      <c r="O152" s="2">
        <v>0</v>
      </c>
      <c r="P152" s="2"/>
      <c r="Q152" s="2">
        <v>264</v>
      </c>
      <c r="R152" s="2">
        <v>3698</v>
      </c>
      <c r="S152" s="2">
        <v>3826</v>
      </c>
      <c r="T152" s="2">
        <v>3274</v>
      </c>
      <c r="U152" s="2">
        <v>0</v>
      </c>
      <c r="V152" s="2"/>
      <c r="W152" s="2">
        <v>3229</v>
      </c>
      <c r="X152" s="2">
        <v>2621</v>
      </c>
      <c r="Y152" s="2">
        <v>0</v>
      </c>
      <c r="Z152" s="2">
        <v>0</v>
      </c>
      <c r="AA152" s="2">
        <v>0</v>
      </c>
      <c r="AB152" s="2"/>
      <c r="AC152" s="2">
        <v>1376</v>
      </c>
      <c r="AD152" s="2">
        <v>489</v>
      </c>
      <c r="AE152" s="2">
        <v>490</v>
      </c>
      <c r="AF152" s="2">
        <v>0</v>
      </c>
      <c r="AG152" s="2">
        <v>0</v>
      </c>
      <c r="AH152" s="2"/>
      <c r="AI152" s="2">
        <v>-1476</v>
      </c>
      <c r="AJ152" s="2">
        <v>-1474</v>
      </c>
      <c r="AK152" s="2">
        <v>-932</v>
      </c>
      <c r="AL152" s="2">
        <v>0</v>
      </c>
      <c r="AM152" s="2">
        <v>-1474</v>
      </c>
    </row>
    <row r="153" spans="1:39">
      <c r="A153" s="351">
        <v>91161</v>
      </c>
      <c r="B153" s="344" t="s">
        <v>845</v>
      </c>
      <c r="C153" s="360">
        <v>9.2499999999999999E-5</v>
      </c>
      <c r="E153" s="2">
        <v>27659</v>
      </c>
      <c r="F153" s="2">
        <v>38135</v>
      </c>
      <c r="G153" s="2">
        <v>22833</v>
      </c>
      <c r="H153" s="2">
        <v>13766</v>
      </c>
      <c r="I153" s="2">
        <v>0</v>
      </c>
      <c r="J153" s="2"/>
      <c r="K153" s="2">
        <v>17150</v>
      </c>
      <c r="L153" s="2">
        <v>15798</v>
      </c>
      <c r="M153" s="2">
        <v>8793</v>
      </c>
      <c r="N153" s="2">
        <v>0</v>
      </c>
      <c r="O153" s="2">
        <v>0</v>
      </c>
      <c r="P153" s="2"/>
      <c r="Q153" s="2">
        <v>1112</v>
      </c>
      <c r="R153" s="2">
        <v>15550</v>
      </c>
      <c r="S153" s="2">
        <v>16087</v>
      </c>
      <c r="T153" s="2">
        <v>13766</v>
      </c>
      <c r="U153" s="2">
        <v>0</v>
      </c>
      <c r="V153" s="2"/>
      <c r="W153" s="2">
        <v>13577</v>
      </c>
      <c r="X153" s="2">
        <v>11022</v>
      </c>
      <c r="Y153" s="2">
        <v>0</v>
      </c>
      <c r="Z153" s="2">
        <v>0</v>
      </c>
      <c r="AA153" s="2">
        <v>0</v>
      </c>
      <c r="AB153" s="2"/>
      <c r="AC153" s="2">
        <v>2905</v>
      </c>
      <c r="AD153" s="2">
        <v>2851</v>
      </c>
      <c r="AE153" s="2">
        <v>2853</v>
      </c>
      <c r="AF153" s="2">
        <v>0</v>
      </c>
      <c r="AG153" s="2">
        <v>0</v>
      </c>
      <c r="AH153" s="2"/>
      <c r="AI153" s="2">
        <v>-7085</v>
      </c>
      <c r="AJ153" s="2">
        <v>-7086</v>
      </c>
      <c r="AK153" s="2">
        <v>-4900</v>
      </c>
      <c r="AL153" s="2">
        <v>0</v>
      </c>
      <c r="AM153" s="2">
        <v>-7086</v>
      </c>
    </row>
    <row r="154" spans="1:39">
      <c r="A154" s="351">
        <v>91171</v>
      </c>
      <c r="B154" s="344" t="s">
        <v>846</v>
      </c>
      <c r="C154" s="360">
        <v>2.6679999999999998E-4</v>
      </c>
      <c r="E154" s="2">
        <v>85660</v>
      </c>
      <c r="F154" s="2">
        <v>125418</v>
      </c>
      <c r="G154" s="2">
        <v>68891</v>
      </c>
      <c r="H154" s="2">
        <v>39706</v>
      </c>
      <c r="I154" s="2">
        <v>0</v>
      </c>
      <c r="J154" s="2"/>
      <c r="K154" s="2">
        <v>49467</v>
      </c>
      <c r="L154" s="2">
        <v>45568</v>
      </c>
      <c r="M154" s="2">
        <v>25361</v>
      </c>
      <c r="N154" s="2">
        <v>0</v>
      </c>
      <c r="O154" s="2">
        <v>0</v>
      </c>
      <c r="P154" s="2"/>
      <c r="Q154" s="2">
        <v>3207</v>
      </c>
      <c r="R154" s="2">
        <v>44850</v>
      </c>
      <c r="S154" s="2">
        <v>46401</v>
      </c>
      <c r="T154" s="2">
        <v>39706</v>
      </c>
      <c r="U154" s="2">
        <v>0</v>
      </c>
      <c r="V154" s="2"/>
      <c r="W154" s="2">
        <v>39160</v>
      </c>
      <c r="X154" s="2">
        <v>31791</v>
      </c>
      <c r="Y154" s="2">
        <v>0</v>
      </c>
      <c r="Z154" s="2">
        <v>0</v>
      </c>
      <c r="AA154" s="2">
        <v>0</v>
      </c>
      <c r="AB154" s="2"/>
      <c r="AC154" s="2">
        <v>8275</v>
      </c>
      <c r="AD154" s="2">
        <v>8277</v>
      </c>
      <c r="AE154" s="2">
        <v>2198</v>
      </c>
      <c r="AF154" s="2">
        <v>0</v>
      </c>
      <c r="AG154" s="2">
        <v>0</v>
      </c>
      <c r="AH154" s="2"/>
      <c r="AI154" s="2">
        <v>-14449</v>
      </c>
      <c r="AJ154" s="2">
        <v>-5068</v>
      </c>
      <c r="AK154" s="2">
        <v>-5069</v>
      </c>
      <c r="AL154" s="2">
        <v>0</v>
      </c>
      <c r="AM154" s="2">
        <v>-5068</v>
      </c>
    </row>
    <row r="155" spans="1:39">
      <c r="A155" s="351">
        <v>91201</v>
      </c>
      <c r="B155" s="344" t="s">
        <v>847</v>
      </c>
      <c r="C155" s="360">
        <v>2.5533000000000001E-3</v>
      </c>
      <c r="E155" s="2">
        <v>929387</v>
      </c>
      <c r="F155" s="2">
        <v>1240273</v>
      </c>
      <c r="G155" s="2">
        <v>772638</v>
      </c>
      <c r="H155" s="2">
        <v>379987</v>
      </c>
      <c r="I155" s="2">
        <v>0</v>
      </c>
      <c r="J155" s="2"/>
      <c r="K155" s="2">
        <v>473405</v>
      </c>
      <c r="L155" s="2">
        <v>436088</v>
      </c>
      <c r="M155" s="2">
        <v>242712</v>
      </c>
      <c r="N155" s="2">
        <v>0</v>
      </c>
      <c r="O155" s="2">
        <v>0</v>
      </c>
      <c r="P155" s="2"/>
      <c r="Q155" s="2">
        <v>30688</v>
      </c>
      <c r="R155" s="2">
        <v>429222</v>
      </c>
      <c r="S155" s="2">
        <v>444065</v>
      </c>
      <c r="T155" s="2">
        <v>379987</v>
      </c>
      <c r="U155" s="2">
        <v>0</v>
      </c>
      <c r="V155" s="2"/>
      <c r="W155" s="2">
        <v>374763</v>
      </c>
      <c r="X155" s="2">
        <v>304244</v>
      </c>
      <c r="Y155" s="2">
        <v>0</v>
      </c>
      <c r="Z155" s="2">
        <v>0</v>
      </c>
      <c r="AA155" s="2">
        <v>0</v>
      </c>
      <c r="AB155" s="2"/>
      <c r="AC155" s="2">
        <v>93163</v>
      </c>
      <c r="AD155" s="2">
        <v>93163</v>
      </c>
      <c r="AE155" s="2">
        <v>93161</v>
      </c>
      <c r="AF155" s="2">
        <v>0</v>
      </c>
      <c r="AG155" s="2">
        <v>0</v>
      </c>
      <c r="AH155" s="2"/>
      <c r="AI155" s="2">
        <v>-42632</v>
      </c>
      <c r="AJ155" s="2">
        <v>-22444</v>
      </c>
      <c r="AK155" s="2">
        <v>-7300</v>
      </c>
      <c r="AL155" s="2">
        <v>0</v>
      </c>
      <c r="AM155" s="2">
        <v>-22444</v>
      </c>
    </row>
    <row r="156" spans="1:39">
      <c r="A156" s="351">
        <v>91202</v>
      </c>
      <c r="B156" s="344" t="s">
        <v>3654</v>
      </c>
      <c r="C156" s="360">
        <v>7.0699999999999997E-5</v>
      </c>
      <c r="E156" s="2">
        <v>-17849</v>
      </c>
      <c r="F156" s="2">
        <v>-11950</v>
      </c>
      <c r="G156" s="2">
        <v>-26300</v>
      </c>
      <c r="H156" s="2">
        <v>10522</v>
      </c>
      <c r="I156" s="2">
        <v>0</v>
      </c>
      <c r="J156" s="2"/>
      <c r="K156" s="2">
        <v>13108</v>
      </c>
      <c r="L156" s="2">
        <v>12075</v>
      </c>
      <c r="M156" s="2">
        <v>6721</v>
      </c>
      <c r="N156" s="2">
        <v>0</v>
      </c>
      <c r="O156" s="2">
        <v>0</v>
      </c>
      <c r="P156" s="2"/>
      <c r="Q156" s="2">
        <v>850</v>
      </c>
      <c r="R156" s="2">
        <v>11885</v>
      </c>
      <c r="S156" s="2">
        <v>12296</v>
      </c>
      <c r="T156" s="2">
        <v>10522</v>
      </c>
      <c r="U156" s="2">
        <v>0</v>
      </c>
      <c r="V156" s="2"/>
      <c r="W156" s="2">
        <v>10377</v>
      </c>
      <c r="X156" s="2">
        <v>8424</v>
      </c>
      <c r="Y156" s="2">
        <v>0</v>
      </c>
      <c r="Z156" s="2">
        <v>0</v>
      </c>
      <c r="AA156" s="2">
        <v>0</v>
      </c>
      <c r="AB156" s="2"/>
      <c r="AC156" s="2">
        <v>3130</v>
      </c>
      <c r="AD156" s="2">
        <v>980</v>
      </c>
      <c r="AE156" s="2">
        <v>0</v>
      </c>
      <c r="AF156" s="2">
        <v>0</v>
      </c>
      <c r="AG156" s="2">
        <v>0</v>
      </c>
      <c r="AH156" s="2"/>
      <c r="AI156" s="2">
        <v>-45314</v>
      </c>
      <c r="AJ156" s="2">
        <v>-45314</v>
      </c>
      <c r="AK156" s="2">
        <v>-45317</v>
      </c>
      <c r="AL156" s="2">
        <v>0</v>
      </c>
      <c r="AM156" s="2">
        <v>-45314</v>
      </c>
    </row>
    <row r="157" spans="1:39">
      <c r="A157" s="351">
        <v>91203</v>
      </c>
      <c r="B157" s="344" t="s">
        <v>3655</v>
      </c>
      <c r="C157" s="360">
        <v>2.3599999999999999E-4</v>
      </c>
      <c r="E157" s="2">
        <v>102115</v>
      </c>
      <c r="F157" s="2">
        <v>127936</v>
      </c>
      <c r="G157" s="2">
        <v>76513</v>
      </c>
      <c r="H157" s="2">
        <v>35122</v>
      </c>
      <c r="I157" s="2">
        <v>0</v>
      </c>
      <c r="J157" s="2"/>
      <c r="K157" s="2">
        <v>43757</v>
      </c>
      <c r="L157" s="2">
        <v>40307</v>
      </c>
      <c r="M157" s="2">
        <v>22434</v>
      </c>
      <c r="N157" s="2">
        <v>0</v>
      </c>
      <c r="O157" s="2">
        <v>0</v>
      </c>
      <c r="P157" s="2"/>
      <c r="Q157" s="2">
        <v>2836</v>
      </c>
      <c r="R157" s="2">
        <v>39673</v>
      </c>
      <c r="S157" s="2">
        <v>41045</v>
      </c>
      <c r="T157" s="2">
        <v>35122</v>
      </c>
      <c r="U157" s="2">
        <v>0</v>
      </c>
      <c r="V157" s="2"/>
      <c r="W157" s="2">
        <v>34639</v>
      </c>
      <c r="X157" s="2">
        <v>28121</v>
      </c>
      <c r="Y157" s="2">
        <v>0</v>
      </c>
      <c r="Z157" s="2">
        <v>0</v>
      </c>
      <c r="AA157" s="2">
        <v>0</v>
      </c>
      <c r="AB157" s="2"/>
      <c r="AC157" s="2">
        <v>20883</v>
      </c>
      <c r="AD157" s="2">
        <v>19835</v>
      </c>
      <c r="AE157" s="2">
        <v>13034</v>
      </c>
      <c r="AF157" s="2">
        <v>0</v>
      </c>
      <c r="AG157" s="2">
        <v>0</v>
      </c>
      <c r="AH157" s="2"/>
      <c r="AI157" s="2">
        <v>0</v>
      </c>
      <c r="AJ157" s="2">
        <v>0</v>
      </c>
      <c r="AK157" s="2">
        <v>0</v>
      </c>
      <c r="AL157" s="2">
        <v>0</v>
      </c>
      <c r="AM157" s="2">
        <v>0</v>
      </c>
    </row>
    <row r="158" spans="1:39">
      <c r="A158" s="351">
        <v>91206</v>
      </c>
      <c r="B158" s="344" t="s">
        <v>3656</v>
      </c>
      <c r="C158" s="360">
        <v>9.0109999999999995E-4</v>
      </c>
      <c r="E158" s="2">
        <v>309730</v>
      </c>
      <c r="F158" s="2">
        <v>406812</v>
      </c>
      <c r="G158" s="2">
        <v>229308</v>
      </c>
      <c r="H158" s="2">
        <v>134104</v>
      </c>
      <c r="I158" s="2">
        <v>0</v>
      </c>
      <c r="J158" s="2"/>
      <c r="K158" s="2">
        <v>167072</v>
      </c>
      <c r="L158" s="2">
        <v>153902</v>
      </c>
      <c r="M158" s="2">
        <v>85657</v>
      </c>
      <c r="N158" s="2">
        <v>0</v>
      </c>
      <c r="O158" s="2">
        <v>0</v>
      </c>
      <c r="P158" s="2"/>
      <c r="Q158" s="2">
        <v>10830</v>
      </c>
      <c r="R158" s="2">
        <v>151479</v>
      </c>
      <c r="S158" s="2">
        <v>156718</v>
      </c>
      <c r="T158" s="2">
        <v>134104</v>
      </c>
      <c r="U158" s="2">
        <v>0</v>
      </c>
      <c r="V158" s="2"/>
      <c r="W158" s="2">
        <v>132260</v>
      </c>
      <c r="X158" s="2">
        <v>107372</v>
      </c>
      <c r="Y158" s="2">
        <v>0</v>
      </c>
      <c r="Z158" s="2">
        <v>0</v>
      </c>
      <c r="AA158" s="2">
        <v>0</v>
      </c>
      <c r="AB158" s="2"/>
      <c r="AC158" s="2">
        <v>18979</v>
      </c>
      <c r="AD158" s="2">
        <v>13470</v>
      </c>
      <c r="AE158" s="2">
        <v>6345</v>
      </c>
      <c r="AF158" s="2">
        <v>0</v>
      </c>
      <c r="AG158" s="2">
        <v>0</v>
      </c>
      <c r="AH158" s="2"/>
      <c r="AI158" s="2">
        <v>-19411</v>
      </c>
      <c r="AJ158" s="2">
        <v>-19411</v>
      </c>
      <c r="AK158" s="2">
        <v>-19412</v>
      </c>
      <c r="AL158" s="2">
        <v>0</v>
      </c>
      <c r="AM158" s="2">
        <v>-19411</v>
      </c>
    </row>
    <row r="159" spans="1:39">
      <c r="A159" s="351">
        <v>91208</v>
      </c>
      <c r="B159" s="344" t="s">
        <v>3657</v>
      </c>
      <c r="C159" s="360">
        <v>1.6200000000000001E-5</v>
      </c>
      <c r="E159" s="2">
        <v>5777</v>
      </c>
      <c r="F159" s="2">
        <v>7564</v>
      </c>
      <c r="G159" s="2">
        <v>4631</v>
      </c>
      <c r="H159" s="2">
        <v>2411</v>
      </c>
      <c r="I159" s="2">
        <v>0</v>
      </c>
      <c r="J159" s="2"/>
      <c r="K159" s="2">
        <v>3004</v>
      </c>
      <c r="L159" s="2">
        <v>2767</v>
      </c>
      <c r="M159" s="2">
        <v>1540</v>
      </c>
      <c r="N159" s="2">
        <v>0</v>
      </c>
      <c r="O159" s="2">
        <v>0</v>
      </c>
      <c r="P159" s="2"/>
      <c r="Q159" s="2">
        <v>195</v>
      </c>
      <c r="R159" s="2">
        <v>2723</v>
      </c>
      <c r="S159" s="2">
        <v>2817</v>
      </c>
      <c r="T159" s="2">
        <v>2411</v>
      </c>
      <c r="U159" s="2">
        <v>0</v>
      </c>
      <c r="V159" s="2"/>
      <c r="W159" s="2">
        <v>2378</v>
      </c>
      <c r="X159" s="2">
        <v>1930</v>
      </c>
      <c r="Y159" s="2">
        <v>0</v>
      </c>
      <c r="Z159" s="2">
        <v>0</v>
      </c>
      <c r="AA159" s="2">
        <v>0</v>
      </c>
      <c r="AB159" s="2"/>
      <c r="AC159" s="2">
        <v>1297</v>
      </c>
      <c r="AD159" s="2">
        <v>1239</v>
      </c>
      <c r="AE159" s="2">
        <v>1241</v>
      </c>
      <c r="AF159" s="2">
        <v>0</v>
      </c>
      <c r="AG159" s="2">
        <v>0</v>
      </c>
      <c r="AH159" s="2"/>
      <c r="AI159" s="2">
        <v>-1097</v>
      </c>
      <c r="AJ159" s="2">
        <v>-1095</v>
      </c>
      <c r="AK159" s="2">
        <v>-967</v>
      </c>
      <c r="AL159" s="2">
        <v>0</v>
      </c>
      <c r="AM159" s="2">
        <v>-1095</v>
      </c>
    </row>
    <row r="160" spans="1:39">
      <c r="A160" s="351">
        <v>91211</v>
      </c>
      <c r="B160" s="344" t="s">
        <v>852</v>
      </c>
      <c r="C160" s="360">
        <v>4.817E-4</v>
      </c>
      <c r="E160" s="2">
        <v>168972</v>
      </c>
      <c r="F160" s="2">
        <v>223026</v>
      </c>
      <c r="G160" s="2">
        <v>135672</v>
      </c>
      <c r="H160" s="2">
        <v>71688</v>
      </c>
      <c r="I160" s="2">
        <v>0</v>
      </c>
      <c r="J160" s="2"/>
      <c r="K160" s="2">
        <v>89312</v>
      </c>
      <c r="L160" s="2">
        <v>82271</v>
      </c>
      <c r="M160" s="2">
        <v>45789</v>
      </c>
      <c r="N160" s="2">
        <v>0</v>
      </c>
      <c r="O160" s="2">
        <v>0</v>
      </c>
      <c r="P160" s="2"/>
      <c r="Q160" s="2">
        <v>5790</v>
      </c>
      <c r="R160" s="2">
        <v>80976</v>
      </c>
      <c r="S160" s="2">
        <v>83776</v>
      </c>
      <c r="T160" s="2">
        <v>71688</v>
      </c>
      <c r="U160" s="2">
        <v>0</v>
      </c>
      <c r="V160" s="2"/>
      <c r="W160" s="2">
        <v>70702</v>
      </c>
      <c r="X160" s="2">
        <v>57398</v>
      </c>
      <c r="Y160" s="2">
        <v>0</v>
      </c>
      <c r="Z160" s="2">
        <v>0</v>
      </c>
      <c r="AA160" s="2">
        <v>0</v>
      </c>
      <c r="AB160" s="2"/>
      <c r="AC160" s="2">
        <v>11781</v>
      </c>
      <c r="AD160" s="2">
        <v>10993</v>
      </c>
      <c r="AE160" s="2">
        <v>10993</v>
      </c>
      <c r="AF160" s="2">
        <v>0</v>
      </c>
      <c r="AG160" s="2">
        <v>0</v>
      </c>
      <c r="AH160" s="2"/>
      <c r="AI160" s="2">
        <v>-8613</v>
      </c>
      <c r="AJ160" s="2">
        <v>-8612</v>
      </c>
      <c r="AK160" s="2">
        <v>-4886</v>
      </c>
      <c r="AL160" s="2">
        <v>0</v>
      </c>
      <c r="AM160" s="2">
        <v>-8612</v>
      </c>
    </row>
    <row r="161" spans="1:39">
      <c r="A161" s="351">
        <v>91213</v>
      </c>
      <c r="B161" s="344" t="s">
        <v>853</v>
      </c>
      <c r="C161" s="360">
        <v>2.9E-5</v>
      </c>
      <c r="E161" s="2">
        <v>7916</v>
      </c>
      <c r="F161" s="2">
        <v>12323</v>
      </c>
      <c r="G161" s="2">
        <v>8307</v>
      </c>
      <c r="H161" s="2">
        <v>4316</v>
      </c>
      <c r="I161" s="2">
        <v>0</v>
      </c>
      <c r="J161" s="2"/>
      <c r="K161" s="2">
        <v>5377</v>
      </c>
      <c r="L161" s="2">
        <v>4953</v>
      </c>
      <c r="M161" s="2">
        <v>2757</v>
      </c>
      <c r="N161" s="2">
        <v>0</v>
      </c>
      <c r="O161" s="2">
        <v>0</v>
      </c>
      <c r="P161" s="2"/>
      <c r="Q161" s="2">
        <v>349</v>
      </c>
      <c r="R161" s="2">
        <v>4875</v>
      </c>
      <c r="S161" s="2">
        <v>5044</v>
      </c>
      <c r="T161" s="2">
        <v>4316</v>
      </c>
      <c r="U161" s="2">
        <v>0</v>
      </c>
      <c r="V161" s="2"/>
      <c r="W161" s="2">
        <v>4257</v>
      </c>
      <c r="X161" s="2">
        <v>3456</v>
      </c>
      <c r="Y161" s="2">
        <v>0</v>
      </c>
      <c r="Z161" s="2">
        <v>0</v>
      </c>
      <c r="AA161" s="2">
        <v>0</v>
      </c>
      <c r="AB161" s="2"/>
      <c r="AC161" s="2">
        <v>645</v>
      </c>
      <c r="AD161" s="2">
        <v>645</v>
      </c>
      <c r="AE161" s="2">
        <v>647</v>
      </c>
      <c r="AF161" s="2">
        <v>0</v>
      </c>
      <c r="AG161" s="2">
        <v>0</v>
      </c>
      <c r="AH161" s="2"/>
      <c r="AI161" s="2">
        <v>-2712</v>
      </c>
      <c r="AJ161" s="2">
        <v>-1606</v>
      </c>
      <c r="AK161" s="2">
        <v>-141</v>
      </c>
      <c r="AL161" s="2">
        <v>0</v>
      </c>
      <c r="AM161" s="2">
        <v>-1606</v>
      </c>
    </row>
    <row r="162" spans="1:39">
      <c r="A162" s="351">
        <v>91214</v>
      </c>
      <c r="B162" s="344" t="s">
        <v>854</v>
      </c>
      <c r="C162" s="360">
        <v>3.5899999999999998E-5</v>
      </c>
      <c r="E162" s="2">
        <v>10061</v>
      </c>
      <c r="F162" s="2">
        <v>14721</v>
      </c>
      <c r="G162" s="2">
        <v>8342</v>
      </c>
      <c r="H162" s="2">
        <v>5343</v>
      </c>
      <c r="I162" s="2">
        <v>0</v>
      </c>
      <c r="J162" s="2"/>
      <c r="K162" s="2">
        <v>6656</v>
      </c>
      <c r="L162" s="2">
        <v>6132</v>
      </c>
      <c r="M162" s="2">
        <v>3413</v>
      </c>
      <c r="N162" s="2">
        <v>0</v>
      </c>
      <c r="O162" s="2">
        <v>0</v>
      </c>
      <c r="P162" s="2"/>
      <c r="Q162" s="2">
        <v>431</v>
      </c>
      <c r="R162" s="2">
        <v>6035</v>
      </c>
      <c r="S162" s="2">
        <v>6244</v>
      </c>
      <c r="T162" s="2">
        <v>5343</v>
      </c>
      <c r="U162" s="2">
        <v>0</v>
      </c>
      <c r="V162" s="2"/>
      <c r="W162" s="2">
        <v>5269</v>
      </c>
      <c r="X162" s="2">
        <v>4278</v>
      </c>
      <c r="Y162" s="2">
        <v>0</v>
      </c>
      <c r="Z162" s="2">
        <v>0</v>
      </c>
      <c r="AA162" s="2">
        <v>0</v>
      </c>
      <c r="AB162" s="2"/>
      <c r="AC162" s="2">
        <v>154</v>
      </c>
      <c r="AD162" s="2">
        <v>154</v>
      </c>
      <c r="AE162" s="2">
        <v>154</v>
      </c>
      <c r="AF162" s="2">
        <v>0</v>
      </c>
      <c r="AG162" s="2">
        <v>0</v>
      </c>
      <c r="AH162" s="2"/>
      <c r="AI162" s="2">
        <v>-2449</v>
      </c>
      <c r="AJ162" s="2">
        <v>-1878</v>
      </c>
      <c r="AK162" s="2">
        <v>-1469</v>
      </c>
      <c r="AL162" s="2">
        <v>0</v>
      </c>
      <c r="AM162" s="2">
        <v>-1878</v>
      </c>
    </row>
    <row r="163" spans="1:39">
      <c r="A163" s="351">
        <v>91217</v>
      </c>
      <c r="B163" s="344" t="s">
        <v>855</v>
      </c>
      <c r="C163" s="360">
        <v>2.12E-5</v>
      </c>
      <c r="E163" s="2">
        <v>11565</v>
      </c>
      <c r="F163" s="2">
        <v>13280</v>
      </c>
      <c r="G163" s="2">
        <v>10080</v>
      </c>
      <c r="H163" s="2">
        <v>3155</v>
      </c>
      <c r="I163" s="2">
        <v>0</v>
      </c>
      <c r="J163" s="2"/>
      <c r="K163" s="2">
        <v>3931</v>
      </c>
      <c r="L163" s="2">
        <v>3621</v>
      </c>
      <c r="M163" s="2">
        <v>2015</v>
      </c>
      <c r="N163" s="2">
        <v>0</v>
      </c>
      <c r="O163" s="2">
        <v>0</v>
      </c>
      <c r="P163" s="2"/>
      <c r="Q163" s="2">
        <v>255</v>
      </c>
      <c r="R163" s="2">
        <v>3564</v>
      </c>
      <c r="S163" s="2">
        <v>3687</v>
      </c>
      <c r="T163" s="2">
        <v>3155</v>
      </c>
      <c r="U163" s="2">
        <v>0</v>
      </c>
      <c r="V163" s="2"/>
      <c r="W163" s="2">
        <v>3112</v>
      </c>
      <c r="X163" s="2">
        <v>2526</v>
      </c>
      <c r="Y163" s="2">
        <v>0</v>
      </c>
      <c r="Z163" s="2">
        <v>0</v>
      </c>
      <c r="AA163" s="2">
        <v>0</v>
      </c>
      <c r="AB163" s="2"/>
      <c r="AC163" s="2">
        <v>5077</v>
      </c>
      <c r="AD163" s="2">
        <v>4381</v>
      </c>
      <c r="AE163" s="2">
        <v>4378</v>
      </c>
      <c r="AF163" s="2">
        <v>0</v>
      </c>
      <c r="AG163" s="2">
        <v>0</v>
      </c>
      <c r="AH163" s="2"/>
      <c r="AI163" s="2">
        <v>-810</v>
      </c>
      <c r="AJ163" s="2">
        <v>-812</v>
      </c>
      <c r="AK163" s="2">
        <v>0</v>
      </c>
      <c r="AL163" s="2">
        <v>0</v>
      </c>
      <c r="AM163" s="2">
        <v>-812</v>
      </c>
    </row>
    <row r="164" spans="1:39">
      <c r="A164" s="351">
        <v>91221</v>
      </c>
      <c r="B164" s="344" t="s">
        <v>856</v>
      </c>
      <c r="C164" s="360">
        <v>1.037E-4</v>
      </c>
      <c r="E164" s="2">
        <v>29307</v>
      </c>
      <c r="F164" s="2">
        <v>40784</v>
      </c>
      <c r="G164" s="2">
        <v>23559</v>
      </c>
      <c r="H164" s="2">
        <v>15433</v>
      </c>
      <c r="I164" s="2">
        <v>0</v>
      </c>
      <c r="J164" s="2"/>
      <c r="K164" s="2">
        <v>19227</v>
      </c>
      <c r="L164" s="2">
        <v>17711</v>
      </c>
      <c r="M164" s="2">
        <v>9858</v>
      </c>
      <c r="N164" s="2">
        <v>0</v>
      </c>
      <c r="O164" s="2">
        <v>0</v>
      </c>
      <c r="P164" s="2"/>
      <c r="Q164" s="2">
        <v>1246</v>
      </c>
      <c r="R164" s="2">
        <v>17432</v>
      </c>
      <c r="S164" s="2">
        <v>18035</v>
      </c>
      <c r="T164" s="2">
        <v>15433</v>
      </c>
      <c r="U164" s="2">
        <v>0</v>
      </c>
      <c r="V164" s="2"/>
      <c r="W164" s="2">
        <v>15221</v>
      </c>
      <c r="X164" s="2">
        <v>12357</v>
      </c>
      <c r="Y164" s="2">
        <v>0</v>
      </c>
      <c r="Z164" s="2">
        <v>0</v>
      </c>
      <c r="AA164" s="2">
        <v>0</v>
      </c>
      <c r="AB164" s="2"/>
      <c r="AC164" s="2">
        <v>327</v>
      </c>
      <c r="AD164" s="2">
        <v>0</v>
      </c>
      <c r="AE164" s="2">
        <v>0</v>
      </c>
      <c r="AF164" s="2">
        <v>0</v>
      </c>
      <c r="AG164" s="2">
        <v>0</v>
      </c>
      <c r="AH164" s="2"/>
      <c r="AI164" s="2">
        <v>-6714</v>
      </c>
      <c r="AJ164" s="2">
        <v>-6716</v>
      </c>
      <c r="AK164" s="2">
        <v>-4334</v>
      </c>
      <c r="AL164" s="2">
        <v>0</v>
      </c>
      <c r="AM164" s="2">
        <v>-6716</v>
      </c>
    </row>
    <row r="165" spans="1:39">
      <c r="A165" s="351">
        <v>91231</v>
      </c>
      <c r="B165" s="344" t="s">
        <v>857</v>
      </c>
      <c r="C165" s="360">
        <v>1.9138E-3</v>
      </c>
      <c r="E165" s="2">
        <v>658299</v>
      </c>
      <c r="F165" s="2">
        <v>894182</v>
      </c>
      <c r="G165" s="2">
        <v>537940</v>
      </c>
      <c r="H165" s="2">
        <v>284816</v>
      </c>
      <c r="I165" s="2">
        <v>0</v>
      </c>
      <c r="J165" s="2"/>
      <c r="K165" s="2">
        <v>354836</v>
      </c>
      <c r="L165" s="2">
        <v>326866</v>
      </c>
      <c r="M165" s="2">
        <v>181922</v>
      </c>
      <c r="N165" s="2">
        <v>0</v>
      </c>
      <c r="O165" s="2">
        <v>0</v>
      </c>
      <c r="P165" s="2"/>
      <c r="Q165" s="2">
        <v>23002</v>
      </c>
      <c r="R165" s="2">
        <v>321719</v>
      </c>
      <c r="S165" s="2">
        <v>332844</v>
      </c>
      <c r="T165" s="2">
        <v>284816</v>
      </c>
      <c r="U165" s="2">
        <v>0</v>
      </c>
      <c r="V165" s="2"/>
      <c r="W165" s="2">
        <v>280900</v>
      </c>
      <c r="X165" s="2">
        <v>228043</v>
      </c>
      <c r="Y165" s="2">
        <v>0</v>
      </c>
      <c r="Z165" s="2">
        <v>0</v>
      </c>
      <c r="AA165" s="2">
        <v>0</v>
      </c>
      <c r="AB165" s="2"/>
      <c r="AC165" s="2">
        <v>23177</v>
      </c>
      <c r="AD165" s="2">
        <v>23177</v>
      </c>
      <c r="AE165" s="2">
        <v>23174</v>
      </c>
      <c r="AF165" s="2">
        <v>0</v>
      </c>
      <c r="AG165" s="2">
        <v>0</v>
      </c>
      <c r="AH165" s="2"/>
      <c r="AI165" s="2">
        <v>-23616</v>
      </c>
      <c r="AJ165" s="2">
        <v>-5623</v>
      </c>
      <c r="AK165" s="2">
        <v>0</v>
      </c>
      <c r="AL165" s="2">
        <v>0</v>
      </c>
      <c r="AM165" s="2">
        <v>-5623</v>
      </c>
    </row>
    <row r="166" spans="1:39">
      <c r="A166" s="351">
        <v>91233</v>
      </c>
      <c r="B166" s="344" t="s">
        <v>858</v>
      </c>
      <c r="C166" s="360">
        <v>6.7899999999999997E-5</v>
      </c>
      <c r="E166" s="2">
        <v>25256</v>
      </c>
      <c r="F166" s="2">
        <v>31859</v>
      </c>
      <c r="G166" s="2">
        <v>20602</v>
      </c>
      <c r="H166" s="2">
        <v>10105</v>
      </c>
      <c r="I166" s="2">
        <v>0</v>
      </c>
      <c r="J166" s="2"/>
      <c r="K166" s="2">
        <v>12589</v>
      </c>
      <c r="L166" s="2">
        <v>11597</v>
      </c>
      <c r="M166" s="2">
        <v>6454</v>
      </c>
      <c r="N166" s="2">
        <v>0</v>
      </c>
      <c r="O166" s="2">
        <v>0</v>
      </c>
      <c r="P166" s="2"/>
      <c r="Q166" s="2">
        <v>816</v>
      </c>
      <c r="R166" s="2">
        <v>11414</v>
      </c>
      <c r="S166" s="2">
        <v>11809</v>
      </c>
      <c r="T166" s="2">
        <v>10105</v>
      </c>
      <c r="U166" s="2">
        <v>0</v>
      </c>
      <c r="V166" s="2"/>
      <c r="W166" s="2">
        <v>9966</v>
      </c>
      <c r="X166" s="2">
        <v>8091</v>
      </c>
      <c r="Y166" s="2">
        <v>0</v>
      </c>
      <c r="Z166" s="2">
        <v>0</v>
      </c>
      <c r="AA166" s="2">
        <v>0</v>
      </c>
      <c r="AB166" s="2"/>
      <c r="AC166" s="2">
        <v>3467</v>
      </c>
      <c r="AD166" s="2">
        <v>2340</v>
      </c>
      <c r="AE166" s="2">
        <v>2339</v>
      </c>
      <c r="AF166" s="2">
        <v>0</v>
      </c>
      <c r="AG166" s="2">
        <v>0</v>
      </c>
      <c r="AH166" s="2"/>
      <c r="AI166" s="2">
        <v>-1582</v>
      </c>
      <c r="AJ166" s="2">
        <v>-1583</v>
      </c>
      <c r="AK166" s="2">
        <v>0</v>
      </c>
      <c r="AL166" s="2">
        <v>0</v>
      </c>
      <c r="AM166" s="2">
        <v>-1583</v>
      </c>
    </row>
    <row r="167" spans="1:39">
      <c r="A167" s="351">
        <v>91241</v>
      </c>
      <c r="B167" s="344" t="s">
        <v>859</v>
      </c>
      <c r="C167" s="360">
        <v>3.18E-5</v>
      </c>
      <c r="E167" s="2">
        <v>5504</v>
      </c>
      <c r="F167" s="2">
        <v>9161</v>
      </c>
      <c r="G167" s="2">
        <v>206</v>
      </c>
      <c r="H167" s="2">
        <v>4733</v>
      </c>
      <c r="I167" s="2">
        <v>0</v>
      </c>
      <c r="J167" s="2"/>
      <c r="K167" s="2">
        <v>5896</v>
      </c>
      <c r="L167" s="2">
        <v>5431</v>
      </c>
      <c r="M167" s="2">
        <v>3023</v>
      </c>
      <c r="N167" s="2">
        <v>0</v>
      </c>
      <c r="O167" s="2">
        <v>0</v>
      </c>
      <c r="P167" s="2"/>
      <c r="Q167" s="2">
        <v>382</v>
      </c>
      <c r="R167" s="2">
        <v>5346</v>
      </c>
      <c r="S167" s="2">
        <v>5531</v>
      </c>
      <c r="T167" s="2">
        <v>4733</v>
      </c>
      <c r="U167" s="2">
        <v>0</v>
      </c>
      <c r="V167" s="2"/>
      <c r="W167" s="2">
        <v>4667</v>
      </c>
      <c r="X167" s="2">
        <v>3789</v>
      </c>
      <c r="Y167" s="2">
        <v>0</v>
      </c>
      <c r="Z167" s="2">
        <v>0</v>
      </c>
      <c r="AA167" s="2">
        <v>0</v>
      </c>
      <c r="AB167" s="2"/>
      <c r="AC167" s="2">
        <v>3420</v>
      </c>
      <c r="AD167" s="2">
        <v>3421</v>
      </c>
      <c r="AE167" s="2">
        <v>478</v>
      </c>
      <c r="AF167" s="2">
        <v>0</v>
      </c>
      <c r="AG167" s="2">
        <v>0</v>
      </c>
      <c r="AH167" s="2"/>
      <c r="AI167" s="2">
        <v>-8861</v>
      </c>
      <c r="AJ167" s="2">
        <v>-8826</v>
      </c>
      <c r="AK167" s="2">
        <v>-8826</v>
      </c>
      <c r="AL167" s="2">
        <v>0</v>
      </c>
      <c r="AM167" s="2">
        <v>-8826</v>
      </c>
    </row>
    <row r="168" spans="1:39">
      <c r="A168" s="351">
        <v>91251</v>
      </c>
      <c r="B168" s="344" t="s">
        <v>860</v>
      </c>
      <c r="C168" s="360">
        <v>2.6599999999999999E-5</v>
      </c>
      <c r="E168" s="2">
        <v>11073</v>
      </c>
      <c r="F168" s="2">
        <v>14764</v>
      </c>
      <c r="G168" s="2">
        <v>7468</v>
      </c>
      <c r="H168" s="2">
        <v>3959</v>
      </c>
      <c r="I168" s="2">
        <v>0</v>
      </c>
      <c r="J168" s="2"/>
      <c r="K168" s="2">
        <v>4932</v>
      </c>
      <c r="L168" s="2">
        <v>4543</v>
      </c>
      <c r="M168" s="2">
        <v>2529</v>
      </c>
      <c r="N168" s="2">
        <v>0</v>
      </c>
      <c r="O168" s="2">
        <v>0</v>
      </c>
      <c r="P168" s="2"/>
      <c r="Q168" s="2">
        <v>320</v>
      </c>
      <c r="R168" s="2">
        <v>4472</v>
      </c>
      <c r="S168" s="2">
        <v>4626</v>
      </c>
      <c r="T168" s="2">
        <v>3959</v>
      </c>
      <c r="U168" s="2">
        <v>0</v>
      </c>
      <c r="V168" s="2"/>
      <c r="W168" s="2">
        <v>3904</v>
      </c>
      <c r="X168" s="2">
        <v>3170</v>
      </c>
      <c r="Y168" s="2">
        <v>0</v>
      </c>
      <c r="Z168" s="2">
        <v>0</v>
      </c>
      <c r="AA168" s="2">
        <v>0</v>
      </c>
      <c r="AB168" s="2"/>
      <c r="AC168" s="2">
        <v>4390</v>
      </c>
      <c r="AD168" s="2">
        <v>4388</v>
      </c>
      <c r="AE168" s="2">
        <v>2120</v>
      </c>
      <c r="AF168" s="2">
        <v>0</v>
      </c>
      <c r="AG168" s="2">
        <v>0</v>
      </c>
      <c r="AH168" s="2"/>
      <c r="AI168" s="2">
        <v>-2473</v>
      </c>
      <c r="AJ168" s="2">
        <v>-1809</v>
      </c>
      <c r="AK168" s="2">
        <v>-1807</v>
      </c>
      <c r="AL168" s="2">
        <v>0</v>
      </c>
      <c r="AM168" s="2">
        <v>-1809</v>
      </c>
    </row>
    <row r="169" spans="1:39">
      <c r="A169" s="351">
        <v>91261</v>
      </c>
      <c r="B169" s="344" t="s">
        <v>861</v>
      </c>
      <c r="C169" s="360">
        <v>9.7999999999999993E-6</v>
      </c>
      <c r="E169" s="2">
        <v>2760</v>
      </c>
      <c r="F169" s="2">
        <v>3753</v>
      </c>
      <c r="G169" s="2">
        <v>1898</v>
      </c>
      <c r="H169" s="2">
        <v>1458</v>
      </c>
      <c r="I169" s="2">
        <v>0</v>
      </c>
      <c r="J169" s="2"/>
      <c r="K169" s="2">
        <v>1817</v>
      </c>
      <c r="L169" s="2">
        <v>1674</v>
      </c>
      <c r="M169" s="2">
        <v>932</v>
      </c>
      <c r="N169" s="2">
        <v>0</v>
      </c>
      <c r="O169" s="2">
        <v>0</v>
      </c>
      <c r="P169" s="2"/>
      <c r="Q169" s="2">
        <v>118</v>
      </c>
      <c r="R169" s="2">
        <v>1647</v>
      </c>
      <c r="S169" s="2">
        <v>1704</v>
      </c>
      <c r="T169" s="2">
        <v>1458</v>
      </c>
      <c r="U169" s="2">
        <v>0</v>
      </c>
      <c r="V169" s="2"/>
      <c r="W169" s="2">
        <v>1438</v>
      </c>
      <c r="X169" s="2">
        <v>1168</v>
      </c>
      <c r="Y169" s="2">
        <v>0</v>
      </c>
      <c r="Z169" s="2">
        <v>0</v>
      </c>
      <c r="AA169" s="2">
        <v>0</v>
      </c>
      <c r="AB169" s="2"/>
      <c r="AC169" s="2">
        <v>123</v>
      </c>
      <c r="AD169" s="2">
        <v>0</v>
      </c>
      <c r="AE169" s="2">
        <v>0</v>
      </c>
      <c r="AF169" s="2">
        <v>0</v>
      </c>
      <c r="AG169" s="2">
        <v>0</v>
      </c>
      <c r="AH169" s="2"/>
      <c r="AI169" s="2">
        <v>-736</v>
      </c>
      <c r="AJ169" s="2">
        <v>-736</v>
      </c>
      <c r="AK169" s="2">
        <v>-738</v>
      </c>
      <c r="AL169" s="2">
        <v>0</v>
      </c>
      <c r="AM169" s="2">
        <v>-736</v>
      </c>
    </row>
    <row r="170" spans="1:39">
      <c r="A170" s="351">
        <v>91301</v>
      </c>
      <c r="B170" s="344" t="s">
        <v>862</v>
      </c>
      <c r="C170" s="360">
        <v>8.2746E-3</v>
      </c>
      <c r="E170" s="2">
        <v>2911797</v>
      </c>
      <c r="F170" s="2">
        <v>3888077</v>
      </c>
      <c r="G170" s="2">
        <v>2343469</v>
      </c>
      <c r="H170" s="2">
        <v>1231443</v>
      </c>
      <c r="I170" s="2">
        <v>0</v>
      </c>
      <c r="J170" s="2"/>
      <c r="K170" s="2">
        <v>1534185</v>
      </c>
      <c r="L170" s="2">
        <v>1413252</v>
      </c>
      <c r="M170" s="2">
        <v>786567</v>
      </c>
      <c r="N170" s="2">
        <v>0</v>
      </c>
      <c r="O170" s="2">
        <v>0</v>
      </c>
      <c r="P170" s="2"/>
      <c r="Q170" s="2">
        <v>99452</v>
      </c>
      <c r="R170" s="2">
        <v>1391002</v>
      </c>
      <c r="S170" s="2">
        <v>1439102</v>
      </c>
      <c r="T170" s="2">
        <v>1231443</v>
      </c>
      <c r="U170" s="2">
        <v>0</v>
      </c>
      <c r="V170" s="2"/>
      <c r="W170" s="2">
        <v>1214513</v>
      </c>
      <c r="X170" s="2">
        <v>985977</v>
      </c>
      <c r="Y170" s="2">
        <v>0</v>
      </c>
      <c r="Z170" s="2">
        <v>0</v>
      </c>
      <c r="AA170" s="2">
        <v>0</v>
      </c>
      <c r="AB170" s="2"/>
      <c r="AC170" s="2">
        <v>117799</v>
      </c>
      <c r="AD170" s="2">
        <v>117799</v>
      </c>
      <c r="AE170" s="2">
        <v>117800</v>
      </c>
      <c r="AF170" s="2">
        <v>0</v>
      </c>
      <c r="AG170" s="2">
        <v>0</v>
      </c>
      <c r="AH170" s="2"/>
      <c r="AI170" s="2">
        <v>-54152</v>
      </c>
      <c r="AJ170" s="2">
        <v>-19953</v>
      </c>
      <c r="AK170" s="2">
        <v>0</v>
      </c>
      <c r="AL170" s="2">
        <v>0</v>
      </c>
      <c r="AM170" s="2">
        <v>-19953</v>
      </c>
    </row>
    <row r="171" spans="1:39">
      <c r="A171" s="351">
        <v>91302</v>
      </c>
      <c r="B171" s="344" t="s">
        <v>3658</v>
      </c>
      <c r="C171" s="360">
        <v>5.0199999999999995E-4</v>
      </c>
      <c r="E171" s="2">
        <v>143897</v>
      </c>
      <c r="F171" s="2">
        <v>202718</v>
      </c>
      <c r="G171" s="2">
        <v>120351</v>
      </c>
      <c r="H171" s="2">
        <v>74709</v>
      </c>
      <c r="I171" s="2">
        <v>0</v>
      </c>
      <c r="J171" s="2"/>
      <c r="K171" s="2">
        <v>93075</v>
      </c>
      <c r="L171" s="2">
        <v>85739</v>
      </c>
      <c r="M171" s="2">
        <v>47719</v>
      </c>
      <c r="N171" s="2">
        <v>0</v>
      </c>
      <c r="O171" s="2">
        <v>0</v>
      </c>
      <c r="P171" s="2"/>
      <c r="Q171" s="2">
        <v>6034</v>
      </c>
      <c r="R171" s="2">
        <v>84389</v>
      </c>
      <c r="S171" s="2">
        <v>87307</v>
      </c>
      <c r="T171" s="2">
        <v>74709</v>
      </c>
      <c r="U171" s="2">
        <v>0</v>
      </c>
      <c r="V171" s="2"/>
      <c r="W171" s="2">
        <v>73682</v>
      </c>
      <c r="X171" s="2">
        <v>59817</v>
      </c>
      <c r="Y171" s="2">
        <v>0</v>
      </c>
      <c r="Z171" s="2">
        <v>0</v>
      </c>
      <c r="AA171" s="2">
        <v>0</v>
      </c>
      <c r="AB171" s="2"/>
      <c r="AC171" s="2">
        <v>0</v>
      </c>
      <c r="AD171" s="2">
        <v>0</v>
      </c>
      <c r="AE171" s="2">
        <v>0</v>
      </c>
      <c r="AF171" s="2">
        <v>0</v>
      </c>
      <c r="AG171" s="2">
        <v>0</v>
      </c>
      <c r="AH171" s="2"/>
      <c r="AI171" s="2">
        <v>-28894</v>
      </c>
      <c r="AJ171" s="2">
        <v>-27227</v>
      </c>
      <c r="AK171" s="2">
        <v>-14675</v>
      </c>
      <c r="AL171" s="2">
        <v>0</v>
      </c>
      <c r="AM171" s="2">
        <v>-27227</v>
      </c>
    </row>
    <row r="172" spans="1:39">
      <c r="A172" s="351">
        <v>91306</v>
      </c>
      <c r="B172" s="344" t="s">
        <v>2781</v>
      </c>
      <c r="C172" s="360">
        <v>1.82E-3</v>
      </c>
      <c r="E172" s="2">
        <v>655717</v>
      </c>
      <c r="F172" s="2">
        <v>864704</v>
      </c>
      <c r="G172" s="2">
        <v>482767</v>
      </c>
      <c r="H172" s="2">
        <v>270856</v>
      </c>
      <c r="I172" s="2">
        <v>0</v>
      </c>
      <c r="J172" s="2"/>
      <c r="K172" s="2">
        <v>337444</v>
      </c>
      <c r="L172" s="2">
        <v>310845</v>
      </c>
      <c r="M172" s="2">
        <v>173006</v>
      </c>
      <c r="N172" s="2">
        <v>0</v>
      </c>
      <c r="O172" s="2">
        <v>0</v>
      </c>
      <c r="P172" s="2"/>
      <c r="Q172" s="2">
        <v>21875</v>
      </c>
      <c r="R172" s="2">
        <v>305951</v>
      </c>
      <c r="S172" s="2">
        <v>316531</v>
      </c>
      <c r="T172" s="2">
        <v>270856</v>
      </c>
      <c r="U172" s="2">
        <v>0</v>
      </c>
      <c r="V172" s="2"/>
      <c r="W172" s="2">
        <v>267132</v>
      </c>
      <c r="X172" s="2">
        <v>216866</v>
      </c>
      <c r="Y172" s="2">
        <v>0</v>
      </c>
      <c r="Z172" s="2">
        <v>0</v>
      </c>
      <c r="AA172" s="2">
        <v>0</v>
      </c>
      <c r="AB172" s="2"/>
      <c r="AC172" s="2">
        <v>37811</v>
      </c>
      <c r="AD172" s="2">
        <v>37812</v>
      </c>
      <c r="AE172" s="2">
        <v>0</v>
      </c>
      <c r="AF172" s="2">
        <v>0</v>
      </c>
      <c r="AG172" s="2">
        <v>0</v>
      </c>
      <c r="AH172" s="2"/>
      <c r="AI172" s="2">
        <v>-8545</v>
      </c>
      <c r="AJ172" s="2">
        <v>-6770</v>
      </c>
      <c r="AK172" s="2">
        <v>-6770</v>
      </c>
      <c r="AL172" s="2">
        <v>0</v>
      </c>
      <c r="AM172" s="2">
        <v>-6770</v>
      </c>
    </row>
    <row r="173" spans="1:39">
      <c r="A173" s="351">
        <v>91308</v>
      </c>
      <c r="B173" s="344" t="s">
        <v>865</v>
      </c>
      <c r="C173" s="360">
        <v>1.6229999999999999E-4</v>
      </c>
      <c r="E173" s="2">
        <v>43216</v>
      </c>
      <c r="F173" s="2">
        <v>66360</v>
      </c>
      <c r="G173" s="2">
        <v>37623</v>
      </c>
      <c r="H173" s="2">
        <v>24154</v>
      </c>
      <c r="I173" s="2">
        <v>0</v>
      </c>
      <c r="J173" s="2"/>
      <c r="K173" s="2">
        <v>30092</v>
      </c>
      <c r="L173" s="2">
        <v>27720</v>
      </c>
      <c r="M173" s="2">
        <v>15428</v>
      </c>
      <c r="N173" s="2">
        <v>0</v>
      </c>
      <c r="O173" s="2">
        <v>0</v>
      </c>
      <c r="P173" s="2"/>
      <c r="Q173" s="2">
        <v>1951</v>
      </c>
      <c r="R173" s="2">
        <v>27283</v>
      </c>
      <c r="S173" s="2">
        <v>28227</v>
      </c>
      <c r="T173" s="2">
        <v>24154</v>
      </c>
      <c r="U173" s="2">
        <v>0</v>
      </c>
      <c r="V173" s="2"/>
      <c r="W173" s="2">
        <v>23822</v>
      </c>
      <c r="X173" s="2">
        <v>19339</v>
      </c>
      <c r="Y173" s="2">
        <v>0</v>
      </c>
      <c r="Z173" s="2">
        <v>0</v>
      </c>
      <c r="AA173" s="2">
        <v>0</v>
      </c>
      <c r="AB173" s="2"/>
      <c r="AC173" s="2">
        <v>0</v>
      </c>
      <c r="AD173" s="2">
        <v>0</v>
      </c>
      <c r="AE173" s="2">
        <v>0</v>
      </c>
      <c r="AF173" s="2">
        <v>0</v>
      </c>
      <c r="AG173" s="2">
        <v>0</v>
      </c>
      <c r="AH173" s="2"/>
      <c r="AI173" s="2">
        <v>-12649</v>
      </c>
      <c r="AJ173" s="2">
        <v>-7982</v>
      </c>
      <c r="AK173" s="2">
        <v>-6032</v>
      </c>
      <c r="AL173" s="2">
        <v>0</v>
      </c>
      <c r="AM173" s="2">
        <v>-7982</v>
      </c>
    </row>
    <row r="174" spans="1:39">
      <c r="A174" s="351">
        <v>91311</v>
      </c>
      <c r="B174" s="344" t="s">
        <v>866</v>
      </c>
      <c r="C174" s="360">
        <v>8.4355999999999997E-3</v>
      </c>
      <c r="E174" s="2">
        <v>3050560</v>
      </c>
      <c r="F174" s="2">
        <v>4053330</v>
      </c>
      <c r="G174" s="2">
        <v>2477627</v>
      </c>
      <c r="H174" s="2">
        <v>1255403</v>
      </c>
      <c r="I174" s="2">
        <v>0</v>
      </c>
      <c r="J174" s="2"/>
      <c r="K174" s="2">
        <v>1564036</v>
      </c>
      <c r="L174" s="2">
        <v>1440750</v>
      </c>
      <c r="M174" s="2">
        <v>801871</v>
      </c>
      <c r="N174" s="2">
        <v>0</v>
      </c>
      <c r="O174" s="2">
        <v>0</v>
      </c>
      <c r="P174" s="2"/>
      <c r="Q174" s="2">
        <v>101387</v>
      </c>
      <c r="R174" s="2">
        <v>1418067</v>
      </c>
      <c r="S174" s="2">
        <v>1467103</v>
      </c>
      <c r="T174" s="2">
        <v>1255403</v>
      </c>
      <c r="U174" s="2">
        <v>0</v>
      </c>
      <c r="V174" s="2"/>
      <c r="W174" s="2">
        <v>1238144</v>
      </c>
      <c r="X174" s="2">
        <v>1005161</v>
      </c>
      <c r="Y174" s="2">
        <v>0</v>
      </c>
      <c r="Z174" s="2">
        <v>0</v>
      </c>
      <c r="AA174" s="2">
        <v>0</v>
      </c>
      <c r="AB174" s="2"/>
      <c r="AC174" s="2">
        <v>208655</v>
      </c>
      <c r="AD174" s="2">
        <v>208655</v>
      </c>
      <c r="AE174" s="2">
        <v>208653</v>
      </c>
      <c r="AF174" s="2">
        <v>0</v>
      </c>
      <c r="AG174" s="2">
        <v>0</v>
      </c>
      <c r="AH174" s="2"/>
      <c r="AI174" s="2">
        <v>-61662</v>
      </c>
      <c r="AJ174" s="2">
        <v>-19303</v>
      </c>
      <c r="AK174" s="2">
        <v>0</v>
      </c>
      <c r="AL174" s="2">
        <v>0</v>
      </c>
      <c r="AM174" s="2">
        <v>-19303</v>
      </c>
    </row>
    <row r="175" spans="1:39">
      <c r="A175" s="351">
        <v>91317</v>
      </c>
      <c r="B175" s="344" t="s">
        <v>867</v>
      </c>
      <c r="C175" s="360">
        <v>1.27E-4</v>
      </c>
      <c r="E175" s="2">
        <v>64426</v>
      </c>
      <c r="F175" s="2">
        <v>76182</v>
      </c>
      <c r="G175" s="2">
        <v>51157</v>
      </c>
      <c r="H175" s="2">
        <v>18900</v>
      </c>
      <c r="I175" s="2">
        <v>0</v>
      </c>
      <c r="J175" s="2"/>
      <c r="K175" s="2">
        <v>23547</v>
      </c>
      <c r="L175" s="2">
        <v>21691</v>
      </c>
      <c r="M175" s="2">
        <v>12072</v>
      </c>
      <c r="N175" s="2">
        <v>0</v>
      </c>
      <c r="O175" s="2">
        <v>0</v>
      </c>
      <c r="P175" s="2"/>
      <c r="Q175" s="2">
        <v>1526</v>
      </c>
      <c r="R175" s="2">
        <v>21349</v>
      </c>
      <c r="S175" s="2">
        <v>22088</v>
      </c>
      <c r="T175" s="2">
        <v>18900</v>
      </c>
      <c r="U175" s="2">
        <v>0</v>
      </c>
      <c r="V175" s="2"/>
      <c r="W175" s="2">
        <v>18641</v>
      </c>
      <c r="X175" s="2">
        <v>15133</v>
      </c>
      <c r="Y175" s="2">
        <v>0</v>
      </c>
      <c r="Z175" s="2">
        <v>0</v>
      </c>
      <c r="AA175" s="2">
        <v>0</v>
      </c>
      <c r="AB175" s="2"/>
      <c r="AC175" s="2">
        <v>20712</v>
      </c>
      <c r="AD175" s="2">
        <v>18009</v>
      </c>
      <c r="AE175" s="2">
        <v>16997</v>
      </c>
      <c r="AF175" s="2">
        <v>0</v>
      </c>
      <c r="AG175" s="2">
        <v>0</v>
      </c>
      <c r="AH175" s="2"/>
      <c r="AI175" s="2">
        <v>0</v>
      </c>
      <c r="AJ175" s="2">
        <v>0</v>
      </c>
      <c r="AK175" s="2">
        <v>0</v>
      </c>
      <c r="AL175" s="2">
        <v>0</v>
      </c>
      <c r="AM175" s="2">
        <v>0</v>
      </c>
    </row>
    <row r="176" spans="1:39">
      <c r="A176" s="351">
        <v>91321</v>
      </c>
      <c r="B176" s="344" t="s">
        <v>868</v>
      </c>
      <c r="C176" s="360">
        <v>6.9300000000000004E-5</v>
      </c>
      <c r="E176" s="2">
        <v>44411</v>
      </c>
      <c r="F176" s="2">
        <v>48655</v>
      </c>
      <c r="G176" s="2">
        <v>30200</v>
      </c>
      <c r="H176" s="2">
        <v>10313</v>
      </c>
      <c r="I176" s="2">
        <v>0</v>
      </c>
      <c r="J176" s="2"/>
      <c r="K176" s="2">
        <v>12849</v>
      </c>
      <c r="L176" s="2">
        <v>11836</v>
      </c>
      <c r="M176" s="2">
        <v>6588</v>
      </c>
      <c r="N176" s="2">
        <v>0</v>
      </c>
      <c r="O176" s="2">
        <v>0</v>
      </c>
      <c r="P176" s="2"/>
      <c r="Q176" s="2">
        <v>833</v>
      </c>
      <c r="R176" s="2">
        <v>11650</v>
      </c>
      <c r="S176" s="2">
        <v>12053</v>
      </c>
      <c r="T176" s="2">
        <v>10313</v>
      </c>
      <c r="U176" s="2">
        <v>0</v>
      </c>
      <c r="V176" s="2"/>
      <c r="W176" s="2">
        <v>10172</v>
      </c>
      <c r="X176" s="2">
        <v>8258</v>
      </c>
      <c r="Y176" s="2">
        <v>0</v>
      </c>
      <c r="Z176" s="2">
        <v>0</v>
      </c>
      <c r="AA176" s="2">
        <v>0</v>
      </c>
      <c r="AB176" s="2"/>
      <c r="AC176" s="2">
        <v>20557</v>
      </c>
      <c r="AD176" s="2">
        <v>16911</v>
      </c>
      <c r="AE176" s="2">
        <v>11559</v>
      </c>
      <c r="AF176" s="2">
        <v>0</v>
      </c>
      <c r="AG176" s="2">
        <v>0</v>
      </c>
      <c r="AH176" s="2"/>
      <c r="AI176" s="2">
        <v>0</v>
      </c>
      <c r="AJ176" s="2">
        <v>0</v>
      </c>
      <c r="AK176" s="2">
        <v>0</v>
      </c>
      <c r="AL176" s="2">
        <v>0</v>
      </c>
      <c r="AM176" s="2">
        <v>0</v>
      </c>
    </row>
    <row r="177" spans="1:39">
      <c r="A177" s="351">
        <v>91327</v>
      </c>
      <c r="B177" s="344" t="s">
        <v>3505</v>
      </c>
      <c r="C177" s="360"/>
      <c r="E177" s="2">
        <v>-3648</v>
      </c>
      <c r="F177" s="2">
        <v>-3445</v>
      </c>
      <c r="G177" s="2">
        <v>-3573</v>
      </c>
      <c r="H177" s="2">
        <v>0</v>
      </c>
      <c r="I177" s="2">
        <v>0</v>
      </c>
      <c r="J177" s="2"/>
      <c r="K177" s="2">
        <v>0</v>
      </c>
      <c r="L177" s="2">
        <v>0</v>
      </c>
      <c r="M177" s="2">
        <v>0</v>
      </c>
      <c r="N177" s="2">
        <v>0</v>
      </c>
      <c r="O177" s="2">
        <v>0</v>
      </c>
      <c r="P177" s="2"/>
      <c r="Q177" s="2">
        <v>0</v>
      </c>
      <c r="R177" s="2">
        <v>0</v>
      </c>
      <c r="S177" s="2">
        <v>0</v>
      </c>
      <c r="T177" s="2">
        <v>0</v>
      </c>
      <c r="U177" s="2">
        <v>0</v>
      </c>
      <c r="V177" s="2"/>
      <c r="W177" s="2">
        <v>0</v>
      </c>
      <c r="X177" s="2">
        <v>0</v>
      </c>
      <c r="Y177" s="2">
        <v>0</v>
      </c>
      <c r="Z177" s="2">
        <v>0</v>
      </c>
      <c r="AA177" s="2">
        <v>0</v>
      </c>
      <c r="AB177" s="2"/>
      <c r="AC177" s="2">
        <v>823</v>
      </c>
      <c r="AD177" s="2">
        <v>821</v>
      </c>
      <c r="AE177" s="2">
        <v>693</v>
      </c>
      <c r="AF177" s="2">
        <v>0</v>
      </c>
      <c r="AG177" s="2">
        <v>0</v>
      </c>
      <c r="AH177" s="2"/>
      <c r="AI177" s="2">
        <v>-4471</v>
      </c>
      <c r="AJ177" s="2">
        <v>-4266</v>
      </c>
      <c r="AK177" s="2">
        <v>-4266</v>
      </c>
      <c r="AL177" s="2">
        <v>0</v>
      </c>
      <c r="AM177" s="2">
        <v>-4266</v>
      </c>
    </row>
    <row r="178" spans="1:39">
      <c r="A178" s="351">
        <v>91331</v>
      </c>
      <c r="B178" s="344" t="s">
        <v>870</v>
      </c>
      <c r="C178" s="360">
        <v>3.0620999999999999E-3</v>
      </c>
      <c r="E178" s="2">
        <v>986889</v>
      </c>
      <c r="F178" s="2">
        <v>1347563</v>
      </c>
      <c r="G178" s="2">
        <v>804052</v>
      </c>
      <c r="H178" s="2">
        <v>455708</v>
      </c>
      <c r="I178" s="2">
        <v>0</v>
      </c>
      <c r="J178" s="2"/>
      <c r="K178" s="2">
        <v>567741</v>
      </c>
      <c r="L178" s="2">
        <v>522988</v>
      </c>
      <c r="M178" s="2">
        <v>291077</v>
      </c>
      <c r="N178" s="2">
        <v>0</v>
      </c>
      <c r="O178" s="2">
        <v>0</v>
      </c>
      <c r="P178" s="2"/>
      <c r="Q178" s="2">
        <v>36803</v>
      </c>
      <c r="R178" s="2">
        <v>514754</v>
      </c>
      <c r="S178" s="2">
        <v>532554</v>
      </c>
      <c r="T178" s="2">
        <v>455708</v>
      </c>
      <c r="U178" s="2">
        <v>0</v>
      </c>
      <c r="V178" s="2"/>
      <c r="W178" s="2">
        <v>449443</v>
      </c>
      <c r="X178" s="2">
        <v>364871</v>
      </c>
      <c r="Y178" s="2">
        <v>0</v>
      </c>
      <c r="Z178" s="2">
        <v>0</v>
      </c>
      <c r="AA178" s="2">
        <v>0</v>
      </c>
      <c r="AB178" s="2"/>
      <c r="AC178" s="2">
        <v>20880</v>
      </c>
      <c r="AD178" s="2">
        <v>20880</v>
      </c>
      <c r="AE178" s="2">
        <v>20881</v>
      </c>
      <c r="AF178" s="2">
        <v>0</v>
      </c>
      <c r="AG178" s="2">
        <v>0</v>
      </c>
      <c r="AH178" s="2"/>
      <c r="AI178" s="2">
        <v>-87978</v>
      </c>
      <c r="AJ178" s="2">
        <v>-75930</v>
      </c>
      <c r="AK178" s="2">
        <v>-40460</v>
      </c>
      <c r="AL178" s="2">
        <v>0</v>
      </c>
      <c r="AM178" s="2">
        <v>-75930</v>
      </c>
    </row>
    <row r="179" spans="1:39">
      <c r="A179" s="351">
        <v>91341</v>
      </c>
      <c r="B179" s="344" t="s">
        <v>871</v>
      </c>
      <c r="C179" s="360">
        <v>3.6900000000000002E-5</v>
      </c>
      <c r="E179" s="2">
        <v>15348</v>
      </c>
      <c r="F179" s="2">
        <v>18228</v>
      </c>
      <c r="G179" s="2">
        <v>10881</v>
      </c>
      <c r="H179" s="2">
        <v>5492</v>
      </c>
      <c r="I179" s="2">
        <v>0</v>
      </c>
      <c r="J179" s="2"/>
      <c r="K179" s="2">
        <v>6842</v>
      </c>
      <c r="L179" s="2">
        <v>6302</v>
      </c>
      <c r="M179" s="2">
        <v>3508</v>
      </c>
      <c r="N179" s="2">
        <v>0</v>
      </c>
      <c r="O179" s="2">
        <v>0</v>
      </c>
      <c r="P179" s="2"/>
      <c r="Q179" s="2">
        <v>444</v>
      </c>
      <c r="R179" s="2">
        <v>6203</v>
      </c>
      <c r="S179" s="2">
        <v>6418</v>
      </c>
      <c r="T179" s="2">
        <v>5492</v>
      </c>
      <c r="U179" s="2">
        <v>0</v>
      </c>
      <c r="V179" s="2"/>
      <c r="W179" s="2">
        <v>5416</v>
      </c>
      <c r="X179" s="2">
        <v>4397</v>
      </c>
      <c r="Y179" s="2">
        <v>0</v>
      </c>
      <c r="Z179" s="2">
        <v>0</v>
      </c>
      <c r="AA179" s="2">
        <v>0</v>
      </c>
      <c r="AB179" s="2"/>
      <c r="AC179" s="2">
        <v>3971</v>
      </c>
      <c r="AD179" s="2">
        <v>2651</v>
      </c>
      <c r="AE179" s="2">
        <v>2278</v>
      </c>
      <c r="AF179" s="2">
        <v>0</v>
      </c>
      <c r="AG179" s="2">
        <v>0</v>
      </c>
      <c r="AH179" s="2"/>
      <c r="AI179" s="2">
        <v>-1325</v>
      </c>
      <c r="AJ179" s="2">
        <v>-1325</v>
      </c>
      <c r="AK179" s="2">
        <v>-1323</v>
      </c>
      <c r="AL179" s="2">
        <v>0</v>
      </c>
      <c r="AM179" s="2">
        <v>-1325</v>
      </c>
    </row>
    <row r="180" spans="1:39">
      <c r="A180" s="351">
        <v>91401</v>
      </c>
      <c r="B180" s="344" t="s">
        <v>872</v>
      </c>
      <c r="C180" s="360">
        <v>3.7696000000000001E-3</v>
      </c>
      <c r="E180" s="2">
        <v>1372332</v>
      </c>
      <c r="F180" s="2">
        <v>1835127</v>
      </c>
      <c r="G180" s="2">
        <v>1143599</v>
      </c>
      <c r="H180" s="2">
        <v>560999</v>
      </c>
      <c r="I180" s="2">
        <v>0</v>
      </c>
      <c r="J180" s="2"/>
      <c r="K180" s="2">
        <v>698918</v>
      </c>
      <c r="L180" s="2">
        <v>643825</v>
      </c>
      <c r="M180" s="2">
        <v>358331</v>
      </c>
      <c r="N180" s="2">
        <v>0</v>
      </c>
      <c r="O180" s="2">
        <v>0</v>
      </c>
      <c r="P180" s="2"/>
      <c r="Q180" s="2">
        <v>45307</v>
      </c>
      <c r="R180" s="2">
        <v>633689</v>
      </c>
      <c r="S180" s="2">
        <v>655601</v>
      </c>
      <c r="T180" s="2">
        <v>560999</v>
      </c>
      <c r="U180" s="2">
        <v>0</v>
      </c>
      <c r="V180" s="2"/>
      <c r="W180" s="2">
        <v>553287</v>
      </c>
      <c r="X180" s="2">
        <v>449174</v>
      </c>
      <c r="Y180" s="2">
        <v>0</v>
      </c>
      <c r="Z180" s="2">
        <v>0</v>
      </c>
      <c r="AA180" s="2">
        <v>0</v>
      </c>
      <c r="AB180" s="2"/>
      <c r="AC180" s="2">
        <v>152478</v>
      </c>
      <c r="AD180" s="2">
        <v>152478</v>
      </c>
      <c r="AE180" s="2">
        <v>152476</v>
      </c>
      <c r="AF180" s="2">
        <v>0</v>
      </c>
      <c r="AG180" s="2">
        <v>0</v>
      </c>
      <c r="AH180" s="2"/>
      <c r="AI180" s="2">
        <v>-77658</v>
      </c>
      <c r="AJ180" s="2">
        <v>-44039</v>
      </c>
      <c r="AK180" s="2">
        <v>-22809</v>
      </c>
      <c r="AL180" s="2">
        <v>0</v>
      </c>
      <c r="AM180" s="2">
        <v>-44039</v>
      </c>
    </row>
    <row r="181" spans="1:39">
      <c r="A181" s="351">
        <v>91411</v>
      </c>
      <c r="B181" s="344" t="s">
        <v>873</v>
      </c>
      <c r="C181" s="360">
        <v>4.0089999999999999E-4</v>
      </c>
      <c r="E181" s="2">
        <v>142990</v>
      </c>
      <c r="F181" s="2">
        <v>185587</v>
      </c>
      <c r="G181" s="2">
        <v>109438</v>
      </c>
      <c r="H181" s="2">
        <v>59663</v>
      </c>
      <c r="I181" s="2">
        <v>0</v>
      </c>
      <c r="J181" s="2"/>
      <c r="K181" s="2">
        <v>74330</v>
      </c>
      <c r="L181" s="2">
        <v>68471</v>
      </c>
      <c r="M181" s="2">
        <v>38109</v>
      </c>
      <c r="N181" s="2">
        <v>0</v>
      </c>
      <c r="O181" s="2">
        <v>0</v>
      </c>
      <c r="P181" s="2"/>
      <c r="Q181" s="2">
        <v>4818</v>
      </c>
      <c r="R181" s="2">
        <v>67393</v>
      </c>
      <c r="S181" s="2">
        <v>69724</v>
      </c>
      <c r="T181" s="2">
        <v>59663</v>
      </c>
      <c r="U181" s="2">
        <v>0</v>
      </c>
      <c r="V181" s="2"/>
      <c r="W181" s="2">
        <v>58842</v>
      </c>
      <c r="X181" s="2">
        <v>47770</v>
      </c>
      <c r="Y181" s="2">
        <v>0</v>
      </c>
      <c r="Z181" s="2">
        <v>0</v>
      </c>
      <c r="AA181" s="2">
        <v>0</v>
      </c>
      <c r="AB181" s="2"/>
      <c r="AC181" s="2">
        <v>5000</v>
      </c>
      <c r="AD181" s="2">
        <v>1953</v>
      </c>
      <c r="AE181" s="2">
        <v>1605</v>
      </c>
      <c r="AF181" s="2">
        <v>0</v>
      </c>
      <c r="AG181" s="2">
        <v>0</v>
      </c>
      <c r="AH181" s="2"/>
      <c r="AI181" s="2">
        <v>0</v>
      </c>
      <c r="AJ181" s="2">
        <v>0</v>
      </c>
      <c r="AK181" s="2">
        <v>0</v>
      </c>
      <c r="AL181" s="2">
        <v>0</v>
      </c>
      <c r="AM181" s="2">
        <v>0</v>
      </c>
    </row>
    <row r="182" spans="1:39">
      <c r="A182" s="351">
        <v>91417</v>
      </c>
      <c r="B182" s="344" t="s">
        <v>874</v>
      </c>
      <c r="C182" s="360">
        <v>6.1E-6</v>
      </c>
      <c r="E182" s="2">
        <v>2843</v>
      </c>
      <c r="F182" s="2">
        <v>3432</v>
      </c>
      <c r="G182" s="2">
        <v>2160</v>
      </c>
      <c r="H182" s="2">
        <v>908</v>
      </c>
      <c r="I182" s="2">
        <v>0</v>
      </c>
      <c r="J182" s="2"/>
      <c r="K182" s="2">
        <v>1131</v>
      </c>
      <c r="L182" s="2">
        <v>1042</v>
      </c>
      <c r="M182" s="2">
        <v>580</v>
      </c>
      <c r="N182" s="2">
        <v>0</v>
      </c>
      <c r="O182" s="2">
        <v>0</v>
      </c>
      <c r="P182" s="2"/>
      <c r="Q182" s="2">
        <v>73</v>
      </c>
      <c r="R182" s="2">
        <v>1025</v>
      </c>
      <c r="S182" s="2">
        <v>1061</v>
      </c>
      <c r="T182" s="2">
        <v>908</v>
      </c>
      <c r="U182" s="2">
        <v>0</v>
      </c>
      <c r="V182" s="2"/>
      <c r="W182" s="2">
        <v>895</v>
      </c>
      <c r="X182" s="2">
        <v>727</v>
      </c>
      <c r="Y182" s="2">
        <v>0</v>
      </c>
      <c r="Z182" s="2">
        <v>0</v>
      </c>
      <c r="AA182" s="2">
        <v>0</v>
      </c>
      <c r="AB182" s="2"/>
      <c r="AC182" s="2">
        <v>744</v>
      </c>
      <c r="AD182" s="2">
        <v>638</v>
      </c>
      <c r="AE182" s="2">
        <v>519</v>
      </c>
      <c r="AF182" s="2">
        <v>0</v>
      </c>
      <c r="AG182" s="2">
        <v>0</v>
      </c>
      <c r="AH182" s="2"/>
      <c r="AI182" s="2">
        <v>0</v>
      </c>
      <c r="AJ182" s="2">
        <v>0</v>
      </c>
      <c r="AK182" s="2">
        <v>0</v>
      </c>
      <c r="AL182" s="2">
        <v>0</v>
      </c>
      <c r="AM182" s="2">
        <v>0</v>
      </c>
    </row>
    <row r="183" spans="1:39">
      <c r="A183" s="351">
        <v>91421</v>
      </c>
      <c r="B183" s="344" t="s">
        <v>875</v>
      </c>
      <c r="C183" s="360">
        <v>6.8300000000000007E-5</v>
      </c>
      <c r="E183" s="2">
        <v>27084</v>
      </c>
      <c r="F183" s="2">
        <v>34094</v>
      </c>
      <c r="G183" s="2">
        <v>19987</v>
      </c>
      <c r="H183" s="2">
        <v>10165</v>
      </c>
      <c r="I183" s="2">
        <v>0</v>
      </c>
      <c r="J183" s="2"/>
      <c r="K183" s="2">
        <v>12663</v>
      </c>
      <c r="L183" s="2">
        <v>11665</v>
      </c>
      <c r="M183" s="2">
        <v>6492</v>
      </c>
      <c r="N183" s="2">
        <v>0</v>
      </c>
      <c r="O183" s="2">
        <v>0</v>
      </c>
      <c r="P183" s="2"/>
      <c r="Q183" s="2">
        <v>821</v>
      </c>
      <c r="R183" s="2">
        <v>11482</v>
      </c>
      <c r="S183" s="2">
        <v>11879</v>
      </c>
      <c r="T183" s="2">
        <v>10165</v>
      </c>
      <c r="U183" s="2">
        <v>0</v>
      </c>
      <c r="V183" s="2"/>
      <c r="W183" s="2">
        <v>10025</v>
      </c>
      <c r="X183" s="2">
        <v>8138</v>
      </c>
      <c r="Y183" s="2">
        <v>0</v>
      </c>
      <c r="Z183" s="2">
        <v>0</v>
      </c>
      <c r="AA183" s="2">
        <v>0</v>
      </c>
      <c r="AB183" s="2"/>
      <c r="AC183" s="2">
        <v>3722</v>
      </c>
      <c r="AD183" s="2">
        <v>2956</v>
      </c>
      <c r="AE183" s="2">
        <v>1764</v>
      </c>
      <c r="AF183" s="2">
        <v>0</v>
      </c>
      <c r="AG183" s="2">
        <v>0</v>
      </c>
      <c r="AH183" s="2"/>
      <c r="AI183" s="2">
        <v>-147</v>
      </c>
      <c r="AJ183" s="2">
        <v>-147</v>
      </c>
      <c r="AK183" s="2">
        <v>-148</v>
      </c>
      <c r="AL183" s="2">
        <v>0</v>
      </c>
      <c r="AM183" s="2">
        <v>-147</v>
      </c>
    </row>
    <row r="184" spans="1:39">
      <c r="A184" s="351">
        <v>91423</v>
      </c>
      <c r="B184" s="344" t="s">
        <v>876</v>
      </c>
      <c r="C184" s="360">
        <v>5.6199999999999997E-5</v>
      </c>
      <c r="E184" s="2">
        <v>20268</v>
      </c>
      <c r="F184" s="2">
        <v>24953</v>
      </c>
      <c r="G184" s="2">
        <v>16038</v>
      </c>
      <c r="H184" s="2">
        <v>8364</v>
      </c>
      <c r="I184" s="2">
        <v>0</v>
      </c>
      <c r="J184" s="2"/>
      <c r="K184" s="2">
        <v>10420</v>
      </c>
      <c r="L184" s="2">
        <v>9599</v>
      </c>
      <c r="M184" s="2">
        <v>5342</v>
      </c>
      <c r="N184" s="2">
        <v>0</v>
      </c>
      <c r="O184" s="2">
        <v>0</v>
      </c>
      <c r="P184" s="2"/>
      <c r="Q184" s="2">
        <v>675</v>
      </c>
      <c r="R184" s="2">
        <v>9448</v>
      </c>
      <c r="S184" s="2">
        <v>9774</v>
      </c>
      <c r="T184" s="2">
        <v>8364</v>
      </c>
      <c r="U184" s="2">
        <v>0</v>
      </c>
      <c r="V184" s="2"/>
      <c r="W184" s="2">
        <v>8249</v>
      </c>
      <c r="X184" s="2">
        <v>6697</v>
      </c>
      <c r="Y184" s="2">
        <v>0</v>
      </c>
      <c r="Z184" s="2">
        <v>0</v>
      </c>
      <c r="AA184" s="2">
        <v>0</v>
      </c>
      <c r="AB184" s="2"/>
      <c r="AC184" s="2">
        <v>2637</v>
      </c>
      <c r="AD184" s="2">
        <v>921</v>
      </c>
      <c r="AE184" s="2">
        <v>922</v>
      </c>
      <c r="AF184" s="2">
        <v>0</v>
      </c>
      <c r="AG184" s="2">
        <v>0</v>
      </c>
      <c r="AH184" s="2"/>
      <c r="AI184" s="2">
        <v>-1713</v>
      </c>
      <c r="AJ184" s="2">
        <v>-1712</v>
      </c>
      <c r="AK184" s="2">
        <v>0</v>
      </c>
      <c r="AL184" s="2">
        <v>0</v>
      </c>
      <c r="AM184" s="2">
        <v>-1712</v>
      </c>
    </row>
    <row r="185" spans="1:39">
      <c r="A185" s="351">
        <v>91431</v>
      </c>
      <c r="B185" s="344" t="s">
        <v>877</v>
      </c>
      <c r="C185" s="360">
        <v>1.7760000000000001E-4</v>
      </c>
      <c r="E185" s="2">
        <v>71979</v>
      </c>
      <c r="F185" s="2">
        <v>88055</v>
      </c>
      <c r="G185" s="2">
        <v>51528</v>
      </c>
      <c r="H185" s="2">
        <v>26431</v>
      </c>
      <c r="I185" s="2">
        <v>0</v>
      </c>
      <c r="J185" s="2"/>
      <c r="K185" s="2">
        <v>32929</v>
      </c>
      <c r="L185" s="2">
        <v>30333</v>
      </c>
      <c r="M185" s="2">
        <v>16882</v>
      </c>
      <c r="N185" s="2">
        <v>0</v>
      </c>
      <c r="O185" s="2">
        <v>0</v>
      </c>
      <c r="P185" s="2"/>
      <c r="Q185" s="2">
        <v>2135</v>
      </c>
      <c r="R185" s="2">
        <v>29855</v>
      </c>
      <c r="S185" s="2">
        <v>30888</v>
      </c>
      <c r="T185" s="2">
        <v>26431</v>
      </c>
      <c r="U185" s="2">
        <v>0</v>
      </c>
      <c r="V185" s="2"/>
      <c r="W185" s="2">
        <v>26067</v>
      </c>
      <c r="X185" s="2">
        <v>21162</v>
      </c>
      <c r="Y185" s="2">
        <v>0</v>
      </c>
      <c r="Z185" s="2">
        <v>0</v>
      </c>
      <c r="AA185" s="2">
        <v>0</v>
      </c>
      <c r="AB185" s="2"/>
      <c r="AC185" s="2">
        <v>11590</v>
      </c>
      <c r="AD185" s="2">
        <v>7447</v>
      </c>
      <c r="AE185" s="2">
        <v>4499</v>
      </c>
      <c r="AF185" s="2">
        <v>0</v>
      </c>
      <c r="AG185" s="2">
        <v>0</v>
      </c>
      <c r="AH185" s="2"/>
      <c r="AI185" s="2">
        <v>-742</v>
      </c>
      <c r="AJ185" s="2">
        <v>-742</v>
      </c>
      <c r="AK185" s="2">
        <v>-741</v>
      </c>
      <c r="AL185" s="2">
        <v>0</v>
      </c>
      <c r="AM185" s="2">
        <v>-742</v>
      </c>
    </row>
    <row r="186" spans="1:39">
      <c r="A186" s="351">
        <v>91441</v>
      </c>
      <c r="B186" s="344" t="s">
        <v>878</v>
      </c>
      <c r="C186" s="360">
        <v>9.5500000000000001E-4</v>
      </c>
      <c r="E186" s="2">
        <v>261593</v>
      </c>
      <c r="F186" s="2">
        <v>358585</v>
      </c>
      <c r="G186" s="2">
        <v>201405</v>
      </c>
      <c r="H186" s="2">
        <v>142125</v>
      </c>
      <c r="I186" s="2">
        <v>0</v>
      </c>
      <c r="J186" s="2"/>
      <c r="K186" s="2">
        <v>177066</v>
      </c>
      <c r="L186" s="2">
        <v>163108</v>
      </c>
      <c r="M186" s="2">
        <v>90780</v>
      </c>
      <c r="N186" s="2">
        <v>0</v>
      </c>
      <c r="O186" s="2">
        <v>0</v>
      </c>
      <c r="P186" s="2"/>
      <c r="Q186" s="2">
        <v>11478</v>
      </c>
      <c r="R186" s="2">
        <v>160540</v>
      </c>
      <c r="S186" s="2">
        <v>166092</v>
      </c>
      <c r="T186" s="2">
        <v>142125</v>
      </c>
      <c r="U186" s="2">
        <v>0</v>
      </c>
      <c r="V186" s="2"/>
      <c r="W186" s="2">
        <v>140171</v>
      </c>
      <c r="X186" s="2">
        <v>113795</v>
      </c>
      <c r="Y186" s="2">
        <v>0</v>
      </c>
      <c r="Z186" s="2">
        <v>0</v>
      </c>
      <c r="AA186" s="2">
        <v>0</v>
      </c>
      <c r="AB186" s="2"/>
      <c r="AC186" s="2">
        <v>11737</v>
      </c>
      <c r="AD186" s="2">
        <v>0</v>
      </c>
      <c r="AE186" s="2">
        <v>0</v>
      </c>
      <c r="AF186" s="2">
        <v>0</v>
      </c>
      <c r="AG186" s="2">
        <v>0</v>
      </c>
      <c r="AH186" s="2"/>
      <c r="AI186" s="2">
        <v>-78859</v>
      </c>
      <c r="AJ186" s="2">
        <v>-78858</v>
      </c>
      <c r="AK186" s="2">
        <v>-55467</v>
      </c>
      <c r="AL186" s="2">
        <v>0</v>
      </c>
      <c r="AM186" s="2">
        <v>-78858</v>
      </c>
    </row>
    <row r="187" spans="1:39">
      <c r="A187" s="351">
        <v>91451</v>
      </c>
      <c r="B187" s="344" t="s">
        <v>879</v>
      </c>
      <c r="C187" s="360">
        <v>1.5448E-3</v>
      </c>
      <c r="E187" s="2">
        <v>518271</v>
      </c>
      <c r="F187" s="2">
        <v>710191</v>
      </c>
      <c r="G187" s="2">
        <v>418147</v>
      </c>
      <c r="H187" s="2">
        <v>229900</v>
      </c>
      <c r="I187" s="2">
        <v>0</v>
      </c>
      <c r="J187" s="2"/>
      <c r="K187" s="2">
        <v>286420</v>
      </c>
      <c r="L187" s="2">
        <v>263843</v>
      </c>
      <c r="M187" s="2">
        <v>146846</v>
      </c>
      <c r="N187" s="2">
        <v>0</v>
      </c>
      <c r="O187" s="2">
        <v>0</v>
      </c>
      <c r="P187" s="2"/>
      <c r="Q187" s="2">
        <v>18567</v>
      </c>
      <c r="R187" s="2">
        <v>259689</v>
      </c>
      <c r="S187" s="2">
        <v>268669</v>
      </c>
      <c r="T187" s="2">
        <v>229900</v>
      </c>
      <c r="U187" s="2">
        <v>0</v>
      </c>
      <c r="V187" s="2"/>
      <c r="W187" s="2">
        <v>226740</v>
      </c>
      <c r="X187" s="2">
        <v>184074</v>
      </c>
      <c r="Y187" s="2">
        <v>0</v>
      </c>
      <c r="Z187" s="2">
        <v>0</v>
      </c>
      <c r="AA187" s="2">
        <v>0</v>
      </c>
      <c r="AB187" s="2"/>
      <c r="AC187" s="2">
        <v>8268</v>
      </c>
      <c r="AD187" s="2">
        <v>8268</v>
      </c>
      <c r="AE187" s="2">
        <v>8270</v>
      </c>
      <c r="AF187" s="2">
        <v>0</v>
      </c>
      <c r="AG187" s="2">
        <v>0</v>
      </c>
      <c r="AH187" s="2"/>
      <c r="AI187" s="2">
        <v>-21724</v>
      </c>
      <c r="AJ187" s="2">
        <v>-5683</v>
      </c>
      <c r="AK187" s="2">
        <v>-5638</v>
      </c>
      <c r="AL187" s="2">
        <v>0</v>
      </c>
      <c r="AM187" s="2">
        <v>-5683</v>
      </c>
    </row>
    <row r="188" spans="1:39">
      <c r="A188" s="351">
        <v>91457</v>
      </c>
      <c r="B188" s="344" t="s">
        <v>3659</v>
      </c>
      <c r="C188" s="360">
        <v>1.4100000000000001E-5</v>
      </c>
      <c r="E188" s="2">
        <v>16813</v>
      </c>
      <c r="F188" s="2">
        <v>14920</v>
      </c>
      <c r="G188" s="2">
        <v>8485</v>
      </c>
      <c r="H188" s="2">
        <v>2098</v>
      </c>
      <c r="I188" s="2">
        <v>0</v>
      </c>
      <c r="J188" s="2"/>
      <c r="K188" s="2">
        <v>2614</v>
      </c>
      <c r="L188" s="2">
        <v>2408</v>
      </c>
      <c r="M188" s="2">
        <v>1340</v>
      </c>
      <c r="N188" s="2">
        <v>0</v>
      </c>
      <c r="O188" s="2">
        <v>0</v>
      </c>
      <c r="P188" s="2"/>
      <c r="Q188" s="2">
        <v>169</v>
      </c>
      <c r="R188" s="2">
        <v>2370</v>
      </c>
      <c r="S188" s="2">
        <v>2452</v>
      </c>
      <c r="T188" s="2">
        <v>2098</v>
      </c>
      <c r="U188" s="2">
        <v>0</v>
      </c>
      <c r="V188" s="2"/>
      <c r="W188" s="2">
        <v>2070</v>
      </c>
      <c r="X188" s="2">
        <v>1680</v>
      </c>
      <c r="Y188" s="2">
        <v>0</v>
      </c>
      <c r="Z188" s="2">
        <v>0</v>
      </c>
      <c r="AA188" s="2">
        <v>0</v>
      </c>
      <c r="AB188" s="2"/>
      <c r="AC188" s="2">
        <v>11960</v>
      </c>
      <c r="AD188" s="2">
        <v>8462</v>
      </c>
      <c r="AE188" s="2">
        <v>4693</v>
      </c>
      <c r="AF188" s="2">
        <v>0</v>
      </c>
      <c r="AG188" s="2">
        <v>0</v>
      </c>
      <c r="AH188" s="2"/>
      <c r="AI188" s="2">
        <v>0</v>
      </c>
      <c r="AJ188" s="2">
        <v>0</v>
      </c>
      <c r="AK188" s="2">
        <v>0</v>
      </c>
      <c r="AL188" s="2">
        <v>0</v>
      </c>
      <c r="AM188" s="2">
        <v>0</v>
      </c>
    </row>
    <row r="189" spans="1:39">
      <c r="A189" s="351">
        <v>91461</v>
      </c>
      <c r="B189" s="344" t="s">
        <v>881</v>
      </c>
      <c r="C189" s="360"/>
      <c r="E189" s="2">
        <v>-4915</v>
      </c>
      <c r="F189" s="2">
        <v>-4755</v>
      </c>
      <c r="G189" s="2">
        <v>-4476</v>
      </c>
      <c r="H189" s="2">
        <v>0</v>
      </c>
      <c r="I189" s="2">
        <v>0</v>
      </c>
      <c r="J189" s="2"/>
      <c r="K189" s="2">
        <v>0</v>
      </c>
      <c r="L189" s="2">
        <v>0</v>
      </c>
      <c r="M189" s="2">
        <v>0</v>
      </c>
      <c r="N189" s="2">
        <v>0</v>
      </c>
      <c r="O189" s="2">
        <v>0</v>
      </c>
      <c r="P189" s="2"/>
      <c r="Q189" s="2">
        <v>0</v>
      </c>
      <c r="R189" s="2">
        <v>0</v>
      </c>
      <c r="S189" s="2">
        <v>0</v>
      </c>
      <c r="T189" s="2">
        <v>0</v>
      </c>
      <c r="U189" s="2">
        <v>0</v>
      </c>
      <c r="V189" s="2"/>
      <c r="W189" s="2">
        <v>0</v>
      </c>
      <c r="X189" s="2">
        <v>0</v>
      </c>
      <c r="Y189" s="2">
        <v>0</v>
      </c>
      <c r="Z189" s="2">
        <v>0</v>
      </c>
      <c r="AA189" s="2">
        <v>0</v>
      </c>
      <c r="AB189" s="2"/>
      <c r="AC189" s="2">
        <v>0</v>
      </c>
      <c r="AD189" s="2">
        <v>0</v>
      </c>
      <c r="AE189" s="2">
        <v>0</v>
      </c>
      <c r="AF189" s="2">
        <v>0</v>
      </c>
      <c r="AG189" s="2">
        <v>0</v>
      </c>
      <c r="AH189" s="2"/>
      <c r="AI189" s="2">
        <v>-4915</v>
      </c>
      <c r="AJ189" s="2">
        <v>-4755</v>
      </c>
      <c r="AK189" s="2">
        <v>-4476</v>
      </c>
      <c r="AL189" s="2">
        <v>0</v>
      </c>
      <c r="AM189" s="2">
        <v>-4755</v>
      </c>
    </row>
    <row r="190" spans="1:39">
      <c r="A190" s="351">
        <v>91501</v>
      </c>
      <c r="B190" s="344" t="s">
        <v>882</v>
      </c>
      <c r="C190" s="360">
        <v>4.9739999999999995E-4</v>
      </c>
      <c r="E190" s="2">
        <v>167271</v>
      </c>
      <c r="F190" s="2">
        <v>225634</v>
      </c>
      <c r="G190" s="2">
        <v>135463</v>
      </c>
      <c r="H190" s="2">
        <v>74024</v>
      </c>
      <c r="I190" s="2">
        <v>0</v>
      </c>
      <c r="J190" s="2"/>
      <c r="K190" s="2">
        <v>92222</v>
      </c>
      <c r="L190" s="2">
        <v>84953</v>
      </c>
      <c r="M190" s="2">
        <v>47282</v>
      </c>
      <c r="N190" s="2">
        <v>0</v>
      </c>
      <c r="O190" s="2">
        <v>0</v>
      </c>
      <c r="P190" s="2"/>
      <c r="Q190" s="2">
        <v>5978</v>
      </c>
      <c r="R190" s="2">
        <v>83615</v>
      </c>
      <c r="S190" s="2">
        <v>86507</v>
      </c>
      <c r="T190" s="2">
        <v>74024</v>
      </c>
      <c r="U190" s="2">
        <v>0</v>
      </c>
      <c r="V190" s="2"/>
      <c r="W190" s="2">
        <v>73006</v>
      </c>
      <c r="X190" s="2">
        <v>59269</v>
      </c>
      <c r="Y190" s="2">
        <v>0</v>
      </c>
      <c r="Z190" s="2">
        <v>0</v>
      </c>
      <c r="AA190" s="2">
        <v>0</v>
      </c>
      <c r="AB190" s="2"/>
      <c r="AC190" s="2">
        <v>7423</v>
      </c>
      <c r="AD190" s="2">
        <v>7423</v>
      </c>
      <c r="AE190" s="2">
        <v>7424</v>
      </c>
      <c r="AF190" s="2">
        <v>0</v>
      </c>
      <c r="AG190" s="2">
        <v>0</v>
      </c>
      <c r="AH190" s="2"/>
      <c r="AI190" s="2">
        <v>-11358</v>
      </c>
      <c r="AJ190" s="2">
        <v>-9626</v>
      </c>
      <c r="AK190" s="2">
        <v>-5750</v>
      </c>
      <c r="AL190" s="2">
        <v>0</v>
      </c>
      <c r="AM190" s="2">
        <v>-9626</v>
      </c>
    </row>
    <row r="191" spans="1:39">
      <c r="A191" s="351">
        <v>91504</v>
      </c>
      <c r="B191" s="344" t="s">
        <v>883</v>
      </c>
      <c r="C191" s="360">
        <v>8.1000000000000004E-6</v>
      </c>
      <c r="E191" s="2">
        <v>4586</v>
      </c>
      <c r="F191" s="2">
        <v>5179</v>
      </c>
      <c r="G191" s="2">
        <v>3199</v>
      </c>
      <c r="H191" s="2">
        <v>1205</v>
      </c>
      <c r="I191" s="2">
        <v>0</v>
      </c>
      <c r="J191" s="2"/>
      <c r="K191" s="2">
        <v>1502</v>
      </c>
      <c r="L191" s="2">
        <v>1383</v>
      </c>
      <c r="M191" s="2">
        <v>770</v>
      </c>
      <c r="N191" s="2">
        <v>0</v>
      </c>
      <c r="O191" s="2">
        <v>0</v>
      </c>
      <c r="P191" s="2"/>
      <c r="Q191" s="2">
        <v>97</v>
      </c>
      <c r="R191" s="2">
        <v>1362</v>
      </c>
      <c r="S191" s="2">
        <v>1409</v>
      </c>
      <c r="T191" s="2">
        <v>1205</v>
      </c>
      <c r="U191" s="2">
        <v>0</v>
      </c>
      <c r="V191" s="2"/>
      <c r="W191" s="2">
        <v>1189</v>
      </c>
      <c r="X191" s="2">
        <v>965</v>
      </c>
      <c r="Y191" s="2">
        <v>0</v>
      </c>
      <c r="Z191" s="2">
        <v>0</v>
      </c>
      <c r="AA191" s="2">
        <v>0</v>
      </c>
      <c r="AB191" s="2"/>
      <c r="AC191" s="2">
        <v>1798</v>
      </c>
      <c r="AD191" s="2">
        <v>1469</v>
      </c>
      <c r="AE191" s="2">
        <v>1020</v>
      </c>
      <c r="AF191" s="2">
        <v>0</v>
      </c>
      <c r="AG191" s="2">
        <v>0</v>
      </c>
      <c r="AH191" s="2"/>
      <c r="AI191" s="2">
        <v>0</v>
      </c>
      <c r="AJ191" s="2">
        <v>0</v>
      </c>
      <c r="AK191" s="2">
        <v>0</v>
      </c>
      <c r="AL191" s="2">
        <v>0</v>
      </c>
      <c r="AM191" s="2">
        <v>0</v>
      </c>
    </row>
    <row r="192" spans="1:39">
      <c r="A192" s="351">
        <v>91601</v>
      </c>
      <c r="B192" s="344" t="s">
        <v>884</v>
      </c>
      <c r="C192" s="360">
        <v>2.8121999999999999E-3</v>
      </c>
      <c r="E192" s="2">
        <v>961708</v>
      </c>
      <c r="F192" s="2">
        <v>1291973</v>
      </c>
      <c r="G192" s="2">
        <v>759787</v>
      </c>
      <c r="H192" s="2">
        <v>418517</v>
      </c>
      <c r="I192" s="2">
        <v>0</v>
      </c>
      <c r="J192" s="2"/>
      <c r="K192" s="2">
        <v>521407</v>
      </c>
      <c r="L192" s="2">
        <v>480307</v>
      </c>
      <c r="M192" s="2">
        <v>267322</v>
      </c>
      <c r="N192" s="2">
        <v>0</v>
      </c>
      <c r="O192" s="2">
        <v>0</v>
      </c>
      <c r="P192" s="2"/>
      <c r="Q192" s="2">
        <v>33800</v>
      </c>
      <c r="R192" s="2">
        <v>472745</v>
      </c>
      <c r="S192" s="2">
        <v>489092</v>
      </c>
      <c r="T192" s="2">
        <v>418517</v>
      </c>
      <c r="U192" s="2">
        <v>0</v>
      </c>
      <c r="V192" s="2"/>
      <c r="W192" s="2">
        <v>412763</v>
      </c>
      <c r="X192" s="2">
        <v>335093</v>
      </c>
      <c r="Y192" s="2">
        <v>0</v>
      </c>
      <c r="Z192" s="2">
        <v>0</v>
      </c>
      <c r="AA192" s="2">
        <v>0</v>
      </c>
      <c r="AB192" s="2"/>
      <c r="AC192" s="2">
        <v>57191</v>
      </c>
      <c r="AD192" s="2">
        <v>57190</v>
      </c>
      <c r="AE192" s="2">
        <v>56734</v>
      </c>
      <c r="AF192" s="2">
        <v>0</v>
      </c>
      <c r="AG192" s="2">
        <v>0</v>
      </c>
      <c r="AH192" s="2"/>
      <c r="AI192" s="2">
        <v>-63453</v>
      </c>
      <c r="AJ192" s="2">
        <v>-53362</v>
      </c>
      <c r="AK192" s="2">
        <v>-53361</v>
      </c>
      <c r="AL192" s="2">
        <v>0</v>
      </c>
      <c r="AM192" s="2">
        <v>-53362</v>
      </c>
    </row>
    <row r="193" spans="1:39">
      <c r="A193" s="351">
        <v>91604</v>
      </c>
      <c r="B193" s="344" t="s">
        <v>885</v>
      </c>
      <c r="C193" s="360">
        <v>8.1600000000000005E-5</v>
      </c>
      <c r="E193" s="2">
        <v>39313</v>
      </c>
      <c r="F193" s="2">
        <v>46344</v>
      </c>
      <c r="G193" s="2">
        <v>28696</v>
      </c>
      <c r="H193" s="2">
        <v>12144</v>
      </c>
      <c r="I193" s="2">
        <v>0</v>
      </c>
      <c r="J193" s="2"/>
      <c r="K193" s="2">
        <v>15129</v>
      </c>
      <c r="L193" s="2">
        <v>13937</v>
      </c>
      <c r="M193" s="2">
        <v>7757</v>
      </c>
      <c r="N193" s="2">
        <v>0</v>
      </c>
      <c r="O193" s="2">
        <v>0</v>
      </c>
      <c r="P193" s="2"/>
      <c r="Q193" s="2">
        <v>981</v>
      </c>
      <c r="R193" s="2">
        <v>13717</v>
      </c>
      <c r="S193" s="2">
        <v>14192</v>
      </c>
      <c r="T193" s="2">
        <v>12144</v>
      </c>
      <c r="U193" s="2">
        <v>0</v>
      </c>
      <c r="V193" s="2"/>
      <c r="W193" s="2">
        <v>11977</v>
      </c>
      <c r="X193" s="2">
        <v>9723</v>
      </c>
      <c r="Y193" s="2">
        <v>0</v>
      </c>
      <c r="Z193" s="2">
        <v>0</v>
      </c>
      <c r="AA193" s="2">
        <v>0</v>
      </c>
      <c r="AB193" s="2"/>
      <c r="AC193" s="2">
        <v>11226</v>
      </c>
      <c r="AD193" s="2">
        <v>8967</v>
      </c>
      <c r="AE193" s="2">
        <v>6747</v>
      </c>
      <c r="AF193" s="2">
        <v>0</v>
      </c>
      <c r="AG193" s="2">
        <v>0</v>
      </c>
      <c r="AH193" s="2"/>
      <c r="AI193" s="2">
        <v>0</v>
      </c>
      <c r="AJ193" s="2">
        <v>0</v>
      </c>
      <c r="AK193" s="2">
        <v>0</v>
      </c>
      <c r="AL193" s="2">
        <v>0</v>
      </c>
      <c r="AM193" s="2">
        <v>0</v>
      </c>
    </row>
    <row r="194" spans="1:39">
      <c r="A194" s="351">
        <v>91608</v>
      </c>
      <c r="B194" s="344" t="s">
        <v>886</v>
      </c>
      <c r="C194" s="360">
        <v>1.7579999999999999E-4</v>
      </c>
      <c r="E194" s="2">
        <v>52328</v>
      </c>
      <c r="F194" s="2">
        <v>71956</v>
      </c>
      <c r="G194" s="2">
        <v>42808</v>
      </c>
      <c r="H194" s="2">
        <v>26163</v>
      </c>
      <c r="I194" s="2">
        <v>0</v>
      </c>
      <c r="J194" s="2"/>
      <c r="K194" s="2">
        <v>32595</v>
      </c>
      <c r="L194" s="2">
        <v>30026</v>
      </c>
      <c r="M194" s="2">
        <v>16711</v>
      </c>
      <c r="N194" s="2">
        <v>0</v>
      </c>
      <c r="O194" s="2">
        <v>0</v>
      </c>
      <c r="P194" s="2"/>
      <c r="Q194" s="2">
        <v>2113</v>
      </c>
      <c r="R194" s="2">
        <v>29553</v>
      </c>
      <c r="S194" s="2">
        <v>30575</v>
      </c>
      <c r="T194" s="2">
        <v>26163</v>
      </c>
      <c r="U194" s="2">
        <v>0</v>
      </c>
      <c r="V194" s="2"/>
      <c r="W194" s="2">
        <v>25803</v>
      </c>
      <c r="X194" s="2">
        <v>20948</v>
      </c>
      <c r="Y194" s="2">
        <v>0</v>
      </c>
      <c r="Z194" s="2">
        <v>0</v>
      </c>
      <c r="AA194" s="2">
        <v>0</v>
      </c>
      <c r="AB194" s="2"/>
      <c r="AC194" s="2">
        <v>1583</v>
      </c>
      <c r="AD194" s="2">
        <v>1194</v>
      </c>
      <c r="AE194" s="2">
        <v>1194</v>
      </c>
      <c r="AF194" s="2">
        <v>0</v>
      </c>
      <c r="AG194" s="2">
        <v>0</v>
      </c>
      <c r="AH194" s="2"/>
      <c r="AI194" s="2">
        <v>-9766</v>
      </c>
      <c r="AJ194" s="2">
        <v>-9765</v>
      </c>
      <c r="AK194" s="2">
        <v>-5672</v>
      </c>
      <c r="AL194" s="2">
        <v>0</v>
      </c>
      <c r="AM194" s="2">
        <v>-9765</v>
      </c>
    </row>
    <row r="195" spans="1:39">
      <c r="A195" s="351">
        <v>91611</v>
      </c>
      <c r="B195" s="344" t="s">
        <v>887</v>
      </c>
      <c r="C195" s="360">
        <v>1.4962E-3</v>
      </c>
      <c r="E195" s="2">
        <v>456850</v>
      </c>
      <c r="F195" s="2">
        <v>636467</v>
      </c>
      <c r="G195" s="2">
        <v>374295</v>
      </c>
      <c r="H195" s="2">
        <v>222667</v>
      </c>
      <c r="I195" s="2">
        <v>0</v>
      </c>
      <c r="J195" s="2"/>
      <c r="K195" s="2">
        <v>277409</v>
      </c>
      <c r="L195" s="2">
        <v>255542</v>
      </c>
      <c r="M195" s="2">
        <v>142226</v>
      </c>
      <c r="N195" s="2">
        <v>0</v>
      </c>
      <c r="O195" s="2">
        <v>0</v>
      </c>
      <c r="P195" s="2"/>
      <c r="Q195" s="2">
        <v>17983</v>
      </c>
      <c r="R195" s="2">
        <v>251519</v>
      </c>
      <c r="S195" s="2">
        <v>260216</v>
      </c>
      <c r="T195" s="2">
        <v>222667</v>
      </c>
      <c r="U195" s="2">
        <v>0</v>
      </c>
      <c r="V195" s="2"/>
      <c r="W195" s="2">
        <v>219606</v>
      </c>
      <c r="X195" s="2">
        <v>178283</v>
      </c>
      <c r="Y195" s="2">
        <v>0</v>
      </c>
      <c r="Z195" s="2">
        <v>0</v>
      </c>
      <c r="AA195" s="2">
        <v>0</v>
      </c>
      <c r="AB195" s="2"/>
      <c r="AC195" s="2">
        <v>0</v>
      </c>
      <c r="AD195" s="2">
        <v>0</v>
      </c>
      <c r="AE195" s="2">
        <v>0</v>
      </c>
      <c r="AF195" s="2">
        <v>0</v>
      </c>
      <c r="AG195" s="2">
        <v>0</v>
      </c>
      <c r="AH195" s="2"/>
      <c r="AI195" s="2">
        <v>-58148</v>
      </c>
      <c r="AJ195" s="2">
        <v>-48877</v>
      </c>
      <c r="AK195" s="2">
        <v>-28147</v>
      </c>
      <c r="AL195" s="2">
        <v>0</v>
      </c>
      <c r="AM195" s="2">
        <v>-48877</v>
      </c>
    </row>
    <row r="196" spans="1:39">
      <c r="A196" s="351">
        <v>91621</v>
      </c>
      <c r="B196" s="344" t="s">
        <v>888</v>
      </c>
      <c r="C196" s="360">
        <v>2.7169999999999999E-4</v>
      </c>
      <c r="E196" s="2">
        <v>99053</v>
      </c>
      <c r="F196" s="2">
        <v>130087</v>
      </c>
      <c r="G196" s="2">
        <v>80534</v>
      </c>
      <c r="H196" s="2">
        <v>40435</v>
      </c>
      <c r="I196" s="2">
        <v>0</v>
      </c>
      <c r="J196" s="2"/>
      <c r="K196" s="2">
        <v>50376</v>
      </c>
      <c r="L196" s="2">
        <v>46405</v>
      </c>
      <c r="M196" s="2">
        <v>25827</v>
      </c>
      <c r="N196" s="2">
        <v>0</v>
      </c>
      <c r="O196" s="2">
        <v>0</v>
      </c>
      <c r="P196" s="2"/>
      <c r="Q196" s="2">
        <v>3266</v>
      </c>
      <c r="R196" s="2">
        <v>45674</v>
      </c>
      <c r="S196" s="2">
        <v>47254</v>
      </c>
      <c r="T196" s="2">
        <v>40435</v>
      </c>
      <c r="U196" s="2">
        <v>0</v>
      </c>
      <c r="V196" s="2"/>
      <c r="W196" s="2">
        <v>39879</v>
      </c>
      <c r="X196" s="2">
        <v>32375</v>
      </c>
      <c r="Y196" s="2">
        <v>0</v>
      </c>
      <c r="Z196" s="2">
        <v>0</v>
      </c>
      <c r="AA196" s="2">
        <v>0</v>
      </c>
      <c r="AB196" s="2"/>
      <c r="AC196" s="2">
        <v>11709</v>
      </c>
      <c r="AD196" s="2">
        <v>11709</v>
      </c>
      <c r="AE196" s="2">
        <v>11709</v>
      </c>
      <c r="AF196" s="2">
        <v>0</v>
      </c>
      <c r="AG196" s="2">
        <v>0</v>
      </c>
      <c r="AH196" s="2"/>
      <c r="AI196" s="2">
        <v>-6177</v>
      </c>
      <c r="AJ196" s="2">
        <v>-6076</v>
      </c>
      <c r="AK196" s="2">
        <v>-4256</v>
      </c>
      <c r="AL196" s="2">
        <v>0</v>
      </c>
      <c r="AM196" s="2">
        <v>-6076</v>
      </c>
    </row>
    <row r="197" spans="1:39">
      <c r="A197" s="351">
        <v>91631</v>
      </c>
      <c r="B197" s="344" t="s">
        <v>889</v>
      </c>
      <c r="C197" s="360">
        <v>6.4579999999999998E-4</v>
      </c>
      <c r="E197" s="2">
        <v>235225</v>
      </c>
      <c r="F197" s="2">
        <v>315496</v>
      </c>
      <c r="G197" s="2">
        <v>194341</v>
      </c>
      <c r="H197" s="2">
        <v>96109</v>
      </c>
      <c r="I197" s="2">
        <v>0</v>
      </c>
      <c r="J197" s="2"/>
      <c r="K197" s="2">
        <v>119737</v>
      </c>
      <c r="L197" s="2">
        <v>110299</v>
      </c>
      <c r="M197" s="2">
        <v>61388</v>
      </c>
      <c r="N197" s="2">
        <v>0</v>
      </c>
      <c r="O197" s="2">
        <v>0</v>
      </c>
      <c r="P197" s="2"/>
      <c r="Q197" s="2">
        <v>7762</v>
      </c>
      <c r="R197" s="2">
        <v>108562</v>
      </c>
      <c r="S197" s="2">
        <v>112316</v>
      </c>
      <c r="T197" s="2">
        <v>96109</v>
      </c>
      <c r="U197" s="2">
        <v>0</v>
      </c>
      <c r="V197" s="2"/>
      <c r="W197" s="2">
        <v>94788</v>
      </c>
      <c r="X197" s="2">
        <v>76952</v>
      </c>
      <c r="Y197" s="2">
        <v>0</v>
      </c>
      <c r="Z197" s="2">
        <v>0</v>
      </c>
      <c r="AA197" s="2">
        <v>0</v>
      </c>
      <c r="AB197" s="2"/>
      <c r="AC197" s="2">
        <v>20639</v>
      </c>
      <c r="AD197" s="2">
        <v>20639</v>
      </c>
      <c r="AE197" s="2">
        <v>20637</v>
      </c>
      <c r="AF197" s="2">
        <v>0</v>
      </c>
      <c r="AG197" s="2">
        <v>0</v>
      </c>
      <c r="AH197" s="2"/>
      <c r="AI197" s="2">
        <v>-7701</v>
      </c>
      <c r="AJ197" s="2">
        <v>-956</v>
      </c>
      <c r="AK197" s="2">
        <v>0</v>
      </c>
      <c r="AL197" s="2">
        <v>0</v>
      </c>
      <c r="AM197" s="2">
        <v>-956</v>
      </c>
    </row>
    <row r="198" spans="1:39">
      <c r="A198" s="351">
        <v>91633</v>
      </c>
      <c r="B198" s="344" t="s">
        <v>2756</v>
      </c>
      <c r="C198" s="360">
        <v>3.0499999999999999E-5</v>
      </c>
      <c r="E198" s="2">
        <v>10916</v>
      </c>
      <c r="F198" s="2">
        <v>14272</v>
      </c>
      <c r="G198" s="2">
        <v>9445</v>
      </c>
      <c r="H198" s="2">
        <v>4539</v>
      </c>
      <c r="I198" s="2">
        <v>0</v>
      </c>
      <c r="J198" s="2"/>
      <c r="K198" s="2">
        <v>5655</v>
      </c>
      <c r="L198" s="2">
        <v>5209</v>
      </c>
      <c r="M198" s="2">
        <v>2899</v>
      </c>
      <c r="N198" s="2">
        <v>0</v>
      </c>
      <c r="O198" s="2">
        <v>0</v>
      </c>
      <c r="P198" s="2"/>
      <c r="Q198" s="2">
        <v>367</v>
      </c>
      <c r="R198" s="2">
        <v>5127</v>
      </c>
      <c r="S198" s="2">
        <v>5304</v>
      </c>
      <c r="T198" s="2">
        <v>4539</v>
      </c>
      <c r="U198" s="2">
        <v>0</v>
      </c>
      <c r="V198" s="2"/>
      <c r="W198" s="2">
        <v>4477</v>
      </c>
      <c r="X198" s="2">
        <v>3634</v>
      </c>
      <c r="Y198" s="2">
        <v>0</v>
      </c>
      <c r="Z198" s="2">
        <v>0</v>
      </c>
      <c r="AA198" s="2">
        <v>0</v>
      </c>
      <c r="AB198" s="2"/>
      <c r="AC198" s="2">
        <v>2268</v>
      </c>
      <c r="AD198" s="2">
        <v>2151</v>
      </c>
      <c r="AE198" s="2">
        <v>2153</v>
      </c>
      <c r="AF198" s="2">
        <v>0</v>
      </c>
      <c r="AG198" s="2">
        <v>0</v>
      </c>
      <c r="AH198" s="2"/>
      <c r="AI198" s="2">
        <v>-1851</v>
      </c>
      <c r="AJ198" s="2">
        <v>-1849</v>
      </c>
      <c r="AK198" s="2">
        <v>-911</v>
      </c>
      <c r="AL198" s="2">
        <v>0</v>
      </c>
      <c r="AM198" s="2">
        <v>-1849</v>
      </c>
    </row>
    <row r="199" spans="1:39">
      <c r="A199" s="351">
        <v>91641</v>
      </c>
      <c r="B199" s="344" t="s">
        <v>891</v>
      </c>
      <c r="C199" s="360">
        <v>3.0420000000000002E-4</v>
      </c>
      <c r="E199" s="2">
        <v>93849</v>
      </c>
      <c r="F199" s="2">
        <v>129963</v>
      </c>
      <c r="G199" s="2">
        <v>83647</v>
      </c>
      <c r="H199" s="2">
        <v>45272</v>
      </c>
      <c r="I199" s="2">
        <v>0</v>
      </c>
      <c r="J199" s="2"/>
      <c r="K199" s="2">
        <v>56401</v>
      </c>
      <c r="L199" s="2">
        <v>51956</v>
      </c>
      <c r="M199" s="2">
        <v>28917</v>
      </c>
      <c r="N199" s="2">
        <v>0</v>
      </c>
      <c r="O199" s="2">
        <v>0</v>
      </c>
      <c r="P199" s="2"/>
      <c r="Q199" s="2">
        <v>3656</v>
      </c>
      <c r="R199" s="2">
        <v>51138</v>
      </c>
      <c r="S199" s="2">
        <v>52906</v>
      </c>
      <c r="T199" s="2">
        <v>45272</v>
      </c>
      <c r="U199" s="2">
        <v>0</v>
      </c>
      <c r="V199" s="2"/>
      <c r="W199" s="2">
        <v>44649</v>
      </c>
      <c r="X199" s="2">
        <v>36248</v>
      </c>
      <c r="Y199" s="2">
        <v>0</v>
      </c>
      <c r="Z199" s="2">
        <v>0</v>
      </c>
      <c r="AA199" s="2">
        <v>0</v>
      </c>
      <c r="AB199" s="2"/>
      <c r="AC199" s="2">
        <v>1825</v>
      </c>
      <c r="AD199" s="2">
        <v>1825</v>
      </c>
      <c r="AE199" s="2">
        <v>1824</v>
      </c>
      <c r="AF199" s="2">
        <v>0</v>
      </c>
      <c r="AG199" s="2">
        <v>0</v>
      </c>
      <c r="AH199" s="2"/>
      <c r="AI199" s="2">
        <v>-12682</v>
      </c>
      <c r="AJ199" s="2">
        <v>-11204</v>
      </c>
      <c r="AK199" s="2">
        <v>0</v>
      </c>
      <c r="AL199" s="2">
        <v>0</v>
      </c>
      <c r="AM199" s="2">
        <v>-11204</v>
      </c>
    </row>
    <row r="200" spans="1:39">
      <c r="A200" s="351">
        <v>91651</v>
      </c>
      <c r="B200" s="344" t="s">
        <v>892</v>
      </c>
      <c r="C200" s="360">
        <v>5.3629999999999997E-4</v>
      </c>
      <c r="E200" s="2">
        <v>199293</v>
      </c>
      <c r="F200" s="2">
        <v>262918</v>
      </c>
      <c r="G200" s="2">
        <v>155047</v>
      </c>
      <c r="H200" s="2">
        <v>79813</v>
      </c>
      <c r="I200" s="2">
        <v>0</v>
      </c>
      <c r="J200" s="2"/>
      <c r="K200" s="2">
        <v>99435</v>
      </c>
      <c r="L200" s="2">
        <v>91597</v>
      </c>
      <c r="M200" s="2">
        <v>50980</v>
      </c>
      <c r="N200" s="2">
        <v>0</v>
      </c>
      <c r="O200" s="2">
        <v>0</v>
      </c>
      <c r="P200" s="2"/>
      <c r="Q200" s="2">
        <v>6446</v>
      </c>
      <c r="R200" s="2">
        <v>90155</v>
      </c>
      <c r="S200" s="2">
        <v>93272</v>
      </c>
      <c r="T200" s="2">
        <v>79813</v>
      </c>
      <c r="U200" s="2">
        <v>0</v>
      </c>
      <c r="V200" s="2"/>
      <c r="W200" s="2">
        <v>78716</v>
      </c>
      <c r="X200" s="2">
        <v>63904</v>
      </c>
      <c r="Y200" s="2">
        <v>0</v>
      </c>
      <c r="Z200" s="2">
        <v>0</v>
      </c>
      <c r="AA200" s="2">
        <v>0</v>
      </c>
      <c r="AB200" s="2"/>
      <c r="AC200" s="2">
        <v>19626</v>
      </c>
      <c r="AD200" s="2">
        <v>19625</v>
      </c>
      <c r="AE200" s="2">
        <v>13156</v>
      </c>
      <c r="AF200" s="2">
        <v>0</v>
      </c>
      <c r="AG200" s="2">
        <v>0</v>
      </c>
      <c r="AH200" s="2"/>
      <c r="AI200" s="2">
        <v>-4930</v>
      </c>
      <c r="AJ200" s="2">
        <v>-2363</v>
      </c>
      <c r="AK200" s="2">
        <v>-2361</v>
      </c>
      <c r="AL200" s="2">
        <v>0</v>
      </c>
      <c r="AM200" s="2">
        <v>-2363</v>
      </c>
    </row>
    <row r="201" spans="1:39">
      <c r="A201" s="351">
        <v>91661</v>
      </c>
      <c r="B201" s="344" t="s">
        <v>893</v>
      </c>
      <c r="C201" s="360">
        <v>1.985E-4</v>
      </c>
      <c r="E201" s="2">
        <v>56169</v>
      </c>
      <c r="F201" s="2">
        <v>82918</v>
      </c>
      <c r="G201" s="2">
        <v>47138</v>
      </c>
      <c r="H201" s="2">
        <v>29541</v>
      </c>
      <c r="I201" s="2">
        <v>0</v>
      </c>
      <c r="J201" s="2"/>
      <c r="K201" s="2">
        <v>36804</v>
      </c>
      <c r="L201" s="2">
        <v>33903</v>
      </c>
      <c r="M201" s="2">
        <v>18869</v>
      </c>
      <c r="N201" s="2">
        <v>0</v>
      </c>
      <c r="O201" s="2">
        <v>0</v>
      </c>
      <c r="P201" s="2"/>
      <c r="Q201" s="2">
        <v>2386</v>
      </c>
      <c r="R201" s="2">
        <v>33369</v>
      </c>
      <c r="S201" s="2">
        <v>34523</v>
      </c>
      <c r="T201" s="2">
        <v>29541</v>
      </c>
      <c r="U201" s="2">
        <v>0</v>
      </c>
      <c r="V201" s="2"/>
      <c r="W201" s="2">
        <v>29135</v>
      </c>
      <c r="X201" s="2">
        <v>23653</v>
      </c>
      <c r="Y201" s="2">
        <v>0</v>
      </c>
      <c r="Z201" s="2">
        <v>0</v>
      </c>
      <c r="AA201" s="2">
        <v>0</v>
      </c>
      <c r="AB201" s="2"/>
      <c r="AC201" s="2">
        <v>0</v>
      </c>
      <c r="AD201" s="2">
        <v>0</v>
      </c>
      <c r="AE201" s="2">
        <v>0</v>
      </c>
      <c r="AF201" s="2">
        <v>0</v>
      </c>
      <c r="AG201" s="2">
        <v>0</v>
      </c>
      <c r="AH201" s="2"/>
      <c r="AI201" s="2">
        <v>-12156</v>
      </c>
      <c r="AJ201" s="2">
        <v>-8007</v>
      </c>
      <c r="AK201" s="2">
        <v>-6254</v>
      </c>
      <c r="AL201" s="2">
        <v>0</v>
      </c>
      <c r="AM201" s="2">
        <v>-8007</v>
      </c>
    </row>
    <row r="202" spans="1:39">
      <c r="A202" s="351">
        <v>91671</v>
      </c>
      <c r="B202" s="344" t="s">
        <v>894</v>
      </c>
      <c r="C202" s="360">
        <v>9.3700000000000001E-5</v>
      </c>
      <c r="E202" s="2">
        <v>22701</v>
      </c>
      <c r="F202" s="2">
        <v>33669</v>
      </c>
      <c r="G202" s="2">
        <v>14632</v>
      </c>
      <c r="H202" s="2">
        <v>13945</v>
      </c>
      <c r="I202" s="2">
        <v>0</v>
      </c>
      <c r="J202" s="2"/>
      <c r="K202" s="2">
        <v>17373</v>
      </c>
      <c r="L202" s="2">
        <v>16003</v>
      </c>
      <c r="M202" s="2">
        <v>8907</v>
      </c>
      <c r="N202" s="2">
        <v>0</v>
      </c>
      <c r="O202" s="2">
        <v>0</v>
      </c>
      <c r="P202" s="2"/>
      <c r="Q202" s="2">
        <v>1126</v>
      </c>
      <c r="R202" s="2">
        <v>15751</v>
      </c>
      <c r="S202" s="2">
        <v>16296</v>
      </c>
      <c r="T202" s="2">
        <v>13945</v>
      </c>
      <c r="U202" s="2">
        <v>0</v>
      </c>
      <c r="V202" s="2"/>
      <c r="W202" s="2">
        <v>13753</v>
      </c>
      <c r="X202" s="2">
        <v>11165</v>
      </c>
      <c r="Y202" s="2">
        <v>0</v>
      </c>
      <c r="Z202" s="2">
        <v>0</v>
      </c>
      <c r="AA202" s="2">
        <v>0</v>
      </c>
      <c r="AB202" s="2"/>
      <c r="AC202" s="2">
        <v>1319</v>
      </c>
      <c r="AD202" s="2">
        <v>1320</v>
      </c>
      <c r="AE202" s="2">
        <v>0</v>
      </c>
      <c r="AF202" s="2">
        <v>0</v>
      </c>
      <c r="AG202" s="2">
        <v>0</v>
      </c>
      <c r="AH202" s="2"/>
      <c r="AI202" s="2">
        <v>-10870</v>
      </c>
      <c r="AJ202" s="2">
        <v>-10570</v>
      </c>
      <c r="AK202" s="2">
        <v>-10571</v>
      </c>
      <c r="AL202" s="2">
        <v>0</v>
      </c>
      <c r="AM202" s="2">
        <v>-10570</v>
      </c>
    </row>
    <row r="203" spans="1:39">
      <c r="A203" s="351">
        <v>91681</v>
      </c>
      <c r="B203" s="344" t="s">
        <v>895</v>
      </c>
      <c r="C203" s="360">
        <v>4.6890000000000001E-4</v>
      </c>
      <c r="E203" s="2">
        <v>261942</v>
      </c>
      <c r="F203" s="2">
        <v>280922</v>
      </c>
      <c r="G203" s="2">
        <v>159179</v>
      </c>
      <c r="H203" s="2">
        <v>69783</v>
      </c>
      <c r="I203" s="2">
        <v>0</v>
      </c>
      <c r="J203" s="2"/>
      <c r="K203" s="2">
        <v>86938</v>
      </c>
      <c r="L203" s="2">
        <v>80085</v>
      </c>
      <c r="M203" s="2">
        <v>44573</v>
      </c>
      <c r="N203" s="2">
        <v>0</v>
      </c>
      <c r="O203" s="2">
        <v>0</v>
      </c>
      <c r="P203" s="2"/>
      <c r="Q203" s="2">
        <v>5636</v>
      </c>
      <c r="R203" s="2">
        <v>78824</v>
      </c>
      <c r="S203" s="2">
        <v>81550</v>
      </c>
      <c r="T203" s="2">
        <v>69783</v>
      </c>
      <c r="U203" s="2">
        <v>0</v>
      </c>
      <c r="V203" s="2"/>
      <c r="W203" s="2">
        <v>68823</v>
      </c>
      <c r="X203" s="2">
        <v>55873</v>
      </c>
      <c r="Y203" s="2">
        <v>0</v>
      </c>
      <c r="Z203" s="2">
        <v>0</v>
      </c>
      <c r="AA203" s="2">
        <v>0</v>
      </c>
      <c r="AB203" s="2"/>
      <c r="AC203" s="2">
        <v>101931</v>
      </c>
      <c r="AD203" s="2">
        <v>67526</v>
      </c>
      <c r="AE203" s="2">
        <v>34441</v>
      </c>
      <c r="AF203" s="2">
        <v>0</v>
      </c>
      <c r="AG203" s="2">
        <v>0</v>
      </c>
      <c r="AH203" s="2"/>
      <c r="AI203" s="2">
        <v>-1386</v>
      </c>
      <c r="AJ203" s="2">
        <v>-1386</v>
      </c>
      <c r="AK203" s="2">
        <v>-1385</v>
      </c>
      <c r="AL203" s="2">
        <v>0</v>
      </c>
      <c r="AM203" s="2">
        <v>-1386</v>
      </c>
    </row>
    <row r="204" spans="1:39">
      <c r="A204" s="351">
        <v>91691</v>
      </c>
      <c r="B204" s="344" t="s">
        <v>896</v>
      </c>
      <c r="C204" s="360">
        <v>1.42E-5</v>
      </c>
      <c r="E204" s="2">
        <v>3507</v>
      </c>
      <c r="F204" s="2">
        <v>5377</v>
      </c>
      <c r="G204" s="2">
        <v>2795</v>
      </c>
      <c r="H204" s="2">
        <v>2113</v>
      </c>
      <c r="I204" s="2">
        <v>0</v>
      </c>
      <c r="J204" s="2"/>
      <c r="K204" s="2">
        <v>2633</v>
      </c>
      <c r="L204" s="2">
        <v>2425</v>
      </c>
      <c r="M204" s="2">
        <v>1350</v>
      </c>
      <c r="N204" s="2">
        <v>0</v>
      </c>
      <c r="O204" s="2">
        <v>0</v>
      </c>
      <c r="P204" s="2"/>
      <c r="Q204" s="2">
        <v>171</v>
      </c>
      <c r="R204" s="2">
        <v>2387</v>
      </c>
      <c r="S204" s="2">
        <v>2470</v>
      </c>
      <c r="T204" s="2">
        <v>2113</v>
      </c>
      <c r="U204" s="2">
        <v>0</v>
      </c>
      <c r="V204" s="2"/>
      <c r="W204" s="2">
        <v>2084</v>
      </c>
      <c r="X204" s="2">
        <v>1692</v>
      </c>
      <c r="Y204" s="2">
        <v>0</v>
      </c>
      <c r="Z204" s="2">
        <v>0</v>
      </c>
      <c r="AA204" s="2">
        <v>0</v>
      </c>
      <c r="AB204" s="2"/>
      <c r="AC204" s="2">
        <v>510</v>
      </c>
      <c r="AD204" s="2">
        <v>510</v>
      </c>
      <c r="AE204" s="2">
        <v>512</v>
      </c>
      <c r="AF204" s="2">
        <v>0</v>
      </c>
      <c r="AG204" s="2">
        <v>0</v>
      </c>
      <c r="AH204" s="2"/>
      <c r="AI204" s="2">
        <v>-1891</v>
      </c>
      <c r="AJ204" s="2">
        <v>-1637</v>
      </c>
      <c r="AK204" s="2">
        <v>-1537</v>
      </c>
      <c r="AL204" s="2">
        <v>0</v>
      </c>
      <c r="AM204" s="2">
        <v>-1637</v>
      </c>
    </row>
    <row r="205" spans="1:39">
      <c r="A205" s="351">
        <v>91701</v>
      </c>
      <c r="B205" s="344" t="s">
        <v>897</v>
      </c>
      <c r="C205" s="360">
        <v>1.1245999999999999E-3</v>
      </c>
      <c r="E205" s="2">
        <v>371350</v>
      </c>
      <c r="F205" s="2">
        <v>479073</v>
      </c>
      <c r="G205" s="2">
        <v>276250</v>
      </c>
      <c r="H205" s="2">
        <v>167365</v>
      </c>
      <c r="I205" s="2">
        <v>0</v>
      </c>
      <c r="J205" s="2"/>
      <c r="K205" s="2">
        <v>208511</v>
      </c>
      <c r="L205" s="2">
        <v>192075</v>
      </c>
      <c r="M205" s="2">
        <v>106902</v>
      </c>
      <c r="N205" s="2">
        <v>0</v>
      </c>
      <c r="O205" s="2">
        <v>0</v>
      </c>
      <c r="P205" s="2"/>
      <c r="Q205" s="2">
        <v>13517</v>
      </c>
      <c r="R205" s="2">
        <v>189051</v>
      </c>
      <c r="S205" s="2">
        <v>195588</v>
      </c>
      <c r="T205" s="2">
        <v>167365</v>
      </c>
      <c r="U205" s="2">
        <v>0</v>
      </c>
      <c r="V205" s="2"/>
      <c r="W205" s="2">
        <v>165064</v>
      </c>
      <c r="X205" s="2">
        <v>134004</v>
      </c>
      <c r="Y205" s="2">
        <v>0</v>
      </c>
      <c r="Z205" s="2">
        <v>0</v>
      </c>
      <c r="AA205" s="2">
        <v>0</v>
      </c>
      <c r="AB205" s="2"/>
      <c r="AC205" s="2">
        <v>20317</v>
      </c>
      <c r="AD205" s="2">
        <v>0</v>
      </c>
      <c r="AE205" s="2">
        <v>0</v>
      </c>
      <c r="AF205" s="2">
        <v>0</v>
      </c>
      <c r="AG205" s="2">
        <v>0</v>
      </c>
      <c r="AH205" s="2"/>
      <c r="AI205" s="2">
        <v>-36059</v>
      </c>
      <c r="AJ205" s="2">
        <v>-36057</v>
      </c>
      <c r="AK205" s="2">
        <v>-26240</v>
      </c>
      <c r="AL205" s="2">
        <v>0</v>
      </c>
      <c r="AM205" s="2">
        <v>-36057</v>
      </c>
    </row>
    <row r="206" spans="1:39">
      <c r="A206" s="351">
        <v>91704</v>
      </c>
      <c r="B206" s="344" t="s">
        <v>898</v>
      </c>
      <c r="C206" s="360">
        <v>1.66E-5</v>
      </c>
      <c r="E206" s="2">
        <v>5894</v>
      </c>
      <c r="F206" s="2">
        <v>7771</v>
      </c>
      <c r="G206" s="2">
        <v>4602</v>
      </c>
      <c r="H206" s="2">
        <v>2470</v>
      </c>
      <c r="I206" s="2">
        <v>0</v>
      </c>
      <c r="J206" s="2"/>
      <c r="K206" s="2">
        <v>3078</v>
      </c>
      <c r="L206" s="2">
        <v>2835</v>
      </c>
      <c r="M206" s="2">
        <v>1578</v>
      </c>
      <c r="N206" s="2">
        <v>0</v>
      </c>
      <c r="O206" s="2">
        <v>0</v>
      </c>
      <c r="P206" s="2"/>
      <c r="Q206" s="2">
        <v>200</v>
      </c>
      <c r="R206" s="2">
        <v>2791</v>
      </c>
      <c r="S206" s="2">
        <v>2887</v>
      </c>
      <c r="T206" s="2">
        <v>2470</v>
      </c>
      <c r="U206" s="2">
        <v>0</v>
      </c>
      <c r="V206" s="2"/>
      <c r="W206" s="2">
        <v>2436</v>
      </c>
      <c r="X206" s="2">
        <v>1978</v>
      </c>
      <c r="Y206" s="2">
        <v>0</v>
      </c>
      <c r="Z206" s="2">
        <v>0</v>
      </c>
      <c r="AA206" s="2">
        <v>0</v>
      </c>
      <c r="AB206" s="2"/>
      <c r="AC206" s="2">
        <v>188</v>
      </c>
      <c r="AD206" s="2">
        <v>175</v>
      </c>
      <c r="AE206" s="2">
        <v>143</v>
      </c>
      <c r="AF206" s="2">
        <v>0</v>
      </c>
      <c r="AG206" s="2">
        <v>0</v>
      </c>
      <c r="AH206" s="2"/>
      <c r="AI206" s="2">
        <v>-8</v>
      </c>
      <c r="AJ206" s="2">
        <v>-8</v>
      </c>
      <c r="AK206" s="2">
        <v>-6</v>
      </c>
      <c r="AL206" s="2">
        <v>0</v>
      </c>
      <c r="AM206" s="2">
        <v>-8</v>
      </c>
    </row>
    <row r="207" spans="1:39">
      <c r="A207" s="351">
        <v>91706</v>
      </c>
      <c r="B207" s="344" t="s">
        <v>3660</v>
      </c>
      <c r="C207" s="360">
        <v>2.231E-4</v>
      </c>
      <c r="E207" s="2">
        <v>85606</v>
      </c>
      <c r="F207" s="2">
        <v>108861</v>
      </c>
      <c r="G207" s="2">
        <v>59081</v>
      </c>
      <c r="H207" s="2">
        <v>33202</v>
      </c>
      <c r="I207" s="2">
        <v>0</v>
      </c>
      <c r="J207" s="2"/>
      <c r="K207" s="2">
        <v>41365</v>
      </c>
      <c r="L207" s="2">
        <v>38104</v>
      </c>
      <c r="M207" s="2">
        <v>21207</v>
      </c>
      <c r="N207" s="2">
        <v>0</v>
      </c>
      <c r="O207" s="2">
        <v>0</v>
      </c>
      <c r="P207" s="2"/>
      <c r="Q207" s="2">
        <v>2681</v>
      </c>
      <c r="R207" s="2">
        <v>37504</v>
      </c>
      <c r="S207" s="2">
        <v>38801</v>
      </c>
      <c r="T207" s="2">
        <v>33202</v>
      </c>
      <c r="U207" s="2">
        <v>0</v>
      </c>
      <c r="V207" s="2"/>
      <c r="W207" s="2">
        <v>32746</v>
      </c>
      <c r="X207" s="2">
        <v>26584</v>
      </c>
      <c r="Y207" s="2">
        <v>0</v>
      </c>
      <c r="Z207" s="2">
        <v>0</v>
      </c>
      <c r="AA207" s="2">
        <v>0</v>
      </c>
      <c r="AB207" s="2"/>
      <c r="AC207" s="2">
        <v>17399</v>
      </c>
      <c r="AD207" s="2">
        <v>15254</v>
      </c>
      <c r="AE207" s="2">
        <v>7657</v>
      </c>
      <c r="AF207" s="2">
        <v>0</v>
      </c>
      <c r="AG207" s="2">
        <v>0</v>
      </c>
      <c r="AH207" s="2"/>
      <c r="AI207" s="2">
        <v>-8585</v>
      </c>
      <c r="AJ207" s="2">
        <v>-8585</v>
      </c>
      <c r="AK207" s="2">
        <v>-8584</v>
      </c>
      <c r="AL207" s="2">
        <v>0</v>
      </c>
      <c r="AM207" s="2">
        <v>-8585</v>
      </c>
    </row>
    <row r="208" spans="1:39">
      <c r="A208" s="351">
        <v>91719</v>
      </c>
      <c r="B208" s="344" t="s">
        <v>900</v>
      </c>
      <c r="C208" s="360">
        <v>5.5999999999999999E-5</v>
      </c>
      <c r="E208" s="2">
        <v>15675</v>
      </c>
      <c r="F208" s="2">
        <v>22617</v>
      </c>
      <c r="G208" s="2">
        <v>11895</v>
      </c>
      <c r="H208" s="2">
        <v>8334</v>
      </c>
      <c r="I208" s="2">
        <v>0</v>
      </c>
      <c r="J208" s="2"/>
      <c r="K208" s="2">
        <v>10383</v>
      </c>
      <c r="L208" s="2">
        <v>9564</v>
      </c>
      <c r="M208" s="2">
        <v>5323</v>
      </c>
      <c r="N208" s="2">
        <v>0</v>
      </c>
      <c r="O208" s="2">
        <v>0</v>
      </c>
      <c r="P208" s="2"/>
      <c r="Q208" s="2">
        <v>673</v>
      </c>
      <c r="R208" s="2">
        <v>9414</v>
      </c>
      <c r="S208" s="2">
        <v>9739</v>
      </c>
      <c r="T208" s="2">
        <v>8334</v>
      </c>
      <c r="U208" s="2">
        <v>0</v>
      </c>
      <c r="V208" s="2"/>
      <c r="W208" s="2">
        <v>8219</v>
      </c>
      <c r="X208" s="2">
        <v>6673</v>
      </c>
      <c r="Y208" s="2">
        <v>0</v>
      </c>
      <c r="Z208" s="2">
        <v>0</v>
      </c>
      <c r="AA208" s="2">
        <v>0</v>
      </c>
      <c r="AB208" s="2"/>
      <c r="AC208" s="2">
        <v>133</v>
      </c>
      <c r="AD208" s="2">
        <v>134</v>
      </c>
      <c r="AE208" s="2">
        <v>0</v>
      </c>
      <c r="AF208" s="2">
        <v>0</v>
      </c>
      <c r="AG208" s="2">
        <v>0</v>
      </c>
      <c r="AH208" s="2"/>
      <c r="AI208" s="2">
        <v>-3733</v>
      </c>
      <c r="AJ208" s="2">
        <v>-3168</v>
      </c>
      <c r="AK208" s="2">
        <v>-3167</v>
      </c>
      <c r="AL208" s="2">
        <v>0</v>
      </c>
      <c r="AM208" s="2">
        <v>-3168</v>
      </c>
    </row>
    <row r="209" spans="1:39">
      <c r="A209" s="351">
        <v>91801</v>
      </c>
      <c r="B209" s="344" t="s">
        <v>901</v>
      </c>
      <c r="C209" s="360">
        <v>7.6594000000000002E-3</v>
      </c>
      <c r="E209" s="2">
        <v>2536076</v>
      </c>
      <c r="F209" s="2">
        <v>3449411</v>
      </c>
      <c r="G209" s="2">
        <v>2035277</v>
      </c>
      <c r="H209" s="2">
        <v>1139887</v>
      </c>
      <c r="I209" s="2">
        <v>0</v>
      </c>
      <c r="J209" s="2"/>
      <c r="K209" s="2">
        <v>1420122</v>
      </c>
      <c r="L209" s="2">
        <v>1308180</v>
      </c>
      <c r="M209" s="2">
        <v>728087</v>
      </c>
      <c r="N209" s="2">
        <v>0</v>
      </c>
      <c r="O209" s="2">
        <v>0</v>
      </c>
      <c r="P209" s="2"/>
      <c r="Q209" s="2">
        <v>92058</v>
      </c>
      <c r="R209" s="2">
        <v>1287583</v>
      </c>
      <c r="S209" s="2">
        <v>1332108</v>
      </c>
      <c r="T209" s="2">
        <v>1139887</v>
      </c>
      <c r="U209" s="2">
        <v>0</v>
      </c>
      <c r="V209" s="2"/>
      <c r="W209" s="2">
        <v>1124216</v>
      </c>
      <c r="X209" s="2">
        <v>912671</v>
      </c>
      <c r="Y209" s="2">
        <v>0</v>
      </c>
      <c r="Z209" s="2">
        <v>0</v>
      </c>
      <c r="AA209" s="2">
        <v>0</v>
      </c>
      <c r="AB209" s="2"/>
      <c r="AC209" s="2">
        <v>42542</v>
      </c>
      <c r="AD209" s="2">
        <v>42542</v>
      </c>
      <c r="AE209" s="2">
        <v>42541</v>
      </c>
      <c r="AF209" s="2">
        <v>0</v>
      </c>
      <c r="AG209" s="2">
        <v>0</v>
      </c>
      <c r="AH209" s="2"/>
      <c r="AI209" s="2">
        <v>-142862</v>
      </c>
      <c r="AJ209" s="2">
        <v>-101565</v>
      </c>
      <c r="AK209" s="2">
        <v>-67459</v>
      </c>
      <c r="AL209" s="2">
        <v>0</v>
      </c>
      <c r="AM209" s="2">
        <v>-101565</v>
      </c>
    </row>
    <row r="210" spans="1:39">
      <c r="A210" s="351">
        <v>91804</v>
      </c>
      <c r="B210" s="344" t="s">
        <v>902</v>
      </c>
      <c r="C210" s="360">
        <v>1.382E-4</v>
      </c>
      <c r="E210" s="2">
        <v>82858</v>
      </c>
      <c r="F210" s="2">
        <v>93730</v>
      </c>
      <c r="G210" s="2">
        <v>58587</v>
      </c>
      <c r="H210" s="2">
        <v>20567</v>
      </c>
      <c r="I210" s="2">
        <v>0</v>
      </c>
      <c r="J210" s="2"/>
      <c r="K210" s="2">
        <v>25624</v>
      </c>
      <c r="L210" s="2">
        <v>23604</v>
      </c>
      <c r="M210" s="2">
        <v>13137</v>
      </c>
      <c r="N210" s="2">
        <v>0</v>
      </c>
      <c r="O210" s="2">
        <v>0</v>
      </c>
      <c r="P210" s="2"/>
      <c r="Q210" s="2">
        <v>1661</v>
      </c>
      <c r="R210" s="2">
        <v>23232</v>
      </c>
      <c r="S210" s="2">
        <v>24035</v>
      </c>
      <c r="T210" s="2">
        <v>20567</v>
      </c>
      <c r="U210" s="2">
        <v>0</v>
      </c>
      <c r="V210" s="2"/>
      <c r="W210" s="2">
        <v>20284</v>
      </c>
      <c r="X210" s="2">
        <v>16467</v>
      </c>
      <c r="Y210" s="2">
        <v>0</v>
      </c>
      <c r="Z210" s="2">
        <v>0</v>
      </c>
      <c r="AA210" s="2">
        <v>0</v>
      </c>
      <c r="AB210" s="2"/>
      <c r="AC210" s="2">
        <v>35289</v>
      </c>
      <c r="AD210" s="2">
        <v>30427</v>
      </c>
      <c r="AE210" s="2">
        <v>21415</v>
      </c>
      <c r="AF210" s="2">
        <v>0</v>
      </c>
      <c r="AG210" s="2">
        <v>0</v>
      </c>
      <c r="AH210" s="2"/>
      <c r="AI210" s="2">
        <v>0</v>
      </c>
      <c r="AJ210" s="2">
        <v>0</v>
      </c>
      <c r="AK210" s="2">
        <v>0</v>
      </c>
      <c r="AL210" s="2">
        <v>0</v>
      </c>
      <c r="AM210" s="2">
        <v>0</v>
      </c>
    </row>
    <row r="211" spans="1:39">
      <c r="A211" s="351">
        <v>91811</v>
      </c>
      <c r="B211" s="344" t="s">
        <v>903</v>
      </c>
      <c r="C211" s="360">
        <v>4.3679000000000001E-3</v>
      </c>
      <c r="E211" s="2">
        <v>1408456</v>
      </c>
      <c r="F211" s="2">
        <v>1946249</v>
      </c>
      <c r="G211" s="2">
        <v>1164124</v>
      </c>
      <c r="H211" s="2">
        <v>650040</v>
      </c>
      <c r="I211" s="2">
        <v>0</v>
      </c>
      <c r="J211" s="2"/>
      <c r="K211" s="2">
        <v>809848</v>
      </c>
      <c r="L211" s="2">
        <v>746011</v>
      </c>
      <c r="M211" s="2">
        <v>415204</v>
      </c>
      <c r="N211" s="2">
        <v>0</v>
      </c>
      <c r="O211" s="2">
        <v>0</v>
      </c>
      <c r="P211" s="2"/>
      <c r="Q211" s="2">
        <v>52498</v>
      </c>
      <c r="R211" s="2">
        <v>734266</v>
      </c>
      <c r="S211" s="2">
        <v>759656</v>
      </c>
      <c r="T211" s="2">
        <v>650040</v>
      </c>
      <c r="U211" s="2">
        <v>0</v>
      </c>
      <c r="V211" s="2"/>
      <c r="W211" s="2">
        <v>641103</v>
      </c>
      <c r="X211" s="2">
        <v>520466</v>
      </c>
      <c r="Y211" s="2">
        <v>0</v>
      </c>
      <c r="Z211" s="2">
        <v>0</v>
      </c>
      <c r="AA211" s="2">
        <v>0</v>
      </c>
      <c r="AB211" s="2"/>
      <c r="AC211" s="2">
        <v>37355</v>
      </c>
      <c r="AD211" s="2">
        <v>37355</v>
      </c>
      <c r="AE211" s="2">
        <v>37355</v>
      </c>
      <c r="AF211" s="2">
        <v>0</v>
      </c>
      <c r="AG211" s="2">
        <v>0</v>
      </c>
      <c r="AH211" s="2"/>
      <c r="AI211" s="2">
        <v>-132348</v>
      </c>
      <c r="AJ211" s="2">
        <v>-91849</v>
      </c>
      <c r="AK211" s="2">
        <v>-48091</v>
      </c>
      <c r="AL211" s="2">
        <v>0</v>
      </c>
      <c r="AM211" s="2">
        <v>-91849</v>
      </c>
    </row>
    <row r="212" spans="1:39">
      <c r="A212" s="351">
        <v>91812</v>
      </c>
      <c r="B212" s="344" t="s">
        <v>3661</v>
      </c>
      <c r="C212" s="360">
        <v>5.7299999999999997E-5</v>
      </c>
      <c r="E212" s="2">
        <v>25933</v>
      </c>
      <c r="F212" s="2">
        <v>33133</v>
      </c>
      <c r="G212" s="2">
        <v>21369</v>
      </c>
      <c r="H212" s="2">
        <v>8528</v>
      </c>
      <c r="I212" s="2">
        <v>0</v>
      </c>
      <c r="J212" s="2"/>
      <c r="K212" s="2">
        <v>10624</v>
      </c>
      <c r="L212" s="2">
        <v>9786</v>
      </c>
      <c r="M212" s="2">
        <v>5447</v>
      </c>
      <c r="N212" s="2">
        <v>0</v>
      </c>
      <c r="O212" s="2">
        <v>0</v>
      </c>
      <c r="P212" s="2"/>
      <c r="Q212" s="2">
        <v>689</v>
      </c>
      <c r="R212" s="2">
        <v>9632</v>
      </c>
      <c r="S212" s="2">
        <v>9966</v>
      </c>
      <c r="T212" s="2">
        <v>8528</v>
      </c>
      <c r="U212" s="2">
        <v>0</v>
      </c>
      <c r="V212" s="2"/>
      <c r="W212" s="2">
        <v>8410</v>
      </c>
      <c r="X212" s="2">
        <v>6828</v>
      </c>
      <c r="Y212" s="2">
        <v>0</v>
      </c>
      <c r="Z212" s="2">
        <v>0</v>
      </c>
      <c r="AA212" s="2">
        <v>0</v>
      </c>
      <c r="AB212" s="2"/>
      <c r="AC212" s="2">
        <v>7511</v>
      </c>
      <c r="AD212" s="2">
        <v>7509</v>
      </c>
      <c r="AE212" s="2">
        <v>6580</v>
      </c>
      <c r="AF212" s="2">
        <v>0</v>
      </c>
      <c r="AG212" s="2">
        <v>0</v>
      </c>
      <c r="AH212" s="2"/>
      <c r="AI212" s="2">
        <v>-1301</v>
      </c>
      <c r="AJ212" s="2">
        <v>-622</v>
      </c>
      <c r="AK212" s="2">
        <v>-624</v>
      </c>
      <c r="AL212" s="2">
        <v>0</v>
      </c>
      <c r="AM212" s="2">
        <v>-622</v>
      </c>
    </row>
    <row r="213" spans="1:39">
      <c r="A213" s="351">
        <v>91813</v>
      </c>
      <c r="B213" s="344" t="s">
        <v>905</v>
      </c>
      <c r="C213" s="360">
        <v>7.7299999999999995E-5</v>
      </c>
      <c r="E213" s="2">
        <v>26067</v>
      </c>
      <c r="F213" s="2">
        <v>37606</v>
      </c>
      <c r="G213" s="2">
        <v>23465</v>
      </c>
      <c r="H213" s="2">
        <v>11504</v>
      </c>
      <c r="I213" s="2">
        <v>0</v>
      </c>
      <c r="J213" s="2"/>
      <c r="K213" s="2">
        <v>14332</v>
      </c>
      <c r="L213" s="2">
        <v>13202</v>
      </c>
      <c r="M213" s="2">
        <v>7348</v>
      </c>
      <c r="N213" s="2">
        <v>0</v>
      </c>
      <c r="O213" s="2">
        <v>0</v>
      </c>
      <c r="P213" s="2"/>
      <c r="Q213" s="2">
        <v>929</v>
      </c>
      <c r="R213" s="2">
        <v>12995</v>
      </c>
      <c r="S213" s="2">
        <v>13444</v>
      </c>
      <c r="T213" s="2">
        <v>11504</v>
      </c>
      <c r="U213" s="2">
        <v>0</v>
      </c>
      <c r="V213" s="2"/>
      <c r="W213" s="2">
        <v>11346</v>
      </c>
      <c r="X213" s="2">
        <v>9211</v>
      </c>
      <c r="Y213" s="2">
        <v>0</v>
      </c>
      <c r="Z213" s="2">
        <v>0</v>
      </c>
      <c r="AA213" s="2">
        <v>0</v>
      </c>
      <c r="AB213" s="2"/>
      <c r="AC213" s="2">
        <v>4272</v>
      </c>
      <c r="AD213" s="2">
        <v>4272</v>
      </c>
      <c r="AE213" s="2">
        <v>4270</v>
      </c>
      <c r="AF213" s="2">
        <v>0</v>
      </c>
      <c r="AG213" s="2">
        <v>0</v>
      </c>
      <c r="AH213" s="2"/>
      <c r="AI213" s="2">
        <v>-4812</v>
      </c>
      <c r="AJ213" s="2">
        <v>-2074</v>
      </c>
      <c r="AK213" s="2">
        <v>-1597</v>
      </c>
      <c r="AL213" s="2">
        <v>0</v>
      </c>
      <c r="AM213" s="2">
        <v>-2074</v>
      </c>
    </row>
    <row r="214" spans="1:39">
      <c r="A214" s="351">
        <v>91818</v>
      </c>
      <c r="B214" s="344" t="s">
        <v>2786</v>
      </c>
      <c r="C214" s="360">
        <v>4.2240000000000002E-4</v>
      </c>
      <c r="E214" s="2">
        <v>272921</v>
      </c>
      <c r="F214" s="2">
        <v>264579</v>
      </c>
      <c r="G214" s="2">
        <v>130802</v>
      </c>
      <c r="H214" s="2">
        <v>62862</v>
      </c>
      <c r="I214" s="2">
        <v>0</v>
      </c>
      <c r="J214" s="2"/>
      <c r="K214" s="2">
        <v>78317</v>
      </c>
      <c r="L214" s="2">
        <v>72143</v>
      </c>
      <c r="M214" s="2">
        <v>40152</v>
      </c>
      <c r="N214" s="2">
        <v>0</v>
      </c>
      <c r="O214" s="2">
        <v>0</v>
      </c>
      <c r="P214" s="2"/>
      <c r="Q214" s="2">
        <v>5077</v>
      </c>
      <c r="R214" s="2">
        <v>71008</v>
      </c>
      <c r="S214" s="2">
        <v>73463</v>
      </c>
      <c r="T214" s="2">
        <v>62862</v>
      </c>
      <c r="U214" s="2">
        <v>0</v>
      </c>
      <c r="V214" s="2"/>
      <c r="W214" s="2">
        <v>61998</v>
      </c>
      <c r="X214" s="2">
        <v>50332</v>
      </c>
      <c r="Y214" s="2">
        <v>0</v>
      </c>
      <c r="Z214" s="2">
        <v>0</v>
      </c>
      <c r="AA214" s="2">
        <v>0</v>
      </c>
      <c r="AB214" s="2"/>
      <c r="AC214" s="2">
        <v>127529</v>
      </c>
      <c r="AD214" s="2">
        <v>71096</v>
      </c>
      <c r="AE214" s="2">
        <v>17187</v>
      </c>
      <c r="AF214" s="2">
        <v>0</v>
      </c>
      <c r="AG214" s="2">
        <v>0</v>
      </c>
      <c r="AH214" s="2"/>
      <c r="AI214" s="2">
        <v>0</v>
      </c>
      <c r="AJ214" s="2">
        <v>0</v>
      </c>
      <c r="AK214" s="2">
        <v>0</v>
      </c>
      <c r="AL214" s="2">
        <v>0</v>
      </c>
      <c r="AM214" s="2">
        <v>0</v>
      </c>
    </row>
    <row r="215" spans="1:39">
      <c r="A215" s="351">
        <v>91819</v>
      </c>
      <c r="B215" s="344" t="s">
        <v>907</v>
      </c>
      <c r="C215" s="360">
        <v>2.8850000000000002E-4</v>
      </c>
      <c r="E215" s="2">
        <v>102738</v>
      </c>
      <c r="F215" s="2">
        <v>133528</v>
      </c>
      <c r="G215" s="2">
        <v>73861</v>
      </c>
      <c r="H215" s="2">
        <v>42935</v>
      </c>
      <c r="I215" s="2">
        <v>0</v>
      </c>
      <c r="J215" s="2"/>
      <c r="K215" s="2">
        <v>53490</v>
      </c>
      <c r="L215" s="2">
        <v>49274</v>
      </c>
      <c r="M215" s="2">
        <v>27424</v>
      </c>
      <c r="N215" s="2">
        <v>0</v>
      </c>
      <c r="O215" s="2">
        <v>0</v>
      </c>
      <c r="P215" s="2"/>
      <c r="Q215" s="2">
        <v>3467</v>
      </c>
      <c r="R215" s="2">
        <v>48498</v>
      </c>
      <c r="S215" s="2">
        <v>50175</v>
      </c>
      <c r="T215" s="2">
        <v>42935</v>
      </c>
      <c r="U215" s="2">
        <v>0</v>
      </c>
      <c r="V215" s="2"/>
      <c r="W215" s="2">
        <v>42345</v>
      </c>
      <c r="X215" s="2">
        <v>34377</v>
      </c>
      <c r="Y215" s="2">
        <v>0</v>
      </c>
      <c r="Z215" s="2">
        <v>0</v>
      </c>
      <c r="AA215" s="2">
        <v>0</v>
      </c>
      <c r="AB215" s="2"/>
      <c r="AC215" s="2">
        <v>12077</v>
      </c>
      <c r="AD215" s="2">
        <v>10020</v>
      </c>
      <c r="AE215" s="2">
        <v>4901</v>
      </c>
      <c r="AF215" s="2">
        <v>0</v>
      </c>
      <c r="AG215" s="2">
        <v>0</v>
      </c>
      <c r="AH215" s="2"/>
      <c r="AI215" s="2">
        <v>-8641</v>
      </c>
      <c r="AJ215" s="2">
        <v>-8641</v>
      </c>
      <c r="AK215" s="2">
        <v>-8639</v>
      </c>
      <c r="AL215" s="2">
        <v>0</v>
      </c>
      <c r="AM215" s="2">
        <v>-8641</v>
      </c>
    </row>
    <row r="216" spans="1:39">
      <c r="A216" s="351">
        <v>91821</v>
      </c>
      <c r="B216" s="344" t="s">
        <v>908</v>
      </c>
      <c r="C216" s="360">
        <v>1.4750000000000001E-4</v>
      </c>
      <c r="E216" s="2">
        <v>40184</v>
      </c>
      <c r="F216" s="2">
        <v>56939</v>
      </c>
      <c r="G216" s="2">
        <v>31350</v>
      </c>
      <c r="H216" s="2">
        <v>21951</v>
      </c>
      <c r="I216" s="2">
        <v>0</v>
      </c>
      <c r="J216" s="2"/>
      <c r="K216" s="2">
        <v>27348</v>
      </c>
      <c r="L216" s="2">
        <v>25192</v>
      </c>
      <c r="M216" s="2">
        <v>14021</v>
      </c>
      <c r="N216" s="2">
        <v>0</v>
      </c>
      <c r="O216" s="2">
        <v>0</v>
      </c>
      <c r="P216" s="2"/>
      <c r="Q216" s="2">
        <v>1773</v>
      </c>
      <c r="R216" s="2">
        <v>24795</v>
      </c>
      <c r="S216" s="2">
        <v>25653</v>
      </c>
      <c r="T216" s="2">
        <v>21951</v>
      </c>
      <c r="U216" s="2">
        <v>0</v>
      </c>
      <c r="V216" s="2"/>
      <c r="W216" s="2">
        <v>21649</v>
      </c>
      <c r="X216" s="2">
        <v>17576</v>
      </c>
      <c r="Y216" s="2">
        <v>0</v>
      </c>
      <c r="Z216" s="2">
        <v>0</v>
      </c>
      <c r="AA216" s="2">
        <v>0</v>
      </c>
      <c r="AB216" s="2"/>
      <c r="AC216" s="2">
        <v>39</v>
      </c>
      <c r="AD216" s="2">
        <v>0</v>
      </c>
      <c r="AE216" s="2">
        <v>0</v>
      </c>
      <c r="AF216" s="2">
        <v>0</v>
      </c>
      <c r="AG216" s="2">
        <v>0</v>
      </c>
      <c r="AH216" s="2"/>
      <c r="AI216" s="2">
        <v>-10625</v>
      </c>
      <c r="AJ216" s="2">
        <v>-10624</v>
      </c>
      <c r="AK216" s="2">
        <v>-8324</v>
      </c>
      <c r="AL216" s="2">
        <v>0</v>
      </c>
      <c r="AM216" s="2">
        <v>-10624</v>
      </c>
    </row>
    <row r="217" spans="1:39">
      <c r="A217" s="351">
        <v>91831</v>
      </c>
      <c r="B217" s="344" t="s">
        <v>909</v>
      </c>
      <c r="C217" s="360">
        <v>4.3399999999999998E-4</v>
      </c>
      <c r="E217" s="2">
        <v>169578</v>
      </c>
      <c r="F217" s="2">
        <v>220663</v>
      </c>
      <c r="G217" s="2">
        <v>135144</v>
      </c>
      <c r="H217" s="2">
        <v>64589</v>
      </c>
      <c r="I217" s="2">
        <v>0</v>
      </c>
      <c r="J217" s="2"/>
      <c r="K217" s="2">
        <v>80468</v>
      </c>
      <c r="L217" s="2">
        <v>74125</v>
      </c>
      <c r="M217" s="2">
        <v>41255</v>
      </c>
      <c r="N217" s="2">
        <v>0</v>
      </c>
      <c r="O217" s="2">
        <v>0</v>
      </c>
      <c r="P217" s="2"/>
      <c r="Q217" s="2">
        <v>5216</v>
      </c>
      <c r="R217" s="2">
        <v>72958</v>
      </c>
      <c r="S217" s="2">
        <v>75480</v>
      </c>
      <c r="T217" s="2">
        <v>64589</v>
      </c>
      <c r="U217" s="2">
        <v>0</v>
      </c>
      <c r="V217" s="2"/>
      <c r="W217" s="2">
        <v>63701</v>
      </c>
      <c r="X217" s="2">
        <v>51714</v>
      </c>
      <c r="Y217" s="2">
        <v>0</v>
      </c>
      <c r="Z217" s="2">
        <v>0</v>
      </c>
      <c r="AA217" s="2">
        <v>0</v>
      </c>
      <c r="AB217" s="2"/>
      <c r="AC217" s="2">
        <v>22362</v>
      </c>
      <c r="AD217" s="2">
        <v>22362</v>
      </c>
      <c r="AE217" s="2">
        <v>18906</v>
      </c>
      <c r="AF217" s="2">
        <v>0</v>
      </c>
      <c r="AG217" s="2">
        <v>0</v>
      </c>
      <c r="AH217" s="2"/>
      <c r="AI217" s="2">
        <v>-2169</v>
      </c>
      <c r="AJ217" s="2">
        <v>-496</v>
      </c>
      <c r="AK217" s="2">
        <v>-497</v>
      </c>
      <c r="AL217" s="2">
        <v>0</v>
      </c>
      <c r="AM217" s="2">
        <v>-496</v>
      </c>
    </row>
    <row r="218" spans="1:39">
      <c r="A218" s="351">
        <v>91841</v>
      </c>
      <c r="B218" s="344" t="s">
        <v>910</v>
      </c>
      <c r="C218" s="360">
        <v>2.7809999999999998E-4</v>
      </c>
      <c r="E218" s="2">
        <v>106313</v>
      </c>
      <c r="F218" s="2">
        <v>137554</v>
      </c>
      <c r="G218" s="2">
        <v>83797</v>
      </c>
      <c r="H218" s="2">
        <v>41387</v>
      </c>
      <c r="I218" s="2">
        <v>0</v>
      </c>
      <c r="J218" s="2"/>
      <c r="K218" s="2">
        <v>51562</v>
      </c>
      <c r="L218" s="2">
        <v>47498</v>
      </c>
      <c r="M218" s="2">
        <v>26436</v>
      </c>
      <c r="N218" s="2">
        <v>0</v>
      </c>
      <c r="O218" s="2">
        <v>0</v>
      </c>
      <c r="P218" s="2"/>
      <c r="Q218" s="2">
        <v>3342</v>
      </c>
      <c r="R218" s="2">
        <v>46750</v>
      </c>
      <c r="S218" s="2">
        <v>48367</v>
      </c>
      <c r="T218" s="2">
        <v>41387</v>
      </c>
      <c r="U218" s="2">
        <v>0</v>
      </c>
      <c r="V218" s="2"/>
      <c r="W218" s="2">
        <v>40818</v>
      </c>
      <c r="X218" s="2">
        <v>33138</v>
      </c>
      <c r="Y218" s="2">
        <v>0</v>
      </c>
      <c r="Z218" s="2">
        <v>0</v>
      </c>
      <c r="AA218" s="2">
        <v>0</v>
      </c>
      <c r="AB218" s="2"/>
      <c r="AC218" s="2">
        <v>12450</v>
      </c>
      <c r="AD218" s="2">
        <v>12027</v>
      </c>
      <c r="AE218" s="2">
        <v>10854</v>
      </c>
      <c r="AF218" s="2">
        <v>0</v>
      </c>
      <c r="AG218" s="2">
        <v>0</v>
      </c>
      <c r="AH218" s="2"/>
      <c r="AI218" s="2">
        <v>-1859</v>
      </c>
      <c r="AJ218" s="2">
        <v>-1859</v>
      </c>
      <c r="AK218" s="2">
        <v>-1860</v>
      </c>
      <c r="AL218" s="2">
        <v>0</v>
      </c>
      <c r="AM218" s="2">
        <v>-1859</v>
      </c>
    </row>
    <row r="219" spans="1:39">
      <c r="A219" s="351">
        <v>91851</v>
      </c>
      <c r="B219" s="344" t="s">
        <v>911</v>
      </c>
      <c r="C219" s="360">
        <v>6.7429999999999996E-4</v>
      </c>
      <c r="E219" s="2">
        <v>224039</v>
      </c>
      <c r="F219" s="2">
        <v>299445</v>
      </c>
      <c r="G219" s="2">
        <v>174337</v>
      </c>
      <c r="H219" s="2">
        <v>100351</v>
      </c>
      <c r="I219" s="2">
        <v>0</v>
      </c>
      <c r="J219" s="2"/>
      <c r="K219" s="2">
        <v>125021</v>
      </c>
      <c r="L219" s="2">
        <v>115166</v>
      </c>
      <c r="M219" s="2">
        <v>64098</v>
      </c>
      <c r="N219" s="2">
        <v>0</v>
      </c>
      <c r="O219" s="2">
        <v>0</v>
      </c>
      <c r="P219" s="2"/>
      <c r="Q219" s="2">
        <v>8104</v>
      </c>
      <c r="R219" s="2">
        <v>113353</v>
      </c>
      <c r="S219" s="2">
        <v>117273</v>
      </c>
      <c r="T219" s="2">
        <v>100351</v>
      </c>
      <c r="U219" s="2">
        <v>0</v>
      </c>
      <c r="V219" s="2"/>
      <c r="W219" s="2">
        <v>98971</v>
      </c>
      <c r="X219" s="2">
        <v>80348</v>
      </c>
      <c r="Y219" s="2">
        <v>0</v>
      </c>
      <c r="Z219" s="2">
        <v>0</v>
      </c>
      <c r="AA219" s="2">
        <v>0</v>
      </c>
      <c r="AB219" s="2"/>
      <c r="AC219" s="2">
        <v>1365</v>
      </c>
      <c r="AD219" s="2">
        <v>0</v>
      </c>
      <c r="AE219" s="2">
        <v>0</v>
      </c>
      <c r="AF219" s="2">
        <v>0</v>
      </c>
      <c r="AG219" s="2">
        <v>0</v>
      </c>
      <c r="AH219" s="2"/>
      <c r="AI219" s="2">
        <v>-9422</v>
      </c>
      <c r="AJ219" s="2">
        <v>-9422</v>
      </c>
      <c r="AK219" s="2">
        <v>-7034</v>
      </c>
      <c r="AL219" s="2">
        <v>0</v>
      </c>
      <c r="AM219" s="2">
        <v>-9422</v>
      </c>
    </row>
    <row r="220" spans="1:39">
      <c r="A220" s="351">
        <v>91861</v>
      </c>
      <c r="B220" s="344" t="s">
        <v>912</v>
      </c>
      <c r="C220" s="360">
        <v>6.9999999999999999E-6</v>
      </c>
      <c r="E220" s="2">
        <v>-181</v>
      </c>
      <c r="F220" s="2">
        <v>856</v>
      </c>
      <c r="G220" s="2">
        <v>632</v>
      </c>
      <c r="H220" s="2">
        <v>1042</v>
      </c>
      <c r="I220" s="2">
        <v>0</v>
      </c>
      <c r="J220" s="2"/>
      <c r="K220" s="2">
        <v>1298</v>
      </c>
      <c r="L220" s="2">
        <v>1196</v>
      </c>
      <c r="M220" s="2">
        <v>665</v>
      </c>
      <c r="N220" s="2">
        <v>0</v>
      </c>
      <c r="O220" s="2">
        <v>0</v>
      </c>
      <c r="P220" s="2"/>
      <c r="Q220" s="2">
        <v>84</v>
      </c>
      <c r="R220" s="2">
        <v>1177</v>
      </c>
      <c r="S220" s="2">
        <v>1217</v>
      </c>
      <c r="T220" s="2">
        <v>1042</v>
      </c>
      <c r="U220" s="2">
        <v>0</v>
      </c>
      <c r="V220" s="2"/>
      <c r="W220" s="2">
        <v>1027</v>
      </c>
      <c r="X220" s="2">
        <v>834</v>
      </c>
      <c r="Y220" s="2">
        <v>0</v>
      </c>
      <c r="Z220" s="2">
        <v>0</v>
      </c>
      <c r="AA220" s="2">
        <v>0</v>
      </c>
      <c r="AB220" s="2"/>
      <c r="AC220" s="2">
        <v>0</v>
      </c>
      <c r="AD220" s="2">
        <v>0</v>
      </c>
      <c r="AE220" s="2">
        <v>0</v>
      </c>
      <c r="AF220" s="2">
        <v>0</v>
      </c>
      <c r="AG220" s="2">
        <v>0</v>
      </c>
      <c r="AH220" s="2"/>
      <c r="AI220" s="2">
        <v>-2590</v>
      </c>
      <c r="AJ220" s="2">
        <v>-2351</v>
      </c>
      <c r="AK220" s="2">
        <v>-1250</v>
      </c>
      <c r="AL220" s="2">
        <v>0</v>
      </c>
      <c r="AM220" s="2">
        <v>-2351</v>
      </c>
    </row>
    <row r="221" spans="1:39">
      <c r="A221" s="351">
        <v>91871</v>
      </c>
      <c r="B221" s="344" t="s">
        <v>913</v>
      </c>
      <c r="C221" s="360">
        <v>1.3648E-3</v>
      </c>
      <c r="E221" s="2">
        <v>478319</v>
      </c>
      <c r="F221" s="2">
        <v>628071</v>
      </c>
      <c r="G221" s="2">
        <v>378151</v>
      </c>
      <c r="H221" s="2">
        <v>203112</v>
      </c>
      <c r="I221" s="2">
        <v>0</v>
      </c>
      <c r="J221" s="2"/>
      <c r="K221" s="2">
        <v>253046</v>
      </c>
      <c r="L221" s="2">
        <v>233100</v>
      </c>
      <c r="M221" s="2">
        <v>129735</v>
      </c>
      <c r="N221" s="2">
        <v>0</v>
      </c>
      <c r="O221" s="2">
        <v>0</v>
      </c>
      <c r="P221" s="2"/>
      <c r="Q221" s="2">
        <v>16404</v>
      </c>
      <c r="R221" s="2">
        <v>229430</v>
      </c>
      <c r="S221" s="2">
        <v>237363</v>
      </c>
      <c r="T221" s="2">
        <v>203112</v>
      </c>
      <c r="U221" s="2">
        <v>0</v>
      </c>
      <c r="V221" s="2"/>
      <c r="W221" s="2">
        <v>200320</v>
      </c>
      <c r="X221" s="2">
        <v>162625</v>
      </c>
      <c r="Y221" s="2">
        <v>0</v>
      </c>
      <c r="Z221" s="2">
        <v>0</v>
      </c>
      <c r="AA221" s="2">
        <v>0</v>
      </c>
      <c r="AB221" s="2"/>
      <c r="AC221" s="2">
        <v>20771</v>
      </c>
      <c r="AD221" s="2">
        <v>15138</v>
      </c>
      <c r="AE221" s="2">
        <v>15139</v>
      </c>
      <c r="AF221" s="2">
        <v>0</v>
      </c>
      <c r="AG221" s="2">
        <v>0</v>
      </c>
      <c r="AH221" s="2"/>
      <c r="AI221" s="2">
        <v>-12222</v>
      </c>
      <c r="AJ221" s="2">
        <v>-12222</v>
      </c>
      <c r="AK221" s="2">
        <v>-4086</v>
      </c>
      <c r="AL221" s="2">
        <v>0</v>
      </c>
      <c r="AM221" s="2">
        <v>-12222</v>
      </c>
    </row>
    <row r="222" spans="1:39">
      <c r="A222" s="351">
        <v>91881</v>
      </c>
      <c r="B222" s="344" t="s">
        <v>914</v>
      </c>
      <c r="C222" s="360">
        <v>1.5E-5</v>
      </c>
      <c r="E222" s="2">
        <v>5368</v>
      </c>
      <c r="F222" s="2">
        <v>6789</v>
      </c>
      <c r="G222" s="2">
        <v>3943</v>
      </c>
      <c r="H222" s="2">
        <v>2232</v>
      </c>
      <c r="I222" s="2">
        <v>0</v>
      </c>
      <c r="J222" s="2"/>
      <c r="K222" s="2">
        <v>2781</v>
      </c>
      <c r="L222" s="2">
        <v>2562</v>
      </c>
      <c r="M222" s="2">
        <v>1426</v>
      </c>
      <c r="N222" s="2">
        <v>0</v>
      </c>
      <c r="O222" s="2">
        <v>0</v>
      </c>
      <c r="P222" s="2"/>
      <c r="Q222" s="2">
        <v>180</v>
      </c>
      <c r="R222" s="2">
        <v>2522</v>
      </c>
      <c r="S222" s="2">
        <v>2609</v>
      </c>
      <c r="T222" s="2">
        <v>2232</v>
      </c>
      <c r="U222" s="2">
        <v>0</v>
      </c>
      <c r="V222" s="2"/>
      <c r="W222" s="2">
        <v>2202</v>
      </c>
      <c r="X222" s="2">
        <v>1787</v>
      </c>
      <c r="Y222" s="2">
        <v>0</v>
      </c>
      <c r="Z222" s="2">
        <v>0</v>
      </c>
      <c r="AA222" s="2">
        <v>0</v>
      </c>
      <c r="AB222" s="2"/>
      <c r="AC222" s="2">
        <v>2578</v>
      </c>
      <c r="AD222" s="2">
        <v>2291</v>
      </c>
      <c r="AE222" s="2">
        <v>2279</v>
      </c>
      <c r="AF222" s="2">
        <v>0</v>
      </c>
      <c r="AG222" s="2">
        <v>0</v>
      </c>
      <c r="AH222" s="2"/>
      <c r="AI222" s="2">
        <v>-2373</v>
      </c>
      <c r="AJ222" s="2">
        <v>-2373</v>
      </c>
      <c r="AK222" s="2">
        <v>-2371</v>
      </c>
      <c r="AL222" s="2">
        <v>0</v>
      </c>
      <c r="AM222" s="2">
        <v>-2373</v>
      </c>
    </row>
    <row r="223" spans="1:39">
      <c r="A223" s="351">
        <v>91901</v>
      </c>
      <c r="B223" s="344" t="s">
        <v>915</v>
      </c>
      <c r="C223" s="360">
        <v>3.7631000000000001E-3</v>
      </c>
      <c r="E223" s="2">
        <v>1280311</v>
      </c>
      <c r="F223" s="2">
        <v>1712884</v>
      </c>
      <c r="G223" s="2">
        <v>1010106</v>
      </c>
      <c r="H223" s="2">
        <v>560032</v>
      </c>
      <c r="I223" s="2">
        <v>0</v>
      </c>
      <c r="J223" s="2"/>
      <c r="K223" s="2">
        <v>697713</v>
      </c>
      <c r="L223" s="2">
        <v>642715</v>
      </c>
      <c r="M223" s="2">
        <v>357713</v>
      </c>
      <c r="N223" s="2">
        <v>0</v>
      </c>
      <c r="O223" s="2">
        <v>0</v>
      </c>
      <c r="P223" s="2"/>
      <c r="Q223" s="2">
        <v>45229</v>
      </c>
      <c r="R223" s="2">
        <v>632596</v>
      </c>
      <c r="S223" s="2">
        <v>654471</v>
      </c>
      <c r="T223" s="2">
        <v>560032</v>
      </c>
      <c r="U223" s="2">
        <v>0</v>
      </c>
      <c r="V223" s="2"/>
      <c r="W223" s="2">
        <v>552333</v>
      </c>
      <c r="X223" s="2">
        <v>448400</v>
      </c>
      <c r="Y223" s="2">
        <v>0</v>
      </c>
      <c r="Z223" s="2">
        <v>0</v>
      </c>
      <c r="AA223" s="2">
        <v>0</v>
      </c>
      <c r="AB223" s="2"/>
      <c r="AC223" s="2">
        <v>9307</v>
      </c>
      <c r="AD223" s="2">
        <v>9307</v>
      </c>
      <c r="AE223" s="2">
        <v>9307</v>
      </c>
      <c r="AF223" s="2">
        <v>0</v>
      </c>
      <c r="AG223" s="2">
        <v>0</v>
      </c>
      <c r="AH223" s="2"/>
      <c r="AI223" s="2">
        <v>-24271</v>
      </c>
      <c r="AJ223" s="2">
        <v>-20134</v>
      </c>
      <c r="AK223" s="2">
        <v>-11385</v>
      </c>
      <c r="AL223" s="2">
        <v>0</v>
      </c>
      <c r="AM223" s="2">
        <v>-20134</v>
      </c>
    </row>
    <row r="224" spans="1:39">
      <c r="A224" s="351">
        <v>91903</v>
      </c>
      <c r="B224" s="344" t="s">
        <v>2783</v>
      </c>
      <c r="C224" s="360">
        <v>6.1999999999999999E-6</v>
      </c>
      <c r="E224" s="2">
        <v>3790</v>
      </c>
      <c r="F224" s="2">
        <v>4095</v>
      </c>
      <c r="G224" s="2">
        <v>2456</v>
      </c>
      <c r="H224" s="2">
        <v>923</v>
      </c>
      <c r="I224" s="2">
        <v>0</v>
      </c>
      <c r="J224" s="2"/>
      <c r="K224" s="2">
        <v>1150</v>
      </c>
      <c r="L224" s="2">
        <v>1059</v>
      </c>
      <c r="M224" s="2">
        <v>589</v>
      </c>
      <c r="N224" s="2">
        <v>0</v>
      </c>
      <c r="O224" s="2">
        <v>0</v>
      </c>
      <c r="P224" s="2"/>
      <c r="Q224" s="2">
        <v>75</v>
      </c>
      <c r="R224" s="2">
        <v>1042</v>
      </c>
      <c r="S224" s="2">
        <v>1078</v>
      </c>
      <c r="T224" s="2">
        <v>923</v>
      </c>
      <c r="U224" s="2">
        <v>0</v>
      </c>
      <c r="V224" s="2"/>
      <c r="W224" s="2">
        <v>910</v>
      </c>
      <c r="X224" s="2">
        <v>739</v>
      </c>
      <c r="Y224" s="2">
        <v>0</v>
      </c>
      <c r="Z224" s="2">
        <v>0</v>
      </c>
      <c r="AA224" s="2">
        <v>0</v>
      </c>
      <c r="AB224" s="2"/>
      <c r="AC224" s="2">
        <v>1655</v>
      </c>
      <c r="AD224" s="2">
        <v>1255</v>
      </c>
      <c r="AE224" s="2">
        <v>789</v>
      </c>
      <c r="AF224" s="2">
        <v>0</v>
      </c>
      <c r="AG224" s="2">
        <v>0</v>
      </c>
      <c r="AH224" s="2"/>
      <c r="AI224" s="2">
        <v>0</v>
      </c>
      <c r="AJ224" s="2">
        <v>0</v>
      </c>
      <c r="AK224" s="2">
        <v>0</v>
      </c>
      <c r="AL224" s="2">
        <v>0</v>
      </c>
      <c r="AM224" s="2">
        <v>0</v>
      </c>
    </row>
    <row r="225" spans="1:39">
      <c r="A225" s="351">
        <v>91904</v>
      </c>
      <c r="B225" s="344" t="s">
        <v>917</v>
      </c>
      <c r="C225" s="360">
        <v>4.1699999999999997E-5</v>
      </c>
      <c r="E225" s="2">
        <v>20591</v>
      </c>
      <c r="F225" s="2">
        <v>24065</v>
      </c>
      <c r="G225" s="2">
        <v>16286</v>
      </c>
      <c r="H225" s="2">
        <v>6206</v>
      </c>
      <c r="I225" s="2">
        <v>0</v>
      </c>
      <c r="J225" s="2"/>
      <c r="K225" s="2">
        <v>7732</v>
      </c>
      <c r="L225" s="2">
        <v>7122</v>
      </c>
      <c r="M225" s="2">
        <v>3964</v>
      </c>
      <c r="N225" s="2">
        <v>0</v>
      </c>
      <c r="O225" s="2">
        <v>0</v>
      </c>
      <c r="P225" s="2"/>
      <c r="Q225" s="2">
        <v>501</v>
      </c>
      <c r="R225" s="2">
        <v>7010</v>
      </c>
      <c r="S225" s="2">
        <v>7252</v>
      </c>
      <c r="T225" s="2">
        <v>6206</v>
      </c>
      <c r="U225" s="2">
        <v>0</v>
      </c>
      <c r="V225" s="2"/>
      <c r="W225" s="2">
        <v>6121</v>
      </c>
      <c r="X225" s="2">
        <v>4969</v>
      </c>
      <c r="Y225" s="2">
        <v>0</v>
      </c>
      <c r="Z225" s="2">
        <v>0</v>
      </c>
      <c r="AA225" s="2">
        <v>0</v>
      </c>
      <c r="AB225" s="2"/>
      <c r="AC225" s="2">
        <v>6345</v>
      </c>
      <c r="AD225" s="2">
        <v>5074</v>
      </c>
      <c r="AE225" s="2">
        <v>5070</v>
      </c>
      <c r="AF225" s="2">
        <v>0</v>
      </c>
      <c r="AG225" s="2">
        <v>0</v>
      </c>
      <c r="AH225" s="2"/>
      <c r="AI225" s="2">
        <v>-108</v>
      </c>
      <c r="AJ225" s="2">
        <v>-110</v>
      </c>
      <c r="AK225" s="2">
        <v>0</v>
      </c>
      <c r="AL225" s="2">
        <v>0</v>
      </c>
      <c r="AM225" s="2">
        <v>-110</v>
      </c>
    </row>
    <row r="226" spans="1:39">
      <c r="A226" s="351">
        <v>91908</v>
      </c>
      <c r="B226" s="344" t="s">
        <v>918</v>
      </c>
      <c r="C226" s="360">
        <v>1.56E-5</v>
      </c>
      <c r="E226" s="2">
        <v>3194</v>
      </c>
      <c r="F226" s="2">
        <v>4944</v>
      </c>
      <c r="G226" s="2">
        <v>2745</v>
      </c>
      <c r="H226" s="2">
        <v>2322</v>
      </c>
      <c r="I226" s="2">
        <v>0</v>
      </c>
      <c r="J226" s="2"/>
      <c r="K226" s="2">
        <v>2892</v>
      </c>
      <c r="L226" s="2">
        <v>2664</v>
      </c>
      <c r="M226" s="2">
        <v>1483</v>
      </c>
      <c r="N226" s="2">
        <v>0</v>
      </c>
      <c r="O226" s="2">
        <v>0</v>
      </c>
      <c r="P226" s="2"/>
      <c r="Q226" s="2">
        <v>187</v>
      </c>
      <c r="R226" s="2">
        <v>2622</v>
      </c>
      <c r="S226" s="2">
        <v>2713</v>
      </c>
      <c r="T226" s="2">
        <v>2322</v>
      </c>
      <c r="U226" s="2">
        <v>0</v>
      </c>
      <c r="V226" s="2"/>
      <c r="W226" s="2">
        <v>2290</v>
      </c>
      <c r="X226" s="2">
        <v>1859</v>
      </c>
      <c r="Y226" s="2">
        <v>0</v>
      </c>
      <c r="Z226" s="2">
        <v>0</v>
      </c>
      <c r="AA226" s="2">
        <v>0</v>
      </c>
      <c r="AB226" s="2"/>
      <c r="AC226" s="2">
        <v>26</v>
      </c>
      <c r="AD226" s="2">
        <v>0</v>
      </c>
      <c r="AE226" s="2">
        <v>0</v>
      </c>
      <c r="AF226" s="2">
        <v>0</v>
      </c>
      <c r="AG226" s="2">
        <v>0</v>
      </c>
      <c r="AH226" s="2"/>
      <c r="AI226" s="2">
        <v>-2201</v>
      </c>
      <c r="AJ226" s="2">
        <v>-2201</v>
      </c>
      <c r="AK226" s="2">
        <v>-1451</v>
      </c>
      <c r="AL226" s="2">
        <v>0</v>
      </c>
      <c r="AM226" s="2">
        <v>-2201</v>
      </c>
    </row>
    <row r="227" spans="1:39">
      <c r="A227" s="351">
        <v>91911</v>
      </c>
      <c r="B227" s="344" t="s">
        <v>919</v>
      </c>
      <c r="C227" s="360">
        <v>5.4620000000000005E-4</v>
      </c>
      <c r="E227" s="2">
        <v>227013</v>
      </c>
      <c r="F227" s="2">
        <v>287558</v>
      </c>
      <c r="G227" s="2">
        <v>180188</v>
      </c>
      <c r="H227" s="2">
        <v>81287</v>
      </c>
      <c r="I227" s="2">
        <v>0</v>
      </c>
      <c r="J227" s="2"/>
      <c r="K227" s="2">
        <v>101270</v>
      </c>
      <c r="L227" s="2">
        <v>93288</v>
      </c>
      <c r="M227" s="2">
        <v>51921</v>
      </c>
      <c r="N227" s="2">
        <v>0</v>
      </c>
      <c r="O227" s="2">
        <v>0</v>
      </c>
      <c r="P227" s="2"/>
      <c r="Q227" s="2">
        <v>6565</v>
      </c>
      <c r="R227" s="2">
        <v>91819</v>
      </c>
      <c r="S227" s="2">
        <v>94994</v>
      </c>
      <c r="T227" s="2">
        <v>81287</v>
      </c>
      <c r="U227" s="2">
        <v>0</v>
      </c>
      <c r="V227" s="2"/>
      <c r="W227" s="2">
        <v>80169</v>
      </c>
      <c r="X227" s="2">
        <v>65084</v>
      </c>
      <c r="Y227" s="2">
        <v>0</v>
      </c>
      <c r="Z227" s="2">
        <v>0</v>
      </c>
      <c r="AA227" s="2">
        <v>0</v>
      </c>
      <c r="AB227" s="2"/>
      <c r="AC227" s="2">
        <v>46752</v>
      </c>
      <c r="AD227" s="2">
        <v>45110</v>
      </c>
      <c r="AE227" s="2">
        <v>41015</v>
      </c>
      <c r="AF227" s="2">
        <v>0</v>
      </c>
      <c r="AG227" s="2">
        <v>0</v>
      </c>
      <c r="AH227" s="2"/>
      <c r="AI227" s="2">
        <v>-7743</v>
      </c>
      <c r="AJ227" s="2">
        <v>-7743</v>
      </c>
      <c r="AK227" s="2">
        <v>-7742</v>
      </c>
      <c r="AL227" s="2">
        <v>0</v>
      </c>
      <c r="AM227" s="2">
        <v>-7743</v>
      </c>
    </row>
    <row r="228" spans="1:39">
      <c r="A228" s="351">
        <v>91917</v>
      </c>
      <c r="B228" s="344" t="s">
        <v>920</v>
      </c>
      <c r="C228" s="360">
        <v>1.22E-5</v>
      </c>
      <c r="E228" s="2">
        <v>5155</v>
      </c>
      <c r="F228" s="2">
        <v>6625</v>
      </c>
      <c r="G228" s="2">
        <v>4264</v>
      </c>
      <c r="H228" s="2">
        <v>1816</v>
      </c>
      <c r="I228" s="2">
        <v>0</v>
      </c>
      <c r="J228" s="2"/>
      <c r="K228" s="2">
        <v>2262</v>
      </c>
      <c r="L228" s="2">
        <v>2084</v>
      </c>
      <c r="M228" s="2">
        <v>1160</v>
      </c>
      <c r="N228" s="2">
        <v>0</v>
      </c>
      <c r="O228" s="2">
        <v>0</v>
      </c>
      <c r="P228" s="2"/>
      <c r="Q228" s="2">
        <v>147</v>
      </c>
      <c r="R228" s="2">
        <v>2051</v>
      </c>
      <c r="S228" s="2">
        <v>2122</v>
      </c>
      <c r="T228" s="2">
        <v>1816</v>
      </c>
      <c r="U228" s="2">
        <v>0</v>
      </c>
      <c r="V228" s="2"/>
      <c r="W228" s="2">
        <v>1791</v>
      </c>
      <c r="X228" s="2">
        <v>1454</v>
      </c>
      <c r="Y228" s="2">
        <v>0</v>
      </c>
      <c r="Z228" s="2">
        <v>0</v>
      </c>
      <c r="AA228" s="2">
        <v>0</v>
      </c>
      <c r="AB228" s="2"/>
      <c r="AC228" s="2">
        <v>1034</v>
      </c>
      <c r="AD228" s="2">
        <v>1036</v>
      </c>
      <c r="AE228" s="2">
        <v>982</v>
      </c>
      <c r="AF228" s="2">
        <v>0</v>
      </c>
      <c r="AG228" s="2">
        <v>0</v>
      </c>
      <c r="AH228" s="2"/>
      <c r="AI228" s="2">
        <v>-79</v>
      </c>
      <c r="AJ228" s="2">
        <v>0</v>
      </c>
      <c r="AK228" s="2">
        <v>0</v>
      </c>
      <c r="AL228" s="2">
        <v>0</v>
      </c>
      <c r="AM228" s="2">
        <v>0</v>
      </c>
    </row>
    <row r="229" spans="1:39">
      <c r="A229" s="351">
        <v>91921</v>
      </c>
      <c r="B229" s="344" t="s">
        <v>921</v>
      </c>
      <c r="C229" s="360">
        <v>3.9310000000000001E-4</v>
      </c>
      <c r="E229" s="2">
        <v>133074</v>
      </c>
      <c r="F229" s="2">
        <v>178508</v>
      </c>
      <c r="G229" s="2">
        <v>109536</v>
      </c>
      <c r="H229" s="2">
        <v>58502</v>
      </c>
      <c r="I229" s="2">
        <v>0</v>
      </c>
      <c r="J229" s="2"/>
      <c r="K229" s="2">
        <v>72884</v>
      </c>
      <c r="L229" s="2">
        <v>67139</v>
      </c>
      <c r="M229" s="2">
        <v>37367</v>
      </c>
      <c r="N229" s="2">
        <v>0</v>
      </c>
      <c r="O229" s="2">
        <v>0</v>
      </c>
      <c r="P229" s="2"/>
      <c r="Q229" s="2">
        <v>4725</v>
      </c>
      <c r="R229" s="2">
        <v>66082</v>
      </c>
      <c r="S229" s="2">
        <v>68367</v>
      </c>
      <c r="T229" s="2">
        <v>58502</v>
      </c>
      <c r="U229" s="2">
        <v>0</v>
      </c>
      <c r="V229" s="2"/>
      <c r="W229" s="2">
        <v>57698</v>
      </c>
      <c r="X229" s="2">
        <v>46841</v>
      </c>
      <c r="Y229" s="2">
        <v>0</v>
      </c>
      <c r="Z229" s="2">
        <v>0</v>
      </c>
      <c r="AA229" s="2">
        <v>0</v>
      </c>
      <c r="AB229" s="2"/>
      <c r="AC229" s="2">
        <v>3802</v>
      </c>
      <c r="AD229" s="2">
        <v>3802</v>
      </c>
      <c r="AE229" s="2">
        <v>3802</v>
      </c>
      <c r="AF229" s="2">
        <v>0</v>
      </c>
      <c r="AG229" s="2">
        <v>0</v>
      </c>
      <c r="AH229" s="2"/>
      <c r="AI229" s="2">
        <v>-6035</v>
      </c>
      <c r="AJ229" s="2">
        <v>-5356</v>
      </c>
      <c r="AK229" s="2">
        <v>0</v>
      </c>
      <c r="AL229" s="2">
        <v>0</v>
      </c>
      <c r="AM229" s="2">
        <v>-5356</v>
      </c>
    </row>
    <row r="230" spans="1:39">
      <c r="A230" s="351">
        <v>92001</v>
      </c>
      <c r="B230" s="344" t="s">
        <v>922</v>
      </c>
      <c r="C230" s="360">
        <v>1.8089E-3</v>
      </c>
      <c r="E230" s="2">
        <v>580715</v>
      </c>
      <c r="F230" s="2">
        <v>819616</v>
      </c>
      <c r="G230" s="2">
        <v>481010</v>
      </c>
      <c r="H230" s="2">
        <v>269204</v>
      </c>
      <c r="I230" s="2">
        <v>0</v>
      </c>
      <c r="J230" s="2"/>
      <c r="K230" s="2">
        <v>335386</v>
      </c>
      <c r="L230" s="2">
        <v>308949</v>
      </c>
      <c r="M230" s="2">
        <v>171950</v>
      </c>
      <c r="N230" s="2">
        <v>0</v>
      </c>
      <c r="O230" s="2">
        <v>0</v>
      </c>
      <c r="P230" s="2"/>
      <c r="Q230" s="2">
        <v>21741</v>
      </c>
      <c r="R230" s="2">
        <v>304085</v>
      </c>
      <c r="S230" s="2">
        <v>314600</v>
      </c>
      <c r="T230" s="2">
        <v>269204</v>
      </c>
      <c r="U230" s="2">
        <v>0</v>
      </c>
      <c r="V230" s="2"/>
      <c r="W230" s="2">
        <v>265503</v>
      </c>
      <c r="X230" s="2">
        <v>215543</v>
      </c>
      <c r="Y230" s="2">
        <v>0</v>
      </c>
      <c r="Z230" s="2">
        <v>0</v>
      </c>
      <c r="AA230" s="2">
        <v>0</v>
      </c>
      <c r="AB230" s="2"/>
      <c r="AC230" s="2">
        <v>8123</v>
      </c>
      <c r="AD230" s="2">
        <v>8123</v>
      </c>
      <c r="AE230" s="2">
        <v>8122</v>
      </c>
      <c r="AF230" s="2">
        <v>0</v>
      </c>
      <c r="AG230" s="2">
        <v>0</v>
      </c>
      <c r="AH230" s="2"/>
      <c r="AI230" s="2">
        <v>-50038</v>
      </c>
      <c r="AJ230" s="2">
        <v>-17084</v>
      </c>
      <c r="AK230" s="2">
        <v>-13662</v>
      </c>
      <c r="AL230" s="2">
        <v>0</v>
      </c>
      <c r="AM230" s="2">
        <v>-17084</v>
      </c>
    </row>
    <row r="231" spans="1:39">
      <c r="A231" s="351">
        <v>92005</v>
      </c>
      <c r="B231" s="344" t="s">
        <v>923</v>
      </c>
      <c r="C231" s="360">
        <v>3.43E-5</v>
      </c>
      <c r="E231" s="2">
        <v>12119</v>
      </c>
      <c r="F231" s="2">
        <v>16488</v>
      </c>
      <c r="G231" s="2">
        <v>9191</v>
      </c>
      <c r="H231" s="2">
        <v>5105</v>
      </c>
      <c r="I231" s="2">
        <v>0</v>
      </c>
      <c r="J231" s="2"/>
      <c r="K231" s="2">
        <v>6360</v>
      </c>
      <c r="L231" s="2">
        <v>5858</v>
      </c>
      <c r="M231" s="2">
        <v>3260</v>
      </c>
      <c r="N231" s="2">
        <v>0</v>
      </c>
      <c r="O231" s="2">
        <v>0</v>
      </c>
      <c r="P231" s="2"/>
      <c r="Q231" s="2">
        <v>412</v>
      </c>
      <c r="R231" s="2">
        <v>5766</v>
      </c>
      <c r="S231" s="2">
        <v>5965</v>
      </c>
      <c r="T231" s="2">
        <v>5105</v>
      </c>
      <c r="U231" s="2">
        <v>0</v>
      </c>
      <c r="V231" s="2"/>
      <c r="W231" s="2">
        <v>5034</v>
      </c>
      <c r="X231" s="2">
        <v>4087</v>
      </c>
      <c r="Y231" s="2">
        <v>0</v>
      </c>
      <c r="Z231" s="2">
        <v>0</v>
      </c>
      <c r="AA231" s="2">
        <v>0</v>
      </c>
      <c r="AB231" s="2"/>
      <c r="AC231" s="2">
        <v>1444</v>
      </c>
      <c r="AD231" s="2">
        <v>1443</v>
      </c>
      <c r="AE231" s="2">
        <v>630</v>
      </c>
      <c r="AF231" s="2">
        <v>0</v>
      </c>
      <c r="AG231" s="2">
        <v>0</v>
      </c>
      <c r="AH231" s="2"/>
      <c r="AI231" s="2">
        <v>-1131</v>
      </c>
      <c r="AJ231" s="2">
        <v>-666</v>
      </c>
      <c r="AK231" s="2">
        <v>-664</v>
      </c>
      <c r="AL231" s="2">
        <v>0</v>
      </c>
      <c r="AM231" s="2">
        <v>-666</v>
      </c>
    </row>
    <row r="232" spans="1:39">
      <c r="A232" s="351">
        <v>92011</v>
      </c>
      <c r="B232" s="344" t="s">
        <v>924</v>
      </c>
      <c r="C232" s="360">
        <v>2.0900000000000001E-4</v>
      </c>
      <c r="E232" s="2">
        <v>76163</v>
      </c>
      <c r="F232" s="2">
        <v>97960</v>
      </c>
      <c r="G232" s="2">
        <v>59887</v>
      </c>
      <c r="H232" s="2">
        <v>31104</v>
      </c>
      <c r="I232" s="2">
        <v>0</v>
      </c>
      <c r="J232" s="2"/>
      <c r="K232" s="2">
        <v>38750</v>
      </c>
      <c r="L232" s="2">
        <v>35696</v>
      </c>
      <c r="M232" s="2">
        <v>19867</v>
      </c>
      <c r="N232" s="2">
        <v>0</v>
      </c>
      <c r="O232" s="2">
        <v>0</v>
      </c>
      <c r="P232" s="2"/>
      <c r="Q232" s="2">
        <v>2512</v>
      </c>
      <c r="R232" s="2">
        <v>35134</v>
      </c>
      <c r="S232" s="2">
        <v>36349</v>
      </c>
      <c r="T232" s="2">
        <v>31104</v>
      </c>
      <c r="U232" s="2">
        <v>0</v>
      </c>
      <c r="V232" s="2"/>
      <c r="W232" s="2">
        <v>30676</v>
      </c>
      <c r="X232" s="2">
        <v>24904</v>
      </c>
      <c r="Y232" s="2">
        <v>0</v>
      </c>
      <c r="Z232" s="2">
        <v>0</v>
      </c>
      <c r="AA232" s="2">
        <v>0</v>
      </c>
      <c r="AB232" s="2"/>
      <c r="AC232" s="2">
        <v>6969</v>
      </c>
      <c r="AD232" s="2">
        <v>4971</v>
      </c>
      <c r="AE232" s="2">
        <v>4971</v>
      </c>
      <c r="AF232" s="2">
        <v>0</v>
      </c>
      <c r="AG232" s="2">
        <v>0</v>
      </c>
      <c r="AH232" s="2"/>
      <c r="AI232" s="2">
        <v>-2744</v>
      </c>
      <c r="AJ232" s="2">
        <v>-2745</v>
      </c>
      <c r="AK232" s="2">
        <v>-1300</v>
      </c>
      <c r="AL232" s="2">
        <v>0</v>
      </c>
      <c r="AM232" s="2">
        <v>-2745</v>
      </c>
    </row>
    <row r="233" spans="1:39">
      <c r="A233" s="351">
        <v>92017</v>
      </c>
      <c r="B233" s="344" t="s">
        <v>925</v>
      </c>
      <c r="C233" s="360">
        <v>3.0000000000000001E-5</v>
      </c>
      <c r="E233" s="2">
        <v>11533</v>
      </c>
      <c r="F233" s="2">
        <v>14853</v>
      </c>
      <c r="G233" s="2">
        <v>8932</v>
      </c>
      <c r="H233" s="2">
        <v>4465</v>
      </c>
      <c r="I233" s="2">
        <v>0</v>
      </c>
      <c r="J233" s="2"/>
      <c r="K233" s="2">
        <v>5562</v>
      </c>
      <c r="L233" s="2">
        <v>5124</v>
      </c>
      <c r="M233" s="2">
        <v>2852</v>
      </c>
      <c r="N233" s="2">
        <v>0</v>
      </c>
      <c r="O233" s="2">
        <v>0</v>
      </c>
      <c r="P233" s="2"/>
      <c r="Q233" s="2">
        <v>361</v>
      </c>
      <c r="R233" s="2">
        <v>5043</v>
      </c>
      <c r="S233" s="2">
        <v>5218</v>
      </c>
      <c r="T233" s="2">
        <v>4465</v>
      </c>
      <c r="U233" s="2">
        <v>0</v>
      </c>
      <c r="V233" s="2"/>
      <c r="W233" s="2">
        <v>4403</v>
      </c>
      <c r="X233" s="2">
        <v>3575</v>
      </c>
      <c r="Y233" s="2">
        <v>0</v>
      </c>
      <c r="Z233" s="2">
        <v>0</v>
      </c>
      <c r="AA233" s="2">
        <v>0</v>
      </c>
      <c r="AB233" s="2"/>
      <c r="AC233" s="2">
        <v>1207</v>
      </c>
      <c r="AD233" s="2">
        <v>1111</v>
      </c>
      <c r="AE233" s="2">
        <v>862</v>
      </c>
      <c r="AF233" s="2">
        <v>0</v>
      </c>
      <c r="AG233" s="2">
        <v>0</v>
      </c>
      <c r="AH233" s="2"/>
      <c r="AI233" s="2">
        <v>0</v>
      </c>
      <c r="AJ233" s="2">
        <v>0</v>
      </c>
      <c r="AK233" s="2">
        <v>0</v>
      </c>
      <c r="AL233" s="2">
        <v>0</v>
      </c>
      <c r="AM233" s="2">
        <v>0</v>
      </c>
    </row>
    <row r="234" spans="1:39">
      <c r="A234" s="351">
        <v>92021</v>
      </c>
      <c r="B234" s="344" t="s">
        <v>926</v>
      </c>
      <c r="C234" s="360">
        <v>1.1519999999999999E-4</v>
      </c>
      <c r="E234" s="2">
        <v>30831</v>
      </c>
      <c r="F234" s="2">
        <v>41341</v>
      </c>
      <c r="G234" s="2">
        <v>24671</v>
      </c>
      <c r="H234" s="2">
        <v>17144</v>
      </c>
      <c r="I234" s="2">
        <v>0</v>
      </c>
      <c r="J234" s="2"/>
      <c r="K234" s="2">
        <v>21359</v>
      </c>
      <c r="L234" s="2">
        <v>19675</v>
      </c>
      <c r="M234" s="2">
        <v>10951</v>
      </c>
      <c r="N234" s="2">
        <v>0</v>
      </c>
      <c r="O234" s="2">
        <v>0</v>
      </c>
      <c r="P234" s="2"/>
      <c r="Q234" s="2">
        <v>1385</v>
      </c>
      <c r="R234" s="2">
        <v>19366</v>
      </c>
      <c r="S234" s="2">
        <v>20035</v>
      </c>
      <c r="T234" s="2">
        <v>17144</v>
      </c>
      <c r="U234" s="2">
        <v>0</v>
      </c>
      <c r="V234" s="2"/>
      <c r="W234" s="2">
        <v>16909</v>
      </c>
      <c r="X234" s="2">
        <v>13727</v>
      </c>
      <c r="Y234" s="2">
        <v>0</v>
      </c>
      <c r="Z234" s="2">
        <v>0</v>
      </c>
      <c r="AA234" s="2">
        <v>0</v>
      </c>
      <c r="AB234" s="2"/>
      <c r="AC234" s="2">
        <v>5212</v>
      </c>
      <c r="AD234" s="2">
        <v>2609</v>
      </c>
      <c r="AE234" s="2">
        <v>2609</v>
      </c>
      <c r="AF234" s="2">
        <v>0</v>
      </c>
      <c r="AG234" s="2">
        <v>0</v>
      </c>
      <c r="AH234" s="2"/>
      <c r="AI234" s="2">
        <v>-14034</v>
      </c>
      <c r="AJ234" s="2">
        <v>-14036</v>
      </c>
      <c r="AK234" s="2">
        <v>-8924</v>
      </c>
      <c r="AL234" s="2">
        <v>0</v>
      </c>
      <c r="AM234" s="2">
        <v>-14036</v>
      </c>
    </row>
    <row r="235" spans="1:39">
      <c r="A235" s="351">
        <v>92101</v>
      </c>
      <c r="B235" s="344" t="s">
        <v>927</v>
      </c>
      <c r="C235" s="360">
        <v>7.6869999999999998E-4</v>
      </c>
      <c r="E235" s="2">
        <v>233553</v>
      </c>
      <c r="F235" s="2">
        <v>328384</v>
      </c>
      <c r="G235" s="2">
        <v>192091</v>
      </c>
      <c r="H235" s="2">
        <v>114399</v>
      </c>
      <c r="I235" s="2">
        <v>0</v>
      </c>
      <c r="J235" s="2"/>
      <c r="K235" s="2">
        <v>142524</v>
      </c>
      <c r="L235" s="2">
        <v>131289</v>
      </c>
      <c r="M235" s="2">
        <v>73071</v>
      </c>
      <c r="N235" s="2">
        <v>0</v>
      </c>
      <c r="O235" s="2">
        <v>0</v>
      </c>
      <c r="P235" s="2"/>
      <c r="Q235" s="2">
        <v>9239</v>
      </c>
      <c r="R235" s="2">
        <v>129222</v>
      </c>
      <c r="S235" s="2">
        <v>133691</v>
      </c>
      <c r="T235" s="2">
        <v>114399</v>
      </c>
      <c r="U235" s="2">
        <v>0</v>
      </c>
      <c r="V235" s="2"/>
      <c r="W235" s="2">
        <v>112827</v>
      </c>
      <c r="X235" s="2">
        <v>91596</v>
      </c>
      <c r="Y235" s="2">
        <v>0</v>
      </c>
      <c r="Z235" s="2">
        <v>0</v>
      </c>
      <c r="AA235" s="2">
        <v>0</v>
      </c>
      <c r="AB235" s="2"/>
      <c r="AC235" s="2">
        <v>0</v>
      </c>
      <c r="AD235" s="2">
        <v>0</v>
      </c>
      <c r="AE235" s="2">
        <v>0</v>
      </c>
      <c r="AF235" s="2">
        <v>0</v>
      </c>
      <c r="AG235" s="2">
        <v>0</v>
      </c>
      <c r="AH235" s="2"/>
      <c r="AI235" s="2">
        <v>-31037</v>
      </c>
      <c r="AJ235" s="2">
        <v>-23723</v>
      </c>
      <c r="AK235" s="2">
        <v>-14671</v>
      </c>
      <c r="AL235" s="2">
        <v>0</v>
      </c>
      <c r="AM235" s="2">
        <v>-23723</v>
      </c>
    </row>
    <row r="236" spans="1:39">
      <c r="A236" s="351">
        <v>92104</v>
      </c>
      <c r="B236" s="344" t="s">
        <v>928</v>
      </c>
      <c r="C236" s="360">
        <v>7.1999999999999997E-6</v>
      </c>
      <c r="E236" s="2">
        <v>3664</v>
      </c>
      <c r="F236" s="2">
        <v>4269</v>
      </c>
      <c r="G236" s="2">
        <v>2690</v>
      </c>
      <c r="H236" s="2">
        <v>1072</v>
      </c>
      <c r="I236" s="2">
        <v>0</v>
      </c>
      <c r="J236" s="2"/>
      <c r="K236" s="2">
        <v>1335</v>
      </c>
      <c r="L236" s="2">
        <v>1230</v>
      </c>
      <c r="M236" s="2">
        <v>684</v>
      </c>
      <c r="N236" s="2">
        <v>0</v>
      </c>
      <c r="O236" s="2">
        <v>0</v>
      </c>
      <c r="P236" s="2"/>
      <c r="Q236" s="2">
        <v>87</v>
      </c>
      <c r="R236" s="2">
        <v>1210</v>
      </c>
      <c r="S236" s="2">
        <v>1252</v>
      </c>
      <c r="T236" s="2">
        <v>1072</v>
      </c>
      <c r="U236" s="2">
        <v>0</v>
      </c>
      <c r="V236" s="2"/>
      <c r="W236" s="2">
        <v>1057</v>
      </c>
      <c r="X236" s="2">
        <v>858</v>
      </c>
      <c r="Y236" s="2">
        <v>0</v>
      </c>
      <c r="Z236" s="2">
        <v>0</v>
      </c>
      <c r="AA236" s="2">
        <v>0</v>
      </c>
      <c r="AB236" s="2"/>
      <c r="AC236" s="2">
        <v>1185</v>
      </c>
      <c r="AD236" s="2">
        <v>971</v>
      </c>
      <c r="AE236" s="2">
        <v>754</v>
      </c>
      <c r="AF236" s="2">
        <v>0</v>
      </c>
      <c r="AG236" s="2">
        <v>0</v>
      </c>
      <c r="AH236" s="2"/>
      <c r="AI236" s="2">
        <v>0</v>
      </c>
      <c r="AJ236" s="2">
        <v>0</v>
      </c>
      <c r="AK236" s="2">
        <v>0</v>
      </c>
      <c r="AL236" s="2">
        <v>0</v>
      </c>
      <c r="AM236" s="2">
        <v>0</v>
      </c>
    </row>
    <row r="237" spans="1:39">
      <c r="A237" s="351">
        <v>92109</v>
      </c>
      <c r="B237" s="344" t="s">
        <v>3662</v>
      </c>
      <c r="C237" s="360">
        <v>1.8359999999999999E-4</v>
      </c>
      <c r="E237" s="2">
        <v>64891</v>
      </c>
      <c r="F237" s="2">
        <v>85709</v>
      </c>
      <c r="G237" s="2">
        <v>54339</v>
      </c>
      <c r="H237" s="2">
        <v>27324</v>
      </c>
      <c r="I237" s="2">
        <v>0</v>
      </c>
      <c r="J237" s="2"/>
      <c r="K237" s="2">
        <v>34041</v>
      </c>
      <c r="L237" s="2">
        <v>31358</v>
      </c>
      <c r="M237" s="2">
        <v>17453</v>
      </c>
      <c r="N237" s="2">
        <v>0</v>
      </c>
      <c r="O237" s="2">
        <v>0</v>
      </c>
      <c r="P237" s="2"/>
      <c r="Q237" s="2">
        <v>2207</v>
      </c>
      <c r="R237" s="2">
        <v>30864</v>
      </c>
      <c r="S237" s="2">
        <v>31931</v>
      </c>
      <c r="T237" s="2">
        <v>27324</v>
      </c>
      <c r="U237" s="2">
        <v>0</v>
      </c>
      <c r="V237" s="2"/>
      <c r="W237" s="2">
        <v>26948</v>
      </c>
      <c r="X237" s="2">
        <v>21877</v>
      </c>
      <c r="Y237" s="2">
        <v>0</v>
      </c>
      <c r="Z237" s="2">
        <v>0</v>
      </c>
      <c r="AA237" s="2">
        <v>0</v>
      </c>
      <c r="AB237" s="2"/>
      <c r="AC237" s="2">
        <v>6276</v>
      </c>
      <c r="AD237" s="2">
        <v>6192</v>
      </c>
      <c r="AE237" s="2">
        <v>6191</v>
      </c>
      <c r="AF237" s="2">
        <v>0</v>
      </c>
      <c r="AG237" s="2">
        <v>0</v>
      </c>
      <c r="AH237" s="2"/>
      <c r="AI237" s="2">
        <v>-4581</v>
      </c>
      <c r="AJ237" s="2">
        <v>-4582</v>
      </c>
      <c r="AK237" s="2">
        <v>-1236</v>
      </c>
      <c r="AL237" s="2">
        <v>0</v>
      </c>
      <c r="AM237" s="2">
        <v>-4582</v>
      </c>
    </row>
    <row r="238" spans="1:39">
      <c r="A238" s="351">
        <v>92111</v>
      </c>
      <c r="B238" s="344" t="s">
        <v>930</v>
      </c>
      <c r="C238" s="360">
        <v>5.4140000000000004E-4</v>
      </c>
      <c r="E238" s="2">
        <v>196893</v>
      </c>
      <c r="F238" s="2">
        <v>257900</v>
      </c>
      <c r="G238" s="2">
        <v>155197</v>
      </c>
      <c r="H238" s="2">
        <v>80572</v>
      </c>
      <c r="I238" s="2">
        <v>0</v>
      </c>
      <c r="J238" s="2"/>
      <c r="K238" s="2">
        <v>100380</v>
      </c>
      <c r="L238" s="2">
        <v>92468</v>
      </c>
      <c r="M238" s="2">
        <v>51464</v>
      </c>
      <c r="N238" s="2">
        <v>0</v>
      </c>
      <c r="O238" s="2">
        <v>0</v>
      </c>
      <c r="P238" s="2"/>
      <c r="Q238" s="2">
        <v>6507</v>
      </c>
      <c r="R238" s="2">
        <v>91012</v>
      </c>
      <c r="S238" s="2">
        <v>94159</v>
      </c>
      <c r="T238" s="2">
        <v>80572</v>
      </c>
      <c r="U238" s="2">
        <v>0</v>
      </c>
      <c r="V238" s="2"/>
      <c r="W238" s="2">
        <v>79465</v>
      </c>
      <c r="X238" s="2">
        <v>64512</v>
      </c>
      <c r="Y238" s="2">
        <v>0</v>
      </c>
      <c r="Z238" s="2">
        <v>0</v>
      </c>
      <c r="AA238" s="2">
        <v>0</v>
      </c>
      <c r="AB238" s="2"/>
      <c r="AC238" s="2">
        <v>17648</v>
      </c>
      <c r="AD238" s="2">
        <v>17015</v>
      </c>
      <c r="AE238" s="2">
        <v>16680</v>
      </c>
      <c r="AF238" s="2">
        <v>0</v>
      </c>
      <c r="AG238" s="2">
        <v>0</v>
      </c>
      <c r="AH238" s="2"/>
      <c r="AI238" s="2">
        <v>-7107</v>
      </c>
      <c r="AJ238" s="2">
        <v>-7107</v>
      </c>
      <c r="AK238" s="2">
        <v>-7106</v>
      </c>
      <c r="AL238" s="2">
        <v>0</v>
      </c>
      <c r="AM238" s="2">
        <v>-7107</v>
      </c>
    </row>
    <row r="239" spans="1:39">
      <c r="A239" s="351">
        <v>92113</v>
      </c>
      <c r="B239" s="344" t="s">
        <v>2759</v>
      </c>
      <c r="C239" s="360">
        <v>1.73E-5</v>
      </c>
      <c r="E239" s="2">
        <v>9402</v>
      </c>
      <c r="F239" s="2">
        <v>11915</v>
      </c>
      <c r="G239" s="2">
        <v>7461</v>
      </c>
      <c r="H239" s="2">
        <v>2575</v>
      </c>
      <c r="I239" s="2">
        <v>0</v>
      </c>
      <c r="J239" s="2"/>
      <c r="K239" s="2">
        <v>3208</v>
      </c>
      <c r="L239" s="2">
        <v>2955</v>
      </c>
      <c r="M239" s="2">
        <v>1645</v>
      </c>
      <c r="N239" s="2">
        <v>0</v>
      </c>
      <c r="O239" s="2">
        <v>0</v>
      </c>
      <c r="P239" s="2"/>
      <c r="Q239" s="2">
        <v>208</v>
      </c>
      <c r="R239" s="2">
        <v>2908</v>
      </c>
      <c r="S239" s="2">
        <v>3009</v>
      </c>
      <c r="T239" s="2">
        <v>2575</v>
      </c>
      <c r="U239" s="2">
        <v>0</v>
      </c>
      <c r="V239" s="2"/>
      <c r="W239" s="2">
        <v>2539</v>
      </c>
      <c r="X239" s="2">
        <v>2061</v>
      </c>
      <c r="Y239" s="2">
        <v>0</v>
      </c>
      <c r="Z239" s="2">
        <v>0</v>
      </c>
      <c r="AA239" s="2">
        <v>0</v>
      </c>
      <c r="AB239" s="2"/>
      <c r="AC239" s="2">
        <v>3990</v>
      </c>
      <c r="AD239" s="2">
        <v>3991</v>
      </c>
      <c r="AE239" s="2">
        <v>2807</v>
      </c>
      <c r="AF239" s="2">
        <v>0</v>
      </c>
      <c r="AG239" s="2">
        <v>0</v>
      </c>
      <c r="AH239" s="2"/>
      <c r="AI239" s="2">
        <v>-543</v>
      </c>
      <c r="AJ239" s="2">
        <v>0</v>
      </c>
      <c r="AK239" s="2">
        <v>0</v>
      </c>
      <c r="AL239" s="2">
        <v>0</v>
      </c>
      <c r="AM239" s="2">
        <v>0</v>
      </c>
    </row>
    <row r="240" spans="1:39">
      <c r="A240" s="351">
        <v>92201</v>
      </c>
      <c r="B240" s="344" t="s">
        <v>932</v>
      </c>
      <c r="C240" s="360">
        <v>9.3099999999999997E-4</v>
      </c>
      <c r="E240" s="2">
        <v>345618</v>
      </c>
      <c r="F240" s="2">
        <v>462453</v>
      </c>
      <c r="G240" s="2">
        <v>286363</v>
      </c>
      <c r="H240" s="2">
        <v>138553</v>
      </c>
      <c r="I240" s="2">
        <v>0</v>
      </c>
      <c r="J240" s="2"/>
      <c r="K240" s="2">
        <v>172616</v>
      </c>
      <c r="L240" s="2">
        <v>159009</v>
      </c>
      <c r="M240" s="2">
        <v>88499</v>
      </c>
      <c r="N240" s="2">
        <v>0</v>
      </c>
      <c r="O240" s="2">
        <v>0</v>
      </c>
      <c r="P240" s="2"/>
      <c r="Q240" s="2">
        <v>11190</v>
      </c>
      <c r="R240" s="2">
        <v>156506</v>
      </c>
      <c r="S240" s="2">
        <v>161918</v>
      </c>
      <c r="T240" s="2">
        <v>138553</v>
      </c>
      <c r="U240" s="2">
        <v>0</v>
      </c>
      <c r="V240" s="2"/>
      <c r="W240" s="2">
        <v>136648</v>
      </c>
      <c r="X240" s="2">
        <v>110935</v>
      </c>
      <c r="Y240" s="2">
        <v>0</v>
      </c>
      <c r="Z240" s="2">
        <v>0</v>
      </c>
      <c r="AA240" s="2">
        <v>0</v>
      </c>
      <c r="AB240" s="2"/>
      <c r="AC240" s="2">
        <v>45841</v>
      </c>
      <c r="AD240" s="2">
        <v>45842</v>
      </c>
      <c r="AE240" s="2">
        <v>45785</v>
      </c>
      <c r="AF240" s="2">
        <v>0</v>
      </c>
      <c r="AG240" s="2">
        <v>0</v>
      </c>
      <c r="AH240" s="2"/>
      <c r="AI240" s="2">
        <v>-20677</v>
      </c>
      <c r="AJ240" s="2">
        <v>-9839</v>
      </c>
      <c r="AK240" s="2">
        <v>-9839</v>
      </c>
      <c r="AL240" s="2">
        <v>0</v>
      </c>
      <c r="AM240" s="2">
        <v>-9839</v>
      </c>
    </row>
    <row r="241" spans="1:39">
      <c r="A241" s="351">
        <v>92214</v>
      </c>
      <c r="B241" s="344" t="s">
        <v>1931</v>
      </c>
      <c r="C241" s="360">
        <v>1.9000000000000001E-5</v>
      </c>
      <c r="E241" s="2">
        <v>9717</v>
      </c>
      <c r="F241" s="2">
        <v>11879</v>
      </c>
      <c r="G241" s="2">
        <v>4782</v>
      </c>
      <c r="H241" s="2">
        <v>2828</v>
      </c>
      <c r="I241" s="2">
        <v>0</v>
      </c>
      <c r="J241" s="2"/>
      <c r="K241" s="2">
        <v>3523</v>
      </c>
      <c r="L241" s="2">
        <v>3245</v>
      </c>
      <c r="M241" s="2">
        <v>1806</v>
      </c>
      <c r="N241" s="2">
        <v>0</v>
      </c>
      <c r="O241" s="2">
        <v>0</v>
      </c>
      <c r="P241" s="2"/>
      <c r="Q241" s="2">
        <v>228</v>
      </c>
      <c r="R241" s="2">
        <v>3194</v>
      </c>
      <c r="S241" s="2">
        <v>3304</v>
      </c>
      <c r="T241" s="2">
        <v>2828</v>
      </c>
      <c r="U241" s="2">
        <v>0</v>
      </c>
      <c r="V241" s="2"/>
      <c r="W241" s="2">
        <v>2789</v>
      </c>
      <c r="X241" s="2">
        <v>2264</v>
      </c>
      <c r="Y241" s="2">
        <v>0</v>
      </c>
      <c r="Z241" s="2">
        <v>0</v>
      </c>
      <c r="AA241" s="2">
        <v>0</v>
      </c>
      <c r="AB241" s="2"/>
      <c r="AC241" s="2">
        <v>3681</v>
      </c>
      <c r="AD241" s="2">
        <v>3680</v>
      </c>
      <c r="AE241" s="2">
        <v>177</v>
      </c>
      <c r="AF241" s="2">
        <v>0</v>
      </c>
      <c r="AG241" s="2">
        <v>0</v>
      </c>
      <c r="AH241" s="2"/>
      <c r="AI241" s="2">
        <v>-504</v>
      </c>
      <c r="AJ241" s="2">
        <v>-504</v>
      </c>
      <c r="AK241" s="2">
        <v>-505</v>
      </c>
      <c r="AL241" s="2">
        <v>0</v>
      </c>
      <c r="AM241" s="2">
        <v>-504</v>
      </c>
    </row>
    <row r="242" spans="1:39">
      <c r="A242" s="351">
        <v>92301</v>
      </c>
      <c r="B242" s="344" t="s">
        <v>933</v>
      </c>
      <c r="C242" s="360">
        <v>5.2855000000000003E-3</v>
      </c>
      <c r="E242" s="2">
        <v>1704251</v>
      </c>
      <c r="F242" s="2">
        <v>2314031</v>
      </c>
      <c r="G242" s="2">
        <v>1305736</v>
      </c>
      <c r="H242" s="2">
        <v>786599</v>
      </c>
      <c r="I242" s="2">
        <v>0</v>
      </c>
      <c r="J242" s="2"/>
      <c r="K242" s="2">
        <v>979979</v>
      </c>
      <c r="L242" s="2">
        <v>902732</v>
      </c>
      <c r="M242" s="2">
        <v>502429</v>
      </c>
      <c r="N242" s="2">
        <v>0</v>
      </c>
      <c r="O242" s="2">
        <v>0</v>
      </c>
      <c r="P242" s="2"/>
      <c r="Q242" s="2">
        <v>63526</v>
      </c>
      <c r="R242" s="2">
        <v>888519</v>
      </c>
      <c r="S242" s="2">
        <v>919244</v>
      </c>
      <c r="T242" s="2">
        <v>786599</v>
      </c>
      <c r="U242" s="2">
        <v>0</v>
      </c>
      <c r="V242" s="2"/>
      <c r="W242" s="2">
        <v>775785</v>
      </c>
      <c r="X242" s="2">
        <v>629804</v>
      </c>
      <c r="Y242" s="2">
        <v>0</v>
      </c>
      <c r="Z242" s="2">
        <v>0</v>
      </c>
      <c r="AA242" s="2">
        <v>0</v>
      </c>
      <c r="AB242" s="2"/>
      <c r="AC242" s="2">
        <v>37045</v>
      </c>
      <c r="AD242" s="2">
        <v>37043</v>
      </c>
      <c r="AE242" s="2">
        <v>28131</v>
      </c>
      <c r="AF242" s="2">
        <v>0</v>
      </c>
      <c r="AG242" s="2">
        <v>0</v>
      </c>
      <c r="AH242" s="2"/>
      <c r="AI242" s="2">
        <v>-152084</v>
      </c>
      <c r="AJ242" s="2">
        <v>-144067</v>
      </c>
      <c r="AK242" s="2">
        <v>-144068</v>
      </c>
      <c r="AL242" s="2">
        <v>0</v>
      </c>
      <c r="AM242" s="2">
        <v>-144067</v>
      </c>
    </row>
    <row r="243" spans="1:39">
      <c r="A243" s="351">
        <v>92302</v>
      </c>
      <c r="B243" s="344" t="s">
        <v>934</v>
      </c>
      <c r="C243" s="360">
        <v>2.9990000000000003E-4</v>
      </c>
      <c r="E243" s="2">
        <v>91728</v>
      </c>
      <c r="F243" s="2">
        <v>131617</v>
      </c>
      <c r="G243" s="2">
        <v>73296</v>
      </c>
      <c r="H243" s="2">
        <v>44632</v>
      </c>
      <c r="I243" s="2">
        <v>0</v>
      </c>
      <c r="J243" s="2"/>
      <c r="K243" s="2">
        <v>55604</v>
      </c>
      <c r="L243" s="2">
        <v>51221</v>
      </c>
      <c r="M243" s="2">
        <v>28508</v>
      </c>
      <c r="N243" s="2">
        <v>0</v>
      </c>
      <c r="O243" s="2">
        <v>0</v>
      </c>
      <c r="P243" s="2"/>
      <c r="Q243" s="2">
        <v>3604</v>
      </c>
      <c r="R243" s="2">
        <v>50415</v>
      </c>
      <c r="S243" s="2">
        <v>52158</v>
      </c>
      <c r="T243" s="2">
        <v>44632</v>
      </c>
      <c r="U243" s="2">
        <v>0</v>
      </c>
      <c r="V243" s="2"/>
      <c r="W243" s="2">
        <v>44018</v>
      </c>
      <c r="X243" s="2">
        <v>35735</v>
      </c>
      <c r="Y243" s="2">
        <v>0</v>
      </c>
      <c r="Z243" s="2">
        <v>0</v>
      </c>
      <c r="AA243" s="2">
        <v>0</v>
      </c>
      <c r="AB243" s="2"/>
      <c r="AC243" s="2">
        <v>1615</v>
      </c>
      <c r="AD243" s="2">
        <v>1616</v>
      </c>
      <c r="AE243" s="2">
        <v>0</v>
      </c>
      <c r="AF243" s="2">
        <v>0</v>
      </c>
      <c r="AG243" s="2">
        <v>0</v>
      </c>
      <c r="AH243" s="2"/>
      <c r="AI243" s="2">
        <v>-13113</v>
      </c>
      <c r="AJ243" s="2">
        <v>-7370</v>
      </c>
      <c r="AK243" s="2">
        <v>-7370</v>
      </c>
      <c r="AL243" s="2">
        <v>0</v>
      </c>
      <c r="AM243" s="2">
        <v>-7370</v>
      </c>
    </row>
    <row r="244" spans="1:39">
      <c r="A244" s="351">
        <v>92311</v>
      </c>
      <c r="B244" s="344" t="s">
        <v>935</v>
      </c>
      <c r="C244" s="360">
        <v>2.3205999999999999E-3</v>
      </c>
      <c r="E244" s="2">
        <v>799481</v>
      </c>
      <c r="F244" s="2">
        <v>1061601</v>
      </c>
      <c r="G244" s="2">
        <v>638254</v>
      </c>
      <c r="H244" s="2">
        <v>345356</v>
      </c>
      <c r="I244" s="2">
        <v>0</v>
      </c>
      <c r="J244" s="2"/>
      <c r="K244" s="2">
        <v>430260</v>
      </c>
      <c r="L244" s="2">
        <v>396345</v>
      </c>
      <c r="M244" s="2">
        <v>220592</v>
      </c>
      <c r="N244" s="2">
        <v>0</v>
      </c>
      <c r="O244" s="2">
        <v>0</v>
      </c>
      <c r="P244" s="2"/>
      <c r="Q244" s="2">
        <v>27891</v>
      </c>
      <c r="R244" s="2">
        <v>390104</v>
      </c>
      <c r="S244" s="2">
        <v>403594</v>
      </c>
      <c r="T244" s="2">
        <v>345356</v>
      </c>
      <c r="U244" s="2">
        <v>0</v>
      </c>
      <c r="V244" s="2"/>
      <c r="W244" s="2">
        <v>340608</v>
      </c>
      <c r="X244" s="2">
        <v>276516</v>
      </c>
      <c r="Y244" s="2">
        <v>0</v>
      </c>
      <c r="Z244" s="2">
        <v>0</v>
      </c>
      <c r="AA244" s="2">
        <v>0</v>
      </c>
      <c r="AB244" s="2"/>
      <c r="AC244" s="2">
        <v>16155</v>
      </c>
      <c r="AD244" s="2">
        <v>14067</v>
      </c>
      <c r="AE244" s="2">
        <v>14068</v>
      </c>
      <c r="AF244" s="2">
        <v>0</v>
      </c>
      <c r="AG244" s="2">
        <v>0</v>
      </c>
      <c r="AH244" s="2"/>
      <c r="AI244" s="2">
        <v>-15433</v>
      </c>
      <c r="AJ244" s="2">
        <v>-15431</v>
      </c>
      <c r="AK244" s="2">
        <v>0</v>
      </c>
      <c r="AL244" s="2">
        <v>0</v>
      </c>
      <c r="AM244" s="2">
        <v>-15431</v>
      </c>
    </row>
    <row r="245" spans="1:39">
      <c r="A245" s="351">
        <v>92317</v>
      </c>
      <c r="B245" s="344" t="s">
        <v>936</v>
      </c>
      <c r="C245" s="360">
        <v>3.3800000000000002E-5</v>
      </c>
      <c r="E245" s="2">
        <v>22077</v>
      </c>
      <c r="F245" s="2">
        <v>24108</v>
      </c>
      <c r="G245" s="2">
        <v>16620</v>
      </c>
      <c r="H245" s="2">
        <v>5030</v>
      </c>
      <c r="I245" s="2">
        <v>0</v>
      </c>
      <c r="J245" s="2"/>
      <c r="K245" s="2">
        <v>6267</v>
      </c>
      <c r="L245" s="2">
        <v>5773</v>
      </c>
      <c r="M245" s="2">
        <v>3213</v>
      </c>
      <c r="N245" s="2">
        <v>0</v>
      </c>
      <c r="O245" s="2">
        <v>0</v>
      </c>
      <c r="P245" s="2"/>
      <c r="Q245" s="2">
        <v>406</v>
      </c>
      <c r="R245" s="2">
        <v>5682</v>
      </c>
      <c r="S245" s="2">
        <v>5878</v>
      </c>
      <c r="T245" s="2">
        <v>5030</v>
      </c>
      <c r="U245" s="2">
        <v>0</v>
      </c>
      <c r="V245" s="2"/>
      <c r="W245" s="2">
        <v>4961</v>
      </c>
      <c r="X245" s="2">
        <v>4028</v>
      </c>
      <c r="Y245" s="2">
        <v>0</v>
      </c>
      <c r="Z245" s="2">
        <v>0</v>
      </c>
      <c r="AA245" s="2">
        <v>0</v>
      </c>
      <c r="AB245" s="2"/>
      <c r="AC245" s="2">
        <v>10443</v>
      </c>
      <c r="AD245" s="2">
        <v>8625</v>
      </c>
      <c r="AE245" s="2">
        <v>7529</v>
      </c>
      <c r="AF245" s="2">
        <v>0</v>
      </c>
      <c r="AG245" s="2">
        <v>0</v>
      </c>
      <c r="AH245" s="2"/>
      <c r="AI245" s="2">
        <v>0</v>
      </c>
      <c r="AJ245" s="2">
        <v>0</v>
      </c>
      <c r="AK245" s="2">
        <v>0</v>
      </c>
      <c r="AL245" s="2">
        <v>0</v>
      </c>
      <c r="AM245" s="2">
        <v>0</v>
      </c>
    </row>
    <row r="246" spans="1:39">
      <c r="A246" s="351">
        <v>92321</v>
      </c>
      <c r="B246" s="344" t="s">
        <v>937</v>
      </c>
      <c r="C246" s="360">
        <v>1.3334E-3</v>
      </c>
      <c r="E246" s="2">
        <v>514896</v>
      </c>
      <c r="F246" s="2">
        <v>671629</v>
      </c>
      <c r="G246" s="2">
        <v>409228</v>
      </c>
      <c r="H246" s="2">
        <v>198439</v>
      </c>
      <c r="I246" s="2">
        <v>0</v>
      </c>
      <c r="J246" s="2"/>
      <c r="K246" s="2">
        <v>247224</v>
      </c>
      <c r="L246" s="2">
        <v>227737</v>
      </c>
      <c r="M246" s="2">
        <v>126750</v>
      </c>
      <c r="N246" s="2">
        <v>0</v>
      </c>
      <c r="O246" s="2">
        <v>0</v>
      </c>
      <c r="P246" s="2"/>
      <c r="Q246" s="2">
        <v>16026</v>
      </c>
      <c r="R246" s="2">
        <v>224151</v>
      </c>
      <c r="S246" s="2">
        <v>231902</v>
      </c>
      <c r="T246" s="2">
        <v>198439</v>
      </c>
      <c r="U246" s="2">
        <v>0</v>
      </c>
      <c r="V246" s="2"/>
      <c r="W246" s="2">
        <v>195711</v>
      </c>
      <c r="X246" s="2">
        <v>158884</v>
      </c>
      <c r="Y246" s="2">
        <v>0</v>
      </c>
      <c r="Z246" s="2">
        <v>0</v>
      </c>
      <c r="AA246" s="2">
        <v>0</v>
      </c>
      <c r="AB246" s="2"/>
      <c r="AC246" s="2">
        <v>63266</v>
      </c>
      <c r="AD246" s="2">
        <v>63268</v>
      </c>
      <c r="AE246" s="2">
        <v>52988</v>
      </c>
      <c r="AF246" s="2">
        <v>0</v>
      </c>
      <c r="AG246" s="2">
        <v>0</v>
      </c>
      <c r="AH246" s="2"/>
      <c r="AI246" s="2">
        <v>-7331</v>
      </c>
      <c r="AJ246" s="2">
        <v>-2411</v>
      </c>
      <c r="AK246" s="2">
        <v>-2412</v>
      </c>
      <c r="AL246" s="2">
        <v>0</v>
      </c>
      <c r="AM246" s="2">
        <v>-2411</v>
      </c>
    </row>
    <row r="247" spans="1:39">
      <c r="A247" s="351">
        <v>92327</v>
      </c>
      <c r="B247" s="344" t="s">
        <v>938</v>
      </c>
      <c r="C247" s="360">
        <v>6.2999999999999998E-6</v>
      </c>
      <c r="E247" s="2">
        <v>5395</v>
      </c>
      <c r="F247" s="2">
        <v>5826</v>
      </c>
      <c r="G247" s="2">
        <v>3692</v>
      </c>
      <c r="H247" s="2">
        <v>938</v>
      </c>
      <c r="I247" s="2">
        <v>0</v>
      </c>
      <c r="J247" s="2"/>
      <c r="K247" s="2">
        <v>1168</v>
      </c>
      <c r="L247" s="2">
        <v>1076</v>
      </c>
      <c r="M247" s="2">
        <v>599</v>
      </c>
      <c r="N247" s="2">
        <v>0</v>
      </c>
      <c r="O247" s="2">
        <v>0</v>
      </c>
      <c r="P247" s="2"/>
      <c r="Q247" s="2">
        <v>76</v>
      </c>
      <c r="R247" s="2">
        <v>1059</v>
      </c>
      <c r="S247" s="2">
        <v>1096</v>
      </c>
      <c r="T247" s="2">
        <v>938</v>
      </c>
      <c r="U247" s="2">
        <v>0</v>
      </c>
      <c r="V247" s="2"/>
      <c r="W247" s="2">
        <v>925</v>
      </c>
      <c r="X247" s="2">
        <v>751</v>
      </c>
      <c r="Y247" s="2">
        <v>0</v>
      </c>
      <c r="Z247" s="2">
        <v>0</v>
      </c>
      <c r="AA247" s="2">
        <v>0</v>
      </c>
      <c r="AB247" s="2"/>
      <c r="AC247" s="2">
        <v>3226</v>
      </c>
      <c r="AD247" s="2">
        <v>2940</v>
      </c>
      <c r="AE247" s="2">
        <v>1997</v>
      </c>
      <c r="AF247" s="2">
        <v>0</v>
      </c>
      <c r="AG247" s="2">
        <v>0</v>
      </c>
      <c r="AH247" s="2"/>
      <c r="AI247" s="2">
        <v>0</v>
      </c>
      <c r="AJ247" s="2">
        <v>0</v>
      </c>
      <c r="AK247" s="2">
        <v>0</v>
      </c>
      <c r="AL247" s="2">
        <v>0</v>
      </c>
      <c r="AM247" s="2">
        <v>0</v>
      </c>
    </row>
    <row r="248" spans="1:39">
      <c r="A248" s="351">
        <v>92331</v>
      </c>
      <c r="B248" s="344" t="s">
        <v>939</v>
      </c>
      <c r="C248" s="360">
        <v>1.381E-4</v>
      </c>
      <c r="E248" s="2">
        <v>53978</v>
      </c>
      <c r="F248" s="2">
        <v>70285</v>
      </c>
      <c r="G248" s="2">
        <v>45261</v>
      </c>
      <c r="H248" s="2">
        <v>20552</v>
      </c>
      <c r="I248" s="2">
        <v>0</v>
      </c>
      <c r="J248" s="2"/>
      <c r="K248" s="2">
        <v>25605</v>
      </c>
      <c r="L248" s="2">
        <v>23587</v>
      </c>
      <c r="M248" s="2">
        <v>13128</v>
      </c>
      <c r="N248" s="2">
        <v>0</v>
      </c>
      <c r="O248" s="2">
        <v>0</v>
      </c>
      <c r="P248" s="2"/>
      <c r="Q248" s="2">
        <v>1660</v>
      </c>
      <c r="R248" s="2">
        <v>23215</v>
      </c>
      <c r="S248" s="2">
        <v>24018</v>
      </c>
      <c r="T248" s="2">
        <v>20552</v>
      </c>
      <c r="U248" s="2">
        <v>0</v>
      </c>
      <c r="V248" s="2"/>
      <c r="W248" s="2">
        <v>20270</v>
      </c>
      <c r="X248" s="2">
        <v>16456</v>
      </c>
      <c r="Y248" s="2">
        <v>0</v>
      </c>
      <c r="Z248" s="2">
        <v>0</v>
      </c>
      <c r="AA248" s="2">
        <v>0</v>
      </c>
      <c r="AB248" s="2"/>
      <c r="AC248" s="2">
        <v>8118</v>
      </c>
      <c r="AD248" s="2">
        <v>8118</v>
      </c>
      <c r="AE248" s="2">
        <v>8115</v>
      </c>
      <c r="AF248" s="2">
        <v>0</v>
      </c>
      <c r="AG248" s="2">
        <v>0</v>
      </c>
      <c r="AH248" s="2"/>
      <c r="AI248" s="2">
        <v>-1675</v>
      </c>
      <c r="AJ248" s="2">
        <v>-1091</v>
      </c>
      <c r="AK248" s="2">
        <v>0</v>
      </c>
      <c r="AL248" s="2">
        <v>0</v>
      </c>
      <c r="AM248" s="2">
        <v>-1091</v>
      </c>
    </row>
    <row r="249" spans="1:39">
      <c r="A249" s="351">
        <v>92341</v>
      </c>
      <c r="B249" s="344" t="s">
        <v>940</v>
      </c>
      <c r="C249" s="360">
        <v>7.7999999999999999E-6</v>
      </c>
      <c r="E249" s="2">
        <v>1484</v>
      </c>
      <c r="F249" s="2">
        <v>2315</v>
      </c>
      <c r="G249" s="2">
        <v>1196</v>
      </c>
      <c r="H249" s="2">
        <v>1161</v>
      </c>
      <c r="I249" s="2">
        <v>0</v>
      </c>
      <c r="J249" s="2"/>
      <c r="K249" s="2">
        <v>1446</v>
      </c>
      <c r="L249" s="2">
        <v>1332</v>
      </c>
      <c r="M249" s="2">
        <v>741</v>
      </c>
      <c r="N249" s="2">
        <v>0</v>
      </c>
      <c r="O249" s="2">
        <v>0</v>
      </c>
      <c r="P249" s="2"/>
      <c r="Q249" s="2">
        <v>94</v>
      </c>
      <c r="R249" s="2">
        <v>1311</v>
      </c>
      <c r="S249" s="2">
        <v>1357</v>
      </c>
      <c r="T249" s="2">
        <v>1161</v>
      </c>
      <c r="U249" s="2">
        <v>0</v>
      </c>
      <c r="V249" s="2"/>
      <c r="W249" s="2">
        <v>1145</v>
      </c>
      <c r="X249" s="2">
        <v>929</v>
      </c>
      <c r="Y249" s="2">
        <v>0</v>
      </c>
      <c r="Z249" s="2">
        <v>0</v>
      </c>
      <c r="AA249" s="2">
        <v>0</v>
      </c>
      <c r="AB249" s="2"/>
      <c r="AC249" s="2">
        <v>56</v>
      </c>
      <c r="AD249" s="2">
        <v>0</v>
      </c>
      <c r="AE249" s="2">
        <v>0</v>
      </c>
      <c r="AF249" s="2">
        <v>0</v>
      </c>
      <c r="AG249" s="2">
        <v>0</v>
      </c>
      <c r="AH249" s="2"/>
      <c r="AI249" s="2">
        <v>-1257</v>
      </c>
      <c r="AJ249" s="2">
        <v>-1257</v>
      </c>
      <c r="AK249" s="2">
        <v>-902</v>
      </c>
      <c r="AL249" s="2">
        <v>0</v>
      </c>
      <c r="AM249" s="2">
        <v>-1257</v>
      </c>
    </row>
    <row r="250" spans="1:39">
      <c r="A250" s="351">
        <v>92351</v>
      </c>
      <c r="B250" s="344" t="s">
        <v>941</v>
      </c>
      <c r="C250" s="360">
        <v>2.48E-5</v>
      </c>
      <c r="E250" s="2">
        <v>12630</v>
      </c>
      <c r="F250" s="2">
        <v>15412</v>
      </c>
      <c r="G250" s="2">
        <v>9918</v>
      </c>
      <c r="H250" s="2">
        <v>3691</v>
      </c>
      <c r="I250" s="2">
        <v>0</v>
      </c>
      <c r="J250" s="2"/>
      <c r="K250" s="2">
        <v>4598</v>
      </c>
      <c r="L250" s="2">
        <v>4236</v>
      </c>
      <c r="M250" s="2">
        <v>2357</v>
      </c>
      <c r="N250" s="2">
        <v>0</v>
      </c>
      <c r="O250" s="2">
        <v>0</v>
      </c>
      <c r="P250" s="2"/>
      <c r="Q250" s="2">
        <v>298</v>
      </c>
      <c r="R250" s="2">
        <v>4169</v>
      </c>
      <c r="S250" s="2">
        <v>4313</v>
      </c>
      <c r="T250" s="2">
        <v>3691</v>
      </c>
      <c r="U250" s="2">
        <v>0</v>
      </c>
      <c r="V250" s="2"/>
      <c r="W250" s="2">
        <v>3640</v>
      </c>
      <c r="X250" s="2">
        <v>2955</v>
      </c>
      <c r="Y250" s="2">
        <v>0</v>
      </c>
      <c r="Z250" s="2">
        <v>0</v>
      </c>
      <c r="AA250" s="2">
        <v>0</v>
      </c>
      <c r="AB250" s="2"/>
      <c r="AC250" s="2">
        <v>4275</v>
      </c>
      <c r="AD250" s="2">
        <v>4233</v>
      </c>
      <c r="AE250" s="2">
        <v>3429</v>
      </c>
      <c r="AF250" s="2">
        <v>0</v>
      </c>
      <c r="AG250" s="2">
        <v>0</v>
      </c>
      <c r="AH250" s="2"/>
      <c r="AI250" s="2">
        <v>-181</v>
      </c>
      <c r="AJ250" s="2">
        <v>-181</v>
      </c>
      <c r="AK250" s="2">
        <v>-181</v>
      </c>
      <c r="AL250" s="2">
        <v>0</v>
      </c>
      <c r="AM250" s="2">
        <v>-181</v>
      </c>
    </row>
    <row r="251" spans="1:39">
      <c r="A251" s="351">
        <v>92401</v>
      </c>
      <c r="B251" s="344" t="s">
        <v>942</v>
      </c>
      <c r="C251" s="360">
        <v>2.5820999999999999E-3</v>
      </c>
      <c r="E251" s="2">
        <v>911639</v>
      </c>
      <c r="F251" s="2">
        <v>1201095</v>
      </c>
      <c r="G251" s="2">
        <v>726437</v>
      </c>
      <c r="H251" s="2">
        <v>384273</v>
      </c>
      <c r="I251" s="2">
        <v>0</v>
      </c>
      <c r="J251" s="2"/>
      <c r="K251" s="2">
        <v>478745</v>
      </c>
      <c r="L251" s="2">
        <v>441007</v>
      </c>
      <c r="M251" s="2">
        <v>245449</v>
      </c>
      <c r="N251" s="2">
        <v>0</v>
      </c>
      <c r="O251" s="2">
        <v>0</v>
      </c>
      <c r="P251" s="2"/>
      <c r="Q251" s="2">
        <v>31034</v>
      </c>
      <c r="R251" s="2">
        <v>434064</v>
      </c>
      <c r="S251" s="2">
        <v>449074</v>
      </c>
      <c r="T251" s="2">
        <v>384273</v>
      </c>
      <c r="U251" s="2">
        <v>0</v>
      </c>
      <c r="V251" s="2"/>
      <c r="W251" s="2">
        <v>378990</v>
      </c>
      <c r="X251" s="2">
        <v>307675</v>
      </c>
      <c r="Y251" s="2">
        <v>0</v>
      </c>
      <c r="Z251" s="2">
        <v>0</v>
      </c>
      <c r="AA251" s="2">
        <v>0</v>
      </c>
      <c r="AB251" s="2"/>
      <c r="AC251" s="2">
        <v>58908</v>
      </c>
      <c r="AD251" s="2">
        <v>54385</v>
      </c>
      <c r="AE251" s="2">
        <v>54384</v>
      </c>
      <c r="AF251" s="2">
        <v>0</v>
      </c>
      <c r="AG251" s="2">
        <v>0</v>
      </c>
      <c r="AH251" s="2"/>
      <c r="AI251" s="2">
        <v>-36038</v>
      </c>
      <c r="AJ251" s="2">
        <v>-36036</v>
      </c>
      <c r="AK251" s="2">
        <v>-22470</v>
      </c>
      <c r="AL251" s="2">
        <v>0</v>
      </c>
      <c r="AM251" s="2">
        <v>-36036</v>
      </c>
    </row>
    <row r="252" spans="1:39">
      <c r="A252" s="351">
        <v>92403</v>
      </c>
      <c r="B252" s="344" t="s">
        <v>943</v>
      </c>
      <c r="C252" s="360">
        <v>8.3000000000000002E-6</v>
      </c>
      <c r="E252" s="2">
        <v>4217</v>
      </c>
      <c r="F252" s="2">
        <v>4782</v>
      </c>
      <c r="G252" s="2">
        <v>3128</v>
      </c>
      <c r="H252" s="2">
        <v>1235</v>
      </c>
      <c r="I252" s="2">
        <v>0</v>
      </c>
      <c r="J252" s="2"/>
      <c r="K252" s="2">
        <v>1539</v>
      </c>
      <c r="L252" s="2">
        <v>1418</v>
      </c>
      <c r="M252" s="2">
        <v>789</v>
      </c>
      <c r="N252" s="2">
        <v>0</v>
      </c>
      <c r="O252" s="2">
        <v>0</v>
      </c>
      <c r="P252" s="2"/>
      <c r="Q252" s="2">
        <v>100</v>
      </c>
      <c r="R252" s="2">
        <v>1395</v>
      </c>
      <c r="S252" s="2">
        <v>1444</v>
      </c>
      <c r="T252" s="2">
        <v>1235</v>
      </c>
      <c r="U252" s="2">
        <v>0</v>
      </c>
      <c r="V252" s="2"/>
      <c r="W252" s="2">
        <v>1218</v>
      </c>
      <c r="X252" s="2">
        <v>989</v>
      </c>
      <c r="Y252" s="2">
        <v>0</v>
      </c>
      <c r="Z252" s="2">
        <v>0</v>
      </c>
      <c r="AA252" s="2">
        <v>0</v>
      </c>
      <c r="AB252" s="2"/>
      <c r="AC252" s="2">
        <v>1360</v>
      </c>
      <c r="AD252" s="2">
        <v>980</v>
      </c>
      <c r="AE252" s="2">
        <v>895</v>
      </c>
      <c r="AF252" s="2">
        <v>0</v>
      </c>
      <c r="AG252" s="2">
        <v>0</v>
      </c>
      <c r="AH252" s="2"/>
      <c r="AI252" s="2">
        <v>0</v>
      </c>
      <c r="AJ252" s="2">
        <v>0</v>
      </c>
      <c r="AK252" s="2">
        <v>0</v>
      </c>
      <c r="AL252" s="2">
        <v>0</v>
      </c>
      <c r="AM252" s="2">
        <v>0</v>
      </c>
    </row>
    <row r="253" spans="1:39">
      <c r="A253" s="351">
        <v>92411</v>
      </c>
      <c r="B253" s="344" t="s">
        <v>944</v>
      </c>
      <c r="C253" s="360">
        <v>4.8109999999999998E-4</v>
      </c>
      <c r="E253" s="2">
        <v>161224</v>
      </c>
      <c r="F253" s="2">
        <v>217502</v>
      </c>
      <c r="G253" s="2">
        <v>138150</v>
      </c>
      <c r="H253" s="2">
        <v>71598</v>
      </c>
      <c r="I253" s="2">
        <v>0</v>
      </c>
      <c r="J253" s="2"/>
      <c r="K253" s="2">
        <v>89200</v>
      </c>
      <c r="L253" s="2">
        <v>82169</v>
      </c>
      <c r="M253" s="2">
        <v>45732</v>
      </c>
      <c r="N253" s="2">
        <v>0</v>
      </c>
      <c r="O253" s="2">
        <v>0</v>
      </c>
      <c r="P253" s="2"/>
      <c r="Q253" s="2">
        <v>5782</v>
      </c>
      <c r="R253" s="2">
        <v>80875</v>
      </c>
      <c r="S253" s="2">
        <v>83672</v>
      </c>
      <c r="T253" s="2">
        <v>71598</v>
      </c>
      <c r="U253" s="2">
        <v>0</v>
      </c>
      <c r="V253" s="2"/>
      <c r="W253" s="2">
        <v>70614</v>
      </c>
      <c r="X253" s="2">
        <v>57326</v>
      </c>
      <c r="Y253" s="2">
        <v>0</v>
      </c>
      <c r="Z253" s="2">
        <v>0</v>
      </c>
      <c r="AA253" s="2">
        <v>0</v>
      </c>
      <c r="AB253" s="2"/>
      <c r="AC253" s="2">
        <v>8748</v>
      </c>
      <c r="AD253" s="2">
        <v>8748</v>
      </c>
      <c r="AE253" s="2">
        <v>8746</v>
      </c>
      <c r="AF253" s="2">
        <v>0</v>
      </c>
      <c r="AG253" s="2">
        <v>0</v>
      </c>
      <c r="AH253" s="2"/>
      <c r="AI253" s="2">
        <v>-13120</v>
      </c>
      <c r="AJ253" s="2">
        <v>-11616</v>
      </c>
      <c r="AK253" s="2">
        <v>0</v>
      </c>
      <c r="AL253" s="2">
        <v>0</v>
      </c>
      <c r="AM253" s="2">
        <v>-11616</v>
      </c>
    </row>
    <row r="254" spans="1:39">
      <c r="A254" s="351">
        <v>92417</v>
      </c>
      <c r="B254" s="344" t="s">
        <v>945</v>
      </c>
      <c r="C254" s="360">
        <v>1.15E-5</v>
      </c>
      <c r="E254" s="2">
        <v>-510</v>
      </c>
      <c r="F254" s="2">
        <v>1183</v>
      </c>
      <c r="G254" s="2">
        <v>-526</v>
      </c>
      <c r="H254" s="2">
        <v>1711</v>
      </c>
      <c r="I254" s="2">
        <v>0</v>
      </c>
      <c r="J254" s="2"/>
      <c r="K254" s="2">
        <v>2132</v>
      </c>
      <c r="L254" s="2">
        <v>1964</v>
      </c>
      <c r="M254" s="2">
        <v>1093</v>
      </c>
      <c r="N254" s="2">
        <v>0</v>
      </c>
      <c r="O254" s="2">
        <v>0</v>
      </c>
      <c r="P254" s="2"/>
      <c r="Q254" s="2">
        <v>138</v>
      </c>
      <c r="R254" s="2">
        <v>1933</v>
      </c>
      <c r="S254" s="2">
        <v>2000</v>
      </c>
      <c r="T254" s="2">
        <v>1711</v>
      </c>
      <c r="U254" s="2">
        <v>0</v>
      </c>
      <c r="V254" s="2"/>
      <c r="W254" s="2">
        <v>1688</v>
      </c>
      <c r="X254" s="2">
        <v>1370</v>
      </c>
      <c r="Y254" s="2">
        <v>0</v>
      </c>
      <c r="Z254" s="2">
        <v>0</v>
      </c>
      <c r="AA254" s="2">
        <v>0</v>
      </c>
      <c r="AB254" s="2"/>
      <c r="AC254" s="2">
        <v>0</v>
      </c>
      <c r="AD254" s="2">
        <v>0</v>
      </c>
      <c r="AE254" s="2">
        <v>0</v>
      </c>
      <c r="AF254" s="2">
        <v>0</v>
      </c>
      <c r="AG254" s="2">
        <v>0</v>
      </c>
      <c r="AH254" s="2"/>
      <c r="AI254" s="2">
        <v>-4468</v>
      </c>
      <c r="AJ254" s="2">
        <v>-4084</v>
      </c>
      <c r="AK254" s="2">
        <v>-3619</v>
      </c>
      <c r="AL254" s="2">
        <v>0</v>
      </c>
      <c r="AM254" s="2">
        <v>-4084</v>
      </c>
    </row>
    <row r="255" spans="1:39">
      <c r="A255" s="351">
        <v>92421</v>
      </c>
      <c r="B255" s="344" t="s">
        <v>946</v>
      </c>
      <c r="C255" s="360">
        <v>1.7900000000000001E-5</v>
      </c>
      <c r="E255" s="2">
        <v>9839</v>
      </c>
      <c r="F255" s="2">
        <v>11199</v>
      </c>
      <c r="G255" s="2">
        <v>6822</v>
      </c>
      <c r="H255" s="2">
        <v>2664</v>
      </c>
      <c r="I255" s="2">
        <v>0</v>
      </c>
      <c r="J255" s="2"/>
      <c r="K255" s="2">
        <v>3319</v>
      </c>
      <c r="L255" s="2">
        <v>3057</v>
      </c>
      <c r="M255" s="2">
        <v>1702</v>
      </c>
      <c r="N255" s="2">
        <v>0</v>
      </c>
      <c r="O255" s="2">
        <v>0</v>
      </c>
      <c r="P255" s="2"/>
      <c r="Q255" s="2">
        <v>215</v>
      </c>
      <c r="R255" s="2">
        <v>3009</v>
      </c>
      <c r="S255" s="2">
        <v>3113</v>
      </c>
      <c r="T255" s="2">
        <v>2664</v>
      </c>
      <c r="U255" s="2">
        <v>0</v>
      </c>
      <c r="V255" s="2"/>
      <c r="W255" s="2">
        <v>2627</v>
      </c>
      <c r="X255" s="2">
        <v>2133</v>
      </c>
      <c r="Y255" s="2">
        <v>0</v>
      </c>
      <c r="Z255" s="2">
        <v>0</v>
      </c>
      <c r="AA255" s="2">
        <v>0</v>
      </c>
      <c r="AB255" s="2"/>
      <c r="AC255" s="2">
        <v>3678</v>
      </c>
      <c r="AD255" s="2">
        <v>3000</v>
      </c>
      <c r="AE255" s="2">
        <v>2007</v>
      </c>
      <c r="AF255" s="2">
        <v>0</v>
      </c>
      <c r="AG255" s="2">
        <v>0</v>
      </c>
      <c r="AH255" s="2"/>
      <c r="AI255" s="2">
        <v>0</v>
      </c>
      <c r="AJ255" s="2">
        <v>0</v>
      </c>
      <c r="AK255" s="2">
        <v>0</v>
      </c>
      <c r="AL255" s="2">
        <v>0</v>
      </c>
      <c r="AM255" s="2">
        <v>0</v>
      </c>
    </row>
    <row r="256" spans="1:39">
      <c r="A256" s="351">
        <v>92427</v>
      </c>
      <c r="B256" s="344" t="s">
        <v>947</v>
      </c>
      <c r="C256" s="360">
        <v>1.7E-6</v>
      </c>
      <c r="E256" s="2">
        <v>1520</v>
      </c>
      <c r="F256" s="2">
        <v>1509</v>
      </c>
      <c r="G256" s="2">
        <v>759</v>
      </c>
      <c r="H256" s="2">
        <v>253</v>
      </c>
      <c r="I256" s="2">
        <v>0</v>
      </c>
      <c r="J256" s="2"/>
      <c r="K256" s="2">
        <v>315</v>
      </c>
      <c r="L256" s="2">
        <v>290</v>
      </c>
      <c r="M256" s="2">
        <v>162</v>
      </c>
      <c r="N256" s="2">
        <v>0</v>
      </c>
      <c r="O256" s="2">
        <v>0</v>
      </c>
      <c r="P256" s="2"/>
      <c r="Q256" s="2">
        <v>20</v>
      </c>
      <c r="R256" s="2">
        <v>286</v>
      </c>
      <c r="S256" s="2">
        <v>296</v>
      </c>
      <c r="T256" s="2">
        <v>253</v>
      </c>
      <c r="U256" s="2">
        <v>0</v>
      </c>
      <c r="V256" s="2"/>
      <c r="W256" s="2">
        <v>250</v>
      </c>
      <c r="X256" s="2">
        <v>203</v>
      </c>
      <c r="Y256" s="2">
        <v>0</v>
      </c>
      <c r="Z256" s="2">
        <v>0</v>
      </c>
      <c r="AA256" s="2">
        <v>0</v>
      </c>
      <c r="AB256" s="2"/>
      <c r="AC256" s="2">
        <v>935</v>
      </c>
      <c r="AD256" s="2">
        <v>730</v>
      </c>
      <c r="AE256" s="2">
        <v>301</v>
      </c>
      <c r="AF256" s="2">
        <v>0</v>
      </c>
      <c r="AG256" s="2">
        <v>0</v>
      </c>
      <c r="AH256" s="2"/>
      <c r="AI256" s="2">
        <v>0</v>
      </c>
      <c r="AJ256" s="2">
        <v>0</v>
      </c>
      <c r="AK256" s="2">
        <v>0</v>
      </c>
      <c r="AL256" s="2">
        <v>0</v>
      </c>
      <c r="AM256" s="2">
        <v>0</v>
      </c>
    </row>
    <row r="257" spans="1:39">
      <c r="A257" s="351">
        <v>92431</v>
      </c>
      <c r="B257" s="344" t="s">
        <v>948</v>
      </c>
      <c r="C257" s="360">
        <v>2.34E-5</v>
      </c>
      <c r="E257" s="2">
        <v>13395</v>
      </c>
      <c r="F257" s="2">
        <v>12336</v>
      </c>
      <c r="G257" s="2">
        <v>8329</v>
      </c>
      <c r="H257" s="2">
        <v>3482</v>
      </c>
      <c r="I257" s="2">
        <v>0</v>
      </c>
      <c r="J257" s="2"/>
      <c r="K257" s="2">
        <v>4339</v>
      </c>
      <c r="L257" s="2">
        <v>3997</v>
      </c>
      <c r="M257" s="2">
        <v>2224</v>
      </c>
      <c r="N257" s="2">
        <v>0</v>
      </c>
      <c r="O257" s="2">
        <v>0</v>
      </c>
      <c r="P257" s="2"/>
      <c r="Q257" s="2">
        <v>281</v>
      </c>
      <c r="R257" s="2">
        <v>3934</v>
      </c>
      <c r="S257" s="2">
        <v>4070</v>
      </c>
      <c r="T257" s="2">
        <v>3482</v>
      </c>
      <c r="U257" s="2">
        <v>0</v>
      </c>
      <c r="V257" s="2"/>
      <c r="W257" s="2">
        <v>3435</v>
      </c>
      <c r="X257" s="2">
        <v>2788</v>
      </c>
      <c r="Y257" s="2">
        <v>0</v>
      </c>
      <c r="Z257" s="2">
        <v>0</v>
      </c>
      <c r="AA257" s="2">
        <v>0</v>
      </c>
      <c r="AB257" s="2"/>
      <c r="AC257" s="2">
        <v>5760</v>
      </c>
      <c r="AD257" s="2">
        <v>2036</v>
      </c>
      <c r="AE257" s="2">
        <v>2035</v>
      </c>
      <c r="AF257" s="2">
        <v>0</v>
      </c>
      <c r="AG257" s="2">
        <v>0</v>
      </c>
      <c r="AH257" s="2"/>
      <c r="AI257" s="2">
        <v>-420</v>
      </c>
      <c r="AJ257" s="2">
        <v>-419</v>
      </c>
      <c r="AK257" s="2">
        <v>0</v>
      </c>
      <c r="AL257" s="2">
        <v>0</v>
      </c>
      <c r="AM257" s="2">
        <v>-419</v>
      </c>
    </row>
    <row r="258" spans="1:39">
      <c r="A258" s="351">
        <v>92441</v>
      </c>
      <c r="B258" s="344" t="s">
        <v>949</v>
      </c>
      <c r="C258" s="360">
        <v>1.054E-4</v>
      </c>
      <c r="E258" s="2">
        <v>41875</v>
      </c>
      <c r="F258" s="2">
        <v>55799</v>
      </c>
      <c r="G258" s="2">
        <v>32035</v>
      </c>
      <c r="H258" s="2">
        <v>15686</v>
      </c>
      <c r="I258" s="2">
        <v>0</v>
      </c>
      <c r="J258" s="2"/>
      <c r="K258" s="2">
        <v>19542</v>
      </c>
      <c r="L258" s="2">
        <v>18002</v>
      </c>
      <c r="M258" s="2">
        <v>10019</v>
      </c>
      <c r="N258" s="2">
        <v>0</v>
      </c>
      <c r="O258" s="2">
        <v>0</v>
      </c>
      <c r="P258" s="2"/>
      <c r="Q258" s="2">
        <v>1267</v>
      </c>
      <c r="R258" s="2">
        <v>17718</v>
      </c>
      <c r="S258" s="2">
        <v>18331</v>
      </c>
      <c r="T258" s="2">
        <v>15686</v>
      </c>
      <c r="U258" s="2">
        <v>0</v>
      </c>
      <c r="V258" s="2"/>
      <c r="W258" s="2">
        <v>15470</v>
      </c>
      <c r="X258" s="2">
        <v>12559</v>
      </c>
      <c r="Y258" s="2">
        <v>0</v>
      </c>
      <c r="Z258" s="2">
        <v>0</v>
      </c>
      <c r="AA258" s="2">
        <v>0</v>
      </c>
      <c r="AB258" s="2"/>
      <c r="AC258" s="2">
        <v>10722</v>
      </c>
      <c r="AD258" s="2">
        <v>10724</v>
      </c>
      <c r="AE258" s="2">
        <v>6889</v>
      </c>
      <c r="AF258" s="2">
        <v>0</v>
      </c>
      <c r="AG258" s="2">
        <v>0</v>
      </c>
      <c r="AH258" s="2"/>
      <c r="AI258" s="2">
        <v>-5126</v>
      </c>
      <c r="AJ258" s="2">
        <v>-3204</v>
      </c>
      <c r="AK258" s="2">
        <v>-3204</v>
      </c>
      <c r="AL258" s="2">
        <v>0</v>
      </c>
      <c r="AM258" s="2">
        <v>-3204</v>
      </c>
    </row>
    <row r="259" spans="1:39">
      <c r="A259" s="351">
        <v>92444</v>
      </c>
      <c r="B259" s="344" t="s">
        <v>950</v>
      </c>
      <c r="C259" s="360">
        <v>5.2000000000000002E-6</v>
      </c>
      <c r="E259" s="2">
        <v>4062</v>
      </c>
      <c r="F259" s="2">
        <v>4434</v>
      </c>
      <c r="G259" s="2">
        <v>2998</v>
      </c>
      <c r="H259" s="2">
        <v>774</v>
      </c>
      <c r="I259" s="2">
        <v>0</v>
      </c>
      <c r="J259" s="2"/>
      <c r="K259" s="2">
        <v>964</v>
      </c>
      <c r="L259" s="2">
        <v>888</v>
      </c>
      <c r="M259" s="2">
        <v>494</v>
      </c>
      <c r="N259" s="2">
        <v>0</v>
      </c>
      <c r="O259" s="2">
        <v>0</v>
      </c>
      <c r="P259" s="2"/>
      <c r="Q259" s="2">
        <v>62</v>
      </c>
      <c r="R259" s="2">
        <v>874</v>
      </c>
      <c r="S259" s="2">
        <v>904</v>
      </c>
      <c r="T259" s="2">
        <v>774</v>
      </c>
      <c r="U259" s="2">
        <v>0</v>
      </c>
      <c r="V259" s="2"/>
      <c r="W259" s="2">
        <v>763</v>
      </c>
      <c r="X259" s="2">
        <v>620</v>
      </c>
      <c r="Y259" s="2">
        <v>0</v>
      </c>
      <c r="Z259" s="2">
        <v>0</v>
      </c>
      <c r="AA259" s="2">
        <v>0</v>
      </c>
      <c r="AB259" s="2"/>
      <c r="AC259" s="2">
        <v>2273</v>
      </c>
      <c r="AD259" s="2">
        <v>2052</v>
      </c>
      <c r="AE259" s="2">
        <v>1600</v>
      </c>
      <c r="AF259" s="2">
        <v>0</v>
      </c>
      <c r="AG259" s="2">
        <v>0</v>
      </c>
      <c r="AH259" s="2"/>
      <c r="AI259" s="2">
        <v>0</v>
      </c>
      <c r="AJ259" s="2">
        <v>0</v>
      </c>
      <c r="AK259" s="2">
        <v>0</v>
      </c>
      <c r="AL259" s="2">
        <v>0</v>
      </c>
      <c r="AM259" s="2">
        <v>0</v>
      </c>
    </row>
    <row r="260" spans="1:39">
      <c r="A260" s="351">
        <v>92451</v>
      </c>
      <c r="B260" s="344" t="s">
        <v>951</v>
      </c>
      <c r="C260" s="360">
        <v>1.049E-4</v>
      </c>
      <c r="E260" s="2">
        <v>45521</v>
      </c>
      <c r="F260" s="2">
        <v>56376</v>
      </c>
      <c r="G260" s="2">
        <v>33701</v>
      </c>
      <c r="H260" s="2">
        <v>15611</v>
      </c>
      <c r="I260" s="2">
        <v>0</v>
      </c>
      <c r="J260" s="2"/>
      <c r="K260" s="2">
        <v>19449</v>
      </c>
      <c r="L260" s="2">
        <v>17916</v>
      </c>
      <c r="M260" s="2">
        <v>9972</v>
      </c>
      <c r="N260" s="2">
        <v>0</v>
      </c>
      <c r="O260" s="2">
        <v>0</v>
      </c>
      <c r="P260" s="2"/>
      <c r="Q260" s="2">
        <v>1261</v>
      </c>
      <c r="R260" s="2">
        <v>17634</v>
      </c>
      <c r="S260" s="2">
        <v>18244</v>
      </c>
      <c r="T260" s="2">
        <v>15611</v>
      </c>
      <c r="U260" s="2">
        <v>0</v>
      </c>
      <c r="V260" s="2"/>
      <c r="W260" s="2">
        <v>15397</v>
      </c>
      <c r="X260" s="2">
        <v>12500</v>
      </c>
      <c r="Y260" s="2">
        <v>0</v>
      </c>
      <c r="Z260" s="2">
        <v>0</v>
      </c>
      <c r="AA260" s="2">
        <v>0</v>
      </c>
      <c r="AB260" s="2"/>
      <c r="AC260" s="2">
        <v>9414</v>
      </c>
      <c r="AD260" s="2">
        <v>8326</v>
      </c>
      <c r="AE260" s="2">
        <v>5485</v>
      </c>
      <c r="AF260" s="2">
        <v>0</v>
      </c>
      <c r="AG260" s="2">
        <v>0</v>
      </c>
      <c r="AH260" s="2"/>
      <c r="AI260" s="2">
        <v>0</v>
      </c>
      <c r="AJ260" s="2">
        <v>0</v>
      </c>
      <c r="AK260" s="2">
        <v>0</v>
      </c>
      <c r="AL260" s="2">
        <v>0</v>
      </c>
      <c r="AM260" s="2">
        <v>0</v>
      </c>
    </row>
    <row r="261" spans="1:39">
      <c r="A261" s="351">
        <v>92461</v>
      </c>
      <c r="B261" s="344" t="s">
        <v>952</v>
      </c>
      <c r="C261" s="360">
        <v>5.3300000000000001E-5</v>
      </c>
      <c r="E261" s="2">
        <v>23170</v>
      </c>
      <c r="F261" s="2">
        <v>27912</v>
      </c>
      <c r="G261" s="2">
        <v>16468</v>
      </c>
      <c r="H261" s="2">
        <v>7932</v>
      </c>
      <c r="I261" s="2">
        <v>0</v>
      </c>
      <c r="J261" s="2"/>
      <c r="K261" s="2">
        <v>9882</v>
      </c>
      <c r="L261" s="2">
        <v>9103</v>
      </c>
      <c r="M261" s="2">
        <v>5067</v>
      </c>
      <c r="N261" s="2">
        <v>0</v>
      </c>
      <c r="O261" s="2">
        <v>0</v>
      </c>
      <c r="P261" s="2"/>
      <c r="Q261" s="2">
        <v>641</v>
      </c>
      <c r="R261" s="2">
        <v>8960</v>
      </c>
      <c r="S261" s="2">
        <v>9270</v>
      </c>
      <c r="T261" s="2">
        <v>7932</v>
      </c>
      <c r="U261" s="2">
        <v>0</v>
      </c>
      <c r="V261" s="2"/>
      <c r="W261" s="2">
        <v>7823</v>
      </c>
      <c r="X261" s="2">
        <v>6351</v>
      </c>
      <c r="Y261" s="2">
        <v>0</v>
      </c>
      <c r="Z261" s="2">
        <v>0</v>
      </c>
      <c r="AA261" s="2">
        <v>0</v>
      </c>
      <c r="AB261" s="2"/>
      <c r="AC261" s="2">
        <v>4824</v>
      </c>
      <c r="AD261" s="2">
        <v>3498</v>
      </c>
      <c r="AE261" s="2">
        <v>2131</v>
      </c>
      <c r="AF261" s="2">
        <v>0</v>
      </c>
      <c r="AG261" s="2">
        <v>0</v>
      </c>
      <c r="AH261" s="2"/>
      <c r="AI261" s="2">
        <v>0</v>
      </c>
      <c r="AJ261" s="2">
        <v>0</v>
      </c>
      <c r="AK261" s="2">
        <v>0</v>
      </c>
      <c r="AL261" s="2">
        <v>0</v>
      </c>
      <c r="AM261" s="2">
        <v>0</v>
      </c>
    </row>
    <row r="262" spans="1:39">
      <c r="A262" s="351">
        <v>92501</v>
      </c>
      <c r="B262" s="344" t="s">
        <v>953</v>
      </c>
      <c r="C262" s="360">
        <v>4.0159999999999996E-3</v>
      </c>
      <c r="E262" s="2">
        <v>1633027</v>
      </c>
      <c r="F262" s="2">
        <v>2065700</v>
      </c>
      <c r="G262" s="2">
        <v>1283985</v>
      </c>
      <c r="H262" s="2">
        <v>597669</v>
      </c>
      <c r="I262" s="2">
        <v>0</v>
      </c>
      <c r="J262" s="2"/>
      <c r="K262" s="2">
        <v>744603</v>
      </c>
      <c r="L262" s="2">
        <v>685909</v>
      </c>
      <c r="M262" s="2">
        <v>381753</v>
      </c>
      <c r="N262" s="2">
        <v>0</v>
      </c>
      <c r="O262" s="2">
        <v>0</v>
      </c>
      <c r="P262" s="2"/>
      <c r="Q262" s="2">
        <v>48268</v>
      </c>
      <c r="R262" s="2">
        <v>675110</v>
      </c>
      <c r="S262" s="2">
        <v>698455</v>
      </c>
      <c r="T262" s="2">
        <v>597669</v>
      </c>
      <c r="U262" s="2">
        <v>0</v>
      </c>
      <c r="V262" s="2"/>
      <c r="W262" s="2">
        <v>589452</v>
      </c>
      <c r="X262" s="2">
        <v>478535</v>
      </c>
      <c r="Y262" s="2">
        <v>0</v>
      </c>
      <c r="Z262" s="2">
        <v>0</v>
      </c>
      <c r="AA262" s="2">
        <v>0</v>
      </c>
      <c r="AB262" s="2"/>
      <c r="AC262" s="2">
        <v>250704</v>
      </c>
      <c r="AD262" s="2">
        <v>226146</v>
      </c>
      <c r="AE262" s="2">
        <v>203777</v>
      </c>
      <c r="AF262" s="2">
        <v>0</v>
      </c>
      <c r="AG262" s="2">
        <v>0</v>
      </c>
      <c r="AH262" s="2"/>
      <c r="AI262" s="2">
        <v>0</v>
      </c>
      <c r="AJ262" s="2">
        <v>0</v>
      </c>
      <c r="AK262" s="2">
        <v>0</v>
      </c>
      <c r="AL262" s="2">
        <v>0</v>
      </c>
      <c r="AM262" s="2">
        <v>0</v>
      </c>
    </row>
    <row r="263" spans="1:39">
      <c r="A263" s="351">
        <v>92502</v>
      </c>
      <c r="B263" s="344" t="s">
        <v>3663</v>
      </c>
      <c r="C263" s="360">
        <v>2.1299999999999999E-5</v>
      </c>
      <c r="E263" s="2">
        <v>8117</v>
      </c>
      <c r="F263" s="2">
        <v>10452</v>
      </c>
      <c r="G263" s="2">
        <v>6216</v>
      </c>
      <c r="H263" s="2">
        <v>3170</v>
      </c>
      <c r="I263" s="2">
        <v>0</v>
      </c>
      <c r="J263" s="2"/>
      <c r="K263" s="2">
        <v>3949</v>
      </c>
      <c r="L263" s="2">
        <v>3638</v>
      </c>
      <c r="M263" s="2">
        <v>2025</v>
      </c>
      <c r="N263" s="2">
        <v>0</v>
      </c>
      <c r="O263" s="2">
        <v>0</v>
      </c>
      <c r="P263" s="2"/>
      <c r="Q263" s="2">
        <v>256</v>
      </c>
      <c r="R263" s="2">
        <v>3581</v>
      </c>
      <c r="S263" s="2">
        <v>3704</v>
      </c>
      <c r="T263" s="2">
        <v>3170</v>
      </c>
      <c r="U263" s="2">
        <v>0</v>
      </c>
      <c r="V263" s="2"/>
      <c r="W263" s="2">
        <v>3126</v>
      </c>
      <c r="X263" s="2">
        <v>2538</v>
      </c>
      <c r="Y263" s="2">
        <v>0</v>
      </c>
      <c r="Z263" s="2">
        <v>0</v>
      </c>
      <c r="AA263" s="2">
        <v>0</v>
      </c>
      <c r="AB263" s="2"/>
      <c r="AC263" s="2">
        <v>786</v>
      </c>
      <c r="AD263" s="2">
        <v>695</v>
      </c>
      <c r="AE263" s="2">
        <v>487</v>
      </c>
      <c r="AF263" s="2">
        <v>0</v>
      </c>
      <c r="AG263" s="2">
        <v>0</v>
      </c>
      <c r="AH263" s="2"/>
      <c r="AI263" s="2">
        <v>0</v>
      </c>
      <c r="AJ263" s="2">
        <v>0</v>
      </c>
      <c r="AK263" s="2">
        <v>0</v>
      </c>
      <c r="AL263" s="2">
        <v>0</v>
      </c>
      <c r="AM263" s="2">
        <v>0</v>
      </c>
    </row>
    <row r="264" spans="1:39">
      <c r="A264" s="351">
        <v>92504</v>
      </c>
      <c r="B264" s="344" t="s">
        <v>3664</v>
      </c>
      <c r="C264" s="360">
        <v>9.0799999999999998E-5</v>
      </c>
      <c r="E264" s="2">
        <v>48219</v>
      </c>
      <c r="F264" s="2">
        <v>54437</v>
      </c>
      <c r="G264" s="2">
        <v>35849</v>
      </c>
      <c r="H264" s="2">
        <v>13513</v>
      </c>
      <c r="I264" s="2">
        <v>0</v>
      </c>
      <c r="J264" s="2"/>
      <c r="K264" s="2">
        <v>16835</v>
      </c>
      <c r="L264" s="2">
        <v>15508</v>
      </c>
      <c r="M264" s="2">
        <v>8631</v>
      </c>
      <c r="N264" s="2">
        <v>0</v>
      </c>
      <c r="O264" s="2">
        <v>0</v>
      </c>
      <c r="P264" s="2"/>
      <c r="Q264" s="2">
        <v>1091</v>
      </c>
      <c r="R264" s="2">
        <v>15264</v>
      </c>
      <c r="S264" s="2">
        <v>15792</v>
      </c>
      <c r="T264" s="2">
        <v>13513</v>
      </c>
      <c r="U264" s="2">
        <v>0</v>
      </c>
      <c r="V264" s="2"/>
      <c r="W264" s="2">
        <v>13327</v>
      </c>
      <c r="X264" s="2">
        <v>10819</v>
      </c>
      <c r="Y264" s="2">
        <v>0</v>
      </c>
      <c r="Z264" s="2">
        <v>0</v>
      </c>
      <c r="AA264" s="2">
        <v>0</v>
      </c>
      <c r="AB264" s="2"/>
      <c r="AC264" s="2">
        <v>16966</v>
      </c>
      <c r="AD264" s="2">
        <v>12846</v>
      </c>
      <c r="AE264" s="2">
        <v>11426</v>
      </c>
      <c r="AF264" s="2">
        <v>0</v>
      </c>
      <c r="AG264" s="2">
        <v>0</v>
      </c>
      <c r="AH264" s="2"/>
      <c r="AI264" s="2">
        <v>0</v>
      </c>
      <c r="AJ264" s="2">
        <v>0</v>
      </c>
      <c r="AK264" s="2">
        <v>0</v>
      </c>
      <c r="AL264" s="2">
        <v>0</v>
      </c>
      <c r="AM264" s="2">
        <v>0</v>
      </c>
    </row>
    <row r="265" spans="1:39">
      <c r="A265" s="351">
        <v>92505</v>
      </c>
      <c r="B265" s="344" t="s">
        <v>956</v>
      </c>
      <c r="C265" s="360">
        <v>1.674E-4</v>
      </c>
      <c r="E265" s="2">
        <v>89789</v>
      </c>
      <c r="F265" s="2">
        <v>101800</v>
      </c>
      <c r="G265" s="2">
        <v>64145</v>
      </c>
      <c r="H265" s="2">
        <v>24913</v>
      </c>
      <c r="I265" s="2">
        <v>0</v>
      </c>
      <c r="J265" s="2"/>
      <c r="K265" s="2">
        <v>31037</v>
      </c>
      <c r="L265" s="2">
        <v>28591</v>
      </c>
      <c r="M265" s="2">
        <v>15913</v>
      </c>
      <c r="N265" s="2">
        <v>0</v>
      </c>
      <c r="O265" s="2">
        <v>0</v>
      </c>
      <c r="P265" s="2"/>
      <c r="Q265" s="2">
        <v>2012</v>
      </c>
      <c r="R265" s="2">
        <v>28141</v>
      </c>
      <c r="S265" s="2">
        <v>29114</v>
      </c>
      <c r="T265" s="2">
        <v>24913</v>
      </c>
      <c r="U265" s="2">
        <v>0</v>
      </c>
      <c r="V265" s="2"/>
      <c r="W265" s="2">
        <v>24570</v>
      </c>
      <c r="X265" s="2">
        <v>19947</v>
      </c>
      <c r="Y265" s="2">
        <v>0</v>
      </c>
      <c r="Z265" s="2">
        <v>0</v>
      </c>
      <c r="AA265" s="2">
        <v>0</v>
      </c>
      <c r="AB265" s="2"/>
      <c r="AC265" s="2">
        <v>32170</v>
      </c>
      <c r="AD265" s="2">
        <v>25121</v>
      </c>
      <c r="AE265" s="2">
        <v>19118</v>
      </c>
      <c r="AF265" s="2">
        <v>0</v>
      </c>
      <c r="AG265" s="2">
        <v>0</v>
      </c>
      <c r="AH265" s="2"/>
      <c r="AI265" s="2">
        <v>0</v>
      </c>
      <c r="AJ265" s="2">
        <v>0</v>
      </c>
      <c r="AK265" s="2">
        <v>0</v>
      </c>
      <c r="AL265" s="2">
        <v>0</v>
      </c>
      <c r="AM265" s="2">
        <v>0</v>
      </c>
    </row>
    <row r="266" spans="1:39">
      <c r="A266" s="351">
        <v>92506</v>
      </c>
      <c r="B266" s="344" t="s">
        <v>957</v>
      </c>
      <c r="C266" s="360">
        <v>6.0600000000000003E-5</v>
      </c>
      <c r="E266" s="2">
        <v>30956</v>
      </c>
      <c r="F266" s="2">
        <v>36264</v>
      </c>
      <c r="G266" s="2">
        <v>21480</v>
      </c>
      <c r="H266" s="2">
        <v>9019</v>
      </c>
      <c r="I266" s="2">
        <v>0</v>
      </c>
      <c r="J266" s="2"/>
      <c r="K266" s="2">
        <v>11236</v>
      </c>
      <c r="L266" s="2">
        <v>10350</v>
      </c>
      <c r="M266" s="2">
        <v>5761</v>
      </c>
      <c r="N266" s="2">
        <v>0</v>
      </c>
      <c r="O266" s="2">
        <v>0</v>
      </c>
      <c r="P266" s="2"/>
      <c r="Q266" s="2">
        <v>728</v>
      </c>
      <c r="R266" s="2">
        <v>10187</v>
      </c>
      <c r="S266" s="2">
        <v>10539</v>
      </c>
      <c r="T266" s="2">
        <v>9019</v>
      </c>
      <c r="U266" s="2">
        <v>0</v>
      </c>
      <c r="V266" s="2"/>
      <c r="W266" s="2">
        <v>8895</v>
      </c>
      <c r="X266" s="2">
        <v>7221</v>
      </c>
      <c r="Y266" s="2">
        <v>0</v>
      </c>
      <c r="Z266" s="2">
        <v>0</v>
      </c>
      <c r="AA266" s="2">
        <v>0</v>
      </c>
      <c r="AB266" s="2"/>
      <c r="AC266" s="2">
        <v>10430</v>
      </c>
      <c r="AD266" s="2">
        <v>8839</v>
      </c>
      <c r="AE266" s="2">
        <v>5514</v>
      </c>
      <c r="AF266" s="2">
        <v>0</v>
      </c>
      <c r="AG266" s="2">
        <v>0</v>
      </c>
      <c r="AH266" s="2"/>
      <c r="AI266" s="2">
        <v>-333</v>
      </c>
      <c r="AJ266" s="2">
        <v>-333</v>
      </c>
      <c r="AK266" s="2">
        <v>-334</v>
      </c>
      <c r="AL266" s="2">
        <v>0</v>
      </c>
      <c r="AM266" s="2">
        <v>-333</v>
      </c>
    </row>
    <row r="267" spans="1:39">
      <c r="A267" s="351">
        <v>92507</v>
      </c>
      <c r="B267" s="344" t="s">
        <v>958</v>
      </c>
      <c r="C267" s="360">
        <v>9.0799999999999998E-5</v>
      </c>
      <c r="E267" s="2">
        <v>28831</v>
      </c>
      <c r="F267" s="2">
        <v>36637</v>
      </c>
      <c r="G267" s="2">
        <v>21337</v>
      </c>
      <c r="H267" s="2">
        <v>13513</v>
      </c>
      <c r="I267" s="2">
        <v>0</v>
      </c>
      <c r="J267" s="2"/>
      <c r="K267" s="2">
        <v>16835</v>
      </c>
      <c r="L267" s="2">
        <v>15508</v>
      </c>
      <c r="M267" s="2">
        <v>8631</v>
      </c>
      <c r="N267" s="2">
        <v>0</v>
      </c>
      <c r="O267" s="2">
        <v>0</v>
      </c>
      <c r="P267" s="2"/>
      <c r="Q267" s="2">
        <v>1091</v>
      </c>
      <c r="R267" s="2">
        <v>15264</v>
      </c>
      <c r="S267" s="2">
        <v>15792</v>
      </c>
      <c r="T267" s="2">
        <v>13513</v>
      </c>
      <c r="U267" s="2">
        <v>0</v>
      </c>
      <c r="V267" s="2"/>
      <c r="W267" s="2">
        <v>13327</v>
      </c>
      <c r="X267" s="2">
        <v>10819</v>
      </c>
      <c r="Y267" s="2">
        <v>0</v>
      </c>
      <c r="Z267" s="2">
        <v>0</v>
      </c>
      <c r="AA267" s="2">
        <v>0</v>
      </c>
      <c r="AB267" s="2"/>
      <c r="AC267" s="2">
        <v>2988</v>
      </c>
      <c r="AD267" s="2">
        <v>456</v>
      </c>
      <c r="AE267" s="2">
        <v>456</v>
      </c>
      <c r="AF267" s="2">
        <v>0</v>
      </c>
      <c r="AG267" s="2">
        <v>0</v>
      </c>
      <c r="AH267" s="2"/>
      <c r="AI267" s="2">
        <v>-5410</v>
      </c>
      <c r="AJ267" s="2">
        <v>-5410</v>
      </c>
      <c r="AK267" s="2">
        <v>-3542</v>
      </c>
      <c r="AL267" s="2">
        <v>0</v>
      </c>
      <c r="AM267" s="2">
        <v>-5410</v>
      </c>
    </row>
    <row r="268" spans="1:39">
      <c r="A268" s="351">
        <v>92508</v>
      </c>
      <c r="B268" s="344" t="s">
        <v>3665</v>
      </c>
      <c r="C268" s="360">
        <v>3.057E-4</v>
      </c>
      <c r="E268" s="2">
        <v>120313</v>
      </c>
      <c r="F268" s="2">
        <v>154736</v>
      </c>
      <c r="G268" s="2">
        <v>95506</v>
      </c>
      <c r="H268" s="2">
        <v>45495</v>
      </c>
      <c r="I268" s="2">
        <v>0</v>
      </c>
      <c r="J268" s="2"/>
      <c r="K268" s="2">
        <v>56680</v>
      </c>
      <c r="L268" s="2">
        <v>52212</v>
      </c>
      <c r="M268" s="2">
        <v>29059</v>
      </c>
      <c r="N268" s="2">
        <v>0</v>
      </c>
      <c r="O268" s="2">
        <v>0</v>
      </c>
      <c r="P268" s="2"/>
      <c r="Q268" s="2">
        <v>3674</v>
      </c>
      <c r="R268" s="2">
        <v>51390</v>
      </c>
      <c r="S268" s="2">
        <v>53167</v>
      </c>
      <c r="T268" s="2">
        <v>45495</v>
      </c>
      <c r="U268" s="2">
        <v>0</v>
      </c>
      <c r="V268" s="2"/>
      <c r="W268" s="2">
        <v>44869</v>
      </c>
      <c r="X268" s="2">
        <v>36426</v>
      </c>
      <c r="Y268" s="2">
        <v>0</v>
      </c>
      <c r="Z268" s="2">
        <v>0</v>
      </c>
      <c r="AA268" s="2">
        <v>0</v>
      </c>
      <c r="AB268" s="2"/>
      <c r="AC268" s="2">
        <v>15090</v>
      </c>
      <c r="AD268" s="2">
        <v>14708</v>
      </c>
      <c r="AE268" s="2">
        <v>13280</v>
      </c>
      <c r="AF268" s="2">
        <v>0</v>
      </c>
      <c r="AG268" s="2">
        <v>0</v>
      </c>
      <c r="AH268" s="2"/>
      <c r="AI268" s="2">
        <v>0</v>
      </c>
      <c r="AJ268" s="2">
        <v>0</v>
      </c>
      <c r="AK268" s="2">
        <v>0</v>
      </c>
      <c r="AL268" s="2">
        <v>0</v>
      </c>
      <c r="AM268" s="2">
        <v>0</v>
      </c>
    </row>
    <row r="269" spans="1:39">
      <c r="A269" s="351">
        <v>92511</v>
      </c>
      <c r="B269" s="344" t="s">
        <v>960</v>
      </c>
      <c r="C269" s="360">
        <v>3.3302000000000002E-3</v>
      </c>
      <c r="E269" s="2">
        <v>1074616</v>
      </c>
      <c r="F269" s="2">
        <v>1469552</v>
      </c>
      <c r="G269" s="2">
        <v>836932</v>
      </c>
      <c r="H269" s="2">
        <v>495607</v>
      </c>
      <c r="I269" s="2">
        <v>0</v>
      </c>
      <c r="J269" s="2"/>
      <c r="K269" s="2">
        <v>617449</v>
      </c>
      <c r="L269" s="2">
        <v>568778</v>
      </c>
      <c r="M269" s="2">
        <v>316562</v>
      </c>
      <c r="N269" s="2">
        <v>0</v>
      </c>
      <c r="O269" s="2">
        <v>0</v>
      </c>
      <c r="P269" s="2"/>
      <c r="Q269" s="2">
        <v>40026</v>
      </c>
      <c r="R269" s="2">
        <v>559823</v>
      </c>
      <c r="S269" s="2">
        <v>579182</v>
      </c>
      <c r="T269" s="2">
        <v>495607</v>
      </c>
      <c r="U269" s="2">
        <v>0</v>
      </c>
      <c r="V269" s="2"/>
      <c r="W269" s="2">
        <v>488793</v>
      </c>
      <c r="X269" s="2">
        <v>396817</v>
      </c>
      <c r="Y269" s="2">
        <v>0</v>
      </c>
      <c r="Z269" s="2">
        <v>0</v>
      </c>
      <c r="AA269" s="2">
        <v>0</v>
      </c>
      <c r="AB269" s="2"/>
      <c r="AC269" s="2">
        <v>46377</v>
      </c>
      <c r="AD269" s="2">
        <v>46377</v>
      </c>
      <c r="AE269" s="2">
        <v>43432</v>
      </c>
      <c r="AF269" s="2">
        <v>0</v>
      </c>
      <c r="AG269" s="2">
        <v>0</v>
      </c>
      <c r="AH269" s="2"/>
      <c r="AI269" s="2">
        <v>-118029</v>
      </c>
      <c r="AJ269" s="2">
        <v>-102243</v>
      </c>
      <c r="AK269" s="2">
        <v>-102244</v>
      </c>
      <c r="AL269" s="2">
        <v>0</v>
      </c>
      <c r="AM269" s="2">
        <v>-102243</v>
      </c>
    </row>
    <row r="270" spans="1:39">
      <c r="A270" s="351">
        <v>92513</v>
      </c>
      <c r="B270" s="344" t="s">
        <v>961</v>
      </c>
      <c r="C270" s="360">
        <v>3.8999999999999998E-3</v>
      </c>
      <c r="E270" s="2">
        <v>1191563</v>
      </c>
      <c r="F270" s="2">
        <v>1662229</v>
      </c>
      <c r="G270" s="2">
        <v>976917</v>
      </c>
      <c r="H270" s="2">
        <v>580406</v>
      </c>
      <c r="I270" s="2">
        <v>0</v>
      </c>
      <c r="J270" s="2"/>
      <c r="K270" s="2">
        <v>723095</v>
      </c>
      <c r="L270" s="2">
        <v>666097</v>
      </c>
      <c r="M270" s="2">
        <v>370726</v>
      </c>
      <c r="N270" s="2">
        <v>0</v>
      </c>
      <c r="O270" s="2">
        <v>0</v>
      </c>
      <c r="P270" s="2"/>
      <c r="Q270" s="2">
        <v>46874</v>
      </c>
      <c r="R270" s="2">
        <v>655610</v>
      </c>
      <c r="S270" s="2">
        <v>678280</v>
      </c>
      <c r="T270" s="2">
        <v>580406</v>
      </c>
      <c r="U270" s="2">
        <v>0</v>
      </c>
      <c r="V270" s="2"/>
      <c r="W270" s="2">
        <v>572426</v>
      </c>
      <c r="X270" s="2">
        <v>464712</v>
      </c>
      <c r="Y270" s="2">
        <v>0</v>
      </c>
      <c r="Z270" s="2">
        <v>0</v>
      </c>
      <c r="AA270" s="2">
        <v>0</v>
      </c>
      <c r="AB270" s="2"/>
      <c r="AC270" s="2">
        <v>0</v>
      </c>
      <c r="AD270" s="2">
        <v>0</v>
      </c>
      <c r="AE270" s="2">
        <v>0</v>
      </c>
      <c r="AF270" s="2">
        <v>0</v>
      </c>
      <c r="AG270" s="2">
        <v>0</v>
      </c>
      <c r="AH270" s="2"/>
      <c r="AI270" s="2">
        <v>-150832</v>
      </c>
      <c r="AJ270" s="2">
        <v>-124190</v>
      </c>
      <c r="AK270" s="2">
        <v>-72089</v>
      </c>
      <c r="AL270" s="2">
        <v>0</v>
      </c>
      <c r="AM270" s="2">
        <v>-124190</v>
      </c>
    </row>
    <row r="271" spans="1:39">
      <c r="A271" s="351">
        <v>92521</v>
      </c>
      <c r="B271" s="344" t="s">
        <v>962</v>
      </c>
      <c r="C271" s="360">
        <v>6.7100000000000005E-5</v>
      </c>
      <c r="E271" s="2">
        <v>17202</v>
      </c>
      <c r="F271" s="2">
        <v>25831</v>
      </c>
      <c r="G271" s="2">
        <v>13581</v>
      </c>
      <c r="H271" s="2">
        <v>9986</v>
      </c>
      <c r="I271" s="2">
        <v>0</v>
      </c>
      <c r="J271" s="2"/>
      <c r="K271" s="2">
        <v>12441</v>
      </c>
      <c r="L271" s="2">
        <v>11460</v>
      </c>
      <c r="M271" s="2">
        <v>6378</v>
      </c>
      <c r="N271" s="2">
        <v>0</v>
      </c>
      <c r="O271" s="2">
        <v>0</v>
      </c>
      <c r="P271" s="2"/>
      <c r="Q271" s="2">
        <v>806</v>
      </c>
      <c r="R271" s="2">
        <v>11280</v>
      </c>
      <c r="S271" s="2">
        <v>11670</v>
      </c>
      <c r="T271" s="2">
        <v>9986</v>
      </c>
      <c r="U271" s="2">
        <v>0</v>
      </c>
      <c r="V271" s="2"/>
      <c r="W271" s="2">
        <v>9849</v>
      </c>
      <c r="X271" s="2">
        <v>7995</v>
      </c>
      <c r="Y271" s="2">
        <v>0</v>
      </c>
      <c r="Z271" s="2">
        <v>0</v>
      </c>
      <c r="AA271" s="2">
        <v>0</v>
      </c>
      <c r="AB271" s="2"/>
      <c r="AC271" s="2">
        <v>0</v>
      </c>
      <c r="AD271" s="2">
        <v>0</v>
      </c>
      <c r="AE271" s="2">
        <v>0</v>
      </c>
      <c r="AF271" s="2">
        <v>0</v>
      </c>
      <c r="AG271" s="2">
        <v>0</v>
      </c>
      <c r="AH271" s="2"/>
      <c r="AI271" s="2">
        <v>-5894</v>
      </c>
      <c r="AJ271" s="2">
        <v>-4904</v>
      </c>
      <c r="AK271" s="2">
        <v>-4467</v>
      </c>
      <c r="AL271" s="2">
        <v>0</v>
      </c>
      <c r="AM271" s="2">
        <v>-4904</v>
      </c>
    </row>
    <row r="272" spans="1:39">
      <c r="A272" s="351">
        <v>92531</v>
      </c>
      <c r="B272" s="344" t="s">
        <v>963</v>
      </c>
      <c r="C272" s="360">
        <v>8.4690000000000004E-4</v>
      </c>
      <c r="E272" s="2">
        <v>265805</v>
      </c>
      <c r="F272" s="2">
        <v>365403</v>
      </c>
      <c r="G272" s="2">
        <v>217462</v>
      </c>
      <c r="H272" s="2">
        <v>126037</v>
      </c>
      <c r="I272" s="2">
        <v>0</v>
      </c>
      <c r="J272" s="2"/>
      <c r="K272" s="2">
        <v>157023</v>
      </c>
      <c r="L272" s="2">
        <v>144645</v>
      </c>
      <c r="M272" s="2">
        <v>80505</v>
      </c>
      <c r="N272" s="2">
        <v>0</v>
      </c>
      <c r="O272" s="2">
        <v>0</v>
      </c>
      <c r="P272" s="2"/>
      <c r="Q272" s="2">
        <v>10179</v>
      </c>
      <c r="R272" s="2">
        <v>142368</v>
      </c>
      <c r="S272" s="2">
        <v>147291</v>
      </c>
      <c r="T272" s="2">
        <v>126037</v>
      </c>
      <c r="U272" s="2">
        <v>0</v>
      </c>
      <c r="V272" s="2"/>
      <c r="W272" s="2">
        <v>124305</v>
      </c>
      <c r="X272" s="2">
        <v>100914</v>
      </c>
      <c r="Y272" s="2">
        <v>0</v>
      </c>
      <c r="Z272" s="2">
        <v>0</v>
      </c>
      <c r="AA272" s="2">
        <v>0</v>
      </c>
      <c r="AB272" s="2"/>
      <c r="AC272" s="2">
        <v>0</v>
      </c>
      <c r="AD272" s="2">
        <v>0</v>
      </c>
      <c r="AE272" s="2">
        <v>0</v>
      </c>
      <c r="AF272" s="2">
        <v>0</v>
      </c>
      <c r="AG272" s="2">
        <v>0</v>
      </c>
      <c r="AH272" s="2"/>
      <c r="AI272" s="2">
        <v>-25702</v>
      </c>
      <c r="AJ272" s="2">
        <v>-22524</v>
      </c>
      <c r="AK272" s="2">
        <v>-10334</v>
      </c>
      <c r="AL272" s="2">
        <v>0</v>
      </c>
      <c r="AM272" s="2">
        <v>-22524</v>
      </c>
    </row>
    <row r="273" spans="1:39">
      <c r="A273" s="351">
        <v>92541</v>
      </c>
      <c r="B273" s="344" t="s">
        <v>964</v>
      </c>
      <c r="C273" s="360">
        <v>1.462E-4</v>
      </c>
      <c r="E273" s="2">
        <v>51175</v>
      </c>
      <c r="F273" s="2">
        <v>69030</v>
      </c>
      <c r="G273" s="2">
        <v>45142</v>
      </c>
      <c r="H273" s="2">
        <v>21758</v>
      </c>
      <c r="I273" s="2">
        <v>0</v>
      </c>
      <c r="J273" s="2"/>
      <c r="K273" s="2">
        <v>27107</v>
      </c>
      <c r="L273" s="2">
        <v>24970</v>
      </c>
      <c r="M273" s="2">
        <v>13897</v>
      </c>
      <c r="N273" s="2">
        <v>0</v>
      </c>
      <c r="O273" s="2">
        <v>0</v>
      </c>
      <c r="P273" s="2"/>
      <c r="Q273" s="2">
        <v>1757</v>
      </c>
      <c r="R273" s="2">
        <v>24577</v>
      </c>
      <c r="S273" s="2">
        <v>25427</v>
      </c>
      <c r="T273" s="2">
        <v>21758</v>
      </c>
      <c r="U273" s="2">
        <v>0</v>
      </c>
      <c r="V273" s="2"/>
      <c r="W273" s="2">
        <v>21459</v>
      </c>
      <c r="X273" s="2">
        <v>17421</v>
      </c>
      <c r="Y273" s="2">
        <v>0</v>
      </c>
      <c r="Z273" s="2">
        <v>0</v>
      </c>
      <c r="AA273" s="2">
        <v>0</v>
      </c>
      <c r="AB273" s="2"/>
      <c r="AC273" s="2">
        <v>5820</v>
      </c>
      <c r="AD273" s="2">
        <v>5820</v>
      </c>
      <c r="AE273" s="2">
        <v>5818</v>
      </c>
      <c r="AF273" s="2">
        <v>0</v>
      </c>
      <c r="AG273" s="2">
        <v>0</v>
      </c>
      <c r="AH273" s="2"/>
      <c r="AI273" s="2">
        <v>-4968</v>
      </c>
      <c r="AJ273" s="2">
        <v>-3758</v>
      </c>
      <c r="AK273" s="2">
        <v>0</v>
      </c>
      <c r="AL273" s="2">
        <v>0</v>
      </c>
      <c r="AM273" s="2">
        <v>-3758</v>
      </c>
    </row>
    <row r="274" spans="1:39">
      <c r="A274" s="351">
        <v>92551</v>
      </c>
      <c r="B274" s="344" t="s">
        <v>965</v>
      </c>
      <c r="C274" s="360">
        <v>5.49E-5</v>
      </c>
      <c r="E274" s="2">
        <v>17753</v>
      </c>
      <c r="F274" s="2">
        <v>22972</v>
      </c>
      <c r="G274" s="2">
        <v>14360</v>
      </c>
      <c r="H274" s="2">
        <v>8170</v>
      </c>
      <c r="I274" s="2">
        <v>0</v>
      </c>
      <c r="J274" s="2"/>
      <c r="K274" s="2">
        <v>10179</v>
      </c>
      <c r="L274" s="2">
        <v>9377</v>
      </c>
      <c r="M274" s="2">
        <v>5219</v>
      </c>
      <c r="N274" s="2">
        <v>0</v>
      </c>
      <c r="O274" s="2">
        <v>0</v>
      </c>
      <c r="P274" s="2"/>
      <c r="Q274" s="2">
        <v>660</v>
      </c>
      <c r="R274" s="2">
        <v>9229</v>
      </c>
      <c r="S274" s="2">
        <v>9548</v>
      </c>
      <c r="T274" s="2">
        <v>8170</v>
      </c>
      <c r="U274" s="2">
        <v>0</v>
      </c>
      <c r="V274" s="2"/>
      <c r="W274" s="2">
        <v>8058</v>
      </c>
      <c r="X274" s="2">
        <v>6542</v>
      </c>
      <c r="Y274" s="2">
        <v>0</v>
      </c>
      <c r="Z274" s="2">
        <v>0</v>
      </c>
      <c r="AA274" s="2">
        <v>0</v>
      </c>
      <c r="AB274" s="2"/>
      <c r="AC274" s="2">
        <v>2835</v>
      </c>
      <c r="AD274" s="2">
        <v>1802</v>
      </c>
      <c r="AE274" s="2">
        <v>1803</v>
      </c>
      <c r="AF274" s="2">
        <v>0</v>
      </c>
      <c r="AG274" s="2">
        <v>0</v>
      </c>
      <c r="AH274" s="2"/>
      <c r="AI274" s="2">
        <v>-3979</v>
      </c>
      <c r="AJ274" s="2">
        <v>-3978</v>
      </c>
      <c r="AK274" s="2">
        <v>-2210</v>
      </c>
      <c r="AL274" s="2">
        <v>0</v>
      </c>
      <c r="AM274" s="2">
        <v>-3978</v>
      </c>
    </row>
    <row r="275" spans="1:39">
      <c r="A275" s="351">
        <v>92561</v>
      </c>
      <c r="B275" s="344" t="s">
        <v>966</v>
      </c>
      <c r="C275" s="360">
        <v>1.2999999999999999E-5</v>
      </c>
      <c r="E275" s="2">
        <v>2415</v>
      </c>
      <c r="F275" s="2">
        <v>3707</v>
      </c>
      <c r="G275" s="2">
        <v>1284</v>
      </c>
      <c r="H275" s="2">
        <v>1935</v>
      </c>
      <c r="I275" s="2">
        <v>0</v>
      </c>
      <c r="J275" s="2"/>
      <c r="K275" s="2">
        <v>2410</v>
      </c>
      <c r="L275" s="2">
        <v>2220</v>
      </c>
      <c r="M275" s="2">
        <v>1236</v>
      </c>
      <c r="N275" s="2">
        <v>0</v>
      </c>
      <c r="O275" s="2">
        <v>0</v>
      </c>
      <c r="P275" s="2"/>
      <c r="Q275" s="2">
        <v>156</v>
      </c>
      <c r="R275" s="2">
        <v>2185</v>
      </c>
      <c r="S275" s="2">
        <v>2261</v>
      </c>
      <c r="T275" s="2">
        <v>1935</v>
      </c>
      <c r="U275" s="2">
        <v>0</v>
      </c>
      <c r="V275" s="2"/>
      <c r="W275" s="2">
        <v>1908</v>
      </c>
      <c r="X275" s="2">
        <v>1549</v>
      </c>
      <c r="Y275" s="2">
        <v>0</v>
      </c>
      <c r="Z275" s="2">
        <v>0</v>
      </c>
      <c r="AA275" s="2">
        <v>0</v>
      </c>
      <c r="AB275" s="2"/>
      <c r="AC275" s="2">
        <v>189</v>
      </c>
      <c r="AD275" s="2">
        <v>0</v>
      </c>
      <c r="AE275" s="2">
        <v>0</v>
      </c>
      <c r="AF275" s="2">
        <v>0</v>
      </c>
      <c r="AG275" s="2">
        <v>0</v>
      </c>
      <c r="AH275" s="2"/>
      <c r="AI275" s="2">
        <v>-2248</v>
      </c>
      <c r="AJ275" s="2">
        <v>-2247</v>
      </c>
      <c r="AK275" s="2">
        <v>-2213</v>
      </c>
      <c r="AL275" s="2">
        <v>0</v>
      </c>
      <c r="AM275" s="2">
        <v>-2247</v>
      </c>
    </row>
    <row r="276" spans="1:39">
      <c r="A276" s="351">
        <v>92571</v>
      </c>
      <c r="B276" s="344" t="s">
        <v>967</v>
      </c>
      <c r="C276" s="360">
        <v>4.4000000000000002E-6</v>
      </c>
      <c r="E276" s="2">
        <v>2284</v>
      </c>
      <c r="F276" s="2">
        <v>1240</v>
      </c>
      <c r="G276" s="2">
        <v>139</v>
      </c>
      <c r="H276" s="2">
        <v>655</v>
      </c>
      <c r="I276" s="2">
        <v>0</v>
      </c>
      <c r="J276" s="2"/>
      <c r="K276" s="2">
        <v>816</v>
      </c>
      <c r="L276" s="2">
        <v>751</v>
      </c>
      <c r="M276" s="2">
        <v>418</v>
      </c>
      <c r="N276" s="2">
        <v>0</v>
      </c>
      <c r="O276" s="2">
        <v>0</v>
      </c>
      <c r="P276" s="2"/>
      <c r="Q276" s="2">
        <v>53</v>
      </c>
      <c r="R276" s="2">
        <v>740</v>
      </c>
      <c r="S276" s="2">
        <v>765</v>
      </c>
      <c r="T276" s="2">
        <v>655</v>
      </c>
      <c r="U276" s="2">
        <v>0</v>
      </c>
      <c r="V276" s="2"/>
      <c r="W276" s="2">
        <v>646</v>
      </c>
      <c r="X276" s="2">
        <v>524</v>
      </c>
      <c r="Y276" s="2">
        <v>0</v>
      </c>
      <c r="Z276" s="2">
        <v>0</v>
      </c>
      <c r="AA276" s="2">
        <v>0</v>
      </c>
      <c r="AB276" s="2"/>
      <c r="AC276" s="2">
        <v>1863</v>
      </c>
      <c r="AD276" s="2">
        <v>319</v>
      </c>
      <c r="AE276" s="2">
        <v>51</v>
      </c>
      <c r="AF276" s="2">
        <v>0</v>
      </c>
      <c r="AG276" s="2">
        <v>0</v>
      </c>
      <c r="AH276" s="2"/>
      <c r="AI276" s="2">
        <v>-1094</v>
      </c>
      <c r="AJ276" s="2">
        <v>-1094</v>
      </c>
      <c r="AK276" s="2">
        <v>-1095</v>
      </c>
      <c r="AL276" s="2">
        <v>0</v>
      </c>
      <c r="AM276" s="2">
        <v>-1094</v>
      </c>
    </row>
    <row r="277" spans="1:39">
      <c r="A277" s="351">
        <v>92601</v>
      </c>
      <c r="B277" s="344" t="s">
        <v>968</v>
      </c>
      <c r="C277" s="360">
        <v>1.27283E-2</v>
      </c>
      <c r="E277" s="2">
        <v>3938681</v>
      </c>
      <c r="F277" s="2">
        <v>5399336</v>
      </c>
      <c r="G277" s="2">
        <v>3281701</v>
      </c>
      <c r="H277" s="2">
        <v>1894251</v>
      </c>
      <c r="I277" s="2">
        <v>0</v>
      </c>
      <c r="J277" s="2"/>
      <c r="K277" s="2">
        <v>2359941</v>
      </c>
      <c r="L277" s="2">
        <v>2173917</v>
      </c>
      <c r="M277" s="2">
        <v>1209927</v>
      </c>
      <c r="N277" s="2">
        <v>0</v>
      </c>
      <c r="O277" s="2">
        <v>0</v>
      </c>
      <c r="P277" s="2"/>
      <c r="Q277" s="2">
        <v>152981</v>
      </c>
      <c r="R277" s="2">
        <v>2139691</v>
      </c>
      <c r="S277" s="2">
        <v>2213680</v>
      </c>
      <c r="T277" s="2">
        <v>1894251</v>
      </c>
      <c r="U277" s="2">
        <v>0</v>
      </c>
      <c r="V277" s="2"/>
      <c r="W277" s="2">
        <v>1868209</v>
      </c>
      <c r="X277" s="2">
        <v>1516666</v>
      </c>
      <c r="Y277" s="2">
        <v>0</v>
      </c>
      <c r="Z277" s="2">
        <v>0</v>
      </c>
      <c r="AA277" s="2">
        <v>0</v>
      </c>
      <c r="AB277" s="2"/>
      <c r="AC277" s="2">
        <v>0</v>
      </c>
      <c r="AD277" s="2">
        <v>0</v>
      </c>
      <c r="AE277" s="2">
        <v>0</v>
      </c>
      <c r="AF277" s="2">
        <v>0</v>
      </c>
      <c r="AG277" s="2">
        <v>0</v>
      </c>
      <c r="AH277" s="2"/>
      <c r="AI277" s="2">
        <v>-442450</v>
      </c>
      <c r="AJ277" s="2">
        <v>-430938</v>
      </c>
      <c r="AK277" s="2">
        <v>-141906</v>
      </c>
      <c r="AL277" s="2">
        <v>0</v>
      </c>
      <c r="AM277" s="2">
        <v>-430938</v>
      </c>
    </row>
    <row r="278" spans="1:39">
      <c r="A278" s="351">
        <v>92602</v>
      </c>
      <c r="B278" s="344" t="s">
        <v>3666</v>
      </c>
      <c r="C278" s="360">
        <v>4.5000000000000001E-6</v>
      </c>
      <c r="E278" s="2">
        <v>427</v>
      </c>
      <c r="F278" s="2">
        <v>966</v>
      </c>
      <c r="G278" s="2">
        <v>591</v>
      </c>
      <c r="H278" s="2">
        <v>670</v>
      </c>
      <c r="I278" s="2">
        <v>0</v>
      </c>
      <c r="J278" s="2"/>
      <c r="K278" s="2">
        <v>834</v>
      </c>
      <c r="L278" s="2">
        <v>769</v>
      </c>
      <c r="M278" s="2">
        <v>428</v>
      </c>
      <c r="N278" s="2">
        <v>0</v>
      </c>
      <c r="O278" s="2">
        <v>0</v>
      </c>
      <c r="P278" s="2"/>
      <c r="Q278" s="2">
        <v>54</v>
      </c>
      <c r="R278" s="2">
        <v>756</v>
      </c>
      <c r="S278" s="2">
        <v>783</v>
      </c>
      <c r="T278" s="2">
        <v>670</v>
      </c>
      <c r="U278" s="2">
        <v>0</v>
      </c>
      <c r="V278" s="2"/>
      <c r="W278" s="2">
        <v>660</v>
      </c>
      <c r="X278" s="2">
        <v>536</v>
      </c>
      <c r="Y278" s="2">
        <v>0</v>
      </c>
      <c r="Z278" s="2">
        <v>0</v>
      </c>
      <c r="AA278" s="2">
        <v>0</v>
      </c>
      <c r="AB278" s="2"/>
      <c r="AC278" s="2">
        <v>0</v>
      </c>
      <c r="AD278" s="2">
        <v>0</v>
      </c>
      <c r="AE278" s="2">
        <v>0</v>
      </c>
      <c r="AF278" s="2">
        <v>0</v>
      </c>
      <c r="AG278" s="2">
        <v>0</v>
      </c>
      <c r="AH278" s="2"/>
      <c r="AI278" s="2">
        <v>-1121</v>
      </c>
      <c r="AJ278" s="2">
        <v>-1095</v>
      </c>
      <c r="AK278" s="2">
        <v>-620</v>
      </c>
      <c r="AL278" s="2">
        <v>0</v>
      </c>
      <c r="AM278" s="2">
        <v>-1095</v>
      </c>
    </row>
    <row r="279" spans="1:39">
      <c r="A279" s="351">
        <v>92604</v>
      </c>
      <c r="B279" s="344" t="s">
        <v>3667</v>
      </c>
      <c r="C279" s="360">
        <v>3.6390000000000001E-4</v>
      </c>
      <c r="E279" s="2">
        <v>152805</v>
      </c>
      <c r="F279" s="2">
        <v>190274</v>
      </c>
      <c r="G279" s="2">
        <v>116486</v>
      </c>
      <c r="H279" s="2">
        <v>54156</v>
      </c>
      <c r="I279" s="2">
        <v>0</v>
      </c>
      <c r="J279" s="2"/>
      <c r="K279" s="2">
        <v>67470</v>
      </c>
      <c r="L279" s="2">
        <v>62152</v>
      </c>
      <c r="M279" s="2">
        <v>34592</v>
      </c>
      <c r="N279" s="2">
        <v>0</v>
      </c>
      <c r="O279" s="2">
        <v>0</v>
      </c>
      <c r="P279" s="2"/>
      <c r="Q279" s="2">
        <v>4374</v>
      </c>
      <c r="R279" s="2">
        <v>61173</v>
      </c>
      <c r="S279" s="2">
        <v>63289</v>
      </c>
      <c r="T279" s="2">
        <v>54156</v>
      </c>
      <c r="U279" s="2">
        <v>0</v>
      </c>
      <c r="V279" s="2"/>
      <c r="W279" s="2">
        <v>53412</v>
      </c>
      <c r="X279" s="2">
        <v>43361</v>
      </c>
      <c r="Y279" s="2">
        <v>0</v>
      </c>
      <c r="Z279" s="2">
        <v>0</v>
      </c>
      <c r="AA279" s="2">
        <v>0</v>
      </c>
      <c r="AB279" s="2"/>
      <c r="AC279" s="2">
        <v>27549</v>
      </c>
      <c r="AD279" s="2">
        <v>23588</v>
      </c>
      <c r="AE279" s="2">
        <v>18605</v>
      </c>
      <c r="AF279" s="2">
        <v>0</v>
      </c>
      <c r="AG279" s="2">
        <v>0</v>
      </c>
      <c r="AH279" s="2"/>
      <c r="AI279" s="2">
        <v>0</v>
      </c>
      <c r="AJ279" s="2">
        <v>0</v>
      </c>
      <c r="AK279" s="2">
        <v>0</v>
      </c>
      <c r="AL279" s="2">
        <v>0</v>
      </c>
      <c r="AM279" s="2">
        <v>0</v>
      </c>
    </row>
    <row r="280" spans="1:39">
      <c r="A280" s="351">
        <v>92607</v>
      </c>
      <c r="B280" s="344" t="s">
        <v>971</v>
      </c>
      <c r="C280" s="360">
        <v>7.08E-5</v>
      </c>
      <c r="E280" s="2">
        <v>33448</v>
      </c>
      <c r="F280" s="2">
        <v>40587</v>
      </c>
      <c r="G280" s="2">
        <v>25936</v>
      </c>
      <c r="H280" s="2">
        <v>10537</v>
      </c>
      <c r="I280" s="2">
        <v>0</v>
      </c>
      <c r="J280" s="2"/>
      <c r="K280" s="2">
        <v>13127</v>
      </c>
      <c r="L280" s="2">
        <v>12092</v>
      </c>
      <c r="M280" s="2">
        <v>6730</v>
      </c>
      <c r="N280" s="2">
        <v>0</v>
      </c>
      <c r="O280" s="2">
        <v>0</v>
      </c>
      <c r="P280" s="2"/>
      <c r="Q280" s="2">
        <v>851</v>
      </c>
      <c r="R280" s="2">
        <v>11902</v>
      </c>
      <c r="S280" s="2">
        <v>12313</v>
      </c>
      <c r="T280" s="2">
        <v>10537</v>
      </c>
      <c r="U280" s="2">
        <v>0</v>
      </c>
      <c r="V280" s="2"/>
      <c r="W280" s="2">
        <v>10392</v>
      </c>
      <c r="X280" s="2">
        <v>8436</v>
      </c>
      <c r="Y280" s="2">
        <v>0</v>
      </c>
      <c r="Z280" s="2">
        <v>0</v>
      </c>
      <c r="AA280" s="2">
        <v>0</v>
      </c>
      <c r="AB280" s="2"/>
      <c r="AC280" s="2">
        <v>9267</v>
      </c>
      <c r="AD280" s="2">
        <v>8346</v>
      </c>
      <c r="AE280" s="2">
        <v>7084</v>
      </c>
      <c r="AF280" s="2">
        <v>0</v>
      </c>
      <c r="AG280" s="2">
        <v>0</v>
      </c>
      <c r="AH280" s="2"/>
      <c r="AI280" s="2">
        <v>-189</v>
      </c>
      <c r="AJ280" s="2">
        <v>-189</v>
      </c>
      <c r="AK280" s="2">
        <v>-191</v>
      </c>
      <c r="AL280" s="2">
        <v>0</v>
      </c>
      <c r="AM280" s="2">
        <v>-189</v>
      </c>
    </row>
    <row r="281" spans="1:39">
      <c r="A281" s="351">
        <v>92611</v>
      </c>
      <c r="B281" s="344" t="s">
        <v>973</v>
      </c>
      <c r="C281" s="360">
        <v>1.13896E-2</v>
      </c>
      <c r="E281" s="2">
        <v>3131403</v>
      </c>
      <c r="F281" s="2">
        <v>4546623</v>
      </c>
      <c r="G281" s="2">
        <v>2531808</v>
      </c>
      <c r="H281" s="2">
        <v>1695023</v>
      </c>
      <c r="I281" s="2">
        <v>0</v>
      </c>
      <c r="J281" s="2"/>
      <c r="K281" s="2">
        <v>2111734</v>
      </c>
      <c r="L281" s="2">
        <v>1945275</v>
      </c>
      <c r="M281" s="2">
        <v>1082673</v>
      </c>
      <c r="N281" s="2">
        <v>0</v>
      </c>
      <c r="O281" s="2">
        <v>0</v>
      </c>
      <c r="P281" s="2"/>
      <c r="Q281" s="2">
        <v>136892</v>
      </c>
      <c r="R281" s="2">
        <v>1914649</v>
      </c>
      <c r="S281" s="2">
        <v>1980856</v>
      </c>
      <c r="T281" s="2">
        <v>1695023</v>
      </c>
      <c r="U281" s="2">
        <v>0</v>
      </c>
      <c r="V281" s="2"/>
      <c r="W281" s="2">
        <v>1671720</v>
      </c>
      <c r="X281" s="2">
        <v>1357151</v>
      </c>
      <c r="Y281" s="2">
        <v>0</v>
      </c>
      <c r="Z281" s="2">
        <v>0</v>
      </c>
      <c r="AA281" s="2">
        <v>0</v>
      </c>
      <c r="AB281" s="2"/>
      <c r="AC281" s="2">
        <v>0</v>
      </c>
      <c r="AD281" s="2">
        <v>0</v>
      </c>
      <c r="AE281" s="2">
        <v>0</v>
      </c>
      <c r="AF281" s="2">
        <v>0</v>
      </c>
      <c r="AG281" s="2">
        <v>0</v>
      </c>
      <c r="AH281" s="2"/>
      <c r="AI281" s="2">
        <v>-788943</v>
      </c>
      <c r="AJ281" s="2">
        <v>-670452</v>
      </c>
      <c r="AK281" s="2">
        <v>-531721</v>
      </c>
      <c r="AL281" s="2">
        <v>0</v>
      </c>
      <c r="AM281" s="2">
        <v>-670452</v>
      </c>
    </row>
    <row r="282" spans="1:39">
      <c r="A282" s="351">
        <v>92613</v>
      </c>
      <c r="B282" s="344" t="s">
        <v>2761</v>
      </c>
      <c r="C282" s="360">
        <v>2.2249999999999999E-4</v>
      </c>
      <c r="E282" s="2">
        <v>88853</v>
      </c>
      <c r="F282" s="2">
        <v>112615</v>
      </c>
      <c r="G282" s="2">
        <v>70819</v>
      </c>
      <c r="H282" s="2">
        <v>33113</v>
      </c>
      <c r="I282" s="2">
        <v>0</v>
      </c>
      <c r="J282" s="2"/>
      <c r="K282" s="2">
        <v>41254</v>
      </c>
      <c r="L282" s="2">
        <v>38002</v>
      </c>
      <c r="M282" s="2">
        <v>21150</v>
      </c>
      <c r="N282" s="2">
        <v>0</v>
      </c>
      <c r="O282" s="2">
        <v>0</v>
      </c>
      <c r="P282" s="2"/>
      <c r="Q282" s="2">
        <v>2674</v>
      </c>
      <c r="R282" s="2">
        <v>37403</v>
      </c>
      <c r="S282" s="2">
        <v>38697</v>
      </c>
      <c r="T282" s="2">
        <v>33113</v>
      </c>
      <c r="U282" s="2">
        <v>0</v>
      </c>
      <c r="V282" s="2"/>
      <c r="W282" s="2">
        <v>32658</v>
      </c>
      <c r="X282" s="2">
        <v>26512</v>
      </c>
      <c r="Y282" s="2">
        <v>0</v>
      </c>
      <c r="Z282" s="2">
        <v>0</v>
      </c>
      <c r="AA282" s="2">
        <v>0</v>
      </c>
      <c r="AB282" s="2"/>
      <c r="AC282" s="2">
        <v>12538</v>
      </c>
      <c r="AD282" s="2">
        <v>10971</v>
      </c>
      <c r="AE282" s="2">
        <v>10972</v>
      </c>
      <c r="AF282" s="2">
        <v>0</v>
      </c>
      <c r="AG282" s="2">
        <v>0</v>
      </c>
      <c r="AH282" s="2"/>
      <c r="AI282" s="2">
        <v>-271</v>
      </c>
      <c r="AJ282" s="2">
        <v>-273</v>
      </c>
      <c r="AK282" s="2">
        <v>0</v>
      </c>
      <c r="AL282" s="2">
        <v>0</v>
      </c>
      <c r="AM282" s="2">
        <v>-273</v>
      </c>
    </row>
    <row r="283" spans="1:39">
      <c r="A283" s="351">
        <v>92614</v>
      </c>
      <c r="B283" s="344" t="s">
        <v>3668</v>
      </c>
      <c r="C283" s="360">
        <v>5.7264000000000004E-3</v>
      </c>
      <c r="E283" s="2">
        <v>3443910</v>
      </c>
      <c r="F283" s="2">
        <v>3650639</v>
      </c>
      <c r="G283" s="2">
        <v>2153103</v>
      </c>
      <c r="H283" s="2">
        <v>852214</v>
      </c>
      <c r="I283" s="2">
        <v>0</v>
      </c>
      <c r="J283" s="2"/>
      <c r="K283" s="2">
        <v>1061726</v>
      </c>
      <c r="L283" s="2">
        <v>978035</v>
      </c>
      <c r="M283" s="2">
        <v>544340</v>
      </c>
      <c r="N283" s="2">
        <v>0</v>
      </c>
      <c r="O283" s="2">
        <v>0</v>
      </c>
      <c r="P283" s="2"/>
      <c r="Q283" s="2">
        <v>68826</v>
      </c>
      <c r="R283" s="2">
        <v>962636</v>
      </c>
      <c r="S283" s="2">
        <v>995924</v>
      </c>
      <c r="T283" s="2">
        <v>852214</v>
      </c>
      <c r="U283" s="2">
        <v>0</v>
      </c>
      <c r="V283" s="2"/>
      <c r="W283" s="2">
        <v>840498</v>
      </c>
      <c r="X283" s="2">
        <v>682341</v>
      </c>
      <c r="Y283" s="2">
        <v>0</v>
      </c>
      <c r="Z283" s="2">
        <v>0</v>
      </c>
      <c r="AA283" s="2">
        <v>0</v>
      </c>
      <c r="AB283" s="2"/>
      <c r="AC283" s="2">
        <v>1472860</v>
      </c>
      <c r="AD283" s="2">
        <v>1027627</v>
      </c>
      <c r="AE283" s="2">
        <v>612839</v>
      </c>
      <c r="AF283" s="2">
        <v>0</v>
      </c>
      <c r="AG283" s="2">
        <v>0</v>
      </c>
      <c r="AH283" s="2"/>
      <c r="AI283" s="2">
        <v>0</v>
      </c>
      <c r="AJ283" s="2">
        <v>0</v>
      </c>
      <c r="AK283" s="2">
        <v>0</v>
      </c>
      <c r="AL283" s="2">
        <v>0</v>
      </c>
      <c r="AM283" s="2">
        <v>0</v>
      </c>
    </row>
    <row r="284" spans="1:39">
      <c r="A284" s="351">
        <v>92621</v>
      </c>
      <c r="B284" s="344" t="s">
        <v>976</v>
      </c>
      <c r="C284" s="360">
        <v>2.6999999999999999E-5</v>
      </c>
      <c r="E284" s="2">
        <v>8486</v>
      </c>
      <c r="F284" s="2">
        <v>12748</v>
      </c>
      <c r="G284" s="2">
        <v>7810</v>
      </c>
      <c r="H284" s="2">
        <v>4018</v>
      </c>
      <c r="I284" s="2">
        <v>0</v>
      </c>
      <c r="J284" s="2"/>
      <c r="K284" s="2">
        <v>5006</v>
      </c>
      <c r="L284" s="2">
        <v>4611</v>
      </c>
      <c r="M284" s="2">
        <v>2567</v>
      </c>
      <c r="N284" s="2">
        <v>0</v>
      </c>
      <c r="O284" s="2">
        <v>0</v>
      </c>
      <c r="P284" s="2"/>
      <c r="Q284" s="2">
        <v>325</v>
      </c>
      <c r="R284" s="2">
        <v>4539</v>
      </c>
      <c r="S284" s="2">
        <v>4696</v>
      </c>
      <c r="T284" s="2">
        <v>4018</v>
      </c>
      <c r="U284" s="2">
        <v>0</v>
      </c>
      <c r="V284" s="2"/>
      <c r="W284" s="2">
        <v>3963</v>
      </c>
      <c r="X284" s="2">
        <v>3217</v>
      </c>
      <c r="Y284" s="2">
        <v>0</v>
      </c>
      <c r="Z284" s="2">
        <v>0</v>
      </c>
      <c r="AA284" s="2">
        <v>0</v>
      </c>
      <c r="AB284" s="2"/>
      <c r="AC284" s="2">
        <v>841</v>
      </c>
      <c r="AD284" s="2">
        <v>841</v>
      </c>
      <c r="AE284" s="2">
        <v>843</v>
      </c>
      <c r="AF284" s="2">
        <v>0</v>
      </c>
      <c r="AG284" s="2">
        <v>0</v>
      </c>
      <c r="AH284" s="2"/>
      <c r="AI284" s="2">
        <v>-1649</v>
      </c>
      <c r="AJ284" s="2">
        <v>-460</v>
      </c>
      <c r="AK284" s="2">
        <v>-296</v>
      </c>
      <c r="AL284" s="2">
        <v>0</v>
      </c>
      <c r="AM284" s="2">
        <v>-460</v>
      </c>
    </row>
    <row r="285" spans="1:39">
      <c r="A285" s="351">
        <v>92631</v>
      </c>
      <c r="B285" s="344" t="s">
        <v>977</v>
      </c>
      <c r="C285" s="360">
        <v>9.0229999999999998E-4</v>
      </c>
      <c r="E285" s="2">
        <v>259227</v>
      </c>
      <c r="F285" s="2">
        <v>381007</v>
      </c>
      <c r="G285" s="2">
        <v>220083</v>
      </c>
      <c r="H285" s="2">
        <v>134282</v>
      </c>
      <c r="I285" s="2">
        <v>0</v>
      </c>
      <c r="J285" s="2"/>
      <c r="K285" s="2">
        <v>167295</v>
      </c>
      <c r="L285" s="2">
        <v>154107</v>
      </c>
      <c r="M285" s="2">
        <v>85771</v>
      </c>
      <c r="N285" s="2">
        <v>0</v>
      </c>
      <c r="O285" s="2">
        <v>0</v>
      </c>
      <c r="P285" s="2"/>
      <c r="Q285" s="2">
        <v>10845</v>
      </c>
      <c r="R285" s="2">
        <v>151681</v>
      </c>
      <c r="S285" s="2">
        <v>156926</v>
      </c>
      <c r="T285" s="2">
        <v>134282</v>
      </c>
      <c r="U285" s="2">
        <v>0</v>
      </c>
      <c r="V285" s="2"/>
      <c r="W285" s="2">
        <v>132436</v>
      </c>
      <c r="X285" s="2">
        <v>107515</v>
      </c>
      <c r="Y285" s="2">
        <v>0</v>
      </c>
      <c r="Z285" s="2">
        <v>0</v>
      </c>
      <c r="AA285" s="2">
        <v>0</v>
      </c>
      <c r="AB285" s="2"/>
      <c r="AC285" s="2">
        <v>0</v>
      </c>
      <c r="AD285" s="2">
        <v>0</v>
      </c>
      <c r="AE285" s="2">
        <v>0</v>
      </c>
      <c r="AF285" s="2">
        <v>0</v>
      </c>
      <c r="AG285" s="2">
        <v>0</v>
      </c>
      <c r="AH285" s="2"/>
      <c r="AI285" s="2">
        <v>-51349</v>
      </c>
      <c r="AJ285" s="2">
        <v>-32296</v>
      </c>
      <c r="AK285" s="2">
        <v>-22614</v>
      </c>
      <c r="AL285" s="2">
        <v>0</v>
      </c>
      <c r="AM285" s="2">
        <v>-32296</v>
      </c>
    </row>
    <row r="286" spans="1:39">
      <c r="A286" s="351">
        <v>92641</v>
      </c>
      <c r="B286" s="344" t="s">
        <v>978</v>
      </c>
      <c r="C286" s="360">
        <v>9.9000000000000001E-6</v>
      </c>
      <c r="E286" s="2">
        <v>5053</v>
      </c>
      <c r="F286" s="2">
        <v>5989</v>
      </c>
      <c r="G286" s="2">
        <v>3762</v>
      </c>
      <c r="H286" s="2">
        <v>1473</v>
      </c>
      <c r="I286" s="2">
        <v>0</v>
      </c>
      <c r="J286" s="2"/>
      <c r="K286" s="2">
        <v>1836</v>
      </c>
      <c r="L286" s="2">
        <v>1691</v>
      </c>
      <c r="M286" s="2">
        <v>941</v>
      </c>
      <c r="N286" s="2">
        <v>0</v>
      </c>
      <c r="O286" s="2">
        <v>0</v>
      </c>
      <c r="P286" s="2"/>
      <c r="Q286" s="2">
        <v>119</v>
      </c>
      <c r="R286" s="2">
        <v>1664</v>
      </c>
      <c r="S286" s="2">
        <v>1722</v>
      </c>
      <c r="T286" s="2">
        <v>1473</v>
      </c>
      <c r="U286" s="2">
        <v>0</v>
      </c>
      <c r="V286" s="2"/>
      <c r="W286" s="2">
        <v>1453</v>
      </c>
      <c r="X286" s="2">
        <v>1180</v>
      </c>
      <c r="Y286" s="2">
        <v>0</v>
      </c>
      <c r="Z286" s="2">
        <v>0</v>
      </c>
      <c r="AA286" s="2">
        <v>0</v>
      </c>
      <c r="AB286" s="2"/>
      <c r="AC286" s="2">
        <v>1645</v>
      </c>
      <c r="AD286" s="2">
        <v>1454</v>
      </c>
      <c r="AE286" s="2">
        <v>1099</v>
      </c>
      <c r="AF286" s="2">
        <v>0</v>
      </c>
      <c r="AG286" s="2">
        <v>0</v>
      </c>
      <c r="AH286" s="2"/>
      <c r="AI286" s="2">
        <v>0</v>
      </c>
      <c r="AJ286" s="2">
        <v>0</v>
      </c>
      <c r="AK286" s="2">
        <v>0</v>
      </c>
      <c r="AL286" s="2">
        <v>0</v>
      </c>
      <c r="AM286" s="2">
        <v>0</v>
      </c>
    </row>
    <row r="287" spans="1:39">
      <c r="A287" s="351">
        <v>92651</v>
      </c>
      <c r="B287" s="344" t="s">
        <v>979</v>
      </c>
      <c r="C287" s="360">
        <v>4.3000000000000003E-6</v>
      </c>
      <c r="E287" s="2">
        <v>2446</v>
      </c>
      <c r="F287" s="2">
        <v>2544</v>
      </c>
      <c r="G287" s="2">
        <v>1328</v>
      </c>
      <c r="H287" s="2">
        <v>640</v>
      </c>
      <c r="I287" s="2">
        <v>0</v>
      </c>
      <c r="J287" s="2"/>
      <c r="K287" s="2">
        <v>797</v>
      </c>
      <c r="L287" s="2">
        <v>734</v>
      </c>
      <c r="M287" s="2">
        <v>409</v>
      </c>
      <c r="N287" s="2">
        <v>0</v>
      </c>
      <c r="O287" s="2">
        <v>0</v>
      </c>
      <c r="P287" s="2"/>
      <c r="Q287" s="2">
        <v>52</v>
      </c>
      <c r="R287" s="2">
        <v>723</v>
      </c>
      <c r="S287" s="2">
        <v>748</v>
      </c>
      <c r="T287" s="2">
        <v>640</v>
      </c>
      <c r="U287" s="2">
        <v>0</v>
      </c>
      <c r="V287" s="2"/>
      <c r="W287" s="2">
        <v>631</v>
      </c>
      <c r="X287" s="2">
        <v>512</v>
      </c>
      <c r="Y287" s="2">
        <v>0</v>
      </c>
      <c r="Z287" s="2">
        <v>0</v>
      </c>
      <c r="AA287" s="2">
        <v>0</v>
      </c>
      <c r="AB287" s="2"/>
      <c r="AC287" s="2">
        <v>966</v>
      </c>
      <c r="AD287" s="2">
        <v>575</v>
      </c>
      <c r="AE287" s="2">
        <v>171</v>
      </c>
      <c r="AF287" s="2">
        <v>0</v>
      </c>
      <c r="AG287" s="2">
        <v>0</v>
      </c>
      <c r="AH287" s="2"/>
      <c r="AI287" s="2">
        <v>0</v>
      </c>
      <c r="AJ287" s="2">
        <v>0</v>
      </c>
      <c r="AK287" s="2">
        <v>0</v>
      </c>
      <c r="AL287" s="2">
        <v>0</v>
      </c>
      <c r="AM287" s="2">
        <v>0</v>
      </c>
    </row>
    <row r="288" spans="1:39">
      <c r="A288" s="351">
        <v>92661</v>
      </c>
      <c r="B288" s="344" t="s">
        <v>980</v>
      </c>
      <c r="C288" s="360">
        <v>6.4720000000000001E-4</v>
      </c>
      <c r="E288" s="2">
        <v>371562</v>
      </c>
      <c r="F288" s="2">
        <v>385085</v>
      </c>
      <c r="G288" s="2">
        <v>227307</v>
      </c>
      <c r="H288" s="2">
        <v>96318</v>
      </c>
      <c r="I288" s="2">
        <v>0</v>
      </c>
      <c r="J288" s="2"/>
      <c r="K288" s="2">
        <v>119997</v>
      </c>
      <c r="L288" s="2">
        <v>110538</v>
      </c>
      <c r="M288" s="2">
        <v>61522</v>
      </c>
      <c r="N288" s="2">
        <v>0</v>
      </c>
      <c r="O288" s="2">
        <v>0</v>
      </c>
      <c r="P288" s="2"/>
      <c r="Q288" s="2">
        <v>7779</v>
      </c>
      <c r="R288" s="2">
        <v>108798</v>
      </c>
      <c r="S288" s="2">
        <v>112560</v>
      </c>
      <c r="T288" s="2">
        <v>96318</v>
      </c>
      <c r="U288" s="2">
        <v>0</v>
      </c>
      <c r="V288" s="2"/>
      <c r="W288" s="2">
        <v>94993</v>
      </c>
      <c r="X288" s="2">
        <v>77118</v>
      </c>
      <c r="Y288" s="2">
        <v>0</v>
      </c>
      <c r="Z288" s="2">
        <v>0</v>
      </c>
      <c r="AA288" s="2">
        <v>0</v>
      </c>
      <c r="AB288" s="2"/>
      <c r="AC288" s="2">
        <v>148793</v>
      </c>
      <c r="AD288" s="2">
        <v>88631</v>
      </c>
      <c r="AE288" s="2">
        <v>53225</v>
      </c>
      <c r="AF288" s="2">
        <v>0</v>
      </c>
      <c r="AG288" s="2">
        <v>0</v>
      </c>
      <c r="AH288" s="2"/>
      <c r="AI288" s="2">
        <v>0</v>
      </c>
      <c r="AJ288" s="2">
        <v>0</v>
      </c>
      <c r="AK288" s="2">
        <v>0</v>
      </c>
      <c r="AL288" s="2">
        <v>0</v>
      </c>
      <c r="AM288" s="2">
        <v>0</v>
      </c>
    </row>
    <row r="289" spans="1:39">
      <c r="A289" s="351">
        <v>92671</v>
      </c>
      <c r="B289" s="344" t="s">
        <v>981</v>
      </c>
      <c r="C289" s="360">
        <v>1.9E-6</v>
      </c>
      <c r="E289" s="2">
        <v>3607</v>
      </c>
      <c r="F289" s="2">
        <v>3056</v>
      </c>
      <c r="G289" s="2">
        <v>1883</v>
      </c>
      <c r="H289" s="2">
        <v>283</v>
      </c>
      <c r="I289" s="2">
        <v>0</v>
      </c>
      <c r="J289" s="2"/>
      <c r="K289" s="2">
        <v>352</v>
      </c>
      <c r="L289" s="2">
        <v>325</v>
      </c>
      <c r="M289" s="2">
        <v>181</v>
      </c>
      <c r="N289" s="2">
        <v>0</v>
      </c>
      <c r="O289" s="2">
        <v>0</v>
      </c>
      <c r="P289" s="2"/>
      <c r="Q289" s="2">
        <v>23</v>
      </c>
      <c r="R289" s="2">
        <v>319</v>
      </c>
      <c r="S289" s="2">
        <v>330</v>
      </c>
      <c r="T289" s="2">
        <v>283</v>
      </c>
      <c r="U289" s="2">
        <v>0</v>
      </c>
      <c r="V289" s="2"/>
      <c r="W289" s="2">
        <v>279</v>
      </c>
      <c r="X289" s="2">
        <v>226</v>
      </c>
      <c r="Y289" s="2">
        <v>0</v>
      </c>
      <c r="Z289" s="2">
        <v>0</v>
      </c>
      <c r="AA289" s="2">
        <v>0</v>
      </c>
      <c r="AB289" s="2"/>
      <c r="AC289" s="2">
        <v>2953</v>
      </c>
      <c r="AD289" s="2">
        <v>2186</v>
      </c>
      <c r="AE289" s="2">
        <v>1372</v>
      </c>
      <c r="AF289" s="2">
        <v>0</v>
      </c>
      <c r="AG289" s="2">
        <v>0</v>
      </c>
      <c r="AH289" s="2"/>
      <c r="AI289" s="2">
        <v>0</v>
      </c>
      <c r="AJ289" s="2">
        <v>0</v>
      </c>
      <c r="AK289" s="2">
        <v>0</v>
      </c>
      <c r="AL289" s="2">
        <v>0</v>
      </c>
      <c r="AM289" s="2">
        <v>0</v>
      </c>
    </row>
    <row r="290" spans="1:39">
      <c r="A290" s="351">
        <v>92681</v>
      </c>
      <c r="B290" s="344" t="s">
        <v>982</v>
      </c>
      <c r="C290" s="360">
        <v>8.8000000000000004E-6</v>
      </c>
      <c r="E290" s="2">
        <v>5126</v>
      </c>
      <c r="F290" s="2">
        <v>4615</v>
      </c>
      <c r="G290" s="2">
        <v>1657</v>
      </c>
      <c r="H290" s="2">
        <v>1310</v>
      </c>
      <c r="I290" s="2">
        <v>0</v>
      </c>
      <c r="J290" s="2"/>
      <c r="K290" s="2">
        <v>1632</v>
      </c>
      <c r="L290" s="2">
        <v>1503</v>
      </c>
      <c r="M290" s="2">
        <v>837</v>
      </c>
      <c r="N290" s="2">
        <v>0</v>
      </c>
      <c r="O290" s="2">
        <v>0</v>
      </c>
      <c r="P290" s="2"/>
      <c r="Q290" s="2">
        <v>106</v>
      </c>
      <c r="R290" s="2">
        <v>1479</v>
      </c>
      <c r="S290" s="2">
        <v>1530</v>
      </c>
      <c r="T290" s="2">
        <v>1310</v>
      </c>
      <c r="U290" s="2">
        <v>0</v>
      </c>
      <c r="V290" s="2"/>
      <c r="W290" s="2">
        <v>1292</v>
      </c>
      <c r="X290" s="2">
        <v>1049</v>
      </c>
      <c r="Y290" s="2">
        <v>0</v>
      </c>
      <c r="Z290" s="2">
        <v>0</v>
      </c>
      <c r="AA290" s="2">
        <v>0</v>
      </c>
      <c r="AB290" s="2"/>
      <c r="AC290" s="2">
        <v>3368</v>
      </c>
      <c r="AD290" s="2">
        <v>1856</v>
      </c>
      <c r="AE290" s="2">
        <v>563</v>
      </c>
      <c r="AF290" s="2">
        <v>0</v>
      </c>
      <c r="AG290" s="2">
        <v>0</v>
      </c>
      <c r="AH290" s="2"/>
      <c r="AI290" s="2">
        <v>-1272</v>
      </c>
      <c r="AJ290" s="2">
        <v>-1272</v>
      </c>
      <c r="AK290" s="2">
        <v>-1273</v>
      </c>
      <c r="AL290" s="2">
        <v>0</v>
      </c>
      <c r="AM290" s="2">
        <v>-1272</v>
      </c>
    </row>
    <row r="291" spans="1:39">
      <c r="A291" s="351">
        <v>92701</v>
      </c>
      <c r="B291" s="344" t="s">
        <v>983</v>
      </c>
      <c r="C291" s="360">
        <v>3.0401E-3</v>
      </c>
      <c r="E291" s="2">
        <v>997172</v>
      </c>
      <c r="F291" s="2">
        <v>1334230</v>
      </c>
      <c r="G291" s="2">
        <v>797075</v>
      </c>
      <c r="H291" s="2">
        <v>452434</v>
      </c>
      <c r="I291" s="2">
        <v>0</v>
      </c>
      <c r="J291" s="2"/>
      <c r="K291" s="2">
        <v>563662</v>
      </c>
      <c r="L291" s="2">
        <v>519231</v>
      </c>
      <c r="M291" s="2">
        <v>288986</v>
      </c>
      <c r="N291" s="2">
        <v>0</v>
      </c>
      <c r="O291" s="2">
        <v>0</v>
      </c>
      <c r="P291" s="2"/>
      <c r="Q291" s="2">
        <v>36539</v>
      </c>
      <c r="R291" s="2">
        <v>511056</v>
      </c>
      <c r="S291" s="2">
        <v>528728</v>
      </c>
      <c r="T291" s="2">
        <v>452434</v>
      </c>
      <c r="U291" s="2">
        <v>0</v>
      </c>
      <c r="V291" s="2"/>
      <c r="W291" s="2">
        <v>446214</v>
      </c>
      <c r="X291" s="2">
        <v>362249</v>
      </c>
      <c r="Y291" s="2">
        <v>0</v>
      </c>
      <c r="Z291" s="2">
        <v>0</v>
      </c>
      <c r="AA291" s="2">
        <v>0</v>
      </c>
      <c r="AB291" s="2"/>
      <c r="AC291" s="2">
        <v>34334</v>
      </c>
      <c r="AD291" s="2">
        <v>25269</v>
      </c>
      <c r="AE291" s="2">
        <v>25271</v>
      </c>
      <c r="AF291" s="2">
        <v>0</v>
      </c>
      <c r="AG291" s="2">
        <v>0</v>
      </c>
      <c r="AH291" s="2"/>
      <c r="AI291" s="2">
        <v>-83577</v>
      </c>
      <c r="AJ291" s="2">
        <v>-83575</v>
      </c>
      <c r="AK291" s="2">
        <v>-45910</v>
      </c>
      <c r="AL291" s="2">
        <v>0</v>
      </c>
      <c r="AM291" s="2">
        <v>-83575</v>
      </c>
    </row>
    <row r="292" spans="1:39">
      <c r="A292" s="351">
        <v>92704</v>
      </c>
      <c r="B292" s="344" t="s">
        <v>3669</v>
      </c>
      <c r="C292" s="360">
        <v>3.6199999999999999E-5</v>
      </c>
      <c r="E292" s="2">
        <v>10842</v>
      </c>
      <c r="F292" s="2">
        <v>16027</v>
      </c>
      <c r="G292" s="2">
        <v>9511</v>
      </c>
      <c r="H292" s="2">
        <v>5387</v>
      </c>
      <c r="I292" s="2">
        <v>0</v>
      </c>
      <c r="J292" s="2"/>
      <c r="K292" s="2">
        <v>6712</v>
      </c>
      <c r="L292" s="2">
        <v>6183</v>
      </c>
      <c r="M292" s="2">
        <v>3441</v>
      </c>
      <c r="N292" s="2">
        <v>0</v>
      </c>
      <c r="O292" s="2">
        <v>0</v>
      </c>
      <c r="P292" s="2"/>
      <c r="Q292" s="2">
        <v>435</v>
      </c>
      <c r="R292" s="2">
        <v>6085</v>
      </c>
      <c r="S292" s="2">
        <v>6296</v>
      </c>
      <c r="T292" s="2">
        <v>5387</v>
      </c>
      <c r="U292" s="2">
        <v>0</v>
      </c>
      <c r="V292" s="2"/>
      <c r="W292" s="2">
        <v>5313</v>
      </c>
      <c r="X292" s="2">
        <v>4313</v>
      </c>
      <c r="Y292" s="2">
        <v>0</v>
      </c>
      <c r="Z292" s="2">
        <v>0</v>
      </c>
      <c r="AA292" s="2">
        <v>0</v>
      </c>
      <c r="AB292" s="2"/>
      <c r="AC292" s="2">
        <v>159</v>
      </c>
      <c r="AD292" s="2">
        <v>159</v>
      </c>
      <c r="AE292" s="2">
        <v>158</v>
      </c>
      <c r="AF292" s="2">
        <v>0</v>
      </c>
      <c r="AG292" s="2">
        <v>0</v>
      </c>
      <c r="AH292" s="2"/>
      <c r="AI292" s="2">
        <v>-1777</v>
      </c>
      <c r="AJ292" s="2">
        <v>-713</v>
      </c>
      <c r="AK292" s="2">
        <v>-384</v>
      </c>
      <c r="AL292" s="2">
        <v>0</v>
      </c>
      <c r="AM292" s="2">
        <v>-713</v>
      </c>
    </row>
    <row r="293" spans="1:39">
      <c r="A293" s="351">
        <v>92801</v>
      </c>
      <c r="B293" s="344" t="s">
        <v>985</v>
      </c>
      <c r="C293" s="360">
        <v>5.4752000000000004E-3</v>
      </c>
      <c r="E293" s="2">
        <v>2020094</v>
      </c>
      <c r="F293" s="2">
        <v>2640438</v>
      </c>
      <c r="G293" s="2">
        <v>1563616</v>
      </c>
      <c r="H293" s="2">
        <v>814830</v>
      </c>
      <c r="I293" s="2">
        <v>0</v>
      </c>
      <c r="J293" s="2"/>
      <c r="K293" s="2">
        <v>1015151</v>
      </c>
      <c r="L293" s="2">
        <v>935131</v>
      </c>
      <c r="M293" s="2">
        <v>520462</v>
      </c>
      <c r="N293" s="2">
        <v>0</v>
      </c>
      <c r="O293" s="2">
        <v>0</v>
      </c>
      <c r="P293" s="2"/>
      <c r="Q293" s="2">
        <v>65806</v>
      </c>
      <c r="R293" s="2">
        <v>920408</v>
      </c>
      <c r="S293" s="2">
        <v>952236</v>
      </c>
      <c r="T293" s="2">
        <v>814830</v>
      </c>
      <c r="U293" s="2">
        <v>0</v>
      </c>
      <c r="V293" s="2"/>
      <c r="W293" s="2">
        <v>803628</v>
      </c>
      <c r="X293" s="2">
        <v>652408</v>
      </c>
      <c r="Y293" s="2">
        <v>0</v>
      </c>
      <c r="Z293" s="2">
        <v>0</v>
      </c>
      <c r="AA293" s="2">
        <v>0</v>
      </c>
      <c r="AB293" s="2"/>
      <c r="AC293" s="2">
        <v>135509</v>
      </c>
      <c r="AD293" s="2">
        <v>132491</v>
      </c>
      <c r="AE293" s="2">
        <v>90918</v>
      </c>
      <c r="AF293" s="2">
        <v>0</v>
      </c>
      <c r="AG293" s="2">
        <v>0</v>
      </c>
      <c r="AH293" s="2"/>
      <c r="AI293" s="2">
        <v>0</v>
      </c>
      <c r="AJ293" s="2">
        <v>0</v>
      </c>
      <c r="AK293" s="2">
        <v>0</v>
      </c>
      <c r="AL293" s="2">
        <v>0</v>
      </c>
      <c r="AM293" s="2">
        <v>0</v>
      </c>
    </row>
    <row r="294" spans="1:39">
      <c r="A294" s="351">
        <v>92802</v>
      </c>
      <c r="B294" s="344" t="s">
        <v>986</v>
      </c>
      <c r="C294" s="360">
        <v>1.133E-4</v>
      </c>
      <c r="E294" s="2">
        <v>30908</v>
      </c>
      <c r="F294" s="2">
        <v>45287</v>
      </c>
      <c r="G294" s="2">
        <v>25156</v>
      </c>
      <c r="H294" s="2">
        <v>16862</v>
      </c>
      <c r="I294" s="2">
        <v>0</v>
      </c>
      <c r="J294" s="2"/>
      <c r="K294" s="2">
        <v>21007</v>
      </c>
      <c r="L294" s="2">
        <v>19351</v>
      </c>
      <c r="M294" s="2">
        <v>10770</v>
      </c>
      <c r="N294" s="2">
        <v>0</v>
      </c>
      <c r="O294" s="2">
        <v>0</v>
      </c>
      <c r="P294" s="2"/>
      <c r="Q294" s="2">
        <v>1362</v>
      </c>
      <c r="R294" s="2">
        <v>19046</v>
      </c>
      <c r="S294" s="2">
        <v>19705</v>
      </c>
      <c r="T294" s="2">
        <v>16862</v>
      </c>
      <c r="U294" s="2">
        <v>0</v>
      </c>
      <c r="V294" s="2"/>
      <c r="W294" s="2">
        <v>16630</v>
      </c>
      <c r="X294" s="2">
        <v>13500</v>
      </c>
      <c r="Y294" s="2">
        <v>0</v>
      </c>
      <c r="Z294" s="2">
        <v>0</v>
      </c>
      <c r="AA294" s="2">
        <v>0</v>
      </c>
      <c r="AB294" s="2"/>
      <c r="AC294" s="2">
        <v>0</v>
      </c>
      <c r="AD294" s="2">
        <v>0</v>
      </c>
      <c r="AE294" s="2">
        <v>0</v>
      </c>
      <c r="AF294" s="2">
        <v>0</v>
      </c>
      <c r="AG294" s="2">
        <v>0</v>
      </c>
      <c r="AH294" s="2"/>
      <c r="AI294" s="2">
        <v>-8091</v>
      </c>
      <c r="AJ294" s="2">
        <v>-6610</v>
      </c>
      <c r="AK294" s="2">
        <v>-5319</v>
      </c>
      <c r="AL294" s="2">
        <v>0</v>
      </c>
      <c r="AM294" s="2">
        <v>-6610</v>
      </c>
    </row>
    <row r="295" spans="1:39">
      <c r="A295" s="351">
        <v>92804</v>
      </c>
      <c r="B295" s="344" t="s">
        <v>987</v>
      </c>
      <c r="C295" s="360">
        <v>1.493E-4</v>
      </c>
      <c r="E295" s="2">
        <v>48789</v>
      </c>
      <c r="F295" s="2">
        <v>68565</v>
      </c>
      <c r="G295" s="2">
        <v>39209</v>
      </c>
      <c r="H295" s="2">
        <v>22219</v>
      </c>
      <c r="I295" s="2">
        <v>0</v>
      </c>
      <c r="J295" s="2"/>
      <c r="K295" s="2">
        <v>27682</v>
      </c>
      <c r="L295" s="2">
        <v>25500</v>
      </c>
      <c r="M295" s="2">
        <v>14192</v>
      </c>
      <c r="N295" s="2">
        <v>0</v>
      </c>
      <c r="O295" s="2">
        <v>0</v>
      </c>
      <c r="P295" s="2"/>
      <c r="Q295" s="2">
        <v>1794</v>
      </c>
      <c r="R295" s="2">
        <v>25098</v>
      </c>
      <c r="S295" s="2">
        <v>25966</v>
      </c>
      <c r="T295" s="2">
        <v>22219</v>
      </c>
      <c r="U295" s="2">
        <v>0</v>
      </c>
      <c r="V295" s="2"/>
      <c r="W295" s="2">
        <v>21914</v>
      </c>
      <c r="X295" s="2">
        <v>17790</v>
      </c>
      <c r="Y295" s="2">
        <v>0</v>
      </c>
      <c r="Z295" s="2">
        <v>0</v>
      </c>
      <c r="AA295" s="2">
        <v>0</v>
      </c>
      <c r="AB295" s="2"/>
      <c r="AC295" s="2">
        <v>2598</v>
      </c>
      <c r="AD295" s="2">
        <v>2599</v>
      </c>
      <c r="AE295" s="2">
        <v>1472</v>
      </c>
      <c r="AF295" s="2">
        <v>0</v>
      </c>
      <c r="AG295" s="2">
        <v>0</v>
      </c>
      <c r="AH295" s="2"/>
      <c r="AI295" s="2">
        <v>-5199</v>
      </c>
      <c r="AJ295" s="2">
        <v>-2422</v>
      </c>
      <c r="AK295" s="2">
        <v>-2421</v>
      </c>
      <c r="AL295" s="2">
        <v>0</v>
      </c>
      <c r="AM295" s="2">
        <v>-2422</v>
      </c>
    </row>
    <row r="296" spans="1:39">
      <c r="A296" s="351">
        <v>92811</v>
      </c>
      <c r="B296" s="344" t="s">
        <v>988</v>
      </c>
      <c r="C296" s="360">
        <v>9.6020000000000003E-4</v>
      </c>
      <c r="E296" s="2">
        <v>338837</v>
      </c>
      <c r="F296" s="2">
        <v>448774</v>
      </c>
      <c r="G296" s="2">
        <v>272323</v>
      </c>
      <c r="H296" s="2">
        <v>142899</v>
      </c>
      <c r="I296" s="2">
        <v>0</v>
      </c>
      <c r="J296" s="2"/>
      <c r="K296" s="2">
        <v>178030</v>
      </c>
      <c r="L296" s="2">
        <v>163996</v>
      </c>
      <c r="M296" s="2">
        <v>91275</v>
      </c>
      <c r="N296" s="2">
        <v>0</v>
      </c>
      <c r="O296" s="2">
        <v>0</v>
      </c>
      <c r="P296" s="2"/>
      <c r="Q296" s="2">
        <v>11541</v>
      </c>
      <c r="R296" s="2">
        <v>161414</v>
      </c>
      <c r="S296" s="2">
        <v>166996</v>
      </c>
      <c r="T296" s="2">
        <v>142899</v>
      </c>
      <c r="U296" s="2">
        <v>0</v>
      </c>
      <c r="V296" s="2"/>
      <c r="W296" s="2">
        <v>140934</v>
      </c>
      <c r="X296" s="2">
        <v>114415</v>
      </c>
      <c r="Y296" s="2">
        <v>0</v>
      </c>
      <c r="Z296" s="2">
        <v>0</v>
      </c>
      <c r="AA296" s="2">
        <v>0</v>
      </c>
      <c r="AB296" s="2"/>
      <c r="AC296" s="2">
        <v>22192</v>
      </c>
      <c r="AD296" s="2">
        <v>22192</v>
      </c>
      <c r="AE296" s="2">
        <v>22192</v>
      </c>
      <c r="AF296" s="2">
        <v>0</v>
      </c>
      <c r="AG296" s="2">
        <v>0</v>
      </c>
      <c r="AH296" s="2"/>
      <c r="AI296" s="2">
        <v>-13860</v>
      </c>
      <c r="AJ296" s="2">
        <v>-13243</v>
      </c>
      <c r="AK296" s="2">
        <v>-8140</v>
      </c>
      <c r="AL296" s="2">
        <v>0</v>
      </c>
      <c r="AM296" s="2">
        <v>-13243</v>
      </c>
    </row>
    <row r="297" spans="1:39">
      <c r="A297" s="351">
        <v>92821</v>
      </c>
      <c r="B297" s="344" t="s">
        <v>989</v>
      </c>
      <c r="C297" s="360">
        <v>9.9109999999999997E-4</v>
      </c>
      <c r="E297" s="2">
        <v>361036</v>
      </c>
      <c r="F297" s="2">
        <v>472283</v>
      </c>
      <c r="G297" s="2">
        <v>281312</v>
      </c>
      <c r="H297" s="2">
        <v>147497</v>
      </c>
      <c r="I297" s="2">
        <v>0</v>
      </c>
      <c r="J297" s="2"/>
      <c r="K297" s="2">
        <v>183759</v>
      </c>
      <c r="L297" s="2">
        <v>169274</v>
      </c>
      <c r="M297" s="2">
        <v>94212</v>
      </c>
      <c r="N297" s="2">
        <v>0</v>
      </c>
      <c r="O297" s="2">
        <v>0</v>
      </c>
      <c r="P297" s="2"/>
      <c r="Q297" s="2">
        <v>11912</v>
      </c>
      <c r="R297" s="2">
        <v>166609</v>
      </c>
      <c r="S297" s="2">
        <v>172370</v>
      </c>
      <c r="T297" s="2">
        <v>147497</v>
      </c>
      <c r="U297" s="2">
        <v>0</v>
      </c>
      <c r="V297" s="2"/>
      <c r="W297" s="2">
        <v>145470</v>
      </c>
      <c r="X297" s="2">
        <v>118097</v>
      </c>
      <c r="Y297" s="2">
        <v>0</v>
      </c>
      <c r="Z297" s="2">
        <v>0</v>
      </c>
      <c r="AA297" s="2">
        <v>0</v>
      </c>
      <c r="AB297" s="2"/>
      <c r="AC297" s="2">
        <v>19895</v>
      </c>
      <c r="AD297" s="2">
        <v>18303</v>
      </c>
      <c r="AE297" s="2">
        <v>14730</v>
      </c>
      <c r="AF297" s="2">
        <v>0</v>
      </c>
      <c r="AG297" s="2">
        <v>0</v>
      </c>
      <c r="AH297" s="2"/>
      <c r="AI297" s="2">
        <v>0</v>
      </c>
      <c r="AJ297" s="2">
        <v>0</v>
      </c>
      <c r="AK297" s="2">
        <v>0</v>
      </c>
      <c r="AL297" s="2">
        <v>0</v>
      </c>
      <c r="AM297" s="2">
        <v>0</v>
      </c>
    </row>
    <row r="298" spans="1:39">
      <c r="A298" s="351">
        <v>92831</v>
      </c>
      <c r="B298" s="344" t="s">
        <v>990</v>
      </c>
      <c r="C298" s="360">
        <v>2.6449999999999998E-4</v>
      </c>
      <c r="E298" s="2">
        <v>114482</v>
      </c>
      <c r="F298" s="2">
        <v>145136</v>
      </c>
      <c r="G298" s="2">
        <v>88253</v>
      </c>
      <c r="H298" s="2">
        <v>39363</v>
      </c>
      <c r="I298" s="2">
        <v>0</v>
      </c>
      <c r="J298" s="2"/>
      <c r="K298" s="2">
        <v>49041</v>
      </c>
      <c r="L298" s="2">
        <v>45175</v>
      </c>
      <c r="M298" s="2">
        <v>25143</v>
      </c>
      <c r="N298" s="2">
        <v>0</v>
      </c>
      <c r="O298" s="2">
        <v>0</v>
      </c>
      <c r="P298" s="2"/>
      <c r="Q298" s="2">
        <v>3179</v>
      </c>
      <c r="R298" s="2">
        <v>44464</v>
      </c>
      <c r="S298" s="2">
        <v>46001</v>
      </c>
      <c r="T298" s="2">
        <v>39363</v>
      </c>
      <c r="U298" s="2">
        <v>0</v>
      </c>
      <c r="V298" s="2"/>
      <c r="W298" s="2">
        <v>38822</v>
      </c>
      <c r="X298" s="2">
        <v>31517</v>
      </c>
      <c r="Y298" s="2">
        <v>0</v>
      </c>
      <c r="Z298" s="2">
        <v>0</v>
      </c>
      <c r="AA298" s="2">
        <v>0</v>
      </c>
      <c r="AB298" s="2"/>
      <c r="AC298" s="2">
        <v>23978</v>
      </c>
      <c r="AD298" s="2">
        <v>23980</v>
      </c>
      <c r="AE298" s="2">
        <v>17109</v>
      </c>
      <c r="AF298" s="2">
        <v>0</v>
      </c>
      <c r="AG298" s="2">
        <v>0</v>
      </c>
      <c r="AH298" s="2"/>
      <c r="AI298" s="2">
        <v>-538</v>
      </c>
      <c r="AJ298" s="2">
        <v>0</v>
      </c>
      <c r="AK298" s="2">
        <v>0</v>
      </c>
      <c r="AL298" s="2">
        <v>0</v>
      </c>
      <c r="AM298" s="2">
        <v>0</v>
      </c>
    </row>
    <row r="299" spans="1:39">
      <c r="A299" s="351">
        <v>92841</v>
      </c>
      <c r="B299" s="344" t="s">
        <v>991</v>
      </c>
      <c r="C299" s="360">
        <v>2.2110000000000001E-4</v>
      </c>
      <c r="E299" s="2">
        <v>59097</v>
      </c>
      <c r="F299" s="2">
        <v>86998</v>
      </c>
      <c r="G299" s="2">
        <v>49045</v>
      </c>
      <c r="H299" s="2">
        <v>32905</v>
      </c>
      <c r="I299" s="2">
        <v>0</v>
      </c>
      <c r="J299" s="2"/>
      <c r="K299" s="2">
        <v>40994</v>
      </c>
      <c r="L299" s="2">
        <v>37763</v>
      </c>
      <c r="M299" s="2">
        <v>21017</v>
      </c>
      <c r="N299" s="2">
        <v>0</v>
      </c>
      <c r="O299" s="2">
        <v>0</v>
      </c>
      <c r="P299" s="2"/>
      <c r="Q299" s="2">
        <v>2657</v>
      </c>
      <c r="R299" s="2">
        <v>37168</v>
      </c>
      <c r="S299" s="2">
        <v>38453</v>
      </c>
      <c r="T299" s="2">
        <v>32905</v>
      </c>
      <c r="U299" s="2">
        <v>0</v>
      </c>
      <c r="V299" s="2"/>
      <c r="W299" s="2">
        <v>32452</v>
      </c>
      <c r="X299" s="2">
        <v>26346</v>
      </c>
      <c r="Y299" s="2">
        <v>0</v>
      </c>
      <c r="Z299" s="2">
        <v>0</v>
      </c>
      <c r="AA299" s="2">
        <v>0</v>
      </c>
      <c r="AB299" s="2"/>
      <c r="AC299" s="2">
        <v>0</v>
      </c>
      <c r="AD299" s="2">
        <v>0</v>
      </c>
      <c r="AE299" s="2">
        <v>0</v>
      </c>
      <c r="AF299" s="2">
        <v>0</v>
      </c>
      <c r="AG299" s="2">
        <v>0</v>
      </c>
      <c r="AH299" s="2"/>
      <c r="AI299" s="2">
        <v>-17006</v>
      </c>
      <c r="AJ299" s="2">
        <v>-14279</v>
      </c>
      <c r="AK299" s="2">
        <v>-10425</v>
      </c>
      <c r="AL299" s="2">
        <v>0</v>
      </c>
      <c r="AM299" s="2">
        <v>-14279</v>
      </c>
    </row>
    <row r="300" spans="1:39">
      <c r="A300" s="351">
        <v>92851</v>
      </c>
      <c r="B300" s="344" t="s">
        <v>992</v>
      </c>
      <c r="C300" s="360">
        <v>3.9360000000000003E-4</v>
      </c>
      <c r="E300" s="2">
        <v>100057</v>
      </c>
      <c r="F300" s="2">
        <v>146111</v>
      </c>
      <c r="G300" s="2">
        <v>80125</v>
      </c>
      <c r="H300" s="2">
        <v>58576</v>
      </c>
      <c r="I300" s="2">
        <v>0</v>
      </c>
      <c r="J300" s="2"/>
      <c r="K300" s="2">
        <v>72977</v>
      </c>
      <c r="L300" s="2">
        <v>67225</v>
      </c>
      <c r="M300" s="2">
        <v>37415</v>
      </c>
      <c r="N300" s="2">
        <v>0</v>
      </c>
      <c r="O300" s="2">
        <v>0</v>
      </c>
      <c r="P300" s="2"/>
      <c r="Q300" s="2">
        <v>4731</v>
      </c>
      <c r="R300" s="2">
        <v>66166</v>
      </c>
      <c r="S300" s="2">
        <v>68454</v>
      </c>
      <c r="T300" s="2">
        <v>58576</v>
      </c>
      <c r="U300" s="2">
        <v>0</v>
      </c>
      <c r="V300" s="2"/>
      <c r="W300" s="2">
        <v>57771</v>
      </c>
      <c r="X300" s="2">
        <v>46900</v>
      </c>
      <c r="Y300" s="2">
        <v>0</v>
      </c>
      <c r="Z300" s="2">
        <v>0</v>
      </c>
      <c r="AA300" s="2">
        <v>0</v>
      </c>
      <c r="AB300" s="2"/>
      <c r="AC300" s="2">
        <v>0</v>
      </c>
      <c r="AD300" s="2">
        <v>0</v>
      </c>
      <c r="AE300" s="2">
        <v>0</v>
      </c>
      <c r="AF300" s="2">
        <v>0</v>
      </c>
      <c r="AG300" s="2">
        <v>0</v>
      </c>
      <c r="AH300" s="2"/>
      <c r="AI300" s="2">
        <v>-35422</v>
      </c>
      <c r="AJ300" s="2">
        <v>-34180</v>
      </c>
      <c r="AK300" s="2">
        <v>-25744</v>
      </c>
      <c r="AL300" s="2">
        <v>0</v>
      </c>
      <c r="AM300" s="2">
        <v>-34180</v>
      </c>
    </row>
    <row r="301" spans="1:39">
      <c r="A301" s="351">
        <v>92861</v>
      </c>
      <c r="B301" s="344" t="s">
        <v>993</v>
      </c>
      <c r="C301" s="360">
        <v>3.7579999999999997E-4</v>
      </c>
      <c r="E301" s="2">
        <v>106712</v>
      </c>
      <c r="F301" s="2">
        <v>154180</v>
      </c>
      <c r="G301" s="2">
        <v>89907</v>
      </c>
      <c r="H301" s="2">
        <v>55927</v>
      </c>
      <c r="I301" s="2">
        <v>0</v>
      </c>
      <c r="J301" s="2"/>
      <c r="K301" s="2">
        <v>69677</v>
      </c>
      <c r="L301" s="2">
        <v>64184</v>
      </c>
      <c r="M301" s="2">
        <v>35723</v>
      </c>
      <c r="N301" s="2">
        <v>0</v>
      </c>
      <c r="O301" s="2">
        <v>0</v>
      </c>
      <c r="P301" s="2"/>
      <c r="Q301" s="2">
        <v>4517</v>
      </c>
      <c r="R301" s="2">
        <v>63174</v>
      </c>
      <c r="S301" s="2">
        <v>65358</v>
      </c>
      <c r="T301" s="2">
        <v>55927</v>
      </c>
      <c r="U301" s="2">
        <v>0</v>
      </c>
      <c r="V301" s="2"/>
      <c r="W301" s="2">
        <v>55158</v>
      </c>
      <c r="X301" s="2">
        <v>44779</v>
      </c>
      <c r="Y301" s="2">
        <v>0</v>
      </c>
      <c r="Z301" s="2">
        <v>0</v>
      </c>
      <c r="AA301" s="2">
        <v>0</v>
      </c>
      <c r="AB301" s="2"/>
      <c r="AC301" s="2">
        <v>0</v>
      </c>
      <c r="AD301" s="2">
        <v>0</v>
      </c>
      <c r="AE301" s="2">
        <v>0</v>
      </c>
      <c r="AF301" s="2">
        <v>0</v>
      </c>
      <c r="AG301" s="2">
        <v>0</v>
      </c>
      <c r="AH301" s="2"/>
      <c r="AI301" s="2">
        <v>-22640</v>
      </c>
      <c r="AJ301" s="2">
        <v>-17957</v>
      </c>
      <c r="AK301" s="2">
        <v>-11174</v>
      </c>
      <c r="AL301" s="2">
        <v>0</v>
      </c>
      <c r="AM301" s="2">
        <v>-17957</v>
      </c>
    </row>
    <row r="302" spans="1:39">
      <c r="A302" s="351">
        <v>92901</v>
      </c>
      <c r="B302" s="344" t="s">
        <v>994</v>
      </c>
      <c r="C302" s="360">
        <v>5.4431999999999996E-3</v>
      </c>
      <c r="E302" s="2">
        <v>1895713</v>
      </c>
      <c r="F302" s="2">
        <v>2533865</v>
      </c>
      <c r="G302" s="2">
        <v>1505411</v>
      </c>
      <c r="H302" s="2">
        <v>810068</v>
      </c>
      <c r="I302" s="2">
        <v>0</v>
      </c>
      <c r="J302" s="2"/>
      <c r="K302" s="2">
        <v>1009218</v>
      </c>
      <c r="L302" s="2">
        <v>929666</v>
      </c>
      <c r="M302" s="2">
        <v>517420</v>
      </c>
      <c r="N302" s="2">
        <v>0</v>
      </c>
      <c r="O302" s="2">
        <v>0</v>
      </c>
      <c r="P302" s="2"/>
      <c r="Q302" s="2">
        <v>65422</v>
      </c>
      <c r="R302" s="2">
        <v>915029</v>
      </c>
      <c r="S302" s="2">
        <v>946670</v>
      </c>
      <c r="T302" s="2">
        <v>810068</v>
      </c>
      <c r="U302" s="2">
        <v>0</v>
      </c>
      <c r="V302" s="2"/>
      <c r="W302" s="2">
        <v>798931</v>
      </c>
      <c r="X302" s="2">
        <v>648595</v>
      </c>
      <c r="Y302" s="2">
        <v>0</v>
      </c>
      <c r="Z302" s="2">
        <v>0</v>
      </c>
      <c r="AA302" s="2">
        <v>0</v>
      </c>
      <c r="AB302" s="2"/>
      <c r="AC302" s="2">
        <v>41322</v>
      </c>
      <c r="AD302" s="2">
        <v>41322</v>
      </c>
      <c r="AE302" s="2">
        <v>41321</v>
      </c>
      <c r="AF302" s="2">
        <v>0</v>
      </c>
      <c r="AG302" s="2">
        <v>0</v>
      </c>
      <c r="AH302" s="2"/>
      <c r="AI302" s="2">
        <v>-19180</v>
      </c>
      <c r="AJ302" s="2">
        <v>-747</v>
      </c>
      <c r="AK302" s="2">
        <v>0</v>
      </c>
      <c r="AL302" s="2">
        <v>0</v>
      </c>
      <c r="AM302" s="2">
        <v>-747</v>
      </c>
    </row>
    <row r="303" spans="1:39">
      <c r="A303" s="351">
        <v>92911</v>
      </c>
      <c r="B303" s="344" t="s">
        <v>995</v>
      </c>
      <c r="C303" s="360">
        <v>1.8653000000000001E-3</v>
      </c>
      <c r="E303" s="2">
        <v>664263</v>
      </c>
      <c r="F303" s="2">
        <v>869522</v>
      </c>
      <c r="G303" s="2">
        <v>512388</v>
      </c>
      <c r="H303" s="2">
        <v>277598</v>
      </c>
      <c r="I303" s="2">
        <v>0</v>
      </c>
      <c r="J303" s="2"/>
      <c r="K303" s="2">
        <v>345843</v>
      </c>
      <c r="L303" s="2">
        <v>318582</v>
      </c>
      <c r="M303" s="2">
        <v>177312</v>
      </c>
      <c r="N303" s="2">
        <v>0</v>
      </c>
      <c r="O303" s="2">
        <v>0</v>
      </c>
      <c r="P303" s="2"/>
      <c r="Q303" s="2">
        <v>22419</v>
      </c>
      <c r="R303" s="2">
        <v>313566</v>
      </c>
      <c r="S303" s="2">
        <v>324409</v>
      </c>
      <c r="T303" s="2">
        <v>277598</v>
      </c>
      <c r="U303" s="2">
        <v>0</v>
      </c>
      <c r="V303" s="2"/>
      <c r="W303" s="2">
        <v>273781</v>
      </c>
      <c r="X303" s="2">
        <v>222264</v>
      </c>
      <c r="Y303" s="2">
        <v>0</v>
      </c>
      <c r="Z303" s="2">
        <v>0</v>
      </c>
      <c r="AA303" s="2">
        <v>0</v>
      </c>
      <c r="AB303" s="2"/>
      <c r="AC303" s="2">
        <v>22220</v>
      </c>
      <c r="AD303" s="2">
        <v>15110</v>
      </c>
      <c r="AE303" s="2">
        <v>10667</v>
      </c>
      <c r="AF303" s="2">
        <v>0</v>
      </c>
      <c r="AG303" s="2">
        <v>0</v>
      </c>
      <c r="AH303" s="2"/>
      <c r="AI303" s="2">
        <v>0</v>
      </c>
      <c r="AJ303" s="2">
        <v>0</v>
      </c>
      <c r="AK303" s="2">
        <v>0</v>
      </c>
      <c r="AL303" s="2">
        <v>0</v>
      </c>
      <c r="AM303" s="2">
        <v>0</v>
      </c>
    </row>
    <row r="304" spans="1:39">
      <c r="A304" s="351">
        <v>92913</v>
      </c>
      <c r="B304" s="344" t="s">
        <v>996</v>
      </c>
      <c r="C304" s="360">
        <v>1.88E-5</v>
      </c>
      <c r="E304" s="2">
        <v>37323</v>
      </c>
      <c r="F304" s="2">
        <v>30218</v>
      </c>
      <c r="G304" s="2">
        <v>17460</v>
      </c>
      <c r="H304" s="2">
        <v>2798</v>
      </c>
      <c r="I304" s="2">
        <v>0</v>
      </c>
      <c r="J304" s="2"/>
      <c r="K304" s="2">
        <v>3486</v>
      </c>
      <c r="L304" s="2">
        <v>3211</v>
      </c>
      <c r="M304" s="2">
        <v>1787</v>
      </c>
      <c r="N304" s="2">
        <v>0</v>
      </c>
      <c r="O304" s="2">
        <v>0</v>
      </c>
      <c r="P304" s="2"/>
      <c r="Q304" s="2">
        <v>226</v>
      </c>
      <c r="R304" s="2">
        <v>3160</v>
      </c>
      <c r="S304" s="2">
        <v>3270</v>
      </c>
      <c r="T304" s="2">
        <v>2798</v>
      </c>
      <c r="U304" s="2">
        <v>0</v>
      </c>
      <c r="V304" s="2"/>
      <c r="W304" s="2">
        <v>2759</v>
      </c>
      <c r="X304" s="2">
        <v>2240</v>
      </c>
      <c r="Y304" s="2">
        <v>0</v>
      </c>
      <c r="Z304" s="2">
        <v>0</v>
      </c>
      <c r="AA304" s="2">
        <v>0</v>
      </c>
      <c r="AB304" s="2"/>
      <c r="AC304" s="2">
        <v>30852</v>
      </c>
      <c r="AD304" s="2">
        <v>21607</v>
      </c>
      <c r="AE304" s="2">
        <v>12403</v>
      </c>
      <c r="AF304" s="2">
        <v>0</v>
      </c>
      <c r="AG304" s="2">
        <v>0</v>
      </c>
      <c r="AH304" s="2"/>
      <c r="AI304" s="2">
        <v>0</v>
      </c>
      <c r="AJ304" s="2">
        <v>0</v>
      </c>
      <c r="AK304" s="2">
        <v>0</v>
      </c>
      <c r="AL304" s="2">
        <v>0</v>
      </c>
      <c r="AM304" s="2">
        <v>0</v>
      </c>
    </row>
    <row r="305" spans="1:39">
      <c r="A305" s="351">
        <v>92914</v>
      </c>
      <c r="B305" s="344" t="s">
        <v>997</v>
      </c>
      <c r="C305" s="360">
        <v>2.6999999999999999E-5</v>
      </c>
      <c r="E305" s="2">
        <v>15644</v>
      </c>
      <c r="F305" s="2">
        <v>14425</v>
      </c>
      <c r="G305" s="2">
        <v>9632</v>
      </c>
      <c r="H305" s="2">
        <v>4018</v>
      </c>
      <c r="I305" s="2">
        <v>0</v>
      </c>
      <c r="J305" s="2"/>
      <c r="K305" s="2">
        <v>5006</v>
      </c>
      <c r="L305" s="2">
        <v>4611</v>
      </c>
      <c r="M305" s="2">
        <v>2567</v>
      </c>
      <c r="N305" s="2">
        <v>0</v>
      </c>
      <c r="O305" s="2">
        <v>0</v>
      </c>
      <c r="P305" s="2"/>
      <c r="Q305" s="2">
        <v>325</v>
      </c>
      <c r="R305" s="2">
        <v>4539</v>
      </c>
      <c r="S305" s="2">
        <v>4696</v>
      </c>
      <c r="T305" s="2">
        <v>4018</v>
      </c>
      <c r="U305" s="2">
        <v>0</v>
      </c>
      <c r="V305" s="2"/>
      <c r="W305" s="2">
        <v>3963</v>
      </c>
      <c r="X305" s="2">
        <v>3217</v>
      </c>
      <c r="Y305" s="2">
        <v>0</v>
      </c>
      <c r="Z305" s="2">
        <v>0</v>
      </c>
      <c r="AA305" s="2">
        <v>0</v>
      </c>
      <c r="AB305" s="2"/>
      <c r="AC305" s="2">
        <v>6662</v>
      </c>
      <c r="AD305" s="2">
        <v>2368</v>
      </c>
      <c r="AE305" s="2">
        <v>2369</v>
      </c>
      <c r="AF305" s="2">
        <v>0</v>
      </c>
      <c r="AG305" s="2">
        <v>0</v>
      </c>
      <c r="AH305" s="2"/>
      <c r="AI305" s="2">
        <v>-312</v>
      </c>
      <c r="AJ305" s="2">
        <v>-310</v>
      </c>
      <c r="AK305" s="2">
        <v>0</v>
      </c>
      <c r="AL305" s="2">
        <v>0</v>
      </c>
      <c r="AM305" s="2">
        <v>-310</v>
      </c>
    </row>
    <row r="306" spans="1:39">
      <c r="A306" s="351">
        <v>92917</v>
      </c>
      <c r="B306" s="344" t="s">
        <v>998</v>
      </c>
      <c r="C306" s="360">
        <v>1.2999999999999999E-5</v>
      </c>
      <c r="E306" s="2">
        <v>9230</v>
      </c>
      <c r="F306" s="2">
        <v>9726</v>
      </c>
      <c r="G306" s="2">
        <v>5391</v>
      </c>
      <c r="H306" s="2">
        <v>1935</v>
      </c>
      <c r="I306" s="2">
        <v>0</v>
      </c>
      <c r="J306" s="2"/>
      <c r="K306" s="2">
        <v>2410</v>
      </c>
      <c r="L306" s="2">
        <v>2220</v>
      </c>
      <c r="M306" s="2">
        <v>1236</v>
      </c>
      <c r="N306" s="2">
        <v>0</v>
      </c>
      <c r="O306" s="2">
        <v>0</v>
      </c>
      <c r="P306" s="2"/>
      <c r="Q306" s="2">
        <v>156</v>
      </c>
      <c r="R306" s="2">
        <v>2185</v>
      </c>
      <c r="S306" s="2">
        <v>2261</v>
      </c>
      <c r="T306" s="2">
        <v>1935</v>
      </c>
      <c r="U306" s="2">
        <v>0</v>
      </c>
      <c r="V306" s="2"/>
      <c r="W306" s="2">
        <v>1908</v>
      </c>
      <c r="X306" s="2">
        <v>1549</v>
      </c>
      <c r="Y306" s="2">
        <v>0</v>
      </c>
      <c r="Z306" s="2">
        <v>0</v>
      </c>
      <c r="AA306" s="2">
        <v>0</v>
      </c>
      <c r="AB306" s="2"/>
      <c r="AC306" s="2">
        <v>4756</v>
      </c>
      <c r="AD306" s="2">
        <v>3772</v>
      </c>
      <c r="AE306" s="2">
        <v>1894</v>
      </c>
      <c r="AF306" s="2">
        <v>0</v>
      </c>
      <c r="AG306" s="2">
        <v>0</v>
      </c>
      <c r="AH306" s="2"/>
      <c r="AI306" s="2">
        <v>0</v>
      </c>
      <c r="AJ306" s="2">
        <v>0</v>
      </c>
      <c r="AK306" s="2">
        <v>0</v>
      </c>
      <c r="AL306" s="2">
        <v>0</v>
      </c>
      <c r="AM306" s="2">
        <v>0</v>
      </c>
    </row>
    <row r="307" spans="1:39">
      <c r="A307" s="351">
        <v>92921</v>
      </c>
      <c r="B307" s="344" t="s">
        <v>999</v>
      </c>
      <c r="C307" s="360">
        <v>9.31E-5</v>
      </c>
      <c r="E307" s="2">
        <v>42223</v>
      </c>
      <c r="F307" s="2">
        <v>49510</v>
      </c>
      <c r="G307" s="2">
        <v>28230</v>
      </c>
      <c r="H307" s="2">
        <v>13855</v>
      </c>
      <c r="I307" s="2">
        <v>0</v>
      </c>
      <c r="J307" s="2"/>
      <c r="K307" s="2">
        <v>17262</v>
      </c>
      <c r="L307" s="2">
        <v>15901</v>
      </c>
      <c r="M307" s="2">
        <v>8850</v>
      </c>
      <c r="N307" s="2">
        <v>0</v>
      </c>
      <c r="O307" s="2">
        <v>0</v>
      </c>
      <c r="P307" s="2"/>
      <c r="Q307" s="2">
        <v>1119</v>
      </c>
      <c r="R307" s="2">
        <v>15651</v>
      </c>
      <c r="S307" s="2">
        <v>16192</v>
      </c>
      <c r="T307" s="2">
        <v>13855</v>
      </c>
      <c r="U307" s="2">
        <v>0</v>
      </c>
      <c r="V307" s="2"/>
      <c r="W307" s="2">
        <v>13665</v>
      </c>
      <c r="X307" s="2">
        <v>11094</v>
      </c>
      <c r="Y307" s="2">
        <v>0</v>
      </c>
      <c r="Z307" s="2">
        <v>0</v>
      </c>
      <c r="AA307" s="2">
        <v>0</v>
      </c>
      <c r="AB307" s="2"/>
      <c r="AC307" s="2">
        <v>10177</v>
      </c>
      <c r="AD307" s="2">
        <v>6864</v>
      </c>
      <c r="AE307" s="2">
        <v>3188</v>
      </c>
      <c r="AF307" s="2">
        <v>0</v>
      </c>
      <c r="AG307" s="2">
        <v>0</v>
      </c>
      <c r="AH307" s="2"/>
      <c r="AI307" s="2">
        <v>0</v>
      </c>
      <c r="AJ307" s="2">
        <v>0</v>
      </c>
      <c r="AK307" s="2">
        <v>0</v>
      </c>
      <c r="AL307" s="2">
        <v>0</v>
      </c>
      <c r="AM307" s="2">
        <v>0</v>
      </c>
    </row>
    <row r="308" spans="1:39">
      <c r="A308" s="351">
        <v>92931</v>
      </c>
      <c r="B308" s="344" t="s">
        <v>1000</v>
      </c>
      <c r="C308" s="360">
        <v>2.33E-3</v>
      </c>
      <c r="E308" s="2">
        <v>770425</v>
      </c>
      <c r="F308" s="2">
        <v>1051791</v>
      </c>
      <c r="G308" s="2">
        <v>604183</v>
      </c>
      <c r="H308" s="2">
        <v>346755</v>
      </c>
      <c r="I308" s="2">
        <v>0</v>
      </c>
      <c r="J308" s="2"/>
      <c r="K308" s="2">
        <v>432003</v>
      </c>
      <c r="L308" s="2">
        <v>397950</v>
      </c>
      <c r="M308" s="2">
        <v>221485</v>
      </c>
      <c r="N308" s="2">
        <v>0</v>
      </c>
      <c r="O308" s="2">
        <v>0</v>
      </c>
      <c r="P308" s="2"/>
      <c r="Q308" s="2">
        <v>28004</v>
      </c>
      <c r="R308" s="2">
        <v>391685</v>
      </c>
      <c r="S308" s="2">
        <v>405229</v>
      </c>
      <c r="T308" s="2">
        <v>346755</v>
      </c>
      <c r="U308" s="2">
        <v>0</v>
      </c>
      <c r="V308" s="2"/>
      <c r="W308" s="2">
        <v>341988</v>
      </c>
      <c r="X308" s="2">
        <v>277636</v>
      </c>
      <c r="Y308" s="2">
        <v>0</v>
      </c>
      <c r="Z308" s="2">
        <v>0</v>
      </c>
      <c r="AA308" s="2">
        <v>0</v>
      </c>
      <c r="AB308" s="2"/>
      <c r="AC308" s="2">
        <v>32298</v>
      </c>
      <c r="AD308" s="2">
        <v>32296</v>
      </c>
      <c r="AE308" s="2">
        <v>25246</v>
      </c>
      <c r="AF308" s="2">
        <v>0</v>
      </c>
      <c r="AG308" s="2">
        <v>0</v>
      </c>
      <c r="AH308" s="2"/>
      <c r="AI308" s="2">
        <v>-63868</v>
      </c>
      <c r="AJ308" s="2">
        <v>-47776</v>
      </c>
      <c r="AK308" s="2">
        <v>-47777</v>
      </c>
      <c r="AL308" s="2">
        <v>0</v>
      </c>
      <c r="AM308" s="2">
        <v>-47776</v>
      </c>
    </row>
    <row r="309" spans="1:39">
      <c r="A309" s="351">
        <v>92941</v>
      </c>
      <c r="B309" s="344" t="s">
        <v>81</v>
      </c>
      <c r="C309" s="360">
        <v>4.3000000000000003E-6</v>
      </c>
      <c r="E309" s="2">
        <v>829</v>
      </c>
      <c r="F309" s="2">
        <v>1762</v>
      </c>
      <c r="G309" s="2">
        <v>1639</v>
      </c>
      <c r="H309" s="2">
        <v>640</v>
      </c>
      <c r="I309" s="2">
        <v>0</v>
      </c>
      <c r="J309" s="2"/>
      <c r="K309" s="2">
        <v>797</v>
      </c>
      <c r="L309" s="2">
        <v>734</v>
      </c>
      <c r="M309" s="2">
        <v>409</v>
      </c>
      <c r="N309" s="2">
        <v>0</v>
      </c>
      <c r="O309" s="2">
        <v>0</v>
      </c>
      <c r="P309" s="2"/>
      <c r="Q309" s="2">
        <v>52</v>
      </c>
      <c r="R309" s="2">
        <v>723</v>
      </c>
      <c r="S309" s="2">
        <v>748</v>
      </c>
      <c r="T309" s="2">
        <v>640</v>
      </c>
      <c r="U309" s="2">
        <v>0</v>
      </c>
      <c r="V309" s="2"/>
      <c r="W309" s="2">
        <v>631</v>
      </c>
      <c r="X309" s="2">
        <v>512</v>
      </c>
      <c r="Y309" s="2">
        <v>0</v>
      </c>
      <c r="Z309" s="2">
        <v>0</v>
      </c>
      <c r="AA309" s="2">
        <v>0</v>
      </c>
      <c r="AB309" s="2"/>
      <c r="AC309" s="2">
        <v>484</v>
      </c>
      <c r="AD309" s="2">
        <v>484</v>
      </c>
      <c r="AE309" s="2">
        <v>482</v>
      </c>
      <c r="AF309" s="2">
        <v>0</v>
      </c>
      <c r="AG309" s="2">
        <v>0</v>
      </c>
      <c r="AH309" s="2"/>
      <c r="AI309" s="2">
        <v>-1135</v>
      </c>
      <c r="AJ309" s="2">
        <v>-691</v>
      </c>
      <c r="AK309" s="2">
        <v>0</v>
      </c>
      <c r="AL309" s="2">
        <v>0</v>
      </c>
      <c r="AM309" s="2">
        <v>-691</v>
      </c>
    </row>
    <row r="310" spans="1:39">
      <c r="A310" s="351">
        <v>93001</v>
      </c>
      <c r="B310" s="344" t="s">
        <v>1001</v>
      </c>
      <c r="C310" s="360">
        <v>2.1771E-3</v>
      </c>
      <c r="E310" s="2">
        <v>702062</v>
      </c>
      <c r="F310" s="2">
        <v>966379</v>
      </c>
      <c r="G310" s="2">
        <v>552044</v>
      </c>
      <c r="H310" s="2">
        <v>324000</v>
      </c>
      <c r="I310" s="2">
        <v>0</v>
      </c>
      <c r="J310" s="2"/>
      <c r="K310" s="2">
        <v>403654</v>
      </c>
      <c r="L310" s="2">
        <v>371836</v>
      </c>
      <c r="M310" s="2">
        <v>206951</v>
      </c>
      <c r="N310" s="2">
        <v>0</v>
      </c>
      <c r="O310" s="2">
        <v>0</v>
      </c>
      <c r="P310" s="2"/>
      <c r="Q310" s="2">
        <v>26167</v>
      </c>
      <c r="R310" s="2">
        <v>365981</v>
      </c>
      <c r="S310" s="2">
        <v>378637</v>
      </c>
      <c r="T310" s="2">
        <v>324000</v>
      </c>
      <c r="U310" s="2">
        <v>0</v>
      </c>
      <c r="V310" s="2"/>
      <c r="W310" s="2">
        <v>319546</v>
      </c>
      <c r="X310" s="2">
        <v>259417</v>
      </c>
      <c r="Y310" s="2">
        <v>0</v>
      </c>
      <c r="Z310" s="2">
        <v>0</v>
      </c>
      <c r="AA310" s="2">
        <v>0</v>
      </c>
      <c r="AB310" s="2"/>
      <c r="AC310" s="2">
        <v>2689</v>
      </c>
      <c r="AD310" s="2">
        <v>2690</v>
      </c>
      <c r="AE310" s="2">
        <v>0</v>
      </c>
      <c r="AF310" s="2">
        <v>0</v>
      </c>
      <c r="AG310" s="2">
        <v>0</v>
      </c>
      <c r="AH310" s="2"/>
      <c r="AI310" s="2">
        <v>-49994</v>
      </c>
      <c r="AJ310" s="2">
        <v>-33545</v>
      </c>
      <c r="AK310" s="2">
        <v>-33544</v>
      </c>
      <c r="AL310" s="2">
        <v>0</v>
      </c>
      <c r="AM310" s="2">
        <v>-33545</v>
      </c>
    </row>
    <row r="311" spans="1:39">
      <c r="A311" s="351">
        <v>93009</v>
      </c>
      <c r="B311" s="344" t="s">
        <v>3670</v>
      </c>
      <c r="C311" s="360">
        <v>1.19E-5</v>
      </c>
      <c r="E311" s="2">
        <v>2279</v>
      </c>
      <c r="F311" s="2">
        <v>4027</v>
      </c>
      <c r="G311" s="2">
        <v>2138</v>
      </c>
      <c r="H311" s="2">
        <v>1771</v>
      </c>
      <c r="I311" s="2">
        <v>0</v>
      </c>
      <c r="J311" s="2"/>
      <c r="K311" s="2">
        <v>2206</v>
      </c>
      <c r="L311" s="2">
        <v>2032</v>
      </c>
      <c r="M311" s="2">
        <v>1131</v>
      </c>
      <c r="N311" s="2">
        <v>0</v>
      </c>
      <c r="O311" s="2">
        <v>0</v>
      </c>
      <c r="P311" s="2"/>
      <c r="Q311" s="2">
        <v>143</v>
      </c>
      <c r="R311" s="2">
        <v>2000</v>
      </c>
      <c r="S311" s="2">
        <v>2070</v>
      </c>
      <c r="T311" s="2">
        <v>1771</v>
      </c>
      <c r="U311" s="2">
        <v>0</v>
      </c>
      <c r="V311" s="2"/>
      <c r="W311" s="2">
        <v>1747</v>
      </c>
      <c r="X311" s="2">
        <v>1418</v>
      </c>
      <c r="Y311" s="2">
        <v>0</v>
      </c>
      <c r="Z311" s="2">
        <v>0</v>
      </c>
      <c r="AA311" s="2">
        <v>0</v>
      </c>
      <c r="AB311" s="2"/>
      <c r="AC311" s="2">
        <v>0</v>
      </c>
      <c r="AD311" s="2">
        <v>0</v>
      </c>
      <c r="AE311" s="2">
        <v>0</v>
      </c>
      <c r="AF311" s="2">
        <v>0</v>
      </c>
      <c r="AG311" s="2">
        <v>0</v>
      </c>
      <c r="AH311" s="2"/>
      <c r="AI311" s="2">
        <v>-1817</v>
      </c>
      <c r="AJ311" s="2">
        <v>-1423</v>
      </c>
      <c r="AK311" s="2">
        <v>-1063</v>
      </c>
      <c r="AL311" s="2">
        <v>0</v>
      </c>
      <c r="AM311" s="2">
        <v>-1423</v>
      </c>
    </row>
    <row r="312" spans="1:39">
      <c r="A312" s="351">
        <v>93011</v>
      </c>
      <c r="B312" s="344" t="s">
        <v>1003</v>
      </c>
      <c r="C312" s="360">
        <v>3.121E-4</v>
      </c>
      <c r="E312" s="2">
        <v>122445</v>
      </c>
      <c r="F312" s="2">
        <v>160918</v>
      </c>
      <c r="G312" s="2">
        <v>89165</v>
      </c>
      <c r="H312" s="2">
        <v>46447</v>
      </c>
      <c r="I312" s="2">
        <v>0</v>
      </c>
      <c r="J312" s="2"/>
      <c r="K312" s="2">
        <v>57866</v>
      </c>
      <c r="L312" s="2">
        <v>53305</v>
      </c>
      <c r="M312" s="2">
        <v>29668</v>
      </c>
      <c r="N312" s="2">
        <v>0</v>
      </c>
      <c r="O312" s="2">
        <v>0</v>
      </c>
      <c r="P312" s="2"/>
      <c r="Q312" s="2">
        <v>3751</v>
      </c>
      <c r="R312" s="2">
        <v>52466</v>
      </c>
      <c r="S312" s="2">
        <v>54280</v>
      </c>
      <c r="T312" s="2">
        <v>46447</v>
      </c>
      <c r="U312" s="2">
        <v>0</v>
      </c>
      <c r="V312" s="2"/>
      <c r="W312" s="2">
        <v>45809</v>
      </c>
      <c r="X312" s="2">
        <v>37189</v>
      </c>
      <c r="Y312" s="2">
        <v>0</v>
      </c>
      <c r="Z312" s="2">
        <v>0</v>
      </c>
      <c r="AA312" s="2">
        <v>0</v>
      </c>
      <c r="AB312" s="2"/>
      <c r="AC312" s="2">
        <v>19395</v>
      </c>
      <c r="AD312" s="2">
        <v>19395</v>
      </c>
      <c r="AE312" s="2">
        <v>6655</v>
      </c>
      <c r="AF312" s="2">
        <v>0</v>
      </c>
      <c r="AG312" s="2">
        <v>0</v>
      </c>
      <c r="AH312" s="2"/>
      <c r="AI312" s="2">
        <v>-4376</v>
      </c>
      <c r="AJ312" s="2">
        <v>-1437</v>
      </c>
      <c r="AK312" s="2">
        <v>-1438</v>
      </c>
      <c r="AL312" s="2">
        <v>0</v>
      </c>
      <c r="AM312" s="2">
        <v>-1437</v>
      </c>
    </row>
    <row r="313" spans="1:39">
      <c r="A313" s="351">
        <v>93021</v>
      </c>
      <c r="B313" s="344" t="s">
        <v>1004</v>
      </c>
      <c r="C313" s="360">
        <v>3.0300000000000001E-5</v>
      </c>
      <c r="E313" s="2">
        <v>8964</v>
      </c>
      <c r="F313" s="2">
        <v>12065</v>
      </c>
      <c r="G313" s="2">
        <v>6956</v>
      </c>
      <c r="H313" s="2">
        <v>4509</v>
      </c>
      <c r="I313" s="2">
        <v>0</v>
      </c>
      <c r="J313" s="2"/>
      <c r="K313" s="2">
        <v>5618</v>
      </c>
      <c r="L313" s="2">
        <v>5175</v>
      </c>
      <c r="M313" s="2">
        <v>2880</v>
      </c>
      <c r="N313" s="2">
        <v>0</v>
      </c>
      <c r="O313" s="2">
        <v>0</v>
      </c>
      <c r="P313" s="2"/>
      <c r="Q313" s="2">
        <v>364</v>
      </c>
      <c r="R313" s="2">
        <v>5094</v>
      </c>
      <c r="S313" s="2">
        <v>5270</v>
      </c>
      <c r="T313" s="2">
        <v>4509</v>
      </c>
      <c r="U313" s="2">
        <v>0</v>
      </c>
      <c r="V313" s="2"/>
      <c r="W313" s="2">
        <v>4447</v>
      </c>
      <c r="X313" s="2">
        <v>3610</v>
      </c>
      <c r="Y313" s="2">
        <v>0</v>
      </c>
      <c r="Z313" s="2">
        <v>0</v>
      </c>
      <c r="AA313" s="2">
        <v>0</v>
      </c>
      <c r="AB313" s="2"/>
      <c r="AC313" s="2">
        <v>347</v>
      </c>
      <c r="AD313" s="2">
        <v>0</v>
      </c>
      <c r="AE313" s="2">
        <v>0</v>
      </c>
      <c r="AF313" s="2">
        <v>0</v>
      </c>
      <c r="AG313" s="2">
        <v>0</v>
      </c>
      <c r="AH313" s="2"/>
      <c r="AI313" s="2">
        <v>-1812</v>
      </c>
      <c r="AJ313" s="2">
        <v>-1814</v>
      </c>
      <c r="AK313" s="2">
        <v>-1194</v>
      </c>
      <c r="AL313" s="2">
        <v>0</v>
      </c>
      <c r="AM313" s="2">
        <v>-1814</v>
      </c>
    </row>
    <row r="314" spans="1:39">
      <c r="A314" s="351">
        <v>93031</v>
      </c>
      <c r="B314" s="344" t="s">
        <v>1006</v>
      </c>
      <c r="C314" s="360">
        <v>4.6E-6</v>
      </c>
      <c r="E314" s="2">
        <v>4561</v>
      </c>
      <c r="F314" s="2">
        <v>3116</v>
      </c>
      <c r="G314" s="2">
        <v>365</v>
      </c>
      <c r="H314" s="2">
        <v>685</v>
      </c>
      <c r="I314" s="2">
        <v>0</v>
      </c>
      <c r="J314" s="2"/>
      <c r="K314" s="2">
        <v>853</v>
      </c>
      <c r="L314" s="2">
        <v>786</v>
      </c>
      <c r="M314" s="2">
        <v>437</v>
      </c>
      <c r="N314" s="2">
        <v>0</v>
      </c>
      <c r="O314" s="2">
        <v>0</v>
      </c>
      <c r="P314" s="2"/>
      <c r="Q314" s="2">
        <v>55</v>
      </c>
      <c r="R314" s="2">
        <v>773</v>
      </c>
      <c r="S314" s="2">
        <v>800</v>
      </c>
      <c r="T314" s="2">
        <v>685</v>
      </c>
      <c r="U314" s="2">
        <v>0</v>
      </c>
      <c r="V314" s="2"/>
      <c r="W314" s="2">
        <v>675</v>
      </c>
      <c r="X314" s="2">
        <v>548</v>
      </c>
      <c r="Y314" s="2">
        <v>0</v>
      </c>
      <c r="Z314" s="2">
        <v>0</v>
      </c>
      <c r="AA314" s="2">
        <v>0</v>
      </c>
      <c r="AB314" s="2"/>
      <c r="AC314" s="2">
        <v>4191</v>
      </c>
      <c r="AD314" s="2">
        <v>2222</v>
      </c>
      <c r="AE314" s="2">
        <v>339</v>
      </c>
      <c r="AF314" s="2">
        <v>0</v>
      </c>
      <c r="AG314" s="2">
        <v>0</v>
      </c>
      <c r="AH314" s="2"/>
      <c r="AI314" s="2">
        <v>-1213</v>
      </c>
      <c r="AJ314" s="2">
        <v>-1213</v>
      </c>
      <c r="AK314" s="2">
        <v>-1211</v>
      </c>
      <c r="AL314" s="2">
        <v>0</v>
      </c>
      <c r="AM314" s="2">
        <v>-1213</v>
      </c>
    </row>
    <row r="315" spans="1:39">
      <c r="A315" s="351">
        <v>93101</v>
      </c>
      <c r="B315" s="344" t="s">
        <v>1007</v>
      </c>
      <c r="C315" s="360">
        <v>2.9229999999999998E-3</v>
      </c>
      <c r="E315" s="2">
        <v>783076</v>
      </c>
      <c r="F315" s="2">
        <v>1144699</v>
      </c>
      <c r="G315" s="2">
        <v>646931</v>
      </c>
      <c r="H315" s="2">
        <v>435007</v>
      </c>
      <c r="I315" s="2">
        <v>0</v>
      </c>
      <c r="J315" s="2"/>
      <c r="K315" s="2">
        <v>541951</v>
      </c>
      <c r="L315" s="2">
        <v>499231</v>
      </c>
      <c r="M315" s="2">
        <v>277855</v>
      </c>
      <c r="N315" s="2">
        <v>0</v>
      </c>
      <c r="O315" s="2">
        <v>0</v>
      </c>
      <c r="P315" s="2"/>
      <c r="Q315" s="2">
        <v>35132</v>
      </c>
      <c r="R315" s="2">
        <v>491371</v>
      </c>
      <c r="S315" s="2">
        <v>508362</v>
      </c>
      <c r="T315" s="2">
        <v>435007</v>
      </c>
      <c r="U315" s="2">
        <v>0</v>
      </c>
      <c r="V315" s="2"/>
      <c r="W315" s="2">
        <v>429026</v>
      </c>
      <c r="X315" s="2">
        <v>348296</v>
      </c>
      <c r="Y315" s="2">
        <v>0</v>
      </c>
      <c r="Z315" s="2">
        <v>0</v>
      </c>
      <c r="AA315" s="2">
        <v>0</v>
      </c>
      <c r="AB315" s="2"/>
      <c r="AC315" s="2">
        <v>0</v>
      </c>
      <c r="AD315" s="2">
        <v>0</v>
      </c>
      <c r="AE315" s="2">
        <v>0</v>
      </c>
      <c r="AF315" s="2">
        <v>0</v>
      </c>
      <c r="AG315" s="2">
        <v>0</v>
      </c>
      <c r="AH315" s="2"/>
      <c r="AI315" s="2">
        <v>-223033</v>
      </c>
      <c r="AJ315" s="2">
        <v>-194199</v>
      </c>
      <c r="AK315" s="2">
        <v>-139286</v>
      </c>
      <c r="AL315" s="2">
        <v>0</v>
      </c>
      <c r="AM315" s="2">
        <v>-194199</v>
      </c>
    </row>
    <row r="316" spans="1:39">
      <c r="A316" s="351">
        <v>93103</v>
      </c>
      <c r="B316" s="344" t="s">
        <v>260</v>
      </c>
      <c r="C316" s="360">
        <v>1.6200000000000001E-5</v>
      </c>
      <c r="E316" s="2">
        <v>2825</v>
      </c>
      <c r="F316" s="2">
        <v>5118</v>
      </c>
      <c r="G316" s="2">
        <v>2558</v>
      </c>
      <c r="H316" s="2">
        <v>2411</v>
      </c>
      <c r="I316" s="2">
        <v>0</v>
      </c>
      <c r="J316" s="2"/>
      <c r="K316" s="2">
        <v>3004</v>
      </c>
      <c r="L316" s="2">
        <v>2767</v>
      </c>
      <c r="M316" s="2">
        <v>1540</v>
      </c>
      <c r="N316" s="2">
        <v>0</v>
      </c>
      <c r="O316" s="2">
        <v>0</v>
      </c>
      <c r="P316" s="2"/>
      <c r="Q316" s="2">
        <v>195</v>
      </c>
      <c r="R316" s="2">
        <v>2723</v>
      </c>
      <c r="S316" s="2">
        <v>2817</v>
      </c>
      <c r="T316" s="2">
        <v>2411</v>
      </c>
      <c r="U316" s="2">
        <v>0</v>
      </c>
      <c r="V316" s="2"/>
      <c r="W316" s="2">
        <v>2378</v>
      </c>
      <c r="X316" s="2">
        <v>1930</v>
      </c>
      <c r="Y316" s="2">
        <v>0</v>
      </c>
      <c r="Z316" s="2">
        <v>0</v>
      </c>
      <c r="AA316" s="2">
        <v>0</v>
      </c>
      <c r="AB316" s="2"/>
      <c r="AC316" s="2">
        <v>0</v>
      </c>
      <c r="AD316" s="2">
        <v>0</v>
      </c>
      <c r="AE316" s="2">
        <v>0</v>
      </c>
      <c r="AF316" s="2">
        <v>0</v>
      </c>
      <c r="AG316" s="2">
        <v>0</v>
      </c>
      <c r="AH316" s="2"/>
      <c r="AI316" s="2">
        <v>-2752</v>
      </c>
      <c r="AJ316" s="2">
        <v>-2302</v>
      </c>
      <c r="AK316" s="2">
        <v>-1799</v>
      </c>
      <c r="AL316" s="2">
        <v>0</v>
      </c>
      <c r="AM316" s="2">
        <v>-2302</v>
      </c>
    </row>
    <row r="317" spans="1:39">
      <c r="A317" s="351">
        <v>93108</v>
      </c>
      <c r="B317" s="344" t="s">
        <v>1008</v>
      </c>
      <c r="C317" s="360">
        <v>2.1960999999999999E-3</v>
      </c>
      <c r="E317" s="2">
        <v>681071</v>
      </c>
      <c r="F317" s="2">
        <v>921584</v>
      </c>
      <c r="G317" s="2">
        <v>551754</v>
      </c>
      <c r="H317" s="2">
        <v>326828</v>
      </c>
      <c r="I317" s="2">
        <v>0</v>
      </c>
      <c r="J317" s="2"/>
      <c r="K317" s="2">
        <v>407177</v>
      </c>
      <c r="L317" s="2">
        <v>375081</v>
      </c>
      <c r="M317" s="2">
        <v>208757</v>
      </c>
      <c r="N317" s="2">
        <v>0</v>
      </c>
      <c r="O317" s="2">
        <v>0</v>
      </c>
      <c r="P317" s="2"/>
      <c r="Q317" s="2">
        <v>26395</v>
      </c>
      <c r="R317" s="2">
        <v>369175</v>
      </c>
      <c r="S317" s="2">
        <v>381941</v>
      </c>
      <c r="T317" s="2">
        <v>326828</v>
      </c>
      <c r="U317" s="2">
        <v>0</v>
      </c>
      <c r="V317" s="2"/>
      <c r="W317" s="2">
        <v>322335</v>
      </c>
      <c r="X317" s="2">
        <v>261681</v>
      </c>
      <c r="Y317" s="2">
        <v>0</v>
      </c>
      <c r="Z317" s="2">
        <v>0</v>
      </c>
      <c r="AA317" s="2">
        <v>0</v>
      </c>
      <c r="AB317" s="2"/>
      <c r="AC317" s="2">
        <v>9518</v>
      </c>
      <c r="AD317" s="2">
        <v>0</v>
      </c>
      <c r="AE317" s="2">
        <v>0</v>
      </c>
      <c r="AF317" s="2">
        <v>0</v>
      </c>
      <c r="AG317" s="2">
        <v>0</v>
      </c>
      <c r="AH317" s="2"/>
      <c r="AI317" s="2">
        <v>-84354</v>
      </c>
      <c r="AJ317" s="2">
        <v>-84353</v>
      </c>
      <c r="AK317" s="2">
        <v>-38944</v>
      </c>
      <c r="AL317" s="2">
        <v>0</v>
      </c>
      <c r="AM317" s="2">
        <v>-84353</v>
      </c>
    </row>
    <row r="318" spans="1:39">
      <c r="A318" s="351">
        <v>93111</v>
      </c>
      <c r="B318" s="344" t="s">
        <v>1009</v>
      </c>
      <c r="C318" s="360">
        <v>5.4400000000000001E-5</v>
      </c>
      <c r="E318" s="2">
        <v>14521</v>
      </c>
      <c r="F318" s="2">
        <v>22720</v>
      </c>
      <c r="G318" s="2">
        <v>12284</v>
      </c>
      <c r="H318" s="2">
        <v>8096</v>
      </c>
      <c r="I318" s="2">
        <v>0</v>
      </c>
      <c r="J318" s="2"/>
      <c r="K318" s="2">
        <v>10086</v>
      </c>
      <c r="L318" s="2">
        <v>9291</v>
      </c>
      <c r="M318" s="2">
        <v>5171</v>
      </c>
      <c r="N318" s="2">
        <v>0</v>
      </c>
      <c r="O318" s="2">
        <v>0</v>
      </c>
      <c r="P318" s="2"/>
      <c r="Q318" s="2">
        <v>654</v>
      </c>
      <c r="R318" s="2">
        <v>9145</v>
      </c>
      <c r="S318" s="2">
        <v>9461</v>
      </c>
      <c r="T318" s="2">
        <v>8096</v>
      </c>
      <c r="U318" s="2">
        <v>0</v>
      </c>
      <c r="V318" s="2"/>
      <c r="W318" s="2">
        <v>7985</v>
      </c>
      <c r="X318" s="2">
        <v>6482</v>
      </c>
      <c r="Y318" s="2">
        <v>0</v>
      </c>
      <c r="Z318" s="2">
        <v>0</v>
      </c>
      <c r="AA318" s="2">
        <v>0</v>
      </c>
      <c r="AB318" s="2"/>
      <c r="AC318" s="2">
        <v>152</v>
      </c>
      <c r="AD318" s="2">
        <v>153</v>
      </c>
      <c r="AE318" s="2">
        <v>0</v>
      </c>
      <c r="AF318" s="2">
        <v>0</v>
      </c>
      <c r="AG318" s="2">
        <v>0</v>
      </c>
      <c r="AH318" s="2"/>
      <c r="AI318" s="2">
        <v>-4356</v>
      </c>
      <c r="AJ318" s="2">
        <v>-2351</v>
      </c>
      <c r="AK318" s="2">
        <v>-2348</v>
      </c>
      <c r="AL318" s="2">
        <v>0</v>
      </c>
      <c r="AM318" s="2">
        <v>-2351</v>
      </c>
    </row>
    <row r="319" spans="1:39">
      <c r="A319" s="351">
        <v>93121</v>
      </c>
      <c r="B319" s="344" t="s">
        <v>1010</v>
      </c>
      <c r="C319" s="360">
        <v>5.38E-5</v>
      </c>
      <c r="E319" s="2">
        <v>18487</v>
      </c>
      <c r="F319" s="2">
        <v>24102</v>
      </c>
      <c r="G319" s="2">
        <v>14549</v>
      </c>
      <c r="H319" s="2">
        <v>8007</v>
      </c>
      <c r="I319" s="2">
        <v>0</v>
      </c>
      <c r="J319" s="2"/>
      <c r="K319" s="2">
        <v>9975</v>
      </c>
      <c r="L319" s="2">
        <v>9189</v>
      </c>
      <c r="M319" s="2">
        <v>5114</v>
      </c>
      <c r="N319" s="2">
        <v>0</v>
      </c>
      <c r="O319" s="2">
        <v>0</v>
      </c>
      <c r="P319" s="2"/>
      <c r="Q319" s="2">
        <v>647</v>
      </c>
      <c r="R319" s="2">
        <v>9044</v>
      </c>
      <c r="S319" s="2">
        <v>9357</v>
      </c>
      <c r="T319" s="2">
        <v>8007</v>
      </c>
      <c r="U319" s="2">
        <v>0</v>
      </c>
      <c r="V319" s="2"/>
      <c r="W319" s="2">
        <v>7897</v>
      </c>
      <c r="X319" s="2">
        <v>6411</v>
      </c>
      <c r="Y319" s="2">
        <v>0</v>
      </c>
      <c r="Z319" s="2">
        <v>0</v>
      </c>
      <c r="AA319" s="2">
        <v>0</v>
      </c>
      <c r="AB319" s="2"/>
      <c r="AC319" s="2">
        <v>2706</v>
      </c>
      <c r="AD319" s="2">
        <v>2196</v>
      </c>
      <c r="AE319" s="2">
        <v>2195</v>
      </c>
      <c r="AF319" s="2">
        <v>0</v>
      </c>
      <c r="AG319" s="2">
        <v>0</v>
      </c>
      <c r="AH319" s="2"/>
      <c r="AI319" s="2">
        <v>-2738</v>
      </c>
      <c r="AJ319" s="2">
        <v>-2738</v>
      </c>
      <c r="AK319" s="2">
        <v>-2117</v>
      </c>
      <c r="AL319" s="2">
        <v>0</v>
      </c>
      <c r="AM319" s="2">
        <v>-2738</v>
      </c>
    </row>
    <row r="320" spans="1:39">
      <c r="A320" s="351">
        <v>93127</v>
      </c>
      <c r="B320" s="344" t="s">
        <v>1011</v>
      </c>
      <c r="C320" s="360">
        <v>5.8000000000000004E-6</v>
      </c>
      <c r="E320" s="2">
        <v>1877</v>
      </c>
      <c r="F320" s="2">
        <v>2505</v>
      </c>
      <c r="G320" s="2">
        <v>1445</v>
      </c>
      <c r="H320" s="2">
        <v>863</v>
      </c>
      <c r="I320" s="2">
        <v>0</v>
      </c>
      <c r="J320" s="2"/>
      <c r="K320" s="2">
        <v>1075</v>
      </c>
      <c r="L320" s="2">
        <v>991</v>
      </c>
      <c r="M320" s="2">
        <v>551</v>
      </c>
      <c r="N320" s="2">
        <v>0</v>
      </c>
      <c r="O320" s="2">
        <v>0</v>
      </c>
      <c r="P320" s="2"/>
      <c r="Q320" s="2">
        <v>70</v>
      </c>
      <c r="R320" s="2">
        <v>975</v>
      </c>
      <c r="S320" s="2">
        <v>1009</v>
      </c>
      <c r="T320" s="2">
        <v>863</v>
      </c>
      <c r="U320" s="2">
        <v>0</v>
      </c>
      <c r="V320" s="2"/>
      <c r="W320" s="2">
        <v>851</v>
      </c>
      <c r="X320" s="2">
        <v>691</v>
      </c>
      <c r="Y320" s="2">
        <v>0</v>
      </c>
      <c r="Z320" s="2">
        <v>0</v>
      </c>
      <c r="AA320" s="2">
        <v>0</v>
      </c>
      <c r="AB320" s="2"/>
      <c r="AC320" s="2">
        <v>120</v>
      </c>
      <c r="AD320" s="2">
        <v>89</v>
      </c>
      <c r="AE320" s="2">
        <v>87</v>
      </c>
      <c r="AF320" s="2">
        <v>0</v>
      </c>
      <c r="AG320" s="2">
        <v>0</v>
      </c>
      <c r="AH320" s="2"/>
      <c r="AI320" s="2">
        <v>-239</v>
      </c>
      <c r="AJ320" s="2">
        <v>-241</v>
      </c>
      <c r="AK320" s="2">
        <v>-202</v>
      </c>
      <c r="AL320" s="2">
        <v>0</v>
      </c>
      <c r="AM320" s="2">
        <v>-241</v>
      </c>
    </row>
    <row r="321" spans="1:39">
      <c r="A321" s="351">
        <v>93131</v>
      </c>
      <c r="B321" s="344" t="s">
        <v>1012</v>
      </c>
      <c r="C321" s="360">
        <v>1.727E-4</v>
      </c>
      <c r="E321" s="2">
        <v>46983</v>
      </c>
      <c r="F321" s="2">
        <v>70939</v>
      </c>
      <c r="G321" s="2">
        <v>42890</v>
      </c>
      <c r="H321" s="2">
        <v>25702</v>
      </c>
      <c r="I321" s="2">
        <v>0</v>
      </c>
      <c r="J321" s="2"/>
      <c r="K321" s="2">
        <v>32020</v>
      </c>
      <c r="L321" s="2">
        <v>29496</v>
      </c>
      <c r="M321" s="2">
        <v>16417</v>
      </c>
      <c r="N321" s="2">
        <v>0</v>
      </c>
      <c r="O321" s="2">
        <v>0</v>
      </c>
      <c r="P321" s="2"/>
      <c r="Q321" s="2">
        <v>2076</v>
      </c>
      <c r="R321" s="2">
        <v>29032</v>
      </c>
      <c r="S321" s="2">
        <v>30036</v>
      </c>
      <c r="T321" s="2">
        <v>25702</v>
      </c>
      <c r="U321" s="2">
        <v>0</v>
      </c>
      <c r="V321" s="2"/>
      <c r="W321" s="2">
        <v>25348</v>
      </c>
      <c r="X321" s="2">
        <v>20578</v>
      </c>
      <c r="Y321" s="2">
        <v>0</v>
      </c>
      <c r="Z321" s="2">
        <v>0</v>
      </c>
      <c r="AA321" s="2">
        <v>0</v>
      </c>
      <c r="AB321" s="2"/>
      <c r="AC321" s="2">
        <v>331</v>
      </c>
      <c r="AD321" s="2">
        <v>331</v>
      </c>
      <c r="AE321" s="2">
        <v>331</v>
      </c>
      <c r="AF321" s="2">
        <v>0</v>
      </c>
      <c r="AG321" s="2">
        <v>0</v>
      </c>
      <c r="AH321" s="2"/>
      <c r="AI321" s="2">
        <v>-12792</v>
      </c>
      <c r="AJ321" s="2">
        <v>-8498</v>
      </c>
      <c r="AK321" s="2">
        <v>-3894</v>
      </c>
      <c r="AL321" s="2">
        <v>0</v>
      </c>
      <c r="AM321" s="2">
        <v>-8498</v>
      </c>
    </row>
    <row r="322" spans="1:39">
      <c r="A322" s="351">
        <v>93137</v>
      </c>
      <c r="B322" s="344" t="s">
        <v>1013</v>
      </c>
      <c r="C322" s="360">
        <v>5.0000000000000004E-6</v>
      </c>
      <c r="E322" s="2">
        <v>2922</v>
      </c>
      <c r="F322" s="2">
        <v>3056</v>
      </c>
      <c r="G322" s="2">
        <v>1718</v>
      </c>
      <c r="H322" s="2">
        <v>744</v>
      </c>
      <c r="I322" s="2">
        <v>0</v>
      </c>
      <c r="J322" s="2"/>
      <c r="K322" s="2">
        <v>927</v>
      </c>
      <c r="L322" s="2">
        <v>854</v>
      </c>
      <c r="M322" s="2">
        <v>475</v>
      </c>
      <c r="N322" s="2">
        <v>0</v>
      </c>
      <c r="O322" s="2">
        <v>0</v>
      </c>
      <c r="P322" s="2"/>
      <c r="Q322" s="2">
        <v>60</v>
      </c>
      <c r="R322" s="2">
        <v>841</v>
      </c>
      <c r="S322" s="2">
        <v>870</v>
      </c>
      <c r="T322" s="2">
        <v>744</v>
      </c>
      <c r="U322" s="2">
        <v>0</v>
      </c>
      <c r="V322" s="2"/>
      <c r="W322" s="2">
        <v>734</v>
      </c>
      <c r="X322" s="2">
        <v>596</v>
      </c>
      <c r="Y322" s="2">
        <v>0</v>
      </c>
      <c r="Z322" s="2">
        <v>0</v>
      </c>
      <c r="AA322" s="2">
        <v>0</v>
      </c>
      <c r="AB322" s="2"/>
      <c r="AC322" s="2">
        <v>1201</v>
      </c>
      <c r="AD322" s="2">
        <v>765</v>
      </c>
      <c r="AE322" s="2">
        <v>373</v>
      </c>
      <c r="AF322" s="2">
        <v>0</v>
      </c>
      <c r="AG322" s="2">
        <v>0</v>
      </c>
      <c r="AH322" s="2"/>
      <c r="AI322" s="2">
        <v>0</v>
      </c>
      <c r="AJ322" s="2">
        <v>0</v>
      </c>
      <c r="AK322" s="2">
        <v>0</v>
      </c>
      <c r="AL322" s="2">
        <v>0</v>
      </c>
      <c r="AM322" s="2">
        <v>0</v>
      </c>
    </row>
    <row r="323" spans="1:39">
      <c r="A323" s="351">
        <v>93141</v>
      </c>
      <c r="B323" s="344" t="s">
        <v>1014</v>
      </c>
      <c r="C323" s="360">
        <v>3.6900000000000002E-5</v>
      </c>
      <c r="E323" s="2">
        <v>11848</v>
      </c>
      <c r="F323" s="2">
        <v>17321</v>
      </c>
      <c r="G323" s="2">
        <v>11858</v>
      </c>
      <c r="H323" s="2">
        <v>5492</v>
      </c>
      <c r="I323" s="2">
        <v>0</v>
      </c>
      <c r="J323" s="2"/>
      <c r="K323" s="2">
        <v>6842</v>
      </c>
      <c r="L323" s="2">
        <v>6302</v>
      </c>
      <c r="M323" s="2">
        <v>3508</v>
      </c>
      <c r="N323" s="2">
        <v>0</v>
      </c>
      <c r="O323" s="2">
        <v>0</v>
      </c>
      <c r="P323" s="2"/>
      <c r="Q323" s="2">
        <v>444</v>
      </c>
      <c r="R323" s="2">
        <v>6203</v>
      </c>
      <c r="S323" s="2">
        <v>6418</v>
      </c>
      <c r="T323" s="2">
        <v>5492</v>
      </c>
      <c r="U323" s="2">
        <v>0</v>
      </c>
      <c r="V323" s="2"/>
      <c r="W323" s="2">
        <v>5416</v>
      </c>
      <c r="X323" s="2">
        <v>4397</v>
      </c>
      <c r="Y323" s="2">
        <v>0</v>
      </c>
      <c r="Z323" s="2">
        <v>0</v>
      </c>
      <c r="AA323" s="2">
        <v>0</v>
      </c>
      <c r="AB323" s="2"/>
      <c r="AC323" s="2">
        <v>1936</v>
      </c>
      <c r="AD323" s="2">
        <v>1936</v>
      </c>
      <c r="AE323" s="2">
        <v>1932</v>
      </c>
      <c r="AF323" s="2">
        <v>0</v>
      </c>
      <c r="AG323" s="2">
        <v>0</v>
      </c>
      <c r="AH323" s="2"/>
      <c r="AI323" s="2">
        <v>-2790</v>
      </c>
      <c r="AJ323" s="2">
        <v>-1517</v>
      </c>
      <c r="AK323" s="2">
        <v>0</v>
      </c>
      <c r="AL323" s="2">
        <v>0</v>
      </c>
      <c r="AM323" s="2">
        <v>-1517</v>
      </c>
    </row>
    <row r="324" spans="1:39">
      <c r="A324" s="351">
        <v>93151</v>
      </c>
      <c r="B324" s="344" t="s">
        <v>1015</v>
      </c>
      <c r="C324" s="360">
        <v>3.5359999999999998E-4</v>
      </c>
      <c r="E324" s="2">
        <v>106254</v>
      </c>
      <c r="F324" s="2">
        <v>150538</v>
      </c>
      <c r="G324" s="2">
        <v>86590</v>
      </c>
      <c r="H324" s="2">
        <v>52623</v>
      </c>
      <c r="I324" s="2">
        <v>0</v>
      </c>
      <c r="J324" s="2"/>
      <c r="K324" s="2">
        <v>65561</v>
      </c>
      <c r="L324" s="2">
        <v>60393</v>
      </c>
      <c r="M324" s="2">
        <v>33613</v>
      </c>
      <c r="N324" s="2">
        <v>0</v>
      </c>
      <c r="O324" s="2">
        <v>0</v>
      </c>
      <c r="P324" s="2"/>
      <c r="Q324" s="2">
        <v>4250</v>
      </c>
      <c r="R324" s="2">
        <v>59442</v>
      </c>
      <c r="S324" s="2">
        <v>61497</v>
      </c>
      <c r="T324" s="2">
        <v>52623</v>
      </c>
      <c r="U324" s="2">
        <v>0</v>
      </c>
      <c r="V324" s="2"/>
      <c r="W324" s="2">
        <v>51900</v>
      </c>
      <c r="X324" s="2">
        <v>42134</v>
      </c>
      <c r="Y324" s="2">
        <v>0</v>
      </c>
      <c r="Z324" s="2">
        <v>0</v>
      </c>
      <c r="AA324" s="2">
        <v>0</v>
      </c>
      <c r="AB324" s="2"/>
      <c r="AC324" s="2">
        <v>4505</v>
      </c>
      <c r="AD324" s="2">
        <v>4505</v>
      </c>
      <c r="AE324" s="2">
        <v>4507</v>
      </c>
      <c r="AF324" s="2">
        <v>0</v>
      </c>
      <c r="AG324" s="2">
        <v>0</v>
      </c>
      <c r="AH324" s="2"/>
      <c r="AI324" s="2">
        <v>-19962</v>
      </c>
      <c r="AJ324" s="2">
        <v>-15936</v>
      </c>
      <c r="AK324" s="2">
        <v>-13027</v>
      </c>
      <c r="AL324" s="2">
        <v>0</v>
      </c>
      <c r="AM324" s="2">
        <v>-15936</v>
      </c>
    </row>
    <row r="325" spans="1:39">
      <c r="A325" s="351">
        <v>93157</v>
      </c>
      <c r="B325" s="344" t="s">
        <v>3671</v>
      </c>
      <c r="C325" s="360">
        <v>1.2799999999999999E-5</v>
      </c>
      <c r="E325" s="2">
        <v>9660</v>
      </c>
      <c r="F325" s="2">
        <v>10274</v>
      </c>
      <c r="G325" s="2">
        <v>6851</v>
      </c>
      <c r="H325" s="2">
        <v>1905</v>
      </c>
      <c r="I325" s="2">
        <v>0</v>
      </c>
      <c r="J325" s="2"/>
      <c r="K325" s="2">
        <v>2373</v>
      </c>
      <c r="L325" s="2">
        <v>2186</v>
      </c>
      <c r="M325" s="2">
        <v>1217</v>
      </c>
      <c r="N325" s="2">
        <v>0</v>
      </c>
      <c r="O325" s="2">
        <v>0</v>
      </c>
      <c r="P325" s="2"/>
      <c r="Q325" s="2">
        <v>154</v>
      </c>
      <c r="R325" s="2">
        <v>2152</v>
      </c>
      <c r="S325" s="2">
        <v>2226</v>
      </c>
      <c r="T325" s="2">
        <v>1905</v>
      </c>
      <c r="U325" s="2">
        <v>0</v>
      </c>
      <c r="V325" s="2"/>
      <c r="W325" s="2">
        <v>1879</v>
      </c>
      <c r="X325" s="2">
        <v>1525</v>
      </c>
      <c r="Y325" s="2">
        <v>0</v>
      </c>
      <c r="Z325" s="2">
        <v>0</v>
      </c>
      <c r="AA325" s="2">
        <v>0</v>
      </c>
      <c r="AB325" s="2"/>
      <c r="AC325" s="2">
        <v>5254</v>
      </c>
      <c r="AD325" s="2">
        <v>4411</v>
      </c>
      <c r="AE325" s="2">
        <v>3408</v>
      </c>
      <c r="AF325" s="2">
        <v>0</v>
      </c>
      <c r="AG325" s="2">
        <v>0</v>
      </c>
      <c r="AH325" s="2"/>
      <c r="AI325" s="2">
        <v>0</v>
      </c>
      <c r="AJ325" s="2">
        <v>0</v>
      </c>
      <c r="AK325" s="2">
        <v>0</v>
      </c>
      <c r="AL325" s="2">
        <v>0</v>
      </c>
      <c r="AM325" s="2">
        <v>0</v>
      </c>
    </row>
    <row r="326" spans="1:39">
      <c r="A326" s="351">
        <v>93161</v>
      </c>
      <c r="B326" s="344" t="s">
        <v>1017</v>
      </c>
      <c r="C326" s="360">
        <v>1.037E-4</v>
      </c>
      <c r="E326" s="2">
        <v>36243</v>
      </c>
      <c r="F326" s="2">
        <v>41067</v>
      </c>
      <c r="G326" s="2">
        <v>20722</v>
      </c>
      <c r="H326" s="2">
        <v>15433</v>
      </c>
      <c r="I326" s="2">
        <v>0</v>
      </c>
      <c r="J326" s="2"/>
      <c r="K326" s="2">
        <v>19227</v>
      </c>
      <c r="L326" s="2">
        <v>17711</v>
      </c>
      <c r="M326" s="2">
        <v>9858</v>
      </c>
      <c r="N326" s="2">
        <v>0</v>
      </c>
      <c r="O326" s="2">
        <v>0</v>
      </c>
      <c r="P326" s="2"/>
      <c r="Q326" s="2">
        <v>1246</v>
      </c>
      <c r="R326" s="2">
        <v>17432</v>
      </c>
      <c r="S326" s="2">
        <v>18035</v>
      </c>
      <c r="T326" s="2">
        <v>15433</v>
      </c>
      <c r="U326" s="2">
        <v>0</v>
      </c>
      <c r="V326" s="2"/>
      <c r="W326" s="2">
        <v>15221</v>
      </c>
      <c r="X326" s="2">
        <v>12357</v>
      </c>
      <c r="Y326" s="2">
        <v>0</v>
      </c>
      <c r="Z326" s="2">
        <v>0</v>
      </c>
      <c r="AA326" s="2">
        <v>0</v>
      </c>
      <c r="AB326" s="2"/>
      <c r="AC326" s="2">
        <v>8729</v>
      </c>
      <c r="AD326" s="2">
        <v>1747</v>
      </c>
      <c r="AE326" s="2">
        <v>1010</v>
      </c>
      <c r="AF326" s="2">
        <v>0</v>
      </c>
      <c r="AG326" s="2">
        <v>0</v>
      </c>
      <c r="AH326" s="2"/>
      <c r="AI326" s="2">
        <v>-8180</v>
      </c>
      <c r="AJ326" s="2">
        <v>-8180</v>
      </c>
      <c r="AK326" s="2">
        <v>-8181</v>
      </c>
      <c r="AL326" s="2">
        <v>0</v>
      </c>
      <c r="AM326" s="2">
        <v>-8180</v>
      </c>
    </row>
    <row r="327" spans="1:39">
      <c r="A327" s="351">
        <v>93171</v>
      </c>
      <c r="B327" s="344" t="s">
        <v>1018</v>
      </c>
      <c r="C327" s="360">
        <v>9.0999999999999993E-6</v>
      </c>
      <c r="E327" s="2">
        <v>6080</v>
      </c>
      <c r="F327" s="2">
        <v>6918</v>
      </c>
      <c r="G327" s="2">
        <v>5445</v>
      </c>
      <c r="H327" s="2">
        <v>1354</v>
      </c>
      <c r="I327" s="2">
        <v>0</v>
      </c>
      <c r="J327" s="2"/>
      <c r="K327" s="2">
        <v>1687</v>
      </c>
      <c r="L327" s="2">
        <v>1554</v>
      </c>
      <c r="M327" s="2">
        <v>865</v>
      </c>
      <c r="N327" s="2">
        <v>0</v>
      </c>
      <c r="O327" s="2">
        <v>0</v>
      </c>
      <c r="P327" s="2"/>
      <c r="Q327" s="2">
        <v>109</v>
      </c>
      <c r="R327" s="2">
        <v>1530</v>
      </c>
      <c r="S327" s="2">
        <v>1583</v>
      </c>
      <c r="T327" s="2">
        <v>1354</v>
      </c>
      <c r="U327" s="2">
        <v>0</v>
      </c>
      <c r="V327" s="2"/>
      <c r="W327" s="2">
        <v>1336</v>
      </c>
      <c r="X327" s="2">
        <v>1084</v>
      </c>
      <c r="Y327" s="2">
        <v>0</v>
      </c>
      <c r="Z327" s="2">
        <v>0</v>
      </c>
      <c r="AA327" s="2">
        <v>0</v>
      </c>
      <c r="AB327" s="2"/>
      <c r="AC327" s="2">
        <v>3195</v>
      </c>
      <c r="AD327" s="2">
        <v>2996</v>
      </c>
      <c r="AE327" s="2">
        <v>2997</v>
      </c>
      <c r="AF327" s="2">
        <v>0</v>
      </c>
      <c r="AG327" s="2">
        <v>0</v>
      </c>
      <c r="AH327" s="2"/>
      <c r="AI327" s="2">
        <v>-247</v>
      </c>
      <c r="AJ327" s="2">
        <v>-246</v>
      </c>
      <c r="AK327" s="2">
        <v>0</v>
      </c>
      <c r="AL327" s="2">
        <v>0</v>
      </c>
      <c r="AM327" s="2">
        <v>-246</v>
      </c>
    </row>
    <row r="328" spans="1:39">
      <c r="A328" s="351">
        <v>93181</v>
      </c>
      <c r="B328" s="344" t="s">
        <v>1019</v>
      </c>
      <c r="C328" s="360">
        <v>1.0000000000000001E-5</v>
      </c>
      <c r="E328" s="2">
        <v>3750</v>
      </c>
      <c r="F328" s="2">
        <v>4798</v>
      </c>
      <c r="G328" s="2">
        <v>2881</v>
      </c>
      <c r="H328" s="2">
        <v>1488</v>
      </c>
      <c r="I328" s="2">
        <v>0</v>
      </c>
      <c r="J328" s="2"/>
      <c r="K328" s="2">
        <v>1854</v>
      </c>
      <c r="L328" s="2">
        <v>1708</v>
      </c>
      <c r="M328" s="2">
        <v>951</v>
      </c>
      <c r="N328" s="2">
        <v>0</v>
      </c>
      <c r="O328" s="2">
        <v>0</v>
      </c>
      <c r="P328" s="2"/>
      <c r="Q328" s="2">
        <v>120</v>
      </c>
      <c r="R328" s="2">
        <v>1681</v>
      </c>
      <c r="S328" s="2">
        <v>1739</v>
      </c>
      <c r="T328" s="2">
        <v>1488</v>
      </c>
      <c r="U328" s="2">
        <v>0</v>
      </c>
      <c r="V328" s="2"/>
      <c r="W328" s="2">
        <v>1468</v>
      </c>
      <c r="X328" s="2">
        <v>1192</v>
      </c>
      <c r="Y328" s="2">
        <v>0</v>
      </c>
      <c r="Z328" s="2">
        <v>0</v>
      </c>
      <c r="AA328" s="2">
        <v>0</v>
      </c>
      <c r="AB328" s="2"/>
      <c r="AC328" s="2">
        <v>308</v>
      </c>
      <c r="AD328" s="2">
        <v>217</v>
      </c>
      <c r="AE328" s="2">
        <v>191</v>
      </c>
      <c r="AF328" s="2">
        <v>0</v>
      </c>
      <c r="AG328" s="2">
        <v>0</v>
      </c>
      <c r="AH328" s="2"/>
      <c r="AI328" s="2">
        <v>0</v>
      </c>
      <c r="AJ328" s="2">
        <v>0</v>
      </c>
      <c r="AK328" s="2">
        <v>0</v>
      </c>
      <c r="AL328" s="2">
        <v>0</v>
      </c>
      <c r="AM328" s="2">
        <v>0</v>
      </c>
    </row>
    <row r="329" spans="1:39">
      <c r="A329" s="351">
        <v>93191</v>
      </c>
      <c r="B329" s="344" t="s">
        <v>1020</v>
      </c>
      <c r="C329" s="360">
        <v>2.8900000000000001E-5</v>
      </c>
      <c r="E329" s="2">
        <v>15223</v>
      </c>
      <c r="F329" s="2">
        <v>18964</v>
      </c>
      <c r="G329" s="2">
        <v>12760</v>
      </c>
      <c r="H329" s="2">
        <v>4301</v>
      </c>
      <c r="I329" s="2">
        <v>0</v>
      </c>
      <c r="J329" s="2"/>
      <c r="K329" s="2">
        <v>5358</v>
      </c>
      <c r="L329" s="2">
        <v>4936</v>
      </c>
      <c r="M329" s="2">
        <v>2747</v>
      </c>
      <c r="N329" s="2">
        <v>0</v>
      </c>
      <c r="O329" s="2">
        <v>0</v>
      </c>
      <c r="P329" s="2"/>
      <c r="Q329" s="2">
        <v>347</v>
      </c>
      <c r="R329" s="2">
        <v>4858</v>
      </c>
      <c r="S329" s="2">
        <v>5026</v>
      </c>
      <c r="T329" s="2">
        <v>4301</v>
      </c>
      <c r="U329" s="2">
        <v>0</v>
      </c>
      <c r="V329" s="2"/>
      <c r="W329" s="2">
        <v>4242</v>
      </c>
      <c r="X329" s="2">
        <v>3444</v>
      </c>
      <c r="Y329" s="2">
        <v>0</v>
      </c>
      <c r="Z329" s="2">
        <v>0</v>
      </c>
      <c r="AA329" s="2">
        <v>0</v>
      </c>
      <c r="AB329" s="2"/>
      <c r="AC329" s="2">
        <v>5724</v>
      </c>
      <c r="AD329" s="2">
        <v>5726</v>
      </c>
      <c r="AE329" s="2">
        <v>4987</v>
      </c>
      <c r="AF329" s="2">
        <v>0</v>
      </c>
      <c r="AG329" s="2">
        <v>0</v>
      </c>
      <c r="AH329" s="2"/>
      <c r="AI329" s="2">
        <v>-448</v>
      </c>
      <c r="AJ329" s="2">
        <v>0</v>
      </c>
      <c r="AK329" s="2">
        <v>0</v>
      </c>
      <c r="AL329" s="2">
        <v>0</v>
      </c>
      <c r="AM329" s="2">
        <v>0</v>
      </c>
    </row>
    <row r="330" spans="1:39">
      <c r="A330" s="351">
        <v>93201</v>
      </c>
      <c r="B330" s="344" t="s">
        <v>1021</v>
      </c>
      <c r="C330" s="360">
        <v>1.5223E-2</v>
      </c>
      <c r="E330" s="2">
        <v>5076375</v>
      </c>
      <c r="F330" s="2">
        <v>6861148</v>
      </c>
      <c r="G330" s="2">
        <v>3923852</v>
      </c>
      <c r="H330" s="2">
        <v>2265517</v>
      </c>
      <c r="I330" s="2">
        <v>0</v>
      </c>
      <c r="J330" s="2"/>
      <c r="K330" s="2">
        <v>2822481</v>
      </c>
      <c r="L330" s="2">
        <v>2599997</v>
      </c>
      <c r="M330" s="2">
        <v>1447068</v>
      </c>
      <c r="N330" s="2">
        <v>0</v>
      </c>
      <c r="O330" s="2">
        <v>0</v>
      </c>
      <c r="P330" s="2"/>
      <c r="Q330" s="2">
        <v>182965</v>
      </c>
      <c r="R330" s="2">
        <v>2559062</v>
      </c>
      <c r="S330" s="2">
        <v>2647554</v>
      </c>
      <c r="T330" s="2">
        <v>2265517</v>
      </c>
      <c r="U330" s="2">
        <v>0</v>
      </c>
      <c r="V330" s="2"/>
      <c r="W330" s="2">
        <v>2234371</v>
      </c>
      <c r="X330" s="2">
        <v>1813927</v>
      </c>
      <c r="Y330" s="2">
        <v>0</v>
      </c>
      <c r="Z330" s="2">
        <v>0</v>
      </c>
      <c r="AA330" s="2">
        <v>0</v>
      </c>
      <c r="AB330" s="2"/>
      <c r="AC330" s="2">
        <v>58933</v>
      </c>
      <c r="AD330" s="2">
        <v>58934</v>
      </c>
      <c r="AE330" s="2">
        <v>0</v>
      </c>
      <c r="AF330" s="2">
        <v>0</v>
      </c>
      <c r="AG330" s="2">
        <v>0</v>
      </c>
      <c r="AH330" s="2"/>
      <c r="AI330" s="2">
        <v>-222375</v>
      </c>
      <c r="AJ330" s="2">
        <v>-170772</v>
      </c>
      <c r="AK330" s="2">
        <v>-170770</v>
      </c>
      <c r="AL330" s="2">
        <v>0</v>
      </c>
      <c r="AM330" s="2">
        <v>-170772</v>
      </c>
    </row>
    <row r="331" spans="1:39">
      <c r="A331" s="351">
        <v>93204</v>
      </c>
      <c r="B331" s="344" t="s">
        <v>1023</v>
      </c>
      <c r="C331" s="360">
        <v>2.6400000000000002E-4</v>
      </c>
      <c r="E331" s="2">
        <v>92353</v>
      </c>
      <c r="F331" s="2">
        <v>117363</v>
      </c>
      <c r="G331" s="2">
        <v>61080</v>
      </c>
      <c r="H331" s="2">
        <v>39289</v>
      </c>
      <c r="I331" s="2">
        <v>0</v>
      </c>
      <c r="J331" s="2"/>
      <c r="K331" s="2">
        <v>48948</v>
      </c>
      <c r="L331" s="2">
        <v>45090</v>
      </c>
      <c r="M331" s="2">
        <v>25095</v>
      </c>
      <c r="N331" s="2">
        <v>0</v>
      </c>
      <c r="O331" s="2">
        <v>0</v>
      </c>
      <c r="P331" s="2"/>
      <c r="Q331" s="2">
        <v>3173</v>
      </c>
      <c r="R331" s="2">
        <v>44380</v>
      </c>
      <c r="S331" s="2">
        <v>45914</v>
      </c>
      <c r="T331" s="2">
        <v>39289</v>
      </c>
      <c r="U331" s="2">
        <v>0</v>
      </c>
      <c r="V331" s="2"/>
      <c r="W331" s="2">
        <v>38749</v>
      </c>
      <c r="X331" s="2">
        <v>31457</v>
      </c>
      <c r="Y331" s="2">
        <v>0</v>
      </c>
      <c r="Z331" s="2">
        <v>0</v>
      </c>
      <c r="AA331" s="2">
        <v>0</v>
      </c>
      <c r="AB331" s="2"/>
      <c r="AC331" s="2">
        <v>11411</v>
      </c>
      <c r="AD331" s="2">
        <v>6364</v>
      </c>
      <c r="AE331" s="2">
        <v>0</v>
      </c>
      <c r="AF331" s="2">
        <v>0</v>
      </c>
      <c r="AG331" s="2">
        <v>0</v>
      </c>
      <c r="AH331" s="2"/>
      <c r="AI331" s="2">
        <v>-9928</v>
      </c>
      <c r="AJ331" s="2">
        <v>-9928</v>
      </c>
      <c r="AK331" s="2">
        <v>-9929</v>
      </c>
      <c r="AL331" s="2">
        <v>0</v>
      </c>
      <c r="AM331" s="2">
        <v>-9928</v>
      </c>
    </row>
    <row r="332" spans="1:39">
      <c r="A332" s="351">
        <v>93209</v>
      </c>
      <c r="B332" s="344" t="s">
        <v>1024</v>
      </c>
      <c r="C332" s="360">
        <v>5.2969000000000002E-3</v>
      </c>
      <c r="E332" s="2">
        <v>1738744</v>
      </c>
      <c r="F332" s="2">
        <v>2325146</v>
      </c>
      <c r="G332" s="2">
        <v>1275339</v>
      </c>
      <c r="H332" s="2">
        <v>788295</v>
      </c>
      <c r="I332" s="2">
        <v>0</v>
      </c>
      <c r="J332" s="2"/>
      <c r="K332" s="2">
        <v>982093</v>
      </c>
      <c r="L332" s="2">
        <v>904679</v>
      </c>
      <c r="M332" s="2">
        <v>503513</v>
      </c>
      <c r="N332" s="2">
        <v>0</v>
      </c>
      <c r="O332" s="2">
        <v>0</v>
      </c>
      <c r="P332" s="2"/>
      <c r="Q332" s="2">
        <v>63663</v>
      </c>
      <c r="R332" s="2">
        <v>890435</v>
      </c>
      <c r="S332" s="2">
        <v>921226</v>
      </c>
      <c r="T332" s="2">
        <v>788295</v>
      </c>
      <c r="U332" s="2">
        <v>0</v>
      </c>
      <c r="V332" s="2"/>
      <c r="W332" s="2">
        <v>777458</v>
      </c>
      <c r="X332" s="2">
        <v>631163</v>
      </c>
      <c r="Y332" s="2">
        <v>0</v>
      </c>
      <c r="Z332" s="2">
        <v>0</v>
      </c>
      <c r="AA332" s="2">
        <v>0</v>
      </c>
      <c r="AB332" s="2"/>
      <c r="AC332" s="2">
        <v>89020</v>
      </c>
      <c r="AD332" s="2">
        <v>72359</v>
      </c>
      <c r="AE332" s="2">
        <v>24090</v>
      </c>
      <c r="AF332" s="2">
        <v>0</v>
      </c>
      <c r="AG332" s="2">
        <v>0</v>
      </c>
      <c r="AH332" s="2"/>
      <c r="AI332" s="2">
        <v>-173490</v>
      </c>
      <c r="AJ332" s="2">
        <v>-173490</v>
      </c>
      <c r="AK332" s="2">
        <v>-173490</v>
      </c>
      <c r="AL332" s="2">
        <v>0</v>
      </c>
      <c r="AM332" s="2">
        <v>-173490</v>
      </c>
    </row>
    <row r="333" spans="1:39">
      <c r="A333" s="351">
        <v>93211</v>
      </c>
      <c r="B333" s="344" t="s">
        <v>1025</v>
      </c>
      <c r="C333" s="360">
        <v>2.2128599999999998E-2</v>
      </c>
      <c r="E333" s="2">
        <v>8093643</v>
      </c>
      <c r="F333" s="2">
        <v>10631559</v>
      </c>
      <c r="G333" s="2">
        <v>6342757</v>
      </c>
      <c r="H333" s="2">
        <v>3293223</v>
      </c>
      <c r="I333" s="2">
        <v>0</v>
      </c>
      <c r="J333" s="2"/>
      <c r="K333" s="2">
        <v>4102842</v>
      </c>
      <c r="L333" s="2">
        <v>3779432</v>
      </c>
      <c r="M333" s="2">
        <v>2103500</v>
      </c>
      <c r="N333" s="2">
        <v>0</v>
      </c>
      <c r="O333" s="2">
        <v>0</v>
      </c>
      <c r="P333" s="2"/>
      <c r="Q333" s="2">
        <v>265964</v>
      </c>
      <c r="R333" s="2">
        <v>3719928</v>
      </c>
      <c r="S333" s="2">
        <v>3848562</v>
      </c>
      <c r="T333" s="2">
        <v>3293223</v>
      </c>
      <c r="U333" s="2">
        <v>0</v>
      </c>
      <c r="V333" s="2"/>
      <c r="W333" s="2">
        <v>3247947</v>
      </c>
      <c r="X333" s="2">
        <v>2636778</v>
      </c>
      <c r="Y333" s="2">
        <v>0</v>
      </c>
      <c r="Z333" s="2">
        <v>0</v>
      </c>
      <c r="AA333" s="2">
        <v>0</v>
      </c>
      <c r="AB333" s="2"/>
      <c r="AC333" s="2">
        <v>495420</v>
      </c>
      <c r="AD333" s="2">
        <v>495421</v>
      </c>
      <c r="AE333" s="2">
        <v>390695</v>
      </c>
      <c r="AF333" s="2">
        <v>0</v>
      </c>
      <c r="AG333" s="2">
        <v>0</v>
      </c>
      <c r="AH333" s="2"/>
      <c r="AI333" s="2">
        <v>-18530</v>
      </c>
      <c r="AJ333" s="2">
        <v>0</v>
      </c>
      <c r="AK333" s="2">
        <v>0</v>
      </c>
      <c r="AL333" s="2">
        <v>0</v>
      </c>
      <c r="AM333" s="2">
        <v>0</v>
      </c>
    </row>
    <row r="334" spans="1:39">
      <c r="A334" s="351">
        <v>93212</v>
      </c>
      <c r="B334" s="344" t="s">
        <v>3672</v>
      </c>
      <c r="C334" s="360">
        <v>2.8699999999999998E-4</v>
      </c>
      <c r="E334" s="2">
        <v>184386</v>
      </c>
      <c r="F334" s="2">
        <v>195966</v>
      </c>
      <c r="G334" s="2">
        <v>110007</v>
      </c>
      <c r="H334" s="2">
        <v>42712</v>
      </c>
      <c r="I334" s="2">
        <v>0</v>
      </c>
      <c r="J334" s="2"/>
      <c r="K334" s="2">
        <v>53212</v>
      </c>
      <c r="L334" s="2">
        <v>49018</v>
      </c>
      <c r="M334" s="2">
        <v>27282</v>
      </c>
      <c r="N334" s="2">
        <v>0</v>
      </c>
      <c r="O334" s="2">
        <v>0</v>
      </c>
      <c r="P334" s="2"/>
      <c r="Q334" s="2">
        <v>3449</v>
      </c>
      <c r="R334" s="2">
        <v>48246</v>
      </c>
      <c r="S334" s="2">
        <v>49914</v>
      </c>
      <c r="T334" s="2">
        <v>42712</v>
      </c>
      <c r="U334" s="2">
        <v>0</v>
      </c>
      <c r="V334" s="2"/>
      <c r="W334" s="2">
        <v>42125</v>
      </c>
      <c r="X334" s="2">
        <v>34198</v>
      </c>
      <c r="Y334" s="2">
        <v>0</v>
      </c>
      <c r="Z334" s="2">
        <v>0</v>
      </c>
      <c r="AA334" s="2">
        <v>0</v>
      </c>
      <c r="AB334" s="2"/>
      <c r="AC334" s="2">
        <v>85600</v>
      </c>
      <c r="AD334" s="2">
        <v>64504</v>
      </c>
      <c r="AE334" s="2">
        <v>32811</v>
      </c>
      <c r="AF334" s="2">
        <v>0</v>
      </c>
      <c r="AG334" s="2">
        <v>0</v>
      </c>
      <c r="AH334" s="2"/>
      <c r="AI334" s="2">
        <v>0</v>
      </c>
      <c r="AJ334" s="2">
        <v>0</v>
      </c>
      <c r="AK334" s="2">
        <v>0</v>
      </c>
      <c r="AL334" s="2">
        <v>0</v>
      </c>
      <c r="AM334" s="2">
        <v>0</v>
      </c>
    </row>
    <row r="335" spans="1:39">
      <c r="A335" s="351">
        <v>93219</v>
      </c>
      <c r="B335" s="344" t="s">
        <v>1027</v>
      </c>
      <c r="C335" s="360">
        <v>2.5789999999999998E-4</v>
      </c>
      <c r="E335" s="2">
        <v>99619</v>
      </c>
      <c r="F335" s="2">
        <v>123331</v>
      </c>
      <c r="G335" s="2">
        <v>75178</v>
      </c>
      <c r="H335" s="2">
        <v>38381</v>
      </c>
      <c r="I335" s="2">
        <v>0</v>
      </c>
      <c r="J335" s="2"/>
      <c r="K335" s="2">
        <v>47817</v>
      </c>
      <c r="L335" s="2">
        <v>44048</v>
      </c>
      <c r="M335" s="2">
        <v>24515</v>
      </c>
      <c r="N335" s="2">
        <v>0</v>
      </c>
      <c r="O335" s="2">
        <v>0</v>
      </c>
      <c r="P335" s="2"/>
      <c r="Q335" s="2">
        <v>3100</v>
      </c>
      <c r="R335" s="2">
        <v>43354</v>
      </c>
      <c r="S335" s="2">
        <v>44853</v>
      </c>
      <c r="T335" s="2">
        <v>38381</v>
      </c>
      <c r="U335" s="2">
        <v>0</v>
      </c>
      <c r="V335" s="2"/>
      <c r="W335" s="2">
        <v>37854</v>
      </c>
      <c r="X335" s="2">
        <v>30731</v>
      </c>
      <c r="Y335" s="2">
        <v>0</v>
      </c>
      <c r="Z335" s="2">
        <v>0</v>
      </c>
      <c r="AA335" s="2">
        <v>0</v>
      </c>
      <c r="AB335" s="2"/>
      <c r="AC335" s="2">
        <v>11461</v>
      </c>
      <c r="AD335" s="2">
        <v>5813</v>
      </c>
      <c r="AE335" s="2">
        <v>5810</v>
      </c>
      <c r="AF335" s="2">
        <v>0</v>
      </c>
      <c r="AG335" s="2">
        <v>0</v>
      </c>
      <c r="AH335" s="2"/>
      <c r="AI335" s="2">
        <v>-613</v>
      </c>
      <c r="AJ335" s="2">
        <v>-615</v>
      </c>
      <c r="AK335" s="2">
        <v>0</v>
      </c>
      <c r="AL335" s="2">
        <v>0</v>
      </c>
      <c r="AM335" s="2">
        <v>-615</v>
      </c>
    </row>
    <row r="336" spans="1:39">
      <c r="A336" s="351">
        <v>93301</v>
      </c>
      <c r="B336" s="344" t="s">
        <v>1028</v>
      </c>
      <c r="C336" s="360">
        <v>2.1819999999999999E-3</v>
      </c>
      <c r="E336" s="2">
        <v>693527</v>
      </c>
      <c r="F336" s="2">
        <v>944454</v>
      </c>
      <c r="G336" s="2">
        <v>575154</v>
      </c>
      <c r="H336" s="2">
        <v>324730</v>
      </c>
      <c r="I336" s="2">
        <v>0</v>
      </c>
      <c r="J336" s="2"/>
      <c r="K336" s="2">
        <v>404562</v>
      </c>
      <c r="L336" s="2">
        <v>372673</v>
      </c>
      <c r="M336" s="2">
        <v>207417</v>
      </c>
      <c r="N336" s="2">
        <v>0</v>
      </c>
      <c r="O336" s="2">
        <v>0</v>
      </c>
      <c r="P336" s="2"/>
      <c r="Q336" s="2">
        <v>26225</v>
      </c>
      <c r="R336" s="2">
        <v>366805</v>
      </c>
      <c r="S336" s="2">
        <v>379489</v>
      </c>
      <c r="T336" s="2">
        <v>324730</v>
      </c>
      <c r="U336" s="2">
        <v>0</v>
      </c>
      <c r="V336" s="2"/>
      <c r="W336" s="2">
        <v>320265</v>
      </c>
      <c r="X336" s="2">
        <v>260001</v>
      </c>
      <c r="Y336" s="2">
        <v>0</v>
      </c>
      <c r="Z336" s="2">
        <v>0</v>
      </c>
      <c r="AA336" s="2">
        <v>0</v>
      </c>
      <c r="AB336" s="2"/>
      <c r="AC336" s="2">
        <v>4156</v>
      </c>
      <c r="AD336" s="2">
        <v>4156</v>
      </c>
      <c r="AE336" s="2">
        <v>4154</v>
      </c>
      <c r="AF336" s="2">
        <v>0</v>
      </c>
      <c r="AG336" s="2">
        <v>0</v>
      </c>
      <c r="AH336" s="2"/>
      <c r="AI336" s="2">
        <v>-61681</v>
      </c>
      <c r="AJ336" s="2">
        <v>-59181</v>
      </c>
      <c r="AK336" s="2">
        <v>-15906</v>
      </c>
      <c r="AL336" s="2">
        <v>0</v>
      </c>
      <c r="AM336" s="2">
        <v>-59181</v>
      </c>
    </row>
    <row r="337" spans="1:39">
      <c r="A337" s="351">
        <v>93304</v>
      </c>
      <c r="B337" s="344" t="s">
        <v>1029</v>
      </c>
      <c r="C337" s="360">
        <v>3.8099999999999998E-5</v>
      </c>
      <c r="E337" s="2">
        <v>18478</v>
      </c>
      <c r="F337" s="2">
        <v>22631</v>
      </c>
      <c r="G337" s="2">
        <v>13964</v>
      </c>
      <c r="H337" s="2">
        <v>5670</v>
      </c>
      <c r="I337" s="2">
        <v>0</v>
      </c>
      <c r="J337" s="2"/>
      <c r="K337" s="2">
        <v>7064</v>
      </c>
      <c r="L337" s="2">
        <v>6507</v>
      </c>
      <c r="M337" s="2">
        <v>3622</v>
      </c>
      <c r="N337" s="2">
        <v>0</v>
      </c>
      <c r="O337" s="2">
        <v>0</v>
      </c>
      <c r="P337" s="2"/>
      <c r="Q337" s="2">
        <v>458</v>
      </c>
      <c r="R337" s="2">
        <v>6405</v>
      </c>
      <c r="S337" s="2">
        <v>6626</v>
      </c>
      <c r="T337" s="2">
        <v>5670</v>
      </c>
      <c r="U337" s="2">
        <v>0</v>
      </c>
      <c r="V337" s="2"/>
      <c r="W337" s="2">
        <v>5592</v>
      </c>
      <c r="X337" s="2">
        <v>4540</v>
      </c>
      <c r="Y337" s="2">
        <v>0</v>
      </c>
      <c r="Z337" s="2">
        <v>0</v>
      </c>
      <c r="AA337" s="2">
        <v>0</v>
      </c>
      <c r="AB337" s="2"/>
      <c r="AC337" s="2">
        <v>5364</v>
      </c>
      <c r="AD337" s="2">
        <v>5179</v>
      </c>
      <c r="AE337" s="2">
        <v>3716</v>
      </c>
      <c r="AF337" s="2">
        <v>0</v>
      </c>
      <c r="AG337" s="2">
        <v>0</v>
      </c>
      <c r="AH337" s="2"/>
      <c r="AI337" s="2">
        <v>0</v>
      </c>
      <c r="AJ337" s="2">
        <v>0</v>
      </c>
      <c r="AK337" s="2">
        <v>0</v>
      </c>
      <c r="AL337" s="2">
        <v>0</v>
      </c>
      <c r="AM337" s="2">
        <v>0</v>
      </c>
    </row>
    <row r="338" spans="1:39">
      <c r="A338" s="351">
        <v>93305</v>
      </c>
      <c r="B338" s="344" t="s">
        <v>1030</v>
      </c>
      <c r="C338" s="360">
        <v>3.43E-5</v>
      </c>
      <c r="E338" s="2">
        <v>7225</v>
      </c>
      <c r="F338" s="2">
        <v>11931</v>
      </c>
      <c r="G338" s="2">
        <v>6036</v>
      </c>
      <c r="H338" s="2">
        <v>5105</v>
      </c>
      <c r="I338" s="2">
        <v>0</v>
      </c>
      <c r="J338" s="2"/>
      <c r="K338" s="2">
        <v>6360</v>
      </c>
      <c r="L338" s="2">
        <v>5858</v>
      </c>
      <c r="M338" s="2">
        <v>3260</v>
      </c>
      <c r="N338" s="2">
        <v>0</v>
      </c>
      <c r="O338" s="2">
        <v>0</v>
      </c>
      <c r="P338" s="2"/>
      <c r="Q338" s="2">
        <v>412</v>
      </c>
      <c r="R338" s="2">
        <v>5766</v>
      </c>
      <c r="S338" s="2">
        <v>5965</v>
      </c>
      <c r="T338" s="2">
        <v>5105</v>
      </c>
      <c r="U338" s="2">
        <v>0</v>
      </c>
      <c r="V338" s="2"/>
      <c r="W338" s="2">
        <v>5034</v>
      </c>
      <c r="X338" s="2">
        <v>4087</v>
      </c>
      <c r="Y338" s="2">
        <v>0</v>
      </c>
      <c r="Z338" s="2">
        <v>0</v>
      </c>
      <c r="AA338" s="2">
        <v>0</v>
      </c>
      <c r="AB338" s="2"/>
      <c r="AC338" s="2">
        <v>0</v>
      </c>
      <c r="AD338" s="2">
        <v>0</v>
      </c>
      <c r="AE338" s="2">
        <v>0</v>
      </c>
      <c r="AF338" s="2">
        <v>0</v>
      </c>
      <c r="AG338" s="2">
        <v>0</v>
      </c>
      <c r="AH338" s="2"/>
      <c r="AI338" s="2">
        <v>-4581</v>
      </c>
      <c r="AJ338" s="2">
        <v>-3780</v>
      </c>
      <c r="AK338" s="2">
        <v>-3189</v>
      </c>
      <c r="AL338" s="2">
        <v>0</v>
      </c>
      <c r="AM338" s="2">
        <v>-3780</v>
      </c>
    </row>
    <row r="339" spans="1:39">
      <c r="A339" s="351">
        <v>93309</v>
      </c>
      <c r="B339" s="344" t="s">
        <v>1031</v>
      </c>
      <c r="C339" s="360">
        <v>1.6670000000000001E-4</v>
      </c>
      <c r="E339" s="2">
        <v>70629</v>
      </c>
      <c r="F339" s="2">
        <v>88204</v>
      </c>
      <c r="G339" s="2">
        <v>52623</v>
      </c>
      <c r="H339" s="2">
        <v>24809</v>
      </c>
      <c r="I339" s="2">
        <v>0</v>
      </c>
      <c r="J339" s="2"/>
      <c r="K339" s="2">
        <v>30908</v>
      </c>
      <c r="L339" s="2">
        <v>28471</v>
      </c>
      <c r="M339" s="2">
        <v>15846</v>
      </c>
      <c r="N339" s="2">
        <v>0</v>
      </c>
      <c r="O339" s="2">
        <v>0</v>
      </c>
      <c r="P339" s="2"/>
      <c r="Q339" s="2">
        <v>2004</v>
      </c>
      <c r="R339" s="2">
        <v>28023</v>
      </c>
      <c r="S339" s="2">
        <v>28992</v>
      </c>
      <c r="T339" s="2">
        <v>24809</v>
      </c>
      <c r="U339" s="2">
        <v>0</v>
      </c>
      <c r="V339" s="2"/>
      <c r="W339" s="2">
        <v>24468</v>
      </c>
      <c r="X339" s="2">
        <v>19863</v>
      </c>
      <c r="Y339" s="2">
        <v>0</v>
      </c>
      <c r="Z339" s="2">
        <v>0</v>
      </c>
      <c r="AA339" s="2">
        <v>0</v>
      </c>
      <c r="AB339" s="2"/>
      <c r="AC339" s="2">
        <v>13249</v>
      </c>
      <c r="AD339" s="2">
        <v>11847</v>
      </c>
      <c r="AE339" s="2">
        <v>7785</v>
      </c>
      <c r="AF339" s="2">
        <v>0</v>
      </c>
      <c r="AG339" s="2">
        <v>0</v>
      </c>
      <c r="AH339" s="2"/>
      <c r="AI339" s="2">
        <v>0</v>
      </c>
      <c r="AJ339" s="2">
        <v>0</v>
      </c>
      <c r="AK339" s="2">
        <v>0</v>
      </c>
      <c r="AL339" s="2">
        <v>0</v>
      </c>
      <c r="AM339" s="2">
        <v>0</v>
      </c>
    </row>
    <row r="340" spans="1:39">
      <c r="A340" s="351">
        <v>93311</v>
      </c>
      <c r="B340" s="344" t="s">
        <v>1032</v>
      </c>
      <c r="C340" s="360">
        <v>1.3213000000000001E-3</v>
      </c>
      <c r="E340" s="2">
        <v>463452</v>
      </c>
      <c r="F340" s="2">
        <v>613459</v>
      </c>
      <c r="G340" s="2">
        <v>358255</v>
      </c>
      <c r="H340" s="2">
        <v>196639</v>
      </c>
      <c r="I340" s="2">
        <v>0</v>
      </c>
      <c r="J340" s="2"/>
      <c r="K340" s="2">
        <v>244981</v>
      </c>
      <c r="L340" s="2">
        <v>225670</v>
      </c>
      <c r="M340" s="2">
        <v>125600</v>
      </c>
      <c r="N340" s="2">
        <v>0</v>
      </c>
      <c r="O340" s="2">
        <v>0</v>
      </c>
      <c r="P340" s="2"/>
      <c r="Q340" s="2">
        <v>15881</v>
      </c>
      <c r="R340" s="2">
        <v>222117</v>
      </c>
      <c r="S340" s="2">
        <v>229798</v>
      </c>
      <c r="T340" s="2">
        <v>196639</v>
      </c>
      <c r="U340" s="2">
        <v>0</v>
      </c>
      <c r="V340" s="2"/>
      <c r="W340" s="2">
        <v>193935</v>
      </c>
      <c r="X340" s="2">
        <v>157442</v>
      </c>
      <c r="Y340" s="2">
        <v>0</v>
      </c>
      <c r="Z340" s="2">
        <v>0</v>
      </c>
      <c r="AA340" s="2">
        <v>0</v>
      </c>
      <c r="AB340" s="2"/>
      <c r="AC340" s="2">
        <v>22960</v>
      </c>
      <c r="AD340" s="2">
        <v>22535</v>
      </c>
      <c r="AE340" s="2">
        <v>17162</v>
      </c>
      <c r="AF340" s="2">
        <v>0</v>
      </c>
      <c r="AG340" s="2">
        <v>0</v>
      </c>
      <c r="AH340" s="2"/>
      <c r="AI340" s="2">
        <v>-14305</v>
      </c>
      <c r="AJ340" s="2">
        <v>-14305</v>
      </c>
      <c r="AK340" s="2">
        <v>-14305</v>
      </c>
      <c r="AL340" s="2">
        <v>0</v>
      </c>
      <c r="AM340" s="2">
        <v>-14305</v>
      </c>
    </row>
    <row r="341" spans="1:39">
      <c r="A341" s="351">
        <v>93317</v>
      </c>
      <c r="B341" s="344" t="s">
        <v>1033</v>
      </c>
      <c r="C341" s="360">
        <v>4.5300000000000003E-5</v>
      </c>
      <c r="E341" s="2">
        <v>16354</v>
      </c>
      <c r="F341" s="2">
        <v>21423</v>
      </c>
      <c r="G341" s="2">
        <v>13546</v>
      </c>
      <c r="H341" s="2">
        <v>6742</v>
      </c>
      <c r="I341" s="2">
        <v>0</v>
      </c>
      <c r="J341" s="2"/>
      <c r="K341" s="2">
        <v>8399</v>
      </c>
      <c r="L341" s="2">
        <v>7737</v>
      </c>
      <c r="M341" s="2">
        <v>4306</v>
      </c>
      <c r="N341" s="2">
        <v>0</v>
      </c>
      <c r="O341" s="2">
        <v>0</v>
      </c>
      <c r="P341" s="2"/>
      <c r="Q341" s="2">
        <v>544</v>
      </c>
      <c r="R341" s="2">
        <v>7615</v>
      </c>
      <c r="S341" s="2">
        <v>7878</v>
      </c>
      <c r="T341" s="2">
        <v>6742</v>
      </c>
      <c r="U341" s="2">
        <v>0</v>
      </c>
      <c r="V341" s="2"/>
      <c r="W341" s="2">
        <v>6649</v>
      </c>
      <c r="X341" s="2">
        <v>5398</v>
      </c>
      <c r="Y341" s="2">
        <v>0</v>
      </c>
      <c r="Z341" s="2">
        <v>0</v>
      </c>
      <c r="AA341" s="2">
        <v>0</v>
      </c>
      <c r="AB341" s="2"/>
      <c r="AC341" s="2">
        <v>2485</v>
      </c>
      <c r="AD341" s="2">
        <v>2394</v>
      </c>
      <c r="AE341" s="2">
        <v>2395</v>
      </c>
      <c r="AF341" s="2">
        <v>0</v>
      </c>
      <c r="AG341" s="2">
        <v>0</v>
      </c>
      <c r="AH341" s="2"/>
      <c r="AI341" s="2">
        <v>-1723</v>
      </c>
      <c r="AJ341" s="2">
        <v>-1721</v>
      </c>
      <c r="AK341" s="2">
        <v>-1033</v>
      </c>
      <c r="AL341" s="2">
        <v>0</v>
      </c>
      <c r="AM341" s="2">
        <v>-1721</v>
      </c>
    </row>
    <row r="342" spans="1:39">
      <c r="A342" s="351">
        <v>93321</v>
      </c>
      <c r="B342" s="344" t="s">
        <v>1034</v>
      </c>
      <c r="C342" s="360">
        <v>6.6553999999999997E-3</v>
      </c>
      <c r="E342" s="2">
        <v>2045612</v>
      </c>
      <c r="F342" s="2">
        <v>2856473</v>
      </c>
      <c r="G342" s="2">
        <v>1665747</v>
      </c>
      <c r="H342" s="2">
        <v>990470</v>
      </c>
      <c r="I342" s="2">
        <v>0</v>
      </c>
      <c r="J342" s="2"/>
      <c r="K342" s="2">
        <v>1233971</v>
      </c>
      <c r="L342" s="2">
        <v>1136702</v>
      </c>
      <c r="M342" s="2">
        <v>632649</v>
      </c>
      <c r="N342" s="2">
        <v>0</v>
      </c>
      <c r="O342" s="2">
        <v>0</v>
      </c>
      <c r="P342" s="2"/>
      <c r="Q342" s="2">
        <v>79991</v>
      </c>
      <c r="R342" s="2">
        <v>1118806</v>
      </c>
      <c r="S342" s="2">
        <v>1157494</v>
      </c>
      <c r="T342" s="2">
        <v>990470</v>
      </c>
      <c r="U342" s="2">
        <v>0</v>
      </c>
      <c r="V342" s="2"/>
      <c r="W342" s="2">
        <v>976853</v>
      </c>
      <c r="X342" s="2">
        <v>793037</v>
      </c>
      <c r="Y342" s="2">
        <v>0</v>
      </c>
      <c r="Z342" s="2">
        <v>0</v>
      </c>
      <c r="AA342" s="2">
        <v>0</v>
      </c>
      <c r="AB342" s="2"/>
      <c r="AC342" s="2">
        <v>0</v>
      </c>
      <c r="AD342" s="2">
        <v>0</v>
      </c>
      <c r="AE342" s="2">
        <v>0</v>
      </c>
      <c r="AF342" s="2">
        <v>0</v>
      </c>
      <c r="AG342" s="2">
        <v>0</v>
      </c>
      <c r="AH342" s="2"/>
      <c r="AI342" s="2">
        <v>-245203</v>
      </c>
      <c r="AJ342" s="2">
        <v>-192072</v>
      </c>
      <c r="AK342" s="2">
        <v>-124396</v>
      </c>
      <c r="AL342" s="2">
        <v>0</v>
      </c>
      <c r="AM342" s="2">
        <v>-192072</v>
      </c>
    </row>
    <row r="343" spans="1:39">
      <c r="A343" s="351">
        <v>93323</v>
      </c>
      <c r="B343" s="344" t="s">
        <v>1035</v>
      </c>
      <c r="C343" s="360">
        <v>3.2199999999999997E-5</v>
      </c>
      <c r="E343" s="2">
        <v>17802</v>
      </c>
      <c r="F343" s="2">
        <v>19735</v>
      </c>
      <c r="G343" s="2">
        <v>14113</v>
      </c>
      <c r="H343" s="2">
        <v>4792</v>
      </c>
      <c r="I343" s="2">
        <v>0</v>
      </c>
      <c r="J343" s="2"/>
      <c r="K343" s="2">
        <v>5970</v>
      </c>
      <c r="L343" s="2">
        <v>5500</v>
      </c>
      <c r="M343" s="2">
        <v>3061</v>
      </c>
      <c r="N343" s="2">
        <v>0</v>
      </c>
      <c r="O343" s="2">
        <v>0</v>
      </c>
      <c r="P343" s="2"/>
      <c r="Q343" s="2">
        <v>387</v>
      </c>
      <c r="R343" s="2">
        <v>5413</v>
      </c>
      <c r="S343" s="2">
        <v>5600</v>
      </c>
      <c r="T343" s="2">
        <v>4792</v>
      </c>
      <c r="U343" s="2">
        <v>0</v>
      </c>
      <c r="V343" s="2"/>
      <c r="W343" s="2">
        <v>4726</v>
      </c>
      <c r="X343" s="2">
        <v>3837</v>
      </c>
      <c r="Y343" s="2">
        <v>0</v>
      </c>
      <c r="Z343" s="2">
        <v>0</v>
      </c>
      <c r="AA343" s="2">
        <v>0</v>
      </c>
      <c r="AB343" s="2"/>
      <c r="AC343" s="2">
        <v>7352</v>
      </c>
      <c r="AD343" s="2">
        <v>5617</v>
      </c>
      <c r="AE343" s="2">
        <v>5617</v>
      </c>
      <c r="AF343" s="2">
        <v>0</v>
      </c>
      <c r="AG343" s="2">
        <v>0</v>
      </c>
      <c r="AH343" s="2"/>
      <c r="AI343" s="2">
        <v>-633</v>
      </c>
      <c r="AJ343" s="2">
        <v>-632</v>
      </c>
      <c r="AK343" s="2">
        <v>-165</v>
      </c>
      <c r="AL343" s="2">
        <v>0</v>
      </c>
      <c r="AM343" s="2">
        <v>-632</v>
      </c>
    </row>
    <row r="344" spans="1:39">
      <c r="A344" s="351">
        <v>93331</v>
      </c>
      <c r="B344" s="344" t="s">
        <v>1036</v>
      </c>
      <c r="C344" s="360">
        <v>1.3310000000000001E-4</v>
      </c>
      <c r="E344" s="2">
        <v>52038</v>
      </c>
      <c r="F344" s="2">
        <v>68591</v>
      </c>
      <c r="G344" s="2">
        <v>42097</v>
      </c>
      <c r="H344" s="2">
        <v>19808</v>
      </c>
      <c r="I344" s="2">
        <v>0</v>
      </c>
      <c r="J344" s="2"/>
      <c r="K344" s="2">
        <v>24678</v>
      </c>
      <c r="L344" s="2">
        <v>22733</v>
      </c>
      <c r="M344" s="2">
        <v>12652</v>
      </c>
      <c r="N344" s="2">
        <v>0</v>
      </c>
      <c r="O344" s="2">
        <v>0</v>
      </c>
      <c r="P344" s="2"/>
      <c r="Q344" s="2">
        <v>1600</v>
      </c>
      <c r="R344" s="2">
        <v>22375</v>
      </c>
      <c r="S344" s="2">
        <v>23148</v>
      </c>
      <c r="T344" s="2">
        <v>19808</v>
      </c>
      <c r="U344" s="2">
        <v>0</v>
      </c>
      <c r="V344" s="2"/>
      <c r="W344" s="2">
        <v>19536</v>
      </c>
      <c r="X344" s="2">
        <v>15860</v>
      </c>
      <c r="Y344" s="2">
        <v>0</v>
      </c>
      <c r="Z344" s="2">
        <v>0</v>
      </c>
      <c r="AA344" s="2">
        <v>0</v>
      </c>
      <c r="AB344" s="2"/>
      <c r="AC344" s="2">
        <v>9246</v>
      </c>
      <c r="AD344" s="2">
        <v>9247</v>
      </c>
      <c r="AE344" s="2">
        <v>7923</v>
      </c>
      <c r="AF344" s="2">
        <v>0</v>
      </c>
      <c r="AG344" s="2">
        <v>0</v>
      </c>
      <c r="AH344" s="2"/>
      <c r="AI344" s="2">
        <v>-3022</v>
      </c>
      <c r="AJ344" s="2">
        <v>-1624</v>
      </c>
      <c r="AK344" s="2">
        <v>-1626</v>
      </c>
      <c r="AL344" s="2">
        <v>0</v>
      </c>
      <c r="AM344" s="2">
        <v>-1624</v>
      </c>
    </row>
    <row r="345" spans="1:39">
      <c r="A345" s="351">
        <v>93333</v>
      </c>
      <c r="B345" s="344" t="s">
        <v>3673</v>
      </c>
      <c r="C345" s="360">
        <v>1.7919999999999999E-4</v>
      </c>
      <c r="E345" s="2">
        <v>105653</v>
      </c>
      <c r="F345" s="2">
        <v>107841</v>
      </c>
      <c r="G345" s="2">
        <v>71863</v>
      </c>
      <c r="H345" s="2">
        <v>26669</v>
      </c>
      <c r="I345" s="2">
        <v>0</v>
      </c>
      <c r="J345" s="2"/>
      <c r="K345" s="2">
        <v>33225</v>
      </c>
      <c r="L345" s="2">
        <v>30606</v>
      </c>
      <c r="M345" s="2">
        <v>17034</v>
      </c>
      <c r="N345" s="2">
        <v>0</v>
      </c>
      <c r="O345" s="2">
        <v>0</v>
      </c>
      <c r="P345" s="2"/>
      <c r="Q345" s="2">
        <v>2154</v>
      </c>
      <c r="R345" s="2">
        <v>30124</v>
      </c>
      <c r="S345" s="2">
        <v>31166</v>
      </c>
      <c r="T345" s="2">
        <v>26669</v>
      </c>
      <c r="U345" s="2">
        <v>0</v>
      </c>
      <c r="V345" s="2"/>
      <c r="W345" s="2">
        <v>26302</v>
      </c>
      <c r="X345" s="2">
        <v>21353</v>
      </c>
      <c r="Y345" s="2">
        <v>0</v>
      </c>
      <c r="Z345" s="2">
        <v>0</v>
      </c>
      <c r="AA345" s="2">
        <v>0</v>
      </c>
      <c r="AB345" s="2"/>
      <c r="AC345" s="2">
        <v>43972</v>
      </c>
      <c r="AD345" s="2">
        <v>25758</v>
      </c>
      <c r="AE345" s="2">
        <v>23663</v>
      </c>
      <c r="AF345" s="2">
        <v>0</v>
      </c>
      <c r="AG345" s="2">
        <v>0</v>
      </c>
      <c r="AH345" s="2"/>
      <c r="AI345" s="2">
        <v>0</v>
      </c>
      <c r="AJ345" s="2">
        <v>0</v>
      </c>
      <c r="AK345" s="2">
        <v>0</v>
      </c>
      <c r="AL345" s="2">
        <v>0</v>
      </c>
      <c r="AM345" s="2">
        <v>0</v>
      </c>
    </row>
    <row r="346" spans="1:39">
      <c r="A346" s="351">
        <v>93341</v>
      </c>
      <c r="B346" s="344" t="s">
        <v>1038</v>
      </c>
      <c r="C346" s="360">
        <v>2.6100000000000001E-5</v>
      </c>
      <c r="E346" s="2">
        <v>9126</v>
      </c>
      <c r="F346" s="2">
        <v>12311</v>
      </c>
      <c r="G346" s="2">
        <v>6486</v>
      </c>
      <c r="H346" s="2">
        <v>3884</v>
      </c>
      <c r="I346" s="2">
        <v>0</v>
      </c>
      <c r="J346" s="2"/>
      <c r="K346" s="2">
        <v>4839</v>
      </c>
      <c r="L346" s="2">
        <v>4458</v>
      </c>
      <c r="M346" s="2">
        <v>2481</v>
      </c>
      <c r="N346" s="2">
        <v>0</v>
      </c>
      <c r="O346" s="2">
        <v>0</v>
      </c>
      <c r="P346" s="2"/>
      <c r="Q346" s="2">
        <v>314</v>
      </c>
      <c r="R346" s="2">
        <v>4388</v>
      </c>
      <c r="S346" s="2">
        <v>4539</v>
      </c>
      <c r="T346" s="2">
        <v>3884</v>
      </c>
      <c r="U346" s="2">
        <v>0</v>
      </c>
      <c r="V346" s="2"/>
      <c r="W346" s="2">
        <v>3831</v>
      </c>
      <c r="X346" s="2">
        <v>3110</v>
      </c>
      <c r="Y346" s="2">
        <v>0</v>
      </c>
      <c r="Z346" s="2">
        <v>0</v>
      </c>
      <c r="AA346" s="2">
        <v>0</v>
      </c>
      <c r="AB346" s="2"/>
      <c r="AC346" s="2">
        <v>1393</v>
      </c>
      <c r="AD346" s="2">
        <v>1391</v>
      </c>
      <c r="AE346" s="2">
        <v>502</v>
      </c>
      <c r="AF346" s="2">
        <v>0</v>
      </c>
      <c r="AG346" s="2">
        <v>0</v>
      </c>
      <c r="AH346" s="2"/>
      <c r="AI346" s="2">
        <v>-1251</v>
      </c>
      <c r="AJ346" s="2">
        <v>-1036</v>
      </c>
      <c r="AK346" s="2">
        <v>-1036</v>
      </c>
      <c r="AL346" s="2">
        <v>0</v>
      </c>
      <c r="AM346" s="2">
        <v>-1036</v>
      </c>
    </row>
    <row r="347" spans="1:39">
      <c r="A347" s="351">
        <v>93351</v>
      </c>
      <c r="B347" s="344" t="s">
        <v>1039</v>
      </c>
      <c r="C347" s="360">
        <v>3.1000000000000001E-5</v>
      </c>
      <c r="E347" s="2">
        <v>12220</v>
      </c>
      <c r="F347" s="2">
        <v>12589</v>
      </c>
      <c r="G347" s="2">
        <v>9409</v>
      </c>
      <c r="H347" s="2">
        <v>4613</v>
      </c>
      <c r="I347" s="2">
        <v>0</v>
      </c>
      <c r="J347" s="2"/>
      <c r="K347" s="2">
        <v>5748</v>
      </c>
      <c r="L347" s="2">
        <v>5295</v>
      </c>
      <c r="M347" s="2">
        <v>2947</v>
      </c>
      <c r="N347" s="2">
        <v>0</v>
      </c>
      <c r="O347" s="2">
        <v>0</v>
      </c>
      <c r="P347" s="2"/>
      <c r="Q347" s="2">
        <v>373</v>
      </c>
      <c r="R347" s="2">
        <v>5211</v>
      </c>
      <c r="S347" s="2">
        <v>5391</v>
      </c>
      <c r="T347" s="2">
        <v>4613</v>
      </c>
      <c r="U347" s="2">
        <v>0</v>
      </c>
      <c r="V347" s="2"/>
      <c r="W347" s="2">
        <v>4550</v>
      </c>
      <c r="X347" s="2">
        <v>3694</v>
      </c>
      <c r="Y347" s="2">
        <v>0</v>
      </c>
      <c r="Z347" s="2">
        <v>0</v>
      </c>
      <c r="AA347" s="2">
        <v>0</v>
      </c>
      <c r="AB347" s="2"/>
      <c r="AC347" s="2">
        <v>4769</v>
      </c>
      <c r="AD347" s="2">
        <v>1609</v>
      </c>
      <c r="AE347" s="2">
        <v>1609</v>
      </c>
      <c r="AF347" s="2">
        <v>0</v>
      </c>
      <c r="AG347" s="2">
        <v>0</v>
      </c>
      <c r="AH347" s="2"/>
      <c r="AI347" s="2">
        <v>-3220</v>
      </c>
      <c r="AJ347" s="2">
        <v>-3220</v>
      </c>
      <c r="AK347" s="2">
        <v>-538</v>
      </c>
      <c r="AL347" s="2">
        <v>0</v>
      </c>
      <c r="AM347" s="2">
        <v>-3220</v>
      </c>
    </row>
    <row r="348" spans="1:39">
      <c r="A348" s="351">
        <v>93401</v>
      </c>
      <c r="B348" s="344" t="s">
        <v>1040</v>
      </c>
      <c r="C348" s="360">
        <v>1.37587E-2</v>
      </c>
      <c r="E348" s="2">
        <v>4771207</v>
      </c>
      <c r="F348" s="2">
        <v>6330665</v>
      </c>
      <c r="G348" s="2">
        <v>3697682</v>
      </c>
      <c r="H348" s="2">
        <v>2047597</v>
      </c>
      <c r="I348" s="2">
        <v>0</v>
      </c>
      <c r="J348" s="2"/>
      <c r="K348" s="2">
        <v>2550987</v>
      </c>
      <c r="L348" s="2">
        <v>2349903</v>
      </c>
      <c r="M348" s="2">
        <v>1307875</v>
      </c>
      <c r="N348" s="2">
        <v>0</v>
      </c>
      <c r="O348" s="2">
        <v>0</v>
      </c>
      <c r="P348" s="2"/>
      <c r="Q348" s="2">
        <v>165366</v>
      </c>
      <c r="R348" s="2">
        <v>2312906</v>
      </c>
      <c r="S348" s="2">
        <v>2392886</v>
      </c>
      <c r="T348" s="2">
        <v>2047597</v>
      </c>
      <c r="U348" s="2">
        <v>0</v>
      </c>
      <c r="V348" s="2"/>
      <c r="W348" s="2">
        <v>2019447</v>
      </c>
      <c r="X348" s="2">
        <v>1639445</v>
      </c>
      <c r="Y348" s="2">
        <v>0</v>
      </c>
      <c r="Z348" s="2">
        <v>0</v>
      </c>
      <c r="AA348" s="2">
        <v>0</v>
      </c>
      <c r="AB348" s="2"/>
      <c r="AC348" s="2">
        <v>103204</v>
      </c>
      <c r="AD348" s="2">
        <v>96208</v>
      </c>
      <c r="AE348" s="2">
        <v>64717</v>
      </c>
      <c r="AF348" s="2">
        <v>0</v>
      </c>
      <c r="AG348" s="2">
        <v>0</v>
      </c>
      <c r="AH348" s="2"/>
      <c r="AI348" s="2">
        <v>-67797</v>
      </c>
      <c r="AJ348" s="2">
        <v>-67797</v>
      </c>
      <c r="AK348" s="2">
        <v>-67796</v>
      </c>
      <c r="AL348" s="2">
        <v>0</v>
      </c>
      <c r="AM348" s="2">
        <v>-67797</v>
      </c>
    </row>
    <row r="349" spans="1:39">
      <c r="A349" s="351">
        <v>93406</v>
      </c>
      <c r="B349" s="344" t="s">
        <v>1042</v>
      </c>
      <c r="C349" s="360">
        <v>4.996E-4</v>
      </c>
      <c r="E349" s="2">
        <v>149768</v>
      </c>
      <c r="F349" s="2">
        <v>218686</v>
      </c>
      <c r="G349" s="2">
        <v>147656</v>
      </c>
      <c r="H349" s="2">
        <v>74351</v>
      </c>
      <c r="I349" s="2">
        <v>0</v>
      </c>
      <c r="J349" s="2"/>
      <c r="K349" s="2">
        <v>92630</v>
      </c>
      <c r="L349" s="2">
        <v>85329</v>
      </c>
      <c r="M349" s="2">
        <v>47491</v>
      </c>
      <c r="N349" s="2">
        <v>0</v>
      </c>
      <c r="O349" s="2">
        <v>0</v>
      </c>
      <c r="P349" s="2"/>
      <c r="Q349" s="2">
        <v>6005</v>
      </c>
      <c r="R349" s="2">
        <v>83985</v>
      </c>
      <c r="S349" s="2">
        <v>86889</v>
      </c>
      <c r="T349" s="2">
        <v>74351</v>
      </c>
      <c r="U349" s="2">
        <v>0</v>
      </c>
      <c r="V349" s="2"/>
      <c r="W349" s="2">
        <v>73329</v>
      </c>
      <c r="X349" s="2">
        <v>59531</v>
      </c>
      <c r="Y349" s="2">
        <v>0</v>
      </c>
      <c r="Z349" s="2">
        <v>0</v>
      </c>
      <c r="AA349" s="2">
        <v>0</v>
      </c>
      <c r="AB349" s="2"/>
      <c r="AC349" s="2">
        <v>13273</v>
      </c>
      <c r="AD349" s="2">
        <v>13273</v>
      </c>
      <c r="AE349" s="2">
        <v>13276</v>
      </c>
      <c r="AF349" s="2">
        <v>0</v>
      </c>
      <c r="AG349" s="2">
        <v>0</v>
      </c>
      <c r="AH349" s="2"/>
      <c r="AI349" s="2">
        <v>-35469</v>
      </c>
      <c r="AJ349" s="2">
        <v>-23432</v>
      </c>
      <c r="AK349" s="2">
        <v>0</v>
      </c>
      <c r="AL349" s="2">
        <v>0</v>
      </c>
      <c r="AM349" s="2">
        <v>-23432</v>
      </c>
    </row>
    <row r="350" spans="1:39">
      <c r="A350" s="351">
        <v>93411</v>
      </c>
      <c r="B350" s="344" t="s">
        <v>1044</v>
      </c>
      <c r="C350" s="360">
        <v>1.78316E-2</v>
      </c>
      <c r="E350" s="2">
        <v>6370729</v>
      </c>
      <c r="F350" s="2">
        <v>8338215</v>
      </c>
      <c r="G350" s="2">
        <v>4828712</v>
      </c>
      <c r="H350" s="2">
        <v>2653734</v>
      </c>
      <c r="I350" s="2">
        <v>0</v>
      </c>
      <c r="J350" s="2"/>
      <c r="K350" s="2">
        <v>3306139</v>
      </c>
      <c r="L350" s="2">
        <v>3045530</v>
      </c>
      <c r="M350" s="2">
        <v>1695036</v>
      </c>
      <c r="N350" s="2">
        <v>0</v>
      </c>
      <c r="O350" s="2">
        <v>0</v>
      </c>
      <c r="P350" s="2"/>
      <c r="Q350" s="2">
        <v>214318</v>
      </c>
      <c r="R350" s="2">
        <v>2997581</v>
      </c>
      <c r="S350" s="2">
        <v>3101236</v>
      </c>
      <c r="T350" s="2">
        <v>2653734</v>
      </c>
      <c r="U350" s="2">
        <v>0</v>
      </c>
      <c r="V350" s="2"/>
      <c r="W350" s="2">
        <v>2617251</v>
      </c>
      <c r="X350" s="2">
        <v>2124760</v>
      </c>
      <c r="Y350" s="2">
        <v>0</v>
      </c>
      <c r="Z350" s="2">
        <v>0</v>
      </c>
      <c r="AA350" s="2">
        <v>0</v>
      </c>
      <c r="AB350" s="2"/>
      <c r="AC350" s="2">
        <v>298641</v>
      </c>
      <c r="AD350" s="2">
        <v>235964</v>
      </c>
      <c r="AE350" s="2">
        <v>98058</v>
      </c>
      <c r="AF350" s="2">
        <v>0</v>
      </c>
      <c r="AG350" s="2">
        <v>0</v>
      </c>
      <c r="AH350" s="2"/>
      <c r="AI350" s="2">
        <v>-65620</v>
      </c>
      <c r="AJ350" s="2">
        <v>-65620</v>
      </c>
      <c r="AK350" s="2">
        <v>-65618</v>
      </c>
      <c r="AL350" s="2">
        <v>0</v>
      </c>
      <c r="AM350" s="2">
        <v>-65620</v>
      </c>
    </row>
    <row r="351" spans="1:39">
      <c r="A351" s="351">
        <v>93413</v>
      </c>
      <c r="B351" s="344" t="s">
        <v>1045</v>
      </c>
      <c r="C351" s="360">
        <v>6.7969999999999999E-4</v>
      </c>
      <c r="E351" s="2">
        <v>227519</v>
      </c>
      <c r="F351" s="2">
        <v>305040</v>
      </c>
      <c r="G351" s="2">
        <v>180116</v>
      </c>
      <c r="H351" s="2">
        <v>101154</v>
      </c>
      <c r="I351" s="2">
        <v>0</v>
      </c>
      <c r="J351" s="2"/>
      <c r="K351" s="2">
        <v>126022</v>
      </c>
      <c r="L351" s="2">
        <v>116089</v>
      </c>
      <c r="M351" s="2">
        <v>64611</v>
      </c>
      <c r="N351" s="2">
        <v>0</v>
      </c>
      <c r="O351" s="2">
        <v>0</v>
      </c>
      <c r="P351" s="2"/>
      <c r="Q351" s="2">
        <v>8169</v>
      </c>
      <c r="R351" s="2">
        <v>114261</v>
      </c>
      <c r="S351" s="2">
        <v>118212</v>
      </c>
      <c r="T351" s="2">
        <v>101154</v>
      </c>
      <c r="U351" s="2">
        <v>0</v>
      </c>
      <c r="V351" s="2"/>
      <c r="W351" s="2">
        <v>99764</v>
      </c>
      <c r="X351" s="2">
        <v>80991</v>
      </c>
      <c r="Y351" s="2">
        <v>0</v>
      </c>
      <c r="Z351" s="2">
        <v>0</v>
      </c>
      <c r="AA351" s="2">
        <v>0</v>
      </c>
      <c r="AB351" s="2"/>
      <c r="AC351" s="2">
        <v>396</v>
      </c>
      <c r="AD351" s="2">
        <v>396</v>
      </c>
      <c r="AE351" s="2">
        <v>394</v>
      </c>
      <c r="AF351" s="2">
        <v>0</v>
      </c>
      <c r="AG351" s="2">
        <v>0</v>
      </c>
      <c r="AH351" s="2"/>
      <c r="AI351" s="2">
        <v>-6832</v>
      </c>
      <c r="AJ351" s="2">
        <v>-6697</v>
      </c>
      <c r="AK351" s="2">
        <v>-3101</v>
      </c>
      <c r="AL351" s="2">
        <v>0</v>
      </c>
      <c r="AM351" s="2">
        <v>-6697</v>
      </c>
    </row>
    <row r="352" spans="1:39">
      <c r="A352" s="351">
        <v>93417</v>
      </c>
      <c r="B352" s="344" t="s">
        <v>1046</v>
      </c>
      <c r="C352" s="360">
        <v>2.876E-4</v>
      </c>
      <c r="E352" s="2">
        <v>105481</v>
      </c>
      <c r="F352" s="2">
        <v>146491</v>
      </c>
      <c r="G352" s="2">
        <v>89743</v>
      </c>
      <c r="H352" s="2">
        <v>42801</v>
      </c>
      <c r="I352" s="2">
        <v>0</v>
      </c>
      <c r="J352" s="2"/>
      <c r="K352" s="2">
        <v>53324</v>
      </c>
      <c r="L352" s="2">
        <v>49120</v>
      </c>
      <c r="M352" s="2">
        <v>27339</v>
      </c>
      <c r="N352" s="2">
        <v>0</v>
      </c>
      <c r="O352" s="2">
        <v>0</v>
      </c>
      <c r="P352" s="2"/>
      <c r="Q352" s="2">
        <v>3457</v>
      </c>
      <c r="R352" s="2">
        <v>48347</v>
      </c>
      <c r="S352" s="2">
        <v>50019</v>
      </c>
      <c r="T352" s="2">
        <v>42801</v>
      </c>
      <c r="U352" s="2">
        <v>0</v>
      </c>
      <c r="V352" s="2"/>
      <c r="W352" s="2">
        <v>42213</v>
      </c>
      <c r="X352" s="2">
        <v>34270</v>
      </c>
      <c r="Y352" s="2">
        <v>0</v>
      </c>
      <c r="Z352" s="2">
        <v>0</v>
      </c>
      <c r="AA352" s="2">
        <v>0</v>
      </c>
      <c r="AB352" s="2"/>
      <c r="AC352" s="2">
        <v>15521</v>
      </c>
      <c r="AD352" s="2">
        <v>15519</v>
      </c>
      <c r="AE352" s="2">
        <v>13150</v>
      </c>
      <c r="AF352" s="2">
        <v>0</v>
      </c>
      <c r="AG352" s="2">
        <v>0</v>
      </c>
      <c r="AH352" s="2"/>
      <c r="AI352" s="2">
        <v>-9034</v>
      </c>
      <c r="AJ352" s="2">
        <v>-765</v>
      </c>
      <c r="AK352" s="2">
        <v>-765</v>
      </c>
      <c r="AL352" s="2">
        <v>0</v>
      </c>
      <c r="AM352" s="2">
        <v>-765</v>
      </c>
    </row>
    <row r="353" spans="1:39">
      <c r="A353" s="351">
        <v>93421</v>
      </c>
      <c r="B353" s="344" t="s">
        <v>1047</v>
      </c>
      <c r="C353" s="360">
        <v>2.0282999999999998E-3</v>
      </c>
      <c r="E353" s="2">
        <v>596888</v>
      </c>
      <c r="F353" s="2">
        <v>850546</v>
      </c>
      <c r="G353" s="2">
        <v>484149</v>
      </c>
      <c r="H353" s="2">
        <v>301856</v>
      </c>
      <c r="I353" s="2">
        <v>0</v>
      </c>
      <c r="J353" s="2"/>
      <c r="K353" s="2">
        <v>376065</v>
      </c>
      <c r="L353" s="2">
        <v>346421</v>
      </c>
      <c r="M353" s="2">
        <v>192806</v>
      </c>
      <c r="N353" s="2">
        <v>0</v>
      </c>
      <c r="O353" s="2">
        <v>0</v>
      </c>
      <c r="P353" s="2"/>
      <c r="Q353" s="2">
        <v>24378</v>
      </c>
      <c r="R353" s="2">
        <v>340967</v>
      </c>
      <c r="S353" s="2">
        <v>352758</v>
      </c>
      <c r="T353" s="2">
        <v>301856</v>
      </c>
      <c r="U353" s="2">
        <v>0</v>
      </c>
      <c r="V353" s="2"/>
      <c r="W353" s="2">
        <v>297706</v>
      </c>
      <c r="X353" s="2">
        <v>241686</v>
      </c>
      <c r="Y353" s="2">
        <v>0</v>
      </c>
      <c r="Z353" s="2">
        <v>0</v>
      </c>
      <c r="AA353" s="2">
        <v>0</v>
      </c>
      <c r="AB353" s="2"/>
      <c r="AC353" s="2">
        <v>0</v>
      </c>
      <c r="AD353" s="2">
        <v>0</v>
      </c>
      <c r="AE353" s="2">
        <v>0</v>
      </c>
      <c r="AF353" s="2">
        <v>0</v>
      </c>
      <c r="AG353" s="2">
        <v>0</v>
      </c>
      <c r="AH353" s="2"/>
      <c r="AI353" s="2">
        <v>-101261</v>
      </c>
      <c r="AJ353" s="2">
        <v>-78528</v>
      </c>
      <c r="AK353" s="2">
        <v>-61415</v>
      </c>
      <c r="AL353" s="2">
        <v>0</v>
      </c>
      <c r="AM353" s="2">
        <v>-78528</v>
      </c>
    </row>
    <row r="354" spans="1:39">
      <c r="A354" s="351">
        <v>93431</v>
      </c>
      <c r="B354" s="344" t="s">
        <v>1048</v>
      </c>
      <c r="C354" s="360">
        <v>1.349E-4</v>
      </c>
      <c r="E354" s="2">
        <v>50211</v>
      </c>
      <c r="F354" s="2">
        <v>62628</v>
      </c>
      <c r="G354" s="2">
        <v>34913</v>
      </c>
      <c r="H354" s="2">
        <v>20076</v>
      </c>
      <c r="I354" s="2">
        <v>0</v>
      </c>
      <c r="J354" s="2"/>
      <c r="K354" s="2">
        <v>25012</v>
      </c>
      <c r="L354" s="2">
        <v>23040</v>
      </c>
      <c r="M354" s="2">
        <v>12823</v>
      </c>
      <c r="N354" s="2">
        <v>0</v>
      </c>
      <c r="O354" s="2">
        <v>0</v>
      </c>
      <c r="P354" s="2"/>
      <c r="Q354" s="2">
        <v>1621</v>
      </c>
      <c r="R354" s="2">
        <v>22677</v>
      </c>
      <c r="S354" s="2">
        <v>23462</v>
      </c>
      <c r="T354" s="2">
        <v>20076</v>
      </c>
      <c r="U354" s="2">
        <v>0</v>
      </c>
      <c r="V354" s="2"/>
      <c r="W354" s="2">
        <v>19800</v>
      </c>
      <c r="X354" s="2">
        <v>16074</v>
      </c>
      <c r="Y354" s="2">
        <v>0</v>
      </c>
      <c r="Z354" s="2">
        <v>0</v>
      </c>
      <c r="AA354" s="2">
        <v>0</v>
      </c>
      <c r="AB354" s="2"/>
      <c r="AC354" s="2">
        <v>5147</v>
      </c>
      <c r="AD354" s="2">
        <v>2206</v>
      </c>
      <c r="AE354" s="2">
        <v>0</v>
      </c>
      <c r="AF354" s="2">
        <v>0</v>
      </c>
      <c r="AG354" s="2">
        <v>0</v>
      </c>
      <c r="AH354" s="2"/>
      <c r="AI354" s="2">
        <v>-1369</v>
      </c>
      <c r="AJ354" s="2">
        <v>-1369</v>
      </c>
      <c r="AK354" s="2">
        <v>-1372</v>
      </c>
      <c r="AL354" s="2">
        <v>0</v>
      </c>
      <c r="AM354" s="2">
        <v>-1369</v>
      </c>
    </row>
    <row r="355" spans="1:39">
      <c r="A355" s="351">
        <v>93441</v>
      </c>
      <c r="B355" s="344" t="s">
        <v>1049</v>
      </c>
      <c r="C355" s="360">
        <v>1.6789999999999999E-4</v>
      </c>
      <c r="E355" s="2">
        <v>60592</v>
      </c>
      <c r="F355" s="2">
        <v>77539</v>
      </c>
      <c r="G355" s="2">
        <v>44312</v>
      </c>
      <c r="H355" s="2">
        <v>24987</v>
      </c>
      <c r="I355" s="2">
        <v>0</v>
      </c>
      <c r="J355" s="2"/>
      <c r="K355" s="2">
        <v>31130</v>
      </c>
      <c r="L355" s="2">
        <v>28676</v>
      </c>
      <c r="M355" s="2">
        <v>15960</v>
      </c>
      <c r="N355" s="2">
        <v>0</v>
      </c>
      <c r="O355" s="2">
        <v>0</v>
      </c>
      <c r="P355" s="2"/>
      <c r="Q355" s="2">
        <v>2018</v>
      </c>
      <c r="R355" s="2">
        <v>28225</v>
      </c>
      <c r="S355" s="2">
        <v>29201</v>
      </c>
      <c r="T355" s="2">
        <v>24987</v>
      </c>
      <c r="U355" s="2">
        <v>0</v>
      </c>
      <c r="V355" s="2"/>
      <c r="W355" s="2">
        <v>24644</v>
      </c>
      <c r="X355" s="2">
        <v>20006</v>
      </c>
      <c r="Y355" s="2">
        <v>0</v>
      </c>
      <c r="Z355" s="2">
        <v>0</v>
      </c>
      <c r="AA355" s="2">
        <v>0</v>
      </c>
      <c r="AB355" s="2"/>
      <c r="AC355" s="2">
        <v>3821</v>
      </c>
      <c r="AD355" s="2">
        <v>1653</v>
      </c>
      <c r="AE355" s="2">
        <v>173</v>
      </c>
      <c r="AF355" s="2">
        <v>0</v>
      </c>
      <c r="AG355" s="2">
        <v>0</v>
      </c>
      <c r="AH355" s="2"/>
      <c r="AI355" s="2">
        <v>-1021</v>
      </c>
      <c r="AJ355" s="2">
        <v>-1021</v>
      </c>
      <c r="AK355" s="2">
        <v>-1022</v>
      </c>
      <c r="AL355" s="2">
        <v>0</v>
      </c>
      <c r="AM355" s="2">
        <v>-1021</v>
      </c>
    </row>
    <row r="356" spans="1:39">
      <c r="A356" s="351">
        <v>93442</v>
      </c>
      <c r="B356" s="344" t="s">
        <v>1050</v>
      </c>
      <c r="C356" s="360">
        <v>1.507E-4</v>
      </c>
      <c r="E356" s="2">
        <v>43116</v>
      </c>
      <c r="F356" s="2">
        <v>60062</v>
      </c>
      <c r="G356" s="2">
        <v>33089</v>
      </c>
      <c r="H356" s="2">
        <v>22427</v>
      </c>
      <c r="I356" s="2">
        <v>0</v>
      </c>
      <c r="J356" s="2"/>
      <c r="K356" s="2">
        <v>27941</v>
      </c>
      <c r="L356" s="2">
        <v>25739</v>
      </c>
      <c r="M356" s="2">
        <v>14325</v>
      </c>
      <c r="N356" s="2">
        <v>0</v>
      </c>
      <c r="O356" s="2">
        <v>0</v>
      </c>
      <c r="P356" s="2"/>
      <c r="Q356" s="2">
        <v>1811</v>
      </c>
      <c r="R356" s="2">
        <v>25333</v>
      </c>
      <c r="S356" s="2">
        <v>26209</v>
      </c>
      <c r="T356" s="2">
        <v>22427</v>
      </c>
      <c r="U356" s="2">
        <v>0</v>
      </c>
      <c r="V356" s="2"/>
      <c r="W356" s="2">
        <v>22119</v>
      </c>
      <c r="X356" s="2">
        <v>17957</v>
      </c>
      <c r="Y356" s="2">
        <v>0</v>
      </c>
      <c r="Z356" s="2">
        <v>0</v>
      </c>
      <c r="AA356" s="2">
        <v>0</v>
      </c>
      <c r="AB356" s="2"/>
      <c r="AC356" s="2">
        <v>214</v>
      </c>
      <c r="AD356" s="2">
        <v>0</v>
      </c>
      <c r="AE356" s="2">
        <v>0</v>
      </c>
      <c r="AF356" s="2">
        <v>0</v>
      </c>
      <c r="AG356" s="2">
        <v>0</v>
      </c>
      <c r="AH356" s="2"/>
      <c r="AI356" s="2">
        <v>-8969</v>
      </c>
      <c r="AJ356" s="2">
        <v>-8967</v>
      </c>
      <c r="AK356" s="2">
        <v>-7445</v>
      </c>
      <c r="AL356" s="2">
        <v>0</v>
      </c>
      <c r="AM356" s="2">
        <v>-8967</v>
      </c>
    </row>
    <row r="357" spans="1:39">
      <c r="A357" s="351">
        <v>93451</v>
      </c>
      <c r="B357" s="344" t="s">
        <v>1051</v>
      </c>
      <c r="C357" s="360">
        <v>6.6299999999999999E-5</v>
      </c>
      <c r="E357" s="2">
        <v>29757</v>
      </c>
      <c r="F357" s="2">
        <v>36462</v>
      </c>
      <c r="G357" s="2">
        <v>21019</v>
      </c>
      <c r="H357" s="2">
        <v>9867</v>
      </c>
      <c r="I357" s="2">
        <v>0</v>
      </c>
      <c r="J357" s="2"/>
      <c r="K357" s="2">
        <v>12293</v>
      </c>
      <c r="L357" s="2">
        <v>11324</v>
      </c>
      <c r="M357" s="2">
        <v>6302</v>
      </c>
      <c r="N357" s="2">
        <v>0</v>
      </c>
      <c r="O357" s="2">
        <v>0</v>
      </c>
      <c r="P357" s="2"/>
      <c r="Q357" s="2">
        <v>797</v>
      </c>
      <c r="R357" s="2">
        <v>11145</v>
      </c>
      <c r="S357" s="2">
        <v>11531</v>
      </c>
      <c r="T357" s="2">
        <v>9867</v>
      </c>
      <c r="U357" s="2">
        <v>0</v>
      </c>
      <c r="V357" s="2"/>
      <c r="W357" s="2">
        <v>9731</v>
      </c>
      <c r="X357" s="2">
        <v>7900</v>
      </c>
      <c r="Y357" s="2">
        <v>0</v>
      </c>
      <c r="Z357" s="2">
        <v>0</v>
      </c>
      <c r="AA357" s="2">
        <v>0</v>
      </c>
      <c r="AB357" s="2"/>
      <c r="AC357" s="2">
        <v>7184</v>
      </c>
      <c r="AD357" s="2">
        <v>6341</v>
      </c>
      <c r="AE357" s="2">
        <v>3434</v>
      </c>
      <c r="AF357" s="2">
        <v>0</v>
      </c>
      <c r="AG357" s="2">
        <v>0</v>
      </c>
      <c r="AH357" s="2"/>
      <c r="AI357" s="2">
        <v>-248</v>
      </c>
      <c r="AJ357" s="2">
        <v>-248</v>
      </c>
      <c r="AK357" s="2">
        <v>-248</v>
      </c>
      <c r="AL357" s="2">
        <v>0</v>
      </c>
      <c r="AM357" s="2">
        <v>-248</v>
      </c>
    </row>
    <row r="358" spans="1:39">
      <c r="A358" s="351">
        <v>93461</v>
      </c>
      <c r="B358" s="344" t="s">
        <v>1052</v>
      </c>
      <c r="C358" s="360">
        <v>1.49E-5</v>
      </c>
      <c r="E358" s="2">
        <v>4993</v>
      </c>
      <c r="F358" s="2">
        <v>6659</v>
      </c>
      <c r="G358" s="2">
        <v>3745</v>
      </c>
      <c r="H358" s="2">
        <v>2217</v>
      </c>
      <c r="I358" s="2">
        <v>0</v>
      </c>
      <c r="J358" s="2"/>
      <c r="K358" s="2">
        <v>2763</v>
      </c>
      <c r="L358" s="2">
        <v>2545</v>
      </c>
      <c r="M358" s="2">
        <v>1416</v>
      </c>
      <c r="N358" s="2">
        <v>0</v>
      </c>
      <c r="O358" s="2">
        <v>0</v>
      </c>
      <c r="P358" s="2"/>
      <c r="Q358" s="2">
        <v>179</v>
      </c>
      <c r="R358" s="2">
        <v>2505</v>
      </c>
      <c r="S358" s="2">
        <v>2591</v>
      </c>
      <c r="T358" s="2">
        <v>2217</v>
      </c>
      <c r="U358" s="2">
        <v>0</v>
      </c>
      <c r="V358" s="2"/>
      <c r="W358" s="2">
        <v>2187</v>
      </c>
      <c r="X358" s="2">
        <v>1775</v>
      </c>
      <c r="Y358" s="2">
        <v>0</v>
      </c>
      <c r="Z358" s="2">
        <v>0</v>
      </c>
      <c r="AA358" s="2">
        <v>0</v>
      </c>
      <c r="AB358" s="2"/>
      <c r="AC358" s="2">
        <v>124</v>
      </c>
      <c r="AD358" s="2">
        <v>94</v>
      </c>
      <c r="AE358" s="2">
        <v>0</v>
      </c>
      <c r="AF358" s="2">
        <v>0</v>
      </c>
      <c r="AG358" s="2">
        <v>0</v>
      </c>
      <c r="AH358" s="2"/>
      <c r="AI358" s="2">
        <v>-260</v>
      </c>
      <c r="AJ358" s="2">
        <v>-260</v>
      </c>
      <c r="AK358" s="2">
        <v>-262</v>
      </c>
      <c r="AL358" s="2">
        <v>0</v>
      </c>
      <c r="AM358" s="2">
        <v>-260</v>
      </c>
    </row>
    <row r="359" spans="1:39">
      <c r="A359" s="351">
        <v>93471</v>
      </c>
      <c r="B359" s="344" t="s">
        <v>1053</v>
      </c>
      <c r="C359" s="360">
        <v>1.24E-5</v>
      </c>
      <c r="E359" s="2">
        <v>7627</v>
      </c>
      <c r="F359" s="2">
        <v>8359</v>
      </c>
      <c r="G359" s="2">
        <v>5645</v>
      </c>
      <c r="H359" s="2">
        <v>1845</v>
      </c>
      <c r="I359" s="2">
        <v>0</v>
      </c>
      <c r="J359" s="2"/>
      <c r="K359" s="2">
        <v>2299</v>
      </c>
      <c r="L359" s="2">
        <v>2118</v>
      </c>
      <c r="M359" s="2">
        <v>1179</v>
      </c>
      <c r="N359" s="2">
        <v>0</v>
      </c>
      <c r="O359" s="2">
        <v>0</v>
      </c>
      <c r="P359" s="2"/>
      <c r="Q359" s="2">
        <v>149</v>
      </c>
      <c r="R359" s="2">
        <v>2085</v>
      </c>
      <c r="S359" s="2">
        <v>2157</v>
      </c>
      <c r="T359" s="2">
        <v>1845</v>
      </c>
      <c r="U359" s="2">
        <v>0</v>
      </c>
      <c r="V359" s="2"/>
      <c r="W359" s="2">
        <v>1820</v>
      </c>
      <c r="X359" s="2">
        <v>1478</v>
      </c>
      <c r="Y359" s="2">
        <v>0</v>
      </c>
      <c r="Z359" s="2">
        <v>0</v>
      </c>
      <c r="AA359" s="2">
        <v>0</v>
      </c>
      <c r="AB359" s="2"/>
      <c r="AC359" s="2">
        <v>3359</v>
      </c>
      <c r="AD359" s="2">
        <v>2678</v>
      </c>
      <c r="AE359" s="2">
        <v>2309</v>
      </c>
      <c r="AF359" s="2">
        <v>0</v>
      </c>
      <c r="AG359" s="2">
        <v>0</v>
      </c>
      <c r="AH359" s="2"/>
      <c r="AI359" s="2">
        <v>0</v>
      </c>
      <c r="AJ359" s="2">
        <v>0</v>
      </c>
      <c r="AK359" s="2">
        <v>0</v>
      </c>
      <c r="AL359" s="2">
        <v>0</v>
      </c>
      <c r="AM359" s="2">
        <v>0</v>
      </c>
    </row>
    <row r="360" spans="1:39">
      <c r="A360" s="351">
        <v>93501</v>
      </c>
      <c r="B360" s="344" t="s">
        <v>1054</v>
      </c>
      <c r="C360" s="360">
        <v>3.7423999999999999E-3</v>
      </c>
      <c r="E360" s="2">
        <v>1305443</v>
      </c>
      <c r="F360" s="2">
        <v>1696121</v>
      </c>
      <c r="G360" s="2">
        <v>975575</v>
      </c>
      <c r="H360" s="2">
        <v>556951</v>
      </c>
      <c r="I360" s="2">
        <v>0</v>
      </c>
      <c r="J360" s="2"/>
      <c r="K360" s="2">
        <v>693875</v>
      </c>
      <c r="L360" s="2">
        <v>639179</v>
      </c>
      <c r="M360" s="2">
        <v>355745</v>
      </c>
      <c r="N360" s="2">
        <v>0</v>
      </c>
      <c r="O360" s="2">
        <v>0</v>
      </c>
      <c r="P360" s="2"/>
      <c r="Q360" s="2">
        <v>44980</v>
      </c>
      <c r="R360" s="2">
        <v>629116</v>
      </c>
      <c r="S360" s="2">
        <v>650871</v>
      </c>
      <c r="T360" s="2">
        <v>556951</v>
      </c>
      <c r="U360" s="2">
        <v>0</v>
      </c>
      <c r="V360" s="2"/>
      <c r="W360" s="2">
        <v>549295</v>
      </c>
      <c r="X360" s="2">
        <v>445933</v>
      </c>
      <c r="Y360" s="2">
        <v>0</v>
      </c>
      <c r="Z360" s="2">
        <v>0</v>
      </c>
      <c r="AA360" s="2">
        <v>0</v>
      </c>
      <c r="AB360" s="2"/>
      <c r="AC360" s="2">
        <v>69604</v>
      </c>
      <c r="AD360" s="2">
        <v>34204</v>
      </c>
      <c r="AE360" s="2">
        <v>21268</v>
      </c>
      <c r="AF360" s="2">
        <v>0</v>
      </c>
      <c r="AG360" s="2">
        <v>0</v>
      </c>
      <c r="AH360" s="2"/>
      <c r="AI360" s="2">
        <v>-52311</v>
      </c>
      <c r="AJ360" s="2">
        <v>-52311</v>
      </c>
      <c r="AK360" s="2">
        <v>-52309</v>
      </c>
      <c r="AL360" s="2">
        <v>0</v>
      </c>
      <c r="AM360" s="2">
        <v>-52311</v>
      </c>
    </row>
    <row r="361" spans="1:39">
      <c r="A361" s="351">
        <v>93511</v>
      </c>
      <c r="B361" s="344" t="s">
        <v>1055</v>
      </c>
      <c r="C361" s="360">
        <v>8.6100000000000006E-5</v>
      </c>
      <c r="E361" s="2">
        <v>31005</v>
      </c>
      <c r="F361" s="2">
        <v>41698</v>
      </c>
      <c r="G361" s="2">
        <v>24016</v>
      </c>
      <c r="H361" s="2">
        <v>12814</v>
      </c>
      <c r="I361" s="2">
        <v>0</v>
      </c>
      <c r="J361" s="2"/>
      <c r="K361" s="2">
        <v>15964</v>
      </c>
      <c r="L361" s="2">
        <v>14705</v>
      </c>
      <c r="M361" s="2">
        <v>8184</v>
      </c>
      <c r="N361" s="2">
        <v>0</v>
      </c>
      <c r="O361" s="2">
        <v>0</v>
      </c>
      <c r="P361" s="2"/>
      <c r="Q361" s="2">
        <v>1035</v>
      </c>
      <c r="R361" s="2">
        <v>14474</v>
      </c>
      <c r="S361" s="2">
        <v>14974</v>
      </c>
      <c r="T361" s="2">
        <v>12814</v>
      </c>
      <c r="U361" s="2">
        <v>0</v>
      </c>
      <c r="V361" s="2"/>
      <c r="W361" s="2">
        <v>12637</v>
      </c>
      <c r="X361" s="2">
        <v>10259</v>
      </c>
      <c r="Y361" s="2">
        <v>0</v>
      </c>
      <c r="Z361" s="2">
        <v>0</v>
      </c>
      <c r="AA361" s="2">
        <v>0</v>
      </c>
      <c r="AB361" s="2"/>
      <c r="AC361" s="2">
        <v>2867</v>
      </c>
      <c r="AD361" s="2">
        <v>2868</v>
      </c>
      <c r="AE361" s="2">
        <v>1465</v>
      </c>
      <c r="AF361" s="2">
        <v>0</v>
      </c>
      <c r="AG361" s="2">
        <v>0</v>
      </c>
      <c r="AH361" s="2"/>
      <c r="AI361" s="2">
        <v>-1498</v>
      </c>
      <c r="AJ361" s="2">
        <v>-608</v>
      </c>
      <c r="AK361" s="2">
        <v>-607</v>
      </c>
      <c r="AL361" s="2">
        <v>0</v>
      </c>
      <c r="AM361" s="2">
        <v>-608</v>
      </c>
    </row>
    <row r="362" spans="1:39">
      <c r="A362" s="351">
        <v>93517</v>
      </c>
      <c r="B362" s="344" t="s">
        <v>1056</v>
      </c>
      <c r="C362" s="360">
        <v>3.7000000000000002E-6</v>
      </c>
      <c r="E362" s="2">
        <v>2715</v>
      </c>
      <c r="F362" s="2">
        <v>2894</v>
      </c>
      <c r="G362" s="2">
        <v>1956</v>
      </c>
      <c r="H362" s="2">
        <v>551</v>
      </c>
      <c r="I362" s="2">
        <v>0</v>
      </c>
      <c r="J362" s="2"/>
      <c r="K362" s="2">
        <v>686</v>
      </c>
      <c r="L362" s="2">
        <v>632</v>
      </c>
      <c r="M362" s="2">
        <v>352</v>
      </c>
      <c r="N362" s="2">
        <v>0</v>
      </c>
      <c r="O362" s="2">
        <v>0</v>
      </c>
      <c r="P362" s="2"/>
      <c r="Q362" s="2">
        <v>44</v>
      </c>
      <c r="R362" s="2">
        <v>622</v>
      </c>
      <c r="S362" s="2">
        <v>643</v>
      </c>
      <c r="T362" s="2">
        <v>551</v>
      </c>
      <c r="U362" s="2">
        <v>0</v>
      </c>
      <c r="V362" s="2"/>
      <c r="W362" s="2">
        <v>543</v>
      </c>
      <c r="X362" s="2">
        <v>441</v>
      </c>
      <c r="Y362" s="2">
        <v>0</v>
      </c>
      <c r="Z362" s="2">
        <v>0</v>
      </c>
      <c r="AA362" s="2">
        <v>0</v>
      </c>
      <c r="AB362" s="2"/>
      <c r="AC362" s="2">
        <v>1442</v>
      </c>
      <c r="AD362" s="2">
        <v>1199</v>
      </c>
      <c r="AE362" s="2">
        <v>961</v>
      </c>
      <c r="AF362" s="2">
        <v>0</v>
      </c>
      <c r="AG362" s="2">
        <v>0</v>
      </c>
      <c r="AH362" s="2"/>
      <c r="AI362" s="2">
        <v>0</v>
      </c>
      <c r="AJ362" s="2">
        <v>0</v>
      </c>
      <c r="AK362" s="2">
        <v>0</v>
      </c>
      <c r="AL362" s="2">
        <v>0</v>
      </c>
      <c r="AM362" s="2">
        <v>0</v>
      </c>
    </row>
    <row r="363" spans="1:39">
      <c r="A363" s="351">
        <v>93521</v>
      </c>
      <c r="B363" s="344" t="s">
        <v>1057</v>
      </c>
      <c r="C363" s="360">
        <v>4.7459999999999999E-4</v>
      </c>
      <c r="E363" s="2">
        <v>145453</v>
      </c>
      <c r="F363" s="2">
        <v>216747</v>
      </c>
      <c r="G363" s="2">
        <v>126441</v>
      </c>
      <c r="H363" s="2">
        <v>70631</v>
      </c>
      <c r="I363" s="2">
        <v>0</v>
      </c>
      <c r="J363" s="2"/>
      <c r="K363" s="2">
        <v>87995</v>
      </c>
      <c r="L363" s="2">
        <v>81059</v>
      </c>
      <c r="M363" s="2">
        <v>45115</v>
      </c>
      <c r="N363" s="2">
        <v>0</v>
      </c>
      <c r="O363" s="2">
        <v>0</v>
      </c>
      <c r="P363" s="2"/>
      <c r="Q363" s="2">
        <v>5704</v>
      </c>
      <c r="R363" s="2">
        <v>79783</v>
      </c>
      <c r="S363" s="2">
        <v>82541</v>
      </c>
      <c r="T363" s="2">
        <v>70631</v>
      </c>
      <c r="U363" s="2">
        <v>0</v>
      </c>
      <c r="V363" s="2"/>
      <c r="W363" s="2">
        <v>69660</v>
      </c>
      <c r="X363" s="2">
        <v>56552</v>
      </c>
      <c r="Y363" s="2">
        <v>0</v>
      </c>
      <c r="Z363" s="2">
        <v>0</v>
      </c>
      <c r="AA363" s="2">
        <v>0</v>
      </c>
      <c r="AB363" s="2"/>
      <c r="AC363" s="2">
        <v>3544</v>
      </c>
      <c r="AD363" s="2">
        <v>3546</v>
      </c>
      <c r="AE363" s="2">
        <v>2976</v>
      </c>
      <c r="AF363" s="2">
        <v>0</v>
      </c>
      <c r="AG363" s="2">
        <v>0</v>
      </c>
      <c r="AH363" s="2"/>
      <c r="AI363" s="2">
        <v>-21450</v>
      </c>
      <c r="AJ363" s="2">
        <v>-4193</v>
      </c>
      <c r="AK363" s="2">
        <v>-4191</v>
      </c>
      <c r="AL363" s="2">
        <v>0</v>
      </c>
      <c r="AM363" s="2">
        <v>-4193</v>
      </c>
    </row>
    <row r="364" spans="1:39">
      <c r="A364" s="351">
        <v>93527</v>
      </c>
      <c r="B364" s="344" t="s">
        <v>1058</v>
      </c>
      <c r="C364" s="360">
        <v>8.8999999999999995E-6</v>
      </c>
      <c r="E364" s="2">
        <v>7619</v>
      </c>
      <c r="F364" s="2">
        <v>6699</v>
      </c>
      <c r="G364" s="2">
        <v>3939</v>
      </c>
      <c r="H364" s="2">
        <v>1325</v>
      </c>
      <c r="I364" s="2">
        <v>0</v>
      </c>
      <c r="J364" s="2"/>
      <c r="K364" s="2">
        <v>1650</v>
      </c>
      <c r="L364" s="2">
        <v>1520</v>
      </c>
      <c r="M364" s="2">
        <v>846</v>
      </c>
      <c r="N364" s="2">
        <v>0</v>
      </c>
      <c r="O364" s="2">
        <v>0</v>
      </c>
      <c r="P364" s="2"/>
      <c r="Q364" s="2">
        <v>107</v>
      </c>
      <c r="R364" s="2">
        <v>1496</v>
      </c>
      <c r="S364" s="2">
        <v>1548</v>
      </c>
      <c r="T364" s="2">
        <v>1325</v>
      </c>
      <c r="U364" s="2">
        <v>0</v>
      </c>
      <c r="V364" s="2"/>
      <c r="W364" s="2">
        <v>1306</v>
      </c>
      <c r="X364" s="2">
        <v>1060</v>
      </c>
      <c r="Y364" s="2">
        <v>0</v>
      </c>
      <c r="Z364" s="2">
        <v>0</v>
      </c>
      <c r="AA364" s="2">
        <v>0</v>
      </c>
      <c r="AB364" s="2"/>
      <c r="AC364" s="2">
        <v>4556</v>
      </c>
      <c r="AD364" s="2">
        <v>2623</v>
      </c>
      <c r="AE364" s="2">
        <v>1545</v>
      </c>
      <c r="AF364" s="2">
        <v>0</v>
      </c>
      <c r="AG364" s="2">
        <v>0</v>
      </c>
      <c r="AH364" s="2"/>
      <c r="AI364" s="2">
        <v>0</v>
      </c>
      <c r="AJ364" s="2">
        <v>0</v>
      </c>
      <c r="AK364" s="2">
        <v>0</v>
      </c>
      <c r="AL364" s="2">
        <v>0</v>
      </c>
      <c r="AM364" s="2">
        <v>0</v>
      </c>
    </row>
    <row r="365" spans="1:39">
      <c r="A365" s="351">
        <v>93531</v>
      </c>
      <c r="B365" s="344" t="s">
        <v>1059</v>
      </c>
      <c r="C365" s="360">
        <v>2.4899999999999999E-5</v>
      </c>
      <c r="E365" s="2">
        <v>10163</v>
      </c>
      <c r="F365" s="2">
        <v>13406</v>
      </c>
      <c r="G365" s="2">
        <v>6893</v>
      </c>
      <c r="H365" s="2">
        <v>3706</v>
      </c>
      <c r="I365" s="2">
        <v>0</v>
      </c>
      <c r="J365" s="2"/>
      <c r="K365" s="2">
        <v>4617</v>
      </c>
      <c r="L365" s="2">
        <v>4253</v>
      </c>
      <c r="M365" s="2">
        <v>2367</v>
      </c>
      <c r="N365" s="2">
        <v>0</v>
      </c>
      <c r="O365" s="2">
        <v>0</v>
      </c>
      <c r="P365" s="2"/>
      <c r="Q365" s="2">
        <v>299</v>
      </c>
      <c r="R365" s="2">
        <v>4186</v>
      </c>
      <c r="S365" s="2">
        <v>4331</v>
      </c>
      <c r="T365" s="2">
        <v>3706</v>
      </c>
      <c r="U365" s="2">
        <v>0</v>
      </c>
      <c r="V365" s="2"/>
      <c r="W365" s="2">
        <v>3655</v>
      </c>
      <c r="X365" s="2">
        <v>2967</v>
      </c>
      <c r="Y365" s="2">
        <v>0</v>
      </c>
      <c r="Z365" s="2">
        <v>0</v>
      </c>
      <c r="AA365" s="2">
        <v>0</v>
      </c>
      <c r="AB365" s="2"/>
      <c r="AC365" s="2">
        <v>3529</v>
      </c>
      <c r="AD365" s="2">
        <v>3529</v>
      </c>
      <c r="AE365" s="2">
        <v>1726</v>
      </c>
      <c r="AF365" s="2">
        <v>0</v>
      </c>
      <c r="AG365" s="2">
        <v>0</v>
      </c>
      <c r="AH365" s="2"/>
      <c r="AI365" s="2">
        <v>-1937</v>
      </c>
      <c r="AJ365" s="2">
        <v>-1529</v>
      </c>
      <c r="AK365" s="2">
        <v>-1531</v>
      </c>
      <c r="AL365" s="2">
        <v>0</v>
      </c>
      <c r="AM365" s="2">
        <v>-1529</v>
      </c>
    </row>
    <row r="366" spans="1:39">
      <c r="A366" s="351">
        <v>93537</v>
      </c>
      <c r="B366" s="344" t="s">
        <v>1060</v>
      </c>
      <c r="C366" s="360">
        <v>1.04E-5</v>
      </c>
      <c r="E366" s="2">
        <v>2173</v>
      </c>
      <c r="F366" s="2">
        <v>3658</v>
      </c>
      <c r="G366" s="2">
        <v>1957</v>
      </c>
      <c r="H366" s="2">
        <v>1548</v>
      </c>
      <c r="I366" s="2">
        <v>0</v>
      </c>
      <c r="J366" s="2"/>
      <c r="K366" s="2">
        <v>1928</v>
      </c>
      <c r="L366" s="2">
        <v>1776</v>
      </c>
      <c r="M366" s="2">
        <v>989</v>
      </c>
      <c r="N366" s="2">
        <v>0</v>
      </c>
      <c r="O366" s="2">
        <v>0</v>
      </c>
      <c r="P366" s="2"/>
      <c r="Q366" s="2">
        <v>125</v>
      </c>
      <c r="R366" s="2">
        <v>1748</v>
      </c>
      <c r="S366" s="2">
        <v>1809</v>
      </c>
      <c r="T366" s="2">
        <v>1548</v>
      </c>
      <c r="U366" s="2">
        <v>0</v>
      </c>
      <c r="V366" s="2"/>
      <c r="W366" s="2">
        <v>1526</v>
      </c>
      <c r="X366" s="2">
        <v>1239</v>
      </c>
      <c r="Y366" s="2">
        <v>0</v>
      </c>
      <c r="Z366" s="2">
        <v>0</v>
      </c>
      <c r="AA366" s="2">
        <v>0</v>
      </c>
      <c r="AB366" s="2"/>
      <c r="AC366" s="2">
        <v>0</v>
      </c>
      <c r="AD366" s="2">
        <v>0</v>
      </c>
      <c r="AE366" s="2">
        <v>0</v>
      </c>
      <c r="AF366" s="2">
        <v>0</v>
      </c>
      <c r="AG366" s="2">
        <v>0</v>
      </c>
      <c r="AH366" s="2"/>
      <c r="AI366" s="2">
        <v>-1406</v>
      </c>
      <c r="AJ366" s="2">
        <v>-1105</v>
      </c>
      <c r="AK366" s="2">
        <v>-841</v>
      </c>
      <c r="AL366" s="2">
        <v>0</v>
      </c>
      <c r="AM366" s="2">
        <v>-1105</v>
      </c>
    </row>
    <row r="367" spans="1:39">
      <c r="A367" s="351">
        <v>93541</v>
      </c>
      <c r="B367" s="344" t="s">
        <v>1061</v>
      </c>
      <c r="C367" s="360">
        <v>1.6339999999999999E-4</v>
      </c>
      <c r="E367" s="2">
        <v>81791</v>
      </c>
      <c r="F367" s="2">
        <v>100318</v>
      </c>
      <c r="G367" s="2">
        <v>70607</v>
      </c>
      <c r="H367" s="2">
        <v>24318</v>
      </c>
      <c r="I367" s="2">
        <v>0</v>
      </c>
      <c r="J367" s="2"/>
      <c r="K367" s="2">
        <v>30296</v>
      </c>
      <c r="L367" s="2">
        <v>27908</v>
      </c>
      <c r="M367" s="2">
        <v>15532</v>
      </c>
      <c r="N367" s="2">
        <v>0</v>
      </c>
      <c r="O367" s="2">
        <v>0</v>
      </c>
      <c r="P367" s="2"/>
      <c r="Q367" s="2">
        <v>1964</v>
      </c>
      <c r="R367" s="2">
        <v>27468</v>
      </c>
      <c r="S367" s="2">
        <v>28418</v>
      </c>
      <c r="T367" s="2">
        <v>24318</v>
      </c>
      <c r="U367" s="2">
        <v>0</v>
      </c>
      <c r="V367" s="2"/>
      <c r="W367" s="2">
        <v>23983</v>
      </c>
      <c r="X367" s="2">
        <v>19470</v>
      </c>
      <c r="Y367" s="2">
        <v>0</v>
      </c>
      <c r="Z367" s="2">
        <v>0</v>
      </c>
      <c r="AA367" s="2">
        <v>0</v>
      </c>
      <c r="AB367" s="2"/>
      <c r="AC367" s="2">
        <v>26732</v>
      </c>
      <c r="AD367" s="2">
        <v>26658</v>
      </c>
      <c r="AE367" s="2">
        <v>26657</v>
      </c>
      <c r="AF367" s="2">
        <v>0</v>
      </c>
      <c r="AG367" s="2">
        <v>0</v>
      </c>
      <c r="AH367" s="2"/>
      <c r="AI367" s="2">
        <v>-1184</v>
      </c>
      <c r="AJ367" s="2">
        <v>-1186</v>
      </c>
      <c r="AK367" s="2">
        <v>0</v>
      </c>
      <c r="AL367" s="2">
        <v>0</v>
      </c>
      <c r="AM367" s="2">
        <v>-1186</v>
      </c>
    </row>
    <row r="368" spans="1:39">
      <c r="A368" s="351">
        <v>93601</v>
      </c>
      <c r="B368" s="344" t="s">
        <v>1062</v>
      </c>
      <c r="C368" s="360">
        <v>1.0955299999999999E-2</v>
      </c>
      <c r="E368" s="2">
        <v>3791944</v>
      </c>
      <c r="F368" s="2">
        <v>5086129</v>
      </c>
      <c r="G368" s="2">
        <v>2917734</v>
      </c>
      <c r="H368" s="2">
        <v>1630390</v>
      </c>
      <c r="I368" s="2">
        <v>0</v>
      </c>
      <c r="J368" s="2"/>
      <c r="K368" s="2">
        <v>2031211</v>
      </c>
      <c r="L368" s="2">
        <v>1871100</v>
      </c>
      <c r="M368" s="2">
        <v>1041389</v>
      </c>
      <c r="N368" s="2">
        <v>0</v>
      </c>
      <c r="O368" s="2">
        <v>0</v>
      </c>
      <c r="P368" s="2"/>
      <c r="Q368" s="2">
        <v>131672</v>
      </c>
      <c r="R368" s="2">
        <v>1841641</v>
      </c>
      <c r="S368" s="2">
        <v>1905324</v>
      </c>
      <c r="T368" s="2">
        <v>1630390</v>
      </c>
      <c r="U368" s="2">
        <v>0</v>
      </c>
      <c r="V368" s="2"/>
      <c r="W368" s="2">
        <v>1607975</v>
      </c>
      <c r="X368" s="2">
        <v>1305401</v>
      </c>
      <c r="Y368" s="2">
        <v>0</v>
      </c>
      <c r="Z368" s="2">
        <v>0</v>
      </c>
      <c r="AA368" s="2">
        <v>0</v>
      </c>
      <c r="AB368" s="2"/>
      <c r="AC368" s="2">
        <v>124951</v>
      </c>
      <c r="AD368" s="2">
        <v>124950</v>
      </c>
      <c r="AE368" s="2">
        <v>27983</v>
      </c>
      <c r="AF368" s="2">
        <v>0</v>
      </c>
      <c r="AG368" s="2">
        <v>0</v>
      </c>
      <c r="AH368" s="2"/>
      <c r="AI368" s="2">
        <v>-103865</v>
      </c>
      <c r="AJ368" s="2">
        <v>-56963</v>
      </c>
      <c r="AK368" s="2">
        <v>-56962</v>
      </c>
      <c r="AL368" s="2">
        <v>0</v>
      </c>
      <c r="AM368" s="2">
        <v>-56963</v>
      </c>
    </row>
    <row r="369" spans="1:39">
      <c r="A369" s="351">
        <v>93602</v>
      </c>
      <c r="B369" s="344" t="s">
        <v>1063</v>
      </c>
      <c r="C369" s="360">
        <v>1.5779999999999999E-4</v>
      </c>
      <c r="E369" s="2">
        <v>51895</v>
      </c>
      <c r="F369" s="2">
        <v>68958</v>
      </c>
      <c r="G369" s="2">
        <v>37349</v>
      </c>
      <c r="H369" s="2">
        <v>23484</v>
      </c>
      <c r="I369" s="2">
        <v>0</v>
      </c>
      <c r="J369" s="2"/>
      <c r="K369" s="2">
        <v>29258</v>
      </c>
      <c r="L369" s="2">
        <v>26951</v>
      </c>
      <c r="M369" s="2">
        <v>15000</v>
      </c>
      <c r="N369" s="2">
        <v>0</v>
      </c>
      <c r="O369" s="2">
        <v>0</v>
      </c>
      <c r="P369" s="2"/>
      <c r="Q369" s="2">
        <v>1897</v>
      </c>
      <c r="R369" s="2">
        <v>26527</v>
      </c>
      <c r="S369" s="2">
        <v>27444</v>
      </c>
      <c r="T369" s="2">
        <v>23484</v>
      </c>
      <c r="U369" s="2">
        <v>0</v>
      </c>
      <c r="V369" s="2"/>
      <c r="W369" s="2">
        <v>23161</v>
      </c>
      <c r="X369" s="2">
        <v>18803</v>
      </c>
      <c r="Y369" s="2">
        <v>0</v>
      </c>
      <c r="Z369" s="2">
        <v>0</v>
      </c>
      <c r="AA369" s="2">
        <v>0</v>
      </c>
      <c r="AB369" s="2"/>
      <c r="AC369" s="2">
        <v>5954</v>
      </c>
      <c r="AD369" s="2">
        <v>5052</v>
      </c>
      <c r="AE369" s="2">
        <v>3279</v>
      </c>
      <c r="AF369" s="2">
        <v>0</v>
      </c>
      <c r="AG369" s="2">
        <v>0</v>
      </c>
      <c r="AH369" s="2"/>
      <c r="AI369" s="2">
        <v>-8375</v>
      </c>
      <c r="AJ369" s="2">
        <v>-8375</v>
      </c>
      <c r="AK369" s="2">
        <v>-8374</v>
      </c>
      <c r="AL369" s="2">
        <v>0</v>
      </c>
      <c r="AM369" s="2">
        <v>-8375</v>
      </c>
    </row>
    <row r="370" spans="1:39">
      <c r="A370" s="351">
        <v>93604</v>
      </c>
      <c r="B370" s="344" t="s">
        <v>1932</v>
      </c>
      <c r="C370" s="360">
        <v>1.31E-5</v>
      </c>
      <c r="E370" s="2">
        <v>6677</v>
      </c>
      <c r="F370" s="2">
        <v>8170</v>
      </c>
      <c r="G370" s="2">
        <v>793</v>
      </c>
      <c r="H370" s="2">
        <v>1950</v>
      </c>
      <c r="I370" s="2">
        <v>0</v>
      </c>
      <c r="J370" s="2"/>
      <c r="K370" s="2">
        <v>2429</v>
      </c>
      <c r="L370" s="2">
        <v>2237</v>
      </c>
      <c r="M370" s="2">
        <v>1245</v>
      </c>
      <c r="N370" s="2">
        <v>0</v>
      </c>
      <c r="O370" s="2">
        <v>0</v>
      </c>
      <c r="P370" s="2"/>
      <c r="Q370" s="2">
        <v>157</v>
      </c>
      <c r="R370" s="2">
        <v>2202</v>
      </c>
      <c r="S370" s="2">
        <v>2278</v>
      </c>
      <c r="T370" s="2">
        <v>1950</v>
      </c>
      <c r="U370" s="2">
        <v>0</v>
      </c>
      <c r="V370" s="2"/>
      <c r="W370" s="2">
        <v>1923</v>
      </c>
      <c r="X370" s="2">
        <v>1561</v>
      </c>
      <c r="Y370" s="2">
        <v>0</v>
      </c>
      <c r="Z370" s="2">
        <v>0</v>
      </c>
      <c r="AA370" s="2">
        <v>0</v>
      </c>
      <c r="AB370" s="2"/>
      <c r="AC370" s="2">
        <v>6718</v>
      </c>
      <c r="AD370" s="2">
        <v>6720</v>
      </c>
      <c r="AE370" s="2">
        <v>1819</v>
      </c>
      <c r="AF370" s="2">
        <v>0</v>
      </c>
      <c r="AG370" s="2">
        <v>0</v>
      </c>
      <c r="AH370" s="2"/>
      <c r="AI370" s="2">
        <v>-4550</v>
      </c>
      <c r="AJ370" s="2">
        <v>-4550</v>
      </c>
      <c r="AK370" s="2">
        <v>-4549</v>
      </c>
      <c r="AL370" s="2">
        <v>0</v>
      </c>
      <c r="AM370" s="2">
        <v>-4550</v>
      </c>
    </row>
    <row r="371" spans="1:39">
      <c r="A371" s="351">
        <v>93609</v>
      </c>
      <c r="B371" s="344" t="s">
        <v>1064</v>
      </c>
      <c r="C371" s="360">
        <v>3.6703E-3</v>
      </c>
      <c r="E371" s="2">
        <v>1310896</v>
      </c>
      <c r="F371" s="2">
        <v>1607134</v>
      </c>
      <c r="G371" s="2">
        <v>903850</v>
      </c>
      <c r="H371" s="2">
        <v>546221</v>
      </c>
      <c r="I371" s="2">
        <v>0</v>
      </c>
      <c r="J371" s="2"/>
      <c r="K371" s="2">
        <v>680507</v>
      </c>
      <c r="L371" s="2">
        <v>626865</v>
      </c>
      <c r="M371" s="2">
        <v>348891</v>
      </c>
      <c r="N371" s="2">
        <v>0</v>
      </c>
      <c r="O371" s="2">
        <v>0</v>
      </c>
      <c r="P371" s="2"/>
      <c r="Q371" s="2">
        <v>44113</v>
      </c>
      <c r="R371" s="2">
        <v>616996</v>
      </c>
      <c r="S371" s="2">
        <v>638331</v>
      </c>
      <c r="T371" s="2">
        <v>546221</v>
      </c>
      <c r="U371" s="2">
        <v>0</v>
      </c>
      <c r="V371" s="2"/>
      <c r="W371" s="2">
        <v>538712</v>
      </c>
      <c r="X371" s="2">
        <v>437342</v>
      </c>
      <c r="Y371" s="2">
        <v>0</v>
      </c>
      <c r="Z371" s="2">
        <v>0</v>
      </c>
      <c r="AA371" s="2">
        <v>0</v>
      </c>
      <c r="AB371" s="2"/>
      <c r="AC371" s="2">
        <v>130936</v>
      </c>
      <c r="AD371" s="2">
        <v>9303</v>
      </c>
      <c r="AE371" s="2">
        <v>0</v>
      </c>
      <c r="AF371" s="2">
        <v>0</v>
      </c>
      <c r="AG371" s="2">
        <v>0</v>
      </c>
      <c r="AH371" s="2"/>
      <c r="AI371" s="2">
        <v>-83372</v>
      </c>
      <c r="AJ371" s="2">
        <v>-83372</v>
      </c>
      <c r="AK371" s="2">
        <v>-83372</v>
      </c>
      <c r="AL371" s="2">
        <v>0</v>
      </c>
      <c r="AM371" s="2">
        <v>-83372</v>
      </c>
    </row>
    <row r="372" spans="1:39">
      <c r="A372" s="351">
        <v>93610</v>
      </c>
      <c r="B372" s="344" t="s">
        <v>1065</v>
      </c>
      <c r="C372" s="360">
        <v>1.63E-5</v>
      </c>
      <c r="E372" s="2">
        <v>6373</v>
      </c>
      <c r="F372" s="2">
        <v>7142</v>
      </c>
      <c r="G372" s="2">
        <v>3892</v>
      </c>
      <c r="H372" s="2">
        <v>2426</v>
      </c>
      <c r="I372" s="2">
        <v>0</v>
      </c>
      <c r="J372" s="2"/>
      <c r="K372" s="2">
        <v>3022</v>
      </c>
      <c r="L372" s="2">
        <v>2784</v>
      </c>
      <c r="M372" s="2">
        <v>1549</v>
      </c>
      <c r="N372" s="2">
        <v>0</v>
      </c>
      <c r="O372" s="2">
        <v>0</v>
      </c>
      <c r="P372" s="2"/>
      <c r="Q372" s="2">
        <v>196</v>
      </c>
      <c r="R372" s="2">
        <v>2740</v>
      </c>
      <c r="S372" s="2">
        <v>2835</v>
      </c>
      <c r="T372" s="2">
        <v>2426</v>
      </c>
      <c r="U372" s="2">
        <v>0</v>
      </c>
      <c r="V372" s="2"/>
      <c r="W372" s="2">
        <v>2392</v>
      </c>
      <c r="X372" s="2">
        <v>1942</v>
      </c>
      <c r="Y372" s="2">
        <v>0</v>
      </c>
      <c r="Z372" s="2">
        <v>0</v>
      </c>
      <c r="AA372" s="2">
        <v>0</v>
      </c>
      <c r="AB372" s="2"/>
      <c r="AC372" s="2">
        <v>1255</v>
      </c>
      <c r="AD372" s="2">
        <v>168</v>
      </c>
      <c r="AE372" s="2">
        <v>0</v>
      </c>
      <c r="AF372" s="2">
        <v>0</v>
      </c>
      <c r="AG372" s="2">
        <v>0</v>
      </c>
      <c r="AH372" s="2"/>
      <c r="AI372" s="2">
        <v>-492</v>
      </c>
      <c r="AJ372" s="2">
        <v>-492</v>
      </c>
      <c r="AK372" s="2">
        <v>-492</v>
      </c>
      <c r="AL372" s="2">
        <v>0</v>
      </c>
      <c r="AM372" s="2">
        <v>-492</v>
      </c>
    </row>
    <row r="373" spans="1:39">
      <c r="A373" s="351">
        <v>93611</v>
      </c>
      <c r="B373" s="344" t="s">
        <v>1066</v>
      </c>
      <c r="C373" s="360">
        <v>6.7793000000000003E-3</v>
      </c>
      <c r="E373" s="2">
        <v>2295018</v>
      </c>
      <c r="F373" s="2">
        <v>3051566</v>
      </c>
      <c r="G373" s="2">
        <v>1778317</v>
      </c>
      <c r="H373" s="2">
        <v>1008909</v>
      </c>
      <c r="I373" s="2">
        <v>0</v>
      </c>
      <c r="J373" s="2"/>
      <c r="K373" s="2">
        <v>1256943</v>
      </c>
      <c r="L373" s="2">
        <v>1157864</v>
      </c>
      <c r="M373" s="2">
        <v>644427</v>
      </c>
      <c r="N373" s="2">
        <v>0</v>
      </c>
      <c r="O373" s="2">
        <v>0</v>
      </c>
      <c r="P373" s="2"/>
      <c r="Q373" s="2">
        <v>81480</v>
      </c>
      <c r="R373" s="2">
        <v>1139634</v>
      </c>
      <c r="S373" s="2">
        <v>1179042</v>
      </c>
      <c r="T373" s="2">
        <v>1008909</v>
      </c>
      <c r="U373" s="2">
        <v>0</v>
      </c>
      <c r="V373" s="2"/>
      <c r="W373" s="2">
        <v>995039</v>
      </c>
      <c r="X373" s="2">
        <v>807801</v>
      </c>
      <c r="Y373" s="2">
        <v>0</v>
      </c>
      <c r="Z373" s="2">
        <v>0</v>
      </c>
      <c r="AA373" s="2">
        <v>0</v>
      </c>
      <c r="AB373" s="2"/>
      <c r="AC373" s="2">
        <v>15287</v>
      </c>
      <c r="AD373" s="2">
        <v>0</v>
      </c>
      <c r="AE373" s="2">
        <v>0</v>
      </c>
      <c r="AF373" s="2">
        <v>0</v>
      </c>
      <c r="AG373" s="2">
        <v>0</v>
      </c>
      <c r="AH373" s="2"/>
      <c r="AI373" s="2">
        <v>-53731</v>
      </c>
      <c r="AJ373" s="2">
        <v>-53733</v>
      </c>
      <c r="AK373" s="2">
        <v>-45152</v>
      </c>
      <c r="AL373" s="2">
        <v>0</v>
      </c>
      <c r="AM373" s="2">
        <v>-53733</v>
      </c>
    </row>
    <row r="374" spans="1:39">
      <c r="A374" s="351">
        <v>93617</v>
      </c>
      <c r="B374" s="344" t="s">
        <v>1067</v>
      </c>
      <c r="C374" s="360">
        <v>7.64E-5</v>
      </c>
      <c r="E374" s="2">
        <v>35297</v>
      </c>
      <c r="F374" s="2">
        <v>43824</v>
      </c>
      <c r="G374" s="2">
        <v>26316</v>
      </c>
      <c r="H374" s="2">
        <v>11370</v>
      </c>
      <c r="I374" s="2">
        <v>0</v>
      </c>
      <c r="J374" s="2"/>
      <c r="K374" s="2">
        <v>14165</v>
      </c>
      <c r="L374" s="2">
        <v>13049</v>
      </c>
      <c r="M374" s="2">
        <v>7262</v>
      </c>
      <c r="N374" s="2">
        <v>0</v>
      </c>
      <c r="O374" s="2">
        <v>0</v>
      </c>
      <c r="P374" s="2"/>
      <c r="Q374" s="2">
        <v>918</v>
      </c>
      <c r="R374" s="2">
        <v>12843</v>
      </c>
      <c r="S374" s="2">
        <v>13287</v>
      </c>
      <c r="T374" s="2">
        <v>11370</v>
      </c>
      <c r="U374" s="2">
        <v>0</v>
      </c>
      <c r="V374" s="2"/>
      <c r="W374" s="2">
        <v>11214</v>
      </c>
      <c r="X374" s="2">
        <v>9104</v>
      </c>
      <c r="Y374" s="2">
        <v>0</v>
      </c>
      <c r="Z374" s="2">
        <v>0</v>
      </c>
      <c r="AA374" s="2">
        <v>0</v>
      </c>
      <c r="AB374" s="2"/>
      <c r="AC374" s="2">
        <v>9000</v>
      </c>
      <c r="AD374" s="2">
        <v>8828</v>
      </c>
      <c r="AE374" s="2">
        <v>5767</v>
      </c>
      <c r="AF374" s="2">
        <v>0</v>
      </c>
      <c r="AG374" s="2">
        <v>0</v>
      </c>
      <c r="AH374" s="2"/>
      <c r="AI374" s="2">
        <v>0</v>
      </c>
      <c r="AJ374" s="2">
        <v>0</v>
      </c>
      <c r="AK374" s="2">
        <v>0</v>
      </c>
      <c r="AL374" s="2">
        <v>0</v>
      </c>
      <c r="AM374" s="2">
        <v>0</v>
      </c>
    </row>
    <row r="375" spans="1:39">
      <c r="A375" s="351">
        <v>93618</v>
      </c>
      <c r="B375" s="344" t="s">
        <v>3674</v>
      </c>
      <c r="C375" s="360">
        <v>8.3000000000000002E-6</v>
      </c>
      <c r="E375" s="2">
        <v>16048</v>
      </c>
      <c r="F375" s="2">
        <v>13318</v>
      </c>
      <c r="G375" s="2">
        <v>7890</v>
      </c>
      <c r="H375" s="2">
        <v>1235</v>
      </c>
      <c r="I375" s="2">
        <v>0</v>
      </c>
      <c r="J375" s="2"/>
      <c r="K375" s="2">
        <v>1539</v>
      </c>
      <c r="L375" s="2">
        <v>1418</v>
      </c>
      <c r="M375" s="2">
        <v>789</v>
      </c>
      <c r="N375" s="2">
        <v>0</v>
      </c>
      <c r="O375" s="2">
        <v>0</v>
      </c>
      <c r="P375" s="2"/>
      <c r="Q375" s="2">
        <v>100</v>
      </c>
      <c r="R375" s="2">
        <v>1395</v>
      </c>
      <c r="S375" s="2">
        <v>1444</v>
      </c>
      <c r="T375" s="2">
        <v>1235</v>
      </c>
      <c r="U375" s="2">
        <v>0</v>
      </c>
      <c r="V375" s="2"/>
      <c r="W375" s="2">
        <v>1218</v>
      </c>
      <c r="X375" s="2">
        <v>989</v>
      </c>
      <c r="Y375" s="2">
        <v>0</v>
      </c>
      <c r="Z375" s="2">
        <v>0</v>
      </c>
      <c r="AA375" s="2">
        <v>0</v>
      </c>
      <c r="AB375" s="2"/>
      <c r="AC375" s="2">
        <v>13191</v>
      </c>
      <c r="AD375" s="2">
        <v>9516</v>
      </c>
      <c r="AE375" s="2">
        <v>5657</v>
      </c>
      <c r="AF375" s="2">
        <v>0</v>
      </c>
      <c r="AG375" s="2">
        <v>0</v>
      </c>
      <c r="AH375" s="2"/>
      <c r="AI375" s="2">
        <v>0</v>
      </c>
      <c r="AJ375" s="2">
        <v>0</v>
      </c>
      <c r="AK375" s="2">
        <v>0</v>
      </c>
      <c r="AL375" s="2">
        <v>0</v>
      </c>
      <c r="AM375" s="2">
        <v>0</v>
      </c>
    </row>
    <row r="376" spans="1:39">
      <c r="A376" s="351">
        <v>93621</v>
      </c>
      <c r="B376" s="344" t="s">
        <v>1069</v>
      </c>
      <c r="C376" s="360">
        <v>1.1447E-3</v>
      </c>
      <c r="E376" s="2">
        <v>433772</v>
      </c>
      <c r="F376" s="2">
        <v>552025</v>
      </c>
      <c r="G376" s="2">
        <v>331869</v>
      </c>
      <c r="H376" s="2">
        <v>170357</v>
      </c>
      <c r="I376" s="2">
        <v>0</v>
      </c>
      <c r="J376" s="2"/>
      <c r="K376" s="2">
        <v>212238</v>
      </c>
      <c r="L376" s="2">
        <v>195508</v>
      </c>
      <c r="M376" s="2">
        <v>108813</v>
      </c>
      <c r="N376" s="2">
        <v>0</v>
      </c>
      <c r="O376" s="2">
        <v>0</v>
      </c>
      <c r="P376" s="2"/>
      <c r="Q376" s="2">
        <v>13758</v>
      </c>
      <c r="R376" s="2">
        <v>192430</v>
      </c>
      <c r="S376" s="2">
        <v>199084</v>
      </c>
      <c r="T376" s="2">
        <v>170357</v>
      </c>
      <c r="U376" s="2">
        <v>0</v>
      </c>
      <c r="V376" s="2"/>
      <c r="W376" s="2">
        <v>168014</v>
      </c>
      <c r="X376" s="2">
        <v>136399</v>
      </c>
      <c r="Y376" s="2">
        <v>0</v>
      </c>
      <c r="Z376" s="2">
        <v>0</v>
      </c>
      <c r="AA376" s="2">
        <v>0</v>
      </c>
      <c r="AB376" s="2"/>
      <c r="AC376" s="2">
        <v>41436</v>
      </c>
      <c r="AD376" s="2">
        <v>29362</v>
      </c>
      <c r="AE376" s="2">
        <v>25648</v>
      </c>
      <c r="AF376" s="2">
        <v>0</v>
      </c>
      <c r="AG376" s="2">
        <v>0</v>
      </c>
      <c r="AH376" s="2"/>
      <c r="AI376" s="2">
        <v>-1674</v>
      </c>
      <c r="AJ376" s="2">
        <v>-1674</v>
      </c>
      <c r="AK376" s="2">
        <v>-1676</v>
      </c>
      <c r="AL376" s="2">
        <v>0</v>
      </c>
      <c r="AM376" s="2">
        <v>-1674</v>
      </c>
    </row>
    <row r="377" spans="1:39">
      <c r="A377" s="351">
        <v>93623</v>
      </c>
      <c r="B377" s="344" t="s">
        <v>1070</v>
      </c>
      <c r="C377" s="360">
        <v>1.17E-5</v>
      </c>
      <c r="E377" s="2">
        <v>5585</v>
      </c>
      <c r="F377" s="2">
        <v>6297</v>
      </c>
      <c r="G377" s="2">
        <v>3728</v>
      </c>
      <c r="H377" s="2">
        <v>1741</v>
      </c>
      <c r="I377" s="2">
        <v>0</v>
      </c>
      <c r="J377" s="2"/>
      <c r="K377" s="2">
        <v>2169</v>
      </c>
      <c r="L377" s="2">
        <v>1998</v>
      </c>
      <c r="M377" s="2">
        <v>1112</v>
      </c>
      <c r="N377" s="2">
        <v>0</v>
      </c>
      <c r="O377" s="2">
        <v>0</v>
      </c>
      <c r="P377" s="2"/>
      <c r="Q377" s="2">
        <v>141</v>
      </c>
      <c r="R377" s="2">
        <v>1967</v>
      </c>
      <c r="S377" s="2">
        <v>2035</v>
      </c>
      <c r="T377" s="2">
        <v>1741</v>
      </c>
      <c r="U377" s="2">
        <v>0</v>
      </c>
      <c r="V377" s="2"/>
      <c r="W377" s="2">
        <v>1717</v>
      </c>
      <c r="X377" s="2">
        <v>1394</v>
      </c>
      <c r="Y377" s="2">
        <v>0</v>
      </c>
      <c r="Z377" s="2">
        <v>0</v>
      </c>
      <c r="AA377" s="2">
        <v>0</v>
      </c>
      <c r="AB377" s="2"/>
      <c r="AC377" s="2">
        <v>1558</v>
      </c>
      <c r="AD377" s="2">
        <v>938</v>
      </c>
      <c r="AE377" s="2">
        <v>581</v>
      </c>
      <c r="AF377" s="2">
        <v>0</v>
      </c>
      <c r="AG377" s="2">
        <v>0</v>
      </c>
      <c r="AH377" s="2"/>
      <c r="AI377" s="2">
        <v>0</v>
      </c>
      <c r="AJ377" s="2">
        <v>0</v>
      </c>
      <c r="AK377" s="2">
        <v>0</v>
      </c>
      <c r="AL377" s="2">
        <v>0</v>
      </c>
      <c r="AM377" s="2">
        <v>0</v>
      </c>
    </row>
    <row r="378" spans="1:39">
      <c r="A378" s="351">
        <v>93631</v>
      </c>
      <c r="B378" s="344" t="s">
        <v>1071</v>
      </c>
      <c r="C378" s="360">
        <v>2.8699999999999998E-4</v>
      </c>
      <c r="E378" s="2">
        <v>109342</v>
      </c>
      <c r="F378" s="2">
        <v>144139</v>
      </c>
      <c r="G378" s="2">
        <v>90921</v>
      </c>
      <c r="H378" s="2">
        <v>42712</v>
      </c>
      <c r="I378" s="2">
        <v>0</v>
      </c>
      <c r="J378" s="2"/>
      <c r="K378" s="2">
        <v>53212</v>
      </c>
      <c r="L378" s="2">
        <v>49018</v>
      </c>
      <c r="M378" s="2">
        <v>27282</v>
      </c>
      <c r="N378" s="2">
        <v>0</v>
      </c>
      <c r="O378" s="2">
        <v>0</v>
      </c>
      <c r="P378" s="2"/>
      <c r="Q378" s="2">
        <v>3449</v>
      </c>
      <c r="R378" s="2">
        <v>48246</v>
      </c>
      <c r="S378" s="2">
        <v>49914</v>
      </c>
      <c r="T378" s="2">
        <v>42712</v>
      </c>
      <c r="U378" s="2">
        <v>0</v>
      </c>
      <c r="V378" s="2"/>
      <c r="W378" s="2">
        <v>42125</v>
      </c>
      <c r="X378" s="2">
        <v>34198</v>
      </c>
      <c r="Y378" s="2">
        <v>0</v>
      </c>
      <c r="Z378" s="2">
        <v>0</v>
      </c>
      <c r="AA378" s="2">
        <v>0</v>
      </c>
      <c r="AB378" s="2"/>
      <c r="AC378" s="2">
        <v>13727</v>
      </c>
      <c r="AD378" s="2">
        <v>13727</v>
      </c>
      <c r="AE378" s="2">
        <v>13725</v>
      </c>
      <c r="AF378" s="2">
        <v>0</v>
      </c>
      <c r="AG378" s="2">
        <v>0</v>
      </c>
      <c r="AH378" s="2"/>
      <c r="AI378" s="2">
        <v>-3171</v>
      </c>
      <c r="AJ378" s="2">
        <v>-1050</v>
      </c>
      <c r="AK378" s="2">
        <v>0</v>
      </c>
      <c r="AL378" s="2">
        <v>0</v>
      </c>
      <c r="AM378" s="2">
        <v>-1050</v>
      </c>
    </row>
    <row r="379" spans="1:39">
      <c r="A379" s="351">
        <v>93641</v>
      </c>
      <c r="B379" s="344" t="s">
        <v>1072</v>
      </c>
      <c r="C379" s="360">
        <v>3.724E-4</v>
      </c>
      <c r="E379" s="2">
        <v>139887</v>
      </c>
      <c r="F379" s="2">
        <v>185048</v>
      </c>
      <c r="G379" s="2">
        <v>115183</v>
      </c>
      <c r="H379" s="2">
        <v>55421</v>
      </c>
      <c r="I379" s="2">
        <v>0</v>
      </c>
      <c r="J379" s="2"/>
      <c r="K379" s="2">
        <v>69046</v>
      </c>
      <c r="L379" s="2">
        <v>63604</v>
      </c>
      <c r="M379" s="2">
        <v>35400</v>
      </c>
      <c r="N379" s="2">
        <v>0</v>
      </c>
      <c r="O379" s="2">
        <v>0</v>
      </c>
      <c r="P379" s="2"/>
      <c r="Q379" s="2">
        <v>4476</v>
      </c>
      <c r="R379" s="2">
        <v>62602</v>
      </c>
      <c r="S379" s="2">
        <v>64767</v>
      </c>
      <c r="T379" s="2">
        <v>55421</v>
      </c>
      <c r="U379" s="2">
        <v>0</v>
      </c>
      <c r="V379" s="2"/>
      <c r="W379" s="2">
        <v>54659</v>
      </c>
      <c r="X379" s="2">
        <v>44374</v>
      </c>
      <c r="Y379" s="2">
        <v>0</v>
      </c>
      <c r="Z379" s="2">
        <v>0</v>
      </c>
      <c r="AA379" s="2">
        <v>0</v>
      </c>
      <c r="AB379" s="2"/>
      <c r="AC379" s="2">
        <v>15013</v>
      </c>
      <c r="AD379" s="2">
        <v>15013</v>
      </c>
      <c r="AE379" s="2">
        <v>15016</v>
      </c>
      <c r="AF379" s="2">
        <v>0</v>
      </c>
      <c r="AG379" s="2">
        <v>0</v>
      </c>
      <c r="AH379" s="2"/>
      <c r="AI379" s="2">
        <v>-3307</v>
      </c>
      <c r="AJ379" s="2">
        <v>-545</v>
      </c>
      <c r="AK379" s="2">
        <v>0</v>
      </c>
      <c r="AL379" s="2">
        <v>0</v>
      </c>
      <c r="AM379" s="2">
        <v>-545</v>
      </c>
    </row>
    <row r="380" spans="1:39">
      <c r="A380" s="351">
        <v>93647</v>
      </c>
      <c r="B380" s="344" t="s">
        <v>1073</v>
      </c>
      <c r="C380" s="360">
        <v>4.6E-6</v>
      </c>
      <c r="E380" s="2">
        <v>5716</v>
      </c>
      <c r="F380" s="2">
        <v>4998</v>
      </c>
      <c r="G380" s="2">
        <v>2740</v>
      </c>
      <c r="H380" s="2">
        <v>685</v>
      </c>
      <c r="I380" s="2">
        <v>0</v>
      </c>
      <c r="J380" s="2"/>
      <c r="K380" s="2">
        <v>853</v>
      </c>
      <c r="L380" s="2">
        <v>786</v>
      </c>
      <c r="M380" s="2">
        <v>437</v>
      </c>
      <c r="N380" s="2">
        <v>0</v>
      </c>
      <c r="O380" s="2">
        <v>0</v>
      </c>
      <c r="P380" s="2"/>
      <c r="Q380" s="2">
        <v>55</v>
      </c>
      <c r="R380" s="2">
        <v>773</v>
      </c>
      <c r="S380" s="2">
        <v>800</v>
      </c>
      <c r="T380" s="2">
        <v>685</v>
      </c>
      <c r="U380" s="2">
        <v>0</v>
      </c>
      <c r="V380" s="2"/>
      <c r="W380" s="2">
        <v>675</v>
      </c>
      <c r="X380" s="2">
        <v>548</v>
      </c>
      <c r="Y380" s="2">
        <v>0</v>
      </c>
      <c r="Z380" s="2">
        <v>0</v>
      </c>
      <c r="AA380" s="2">
        <v>0</v>
      </c>
      <c r="AB380" s="2"/>
      <c r="AC380" s="2">
        <v>4133</v>
      </c>
      <c r="AD380" s="2">
        <v>2891</v>
      </c>
      <c r="AE380" s="2">
        <v>1503</v>
      </c>
      <c r="AF380" s="2">
        <v>0</v>
      </c>
      <c r="AG380" s="2">
        <v>0</v>
      </c>
      <c r="AH380" s="2"/>
      <c r="AI380" s="2">
        <v>0</v>
      </c>
      <c r="AJ380" s="2">
        <v>0</v>
      </c>
      <c r="AK380" s="2">
        <v>0</v>
      </c>
      <c r="AL380" s="2">
        <v>0</v>
      </c>
      <c r="AM380" s="2">
        <v>0</v>
      </c>
    </row>
    <row r="381" spans="1:39">
      <c r="A381" s="351">
        <v>93651</v>
      </c>
      <c r="B381" s="344" t="s">
        <v>1074</v>
      </c>
      <c r="C381" s="360">
        <v>4.4680000000000002E-4</v>
      </c>
      <c r="E381" s="2">
        <v>146616</v>
      </c>
      <c r="F381" s="2">
        <v>198865</v>
      </c>
      <c r="G381" s="2">
        <v>115431</v>
      </c>
      <c r="H381" s="2">
        <v>66494</v>
      </c>
      <c r="I381" s="2">
        <v>0</v>
      </c>
      <c r="J381" s="2"/>
      <c r="K381" s="2">
        <v>82841</v>
      </c>
      <c r="L381" s="2">
        <v>76311</v>
      </c>
      <c r="M381" s="2">
        <v>42472</v>
      </c>
      <c r="N381" s="2">
        <v>0</v>
      </c>
      <c r="O381" s="2">
        <v>0</v>
      </c>
      <c r="P381" s="2"/>
      <c r="Q381" s="2">
        <v>5370</v>
      </c>
      <c r="R381" s="2">
        <v>75109</v>
      </c>
      <c r="S381" s="2">
        <v>77707</v>
      </c>
      <c r="T381" s="2">
        <v>66494</v>
      </c>
      <c r="U381" s="2">
        <v>0</v>
      </c>
      <c r="V381" s="2"/>
      <c r="W381" s="2">
        <v>65580</v>
      </c>
      <c r="X381" s="2">
        <v>53239</v>
      </c>
      <c r="Y381" s="2">
        <v>0</v>
      </c>
      <c r="Z381" s="2">
        <v>0</v>
      </c>
      <c r="AA381" s="2">
        <v>0</v>
      </c>
      <c r="AB381" s="2"/>
      <c r="AC381" s="2">
        <v>861</v>
      </c>
      <c r="AD381" s="2">
        <v>861</v>
      </c>
      <c r="AE381" s="2">
        <v>862</v>
      </c>
      <c r="AF381" s="2">
        <v>0</v>
      </c>
      <c r="AG381" s="2">
        <v>0</v>
      </c>
      <c r="AH381" s="2"/>
      <c r="AI381" s="2">
        <v>-8036</v>
      </c>
      <c r="AJ381" s="2">
        <v>-6655</v>
      </c>
      <c r="AK381" s="2">
        <v>-5610</v>
      </c>
      <c r="AL381" s="2">
        <v>0</v>
      </c>
      <c r="AM381" s="2">
        <v>-6655</v>
      </c>
    </row>
    <row r="382" spans="1:39">
      <c r="A382" s="351">
        <v>93661</v>
      </c>
      <c r="B382" s="344" t="s">
        <v>1075</v>
      </c>
      <c r="C382" s="360">
        <v>1.4679999999999999E-4</v>
      </c>
      <c r="E382" s="2">
        <v>59092</v>
      </c>
      <c r="F382" s="2">
        <v>74917</v>
      </c>
      <c r="G382" s="2">
        <v>46055</v>
      </c>
      <c r="H382" s="2">
        <v>21847</v>
      </c>
      <c r="I382" s="2">
        <v>0</v>
      </c>
      <c r="J382" s="2"/>
      <c r="K382" s="2">
        <v>27218</v>
      </c>
      <c r="L382" s="2">
        <v>25073</v>
      </c>
      <c r="M382" s="2">
        <v>13955</v>
      </c>
      <c r="N382" s="2">
        <v>0</v>
      </c>
      <c r="O382" s="2">
        <v>0</v>
      </c>
      <c r="P382" s="2"/>
      <c r="Q382" s="2">
        <v>1764</v>
      </c>
      <c r="R382" s="2">
        <v>24678</v>
      </c>
      <c r="S382" s="2">
        <v>25531</v>
      </c>
      <c r="T382" s="2">
        <v>21847</v>
      </c>
      <c r="U382" s="2">
        <v>0</v>
      </c>
      <c r="V382" s="2"/>
      <c r="W382" s="2">
        <v>21547</v>
      </c>
      <c r="X382" s="2">
        <v>17492</v>
      </c>
      <c r="Y382" s="2">
        <v>0</v>
      </c>
      <c r="Z382" s="2">
        <v>0</v>
      </c>
      <c r="AA382" s="2">
        <v>0</v>
      </c>
      <c r="AB382" s="2"/>
      <c r="AC382" s="2">
        <v>10931</v>
      </c>
      <c r="AD382" s="2">
        <v>10042</v>
      </c>
      <c r="AE382" s="2">
        <v>8937</v>
      </c>
      <c r="AF382" s="2">
        <v>0</v>
      </c>
      <c r="AG382" s="2">
        <v>0</v>
      </c>
      <c r="AH382" s="2"/>
      <c r="AI382" s="2">
        <v>-2368</v>
      </c>
      <c r="AJ382" s="2">
        <v>-2368</v>
      </c>
      <c r="AK382" s="2">
        <v>-2368</v>
      </c>
      <c r="AL382" s="2">
        <v>0</v>
      </c>
      <c r="AM382" s="2">
        <v>-2368</v>
      </c>
    </row>
    <row r="383" spans="1:39">
      <c r="A383" s="351">
        <v>93671</v>
      </c>
      <c r="B383" s="344" t="s">
        <v>1076</v>
      </c>
      <c r="C383" s="360">
        <v>3.5520000000000001E-4</v>
      </c>
      <c r="E383" s="2">
        <v>139019</v>
      </c>
      <c r="F383" s="2">
        <v>179842</v>
      </c>
      <c r="G383" s="2">
        <v>111167</v>
      </c>
      <c r="H383" s="2">
        <v>52862</v>
      </c>
      <c r="I383" s="2">
        <v>0</v>
      </c>
      <c r="J383" s="2"/>
      <c r="K383" s="2">
        <v>65857</v>
      </c>
      <c r="L383" s="2">
        <v>60666</v>
      </c>
      <c r="M383" s="2">
        <v>33765</v>
      </c>
      <c r="N383" s="2">
        <v>0</v>
      </c>
      <c r="O383" s="2">
        <v>0</v>
      </c>
      <c r="P383" s="2"/>
      <c r="Q383" s="2">
        <v>4269</v>
      </c>
      <c r="R383" s="2">
        <v>59711</v>
      </c>
      <c r="S383" s="2">
        <v>61776</v>
      </c>
      <c r="T383" s="2">
        <v>52862</v>
      </c>
      <c r="U383" s="2">
        <v>0</v>
      </c>
      <c r="V383" s="2"/>
      <c r="W383" s="2">
        <v>52135</v>
      </c>
      <c r="X383" s="2">
        <v>42325</v>
      </c>
      <c r="Y383" s="2">
        <v>0</v>
      </c>
      <c r="Z383" s="2">
        <v>0</v>
      </c>
      <c r="AA383" s="2">
        <v>0</v>
      </c>
      <c r="AB383" s="2"/>
      <c r="AC383" s="2">
        <v>17141</v>
      </c>
      <c r="AD383" s="2">
        <v>17140</v>
      </c>
      <c r="AE383" s="2">
        <v>15626</v>
      </c>
      <c r="AF383" s="2">
        <v>0</v>
      </c>
      <c r="AG383" s="2">
        <v>0</v>
      </c>
      <c r="AH383" s="2"/>
      <c r="AI383" s="2">
        <v>-383</v>
      </c>
      <c r="AJ383" s="2">
        <v>0</v>
      </c>
      <c r="AK383" s="2">
        <v>0</v>
      </c>
      <c r="AL383" s="2">
        <v>0</v>
      </c>
      <c r="AM383" s="2">
        <v>0</v>
      </c>
    </row>
    <row r="384" spans="1:39">
      <c r="A384" s="351">
        <v>93681</v>
      </c>
      <c r="B384" s="344" t="s">
        <v>1077</v>
      </c>
      <c r="C384" s="360">
        <v>1.5789999999999999E-4</v>
      </c>
      <c r="E384" s="2">
        <v>68169</v>
      </c>
      <c r="F384" s="2">
        <v>86505</v>
      </c>
      <c r="G384" s="2">
        <v>55031</v>
      </c>
      <c r="H384" s="2">
        <v>23499</v>
      </c>
      <c r="I384" s="2">
        <v>0</v>
      </c>
      <c r="J384" s="2"/>
      <c r="K384" s="2">
        <v>29276</v>
      </c>
      <c r="L384" s="2">
        <v>26968</v>
      </c>
      <c r="M384" s="2">
        <v>15010</v>
      </c>
      <c r="N384" s="2">
        <v>0</v>
      </c>
      <c r="O384" s="2">
        <v>0</v>
      </c>
      <c r="P384" s="2"/>
      <c r="Q384" s="2">
        <v>1898</v>
      </c>
      <c r="R384" s="2">
        <v>26544</v>
      </c>
      <c r="S384" s="2">
        <v>27462</v>
      </c>
      <c r="T384" s="2">
        <v>23499</v>
      </c>
      <c r="U384" s="2">
        <v>0</v>
      </c>
      <c r="V384" s="2"/>
      <c r="W384" s="2">
        <v>23176</v>
      </c>
      <c r="X384" s="2">
        <v>18815</v>
      </c>
      <c r="Y384" s="2">
        <v>0</v>
      </c>
      <c r="Z384" s="2">
        <v>0</v>
      </c>
      <c r="AA384" s="2">
        <v>0</v>
      </c>
      <c r="AB384" s="2"/>
      <c r="AC384" s="2">
        <v>14177</v>
      </c>
      <c r="AD384" s="2">
        <v>14178</v>
      </c>
      <c r="AE384" s="2">
        <v>12559</v>
      </c>
      <c r="AF384" s="2">
        <v>0</v>
      </c>
      <c r="AG384" s="2">
        <v>0</v>
      </c>
      <c r="AH384" s="2"/>
      <c r="AI384" s="2">
        <v>-358</v>
      </c>
      <c r="AJ384" s="2">
        <v>0</v>
      </c>
      <c r="AK384" s="2">
        <v>0</v>
      </c>
      <c r="AL384" s="2">
        <v>0</v>
      </c>
      <c r="AM384" s="2">
        <v>0</v>
      </c>
    </row>
    <row r="385" spans="1:39">
      <c r="A385" s="351">
        <v>93691</v>
      </c>
      <c r="B385" s="344" t="s">
        <v>1078</v>
      </c>
      <c r="C385" s="360">
        <v>1.0933E-3</v>
      </c>
      <c r="E385" s="2">
        <v>349529</v>
      </c>
      <c r="F385" s="2">
        <v>487446</v>
      </c>
      <c r="G385" s="2">
        <v>291266</v>
      </c>
      <c r="H385" s="2">
        <v>162707</v>
      </c>
      <c r="I385" s="2">
        <v>0</v>
      </c>
      <c r="J385" s="2"/>
      <c r="K385" s="2">
        <v>202708</v>
      </c>
      <c r="L385" s="2">
        <v>186729</v>
      </c>
      <c r="M385" s="2">
        <v>103927</v>
      </c>
      <c r="N385" s="2">
        <v>0</v>
      </c>
      <c r="O385" s="2">
        <v>0</v>
      </c>
      <c r="P385" s="2"/>
      <c r="Q385" s="2">
        <v>13140</v>
      </c>
      <c r="R385" s="2">
        <v>183789</v>
      </c>
      <c r="S385" s="2">
        <v>190145</v>
      </c>
      <c r="T385" s="2">
        <v>162707</v>
      </c>
      <c r="U385" s="2">
        <v>0</v>
      </c>
      <c r="V385" s="2"/>
      <c r="W385" s="2">
        <v>160470</v>
      </c>
      <c r="X385" s="2">
        <v>130274</v>
      </c>
      <c r="Y385" s="2">
        <v>0</v>
      </c>
      <c r="Z385" s="2">
        <v>0</v>
      </c>
      <c r="AA385" s="2">
        <v>0</v>
      </c>
      <c r="AB385" s="2"/>
      <c r="AC385" s="2">
        <v>5653</v>
      </c>
      <c r="AD385" s="2">
        <v>5653</v>
      </c>
      <c r="AE385" s="2">
        <v>5651</v>
      </c>
      <c r="AF385" s="2">
        <v>0</v>
      </c>
      <c r="AG385" s="2">
        <v>0</v>
      </c>
      <c r="AH385" s="2"/>
      <c r="AI385" s="2">
        <v>-32442</v>
      </c>
      <c r="AJ385" s="2">
        <v>-18999</v>
      </c>
      <c r="AK385" s="2">
        <v>-8457</v>
      </c>
      <c r="AL385" s="2">
        <v>0</v>
      </c>
      <c r="AM385" s="2">
        <v>-18999</v>
      </c>
    </row>
    <row r="386" spans="1:39">
      <c r="A386" s="351">
        <v>93701</v>
      </c>
      <c r="B386" s="344" t="s">
        <v>1079</v>
      </c>
      <c r="C386" s="360">
        <v>4.2969999999999998E-4</v>
      </c>
      <c r="E386" s="2">
        <v>136770</v>
      </c>
      <c r="F386" s="2">
        <v>188051</v>
      </c>
      <c r="G386" s="2">
        <v>107036</v>
      </c>
      <c r="H386" s="2">
        <v>63949</v>
      </c>
      <c r="I386" s="2">
        <v>0</v>
      </c>
      <c r="J386" s="2"/>
      <c r="K386" s="2">
        <v>79670</v>
      </c>
      <c r="L386" s="2">
        <v>73390</v>
      </c>
      <c r="M386" s="2">
        <v>40846</v>
      </c>
      <c r="N386" s="2">
        <v>0</v>
      </c>
      <c r="O386" s="2">
        <v>0</v>
      </c>
      <c r="P386" s="2"/>
      <c r="Q386" s="2">
        <v>5165</v>
      </c>
      <c r="R386" s="2">
        <v>72235</v>
      </c>
      <c r="S386" s="2">
        <v>74733</v>
      </c>
      <c r="T386" s="2">
        <v>63949</v>
      </c>
      <c r="U386" s="2">
        <v>0</v>
      </c>
      <c r="V386" s="2"/>
      <c r="W386" s="2">
        <v>63070</v>
      </c>
      <c r="X386" s="2">
        <v>51202</v>
      </c>
      <c r="Y386" s="2">
        <v>0</v>
      </c>
      <c r="Z386" s="2">
        <v>0</v>
      </c>
      <c r="AA386" s="2">
        <v>0</v>
      </c>
      <c r="AB386" s="2"/>
      <c r="AC386" s="2">
        <v>0</v>
      </c>
      <c r="AD386" s="2">
        <v>0</v>
      </c>
      <c r="AE386" s="2">
        <v>0</v>
      </c>
      <c r="AF386" s="2">
        <v>0</v>
      </c>
      <c r="AG386" s="2">
        <v>0</v>
      </c>
      <c r="AH386" s="2"/>
      <c r="AI386" s="2">
        <v>-11135</v>
      </c>
      <c r="AJ386" s="2">
        <v>-8776</v>
      </c>
      <c r="AK386" s="2">
        <v>-8543</v>
      </c>
      <c r="AL386" s="2">
        <v>0</v>
      </c>
      <c r="AM386" s="2">
        <v>-8776</v>
      </c>
    </row>
    <row r="387" spans="1:39">
      <c r="A387" s="351">
        <v>93704</v>
      </c>
      <c r="B387" s="344" t="s">
        <v>1080</v>
      </c>
      <c r="C387" s="360">
        <v>1.9999999999999999E-6</v>
      </c>
      <c r="E387" s="2">
        <v>1196</v>
      </c>
      <c r="F387" s="2">
        <v>1358</v>
      </c>
      <c r="G387" s="2">
        <v>889</v>
      </c>
      <c r="H387" s="2">
        <v>298</v>
      </c>
      <c r="I387" s="2">
        <v>0</v>
      </c>
      <c r="J387" s="2"/>
      <c r="K387" s="2">
        <v>371</v>
      </c>
      <c r="L387" s="2">
        <v>342</v>
      </c>
      <c r="M387" s="2">
        <v>190</v>
      </c>
      <c r="N387" s="2">
        <v>0</v>
      </c>
      <c r="O387" s="2">
        <v>0</v>
      </c>
      <c r="P387" s="2"/>
      <c r="Q387" s="2">
        <v>24</v>
      </c>
      <c r="R387" s="2">
        <v>336</v>
      </c>
      <c r="S387" s="2">
        <v>348</v>
      </c>
      <c r="T387" s="2">
        <v>298</v>
      </c>
      <c r="U387" s="2">
        <v>0</v>
      </c>
      <c r="V387" s="2"/>
      <c r="W387" s="2">
        <v>294</v>
      </c>
      <c r="X387" s="2">
        <v>238</v>
      </c>
      <c r="Y387" s="2">
        <v>0</v>
      </c>
      <c r="Z387" s="2">
        <v>0</v>
      </c>
      <c r="AA387" s="2">
        <v>0</v>
      </c>
      <c r="AB387" s="2"/>
      <c r="AC387" s="2">
        <v>507</v>
      </c>
      <c r="AD387" s="2">
        <v>442</v>
      </c>
      <c r="AE387" s="2">
        <v>351</v>
      </c>
      <c r="AF387" s="2">
        <v>0</v>
      </c>
      <c r="AG387" s="2">
        <v>0</v>
      </c>
      <c r="AH387" s="2"/>
      <c r="AI387" s="2">
        <v>0</v>
      </c>
      <c r="AJ387" s="2">
        <v>0</v>
      </c>
      <c r="AK387" s="2">
        <v>0</v>
      </c>
      <c r="AL387" s="2">
        <v>0</v>
      </c>
      <c r="AM387" s="2">
        <v>0</v>
      </c>
    </row>
    <row r="388" spans="1:39">
      <c r="A388" s="351">
        <v>93801</v>
      </c>
      <c r="B388" s="344" t="s">
        <v>1081</v>
      </c>
      <c r="C388" s="360">
        <v>4.3399999999999998E-4</v>
      </c>
      <c r="E388" s="2">
        <v>130957</v>
      </c>
      <c r="F388" s="2">
        <v>193686</v>
      </c>
      <c r="G388" s="2">
        <v>120852</v>
      </c>
      <c r="H388" s="2">
        <v>64589</v>
      </c>
      <c r="I388" s="2">
        <v>0</v>
      </c>
      <c r="J388" s="2"/>
      <c r="K388" s="2">
        <v>80468</v>
      </c>
      <c r="L388" s="2">
        <v>74125</v>
      </c>
      <c r="M388" s="2">
        <v>41255</v>
      </c>
      <c r="N388" s="2">
        <v>0</v>
      </c>
      <c r="O388" s="2">
        <v>0</v>
      </c>
      <c r="P388" s="2"/>
      <c r="Q388" s="2">
        <v>5216</v>
      </c>
      <c r="R388" s="2">
        <v>72958</v>
      </c>
      <c r="S388" s="2">
        <v>75480</v>
      </c>
      <c r="T388" s="2">
        <v>64589</v>
      </c>
      <c r="U388" s="2">
        <v>0</v>
      </c>
      <c r="V388" s="2"/>
      <c r="W388" s="2">
        <v>63701</v>
      </c>
      <c r="X388" s="2">
        <v>51714</v>
      </c>
      <c r="Y388" s="2">
        <v>0</v>
      </c>
      <c r="Z388" s="2">
        <v>0</v>
      </c>
      <c r="AA388" s="2">
        <v>0</v>
      </c>
      <c r="AB388" s="2"/>
      <c r="AC388" s="2">
        <v>5792</v>
      </c>
      <c r="AD388" s="2">
        <v>5792</v>
      </c>
      <c r="AE388" s="2">
        <v>5791</v>
      </c>
      <c r="AF388" s="2">
        <v>0</v>
      </c>
      <c r="AG388" s="2">
        <v>0</v>
      </c>
      <c r="AH388" s="2"/>
      <c r="AI388" s="2">
        <v>-24220</v>
      </c>
      <c r="AJ388" s="2">
        <v>-10903</v>
      </c>
      <c r="AK388" s="2">
        <v>-1674</v>
      </c>
      <c r="AL388" s="2">
        <v>0</v>
      </c>
      <c r="AM388" s="2">
        <v>-10903</v>
      </c>
    </row>
    <row r="389" spans="1:39">
      <c r="A389" s="351">
        <v>93803</v>
      </c>
      <c r="B389" s="344" t="s">
        <v>3675</v>
      </c>
      <c r="C389" s="360">
        <v>1.039E-4</v>
      </c>
      <c r="E389" s="2">
        <v>28977</v>
      </c>
      <c r="F389" s="2">
        <v>45928</v>
      </c>
      <c r="G389" s="2">
        <v>28787</v>
      </c>
      <c r="H389" s="2">
        <v>15463</v>
      </c>
      <c r="I389" s="2">
        <v>0</v>
      </c>
      <c r="J389" s="2"/>
      <c r="K389" s="2">
        <v>19264</v>
      </c>
      <c r="L389" s="2">
        <v>17745</v>
      </c>
      <c r="M389" s="2">
        <v>9877</v>
      </c>
      <c r="N389" s="2">
        <v>0</v>
      </c>
      <c r="O389" s="2">
        <v>0</v>
      </c>
      <c r="P389" s="2"/>
      <c r="Q389" s="2">
        <v>1249</v>
      </c>
      <c r="R389" s="2">
        <v>17466</v>
      </c>
      <c r="S389" s="2">
        <v>18070</v>
      </c>
      <c r="T389" s="2">
        <v>15463</v>
      </c>
      <c r="U389" s="2">
        <v>0</v>
      </c>
      <c r="V389" s="2"/>
      <c r="W389" s="2">
        <v>15250</v>
      </c>
      <c r="X389" s="2">
        <v>12380</v>
      </c>
      <c r="Y389" s="2">
        <v>0</v>
      </c>
      <c r="Z389" s="2">
        <v>0</v>
      </c>
      <c r="AA389" s="2">
        <v>0</v>
      </c>
      <c r="AB389" s="2"/>
      <c r="AC389" s="2">
        <v>5315</v>
      </c>
      <c r="AD389" s="2">
        <v>5315</v>
      </c>
      <c r="AE389" s="2">
        <v>5315</v>
      </c>
      <c r="AF389" s="2">
        <v>0</v>
      </c>
      <c r="AG389" s="2">
        <v>0</v>
      </c>
      <c r="AH389" s="2"/>
      <c r="AI389" s="2">
        <v>-12101</v>
      </c>
      <c r="AJ389" s="2">
        <v>-6978</v>
      </c>
      <c r="AK389" s="2">
        <v>-4475</v>
      </c>
      <c r="AL389" s="2">
        <v>0</v>
      </c>
      <c r="AM389" s="2">
        <v>-6978</v>
      </c>
    </row>
    <row r="390" spans="1:39">
      <c r="A390" s="351">
        <v>93806</v>
      </c>
      <c r="B390" s="344" t="s">
        <v>3676</v>
      </c>
      <c r="C390" s="360">
        <v>7.0599999999999995E-5</v>
      </c>
      <c r="E390" s="2">
        <v>20463</v>
      </c>
      <c r="F390" s="2">
        <v>25468</v>
      </c>
      <c r="G390" s="2">
        <v>14241</v>
      </c>
      <c r="H390" s="2">
        <v>10507</v>
      </c>
      <c r="I390" s="2">
        <v>0</v>
      </c>
      <c r="J390" s="2"/>
      <c r="K390" s="2">
        <v>13090</v>
      </c>
      <c r="L390" s="2">
        <v>12058</v>
      </c>
      <c r="M390" s="2">
        <v>6711</v>
      </c>
      <c r="N390" s="2">
        <v>0</v>
      </c>
      <c r="O390" s="2">
        <v>0</v>
      </c>
      <c r="P390" s="2"/>
      <c r="Q390" s="2">
        <v>849</v>
      </c>
      <c r="R390" s="2">
        <v>11868</v>
      </c>
      <c r="S390" s="2">
        <v>12279</v>
      </c>
      <c r="T390" s="2">
        <v>10507</v>
      </c>
      <c r="U390" s="2">
        <v>0</v>
      </c>
      <c r="V390" s="2"/>
      <c r="W390" s="2">
        <v>10362</v>
      </c>
      <c r="X390" s="2">
        <v>8412</v>
      </c>
      <c r="Y390" s="2">
        <v>0</v>
      </c>
      <c r="Z390" s="2">
        <v>0</v>
      </c>
      <c r="AA390" s="2">
        <v>0</v>
      </c>
      <c r="AB390" s="2"/>
      <c r="AC390" s="2">
        <v>3449</v>
      </c>
      <c r="AD390" s="2">
        <v>416</v>
      </c>
      <c r="AE390" s="2">
        <v>417</v>
      </c>
      <c r="AF390" s="2">
        <v>0</v>
      </c>
      <c r="AG390" s="2">
        <v>0</v>
      </c>
      <c r="AH390" s="2"/>
      <c r="AI390" s="2">
        <v>-7287</v>
      </c>
      <c r="AJ390" s="2">
        <v>-7286</v>
      </c>
      <c r="AK390" s="2">
        <v>-5166</v>
      </c>
      <c r="AL390" s="2">
        <v>0</v>
      </c>
      <c r="AM390" s="2">
        <v>-7286</v>
      </c>
    </row>
    <row r="391" spans="1:39">
      <c r="A391" s="351">
        <v>93821</v>
      </c>
      <c r="B391" s="344" t="s">
        <v>1084</v>
      </c>
      <c r="C391" s="360">
        <v>6.2199999999999994E-5</v>
      </c>
      <c r="E391" s="2">
        <v>30483</v>
      </c>
      <c r="F391" s="2">
        <v>37649</v>
      </c>
      <c r="G391" s="2">
        <v>15707</v>
      </c>
      <c r="H391" s="2">
        <v>9257</v>
      </c>
      <c r="I391" s="2">
        <v>0</v>
      </c>
      <c r="J391" s="2"/>
      <c r="K391" s="2">
        <v>11532</v>
      </c>
      <c r="L391" s="2">
        <v>10623</v>
      </c>
      <c r="M391" s="2">
        <v>5913</v>
      </c>
      <c r="N391" s="2">
        <v>0</v>
      </c>
      <c r="O391" s="2">
        <v>0</v>
      </c>
      <c r="P391" s="2"/>
      <c r="Q391" s="2">
        <v>748</v>
      </c>
      <c r="R391" s="2">
        <v>10456</v>
      </c>
      <c r="S391" s="2">
        <v>10818</v>
      </c>
      <c r="T391" s="2">
        <v>9257</v>
      </c>
      <c r="U391" s="2">
        <v>0</v>
      </c>
      <c r="V391" s="2"/>
      <c r="W391" s="2">
        <v>9129</v>
      </c>
      <c r="X391" s="2">
        <v>7412</v>
      </c>
      <c r="Y391" s="2">
        <v>0</v>
      </c>
      <c r="Z391" s="2">
        <v>0</v>
      </c>
      <c r="AA391" s="2">
        <v>0</v>
      </c>
      <c r="AB391" s="2"/>
      <c r="AC391" s="2">
        <v>12365</v>
      </c>
      <c r="AD391" s="2">
        <v>12363</v>
      </c>
      <c r="AE391" s="2">
        <v>2180</v>
      </c>
      <c r="AF391" s="2">
        <v>0</v>
      </c>
      <c r="AG391" s="2">
        <v>0</v>
      </c>
      <c r="AH391" s="2"/>
      <c r="AI391" s="2">
        <v>-3291</v>
      </c>
      <c r="AJ391" s="2">
        <v>-3205</v>
      </c>
      <c r="AK391" s="2">
        <v>-3204</v>
      </c>
      <c r="AL391" s="2">
        <v>0</v>
      </c>
      <c r="AM391" s="2">
        <v>-3205</v>
      </c>
    </row>
    <row r="392" spans="1:39">
      <c r="A392" s="351">
        <v>93901</v>
      </c>
      <c r="B392" s="344" t="s">
        <v>1085</v>
      </c>
      <c r="C392" s="360">
        <v>1.8209999999999999E-3</v>
      </c>
      <c r="E392" s="2">
        <v>719822</v>
      </c>
      <c r="F392" s="2">
        <v>916169</v>
      </c>
      <c r="G392" s="2">
        <v>557966</v>
      </c>
      <c r="H392" s="2">
        <v>271005</v>
      </c>
      <c r="I392" s="2">
        <v>0</v>
      </c>
      <c r="J392" s="2"/>
      <c r="K392" s="2">
        <v>337630</v>
      </c>
      <c r="L392" s="2">
        <v>311016</v>
      </c>
      <c r="M392" s="2">
        <v>173101</v>
      </c>
      <c r="N392" s="2">
        <v>0</v>
      </c>
      <c r="O392" s="2">
        <v>0</v>
      </c>
      <c r="P392" s="2"/>
      <c r="Q392" s="2">
        <v>21887</v>
      </c>
      <c r="R392" s="2">
        <v>306119</v>
      </c>
      <c r="S392" s="2">
        <v>316705</v>
      </c>
      <c r="T392" s="2">
        <v>271005</v>
      </c>
      <c r="U392" s="2">
        <v>0</v>
      </c>
      <c r="V392" s="2"/>
      <c r="W392" s="2">
        <v>267279</v>
      </c>
      <c r="X392" s="2">
        <v>216985</v>
      </c>
      <c r="Y392" s="2">
        <v>0</v>
      </c>
      <c r="Z392" s="2">
        <v>0</v>
      </c>
      <c r="AA392" s="2">
        <v>0</v>
      </c>
      <c r="AB392" s="2"/>
      <c r="AC392" s="2">
        <v>93026</v>
      </c>
      <c r="AD392" s="2">
        <v>82049</v>
      </c>
      <c r="AE392" s="2">
        <v>68160</v>
      </c>
      <c r="AF392" s="2">
        <v>0</v>
      </c>
      <c r="AG392" s="2">
        <v>0</v>
      </c>
      <c r="AH392" s="2"/>
      <c r="AI392" s="2">
        <v>0</v>
      </c>
      <c r="AJ392" s="2">
        <v>0</v>
      </c>
      <c r="AK392" s="2">
        <v>0</v>
      </c>
      <c r="AL392" s="2">
        <v>0</v>
      </c>
      <c r="AM392" s="2">
        <v>0</v>
      </c>
    </row>
    <row r="393" spans="1:39">
      <c r="A393" s="351">
        <v>93904</v>
      </c>
      <c r="B393" s="344" t="s">
        <v>3677</v>
      </c>
      <c r="C393" s="360">
        <v>3.1900000000000003E-5</v>
      </c>
      <c r="E393" s="2">
        <v>17549</v>
      </c>
      <c r="F393" s="2">
        <v>19588</v>
      </c>
      <c r="G393" s="2">
        <v>12109</v>
      </c>
      <c r="H393" s="2">
        <v>4747</v>
      </c>
      <c r="I393" s="2">
        <v>0</v>
      </c>
      <c r="J393" s="2"/>
      <c r="K393" s="2">
        <v>5915</v>
      </c>
      <c r="L393" s="2">
        <v>5448</v>
      </c>
      <c r="M393" s="2">
        <v>3032</v>
      </c>
      <c r="N393" s="2">
        <v>0</v>
      </c>
      <c r="O393" s="2">
        <v>0</v>
      </c>
      <c r="P393" s="2"/>
      <c r="Q393" s="2">
        <v>383</v>
      </c>
      <c r="R393" s="2">
        <v>5363</v>
      </c>
      <c r="S393" s="2">
        <v>5548</v>
      </c>
      <c r="T393" s="2">
        <v>4747</v>
      </c>
      <c r="U393" s="2">
        <v>0</v>
      </c>
      <c r="V393" s="2"/>
      <c r="W393" s="2">
        <v>4682</v>
      </c>
      <c r="X393" s="2">
        <v>3801</v>
      </c>
      <c r="Y393" s="2">
        <v>0</v>
      </c>
      <c r="Z393" s="2">
        <v>0</v>
      </c>
      <c r="AA393" s="2">
        <v>0</v>
      </c>
      <c r="AB393" s="2"/>
      <c r="AC393" s="2">
        <v>6569</v>
      </c>
      <c r="AD393" s="2">
        <v>4976</v>
      </c>
      <c r="AE393" s="2">
        <v>3529</v>
      </c>
      <c r="AF393" s="2">
        <v>0</v>
      </c>
      <c r="AG393" s="2">
        <v>0</v>
      </c>
      <c r="AH393" s="2"/>
      <c r="AI393" s="2">
        <v>0</v>
      </c>
      <c r="AJ393" s="2">
        <v>0</v>
      </c>
      <c r="AK393" s="2">
        <v>0</v>
      </c>
      <c r="AL393" s="2">
        <v>0</v>
      </c>
      <c r="AM393" s="2">
        <v>0</v>
      </c>
    </row>
    <row r="394" spans="1:39">
      <c r="A394" s="351">
        <v>93906</v>
      </c>
      <c r="B394" s="344" t="s">
        <v>1087</v>
      </c>
      <c r="C394" s="360">
        <v>3.0739999999999999E-3</v>
      </c>
      <c r="E394" s="2">
        <v>951786</v>
      </c>
      <c r="F394" s="2">
        <v>1326226</v>
      </c>
      <c r="G394" s="2">
        <v>788126</v>
      </c>
      <c r="H394" s="2">
        <v>457479</v>
      </c>
      <c r="I394" s="2">
        <v>0</v>
      </c>
      <c r="J394" s="2"/>
      <c r="K394" s="2">
        <v>569947</v>
      </c>
      <c r="L394" s="2">
        <v>525021</v>
      </c>
      <c r="M394" s="2">
        <v>292208</v>
      </c>
      <c r="N394" s="2">
        <v>0</v>
      </c>
      <c r="O394" s="2">
        <v>0</v>
      </c>
      <c r="P394" s="2"/>
      <c r="Q394" s="2">
        <v>36946</v>
      </c>
      <c r="R394" s="2">
        <v>516755</v>
      </c>
      <c r="S394" s="2">
        <v>534624</v>
      </c>
      <c r="T394" s="2">
        <v>457479</v>
      </c>
      <c r="U394" s="2">
        <v>0</v>
      </c>
      <c r="V394" s="2"/>
      <c r="W394" s="2">
        <v>451189</v>
      </c>
      <c r="X394" s="2">
        <v>366289</v>
      </c>
      <c r="Y394" s="2">
        <v>0</v>
      </c>
      <c r="Z394" s="2">
        <v>0</v>
      </c>
      <c r="AA394" s="2">
        <v>0</v>
      </c>
      <c r="AB394" s="2"/>
      <c r="AC394" s="2">
        <v>0</v>
      </c>
      <c r="AD394" s="2">
        <v>0</v>
      </c>
      <c r="AE394" s="2">
        <v>0</v>
      </c>
      <c r="AF394" s="2">
        <v>0</v>
      </c>
      <c r="AG394" s="2">
        <v>0</v>
      </c>
      <c r="AH394" s="2"/>
      <c r="AI394" s="2">
        <v>-106296</v>
      </c>
      <c r="AJ394" s="2">
        <v>-81839</v>
      </c>
      <c r="AK394" s="2">
        <v>-38706</v>
      </c>
      <c r="AL394" s="2">
        <v>0</v>
      </c>
      <c r="AM394" s="2">
        <v>-81839</v>
      </c>
    </row>
    <row r="395" spans="1:39">
      <c r="A395" s="351">
        <v>93908</v>
      </c>
      <c r="B395" s="344" t="s">
        <v>1088</v>
      </c>
      <c r="C395" s="360">
        <v>5.1579999999999996E-4</v>
      </c>
      <c r="E395" s="2">
        <v>187581</v>
      </c>
      <c r="F395" s="2">
        <v>244272</v>
      </c>
      <c r="G395" s="2">
        <v>151617</v>
      </c>
      <c r="H395" s="2">
        <v>76762</v>
      </c>
      <c r="I395" s="2">
        <v>0</v>
      </c>
      <c r="J395" s="2"/>
      <c r="K395" s="2">
        <v>95634</v>
      </c>
      <c r="L395" s="2">
        <v>88096</v>
      </c>
      <c r="M395" s="2">
        <v>49031</v>
      </c>
      <c r="N395" s="2">
        <v>0</v>
      </c>
      <c r="O395" s="2">
        <v>0</v>
      </c>
      <c r="P395" s="2"/>
      <c r="Q395" s="2">
        <v>6199</v>
      </c>
      <c r="R395" s="2">
        <v>86709</v>
      </c>
      <c r="S395" s="2">
        <v>89707</v>
      </c>
      <c r="T395" s="2">
        <v>76762</v>
      </c>
      <c r="U395" s="2">
        <v>0</v>
      </c>
      <c r="V395" s="2"/>
      <c r="W395" s="2">
        <v>75707</v>
      </c>
      <c r="X395" s="2">
        <v>61461</v>
      </c>
      <c r="Y395" s="2">
        <v>0</v>
      </c>
      <c r="Z395" s="2">
        <v>0</v>
      </c>
      <c r="AA395" s="2">
        <v>0</v>
      </c>
      <c r="AB395" s="2"/>
      <c r="AC395" s="2">
        <v>14914</v>
      </c>
      <c r="AD395" s="2">
        <v>12878</v>
      </c>
      <c r="AE395" s="2">
        <v>12879</v>
      </c>
      <c r="AF395" s="2">
        <v>0</v>
      </c>
      <c r="AG395" s="2">
        <v>0</v>
      </c>
      <c r="AH395" s="2"/>
      <c r="AI395" s="2">
        <v>-4873</v>
      </c>
      <c r="AJ395" s="2">
        <v>-4872</v>
      </c>
      <c r="AK395" s="2">
        <v>0</v>
      </c>
      <c r="AL395" s="2">
        <v>0</v>
      </c>
      <c r="AM395" s="2">
        <v>-4872</v>
      </c>
    </row>
    <row r="396" spans="1:39">
      <c r="A396" s="351">
        <v>93910</v>
      </c>
      <c r="B396" s="344" t="s">
        <v>1089</v>
      </c>
      <c r="C396" s="360">
        <v>2.6459999999999998E-4</v>
      </c>
      <c r="E396" s="2">
        <v>97265</v>
      </c>
      <c r="F396" s="2">
        <v>131588</v>
      </c>
      <c r="G396" s="2">
        <v>85528</v>
      </c>
      <c r="H396" s="2">
        <v>39378</v>
      </c>
      <c r="I396" s="2">
        <v>0</v>
      </c>
      <c r="J396" s="2"/>
      <c r="K396" s="2">
        <v>49059</v>
      </c>
      <c r="L396" s="2">
        <v>45192</v>
      </c>
      <c r="M396" s="2">
        <v>25152</v>
      </c>
      <c r="N396" s="2">
        <v>0</v>
      </c>
      <c r="O396" s="2">
        <v>0</v>
      </c>
      <c r="P396" s="2"/>
      <c r="Q396" s="2">
        <v>3180</v>
      </c>
      <c r="R396" s="2">
        <v>44481</v>
      </c>
      <c r="S396" s="2">
        <v>46019</v>
      </c>
      <c r="T396" s="2">
        <v>39378</v>
      </c>
      <c r="U396" s="2">
        <v>0</v>
      </c>
      <c r="V396" s="2"/>
      <c r="W396" s="2">
        <v>38837</v>
      </c>
      <c r="X396" s="2">
        <v>31529</v>
      </c>
      <c r="Y396" s="2">
        <v>0</v>
      </c>
      <c r="Z396" s="2">
        <v>0</v>
      </c>
      <c r="AA396" s="2">
        <v>0</v>
      </c>
      <c r="AB396" s="2"/>
      <c r="AC396" s="2">
        <v>18959</v>
      </c>
      <c r="AD396" s="2">
        <v>18959</v>
      </c>
      <c r="AE396" s="2">
        <v>18960</v>
      </c>
      <c r="AF396" s="2">
        <v>0</v>
      </c>
      <c r="AG396" s="2">
        <v>0</v>
      </c>
      <c r="AH396" s="2"/>
      <c r="AI396" s="2">
        <v>-12770</v>
      </c>
      <c r="AJ396" s="2">
        <v>-8573</v>
      </c>
      <c r="AK396" s="2">
        <v>-4603</v>
      </c>
      <c r="AL396" s="2">
        <v>0</v>
      </c>
      <c r="AM396" s="2">
        <v>-8573</v>
      </c>
    </row>
    <row r="397" spans="1:39">
      <c r="A397" s="351">
        <v>93911</v>
      </c>
      <c r="B397" s="344" t="s">
        <v>1090</v>
      </c>
      <c r="C397" s="360">
        <v>6.1660000000000003E-4</v>
      </c>
      <c r="E397" s="2">
        <v>197463</v>
      </c>
      <c r="F397" s="2">
        <v>276335</v>
      </c>
      <c r="G397" s="2">
        <v>156181</v>
      </c>
      <c r="H397" s="2">
        <v>91764</v>
      </c>
      <c r="I397" s="2">
        <v>0</v>
      </c>
      <c r="J397" s="2"/>
      <c r="K397" s="2">
        <v>114323</v>
      </c>
      <c r="L397" s="2">
        <v>105312</v>
      </c>
      <c r="M397" s="2">
        <v>58613</v>
      </c>
      <c r="N397" s="2">
        <v>0</v>
      </c>
      <c r="O397" s="2">
        <v>0</v>
      </c>
      <c r="P397" s="2"/>
      <c r="Q397" s="2">
        <v>7411</v>
      </c>
      <c r="R397" s="2">
        <v>103654</v>
      </c>
      <c r="S397" s="2">
        <v>107238</v>
      </c>
      <c r="T397" s="2">
        <v>91764</v>
      </c>
      <c r="U397" s="2">
        <v>0</v>
      </c>
      <c r="V397" s="2"/>
      <c r="W397" s="2">
        <v>90502</v>
      </c>
      <c r="X397" s="2">
        <v>73472</v>
      </c>
      <c r="Y397" s="2">
        <v>0</v>
      </c>
      <c r="Z397" s="2">
        <v>0</v>
      </c>
      <c r="AA397" s="2">
        <v>0</v>
      </c>
      <c r="AB397" s="2"/>
      <c r="AC397" s="2">
        <v>3567</v>
      </c>
      <c r="AD397" s="2">
        <v>3569</v>
      </c>
      <c r="AE397" s="2">
        <v>0</v>
      </c>
      <c r="AF397" s="2">
        <v>0</v>
      </c>
      <c r="AG397" s="2">
        <v>0</v>
      </c>
      <c r="AH397" s="2"/>
      <c r="AI397" s="2">
        <v>-18340</v>
      </c>
      <c r="AJ397" s="2">
        <v>-9672</v>
      </c>
      <c r="AK397" s="2">
        <v>-9670</v>
      </c>
      <c r="AL397" s="2">
        <v>0</v>
      </c>
      <c r="AM397" s="2">
        <v>-9672</v>
      </c>
    </row>
    <row r="398" spans="1:39">
      <c r="A398" s="351">
        <v>93913</v>
      </c>
      <c r="B398" s="344" t="s">
        <v>1091</v>
      </c>
      <c r="C398" s="360">
        <v>4.6699999999999997E-5</v>
      </c>
      <c r="E398" s="2">
        <v>17364</v>
      </c>
      <c r="F398" s="2">
        <v>22733</v>
      </c>
      <c r="G398" s="2">
        <v>13172</v>
      </c>
      <c r="H398" s="2">
        <v>6950</v>
      </c>
      <c r="I398" s="2">
        <v>0</v>
      </c>
      <c r="J398" s="2"/>
      <c r="K398" s="2">
        <v>8659</v>
      </c>
      <c r="L398" s="2">
        <v>7976</v>
      </c>
      <c r="M398" s="2">
        <v>4439</v>
      </c>
      <c r="N398" s="2">
        <v>0</v>
      </c>
      <c r="O398" s="2">
        <v>0</v>
      </c>
      <c r="P398" s="2"/>
      <c r="Q398" s="2">
        <v>561</v>
      </c>
      <c r="R398" s="2">
        <v>7851</v>
      </c>
      <c r="S398" s="2">
        <v>8122</v>
      </c>
      <c r="T398" s="2">
        <v>6950</v>
      </c>
      <c r="U398" s="2">
        <v>0</v>
      </c>
      <c r="V398" s="2"/>
      <c r="W398" s="2">
        <v>6854</v>
      </c>
      <c r="X398" s="2">
        <v>5565</v>
      </c>
      <c r="Y398" s="2">
        <v>0</v>
      </c>
      <c r="Z398" s="2">
        <v>0</v>
      </c>
      <c r="AA398" s="2">
        <v>0</v>
      </c>
      <c r="AB398" s="2"/>
      <c r="AC398" s="2">
        <v>1877</v>
      </c>
      <c r="AD398" s="2">
        <v>1875</v>
      </c>
      <c r="AE398" s="2">
        <v>1146</v>
      </c>
      <c r="AF398" s="2">
        <v>0</v>
      </c>
      <c r="AG398" s="2">
        <v>0</v>
      </c>
      <c r="AH398" s="2"/>
      <c r="AI398" s="2">
        <v>-587</v>
      </c>
      <c r="AJ398" s="2">
        <v>-534</v>
      </c>
      <c r="AK398" s="2">
        <v>-535</v>
      </c>
      <c r="AL398" s="2">
        <v>0</v>
      </c>
      <c r="AM398" s="2">
        <v>-534</v>
      </c>
    </row>
    <row r="399" spans="1:39">
      <c r="A399" s="351">
        <v>93914</v>
      </c>
      <c r="B399" s="344" t="s">
        <v>1092</v>
      </c>
      <c r="C399" s="360">
        <v>5.2000000000000002E-6</v>
      </c>
      <c r="E399" s="2">
        <v>3657</v>
      </c>
      <c r="F399" s="2">
        <v>3855</v>
      </c>
      <c r="G399" s="2">
        <v>2383</v>
      </c>
      <c r="H399" s="2">
        <v>774</v>
      </c>
      <c r="I399" s="2">
        <v>0</v>
      </c>
      <c r="J399" s="2"/>
      <c r="K399" s="2">
        <v>964</v>
      </c>
      <c r="L399" s="2">
        <v>888</v>
      </c>
      <c r="M399" s="2">
        <v>494</v>
      </c>
      <c r="N399" s="2">
        <v>0</v>
      </c>
      <c r="O399" s="2">
        <v>0</v>
      </c>
      <c r="P399" s="2"/>
      <c r="Q399" s="2">
        <v>62</v>
      </c>
      <c r="R399" s="2">
        <v>874</v>
      </c>
      <c r="S399" s="2">
        <v>904</v>
      </c>
      <c r="T399" s="2">
        <v>774</v>
      </c>
      <c r="U399" s="2">
        <v>0</v>
      </c>
      <c r="V399" s="2"/>
      <c r="W399" s="2">
        <v>763</v>
      </c>
      <c r="X399" s="2">
        <v>620</v>
      </c>
      <c r="Y399" s="2">
        <v>0</v>
      </c>
      <c r="Z399" s="2">
        <v>0</v>
      </c>
      <c r="AA399" s="2">
        <v>0</v>
      </c>
      <c r="AB399" s="2"/>
      <c r="AC399" s="2">
        <v>1868</v>
      </c>
      <c r="AD399" s="2">
        <v>1473</v>
      </c>
      <c r="AE399" s="2">
        <v>985</v>
      </c>
      <c r="AF399" s="2">
        <v>0</v>
      </c>
      <c r="AG399" s="2">
        <v>0</v>
      </c>
      <c r="AH399" s="2"/>
      <c r="AI399" s="2">
        <v>0</v>
      </c>
      <c r="AJ399" s="2">
        <v>0</v>
      </c>
      <c r="AK399" s="2">
        <v>0</v>
      </c>
      <c r="AL399" s="2">
        <v>0</v>
      </c>
      <c r="AM399" s="2">
        <v>0</v>
      </c>
    </row>
    <row r="400" spans="1:39">
      <c r="A400" s="351">
        <v>93921</v>
      </c>
      <c r="B400" s="344" t="s">
        <v>1093</v>
      </c>
      <c r="C400" s="360">
        <v>2.7060000000000002E-4</v>
      </c>
      <c r="E400" s="2">
        <v>101631</v>
      </c>
      <c r="F400" s="2">
        <v>130556</v>
      </c>
      <c r="G400" s="2">
        <v>80899</v>
      </c>
      <c r="H400" s="2">
        <v>40271</v>
      </c>
      <c r="I400" s="2">
        <v>0</v>
      </c>
      <c r="J400" s="2"/>
      <c r="K400" s="2">
        <v>50172</v>
      </c>
      <c r="L400" s="2">
        <v>46217</v>
      </c>
      <c r="M400" s="2">
        <v>25723</v>
      </c>
      <c r="N400" s="2">
        <v>0</v>
      </c>
      <c r="O400" s="2">
        <v>0</v>
      </c>
      <c r="P400" s="2"/>
      <c r="Q400" s="2">
        <v>3252</v>
      </c>
      <c r="R400" s="2">
        <v>45489</v>
      </c>
      <c r="S400" s="2">
        <v>47062</v>
      </c>
      <c r="T400" s="2">
        <v>40271</v>
      </c>
      <c r="U400" s="2">
        <v>0</v>
      </c>
      <c r="V400" s="2"/>
      <c r="W400" s="2">
        <v>39718</v>
      </c>
      <c r="X400" s="2">
        <v>32244</v>
      </c>
      <c r="Y400" s="2">
        <v>0</v>
      </c>
      <c r="Z400" s="2">
        <v>0</v>
      </c>
      <c r="AA400" s="2">
        <v>0</v>
      </c>
      <c r="AB400" s="2"/>
      <c r="AC400" s="2">
        <v>19211</v>
      </c>
      <c r="AD400" s="2">
        <v>17329</v>
      </c>
      <c r="AE400" s="2">
        <v>17329</v>
      </c>
      <c r="AF400" s="2">
        <v>0</v>
      </c>
      <c r="AG400" s="2">
        <v>0</v>
      </c>
      <c r="AH400" s="2"/>
      <c r="AI400" s="2">
        <v>-10722</v>
      </c>
      <c r="AJ400" s="2">
        <v>-10723</v>
      </c>
      <c r="AK400" s="2">
        <v>-9215</v>
      </c>
      <c r="AL400" s="2">
        <v>0</v>
      </c>
      <c r="AM400" s="2">
        <v>-10723</v>
      </c>
    </row>
    <row r="401" spans="1:39">
      <c r="A401" s="351">
        <v>93931</v>
      </c>
      <c r="B401" s="344" t="s">
        <v>1094</v>
      </c>
      <c r="C401" s="360">
        <v>5.3470000000000004E-4</v>
      </c>
      <c r="E401" s="2">
        <v>169427</v>
      </c>
      <c r="F401" s="2">
        <v>237452</v>
      </c>
      <c r="G401" s="2">
        <v>134035</v>
      </c>
      <c r="H401" s="2">
        <v>79575</v>
      </c>
      <c r="I401" s="2">
        <v>0</v>
      </c>
      <c r="J401" s="2"/>
      <c r="K401" s="2">
        <v>99138</v>
      </c>
      <c r="L401" s="2">
        <v>91324</v>
      </c>
      <c r="M401" s="2">
        <v>50828</v>
      </c>
      <c r="N401" s="2">
        <v>0</v>
      </c>
      <c r="O401" s="2">
        <v>0</v>
      </c>
      <c r="P401" s="2"/>
      <c r="Q401" s="2">
        <v>6427</v>
      </c>
      <c r="R401" s="2">
        <v>89886</v>
      </c>
      <c r="S401" s="2">
        <v>92994</v>
      </c>
      <c r="T401" s="2">
        <v>79575</v>
      </c>
      <c r="U401" s="2">
        <v>0</v>
      </c>
      <c r="V401" s="2"/>
      <c r="W401" s="2">
        <v>78481</v>
      </c>
      <c r="X401" s="2">
        <v>63713</v>
      </c>
      <c r="Y401" s="2">
        <v>0</v>
      </c>
      <c r="Z401" s="2">
        <v>0</v>
      </c>
      <c r="AA401" s="2">
        <v>0</v>
      </c>
      <c r="AB401" s="2"/>
      <c r="AC401" s="2">
        <v>2780</v>
      </c>
      <c r="AD401" s="2">
        <v>2778</v>
      </c>
      <c r="AE401" s="2">
        <v>461</v>
      </c>
      <c r="AF401" s="2">
        <v>0</v>
      </c>
      <c r="AG401" s="2">
        <v>0</v>
      </c>
      <c r="AH401" s="2"/>
      <c r="AI401" s="2">
        <v>-17399</v>
      </c>
      <c r="AJ401" s="2">
        <v>-10249</v>
      </c>
      <c r="AK401" s="2">
        <v>-10248</v>
      </c>
      <c r="AL401" s="2">
        <v>0</v>
      </c>
      <c r="AM401" s="2">
        <v>-10249</v>
      </c>
    </row>
    <row r="402" spans="1:39">
      <c r="A402" s="351">
        <v>94001</v>
      </c>
      <c r="B402" s="344" t="s">
        <v>1095</v>
      </c>
      <c r="C402" s="360">
        <v>1.0497E-3</v>
      </c>
      <c r="E402" s="2">
        <v>420561</v>
      </c>
      <c r="F402" s="2">
        <v>535424</v>
      </c>
      <c r="G402" s="2">
        <v>333548</v>
      </c>
      <c r="H402" s="2">
        <v>156218</v>
      </c>
      <c r="I402" s="2">
        <v>0</v>
      </c>
      <c r="J402" s="2"/>
      <c r="K402" s="2">
        <v>194624</v>
      </c>
      <c r="L402" s="2">
        <v>179282</v>
      </c>
      <c r="M402" s="2">
        <v>99782</v>
      </c>
      <c r="N402" s="2">
        <v>0</v>
      </c>
      <c r="O402" s="2">
        <v>0</v>
      </c>
      <c r="P402" s="2"/>
      <c r="Q402" s="2">
        <v>12616</v>
      </c>
      <c r="R402" s="2">
        <v>176460</v>
      </c>
      <c r="S402" s="2">
        <v>182562</v>
      </c>
      <c r="T402" s="2">
        <v>156218</v>
      </c>
      <c r="U402" s="2">
        <v>0</v>
      </c>
      <c r="V402" s="2"/>
      <c r="W402" s="2">
        <v>154071</v>
      </c>
      <c r="X402" s="2">
        <v>125079</v>
      </c>
      <c r="Y402" s="2">
        <v>0</v>
      </c>
      <c r="Z402" s="2">
        <v>0</v>
      </c>
      <c r="AA402" s="2">
        <v>0</v>
      </c>
      <c r="AB402" s="2"/>
      <c r="AC402" s="2">
        <v>59250</v>
      </c>
      <c r="AD402" s="2">
        <v>54603</v>
      </c>
      <c r="AE402" s="2">
        <v>51204</v>
      </c>
      <c r="AF402" s="2">
        <v>0</v>
      </c>
      <c r="AG402" s="2">
        <v>0</v>
      </c>
      <c r="AH402" s="2"/>
      <c r="AI402" s="2">
        <v>0</v>
      </c>
      <c r="AJ402" s="2">
        <v>0</v>
      </c>
      <c r="AK402" s="2">
        <v>0</v>
      </c>
      <c r="AL402" s="2">
        <v>0</v>
      </c>
      <c r="AM402" s="2">
        <v>0</v>
      </c>
    </row>
    <row r="403" spans="1:39">
      <c r="A403" s="351">
        <v>94002</v>
      </c>
      <c r="B403" s="344" t="s">
        <v>1096</v>
      </c>
      <c r="C403" s="360">
        <v>4.5000000000000001E-6</v>
      </c>
      <c r="E403" s="2">
        <v>2533</v>
      </c>
      <c r="F403" s="2">
        <v>2844</v>
      </c>
      <c r="G403" s="2">
        <v>1829</v>
      </c>
      <c r="H403" s="2">
        <v>670</v>
      </c>
      <c r="I403" s="2">
        <v>0</v>
      </c>
      <c r="J403" s="2"/>
      <c r="K403" s="2">
        <v>834</v>
      </c>
      <c r="L403" s="2">
        <v>769</v>
      </c>
      <c r="M403" s="2">
        <v>428</v>
      </c>
      <c r="N403" s="2">
        <v>0</v>
      </c>
      <c r="O403" s="2">
        <v>0</v>
      </c>
      <c r="P403" s="2"/>
      <c r="Q403" s="2">
        <v>54</v>
      </c>
      <c r="R403" s="2">
        <v>756</v>
      </c>
      <c r="S403" s="2">
        <v>783</v>
      </c>
      <c r="T403" s="2">
        <v>670</v>
      </c>
      <c r="U403" s="2">
        <v>0</v>
      </c>
      <c r="V403" s="2"/>
      <c r="W403" s="2">
        <v>660</v>
      </c>
      <c r="X403" s="2">
        <v>536</v>
      </c>
      <c r="Y403" s="2">
        <v>0</v>
      </c>
      <c r="Z403" s="2">
        <v>0</v>
      </c>
      <c r="AA403" s="2">
        <v>0</v>
      </c>
      <c r="AB403" s="2"/>
      <c r="AC403" s="2">
        <v>985</v>
      </c>
      <c r="AD403" s="2">
        <v>783</v>
      </c>
      <c r="AE403" s="2">
        <v>618</v>
      </c>
      <c r="AF403" s="2">
        <v>0</v>
      </c>
      <c r="AG403" s="2">
        <v>0</v>
      </c>
      <c r="AH403" s="2"/>
      <c r="AI403" s="2">
        <v>0</v>
      </c>
      <c r="AJ403" s="2">
        <v>0</v>
      </c>
      <c r="AK403" s="2">
        <v>0</v>
      </c>
      <c r="AL403" s="2">
        <v>0</v>
      </c>
      <c r="AM403" s="2">
        <v>0</v>
      </c>
    </row>
    <row r="404" spans="1:39">
      <c r="A404" s="351">
        <v>94004</v>
      </c>
      <c r="B404" s="344" t="s">
        <v>1097</v>
      </c>
      <c r="C404" s="360">
        <v>6.8000000000000001E-6</v>
      </c>
      <c r="E404" s="2">
        <v>4023</v>
      </c>
      <c r="F404" s="2">
        <v>3882</v>
      </c>
      <c r="G404" s="2">
        <v>2389</v>
      </c>
      <c r="H404" s="2">
        <v>1012</v>
      </c>
      <c r="I404" s="2">
        <v>0</v>
      </c>
      <c r="J404" s="2"/>
      <c r="K404" s="2">
        <v>1261</v>
      </c>
      <c r="L404" s="2">
        <v>1161</v>
      </c>
      <c r="M404" s="2">
        <v>646</v>
      </c>
      <c r="N404" s="2">
        <v>0</v>
      </c>
      <c r="O404" s="2">
        <v>0</v>
      </c>
      <c r="P404" s="2"/>
      <c r="Q404" s="2">
        <v>82</v>
      </c>
      <c r="R404" s="2">
        <v>1143</v>
      </c>
      <c r="S404" s="2">
        <v>1183</v>
      </c>
      <c r="T404" s="2">
        <v>1012</v>
      </c>
      <c r="U404" s="2">
        <v>0</v>
      </c>
      <c r="V404" s="2"/>
      <c r="W404" s="2">
        <v>998</v>
      </c>
      <c r="X404" s="2">
        <v>810</v>
      </c>
      <c r="Y404" s="2">
        <v>0</v>
      </c>
      <c r="Z404" s="2">
        <v>0</v>
      </c>
      <c r="AA404" s="2">
        <v>0</v>
      </c>
      <c r="AB404" s="2"/>
      <c r="AC404" s="2">
        <v>1682</v>
      </c>
      <c r="AD404" s="2">
        <v>768</v>
      </c>
      <c r="AE404" s="2">
        <v>560</v>
      </c>
      <c r="AF404" s="2">
        <v>0</v>
      </c>
      <c r="AG404" s="2">
        <v>0</v>
      </c>
      <c r="AH404" s="2"/>
      <c r="AI404" s="2">
        <v>0</v>
      </c>
      <c r="AJ404" s="2">
        <v>0</v>
      </c>
      <c r="AK404" s="2">
        <v>0</v>
      </c>
      <c r="AL404" s="2">
        <v>0</v>
      </c>
      <c r="AM404" s="2">
        <v>0</v>
      </c>
    </row>
    <row r="405" spans="1:39">
      <c r="A405" s="351">
        <v>94005</v>
      </c>
      <c r="B405" s="344" t="s">
        <v>1098</v>
      </c>
      <c r="C405" s="360">
        <v>1.9E-6</v>
      </c>
      <c r="E405" s="2">
        <v>804</v>
      </c>
      <c r="F405" s="2">
        <v>1828</v>
      </c>
      <c r="G405" s="2">
        <v>599</v>
      </c>
      <c r="H405" s="2">
        <v>283</v>
      </c>
      <c r="I405" s="2">
        <v>0</v>
      </c>
      <c r="J405" s="2"/>
      <c r="K405" s="2">
        <v>352</v>
      </c>
      <c r="L405" s="2">
        <v>325</v>
      </c>
      <c r="M405" s="2">
        <v>181</v>
      </c>
      <c r="N405" s="2">
        <v>0</v>
      </c>
      <c r="O405" s="2">
        <v>0</v>
      </c>
      <c r="P405" s="2"/>
      <c r="Q405" s="2">
        <v>23</v>
      </c>
      <c r="R405" s="2">
        <v>319</v>
      </c>
      <c r="S405" s="2">
        <v>330</v>
      </c>
      <c r="T405" s="2">
        <v>283</v>
      </c>
      <c r="U405" s="2">
        <v>0</v>
      </c>
      <c r="V405" s="2"/>
      <c r="W405" s="2">
        <v>279</v>
      </c>
      <c r="X405" s="2">
        <v>226</v>
      </c>
      <c r="Y405" s="2">
        <v>0</v>
      </c>
      <c r="Z405" s="2">
        <v>0</v>
      </c>
      <c r="AA405" s="2">
        <v>0</v>
      </c>
      <c r="AB405" s="2"/>
      <c r="AC405" s="2">
        <v>1301</v>
      </c>
      <c r="AD405" s="2">
        <v>1300</v>
      </c>
      <c r="AE405" s="2">
        <v>429</v>
      </c>
      <c r="AF405" s="2">
        <v>0</v>
      </c>
      <c r="AG405" s="2">
        <v>0</v>
      </c>
      <c r="AH405" s="2"/>
      <c r="AI405" s="2">
        <v>-1151</v>
      </c>
      <c r="AJ405" s="2">
        <v>-342</v>
      </c>
      <c r="AK405" s="2">
        <v>-341</v>
      </c>
      <c r="AL405" s="2">
        <v>0</v>
      </c>
      <c r="AM405" s="2">
        <v>-342</v>
      </c>
    </row>
    <row r="406" spans="1:39">
      <c r="A406" s="351">
        <v>94011</v>
      </c>
      <c r="B406" s="344" t="s">
        <v>1099</v>
      </c>
      <c r="C406" s="360">
        <v>2.7900000000000001E-5</v>
      </c>
      <c r="E406" s="2">
        <v>8451</v>
      </c>
      <c r="F406" s="2">
        <v>12284</v>
      </c>
      <c r="G406" s="2">
        <v>6563</v>
      </c>
      <c r="H406" s="2">
        <v>4152</v>
      </c>
      <c r="I406" s="2">
        <v>0</v>
      </c>
      <c r="J406" s="2"/>
      <c r="K406" s="2">
        <v>5173</v>
      </c>
      <c r="L406" s="2">
        <v>4765</v>
      </c>
      <c r="M406" s="2">
        <v>2652</v>
      </c>
      <c r="N406" s="2">
        <v>0</v>
      </c>
      <c r="O406" s="2">
        <v>0</v>
      </c>
      <c r="P406" s="2"/>
      <c r="Q406" s="2">
        <v>335</v>
      </c>
      <c r="R406" s="2">
        <v>4690</v>
      </c>
      <c r="S406" s="2">
        <v>4852</v>
      </c>
      <c r="T406" s="2">
        <v>4152</v>
      </c>
      <c r="U406" s="2">
        <v>0</v>
      </c>
      <c r="V406" s="2"/>
      <c r="W406" s="2">
        <v>4095</v>
      </c>
      <c r="X406" s="2">
        <v>3324</v>
      </c>
      <c r="Y406" s="2">
        <v>0</v>
      </c>
      <c r="Z406" s="2">
        <v>0</v>
      </c>
      <c r="AA406" s="2">
        <v>0</v>
      </c>
      <c r="AB406" s="2"/>
      <c r="AC406" s="2">
        <v>450</v>
      </c>
      <c r="AD406" s="2">
        <v>450</v>
      </c>
      <c r="AE406" s="2">
        <v>0</v>
      </c>
      <c r="AF406" s="2">
        <v>0</v>
      </c>
      <c r="AG406" s="2">
        <v>0</v>
      </c>
      <c r="AH406" s="2"/>
      <c r="AI406" s="2">
        <v>-1602</v>
      </c>
      <c r="AJ406" s="2">
        <v>-945</v>
      </c>
      <c r="AK406" s="2">
        <v>-941</v>
      </c>
      <c r="AL406" s="2">
        <v>0</v>
      </c>
      <c r="AM406" s="2">
        <v>-945</v>
      </c>
    </row>
    <row r="407" spans="1:39">
      <c r="A407" s="351">
        <v>94021</v>
      </c>
      <c r="B407" s="344" t="s">
        <v>1100</v>
      </c>
      <c r="C407" s="360">
        <v>1.031E-4</v>
      </c>
      <c r="E407" s="2">
        <v>47732</v>
      </c>
      <c r="F407" s="2">
        <v>56618</v>
      </c>
      <c r="G407" s="2">
        <v>37017</v>
      </c>
      <c r="H407" s="2">
        <v>15344</v>
      </c>
      <c r="I407" s="2">
        <v>0</v>
      </c>
      <c r="J407" s="2"/>
      <c r="K407" s="2">
        <v>19116</v>
      </c>
      <c r="L407" s="2">
        <v>17609</v>
      </c>
      <c r="M407" s="2">
        <v>9800</v>
      </c>
      <c r="N407" s="2">
        <v>0</v>
      </c>
      <c r="O407" s="2">
        <v>0</v>
      </c>
      <c r="P407" s="2"/>
      <c r="Q407" s="2">
        <v>1239</v>
      </c>
      <c r="R407" s="2">
        <v>17332</v>
      </c>
      <c r="S407" s="2">
        <v>17931</v>
      </c>
      <c r="T407" s="2">
        <v>15344</v>
      </c>
      <c r="U407" s="2">
        <v>0</v>
      </c>
      <c r="V407" s="2"/>
      <c r="W407" s="2">
        <v>15133</v>
      </c>
      <c r="X407" s="2">
        <v>12285</v>
      </c>
      <c r="Y407" s="2">
        <v>0</v>
      </c>
      <c r="Z407" s="2">
        <v>0</v>
      </c>
      <c r="AA407" s="2">
        <v>0</v>
      </c>
      <c r="AB407" s="2"/>
      <c r="AC407" s="2">
        <v>12244</v>
      </c>
      <c r="AD407" s="2">
        <v>9392</v>
      </c>
      <c r="AE407" s="2">
        <v>9286</v>
      </c>
      <c r="AF407" s="2">
        <v>0</v>
      </c>
      <c r="AG407" s="2">
        <v>0</v>
      </c>
      <c r="AH407" s="2"/>
      <c r="AI407" s="2">
        <v>0</v>
      </c>
      <c r="AJ407" s="2">
        <v>0</v>
      </c>
      <c r="AK407" s="2">
        <v>0</v>
      </c>
      <c r="AL407" s="2">
        <v>0</v>
      </c>
      <c r="AM407" s="2">
        <v>0</v>
      </c>
    </row>
    <row r="408" spans="1:39">
      <c r="A408" s="351">
        <v>94031</v>
      </c>
      <c r="B408" s="344" t="s">
        <v>1101</v>
      </c>
      <c r="C408" s="360">
        <v>4.4000000000000002E-6</v>
      </c>
      <c r="E408" s="2">
        <v>4193</v>
      </c>
      <c r="F408" s="2">
        <v>4285</v>
      </c>
      <c r="G408" s="2">
        <v>2602</v>
      </c>
      <c r="H408" s="2">
        <v>655</v>
      </c>
      <c r="I408" s="2">
        <v>0</v>
      </c>
      <c r="J408" s="2"/>
      <c r="K408" s="2">
        <v>816</v>
      </c>
      <c r="L408" s="2">
        <v>751</v>
      </c>
      <c r="M408" s="2">
        <v>418</v>
      </c>
      <c r="N408" s="2">
        <v>0</v>
      </c>
      <c r="O408" s="2">
        <v>0</v>
      </c>
      <c r="P408" s="2"/>
      <c r="Q408" s="2">
        <v>53</v>
      </c>
      <c r="R408" s="2">
        <v>740</v>
      </c>
      <c r="S408" s="2">
        <v>765</v>
      </c>
      <c r="T408" s="2">
        <v>655</v>
      </c>
      <c r="U408" s="2">
        <v>0</v>
      </c>
      <c r="V408" s="2"/>
      <c r="W408" s="2">
        <v>646</v>
      </c>
      <c r="X408" s="2">
        <v>524</v>
      </c>
      <c r="Y408" s="2">
        <v>0</v>
      </c>
      <c r="Z408" s="2">
        <v>0</v>
      </c>
      <c r="AA408" s="2">
        <v>0</v>
      </c>
      <c r="AB408" s="2"/>
      <c r="AC408" s="2">
        <v>2678</v>
      </c>
      <c r="AD408" s="2">
        <v>2270</v>
      </c>
      <c r="AE408" s="2">
        <v>1419</v>
      </c>
      <c r="AF408" s="2">
        <v>0</v>
      </c>
      <c r="AG408" s="2">
        <v>0</v>
      </c>
      <c r="AH408" s="2"/>
      <c r="AI408" s="2">
        <v>0</v>
      </c>
      <c r="AJ408" s="2">
        <v>0</v>
      </c>
      <c r="AK408" s="2">
        <v>0</v>
      </c>
      <c r="AL408" s="2">
        <v>0</v>
      </c>
      <c r="AM408" s="2">
        <v>0</v>
      </c>
    </row>
    <row r="409" spans="1:39">
      <c r="A409" s="351">
        <v>94101</v>
      </c>
      <c r="B409" s="344" t="s">
        <v>1102</v>
      </c>
      <c r="C409" s="360">
        <v>1.7262900000000001E-2</v>
      </c>
      <c r="E409" s="2">
        <v>5839285</v>
      </c>
      <c r="F409" s="2">
        <v>7814114</v>
      </c>
      <c r="G409" s="2">
        <v>4541634</v>
      </c>
      <c r="H409" s="2">
        <v>2569099</v>
      </c>
      <c r="I409" s="2">
        <v>0</v>
      </c>
      <c r="J409" s="2"/>
      <c r="K409" s="2">
        <v>3200697</v>
      </c>
      <c r="L409" s="2">
        <v>2948400</v>
      </c>
      <c r="M409" s="2">
        <v>1640977</v>
      </c>
      <c r="N409" s="2">
        <v>0</v>
      </c>
      <c r="O409" s="2">
        <v>0</v>
      </c>
      <c r="P409" s="2"/>
      <c r="Q409" s="2">
        <v>207483</v>
      </c>
      <c r="R409" s="2">
        <v>2901980</v>
      </c>
      <c r="S409" s="2">
        <v>3002329</v>
      </c>
      <c r="T409" s="2">
        <v>2569099</v>
      </c>
      <c r="U409" s="2">
        <v>0</v>
      </c>
      <c r="V409" s="2"/>
      <c r="W409" s="2">
        <v>2533779</v>
      </c>
      <c r="X409" s="2">
        <v>2056995</v>
      </c>
      <c r="Y409" s="2">
        <v>0</v>
      </c>
      <c r="Z409" s="2">
        <v>0</v>
      </c>
      <c r="AA409" s="2">
        <v>0</v>
      </c>
      <c r="AB409" s="2"/>
      <c r="AC409" s="2">
        <v>8414</v>
      </c>
      <c r="AD409" s="2">
        <v>8414</v>
      </c>
      <c r="AE409" s="2">
        <v>0</v>
      </c>
      <c r="AF409" s="2">
        <v>0</v>
      </c>
      <c r="AG409" s="2">
        <v>0</v>
      </c>
      <c r="AH409" s="2"/>
      <c r="AI409" s="2">
        <v>-111088</v>
      </c>
      <c r="AJ409" s="2">
        <v>-101675</v>
      </c>
      <c r="AK409" s="2">
        <v>-101672</v>
      </c>
      <c r="AL409" s="2">
        <v>0</v>
      </c>
      <c r="AM409" s="2">
        <v>-101675</v>
      </c>
    </row>
    <row r="410" spans="1:39">
      <c r="A410" s="351">
        <v>94102</v>
      </c>
      <c r="B410" s="344" t="s">
        <v>1103</v>
      </c>
      <c r="C410" s="360">
        <v>3.8249999999999997E-4</v>
      </c>
      <c r="E410" s="2">
        <v>127464</v>
      </c>
      <c r="F410" s="2">
        <v>173838</v>
      </c>
      <c r="G410" s="2">
        <v>109168</v>
      </c>
      <c r="H410" s="2">
        <v>56924</v>
      </c>
      <c r="I410" s="2">
        <v>0</v>
      </c>
      <c r="J410" s="2"/>
      <c r="K410" s="2">
        <v>70919</v>
      </c>
      <c r="L410" s="2">
        <v>65329</v>
      </c>
      <c r="M410" s="2">
        <v>36360</v>
      </c>
      <c r="N410" s="2">
        <v>0</v>
      </c>
      <c r="O410" s="2">
        <v>0</v>
      </c>
      <c r="P410" s="2"/>
      <c r="Q410" s="2">
        <v>4597</v>
      </c>
      <c r="R410" s="2">
        <v>64300</v>
      </c>
      <c r="S410" s="2">
        <v>66524</v>
      </c>
      <c r="T410" s="2">
        <v>56924</v>
      </c>
      <c r="U410" s="2">
        <v>0</v>
      </c>
      <c r="V410" s="2"/>
      <c r="W410" s="2">
        <v>56142</v>
      </c>
      <c r="X410" s="2">
        <v>45578</v>
      </c>
      <c r="Y410" s="2">
        <v>0</v>
      </c>
      <c r="Z410" s="2">
        <v>0</v>
      </c>
      <c r="AA410" s="2">
        <v>0</v>
      </c>
      <c r="AB410" s="2"/>
      <c r="AC410" s="2">
        <v>6283</v>
      </c>
      <c r="AD410" s="2">
        <v>6283</v>
      </c>
      <c r="AE410" s="2">
        <v>6284</v>
      </c>
      <c r="AF410" s="2">
        <v>0</v>
      </c>
      <c r="AG410" s="2">
        <v>0</v>
      </c>
      <c r="AH410" s="2"/>
      <c r="AI410" s="2">
        <v>-10477</v>
      </c>
      <c r="AJ410" s="2">
        <v>-7652</v>
      </c>
      <c r="AK410" s="2">
        <v>0</v>
      </c>
      <c r="AL410" s="2">
        <v>0</v>
      </c>
      <c r="AM410" s="2">
        <v>-7652</v>
      </c>
    </row>
    <row r="411" spans="1:39">
      <c r="A411" s="351">
        <v>94108</v>
      </c>
      <c r="B411" s="344" t="s">
        <v>3678</v>
      </c>
      <c r="C411" s="360">
        <v>4.2030000000000002E-4</v>
      </c>
      <c r="E411" s="2">
        <v>128853</v>
      </c>
      <c r="F411" s="2">
        <v>183646</v>
      </c>
      <c r="G411" s="2">
        <v>100778</v>
      </c>
      <c r="H411" s="2">
        <v>62550</v>
      </c>
      <c r="I411" s="2">
        <v>0</v>
      </c>
      <c r="J411" s="2"/>
      <c r="K411" s="2">
        <v>77927</v>
      </c>
      <c r="L411" s="2">
        <v>71785</v>
      </c>
      <c r="M411" s="2">
        <v>39953</v>
      </c>
      <c r="N411" s="2">
        <v>0</v>
      </c>
      <c r="O411" s="2">
        <v>0</v>
      </c>
      <c r="P411" s="2"/>
      <c r="Q411" s="2">
        <v>5052</v>
      </c>
      <c r="R411" s="2">
        <v>70655</v>
      </c>
      <c r="S411" s="2">
        <v>73098</v>
      </c>
      <c r="T411" s="2">
        <v>62550</v>
      </c>
      <c r="U411" s="2">
        <v>0</v>
      </c>
      <c r="V411" s="2"/>
      <c r="W411" s="2">
        <v>61690</v>
      </c>
      <c r="X411" s="2">
        <v>50082</v>
      </c>
      <c r="Y411" s="2">
        <v>0</v>
      </c>
      <c r="Z411" s="2">
        <v>0</v>
      </c>
      <c r="AA411" s="2">
        <v>0</v>
      </c>
      <c r="AB411" s="2"/>
      <c r="AC411" s="2">
        <v>3396</v>
      </c>
      <c r="AD411" s="2">
        <v>3398</v>
      </c>
      <c r="AE411" s="2">
        <v>0</v>
      </c>
      <c r="AF411" s="2">
        <v>0</v>
      </c>
      <c r="AG411" s="2">
        <v>0</v>
      </c>
      <c r="AH411" s="2"/>
      <c r="AI411" s="2">
        <v>-19212</v>
      </c>
      <c r="AJ411" s="2">
        <v>-12274</v>
      </c>
      <c r="AK411" s="2">
        <v>-12273</v>
      </c>
      <c r="AL411" s="2">
        <v>0</v>
      </c>
      <c r="AM411" s="2">
        <v>-12274</v>
      </c>
    </row>
    <row r="412" spans="1:39">
      <c r="A412" s="351">
        <v>94109</v>
      </c>
      <c r="B412" s="344" t="s">
        <v>3679</v>
      </c>
      <c r="C412" s="360">
        <v>1.059E-4</v>
      </c>
      <c r="E412" s="2">
        <v>25793</v>
      </c>
      <c r="F412" s="2">
        <v>42047</v>
      </c>
      <c r="G412" s="2">
        <v>23470</v>
      </c>
      <c r="H412" s="2">
        <v>15760</v>
      </c>
      <c r="I412" s="2">
        <v>0</v>
      </c>
      <c r="J412" s="2"/>
      <c r="K412" s="2">
        <v>19635</v>
      </c>
      <c r="L412" s="2">
        <v>18087</v>
      </c>
      <c r="M412" s="2">
        <v>10067</v>
      </c>
      <c r="N412" s="2">
        <v>0</v>
      </c>
      <c r="O412" s="2">
        <v>0</v>
      </c>
      <c r="P412" s="2"/>
      <c r="Q412" s="2">
        <v>1273</v>
      </c>
      <c r="R412" s="2">
        <v>17802</v>
      </c>
      <c r="S412" s="2">
        <v>18418</v>
      </c>
      <c r="T412" s="2">
        <v>15760</v>
      </c>
      <c r="U412" s="2">
        <v>0</v>
      </c>
      <c r="V412" s="2"/>
      <c r="W412" s="2">
        <v>15544</v>
      </c>
      <c r="X412" s="2">
        <v>12619</v>
      </c>
      <c r="Y412" s="2">
        <v>0</v>
      </c>
      <c r="Z412" s="2">
        <v>0</v>
      </c>
      <c r="AA412" s="2">
        <v>0</v>
      </c>
      <c r="AB412" s="2"/>
      <c r="AC412" s="2">
        <v>0</v>
      </c>
      <c r="AD412" s="2">
        <v>0</v>
      </c>
      <c r="AE412" s="2">
        <v>0</v>
      </c>
      <c r="AF412" s="2">
        <v>0</v>
      </c>
      <c r="AG412" s="2">
        <v>0</v>
      </c>
      <c r="AH412" s="2"/>
      <c r="AI412" s="2">
        <v>-10659</v>
      </c>
      <c r="AJ412" s="2">
        <v>-6461</v>
      </c>
      <c r="AK412" s="2">
        <v>-5015</v>
      </c>
      <c r="AL412" s="2">
        <v>0</v>
      </c>
      <c r="AM412" s="2">
        <v>-6461</v>
      </c>
    </row>
    <row r="413" spans="1:39">
      <c r="A413" s="351">
        <v>94111</v>
      </c>
      <c r="B413" s="344" t="s">
        <v>1106</v>
      </c>
      <c r="C413" s="360">
        <v>2.4351600000000001E-2</v>
      </c>
      <c r="E413" s="2">
        <v>7807524</v>
      </c>
      <c r="F413" s="2">
        <v>10674169</v>
      </c>
      <c r="G413" s="2">
        <v>6237020</v>
      </c>
      <c r="H413" s="2">
        <v>3624054</v>
      </c>
      <c r="I413" s="2">
        <v>0</v>
      </c>
      <c r="J413" s="2"/>
      <c r="K413" s="2">
        <v>4515006</v>
      </c>
      <c r="L413" s="2">
        <v>4159107</v>
      </c>
      <c r="M413" s="2">
        <v>2314814</v>
      </c>
      <c r="N413" s="2">
        <v>0</v>
      </c>
      <c r="O413" s="2">
        <v>0</v>
      </c>
      <c r="P413" s="2"/>
      <c r="Q413" s="2">
        <v>292682</v>
      </c>
      <c r="R413" s="2">
        <v>4093626</v>
      </c>
      <c r="S413" s="2">
        <v>4235182</v>
      </c>
      <c r="T413" s="2">
        <v>3624054</v>
      </c>
      <c r="U413" s="2">
        <v>0</v>
      </c>
      <c r="V413" s="2"/>
      <c r="W413" s="2">
        <v>3574230</v>
      </c>
      <c r="X413" s="2">
        <v>2901664</v>
      </c>
      <c r="Y413" s="2">
        <v>0</v>
      </c>
      <c r="Z413" s="2">
        <v>0</v>
      </c>
      <c r="AA413" s="2">
        <v>0</v>
      </c>
      <c r="AB413" s="2"/>
      <c r="AC413" s="2">
        <v>0</v>
      </c>
      <c r="AD413" s="2">
        <v>0</v>
      </c>
      <c r="AE413" s="2">
        <v>0</v>
      </c>
      <c r="AF413" s="2">
        <v>0</v>
      </c>
      <c r="AG413" s="2">
        <v>0</v>
      </c>
      <c r="AH413" s="2"/>
      <c r="AI413" s="2">
        <v>-574394</v>
      </c>
      <c r="AJ413" s="2">
        <v>-480228</v>
      </c>
      <c r="AK413" s="2">
        <v>-312976</v>
      </c>
      <c r="AL413" s="2">
        <v>0</v>
      </c>
      <c r="AM413" s="2">
        <v>-480228</v>
      </c>
    </row>
    <row r="414" spans="1:39">
      <c r="A414" s="351">
        <v>94112</v>
      </c>
      <c r="B414" s="344" t="s">
        <v>3680</v>
      </c>
      <c r="C414" s="360">
        <v>1.4980000000000001E-4</v>
      </c>
      <c r="E414" s="2">
        <v>40228</v>
      </c>
      <c r="F414" s="2">
        <v>58604</v>
      </c>
      <c r="G414" s="2">
        <v>31168</v>
      </c>
      <c r="H414" s="2">
        <v>22294</v>
      </c>
      <c r="I414" s="2">
        <v>0</v>
      </c>
      <c r="J414" s="2"/>
      <c r="K414" s="2">
        <v>27774</v>
      </c>
      <c r="L414" s="2">
        <v>25585</v>
      </c>
      <c r="M414" s="2">
        <v>14240</v>
      </c>
      <c r="N414" s="2">
        <v>0</v>
      </c>
      <c r="O414" s="2">
        <v>0</v>
      </c>
      <c r="P414" s="2"/>
      <c r="Q414" s="2">
        <v>1800</v>
      </c>
      <c r="R414" s="2">
        <v>25182</v>
      </c>
      <c r="S414" s="2">
        <v>26053</v>
      </c>
      <c r="T414" s="2">
        <v>22294</v>
      </c>
      <c r="U414" s="2">
        <v>0</v>
      </c>
      <c r="V414" s="2"/>
      <c r="W414" s="2">
        <v>21987</v>
      </c>
      <c r="X414" s="2">
        <v>17850</v>
      </c>
      <c r="Y414" s="2">
        <v>0</v>
      </c>
      <c r="Z414" s="2">
        <v>0</v>
      </c>
      <c r="AA414" s="2">
        <v>0</v>
      </c>
      <c r="AB414" s="2"/>
      <c r="AC414" s="2">
        <v>0</v>
      </c>
      <c r="AD414" s="2">
        <v>0</v>
      </c>
      <c r="AE414" s="2">
        <v>0</v>
      </c>
      <c r="AF414" s="2">
        <v>0</v>
      </c>
      <c r="AG414" s="2">
        <v>0</v>
      </c>
      <c r="AH414" s="2"/>
      <c r="AI414" s="2">
        <v>-11333</v>
      </c>
      <c r="AJ414" s="2">
        <v>-10013</v>
      </c>
      <c r="AK414" s="2">
        <v>-9125</v>
      </c>
      <c r="AL414" s="2">
        <v>0</v>
      </c>
      <c r="AM414" s="2">
        <v>-10013</v>
      </c>
    </row>
    <row r="415" spans="1:39">
      <c r="A415" s="351">
        <v>94117</v>
      </c>
      <c r="B415" s="344" t="s">
        <v>2814</v>
      </c>
      <c r="C415" s="360">
        <v>3.1700000000000001E-4</v>
      </c>
      <c r="E415" s="2">
        <v>108965</v>
      </c>
      <c r="F415" s="2">
        <v>147166</v>
      </c>
      <c r="G415" s="2">
        <v>93181</v>
      </c>
      <c r="H415" s="2">
        <v>47177</v>
      </c>
      <c r="I415" s="2">
        <v>0</v>
      </c>
      <c r="J415" s="2"/>
      <c r="K415" s="2">
        <v>58775</v>
      </c>
      <c r="L415" s="2">
        <v>54142</v>
      </c>
      <c r="M415" s="2">
        <v>30133</v>
      </c>
      <c r="N415" s="2">
        <v>0</v>
      </c>
      <c r="O415" s="2">
        <v>0</v>
      </c>
      <c r="P415" s="2"/>
      <c r="Q415" s="2">
        <v>3810</v>
      </c>
      <c r="R415" s="2">
        <v>53289</v>
      </c>
      <c r="S415" s="2">
        <v>55132</v>
      </c>
      <c r="T415" s="2">
        <v>47177</v>
      </c>
      <c r="U415" s="2">
        <v>0</v>
      </c>
      <c r="V415" s="2"/>
      <c r="W415" s="2">
        <v>46528</v>
      </c>
      <c r="X415" s="2">
        <v>37773</v>
      </c>
      <c r="Y415" s="2">
        <v>0</v>
      </c>
      <c r="Z415" s="2">
        <v>0</v>
      </c>
      <c r="AA415" s="2">
        <v>0</v>
      </c>
      <c r="AB415" s="2"/>
      <c r="AC415" s="2">
        <v>9807</v>
      </c>
      <c r="AD415" s="2">
        <v>9807</v>
      </c>
      <c r="AE415" s="2">
        <v>9807</v>
      </c>
      <c r="AF415" s="2">
        <v>0</v>
      </c>
      <c r="AG415" s="2">
        <v>0</v>
      </c>
      <c r="AH415" s="2"/>
      <c r="AI415" s="2">
        <v>-9955</v>
      </c>
      <c r="AJ415" s="2">
        <v>-7845</v>
      </c>
      <c r="AK415" s="2">
        <v>-1891</v>
      </c>
      <c r="AL415" s="2">
        <v>0</v>
      </c>
      <c r="AM415" s="2">
        <v>-7845</v>
      </c>
    </row>
    <row r="416" spans="1:39">
      <c r="A416" s="351">
        <v>94118</v>
      </c>
      <c r="B416" s="344" t="s">
        <v>1109</v>
      </c>
      <c r="C416" s="360">
        <v>1.5530000000000001E-4</v>
      </c>
      <c r="E416" s="2">
        <v>39038</v>
      </c>
      <c r="F416" s="2">
        <v>61270</v>
      </c>
      <c r="G416" s="2">
        <v>32755</v>
      </c>
      <c r="H416" s="2">
        <v>23112</v>
      </c>
      <c r="I416" s="2">
        <v>0</v>
      </c>
      <c r="J416" s="2"/>
      <c r="K416" s="2">
        <v>28794</v>
      </c>
      <c r="L416" s="2">
        <v>26524</v>
      </c>
      <c r="M416" s="2">
        <v>14763</v>
      </c>
      <c r="N416" s="2">
        <v>0</v>
      </c>
      <c r="O416" s="2">
        <v>0</v>
      </c>
      <c r="P416" s="2"/>
      <c r="Q416" s="2">
        <v>1867</v>
      </c>
      <c r="R416" s="2">
        <v>26107</v>
      </c>
      <c r="S416" s="2">
        <v>27009</v>
      </c>
      <c r="T416" s="2">
        <v>23112</v>
      </c>
      <c r="U416" s="2">
        <v>0</v>
      </c>
      <c r="V416" s="2"/>
      <c r="W416" s="2">
        <v>22794</v>
      </c>
      <c r="X416" s="2">
        <v>18505</v>
      </c>
      <c r="Y416" s="2">
        <v>0</v>
      </c>
      <c r="Z416" s="2">
        <v>0</v>
      </c>
      <c r="AA416" s="2">
        <v>0</v>
      </c>
      <c r="AB416" s="2"/>
      <c r="AC416" s="2">
        <v>0</v>
      </c>
      <c r="AD416" s="2">
        <v>0</v>
      </c>
      <c r="AE416" s="2">
        <v>0</v>
      </c>
      <c r="AF416" s="2">
        <v>0</v>
      </c>
      <c r="AG416" s="2">
        <v>0</v>
      </c>
      <c r="AH416" s="2"/>
      <c r="AI416" s="2">
        <v>-14417</v>
      </c>
      <c r="AJ416" s="2">
        <v>-9866</v>
      </c>
      <c r="AK416" s="2">
        <v>-9017</v>
      </c>
      <c r="AL416" s="2">
        <v>0</v>
      </c>
      <c r="AM416" s="2">
        <v>-9866</v>
      </c>
    </row>
    <row r="417" spans="1:39">
      <c r="A417" s="351">
        <v>94121</v>
      </c>
      <c r="B417" s="344" t="s">
        <v>1110</v>
      </c>
      <c r="C417" s="360">
        <v>1.1174099999999999E-2</v>
      </c>
      <c r="E417" s="2">
        <v>3988596</v>
      </c>
      <c r="F417" s="2">
        <v>5251313</v>
      </c>
      <c r="G417" s="2">
        <v>3104039</v>
      </c>
      <c r="H417" s="2">
        <v>1662952</v>
      </c>
      <c r="I417" s="2">
        <v>0</v>
      </c>
      <c r="J417" s="2"/>
      <c r="K417" s="2">
        <v>2071779</v>
      </c>
      <c r="L417" s="2">
        <v>1908469</v>
      </c>
      <c r="M417" s="2">
        <v>1062188</v>
      </c>
      <c r="N417" s="2">
        <v>0</v>
      </c>
      <c r="O417" s="2">
        <v>0</v>
      </c>
      <c r="P417" s="2"/>
      <c r="Q417" s="2">
        <v>134302</v>
      </c>
      <c r="R417" s="2">
        <v>1878422</v>
      </c>
      <c r="S417" s="2">
        <v>1943377</v>
      </c>
      <c r="T417" s="2">
        <v>1662952</v>
      </c>
      <c r="U417" s="2">
        <v>0</v>
      </c>
      <c r="V417" s="2"/>
      <c r="W417" s="2">
        <v>1640090</v>
      </c>
      <c r="X417" s="2">
        <v>1331472</v>
      </c>
      <c r="Y417" s="2">
        <v>0</v>
      </c>
      <c r="Z417" s="2">
        <v>0</v>
      </c>
      <c r="AA417" s="2">
        <v>0</v>
      </c>
      <c r="AB417" s="2"/>
      <c r="AC417" s="2">
        <v>142425</v>
      </c>
      <c r="AD417" s="2">
        <v>132950</v>
      </c>
      <c r="AE417" s="2">
        <v>98474</v>
      </c>
      <c r="AF417" s="2">
        <v>0</v>
      </c>
      <c r="AG417" s="2">
        <v>0</v>
      </c>
      <c r="AH417" s="2"/>
      <c r="AI417" s="2">
        <v>0</v>
      </c>
      <c r="AJ417" s="2">
        <v>0</v>
      </c>
      <c r="AK417" s="2">
        <v>0</v>
      </c>
      <c r="AL417" s="2">
        <v>0</v>
      </c>
      <c r="AM417" s="2">
        <v>0</v>
      </c>
    </row>
    <row r="418" spans="1:39">
      <c r="A418" s="351">
        <v>94127</v>
      </c>
      <c r="B418" s="344" t="s">
        <v>2812</v>
      </c>
      <c r="C418" s="360">
        <v>1.46E-4</v>
      </c>
      <c r="E418" s="2">
        <v>51500</v>
      </c>
      <c r="F418" s="2">
        <v>66593</v>
      </c>
      <c r="G418" s="2">
        <v>42109</v>
      </c>
      <c r="H418" s="2">
        <v>21728</v>
      </c>
      <c r="I418" s="2">
        <v>0</v>
      </c>
      <c r="J418" s="2"/>
      <c r="K418" s="2">
        <v>27070</v>
      </c>
      <c r="L418" s="2">
        <v>24936</v>
      </c>
      <c r="M418" s="2">
        <v>13878</v>
      </c>
      <c r="N418" s="2">
        <v>0</v>
      </c>
      <c r="O418" s="2">
        <v>0</v>
      </c>
      <c r="P418" s="2"/>
      <c r="Q418" s="2">
        <v>1755</v>
      </c>
      <c r="R418" s="2">
        <v>24543</v>
      </c>
      <c r="S418" s="2">
        <v>25392</v>
      </c>
      <c r="T418" s="2">
        <v>21728</v>
      </c>
      <c r="U418" s="2">
        <v>0</v>
      </c>
      <c r="V418" s="2"/>
      <c r="W418" s="2">
        <v>21429</v>
      </c>
      <c r="X418" s="2">
        <v>17397</v>
      </c>
      <c r="Y418" s="2">
        <v>0</v>
      </c>
      <c r="Z418" s="2">
        <v>0</v>
      </c>
      <c r="AA418" s="2">
        <v>0</v>
      </c>
      <c r="AB418" s="2"/>
      <c r="AC418" s="2">
        <v>5846</v>
      </c>
      <c r="AD418" s="2">
        <v>4319</v>
      </c>
      <c r="AE418" s="2">
        <v>4320</v>
      </c>
      <c r="AF418" s="2">
        <v>0</v>
      </c>
      <c r="AG418" s="2">
        <v>0</v>
      </c>
      <c r="AH418" s="2"/>
      <c r="AI418" s="2">
        <v>-4600</v>
      </c>
      <c r="AJ418" s="2">
        <v>-4602</v>
      </c>
      <c r="AK418" s="2">
        <v>-1481</v>
      </c>
      <c r="AL418" s="2">
        <v>0</v>
      </c>
      <c r="AM418" s="2">
        <v>-4602</v>
      </c>
    </row>
    <row r="419" spans="1:39">
      <c r="A419" s="351">
        <v>94131</v>
      </c>
      <c r="B419" s="344" t="s">
        <v>1112</v>
      </c>
      <c r="C419" s="360">
        <v>2.1269999999999999E-4</v>
      </c>
      <c r="E419" s="2">
        <v>79995</v>
      </c>
      <c r="F419" s="2">
        <v>106338</v>
      </c>
      <c r="G419" s="2">
        <v>59953</v>
      </c>
      <c r="H419" s="2">
        <v>31654</v>
      </c>
      <c r="I419" s="2">
        <v>0</v>
      </c>
      <c r="J419" s="2"/>
      <c r="K419" s="2">
        <v>39436</v>
      </c>
      <c r="L419" s="2">
        <v>36328</v>
      </c>
      <c r="M419" s="2">
        <v>20219</v>
      </c>
      <c r="N419" s="2">
        <v>0</v>
      </c>
      <c r="O419" s="2">
        <v>0</v>
      </c>
      <c r="P419" s="2"/>
      <c r="Q419" s="2">
        <v>2556</v>
      </c>
      <c r="R419" s="2">
        <v>35756</v>
      </c>
      <c r="S419" s="2">
        <v>36992</v>
      </c>
      <c r="T419" s="2">
        <v>31654</v>
      </c>
      <c r="U419" s="2">
        <v>0</v>
      </c>
      <c r="V419" s="2"/>
      <c r="W419" s="2">
        <v>31219</v>
      </c>
      <c r="X419" s="2">
        <v>25345</v>
      </c>
      <c r="Y419" s="2">
        <v>0</v>
      </c>
      <c r="Z419" s="2">
        <v>0</v>
      </c>
      <c r="AA419" s="2">
        <v>0</v>
      </c>
      <c r="AB419" s="2"/>
      <c r="AC419" s="2">
        <v>8911</v>
      </c>
      <c r="AD419" s="2">
        <v>8909</v>
      </c>
      <c r="AE419" s="2">
        <v>2742</v>
      </c>
      <c r="AF419" s="2">
        <v>0</v>
      </c>
      <c r="AG419" s="2">
        <v>0</v>
      </c>
      <c r="AH419" s="2"/>
      <c r="AI419" s="2">
        <v>-2127</v>
      </c>
      <c r="AJ419" s="2">
        <v>0</v>
      </c>
      <c r="AK419" s="2">
        <v>0</v>
      </c>
      <c r="AL419" s="2">
        <v>0</v>
      </c>
      <c r="AM419" s="2">
        <v>0</v>
      </c>
    </row>
    <row r="420" spans="1:39">
      <c r="A420" s="351">
        <v>94151</v>
      </c>
      <c r="B420" s="344" t="s">
        <v>1113</v>
      </c>
      <c r="C420" s="360">
        <v>4.3360000000000002E-4</v>
      </c>
      <c r="E420" s="2">
        <v>124811</v>
      </c>
      <c r="F420" s="2">
        <v>180263</v>
      </c>
      <c r="G420" s="2">
        <v>95243</v>
      </c>
      <c r="H420" s="2">
        <v>64529</v>
      </c>
      <c r="I420" s="2">
        <v>0</v>
      </c>
      <c r="J420" s="2"/>
      <c r="K420" s="2">
        <v>80393</v>
      </c>
      <c r="L420" s="2">
        <v>74056</v>
      </c>
      <c r="M420" s="2">
        <v>41217</v>
      </c>
      <c r="N420" s="2">
        <v>0</v>
      </c>
      <c r="O420" s="2">
        <v>0</v>
      </c>
      <c r="P420" s="2"/>
      <c r="Q420" s="2">
        <v>5211</v>
      </c>
      <c r="R420" s="2">
        <v>72890</v>
      </c>
      <c r="S420" s="2">
        <v>75411</v>
      </c>
      <c r="T420" s="2">
        <v>64529</v>
      </c>
      <c r="U420" s="2">
        <v>0</v>
      </c>
      <c r="V420" s="2"/>
      <c r="W420" s="2">
        <v>63642</v>
      </c>
      <c r="X420" s="2">
        <v>51666</v>
      </c>
      <c r="Y420" s="2">
        <v>0</v>
      </c>
      <c r="Z420" s="2">
        <v>0</v>
      </c>
      <c r="AA420" s="2">
        <v>0</v>
      </c>
      <c r="AB420" s="2"/>
      <c r="AC420" s="2">
        <v>3034</v>
      </c>
      <c r="AD420" s="2">
        <v>3036</v>
      </c>
      <c r="AE420" s="2">
        <v>0</v>
      </c>
      <c r="AF420" s="2">
        <v>0</v>
      </c>
      <c r="AG420" s="2">
        <v>0</v>
      </c>
      <c r="AH420" s="2"/>
      <c r="AI420" s="2">
        <v>-27469</v>
      </c>
      <c r="AJ420" s="2">
        <v>-21385</v>
      </c>
      <c r="AK420" s="2">
        <v>-21385</v>
      </c>
      <c r="AL420" s="2">
        <v>0</v>
      </c>
      <c r="AM420" s="2">
        <v>-21385</v>
      </c>
    </row>
    <row r="421" spans="1:39">
      <c r="A421" s="351">
        <v>94157</v>
      </c>
      <c r="B421" s="344" t="s">
        <v>1114</v>
      </c>
      <c r="C421" s="360">
        <v>9.7000000000000003E-6</v>
      </c>
      <c r="E421" s="2">
        <v>4657</v>
      </c>
      <c r="F421" s="2">
        <v>5626</v>
      </c>
      <c r="G421" s="2">
        <v>3660</v>
      </c>
      <c r="H421" s="2">
        <v>1444</v>
      </c>
      <c r="I421" s="2">
        <v>0</v>
      </c>
      <c r="J421" s="2"/>
      <c r="K421" s="2">
        <v>1798</v>
      </c>
      <c r="L421" s="2">
        <v>1657</v>
      </c>
      <c r="M421" s="2">
        <v>922</v>
      </c>
      <c r="N421" s="2">
        <v>0</v>
      </c>
      <c r="O421" s="2">
        <v>0</v>
      </c>
      <c r="P421" s="2"/>
      <c r="Q421" s="2">
        <v>117</v>
      </c>
      <c r="R421" s="2">
        <v>1631</v>
      </c>
      <c r="S421" s="2">
        <v>1687</v>
      </c>
      <c r="T421" s="2">
        <v>1444</v>
      </c>
      <c r="U421" s="2">
        <v>0</v>
      </c>
      <c r="V421" s="2"/>
      <c r="W421" s="2">
        <v>1424</v>
      </c>
      <c r="X421" s="2">
        <v>1156</v>
      </c>
      <c r="Y421" s="2">
        <v>0</v>
      </c>
      <c r="Z421" s="2">
        <v>0</v>
      </c>
      <c r="AA421" s="2">
        <v>0</v>
      </c>
      <c r="AB421" s="2"/>
      <c r="AC421" s="2">
        <v>1318</v>
      </c>
      <c r="AD421" s="2">
        <v>1182</v>
      </c>
      <c r="AE421" s="2">
        <v>1051</v>
      </c>
      <c r="AF421" s="2">
        <v>0</v>
      </c>
      <c r="AG421" s="2">
        <v>0</v>
      </c>
      <c r="AH421" s="2"/>
      <c r="AI421" s="2">
        <v>0</v>
      </c>
      <c r="AJ421" s="2">
        <v>0</v>
      </c>
      <c r="AK421" s="2">
        <v>0</v>
      </c>
      <c r="AL421" s="2">
        <v>0</v>
      </c>
      <c r="AM421" s="2">
        <v>0</v>
      </c>
    </row>
    <row r="422" spans="1:39">
      <c r="A422" s="351">
        <v>94161</v>
      </c>
      <c r="B422" s="344" t="s">
        <v>1115</v>
      </c>
      <c r="C422" s="360">
        <v>4.9200000000000003E-5</v>
      </c>
      <c r="E422" s="2">
        <v>18660</v>
      </c>
      <c r="F422" s="2">
        <v>25048</v>
      </c>
      <c r="G422" s="2">
        <v>17610</v>
      </c>
      <c r="H422" s="2">
        <v>7322</v>
      </c>
      <c r="I422" s="2">
        <v>0</v>
      </c>
      <c r="J422" s="2"/>
      <c r="K422" s="2">
        <v>9122</v>
      </c>
      <c r="L422" s="2">
        <v>8403</v>
      </c>
      <c r="M422" s="2">
        <v>4677</v>
      </c>
      <c r="N422" s="2">
        <v>0</v>
      </c>
      <c r="O422" s="2">
        <v>0</v>
      </c>
      <c r="P422" s="2"/>
      <c r="Q422" s="2">
        <v>591</v>
      </c>
      <c r="R422" s="2">
        <v>8271</v>
      </c>
      <c r="S422" s="2">
        <v>8557</v>
      </c>
      <c r="T422" s="2">
        <v>7322</v>
      </c>
      <c r="U422" s="2">
        <v>0</v>
      </c>
      <c r="V422" s="2"/>
      <c r="W422" s="2">
        <v>7221</v>
      </c>
      <c r="X422" s="2">
        <v>5863</v>
      </c>
      <c r="Y422" s="2">
        <v>0</v>
      </c>
      <c r="Z422" s="2">
        <v>0</v>
      </c>
      <c r="AA422" s="2">
        <v>0</v>
      </c>
      <c r="AB422" s="2"/>
      <c r="AC422" s="2">
        <v>4376</v>
      </c>
      <c r="AD422" s="2">
        <v>4376</v>
      </c>
      <c r="AE422" s="2">
        <v>4376</v>
      </c>
      <c r="AF422" s="2">
        <v>0</v>
      </c>
      <c r="AG422" s="2">
        <v>0</v>
      </c>
      <c r="AH422" s="2"/>
      <c r="AI422" s="2">
        <v>-2650</v>
      </c>
      <c r="AJ422" s="2">
        <v>-1865</v>
      </c>
      <c r="AK422" s="2">
        <v>0</v>
      </c>
      <c r="AL422" s="2">
        <v>0</v>
      </c>
      <c r="AM422" s="2">
        <v>-1865</v>
      </c>
    </row>
    <row r="423" spans="1:39">
      <c r="A423" s="351">
        <v>94168</v>
      </c>
      <c r="B423" s="344" t="s">
        <v>1116</v>
      </c>
      <c r="C423" s="360">
        <v>6.6600000000000006E-5</v>
      </c>
      <c r="E423" s="2">
        <v>30466</v>
      </c>
      <c r="F423" s="2">
        <v>38852</v>
      </c>
      <c r="G423" s="2">
        <v>22269</v>
      </c>
      <c r="H423" s="2">
        <v>9912</v>
      </c>
      <c r="I423" s="2">
        <v>0</v>
      </c>
      <c r="J423" s="2"/>
      <c r="K423" s="2">
        <v>12348</v>
      </c>
      <c r="L423" s="2">
        <v>11375</v>
      </c>
      <c r="M423" s="2">
        <v>6331</v>
      </c>
      <c r="N423" s="2">
        <v>0</v>
      </c>
      <c r="O423" s="2">
        <v>0</v>
      </c>
      <c r="P423" s="2"/>
      <c r="Q423" s="2">
        <v>800</v>
      </c>
      <c r="R423" s="2">
        <v>11196</v>
      </c>
      <c r="S423" s="2">
        <v>11583</v>
      </c>
      <c r="T423" s="2">
        <v>9912</v>
      </c>
      <c r="U423" s="2">
        <v>0</v>
      </c>
      <c r="V423" s="2"/>
      <c r="W423" s="2">
        <v>9775</v>
      </c>
      <c r="X423" s="2">
        <v>7936</v>
      </c>
      <c r="Y423" s="2">
        <v>0</v>
      </c>
      <c r="Z423" s="2">
        <v>0</v>
      </c>
      <c r="AA423" s="2">
        <v>0</v>
      </c>
      <c r="AB423" s="2"/>
      <c r="AC423" s="2">
        <v>8343</v>
      </c>
      <c r="AD423" s="2">
        <v>8345</v>
      </c>
      <c r="AE423" s="2">
        <v>4355</v>
      </c>
      <c r="AF423" s="2">
        <v>0</v>
      </c>
      <c r="AG423" s="2">
        <v>0</v>
      </c>
      <c r="AH423" s="2"/>
      <c r="AI423" s="2">
        <v>-800</v>
      </c>
      <c r="AJ423" s="2">
        <v>0</v>
      </c>
      <c r="AK423" s="2">
        <v>0</v>
      </c>
      <c r="AL423" s="2">
        <v>0</v>
      </c>
      <c r="AM423" s="2">
        <v>0</v>
      </c>
    </row>
    <row r="424" spans="1:39">
      <c r="A424" s="351">
        <v>94171</v>
      </c>
      <c r="B424" s="344" t="s">
        <v>1117</v>
      </c>
      <c r="C424" s="360">
        <v>6.9999999999999994E-5</v>
      </c>
      <c r="E424" s="2">
        <v>23891</v>
      </c>
      <c r="F424" s="2">
        <v>30427</v>
      </c>
      <c r="G424" s="2">
        <v>16736</v>
      </c>
      <c r="H424" s="2">
        <v>10418</v>
      </c>
      <c r="I424" s="2">
        <v>0</v>
      </c>
      <c r="J424" s="2"/>
      <c r="K424" s="2">
        <v>12979</v>
      </c>
      <c r="L424" s="2">
        <v>11956</v>
      </c>
      <c r="M424" s="2">
        <v>6654</v>
      </c>
      <c r="N424" s="2">
        <v>0</v>
      </c>
      <c r="O424" s="2">
        <v>0</v>
      </c>
      <c r="P424" s="2"/>
      <c r="Q424" s="2">
        <v>841</v>
      </c>
      <c r="R424" s="2">
        <v>11767</v>
      </c>
      <c r="S424" s="2">
        <v>12174</v>
      </c>
      <c r="T424" s="2">
        <v>10418</v>
      </c>
      <c r="U424" s="2">
        <v>0</v>
      </c>
      <c r="V424" s="2"/>
      <c r="W424" s="2">
        <v>10274</v>
      </c>
      <c r="X424" s="2">
        <v>8341</v>
      </c>
      <c r="Y424" s="2">
        <v>0</v>
      </c>
      <c r="Z424" s="2">
        <v>0</v>
      </c>
      <c r="AA424" s="2">
        <v>0</v>
      </c>
      <c r="AB424" s="2"/>
      <c r="AC424" s="2">
        <v>3944</v>
      </c>
      <c r="AD424" s="2">
        <v>2510</v>
      </c>
      <c r="AE424" s="2">
        <v>2054</v>
      </c>
      <c r="AF424" s="2">
        <v>0</v>
      </c>
      <c r="AG424" s="2">
        <v>0</v>
      </c>
      <c r="AH424" s="2"/>
      <c r="AI424" s="2">
        <v>-4147</v>
      </c>
      <c r="AJ424" s="2">
        <v>-4147</v>
      </c>
      <c r="AK424" s="2">
        <v>-4146</v>
      </c>
      <c r="AL424" s="2">
        <v>0</v>
      </c>
      <c r="AM424" s="2">
        <v>-4147</v>
      </c>
    </row>
    <row r="425" spans="1:39">
      <c r="A425" s="351">
        <v>94172</v>
      </c>
      <c r="B425" s="344" t="s">
        <v>1118</v>
      </c>
      <c r="C425" s="360">
        <v>2.7050000000000002E-4</v>
      </c>
      <c r="E425" s="2">
        <v>62816</v>
      </c>
      <c r="F425" s="2">
        <v>100129</v>
      </c>
      <c r="G425" s="2">
        <v>52214</v>
      </c>
      <c r="H425" s="2">
        <v>40256</v>
      </c>
      <c r="I425" s="2">
        <v>0</v>
      </c>
      <c r="J425" s="2"/>
      <c r="K425" s="2">
        <v>50153</v>
      </c>
      <c r="L425" s="2">
        <v>46200</v>
      </c>
      <c r="M425" s="2">
        <v>25713</v>
      </c>
      <c r="N425" s="2">
        <v>0</v>
      </c>
      <c r="O425" s="2">
        <v>0</v>
      </c>
      <c r="P425" s="2"/>
      <c r="Q425" s="2">
        <v>3251</v>
      </c>
      <c r="R425" s="2">
        <v>45472</v>
      </c>
      <c r="S425" s="2">
        <v>47045</v>
      </c>
      <c r="T425" s="2">
        <v>40256</v>
      </c>
      <c r="U425" s="2">
        <v>0</v>
      </c>
      <c r="V425" s="2"/>
      <c r="W425" s="2">
        <v>39703</v>
      </c>
      <c r="X425" s="2">
        <v>32232</v>
      </c>
      <c r="Y425" s="2">
        <v>0</v>
      </c>
      <c r="Z425" s="2">
        <v>0</v>
      </c>
      <c r="AA425" s="2">
        <v>0</v>
      </c>
      <c r="AB425" s="2"/>
      <c r="AC425" s="2">
        <v>0</v>
      </c>
      <c r="AD425" s="2">
        <v>0</v>
      </c>
      <c r="AE425" s="2">
        <v>0</v>
      </c>
      <c r="AF425" s="2">
        <v>0</v>
      </c>
      <c r="AG425" s="2">
        <v>0</v>
      </c>
      <c r="AH425" s="2"/>
      <c r="AI425" s="2">
        <v>-30291</v>
      </c>
      <c r="AJ425" s="2">
        <v>-23775</v>
      </c>
      <c r="AK425" s="2">
        <v>-20544</v>
      </c>
      <c r="AL425" s="2">
        <v>0</v>
      </c>
      <c r="AM425" s="2">
        <v>-23775</v>
      </c>
    </row>
    <row r="426" spans="1:39">
      <c r="A426" s="351">
        <v>94201</v>
      </c>
      <c r="B426" s="344" t="s">
        <v>1119</v>
      </c>
      <c r="C426" s="360">
        <v>3.0286000000000002E-3</v>
      </c>
      <c r="E426" s="2">
        <v>944289</v>
      </c>
      <c r="F426" s="2">
        <v>1306268</v>
      </c>
      <c r="G426" s="2">
        <v>741976</v>
      </c>
      <c r="H426" s="2">
        <v>450722</v>
      </c>
      <c r="I426" s="2">
        <v>0</v>
      </c>
      <c r="J426" s="2"/>
      <c r="K426" s="2">
        <v>561530</v>
      </c>
      <c r="L426" s="2">
        <v>517267</v>
      </c>
      <c r="M426" s="2">
        <v>287893</v>
      </c>
      <c r="N426" s="2">
        <v>0</v>
      </c>
      <c r="O426" s="2">
        <v>0</v>
      </c>
      <c r="P426" s="2"/>
      <c r="Q426" s="2">
        <v>36401</v>
      </c>
      <c r="R426" s="2">
        <v>509123</v>
      </c>
      <c r="S426" s="2">
        <v>526728</v>
      </c>
      <c r="T426" s="2">
        <v>450722</v>
      </c>
      <c r="U426" s="2">
        <v>0</v>
      </c>
      <c r="V426" s="2"/>
      <c r="W426" s="2">
        <v>444526</v>
      </c>
      <c r="X426" s="2">
        <v>360879</v>
      </c>
      <c r="Y426" s="2">
        <v>0</v>
      </c>
      <c r="Z426" s="2">
        <v>0</v>
      </c>
      <c r="AA426" s="2">
        <v>0</v>
      </c>
      <c r="AB426" s="2"/>
      <c r="AC426" s="2">
        <v>2616</v>
      </c>
      <c r="AD426" s="2">
        <v>2616</v>
      </c>
      <c r="AE426" s="2">
        <v>2614</v>
      </c>
      <c r="AF426" s="2">
        <v>0</v>
      </c>
      <c r="AG426" s="2">
        <v>0</v>
      </c>
      <c r="AH426" s="2"/>
      <c r="AI426" s="2">
        <v>-100784</v>
      </c>
      <c r="AJ426" s="2">
        <v>-83617</v>
      </c>
      <c r="AK426" s="2">
        <v>-75259</v>
      </c>
      <c r="AL426" s="2">
        <v>0</v>
      </c>
      <c r="AM426" s="2">
        <v>-83617</v>
      </c>
    </row>
    <row r="427" spans="1:39">
      <c r="A427" s="351">
        <v>94204</v>
      </c>
      <c r="B427" s="344" t="s">
        <v>1120</v>
      </c>
      <c r="C427" s="360">
        <v>3.3500000000000001E-5</v>
      </c>
      <c r="E427" s="2">
        <v>18137</v>
      </c>
      <c r="F427" s="2">
        <v>20678</v>
      </c>
      <c r="G427" s="2">
        <v>13067</v>
      </c>
      <c r="H427" s="2">
        <v>4986</v>
      </c>
      <c r="I427" s="2">
        <v>0</v>
      </c>
      <c r="J427" s="2"/>
      <c r="K427" s="2">
        <v>6211</v>
      </c>
      <c r="L427" s="2">
        <v>5722</v>
      </c>
      <c r="M427" s="2">
        <v>3184</v>
      </c>
      <c r="N427" s="2">
        <v>0</v>
      </c>
      <c r="O427" s="2">
        <v>0</v>
      </c>
      <c r="P427" s="2"/>
      <c r="Q427" s="2">
        <v>403</v>
      </c>
      <c r="R427" s="2">
        <v>5632</v>
      </c>
      <c r="S427" s="2">
        <v>5826</v>
      </c>
      <c r="T427" s="2">
        <v>4986</v>
      </c>
      <c r="U427" s="2">
        <v>0</v>
      </c>
      <c r="V427" s="2"/>
      <c r="W427" s="2">
        <v>4917</v>
      </c>
      <c r="X427" s="2">
        <v>3992</v>
      </c>
      <c r="Y427" s="2">
        <v>0</v>
      </c>
      <c r="Z427" s="2">
        <v>0</v>
      </c>
      <c r="AA427" s="2">
        <v>0</v>
      </c>
      <c r="AB427" s="2"/>
      <c r="AC427" s="2">
        <v>6606</v>
      </c>
      <c r="AD427" s="2">
        <v>5332</v>
      </c>
      <c r="AE427" s="2">
        <v>4057</v>
      </c>
      <c r="AF427" s="2">
        <v>0</v>
      </c>
      <c r="AG427" s="2">
        <v>0</v>
      </c>
      <c r="AH427" s="2"/>
      <c r="AI427" s="2">
        <v>0</v>
      </c>
      <c r="AJ427" s="2">
        <v>0</v>
      </c>
      <c r="AK427" s="2">
        <v>0</v>
      </c>
      <c r="AL427" s="2">
        <v>0</v>
      </c>
      <c r="AM427" s="2">
        <v>0</v>
      </c>
    </row>
    <row r="428" spans="1:39">
      <c r="A428" s="351">
        <v>94205</v>
      </c>
      <c r="B428" s="344" t="s">
        <v>1121</v>
      </c>
      <c r="C428" s="360">
        <v>1.49E-5</v>
      </c>
      <c r="E428" s="2">
        <v>5755</v>
      </c>
      <c r="F428" s="2">
        <v>7878</v>
      </c>
      <c r="G428" s="2">
        <v>4927</v>
      </c>
      <c r="H428" s="2">
        <v>2217</v>
      </c>
      <c r="I428" s="2">
        <v>0</v>
      </c>
      <c r="J428" s="2"/>
      <c r="K428" s="2">
        <v>2763</v>
      </c>
      <c r="L428" s="2">
        <v>2545</v>
      </c>
      <c r="M428" s="2">
        <v>1416</v>
      </c>
      <c r="N428" s="2">
        <v>0</v>
      </c>
      <c r="O428" s="2">
        <v>0</v>
      </c>
      <c r="P428" s="2"/>
      <c r="Q428" s="2">
        <v>179</v>
      </c>
      <c r="R428" s="2">
        <v>2505</v>
      </c>
      <c r="S428" s="2">
        <v>2591</v>
      </c>
      <c r="T428" s="2">
        <v>2217</v>
      </c>
      <c r="U428" s="2">
        <v>0</v>
      </c>
      <c r="V428" s="2"/>
      <c r="W428" s="2">
        <v>2187</v>
      </c>
      <c r="X428" s="2">
        <v>1775</v>
      </c>
      <c r="Y428" s="2">
        <v>0</v>
      </c>
      <c r="Z428" s="2">
        <v>0</v>
      </c>
      <c r="AA428" s="2">
        <v>0</v>
      </c>
      <c r="AB428" s="2"/>
      <c r="AC428" s="2">
        <v>1053</v>
      </c>
      <c r="AD428" s="2">
        <v>1053</v>
      </c>
      <c r="AE428" s="2">
        <v>920</v>
      </c>
      <c r="AF428" s="2">
        <v>0</v>
      </c>
      <c r="AG428" s="2">
        <v>0</v>
      </c>
      <c r="AH428" s="2"/>
      <c r="AI428" s="2">
        <v>-427</v>
      </c>
      <c r="AJ428" s="2">
        <v>0</v>
      </c>
      <c r="AK428" s="2">
        <v>0</v>
      </c>
      <c r="AL428" s="2">
        <v>0</v>
      </c>
      <c r="AM428" s="2">
        <v>0</v>
      </c>
    </row>
    <row r="429" spans="1:39">
      <c r="A429" s="351">
        <v>94209</v>
      </c>
      <c r="B429" s="344" t="s">
        <v>1122</v>
      </c>
      <c r="C429" s="360">
        <v>3.1399999999999999E-4</v>
      </c>
      <c r="E429" s="2">
        <v>104484</v>
      </c>
      <c r="F429" s="2">
        <v>138079</v>
      </c>
      <c r="G429" s="2">
        <v>82976</v>
      </c>
      <c r="H429" s="2">
        <v>46730</v>
      </c>
      <c r="I429" s="2">
        <v>0</v>
      </c>
      <c r="J429" s="2"/>
      <c r="K429" s="2">
        <v>58218</v>
      </c>
      <c r="L429" s="2">
        <v>53629</v>
      </c>
      <c r="M429" s="2">
        <v>29848</v>
      </c>
      <c r="N429" s="2">
        <v>0</v>
      </c>
      <c r="O429" s="2">
        <v>0</v>
      </c>
      <c r="P429" s="2"/>
      <c r="Q429" s="2">
        <v>3774</v>
      </c>
      <c r="R429" s="2">
        <v>52785</v>
      </c>
      <c r="S429" s="2">
        <v>54610</v>
      </c>
      <c r="T429" s="2">
        <v>46730</v>
      </c>
      <c r="U429" s="2">
        <v>0</v>
      </c>
      <c r="V429" s="2"/>
      <c r="W429" s="2">
        <v>46088</v>
      </c>
      <c r="X429" s="2">
        <v>37415</v>
      </c>
      <c r="Y429" s="2">
        <v>0</v>
      </c>
      <c r="Z429" s="2">
        <v>0</v>
      </c>
      <c r="AA429" s="2">
        <v>0</v>
      </c>
      <c r="AB429" s="2"/>
      <c r="AC429" s="2">
        <v>3933</v>
      </c>
      <c r="AD429" s="2">
        <v>1780</v>
      </c>
      <c r="AE429" s="2">
        <v>1781</v>
      </c>
      <c r="AF429" s="2">
        <v>0</v>
      </c>
      <c r="AG429" s="2">
        <v>0</v>
      </c>
      <c r="AH429" s="2"/>
      <c r="AI429" s="2">
        <v>-7529</v>
      </c>
      <c r="AJ429" s="2">
        <v>-7530</v>
      </c>
      <c r="AK429" s="2">
        <v>-3263</v>
      </c>
      <c r="AL429" s="2">
        <v>0</v>
      </c>
      <c r="AM429" s="2">
        <v>-7530</v>
      </c>
    </row>
    <row r="430" spans="1:39">
      <c r="A430" s="351">
        <v>94211</v>
      </c>
      <c r="B430" s="344" t="s">
        <v>1123</v>
      </c>
      <c r="C430" s="360">
        <v>1.4660000000000001E-4</v>
      </c>
      <c r="E430" s="2">
        <v>49944</v>
      </c>
      <c r="F430" s="2">
        <v>64728</v>
      </c>
      <c r="G430" s="2">
        <v>35579</v>
      </c>
      <c r="H430" s="2">
        <v>21817</v>
      </c>
      <c r="I430" s="2">
        <v>0</v>
      </c>
      <c r="J430" s="2"/>
      <c r="K430" s="2">
        <v>27181</v>
      </c>
      <c r="L430" s="2">
        <v>25038</v>
      </c>
      <c r="M430" s="2">
        <v>13936</v>
      </c>
      <c r="N430" s="2">
        <v>0</v>
      </c>
      <c r="O430" s="2">
        <v>0</v>
      </c>
      <c r="P430" s="2"/>
      <c r="Q430" s="2">
        <v>1762</v>
      </c>
      <c r="R430" s="2">
        <v>24644</v>
      </c>
      <c r="S430" s="2">
        <v>25496</v>
      </c>
      <c r="T430" s="2">
        <v>21817</v>
      </c>
      <c r="U430" s="2">
        <v>0</v>
      </c>
      <c r="V430" s="2"/>
      <c r="W430" s="2">
        <v>21517</v>
      </c>
      <c r="X430" s="2">
        <v>17468</v>
      </c>
      <c r="Y430" s="2">
        <v>0</v>
      </c>
      <c r="Z430" s="2">
        <v>0</v>
      </c>
      <c r="AA430" s="2">
        <v>0</v>
      </c>
      <c r="AB430" s="2"/>
      <c r="AC430" s="2">
        <v>3338</v>
      </c>
      <c r="AD430" s="2">
        <v>1432</v>
      </c>
      <c r="AE430" s="2">
        <v>0</v>
      </c>
      <c r="AF430" s="2">
        <v>0</v>
      </c>
      <c r="AG430" s="2">
        <v>0</v>
      </c>
      <c r="AH430" s="2"/>
      <c r="AI430" s="2">
        <v>-3854</v>
      </c>
      <c r="AJ430" s="2">
        <v>-3854</v>
      </c>
      <c r="AK430" s="2">
        <v>-3853</v>
      </c>
      <c r="AL430" s="2">
        <v>0</v>
      </c>
      <c r="AM430" s="2">
        <v>-3854</v>
      </c>
    </row>
    <row r="431" spans="1:39">
      <c r="A431" s="351">
        <v>94221</v>
      </c>
      <c r="B431" s="344" t="s">
        <v>1124</v>
      </c>
      <c r="C431" s="360">
        <v>9.7799999999999992E-4</v>
      </c>
      <c r="E431" s="2">
        <v>297366</v>
      </c>
      <c r="F431" s="2">
        <v>417194</v>
      </c>
      <c r="G431" s="2">
        <v>238178</v>
      </c>
      <c r="H431" s="2">
        <v>145548</v>
      </c>
      <c r="I431" s="2">
        <v>0</v>
      </c>
      <c r="J431" s="2"/>
      <c r="K431" s="2">
        <v>181330</v>
      </c>
      <c r="L431" s="2">
        <v>167037</v>
      </c>
      <c r="M431" s="2">
        <v>92967</v>
      </c>
      <c r="N431" s="2">
        <v>0</v>
      </c>
      <c r="O431" s="2">
        <v>0</v>
      </c>
      <c r="P431" s="2"/>
      <c r="Q431" s="2">
        <v>11755</v>
      </c>
      <c r="R431" s="2">
        <v>164407</v>
      </c>
      <c r="S431" s="2">
        <v>170092</v>
      </c>
      <c r="T431" s="2">
        <v>145548</v>
      </c>
      <c r="U431" s="2">
        <v>0</v>
      </c>
      <c r="V431" s="2"/>
      <c r="W431" s="2">
        <v>143547</v>
      </c>
      <c r="X431" s="2">
        <v>116536</v>
      </c>
      <c r="Y431" s="2">
        <v>0</v>
      </c>
      <c r="Z431" s="2">
        <v>0</v>
      </c>
      <c r="AA431" s="2">
        <v>0</v>
      </c>
      <c r="AB431" s="2"/>
      <c r="AC431" s="2">
        <v>0</v>
      </c>
      <c r="AD431" s="2">
        <v>0</v>
      </c>
      <c r="AE431" s="2">
        <v>0</v>
      </c>
      <c r="AF431" s="2">
        <v>0</v>
      </c>
      <c r="AG431" s="2">
        <v>0</v>
      </c>
      <c r="AH431" s="2"/>
      <c r="AI431" s="2">
        <v>-39266</v>
      </c>
      <c r="AJ431" s="2">
        <v>-30786</v>
      </c>
      <c r="AK431" s="2">
        <v>-24881</v>
      </c>
      <c r="AL431" s="2">
        <v>0</v>
      </c>
      <c r="AM431" s="2">
        <v>-30786</v>
      </c>
    </row>
    <row r="432" spans="1:39">
      <c r="A432" s="351">
        <v>94231</v>
      </c>
      <c r="B432" s="344" t="s">
        <v>1125</v>
      </c>
      <c r="C432" s="360">
        <v>1.2640000000000001E-4</v>
      </c>
      <c r="E432" s="2">
        <v>23363</v>
      </c>
      <c r="F432" s="2">
        <v>36029</v>
      </c>
      <c r="G432" s="2">
        <v>18321</v>
      </c>
      <c r="H432" s="2">
        <v>18811</v>
      </c>
      <c r="I432" s="2">
        <v>0</v>
      </c>
      <c r="J432" s="2"/>
      <c r="K432" s="2">
        <v>23436</v>
      </c>
      <c r="L432" s="2">
        <v>21588</v>
      </c>
      <c r="M432" s="2">
        <v>12015</v>
      </c>
      <c r="N432" s="2">
        <v>0</v>
      </c>
      <c r="O432" s="2">
        <v>0</v>
      </c>
      <c r="P432" s="2"/>
      <c r="Q432" s="2">
        <v>1519</v>
      </c>
      <c r="R432" s="2">
        <v>21248</v>
      </c>
      <c r="S432" s="2">
        <v>21983</v>
      </c>
      <c r="T432" s="2">
        <v>18811</v>
      </c>
      <c r="U432" s="2">
        <v>0</v>
      </c>
      <c r="V432" s="2"/>
      <c r="W432" s="2">
        <v>18552</v>
      </c>
      <c r="X432" s="2">
        <v>15061</v>
      </c>
      <c r="Y432" s="2">
        <v>0</v>
      </c>
      <c r="Z432" s="2">
        <v>0</v>
      </c>
      <c r="AA432" s="2">
        <v>0</v>
      </c>
      <c r="AB432" s="2"/>
      <c r="AC432" s="2">
        <v>1722</v>
      </c>
      <c r="AD432" s="2">
        <v>0</v>
      </c>
      <c r="AE432" s="2">
        <v>0</v>
      </c>
      <c r="AF432" s="2">
        <v>0</v>
      </c>
      <c r="AG432" s="2">
        <v>0</v>
      </c>
      <c r="AH432" s="2"/>
      <c r="AI432" s="2">
        <v>-21866</v>
      </c>
      <c r="AJ432" s="2">
        <v>-21868</v>
      </c>
      <c r="AK432" s="2">
        <v>-15677</v>
      </c>
      <c r="AL432" s="2">
        <v>0</v>
      </c>
      <c r="AM432" s="2">
        <v>-21868</v>
      </c>
    </row>
    <row r="433" spans="1:39">
      <c r="A433" s="351">
        <v>94241</v>
      </c>
      <c r="B433" s="344" t="s">
        <v>1126</v>
      </c>
      <c r="C433" s="360">
        <v>1.3630000000000001E-4</v>
      </c>
      <c r="E433" s="2">
        <v>63957</v>
      </c>
      <c r="F433" s="2">
        <v>73303</v>
      </c>
      <c r="G433" s="2">
        <v>49230</v>
      </c>
      <c r="H433" s="2">
        <v>20284</v>
      </c>
      <c r="I433" s="2">
        <v>0</v>
      </c>
      <c r="J433" s="2"/>
      <c r="K433" s="2">
        <v>25271</v>
      </c>
      <c r="L433" s="2">
        <v>23279</v>
      </c>
      <c r="M433" s="2">
        <v>12956</v>
      </c>
      <c r="N433" s="2">
        <v>0</v>
      </c>
      <c r="O433" s="2">
        <v>0</v>
      </c>
      <c r="P433" s="2"/>
      <c r="Q433" s="2">
        <v>1638</v>
      </c>
      <c r="R433" s="2">
        <v>22913</v>
      </c>
      <c r="S433" s="2">
        <v>23705</v>
      </c>
      <c r="T433" s="2">
        <v>20284</v>
      </c>
      <c r="U433" s="2">
        <v>0</v>
      </c>
      <c r="V433" s="2"/>
      <c r="W433" s="2">
        <v>20006</v>
      </c>
      <c r="X433" s="2">
        <v>16241</v>
      </c>
      <c r="Y433" s="2">
        <v>0</v>
      </c>
      <c r="Z433" s="2">
        <v>0</v>
      </c>
      <c r="AA433" s="2">
        <v>0</v>
      </c>
      <c r="AB433" s="2"/>
      <c r="AC433" s="2">
        <v>21010</v>
      </c>
      <c r="AD433" s="2">
        <v>14838</v>
      </c>
      <c r="AE433" s="2">
        <v>14837</v>
      </c>
      <c r="AF433" s="2">
        <v>0</v>
      </c>
      <c r="AG433" s="2">
        <v>0</v>
      </c>
      <c r="AH433" s="2"/>
      <c r="AI433" s="2">
        <v>-3968</v>
      </c>
      <c r="AJ433" s="2">
        <v>-3968</v>
      </c>
      <c r="AK433" s="2">
        <v>-2268</v>
      </c>
      <c r="AL433" s="2">
        <v>0</v>
      </c>
      <c r="AM433" s="2">
        <v>-3968</v>
      </c>
    </row>
    <row r="434" spans="1:39">
      <c r="A434" s="351">
        <v>94251</v>
      </c>
      <c r="B434" s="344" t="s">
        <v>1127</v>
      </c>
      <c r="C434" s="360">
        <v>1.7799999999999999E-5</v>
      </c>
      <c r="E434" s="2">
        <v>7244</v>
      </c>
      <c r="F434" s="2">
        <v>8445</v>
      </c>
      <c r="G434" s="2">
        <v>5345</v>
      </c>
      <c r="H434" s="2">
        <v>2649</v>
      </c>
      <c r="I434" s="2">
        <v>0</v>
      </c>
      <c r="J434" s="2"/>
      <c r="K434" s="2">
        <v>3300</v>
      </c>
      <c r="L434" s="2">
        <v>3040</v>
      </c>
      <c r="M434" s="2">
        <v>1692</v>
      </c>
      <c r="N434" s="2">
        <v>0</v>
      </c>
      <c r="O434" s="2">
        <v>0</v>
      </c>
      <c r="P434" s="2"/>
      <c r="Q434" s="2">
        <v>214</v>
      </c>
      <c r="R434" s="2">
        <v>2992</v>
      </c>
      <c r="S434" s="2">
        <v>3096</v>
      </c>
      <c r="T434" s="2">
        <v>2649</v>
      </c>
      <c r="U434" s="2">
        <v>0</v>
      </c>
      <c r="V434" s="2"/>
      <c r="W434" s="2">
        <v>2613</v>
      </c>
      <c r="X434" s="2">
        <v>2121</v>
      </c>
      <c r="Y434" s="2">
        <v>0</v>
      </c>
      <c r="Z434" s="2">
        <v>0</v>
      </c>
      <c r="AA434" s="2">
        <v>0</v>
      </c>
      <c r="AB434" s="2"/>
      <c r="AC434" s="2">
        <v>1381</v>
      </c>
      <c r="AD434" s="2">
        <v>557</v>
      </c>
      <c r="AE434" s="2">
        <v>557</v>
      </c>
      <c r="AF434" s="2">
        <v>0</v>
      </c>
      <c r="AG434" s="2">
        <v>0</v>
      </c>
      <c r="AH434" s="2"/>
      <c r="AI434" s="2">
        <v>-264</v>
      </c>
      <c r="AJ434" s="2">
        <v>-265</v>
      </c>
      <c r="AK434" s="2">
        <v>0</v>
      </c>
      <c r="AL434" s="2">
        <v>0</v>
      </c>
      <c r="AM434" s="2">
        <v>-265</v>
      </c>
    </row>
    <row r="435" spans="1:39">
      <c r="A435" s="351">
        <v>94261</v>
      </c>
      <c r="B435" s="344" t="s">
        <v>1128</v>
      </c>
      <c r="C435" s="360">
        <v>3.7100000000000001E-5</v>
      </c>
      <c r="E435" s="2">
        <v>12171</v>
      </c>
      <c r="F435" s="2">
        <v>14626</v>
      </c>
      <c r="G435" s="2">
        <v>7808</v>
      </c>
      <c r="H435" s="2">
        <v>5521</v>
      </c>
      <c r="I435" s="2">
        <v>0</v>
      </c>
      <c r="J435" s="2"/>
      <c r="K435" s="2">
        <v>6879</v>
      </c>
      <c r="L435" s="2">
        <v>6336</v>
      </c>
      <c r="M435" s="2">
        <v>3527</v>
      </c>
      <c r="N435" s="2">
        <v>0</v>
      </c>
      <c r="O435" s="2">
        <v>0</v>
      </c>
      <c r="P435" s="2"/>
      <c r="Q435" s="2">
        <v>446</v>
      </c>
      <c r="R435" s="2">
        <v>6237</v>
      </c>
      <c r="S435" s="2">
        <v>6452</v>
      </c>
      <c r="T435" s="2">
        <v>5521</v>
      </c>
      <c r="U435" s="2">
        <v>0</v>
      </c>
      <c r="V435" s="2"/>
      <c r="W435" s="2">
        <v>5445</v>
      </c>
      <c r="X435" s="2">
        <v>4421</v>
      </c>
      <c r="Y435" s="2">
        <v>0</v>
      </c>
      <c r="Z435" s="2">
        <v>0</v>
      </c>
      <c r="AA435" s="2">
        <v>0</v>
      </c>
      <c r="AB435" s="2"/>
      <c r="AC435" s="2">
        <v>3466</v>
      </c>
      <c r="AD435" s="2">
        <v>1695</v>
      </c>
      <c r="AE435" s="2">
        <v>1695</v>
      </c>
      <c r="AF435" s="2">
        <v>0</v>
      </c>
      <c r="AG435" s="2">
        <v>0</v>
      </c>
      <c r="AH435" s="2"/>
      <c r="AI435" s="2">
        <v>-4065</v>
      </c>
      <c r="AJ435" s="2">
        <v>-4063</v>
      </c>
      <c r="AK435" s="2">
        <v>-3866</v>
      </c>
      <c r="AL435" s="2">
        <v>0</v>
      </c>
      <c r="AM435" s="2">
        <v>-4063</v>
      </c>
    </row>
    <row r="436" spans="1:39">
      <c r="A436" s="351">
        <v>94301</v>
      </c>
      <c r="B436" s="344" t="s">
        <v>1129</v>
      </c>
      <c r="C436" s="360">
        <v>6.1066999999999996E-3</v>
      </c>
      <c r="E436" s="2">
        <v>2000888</v>
      </c>
      <c r="F436" s="2">
        <v>2677001</v>
      </c>
      <c r="G436" s="2">
        <v>1521155</v>
      </c>
      <c r="H436" s="2">
        <v>908811</v>
      </c>
      <c r="I436" s="2">
        <v>0</v>
      </c>
      <c r="J436" s="2"/>
      <c r="K436" s="2">
        <v>1132237</v>
      </c>
      <c r="L436" s="2">
        <v>1042988</v>
      </c>
      <c r="M436" s="2">
        <v>580491</v>
      </c>
      <c r="N436" s="2">
        <v>0</v>
      </c>
      <c r="O436" s="2">
        <v>0</v>
      </c>
      <c r="P436" s="2"/>
      <c r="Q436" s="2">
        <v>73396</v>
      </c>
      <c r="R436" s="2">
        <v>1026567</v>
      </c>
      <c r="S436" s="2">
        <v>1062065</v>
      </c>
      <c r="T436" s="2">
        <v>908811</v>
      </c>
      <c r="U436" s="2">
        <v>0</v>
      </c>
      <c r="V436" s="2"/>
      <c r="W436" s="2">
        <v>896317</v>
      </c>
      <c r="X436" s="2">
        <v>727656</v>
      </c>
      <c r="Y436" s="2">
        <v>0</v>
      </c>
      <c r="Z436" s="2">
        <v>0</v>
      </c>
      <c r="AA436" s="2">
        <v>0</v>
      </c>
      <c r="AB436" s="2"/>
      <c r="AC436" s="2">
        <v>20338</v>
      </c>
      <c r="AD436" s="2">
        <v>1190</v>
      </c>
      <c r="AE436" s="2">
        <v>0</v>
      </c>
      <c r="AF436" s="2">
        <v>0</v>
      </c>
      <c r="AG436" s="2">
        <v>0</v>
      </c>
      <c r="AH436" s="2"/>
      <c r="AI436" s="2">
        <v>-121400</v>
      </c>
      <c r="AJ436" s="2">
        <v>-121400</v>
      </c>
      <c r="AK436" s="2">
        <v>-121401</v>
      </c>
      <c r="AL436" s="2">
        <v>0</v>
      </c>
      <c r="AM436" s="2">
        <v>-121400</v>
      </c>
    </row>
    <row r="437" spans="1:39">
      <c r="A437" s="351">
        <v>94311</v>
      </c>
      <c r="B437" s="344" t="s">
        <v>1130</v>
      </c>
      <c r="C437" s="360">
        <v>7.85E-4</v>
      </c>
      <c r="E437" s="2">
        <v>285205</v>
      </c>
      <c r="F437" s="2">
        <v>368734</v>
      </c>
      <c r="G437" s="2">
        <v>226246</v>
      </c>
      <c r="H437" s="2">
        <v>116825</v>
      </c>
      <c r="I437" s="2">
        <v>0</v>
      </c>
      <c r="J437" s="2"/>
      <c r="K437" s="2">
        <v>145546</v>
      </c>
      <c r="L437" s="2">
        <v>134073</v>
      </c>
      <c r="M437" s="2">
        <v>74621</v>
      </c>
      <c r="N437" s="2">
        <v>0</v>
      </c>
      <c r="O437" s="2">
        <v>0</v>
      </c>
      <c r="P437" s="2"/>
      <c r="Q437" s="2">
        <v>9435</v>
      </c>
      <c r="R437" s="2">
        <v>131962</v>
      </c>
      <c r="S437" s="2">
        <v>136526</v>
      </c>
      <c r="T437" s="2">
        <v>116825</v>
      </c>
      <c r="U437" s="2">
        <v>0</v>
      </c>
      <c r="V437" s="2"/>
      <c r="W437" s="2">
        <v>115219</v>
      </c>
      <c r="X437" s="2">
        <v>93538</v>
      </c>
      <c r="Y437" s="2">
        <v>0</v>
      </c>
      <c r="Z437" s="2">
        <v>0</v>
      </c>
      <c r="AA437" s="2">
        <v>0</v>
      </c>
      <c r="AB437" s="2"/>
      <c r="AC437" s="2">
        <v>20944</v>
      </c>
      <c r="AD437" s="2">
        <v>15100</v>
      </c>
      <c r="AE437" s="2">
        <v>15099</v>
      </c>
      <c r="AF437" s="2">
        <v>0</v>
      </c>
      <c r="AG437" s="2">
        <v>0</v>
      </c>
      <c r="AH437" s="2"/>
      <c r="AI437" s="2">
        <v>-5939</v>
      </c>
      <c r="AJ437" s="2">
        <v>-5939</v>
      </c>
      <c r="AK437" s="2">
        <v>0</v>
      </c>
      <c r="AL437" s="2">
        <v>0</v>
      </c>
      <c r="AM437" s="2">
        <v>-5939</v>
      </c>
    </row>
    <row r="438" spans="1:39">
      <c r="A438" s="351">
        <v>94313</v>
      </c>
      <c r="B438" s="344" t="s">
        <v>1131</v>
      </c>
      <c r="C438" s="360">
        <v>1.7099999999999999E-5</v>
      </c>
      <c r="E438" s="2">
        <v>9982</v>
      </c>
      <c r="F438" s="2">
        <v>11379</v>
      </c>
      <c r="G438" s="2">
        <v>6894</v>
      </c>
      <c r="H438" s="2">
        <v>2545</v>
      </c>
      <c r="I438" s="2">
        <v>0</v>
      </c>
      <c r="J438" s="2"/>
      <c r="K438" s="2">
        <v>3170</v>
      </c>
      <c r="L438" s="2">
        <v>2921</v>
      </c>
      <c r="M438" s="2">
        <v>1625</v>
      </c>
      <c r="N438" s="2">
        <v>0</v>
      </c>
      <c r="O438" s="2">
        <v>0</v>
      </c>
      <c r="P438" s="2"/>
      <c r="Q438" s="2">
        <v>206</v>
      </c>
      <c r="R438" s="2">
        <v>2875</v>
      </c>
      <c r="S438" s="2">
        <v>2974</v>
      </c>
      <c r="T438" s="2">
        <v>2545</v>
      </c>
      <c r="U438" s="2">
        <v>0</v>
      </c>
      <c r="V438" s="2"/>
      <c r="W438" s="2">
        <v>2510</v>
      </c>
      <c r="X438" s="2">
        <v>2038</v>
      </c>
      <c r="Y438" s="2">
        <v>0</v>
      </c>
      <c r="Z438" s="2">
        <v>0</v>
      </c>
      <c r="AA438" s="2">
        <v>0</v>
      </c>
      <c r="AB438" s="2"/>
      <c r="AC438" s="2">
        <v>4198</v>
      </c>
      <c r="AD438" s="2">
        <v>3647</v>
      </c>
      <c r="AE438" s="2">
        <v>2396</v>
      </c>
      <c r="AF438" s="2">
        <v>0</v>
      </c>
      <c r="AG438" s="2">
        <v>0</v>
      </c>
      <c r="AH438" s="2"/>
      <c r="AI438" s="2">
        <v>-102</v>
      </c>
      <c r="AJ438" s="2">
        <v>-102</v>
      </c>
      <c r="AK438" s="2">
        <v>-101</v>
      </c>
      <c r="AL438" s="2">
        <v>0</v>
      </c>
      <c r="AM438" s="2">
        <v>-102</v>
      </c>
    </row>
    <row r="439" spans="1:39">
      <c r="A439" s="351">
        <v>94317</v>
      </c>
      <c r="B439" s="344" t="s">
        <v>1132</v>
      </c>
      <c r="C439" s="360">
        <v>4.7999999999999998E-6</v>
      </c>
      <c r="E439" s="2">
        <v>3830</v>
      </c>
      <c r="F439" s="2">
        <v>3570</v>
      </c>
      <c r="G439" s="2">
        <v>1736</v>
      </c>
      <c r="H439" s="2">
        <v>714</v>
      </c>
      <c r="I439" s="2">
        <v>0</v>
      </c>
      <c r="J439" s="2"/>
      <c r="K439" s="2">
        <v>890</v>
      </c>
      <c r="L439" s="2">
        <v>820</v>
      </c>
      <c r="M439" s="2">
        <v>456</v>
      </c>
      <c r="N439" s="2">
        <v>0</v>
      </c>
      <c r="O439" s="2">
        <v>0</v>
      </c>
      <c r="P439" s="2"/>
      <c r="Q439" s="2">
        <v>58</v>
      </c>
      <c r="R439" s="2">
        <v>807</v>
      </c>
      <c r="S439" s="2">
        <v>835</v>
      </c>
      <c r="T439" s="2">
        <v>714</v>
      </c>
      <c r="U439" s="2">
        <v>0</v>
      </c>
      <c r="V439" s="2"/>
      <c r="W439" s="2">
        <v>705</v>
      </c>
      <c r="X439" s="2">
        <v>572</v>
      </c>
      <c r="Y439" s="2">
        <v>0</v>
      </c>
      <c r="Z439" s="2">
        <v>0</v>
      </c>
      <c r="AA439" s="2">
        <v>0</v>
      </c>
      <c r="AB439" s="2"/>
      <c r="AC439" s="2">
        <v>2661</v>
      </c>
      <c r="AD439" s="2">
        <v>1855</v>
      </c>
      <c r="AE439" s="2">
        <v>929</v>
      </c>
      <c r="AF439" s="2">
        <v>0</v>
      </c>
      <c r="AG439" s="2">
        <v>0</v>
      </c>
      <c r="AH439" s="2"/>
      <c r="AI439" s="2">
        <v>-484</v>
      </c>
      <c r="AJ439" s="2">
        <v>-484</v>
      </c>
      <c r="AK439" s="2">
        <v>-484</v>
      </c>
      <c r="AL439" s="2">
        <v>0</v>
      </c>
      <c r="AM439" s="2">
        <v>-484</v>
      </c>
    </row>
    <row r="440" spans="1:39">
      <c r="A440" s="351">
        <v>94321</v>
      </c>
      <c r="B440" s="344" t="s">
        <v>1133</v>
      </c>
      <c r="C440" s="360">
        <v>3.1559999999999997E-4</v>
      </c>
      <c r="E440" s="2">
        <v>116543</v>
      </c>
      <c r="F440" s="2">
        <v>153726</v>
      </c>
      <c r="G440" s="2">
        <v>96762</v>
      </c>
      <c r="H440" s="2">
        <v>46968</v>
      </c>
      <c r="I440" s="2">
        <v>0</v>
      </c>
      <c r="J440" s="2"/>
      <c r="K440" s="2">
        <v>58515</v>
      </c>
      <c r="L440" s="2">
        <v>53903</v>
      </c>
      <c r="M440" s="2">
        <v>30000</v>
      </c>
      <c r="N440" s="2">
        <v>0</v>
      </c>
      <c r="O440" s="2">
        <v>0</v>
      </c>
      <c r="P440" s="2"/>
      <c r="Q440" s="2">
        <v>3793</v>
      </c>
      <c r="R440" s="2">
        <v>53054</v>
      </c>
      <c r="S440" s="2">
        <v>54889</v>
      </c>
      <c r="T440" s="2">
        <v>46968</v>
      </c>
      <c r="U440" s="2">
        <v>0</v>
      </c>
      <c r="V440" s="2"/>
      <c r="W440" s="2">
        <v>46323</v>
      </c>
      <c r="X440" s="2">
        <v>37606</v>
      </c>
      <c r="Y440" s="2">
        <v>0</v>
      </c>
      <c r="Z440" s="2">
        <v>0</v>
      </c>
      <c r="AA440" s="2">
        <v>0</v>
      </c>
      <c r="AB440" s="2"/>
      <c r="AC440" s="2">
        <v>12644</v>
      </c>
      <c r="AD440" s="2">
        <v>12644</v>
      </c>
      <c r="AE440" s="2">
        <v>12642</v>
      </c>
      <c r="AF440" s="2">
        <v>0</v>
      </c>
      <c r="AG440" s="2">
        <v>0</v>
      </c>
      <c r="AH440" s="2"/>
      <c r="AI440" s="2">
        <v>-4732</v>
      </c>
      <c r="AJ440" s="2">
        <v>-3481</v>
      </c>
      <c r="AK440" s="2">
        <v>-769</v>
      </c>
      <c r="AL440" s="2">
        <v>0</v>
      </c>
      <c r="AM440" s="2">
        <v>-3481</v>
      </c>
    </row>
    <row r="441" spans="1:39">
      <c r="A441" s="351">
        <v>94331</v>
      </c>
      <c r="B441" s="344" t="s">
        <v>1134</v>
      </c>
      <c r="C441" s="360">
        <v>1.5080000000000001E-4</v>
      </c>
      <c r="E441" s="2">
        <v>53820</v>
      </c>
      <c r="F441" s="2">
        <v>72474</v>
      </c>
      <c r="G441" s="2">
        <v>39365</v>
      </c>
      <c r="H441" s="2">
        <v>22442</v>
      </c>
      <c r="I441" s="2">
        <v>0</v>
      </c>
      <c r="J441" s="2"/>
      <c r="K441" s="2">
        <v>27960</v>
      </c>
      <c r="L441" s="2">
        <v>25756</v>
      </c>
      <c r="M441" s="2">
        <v>14335</v>
      </c>
      <c r="N441" s="2">
        <v>0</v>
      </c>
      <c r="O441" s="2">
        <v>0</v>
      </c>
      <c r="P441" s="2"/>
      <c r="Q441" s="2">
        <v>1812</v>
      </c>
      <c r="R441" s="2">
        <v>25350</v>
      </c>
      <c r="S441" s="2">
        <v>26227</v>
      </c>
      <c r="T441" s="2">
        <v>22442</v>
      </c>
      <c r="U441" s="2">
        <v>0</v>
      </c>
      <c r="V441" s="2"/>
      <c r="W441" s="2">
        <v>22134</v>
      </c>
      <c r="X441" s="2">
        <v>17969</v>
      </c>
      <c r="Y441" s="2">
        <v>0</v>
      </c>
      <c r="Z441" s="2">
        <v>0</v>
      </c>
      <c r="AA441" s="2">
        <v>0</v>
      </c>
      <c r="AB441" s="2"/>
      <c r="AC441" s="2">
        <v>5226</v>
      </c>
      <c r="AD441" s="2">
        <v>5228</v>
      </c>
      <c r="AE441" s="2">
        <v>634</v>
      </c>
      <c r="AF441" s="2">
        <v>0</v>
      </c>
      <c r="AG441" s="2">
        <v>0</v>
      </c>
      <c r="AH441" s="2"/>
      <c r="AI441" s="2">
        <v>-3312</v>
      </c>
      <c r="AJ441" s="2">
        <v>-1829</v>
      </c>
      <c r="AK441" s="2">
        <v>-1831</v>
      </c>
      <c r="AL441" s="2">
        <v>0</v>
      </c>
      <c r="AM441" s="2">
        <v>-1829</v>
      </c>
    </row>
    <row r="442" spans="1:39">
      <c r="A442" s="351">
        <v>94341</v>
      </c>
      <c r="B442" s="344" t="s">
        <v>1135</v>
      </c>
      <c r="C442" s="360">
        <v>9.2700000000000004E-5</v>
      </c>
      <c r="E442" s="2">
        <v>28942</v>
      </c>
      <c r="F442" s="2">
        <v>38187</v>
      </c>
      <c r="G442" s="2">
        <v>23130</v>
      </c>
      <c r="H442" s="2">
        <v>13796</v>
      </c>
      <c r="I442" s="2">
        <v>0</v>
      </c>
      <c r="J442" s="2"/>
      <c r="K442" s="2">
        <v>17187</v>
      </c>
      <c r="L442" s="2">
        <v>15833</v>
      </c>
      <c r="M442" s="2">
        <v>8812</v>
      </c>
      <c r="N442" s="2">
        <v>0</v>
      </c>
      <c r="O442" s="2">
        <v>0</v>
      </c>
      <c r="P442" s="2"/>
      <c r="Q442" s="2">
        <v>1114</v>
      </c>
      <c r="R442" s="2">
        <v>15583</v>
      </c>
      <c r="S442" s="2">
        <v>16122</v>
      </c>
      <c r="T442" s="2">
        <v>13796</v>
      </c>
      <c r="U442" s="2">
        <v>0</v>
      </c>
      <c r="V442" s="2"/>
      <c r="W442" s="2">
        <v>13606</v>
      </c>
      <c r="X442" s="2">
        <v>11046</v>
      </c>
      <c r="Y442" s="2">
        <v>0</v>
      </c>
      <c r="Z442" s="2">
        <v>0</v>
      </c>
      <c r="AA442" s="2">
        <v>0</v>
      </c>
      <c r="AB442" s="2"/>
      <c r="AC442" s="2">
        <v>2958</v>
      </c>
      <c r="AD442" s="2">
        <v>1649</v>
      </c>
      <c r="AE442" s="2">
        <v>1651</v>
      </c>
      <c r="AF442" s="2">
        <v>0</v>
      </c>
      <c r="AG442" s="2">
        <v>0</v>
      </c>
      <c r="AH442" s="2"/>
      <c r="AI442" s="2">
        <v>-5923</v>
      </c>
      <c r="AJ442" s="2">
        <v>-5924</v>
      </c>
      <c r="AK442" s="2">
        <v>-3455</v>
      </c>
      <c r="AL442" s="2">
        <v>0</v>
      </c>
      <c r="AM442" s="2">
        <v>-5924</v>
      </c>
    </row>
    <row r="443" spans="1:39">
      <c r="A443" s="351">
        <v>94347</v>
      </c>
      <c r="B443" s="344" t="s">
        <v>1136</v>
      </c>
      <c r="C443" s="360">
        <v>1.5E-5</v>
      </c>
      <c r="E443" s="2">
        <v>9932</v>
      </c>
      <c r="F443" s="2">
        <v>11038</v>
      </c>
      <c r="G443" s="2">
        <v>8437</v>
      </c>
      <c r="H443" s="2">
        <v>2232</v>
      </c>
      <c r="I443" s="2">
        <v>0</v>
      </c>
      <c r="J443" s="2"/>
      <c r="K443" s="2">
        <v>2781</v>
      </c>
      <c r="L443" s="2">
        <v>2562</v>
      </c>
      <c r="M443" s="2">
        <v>1426</v>
      </c>
      <c r="N443" s="2">
        <v>0</v>
      </c>
      <c r="O443" s="2">
        <v>0</v>
      </c>
      <c r="P443" s="2"/>
      <c r="Q443" s="2">
        <v>180</v>
      </c>
      <c r="R443" s="2">
        <v>2522</v>
      </c>
      <c r="S443" s="2">
        <v>2609</v>
      </c>
      <c r="T443" s="2">
        <v>2232</v>
      </c>
      <c r="U443" s="2">
        <v>0</v>
      </c>
      <c r="V443" s="2"/>
      <c r="W443" s="2">
        <v>2202</v>
      </c>
      <c r="X443" s="2">
        <v>1787</v>
      </c>
      <c r="Y443" s="2">
        <v>0</v>
      </c>
      <c r="Z443" s="2">
        <v>0</v>
      </c>
      <c r="AA443" s="2">
        <v>0</v>
      </c>
      <c r="AB443" s="2"/>
      <c r="AC443" s="2">
        <v>5006</v>
      </c>
      <c r="AD443" s="2">
        <v>4404</v>
      </c>
      <c r="AE443" s="2">
        <v>4402</v>
      </c>
      <c r="AF443" s="2">
        <v>0</v>
      </c>
      <c r="AG443" s="2">
        <v>0</v>
      </c>
      <c r="AH443" s="2"/>
      <c r="AI443" s="2">
        <v>-237</v>
      </c>
      <c r="AJ443" s="2">
        <v>-237</v>
      </c>
      <c r="AK443" s="2">
        <v>0</v>
      </c>
      <c r="AL443" s="2">
        <v>0</v>
      </c>
      <c r="AM443" s="2">
        <v>-237</v>
      </c>
    </row>
    <row r="444" spans="1:39">
      <c r="A444" s="351">
        <v>94351</v>
      </c>
      <c r="B444" s="344" t="s">
        <v>1137</v>
      </c>
      <c r="C444" s="360">
        <v>2.9090000000000002E-4</v>
      </c>
      <c r="E444" s="2">
        <v>120759</v>
      </c>
      <c r="F444" s="2">
        <v>154352</v>
      </c>
      <c r="G444" s="2">
        <v>100447</v>
      </c>
      <c r="H444" s="2">
        <v>43292</v>
      </c>
      <c r="I444" s="2">
        <v>0</v>
      </c>
      <c r="J444" s="2"/>
      <c r="K444" s="2">
        <v>53935</v>
      </c>
      <c r="L444" s="2">
        <v>49684</v>
      </c>
      <c r="M444" s="2">
        <v>27652</v>
      </c>
      <c r="N444" s="2">
        <v>0</v>
      </c>
      <c r="O444" s="2">
        <v>0</v>
      </c>
      <c r="P444" s="2"/>
      <c r="Q444" s="2">
        <v>3496</v>
      </c>
      <c r="R444" s="2">
        <v>48902</v>
      </c>
      <c r="S444" s="2">
        <v>50593</v>
      </c>
      <c r="T444" s="2">
        <v>43292</v>
      </c>
      <c r="U444" s="2">
        <v>0</v>
      </c>
      <c r="V444" s="2"/>
      <c r="W444" s="2">
        <v>42697</v>
      </c>
      <c r="X444" s="2">
        <v>34663</v>
      </c>
      <c r="Y444" s="2">
        <v>0</v>
      </c>
      <c r="Z444" s="2">
        <v>0</v>
      </c>
      <c r="AA444" s="2">
        <v>0</v>
      </c>
      <c r="AB444" s="2"/>
      <c r="AC444" s="2">
        <v>26367</v>
      </c>
      <c r="AD444" s="2">
        <v>26367</v>
      </c>
      <c r="AE444" s="2">
        <v>26367</v>
      </c>
      <c r="AF444" s="2">
        <v>0</v>
      </c>
      <c r="AG444" s="2">
        <v>0</v>
      </c>
      <c r="AH444" s="2"/>
      <c r="AI444" s="2">
        <v>-5736</v>
      </c>
      <c r="AJ444" s="2">
        <v>-5264</v>
      </c>
      <c r="AK444" s="2">
        <v>-4165</v>
      </c>
      <c r="AL444" s="2">
        <v>0</v>
      </c>
      <c r="AM444" s="2">
        <v>-5264</v>
      </c>
    </row>
    <row r="445" spans="1:39">
      <c r="A445" s="351">
        <v>94401</v>
      </c>
      <c r="B445" s="344" t="s">
        <v>1138</v>
      </c>
      <c r="C445" s="360">
        <v>3.5389000000000002E-3</v>
      </c>
      <c r="E445" s="2">
        <v>1234541</v>
      </c>
      <c r="F445" s="2">
        <v>1658315</v>
      </c>
      <c r="G445" s="2">
        <v>986912</v>
      </c>
      <c r="H445" s="2">
        <v>526666</v>
      </c>
      <c r="I445" s="2">
        <v>0</v>
      </c>
      <c r="J445" s="2"/>
      <c r="K445" s="2">
        <v>656144</v>
      </c>
      <c r="L445" s="2">
        <v>604423</v>
      </c>
      <c r="M445" s="2">
        <v>336401</v>
      </c>
      <c r="N445" s="2">
        <v>0</v>
      </c>
      <c r="O445" s="2">
        <v>0</v>
      </c>
      <c r="P445" s="2"/>
      <c r="Q445" s="2">
        <v>42534</v>
      </c>
      <c r="R445" s="2">
        <v>594907</v>
      </c>
      <c r="S445" s="2">
        <v>615478</v>
      </c>
      <c r="T445" s="2">
        <v>526666</v>
      </c>
      <c r="U445" s="2">
        <v>0</v>
      </c>
      <c r="V445" s="2"/>
      <c r="W445" s="2">
        <v>519426</v>
      </c>
      <c r="X445" s="2">
        <v>421685</v>
      </c>
      <c r="Y445" s="2">
        <v>0</v>
      </c>
      <c r="Z445" s="2">
        <v>0</v>
      </c>
      <c r="AA445" s="2">
        <v>0</v>
      </c>
      <c r="AB445" s="2"/>
      <c r="AC445" s="2">
        <v>37301</v>
      </c>
      <c r="AD445" s="2">
        <v>37300</v>
      </c>
      <c r="AE445" s="2">
        <v>35033</v>
      </c>
      <c r="AF445" s="2">
        <v>0</v>
      </c>
      <c r="AG445" s="2">
        <v>0</v>
      </c>
      <c r="AH445" s="2"/>
      <c r="AI445" s="2">
        <v>-20864</v>
      </c>
      <c r="AJ445" s="2">
        <v>0</v>
      </c>
      <c r="AK445" s="2">
        <v>0</v>
      </c>
      <c r="AL445" s="2">
        <v>0</v>
      </c>
      <c r="AM445" s="2">
        <v>0</v>
      </c>
    </row>
    <row r="446" spans="1:39">
      <c r="A446" s="351">
        <v>94403</v>
      </c>
      <c r="B446" s="344" t="s">
        <v>1140</v>
      </c>
      <c r="C446" s="360">
        <v>3.9199999999999997E-5</v>
      </c>
      <c r="E446" s="2">
        <v>22544</v>
      </c>
      <c r="F446" s="2">
        <v>23349</v>
      </c>
      <c r="G446" s="2">
        <v>13975</v>
      </c>
      <c r="H446" s="2">
        <v>5834</v>
      </c>
      <c r="I446" s="2">
        <v>0</v>
      </c>
      <c r="J446" s="2"/>
      <c r="K446" s="2">
        <v>7268</v>
      </c>
      <c r="L446" s="2">
        <v>6695</v>
      </c>
      <c r="M446" s="2">
        <v>3726</v>
      </c>
      <c r="N446" s="2">
        <v>0</v>
      </c>
      <c r="O446" s="2">
        <v>0</v>
      </c>
      <c r="P446" s="2"/>
      <c r="Q446" s="2">
        <v>471</v>
      </c>
      <c r="R446" s="2">
        <v>6590</v>
      </c>
      <c r="S446" s="2">
        <v>6818</v>
      </c>
      <c r="T446" s="2">
        <v>5834</v>
      </c>
      <c r="U446" s="2">
        <v>0</v>
      </c>
      <c r="V446" s="2"/>
      <c r="W446" s="2">
        <v>5754</v>
      </c>
      <c r="X446" s="2">
        <v>4671</v>
      </c>
      <c r="Y446" s="2">
        <v>0</v>
      </c>
      <c r="Z446" s="2">
        <v>0</v>
      </c>
      <c r="AA446" s="2">
        <v>0</v>
      </c>
      <c r="AB446" s="2"/>
      <c r="AC446" s="2">
        <v>9051</v>
      </c>
      <c r="AD446" s="2">
        <v>5393</v>
      </c>
      <c r="AE446" s="2">
        <v>3431</v>
      </c>
      <c r="AF446" s="2">
        <v>0</v>
      </c>
      <c r="AG446" s="2">
        <v>0</v>
      </c>
      <c r="AH446" s="2"/>
      <c r="AI446" s="2">
        <v>0</v>
      </c>
      <c r="AJ446" s="2">
        <v>0</v>
      </c>
      <c r="AK446" s="2">
        <v>0</v>
      </c>
      <c r="AL446" s="2">
        <v>0</v>
      </c>
      <c r="AM446" s="2">
        <v>0</v>
      </c>
    </row>
    <row r="447" spans="1:39">
      <c r="A447" s="351">
        <v>94408</v>
      </c>
      <c r="B447" s="344" t="s">
        <v>1141</v>
      </c>
      <c r="C447" s="360">
        <v>5.4400000000000001E-5</v>
      </c>
      <c r="E447" s="2">
        <v>15887</v>
      </c>
      <c r="F447" s="2">
        <v>22641</v>
      </c>
      <c r="G447" s="2">
        <v>12624</v>
      </c>
      <c r="H447" s="2">
        <v>8096</v>
      </c>
      <c r="I447" s="2">
        <v>0</v>
      </c>
      <c r="J447" s="2"/>
      <c r="K447" s="2">
        <v>10086</v>
      </c>
      <c r="L447" s="2">
        <v>9291</v>
      </c>
      <c r="M447" s="2">
        <v>5171</v>
      </c>
      <c r="N447" s="2">
        <v>0</v>
      </c>
      <c r="O447" s="2">
        <v>0</v>
      </c>
      <c r="P447" s="2"/>
      <c r="Q447" s="2">
        <v>654</v>
      </c>
      <c r="R447" s="2">
        <v>9145</v>
      </c>
      <c r="S447" s="2">
        <v>9461</v>
      </c>
      <c r="T447" s="2">
        <v>8096</v>
      </c>
      <c r="U447" s="2">
        <v>0</v>
      </c>
      <c r="V447" s="2"/>
      <c r="W447" s="2">
        <v>7985</v>
      </c>
      <c r="X447" s="2">
        <v>6482</v>
      </c>
      <c r="Y447" s="2">
        <v>0</v>
      </c>
      <c r="Z447" s="2">
        <v>0</v>
      </c>
      <c r="AA447" s="2">
        <v>0</v>
      </c>
      <c r="AB447" s="2"/>
      <c r="AC447" s="2">
        <v>2246</v>
      </c>
      <c r="AD447" s="2">
        <v>2246</v>
      </c>
      <c r="AE447" s="2">
        <v>2246</v>
      </c>
      <c r="AF447" s="2">
        <v>0</v>
      </c>
      <c r="AG447" s="2">
        <v>0</v>
      </c>
      <c r="AH447" s="2"/>
      <c r="AI447" s="2">
        <v>-5084</v>
      </c>
      <c r="AJ447" s="2">
        <v>-4523</v>
      </c>
      <c r="AK447" s="2">
        <v>-4254</v>
      </c>
      <c r="AL447" s="2">
        <v>0</v>
      </c>
      <c r="AM447" s="2">
        <v>-4523</v>
      </c>
    </row>
    <row r="448" spans="1:39">
      <c r="A448" s="351">
        <v>94411</v>
      </c>
      <c r="B448" s="344" t="s">
        <v>1142</v>
      </c>
      <c r="C448" s="360">
        <v>1.1728999999999999E-3</v>
      </c>
      <c r="E448" s="2">
        <v>360582</v>
      </c>
      <c r="F448" s="2">
        <v>481344</v>
      </c>
      <c r="G448" s="2">
        <v>266823</v>
      </c>
      <c r="H448" s="2">
        <v>174553</v>
      </c>
      <c r="I448" s="2">
        <v>0</v>
      </c>
      <c r="J448" s="2"/>
      <c r="K448" s="2">
        <v>217466</v>
      </c>
      <c r="L448" s="2">
        <v>200324</v>
      </c>
      <c r="M448" s="2">
        <v>111494</v>
      </c>
      <c r="N448" s="2">
        <v>0</v>
      </c>
      <c r="O448" s="2">
        <v>0</v>
      </c>
      <c r="P448" s="2"/>
      <c r="Q448" s="2">
        <v>14097</v>
      </c>
      <c r="R448" s="2">
        <v>197170</v>
      </c>
      <c r="S448" s="2">
        <v>203988</v>
      </c>
      <c r="T448" s="2">
        <v>174553</v>
      </c>
      <c r="U448" s="2">
        <v>0</v>
      </c>
      <c r="V448" s="2"/>
      <c r="W448" s="2">
        <v>172154</v>
      </c>
      <c r="X448" s="2">
        <v>139759</v>
      </c>
      <c r="Y448" s="2">
        <v>0</v>
      </c>
      <c r="Z448" s="2">
        <v>0</v>
      </c>
      <c r="AA448" s="2">
        <v>0</v>
      </c>
      <c r="AB448" s="2"/>
      <c r="AC448" s="2">
        <v>12772</v>
      </c>
      <c r="AD448" s="2">
        <v>0</v>
      </c>
      <c r="AE448" s="2">
        <v>0</v>
      </c>
      <c r="AF448" s="2">
        <v>0</v>
      </c>
      <c r="AG448" s="2">
        <v>0</v>
      </c>
      <c r="AH448" s="2"/>
      <c r="AI448" s="2">
        <v>-55907</v>
      </c>
      <c r="AJ448" s="2">
        <v>-55909</v>
      </c>
      <c r="AK448" s="2">
        <v>-48659</v>
      </c>
      <c r="AL448" s="2">
        <v>0</v>
      </c>
      <c r="AM448" s="2">
        <v>-55909</v>
      </c>
    </row>
    <row r="449" spans="1:39">
      <c r="A449" s="351">
        <v>94412</v>
      </c>
      <c r="B449" s="344" t="s">
        <v>1143</v>
      </c>
      <c r="C449" s="360">
        <v>1.6399999999999999E-5</v>
      </c>
      <c r="E449" s="2">
        <v>11393</v>
      </c>
      <c r="F449" s="2">
        <v>12236</v>
      </c>
      <c r="G449" s="2">
        <v>7752</v>
      </c>
      <c r="H449" s="2">
        <v>2441</v>
      </c>
      <c r="I449" s="2">
        <v>0</v>
      </c>
      <c r="J449" s="2"/>
      <c r="K449" s="2">
        <v>3041</v>
      </c>
      <c r="L449" s="2">
        <v>2801</v>
      </c>
      <c r="M449" s="2">
        <v>1559</v>
      </c>
      <c r="N449" s="2">
        <v>0</v>
      </c>
      <c r="O449" s="2">
        <v>0</v>
      </c>
      <c r="P449" s="2"/>
      <c r="Q449" s="2">
        <v>197</v>
      </c>
      <c r="R449" s="2">
        <v>2757</v>
      </c>
      <c r="S449" s="2">
        <v>2852</v>
      </c>
      <c r="T449" s="2">
        <v>2441</v>
      </c>
      <c r="U449" s="2">
        <v>0</v>
      </c>
      <c r="V449" s="2"/>
      <c r="W449" s="2">
        <v>2407</v>
      </c>
      <c r="X449" s="2">
        <v>1954</v>
      </c>
      <c r="Y449" s="2">
        <v>0</v>
      </c>
      <c r="Z449" s="2">
        <v>0</v>
      </c>
      <c r="AA449" s="2">
        <v>0</v>
      </c>
      <c r="AB449" s="2"/>
      <c r="AC449" s="2">
        <v>5748</v>
      </c>
      <c r="AD449" s="2">
        <v>4724</v>
      </c>
      <c r="AE449" s="2">
        <v>3341</v>
      </c>
      <c r="AF449" s="2">
        <v>0</v>
      </c>
      <c r="AG449" s="2">
        <v>0</v>
      </c>
      <c r="AH449" s="2"/>
      <c r="AI449" s="2">
        <v>0</v>
      </c>
      <c r="AJ449" s="2">
        <v>0</v>
      </c>
      <c r="AK449" s="2">
        <v>0</v>
      </c>
      <c r="AL449" s="2">
        <v>0</v>
      </c>
      <c r="AM449" s="2">
        <v>0</v>
      </c>
    </row>
    <row r="450" spans="1:39">
      <c r="A450" s="351">
        <v>94421</v>
      </c>
      <c r="B450" s="344" t="s">
        <v>1144</v>
      </c>
      <c r="C450" s="360">
        <v>1.172E-4</v>
      </c>
      <c r="E450" s="2">
        <v>32253</v>
      </c>
      <c r="F450" s="2">
        <v>45129</v>
      </c>
      <c r="G450" s="2">
        <v>24235</v>
      </c>
      <c r="H450" s="2">
        <v>17442</v>
      </c>
      <c r="I450" s="2">
        <v>0</v>
      </c>
      <c r="J450" s="2"/>
      <c r="K450" s="2">
        <v>21730</v>
      </c>
      <c r="L450" s="2">
        <v>20017</v>
      </c>
      <c r="M450" s="2">
        <v>11141</v>
      </c>
      <c r="N450" s="2">
        <v>0</v>
      </c>
      <c r="O450" s="2">
        <v>0</v>
      </c>
      <c r="P450" s="2"/>
      <c r="Q450" s="2">
        <v>1409</v>
      </c>
      <c r="R450" s="2">
        <v>19702</v>
      </c>
      <c r="S450" s="2">
        <v>20383</v>
      </c>
      <c r="T450" s="2">
        <v>17442</v>
      </c>
      <c r="U450" s="2">
        <v>0</v>
      </c>
      <c r="V450" s="2"/>
      <c r="W450" s="2">
        <v>17202</v>
      </c>
      <c r="X450" s="2">
        <v>13965</v>
      </c>
      <c r="Y450" s="2">
        <v>0</v>
      </c>
      <c r="Z450" s="2">
        <v>0</v>
      </c>
      <c r="AA450" s="2">
        <v>0</v>
      </c>
      <c r="AB450" s="2"/>
      <c r="AC450" s="2">
        <v>469</v>
      </c>
      <c r="AD450" s="2">
        <v>0</v>
      </c>
      <c r="AE450" s="2">
        <v>0</v>
      </c>
      <c r="AF450" s="2">
        <v>0</v>
      </c>
      <c r="AG450" s="2">
        <v>0</v>
      </c>
      <c r="AH450" s="2"/>
      <c r="AI450" s="2">
        <v>-8557</v>
      </c>
      <c r="AJ450" s="2">
        <v>-8555</v>
      </c>
      <c r="AK450" s="2">
        <v>-7289</v>
      </c>
      <c r="AL450" s="2">
        <v>0</v>
      </c>
      <c r="AM450" s="2">
        <v>-8555</v>
      </c>
    </row>
    <row r="451" spans="1:39">
      <c r="A451" s="351">
        <v>94427</v>
      </c>
      <c r="B451" s="344" t="s">
        <v>1145</v>
      </c>
      <c r="C451" s="360">
        <v>2.5999999999999998E-5</v>
      </c>
      <c r="E451" s="2">
        <v>13816</v>
      </c>
      <c r="F451" s="2">
        <v>15884</v>
      </c>
      <c r="G451" s="2">
        <v>10302</v>
      </c>
      <c r="H451" s="2">
        <v>3869</v>
      </c>
      <c r="I451" s="2">
        <v>0</v>
      </c>
      <c r="J451" s="2"/>
      <c r="K451" s="2">
        <v>4821</v>
      </c>
      <c r="L451" s="2">
        <v>4441</v>
      </c>
      <c r="M451" s="2">
        <v>2472</v>
      </c>
      <c r="N451" s="2">
        <v>0</v>
      </c>
      <c r="O451" s="2">
        <v>0</v>
      </c>
      <c r="P451" s="2"/>
      <c r="Q451" s="2">
        <v>312</v>
      </c>
      <c r="R451" s="2">
        <v>4371</v>
      </c>
      <c r="S451" s="2">
        <v>4522</v>
      </c>
      <c r="T451" s="2">
        <v>3869</v>
      </c>
      <c r="U451" s="2">
        <v>0</v>
      </c>
      <c r="V451" s="2"/>
      <c r="W451" s="2">
        <v>3816</v>
      </c>
      <c r="X451" s="2">
        <v>3098</v>
      </c>
      <c r="Y451" s="2">
        <v>0</v>
      </c>
      <c r="Z451" s="2">
        <v>0</v>
      </c>
      <c r="AA451" s="2">
        <v>0</v>
      </c>
      <c r="AB451" s="2"/>
      <c r="AC451" s="2">
        <v>4867</v>
      </c>
      <c r="AD451" s="2">
        <v>3974</v>
      </c>
      <c r="AE451" s="2">
        <v>3308</v>
      </c>
      <c r="AF451" s="2">
        <v>0</v>
      </c>
      <c r="AG451" s="2">
        <v>0</v>
      </c>
      <c r="AH451" s="2"/>
      <c r="AI451" s="2">
        <v>0</v>
      </c>
      <c r="AJ451" s="2">
        <v>0</v>
      </c>
      <c r="AK451" s="2">
        <v>0</v>
      </c>
      <c r="AL451" s="2">
        <v>0</v>
      </c>
      <c r="AM451" s="2">
        <v>0</v>
      </c>
    </row>
    <row r="452" spans="1:39">
      <c r="A452" s="351">
        <v>94428</v>
      </c>
      <c r="B452" s="344" t="s">
        <v>2803</v>
      </c>
      <c r="C452" s="360">
        <v>7.2299999999999996E-5</v>
      </c>
      <c r="E452" s="2">
        <v>27375</v>
      </c>
      <c r="F452" s="2">
        <v>36444</v>
      </c>
      <c r="G452" s="2">
        <v>21236</v>
      </c>
      <c r="H452" s="2">
        <v>10760</v>
      </c>
      <c r="I452" s="2">
        <v>0</v>
      </c>
      <c r="J452" s="2"/>
      <c r="K452" s="2">
        <v>13405</v>
      </c>
      <c r="L452" s="2">
        <v>12348</v>
      </c>
      <c r="M452" s="2">
        <v>6873</v>
      </c>
      <c r="N452" s="2">
        <v>0</v>
      </c>
      <c r="O452" s="2">
        <v>0</v>
      </c>
      <c r="P452" s="2"/>
      <c r="Q452" s="2">
        <v>869</v>
      </c>
      <c r="R452" s="2">
        <v>12154</v>
      </c>
      <c r="S452" s="2">
        <v>12574</v>
      </c>
      <c r="T452" s="2">
        <v>10760</v>
      </c>
      <c r="U452" s="2">
        <v>0</v>
      </c>
      <c r="V452" s="2"/>
      <c r="W452" s="2">
        <v>10612</v>
      </c>
      <c r="X452" s="2">
        <v>8615</v>
      </c>
      <c r="Y452" s="2">
        <v>0</v>
      </c>
      <c r="Z452" s="2">
        <v>0</v>
      </c>
      <c r="AA452" s="2">
        <v>0</v>
      </c>
      <c r="AB452" s="2"/>
      <c r="AC452" s="2">
        <v>3327</v>
      </c>
      <c r="AD452" s="2">
        <v>3327</v>
      </c>
      <c r="AE452" s="2">
        <v>1789</v>
      </c>
      <c r="AF452" s="2">
        <v>0</v>
      </c>
      <c r="AG452" s="2">
        <v>0</v>
      </c>
      <c r="AH452" s="2"/>
      <c r="AI452" s="2">
        <v>-838</v>
      </c>
      <c r="AJ452" s="2">
        <v>0</v>
      </c>
      <c r="AK452" s="2">
        <v>0</v>
      </c>
      <c r="AL452" s="2">
        <v>0</v>
      </c>
      <c r="AM452" s="2">
        <v>0</v>
      </c>
    </row>
    <row r="453" spans="1:39">
      <c r="A453" s="351">
        <v>94431</v>
      </c>
      <c r="B453" s="344" t="s">
        <v>1147</v>
      </c>
      <c r="C453" s="360">
        <v>3.8200000000000002E-4</v>
      </c>
      <c r="E453" s="2">
        <v>185905</v>
      </c>
      <c r="F453" s="2">
        <v>201579</v>
      </c>
      <c r="G453" s="2">
        <v>113011</v>
      </c>
      <c r="H453" s="2">
        <v>56850</v>
      </c>
      <c r="I453" s="2">
        <v>0</v>
      </c>
      <c r="J453" s="2"/>
      <c r="K453" s="2">
        <v>70826</v>
      </c>
      <c r="L453" s="2">
        <v>65243</v>
      </c>
      <c r="M453" s="2">
        <v>36312</v>
      </c>
      <c r="N453" s="2">
        <v>0</v>
      </c>
      <c r="O453" s="2">
        <v>0</v>
      </c>
      <c r="P453" s="2"/>
      <c r="Q453" s="2">
        <v>4591</v>
      </c>
      <c r="R453" s="2">
        <v>64216</v>
      </c>
      <c r="S453" s="2">
        <v>66437</v>
      </c>
      <c r="T453" s="2">
        <v>56850</v>
      </c>
      <c r="U453" s="2">
        <v>0</v>
      </c>
      <c r="V453" s="2"/>
      <c r="W453" s="2">
        <v>56068</v>
      </c>
      <c r="X453" s="2">
        <v>45518</v>
      </c>
      <c r="Y453" s="2">
        <v>0</v>
      </c>
      <c r="Z453" s="2">
        <v>0</v>
      </c>
      <c r="AA453" s="2">
        <v>0</v>
      </c>
      <c r="AB453" s="2"/>
      <c r="AC453" s="2">
        <v>71544</v>
      </c>
      <c r="AD453" s="2">
        <v>43726</v>
      </c>
      <c r="AE453" s="2">
        <v>27384</v>
      </c>
      <c r="AF453" s="2">
        <v>0</v>
      </c>
      <c r="AG453" s="2">
        <v>0</v>
      </c>
      <c r="AH453" s="2"/>
      <c r="AI453" s="2">
        <v>-17124</v>
      </c>
      <c r="AJ453" s="2">
        <v>-17124</v>
      </c>
      <c r="AK453" s="2">
        <v>-17122</v>
      </c>
      <c r="AL453" s="2">
        <v>0</v>
      </c>
      <c r="AM453" s="2">
        <v>-17124</v>
      </c>
    </row>
    <row r="454" spans="1:39">
      <c r="A454" s="351">
        <v>94437</v>
      </c>
      <c r="B454" s="344" t="s">
        <v>1148</v>
      </c>
      <c r="C454" s="360">
        <v>1.4E-5</v>
      </c>
      <c r="E454" s="2">
        <v>8483</v>
      </c>
      <c r="F454" s="2">
        <v>8592</v>
      </c>
      <c r="G454" s="2">
        <v>4678</v>
      </c>
      <c r="H454" s="2">
        <v>2084</v>
      </c>
      <c r="I454" s="2">
        <v>0</v>
      </c>
      <c r="J454" s="2"/>
      <c r="K454" s="2">
        <v>2596</v>
      </c>
      <c r="L454" s="2">
        <v>2391</v>
      </c>
      <c r="M454" s="2">
        <v>1331</v>
      </c>
      <c r="N454" s="2">
        <v>0</v>
      </c>
      <c r="O454" s="2">
        <v>0</v>
      </c>
      <c r="P454" s="2"/>
      <c r="Q454" s="2">
        <v>168</v>
      </c>
      <c r="R454" s="2">
        <v>2353</v>
      </c>
      <c r="S454" s="2">
        <v>2435</v>
      </c>
      <c r="T454" s="2">
        <v>2084</v>
      </c>
      <c r="U454" s="2">
        <v>0</v>
      </c>
      <c r="V454" s="2"/>
      <c r="W454" s="2">
        <v>2055</v>
      </c>
      <c r="X454" s="2">
        <v>1668</v>
      </c>
      <c r="Y454" s="2">
        <v>0</v>
      </c>
      <c r="Z454" s="2">
        <v>0</v>
      </c>
      <c r="AA454" s="2">
        <v>0</v>
      </c>
      <c r="AB454" s="2"/>
      <c r="AC454" s="2">
        <v>3664</v>
      </c>
      <c r="AD454" s="2">
        <v>2180</v>
      </c>
      <c r="AE454" s="2">
        <v>912</v>
      </c>
      <c r="AF454" s="2">
        <v>0</v>
      </c>
      <c r="AG454" s="2">
        <v>0</v>
      </c>
      <c r="AH454" s="2"/>
      <c r="AI454" s="2">
        <v>0</v>
      </c>
      <c r="AJ454" s="2">
        <v>0</v>
      </c>
      <c r="AK454" s="2">
        <v>0</v>
      </c>
      <c r="AL454" s="2">
        <v>0</v>
      </c>
      <c r="AM454" s="2">
        <v>0</v>
      </c>
    </row>
    <row r="455" spans="1:39">
      <c r="A455" s="351">
        <v>94501</v>
      </c>
      <c r="B455" s="344" t="s">
        <v>1149</v>
      </c>
      <c r="C455" s="360">
        <v>5.9300000000000004E-3</v>
      </c>
      <c r="E455" s="2">
        <v>2079673</v>
      </c>
      <c r="F455" s="2">
        <v>2757708</v>
      </c>
      <c r="G455" s="2">
        <v>1610151</v>
      </c>
      <c r="H455" s="2">
        <v>882514</v>
      </c>
      <c r="I455" s="2">
        <v>0</v>
      </c>
      <c r="J455" s="2"/>
      <c r="K455" s="2">
        <v>1099475</v>
      </c>
      <c r="L455" s="2">
        <v>1012808</v>
      </c>
      <c r="M455" s="2">
        <v>563694</v>
      </c>
      <c r="N455" s="2">
        <v>0</v>
      </c>
      <c r="O455" s="2">
        <v>0</v>
      </c>
      <c r="P455" s="2"/>
      <c r="Q455" s="2">
        <v>71273</v>
      </c>
      <c r="R455" s="2">
        <v>996863</v>
      </c>
      <c r="S455" s="2">
        <v>1031334</v>
      </c>
      <c r="T455" s="2">
        <v>882514</v>
      </c>
      <c r="U455" s="2">
        <v>0</v>
      </c>
      <c r="V455" s="2"/>
      <c r="W455" s="2">
        <v>870382</v>
      </c>
      <c r="X455" s="2">
        <v>706601</v>
      </c>
      <c r="Y455" s="2">
        <v>0</v>
      </c>
      <c r="Z455" s="2">
        <v>0</v>
      </c>
      <c r="AA455" s="2">
        <v>0</v>
      </c>
      <c r="AB455" s="2"/>
      <c r="AC455" s="2">
        <v>44031</v>
      </c>
      <c r="AD455" s="2">
        <v>44032</v>
      </c>
      <c r="AE455" s="2">
        <v>17719</v>
      </c>
      <c r="AF455" s="2">
        <v>0</v>
      </c>
      <c r="AG455" s="2">
        <v>0</v>
      </c>
      <c r="AH455" s="2"/>
      <c r="AI455" s="2">
        <v>-5488</v>
      </c>
      <c r="AJ455" s="2">
        <v>-2596</v>
      </c>
      <c r="AK455" s="2">
        <v>-2596</v>
      </c>
      <c r="AL455" s="2">
        <v>0</v>
      </c>
      <c r="AM455" s="2">
        <v>-2596</v>
      </c>
    </row>
    <row r="456" spans="1:39">
      <c r="A456" s="351">
        <v>94511</v>
      </c>
      <c r="B456" s="344" t="s">
        <v>1150</v>
      </c>
      <c r="C456" s="360">
        <v>2.0052E-3</v>
      </c>
      <c r="E456" s="2">
        <v>621247</v>
      </c>
      <c r="F456" s="2">
        <v>846604</v>
      </c>
      <c r="G456" s="2">
        <v>462673</v>
      </c>
      <c r="H456" s="2">
        <v>298418</v>
      </c>
      <c r="I456" s="2">
        <v>0</v>
      </c>
      <c r="J456" s="2"/>
      <c r="K456" s="2">
        <v>371782</v>
      </c>
      <c r="L456" s="2">
        <v>342476</v>
      </c>
      <c r="M456" s="2">
        <v>190610</v>
      </c>
      <c r="N456" s="2">
        <v>0</v>
      </c>
      <c r="O456" s="2">
        <v>0</v>
      </c>
      <c r="P456" s="2"/>
      <c r="Q456" s="2">
        <v>24100</v>
      </c>
      <c r="R456" s="2">
        <v>337084</v>
      </c>
      <c r="S456" s="2">
        <v>348740</v>
      </c>
      <c r="T456" s="2">
        <v>298418</v>
      </c>
      <c r="U456" s="2">
        <v>0</v>
      </c>
      <c r="V456" s="2"/>
      <c r="W456" s="2">
        <v>294315</v>
      </c>
      <c r="X456" s="2">
        <v>238934</v>
      </c>
      <c r="Y456" s="2">
        <v>0</v>
      </c>
      <c r="Z456" s="2">
        <v>0</v>
      </c>
      <c r="AA456" s="2">
        <v>0</v>
      </c>
      <c r="AB456" s="2"/>
      <c r="AC456" s="2">
        <v>7728</v>
      </c>
      <c r="AD456" s="2">
        <v>4788</v>
      </c>
      <c r="AE456" s="2">
        <v>0</v>
      </c>
      <c r="AF456" s="2">
        <v>0</v>
      </c>
      <c r="AG456" s="2">
        <v>0</v>
      </c>
      <c r="AH456" s="2"/>
      <c r="AI456" s="2">
        <v>-76678</v>
      </c>
      <c r="AJ456" s="2">
        <v>-76678</v>
      </c>
      <c r="AK456" s="2">
        <v>-76677</v>
      </c>
      <c r="AL456" s="2">
        <v>0</v>
      </c>
      <c r="AM456" s="2">
        <v>-76678</v>
      </c>
    </row>
    <row r="457" spans="1:39">
      <c r="A457" s="351">
        <v>94517</v>
      </c>
      <c r="B457" s="344" t="s">
        <v>2813</v>
      </c>
      <c r="C457" s="360">
        <v>5.8100000000000003E-5</v>
      </c>
      <c r="E457" s="2">
        <v>32537</v>
      </c>
      <c r="F457" s="2">
        <v>37508</v>
      </c>
      <c r="G457" s="2">
        <v>25744</v>
      </c>
      <c r="H457" s="2">
        <v>8647</v>
      </c>
      <c r="I457" s="2">
        <v>0</v>
      </c>
      <c r="J457" s="2"/>
      <c r="K457" s="2">
        <v>10772</v>
      </c>
      <c r="L457" s="2">
        <v>9923</v>
      </c>
      <c r="M457" s="2">
        <v>5523</v>
      </c>
      <c r="N457" s="2">
        <v>0</v>
      </c>
      <c r="O457" s="2">
        <v>0</v>
      </c>
      <c r="P457" s="2"/>
      <c r="Q457" s="2">
        <v>698</v>
      </c>
      <c r="R457" s="2">
        <v>9767</v>
      </c>
      <c r="S457" s="2">
        <v>10105</v>
      </c>
      <c r="T457" s="2">
        <v>8647</v>
      </c>
      <c r="U457" s="2">
        <v>0</v>
      </c>
      <c r="V457" s="2"/>
      <c r="W457" s="2">
        <v>8528</v>
      </c>
      <c r="X457" s="2">
        <v>6923</v>
      </c>
      <c r="Y457" s="2">
        <v>0</v>
      </c>
      <c r="Z457" s="2">
        <v>0</v>
      </c>
      <c r="AA457" s="2">
        <v>0</v>
      </c>
      <c r="AB457" s="2"/>
      <c r="AC457" s="2">
        <v>12539</v>
      </c>
      <c r="AD457" s="2">
        <v>10895</v>
      </c>
      <c r="AE457" s="2">
        <v>10116</v>
      </c>
      <c r="AF457" s="2">
        <v>0</v>
      </c>
      <c r="AG457" s="2">
        <v>0</v>
      </c>
      <c r="AH457" s="2"/>
      <c r="AI457" s="2">
        <v>0</v>
      </c>
      <c r="AJ457" s="2">
        <v>0</v>
      </c>
      <c r="AK457" s="2">
        <v>0</v>
      </c>
      <c r="AL457" s="2">
        <v>0</v>
      </c>
      <c r="AM457" s="2">
        <v>0</v>
      </c>
    </row>
    <row r="458" spans="1:39">
      <c r="A458" s="351">
        <v>94521</v>
      </c>
      <c r="B458" s="344" t="s">
        <v>1153</v>
      </c>
      <c r="C458" s="360">
        <v>1.484E-4</v>
      </c>
      <c r="E458" s="2">
        <v>44418</v>
      </c>
      <c r="F458" s="2">
        <v>58354</v>
      </c>
      <c r="G458" s="2">
        <v>31625</v>
      </c>
      <c r="H458" s="2">
        <v>22085</v>
      </c>
      <c r="I458" s="2">
        <v>0</v>
      </c>
      <c r="J458" s="2"/>
      <c r="K458" s="2">
        <v>27515</v>
      </c>
      <c r="L458" s="2">
        <v>25346</v>
      </c>
      <c r="M458" s="2">
        <v>14107</v>
      </c>
      <c r="N458" s="2">
        <v>0</v>
      </c>
      <c r="O458" s="2">
        <v>0</v>
      </c>
      <c r="P458" s="2"/>
      <c r="Q458" s="2">
        <v>1784</v>
      </c>
      <c r="R458" s="2">
        <v>24947</v>
      </c>
      <c r="S458" s="2">
        <v>25809</v>
      </c>
      <c r="T458" s="2">
        <v>22085</v>
      </c>
      <c r="U458" s="2">
        <v>0</v>
      </c>
      <c r="V458" s="2"/>
      <c r="W458" s="2">
        <v>21782</v>
      </c>
      <c r="X458" s="2">
        <v>17683</v>
      </c>
      <c r="Y458" s="2">
        <v>0</v>
      </c>
      <c r="Z458" s="2">
        <v>0</v>
      </c>
      <c r="AA458" s="2">
        <v>0</v>
      </c>
      <c r="AB458" s="2"/>
      <c r="AC458" s="2">
        <v>2957</v>
      </c>
      <c r="AD458" s="2">
        <v>0</v>
      </c>
      <c r="AE458" s="2">
        <v>0</v>
      </c>
      <c r="AF458" s="2">
        <v>0</v>
      </c>
      <c r="AG458" s="2">
        <v>0</v>
      </c>
      <c r="AH458" s="2"/>
      <c r="AI458" s="2">
        <v>-9620</v>
      </c>
      <c r="AJ458" s="2">
        <v>-9622</v>
      </c>
      <c r="AK458" s="2">
        <v>-8291</v>
      </c>
      <c r="AL458" s="2">
        <v>0</v>
      </c>
      <c r="AM458" s="2">
        <v>-9622</v>
      </c>
    </row>
    <row r="459" spans="1:39">
      <c r="A459" s="351">
        <v>94527</v>
      </c>
      <c r="B459" s="344" t="s">
        <v>1154</v>
      </c>
      <c r="C459" s="360">
        <v>6.9E-6</v>
      </c>
      <c r="E459" s="2">
        <v>2434</v>
      </c>
      <c r="F459" s="2">
        <v>3406</v>
      </c>
      <c r="G459" s="2">
        <v>1936</v>
      </c>
      <c r="H459" s="2">
        <v>1027</v>
      </c>
      <c r="I459" s="2">
        <v>0</v>
      </c>
      <c r="J459" s="2"/>
      <c r="K459" s="2">
        <v>1279</v>
      </c>
      <c r="L459" s="2">
        <v>1178</v>
      </c>
      <c r="M459" s="2">
        <v>656</v>
      </c>
      <c r="N459" s="2">
        <v>0</v>
      </c>
      <c r="O459" s="2">
        <v>0</v>
      </c>
      <c r="P459" s="2"/>
      <c r="Q459" s="2">
        <v>83</v>
      </c>
      <c r="R459" s="2">
        <v>1160</v>
      </c>
      <c r="S459" s="2">
        <v>1200</v>
      </c>
      <c r="T459" s="2">
        <v>1027</v>
      </c>
      <c r="U459" s="2">
        <v>0</v>
      </c>
      <c r="V459" s="2"/>
      <c r="W459" s="2">
        <v>1013</v>
      </c>
      <c r="X459" s="2">
        <v>822</v>
      </c>
      <c r="Y459" s="2">
        <v>0</v>
      </c>
      <c r="Z459" s="2">
        <v>0</v>
      </c>
      <c r="AA459" s="2">
        <v>0</v>
      </c>
      <c r="AB459" s="2"/>
      <c r="AC459" s="2">
        <v>246</v>
      </c>
      <c r="AD459" s="2">
        <v>246</v>
      </c>
      <c r="AE459" s="2">
        <v>80</v>
      </c>
      <c r="AF459" s="2">
        <v>0</v>
      </c>
      <c r="AG459" s="2">
        <v>0</v>
      </c>
      <c r="AH459" s="2"/>
      <c r="AI459" s="2">
        <v>-187</v>
      </c>
      <c r="AJ459" s="2">
        <v>0</v>
      </c>
      <c r="AK459" s="2">
        <v>0</v>
      </c>
      <c r="AL459" s="2">
        <v>0</v>
      </c>
      <c r="AM459" s="2">
        <v>0</v>
      </c>
    </row>
    <row r="460" spans="1:39">
      <c r="A460" s="351">
        <v>94531</v>
      </c>
      <c r="B460" s="344" t="s">
        <v>1155</v>
      </c>
      <c r="C460" s="360">
        <v>2.0999999999999999E-5</v>
      </c>
      <c r="E460" s="2">
        <v>12251</v>
      </c>
      <c r="F460" s="2">
        <v>13822</v>
      </c>
      <c r="G460" s="2">
        <v>8862</v>
      </c>
      <c r="H460" s="2">
        <v>3125</v>
      </c>
      <c r="I460" s="2">
        <v>0</v>
      </c>
      <c r="J460" s="2"/>
      <c r="K460" s="2">
        <v>3894</v>
      </c>
      <c r="L460" s="2">
        <v>3587</v>
      </c>
      <c r="M460" s="2">
        <v>1996</v>
      </c>
      <c r="N460" s="2">
        <v>0</v>
      </c>
      <c r="O460" s="2">
        <v>0</v>
      </c>
      <c r="P460" s="2"/>
      <c r="Q460" s="2">
        <v>252</v>
      </c>
      <c r="R460" s="2">
        <v>3530</v>
      </c>
      <c r="S460" s="2">
        <v>3652</v>
      </c>
      <c r="T460" s="2">
        <v>3125</v>
      </c>
      <c r="U460" s="2">
        <v>0</v>
      </c>
      <c r="V460" s="2"/>
      <c r="W460" s="2">
        <v>3082</v>
      </c>
      <c r="X460" s="2">
        <v>2502</v>
      </c>
      <c r="Y460" s="2">
        <v>0</v>
      </c>
      <c r="Z460" s="2">
        <v>0</v>
      </c>
      <c r="AA460" s="2">
        <v>0</v>
      </c>
      <c r="AB460" s="2"/>
      <c r="AC460" s="2">
        <v>5023</v>
      </c>
      <c r="AD460" s="2">
        <v>4203</v>
      </c>
      <c r="AE460" s="2">
        <v>3214</v>
      </c>
      <c r="AF460" s="2">
        <v>0</v>
      </c>
      <c r="AG460" s="2">
        <v>0</v>
      </c>
      <c r="AH460" s="2"/>
      <c r="AI460" s="2">
        <v>0</v>
      </c>
      <c r="AJ460" s="2">
        <v>0</v>
      </c>
      <c r="AK460" s="2">
        <v>0</v>
      </c>
      <c r="AL460" s="2">
        <v>0</v>
      </c>
      <c r="AM460" s="2">
        <v>0</v>
      </c>
    </row>
    <row r="461" spans="1:39">
      <c r="A461" s="351">
        <v>94532</v>
      </c>
      <c r="B461" s="344" t="s">
        <v>1156</v>
      </c>
      <c r="C461" s="360">
        <v>1.339E-4</v>
      </c>
      <c r="E461" s="2">
        <v>60915</v>
      </c>
      <c r="F461" s="2">
        <v>76274</v>
      </c>
      <c r="G461" s="2">
        <v>48565</v>
      </c>
      <c r="H461" s="2">
        <v>19927</v>
      </c>
      <c r="I461" s="2">
        <v>0</v>
      </c>
      <c r="J461" s="2"/>
      <c r="K461" s="2">
        <v>24826</v>
      </c>
      <c r="L461" s="2">
        <v>22869</v>
      </c>
      <c r="M461" s="2">
        <v>12728</v>
      </c>
      <c r="N461" s="2">
        <v>0</v>
      </c>
      <c r="O461" s="2">
        <v>0</v>
      </c>
      <c r="P461" s="2"/>
      <c r="Q461" s="2">
        <v>1609</v>
      </c>
      <c r="R461" s="2">
        <v>22509</v>
      </c>
      <c r="S461" s="2">
        <v>23288</v>
      </c>
      <c r="T461" s="2">
        <v>19927</v>
      </c>
      <c r="U461" s="2">
        <v>0</v>
      </c>
      <c r="V461" s="2"/>
      <c r="W461" s="2">
        <v>19653</v>
      </c>
      <c r="X461" s="2">
        <v>15955</v>
      </c>
      <c r="Y461" s="2">
        <v>0</v>
      </c>
      <c r="Z461" s="2">
        <v>0</v>
      </c>
      <c r="AA461" s="2">
        <v>0</v>
      </c>
      <c r="AB461" s="2"/>
      <c r="AC461" s="2">
        <v>14941</v>
      </c>
      <c r="AD461" s="2">
        <v>14941</v>
      </c>
      <c r="AE461" s="2">
        <v>12549</v>
      </c>
      <c r="AF461" s="2">
        <v>0</v>
      </c>
      <c r="AG461" s="2">
        <v>0</v>
      </c>
      <c r="AH461" s="2"/>
      <c r="AI461" s="2">
        <v>-114</v>
      </c>
      <c r="AJ461" s="2">
        <v>0</v>
      </c>
      <c r="AK461" s="2">
        <v>0</v>
      </c>
      <c r="AL461" s="2">
        <v>0</v>
      </c>
      <c r="AM461" s="2">
        <v>0</v>
      </c>
    </row>
    <row r="462" spans="1:39">
      <c r="A462" s="351">
        <v>94541</v>
      </c>
      <c r="B462" s="344" t="s">
        <v>1157</v>
      </c>
      <c r="C462" s="360">
        <v>2.7849999999999999E-4</v>
      </c>
      <c r="E462" s="2">
        <v>87511</v>
      </c>
      <c r="F462" s="2">
        <v>122151</v>
      </c>
      <c r="G462" s="2">
        <v>73164</v>
      </c>
      <c r="H462" s="2">
        <v>41447</v>
      </c>
      <c r="I462" s="2">
        <v>0</v>
      </c>
      <c r="J462" s="2"/>
      <c r="K462" s="2">
        <v>51636</v>
      </c>
      <c r="L462" s="2">
        <v>47566</v>
      </c>
      <c r="M462" s="2">
        <v>26474</v>
      </c>
      <c r="N462" s="2">
        <v>0</v>
      </c>
      <c r="O462" s="2">
        <v>0</v>
      </c>
      <c r="P462" s="2"/>
      <c r="Q462" s="2">
        <v>3347</v>
      </c>
      <c r="R462" s="2">
        <v>46817</v>
      </c>
      <c r="S462" s="2">
        <v>48436</v>
      </c>
      <c r="T462" s="2">
        <v>41447</v>
      </c>
      <c r="U462" s="2">
        <v>0</v>
      </c>
      <c r="V462" s="2"/>
      <c r="W462" s="2">
        <v>40877</v>
      </c>
      <c r="X462" s="2">
        <v>33185</v>
      </c>
      <c r="Y462" s="2">
        <v>0</v>
      </c>
      <c r="Z462" s="2">
        <v>0</v>
      </c>
      <c r="AA462" s="2">
        <v>0</v>
      </c>
      <c r="AB462" s="2"/>
      <c r="AC462" s="2">
        <v>640</v>
      </c>
      <c r="AD462" s="2">
        <v>640</v>
      </c>
      <c r="AE462" s="2">
        <v>640</v>
      </c>
      <c r="AF462" s="2">
        <v>0</v>
      </c>
      <c r="AG462" s="2">
        <v>0</v>
      </c>
      <c r="AH462" s="2"/>
      <c r="AI462" s="2">
        <v>-8989</v>
      </c>
      <c r="AJ462" s="2">
        <v>-6057</v>
      </c>
      <c r="AK462" s="2">
        <v>-2386</v>
      </c>
      <c r="AL462" s="2">
        <v>0</v>
      </c>
      <c r="AM462" s="2">
        <v>-6057</v>
      </c>
    </row>
    <row r="463" spans="1:39">
      <c r="A463" s="351">
        <v>94547</v>
      </c>
      <c r="B463" s="344" t="s">
        <v>1158</v>
      </c>
      <c r="C463" s="360">
        <v>1.2500000000000001E-5</v>
      </c>
      <c r="E463" s="2">
        <v>8824</v>
      </c>
      <c r="F463" s="2">
        <v>9903</v>
      </c>
      <c r="G463" s="2">
        <v>6831</v>
      </c>
      <c r="H463" s="2">
        <v>1860</v>
      </c>
      <c r="I463" s="2">
        <v>0</v>
      </c>
      <c r="J463" s="2"/>
      <c r="K463" s="2">
        <v>2318</v>
      </c>
      <c r="L463" s="2">
        <v>2135</v>
      </c>
      <c r="M463" s="2">
        <v>1188</v>
      </c>
      <c r="N463" s="2">
        <v>0</v>
      </c>
      <c r="O463" s="2">
        <v>0</v>
      </c>
      <c r="P463" s="2"/>
      <c r="Q463" s="2">
        <v>150</v>
      </c>
      <c r="R463" s="2">
        <v>2101</v>
      </c>
      <c r="S463" s="2">
        <v>2174</v>
      </c>
      <c r="T463" s="2">
        <v>1860</v>
      </c>
      <c r="U463" s="2">
        <v>0</v>
      </c>
      <c r="V463" s="2"/>
      <c r="W463" s="2">
        <v>1835</v>
      </c>
      <c r="X463" s="2">
        <v>1489</v>
      </c>
      <c r="Y463" s="2">
        <v>0</v>
      </c>
      <c r="Z463" s="2">
        <v>0</v>
      </c>
      <c r="AA463" s="2">
        <v>0</v>
      </c>
      <c r="AB463" s="2"/>
      <c r="AC463" s="2">
        <v>4521</v>
      </c>
      <c r="AD463" s="2">
        <v>4178</v>
      </c>
      <c r="AE463" s="2">
        <v>3469</v>
      </c>
      <c r="AF463" s="2">
        <v>0</v>
      </c>
      <c r="AG463" s="2">
        <v>0</v>
      </c>
      <c r="AH463" s="2"/>
      <c r="AI463" s="2">
        <v>0</v>
      </c>
      <c r="AJ463" s="2">
        <v>0</v>
      </c>
      <c r="AK463" s="2">
        <v>0</v>
      </c>
      <c r="AL463" s="2">
        <v>0</v>
      </c>
      <c r="AM463" s="2">
        <v>0</v>
      </c>
    </row>
    <row r="464" spans="1:39">
      <c r="A464" s="351">
        <v>94551</v>
      </c>
      <c r="B464" s="344" t="s">
        <v>1159</v>
      </c>
      <c r="C464" s="360">
        <v>5.8199999999999998E-5</v>
      </c>
      <c r="E464" s="2">
        <v>25112</v>
      </c>
      <c r="F464" s="2">
        <v>31270</v>
      </c>
      <c r="G464" s="2">
        <v>18628</v>
      </c>
      <c r="H464" s="2">
        <v>8661</v>
      </c>
      <c r="I464" s="2">
        <v>0</v>
      </c>
      <c r="J464" s="2"/>
      <c r="K464" s="2">
        <v>10791</v>
      </c>
      <c r="L464" s="2">
        <v>9940</v>
      </c>
      <c r="M464" s="2">
        <v>5532</v>
      </c>
      <c r="N464" s="2">
        <v>0</v>
      </c>
      <c r="O464" s="2">
        <v>0</v>
      </c>
      <c r="P464" s="2"/>
      <c r="Q464" s="2">
        <v>700</v>
      </c>
      <c r="R464" s="2">
        <v>9784</v>
      </c>
      <c r="S464" s="2">
        <v>10122</v>
      </c>
      <c r="T464" s="2">
        <v>8661</v>
      </c>
      <c r="U464" s="2">
        <v>0</v>
      </c>
      <c r="V464" s="2"/>
      <c r="W464" s="2">
        <v>8542</v>
      </c>
      <c r="X464" s="2">
        <v>6935</v>
      </c>
      <c r="Y464" s="2">
        <v>0</v>
      </c>
      <c r="Z464" s="2">
        <v>0</v>
      </c>
      <c r="AA464" s="2">
        <v>0</v>
      </c>
      <c r="AB464" s="2"/>
      <c r="AC464" s="2">
        <v>5079</v>
      </c>
      <c r="AD464" s="2">
        <v>4611</v>
      </c>
      <c r="AE464" s="2">
        <v>2974</v>
      </c>
      <c r="AF464" s="2">
        <v>0</v>
      </c>
      <c r="AG464" s="2">
        <v>0</v>
      </c>
      <c r="AH464" s="2"/>
      <c r="AI464" s="2">
        <v>0</v>
      </c>
      <c r="AJ464" s="2">
        <v>0</v>
      </c>
      <c r="AK464" s="2">
        <v>0</v>
      </c>
      <c r="AL464" s="2">
        <v>0</v>
      </c>
      <c r="AM464" s="2">
        <v>0</v>
      </c>
    </row>
    <row r="465" spans="1:39">
      <c r="A465" s="351">
        <v>94601</v>
      </c>
      <c r="B465" s="344" t="s">
        <v>1160</v>
      </c>
      <c r="C465" s="360">
        <v>9.234E-4</v>
      </c>
      <c r="E465" s="2">
        <v>320431</v>
      </c>
      <c r="F465" s="2">
        <v>412709</v>
      </c>
      <c r="G465" s="2">
        <v>233606</v>
      </c>
      <c r="H465" s="2">
        <v>137422</v>
      </c>
      <c r="I465" s="2">
        <v>0</v>
      </c>
      <c r="J465" s="2"/>
      <c r="K465" s="2">
        <v>171207</v>
      </c>
      <c r="L465" s="2">
        <v>157711</v>
      </c>
      <c r="M465" s="2">
        <v>87777</v>
      </c>
      <c r="N465" s="2">
        <v>0</v>
      </c>
      <c r="O465" s="2">
        <v>0</v>
      </c>
      <c r="P465" s="2"/>
      <c r="Q465" s="2">
        <v>11098</v>
      </c>
      <c r="R465" s="2">
        <v>155228</v>
      </c>
      <c r="S465" s="2">
        <v>160596</v>
      </c>
      <c r="T465" s="2">
        <v>137422</v>
      </c>
      <c r="U465" s="2">
        <v>0</v>
      </c>
      <c r="V465" s="2"/>
      <c r="W465" s="2">
        <v>135533</v>
      </c>
      <c r="X465" s="2">
        <v>110030</v>
      </c>
      <c r="Y465" s="2">
        <v>0</v>
      </c>
      <c r="Z465" s="2">
        <v>0</v>
      </c>
      <c r="AA465" s="2">
        <v>0</v>
      </c>
      <c r="AB465" s="2"/>
      <c r="AC465" s="2">
        <v>28587</v>
      </c>
      <c r="AD465" s="2">
        <v>15734</v>
      </c>
      <c r="AE465" s="2">
        <v>11225</v>
      </c>
      <c r="AF465" s="2">
        <v>0</v>
      </c>
      <c r="AG465" s="2">
        <v>0</v>
      </c>
      <c r="AH465" s="2"/>
      <c r="AI465" s="2">
        <v>-25994</v>
      </c>
      <c r="AJ465" s="2">
        <v>-25994</v>
      </c>
      <c r="AK465" s="2">
        <v>-25992</v>
      </c>
      <c r="AL465" s="2">
        <v>0</v>
      </c>
      <c r="AM465" s="2">
        <v>-25994</v>
      </c>
    </row>
    <row r="466" spans="1:39">
      <c r="A466" s="351">
        <v>94604</v>
      </c>
      <c r="B466" s="344" t="s">
        <v>1161</v>
      </c>
      <c r="C466" s="360">
        <v>2.0299999999999999E-5</v>
      </c>
      <c r="E466" s="2">
        <v>6953</v>
      </c>
      <c r="F466" s="2">
        <v>8841</v>
      </c>
      <c r="G466" s="2">
        <v>4547</v>
      </c>
      <c r="H466" s="2">
        <v>3021</v>
      </c>
      <c r="I466" s="2">
        <v>0</v>
      </c>
      <c r="J466" s="2"/>
      <c r="K466" s="2">
        <v>3764</v>
      </c>
      <c r="L466" s="2">
        <v>3467</v>
      </c>
      <c r="M466" s="2">
        <v>1930</v>
      </c>
      <c r="N466" s="2">
        <v>0</v>
      </c>
      <c r="O466" s="2">
        <v>0</v>
      </c>
      <c r="P466" s="2"/>
      <c r="Q466" s="2">
        <v>244</v>
      </c>
      <c r="R466" s="2">
        <v>3413</v>
      </c>
      <c r="S466" s="2">
        <v>3531</v>
      </c>
      <c r="T466" s="2">
        <v>3021</v>
      </c>
      <c r="U466" s="2">
        <v>0</v>
      </c>
      <c r="V466" s="2"/>
      <c r="W466" s="2">
        <v>2980</v>
      </c>
      <c r="X466" s="2">
        <v>2419</v>
      </c>
      <c r="Y466" s="2">
        <v>0</v>
      </c>
      <c r="Z466" s="2">
        <v>0</v>
      </c>
      <c r="AA466" s="2">
        <v>0</v>
      </c>
      <c r="AB466" s="2"/>
      <c r="AC466" s="2">
        <v>885</v>
      </c>
      <c r="AD466" s="2">
        <v>462</v>
      </c>
      <c r="AE466" s="2">
        <v>4</v>
      </c>
      <c r="AF466" s="2">
        <v>0</v>
      </c>
      <c r="AG466" s="2">
        <v>0</v>
      </c>
      <c r="AH466" s="2"/>
      <c r="AI466" s="2">
        <v>-920</v>
      </c>
      <c r="AJ466" s="2">
        <v>-920</v>
      </c>
      <c r="AK466" s="2">
        <v>-918</v>
      </c>
      <c r="AL466" s="2">
        <v>0</v>
      </c>
      <c r="AM466" s="2">
        <v>-920</v>
      </c>
    </row>
    <row r="467" spans="1:39">
      <c r="A467" s="351">
        <v>94611</v>
      </c>
      <c r="B467" s="344" t="s">
        <v>1163</v>
      </c>
      <c r="C467" s="360">
        <v>3.0679999999999998E-4</v>
      </c>
      <c r="E467" s="2">
        <v>85329</v>
      </c>
      <c r="F467" s="2">
        <v>128507</v>
      </c>
      <c r="G467" s="2">
        <v>70510</v>
      </c>
      <c r="H467" s="2">
        <v>45659</v>
      </c>
      <c r="I467" s="2">
        <v>0</v>
      </c>
      <c r="J467" s="2"/>
      <c r="K467" s="2">
        <v>56883</v>
      </c>
      <c r="L467" s="2">
        <v>52400</v>
      </c>
      <c r="M467" s="2">
        <v>29164</v>
      </c>
      <c r="N467" s="2">
        <v>0</v>
      </c>
      <c r="O467" s="2">
        <v>0</v>
      </c>
      <c r="P467" s="2"/>
      <c r="Q467" s="2">
        <v>3687</v>
      </c>
      <c r="R467" s="2">
        <v>51575</v>
      </c>
      <c r="S467" s="2">
        <v>53358</v>
      </c>
      <c r="T467" s="2">
        <v>45659</v>
      </c>
      <c r="U467" s="2">
        <v>0</v>
      </c>
      <c r="V467" s="2"/>
      <c r="W467" s="2">
        <v>45031</v>
      </c>
      <c r="X467" s="2">
        <v>36557</v>
      </c>
      <c r="Y467" s="2">
        <v>0</v>
      </c>
      <c r="Z467" s="2">
        <v>0</v>
      </c>
      <c r="AA467" s="2">
        <v>0</v>
      </c>
      <c r="AB467" s="2"/>
      <c r="AC467" s="2">
        <v>0</v>
      </c>
      <c r="AD467" s="2">
        <v>0</v>
      </c>
      <c r="AE467" s="2">
        <v>0</v>
      </c>
      <c r="AF467" s="2">
        <v>0</v>
      </c>
      <c r="AG467" s="2">
        <v>0</v>
      </c>
      <c r="AH467" s="2"/>
      <c r="AI467" s="2">
        <v>-20272</v>
      </c>
      <c r="AJ467" s="2">
        <v>-12025</v>
      </c>
      <c r="AK467" s="2">
        <v>-12012</v>
      </c>
      <c r="AL467" s="2">
        <v>0</v>
      </c>
      <c r="AM467" s="2">
        <v>-12025</v>
      </c>
    </row>
    <row r="468" spans="1:39">
      <c r="A468" s="351">
        <v>94621</v>
      </c>
      <c r="B468" s="344" t="s">
        <v>1164</v>
      </c>
      <c r="C468" s="360">
        <v>1.104E-4</v>
      </c>
      <c r="E468" s="2">
        <v>39696</v>
      </c>
      <c r="F468" s="2">
        <v>53552</v>
      </c>
      <c r="G468" s="2">
        <v>27747</v>
      </c>
      <c r="H468" s="2">
        <v>16430</v>
      </c>
      <c r="I468" s="2">
        <v>0</v>
      </c>
      <c r="J468" s="2"/>
      <c r="K468" s="2">
        <v>20469</v>
      </c>
      <c r="L468" s="2">
        <v>18856</v>
      </c>
      <c r="M468" s="2">
        <v>10494</v>
      </c>
      <c r="N468" s="2">
        <v>0</v>
      </c>
      <c r="O468" s="2">
        <v>0</v>
      </c>
      <c r="P468" s="2"/>
      <c r="Q468" s="2">
        <v>1327</v>
      </c>
      <c r="R468" s="2">
        <v>18559</v>
      </c>
      <c r="S468" s="2">
        <v>19201</v>
      </c>
      <c r="T468" s="2">
        <v>16430</v>
      </c>
      <c r="U468" s="2">
        <v>0</v>
      </c>
      <c r="V468" s="2"/>
      <c r="W468" s="2">
        <v>16204</v>
      </c>
      <c r="X468" s="2">
        <v>13155</v>
      </c>
      <c r="Y468" s="2">
        <v>0</v>
      </c>
      <c r="Z468" s="2">
        <v>0</v>
      </c>
      <c r="AA468" s="2">
        <v>0</v>
      </c>
      <c r="AB468" s="2"/>
      <c r="AC468" s="2">
        <v>11451</v>
      </c>
      <c r="AD468" s="2">
        <v>11451</v>
      </c>
      <c r="AE468" s="2">
        <v>6521</v>
      </c>
      <c r="AF468" s="2">
        <v>0</v>
      </c>
      <c r="AG468" s="2">
        <v>0</v>
      </c>
      <c r="AH468" s="2"/>
      <c r="AI468" s="2">
        <v>-9755</v>
      </c>
      <c r="AJ468" s="2">
        <v>-8469</v>
      </c>
      <c r="AK468" s="2">
        <v>-8469</v>
      </c>
      <c r="AL468" s="2">
        <v>0</v>
      </c>
      <c r="AM468" s="2">
        <v>-8469</v>
      </c>
    </row>
    <row r="469" spans="1:39">
      <c r="A469" s="351">
        <v>94631</v>
      </c>
      <c r="B469" s="344" t="s">
        <v>1165</v>
      </c>
      <c r="C469" s="360">
        <v>4.2899999999999999E-5</v>
      </c>
      <c r="E469" s="2">
        <v>15770</v>
      </c>
      <c r="F469" s="2">
        <v>19871</v>
      </c>
      <c r="G469" s="2">
        <v>11014</v>
      </c>
      <c r="H469" s="2">
        <v>6384</v>
      </c>
      <c r="I469" s="2">
        <v>0</v>
      </c>
      <c r="J469" s="2"/>
      <c r="K469" s="2">
        <v>7954</v>
      </c>
      <c r="L469" s="2">
        <v>7327</v>
      </c>
      <c r="M469" s="2">
        <v>4078</v>
      </c>
      <c r="N469" s="2">
        <v>0</v>
      </c>
      <c r="O469" s="2">
        <v>0</v>
      </c>
      <c r="P469" s="2"/>
      <c r="Q469" s="2">
        <v>516</v>
      </c>
      <c r="R469" s="2">
        <v>7212</v>
      </c>
      <c r="S469" s="2">
        <v>7461</v>
      </c>
      <c r="T469" s="2">
        <v>6384</v>
      </c>
      <c r="U469" s="2">
        <v>0</v>
      </c>
      <c r="V469" s="2"/>
      <c r="W469" s="2">
        <v>6297</v>
      </c>
      <c r="X469" s="2">
        <v>5112</v>
      </c>
      <c r="Y469" s="2">
        <v>0</v>
      </c>
      <c r="Z469" s="2">
        <v>0</v>
      </c>
      <c r="AA469" s="2">
        <v>0</v>
      </c>
      <c r="AB469" s="2"/>
      <c r="AC469" s="2">
        <v>1528</v>
      </c>
      <c r="AD469" s="2">
        <v>745</v>
      </c>
      <c r="AE469" s="2">
        <v>0</v>
      </c>
      <c r="AF469" s="2">
        <v>0</v>
      </c>
      <c r="AG469" s="2">
        <v>0</v>
      </c>
      <c r="AH469" s="2"/>
      <c r="AI469" s="2">
        <v>-525</v>
      </c>
      <c r="AJ469" s="2">
        <v>-525</v>
      </c>
      <c r="AK469" s="2">
        <v>-525</v>
      </c>
      <c r="AL469" s="2">
        <v>0</v>
      </c>
      <c r="AM469" s="2">
        <v>-525</v>
      </c>
    </row>
    <row r="470" spans="1:39">
      <c r="A470" s="351">
        <v>94641</v>
      </c>
      <c r="B470" s="344" t="s">
        <v>1166</v>
      </c>
      <c r="C470" s="360">
        <v>1.4399999999999999E-5</v>
      </c>
      <c r="E470" s="2">
        <v>10062</v>
      </c>
      <c r="F470" s="2">
        <v>11191</v>
      </c>
      <c r="G470" s="2">
        <v>7923</v>
      </c>
      <c r="H470" s="2">
        <v>2143</v>
      </c>
      <c r="I470" s="2">
        <v>0</v>
      </c>
      <c r="J470" s="2"/>
      <c r="K470" s="2">
        <v>2670</v>
      </c>
      <c r="L470" s="2">
        <v>2459</v>
      </c>
      <c r="M470" s="2">
        <v>1369</v>
      </c>
      <c r="N470" s="2">
        <v>0</v>
      </c>
      <c r="O470" s="2">
        <v>0</v>
      </c>
      <c r="P470" s="2"/>
      <c r="Q470" s="2">
        <v>173</v>
      </c>
      <c r="R470" s="2">
        <v>2421</v>
      </c>
      <c r="S470" s="2">
        <v>2504</v>
      </c>
      <c r="T470" s="2">
        <v>2143</v>
      </c>
      <c r="U470" s="2">
        <v>0</v>
      </c>
      <c r="V470" s="2"/>
      <c r="W470" s="2">
        <v>2114</v>
      </c>
      <c r="X470" s="2">
        <v>1716</v>
      </c>
      <c r="Y470" s="2">
        <v>0</v>
      </c>
      <c r="Z470" s="2">
        <v>0</v>
      </c>
      <c r="AA470" s="2">
        <v>0</v>
      </c>
      <c r="AB470" s="2"/>
      <c r="AC470" s="2">
        <v>5105</v>
      </c>
      <c r="AD470" s="2">
        <v>4595</v>
      </c>
      <c r="AE470" s="2">
        <v>4050</v>
      </c>
      <c r="AF470" s="2">
        <v>0</v>
      </c>
      <c r="AG470" s="2">
        <v>0</v>
      </c>
      <c r="AH470" s="2"/>
      <c r="AI470" s="2">
        <v>0</v>
      </c>
      <c r="AJ470" s="2">
        <v>0</v>
      </c>
      <c r="AK470" s="2">
        <v>0</v>
      </c>
      <c r="AL470" s="2">
        <v>0</v>
      </c>
      <c r="AM470" s="2">
        <v>0</v>
      </c>
    </row>
    <row r="471" spans="1:39">
      <c r="A471" s="351">
        <v>94701</v>
      </c>
      <c r="B471" s="344" t="s">
        <v>1167</v>
      </c>
      <c r="C471" s="360">
        <v>2.4697999999999999E-3</v>
      </c>
      <c r="E471" s="2">
        <v>858802</v>
      </c>
      <c r="F471" s="2">
        <v>1147096</v>
      </c>
      <c r="G471" s="2">
        <v>709720</v>
      </c>
      <c r="H471" s="2">
        <v>367561</v>
      </c>
      <c r="I471" s="2">
        <v>0</v>
      </c>
      <c r="J471" s="2"/>
      <c r="K471" s="2">
        <v>457923</v>
      </c>
      <c r="L471" s="2">
        <v>421827</v>
      </c>
      <c r="M471" s="2">
        <v>234774</v>
      </c>
      <c r="N471" s="2">
        <v>0</v>
      </c>
      <c r="O471" s="2">
        <v>0</v>
      </c>
      <c r="P471" s="2"/>
      <c r="Q471" s="2">
        <v>29685</v>
      </c>
      <c r="R471" s="2">
        <v>415186</v>
      </c>
      <c r="S471" s="2">
        <v>429543</v>
      </c>
      <c r="T471" s="2">
        <v>367561</v>
      </c>
      <c r="U471" s="2">
        <v>0</v>
      </c>
      <c r="V471" s="2"/>
      <c r="W471" s="2">
        <v>362507</v>
      </c>
      <c r="X471" s="2">
        <v>294294</v>
      </c>
      <c r="Y471" s="2">
        <v>0</v>
      </c>
      <c r="Z471" s="2">
        <v>0</v>
      </c>
      <c r="AA471" s="2">
        <v>0</v>
      </c>
      <c r="AB471" s="2"/>
      <c r="AC471" s="2">
        <v>45405</v>
      </c>
      <c r="AD471" s="2">
        <v>45405</v>
      </c>
      <c r="AE471" s="2">
        <v>45403</v>
      </c>
      <c r="AF471" s="2">
        <v>0</v>
      </c>
      <c r="AG471" s="2">
        <v>0</v>
      </c>
      <c r="AH471" s="2"/>
      <c r="AI471" s="2">
        <v>-36718</v>
      </c>
      <c r="AJ471" s="2">
        <v>-29616</v>
      </c>
      <c r="AK471" s="2">
        <v>0</v>
      </c>
      <c r="AL471" s="2">
        <v>0</v>
      </c>
      <c r="AM471" s="2">
        <v>-29616</v>
      </c>
    </row>
    <row r="472" spans="1:39">
      <c r="A472" s="351">
        <v>94704</v>
      </c>
      <c r="B472" s="344" t="s">
        <v>1168</v>
      </c>
      <c r="C472" s="360">
        <v>1.5500000000000001E-5</v>
      </c>
      <c r="E472" s="2">
        <v>7231</v>
      </c>
      <c r="F472" s="2">
        <v>9004</v>
      </c>
      <c r="G472" s="2">
        <v>4842</v>
      </c>
      <c r="H472" s="2">
        <v>2307</v>
      </c>
      <c r="I472" s="2">
        <v>0</v>
      </c>
      <c r="J472" s="2"/>
      <c r="K472" s="2">
        <v>2874</v>
      </c>
      <c r="L472" s="2">
        <v>2647</v>
      </c>
      <c r="M472" s="2">
        <v>1473</v>
      </c>
      <c r="N472" s="2">
        <v>0</v>
      </c>
      <c r="O472" s="2">
        <v>0</v>
      </c>
      <c r="P472" s="2"/>
      <c r="Q472" s="2">
        <v>186</v>
      </c>
      <c r="R472" s="2">
        <v>2606</v>
      </c>
      <c r="S472" s="2">
        <v>2696</v>
      </c>
      <c r="T472" s="2">
        <v>2307</v>
      </c>
      <c r="U472" s="2">
        <v>0</v>
      </c>
      <c r="V472" s="2"/>
      <c r="W472" s="2">
        <v>2275</v>
      </c>
      <c r="X472" s="2">
        <v>1847</v>
      </c>
      <c r="Y472" s="2">
        <v>0</v>
      </c>
      <c r="Z472" s="2">
        <v>0</v>
      </c>
      <c r="AA472" s="2">
        <v>0</v>
      </c>
      <c r="AB472" s="2"/>
      <c r="AC472" s="2">
        <v>1915</v>
      </c>
      <c r="AD472" s="2">
        <v>1914</v>
      </c>
      <c r="AE472" s="2">
        <v>684</v>
      </c>
      <c r="AF472" s="2">
        <v>0</v>
      </c>
      <c r="AG472" s="2">
        <v>0</v>
      </c>
      <c r="AH472" s="2"/>
      <c r="AI472" s="2">
        <v>-19</v>
      </c>
      <c r="AJ472" s="2">
        <v>-10</v>
      </c>
      <c r="AK472" s="2">
        <v>-11</v>
      </c>
      <c r="AL472" s="2">
        <v>0</v>
      </c>
      <c r="AM472" s="2">
        <v>-10</v>
      </c>
    </row>
    <row r="473" spans="1:39">
      <c r="A473" s="351">
        <v>94711</v>
      </c>
      <c r="B473" s="344" t="s">
        <v>1169</v>
      </c>
      <c r="C473" s="360">
        <v>3.1080000000000002E-4</v>
      </c>
      <c r="E473" s="2">
        <v>103329</v>
      </c>
      <c r="F473" s="2">
        <v>139032</v>
      </c>
      <c r="G473" s="2">
        <v>79548</v>
      </c>
      <c r="H473" s="2">
        <v>46254</v>
      </c>
      <c r="I473" s="2">
        <v>0</v>
      </c>
      <c r="J473" s="2"/>
      <c r="K473" s="2">
        <v>57625</v>
      </c>
      <c r="L473" s="2">
        <v>53083</v>
      </c>
      <c r="M473" s="2">
        <v>29544</v>
      </c>
      <c r="N473" s="2">
        <v>0</v>
      </c>
      <c r="O473" s="2">
        <v>0</v>
      </c>
      <c r="P473" s="2"/>
      <c r="Q473" s="2">
        <v>3736</v>
      </c>
      <c r="R473" s="2">
        <v>52247</v>
      </c>
      <c r="S473" s="2">
        <v>54054</v>
      </c>
      <c r="T473" s="2">
        <v>46254</v>
      </c>
      <c r="U473" s="2">
        <v>0</v>
      </c>
      <c r="V473" s="2"/>
      <c r="W473" s="2">
        <v>45618</v>
      </c>
      <c r="X473" s="2">
        <v>37034</v>
      </c>
      <c r="Y473" s="2">
        <v>0</v>
      </c>
      <c r="Z473" s="2">
        <v>0</v>
      </c>
      <c r="AA473" s="2">
        <v>0</v>
      </c>
      <c r="AB473" s="2"/>
      <c r="AC473" s="2">
        <v>2920</v>
      </c>
      <c r="AD473" s="2">
        <v>2922</v>
      </c>
      <c r="AE473" s="2">
        <v>2202</v>
      </c>
      <c r="AF473" s="2">
        <v>0</v>
      </c>
      <c r="AG473" s="2">
        <v>0</v>
      </c>
      <c r="AH473" s="2"/>
      <c r="AI473" s="2">
        <v>-6570</v>
      </c>
      <c r="AJ473" s="2">
        <v>-6254</v>
      </c>
      <c r="AK473" s="2">
        <v>-6252</v>
      </c>
      <c r="AL473" s="2">
        <v>0</v>
      </c>
      <c r="AM473" s="2">
        <v>-6254</v>
      </c>
    </row>
    <row r="474" spans="1:39">
      <c r="A474" s="351">
        <v>94801</v>
      </c>
      <c r="B474" s="344" t="s">
        <v>1170</v>
      </c>
      <c r="C474" s="360">
        <v>6.8409999999999999E-4</v>
      </c>
      <c r="E474" s="2">
        <v>232693</v>
      </c>
      <c r="F474" s="2">
        <v>315482</v>
      </c>
      <c r="G474" s="2">
        <v>191699</v>
      </c>
      <c r="H474" s="2">
        <v>101809</v>
      </c>
      <c r="I474" s="2">
        <v>0</v>
      </c>
      <c r="J474" s="2"/>
      <c r="K474" s="2">
        <v>126838</v>
      </c>
      <c r="L474" s="2">
        <v>116840</v>
      </c>
      <c r="M474" s="2">
        <v>65029</v>
      </c>
      <c r="N474" s="2">
        <v>0</v>
      </c>
      <c r="O474" s="2">
        <v>0</v>
      </c>
      <c r="P474" s="2"/>
      <c r="Q474" s="2">
        <v>8222</v>
      </c>
      <c r="R474" s="2">
        <v>115001</v>
      </c>
      <c r="S474" s="2">
        <v>118977</v>
      </c>
      <c r="T474" s="2">
        <v>101809</v>
      </c>
      <c r="U474" s="2">
        <v>0</v>
      </c>
      <c r="V474" s="2"/>
      <c r="W474" s="2">
        <v>100409</v>
      </c>
      <c r="X474" s="2">
        <v>81515</v>
      </c>
      <c r="Y474" s="2">
        <v>0</v>
      </c>
      <c r="Z474" s="2">
        <v>0</v>
      </c>
      <c r="AA474" s="2">
        <v>0</v>
      </c>
      <c r="AB474" s="2"/>
      <c r="AC474" s="2">
        <v>7691</v>
      </c>
      <c r="AD474" s="2">
        <v>7691</v>
      </c>
      <c r="AE474" s="2">
        <v>7693</v>
      </c>
      <c r="AF474" s="2">
        <v>0</v>
      </c>
      <c r="AG474" s="2">
        <v>0</v>
      </c>
      <c r="AH474" s="2"/>
      <c r="AI474" s="2">
        <v>-10467</v>
      </c>
      <c r="AJ474" s="2">
        <v>-5565</v>
      </c>
      <c r="AK474" s="2">
        <v>0</v>
      </c>
      <c r="AL474" s="2">
        <v>0</v>
      </c>
      <c r="AM474" s="2">
        <v>-5565</v>
      </c>
    </row>
    <row r="475" spans="1:39">
      <c r="A475" s="351">
        <v>94804</v>
      </c>
      <c r="B475" s="344" t="s">
        <v>1171</v>
      </c>
      <c r="C475" s="360">
        <v>3.4000000000000001E-6</v>
      </c>
      <c r="E475" s="2">
        <v>2380</v>
      </c>
      <c r="F475" s="2">
        <v>2571</v>
      </c>
      <c r="G475" s="2">
        <v>1787</v>
      </c>
      <c r="H475" s="2">
        <v>506</v>
      </c>
      <c r="I475" s="2">
        <v>0</v>
      </c>
      <c r="J475" s="2"/>
      <c r="K475" s="2">
        <v>630</v>
      </c>
      <c r="L475" s="2">
        <v>581</v>
      </c>
      <c r="M475" s="2">
        <v>323</v>
      </c>
      <c r="N475" s="2">
        <v>0</v>
      </c>
      <c r="O475" s="2">
        <v>0</v>
      </c>
      <c r="P475" s="2"/>
      <c r="Q475" s="2">
        <v>41</v>
      </c>
      <c r="R475" s="2">
        <v>572</v>
      </c>
      <c r="S475" s="2">
        <v>591</v>
      </c>
      <c r="T475" s="2">
        <v>506</v>
      </c>
      <c r="U475" s="2">
        <v>0</v>
      </c>
      <c r="V475" s="2"/>
      <c r="W475" s="2">
        <v>499</v>
      </c>
      <c r="X475" s="2">
        <v>405</v>
      </c>
      <c r="Y475" s="2">
        <v>0</v>
      </c>
      <c r="Z475" s="2">
        <v>0</v>
      </c>
      <c r="AA475" s="2">
        <v>0</v>
      </c>
      <c r="AB475" s="2"/>
      <c r="AC475" s="2">
        <v>1210</v>
      </c>
      <c r="AD475" s="2">
        <v>1013</v>
      </c>
      <c r="AE475" s="2">
        <v>873</v>
      </c>
      <c r="AF475" s="2">
        <v>0</v>
      </c>
      <c r="AG475" s="2">
        <v>0</v>
      </c>
      <c r="AH475" s="2"/>
      <c r="AI475" s="2">
        <v>0</v>
      </c>
      <c r="AJ475" s="2">
        <v>0</v>
      </c>
      <c r="AK475" s="2">
        <v>0</v>
      </c>
      <c r="AL475" s="2">
        <v>0</v>
      </c>
      <c r="AM475" s="2">
        <v>0</v>
      </c>
    </row>
    <row r="476" spans="1:39">
      <c r="A476" s="351">
        <v>94812</v>
      </c>
      <c r="B476" s="344" t="s">
        <v>2797</v>
      </c>
      <c r="C476" s="360">
        <v>2.8399999999999999E-5</v>
      </c>
      <c r="E476" s="2">
        <v>13519</v>
      </c>
      <c r="F476" s="2">
        <v>15934</v>
      </c>
      <c r="G476" s="2">
        <v>9718</v>
      </c>
      <c r="H476" s="2">
        <v>4227</v>
      </c>
      <c r="I476" s="2">
        <v>0</v>
      </c>
      <c r="J476" s="2"/>
      <c r="K476" s="2">
        <v>5266</v>
      </c>
      <c r="L476" s="2">
        <v>4851</v>
      </c>
      <c r="M476" s="2">
        <v>2700</v>
      </c>
      <c r="N476" s="2">
        <v>0</v>
      </c>
      <c r="O476" s="2">
        <v>0</v>
      </c>
      <c r="P476" s="2"/>
      <c r="Q476" s="2">
        <v>341</v>
      </c>
      <c r="R476" s="2">
        <v>4774</v>
      </c>
      <c r="S476" s="2">
        <v>4939</v>
      </c>
      <c r="T476" s="2">
        <v>4227</v>
      </c>
      <c r="U476" s="2">
        <v>0</v>
      </c>
      <c r="V476" s="2"/>
      <c r="W476" s="2">
        <v>4168</v>
      </c>
      <c r="X476" s="2">
        <v>3384</v>
      </c>
      <c r="Y476" s="2">
        <v>0</v>
      </c>
      <c r="Z476" s="2">
        <v>0</v>
      </c>
      <c r="AA476" s="2">
        <v>0</v>
      </c>
      <c r="AB476" s="2"/>
      <c r="AC476" s="2">
        <v>3744</v>
      </c>
      <c r="AD476" s="2">
        <v>2925</v>
      </c>
      <c r="AE476" s="2">
        <v>2079</v>
      </c>
      <c r="AF476" s="2">
        <v>0</v>
      </c>
      <c r="AG476" s="2">
        <v>0</v>
      </c>
      <c r="AH476" s="2"/>
      <c r="AI476" s="2">
        <v>0</v>
      </c>
      <c r="AJ476" s="2">
        <v>0</v>
      </c>
      <c r="AK476" s="2">
        <v>0</v>
      </c>
      <c r="AL476" s="2">
        <v>0</v>
      </c>
      <c r="AM476" s="2">
        <v>0</v>
      </c>
    </row>
    <row r="477" spans="1:39">
      <c r="A477" s="351">
        <v>94901</v>
      </c>
      <c r="B477" s="344" t="s">
        <v>1173</v>
      </c>
      <c r="C477" s="360">
        <v>7.2741999999999998E-3</v>
      </c>
      <c r="E477" s="2">
        <v>2590693</v>
      </c>
      <c r="F477" s="2">
        <v>3437979</v>
      </c>
      <c r="G477" s="2">
        <v>2007521</v>
      </c>
      <c r="H477" s="2">
        <v>1082561</v>
      </c>
      <c r="I477" s="2">
        <v>0</v>
      </c>
      <c r="J477" s="2"/>
      <c r="K477" s="2">
        <v>1348702</v>
      </c>
      <c r="L477" s="2">
        <v>1242390</v>
      </c>
      <c r="M477" s="2">
        <v>691471</v>
      </c>
      <c r="N477" s="2">
        <v>0</v>
      </c>
      <c r="O477" s="2">
        <v>0</v>
      </c>
      <c r="P477" s="2"/>
      <c r="Q477" s="2">
        <v>87429</v>
      </c>
      <c r="R477" s="2">
        <v>1222829</v>
      </c>
      <c r="S477" s="2">
        <v>1265114</v>
      </c>
      <c r="T477" s="2">
        <v>1082561</v>
      </c>
      <c r="U477" s="2">
        <v>0</v>
      </c>
      <c r="V477" s="2"/>
      <c r="W477" s="2">
        <v>1067678</v>
      </c>
      <c r="X477" s="2">
        <v>866772</v>
      </c>
      <c r="Y477" s="2">
        <v>0</v>
      </c>
      <c r="Z477" s="2">
        <v>0</v>
      </c>
      <c r="AA477" s="2">
        <v>0</v>
      </c>
      <c r="AB477" s="2"/>
      <c r="AC477" s="2">
        <v>105990</v>
      </c>
      <c r="AD477" s="2">
        <v>105988</v>
      </c>
      <c r="AE477" s="2">
        <v>50936</v>
      </c>
      <c r="AF477" s="2">
        <v>0</v>
      </c>
      <c r="AG477" s="2">
        <v>0</v>
      </c>
      <c r="AH477" s="2"/>
      <c r="AI477" s="2">
        <v>-19106</v>
      </c>
      <c r="AJ477" s="2">
        <v>0</v>
      </c>
      <c r="AK477" s="2">
        <v>0</v>
      </c>
      <c r="AL477" s="2">
        <v>0</v>
      </c>
      <c r="AM477" s="2">
        <v>0</v>
      </c>
    </row>
    <row r="478" spans="1:39">
      <c r="A478" s="351">
        <v>94908</v>
      </c>
      <c r="B478" s="344" t="s">
        <v>3681</v>
      </c>
      <c r="C478" s="360">
        <v>6.5400000000000004E-5</v>
      </c>
      <c r="E478" s="2">
        <v>45529</v>
      </c>
      <c r="F478" s="2">
        <v>57490</v>
      </c>
      <c r="G478" s="2">
        <v>45221</v>
      </c>
      <c r="H478" s="2">
        <v>9733</v>
      </c>
      <c r="I478" s="2">
        <v>0</v>
      </c>
      <c r="J478" s="2"/>
      <c r="K478" s="2">
        <v>12126</v>
      </c>
      <c r="L478" s="2">
        <v>11170</v>
      </c>
      <c r="M478" s="2">
        <v>6217</v>
      </c>
      <c r="N478" s="2">
        <v>0</v>
      </c>
      <c r="O478" s="2">
        <v>0</v>
      </c>
      <c r="P478" s="2"/>
      <c r="Q478" s="2">
        <v>786</v>
      </c>
      <c r="R478" s="2">
        <v>10994</v>
      </c>
      <c r="S478" s="2">
        <v>11374</v>
      </c>
      <c r="T478" s="2">
        <v>9733</v>
      </c>
      <c r="U478" s="2">
        <v>0</v>
      </c>
      <c r="V478" s="2"/>
      <c r="W478" s="2">
        <v>9599</v>
      </c>
      <c r="X478" s="2">
        <v>7793</v>
      </c>
      <c r="Y478" s="2">
        <v>0</v>
      </c>
      <c r="Z478" s="2">
        <v>0</v>
      </c>
      <c r="AA478" s="2">
        <v>0</v>
      </c>
      <c r="AB478" s="2"/>
      <c r="AC478" s="2">
        <v>27634</v>
      </c>
      <c r="AD478" s="2">
        <v>27634</v>
      </c>
      <c r="AE478" s="2">
        <v>27630</v>
      </c>
      <c r="AF478" s="2">
        <v>0</v>
      </c>
      <c r="AG478" s="2">
        <v>0</v>
      </c>
      <c r="AH478" s="2"/>
      <c r="AI478" s="2">
        <v>-4616</v>
      </c>
      <c r="AJ478" s="2">
        <v>-101</v>
      </c>
      <c r="AK478" s="2">
        <v>0</v>
      </c>
      <c r="AL478" s="2">
        <v>0</v>
      </c>
      <c r="AM478" s="2">
        <v>-101</v>
      </c>
    </row>
    <row r="479" spans="1:39">
      <c r="A479" s="351">
        <v>94911</v>
      </c>
      <c r="B479" s="344" t="s">
        <v>1175</v>
      </c>
      <c r="C479" s="360">
        <v>2.9137999999999998E-3</v>
      </c>
      <c r="E479" s="2">
        <v>1033622</v>
      </c>
      <c r="F479" s="2">
        <v>1356638</v>
      </c>
      <c r="G479" s="2">
        <v>782912</v>
      </c>
      <c r="H479" s="2">
        <v>433638</v>
      </c>
      <c r="I479" s="2">
        <v>0</v>
      </c>
      <c r="J479" s="2"/>
      <c r="K479" s="2">
        <v>540245</v>
      </c>
      <c r="L479" s="2">
        <v>497660</v>
      </c>
      <c r="M479" s="2">
        <v>276980</v>
      </c>
      <c r="N479" s="2">
        <v>0</v>
      </c>
      <c r="O479" s="2">
        <v>0</v>
      </c>
      <c r="P479" s="2"/>
      <c r="Q479" s="2">
        <v>35021</v>
      </c>
      <c r="R479" s="2">
        <v>489824</v>
      </c>
      <c r="S479" s="2">
        <v>506762</v>
      </c>
      <c r="T479" s="2">
        <v>433638</v>
      </c>
      <c r="U479" s="2">
        <v>0</v>
      </c>
      <c r="V479" s="2"/>
      <c r="W479" s="2">
        <v>427676</v>
      </c>
      <c r="X479" s="2">
        <v>347200</v>
      </c>
      <c r="Y479" s="2">
        <v>0</v>
      </c>
      <c r="Z479" s="2">
        <v>0</v>
      </c>
      <c r="AA479" s="2">
        <v>0</v>
      </c>
      <c r="AB479" s="2"/>
      <c r="AC479" s="2">
        <v>52280</v>
      </c>
      <c r="AD479" s="2">
        <v>43554</v>
      </c>
      <c r="AE479" s="2">
        <v>20768</v>
      </c>
      <c r="AF479" s="2">
        <v>0</v>
      </c>
      <c r="AG479" s="2">
        <v>0</v>
      </c>
      <c r="AH479" s="2"/>
      <c r="AI479" s="2">
        <v>-21600</v>
      </c>
      <c r="AJ479" s="2">
        <v>-21600</v>
      </c>
      <c r="AK479" s="2">
        <v>-21598</v>
      </c>
      <c r="AL479" s="2">
        <v>0</v>
      </c>
      <c r="AM479" s="2">
        <v>-21600</v>
      </c>
    </row>
    <row r="480" spans="1:39">
      <c r="A480" s="351">
        <v>94917</v>
      </c>
      <c r="B480" s="344" t="s">
        <v>1176</v>
      </c>
      <c r="C480" s="360">
        <v>3.1099999999999997E-5</v>
      </c>
      <c r="E480" s="2">
        <v>21129</v>
      </c>
      <c r="F480" s="2">
        <v>22853</v>
      </c>
      <c r="G480" s="2">
        <v>15181</v>
      </c>
      <c r="H480" s="2">
        <v>4628</v>
      </c>
      <c r="I480" s="2">
        <v>0</v>
      </c>
      <c r="J480" s="2"/>
      <c r="K480" s="2">
        <v>5766</v>
      </c>
      <c r="L480" s="2">
        <v>5312</v>
      </c>
      <c r="M480" s="2">
        <v>2956</v>
      </c>
      <c r="N480" s="2">
        <v>0</v>
      </c>
      <c r="O480" s="2">
        <v>0</v>
      </c>
      <c r="P480" s="2"/>
      <c r="Q480" s="2">
        <v>374</v>
      </c>
      <c r="R480" s="2">
        <v>5228</v>
      </c>
      <c r="S480" s="2">
        <v>5409</v>
      </c>
      <c r="T480" s="2">
        <v>4628</v>
      </c>
      <c r="U480" s="2">
        <v>0</v>
      </c>
      <c r="V480" s="2"/>
      <c r="W480" s="2">
        <v>4565</v>
      </c>
      <c r="X480" s="2">
        <v>3706</v>
      </c>
      <c r="Y480" s="2">
        <v>0</v>
      </c>
      <c r="Z480" s="2">
        <v>0</v>
      </c>
      <c r="AA480" s="2">
        <v>0</v>
      </c>
      <c r="AB480" s="2"/>
      <c r="AC480" s="2">
        <v>10424</v>
      </c>
      <c r="AD480" s="2">
        <v>8607</v>
      </c>
      <c r="AE480" s="2">
        <v>6816</v>
      </c>
      <c r="AF480" s="2">
        <v>0</v>
      </c>
      <c r="AG480" s="2">
        <v>0</v>
      </c>
      <c r="AH480" s="2"/>
      <c r="AI480" s="2">
        <v>0</v>
      </c>
      <c r="AJ480" s="2">
        <v>0</v>
      </c>
      <c r="AK480" s="2">
        <v>0</v>
      </c>
      <c r="AL480" s="2">
        <v>0</v>
      </c>
      <c r="AM480" s="2">
        <v>0</v>
      </c>
    </row>
    <row r="481" spans="1:39">
      <c r="A481" s="351">
        <v>94921</v>
      </c>
      <c r="B481" s="344" t="s">
        <v>1177</v>
      </c>
      <c r="C481" s="360">
        <v>3.7566000000000001E-3</v>
      </c>
      <c r="E481" s="2">
        <v>1170013</v>
      </c>
      <c r="F481" s="2">
        <v>1592908</v>
      </c>
      <c r="G481" s="2">
        <v>918605</v>
      </c>
      <c r="H481" s="2">
        <v>559065</v>
      </c>
      <c r="I481" s="2">
        <v>0</v>
      </c>
      <c r="J481" s="2"/>
      <c r="K481" s="2">
        <v>696507</v>
      </c>
      <c r="L481" s="2">
        <v>641605</v>
      </c>
      <c r="M481" s="2">
        <v>357095</v>
      </c>
      <c r="N481" s="2">
        <v>0</v>
      </c>
      <c r="O481" s="2">
        <v>0</v>
      </c>
      <c r="P481" s="2"/>
      <c r="Q481" s="2">
        <v>45151</v>
      </c>
      <c r="R481" s="2">
        <v>631503</v>
      </c>
      <c r="S481" s="2">
        <v>653340</v>
      </c>
      <c r="T481" s="2">
        <v>559065</v>
      </c>
      <c r="U481" s="2">
        <v>0</v>
      </c>
      <c r="V481" s="2"/>
      <c r="W481" s="2">
        <v>551379</v>
      </c>
      <c r="X481" s="2">
        <v>447625</v>
      </c>
      <c r="Y481" s="2">
        <v>0</v>
      </c>
      <c r="Z481" s="2">
        <v>0</v>
      </c>
      <c r="AA481" s="2">
        <v>0</v>
      </c>
      <c r="AB481" s="2"/>
      <c r="AC481" s="2">
        <v>4801</v>
      </c>
      <c r="AD481" s="2">
        <v>0</v>
      </c>
      <c r="AE481" s="2">
        <v>0</v>
      </c>
      <c r="AF481" s="2">
        <v>0</v>
      </c>
      <c r="AG481" s="2">
        <v>0</v>
      </c>
      <c r="AH481" s="2"/>
      <c r="AI481" s="2">
        <v>-127825</v>
      </c>
      <c r="AJ481" s="2">
        <v>-127825</v>
      </c>
      <c r="AK481" s="2">
        <v>-91830</v>
      </c>
      <c r="AL481" s="2">
        <v>0</v>
      </c>
      <c r="AM481" s="2">
        <v>-127825</v>
      </c>
    </row>
    <row r="482" spans="1:39">
      <c r="A482" s="351">
        <v>94923</v>
      </c>
      <c r="B482" s="344" t="s">
        <v>1178</v>
      </c>
      <c r="C482" s="360">
        <v>2.6299999999999999E-5</v>
      </c>
      <c r="E482" s="2">
        <v>10971</v>
      </c>
      <c r="F482" s="2">
        <v>12782</v>
      </c>
      <c r="G482" s="2">
        <v>7749</v>
      </c>
      <c r="H482" s="2">
        <v>3914</v>
      </c>
      <c r="I482" s="2">
        <v>0</v>
      </c>
      <c r="J482" s="2"/>
      <c r="K482" s="2">
        <v>4876</v>
      </c>
      <c r="L482" s="2">
        <v>4492</v>
      </c>
      <c r="M482" s="2">
        <v>2500</v>
      </c>
      <c r="N482" s="2">
        <v>0</v>
      </c>
      <c r="O482" s="2">
        <v>0</v>
      </c>
      <c r="P482" s="2"/>
      <c r="Q482" s="2">
        <v>316</v>
      </c>
      <c r="R482" s="2">
        <v>4421</v>
      </c>
      <c r="S482" s="2">
        <v>4574</v>
      </c>
      <c r="T482" s="2">
        <v>3914</v>
      </c>
      <c r="U482" s="2">
        <v>0</v>
      </c>
      <c r="V482" s="2"/>
      <c r="W482" s="2">
        <v>3860</v>
      </c>
      <c r="X482" s="2">
        <v>3134</v>
      </c>
      <c r="Y482" s="2">
        <v>0</v>
      </c>
      <c r="Z482" s="2">
        <v>0</v>
      </c>
      <c r="AA482" s="2">
        <v>0</v>
      </c>
      <c r="AB482" s="2"/>
      <c r="AC482" s="2">
        <v>1919</v>
      </c>
      <c r="AD482" s="2">
        <v>735</v>
      </c>
      <c r="AE482" s="2">
        <v>675</v>
      </c>
      <c r="AF482" s="2">
        <v>0</v>
      </c>
      <c r="AG482" s="2">
        <v>0</v>
      </c>
      <c r="AH482" s="2"/>
      <c r="AI482" s="2">
        <v>0</v>
      </c>
      <c r="AJ482" s="2">
        <v>0</v>
      </c>
      <c r="AK482" s="2">
        <v>0</v>
      </c>
      <c r="AL482" s="2">
        <v>0</v>
      </c>
      <c r="AM482" s="2">
        <v>0</v>
      </c>
    </row>
    <row r="483" spans="1:39">
      <c r="A483" s="351">
        <v>94927</v>
      </c>
      <c r="B483" s="344" t="s">
        <v>1179</v>
      </c>
      <c r="C483" s="360">
        <v>2.26E-5</v>
      </c>
      <c r="E483" s="2">
        <v>11924</v>
      </c>
      <c r="F483" s="2">
        <v>14392</v>
      </c>
      <c r="G483" s="2">
        <v>9344</v>
      </c>
      <c r="H483" s="2">
        <v>3363</v>
      </c>
      <c r="I483" s="2">
        <v>0</v>
      </c>
      <c r="J483" s="2"/>
      <c r="K483" s="2">
        <v>4190</v>
      </c>
      <c r="L483" s="2">
        <v>3860</v>
      </c>
      <c r="M483" s="2">
        <v>2148</v>
      </c>
      <c r="N483" s="2">
        <v>0</v>
      </c>
      <c r="O483" s="2">
        <v>0</v>
      </c>
      <c r="P483" s="2"/>
      <c r="Q483" s="2">
        <v>272</v>
      </c>
      <c r="R483" s="2">
        <v>3799</v>
      </c>
      <c r="S483" s="2">
        <v>3931</v>
      </c>
      <c r="T483" s="2">
        <v>3363</v>
      </c>
      <c r="U483" s="2">
        <v>0</v>
      </c>
      <c r="V483" s="2"/>
      <c r="W483" s="2">
        <v>3317</v>
      </c>
      <c r="X483" s="2">
        <v>2693</v>
      </c>
      <c r="Y483" s="2">
        <v>0</v>
      </c>
      <c r="Z483" s="2">
        <v>0</v>
      </c>
      <c r="AA483" s="2">
        <v>0</v>
      </c>
      <c r="AB483" s="2"/>
      <c r="AC483" s="2">
        <v>4145</v>
      </c>
      <c r="AD483" s="2">
        <v>4040</v>
      </c>
      <c r="AE483" s="2">
        <v>3265</v>
      </c>
      <c r="AF483" s="2">
        <v>0</v>
      </c>
      <c r="AG483" s="2">
        <v>0</v>
      </c>
      <c r="AH483" s="2"/>
      <c r="AI483" s="2">
        <v>0</v>
      </c>
      <c r="AJ483" s="2">
        <v>0</v>
      </c>
      <c r="AK483" s="2">
        <v>0</v>
      </c>
      <c r="AL483" s="2">
        <v>0</v>
      </c>
      <c r="AM483" s="2">
        <v>0</v>
      </c>
    </row>
    <row r="484" spans="1:39">
      <c r="A484" s="351">
        <v>94931</v>
      </c>
      <c r="B484" s="344" t="s">
        <v>1180</v>
      </c>
      <c r="C484" s="360">
        <v>1.9909999999999999E-4</v>
      </c>
      <c r="E484" s="2">
        <v>64107</v>
      </c>
      <c r="F484" s="2">
        <v>86535</v>
      </c>
      <c r="G484" s="2">
        <v>50885</v>
      </c>
      <c r="H484" s="2">
        <v>29630</v>
      </c>
      <c r="I484" s="2">
        <v>0</v>
      </c>
      <c r="J484" s="2"/>
      <c r="K484" s="2">
        <v>36915</v>
      </c>
      <c r="L484" s="2">
        <v>34005</v>
      </c>
      <c r="M484" s="2">
        <v>18926</v>
      </c>
      <c r="N484" s="2">
        <v>0</v>
      </c>
      <c r="O484" s="2">
        <v>0</v>
      </c>
      <c r="P484" s="2"/>
      <c r="Q484" s="2">
        <v>2393</v>
      </c>
      <c r="R484" s="2">
        <v>33470</v>
      </c>
      <c r="S484" s="2">
        <v>34627</v>
      </c>
      <c r="T484" s="2">
        <v>29630</v>
      </c>
      <c r="U484" s="2">
        <v>0</v>
      </c>
      <c r="V484" s="2"/>
      <c r="W484" s="2">
        <v>29223</v>
      </c>
      <c r="X484" s="2">
        <v>23724</v>
      </c>
      <c r="Y484" s="2">
        <v>0</v>
      </c>
      <c r="Z484" s="2">
        <v>0</v>
      </c>
      <c r="AA484" s="2">
        <v>0</v>
      </c>
      <c r="AB484" s="2"/>
      <c r="AC484" s="2">
        <v>2698</v>
      </c>
      <c r="AD484" s="2">
        <v>2458</v>
      </c>
      <c r="AE484" s="2">
        <v>2456</v>
      </c>
      <c r="AF484" s="2">
        <v>0</v>
      </c>
      <c r="AG484" s="2">
        <v>0</v>
      </c>
      <c r="AH484" s="2"/>
      <c r="AI484" s="2">
        <v>-7122</v>
      </c>
      <c r="AJ484" s="2">
        <v>-7122</v>
      </c>
      <c r="AK484" s="2">
        <v>-5124</v>
      </c>
      <c r="AL484" s="2">
        <v>0</v>
      </c>
      <c r="AM484" s="2">
        <v>-7122</v>
      </c>
    </row>
    <row r="485" spans="1:39">
      <c r="A485" s="351">
        <v>94937</v>
      </c>
      <c r="B485" s="344" t="s">
        <v>1933</v>
      </c>
      <c r="C485" s="360">
        <v>7.5000000000000002E-6</v>
      </c>
      <c r="E485" s="2">
        <v>4333</v>
      </c>
      <c r="F485" s="2">
        <v>5187</v>
      </c>
      <c r="G485" s="2">
        <v>3768</v>
      </c>
      <c r="H485" s="2">
        <v>1116</v>
      </c>
      <c r="I485" s="2">
        <v>0</v>
      </c>
      <c r="J485" s="2"/>
      <c r="K485" s="2">
        <v>1391</v>
      </c>
      <c r="L485" s="2">
        <v>1281</v>
      </c>
      <c r="M485" s="2">
        <v>713</v>
      </c>
      <c r="N485" s="2">
        <v>0</v>
      </c>
      <c r="O485" s="2">
        <v>0</v>
      </c>
      <c r="P485" s="2"/>
      <c r="Q485" s="2">
        <v>90</v>
      </c>
      <c r="R485" s="2">
        <v>1261</v>
      </c>
      <c r="S485" s="2">
        <v>1304</v>
      </c>
      <c r="T485" s="2">
        <v>1116</v>
      </c>
      <c r="U485" s="2">
        <v>0</v>
      </c>
      <c r="V485" s="2"/>
      <c r="W485" s="2">
        <v>1101</v>
      </c>
      <c r="X485" s="2">
        <v>894</v>
      </c>
      <c r="Y485" s="2">
        <v>0</v>
      </c>
      <c r="Z485" s="2">
        <v>0</v>
      </c>
      <c r="AA485" s="2">
        <v>0</v>
      </c>
      <c r="AB485" s="2"/>
      <c r="AC485" s="2">
        <v>1751</v>
      </c>
      <c r="AD485" s="2">
        <v>1751</v>
      </c>
      <c r="AE485" s="2">
        <v>1751</v>
      </c>
      <c r="AF485" s="2">
        <v>0</v>
      </c>
      <c r="AG485" s="2">
        <v>0</v>
      </c>
      <c r="AH485" s="2"/>
      <c r="AI485" s="2">
        <v>0</v>
      </c>
      <c r="AJ485" s="2">
        <v>0</v>
      </c>
      <c r="AK485" s="2">
        <v>0</v>
      </c>
      <c r="AL485" s="2">
        <v>0</v>
      </c>
      <c r="AM485" s="2">
        <v>0</v>
      </c>
    </row>
    <row r="486" spans="1:39">
      <c r="A486" s="351">
        <v>94941</v>
      </c>
      <c r="B486" s="344" t="s">
        <v>1181</v>
      </c>
      <c r="C486" s="360">
        <v>5.5029999999999999E-4</v>
      </c>
      <c r="E486" s="2">
        <v>132754</v>
      </c>
      <c r="F486" s="2">
        <v>191713</v>
      </c>
      <c r="G486" s="2">
        <v>97494</v>
      </c>
      <c r="H486" s="2">
        <v>81897</v>
      </c>
      <c r="I486" s="2">
        <v>0</v>
      </c>
      <c r="J486" s="2"/>
      <c r="K486" s="2">
        <v>102031</v>
      </c>
      <c r="L486" s="2">
        <v>93988</v>
      </c>
      <c r="M486" s="2">
        <v>52310</v>
      </c>
      <c r="N486" s="2">
        <v>0</v>
      </c>
      <c r="O486" s="2">
        <v>0</v>
      </c>
      <c r="P486" s="2"/>
      <c r="Q486" s="2">
        <v>6614</v>
      </c>
      <c r="R486" s="2">
        <v>92508</v>
      </c>
      <c r="S486" s="2">
        <v>95707</v>
      </c>
      <c r="T486" s="2">
        <v>81897</v>
      </c>
      <c r="U486" s="2">
        <v>0</v>
      </c>
      <c r="V486" s="2"/>
      <c r="W486" s="2">
        <v>80771</v>
      </c>
      <c r="X486" s="2">
        <v>65572</v>
      </c>
      <c r="Y486" s="2">
        <v>0</v>
      </c>
      <c r="Z486" s="2">
        <v>0</v>
      </c>
      <c r="AA486" s="2">
        <v>0</v>
      </c>
      <c r="AB486" s="2"/>
      <c r="AC486" s="2">
        <v>7394</v>
      </c>
      <c r="AD486" s="2">
        <v>3700</v>
      </c>
      <c r="AE486" s="2">
        <v>3699</v>
      </c>
      <c r="AF486" s="2">
        <v>0</v>
      </c>
      <c r="AG486" s="2">
        <v>0</v>
      </c>
      <c r="AH486" s="2"/>
      <c r="AI486" s="2">
        <v>-64056</v>
      </c>
      <c r="AJ486" s="2">
        <v>-64055</v>
      </c>
      <c r="AK486" s="2">
        <v>-54222</v>
      </c>
      <c r="AL486" s="2">
        <v>0</v>
      </c>
      <c r="AM486" s="2">
        <v>-64055</v>
      </c>
    </row>
    <row r="487" spans="1:39">
      <c r="A487" s="351">
        <v>94947</v>
      </c>
      <c r="B487" s="344" t="s">
        <v>1934</v>
      </c>
      <c r="C487" s="360">
        <v>5.4E-6</v>
      </c>
      <c r="E487" s="2">
        <v>3775</v>
      </c>
      <c r="F487" s="2">
        <v>4389</v>
      </c>
      <c r="G487" s="2">
        <v>3368</v>
      </c>
      <c r="H487" s="2">
        <v>804</v>
      </c>
      <c r="I487" s="2">
        <v>0</v>
      </c>
      <c r="J487" s="2"/>
      <c r="K487" s="2">
        <v>1001</v>
      </c>
      <c r="L487" s="2">
        <v>922</v>
      </c>
      <c r="M487" s="2">
        <v>513</v>
      </c>
      <c r="N487" s="2">
        <v>0</v>
      </c>
      <c r="O487" s="2">
        <v>0</v>
      </c>
      <c r="P487" s="2"/>
      <c r="Q487" s="2">
        <v>65</v>
      </c>
      <c r="R487" s="2">
        <v>908</v>
      </c>
      <c r="S487" s="2">
        <v>939</v>
      </c>
      <c r="T487" s="2">
        <v>804</v>
      </c>
      <c r="U487" s="2">
        <v>0</v>
      </c>
      <c r="V487" s="2"/>
      <c r="W487" s="2">
        <v>793</v>
      </c>
      <c r="X487" s="2">
        <v>643</v>
      </c>
      <c r="Y487" s="2">
        <v>0</v>
      </c>
      <c r="Z487" s="2">
        <v>0</v>
      </c>
      <c r="AA487" s="2">
        <v>0</v>
      </c>
      <c r="AB487" s="2"/>
      <c r="AC487" s="2">
        <v>1916</v>
      </c>
      <c r="AD487" s="2">
        <v>1916</v>
      </c>
      <c r="AE487" s="2">
        <v>1916</v>
      </c>
      <c r="AF487" s="2">
        <v>0</v>
      </c>
      <c r="AG487" s="2">
        <v>0</v>
      </c>
      <c r="AH487" s="2"/>
      <c r="AI487" s="2">
        <v>0</v>
      </c>
      <c r="AJ487" s="2">
        <v>0</v>
      </c>
      <c r="AK487" s="2">
        <v>0</v>
      </c>
      <c r="AL487" s="2">
        <v>0</v>
      </c>
      <c r="AM487" s="2">
        <v>0</v>
      </c>
    </row>
    <row r="488" spans="1:39">
      <c r="A488" s="351">
        <v>95001</v>
      </c>
      <c r="B488" s="344" t="s">
        <v>1182</v>
      </c>
      <c r="C488" s="360">
        <v>2.2097000000000002E-3</v>
      </c>
      <c r="E488" s="2">
        <v>809925</v>
      </c>
      <c r="F488" s="2">
        <v>1032361</v>
      </c>
      <c r="G488" s="2">
        <v>626916</v>
      </c>
      <c r="H488" s="2">
        <v>328852</v>
      </c>
      <c r="I488" s="2">
        <v>0</v>
      </c>
      <c r="J488" s="2"/>
      <c r="K488" s="2">
        <v>409698</v>
      </c>
      <c r="L488" s="2">
        <v>377404</v>
      </c>
      <c r="M488" s="2">
        <v>210050</v>
      </c>
      <c r="N488" s="2">
        <v>0</v>
      </c>
      <c r="O488" s="2">
        <v>0</v>
      </c>
      <c r="P488" s="2"/>
      <c r="Q488" s="2">
        <v>26558</v>
      </c>
      <c r="R488" s="2">
        <v>371462</v>
      </c>
      <c r="S488" s="2">
        <v>384307</v>
      </c>
      <c r="T488" s="2">
        <v>328852</v>
      </c>
      <c r="U488" s="2">
        <v>0</v>
      </c>
      <c r="V488" s="2"/>
      <c r="W488" s="2">
        <v>324331</v>
      </c>
      <c r="X488" s="2">
        <v>263301</v>
      </c>
      <c r="Y488" s="2">
        <v>0</v>
      </c>
      <c r="Z488" s="2">
        <v>0</v>
      </c>
      <c r="AA488" s="2">
        <v>0</v>
      </c>
      <c r="AB488" s="2"/>
      <c r="AC488" s="2">
        <v>61704</v>
      </c>
      <c r="AD488" s="2">
        <v>32560</v>
      </c>
      <c r="AE488" s="2">
        <v>32559</v>
      </c>
      <c r="AF488" s="2">
        <v>0</v>
      </c>
      <c r="AG488" s="2">
        <v>0</v>
      </c>
      <c r="AH488" s="2"/>
      <c r="AI488" s="2">
        <v>-12366</v>
      </c>
      <c r="AJ488" s="2">
        <v>-12366</v>
      </c>
      <c r="AK488" s="2">
        <v>0</v>
      </c>
      <c r="AL488" s="2">
        <v>0</v>
      </c>
      <c r="AM488" s="2">
        <v>-12366</v>
      </c>
    </row>
    <row r="489" spans="1:39">
      <c r="A489" s="351">
        <v>95002</v>
      </c>
      <c r="B489" s="344" t="s">
        <v>1183</v>
      </c>
      <c r="C489" s="360">
        <v>1.6760000000000001E-4</v>
      </c>
      <c r="E489" s="2">
        <v>66882</v>
      </c>
      <c r="F489" s="2">
        <v>85060</v>
      </c>
      <c r="G489" s="2">
        <v>51033</v>
      </c>
      <c r="H489" s="2">
        <v>24943</v>
      </c>
      <c r="I489" s="2">
        <v>0</v>
      </c>
      <c r="J489" s="2"/>
      <c r="K489" s="2">
        <v>31075</v>
      </c>
      <c r="L489" s="2">
        <v>28625</v>
      </c>
      <c r="M489" s="2">
        <v>15932</v>
      </c>
      <c r="N489" s="2">
        <v>0</v>
      </c>
      <c r="O489" s="2">
        <v>0</v>
      </c>
      <c r="P489" s="2"/>
      <c r="Q489" s="2">
        <v>2014</v>
      </c>
      <c r="R489" s="2">
        <v>28174</v>
      </c>
      <c r="S489" s="2">
        <v>29149</v>
      </c>
      <c r="T489" s="2">
        <v>24943</v>
      </c>
      <c r="U489" s="2">
        <v>0</v>
      </c>
      <c r="V489" s="2"/>
      <c r="W489" s="2">
        <v>24600</v>
      </c>
      <c r="X489" s="2">
        <v>19971</v>
      </c>
      <c r="Y489" s="2">
        <v>0</v>
      </c>
      <c r="Z489" s="2">
        <v>0</v>
      </c>
      <c r="AA489" s="2">
        <v>0</v>
      </c>
      <c r="AB489" s="2"/>
      <c r="AC489" s="2">
        <v>9193</v>
      </c>
      <c r="AD489" s="2">
        <v>8290</v>
      </c>
      <c r="AE489" s="2">
        <v>5952</v>
      </c>
      <c r="AF489" s="2">
        <v>0</v>
      </c>
      <c r="AG489" s="2">
        <v>0</v>
      </c>
      <c r="AH489" s="2"/>
      <c r="AI489" s="2">
        <v>0</v>
      </c>
      <c r="AJ489" s="2">
        <v>0</v>
      </c>
      <c r="AK489" s="2">
        <v>0</v>
      </c>
      <c r="AL489" s="2">
        <v>0</v>
      </c>
      <c r="AM489" s="2">
        <v>0</v>
      </c>
    </row>
    <row r="490" spans="1:39">
      <c r="A490" s="351">
        <v>95005</v>
      </c>
      <c r="B490" s="344" t="s">
        <v>1184</v>
      </c>
      <c r="C490" s="360">
        <v>1.6770000000000001E-4</v>
      </c>
      <c r="E490" s="2">
        <v>50992</v>
      </c>
      <c r="F490" s="2">
        <v>70419</v>
      </c>
      <c r="G490" s="2">
        <v>39416</v>
      </c>
      <c r="H490" s="2">
        <v>24957</v>
      </c>
      <c r="I490" s="2">
        <v>0</v>
      </c>
      <c r="J490" s="2"/>
      <c r="K490" s="2">
        <v>31093</v>
      </c>
      <c r="L490" s="2">
        <v>28642</v>
      </c>
      <c r="M490" s="2">
        <v>15941</v>
      </c>
      <c r="N490" s="2">
        <v>0</v>
      </c>
      <c r="O490" s="2">
        <v>0</v>
      </c>
      <c r="P490" s="2"/>
      <c r="Q490" s="2">
        <v>2016</v>
      </c>
      <c r="R490" s="2">
        <v>28191</v>
      </c>
      <c r="S490" s="2">
        <v>29166</v>
      </c>
      <c r="T490" s="2">
        <v>24957</v>
      </c>
      <c r="U490" s="2">
        <v>0</v>
      </c>
      <c r="V490" s="2"/>
      <c r="W490" s="2">
        <v>24614</v>
      </c>
      <c r="X490" s="2">
        <v>19983</v>
      </c>
      <c r="Y490" s="2">
        <v>0</v>
      </c>
      <c r="Z490" s="2">
        <v>0</v>
      </c>
      <c r="AA490" s="2">
        <v>0</v>
      </c>
      <c r="AB490" s="2"/>
      <c r="AC490" s="2">
        <v>0</v>
      </c>
      <c r="AD490" s="2">
        <v>0</v>
      </c>
      <c r="AE490" s="2">
        <v>0</v>
      </c>
      <c r="AF490" s="2">
        <v>0</v>
      </c>
      <c r="AG490" s="2">
        <v>0</v>
      </c>
      <c r="AH490" s="2"/>
      <c r="AI490" s="2">
        <v>-6731</v>
      </c>
      <c r="AJ490" s="2">
        <v>-6397</v>
      </c>
      <c r="AK490" s="2">
        <v>-5691</v>
      </c>
      <c r="AL490" s="2">
        <v>0</v>
      </c>
      <c r="AM490" s="2">
        <v>-6397</v>
      </c>
    </row>
    <row r="491" spans="1:39">
      <c r="A491" s="351">
        <v>95008</v>
      </c>
      <c r="B491" s="344" t="s">
        <v>3682</v>
      </c>
      <c r="C491" s="360">
        <v>1.225E-4</v>
      </c>
      <c r="E491" s="2">
        <v>52858</v>
      </c>
      <c r="F491" s="2">
        <v>65104</v>
      </c>
      <c r="G491" s="2">
        <v>39304</v>
      </c>
      <c r="H491" s="2">
        <v>18231</v>
      </c>
      <c r="I491" s="2">
        <v>0</v>
      </c>
      <c r="J491" s="2"/>
      <c r="K491" s="2">
        <v>22713</v>
      </c>
      <c r="L491" s="2">
        <v>20922</v>
      </c>
      <c r="M491" s="2">
        <v>11645</v>
      </c>
      <c r="N491" s="2">
        <v>0</v>
      </c>
      <c r="O491" s="2">
        <v>0</v>
      </c>
      <c r="P491" s="2"/>
      <c r="Q491" s="2">
        <v>1472</v>
      </c>
      <c r="R491" s="2">
        <v>20593</v>
      </c>
      <c r="S491" s="2">
        <v>21305</v>
      </c>
      <c r="T491" s="2">
        <v>18231</v>
      </c>
      <c r="U491" s="2">
        <v>0</v>
      </c>
      <c r="V491" s="2"/>
      <c r="W491" s="2">
        <v>17980</v>
      </c>
      <c r="X491" s="2">
        <v>14597</v>
      </c>
      <c r="Y491" s="2">
        <v>0</v>
      </c>
      <c r="Z491" s="2">
        <v>0</v>
      </c>
      <c r="AA491" s="2">
        <v>0</v>
      </c>
      <c r="AB491" s="2"/>
      <c r="AC491" s="2">
        <v>10693</v>
      </c>
      <c r="AD491" s="2">
        <v>8992</v>
      </c>
      <c r="AE491" s="2">
        <v>6354</v>
      </c>
      <c r="AF491" s="2">
        <v>0</v>
      </c>
      <c r="AG491" s="2">
        <v>0</v>
      </c>
      <c r="AH491" s="2"/>
      <c r="AI491" s="2">
        <v>0</v>
      </c>
      <c r="AJ491" s="2">
        <v>0</v>
      </c>
      <c r="AK491" s="2">
        <v>0</v>
      </c>
      <c r="AL491" s="2">
        <v>0</v>
      </c>
      <c r="AM491" s="2">
        <v>0</v>
      </c>
    </row>
    <row r="492" spans="1:39">
      <c r="A492" s="351">
        <v>95009</v>
      </c>
      <c r="B492" s="344" t="s">
        <v>1186</v>
      </c>
      <c r="C492" s="360">
        <v>3.8095E-3</v>
      </c>
      <c r="E492" s="2">
        <v>1138973</v>
      </c>
      <c r="F492" s="2">
        <v>1538001</v>
      </c>
      <c r="G492" s="2">
        <v>845981</v>
      </c>
      <c r="H492" s="2">
        <v>566937</v>
      </c>
      <c r="I492" s="2">
        <v>0</v>
      </c>
      <c r="J492" s="2"/>
      <c r="K492" s="2">
        <v>706316</v>
      </c>
      <c r="L492" s="2">
        <v>650640</v>
      </c>
      <c r="M492" s="2">
        <v>362123</v>
      </c>
      <c r="N492" s="2">
        <v>0</v>
      </c>
      <c r="O492" s="2">
        <v>0</v>
      </c>
      <c r="P492" s="2"/>
      <c r="Q492" s="2">
        <v>45786</v>
      </c>
      <c r="R492" s="2">
        <v>640396</v>
      </c>
      <c r="S492" s="2">
        <v>662541</v>
      </c>
      <c r="T492" s="2">
        <v>566937</v>
      </c>
      <c r="U492" s="2">
        <v>0</v>
      </c>
      <c r="V492" s="2"/>
      <c r="W492" s="2">
        <v>559143</v>
      </c>
      <c r="X492" s="2">
        <v>453929</v>
      </c>
      <c r="Y492" s="2">
        <v>0</v>
      </c>
      <c r="Z492" s="2">
        <v>0</v>
      </c>
      <c r="AA492" s="2">
        <v>0</v>
      </c>
      <c r="AB492" s="2"/>
      <c r="AC492" s="2">
        <v>34692</v>
      </c>
      <c r="AD492" s="2">
        <v>0</v>
      </c>
      <c r="AE492" s="2">
        <v>0</v>
      </c>
      <c r="AF492" s="2">
        <v>0</v>
      </c>
      <c r="AG492" s="2">
        <v>0</v>
      </c>
      <c r="AH492" s="2"/>
      <c r="AI492" s="2">
        <v>-206964</v>
      </c>
      <c r="AJ492" s="2">
        <v>-206964</v>
      </c>
      <c r="AK492" s="2">
        <v>-178683</v>
      </c>
      <c r="AL492" s="2">
        <v>0</v>
      </c>
      <c r="AM492" s="2">
        <v>-206964</v>
      </c>
    </row>
    <row r="493" spans="1:39">
      <c r="A493" s="351">
        <v>95011</v>
      </c>
      <c r="B493" s="344" t="s">
        <v>1187</v>
      </c>
      <c r="C493" s="360">
        <v>1.7430000000000001E-4</v>
      </c>
      <c r="E493" s="2">
        <v>53847</v>
      </c>
      <c r="F493" s="2">
        <v>72874</v>
      </c>
      <c r="G493" s="2">
        <v>39103</v>
      </c>
      <c r="H493" s="2">
        <v>25940</v>
      </c>
      <c r="I493" s="2">
        <v>0</v>
      </c>
      <c r="J493" s="2"/>
      <c r="K493" s="2">
        <v>32317</v>
      </c>
      <c r="L493" s="2">
        <v>29769</v>
      </c>
      <c r="M493" s="2">
        <v>16569</v>
      </c>
      <c r="N493" s="2">
        <v>0</v>
      </c>
      <c r="O493" s="2">
        <v>0</v>
      </c>
      <c r="P493" s="2"/>
      <c r="Q493" s="2">
        <v>2095</v>
      </c>
      <c r="R493" s="2">
        <v>29301</v>
      </c>
      <c r="S493" s="2">
        <v>30314</v>
      </c>
      <c r="T493" s="2">
        <v>25940</v>
      </c>
      <c r="U493" s="2">
        <v>0</v>
      </c>
      <c r="V493" s="2"/>
      <c r="W493" s="2">
        <v>25583</v>
      </c>
      <c r="X493" s="2">
        <v>20769</v>
      </c>
      <c r="Y493" s="2">
        <v>0</v>
      </c>
      <c r="Z493" s="2">
        <v>0</v>
      </c>
      <c r="AA493" s="2">
        <v>0</v>
      </c>
      <c r="AB493" s="2"/>
      <c r="AC493" s="2">
        <v>1895</v>
      </c>
      <c r="AD493" s="2">
        <v>1078</v>
      </c>
      <c r="AE493" s="2">
        <v>264</v>
      </c>
      <c r="AF493" s="2">
        <v>0</v>
      </c>
      <c r="AG493" s="2">
        <v>0</v>
      </c>
      <c r="AH493" s="2"/>
      <c r="AI493" s="2">
        <v>-8043</v>
      </c>
      <c r="AJ493" s="2">
        <v>-8043</v>
      </c>
      <c r="AK493" s="2">
        <v>-8044</v>
      </c>
      <c r="AL493" s="2">
        <v>0</v>
      </c>
      <c r="AM493" s="2">
        <v>-8043</v>
      </c>
    </row>
    <row r="494" spans="1:39">
      <c r="A494" s="351">
        <v>95017</v>
      </c>
      <c r="B494" s="344" t="s">
        <v>1188</v>
      </c>
      <c r="C494" s="360">
        <v>4.2599999999999999E-5</v>
      </c>
      <c r="E494" s="2">
        <v>10548</v>
      </c>
      <c r="F494" s="2">
        <v>15391</v>
      </c>
      <c r="G494" s="2">
        <v>7062</v>
      </c>
      <c r="H494" s="2">
        <v>6340</v>
      </c>
      <c r="I494" s="2">
        <v>0</v>
      </c>
      <c r="J494" s="2"/>
      <c r="K494" s="2">
        <v>7898</v>
      </c>
      <c r="L494" s="2">
        <v>7276</v>
      </c>
      <c r="M494" s="2">
        <v>4049</v>
      </c>
      <c r="N494" s="2">
        <v>0</v>
      </c>
      <c r="O494" s="2">
        <v>0</v>
      </c>
      <c r="P494" s="2"/>
      <c r="Q494" s="2">
        <v>512</v>
      </c>
      <c r="R494" s="2">
        <v>7161</v>
      </c>
      <c r="S494" s="2">
        <v>7409</v>
      </c>
      <c r="T494" s="2">
        <v>6340</v>
      </c>
      <c r="U494" s="2">
        <v>0</v>
      </c>
      <c r="V494" s="2"/>
      <c r="W494" s="2">
        <v>6253</v>
      </c>
      <c r="X494" s="2">
        <v>5076</v>
      </c>
      <c r="Y494" s="2">
        <v>0</v>
      </c>
      <c r="Z494" s="2">
        <v>0</v>
      </c>
      <c r="AA494" s="2">
        <v>0</v>
      </c>
      <c r="AB494" s="2"/>
      <c r="AC494" s="2">
        <v>285</v>
      </c>
      <c r="AD494" s="2">
        <v>278</v>
      </c>
      <c r="AE494" s="2">
        <v>5</v>
      </c>
      <c r="AF494" s="2">
        <v>0</v>
      </c>
      <c r="AG494" s="2">
        <v>0</v>
      </c>
      <c r="AH494" s="2"/>
      <c r="AI494" s="2">
        <v>-4400</v>
      </c>
      <c r="AJ494" s="2">
        <v>-4400</v>
      </c>
      <c r="AK494" s="2">
        <v>-4401</v>
      </c>
      <c r="AL494" s="2">
        <v>0</v>
      </c>
      <c r="AM494" s="2">
        <v>-4400</v>
      </c>
    </row>
    <row r="495" spans="1:39">
      <c r="A495" s="351">
        <v>95101</v>
      </c>
      <c r="B495" s="344" t="s">
        <v>1189</v>
      </c>
      <c r="C495" s="360">
        <v>8.9332000000000005E-3</v>
      </c>
      <c r="E495" s="2">
        <v>3048867</v>
      </c>
      <c r="F495" s="2">
        <v>4077037</v>
      </c>
      <c r="G495" s="2">
        <v>2406504</v>
      </c>
      <c r="H495" s="2">
        <v>1329457</v>
      </c>
      <c r="I495" s="2">
        <v>0</v>
      </c>
      <c r="J495" s="2"/>
      <c r="K495" s="2">
        <v>1656296</v>
      </c>
      <c r="L495" s="2">
        <v>1525737</v>
      </c>
      <c r="M495" s="2">
        <v>849172</v>
      </c>
      <c r="N495" s="2">
        <v>0</v>
      </c>
      <c r="O495" s="2">
        <v>0</v>
      </c>
      <c r="P495" s="2"/>
      <c r="Q495" s="2">
        <v>107368</v>
      </c>
      <c r="R495" s="2">
        <v>1501716</v>
      </c>
      <c r="S495" s="2">
        <v>1553644</v>
      </c>
      <c r="T495" s="2">
        <v>1329457</v>
      </c>
      <c r="U495" s="2">
        <v>0</v>
      </c>
      <c r="V495" s="2"/>
      <c r="W495" s="2">
        <v>1311179</v>
      </c>
      <c r="X495" s="2">
        <v>1064453</v>
      </c>
      <c r="Y495" s="2">
        <v>0</v>
      </c>
      <c r="Z495" s="2">
        <v>0</v>
      </c>
      <c r="AA495" s="2">
        <v>0</v>
      </c>
      <c r="AB495" s="2"/>
      <c r="AC495" s="2">
        <v>10681</v>
      </c>
      <c r="AD495" s="2">
        <v>10681</v>
      </c>
      <c r="AE495" s="2">
        <v>10679</v>
      </c>
      <c r="AF495" s="2">
        <v>0</v>
      </c>
      <c r="AG495" s="2">
        <v>0</v>
      </c>
      <c r="AH495" s="2"/>
      <c r="AI495" s="2">
        <v>-36657</v>
      </c>
      <c r="AJ495" s="2">
        <v>-25550</v>
      </c>
      <c r="AK495" s="2">
        <v>-6991</v>
      </c>
      <c r="AL495" s="2">
        <v>0</v>
      </c>
      <c r="AM495" s="2">
        <v>-25550</v>
      </c>
    </row>
    <row r="496" spans="1:39">
      <c r="A496" s="351">
        <v>95103</v>
      </c>
      <c r="B496" s="344" t="s">
        <v>1190</v>
      </c>
      <c r="C496" s="360">
        <v>5.0000000000000002E-5</v>
      </c>
      <c r="E496" s="2">
        <v>20225</v>
      </c>
      <c r="F496" s="2">
        <v>25680</v>
      </c>
      <c r="G496" s="2">
        <v>15371</v>
      </c>
      <c r="H496" s="2">
        <v>7441</v>
      </c>
      <c r="I496" s="2">
        <v>0</v>
      </c>
      <c r="J496" s="2"/>
      <c r="K496" s="2">
        <v>9270</v>
      </c>
      <c r="L496" s="2">
        <v>8540</v>
      </c>
      <c r="M496" s="2">
        <v>4753</v>
      </c>
      <c r="N496" s="2">
        <v>0</v>
      </c>
      <c r="O496" s="2">
        <v>0</v>
      </c>
      <c r="P496" s="2"/>
      <c r="Q496" s="2">
        <v>601</v>
      </c>
      <c r="R496" s="2">
        <v>8405</v>
      </c>
      <c r="S496" s="2">
        <v>8696</v>
      </c>
      <c r="T496" s="2">
        <v>7441</v>
      </c>
      <c r="U496" s="2">
        <v>0</v>
      </c>
      <c r="V496" s="2"/>
      <c r="W496" s="2">
        <v>7339</v>
      </c>
      <c r="X496" s="2">
        <v>5958</v>
      </c>
      <c r="Y496" s="2">
        <v>0</v>
      </c>
      <c r="Z496" s="2">
        <v>0</v>
      </c>
      <c r="AA496" s="2">
        <v>0</v>
      </c>
      <c r="AB496" s="2"/>
      <c r="AC496" s="2">
        <v>4188</v>
      </c>
      <c r="AD496" s="2">
        <v>3950</v>
      </c>
      <c r="AE496" s="2">
        <v>3094</v>
      </c>
      <c r="AF496" s="2">
        <v>0</v>
      </c>
      <c r="AG496" s="2">
        <v>0</v>
      </c>
      <c r="AH496" s="2"/>
      <c r="AI496" s="2">
        <v>-1173</v>
      </c>
      <c r="AJ496" s="2">
        <v>-1173</v>
      </c>
      <c r="AK496" s="2">
        <v>-1172</v>
      </c>
      <c r="AL496" s="2">
        <v>0</v>
      </c>
      <c r="AM496" s="2">
        <v>-1173</v>
      </c>
    </row>
    <row r="497" spans="1:39">
      <c r="A497" s="351">
        <v>95104</v>
      </c>
      <c r="B497" s="344" t="s">
        <v>1191</v>
      </c>
      <c r="C497" s="360">
        <v>1.1400000000000001E-4</v>
      </c>
      <c r="E497" s="2">
        <v>57366</v>
      </c>
      <c r="F497" s="2">
        <v>68393</v>
      </c>
      <c r="G497" s="2">
        <v>44865</v>
      </c>
      <c r="H497" s="2">
        <v>16966</v>
      </c>
      <c r="I497" s="2">
        <v>0</v>
      </c>
      <c r="J497" s="2"/>
      <c r="K497" s="2">
        <v>21137</v>
      </c>
      <c r="L497" s="2">
        <v>19471</v>
      </c>
      <c r="M497" s="2">
        <v>10837</v>
      </c>
      <c r="N497" s="2">
        <v>0</v>
      </c>
      <c r="O497" s="2">
        <v>0</v>
      </c>
      <c r="P497" s="2"/>
      <c r="Q497" s="2">
        <v>1370</v>
      </c>
      <c r="R497" s="2">
        <v>19164</v>
      </c>
      <c r="S497" s="2">
        <v>19827</v>
      </c>
      <c r="T497" s="2">
        <v>16966</v>
      </c>
      <c r="U497" s="2">
        <v>0</v>
      </c>
      <c r="V497" s="2"/>
      <c r="W497" s="2">
        <v>16732</v>
      </c>
      <c r="X497" s="2">
        <v>13584</v>
      </c>
      <c r="Y497" s="2">
        <v>0</v>
      </c>
      <c r="Z497" s="2">
        <v>0</v>
      </c>
      <c r="AA497" s="2">
        <v>0</v>
      </c>
      <c r="AB497" s="2"/>
      <c r="AC497" s="2">
        <v>18127</v>
      </c>
      <c r="AD497" s="2">
        <v>16174</v>
      </c>
      <c r="AE497" s="2">
        <v>14201</v>
      </c>
      <c r="AF497" s="2">
        <v>0</v>
      </c>
      <c r="AG497" s="2">
        <v>0</v>
      </c>
      <c r="AH497" s="2"/>
      <c r="AI497" s="2">
        <v>0</v>
      </c>
      <c r="AJ497" s="2">
        <v>0</v>
      </c>
      <c r="AK497" s="2">
        <v>0</v>
      </c>
      <c r="AL497" s="2">
        <v>0</v>
      </c>
      <c r="AM497" s="2">
        <v>0</v>
      </c>
    </row>
    <row r="498" spans="1:39">
      <c r="A498" s="351">
        <v>95105</v>
      </c>
      <c r="B498" s="344" t="s">
        <v>3683</v>
      </c>
      <c r="C498" s="360">
        <v>8.0900000000000001E-5</v>
      </c>
      <c r="E498" s="2">
        <v>34690</v>
      </c>
      <c r="F498" s="2">
        <v>43276</v>
      </c>
      <c r="G498" s="2">
        <v>26426</v>
      </c>
      <c r="H498" s="2">
        <v>12040</v>
      </c>
      <c r="I498" s="2">
        <v>0</v>
      </c>
      <c r="J498" s="2"/>
      <c r="K498" s="2">
        <v>15000</v>
      </c>
      <c r="L498" s="2">
        <v>13817</v>
      </c>
      <c r="M498" s="2">
        <v>7690</v>
      </c>
      <c r="N498" s="2">
        <v>0</v>
      </c>
      <c r="O498" s="2">
        <v>0</v>
      </c>
      <c r="P498" s="2"/>
      <c r="Q498" s="2">
        <v>972</v>
      </c>
      <c r="R498" s="2">
        <v>13600</v>
      </c>
      <c r="S498" s="2">
        <v>14070</v>
      </c>
      <c r="T498" s="2">
        <v>12040</v>
      </c>
      <c r="U498" s="2">
        <v>0</v>
      </c>
      <c r="V498" s="2"/>
      <c r="W498" s="2">
        <v>11874</v>
      </c>
      <c r="X498" s="2">
        <v>9640</v>
      </c>
      <c r="Y498" s="2">
        <v>0</v>
      </c>
      <c r="Z498" s="2">
        <v>0</v>
      </c>
      <c r="AA498" s="2">
        <v>0</v>
      </c>
      <c r="AB498" s="2"/>
      <c r="AC498" s="2">
        <v>6844</v>
      </c>
      <c r="AD498" s="2">
        <v>6219</v>
      </c>
      <c r="AE498" s="2">
        <v>4666</v>
      </c>
      <c r="AF498" s="2">
        <v>0</v>
      </c>
      <c r="AG498" s="2">
        <v>0</v>
      </c>
      <c r="AH498" s="2"/>
      <c r="AI498" s="2">
        <v>0</v>
      </c>
      <c r="AJ498" s="2">
        <v>0</v>
      </c>
      <c r="AK498" s="2">
        <v>0</v>
      </c>
      <c r="AL498" s="2">
        <v>0</v>
      </c>
      <c r="AM498" s="2">
        <v>0</v>
      </c>
    </row>
    <row r="499" spans="1:39">
      <c r="A499" s="351">
        <v>95106</v>
      </c>
      <c r="B499" s="344" t="s">
        <v>1193</v>
      </c>
      <c r="C499" s="360">
        <v>1.1800000000000001E-5</v>
      </c>
      <c r="E499" s="2">
        <v>4790</v>
      </c>
      <c r="F499" s="2">
        <v>6493</v>
      </c>
      <c r="G499" s="2">
        <v>3686</v>
      </c>
      <c r="H499" s="2">
        <v>1756</v>
      </c>
      <c r="I499" s="2">
        <v>0</v>
      </c>
      <c r="J499" s="2"/>
      <c r="K499" s="2">
        <v>2188</v>
      </c>
      <c r="L499" s="2">
        <v>2015</v>
      </c>
      <c r="M499" s="2">
        <v>1122</v>
      </c>
      <c r="N499" s="2">
        <v>0</v>
      </c>
      <c r="O499" s="2">
        <v>0</v>
      </c>
      <c r="P499" s="2"/>
      <c r="Q499" s="2">
        <v>142</v>
      </c>
      <c r="R499" s="2">
        <v>1984</v>
      </c>
      <c r="S499" s="2">
        <v>2052</v>
      </c>
      <c r="T499" s="2">
        <v>1756</v>
      </c>
      <c r="U499" s="2">
        <v>0</v>
      </c>
      <c r="V499" s="2"/>
      <c r="W499" s="2">
        <v>1732</v>
      </c>
      <c r="X499" s="2">
        <v>1406</v>
      </c>
      <c r="Y499" s="2">
        <v>0</v>
      </c>
      <c r="Z499" s="2">
        <v>0</v>
      </c>
      <c r="AA499" s="2">
        <v>0</v>
      </c>
      <c r="AB499" s="2"/>
      <c r="AC499" s="2">
        <v>1088</v>
      </c>
      <c r="AD499" s="2">
        <v>1088</v>
      </c>
      <c r="AE499" s="2">
        <v>512</v>
      </c>
      <c r="AF499" s="2">
        <v>0</v>
      </c>
      <c r="AG499" s="2">
        <v>0</v>
      </c>
      <c r="AH499" s="2"/>
      <c r="AI499" s="2">
        <v>-360</v>
      </c>
      <c r="AJ499" s="2">
        <v>0</v>
      </c>
      <c r="AK499" s="2">
        <v>0</v>
      </c>
      <c r="AL499" s="2">
        <v>0</v>
      </c>
      <c r="AM499" s="2">
        <v>0</v>
      </c>
    </row>
    <row r="500" spans="1:39">
      <c r="A500" s="351">
        <v>95110</v>
      </c>
      <c r="B500" s="344" t="s">
        <v>1194</v>
      </c>
      <c r="C500" s="360">
        <v>2.7829999999999999E-3</v>
      </c>
      <c r="E500" s="2">
        <v>698867</v>
      </c>
      <c r="F500" s="2">
        <v>1045140</v>
      </c>
      <c r="G500" s="2">
        <v>606229</v>
      </c>
      <c r="H500" s="2">
        <v>414172</v>
      </c>
      <c r="I500" s="2">
        <v>0</v>
      </c>
      <c r="J500" s="2"/>
      <c r="K500" s="2">
        <v>515993</v>
      </c>
      <c r="L500" s="2">
        <v>475320</v>
      </c>
      <c r="M500" s="2">
        <v>264546</v>
      </c>
      <c r="N500" s="2">
        <v>0</v>
      </c>
      <c r="O500" s="2">
        <v>0</v>
      </c>
      <c r="P500" s="2"/>
      <c r="Q500" s="2">
        <v>33449</v>
      </c>
      <c r="R500" s="2">
        <v>467836</v>
      </c>
      <c r="S500" s="2">
        <v>484014</v>
      </c>
      <c r="T500" s="2">
        <v>414172</v>
      </c>
      <c r="U500" s="2">
        <v>0</v>
      </c>
      <c r="V500" s="2"/>
      <c r="W500" s="2">
        <v>408478</v>
      </c>
      <c r="X500" s="2">
        <v>331614</v>
      </c>
      <c r="Y500" s="2">
        <v>0</v>
      </c>
      <c r="Z500" s="2">
        <v>0</v>
      </c>
      <c r="AA500" s="2">
        <v>0</v>
      </c>
      <c r="AB500" s="2"/>
      <c r="AC500" s="2">
        <v>0</v>
      </c>
      <c r="AD500" s="2">
        <v>0</v>
      </c>
      <c r="AE500" s="2">
        <v>0</v>
      </c>
      <c r="AF500" s="2">
        <v>0</v>
      </c>
      <c r="AG500" s="2">
        <v>0</v>
      </c>
      <c r="AH500" s="2"/>
      <c r="AI500" s="2">
        <v>-259053</v>
      </c>
      <c r="AJ500" s="2">
        <v>-229630</v>
      </c>
      <c r="AK500" s="2">
        <v>-142331</v>
      </c>
      <c r="AL500" s="2">
        <v>0</v>
      </c>
      <c r="AM500" s="2">
        <v>-229630</v>
      </c>
    </row>
    <row r="501" spans="1:39">
      <c r="A501" s="351">
        <v>95111</v>
      </c>
      <c r="B501" s="344" t="s">
        <v>1195</v>
      </c>
      <c r="C501" s="360">
        <v>9.9339999999999997E-4</v>
      </c>
      <c r="E501" s="2">
        <v>293542</v>
      </c>
      <c r="F501" s="2">
        <v>410441</v>
      </c>
      <c r="G501" s="2">
        <v>225505</v>
      </c>
      <c r="H501" s="2">
        <v>147840</v>
      </c>
      <c r="I501" s="2">
        <v>0</v>
      </c>
      <c r="J501" s="2"/>
      <c r="K501" s="2">
        <v>184185</v>
      </c>
      <c r="L501" s="2">
        <v>169667</v>
      </c>
      <c r="M501" s="2">
        <v>94431</v>
      </c>
      <c r="N501" s="2">
        <v>0</v>
      </c>
      <c r="O501" s="2">
        <v>0</v>
      </c>
      <c r="P501" s="2"/>
      <c r="Q501" s="2">
        <v>11940</v>
      </c>
      <c r="R501" s="2">
        <v>166996</v>
      </c>
      <c r="S501" s="2">
        <v>172770</v>
      </c>
      <c r="T501" s="2">
        <v>147840</v>
      </c>
      <c r="U501" s="2">
        <v>0</v>
      </c>
      <c r="V501" s="2"/>
      <c r="W501" s="2">
        <v>145807</v>
      </c>
      <c r="X501" s="2">
        <v>118371</v>
      </c>
      <c r="Y501" s="2">
        <v>0</v>
      </c>
      <c r="Z501" s="2">
        <v>0</v>
      </c>
      <c r="AA501" s="2">
        <v>0</v>
      </c>
      <c r="AB501" s="2"/>
      <c r="AC501" s="2">
        <v>0</v>
      </c>
      <c r="AD501" s="2">
        <v>0</v>
      </c>
      <c r="AE501" s="2">
        <v>0</v>
      </c>
      <c r="AF501" s="2">
        <v>0</v>
      </c>
      <c r="AG501" s="2">
        <v>0</v>
      </c>
      <c r="AH501" s="2"/>
      <c r="AI501" s="2">
        <v>-48390</v>
      </c>
      <c r="AJ501" s="2">
        <v>-44593</v>
      </c>
      <c r="AK501" s="2">
        <v>-41696</v>
      </c>
      <c r="AL501" s="2">
        <v>0</v>
      </c>
      <c r="AM501" s="2">
        <v>-44593</v>
      </c>
    </row>
    <row r="502" spans="1:39">
      <c r="A502" s="351">
        <v>95113</v>
      </c>
      <c r="B502" s="344" t="s">
        <v>1196</v>
      </c>
      <c r="C502" s="360">
        <v>4.4799999999999998E-5</v>
      </c>
      <c r="E502" s="2">
        <v>47700</v>
      </c>
      <c r="F502" s="2">
        <v>43987</v>
      </c>
      <c r="G502" s="2">
        <v>25343</v>
      </c>
      <c r="H502" s="2">
        <v>6667</v>
      </c>
      <c r="I502" s="2">
        <v>0</v>
      </c>
      <c r="J502" s="2"/>
      <c r="K502" s="2">
        <v>8306</v>
      </c>
      <c r="L502" s="2">
        <v>7652</v>
      </c>
      <c r="M502" s="2">
        <v>4259</v>
      </c>
      <c r="N502" s="2">
        <v>0</v>
      </c>
      <c r="O502" s="2">
        <v>0</v>
      </c>
      <c r="P502" s="2"/>
      <c r="Q502" s="2">
        <v>538</v>
      </c>
      <c r="R502" s="2">
        <v>7531</v>
      </c>
      <c r="S502" s="2">
        <v>7792</v>
      </c>
      <c r="T502" s="2">
        <v>6667</v>
      </c>
      <c r="U502" s="2">
        <v>0</v>
      </c>
      <c r="V502" s="2"/>
      <c r="W502" s="2">
        <v>6576</v>
      </c>
      <c r="X502" s="2">
        <v>5338</v>
      </c>
      <c r="Y502" s="2">
        <v>0</v>
      </c>
      <c r="Z502" s="2">
        <v>0</v>
      </c>
      <c r="AA502" s="2">
        <v>0</v>
      </c>
      <c r="AB502" s="2"/>
      <c r="AC502" s="2">
        <v>32280</v>
      </c>
      <c r="AD502" s="2">
        <v>23466</v>
      </c>
      <c r="AE502" s="2">
        <v>13292</v>
      </c>
      <c r="AF502" s="2">
        <v>0</v>
      </c>
      <c r="AG502" s="2">
        <v>0</v>
      </c>
      <c r="AH502" s="2"/>
      <c r="AI502" s="2">
        <v>0</v>
      </c>
      <c r="AJ502" s="2">
        <v>0</v>
      </c>
      <c r="AK502" s="2">
        <v>0</v>
      </c>
      <c r="AL502" s="2">
        <v>0</v>
      </c>
      <c r="AM502" s="2">
        <v>0</v>
      </c>
    </row>
    <row r="503" spans="1:39">
      <c r="A503" s="351">
        <v>95121</v>
      </c>
      <c r="B503" s="344" t="s">
        <v>1197</v>
      </c>
      <c r="C503" s="360">
        <v>5.107E-4</v>
      </c>
      <c r="E503" s="2">
        <v>181171</v>
      </c>
      <c r="F503" s="2">
        <v>239741</v>
      </c>
      <c r="G503" s="2">
        <v>141580</v>
      </c>
      <c r="H503" s="2">
        <v>76003</v>
      </c>
      <c r="I503" s="2">
        <v>0</v>
      </c>
      <c r="J503" s="2"/>
      <c r="K503" s="2">
        <v>94688</v>
      </c>
      <c r="L503" s="2">
        <v>87224</v>
      </c>
      <c r="M503" s="2">
        <v>48546</v>
      </c>
      <c r="N503" s="2">
        <v>0</v>
      </c>
      <c r="O503" s="2">
        <v>0</v>
      </c>
      <c r="P503" s="2"/>
      <c r="Q503" s="2">
        <v>6138</v>
      </c>
      <c r="R503" s="2">
        <v>85851</v>
      </c>
      <c r="S503" s="2">
        <v>88820</v>
      </c>
      <c r="T503" s="2">
        <v>76003</v>
      </c>
      <c r="U503" s="2">
        <v>0</v>
      </c>
      <c r="V503" s="2"/>
      <c r="W503" s="2">
        <v>74959</v>
      </c>
      <c r="X503" s="2">
        <v>60853</v>
      </c>
      <c r="Y503" s="2">
        <v>0</v>
      </c>
      <c r="Z503" s="2">
        <v>0</v>
      </c>
      <c r="AA503" s="2">
        <v>0</v>
      </c>
      <c r="AB503" s="2"/>
      <c r="AC503" s="2">
        <v>16119</v>
      </c>
      <c r="AD503" s="2">
        <v>16117</v>
      </c>
      <c r="AE503" s="2">
        <v>14516</v>
      </c>
      <c r="AF503" s="2">
        <v>0</v>
      </c>
      <c r="AG503" s="2">
        <v>0</v>
      </c>
      <c r="AH503" s="2"/>
      <c r="AI503" s="2">
        <v>-10733</v>
      </c>
      <c r="AJ503" s="2">
        <v>-10304</v>
      </c>
      <c r="AK503" s="2">
        <v>-10302</v>
      </c>
      <c r="AL503" s="2">
        <v>0</v>
      </c>
      <c r="AM503" s="2">
        <v>-10304</v>
      </c>
    </row>
    <row r="504" spans="1:39">
      <c r="A504" s="351">
        <v>95122</v>
      </c>
      <c r="B504" s="344" t="s">
        <v>1198</v>
      </c>
      <c r="C504" s="360">
        <v>1.73E-5</v>
      </c>
      <c r="E504" s="2">
        <v>10946</v>
      </c>
      <c r="F504" s="2">
        <v>12272</v>
      </c>
      <c r="G504" s="2">
        <v>8709</v>
      </c>
      <c r="H504" s="2">
        <v>2575</v>
      </c>
      <c r="I504" s="2">
        <v>0</v>
      </c>
      <c r="J504" s="2"/>
      <c r="K504" s="2">
        <v>3208</v>
      </c>
      <c r="L504" s="2">
        <v>2955</v>
      </c>
      <c r="M504" s="2">
        <v>1645</v>
      </c>
      <c r="N504" s="2">
        <v>0</v>
      </c>
      <c r="O504" s="2">
        <v>0</v>
      </c>
      <c r="P504" s="2"/>
      <c r="Q504" s="2">
        <v>208</v>
      </c>
      <c r="R504" s="2">
        <v>2908</v>
      </c>
      <c r="S504" s="2">
        <v>3009</v>
      </c>
      <c r="T504" s="2">
        <v>2575</v>
      </c>
      <c r="U504" s="2">
        <v>0</v>
      </c>
      <c r="V504" s="2"/>
      <c r="W504" s="2">
        <v>2539</v>
      </c>
      <c r="X504" s="2">
        <v>2061</v>
      </c>
      <c r="Y504" s="2">
        <v>0</v>
      </c>
      <c r="Z504" s="2">
        <v>0</v>
      </c>
      <c r="AA504" s="2">
        <v>0</v>
      </c>
      <c r="AB504" s="2"/>
      <c r="AC504" s="2">
        <v>4991</v>
      </c>
      <c r="AD504" s="2">
        <v>4348</v>
      </c>
      <c r="AE504" s="2">
        <v>4055</v>
      </c>
      <c r="AF504" s="2">
        <v>0</v>
      </c>
      <c r="AG504" s="2">
        <v>0</v>
      </c>
      <c r="AH504" s="2"/>
      <c r="AI504" s="2">
        <v>0</v>
      </c>
      <c r="AJ504" s="2">
        <v>0</v>
      </c>
      <c r="AK504" s="2">
        <v>0</v>
      </c>
      <c r="AL504" s="2">
        <v>0</v>
      </c>
      <c r="AM504" s="2">
        <v>0</v>
      </c>
    </row>
    <row r="505" spans="1:39">
      <c r="A505" s="351">
        <v>95123</v>
      </c>
      <c r="B505" s="344" t="s">
        <v>1199</v>
      </c>
      <c r="C505" s="360">
        <v>5.3399999999999997E-5</v>
      </c>
      <c r="E505" s="2">
        <v>19808</v>
      </c>
      <c r="F505" s="2">
        <v>25201</v>
      </c>
      <c r="G505" s="2">
        <v>15066</v>
      </c>
      <c r="H505" s="2">
        <v>7947</v>
      </c>
      <c r="I505" s="2">
        <v>0</v>
      </c>
      <c r="J505" s="2"/>
      <c r="K505" s="2">
        <v>9901</v>
      </c>
      <c r="L505" s="2">
        <v>9120</v>
      </c>
      <c r="M505" s="2">
        <v>5076</v>
      </c>
      <c r="N505" s="2">
        <v>0</v>
      </c>
      <c r="O505" s="2">
        <v>0</v>
      </c>
      <c r="P505" s="2"/>
      <c r="Q505" s="2">
        <v>642</v>
      </c>
      <c r="R505" s="2">
        <v>8977</v>
      </c>
      <c r="S505" s="2">
        <v>9287</v>
      </c>
      <c r="T505" s="2">
        <v>7947</v>
      </c>
      <c r="U505" s="2">
        <v>0</v>
      </c>
      <c r="V505" s="2"/>
      <c r="W505" s="2">
        <v>7838</v>
      </c>
      <c r="X505" s="2">
        <v>6363</v>
      </c>
      <c r="Y505" s="2">
        <v>0</v>
      </c>
      <c r="Z505" s="2">
        <v>0</v>
      </c>
      <c r="AA505" s="2">
        <v>0</v>
      </c>
      <c r="AB505" s="2"/>
      <c r="AC505" s="2">
        <v>1840</v>
      </c>
      <c r="AD505" s="2">
        <v>1154</v>
      </c>
      <c r="AE505" s="2">
        <v>1115</v>
      </c>
      <c r="AF505" s="2">
        <v>0</v>
      </c>
      <c r="AG505" s="2">
        <v>0</v>
      </c>
      <c r="AH505" s="2"/>
      <c r="AI505" s="2">
        <v>-413</v>
      </c>
      <c r="AJ505" s="2">
        <v>-413</v>
      </c>
      <c r="AK505" s="2">
        <v>-412</v>
      </c>
      <c r="AL505" s="2">
        <v>0</v>
      </c>
      <c r="AM505" s="2">
        <v>-413</v>
      </c>
    </row>
    <row r="506" spans="1:39">
      <c r="A506" s="351">
        <v>95131</v>
      </c>
      <c r="B506" s="344" t="s">
        <v>1200</v>
      </c>
      <c r="C506" s="360">
        <v>1.8569999999999999E-3</v>
      </c>
      <c r="E506" s="2">
        <v>693914</v>
      </c>
      <c r="F506" s="2">
        <v>887923</v>
      </c>
      <c r="G506" s="2">
        <v>530614</v>
      </c>
      <c r="H506" s="2">
        <v>276362</v>
      </c>
      <c r="I506" s="2">
        <v>0</v>
      </c>
      <c r="J506" s="2"/>
      <c r="K506" s="2">
        <v>344305</v>
      </c>
      <c r="L506" s="2">
        <v>317164</v>
      </c>
      <c r="M506" s="2">
        <v>176523</v>
      </c>
      <c r="N506" s="2">
        <v>0</v>
      </c>
      <c r="O506" s="2">
        <v>0</v>
      </c>
      <c r="P506" s="2"/>
      <c r="Q506" s="2">
        <v>22319</v>
      </c>
      <c r="R506" s="2">
        <v>312171</v>
      </c>
      <c r="S506" s="2">
        <v>322966</v>
      </c>
      <c r="T506" s="2">
        <v>276362</v>
      </c>
      <c r="U506" s="2">
        <v>0</v>
      </c>
      <c r="V506" s="2"/>
      <c r="W506" s="2">
        <v>272563</v>
      </c>
      <c r="X506" s="2">
        <v>221275</v>
      </c>
      <c r="Y506" s="2">
        <v>0</v>
      </c>
      <c r="Z506" s="2">
        <v>0</v>
      </c>
      <c r="AA506" s="2">
        <v>0</v>
      </c>
      <c r="AB506" s="2"/>
      <c r="AC506" s="2">
        <v>54727</v>
      </c>
      <c r="AD506" s="2">
        <v>37313</v>
      </c>
      <c r="AE506" s="2">
        <v>31125</v>
      </c>
      <c r="AF506" s="2">
        <v>0</v>
      </c>
      <c r="AG506" s="2">
        <v>0</v>
      </c>
      <c r="AH506" s="2"/>
      <c r="AI506" s="2">
        <v>0</v>
      </c>
      <c r="AJ506" s="2">
        <v>0</v>
      </c>
      <c r="AK506" s="2">
        <v>0</v>
      </c>
      <c r="AL506" s="2">
        <v>0</v>
      </c>
      <c r="AM506" s="2">
        <v>0</v>
      </c>
    </row>
    <row r="507" spans="1:39">
      <c r="A507" s="351">
        <v>95141</v>
      </c>
      <c r="B507" s="344" t="s">
        <v>1201</v>
      </c>
      <c r="C507" s="360">
        <v>3.8630000000000001E-4</v>
      </c>
      <c r="E507" s="2">
        <v>139413</v>
      </c>
      <c r="F507" s="2">
        <v>186096</v>
      </c>
      <c r="G507" s="2">
        <v>114772</v>
      </c>
      <c r="H507" s="2">
        <v>57490</v>
      </c>
      <c r="I507" s="2">
        <v>0</v>
      </c>
      <c r="J507" s="2"/>
      <c r="K507" s="2">
        <v>71623</v>
      </c>
      <c r="L507" s="2">
        <v>65978</v>
      </c>
      <c r="M507" s="2">
        <v>36721</v>
      </c>
      <c r="N507" s="2">
        <v>0</v>
      </c>
      <c r="O507" s="2">
        <v>0</v>
      </c>
      <c r="P507" s="2"/>
      <c r="Q507" s="2">
        <v>4643</v>
      </c>
      <c r="R507" s="2">
        <v>64939</v>
      </c>
      <c r="S507" s="2">
        <v>67185</v>
      </c>
      <c r="T507" s="2">
        <v>57490</v>
      </c>
      <c r="U507" s="2">
        <v>0</v>
      </c>
      <c r="V507" s="2"/>
      <c r="W507" s="2">
        <v>56700</v>
      </c>
      <c r="X507" s="2">
        <v>46030</v>
      </c>
      <c r="Y507" s="2">
        <v>0</v>
      </c>
      <c r="Z507" s="2">
        <v>0</v>
      </c>
      <c r="AA507" s="2">
        <v>0</v>
      </c>
      <c r="AB507" s="2"/>
      <c r="AC507" s="2">
        <v>10868</v>
      </c>
      <c r="AD507" s="2">
        <v>10868</v>
      </c>
      <c r="AE507" s="2">
        <v>10866</v>
      </c>
      <c r="AF507" s="2">
        <v>0</v>
      </c>
      <c r="AG507" s="2">
        <v>0</v>
      </c>
      <c r="AH507" s="2"/>
      <c r="AI507" s="2">
        <v>-4421</v>
      </c>
      <c r="AJ507" s="2">
        <v>-1719</v>
      </c>
      <c r="AK507" s="2">
        <v>0</v>
      </c>
      <c r="AL507" s="2">
        <v>0</v>
      </c>
      <c r="AM507" s="2">
        <v>-1719</v>
      </c>
    </row>
    <row r="508" spans="1:39">
      <c r="A508" s="351">
        <v>95151</v>
      </c>
      <c r="B508" s="344" t="s">
        <v>1202</v>
      </c>
      <c r="C508" s="360">
        <v>1.197E-4</v>
      </c>
      <c r="E508" s="2">
        <v>40296</v>
      </c>
      <c r="F508" s="2">
        <v>55725</v>
      </c>
      <c r="G508" s="2">
        <v>33031</v>
      </c>
      <c r="H508" s="2">
        <v>17814</v>
      </c>
      <c r="I508" s="2">
        <v>0</v>
      </c>
      <c r="J508" s="2"/>
      <c r="K508" s="2">
        <v>22193</v>
      </c>
      <c r="L508" s="2">
        <v>20444</v>
      </c>
      <c r="M508" s="2">
        <v>11378</v>
      </c>
      <c r="N508" s="2">
        <v>0</v>
      </c>
      <c r="O508" s="2">
        <v>0</v>
      </c>
      <c r="P508" s="2"/>
      <c r="Q508" s="2">
        <v>1439</v>
      </c>
      <c r="R508" s="2">
        <v>20122</v>
      </c>
      <c r="S508" s="2">
        <v>20818</v>
      </c>
      <c r="T508" s="2">
        <v>17814</v>
      </c>
      <c r="U508" s="2">
        <v>0</v>
      </c>
      <c r="V508" s="2"/>
      <c r="W508" s="2">
        <v>17569</v>
      </c>
      <c r="X508" s="2">
        <v>14263</v>
      </c>
      <c r="Y508" s="2">
        <v>0</v>
      </c>
      <c r="Z508" s="2">
        <v>0</v>
      </c>
      <c r="AA508" s="2">
        <v>0</v>
      </c>
      <c r="AB508" s="2"/>
      <c r="AC508" s="2">
        <v>2523</v>
      </c>
      <c r="AD508" s="2">
        <v>2524</v>
      </c>
      <c r="AE508" s="2">
        <v>2462</v>
      </c>
      <c r="AF508" s="2">
        <v>0</v>
      </c>
      <c r="AG508" s="2">
        <v>0</v>
      </c>
      <c r="AH508" s="2"/>
      <c r="AI508" s="2">
        <v>-3428</v>
      </c>
      <c r="AJ508" s="2">
        <v>-1628</v>
      </c>
      <c r="AK508" s="2">
        <v>-1627</v>
      </c>
      <c r="AL508" s="2">
        <v>0</v>
      </c>
      <c r="AM508" s="2">
        <v>-1628</v>
      </c>
    </row>
    <row r="509" spans="1:39">
      <c r="A509" s="351">
        <v>95161</v>
      </c>
      <c r="B509" s="344" t="s">
        <v>1203</v>
      </c>
      <c r="C509" s="360">
        <v>7.36E-5</v>
      </c>
      <c r="E509" s="2">
        <v>30188</v>
      </c>
      <c r="F509" s="2">
        <v>38328</v>
      </c>
      <c r="G509" s="2">
        <v>22751</v>
      </c>
      <c r="H509" s="2">
        <v>10953</v>
      </c>
      <c r="I509" s="2">
        <v>0</v>
      </c>
      <c r="J509" s="2"/>
      <c r="K509" s="2">
        <v>13646</v>
      </c>
      <c r="L509" s="2">
        <v>12570</v>
      </c>
      <c r="M509" s="2">
        <v>6996</v>
      </c>
      <c r="N509" s="2">
        <v>0</v>
      </c>
      <c r="O509" s="2">
        <v>0</v>
      </c>
      <c r="P509" s="2"/>
      <c r="Q509" s="2">
        <v>885</v>
      </c>
      <c r="R509" s="2">
        <v>12373</v>
      </c>
      <c r="S509" s="2">
        <v>12800</v>
      </c>
      <c r="T509" s="2">
        <v>10953</v>
      </c>
      <c r="U509" s="2">
        <v>0</v>
      </c>
      <c r="V509" s="2"/>
      <c r="W509" s="2">
        <v>10803</v>
      </c>
      <c r="X509" s="2">
        <v>8770</v>
      </c>
      <c r="Y509" s="2">
        <v>0</v>
      </c>
      <c r="Z509" s="2">
        <v>0</v>
      </c>
      <c r="AA509" s="2">
        <v>0</v>
      </c>
      <c r="AB509" s="2"/>
      <c r="AC509" s="2">
        <v>4854</v>
      </c>
      <c r="AD509" s="2">
        <v>4615</v>
      </c>
      <c r="AE509" s="2">
        <v>2955</v>
      </c>
      <c r="AF509" s="2">
        <v>0</v>
      </c>
      <c r="AG509" s="2">
        <v>0</v>
      </c>
      <c r="AH509" s="2"/>
      <c r="AI509" s="2">
        <v>0</v>
      </c>
      <c r="AJ509" s="2">
        <v>0</v>
      </c>
      <c r="AK509" s="2">
        <v>0</v>
      </c>
      <c r="AL509" s="2">
        <v>0</v>
      </c>
      <c r="AM509" s="2">
        <v>0</v>
      </c>
    </row>
    <row r="510" spans="1:39">
      <c r="A510" s="351">
        <v>95171</v>
      </c>
      <c r="B510" s="344" t="s">
        <v>1204</v>
      </c>
      <c r="C510" s="360">
        <v>1.2229999999999999E-4</v>
      </c>
      <c r="E510" s="2">
        <v>48843</v>
      </c>
      <c r="F510" s="2">
        <v>64668</v>
      </c>
      <c r="G510" s="2">
        <v>43607</v>
      </c>
      <c r="H510" s="2">
        <v>18201</v>
      </c>
      <c r="I510" s="2">
        <v>0</v>
      </c>
      <c r="J510" s="2"/>
      <c r="K510" s="2">
        <v>22676</v>
      </c>
      <c r="L510" s="2">
        <v>20888</v>
      </c>
      <c r="M510" s="2">
        <v>11626</v>
      </c>
      <c r="N510" s="2">
        <v>0</v>
      </c>
      <c r="O510" s="2">
        <v>0</v>
      </c>
      <c r="P510" s="2"/>
      <c r="Q510" s="2">
        <v>1470</v>
      </c>
      <c r="R510" s="2">
        <v>20559</v>
      </c>
      <c r="S510" s="2">
        <v>21270</v>
      </c>
      <c r="T510" s="2">
        <v>18201</v>
      </c>
      <c r="U510" s="2">
        <v>0</v>
      </c>
      <c r="V510" s="2"/>
      <c r="W510" s="2">
        <v>17951</v>
      </c>
      <c r="X510" s="2">
        <v>14573</v>
      </c>
      <c r="Y510" s="2">
        <v>0</v>
      </c>
      <c r="Z510" s="2">
        <v>0</v>
      </c>
      <c r="AA510" s="2">
        <v>0</v>
      </c>
      <c r="AB510" s="2"/>
      <c r="AC510" s="2">
        <v>10711</v>
      </c>
      <c r="AD510" s="2">
        <v>10711</v>
      </c>
      <c r="AE510" s="2">
        <v>10711</v>
      </c>
      <c r="AF510" s="2">
        <v>0</v>
      </c>
      <c r="AG510" s="2">
        <v>0</v>
      </c>
      <c r="AH510" s="2"/>
      <c r="AI510" s="2">
        <v>-3965</v>
      </c>
      <c r="AJ510" s="2">
        <v>-2063</v>
      </c>
      <c r="AK510" s="2">
        <v>0</v>
      </c>
      <c r="AL510" s="2">
        <v>0</v>
      </c>
      <c r="AM510" s="2">
        <v>-2063</v>
      </c>
    </row>
    <row r="511" spans="1:39">
      <c r="A511" s="351">
        <v>95181</v>
      </c>
      <c r="B511" s="344" t="s">
        <v>1205</v>
      </c>
      <c r="C511" s="360">
        <v>7.2100000000000004E-5</v>
      </c>
      <c r="E511" s="2">
        <v>24748</v>
      </c>
      <c r="F511" s="2">
        <v>34149</v>
      </c>
      <c r="G511" s="2">
        <v>21451</v>
      </c>
      <c r="H511" s="2">
        <v>10730</v>
      </c>
      <c r="I511" s="2">
        <v>0</v>
      </c>
      <c r="J511" s="2"/>
      <c r="K511" s="2">
        <v>13368</v>
      </c>
      <c r="L511" s="2">
        <v>12314</v>
      </c>
      <c r="M511" s="2">
        <v>6854</v>
      </c>
      <c r="N511" s="2">
        <v>0</v>
      </c>
      <c r="O511" s="2">
        <v>0</v>
      </c>
      <c r="P511" s="2"/>
      <c r="Q511" s="2">
        <v>867</v>
      </c>
      <c r="R511" s="2">
        <v>12120</v>
      </c>
      <c r="S511" s="2">
        <v>12539</v>
      </c>
      <c r="T511" s="2">
        <v>10730</v>
      </c>
      <c r="U511" s="2">
        <v>0</v>
      </c>
      <c r="V511" s="2"/>
      <c r="W511" s="2">
        <v>10583</v>
      </c>
      <c r="X511" s="2">
        <v>8591</v>
      </c>
      <c r="Y511" s="2">
        <v>0</v>
      </c>
      <c r="Z511" s="2">
        <v>0</v>
      </c>
      <c r="AA511" s="2">
        <v>0</v>
      </c>
      <c r="AB511" s="2"/>
      <c r="AC511" s="2">
        <v>5146</v>
      </c>
      <c r="AD511" s="2">
        <v>5146</v>
      </c>
      <c r="AE511" s="2">
        <v>5147</v>
      </c>
      <c r="AF511" s="2">
        <v>0</v>
      </c>
      <c r="AG511" s="2">
        <v>0</v>
      </c>
      <c r="AH511" s="2"/>
      <c r="AI511" s="2">
        <v>-5216</v>
      </c>
      <c r="AJ511" s="2">
        <v>-4022</v>
      </c>
      <c r="AK511" s="2">
        <v>-3089</v>
      </c>
      <c r="AL511" s="2">
        <v>0</v>
      </c>
      <c r="AM511" s="2">
        <v>-4022</v>
      </c>
    </row>
    <row r="512" spans="1:39">
      <c r="A512" s="351">
        <v>95191</v>
      </c>
      <c r="B512" s="344" t="s">
        <v>1206</v>
      </c>
      <c r="C512" s="360">
        <v>7.36E-5</v>
      </c>
      <c r="E512" s="2">
        <v>35968</v>
      </c>
      <c r="F512" s="2">
        <v>43041</v>
      </c>
      <c r="G512" s="2">
        <v>28309</v>
      </c>
      <c r="H512" s="2">
        <v>10953</v>
      </c>
      <c r="I512" s="2">
        <v>0</v>
      </c>
      <c r="J512" s="2"/>
      <c r="K512" s="2">
        <v>13646</v>
      </c>
      <c r="L512" s="2">
        <v>12570</v>
      </c>
      <c r="M512" s="2">
        <v>6996</v>
      </c>
      <c r="N512" s="2">
        <v>0</v>
      </c>
      <c r="O512" s="2">
        <v>0</v>
      </c>
      <c r="P512" s="2"/>
      <c r="Q512" s="2">
        <v>885</v>
      </c>
      <c r="R512" s="2">
        <v>12373</v>
      </c>
      <c r="S512" s="2">
        <v>12800</v>
      </c>
      <c r="T512" s="2">
        <v>10953</v>
      </c>
      <c r="U512" s="2">
        <v>0</v>
      </c>
      <c r="V512" s="2"/>
      <c r="W512" s="2">
        <v>10803</v>
      </c>
      <c r="X512" s="2">
        <v>8770</v>
      </c>
      <c r="Y512" s="2">
        <v>0</v>
      </c>
      <c r="Z512" s="2">
        <v>0</v>
      </c>
      <c r="AA512" s="2">
        <v>0</v>
      </c>
      <c r="AB512" s="2"/>
      <c r="AC512" s="2">
        <v>10634</v>
      </c>
      <c r="AD512" s="2">
        <v>9328</v>
      </c>
      <c r="AE512" s="2">
        <v>8513</v>
      </c>
      <c r="AF512" s="2">
        <v>0</v>
      </c>
      <c r="AG512" s="2">
        <v>0</v>
      </c>
      <c r="AH512" s="2"/>
      <c r="AI512" s="2">
        <v>0</v>
      </c>
      <c r="AJ512" s="2">
        <v>0</v>
      </c>
      <c r="AK512" s="2">
        <v>0</v>
      </c>
      <c r="AL512" s="2">
        <v>0</v>
      </c>
      <c r="AM512" s="2">
        <v>0</v>
      </c>
    </row>
    <row r="513" spans="1:39">
      <c r="A513" s="351">
        <v>95201</v>
      </c>
      <c r="B513" s="344" t="s">
        <v>1207</v>
      </c>
      <c r="C513" s="360">
        <v>7.048E-4</v>
      </c>
      <c r="E513" s="2">
        <v>241499</v>
      </c>
      <c r="F513" s="2">
        <v>321688</v>
      </c>
      <c r="G513" s="2">
        <v>193584</v>
      </c>
      <c r="H513" s="2">
        <v>104890</v>
      </c>
      <c r="I513" s="2">
        <v>0</v>
      </c>
      <c r="J513" s="2"/>
      <c r="K513" s="2">
        <v>130676</v>
      </c>
      <c r="L513" s="2">
        <v>120376</v>
      </c>
      <c r="M513" s="2">
        <v>66997</v>
      </c>
      <c r="N513" s="2">
        <v>0</v>
      </c>
      <c r="O513" s="2">
        <v>0</v>
      </c>
      <c r="P513" s="2"/>
      <c r="Q513" s="2">
        <v>8471</v>
      </c>
      <c r="R513" s="2">
        <v>118480</v>
      </c>
      <c r="S513" s="2">
        <v>122577</v>
      </c>
      <c r="T513" s="2">
        <v>104890</v>
      </c>
      <c r="U513" s="2">
        <v>0</v>
      </c>
      <c r="V513" s="2"/>
      <c r="W513" s="2">
        <v>103448</v>
      </c>
      <c r="X513" s="2">
        <v>83982</v>
      </c>
      <c r="Y513" s="2">
        <v>0</v>
      </c>
      <c r="Z513" s="2">
        <v>0</v>
      </c>
      <c r="AA513" s="2">
        <v>0</v>
      </c>
      <c r="AB513" s="2"/>
      <c r="AC513" s="2">
        <v>14471</v>
      </c>
      <c r="AD513" s="2">
        <v>14417</v>
      </c>
      <c r="AE513" s="2">
        <v>14417</v>
      </c>
      <c r="AF513" s="2">
        <v>0</v>
      </c>
      <c r="AG513" s="2">
        <v>0</v>
      </c>
      <c r="AH513" s="2"/>
      <c r="AI513" s="2">
        <v>-15567</v>
      </c>
      <c r="AJ513" s="2">
        <v>-15567</v>
      </c>
      <c r="AK513" s="2">
        <v>-10407</v>
      </c>
      <c r="AL513" s="2">
        <v>0</v>
      </c>
      <c r="AM513" s="2">
        <v>-15567</v>
      </c>
    </row>
    <row r="514" spans="1:39">
      <c r="A514" s="351">
        <v>95204</v>
      </c>
      <c r="B514" s="344" t="s">
        <v>1208</v>
      </c>
      <c r="C514" s="360">
        <v>8.6000000000000007E-6</v>
      </c>
      <c r="E514" s="2">
        <v>4520</v>
      </c>
      <c r="F514" s="2">
        <v>5046</v>
      </c>
      <c r="G514" s="2">
        <v>3490</v>
      </c>
      <c r="H514" s="2">
        <v>1280</v>
      </c>
      <c r="I514" s="2">
        <v>0</v>
      </c>
      <c r="J514" s="2"/>
      <c r="K514" s="2">
        <v>1595</v>
      </c>
      <c r="L514" s="2">
        <v>1469</v>
      </c>
      <c r="M514" s="2">
        <v>817</v>
      </c>
      <c r="N514" s="2">
        <v>0</v>
      </c>
      <c r="O514" s="2">
        <v>0</v>
      </c>
      <c r="P514" s="2"/>
      <c r="Q514" s="2">
        <v>103</v>
      </c>
      <c r="R514" s="2">
        <v>1446</v>
      </c>
      <c r="S514" s="2">
        <v>1496</v>
      </c>
      <c r="T514" s="2">
        <v>1280</v>
      </c>
      <c r="U514" s="2">
        <v>0</v>
      </c>
      <c r="V514" s="2"/>
      <c r="W514" s="2">
        <v>1262</v>
      </c>
      <c r="X514" s="2">
        <v>1025</v>
      </c>
      <c r="Y514" s="2">
        <v>0</v>
      </c>
      <c r="Z514" s="2">
        <v>0</v>
      </c>
      <c r="AA514" s="2">
        <v>0</v>
      </c>
      <c r="AB514" s="2"/>
      <c r="AC514" s="2">
        <v>2098</v>
      </c>
      <c r="AD514" s="2">
        <v>1642</v>
      </c>
      <c r="AE514" s="2">
        <v>1643</v>
      </c>
      <c r="AF514" s="2">
        <v>0</v>
      </c>
      <c r="AG514" s="2">
        <v>0</v>
      </c>
      <c r="AH514" s="2"/>
      <c r="AI514" s="2">
        <v>-538</v>
      </c>
      <c r="AJ514" s="2">
        <v>-536</v>
      </c>
      <c r="AK514" s="2">
        <v>-466</v>
      </c>
      <c r="AL514" s="2">
        <v>0</v>
      </c>
      <c r="AM514" s="2">
        <v>-536</v>
      </c>
    </row>
    <row r="515" spans="1:39">
      <c r="A515" s="351">
        <v>95205</v>
      </c>
      <c r="B515" s="344" t="s">
        <v>1209</v>
      </c>
      <c r="C515" s="360">
        <v>2.6000000000000001E-6</v>
      </c>
      <c r="E515" s="2">
        <v>1559</v>
      </c>
      <c r="F515" s="2">
        <v>1828</v>
      </c>
      <c r="G515" s="2">
        <v>1575</v>
      </c>
      <c r="H515" s="2">
        <v>387</v>
      </c>
      <c r="I515" s="2">
        <v>0</v>
      </c>
      <c r="J515" s="2"/>
      <c r="K515" s="2">
        <v>482</v>
      </c>
      <c r="L515" s="2">
        <v>444</v>
      </c>
      <c r="M515" s="2">
        <v>247</v>
      </c>
      <c r="N515" s="2">
        <v>0</v>
      </c>
      <c r="O515" s="2">
        <v>0</v>
      </c>
      <c r="P515" s="2"/>
      <c r="Q515" s="2">
        <v>31</v>
      </c>
      <c r="R515" s="2">
        <v>437</v>
      </c>
      <c r="S515" s="2">
        <v>452</v>
      </c>
      <c r="T515" s="2">
        <v>387</v>
      </c>
      <c r="U515" s="2">
        <v>0</v>
      </c>
      <c r="V515" s="2"/>
      <c r="W515" s="2">
        <v>382</v>
      </c>
      <c r="X515" s="2">
        <v>310</v>
      </c>
      <c r="Y515" s="2">
        <v>0</v>
      </c>
      <c r="Z515" s="2">
        <v>0</v>
      </c>
      <c r="AA515" s="2">
        <v>0</v>
      </c>
      <c r="AB515" s="2"/>
      <c r="AC515" s="2">
        <v>901</v>
      </c>
      <c r="AD515" s="2">
        <v>875</v>
      </c>
      <c r="AE515" s="2">
        <v>876</v>
      </c>
      <c r="AF515" s="2">
        <v>0</v>
      </c>
      <c r="AG515" s="2">
        <v>0</v>
      </c>
      <c r="AH515" s="2"/>
      <c r="AI515" s="2">
        <v>-237</v>
      </c>
      <c r="AJ515" s="2">
        <v>-238</v>
      </c>
      <c r="AK515" s="2">
        <v>0</v>
      </c>
      <c r="AL515" s="2">
        <v>0</v>
      </c>
      <c r="AM515" s="2">
        <v>-238</v>
      </c>
    </row>
    <row r="516" spans="1:39">
      <c r="A516" s="351">
        <v>95211</v>
      </c>
      <c r="B516" s="344" t="s">
        <v>1210</v>
      </c>
      <c r="C516" s="360">
        <v>1.7E-6</v>
      </c>
      <c r="E516" s="2">
        <v>-999</v>
      </c>
      <c r="F516" s="2">
        <v>-744</v>
      </c>
      <c r="G516" s="2">
        <v>-677</v>
      </c>
      <c r="H516" s="2">
        <v>253</v>
      </c>
      <c r="I516" s="2">
        <v>0</v>
      </c>
      <c r="J516" s="2"/>
      <c r="K516" s="2">
        <v>315</v>
      </c>
      <c r="L516" s="2">
        <v>290</v>
      </c>
      <c r="M516" s="2">
        <v>162</v>
      </c>
      <c r="N516" s="2">
        <v>0</v>
      </c>
      <c r="O516" s="2">
        <v>0</v>
      </c>
      <c r="P516" s="2"/>
      <c r="Q516" s="2">
        <v>20</v>
      </c>
      <c r="R516" s="2">
        <v>286</v>
      </c>
      <c r="S516" s="2">
        <v>296</v>
      </c>
      <c r="T516" s="2">
        <v>253</v>
      </c>
      <c r="U516" s="2">
        <v>0</v>
      </c>
      <c r="V516" s="2"/>
      <c r="W516" s="2">
        <v>250</v>
      </c>
      <c r="X516" s="2">
        <v>203</v>
      </c>
      <c r="Y516" s="2">
        <v>0</v>
      </c>
      <c r="Z516" s="2">
        <v>0</v>
      </c>
      <c r="AA516" s="2">
        <v>0</v>
      </c>
      <c r="AB516" s="2"/>
      <c r="AC516" s="2">
        <v>17</v>
      </c>
      <c r="AD516" s="2">
        <v>17</v>
      </c>
      <c r="AE516" s="2">
        <v>18</v>
      </c>
      <c r="AF516" s="2">
        <v>0</v>
      </c>
      <c r="AG516" s="2">
        <v>0</v>
      </c>
      <c r="AH516" s="2"/>
      <c r="AI516" s="2">
        <v>-1601</v>
      </c>
      <c r="AJ516" s="2">
        <v>-1540</v>
      </c>
      <c r="AK516" s="2">
        <v>-1153</v>
      </c>
      <c r="AL516" s="2">
        <v>0</v>
      </c>
      <c r="AM516" s="2">
        <v>-1540</v>
      </c>
    </row>
    <row r="517" spans="1:39">
      <c r="A517" s="351">
        <v>95221</v>
      </c>
      <c r="B517" s="344" t="s">
        <v>1211</v>
      </c>
      <c r="C517" s="360">
        <v>4.2599999999999999E-5</v>
      </c>
      <c r="E517" s="2">
        <v>13677</v>
      </c>
      <c r="F517" s="2">
        <v>13945</v>
      </c>
      <c r="G517" s="2">
        <v>4275</v>
      </c>
      <c r="H517" s="2">
        <v>6340</v>
      </c>
      <c r="I517" s="2">
        <v>0</v>
      </c>
      <c r="J517" s="2"/>
      <c r="K517" s="2">
        <v>7898</v>
      </c>
      <c r="L517" s="2">
        <v>7276</v>
      </c>
      <c r="M517" s="2">
        <v>4049</v>
      </c>
      <c r="N517" s="2">
        <v>0</v>
      </c>
      <c r="O517" s="2">
        <v>0</v>
      </c>
      <c r="P517" s="2"/>
      <c r="Q517" s="2">
        <v>512</v>
      </c>
      <c r="R517" s="2">
        <v>7161</v>
      </c>
      <c r="S517" s="2">
        <v>7409</v>
      </c>
      <c r="T517" s="2">
        <v>6340</v>
      </c>
      <c r="U517" s="2">
        <v>0</v>
      </c>
      <c r="V517" s="2"/>
      <c r="W517" s="2">
        <v>6253</v>
      </c>
      <c r="X517" s="2">
        <v>5076</v>
      </c>
      <c r="Y517" s="2">
        <v>0</v>
      </c>
      <c r="Z517" s="2">
        <v>0</v>
      </c>
      <c r="AA517" s="2">
        <v>0</v>
      </c>
      <c r="AB517" s="2"/>
      <c r="AC517" s="2">
        <v>6197</v>
      </c>
      <c r="AD517" s="2">
        <v>1615</v>
      </c>
      <c r="AE517" s="2">
        <v>0</v>
      </c>
      <c r="AF517" s="2">
        <v>0</v>
      </c>
      <c r="AG517" s="2">
        <v>0</v>
      </c>
      <c r="AH517" s="2"/>
      <c r="AI517" s="2">
        <v>-7183</v>
      </c>
      <c r="AJ517" s="2">
        <v>-7183</v>
      </c>
      <c r="AK517" s="2">
        <v>-7183</v>
      </c>
      <c r="AL517" s="2">
        <v>0</v>
      </c>
      <c r="AM517" s="2">
        <v>-7183</v>
      </c>
    </row>
    <row r="518" spans="1:39">
      <c r="A518" s="351">
        <v>95301</v>
      </c>
      <c r="B518" s="344" t="s">
        <v>1212</v>
      </c>
      <c r="C518" s="360">
        <v>2.2263999999999999E-3</v>
      </c>
      <c r="E518" s="2">
        <v>794867</v>
      </c>
      <c r="F518" s="2">
        <v>1042070</v>
      </c>
      <c r="G518" s="2">
        <v>627419</v>
      </c>
      <c r="H518" s="2">
        <v>331337</v>
      </c>
      <c r="I518" s="2">
        <v>0</v>
      </c>
      <c r="J518" s="2"/>
      <c r="K518" s="2">
        <v>412795</v>
      </c>
      <c r="L518" s="2">
        <v>380256</v>
      </c>
      <c r="M518" s="2">
        <v>211637</v>
      </c>
      <c r="N518" s="2">
        <v>0</v>
      </c>
      <c r="O518" s="2">
        <v>0</v>
      </c>
      <c r="P518" s="2"/>
      <c r="Q518" s="2">
        <v>26759</v>
      </c>
      <c r="R518" s="2">
        <v>374269</v>
      </c>
      <c r="S518" s="2">
        <v>387211</v>
      </c>
      <c r="T518" s="2">
        <v>331337</v>
      </c>
      <c r="U518" s="2">
        <v>0</v>
      </c>
      <c r="V518" s="2"/>
      <c r="W518" s="2">
        <v>326782</v>
      </c>
      <c r="X518" s="2">
        <v>265291</v>
      </c>
      <c r="Y518" s="2">
        <v>0</v>
      </c>
      <c r="Z518" s="2">
        <v>0</v>
      </c>
      <c r="AA518" s="2">
        <v>0</v>
      </c>
      <c r="AB518" s="2"/>
      <c r="AC518" s="2">
        <v>56188</v>
      </c>
      <c r="AD518" s="2">
        <v>49911</v>
      </c>
      <c r="AE518" s="2">
        <v>49911</v>
      </c>
      <c r="AF518" s="2">
        <v>0</v>
      </c>
      <c r="AG518" s="2">
        <v>0</v>
      </c>
      <c r="AH518" s="2"/>
      <c r="AI518" s="2">
        <v>-27657</v>
      </c>
      <c r="AJ518" s="2">
        <v>-27657</v>
      </c>
      <c r="AK518" s="2">
        <v>-21340</v>
      </c>
      <c r="AL518" s="2">
        <v>0</v>
      </c>
      <c r="AM518" s="2">
        <v>-27657</v>
      </c>
    </row>
    <row r="519" spans="1:39">
      <c r="A519" s="351">
        <v>95311</v>
      </c>
      <c r="B519" s="344" t="s">
        <v>1213</v>
      </c>
      <c r="C519" s="360">
        <v>2.4442000000000001E-3</v>
      </c>
      <c r="E519" s="2">
        <v>823157</v>
      </c>
      <c r="F519" s="2">
        <v>1092517</v>
      </c>
      <c r="G519" s="2">
        <v>627289</v>
      </c>
      <c r="H519" s="2">
        <v>363751</v>
      </c>
      <c r="I519" s="2">
        <v>0</v>
      </c>
      <c r="J519" s="2"/>
      <c r="K519" s="2">
        <v>453177</v>
      </c>
      <c r="L519" s="2">
        <v>417455</v>
      </c>
      <c r="M519" s="2">
        <v>232341</v>
      </c>
      <c r="N519" s="2">
        <v>0</v>
      </c>
      <c r="O519" s="2">
        <v>0</v>
      </c>
      <c r="P519" s="2"/>
      <c r="Q519" s="2">
        <v>29377</v>
      </c>
      <c r="R519" s="2">
        <v>410882</v>
      </c>
      <c r="S519" s="2">
        <v>425090</v>
      </c>
      <c r="T519" s="2">
        <v>363751</v>
      </c>
      <c r="U519" s="2">
        <v>0</v>
      </c>
      <c r="V519" s="2"/>
      <c r="W519" s="2">
        <v>358750</v>
      </c>
      <c r="X519" s="2">
        <v>291244</v>
      </c>
      <c r="Y519" s="2">
        <v>0</v>
      </c>
      <c r="Z519" s="2">
        <v>0</v>
      </c>
      <c r="AA519" s="2">
        <v>0</v>
      </c>
      <c r="AB519" s="2"/>
      <c r="AC519" s="2">
        <v>12012</v>
      </c>
      <c r="AD519" s="2">
        <v>3095</v>
      </c>
      <c r="AE519" s="2">
        <v>18</v>
      </c>
      <c r="AF519" s="2">
        <v>0</v>
      </c>
      <c r="AG519" s="2">
        <v>0</v>
      </c>
      <c r="AH519" s="2"/>
      <c r="AI519" s="2">
        <v>-30159</v>
      </c>
      <c r="AJ519" s="2">
        <v>-30159</v>
      </c>
      <c r="AK519" s="2">
        <v>-30160</v>
      </c>
      <c r="AL519" s="2">
        <v>0</v>
      </c>
      <c r="AM519" s="2">
        <v>-30159</v>
      </c>
    </row>
    <row r="520" spans="1:39">
      <c r="A520" s="351">
        <v>95317</v>
      </c>
      <c r="B520" s="344" t="s">
        <v>1214</v>
      </c>
      <c r="C520" s="360">
        <v>4.1699999999999997E-5</v>
      </c>
      <c r="E520" s="2">
        <v>19213</v>
      </c>
      <c r="F520" s="2">
        <v>23365</v>
      </c>
      <c r="G520" s="2">
        <v>15228</v>
      </c>
      <c r="H520" s="2">
        <v>6206</v>
      </c>
      <c r="I520" s="2">
        <v>0</v>
      </c>
      <c r="J520" s="2"/>
      <c r="K520" s="2">
        <v>7732</v>
      </c>
      <c r="L520" s="2">
        <v>7122</v>
      </c>
      <c r="M520" s="2">
        <v>3964</v>
      </c>
      <c r="N520" s="2">
        <v>0</v>
      </c>
      <c r="O520" s="2">
        <v>0</v>
      </c>
      <c r="P520" s="2"/>
      <c r="Q520" s="2">
        <v>501</v>
      </c>
      <c r="R520" s="2">
        <v>7010</v>
      </c>
      <c r="S520" s="2">
        <v>7252</v>
      </c>
      <c r="T520" s="2">
        <v>6206</v>
      </c>
      <c r="U520" s="2">
        <v>0</v>
      </c>
      <c r="V520" s="2"/>
      <c r="W520" s="2">
        <v>6121</v>
      </c>
      <c r="X520" s="2">
        <v>4969</v>
      </c>
      <c r="Y520" s="2">
        <v>0</v>
      </c>
      <c r="Z520" s="2">
        <v>0</v>
      </c>
      <c r="AA520" s="2">
        <v>0</v>
      </c>
      <c r="AB520" s="2"/>
      <c r="AC520" s="2">
        <v>4859</v>
      </c>
      <c r="AD520" s="2">
        <v>4264</v>
      </c>
      <c r="AE520" s="2">
        <v>4012</v>
      </c>
      <c r="AF520" s="2">
        <v>0</v>
      </c>
      <c r="AG520" s="2">
        <v>0</v>
      </c>
      <c r="AH520" s="2"/>
      <c r="AI520" s="2">
        <v>0</v>
      </c>
      <c r="AJ520" s="2">
        <v>0</v>
      </c>
      <c r="AK520" s="2">
        <v>0</v>
      </c>
      <c r="AL520" s="2">
        <v>0</v>
      </c>
      <c r="AM520" s="2">
        <v>0</v>
      </c>
    </row>
    <row r="521" spans="1:39">
      <c r="A521" s="351">
        <v>95321</v>
      </c>
      <c r="B521" s="344" t="s">
        <v>1215</v>
      </c>
      <c r="C521" s="360">
        <v>4.4199999999999997E-5</v>
      </c>
      <c r="E521" s="2">
        <v>16266</v>
      </c>
      <c r="F521" s="2">
        <v>21836</v>
      </c>
      <c r="G521" s="2">
        <v>12199</v>
      </c>
      <c r="H521" s="2">
        <v>6578</v>
      </c>
      <c r="I521" s="2">
        <v>0</v>
      </c>
      <c r="J521" s="2"/>
      <c r="K521" s="2">
        <v>8195</v>
      </c>
      <c r="L521" s="2">
        <v>7549</v>
      </c>
      <c r="M521" s="2">
        <v>4202</v>
      </c>
      <c r="N521" s="2">
        <v>0</v>
      </c>
      <c r="O521" s="2">
        <v>0</v>
      </c>
      <c r="P521" s="2"/>
      <c r="Q521" s="2">
        <v>531</v>
      </c>
      <c r="R521" s="2">
        <v>7430</v>
      </c>
      <c r="S521" s="2">
        <v>7687</v>
      </c>
      <c r="T521" s="2">
        <v>6578</v>
      </c>
      <c r="U521" s="2">
        <v>0</v>
      </c>
      <c r="V521" s="2"/>
      <c r="W521" s="2">
        <v>6487</v>
      </c>
      <c r="X521" s="2">
        <v>5267</v>
      </c>
      <c r="Y521" s="2">
        <v>0</v>
      </c>
      <c r="Z521" s="2">
        <v>0</v>
      </c>
      <c r="AA521" s="2">
        <v>0</v>
      </c>
      <c r="AB521" s="2"/>
      <c r="AC521" s="2">
        <v>1591</v>
      </c>
      <c r="AD521" s="2">
        <v>1590</v>
      </c>
      <c r="AE521" s="2">
        <v>310</v>
      </c>
      <c r="AF521" s="2">
        <v>0</v>
      </c>
      <c r="AG521" s="2">
        <v>0</v>
      </c>
      <c r="AH521" s="2"/>
      <c r="AI521" s="2">
        <v>-538</v>
      </c>
      <c r="AJ521" s="2">
        <v>0</v>
      </c>
      <c r="AK521" s="2">
        <v>0</v>
      </c>
      <c r="AL521" s="2">
        <v>0</v>
      </c>
      <c r="AM521" s="2">
        <v>0</v>
      </c>
    </row>
    <row r="522" spans="1:39">
      <c r="A522" s="351">
        <v>95401</v>
      </c>
      <c r="B522" s="344" t="s">
        <v>1216</v>
      </c>
      <c r="C522" s="360">
        <v>2.6316999999999998E-3</v>
      </c>
      <c r="E522" s="2">
        <v>754937</v>
      </c>
      <c r="F522" s="2">
        <v>1059539</v>
      </c>
      <c r="G522" s="2">
        <v>591385</v>
      </c>
      <c r="H522" s="2">
        <v>391655</v>
      </c>
      <c r="I522" s="2">
        <v>0</v>
      </c>
      <c r="J522" s="2"/>
      <c r="K522" s="2">
        <v>487941</v>
      </c>
      <c r="L522" s="2">
        <v>449479</v>
      </c>
      <c r="M522" s="2">
        <v>250164</v>
      </c>
      <c r="N522" s="2">
        <v>0</v>
      </c>
      <c r="O522" s="2">
        <v>0</v>
      </c>
      <c r="P522" s="2"/>
      <c r="Q522" s="2">
        <v>31630</v>
      </c>
      <c r="R522" s="2">
        <v>442402</v>
      </c>
      <c r="S522" s="2">
        <v>457700</v>
      </c>
      <c r="T522" s="2">
        <v>391655</v>
      </c>
      <c r="U522" s="2">
        <v>0</v>
      </c>
      <c r="V522" s="2"/>
      <c r="W522" s="2">
        <v>386270</v>
      </c>
      <c r="X522" s="2">
        <v>313585</v>
      </c>
      <c r="Y522" s="2">
        <v>0</v>
      </c>
      <c r="Z522" s="2">
        <v>0</v>
      </c>
      <c r="AA522" s="2">
        <v>0</v>
      </c>
      <c r="AB522" s="2"/>
      <c r="AC522" s="2">
        <v>0</v>
      </c>
      <c r="AD522" s="2">
        <v>0</v>
      </c>
      <c r="AE522" s="2">
        <v>0</v>
      </c>
      <c r="AF522" s="2">
        <v>0</v>
      </c>
      <c r="AG522" s="2">
        <v>0</v>
      </c>
      <c r="AH522" s="2"/>
      <c r="AI522" s="2">
        <v>-150904</v>
      </c>
      <c r="AJ522" s="2">
        <v>-145927</v>
      </c>
      <c r="AK522" s="2">
        <v>-116479</v>
      </c>
      <c r="AL522" s="2">
        <v>0</v>
      </c>
      <c r="AM522" s="2">
        <v>-145927</v>
      </c>
    </row>
    <row r="523" spans="1:39">
      <c r="A523" s="351">
        <v>95404</v>
      </c>
      <c r="B523" s="344" t="s">
        <v>1217</v>
      </c>
      <c r="C523" s="360">
        <v>4.8699999999999998E-5</v>
      </c>
      <c r="E523" s="2">
        <v>16740</v>
      </c>
      <c r="F523" s="2">
        <v>22182</v>
      </c>
      <c r="G523" s="2">
        <v>13806</v>
      </c>
      <c r="H523" s="2">
        <v>7248</v>
      </c>
      <c r="I523" s="2">
        <v>0</v>
      </c>
      <c r="J523" s="2"/>
      <c r="K523" s="2">
        <v>9029</v>
      </c>
      <c r="L523" s="2">
        <v>8318</v>
      </c>
      <c r="M523" s="2">
        <v>4629</v>
      </c>
      <c r="N523" s="2">
        <v>0</v>
      </c>
      <c r="O523" s="2">
        <v>0</v>
      </c>
      <c r="P523" s="2"/>
      <c r="Q523" s="2">
        <v>585</v>
      </c>
      <c r="R523" s="2">
        <v>8187</v>
      </c>
      <c r="S523" s="2">
        <v>8470</v>
      </c>
      <c r="T523" s="2">
        <v>7248</v>
      </c>
      <c r="U523" s="2">
        <v>0</v>
      </c>
      <c r="V523" s="2"/>
      <c r="W523" s="2">
        <v>7148</v>
      </c>
      <c r="X523" s="2">
        <v>5803</v>
      </c>
      <c r="Y523" s="2">
        <v>0</v>
      </c>
      <c r="Z523" s="2">
        <v>0</v>
      </c>
      <c r="AA523" s="2">
        <v>0</v>
      </c>
      <c r="AB523" s="2"/>
      <c r="AC523" s="2">
        <v>1813</v>
      </c>
      <c r="AD523" s="2">
        <v>1709</v>
      </c>
      <c r="AE523" s="2">
        <v>1710</v>
      </c>
      <c r="AF523" s="2">
        <v>0</v>
      </c>
      <c r="AG523" s="2">
        <v>0</v>
      </c>
      <c r="AH523" s="2"/>
      <c r="AI523" s="2">
        <v>-1835</v>
      </c>
      <c r="AJ523" s="2">
        <v>-1835</v>
      </c>
      <c r="AK523" s="2">
        <v>-1003</v>
      </c>
      <c r="AL523" s="2">
        <v>0</v>
      </c>
      <c r="AM523" s="2">
        <v>-1835</v>
      </c>
    </row>
    <row r="524" spans="1:39">
      <c r="A524" s="351">
        <v>95405</v>
      </c>
      <c r="B524" s="344" t="s">
        <v>1218</v>
      </c>
      <c r="C524" s="360">
        <v>4.5500000000000001E-5</v>
      </c>
      <c r="E524" s="2">
        <v>26691</v>
      </c>
      <c r="F524" s="2">
        <v>30149</v>
      </c>
      <c r="G524" s="2">
        <v>19504</v>
      </c>
      <c r="H524" s="2">
        <v>6771</v>
      </c>
      <c r="I524" s="2">
        <v>0</v>
      </c>
      <c r="J524" s="2"/>
      <c r="K524" s="2">
        <v>8436</v>
      </c>
      <c r="L524" s="2">
        <v>7771</v>
      </c>
      <c r="M524" s="2">
        <v>4325</v>
      </c>
      <c r="N524" s="2">
        <v>0</v>
      </c>
      <c r="O524" s="2">
        <v>0</v>
      </c>
      <c r="P524" s="2"/>
      <c r="Q524" s="2">
        <v>547</v>
      </c>
      <c r="R524" s="2">
        <v>7649</v>
      </c>
      <c r="S524" s="2">
        <v>7913</v>
      </c>
      <c r="T524" s="2">
        <v>6771</v>
      </c>
      <c r="U524" s="2">
        <v>0</v>
      </c>
      <c r="V524" s="2"/>
      <c r="W524" s="2">
        <v>6678</v>
      </c>
      <c r="X524" s="2">
        <v>5422</v>
      </c>
      <c r="Y524" s="2">
        <v>0</v>
      </c>
      <c r="Z524" s="2">
        <v>0</v>
      </c>
      <c r="AA524" s="2">
        <v>0</v>
      </c>
      <c r="AB524" s="2"/>
      <c r="AC524" s="2">
        <v>11030</v>
      </c>
      <c r="AD524" s="2">
        <v>9307</v>
      </c>
      <c r="AE524" s="2">
        <v>7266</v>
      </c>
      <c r="AF524" s="2">
        <v>0</v>
      </c>
      <c r="AG524" s="2">
        <v>0</v>
      </c>
      <c r="AH524" s="2"/>
      <c r="AI524" s="2">
        <v>0</v>
      </c>
      <c r="AJ524" s="2">
        <v>0</v>
      </c>
      <c r="AK524" s="2">
        <v>0</v>
      </c>
      <c r="AL524" s="2">
        <v>0</v>
      </c>
      <c r="AM524" s="2">
        <v>0</v>
      </c>
    </row>
    <row r="525" spans="1:39">
      <c r="A525" s="351">
        <v>95411</v>
      </c>
      <c r="B525" s="344" t="s">
        <v>1219</v>
      </c>
      <c r="C525" s="360">
        <v>2.0525999999999999E-3</v>
      </c>
      <c r="E525" s="2">
        <v>679712</v>
      </c>
      <c r="F525" s="2">
        <v>923809</v>
      </c>
      <c r="G525" s="2">
        <v>537333</v>
      </c>
      <c r="H525" s="2">
        <v>305472</v>
      </c>
      <c r="I525" s="2">
        <v>0</v>
      </c>
      <c r="J525" s="2"/>
      <c r="K525" s="2">
        <v>380571</v>
      </c>
      <c r="L525" s="2">
        <v>350572</v>
      </c>
      <c r="M525" s="2">
        <v>195116</v>
      </c>
      <c r="N525" s="2">
        <v>0</v>
      </c>
      <c r="O525" s="2">
        <v>0</v>
      </c>
      <c r="P525" s="2"/>
      <c r="Q525" s="2">
        <v>24670</v>
      </c>
      <c r="R525" s="2">
        <v>345052</v>
      </c>
      <c r="S525" s="2">
        <v>356984</v>
      </c>
      <c r="T525" s="2">
        <v>305472</v>
      </c>
      <c r="U525" s="2">
        <v>0</v>
      </c>
      <c r="V525" s="2"/>
      <c r="W525" s="2">
        <v>301272</v>
      </c>
      <c r="X525" s="2">
        <v>244582</v>
      </c>
      <c r="Y525" s="2">
        <v>0</v>
      </c>
      <c r="Z525" s="2">
        <v>0</v>
      </c>
      <c r="AA525" s="2">
        <v>0</v>
      </c>
      <c r="AB525" s="2"/>
      <c r="AC525" s="2">
        <v>0</v>
      </c>
      <c r="AD525" s="2">
        <v>0</v>
      </c>
      <c r="AE525" s="2">
        <v>0</v>
      </c>
      <c r="AF525" s="2">
        <v>0</v>
      </c>
      <c r="AG525" s="2">
        <v>0</v>
      </c>
      <c r="AH525" s="2"/>
      <c r="AI525" s="2">
        <v>-26801</v>
      </c>
      <c r="AJ525" s="2">
        <v>-16397</v>
      </c>
      <c r="AK525" s="2">
        <v>-14767</v>
      </c>
      <c r="AL525" s="2">
        <v>0</v>
      </c>
      <c r="AM525" s="2">
        <v>-16397</v>
      </c>
    </row>
    <row r="526" spans="1:39">
      <c r="A526" s="351">
        <v>95413</v>
      </c>
      <c r="B526" s="344" t="s">
        <v>3684</v>
      </c>
      <c r="C526" s="360">
        <v>2.5369999999999999E-4</v>
      </c>
      <c r="E526" s="2">
        <v>117749</v>
      </c>
      <c r="F526" s="2">
        <v>119354</v>
      </c>
      <c r="G526" s="2">
        <v>69626</v>
      </c>
      <c r="H526" s="2">
        <v>37756</v>
      </c>
      <c r="I526" s="2">
        <v>0</v>
      </c>
      <c r="J526" s="2"/>
      <c r="K526" s="2">
        <v>47038</v>
      </c>
      <c r="L526" s="2">
        <v>43330</v>
      </c>
      <c r="M526" s="2">
        <v>24116</v>
      </c>
      <c r="N526" s="2">
        <v>0</v>
      </c>
      <c r="O526" s="2">
        <v>0</v>
      </c>
      <c r="P526" s="2"/>
      <c r="Q526" s="2">
        <v>3049</v>
      </c>
      <c r="R526" s="2">
        <v>42648</v>
      </c>
      <c r="S526" s="2">
        <v>44123</v>
      </c>
      <c r="T526" s="2">
        <v>37756</v>
      </c>
      <c r="U526" s="2">
        <v>0</v>
      </c>
      <c r="V526" s="2"/>
      <c r="W526" s="2">
        <v>37237</v>
      </c>
      <c r="X526" s="2">
        <v>30230</v>
      </c>
      <c r="Y526" s="2">
        <v>0</v>
      </c>
      <c r="Z526" s="2">
        <v>0</v>
      </c>
      <c r="AA526" s="2">
        <v>0</v>
      </c>
      <c r="AB526" s="2"/>
      <c r="AC526" s="2">
        <v>33854</v>
      </c>
      <c r="AD526" s="2">
        <v>6575</v>
      </c>
      <c r="AE526" s="2">
        <v>4814</v>
      </c>
      <c r="AF526" s="2">
        <v>0</v>
      </c>
      <c r="AG526" s="2">
        <v>0</v>
      </c>
      <c r="AH526" s="2"/>
      <c r="AI526" s="2">
        <v>-3429</v>
      </c>
      <c r="AJ526" s="2">
        <v>-3429</v>
      </c>
      <c r="AK526" s="2">
        <v>-3427</v>
      </c>
      <c r="AL526" s="2">
        <v>0</v>
      </c>
      <c r="AM526" s="2">
        <v>-3429</v>
      </c>
    </row>
    <row r="527" spans="1:39">
      <c r="A527" s="351">
        <v>95415</v>
      </c>
      <c r="B527" s="344" t="s">
        <v>3685</v>
      </c>
      <c r="C527" s="360">
        <v>6.2700000000000006E-5</v>
      </c>
      <c r="E527" s="2">
        <v>19163</v>
      </c>
      <c r="F527" s="2">
        <v>29229</v>
      </c>
      <c r="G527" s="2">
        <v>16589</v>
      </c>
      <c r="H527" s="2">
        <v>9331</v>
      </c>
      <c r="I527" s="2">
        <v>0</v>
      </c>
      <c r="J527" s="2"/>
      <c r="K527" s="2">
        <v>11625</v>
      </c>
      <c r="L527" s="2">
        <v>10709</v>
      </c>
      <c r="M527" s="2">
        <v>5960</v>
      </c>
      <c r="N527" s="2">
        <v>0</v>
      </c>
      <c r="O527" s="2">
        <v>0</v>
      </c>
      <c r="P527" s="2"/>
      <c r="Q527" s="2">
        <v>754</v>
      </c>
      <c r="R527" s="2">
        <v>10540</v>
      </c>
      <c r="S527" s="2">
        <v>10905</v>
      </c>
      <c r="T527" s="2">
        <v>9331</v>
      </c>
      <c r="U527" s="2">
        <v>0</v>
      </c>
      <c r="V527" s="2"/>
      <c r="W527" s="2">
        <v>9203</v>
      </c>
      <c r="X527" s="2">
        <v>7471</v>
      </c>
      <c r="Y527" s="2">
        <v>0</v>
      </c>
      <c r="Z527" s="2">
        <v>0</v>
      </c>
      <c r="AA527" s="2">
        <v>0</v>
      </c>
      <c r="AB527" s="2"/>
      <c r="AC527" s="2">
        <v>3002</v>
      </c>
      <c r="AD527" s="2">
        <v>3004</v>
      </c>
      <c r="AE527" s="2">
        <v>2218</v>
      </c>
      <c r="AF527" s="2">
        <v>0</v>
      </c>
      <c r="AG527" s="2">
        <v>0</v>
      </c>
      <c r="AH527" s="2"/>
      <c r="AI527" s="2">
        <v>-5421</v>
      </c>
      <c r="AJ527" s="2">
        <v>-2495</v>
      </c>
      <c r="AK527" s="2">
        <v>-2494</v>
      </c>
      <c r="AL527" s="2">
        <v>0</v>
      </c>
      <c r="AM527" s="2">
        <v>-2495</v>
      </c>
    </row>
    <row r="528" spans="1:39">
      <c r="A528" s="351">
        <v>95421</v>
      </c>
      <c r="B528" s="344" t="s">
        <v>1223</v>
      </c>
      <c r="C528" s="360">
        <v>2.5199999999999999E-5</v>
      </c>
      <c r="E528" s="2">
        <v>4362</v>
      </c>
      <c r="F528" s="2">
        <v>7175</v>
      </c>
      <c r="G528" s="2">
        <v>2311</v>
      </c>
      <c r="H528" s="2">
        <v>3750</v>
      </c>
      <c r="I528" s="2">
        <v>0</v>
      </c>
      <c r="J528" s="2"/>
      <c r="K528" s="2">
        <v>4672</v>
      </c>
      <c r="L528" s="2">
        <v>4304</v>
      </c>
      <c r="M528" s="2">
        <v>2395</v>
      </c>
      <c r="N528" s="2">
        <v>0</v>
      </c>
      <c r="O528" s="2">
        <v>0</v>
      </c>
      <c r="P528" s="2"/>
      <c r="Q528" s="2">
        <v>303</v>
      </c>
      <c r="R528" s="2">
        <v>4236</v>
      </c>
      <c r="S528" s="2">
        <v>4383</v>
      </c>
      <c r="T528" s="2">
        <v>3750</v>
      </c>
      <c r="U528" s="2">
        <v>0</v>
      </c>
      <c r="V528" s="2"/>
      <c r="W528" s="2">
        <v>3699</v>
      </c>
      <c r="X528" s="2">
        <v>3003</v>
      </c>
      <c r="Y528" s="2">
        <v>0</v>
      </c>
      <c r="Z528" s="2">
        <v>0</v>
      </c>
      <c r="AA528" s="2">
        <v>0</v>
      </c>
      <c r="AB528" s="2"/>
      <c r="AC528" s="2">
        <v>249</v>
      </c>
      <c r="AD528" s="2">
        <v>193</v>
      </c>
      <c r="AE528" s="2">
        <v>95</v>
      </c>
      <c r="AF528" s="2">
        <v>0</v>
      </c>
      <c r="AG528" s="2">
        <v>0</v>
      </c>
      <c r="AH528" s="2"/>
      <c r="AI528" s="2">
        <v>-4561</v>
      </c>
      <c r="AJ528" s="2">
        <v>-4561</v>
      </c>
      <c r="AK528" s="2">
        <v>-4562</v>
      </c>
      <c r="AL528" s="2">
        <v>0</v>
      </c>
      <c r="AM528" s="2">
        <v>-4561</v>
      </c>
    </row>
    <row r="529" spans="1:39">
      <c r="A529" s="351">
        <v>95431</v>
      </c>
      <c r="B529" s="344" t="s">
        <v>1224</v>
      </c>
      <c r="C529" s="360">
        <v>1.2349999999999999E-4</v>
      </c>
      <c r="E529" s="2">
        <v>26283</v>
      </c>
      <c r="F529" s="2">
        <v>46559</v>
      </c>
      <c r="G529" s="2">
        <v>25503</v>
      </c>
      <c r="H529" s="2">
        <v>18380</v>
      </c>
      <c r="I529" s="2">
        <v>0</v>
      </c>
      <c r="J529" s="2"/>
      <c r="K529" s="2">
        <v>22898</v>
      </c>
      <c r="L529" s="2">
        <v>21093</v>
      </c>
      <c r="M529" s="2">
        <v>11740</v>
      </c>
      <c r="N529" s="2">
        <v>0</v>
      </c>
      <c r="O529" s="2">
        <v>0</v>
      </c>
      <c r="P529" s="2"/>
      <c r="Q529" s="2">
        <v>1484</v>
      </c>
      <c r="R529" s="2">
        <v>20761</v>
      </c>
      <c r="S529" s="2">
        <v>21479</v>
      </c>
      <c r="T529" s="2">
        <v>18380</v>
      </c>
      <c r="U529" s="2">
        <v>0</v>
      </c>
      <c r="V529" s="2"/>
      <c r="W529" s="2">
        <v>18127</v>
      </c>
      <c r="X529" s="2">
        <v>14716</v>
      </c>
      <c r="Y529" s="2">
        <v>0</v>
      </c>
      <c r="Z529" s="2">
        <v>0</v>
      </c>
      <c r="AA529" s="2">
        <v>0</v>
      </c>
      <c r="AB529" s="2"/>
      <c r="AC529" s="2">
        <v>0</v>
      </c>
      <c r="AD529" s="2">
        <v>0</v>
      </c>
      <c r="AE529" s="2">
        <v>0</v>
      </c>
      <c r="AF529" s="2">
        <v>0</v>
      </c>
      <c r="AG529" s="2">
        <v>0</v>
      </c>
      <c r="AH529" s="2"/>
      <c r="AI529" s="2">
        <v>-16226</v>
      </c>
      <c r="AJ529" s="2">
        <v>-10011</v>
      </c>
      <c r="AK529" s="2">
        <v>-7716</v>
      </c>
      <c r="AL529" s="2">
        <v>0</v>
      </c>
      <c r="AM529" s="2">
        <v>-10011</v>
      </c>
    </row>
    <row r="530" spans="1:39">
      <c r="A530" s="351">
        <v>95501</v>
      </c>
      <c r="B530" s="344" t="s">
        <v>1225</v>
      </c>
      <c r="C530" s="360">
        <v>5.3182000000000004E-3</v>
      </c>
      <c r="E530" s="2">
        <v>1942902</v>
      </c>
      <c r="F530" s="2">
        <v>2560976</v>
      </c>
      <c r="G530" s="2">
        <v>1569743</v>
      </c>
      <c r="H530" s="2">
        <v>791465</v>
      </c>
      <c r="I530" s="2">
        <v>0</v>
      </c>
      <c r="J530" s="2"/>
      <c r="K530" s="2">
        <v>986042</v>
      </c>
      <c r="L530" s="2">
        <v>908317</v>
      </c>
      <c r="M530" s="2">
        <v>505537</v>
      </c>
      <c r="N530" s="2">
        <v>0</v>
      </c>
      <c r="O530" s="2">
        <v>0</v>
      </c>
      <c r="P530" s="2"/>
      <c r="Q530" s="2">
        <v>63919</v>
      </c>
      <c r="R530" s="2">
        <v>894016</v>
      </c>
      <c r="S530" s="2">
        <v>924931</v>
      </c>
      <c r="T530" s="2">
        <v>791465</v>
      </c>
      <c r="U530" s="2">
        <v>0</v>
      </c>
      <c r="V530" s="2"/>
      <c r="W530" s="2">
        <v>780584</v>
      </c>
      <c r="X530" s="2">
        <v>633701</v>
      </c>
      <c r="Y530" s="2">
        <v>0</v>
      </c>
      <c r="Z530" s="2">
        <v>0</v>
      </c>
      <c r="AA530" s="2">
        <v>0</v>
      </c>
      <c r="AB530" s="2"/>
      <c r="AC530" s="2">
        <v>139273</v>
      </c>
      <c r="AD530" s="2">
        <v>139273</v>
      </c>
      <c r="AE530" s="2">
        <v>139275</v>
      </c>
      <c r="AF530" s="2">
        <v>0</v>
      </c>
      <c r="AG530" s="2">
        <v>0</v>
      </c>
      <c r="AH530" s="2"/>
      <c r="AI530" s="2">
        <v>-26916</v>
      </c>
      <c r="AJ530" s="2">
        <v>-14331</v>
      </c>
      <c r="AK530" s="2">
        <v>0</v>
      </c>
      <c r="AL530" s="2">
        <v>0</v>
      </c>
      <c r="AM530" s="2">
        <v>-14331</v>
      </c>
    </row>
    <row r="531" spans="1:39">
      <c r="A531" s="351">
        <v>95504</v>
      </c>
      <c r="B531" s="344" t="s">
        <v>1226</v>
      </c>
      <c r="C531" s="360">
        <v>1.7399999999999999E-5</v>
      </c>
      <c r="E531" s="2">
        <v>14095</v>
      </c>
      <c r="F531" s="2">
        <v>14995</v>
      </c>
      <c r="G531" s="2">
        <v>10614</v>
      </c>
      <c r="H531" s="2">
        <v>2590</v>
      </c>
      <c r="I531" s="2">
        <v>0</v>
      </c>
      <c r="J531" s="2"/>
      <c r="K531" s="2">
        <v>3226</v>
      </c>
      <c r="L531" s="2">
        <v>2972</v>
      </c>
      <c r="M531" s="2">
        <v>1654</v>
      </c>
      <c r="N531" s="2">
        <v>0</v>
      </c>
      <c r="O531" s="2">
        <v>0</v>
      </c>
      <c r="P531" s="2"/>
      <c r="Q531" s="2">
        <v>209</v>
      </c>
      <c r="R531" s="2">
        <v>2925</v>
      </c>
      <c r="S531" s="2">
        <v>3026</v>
      </c>
      <c r="T531" s="2">
        <v>2590</v>
      </c>
      <c r="U531" s="2">
        <v>0</v>
      </c>
      <c r="V531" s="2"/>
      <c r="W531" s="2">
        <v>2554</v>
      </c>
      <c r="X531" s="2">
        <v>2073</v>
      </c>
      <c r="Y531" s="2">
        <v>0</v>
      </c>
      <c r="Z531" s="2">
        <v>0</v>
      </c>
      <c r="AA531" s="2">
        <v>0</v>
      </c>
      <c r="AB531" s="2"/>
      <c r="AC531" s="2">
        <v>8106</v>
      </c>
      <c r="AD531" s="2">
        <v>7025</v>
      </c>
      <c r="AE531" s="2">
        <v>5934</v>
      </c>
      <c r="AF531" s="2">
        <v>0</v>
      </c>
      <c r="AG531" s="2">
        <v>0</v>
      </c>
      <c r="AH531" s="2"/>
      <c r="AI531" s="2">
        <v>0</v>
      </c>
      <c r="AJ531" s="2">
        <v>0</v>
      </c>
      <c r="AK531" s="2">
        <v>0</v>
      </c>
      <c r="AL531" s="2">
        <v>0</v>
      </c>
      <c r="AM531" s="2">
        <v>0</v>
      </c>
    </row>
    <row r="532" spans="1:39">
      <c r="A532" s="351">
        <v>95511</v>
      </c>
      <c r="B532" s="344" t="s">
        <v>1227</v>
      </c>
      <c r="C532" s="360">
        <v>1.0361000000000001E-3</v>
      </c>
      <c r="E532" s="2">
        <v>426214</v>
      </c>
      <c r="F532" s="2">
        <v>534460</v>
      </c>
      <c r="G532" s="2">
        <v>333788</v>
      </c>
      <c r="H532" s="2">
        <v>154194</v>
      </c>
      <c r="I532" s="2">
        <v>0</v>
      </c>
      <c r="J532" s="2"/>
      <c r="K532" s="2">
        <v>192102</v>
      </c>
      <c r="L532" s="2">
        <v>176960</v>
      </c>
      <c r="M532" s="2">
        <v>98490</v>
      </c>
      <c r="N532" s="2">
        <v>0</v>
      </c>
      <c r="O532" s="2">
        <v>0</v>
      </c>
      <c r="P532" s="2"/>
      <c r="Q532" s="2">
        <v>12453</v>
      </c>
      <c r="R532" s="2">
        <v>174174</v>
      </c>
      <c r="S532" s="2">
        <v>180196</v>
      </c>
      <c r="T532" s="2">
        <v>154194</v>
      </c>
      <c r="U532" s="2">
        <v>0</v>
      </c>
      <c r="V532" s="2"/>
      <c r="W532" s="2">
        <v>152075</v>
      </c>
      <c r="X532" s="2">
        <v>123459</v>
      </c>
      <c r="Y532" s="2">
        <v>0</v>
      </c>
      <c r="Z532" s="2">
        <v>0</v>
      </c>
      <c r="AA532" s="2">
        <v>0</v>
      </c>
      <c r="AB532" s="2"/>
      <c r="AC532" s="2">
        <v>69584</v>
      </c>
      <c r="AD532" s="2">
        <v>59867</v>
      </c>
      <c r="AE532" s="2">
        <v>55102</v>
      </c>
      <c r="AF532" s="2">
        <v>0</v>
      </c>
      <c r="AG532" s="2">
        <v>0</v>
      </c>
      <c r="AH532" s="2"/>
      <c r="AI532" s="2">
        <v>0</v>
      </c>
      <c r="AJ532" s="2">
        <v>0</v>
      </c>
      <c r="AK532" s="2">
        <v>0</v>
      </c>
      <c r="AL532" s="2">
        <v>0</v>
      </c>
      <c r="AM532" s="2">
        <v>0</v>
      </c>
    </row>
    <row r="533" spans="1:39">
      <c r="A533" s="351">
        <v>95513</v>
      </c>
      <c r="B533" s="344" t="s">
        <v>1228</v>
      </c>
      <c r="C533" s="360">
        <v>4.6900000000000002E-5</v>
      </c>
      <c r="E533" s="2">
        <v>29375</v>
      </c>
      <c r="F533" s="2">
        <v>32442</v>
      </c>
      <c r="G533" s="2">
        <v>21374</v>
      </c>
      <c r="H533" s="2">
        <v>6980</v>
      </c>
      <c r="I533" s="2">
        <v>0</v>
      </c>
      <c r="J533" s="2"/>
      <c r="K533" s="2">
        <v>8696</v>
      </c>
      <c r="L533" s="2">
        <v>8010</v>
      </c>
      <c r="M533" s="2">
        <v>4458</v>
      </c>
      <c r="N533" s="2">
        <v>0</v>
      </c>
      <c r="O533" s="2">
        <v>0</v>
      </c>
      <c r="P533" s="2"/>
      <c r="Q533" s="2">
        <v>564</v>
      </c>
      <c r="R533" s="2">
        <v>7884</v>
      </c>
      <c r="S533" s="2">
        <v>8157</v>
      </c>
      <c r="T533" s="2">
        <v>6980</v>
      </c>
      <c r="U533" s="2">
        <v>0</v>
      </c>
      <c r="V533" s="2"/>
      <c r="W533" s="2">
        <v>6884</v>
      </c>
      <c r="X533" s="2">
        <v>5588</v>
      </c>
      <c r="Y533" s="2">
        <v>0</v>
      </c>
      <c r="Z533" s="2">
        <v>0</v>
      </c>
      <c r="AA533" s="2">
        <v>0</v>
      </c>
      <c r="AB533" s="2"/>
      <c r="AC533" s="2">
        <v>13231</v>
      </c>
      <c r="AD533" s="2">
        <v>10960</v>
      </c>
      <c r="AE533" s="2">
        <v>8759</v>
      </c>
      <c r="AF533" s="2">
        <v>0</v>
      </c>
      <c r="AG533" s="2">
        <v>0</v>
      </c>
      <c r="AH533" s="2"/>
      <c r="AI533" s="2">
        <v>0</v>
      </c>
      <c r="AJ533" s="2">
        <v>0</v>
      </c>
      <c r="AK533" s="2">
        <v>0</v>
      </c>
      <c r="AL533" s="2">
        <v>0</v>
      </c>
      <c r="AM533" s="2">
        <v>0</v>
      </c>
    </row>
    <row r="534" spans="1:39">
      <c r="A534" s="351">
        <v>95517</v>
      </c>
      <c r="B534" s="344" t="s">
        <v>1229</v>
      </c>
      <c r="C534" s="360">
        <v>1.84E-5</v>
      </c>
      <c r="E534" s="2">
        <v>8228</v>
      </c>
      <c r="F534" s="2">
        <v>8110</v>
      </c>
      <c r="G534" s="2">
        <v>5268</v>
      </c>
      <c r="H534" s="2">
        <v>2738</v>
      </c>
      <c r="I534" s="2">
        <v>0</v>
      </c>
      <c r="J534" s="2"/>
      <c r="K534" s="2">
        <v>3412</v>
      </c>
      <c r="L534" s="2">
        <v>3143</v>
      </c>
      <c r="M534" s="2">
        <v>1749</v>
      </c>
      <c r="N534" s="2">
        <v>0</v>
      </c>
      <c r="O534" s="2">
        <v>0</v>
      </c>
      <c r="P534" s="2"/>
      <c r="Q534" s="2">
        <v>221</v>
      </c>
      <c r="R534" s="2">
        <v>3093</v>
      </c>
      <c r="S534" s="2">
        <v>3200</v>
      </c>
      <c r="T534" s="2">
        <v>2738</v>
      </c>
      <c r="U534" s="2">
        <v>0</v>
      </c>
      <c r="V534" s="2"/>
      <c r="W534" s="2">
        <v>2701</v>
      </c>
      <c r="X534" s="2">
        <v>2192</v>
      </c>
      <c r="Y534" s="2">
        <v>0</v>
      </c>
      <c r="Z534" s="2">
        <v>0</v>
      </c>
      <c r="AA534" s="2">
        <v>0</v>
      </c>
      <c r="AB534" s="2"/>
      <c r="AC534" s="2">
        <v>2536</v>
      </c>
      <c r="AD534" s="2">
        <v>324</v>
      </c>
      <c r="AE534" s="2">
        <v>324</v>
      </c>
      <c r="AF534" s="2">
        <v>0</v>
      </c>
      <c r="AG534" s="2">
        <v>0</v>
      </c>
      <c r="AH534" s="2"/>
      <c r="AI534" s="2">
        <v>-642</v>
      </c>
      <c r="AJ534" s="2">
        <v>-642</v>
      </c>
      <c r="AK534" s="2">
        <v>-5</v>
      </c>
      <c r="AL534" s="2">
        <v>0</v>
      </c>
      <c r="AM534" s="2">
        <v>-642</v>
      </c>
    </row>
    <row r="535" spans="1:39">
      <c r="A535" s="351">
        <v>95601</v>
      </c>
      <c r="B535" s="344" t="s">
        <v>1230</v>
      </c>
      <c r="C535" s="360">
        <v>2.3888999999999998E-3</v>
      </c>
      <c r="E535" s="2">
        <v>759356</v>
      </c>
      <c r="F535" s="2">
        <v>1036109</v>
      </c>
      <c r="G535" s="2">
        <v>589249</v>
      </c>
      <c r="H535" s="2">
        <v>355521</v>
      </c>
      <c r="I535" s="2">
        <v>0</v>
      </c>
      <c r="J535" s="2"/>
      <c r="K535" s="2">
        <v>442924</v>
      </c>
      <c r="L535" s="2">
        <v>408010</v>
      </c>
      <c r="M535" s="2">
        <v>227084</v>
      </c>
      <c r="N535" s="2">
        <v>0</v>
      </c>
      <c r="O535" s="2">
        <v>0</v>
      </c>
      <c r="P535" s="2"/>
      <c r="Q535" s="2">
        <v>28712</v>
      </c>
      <c r="R535" s="2">
        <v>401586</v>
      </c>
      <c r="S535" s="2">
        <v>415473</v>
      </c>
      <c r="T535" s="2">
        <v>355521</v>
      </c>
      <c r="U535" s="2">
        <v>0</v>
      </c>
      <c r="V535" s="2"/>
      <c r="W535" s="2">
        <v>350633</v>
      </c>
      <c r="X535" s="2">
        <v>284654</v>
      </c>
      <c r="Y535" s="2">
        <v>0</v>
      </c>
      <c r="Z535" s="2">
        <v>0</v>
      </c>
      <c r="AA535" s="2">
        <v>0</v>
      </c>
      <c r="AB535" s="2"/>
      <c r="AC535" s="2">
        <v>0</v>
      </c>
      <c r="AD535" s="2">
        <v>0</v>
      </c>
      <c r="AE535" s="2">
        <v>0</v>
      </c>
      <c r="AF535" s="2">
        <v>0</v>
      </c>
      <c r="AG535" s="2">
        <v>0</v>
      </c>
      <c r="AH535" s="2"/>
      <c r="AI535" s="2">
        <v>-62913</v>
      </c>
      <c r="AJ535" s="2">
        <v>-58141</v>
      </c>
      <c r="AK535" s="2">
        <v>-53308</v>
      </c>
      <c r="AL535" s="2">
        <v>0</v>
      </c>
      <c r="AM535" s="2">
        <v>-58141</v>
      </c>
    </row>
    <row r="536" spans="1:39">
      <c r="A536" s="351">
        <v>95611</v>
      </c>
      <c r="B536" s="344" t="s">
        <v>1231</v>
      </c>
      <c r="C536" s="360">
        <v>3.3310000000000002E-4</v>
      </c>
      <c r="E536" s="2">
        <v>102377</v>
      </c>
      <c r="F536" s="2">
        <v>138479</v>
      </c>
      <c r="G536" s="2">
        <v>76160</v>
      </c>
      <c r="H536" s="2">
        <v>49573</v>
      </c>
      <c r="I536" s="2">
        <v>0</v>
      </c>
      <c r="J536" s="2"/>
      <c r="K536" s="2">
        <v>61760</v>
      </c>
      <c r="L536" s="2">
        <v>56891</v>
      </c>
      <c r="M536" s="2">
        <v>31664</v>
      </c>
      <c r="N536" s="2">
        <v>0</v>
      </c>
      <c r="O536" s="2">
        <v>0</v>
      </c>
      <c r="P536" s="2"/>
      <c r="Q536" s="2">
        <v>4004</v>
      </c>
      <c r="R536" s="2">
        <v>55996</v>
      </c>
      <c r="S536" s="2">
        <v>57932</v>
      </c>
      <c r="T536" s="2">
        <v>49573</v>
      </c>
      <c r="U536" s="2">
        <v>0</v>
      </c>
      <c r="V536" s="2"/>
      <c r="W536" s="2">
        <v>48891</v>
      </c>
      <c r="X536" s="2">
        <v>39691</v>
      </c>
      <c r="Y536" s="2">
        <v>0</v>
      </c>
      <c r="Z536" s="2">
        <v>0</v>
      </c>
      <c r="AA536" s="2">
        <v>0</v>
      </c>
      <c r="AB536" s="2"/>
      <c r="AC536" s="2">
        <v>2658</v>
      </c>
      <c r="AD536" s="2">
        <v>835</v>
      </c>
      <c r="AE536" s="2">
        <v>833</v>
      </c>
      <c r="AF536" s="2">
        <v>0</v>
      </c>
      <c r="AG536" s="2">
        <v>0</v>
      </c>
      <c r="AH536" s="2"/>
      <c r="AI536" s="2">
        <v>-14936</v>
      </c>
      <c r="AJ536" s="2">
        <v>-14934</v>
      </c>
      <c r="AK536" s="2">
        <v>-14269</v>
      </c>
      <c r="AL536" s="2">
        <v>0</v>
      </c>
      <c r="AM536" s="2">
        <v>-14934</v>
      </c>
    </row>
    <row r="537" spans="1:39">
      <c r="A537" s="351">
        <v>95617</v>
      </c>
      <c r="B537" s="344" t="s">
        <v>1232</v>
      </c>
      <c r="C537" s="360">
        <v>1.3900000000000001E-5</v>
      </c>
      <c r="E537" s="2">
        <v>5316</v>
      </c>
      <c r="F537" s="2">
        <v>6785</v>
      </c>
      <c r="G537" s="2">
        <v>4052</v>
      </c>
      <c r="H537" s="2">
        <v>2069</v>
      </c>
      <c r="I537" s="2">
        <v>0</v>
      </c>
      <c r="J537" s="2"/>
      <c r="K537" s="2">
        <v>2577</v>
      </c>
      <c r="L537" s="2">
        <v>2374</v>
      </c>
      <c r="M537" s="2">
        <v>1321</v>
      </c>
      <c r="N537" s="2">
        <v>0</v>
      </c>
      <c r="O537" s="2">
        <v>0</v>
      </c>
      <c r="P537" s="2"/>
      <c r="Q537" s="2">
        <v>167</v>
      </c>
      <c r="R537" s="2">
        <v>2337</v>
      </c>
      <c r="S537" s="2">
        <v>2417</v>
      </c>
      <c r="T537" s="2">
        <v>2069</v>
      </c>
      <c r="U537" s="2">
        <v>0</v>
      </c>
      <c r="V537" s="2"/>
      <c r="W537" s="2">
        <v>2040</v>
      </c>
      <c r="X537" s="2">
        <v>1656</v>
      </c>
      <c r="Y537" s="2">
        <v>0</v>
      </c>
      <c r="Z537" s="2">
        <v>0</v>
      </c>
      <c r="AA537" s="2">
        <v>0</v>
      </c>
      <c r="AB537" s="2"/>
      <c r="AC537" s="2">
        <v>532</v>
      </c>
      <c r="AD537" s="2">
        <v>418</v>
      </c>
      <c r="AE537" s="2">
        <v>314</v>
      </c>
      <c r="AF537" s="2">
        <v>0</v>
      </c>
      <c r="AG537" s="2">
        <v>0</v>
      </c>
      <c r="AH537" s="2"/>
      <c r="AI537" s="2">
        <v>0</v>
      </c>
      <c r="AJ537" s="2">
        <v>0</v>
      </c>
      <c r="AK537" s="2">
        <v>0</v>
      </c>
      <c r="AL537" s="2">
        <v>0</v>
      </c>
      <c r="AM537" s="2">
        <v>0</v>
      </c>
    </row>
    <row r="538" spans="1:39">
      <c r="A538" s="351">
        <v>95621</v>
      </c>
      <c r="B538" s="344" t="s">
        <v>1233</v>
      </c>
      <c r="C538" s="360">
        <v>4.6490000000000002E-4</v>
      </c>
      <c r="E538" s="2">
        <v>175576</v>
      </c>
      <c r="F538" s="2">
        <v>229045</v>
      </c>
      <c r="G538" s="2">
        <v>130549</v>
      </c>
      <c r="H538" s="2">
        <v>69187</v>
      </c>
      <c r="I538" s="2">
        <v>0</v>
      </c>
      <c r="J538" s="2"/>
      <c r="K538" s="2">
        <v>86197</v>
      </c>
      <c r="L538" s="2">
        <v>79402</v>
      </c>
      <c r="M538" s="2">
        <v>44192</v>
      </c>
      <c r="N538" s="2">
        <v>0</v>
      </c>
      <c r="O538" s="2">
        <v>0</v>
      </c>
      <c r="P538" s="2"/>
      <c r="Q538" s="2">
        <v>5588</v>
      </c>
      <c r="R538" s="2">
        <v>78152</v>
      </c>
      <c r="S538" s="2">
        <v>80854</v>
      </c>
      <c r="T538" s="2">
        <v>69187</v>
      </c>
      <c r="U538" s="2">
        <v>0</v>
      </c>
      <c r="V538" s="2"/>
      <c r="W538" s="2">
        <v>68236</v>
      </c>
      <c r="X538" s="2">
        <v>55396</v>
      </c>
      <c r="Y538" s="2">
        <v>0</v>
      </c>
      <c r="Z538" s="2">
        <v>0</v>
      </c>
      <c r="AA538" s="2">
        <v>0</v>
      </c>
      <c r="AB538" s="2"/>
      <c r="AC538" s="2">
        <v>21558</v>
      </c>
      <c r="AD538" s="2">
        <v>21557</v>
      </c>
      <c r="AE538" s="2">
        <v>10966</v>
      </c>
      <c r="AF538" s="2">
        <v>0</v>
      </c>
      <c r="AG538" s="2">
        <v>0</v>
      </c>
      <c r="AH538" s="2"/>
      <c r="AI538" s="2">
        <v>-6003</v>
      </c>
      <c r="AJ538" s="2">
        <v>-5462</v>
      </c>
      <c r="AK538" s="2">
        <v>-5463</v>
      </c>
      <c r="AL538" s="2">
        <v>0</v>
      </c>
      <c r="AM538" s="2">
        <v>-5462</v>
      </c>
    </row>
    <row r="539" spans="1:39">
      <c r="A539" s="351">
        <v>95701</v>
      </c>
      <c r="B539" s="344" t="s">
        <v>1234</v>
      </c>
      <c r="C539" s="360">
        <v>1.2185E-3</v>
      </c>
      <c r="E539" s="2">
        <v>372692</v>
      </c>
      <c r="F539" s="2">
        <v>503490</v>
      </c>
      <c r="G539" s="2">
        <v>292407</v>
      </c>
      <c r="H539" s="2">
        <v>181340</v>
      </c>
      <c r="I539" s="2">
        <v>0</v>
      </c>
      <c r="J539" s="2"/>
      <c r="K539" s="2">
        <v>225921</v>
      </c>
      <c r="L539" s="2">
        <v>208112</v>
      </c>
      <c r="M539" s="2">
        <v>115828</v>
      </c>
      <c r="N539" s="2">
        <v>0</v>
      </c>
      <c r="O539" s="2">
        <v>0</v>
      </c>
      <c r="P539" s="2"/>
      <c r="Q539" s="2">
        <v>14645</v>
      </c>
      <c r="R539" s="2">
        <v>204836</v>
      </c>
      <c r="S539" s="2">
        <v>211919</v>
      </c>
      <c r="T539" s="2">
        <v>181340</v>
      </c>
      <c r="U539" s="2">
        <v>0</v>
      </c>
      <c r="V539" s="2"/>
      <c r="W539" s="2">
        <v>178847</v>
      </c>
      <c r="X539" s="2">
        <v>145193</v>
      </c>
      <c r="Y539" s="2">
        <v>0</v>
      </c>
      <c r="Z539" s="2">
        <v>0</v>
      </c>
      <c r="AA539" s="2">
        <v>0</v>
      </c>
      <c r="AB539" s="2"/>
      <c r="AC539" s="2">
        <v>7932</v>
      </c>
      <c r="AD539" s="2">
        <v>0</v>
      </c>
      <c r="AE539" s="2">
        <v>0</v>
      </c>
      <c r="AF539" s="2">
        <v>0</v>
      </c>
      <c r="AG539" s="2">
        <v>0</v>
      </c>
      <c r="AH539" s="2"/>
      <c r="AI539" s="2">
        <v>-54653</v>
      </c>
      <c r="AJ539" s="2">
        <v>-54651</v>
      </c>
      <c r="AK539" s="2">
        <v>-35340</v>
      </c>
      <c r="AL539" s="2">
        <v>0</v>
      </c>
      <c r="AM539" s="2">
        <v>-54651</v>
      </c>
    </row>
    <row r="540" spans="1:39">
      <c r="A540" s="351">
        <v>95711</v>
      </c>
      <c r="B540" s="344" t="s">
        <v>1235</v>
      </c>
      <c r="C540" s="360">
        <v>1.4889999999999999E-4</v>
      </c>
      <c r="E540" s="2">
        <v>46637</v>
      </c>
      <c r="F540" s="2">
        <v>65031</v>
      </c>
      <c r="G540" s="2">
        <v>38074</v>
      </c>
      <c r="H540" s="2">
        <v>22160</v>
      </c>
      <c r="I540" s="2">
        <v>0</v>
      </c>
      <c r="J540" s="2"/>
      <c r="K540" s="2">
        <v>27607</v>
      </c>
      <c r="L540" s="2">
        <v>25431</v>
      </c>
      <c r="M540" s="2">
        <v>14154</v>
      </c>
      <c r="N540" s="2">
        <v>0</v>
      </c>
      <c r="O540" s="2">
        <v>0</v>
      </c>
      <c r="P540" s="2"/>
      <c r="Q540" s="2">
        <v>1790</v>
      </c>
      <c r="R540" s="2">
        <v>25031</v>
      </c>
      <c r="S540" s="2">
        <v>25896</v>
      </c>
      <c r="T540" s="2">
        <v>22160</v>
      </c>
      <c r="U540" s="2">
        <v>0</v>
      </c>
      <c r="V540" s="2"/>
      <c r="W540" s="2">
        <v>21855</v>
      </c>
      <c r="X540" s="2">
        <v>17742</v>
      </c>
      <c r="Y540" s="2">
        <v>0</v>
      </c>
      <c r="Z540" s="2">
        <v>0</v>
      </c>
      <c r="AA540" s="2">
        <v>0</v>
      </c>
      <c r="AB540" s="2"/>
      <c r="AC540" s="2">
        <v>0</v>
      </c>
      <c r="AD540" s="2">
        <v>0</v>
      </c>
      <c r="AE540" s="2">
        <v>0</v>
      </c>
      <c r="AF540" s="2">
        <v>0</v>
      </c>
      <c r="AG540" s="2">
        <v>0</v>
      </c>
      <c r="AH540" s="2"/>
      <c r="AI540" s="2">
        <v>-4615</v>
      </c>
      <c r="AJ540" s="2">
        <v>-3173</v>
      </c>
      <c r="AK540" s="2">
        <v>-1976</v>
      </c>
      <c r="AL540" s="2">
        <v>0</v>
      </c>
      <c r="AM540" s="2">
        <v>-3173</v>
      </c>
    </row>
    <row r="541" spans="1:39">
      <c r="A541" s="351">
        <v>95721</v>
      </c>
      <c r="B541" s="344" t="s">
        <v>1236</v>
      </c>
      <c r="C541" s="360">
        <v>5.1400000000000003E-5</v>
      </c>
      <c r="E541" s="2">
        <v>10720</v>
      </c>
      <c r="F541" s="2">
        <v>17523</v>
      </c>
      <c r="G541" s="2">
        <v>8196</v>
      </c>
      <c r="H541" s="2">
        <v>7649</v>
      </c>
      <c r="I541" s="2">
        <v>0</v>
      </c>
      <c r="J541" s="2"/>
      <c r="K541" s="2">
        <v>9530</v>
      </c>
      <c r="L541" s="2">
        <v>8779</v>
      </c>
      <c r="M541" s="2">
        <v>4886</v>
      </c>
      <c r="N541" s="2">
        <v>0</v>
      </c>
      <c r="O541" s="2">
        <v>0</v>
      </c>
      <c r="P541" s="2"/>
      <c r="Q541" s="2">
        <v>618</v>
      </c>
      <c r="R541" s="2">
        <v>8641</v>
      </c>
      <c r="S541" s="2">
        <v>8939</v>
      </c>
      <c r="T541" s="2">
        <v>7649</v>
      </c>
      <c r="U541" s="2">
        <v>0</v>
      </c>
      <c r="V541" s="2"/>
      <c r="W541" s="2">
        <v>7544</v>
      </c>
      <c r="X541" s="2">
        <v>6125</v>
      </c>
      <c r="Y541" s="2">
        <v>0</v>
      </c>
      <c r="Z541" s="2">
        <v>0</v>
      </c>
      <c r="AA541" s="2">
        <v>0</v>
      </c>
      <c r="AB541" s="2"/>
      <c r="AC541" s="2">
        <v>0</v>
      </c>
      <c r="AD541" s="2">
        <v>0</v>
      </c>
      <c r="AE541" s="2">
        <v>0</v>
      </c>
      <c r="AF541" s="2">
        <v>0</v>
      </c>
      <c r="AG541" s="2">
        <v>0</v>
      </c>
      <c r="AH541" s="2"/>
      <c r="AI541" s="2">
        <v>-6972</v>
      </c>
      <c r="AJ541" s="2">
        <v>-6022</v>
      </c>
      <c r="AK541" s="2">
        <v>-5629</v>
      </c>
      <c r="AL541" s="2">
        <v>0</v>
      </c>
      <c r="AM541" s="2">
        <v>-6022</v>
      </c>
    </row>
    <row r="542" spans="1:39">
      <c r="A542" s="351">
        <v>95733</v>
      </c>
      <c r="B542" s="344" t="s">
        <v>1237</v>
      </c>
      <c r="C542" s="360">
        <v>1.33E-5</v>
      </c>
      <c r="E542" s="2">
        <v>4179</v>
      </c>
      <c r="F542" s="2">
        <v>5761</v>
      </c>
      <c r="G542" s="2">
        <v>3234</v>
      </c>
      <c r="H542" s="2">
        <v>1979</v>
      </c>
      <c r="I542" s="2">
        <v>0</v>
      </c>
      <c r="J542" s="2"/>
      <c r="K542" s="2">
        <v>2466</v>
      </c>
      <c r="L542" s="2">
        <v>2272</v>
      </c>
      <c r="M542" s="2">
        <v>1264</v>
      </c>
      <c r="N542" s="2">
        <v>0</v>
      </c>
      <c r="O542" s="2">
        <v>0</v>
      </c>
      <c r="P542" s="2"/>
      <c r="Q542" s="2">
        <v>160</v>
      </c>
      <c r="R542" s="2">
        <v>2236</v>
      </c>
      <c r="S542" s="2">
        <v>2313</v>
      </c>
      <c r="T542" s="2">
        <v>1979</v>
      </c>
      <c r="U542" s="2">
        <v>0</v>
      </c>
      <c r="V542" s="2"/>
      <c r="W542" s="2">
        <v>1952</v>
      </c>
      <c r="X542" s="2">
        <v>1585</v>
      </c>
      <c r="Y542" s="2">
        <v>0</v>
      </c>
      <c r="Z542" s="2">
        <v>0</v>
      </c>
      <c r="AA542" s="2">
        <v>0</v>
      </c>
      <c r="AB542" s="2"/>
      <c r="AC542" s="2">
        <v>14</v>
      </c>
      <c r="AD542" s="2">
        <v>13</v>
      </c>
      <c r="AE542" s="2">
        <v>0</v>
      </c>
      <c r="AF542" s="2">
        <v>0</v>
      </c>
      <c r="AG542" s="2">
        <v>0</v>
      </c>
      <c r="AH542" s="2"/>
      <c r="AI542" s="2">
        <v>-413</v>
      </c>
      <c r="AJ542" s="2">
        <v>-345</v>
      </c>
      <c r="AK542" s="2">
        <v>-343</v>
      </c>
      <c r="AL542" s="2">
        <v>0</v>
      </c>
      <c r="AM542" s="2">
        <v>-345</v>
      </c>
    </row>
    <row r="543" spans="1:39">
      <c r="A543" s="351">
        <v>95801</v>
      </c>
      <c r="B543" s="344" t="s">
        <v>1238</v>
      </c>
      <c r="C543" s="360">
        <v>9.2270000000000004E-4</v>
      </c>
      <c r="E543" s="2">
        <v>335337</v>
      </c>
      <c r="F543" s="2">
        <v>427195</v>
      </c>
      <c r="G543" s="2">
        <v>247100</v>
      </c>
      <c r="H543" s="2">
        <v>137318</v>
      </c>
      <c r="I543" s="2">
        <v>0</v>
      </c>
      <c r="J543" s="2"/>
      <c r="K543" s="2">
        <v>171077</v>
      </c>
      <c r="L543" s="2">
        <v>157592</v>
      </c>
      <c r="M543" s="2">
        <v>87710</v>
      </c>
      <c r="N543" s="2">
        <v>0</v>
      </c>
      <c r="O543" s="2">
        <v>0</v>
      </c>
      <c r="P543" s="2"/>
      <c r="Q543" s="2">
        <v>11090</v>
      </c>
      <c r="R543" s="2">
        <v>155110</v>
      </c>
      <c r="S543" s="2">
        <v>160474</v>
      </c>
      <c r="T543" s="2">
        <v>137318</v>
      </c>
      <c r="U543" s="2">
        <v>0</v>
      </c>
      <c r="V543" s="2"/>
      <c r="W543" s="2">
        <v>135430</v>
      </c>
      <c r="X543" s="2">
        <v>109946</v>
      </c>
      <c r="Y543" s="2">
        <v>0</v>
      </c>
      <c r="Z543" s="2">
        <v>0</v>
      </c>
      <c r="AA543" s="2">
        <v>0</v>
      </c>
      <c r="AB543" s="2"/>
      <c r="AC543" s="2">
        <v>18827</v>
      </c>
      <c r="AD543" s="2">
        <v>5634</v>
      </c>
      <c r="AE543" s="2">
        <v>0</v>
      </c>
      <c r="AF543" s="2">
        <v>0</v>
      </c>
      <c r="AG543" s="2">
        <v>0</v>
      </c>
      <c r="AH543" s="2"/>
      <c r="AI543" s="2">
        <v>-1087</v>
      </c>
      <c r="AJ543" s="2">
        <v>-1087</v>
      </c>
      <c r="AK543" s="2">
        <v>-1084</v>
      </c>
      <c r="AL543" s="2">
        <v>0</v>
      </c>
      <c r="AM543" s="2">
        <v>-1087</v>
      </c>
    </row>
    <row r="544" spans="1:39">
      <c r="A544" s="351">
        <v>95802</v>
      </c>
      <c r="B544" s="344" t="s">
        <v>3686</v>
      </c>
      <c r="C544" s="360">
        <v>4.6999999999999999E-6</v>
      </c>
      <c r="E544" s="2">
        <v>4166</v>
      </c>
      <c r="F544" s="2">
        <v>4351</v>
      </c>
      <c r="G544" s="2">
        <v>2961</v>
      </c>
      <c r="H544" s="2">
        <v>699</v>
      </c>
      <c r="I544" s="2">
        <v>0</v>
      </c>
      <c r="J544" s="2"/>
      <c r="K544" s="2">
        <v>871</v>
      </c>
      <c r="L544" s="2">
        <v>803</v>
      </c>
      <c r="M544" s="2">
        <v>447</v>
      </c>
      <c r="N544" s="2">
        <v>0</v>
      </c>
      <c r="O544" s="2">
        <v>0</v>
      </c>
      <c r="P544" s="2"/>
      <c r="Q544" s="2">
        <v>56</v>
      </c>
      <c r="R544" s="2">
        <v>790</v>
      </c>
      <c r="S544" s="2">
        <v>817</v>
      </c>
      <c r="T544" s="2">
        <v>699</v>
      </c>
      <c r="U544" s="2">
        <v>0</v>
      </c>
      <c r="V544" s="2"/>
      <c r="W544" s="2">
        <v>690</v>
      </c>
      <c r="X544" s="2">
        <v>560</v>
      </c>
      <c r="Y544" s="2">
        <v>0</v>
      </c>
      <c r="Z544" s="2">
        <v>0</v>
      </c>
      <c r="AA544" s="2">
        <v>0</v>
      </c>
      <c r="AB544" s="2"/>
      <c r="AC544" s="2">
        <v>2549</v>
      </c>
      <c r="AD544" s="2">
        <v>2198</v>
      </c>
      <c r="AE544" s="2">
        <v>1697</v>
      </c>
      <c r="AF544" s="2">
        <v>0</v>
      </c>
      <c r="AG544" s="2">
        <v>0</v>
      </c>
      <c r="AH544" s="2"/>
      <c r="AI544" s="2">
        <v>0</v>
      </c>
      <c r="AJ544" s="2">
        <v>0</v>
      </c>
      <c r="AK544" s="2">
        <v>0</v>
      </c>
      <c r="AL544" s="2">
        <v>0</v>
      </c>
      <c r="AM544" s="2">
        <v>0</v>
      </c>
    </row>
    <row r="545" spans="1:39">
      <c r="A545" s="351">
        <v>95804</v>
      </c>
      <c r="B545" s="344" t="s">
        <v>1240</v>
      </c>
      <c r="C545" s="360">
        <v>2.6100000000000001E-5</v>
      </c>
      <c r="E545" s="2">
        <v>8314</v>
      </c>
      <c r="F545" s="2">
        <v>10844</v>
      </c>
      <c r="G545" s="2">
        <v>6500</v>
      </c>
      <c r="H545" s="2">
        <v>3884</v>
      </c>
      <c r="I545" s="2">
        <v>0</v>
      </c>
      <c r="J545" s="2"/>
      <c r="K545" s="2">
        <v>4839</v>
      </c>
      <c r="L545" s="2">
        <v>4458</v>
      </c>
      <c r="M545" s="2">
        <v>2481</v>
      </c>
      <c r="N545" s="2">
        <v>0</v>
      </c>
      <c r="O545" s="2">
        <v>0</v>
      </c>
      <c r="P545" s="2"/>
      <c r="Q545" s="2">
        <v>314</v>
      </c>
      <c r="R545" s="2">
        <v>4388</v>
      </c>
      <c r="S545" s="2">
        <v>4539</v>
      </c>
      <c r="T545" s="2">
        <v>3884</v>
      </c>
      <c r="U545" s="2">
        <v>0</v>
      </c>
      <c r="V545" s="2"/>
      <c r="W545" s="2">
        <v>3831</v>
      </c>
      <c r="X545" s="2">
        <v>3110</v>
      </c>
      <c r="Y545" s="2">
        <v>0</v>
      </c>
      <c r="Z545" s="2">
        <v>0</v>
      </c>
      <c r="AA545" s="2">
        <v>0</v>
      </c>
      <c r="AB545" s="2"/>
      <c r="AC545" s="2">
        <v>653</v>
      </c>
      <c r="AD545" s="2">
        <v>212</v>
      </c>
      <c r="AE545" s="2">
        <v>214</v>
      </c>
      <c r="AF545" s="2">
        <v>0</v>
      </c>
      <c r="AG545" s="2">
        <v>0</v>
      </c>
      <c r="AH545" s="2"/>
      <c r="AI545" s="2">
        <v>-1323</v>
      </c>
      <c r="AJ545" s="2">
        <v>-1324</v>
      </c>
      <c r="AK545" s="2">
        <v>-734</v>
      </c>
      <c r="AL545" s="2">
        <v>0</v>
      </c>
      <c r="AM545" s="2">
        <v>-1324</v>
      </c>
    </row>
    <row r="546" spans="1:39">
      <c r="A546" s="351">
        <v>95811</v>
      </c>
      <c r="B546" s="344" t="s">
        <v>1241</v>
      </c>
      <c r="C546" s="360">
        <v>5.5400000000000002E-4</v>
      </c>
      <c r="E546" s="2">
        <v>197441</v>
      </c>
      <c r="F546" s="2">
        <v>260985</v>
      </c>
      <c r="G546" s="2">
        <v>156034</v>
      </c>
      <c r="H546" s="2">
        <v>82447</v>
      </c>
      <c r="I546" s="2">
        <v>0</v>
      </c>
      <c r="J546" s="2"/>
      <c r="K546" s="2">
        <v>102717</v>
      </c>
      <c r="L546" s="2">
        <v>94620</v>
      </c>
      <c r="M546" s="2">
        <v>52662</v>
      </c>
      <c r="N546" s="2">
        <v>0</v>
      </c>
      <c r="O546" s="2">
        <v>0</v>
      </c>
      <c r="P546" s="2"/>
      <c r="Q546" s="2">
        <v>6659</v>
      </c>
      <c r="R546" s="2">
        <v>93130</v>
      </c>
      <c r="S546" s="2">
        <v>96351</v>
      </c>
      <c r="T546" s="2">
        <v>82447</v>
      </c>
      <c r="U546" s="2">
        <v>0</v>
      </c>
      <c r="V546" s="2"/>
      <c r="W546" s="2">
        <v>81314</v>
      </c>
      <c r="X546" s="2">
        <v>66013</v>
      </c>
      <c r="Y546" s="2">
        <v>0</v>
      </c>
      <c r="Z546" s="2">
        <v>0</v>
      </c>
      <c r="AA546" s="2">
        <v>0</v>
      </c>
      <c r="AB546" s="2"/>
      <c r="AC546" s="2">
        <v>7220</v>
      </c>
      <c r="AD546" s="2">
        <v>7222</v>
      </c>
      <c r="AE546" s="2">
        <v>7021</v>
      </c>
      <c r="AF546" s="2">
        <v>0</v>
      </c>
      <c r="AG546" s="2">
        <v>0</v>
      </c>
      <c r="AH546" s="2"/>
      <c r="AI546" s="2">
        <v>-469</v>
      </c>
      <c r="AJ546" s="2">
        <v>0</v>
      </c>
      <c r="AK546" s="2">
        <v>0</v>
      </c>
      <c r="AL546" s="2">
        <v>0</v>
      </c>
      <c r="AM546" s="2">
        <v>0</v>
      </c>
    </row>
    <row r="547" spans="1:39">
      <c r="A547" s="351">
        <v>95813</v>
      </c>
      <c r="B547" s="344" t="s">
        <v>1242</v>
      </c>
      <c r="C547" s="360">
        <v>4.21E-5</v>
      </c>
      <c r="E547" s="2">
        <v>40851</v>
      </c>
      <c r="F547" s="2">
        <v>36729</v>
      </c>
      <c r="G547" s="2">
        <v>19107</v>
      </c>
      <c r="H547" s="2">
        <v>6265</v>
      </c>
      <c r="I547" s="2">
        <v>0</v>
      </c>
      <c r="J547" s="2"/>
      <c r="K547" s="2">
        <v>7806</v>
      </c>
      <c r="L547" s="2">
        <v>7190</v>
      </c>
      <c r="M547" s="2">
        <v>4002</v>
      </c>
      <c r="N547" s="2">
        <v>0</v>
      </c>
      <c r="O547" s="2">
        <v>0</v>
      </c>
      <c r="P547" s="2"/>
      <c r="Q547" s="2">
        <v>506</v>
      </c>
      <c r="R547" s="2">
        <v>7077</v>
      </c>
      <c r="S547" s="2">
        <v>7322</v>
      </c>
      <c r="T547" s="2">
        <v>6265</v>
      </c>
      <c r="U547" s="2">
        <v>0</v>
      </c>
      <c r="V547" s="2"/>
      <c r="W547" s="2">
        <v>6179</v>
      </c>
      <c r="X547" s="2">
        <v>5017</v>
      </c>
      <c r="Y547" s="2">
        <v>0</v>
      </c>
      <c r="Z547" s="2">
        <v>0</v>
      </c>
      <c r="AA547" s="2">
        <v>0</v>
      </c>
      <c r="AB547" s="2"/>
      <c r="AC547" s="2">
        <v>26360</v>
      </c>
      <c r="AD547" s="2">
        <v>17445</v>
      </c>
      <c r="AE547" s="2">
        <v>7783</v>
      </c>
      <c r="AF547" s="2">
        <v>0</v>
      </c>
      <c r="AG547" s="2">
        <v>0</v>
      </c>
      <c r="AH547" s="2"/>
      <c r="AI547" s="2">
        <v>0</v>
      </c>
      <c r="AJ547" s="2">
        <v>0</v>
      </c>
      <c r="AK547" s="2">
        <v>0</v>
      </c>
      <c r="AL547" s="2">
        <v>0</v>
      </c>
      <c r="AM547" s="2">
        <v>0</v>
      </c>
    </row>
    <row r="548" spans="1:39">
      <c r="A548" s="351">
        <v>95821</v>
      </c>
      <c r="B548" s="344" t="s">
        <v>1243</v>
      </c>
      <c r="C548" s="360">
        <v>5.9000000000000003E-6</v>
      </c>
      <c r="E548" s="2">
        <v>3258</v>
      </c>
      <c r="F548" s="2">
        <v>4095</v>
      </c>
      <c r="G548" s="2">
        <v>2573</v>
      </c>
      <c r="H548" s="2">
        <v>878</v>
      </c>
      <c r="I548" s="2">
        <v>0</v>
      </c>
      <c r="J548" s="2"/>
      <c r="K548" s="2">
        <v>1094</v>
      </c>
      <c r="L548" s="2">
        <v>1008</v>
      </c>
      <c r="M548" s="2">
        <v>561</v>
      </c>
      <c r="N548" s="2">
        <v>0</v>
      </c>
      <c r="O548" s="2">
        <v>0</v>
      </c>
      <c r="P548" s="2"/>
      <c r="Q548" s="2">
        <v>71</v>
      </c>
      <c r="R548" s="2">
        <v>992</v>
      </c>
      <c r="S548" s="2">
        <v>1026</v>
      </c>
      <c r="T548" s="2">
        <v>878</v>
      </c>
      <c r="U548" s="2">
        <v>0</v>
      </c>
      <c r="V548" s="2"/>
      <c r="W548" s="2">
        <v>866</v>
      </c>
      <c r="X548" s="2">
        <v>703</v>
      </c>
      <c r="Y548" s="2">
        <v>0</v>
      </c>
      <c r="Z548" s="2">
        <v>0</v>
      </c>
      <c r="AA548" s="2">
        <v>0</v>
      </c>
      <c r="AB548" s="2"/>
      <c r="AC548" s="2">
        <v>1620</v>
      </c>
      <c r="AD548" s="2">
        <v>1622</v>
      </c>
      <c r="AE548" s="2">
        <v>1217</v>
      </c>
      <c r="AF548" s="2">
        <v>0</v>
      </c>
      <c r="AG548" s="2">
        <v>0</v>
      </c>
      <c r="AH548" s="2"/>
      <c r="AI548" s="2">
        <v>-393</v>
      </c>
      <c r="AJ548" s="2">
        <v>-230</v>
      </c>
      <c r="AK548" s="2">
        <v>-231</v>
      </c>
      <c r="AL548" s="2">
        <v>0</v>
      </c>
      <c r="AM548" s="2">
        <v>-230</v>
      </c>
    </row>
    <row r="549" spans="1:39">
      <c r="A549" s="351">
        <v>95831</v>
      </c>
      <c r="B549" s="344" t="s">
        <v>1244</v>
      </c>
      <c r="C549" s="360">
        <v>1.3699999999999999E-5</v>
      </c>
      <c r="E549" s="2">
        <v>12556</v>
      </c>
      <c r="F549" s="2">
        <v>10715</v>
      </c>
      <c r="G549" s="2">
        <v>5543</v>
      </c>
      <c r="H549" s="2">
        <v>2039</v>
      </c>
      <c r="I549" s="2">
        <v>0</v>
      </c>
      <c r="J549" s="2"/>
      <c r="K549" s="2">
        <v>2540</v>
      </c>
      <c r="L549" s="2">
        <v>2340</v>
      </c>
      <c r="M549" s="2">
        <v>1302</v>
      </c>
      <c r="N549" s="2">
        <v>0</v>
      </c>
      <c r="O549" s="2">
        <v>0</v>
      </c>
      <c r="P549" s="2"/>
      <c r="Q549" s="2">
        <v>165</v>
      </c>
      <c r="R549" s="2">
        <v>2303</v>
      </c>
      <c r="S549" s="2">
        <v>2383</v>
      </c>
      <c r="T549" s="2">
        <v>2039</v>
      </c>
      <c r="U549" s="2">
        <v>0</v>
      </c>
      <c r="V549" s="2"/>
      <c r="W549" s="2">
        <v>2011</v>
      </c>
      <c r="X549" s="2">
        <v>1632</v>
      </c>
      <c r="Y549" s="2">
        <v>0</v>
      </c>
      <c r="Z549" s="2">
        <v>0</v>
      </c>
      <c r="AA549" s="2">
        <v>0</v>
      </c>
      <c r="AB549" s="2"/>
      <c r="AC549" s="2">
        <v>7840</v>
      </c>
      <c r="AD549" s="2">
        <v>4440</v>
      </c>
      <c r="AE549" s="2">
        <v>1858</v>
      </c>
      <c r="AF549" s="2">
        <v>0</v>
      </c>
      <c r="AG549" s="2">
        <v>0</v>
      </c>
      <c r="AH549" s="2"/>
      <c r="AI549" s="2">
        <v>0</v>
      </c>
      <c r="AJ549" s="2">
        <v>0</v>
      </c>
      <c r="AK549" s="2">
        <v>0</v>
      </c>
      <c r="AL549" s="2">
        <v>0</v>
      </c>
      <c r="AM549" s="2">
        <v>0</v>
      </c>
    </row>
    <row r="550" spans="1:39">
      <c r="A550" s="351">
        <v>95841</v>
      </c>
      <c r="B550" s="344" t="s">
        <v>1245</v>
      </c>
      <c r="C550" s="360">
        <v>2.6400000000000001E-5</v>
      </c>
      <c r="E550" s="2">
        <v>10445</v>
      </c>
      <c r="F550" s="2">
        <v>13233</v>
      </c>
      <c r="G550" s="2">
        <v>7811</v>
      </c>
      <c r="H550" s="2">
        <v>3929</v>
      </c>
      <c r="I550" s="2">
        <v>0</v>
      </c>
      <c r="J550" s="2"/>
      <c r="K550" s="2">
        <v>4895</v>
      </c>
      <c r="L550" s="2">
        <v>4509</v>
      </c>
      <c r="M550" s="2">
        <v>2510</v>
      </c>
      <c r="N550" s="2">
        <v>0</v>
      </c>
      <c r="O550" s="2">
        <v>0</v>
      </c>
      <c r="P550" s="2"/>
      <c r="Q550" s="2">
        <v>317</v>
      </c>
      <c r="R550" s="2">
        <v>4438</v>
      </c>
      <c r="S550" s="2">
        <v>4591</v>
      </c>
      <c r="T550" s="2">
        <v>3929</v>
      </c>
      <c r="U550" s="2">
        <v>0</v>
      </c>
      <c r="V550" s="2"/>
      <c r="W550" s="2">
        <v>3875</v>
      </c>
      <c r="X550" s="2">
        <v>3146</v>
      </c>
      <c r="Y550" s="2">
        <v>0</v>
      </c>
      <c r="Z550" s="2">
        <v>0</v>
      </c>
      <c r="AA550" s="2">
        <v>0</v>
      </c>
      <c r="AB550" s="2"/>
      <c r="AC550" s="2">
        <v>1648</v>
      </c>
      <c r="AD550" s="2">
        <v>1430</v>
      </c>
      <c r="AE550" s="2">
        <v>1000</v>
      </c>
      <c r="AF550" s="2">
        <v>0</v>
      </c>
      <c r="AG550" s="2">
        <v>0</v>
      </c>
      <c r="AH550" s="2"/>
      <c r="AI550" s="2">
        <v>-290</v>
      </c>
      <c r="AJ550" s="2">
        <v>-290</v>
      </c>
      <c r="AK550" s="2">
        <v>-290</v>
      </c>
      <c r="AL550" s="2">
        <v>0</v>
      </c>
      <c r="AM550" s="2">
        <v>-290</v>
      </c>
    </row>
    <row r="551" spans="1:39">
      <c r="A551" s="351">
        <v>95851</v>
      </c>
      <c r="B551" s="344" t="s">
        <v>1246</v>
      </c>
      <c r="C551" s="360">
        <v>1.261E-4</v>
      </c>
      <c r="E551" s="2">
        <v>87739</v>
      </c>
      <c r="F551" s="2">
        <v>85355</v>
      </c>
      <c r="G551" s="2">
        <v>45286</v>
      </c>
      <c r="H551" s="2">
        <v>18766</v>
      </c>
      <c r="I551" s="2">
        <v>0</v>
      </c>
      <c r="J551" s="2"/>
      <c r="K551" s="2">
        <v>23380</v>
      </c>
      <c r="L551" s="2">
        <v>21537</v>
      </c>
      <c r="M551" s="2">
        <v>11987</v>
      </c>
      <c r="N551" s="2">
        <v>0</v>
      </c>
      <c r="O551" s="2">
        <v>0</v>
      </c>
      <c r="P551" s="2"/>
      <c r="Q551" s="2">
        <v>1516</v>
      </c>
      <c r="R551" s="2">
        <v>21198</v>
      </c>
      <c r="S551" s="2">
        <v>21931</v>
      </c>
      <c r="T551" s="2">
        <v>18766</v>
      </c>
      <c r="U551" s="2">
        <v>0</v>
      </c>
      <c r="V551" s="2"/>
      <c r="W551" s="2">
        <v>18508</v>
      </c>
      <c r="X551" s="2">
        <v>15026</v>
      </c>
      <c r="Y551" s="2">
        <v>0</v>
      </c>
      <c r="Z551" s="2">
        <v>0</v>
      </c>
      <c r="AA551" s="2">
        <v>0</v>
      </c>
      <c r="AB551" s="2"/>
      <c r="AC551" s="2">
        <v>44808</v>
      </c>
      <c r="AD551" s="2">
        <v>28067</v>
      </c>
      <c r="AE551" s="2">
        <v>11842</v>
      </c>
      <c r="AF551" s="2">
        <v>0</v>
      </c>
      <c r="AG551" s="2">
        <v>0</v>
      </c>
      <c r="AH551" s="2"/>
      <c r="AI551" s="2">
        <v>-473</v>
      </c>
      <c r="AJ551" s="2">
        <v>-473</v>
      </c>
      <c r="AK551" s="2">
        <v>-474</v>
      </c>
      <c r="AL551" s="2">
        <v>0</v>
      </c>
      <c r="AM551" s="2">
        <v>-473</v>
      </c>
    </row>
    <row r="552" spans="1:39">
      <c r="A552" s="351">
        <v>95853</v>
      </c>
      <c r="B552" s="344" t="s">
        <v>1247</v>
      </c>
      <c r="C552" s="360">
        <v>2.97E-5</v>
      </c>
      <c r="E552" s="2">
        <v>11824</v>
      </c>
      <c r="F552" s="2">
        <v>14319</v>
      </c>
      <c r="G552" s="2">
        <v>7790</v>
      </c>
      <c r="H552" s="2">
        <v>4420</v>
      </c>
      <c r="I552" s="2">
        <v>0</v>
      </c>
      <c r="J552" s="2"/>
      <c r="K552" s="2">
        <v>5507</v>
      </c>
      <c r="L552" s="2">
        <v>5073</v>
      </c>
      <c r="M552" s="2">
        <v>2823</v>
      </c>
      <c r="N552" s="2">
        <v>0</v>
      </c>
      <c r="O552" s="2">
        <v>0</v>
      </c>
      <c r="P552" s="2"/>
      <c r="Q552" s="2">
        <v>357</v>
      </c>
      <c r="R552" s="2">
        <v>4993</v>
      </c>
      <c r="S552" s="2">
        <v>5165</v>
      </c>
      <c r="T552" s="2">
        <v>4420</v>
      </c>
      <c r="U552" s="2">
        <v>0</v>
      </c>
      <c r="V552" s="2"/>
      <c r="W552" s="2">
        <v>4359</v>
      </c>
      <c r="X552" s="2">
        <v>3539</v>
      </c>
      <c r="Y552" s="2">
        <v>0</v>
      </c>
      <c r="Z552" s="2">
        <v>0</v>
      </c>
      <c r="AA552" s="2">
        <v>0</v>
      </c>
      <c r="AB552" s="2"/>
      <c r="AC552" s="2">
        <v>1800</v>
      </c>
      <c r="AD552" s="2">
        <v>913</v>
      </c>
      <c r="AE552" s="2">
        <v>0</v>
      </c>
      <c r="AF552" s="2">
        <v>0</v>
      </c>
      <c r="AG552" s="2">
        <v>0</v>
      </c>
      <c r="AH552" s="2"/>
      <c r="AI552" s="2">
        <v>-199</v>
      </c>
      <c r="AJ552" s="2">
        <v>-199</v>
      </c>
      <c r="AK552" s="2">
        <v>-198</v>
      </c>
      <c r="AL552" s="2">
        <v>0</v>
      </c>
      <c r="AM552" s="2">
        <v>-199</v>
      </c>
    </row>
    <row r="553" spans="1:39">
      <c r="A553" s="351">
        <v>95901</v>
      </c>
      <c r="B553" s="344" t="s">
        <v>1248</v>
      </c>
      <c r="C553" s="360">
        <v>1.9843999999999999E-3</v>
      </c>
      <c r="E553" s="2">
        <v>670704</v>
      </c>
      <c r="F553" s="2">
        <v>897821</v>
      </c>
      <c r="G553" s="2">
        <v>523241</v>
      </c>
      <c r="H553" s="2">
        <v>295322</v>
      </c>
      <c r="I553" s="2">
        <v>0</v>
      </c>
      <c r="J553" s="2"/>
      <c r="K553" s="2">
        <v>367926</v>
      </c>
      <c r="L553" s="2">
        <v>338924</v>
      </c>
      <c r="M553" s="2">
        <v>188633</v>
      </c>
      <c r="N553" s="2">
        <v>0</v>
      </c>
      <c r="O553" s="2">
        <v>0</v>
      </c>
      <c r="P553" s="2"/>
      <c r="Q553" s="2">
        <v>23851</v>
      </c>
      <c r="R553" s="2">
        <v>333588</v>
      </c>
      <c r="S553" s="2">
        <v>345123</v>
      </c>
      <c r="T553" s="2">
        <v>295322</v>
      </c>
      <c r="U553" s="2">
        <v>0</v>
      </c>
      <c r="V553" s="2"/>
      <c r="W553" s="2">
        <v>291262</v>
      </c>
      <c r="X553" s="2">
        <v>236455</v>
      </c>
      <c r="Y553" s="2">
        <v>0</v>
      </c>
      <c r="Z553" s="2">
        <v>0</v>
      </c>
      <c r="AA553" s="2">
        <v>0</v>
      </c>
      <c r="AB553" s="2"/>
      <c r="AC553" s="2">
        <v>0</v>
      </c>
      <c r="AD553" s="2">
        <v>0</v>
      </c>
      <c r="AE553" s="2">
        <v>0</v>
      </c>
      <c r="AF553" s="2">
        <v>0</v>
      </c>
      <c r="AG553" s="2">
        <v>0</v>
      </c>
      <c r="AH553" s="2"/>
      <c r="AI553" s="2">
        <v>-12335</v>
      </c>
      <c r="AJ553" s="2">
        <v>-11146</v>
      </c>
      <c r="AK553" s="2">
        <v>-10515</v>
      </c>
      <c r="AL553" s="2">
        <v>0</v>
      </c>
      <c r="AM553" s="2">
        <v>-11146</v>
      </c>
    </row>
    <row r="554" spans="1:39">
      <c r="A554" s="351">
        <v>95908</v>
      </c>
      <c r="B554" s="344" t="s">
        <v>3687</v>
      </c>
      <c r="C554" s="360">
        <v>5.7399999999999999E-5</v>
      </c>
      <c r="E554" s="2">
        <v>9260</v>
      </c>
      <c r="F554" s="2">
        <v>17474</v>
      </c>
      <c r="G554" s="2">
        <v>9244</v>
      </c>
      <c r="H554" s="2">
        <v>8542</v>
      </c>
      <c r="I554" s="2">
        <v>0</v>
      </c>
      <c r="J554" s="2"/>
      <c r="K554" s="2">
        <v>10642</v>
      </c>
      <c r="L554" s="2">
        <v>9804</v>
      </c>
      <c r="M554" s="2">
        <v>5456</v>
      </c>
      <c r="N554" s="2">
        <v>0</v>
      </c>
      <c r="O554" s="2">
        <v>0</v>
      </c>
      <c r="P554" s="2"/>
      <c r="Q554" s="2">
        <v>690</v>
      </c>
      <c r="R554" s="2">
        <v>9649</v>
      </c>
      <c r="S554" s="2">
        <v>9983</v>
      </c>
      <c r="T554" s="2">
        <v>8542</v>
      </c>
      <c r="U554" s="2">
        <v>0</v>
      </c>
      <c r="V554" s="2"/>
      <c r="W554" s="2">
        <v>8425</v>
      </c>
      <c r="X554" s="2">
        <v>6840</v>
      </c>
      <c r="Y554" s="2">
        <v>0</v>
      </c>
      <c r="Z554" s="2">
        <v>0</v>
      </c>
      <c r="AA554" s="2">
        <v>0</v>
      </c>
      <c r="AB554" s="2"/>
      <c r="AC554" s="2">
        <v>532</v>
      </c>
      <c r="AD554" s="2">
        <v>532</v>
      </c>
      <c r="AE554" s="2">
        <v>534</v>
      </c>
      <c r="AF554" s="2">
        <v>0</v>
      </c>
      <c r="AG554" s="2">
        <v>0</v>
      </c>
      <c r="AH554" s="2"/>
      <c r="AI554" s="2">
        <v>-11029</v>
      </c>
      <c r="AJ554" s="2">
        <v>-9351</v>
      </c>
      <c r="AK554" s="2">
        <v>-6729</v>
      </c>
      <c r="AL554" s="2">
        <v>0</v>
      </c>
      <c r="AM554" s="2">
        <v>-9351</v>
      </c>
    </row>
    <row r="555" spans="1:39">
      <c r="A555" s="351">
        <v>95911</v>
      </c>
      <c r="B555" s="344" t="s">
        <v>1250</v>
      </c>
      <c r="C555" s="360">
        <v>5.5429999999999998E-4</v>
      </c>
      <c r="E555" s="2">
        <v>170771</v>
      </c>
      <c r="F555" s="2">
        <v>236871</v>
      </c>
      <c r="G555" s="2">
        <v>138321</v>
      </c>
      <c r="H555" s="2">
        <v>82492</v>
      </c>
      <c r="I555" s="2">
        <v>0</v>
      </c>
      <c r="J555" s="2"/>
      <c r="K555" s="2">
        <v>102772</v>
      </c>
      <c r="L555" s="2">
        <v>94671</v>
      </c>
      <c r="M555" s="2">
        <v>52691</v>
      </c>
      <c r="N555" s="2">
        <v>0</v>
      </c>
      <c r="O555" s="2">
        <v>0</v>
      </c>
      <c r="P555" s="2"/>
      <c r="Q555" s="2">
        <v>6662</v>
      </c>
      <c r="R555" s="2">
        <v>93181</v>
      </c>
      <c r="S555" s="2">
        <v>96403</v>
      </c>
      <c r="T555" s="2">
        <v>82492</v>
      </c>
      <c r="U555" s="2">
        <v>0</v>
      </c>
      <c r="V555" s="2"/>
      <c r="W555" s="2">
        <v>81358</v>
      </c>
      <c r="X555" s="2">
        <v>66049</v>
      </c>
      <c r="Y555" s="2">
        <v>0</v>
      </c>
      <c r="Z555" s="2">
        <v>0</v>
      </c>
      <c r="AA555" s="2">
        <v>0</v>
      </c>
      <c r="AB555" s="2"/>
      <c r="AC555" s="2">
        <v>0</v>
      </c>
      <c r="AD555" s="2">
        <v>0</v>
      </c>
      <c r="AE555" s="2">
        <v>0</v>
      </c>
      <c r="AF555" s="2">
        <v>0</v>
      </c>
      <c r="AG555" s="2">
        <v>0</v>
      </c>
      <c r="AH555" s="2"/>
      <c r="AI555" s="2">
        <v>-20021</v>
      </c>
      <c r="AJ555" s="2">
        <v>-17030</v>
      </c>
      <c r="AK555" s="2">
        <v>-10773</v>
      </c>
      <c r="AL555" s="2">
        <v>0</v>
      </c>
      <c r="AM555" s="2">
        <v>-17030</v>
      </c>
    </row>
    <row r="556" spans="1:39">
      <c r="A556" s="351">
        <v>95917</v>
      </c>
      <c r="B556" s="344" t="s">
        <v>1251</v>
      </c>
      <c r="C556" s="360">
        <v>2.2099999999999998E-5</v>
      </c>
      <c r="E556" s="2">
        <v>9579</v>
      </c>
      <c r="F556" s="2">
        <v>11625</v>
      </c>
      <c r="G556" s="2">
        <v>8243</v>
      </c>
      <c r="H556" s="2">
        <v>3289</v>
      </c>
      <c r="I556" s="2">
        <v>0</v>
      </c>
      <c r="J556" s="2"/>
      <c r="K556" s="2">
        <v>4098</v>
      </c>
      <c r="L556" s="2">
        <v>3775</v>
      </c>
      <c r="M556" s="2">
        <v>2101</v>
      </c>
      <c r="N556" s="2">
        <v>0</v>
      </c>
      <c r="O556" s="2">
        <v>0</v>
      </c>
      <c r="P556" s="2"/>
      <c r="Q556" s="2">
        <v>266</v>
      </c>
      <c r="R556" s="2">
        <v>3715</v>
      </c>
      <c r="S556" s="2">
        <v>3844</v>
      </c>
      <c r="T556" s="2">
        <v>3289</v>
      </c>
      <c r="U556" s="2">
        <v>0</v>
      </c>
      <c r="V556" s="2"/>
      <c r="W556" s="2">
        <v>3244</v>
      </c>
      <c r="X556" s="2">
        <v>2633</v>
      </c>
      <c r="Y556" s="2">
        <v>0</v>
      </c>
      <c r="Z556" s="2">
        <v>0</v>
      </c>
      <c r="AA556" s="2">
        <v>0</v>
      </c>
      <c r="AB556" s="2"/>
      <c r="AC556" s="2">
        <v>2768</v>
      </c>
      <c r="AD556" s="2">
        <v>2297</v>
      </c>
      <c r="AE556" s="2">
        <v>2298</v>
      </c>
      <c r="AF556" s="2">
        <v>0</v>
      </c>
      <c r="AG556" s="2">
        <v>0</v>
      </c>
      <c r="AH556" s="2"/>
      <c r="AI556" s="2">
        <v>-797</v>
      </c>
      <c r="AJ556" s="2">
        <v>-795</v>
      </c>
      <c r="AK556" s="2">
        <v>0</v>
      </c>
      <c r="AL556" s="2">
        <v>0</v>
      </c>
      <c r="AM556" s="2">
        <v>-795</v>
      </c>
    </row>
    <row r="557" spans="1:39">
      <c r="A557" s="351">
        <v>95921</v>
      </c>
      <c r="B557" s="344" t="s">
        <v>1252</v>
      </c>
      <c r="C557" s="360">
        <v>5.0099999999999998E-5</v>
      </c>
      <c r="E557" s="2">
        <v>18424</v>
      </c>
      <c r="F557" s="2">
        <v>24066</v>
      </c>
      <c r="G557" s="2">
        <v>14057</v>
      </c>
      <c r="H557" s="2">
        <v>7456</v>
      </c>
      <c r="I557" s="2">
        <v>0</v>
      </c>
      <c r="J557" s="2"/>
      <c r="K557" s="2">
        <v>9289</v>
      </c>
      <c r="L557" s="2">
        <v>8557</v>
      </c>
      <c r="M557" s="2">
        <v>4762</v>
      </c>
      <c r="N557" s="2">
        <v>0</v>
      </c>
      <c r="O557" s="2">
        <v>0</v>
      </c>
      <c r="P557" s="2"/>
      <c r="Q557" s="2">
        <v>602</v>
      </c>
      <c r="R557" s="2">
        <v>8422</v>
      </c>
      <c r="S557" s="2">
        <v>8713</v>
      </c>
      <c r="T557" s="2">
        <v>7456</v>
      </c>
      <c r="U557" s="2">
        <v>0</v>
      </c>
      <c r="V557" s="2"/>
      <c r="W557" s="2">
        <v>7353</v>
      </c>
      <c r="X557" s="2">
        <v>5970</v>
      </c>
      <c r="Y557" s="2">
        <v>0</v>
      </c>
      <c r="Z557" s="2">
        <v>0</v>
      </c>
      <c r="AA557" s="2">
        <v>0</v>
      </c>
      <c r="AB557" s="2"/>
      <c r="AC557" s="2">
        <v>1781</v>
      </c>
      <c r="AD557" s="2">
        <v>1718</v>
      </c>
      <c r="AE557" s="2">
        <v>1182</v>
      </c>
      <c r="AF557" s="2">
        <v>0</v>
      </c>
      <c r="AG557" s="2">
        <v>0</v>
      </c>
      <c r="AH557" s="2"/>
      <c r="AI557" s="2">
        <v>-601</v>
      </c>
      <c r="AJ557" s="2">
        <v>-601</v>
      </c>
      <c r="AK557" s="2">
        <v>-600</v>
      </c>
      <c r="AL557" s="2">
        <v>0</v>
      </c>
      <c r="AM557" s="2">
        <v>-601</v>
      </c>
    </row>
    <row r="558" spans="1:39">
      <c r="A558" s="351">
        <v>96001</v>
      </c>
      <c r="B558" s="344" t="s">
        <v>1253</v>
      </c>
      <c r="C558" s="360">
        <v>4.6503500000000003E-2</v>
      </c>
      <c r="E558" s="2">
        <v>16496416</v>
      </c>
      <c r="F558" s="2">
        <v>21858042</v>
      </c>
      <c r="G558" s="2">
        <v>13154812</v>
      </c>
      <c r="H558" s="2">
        <v>6920744</v>
      </c>
      <c r="I558" s="2">
        <v>0</v>
      </c>
      <c r="J558" s="2"/>
      <c r="K558" s="2">
        <v>8622167</v>
      </c>
      <c r="L558" s="2">
        <v>7942519</v>
      </c>
      <c r="M558" s="2">
        <v>4420530</v>
      </c>
      <c r="N558" s="2">
        <v>0</v>
      </c>
      <c r="O558" s="2">
        <v>0</v>
      </c>
      <c r="P558" s="2"/>
      <c r="Q558" s="2">
        <v>558926</v>
      </c>
      <c r="R558" s="2">
        <v>7817471</v>
      </c>
      <c r="S558" s="2">
        <v>8087796</v>
      </c>
      <c r="T558" s="2">
        <v>6920744</v>
      </c>
      <c r="U558" s="2">
        <v>0</v>
      </c>
      <c r="V558" s="2"/>
      <c r="W558" s="2">
        <v>6825598</v>
      </c>
      <c r="X558" s="2">
        <v>5541218</v>
      </c>
      <c r="Y558" s="2">
        <v>0</v>
      </c>
      <c r="Z558" s="2">
        <v>0</v>
      </c>
      <c r="AA558" s="2">
        <v>0</v>
      </c>
      <c r="AB558" s="2"/>
      <c r="AC558" s="2">
        <v>698127</v>
      </c>
      <c r="AD558" s="2">
        <v>698127</v>
      </c>
      <c r="AE558" s="2">
        <v>698128</v>
      </c>
      <c r="AF558" s="2">
        <v>0</v>
      </c>
      <c r="AG558" s="2">
        <v>0</v>
      </c>
      <c r="AH558" s="2"/>
      <c r="AI558" s="2">
        <v>-208402</v>
      </c>
      <c r="AJ558" s="2">
        <v>-141293</v>
      </c>
      <c r="AK558" s="2">
        <v>-51642</v>
      </c>
      <c r="AL558" s="2">
        <v>0</v>
      </c>
      <c r="AM558" s="2">
        <v>-141293</v>
      </c>
    </row>
    <row r="559" spans="1:39">
      <c r="A559" s="351">
        <v>96003</v>
      </c>
      <c r="B559" s="344" t="s">
        <v>1254</v>
      </c>
      <c r="C559" s="360">
        <v>1.781E-3</v>
      </c>
      <c r="E559" s="2">
        <v>644121</v>
      </c>
      <c r="F559" s="2">
        <v>863100</v>
      </c>
      <c r="G559" s="2">
        <v>547231</v>
      </c>
      <c r="H559" s="2">
        <v>265052</v>
      </c>
      <c r="I559" s="2">
        <v>0</v>
      </c>
      <c r="J559" s="2"/>
      <c r="K559" s="2">
        <v>330213</v>
      </c>
      <c r="L559" s="2">
        <v>304184</v>
      </c>
      <c r="M559" s="2">
        <v>169298</v>
      </c>
      <c r="N559" s="2">
        <v>0</v>
      </c>
      <c r="O559" s="2">
        <v>0</v>
      </c>
      <c r="P559" s="2"/>
      <c r="Q559" s="2">
        <v>21406</v>
      </c>
      <c r="R559" s="2">
        <v>299395</v>
      </c>
      <c r="S559" s="2">
        <v>309748</v>
      </c>
      <c r="T559" s="2">
        <v>265052</v>
      </c>
      <c r="U559" s="2">
        <v>0</v>
      </c>
      <c r="V559" s="2"/>
      <c r="W559" s="2">
        <v>261408</v>
      </c>
      <c r="X559" s="2">
        <v>212219</v>
      </c>
      <c r="Y559" s="2">
        <v>0</v>
      </c>
      <c r="Z559" s="2">
        <v>0</v>
      </c>
      <c r="AA559" s="2">
        <v>0</v>
      </c>
      <c r="AB559" s="2"/>
      <c r="AC559" s="2">
        <v>68185</v>
      </c>
      <c r="AD559" s="2">
        <v>68185</v>
      </c>
      <c r="AE559" s="2">
        <v>68185</v>
      </c>
      <c r="AF559" s="2">
        <v>0</v>
      </c>
      <c r="AG559" s="2">
        <v>0</v>
      </c>
      <c r="AH559" s="2"/>
      <c r="AI559" s="2">
        <v>-37091</v>
      </c>
      <c r="AJ559" s="2">
        <v>-20883</v>
      </c>
      <c r="AK559" s="2">
        <v>0</v>
      </c>
      <c r="AL559" s="2">
        <v>0</v>
      </c>
      <c r="AM559" s="2">
        <v>-20883</v>
      </c>
    </row>
    <row r="560" spans="1:39">
      <c r="A560" s="351">
        <v>96004</v>
      </c>
      <c r="B560" s="344" t="s">
        <v>1255</v>
      </c>
      <c r="C560" s="360">
        <v>9.8489999999999992E-4</v>
      </c>
      <c r="E560" s="2">
        <v>425616</v>
      </c>
      <c r="F560" s="2">
        <v>524480</v>
      </c>
      <c r="G560" s="2">
        <v>324932</v>
      </c>
      <c r="H560" s="2">
        <v>146575</v>
      </c>
      <c r="I560" s="2">
        <v>0</v>
      </c>
      <c r="J560" s="2"/>
      <c r="K560" s="2">
        <v>182609</v>
      </c>
      <c r="L560" s="2">
        <v>168215</v>
      </c>
      <c r="M560" s="2">
        <v>93623</v>
      </c>
      <c r="N560" s="2">
        <v>0</v>
      </c>
      <c r="O560" s="2">
        <v>0</v>
      </c>
      <c r="P560" s="2"/>
      <c r="Q560" s="2">
        <v>11838</v>
      </c>
      <c r="R560" s="2">
        <v>165567</v>
      </c>
      <c r="S560" s="2">
        <v>171292</v>
      </c>
      <c r="T560" s="2">
        <v>146575</v>
      </c>
      <c r="U560" s="2">
        <v>0</v>
      </c>
      <c r="V560" s="2"/>
      <c r="W560" s="2">
        <v>144560</v>
      </c>
      <c r="X560" s="2">
        <v>117358</v>
      </c>
      <c r="Y560" s="2">
        <v>0</v>
      </c>
      <c r="Z560" s="2">
        <v>0</v>
      </c>
      <c r="AA560" s="2">
        <v>0</v>
      </c>
      <c r="AB560" s="2"/>
      <c r="AC560" s="2">
        <v>86609</v>
      </c>
      <c r="AD560" s="2">
        <v>73340</v>
      </c>
      <c r="AE560" s="2">
        <v>60017</v>
      </c>
      <c r="AF560" s="2">
        <v>0</v>
      </c>
      <c r="AG560" s="2">
        <v>0</v>
      </c>
      <c r="AH560" s="2"/>
      <c r="AI560" s="2">
        <v>0</v>
      </c>
      <c r="AJ560" s="2">
        <v>0</v>
      </c>
      <c r="AK560" s="2">
        <v>0</v>
      </c>
      <c r="AL560" s="2">
        <v>0</v>
      </c>
      <c r="AM560" s="2">
        <v>0</v>
      </c>
    </row>
    <row r="561" spans="1:39">
      <c r="A561" s="351">
        <v>96005</v>
      </c>
      <c r="B561" s="344" t="s">
        <v>1256</v>
      </c>
      <c r="C561" s="360">
        <v>2.4903999999999998E-3</v>
      </c>
      <c r="E561" s="2">
        <v>877470</v>
      </c>
      <c r="F561" s="2">
        <v>1153770</v>
      </c>
      <c r="G561" s="2">
        <v>685100</v>
      </c>
      <c r="H561" s="2">
        <v>370626</v>
      </c>
      <c r="I561" s="2">
        <v>0</v>
      </c>
      <c r="J561" s="2"/>
      <c r="K561" s="2">
        <v>461743</v>
      </c>
      <c r="L561" s="2">
        <v>425345</v>
      </c>
      <c r="M561" s="2">
        <v>236732</v>
      </c>
      <c r="N561" s="2">
        <v>0</v>
      </c>
      <c r="O561" s="2">
        <v>0</v>
      </c>
      <c r="P561" s="2"/>
      <c r="Q561" s="2">
        <v>29932</v>
      </c>
      <c r="R561" s="2">
        <v>418649</v>
      </c>
      <c r="S561" s="2">
        <v>433125</v>
      </c>
      <c r="T561" s="2">
        <v>370626</v>
      </c>
      <c r="U561" s="2">
        <v>0</v>
      </c>
      <c r="V561" s="2"/>
      <c r="W561" s="2">
        <v>365531</v>
      </c>
      <c r="X561" s="2">
        <v>296749</v>
      </c>
      <c r="Y561" s="2">
        <v>0</v>
      </c>
      <c r="Z561" s="2">
        <v>0</v>
      </c>
      <c r="AA561" s="2">
        <v>0</v>
      </c>
      <c r="AB561" s="2"/>
      <c r="AC561" s="2">
        <v>46529</v>
      </c>
      <c r="AD561" s="2">
        <v>39290</v>
      </c>
      <c r="AE561" s="2">
        <v>39290</v>
      </c>
      <c r="AF561" s="2">
        <v>0</v>
      </c>
      <c r="AG561" s="2">
        <v>0</v>
      </c>
      <c r="AH561" s="2"/>
      <c r="AI561" s="2">
        <v>-26265</v>
      </c>
      <c r="AJ561" s="2">
        <v>-26263</v>
      </c>
      <c r="AK561" s="2">
        <v>-24047</v>
      </c>
      <c r="AL561" s="2">
        <v>0</v>
      </c>
      <c r="AM561" s="2">
        <v>-26263</v>
      </c>
    </row>
    <row r="562" spans="1:39">
      <c r="A562" s="351">
        <v>96008</v>
      </c>
      <c r="B562" s="344" t="s">
        <v>3688</v>
      </c>
      <c r="C562" s="360">
        <v>6.1444999999999998E-3</v>
      </c>
      <c r="E562" s="2">
        <v>1497484</v>
      </c>
      <c r="F562" s="2">
        <v>2323017</v>
      </c>
      <c r="G562" s="2">
        <v>1268458</v>
      </c>
      <c r="H562" s="2">
        <v>914437</v>
      </c>
      <c r="I562" s="2">
        <v>0</v>
      </c>
      <c r="J562" s="2"/>
      <c r="K562" s="2">
        <v>1139246</v>
      </c>
      <c r="L562" s="2">
        <v>1049444</v>
      </c>
      <c r="M562" s="2">
        <v>584084</v>
      </c>
      <c r="N562" s="2">
        <v>0</v>
      </c>
      <c r="O562" s="2">
        <v>0</v>
      </c>
      <c r="P562" s="2"/>
      <c r="Q562" s="2">
        <v>73851</v>
      </c>
      <c r="R562" s="2">
        <v>1032921</v>
      </c>
      <c r="S562" s="2">
        <v>1068639</v>
      </c>
      <c r="T562" s="2">
        <v>914437</v>
      </c>
      <c r="U562" s="2">
        <v>0</v>
      </c>
      <c r="V562" s="2"/>
      <c r="W562" s="2">
        <v>901865</v>
      </c>
      <c r="X562" s="2">
        <v>732160</v>
      </c>
      <c r="Y562" s="2">
        <v>0</v>
      </c>
      <c r="Z562" s="2">
        <v>0</v>
      </c>
      <c r="AA562" s="2">
        <v>0</v>
      </c>
      <c r="AB562" s="2"/>
      <c r="AC562" s="2">
        <v>0</v>
      </c>
      <c r="AD562" s="2">
        <v>0</v>
      </c>
      <c r="AE562" s="2">
        <v>0</v>
      </c>
      <c r="AF562" s="2">
        <v>0</v>
      </c>
      <c r="AG562" s="2">
        <v>0</v>
      </c>
      <c r="AH562" s="2"/>
      <c r="AI562" s="2">
        <v>-617478</v>
      </c>
      <c r="AJ562" s="2">
        <v>-491508</v>
      </c>
      <c r="AK562" s="2">
        <v>-384265</v>
      </c>
      <c r="AL562" s="2">
        <v>0</v>
      </c>
      <c r="AM562" s="2">
        <v>-491508</v>
      </c>
    </row>
    <row r="563" spans="1:39">
      <c r="A563" s="351">
        <v>96009</v>
      </c>
      <c r="B563" s="344" t="s">
        <v>1258</v>
      </c>
      <c r="C563" s="360">
        <v>3.814E-4</v>
      </c>
      <c r="E563" s="2">
        <v>158034</v>
      </c>
      <c r="F563" s="2">
        <v>194848</v>
      </c>
      <c r="G563" s="2">
        <v>116213</v>
      </c>
      <c r="H563" s="2">
        <v>56761</v>
      </c>
      <c r="I563" s="2">
        <v>0</v>
      </c>
      <c r="J563" s="2"/>
      <c r="K563" s="2">
        <v>70715</v>
      </c>
      <c r="L563" s="2">
        <v>65141</v>
      </c>
      <c r="M563" s="2">
        <v>36255</v>
      </c>
      <c r="N563" s="2">
        <v>0</v>
      </c>
      <c r="O563" s="2">
        <v>0</v>
      </c>
      <c r="P563" s="2"/>
      <c r="Q563" s="2">
        <v>4584</v>
      </c>
      <c r="R563" s="2">
        <v>64115</v>
      </c>
      <c r="S563" s="2">
        <v>66332</v>
      </c>
      <c r="T563" s="2">
        <v>56761</v>
      </c>
      <c r="U563" s="2">
        <v>0</v>
      </c>
      <c r="V563" s="2"/>
      <c r="W563" s="2">
        <v>55980</v>
      </c>
      <c r="X563" s="2">
        <v>45446</v>
      </c>
      <c r="Y563" s="2">
        <v>0</v>
      </c>
      <c r="Z563" s="2">
        <v>0</v>
      </c>
      <c r="AA563" s="2">
        <v>0</v>
      </c>
      <c r="AB563" s="2"/>
      <c r="AC563" s="2">
        <v>28110</v>
      </c>
      <c r="AD563" s="2">
        <v>21501</v>
      </c>
      <c r="AE563" s="2">
        <v>14979</v>
      </c>
      <c r="AF563" s="2">
        <v>0</v>
      </c>
      <c r="AG563" s="2">
        <v>0</v>
      </c>
      <c r="AH563" s="2"/>
      <c r="AI563" s="2">
        <v>-1355</v>
      </c>
      <c r="AJ563" s="2">
        <v>-1355</v>
      </c>
      <c r="AK563" s="2">
        <v>-1353</v>
      </c>
      <c r="AL563" s="2">
        <v>0</v>
      </c>
      <c r="AM563" s="2">
        <v>-1355</v>
      </c>
    </row>
    <row r="564" spans="1:39">
      <c r="A564" s="351">
        <v>96011</v>
      </c>
      <c r="B564" s="344" t="s">
        <v>1259</v>
      </c>
      <c r="C564" s="360">
        <v>6.4782000000000006E-2</v>
      </c>
      <c r="E564" s="2">
        <v>23848408</v>
      </c>
      <c r="F564" s="2">
        <v>31051893</v>
      </c>
      <c r="G564" s="2">
        <v>18578490</v>
      </c>
      <c r="H564" s="2">
        <v>9640987</v>
      </c>
      <c r="I564" s="2">
        <v>0</v>
      </c>
      <c r="J564" s="2"/>
      <c r="K564" s="2">
        <v>12011166</v>
      </c>
      <c r="L564" s="2">
        <v>11064377</v>
      </c>
      <c r="M564" s="2">
        <v>6158047</v>
      </c>
      <c r="N564" s="2">
        <v>0</v>
      </c>
      <c r="O564" s="2">
        <v>0</v>
      </c>
      <c r="P564" s="2"/>
      <c r="Q564" s="2">
        <v>778615</v>
      </c>
      <c r="R564" s="2">
        <v>10890178</v>
      </c>
      <c r="S564" s="2">
        <v>11266756</v>
      </c>
      <c r="T564" s="2">
        <v>9640987</v>
      </c>
      <c r="U564" s="2">
        <v>0</v>
      </c>
      <c r="V564" s="2"/>
      <c r="W564" s="2">
        <v>9508443</v>
      </c>
      <c r="X564" s="2">
        <v>7719229</v>
      </c>
      <c r="Y564" s="2">
        <v>0</v>
      </c>
      <c r="Z564" s="2">
        <v>0</v>
      </c>
      <c r="AA564" s="2">
        <v>0</v>
      </c>
      <c r="AB564" s="2"/>
      <c r="AC564" s="2">
        <v>1550184</v>
      </c>
      <c r="AD564" s="2">
        <v>1378109</v>
      </c>
      <c r="AE564" s="2">
        <v>1153687</v>
      </c>
      <c r="AF564" s="2">
        <v>0</v>
      </c>
      <c r="AG564" s="2">
        <v>0</v>
      </c>
      <c r="AH564" s="2"/>
      <c r="AI564" s="2">
        <v>0</v>
      </c>
      <c r="AJ564" s="2">
        <v>0</v>
      </c>
      <c r="AK564" s="2">
        <v>0</v>
      </c>
      <c r="AL564" s="2">
        <v>0</v>
      </c>
      <c r="AM564" s="2">
        <v>0</v>
      </c>
    </row>
    <row r="565" spans="1:39">
      <c r="A565" s="351">
        <v>96012</v>
      </c>
      <c r="B565" s="344" t="s">
        <v>1260</v>
      </c>
      <c r="C565" s="360">
        <v>2.4705999999999999E-3</v>
      </c>
      <c r="E565" s="2">
        <v>826655</v>
      </c>
      <c r="F565" s="2">
        <v>1108171</v>
      </c>
      <c r="G565" s="2">
        <v>627386</v>
      </c>
      <c r="H565" s="2">
        <v>367680</v>
      </c>
      <c r="I565" s="2">
        <v>0</v>
      </c>
      <c r="J565" s="2"/>
      <c r="K565" s="2">
        <v>458071</v>
      </c>
      <c r="L565" s="2">
        <v>421964</v>
      </c>
      <c r="M565" s="2">
        <v>234850</v>
      </c>
      <c r="N565" s="2">
        <v>0</v>
      </c>
      <c r="O565" s="2">
        <v>0</v>
      </c>
      <c r="P565" s="2"/>
      <c r="Q565" s="2">
        <v>29694</v>
      </c>
      <c r="R565" s="2">
        <v>415320</v>
      </c>
      <c r="S565" s="2">
        <v>429682</v>
      </c>
      <c r="T565" s="2">
        <v>367680</v>
      </c>
      <c r="U565" s="2">
        <v>0</v>
      </c>
      <c r="V565" s="2"/>
      <c r="W565" s="2">
        <v>362625</v>
      </c>
      <c r="X565" s="2">
        <v>294389</v>
      </c>
      <c r="Y565" s="2">
        <v>0</v>
      </c>
      <c r="Z565" s="2">
        <v>0</v>
      </c>
      <c r="AA565" s="2">
        <v>0</v>
      </c>
      <c r="AB565" s="2"/>
      <c r="AC565" s="2">
        <v>13646</v>
      </c>
      <c r="AD565" s="2">
        <v>13644</v>
      </c>
      <c r="AE565" s="2">
        <v>0</v>
      </c>
      <c r="AF565" s="2">
        <v>0</v>
      </c>
      <c r="AG565" s="2">
        <v>0</v>
      </c>
      <c r="AH565" s="2"/>
      <c r="AI565" s="2">
        <v>-37381</v>
      </c>
      <c r="AJ565" s="2">
        <v>-37146</v>
      </c>
      <c r="AK565" s="2">
        <v>-37146</v>
      </c>
      <c r="AL565" s="2">
        <v>0</v>
      </c>
      <c r="AM565" s="2">
        <v>-37146</v>
      </c>
    </row>
    <row r="566" spans="1:39">
      <c r="A566" s="351">
        <v>96018</v>
      </c>
      <c r="B566" s="344" t="s">
        <v>3689</v>
      </c>
      <c r="C566" s="360">
        <v>3.57E-5</v>
      </c>
      <c r="E566" s="2">
        <v>12528</v>
      </c>
      <c r="F566" s="2">
        <v>15748</v>
      </c>
      <c r="G566" s="2">
        <v>8989</v>
      </c>
      <c r="H566" s="2">
        <v>5313</v>
      </c>
      <c r="I566" s="2">
        <v>0</v>
      </c>
      <c r="J566" s="2"/>
      <c r="K566" s="2">
        <v>6619</v>
      </c>
      <c r="L566" s="2">
        <v>6097</v>
      </c>
      <c r="M566" s="2">
        <v>3394</v>
      </c>
      <c r="N566" s="2">
        <v>0</v>
      </c>
      <c r="O566" s="2">
        <v>0</v>
      </c>
      <c r="P566" s="2"/>
      <c r="Q566" s="2">
        <v>429</v>
      </c>
      <c r="R566" s="2">
        <v>6001</v>
      </c>
      <c r="S566" s="2">
        <v>6209</v>
      </c>
      <c r="T566" s="2">
        <v>5313</v>
      </c>
      <c r="U566" s="2">
        <v>0</v>
      </c>
      <c r="V566" s="2"/>
      <c r="W566" s="2">
        <v>5240</v>
      </c>
      <c r="X566" s="2">
        <v>4254</v>
      </c>
      <c r="Y566" s="2">
        <v>0</v>
      </c>
      <c r="Z566" s="2">
        <v>0</v>
      </c>
      <c r="AA566" s="2">
        <v>0</v>
      </c>
      <c r="AB566" s="2"/>
      <c r="AC566" s="2">
        <v>2445</v>
      </c>
      <c r="AD566" s="2">
        <v>1601</v>
      </c>
      <c r="AE566" s="2">
        <v>1592</v>
      </c>
      <c r="AF566" s="2">
        <v>0</v>
      </c>
      <c r="AG566" s="2">
        <v>0</v>
      </c>
      <c r="AH566" s="2"/>
      <c r="AI566" s="2">
        <v>-2205</v>
      </c>
      <c r="AJ566" s="2">
        <v>-2205</v>
      </c>
      <c r="AK566" s="2">
        <v>-2206</v>
      </c>
      <c r="AL566" s="2">
        <v>0</v>
      </c>
      <c r="AM566" s="2">
        <v>-2205</v>
      </c>
    </row>
    <row r="567" spans="1:39">
      <c r="A567" s="351">
        <v>96021</v>
      </c>
      <c r="B567" s="344" t="s">
        <v>1262</v>
      </c>
      <c r="C567" s="360">
        <v>7.0450000000000005E-4</v>
      </c>
      <c r="E567" s="2">
        <v>193555</v>
      </c>
      <c r="F567" s="2">
        <v>297447</v>
      </c>
      <c r="G567" s="2">
        <v>163835</v>
      </c>
      <c r="H567" s="2">
        <v>104845</v>
      </c>
      <c r="I567" s="2">
        <v>0</v>
      </c>
      <c r="J567" s="2"/>
      <c r="K567" s="2">
        <v>130621</v>
      </c>
      <c r="L567" s="2">
        <v>120324</v>
      </c>
      <c r="M567" s="2">
        <v>66968</v>
      </c>
      <c r="N567" s="2">
        <v>0</v>
      </c>
      <c r="O567" s="2">
        <v>0</v>
      </c>
      <c r="P567" s="2"/>
      <c r="Q567" s="2">
        <v>8467</v>
      </c>
      <c r="R567" s="2">
        <v>118430</v>
      </c>
      <c r="S567" s="2">
        <v>122525</v>
      </c>
      <c r="T567" s="2">
        <v>104845</v>
      </c>
      <c r="U567" s="2">
        <v>0</v>
      </c>
      <c r="V567" s="2"/>
      <c r="W567" s="2">
        <v>103404</v>
      </c>
      <c r="X567" s="2">
        <v>83946</v>
      </c>
      <c r="Y567" s="2">
        <v>0</v>
      </c>
      <c r="Z567" s="2">
        <v>0</v>
      </c>
      <c r="AA567" s="2">
        <v>0</v>
      </c>
      <c r="AB567" s="2"/>
      <c r="AC567" s="2">
        <v>2426</v>
      </c>
      <c r="AD567" s="2">
        <v>2426</v>
      </c>
      <c r="AE567" s="2">
        <v>2020</v>
      </c>
      <c r="AF567" s="2">
        <v>0</v>
      </c>
      <c r="AG567" s="2">
        <v>0</v>
      </c>
      <c r="AH567" s="2"/>
      <c r="AI567" s="2">
        <v>-51363</v>
      </c>
      <c r="AJ567" s="2">
        <v>-27679</v>
      </c>
      <c r="AK567" s="2">
        <v>-27678</v>
      </c>
      <c r="AL567" s="2">
        <v>0</v>
      </c>
      <c r="AM567" s="2">
        <v>-27679</v>
      </c>
    </row>
    <row r="568" spans="1:39">
      <c r="A568" s="351">
        <v>96031</v>
      </c>
      <c r="B568" s="344" t="s">
        <v>1263</v>
      </c>
      <c r="C568" s="360">
        <v>8.2890000000000004E-4</v>
      </c>
      <c r="E568" s="2">
        <v>212285</v>
      </c>
      <c r="F568" s="2">
        <v>330135</v>
      </c>
      <c r="G568" s="2">
        <v>183525</v>
      </c>
      <c r="H568" s="2">
        <v>123359</v>
      </c>
      <c r="I568" s="2">
        <v>0</v>
      </c>
      <c r="J568" s="2"/>
      <c r="K568" s="2">
        <v>153686</v>
      </c>
      <c r="L568" s="2">
        <v>141571</v>
      </c>
      <c r="M568" s="2">
        <v>78794</v>
      </c>
      <c r="N568" s="2">
        <v>0</v>
      </c>
      <c r="O568" s="2">
        <v>0</v>
      </c>
      <c r="P568" s="2"/>
      <c r="Q568" s="2">
        <v>9963</v>
      </c>
      <c r="R568" s="2">
        <v>139342</v>
      </c>
      <c r="S568" s="2">
        <v>144161</v>
      </c>
      <c r="T568" s="2">
        <v>123359</v>
      </c>
      <c r="U568" s="2">
        <v>0</v>
      </c>
      <c r="V568" s="2"/>
      <c r="W568" s="2">
        <v>121663</v>
      </c>
      <c r="X568" s="2">
        <v>98769</v>
      </c>
      <c r="Y568" s="2">
        <v>0</v>
      </c>
      <c r="Z568" s="2">
        <v>0</v>
      </c>
      <c r="AA568" s="2">
        <v>0</v>
      </c>
      <c r="AB568" s="2"/>
      <c r="AC568" s="2">
        <v>0</v>
      </c>
      <c r="AD568" s="2">
        <v>0</v>
      </c>
      <c r="AE568" s="2">
        <v>0</v>
      </c>
      <c r="AF568" s="2">
        <v>0</v>
      </c>
      <c r="AG568" s="2">
        <v>0</v>
      </c>
      <c r="AH568" s="2"/>
      <c r="AI568" s="2">
        <v>-73027</v>
      </c>
      <c r="AJ568" s="2">
        <v>-49547</v>
      </c>
      <c r="AK568" s="2">
        <v>-39430</v>
      </c>
      <c r="AL568" s="2">
        <v>0</v>
      </c>
      <c r="AM568" s="2">
        <v>-49547</v>
      </c>
    </row>
    <row r="569" spans="1:39">
      <c r="A569" s="351">
        <v>96041</v>
      </c>
      <c r="B569" s="344" t="s">
        <v>1264</v>
      </c>
      <c r="C569" s="360">
        <v>1.7784000000000001E-3</v>
      </c>
      <c r="E569" s="2">
        <v>583812</v>
      </c>
      <c r="F569" s="2">
        <v>800746</v>
      </c>
      <c r="G569" s="2">
        <v>485228</v>
      </c>
      <c r="H569" s="2">
        <v>264665</v>
      </c>
      <c r="I569" s="2">
        <v>0</v>
      </c>
      <c r="J569" s="2"/>
      <c r="K569" s="2">
        <v>329731</v>
      </c>
      <c r="L569" s="2">
        <v>303740</v>
      </c>
      <c r="M569" s="2">
        <v>169051</v>
      </c>
      <c r="N569" s="2">
        <v>0</v>
      </c>
      <c r="O569" s="2">
        <v>0</v>
      </c>
      <c r="P569" s="2"/>
      <c r="Q569" s="2">
        <v>21375</v>
      </c>
      <c r="R569" s="2">
        <v>298958</v>
      </c>
      <c r="S569" s="2">
        <v>309296</v>
      </c>
      <c r="T569" s="2">
        <v>264665</v>
      </c>
      <c r="U569" s="2">
        <v>0</v>
      </c>
      <c r="V569" s="2"/>
      <c r="W569" s="2">
        <v>261026</v>
      </c>
      <c r="X569" s="2">
        <v>211909</v>
      </c>
      <c r="Y569" s="2">
        <v>0</v>
      </c>
      <c r="Z569" s="2">
        <v>0</v>
      </c>
      <c r="AA569" s="2">
        <v>0</v>
      </c>
      <c r="AB569" s="2"/>
      <c r="AC569" s="2">
        <v>6879</v>
      </c>
      <c r="AD569" s="2">
        <v>6879</v>
      </c>
      <c r="AE569" s="2">
        <v>6881</v>
      </c>
      <c r="AF569" s="2">
        <v>0</v>
      </c>
      <c r="AG569" s="2">
        <v>0</v>
      </c>
      <c r="AH569" s="2"/>
      <c r="AI569" s="2">
        <v>-35199</v>
      </c>
      <c r="AJ569" s="2">
        <v>-20740</v>
      </c>
      <c r="AK569" s="2">
        <v>0</v>
      </c>
      <c r="AL569" s="2">
        <v>0</v>
      </c>
      <c r="AM569" s="2">
        <v>-20740</v>
      </c>
    </row>
    <row r="570" spans="1:39">
      <c r="A570" s="351">
        <v>96051</v>
      </c>
      <c r="B570" s="344" t="s">
        <v>1265</v>
      </c>
      <c r="C570" s="360">
        <v>1.0357000000000001E-3</v>
      </c>
      <c r="E570" s="2">
        <v>332183</v>
      </c>
      <c r="F570" s="2">
        <v>462099</v>
      </c>
      <c r="G570" s="2">
        <v>272355</v>
      </c>
      <c r="H570" s="2">
        <v>154135</v>
      </c>
      <c r="I570" s="2">
        <v>0</v>
      </c>
      <c r="J570" s="2"/>
      <c r="K570" s="2">
        <v>192028</v>
      </c>
      <c r="L570" s="2">
        <v>176891</v>
      </c>
      <c r="M570" s="2">
        <v>98452</v>
      </c>
      <c r="N570" s="2">
        <v>0</v>
      </c>
      <c r="O570" s="2">
        <v>0</v>
      </c>
      <c r="P570" s="2"/>
      <c r="Q570" s="2">
        <v>12448</v>
      </c>
      <c r="R570" s="2">
        <v>174106</v>
      </c>
      <c r="S570" s="2">
        <v>180127</v>
      </c>
      <c r="T570" s="2">
        <v>154135</v>
      </c>
      <c r="U570" s="2">
        <v>0</v>
      </c>
      <c r="V570" s="2"/>
      <c r="W570" s="2">
        <v>152016</v>
      </c>
      <c r="X570" s="2">
        <v>123411</v>
      </c>
      <c r="Y570" s="2">
        <v>0</v>
      </c>
      <c r="Z570" s="2">
        <v>0</v>
      </c>
      <c r="AA570" s="2">
        <v>0</v>
      </c>
      <c r="AB570" s="2"/>
      <c r="AC570" s="2">
        <v>17178</v>
      </c>
      <c r="AD570" s="2">
        <v>17178</v>
      </c>
      <c r="AE570" s="2">
        <v>17176</v>
      </c>
      <c r="AF570" s="2">
        <v>0</v>
      </c>
      <c r="AG570" s="2">
        <v>0</v>
      </c>
      <c r="AH570" s="2"/>
      <c r="AI570" s="2">
        <v>-41487</v>
      </c>
      <c r="AJ570" s="2">
        <v>-29487</v>
      </c>
      <c r="AK570" s="2">
        <v>-23400</v>
      </c>
      <c r="AL570" s="2">
        <v>0</v>
      </c>
      <c r="AM570" s="2">
        <v>-29487</v>
      </c>
    </row>
    <row r="571" spans="1:39">
      <c r="A571" s="351">
        <v>96061</v>
      </c>
      <c r="B571" s="344" t="s">
        <v>1266</v>
      </c>
      <c r="C571" s="360">
        <v>3.2640000000000002E-4</v>
      </c>
      <c r="E571" s="2">
        <v>112449</v>
      </c>
      <c r="F571" s="2">
        <v>144507</v>
      </c>
      <c r="G571" s="2">
        <v>85295</v>
      </c>
      <c r="H571" s="2">
        <v>48576</v>
      </c>
      <c r="I571" s="2">
        <v>0</v>
      </c>
      <c r="J571" s="2"/>
      <c r="K571" s="2">
        <v>60517</v>
      </c>
      <c r="L571" s="2">
        <v>55747</v>
      </c>
      <c r="M571" s="2">
        <v>31027</v>
      </c>
      <c r="N571" s="2">
        <v>0</v>
      </c>
      <c r="O571" s="2">
        <v>0</v>
      </c>
      <c r="P571" s="2"/>
      <c r="Q571" s="2">
        <v>3923</v>
      </c>
      <c r="R571" s="2">
        <v>54869</v>
      </c>
      <c r="S571" s="2">
        <v>56767</v>
      </c>
      <c r="T571" s="2">
        <v>48576</v>
      </c>
      <c r="U571" s="2">
        <v>0</v>
      </c>
      <c r="V571" s="2"/>
      <c r="W571" s="2">
        <v>47908</v>
      </c>
      <c r="X571" s="2">
        <v>38893</v>
      </c>
      <c r="Y571" s="2">
        <v>0</v>
      </c>
      <c r="Z571" s="2">
        <v>0</v>
      </c>
      <c r="AA571" s="2">
        <v>0</v>
      </c>
      <c r="AB571" s="2"/>
      <c r="AC571" s="2">
        <v>10075</v>
      </c>
      <c r="AD571" s="2">
        <v>4970</v>
      </c>
      <c r="AE571" s="2">
        <v>4971</v>
      </c>
      <c r="AF571" s="2">
        <v>0</v>
      </c>
      <c r="AG571" s="2">
        <v>0</v>
      </c>
      <c r="AH571" s="2"/>
      <c r="AI571" s="2">
        <v>-9974</v>
      </c>
      <c r="AJ571" s="2">
        <v>-9972</v>
      </c>
      <c r="AK571" s="2">
        <v>-7470</v>
      </c>
      <c r="AL571" s="2">
        <v>0</v>
      </c>
      <c r="AM571" s="2">
        <v>-9972</v>
      </c>
    </row>
    <row r="572" spans="1:39">
      <c r="A572" s="351">
        <v>96071</v>
      </c>
      <c r="B572" s="344" t="s">
        <v>1267</v>
      </c>
      <c r="C572" s="360">
        <v>1.3179000000000001E-3</v>
      </c>
      <c r="E572" s="2">
        <v>522465</v>
      </c>
      <c r="F572" s="2">
        <v>664631</v>
      </c>
      <c r="G572" s="2">
        <v>403353</v>
      </c>
      <c r="H572" s="2">
        <v>196133</v>
      </c>
      <c r="I572" s="2">
        <v>0</v>
      </c>
      <c r="J572" s="2"/>
      <c r="K572" s="2">
        <v>244351</v>
      </c>
      <c r="L572" s="2">
        <v>225089</v>
      </c>
      <c r="M572" s="2">
        <v>125277</v>
      </c>
      <c r="N572" s="2">
        <v>0</v>
      </c>
      <c r="O572" s="2">
        <v>0</v>
      </c>
      <c r="P572" s="2"/>
      <c r="Q572" s="2">
        <v>15840</v>
      </c>
      <c r="R572" s="2">
        <v>221546</v>
      </c>
      <c r="S572" s="2">
        <v>229207</v>
      </c>
      <c r="T572" s="2">
        <v>196133</v>
      </c>
      <c r="U572" s="2">
        <v>0</v>
      </c>
      <c r="V572" s="2"/>
      <c r="W572" s="2">
        <v>193436</v>
      </c>
      <c r="X572" s="2">
        <v>157037</v>
      </c>
      <c r="Y572" s="2">
        <v>0</v>
      </c>
      <c r="Z572" s="2">
        <v>0</v>
      </c>
      <c r="AA572" s="2">
        <v>0</v>
      </c>
      <c r="AB572" s="2"/>
      <c r="AC572" s="2">
        <v>68838</v>
      </c>
      <c r="AD572" s="2">
        <v>60959</v>
      </c>
      <c r="AE572" s="2">
        <v>48869</v>
      </c>
      <c r="AF572" s="2">
        <v>0</v>
      </c>
      <c r="AG572" s="2">
        <v>0</v>
      </c>
      <c r="AH572" s="2"/>
      <c r="AI572" s="2">
        <v>0</v>
      </c>
      <c r="AJ572" s="2">
        <v>0</v>
      </c>
      <c r="AK572" s="2">
        <v>0</v>
      </c>
      <c r="AL572" s="2">
        <v>0</v>
      </c>
      <c r="AM572" s="2">
        <v>0</v>
      </c>
    </row>
    <row r="573" spans="1:39">
      <c r="A573" s="351">
        <v>96081</v>
      </c>
      <c r="B573" s="344" t="s">
        <v>1268</v>
      </c>
      <c r="C573" s="360">
        <v>5.5960000000000005E-4</v>
      </c>
      <c r="E573" s="2">
        <v>194618</v>
      </c>
      <c r="F573" s="2">
        <v>257596</v>
      </c>
      <c r="G573" s="2">
        <v>150094</v>
      </c>
      <c r="H573" s="2">
        <v>83281</v>
      </c>
      <c r="I573" s="2">
        <v>0</v>
      </c>
      <c r="J573" s="2"/>
      <c r="K573" s="2">
        <v>103755</v>
      </c>
      <c r="L573" s="2">
        <v>95576</v>
      </c>
      <c r="M573" s="2">
        <v>53194</v>
      </c>
      <c r="N573" s="2">
        <v>0</v>
      </c>
      <c r="O573" s="2">
        <v>0</v>
      </c>
      <c r="P573" s="2"/>
      <c r="Q573" s="2">
        <v>6726</v>
      </c>
      <c r="R573" s="2">
        <v>94072</v>
      </c>
      <c r="S573" s="2">
        <v>97325</v>
      </c>
      <c r="T573" s="2">
        <v>83281</v>
      </c>
      <c r="U573" s="2">
        <v>0</v>
      </c>
      <c r="V573" s="2"/>
      <c r="W573" s="2">
        <v>82136</v>
      </c>
      <c r="X573" s="2">
        <v>66680</v>
      </c>
      <c r="Y573" s="2">
        <v>0</v>
      </c>
      <c r="Z573" s="2">
        <v>0</v>
      </c>
      <c r="AA573" s="2">
        <v>0</v>
      </c>
      <c r="AB573" s="2"/>
      <c r="AC573" s="2">
        <v>6788</v>
      </c>
      <c r="AD573" s="2">
        <v>6055</v>
      </c>
      <c r="AE573" s="2">
        <v>4363</v>
      </c>
      <c r="AF573" s="2">
        <v>0</v>
      </c>
      <c r="AG573" s="2">
        <v>0</v>
      </c>
      <c r="AH573" s="2"/>
      <c r="AI573" s="2">
        <v>-4787</v>
      </c>
      <c r="AJ573" s="2">
        <v>-4787</v>
      </c>
      <c r="AK573" s="2">
        <v>-4788</v>
      </c>
      <c r="AL573" s="2">
        <v>0</v>
      </c>
      <c r="AM573" s="2">
        <v>-4787</v>
      </c>
    </row>
    <row r="574" spans="1:39">
      <c r="A574" s="351">
        <v>96101</v>
      </c>
      <c r="B574" s="344" t="s">
        <v>1269</v>
      </c>
      <c r="C574" s="360">
        <v>6.2960000000000002E-4</v>
      </c>
      <c r="E574" s="2">
        <v>205110</v>
      </c>
      <c r="F574" s="2">
        <v>271461</v>
      </c>
      <c r="G574" s="2">
        <v>143906</v>
      </c>
      <c r="H574" s="2">
        <v>93698</v>
      </c>
      <c r="I574" s="2">
        <v>0</v>
      </c>
      <c r="J574" s="2"/>
      <c r="K574" s="2">
        <v>116734</v>
      </c>
      <c r="L574" s="2">
        <v>107532</v>
      </c>
      <c r="M574" s="2">
        <v>59849</v>
      </c>
      <c r="N574" s="2">
        <v>0</v>
      </c>
      <c r="O574" s="2">
        <v>0</v>
      </c>
      <c r="P574" s="2"/>
      <c r="Q574" s="2">
        <v>7567</v>
      </c>
      <c r="R574" s="2">
        <v>105839</v>
      </c>
      <c r="S574" s="2">
        <v>109499</v>
      </c>
      <c r="T574" s="2">
        <v>93698</v>
      </c>
      <c r="U574" s="2">
        <v>0</v>
      </c>
      <c r="V574" s="2"/>
      <c r="W574" s="2">
        <v>92410</v>
      </c>
      <c r="X574" s="2">
        <v>75021</v>
      </c>
      <c r="Y574" s="2">
        <v>0</v>
      </c>
      <c r="Z574" s="2">
        <v>0</v>
      </c>
      <c r="AA574" s="2">
        <v>0</v>
      </c>
      <c r="AB574" s="2"/>
      <c r="AC574" s="2">
        <v>13842</v>
      </c>
      <c r="AD574" s="2">
        <v>8512</v>
      </c>
      <c r="AE574" s="2">
        <v>0</v>
      </c>
      <c r="AF574" s="2">
        <v>0</v>
      </c>
      <c r="AG574" s="2">
        <v>0</v>
      </c>
      <c r="AH574" s="2"/>
      <c r="AI574" s="2">
        <v>-25443</v>
      </c>
      <c r="AJ574" s="2">
        <v>-25443</v>
      </c>
      <c r="AK574" s="2">
        <v>-25442</v>
      </c>
      <c r="AL574" s="2">
        <v>0</v>
      </c>
      <c r="AM574" s="2">
        <v>-25443</v>
      </c>
    </row>
    <row r="575" spans="1:39">
      <c r="A575" s="351">
        <v>96102</v>
      </c>
      <c r="B575" s="344" t="s">
        <v>2800</v>
      </c>
      <c r="C575" s="360">
        <v>1.1399999999999999E-5</v>
      </c>
      <c r="E575" s="2">
        <v>2317</v>
      </c>
      <c r="F575" s="2">
        <v>3947</v>
      </c>
      <c r="G575" s="2">
        <v>2331</v>
      </c>
      <c r="H575" s="2">
        <v>1697</v>
      </c>
      <c r="I575" s="2">
        <v>0</v>
      </c>
      <c r="J575" s="2"/>
      <c r="K575" s="2">
        <v>2114</v>
      </c>
      <c r="L575" s="2">
        <v>1947</v>
      </c>
      <c r="M575" s="2">
        <v>1084</v>
      </c>
      <c r="N575" s="2">
        <v>0</v>
      </c>
      <c r="O575" s="2">
        <v>0</v>
      </c>
      <c r="P575" s="2"/>
      <c r="Q575" s="2">
        <v>137</v>
      </c>
      <c r="R575" s="2">
        <v>1916</v>
      </c>
      <c r="S575" s="2">
        <v>1983</v>
      </c>
      <c r="T575" s="2">
        <v>1697</v>
      </c>
      <c r="U575" s="2">
        <v>0</v>
      </c>
      <c r="V575" s="2"/>
      <c r="W575" s="2">
        <v>1673</v>
      </c>
      <c r="X575" s="2">
        <v>1358</v>
      </c>
      <c r="Y575" s="2">
        <v>0</v>
      </c>
      <c r="Z575" s="2">
        <v>0</v>
      </c>
      <c r="AA575" s="2">
        <v>0</v>
      </c>
      <c r="AB575" s="2"/>
      <c r="AC575" s="2">
        <v>0</v>
      </c>
      <c r="AD575" s="2">
        <v>0</v>
      </c>
      <c r="AE575" s="2">
        <v>0</v>
      </c>
      <c r="AF575" s="2">
        <v>0</v>
      </c>
      <c r="AG575" s="2">
        <v>0</v>
      </c>
      <c r="AH575" s="2"/>
      <c r="AI575" s="2">
        <v>-1607</v>
      </c>
      <c r="AJ575" s="2">
        <v>-1274</v>
      </c>
      <c r="AK575" s="2">
        <v>-736</v>
      </c>
      <c r="AL575" s="2">
        <v>0</v>
      </c>
      <c r="AM575" s="2">
        <v>-1274</v>
      </c>
    </row>
    <row r="576" spans="1:39">
      <c r="A576" s="351">
        <v>96111</v>
      </c>
      <c r="B576" s="344" t="s">
        <v>1271</v>
      </c>
      <c r="C576" s="360">
        <v>1.6689999999999999E-4</v>
      </c>
      <c r="E576" s="2">
        <v>70317</v>
      </c>
      <c r="F576" s="2">
        <v>89736</v>
      </c>
      <c r="G576" s="2">
        <v>55990</v>
      </c>
      <c r="H576" s="2">
        <v>24838</v>
      </c>
      <c r="I576" s="2">
        <v>0</v>
      </c>
      <c r="J576" s="2"/>
      <c r="K576" s="2">
        <v>30945</v>
      </c>
      <c r="L576" s="2">
        <v>28506</v>
      </c>
      <c r="M576" s="2">
        <v>15865</v>
      </c>
      <c r="N576" s="2">
        <v>0</v>
      </c>
      <c r="O576" s="2">
        <v>0</v>
      </c>
      <c r="P576" s="2"/>
      <c r="Q576" s="2">
        <v>2006</v>
      </c>
      <c r="R576" s="2">
        <v>28057</v>
      </c>
      <c r="S576" s="2">
        <v>29027</v>
      </c>
      <c r="T576" s="2">
        <v>24838</v>
      </c>
      <c r="U576" s="2">
        <v>0</v>
      </c>
      <c r="V576" s="2"/>
      <c r="W576" s="2">
        <v>24497</v>
      </c>
      <c r="X576" s="2">
        <v>19887</v>
      </c>
      <c r="Y576" s="2">
        <v>0</v>
      </c>
      <c r="Z576" s="2">
        <v>0</v>
      </c>
      <c r="AA576" s="2">
        <v>0</v>
      </c>
      <c r="AB576" s="2"/>
      <c r="AC576" s="2">
        <v>13288</v>
      </c>
      <c r="AD576" s="2">
        <v>13286</v>
      </c>
      <c r="AE576" s="2">
        <v>11098</v>
      </c>
      <c r="AF576" s="2">
        <v>0</v>
      </c>
      <c r="AG576" s="2">
        <v>0</v>
      </c>
      <c r="AH576" s="2"/>
      <c r="AI576" s="2">
        <v>-419</v>
      </c>
      <c r="AJ576" s="2">
        <v>0</v>
      </c>
      <c r="AK576" s="2">
        <v>0</v>
      </c>
      <c r="AL576" s="2">
        <v>0</v>
      </c>
      <c r="AM576" s="2">
        <v>0</v>
      </c>
    </row>
    <row r="577" spans="1:39">
      <c r="A577" s="351">
        <v>96121</v>
      </c>
      <c r="B577" s="344" t="s">
        <v>1272</v>
      </c>
      <c r="C577" s="360">
        <v>1.6699999999999999E-5</v>
      </c>
      <c r="E577" s="2">
        <v>2011</v>
      </c>
      <c r="F577" s="2">
        <v>4104</v>
      </c>
      <c r="G577" s="2">
        <v>1302</v>
      </c>
      <c r="H577" s="2">
        <v>2485</v>
      </c>
      <c r="I577" s="2">
        <v>0</v>
      </c>
      <c r="J577" s="2"/>
      <c r="K577" s="2">
        <v>3096</v>
      </c>
      <c r="L577" s="2">
        <v>2852</v>
      </c>
      <c r="M577" s="2">
        <v>1587</v>
      </c>
      <c r="N577" s="2">
        <v>0</v>
      </c>
      <c r="O577" s="2">
        <v>0</v>
      </c>
      <c r="P577" s="2"/>
      <c r="Q577" s="2">
        <v>201</v>
      </c>
      <c r="R577" s="2">
        <v>2807</v>
      </c>
      <c r="S577" s="2">
        <v>2904</v>
      </c>
      <c r="T577" s="2">
        <v>2485</v>
      </c>
      <c r="U577" s="2">
        <v>0</v>
      </c>
      <c r="V577" s="2"/>
      <c r="W577" s="2">
        <v>2451</v>
      </c>
      <c r="X577" s="2">
        <v>1990</v>
      </c>
      <c r="Y577" s="2">
        <v>0</v>
      </c>
      <c r="Z577" s="2">
        <v>0</v>
      </c>
      <c r="AA577" s="2">
        <v>0</v>
      </c>
      <c r="AB577" s="2"/>
      <c r="AC577" s="2">
        <v>92</v>
      </c>
      <c r="AD577" s="2">
        <v>92</v>
      </c>
      <c r="AE577" s="2">
        <v>93</v>
      </c>
      <c r="AF577" s="2">
        <v>0</v>
      </c>
      <c r="AG577" s="2">
        <v>0</v>
      </c>
      <c r="AH577" s="2"/>
      <c r="AI577" s="2">
        <v>-3829</v>
      </c>
      <c r="AJ577" s="2">
        <v>-3637</v>
      </c>
      <c r="AK577" s="2">
        <v>-3282</v>
      </c>
      <c r="AL577" s="2">
        <v>0</v>
      </c>
      <c r="AM577" s="2">
        <v>-3637</v>
      </c>
    </row>
    <row r="578" spans="1:39">
      <c r="A578" s="351">
        <v>96201</v>
      </c>
      <c r="B578" s="344" t="s">
        <v>1273</v>
      </c>
      <c r="C578" s="360">
        <v>9.7280000000000001E-4</v>
      </c>
      <c r="E578" s="2">
        <v>280883</v>
      </c>
      <c r="F578" s="2">
        <v>402974</v>
      </c>
      <c r="G578" s="2">
        <v>231697</v>
      </c>
      <c r="H578" s="2">
        <v>144774</v>
      </c>
      <c r="I578" s="2">
        <v>0</v>
      </c>
      <c r="J578" s="2"/>
      <c r="K578" s="2">
        <v>180366</v>
      </c>
      <c r="L578" s="2">
        <v>166148</v>
      </c>
      <c r="M578" s="2">
        <v>92472</v>
      </c>
      <c r="N578" s="2">
        <v>0</v>
      </c>
      <c r="O578" s="2">
        <v>0</v>
      </c>
      <c r="P578" s="2"/>
      <c r="Q578" s="2">
        <v>11692</v>
      </c>
      <c r="R578" s="2">
        <v>163533</v>
      </c>
      <c r="S578" s="2">
        <v>169187</v>
      </c>
      <c r="T578" s="2">
        <v>144774</v>
      </c>
      <c r="U578" s="2">
        <v>0</v>
      </c>
      <c r="V578" s="2"/>
      <c r="W578" s="2">
        <v>142784</v>
      </c>
      <c r="X578" s="2">
        <v>115916</v>
      </c>
      <c r="Y578" s="2">
        <v>0</v>
      </c>
      <c r="Z578" s="2">
        <v>0</v>
      </c>
      <c r="AA578" s="2">
        <v>0</v>
      </c>
      <c r="AB578" s="2"/>
      <c r="AC578" s="2">
        <v>0</v>
      </c>
      <c r="AD578" s="2">
        <v>0</v>
      </c>
      <c r="AE578" s="2">
        <v>0</v>
      </c>
      <c r="AF578" s="2">
        <v>0</v>
      </c>
      <c r="AG578" s="2">
        <v>0</v>
      </c>
      <c r="AH578" s="2"/>
      <c r="AI578" s="2">
        <v>-53959</v>
      </c>
      <c r="AJ578" s="2">
        <v>-42623</v>
      </c>
      <c r="AK578" s="2">
        <v>-29962</v>
      </c>
      <c r="AL578" s="2">
        <v>0</v>
      </c>
      <c r="AM578" s="2">
        <v>-42623</v>
      </c>
    </row>
    <row r="579" spans="1:39">
      <c r="A579" s="351">
        <v>96204</v>
      </c>
      <c r="B579" s="344" t="s">
        <v>1274</v>
      </c>
      <c r="C579" s="360">
        <v>1.3699999999999999E-5</v>
      </c>
      <c r="E579" s="2">
        <v>6778</v>
      </c>
      <c r="F579" s="2">
        <v>8075</v>
      </c>
      <c r="G579" s="2">
        <v>5179</v>
      </c>
      <c r="H579" s="2">
        <v>2039</v>
      </c>
      <c r="I579" s="2">
        <v>0</v>
      </c>
      <c r="J579" s="2"/>
      <c r="K579" s="2">
        <v>2540</v>
      </c>
      <c r="L579" s="2">
        <v>2340</v>
      </c>
      <c r="M579" s="2">
        <v>1302</v>
      </c>
      <c r="N579" s="2">
        <v>0</v>
      </c>
      <c r="O579" s="2">
        <v>0</v>
      </c>
      <c r="P579" s="2"/>
      <c r="Q579" s="2">
        <v>165</v>
      </c>
      <c r="R579" s="2">
        <v>2303</v>
      </c>
      <c r="S579" s="2">
        <v>2383</v>
      </c>
      <c r="T579" s="2">
        <v>2039</v>
      </c>
      <c r="U579" s="2">
        <v>0</v>
      </c>
      <c r="V579" s="2"/>
      <c r="W579" s="2">
        <v>2011</v>
      </c>
      <c r="X579" s="2">
        <v>1632</v>
      </c>
      <c r="Y579" s="2">
        <v>0</v>
      </c>
      <c r="Z579" s="2">
        <v>0</v>
      </c>
      <c r="AA579" s="2">
        <v>0</v>
      </c>
      <c r="AB579" s="2"/>
      <c r="AC579" s="2">
        <v>2062</v>
      </c>
      <c r="AD579" s="2">
        <v>1800</v>
      </c>
      <c r="AE579" s="2">
        <v>1494</v>
      </c>
      <c r="AF579" s="2">
        <v>0</v>
      </c>
      <c r="AG579" s="2">
        <v>0</v>
      </c>
      <c r="AH579" s="2"/>
      <c r="AI579" s="2">
        <v>0</v>
      </c>
      <c r="AJ579" s="2">
        <v>0</v>
      </c>
      <c r="AK579" s="2">
        <v>0</v>
      </c>
      <c r="AL579" s="2">
        <v>0</v>
      </c>
      <c r="AM579" s="2">
        <v>0</v>
      </c>
    </row>
    <row r="580" spans="1:39">
      <c r="A580" s="351">
        <v>96211</v>
      </c>
      <c r="B580" s="344" t="s">
        <v>1275</v>
      </c>
      <c r="C580" s="360">
        <v>2.1999999999999999E-5</v>
      </c>
      <c r="E580" s="2">
        <v>10169</v>
      </c>
      <c r="F580" s="2">
        <v>12496</v>
      </c>
      <c r="G580" s="2">
        <v>7235</v>
      </c>
      <c r="H580" s="2">
        <v>3274</v>
      </c>
      <c r="I580" s="2">
        <v>0</v>
      </c>
      <c r="J580" s="2"/>
      <c r="K580" s="2">
        <v>4079</v>
      </c>
      <c r="L580" s="2">
        <v>3757</v>
      </c>
      <c r="M580" s="2">
        <v>2091</v>
      </c>
      <c r="N580" s="2">
        <v>0</v>
      </c>
      <c r="O580" s="2">
        <v>0</v>
      </c>
      <c r="P580" s="2"/>
      <c r="Q580" s="2">
        <v>264</v>
      </c>
      <c r="R580" s="2">
        <v>3698</v>
      </c>
      <c r="S580" s="2">
        <v>3826</v>
      </c>
      <c r="T580" s="2">
        <v>3274</v>
      </c>
      <c r="U580" s="2">
        <v>0</v>
      </c>
      <c r="V580" s="2"/>
      <c r="W580" s="2">
        <v>3229</v>
      </c>
      <c r="X580" s="2">
        <v>2621</v>
      </c>
      <c r="Y580" s="2">
        <v>0</v>
      </c>
      <c r="Z580" s="2">
        <v>0</v>
      </c>
      <c r="AA580" s="2">
        <v>0</v>
      </c>
      <c r="AB580" s="2"/>
      <c r="AC580" s="2">
        <v>2597</v>
      </c>
      <c r="AD580" s="2">
        <v>2420</v>
      </c>
      <c r="AE580" s="2">
        <v>1318</v>
      </c>
      <c r="AF580" s="2">
        <v>0</v>
      </c>
      <c r="AG580" s="2">
        <v>0</v>
      </c>
      <c r="AH580" s="2"/>
      <c r="AI580" s="2">
        <v>0</v>
      </c>
      <c r="AJ580" s="2">
        <v>0</v>
      </c>
      <c r="AK580" s="2">
        <v>0</v>
      </c>
      <c r="AL580" s="2">
        <v>0</v>
      </c>
      <c r="AM580" s="2">
        <v>0</v>
      </c>
    </row>
    <row r="581" spans="1:39">
      <c r="A581" s="351">
        <v>96221</v>
      </c>
      <c r="B581" s="344" t="s">
        <v>1276</v>
      </c>
      <c r="C581" s="360">
        <v>1.964E-4</v>
      </c>
      <c r="E581" s="2">
        <v>54193</v>
      </c>
      <c r="F581" s="2">
        <v>77504</v>
      </c>
      <c r="G581" s="2">
        <v>42458</v>
      </c>
      <c r="H581" s="2">
        <v>29229</v>
      </c>
      <c r="I581" s="2">
        <v>0</v>
      </c>
      <c r="J581" s="2"/>
      <c r="K581" s="2">
        <v>36414</v>
      </c>
      <c r="L581" s="2">
        <v>33544</v>
      </c>
      <c r="M581" s="2">
        <v>18669</v>
      </c>
      <c r="N581" s="2">
        <v>0</v>
      </c>
      <c r="O581" s="2">
        <v>0</v>
      </c>
      <c r="P581" s="2"/>
      <c r="Q581" s="2">
        <v>2361</v>
      </c>
      <c r="R581" s="2">
        <v>33016</v>
      </c>
      <c r="S581" s="2">
        <v>34157</v>
      </c>
      <c r="T581" s="2">
        <v>29229</v>
      </c>
      <c r="U581" s="2">
        <v>0</v>
      </c>
      <c r="V581" s="2"/>
      <c r="W581" s="2">
        <v>28827</v>
      </c>
      <c r="X581" s="2">
        <v>23402</v>
      </c>
      <c r="Y581" s="2">
        <v>0</v>
      </c>
      <c r="Z581" s="2">
        <v>0</v>
      </c>
      <c r="AA581" s="2">
        <v>0</v>
      </c>
      <c r="AB581" s="2"/>
      <c r="AC581" s="2">
        <v>0</v>
      </c>
      <c r="AD581" s="2">
        <v>0</v>
      </c>
      <c r="AE581" s="2">
        <v>0</v>
      </c>
      <c r="AF581" s="2">
        <v>0</v>
      </c>
      <c r="AG581" s="2">
        <v>0</v>
      </c>
      <c r="AH581" s="2"/>
      <c r="AI581" s="2">
        <v>-13409</v>
      </c>
      <c r="AJ581" s="2">
        <v>-12458</v>
      </c>
      <c r="AK581" s="2">
        <v>-10368</v>
      </c>
      <c r="AL581" s="2">
        <v>0</v>
      </c>
      <c r="AM581" s="2">
        <v>-12458</v>
      </c>
    </row>
    <row r="582" spans="1:39">
      <c r="A582" s="351">
        <v>96231</v>
      </c>
      <c r="B582" s="344" t="s">
        <v>1277</v>
      </c>
      <c r="C582" s="360">
        <v>1.058E-4</v>
      </c>
      <c r="E582" s="2">
        <v>20854</v>
      </c>
      <c r="F582" s="2">
        <v>32262</v>
      </c>
      <c r="G582" s="2">
        <v>16026</v>
      </c>
      <c r="H582" s="2">
        <v>15745</v>
      </c>
      <c r="I582" s="2">
        <v>0</v>
      </c>
      <c r="J582" s="2"/>
      <c r="K582" s="2">
        <v>19616</v>
      </c>
      <c r="L582" s="2">
        <v>18070</v>
      </c>
      <c r="M582" s="2">
        <v>10057</v>
      </c>
      <c r="N582" s="2">
        <v>0</v>
      </c>
      <c r="O582" s="2">
        <v>0</v>
      </c>
      <c r="P582" s="2"/>
      <c r="Q582" s="2">
        <v>1272</v>
      </c>
      <c r="R582" s="2">
        <v>17786</v>
      </c>
      <c r="S582" s="2">
        <v>18401</v>
      </c>
      <c r="T582" s="2">
        <v>15745</v>
      </c>
      <c r="U582" s="2">
        <v>0</v>
      </c>
      <c r="V582" s="2"/>
      <c r="W582" s="2">
        <v>15529</v>
      </c>
      <c r="X582" s="2">
        <v>12607</v>
      </c>
      <c r="Y582" s="2">
        <v>0</v>
      </c>
      <c r="Z582" s="2">
        <v>0</v>
      </c>
      <c r="AA582" s="2">
        <v>0</v>
      </c>
      <c r="AB582" s="2"/>
      <c r="AC582" s="2">
        <v>637</v>
      </c>
      <c r="AD582" s="2">
        <v>0</v>
      </c>
      <c r="AE582" s="2">
        <v>0</v>
      </c>
      <c r="AF582" s="2">
        <v>0</v>
      </c>
      <c r="AG582" s="2">
        <v>0</v>
      </c>
      <c r="AH582" s="2"/>
      <c r="AI582" s="2">
        <v>-16200</v>
      </c>
      <c r="AJ582" s="2">
        <v>-16201</v>
      </c>
      <c r="AK582" s="2">
        <v>-12432</v>
      </c>
      <c r="AL582" s="2">
        <v>0</v>
      </c>
      <c r="AM582" s="2">
        <v>-16201</v>
      </c>
    </row>
    <row r="583" spans="1:39">
      <c r="A583" s="351">
        <v>96241</v>
      </c>
      <c r="B583" s="344" t="s">
        <v>1278</v>
      </c>
      <c r="C583" s="360">
        <v>5.9599999999999999E-5</v>
      </c>
      <c r="E583" s="2">
        <v>18686</v>
      </c>
      <c r="F583" s="2">
        <v>25252</v>
      </c>
      <c r="G583" s="2">
        <v>12918</v>
      </c>
      <c r="H583" s="2">
        <v>8870</v>
      </c>
      <c r="I583" s="2">
        <v>0</v>
      </c>
      <c r="J583" s="2"/>
      <c r="K583" s="2">
        <v>11050</v>
      </c>
      <c r="L583" s="2">
        <v>10179</v>
      </c>
      <c r="M583" s="2">
        <v>5665</v>
      </c>
      <c r="N583" s="2">
        <v>0</v>
      </c>
      <c r="O583" s="2">
        <v>0</v>
      </c>
      <c r="P583" s="2"/>
      <c r="Q583" s="2">
        <v>716</v>
      </c>
      <c r="R583" s="2">
        <v>10019</v>
      </c>
      <c r="S583" s="2">
        <v>10366</v>
      </c>
      <c r="T583" s="2">
        <v>8870</v>
      </c>
      <c r="U583" s="2">
        <v>0</v>
      </c>
      <c r="V583" s="2"/>
      <c r="W583" s="2">
        <v>8748</v>
      </c>
      <c r="X583" s="2">
        <v>7102</v>
      </c>
      <c r="Y583" s="2">
        <v>0</v>
      </c>
      <c r="Z583" s="2">
        <v>0</v>
      </c>
      <c r="AA583" s="2">
        <v>0</v>
      </c>
      <c r="AB583" s="2"/>
      <c r="AC583" s="2">
        <v>2106</v>
      </c>
      <c r="AD583" s="2">
        <v>1886</v>
      </c>
      <c r="AE583" s="2">
        <v>819</v>
      </c>
      <c r="AF583" s="2">
        <v>0</v>
      </c>
      <c r="AG583" s="2">
        <v>0</v>
      </c>
      <c r="AH583" s="2"/>
      <c r="AI583" s="2">
        <v>-3934</v>
      </c>
      <c r="AJ583" s="2">
        <v>-3934</v>
      </c>
      <c r="AK583" s="2">
        <v>-3932</v>
      </c>
      <c r="AL583" s="2">
        <v>0</v>
      </c>
      <c r="AM583" s="2">
        <v>-3934</v>
      </c>
    </row>
    <row r="584" spans="1:39">
      <c r="A584" s="351">
        <v>96251</v>
      </c>
      <c r="B584" s="344" t="s">
        <v>1279</v>
      </c>
      <c r="C584" s="360">
        <v>8.8399999999999994E-5</v>
      </c>
      <c r="E584" s="2">
        <v>21776</v>
      </c>
      <c r="F584" s="2">
        <v>30291</v>
      </c>
      <c r="G584" s="2">
        <v>14118</v>
      </c>
      <c r="H584" s="2">
        <v>13156</v>
      </c>
      <c r="I584" s="2">
        <v>0</v>
      </c>
      <c r="J584" s="2"/>
      <c r="K584" s="2">
        <v>16390</v>
      </c>
      <c r="L584" s="2">
        <v>15098</v>
      </c>
      <c r="M584" s="2">
        <v>8403</v>
      </c>
      <c r="N584" s="2">
        <v>0</v>
      </c>
      <c r="O584" s="2">
        <v>0</v>
      </c>
      <c r="P584" s="2"/>
      <c r="Q584" s="2">
        <v>1062</v>
      </c>
      <c r="R584" s="2">
        <v>14860</v>
      </c>
      <c r="S584" s="2">
        <v>15374</v>
      </c>
      <c r="T584" s="2">
        <v>13156</v>
      </c>
      <c r="U584" s="2">
        <v>0</v>
      </c>
      <c r="V584" s="2"/>
      <c r="W584" s="2">
        <v>12975</v>
      </c>
      <c r="X584" s="2">
        <v>10533</v>
      </c>
      <c r="Y584" s="2">
        <v>0</v>
      </c>
      <c r="Z584" s="2">
        <v>0</v>
      </c>
      <c r="AA584" s="2">
        <v>0</v>
      </c>
      <c r="AB584" s="2"/>
      <c r="AC584" s="2">
        <v>1551</v>
      </c>
      <c r="AD584" s="2">
        <v>0</v>
      </c>
      <c r="AE584" s="2">
        <v>0</v>
      </c>
      <c r="AF584" s="2">
        <v>0</v>
      </c>
      <c r="AG584" s="2">
        <v>0</v>
      </c>
      <c r="AH584" s="2"/>
      <c r="AI584" s="2">
        <v>-10202</v>
      </c>
      <c r="AJ584" s="2">
        <v>-10200</v>
      </c>
      <c r="AK584" s="2">
        <v>-9659</v>
      </c>
      <c r="AL584" s="2">
        <v>0</v>
      </c>
      <c r="AM584" s="2">
        <v>-10200</v>
      </c>
    </row>
    <row r="585" spans="1:39">
      <c r="A585" s="351">
        <v>96301</v>
      </c>
      <c r="B585" s="344" t="s">
        <v>1280</v>
      </c>
      <c r="C585" s="360">
        <v>4.7971999999999997E-3</v>
      </c>
      <c r="E585" s="2">
        <v>1703375</v>
      </c>
      <c r="F585" s="2">
        <v>2264458</v>
      </c>
      <c r="G585" s="2">
        <v>1364363</v>
      </c>
      <c r="H585" s="2">
        <v>713929</v>
      </c>
      <c r="I585" s="2">
        <v>0</v>
      </c>
      <c r="J585" s="2"/>
      <c r="K585" s="2">
        <v>889444</v>
      </c>
      <c r="L585" s="2">
        <v>819333</v>
      </c>
      <c r="M585" s="2">
        <v>456012</v>
      </c>
      <c r="N585" s="2">
        <v>0</v>
      </c>
      <c r="O585" s="2">
        <v>0</v>
      </c>
      <c r="P585" s="2"/>
      <c r="Q585" s="2">
        <v>57658</v>
      </c>
      <c r="R585" s="2">
        <v>806433</v>
      </c>
      <c r="S585" s="2">
        <v>834319</v>
      </c>
      <c r="T585" s="2">
        <v>713929</v>
      </c>
      <c r="U585" s="2">
        <v>0</v>
      </c>
      <c r="V585" s="2"/>
      <c r="W585" s="2">
        <v>704114</v>
      </c>
      <c r="X585" s="2">
        <v>571620</v>
      </c>
      <c r="Y585" s="2">
        <v>0</v>
      </c>
      <c r="Z585" s="2">
        <v>0</v>
      </c>
      <c r="AA585" s="2">
        <v>0</v>
      </c>
      <c r="AB585" s="2"/>
      <c r="AC585" s="2">
        <v>74034</v>
      </c>
      <c r="AD585" s="2">
        <v>74034</v>
      </c>
      <c r="AE585" s="2">
        <v>74032</v>
      </c>
      <c r="AF585" s="2">
        <v>0</v>
      </c>
      <c r="AG585" s="2">
        <v>0</v>
      </c>
      <c r="AH585" s="2"/>
      <c r="AI585" s="2">
        <v>-21875</v>
      </c>
      <c r="AJ585" s="2">
        <v>-6962</v>
      </c>
      <c r="AK585" s="2">
        <v>0</v>
      </c>
      <c r="AL585" s="2">
        <v>0</v>
      </c>
      <c r="AM585" s="2">
        <v>-6962</v>
      </c>
    </row>
    <row r="586" spans="1:39">
      <c r="A586" s="351">
        <v>96302</v>
      </c>
      <c r="B586" s="344" t="s">
        <v>1281</v>
      </c>
      <c r="C586" s="360">
        <v>5.2200000000000002E-5</v>
      </c>
      <c r="E586" s="2">
        <v>28413</v>
      </c>
      <c r="F586" s="2">
        <v>33237</v>
      </c>
      <c r="G586" s="2">
        <v>23559</v>
      </c>
      <c r="H586" s="2">
        <v>7769</v>
      </c>
      <c r="I586" s="2">
        <v>0</v>
      </c>
      <c r="J586" s="2"/>
      <c r="K586" s="2">
        <v>9678</v>
      </c>
      <c r="L586" s="2">
        <v>8915</v>
      </c>
      <c r="M586" s="2">
        <v>4962</v>
      </c>
      <c r="N586" s="2">
        <v>0</v>
      </c>
      <c r="O586" s="2">
        <v>0</v>
      </c>
      <c r="P586" s="2"/>
      <c r="Q586" s="2">
        <v>627</v>
      </c>
      <c r="R586" s="2">
        <v>8775</v>
      </c>
      <c r="S586" s="2">
        <v>9079</v>
      </c>
      <c r="T586" s="2">
        <v>7769</v>
      </c>
      <c r="U586" s="2">
        <v>0</v>
      </c>
      <c r="V586" s="2"/>
      <c r="W586" s="2">
        <v>7662</v>
      </c>
      <c r="X586" s="2">
        <v>6220</v>
      </c>
      <c r="Y586" s="2">
        <v>0</v>
      </c>
      <c r="Z586" s="2">
        <v>0</v>
      </c>
      <c r="AA586" s="2">
        <v>0</v>
      </c>
      <c r="AB586" s="2"/>
      <c r="AC586" s="2">
        <v>10632</v>
      </c>
      <c r="AD586" s="2">
        <v>9515</v>
      </c>
      <c r="AE586" s="2">
        <v>9518</v>
      </c>
      <c r="AF586" s="2">
        <v>0</v>
      </c>
      <c r="AG586" s="2">
        <v>0</v>
      </c>
      <c r="AH586" s="2"/>
      <c r="AI586" s="2">
        <v>-186</v>
      </c>
      <c r="AJ586" s="2">
        <v>-188</v>
      </c>
      <c r="AK586" s="2">
        <v>0</v>
      </c>
      <c r="AL586" s="2">
        <v>0</v>
      </c>
      <c r="AM586" s="2">
        <v>-188</v>
      </c>
    </row>
    <row r="587" spans="1:39">
      <c r="A587" s="351">
        <v>96304</v>
      </c>
      <c r="B587" s="344" t="s">
        <v>1282</v>
      </c>
      <c r="C587" s="360">
        <v>4.6400000000000003E-5</v>
      </c>
      <c r="E587" s="2">
        <v>20283</v>
      </c>
      <c r="F587" s="2">
        <v>25810</v>
      </c>
      <c r="G587" s="2">
        <v>15536</v>
      </c>
      <c r="H587" s="2">
        <v>6905</v>
      </c>
      <c r="I587" s="2">
        <v>0</v>
      </c>
      <c r="J587" s="2"/>
      <c r="K587" s="2">
        <v>8603</v>
      </c>
      <c r="L587" s="2">
        <v>7925</v>
      </c>
      <c r="M587" s="2">
        <v>4411</v>
      </c>
      <c r="N587" s="2">
        <v>0</v>
      </c>
      <c r="O587" s="2">
        <v>0</v>
      </c>
      <c r="P587" s="2"/>
      <c r="Q587" s="2">
        <v>558</v>
      </c>
      <c r="R587" s="2">
        <v>7800</v>
      </c>
      <c r="S587" s="2">
        <v>8070</v>
      </c>
      <c r="T587" s="2">
        <v>6905</v>
      </c>
      <c r="U587" s="2">
        <v>0</v>
      </c>
      <c r="V587" s="2"/>
      <c r="W587" s="2">
        <v>6810</v>
      </c>
      <c r="X587" s="2">
        <v>5529</v>
      </c>
      <c r="Y587" s="2">
        <v>0</v>
      </c>
      <c r="Z587" s="2">
        <v>0</v>
      </c>
      <c r="AA587" s="2">
        <v>0</v>
      </c>
      <c r="AB587" s="2"/>
      <c r="AC587" s="2">
        <v>4557</v>
      </c>
      <c r="AD587" s="2">
        <v>4556</v>
      </c>
      <c r="AE587" s="2">
        <v>3055</v>
      </c>
      <c r="AF587" s="2">
        <v>0</v>
      </c>
      <c r="AG587" s="2">
        <v>0</v>
      </c>
      <c r="AH587" s="2"/>
      <c r="AI587" s="2">
        <v>-245</v>
      </c>
      <c r="AJ587" s="2">
        <v>0</v>
      </c>
      <c r="AK587" s="2">
        <v>0</v>
      </c>
      <c r="AL587" s="2">
        <v>0</v>
      </c>
      <c r="AM587" s="2">
        <v>0</v>
      </c>
    </row>
    <row r="588" spans="1:39">
      <c r="A588" s="351">
        <v>96305</v>
      </c>
      <c r="B588" s="344" t="s">
        <v>1283</v>
      </c>
      <c r="C588" s="360">
        <v>4.2799999999999997E-5</v>
      </c>
      <c r="E588" s="2">
        <v>23331</v>
      </c>
      <c r="F588" s="2">
        <v>26729</v>
      </c>
      <c r="G588" s="2">
        <v>16709</v>
      </c>
      <c r="H588" s="2">
        <v>6370</v>
      </c>
      <c r="I588" s="2">
        <v>0</v>
      </c>
      <c r="J588" s="2"/>
      <c r="K588" s="2">
        <v>7936</v>
      </c>
      <c r="L588" s="2">
        <v>7310</v>
      </c>
      <c r="M588" s="2">
        <v>4068</v>
      </c>
      <c r="N588" s="2">
        <v>0</v>
      </c>
      <c r="O588" s="2">
        <v>0</v>
      </c>
      <c r="P588" s="2"/>
      <c r="Q588" s="2">
        <v>514</v>
      </c>
      <c r="R588" s="2">
        <v>7195</v>
      </c>
      <c r="S588" s="2">
        <v>7444</v>
      </c>
      <c r="T588" s="2">
        <v>6370</v>
      </c>
      <c r="U588" s="2">
        <v>0</v>
      </c>
      <c r="V588" s="2"/>
      <c r="W588" s="2">
        <v>6282</v>
      </c>
      <c r="X588" s="2">
        <v>5100</v>
      </c>
      <c r="Y588" s="2">
        <v>0</v>
      </c>
      <c r="Z588" s="2">
        <v>0</v>
      </c>
      <c r="AA588" s="2">
        <v>0</v>
      </c>
      <c r="AB588" s="2"/>
      <c r="AC588" s="2">
        <v>8599</v>
      </c>
      <c r="AD588" s="2">
        <v>7124</v>
      </c>
      <c r="AE588" s="2">
        <v>5197</v>
      </c>
      <c r="AF588" s="2">
        <v>0</v>
      </c>
      <c r="AG588" s="2">
        <v>0</v>
      </c>
      <c r="AH588" s="2"/>
      <c r="AI588" s="2">
        <v>0</v>
      </c>
      <c r="AJ588" s="2">
        <v>0</v>
      </c>
      <c r="AK588" s="2">
        <v>0</v>
      </c>
      <c r="AL588" s="2">
        <v>0</v>
      </c>
      <c r="AM588" s="2">
        <v>0</v>
      </c>
    </row>
    <row r="589" spans="1:39">
      <c r="A589" s="351">
        <v>96310</v>
      </c>
      <c r="B589" s="344" t="s">
        <v>1284</v>
      </c>
      <c r="C589" s="360">
        <v>4.5300000000000003E-5</v>
      </c>
      <c r="E589" s="2">
        <v>18680</v>
      </c>
      <c r="F589" s="2">
        <v>22031</v>
      </c>
      <c r="G589" s="2">
        <v>14454</v>
      </c>
      <c r="H589" s="2">
        <v>6742</v>
      </c>
      <c r="I589" s="2">
        <v>0</v>
      </c>
      <c r="J589" s="2"/>
      <c r="K589" s="2">
        <v>8399</v>
      </c>
      <c r="L589" s="2">
        <v>7737</v>
      </c>
      <c r="M589" s="2">
        <v>4306</v>
      </c>
      <c r="N589" s="2">
        <v>0</v>
      </c>
      <c r="O589" s="2">
        <v>0</v>
      </c>
      <c r="P589" s="2"/>
      <c r="Q589" s="2">
        <v>544</v>
      </c>
      <c r="R589" s="2">
        <v>7615</v>
      </c>
      <c r="S589" s="2">
        <v>7878</v>
      </c>
      <c r="T589" s="2">
        <v>6742</v>
      </c>
      <c r="U589" s="2">
        <v>0</v>
      </c>
      <c r="V589" s="2"/>
      <c r="W589" s="2">
        <v>6649</v>
      </c>
      <c r="X589" s="2">
        <v>5398</v>
      </c>
      <c r="Y589" s="2">
        <v>0</v>
      </c>
      <c r="Z589" s="2">
        <v>0</v>
      </c>
      <c r="AA589" s="2">
        <v>0</v>
      </c>
      <c r="AB589" s="2"/>
      <c r="AC589" s="2">
        <v>4236</v>
      </c>
      <c r="AD589" s="2">
        <v>2431</v>
      </c>
      <c r="AE589" s="2">
        <v>2429</v>
      </c>
      <c r="AF589" s="2">
        <v>0</v>
      </c>
      <c r="AG589" s="2">
        <v>0</v>
      </c>
      <c r="AH589" s="2"/>
      <c r="AI589" s="2">
        <v>-1148</v>
      </c>
      <c r="AJ589" s="2">
        <v>-1150</v>
      </c>
      <c r="AK589" s="2">
        <v>-159</v>
      </c>
      <c r="AL589" s="2">
        <v>0</v>
      </c>
      <c r="AM589" s="2">
        <v>-1150</v>
      </c>
    </row>
    <row r="590" spans="1:39">
      <c r="A590" s="351">
        <v>96311</v>
      </c>
      <c r="B590" s="344" t="s">
        <v>1285</v>
      </c>
      <c r="C590" s="360">
        <v>1.3810000000000001E-3</v>
      </c>
      <c r="E590" s="2">
        <v>465322</v>
      </c>
      <c r="F590" s="2">
        <v>640184</v>
      </c>
      <c r="G590" s="2">
        <v>383721</v>
      </c>
      <c r="H590" s="2">
        <v>205523</v>
      </c>
      <c r="I590" s="2">
        <v>0</v>
      </c>
      <c r="J590" s="2"/>
      <c r="K590" s="2">
        <v>256050</v>
      </c>
      <c r="L590" s="2">
        <v>235867</v>
      </c>
      <c r="M590" s="2">
        <v>131275</v>
      </c>
      <c r="N590" s="2">
        <v>0</v>
      </c>
      <c r="O590" s="2">
        <v>0</v>
      </c>
      <c r="P590" s="2"/>
      <c r="Q590" s="2">
        <v>16598</v>
      </c>
      <c r="R590" s="2">
        <v>232153</v>
      </c>
      <c r="S590" s="2">
        <v>240181</v>
      </c>
      <c r="T590" s="2">
        <v>205523</v>
      </c>
      <c r="U590" s="2">
        <v>0</v>
      </c>
      <c r="V590" s="2"/>
      <c r="W590" s="2">
        <v>202698</v>
      </c>
      <c r="X590" s="2">
        <v>164556</v>
      </c>
      <c r="Y590" s="2">
        <v>0</v>
      </c>
      <c r="Z590" s="2">
        <v>0</v>
      </c>
      <c r="AA590" s="2">
        <v>0</v>
      </c>
      <c r="AB590" s="2"/>
      <c r="AC590" s="2">
        <v>22644</v>
      </c>
      <c r="AD590" s="2">
        <v>22644</v>
      </c>
      <c r="AE590" s="2">
        <v>22643</v>
      </c>
      <c r="AF590" s="2">
        <v>0</v>
      </c>
      <c r="AG590" s="2">
        <v>0</v>
      </c>
      <c r="AH590" s="2"/>
      <c r="AI590" s="2">
        <v>-32668</v>
      </c>
      <c r="AJ590" s="2">
        <v>-15036</v>
      </c>
      <c r="AK590" s="2">
        <v>-10378</v>
      </c>
      <c r="AL590" s="2">
        <v>0</v>
      </c>
      <c r="AM590" s="2">
        <v>-15036</v>
      </c>
    </row>
    <row r="591" spans="1:39">
      <c r="A591" s="351">
        <v>96312</v>
      </c>
      <c r="B591" s="344" t="s">
        <v>1286</v>
      </c>
      <c r="C591" s="360">
        <v>1.7799999999999999E-5</v>
      </c>
      <c r="E591" s="2">
        <v>10293</v>
      </c>
      <c r="F591" s="2">
        <v>10412</v>
      </c>
      <c r="G591" s="2">
        <v>8717</v>
      </c>
      <c r="H591" s="2">
        <v>2649</v>
      </c>
      <c r="I591" s="2">
        <v>0</v>
      </c>
      <c r="J591" s="2"/>
      <c r="K591" s="2">
        <v>3300</v>
      </c>
      <c r="L591" s="2">
        <v>3040</v>
      </c>
      <c r="M591" s="2">
        <v>1692</v>
      </c>
      <c r="N591" s="2">
        <v>0</v>
      </c>
      <c r="O591" s="2">
        <v>0</v>
      </c>
      <c r="P591" s="2"/>
      <c r="Q591" s="2">
        <v>214</v>
      </c>
      <c r="R591" s="2">
        <v>2992</v>
      </c>
      <c r="S591" s="2">
        <v>3096</v>
      </c>
      <c r="T591" s="2">
        <v>2649</v>
      </c>
      <c r="U591" s="2">
        <v>0</v>
      </c>
      <c r="V591" s="2"/>
      <c r="W591" s="2">
        <v>2613</v>
      </c>
      <c r="X591" s="2">
        <v>2121</v>
      </c>
      <c r="Y591" s="2">
        <v>0</v>
      </c>
      <c r="Z591" s="2">
        <v>0</v>
      </c>
      <c r="AA591" s="2">
        <v>0</v>
      </c>
      <c r="AB591" s="2"/>
      <c r="AC591" s="2">
        <v>5840</v>
      </c>
      <c r="AD591" s="2">
        <v>3933</v>
      </c>
      <c r="AE591" s="2">
        <v>3931</v>
      </c>
      <c r="AF591" s="2">
        <v>0</v>
      </c>
      <c r="AG591" s="2">
        <v>0</v>
      </c>
      <c r="AH591" s="2"/>
      <c r="AI591" s="2">
        <v>-1674</v>
      </c>
      <c r="AJ591" s="2">
        <v>-1674</v>
      </c>
      <c r="AK591" s="2">
        <v>-2</v>
      </c>
      <c r="AL591" s="2">
        <v>0</v>
      </c>
      <c r="AM591" s="2">
        <v>-1674</v>
      </c>
    </row>
    <row r="592" spans="1:39">
      <c r="A592" s="351">
        <v>96318</v>
      </c>
      <c r="B592" s="344" t="s">
        <v>1287</v>
      </c>
      <c r="C592" s="360">
        <v>2.3511999999999999E-3</v>
      </c>
      <c r="E592" s="2">
        <v>1029312</v>
      </c>
      <c r="F592" s="2">
        <v>1218438</v>
      </c>
      <c r="G592" s="2">
        <v>747892</v>
      </c>
      <c r="H592" s="2">
        <v>349910</v>
      </c>
      <c r="I592" s="2">
        <v>0</v>
      </c>
      <c r="J592" s="2"/>
      <c r="K592" s="2">
        <v>435934</v>
      </c>
      <c r="L592" s="2">
        <v>401571</v>
      </c>
      <c r="M592" s="2">
        <v>223500</v>
      </c>
      <c r="N592" s="2">
        <v>0</v>
      </c>
      <c r="O592" s="2">
        <v>0</v>
      </c>
      <c r="P592" s="2"/>
      <c r="Q592" s="2">
        <v>28259</v>
      </c>
      <c r="R592" s="2">
        <v>395248</v>
      </c>
      <c r="S592" s="2">
        <v>408916</v>
      </c>
      <c r="T592" s="2">
        <v>349910</v>
      </c>
      <c r="U592" s="2">
        <v>0</v>
      </c>
      <c r="V592" s="2"/>
      <c r="W592" s="2">
        <v>345100</v>
      </c>
      <c r="X592" s="2">
        <v>280162</v>
      </c>
      <c r="Y592" s="2">
        <v>0</v>
      </c>
      <c r="Z592" s="2">
        <v>0</v>
      </c>
      <c r="AA592" s="2">
        <v>0</v>
      </c>
      <c r="AB592" s="2"/>
      <c r="AC592" s="2">
        <v>220019</v>
      </c>
      <c r="AD592" s="2">
        <v>141457</v>
      </c>
      <c r="AE592" s="2">
        <v>115476</v>
      </c>
      <c r="AF592" s="2">
        <v>0</v>
      </c>
      <c r="AG592" s="2">
        <v>0</v>
      </c>
      <c r="AH592" s="2"/>
      <c r="AI592" s="2">
        <v>0</v>
      </c>
      <c r="AJ592" s="2">
        <v>0</v>
      </c>
      <c r="AK592" s="2">
        <v>0</v>
      </c>
      <c r="AL592" s="2">
        <v>0</v>
      </c>
      <c r="AM592" s="2">
        <v>0</v>
      </c>
    </row>
    <row r="593" spans="1:39">
      <c r="A593" s="351">
        <v>96321</v>
      </c>
      <c r="B593" s="344" t="s">
        <v>1288</v>
      </c>
      <c r="C593" s="360">
        <v>5.0000000000000002E-5</v>
      </c>
      <c r="E593" s="2">
        <v>21999</v>
      </c>
      <c r="F593" s="2">
        <v>27418</v>
      </c>
      <c r="G593" s="2">
        <v>17722</v>
      </c>
      <c r="H593" s="2">
        <v>7441</v>
      </c>
      <c r="I593" s="2">
        <v>0</v>
      </c>
      <c r="J593" s="2"/>
      <c r="K593" s="2">
        <v>9270</v>
      </c>
      <c r="L593" s="2">
        <v>8540</v>
      </c>
      <c r="M593" s="2">
        <v>4753</v>
      </c>
      <c r="N593" s="2">
        <v>0</v>
      </c>
      <c r="O593" s="2">
        <v>0</v>
      </c>
      <c r="P593" s="2"/>
      <c r="Q593" s="2">
        <v>601</v>
      </c>
      <c r="R593" s="2">
        <v>8405</v>
      </c>
      <c r="S593" s="2">
        <v>8696</v>
      </c>
      <c r="T593" s="2">
        <v>7441</v>
      </c>
      <c r="U593" s="2">
        <v>0</v>
      </c>
      <c r="V593" s="2"/>
      <c r="W593" s="2">
        <v>7339</v>
      </c>
      <c r="X593" s="2">
        <v>5958</v>
      </c>
      <c r="Y593" s="2">
        <v>0</v>
      </c>
      <c r="Z593" s="2">
        <v>0</v>
      </c>
      <c r="AA593" s="2">
        <v>0</v>
      </c>
      <c r="AB593" s="2"/>
      <c r="AC593" s="2">
        <v>4789</v>
      </c>
      <c r="AD593" s="2">
        <v>4515</v>
      </c>
      <c r="AE593" s="2">
        <v>4273</v>
      </c>
      <c r="AF593" s="2">
        <v>0</v>
      </c>
      <c r="AG593" s="2">
        <v>0</v>
      </c>
      <c r="AH593" s="2"/>
      <c r="AI593" s="2">
        <v>0</v>
      </c>
      <c r="AJ593" s="2">
        <v>0</v>
      </c>
      <c r="AK593" s="2">
        <v>0</v>
      </c>
      <c r="AL593" s="2">
        <v>0</v>
      </c>
      <c r="AM593" s="2">
        <v>0</v>
      </c>
    </row>
    <row r="594" spans="1:39">
      <c r="A594" s="351">
        <v>96331</v>
      </c>
      <c r="B594" s="344" t="s">
        <v>1289</v>
      </c>
      <c r="C594" s="360">
        <v>6.9510000000000004E-4</v>
      </c>
      <c r="E594" s="2">
        <v>197436</v>
      </c>
      <c r="F594" s="2">
        <v>278816</v>
      </c>
      <c r="G594" s="2">
        <v>156833</v>
      </c>
      <c r="H594" s="2">
        <v>103446</v>
      </c>
      <c r="I594" s="2">
        <v>0</v>
      </c>
      <c r="J594" s="2"/>
      <c r="K594" s="2">
        <v>128878</v>
      </c>
      <c r="L594" s="2">
        <v>118719</v>
      </c>
      <c r="M594" s="2">
        <v>66075</v>
      </c>
      <c r="N594" s="2">
        <v>0</v>
      </c>
      <c r="O594" s="2">
        <v>0</v>
      </c>
      <c r="P594" s="2"/>
      <c r="Q594" s="2">
        <v>8354</v>
      </c>
      <c r="R594" s="2">
        <v>116850</v>
      </c>
      <c r="S594" s="2">
        <v>120890</v>
      </c>
      <c r="T594" s="2">
        <v>103446</v>
      </c>
      <c r="U594" s="2">
        <v>0</v>
      </c>
      <c r="V594" s="2"/>
      <c r="W594" s="2">
        <v>102024</v>
      </c>
      <c r="X594" s="2">
        <v>82826</v>
      </c>
      <c r="Y594" s="2">
        <v>0</v>
      </c>
      <c r="Z594" s="2">
        <v>0</v>
      </c>
      <c r="AA594" s="2">
        <v>0</v>
      </c>
      <c r="AB594" s="2"/>
      <c r="AC594" s="2">
        <v>0</v>
      </c>
      <c r="AD594" s="2">
        <v>0</v>
      </c>
      <c r="AE594" s="2">
        <v>0</v>
      </c>
      <c r="AF594" s="2">
        <v>0</v>
      </c>
      <c r="AG594" s="2">
        <v>0</v>
      </c>
      <c r="AH594" s="2"/>
      <c r="AI594" s="2">
        <v>-41820</v>
      </c>
      <c r="AJ594" s="2">
        <v>-39579</v>
      </c>
      <c r="AK594" s="2">
        <v>-30132</v>
      </c>
      <c r="AL594" s="2">
        <v>0</v>
      </c>
      <c r="AM594" s="2">
        <v>-39579</v>
      </c>
    </row>
    <row r="595" spans="1:39">
      <c r="A595" s="351">
        <v>96341</v>
      </c>
      <c r="B595" s="344" t="s">
        <v>1290</v>
      </c>
      <c r="C595" s="360">
        <v>5.9599999999999999E-5</v>
      </c>
      <c r="E595" s="2">
        <v>9585</v>
      </c>
      <c r="F595" s="2">
        <v>18367</v>
      </c>
      <c r="G595" s="2">
        <v>6301</v>
      </c>
      <c r="H595" s="2">
        <v>8870</v>
      </c>
      <c r="I595" s="2">
        <v>0</v>
      </c>
      <c r="J595" s="2"/>
      <c r="K595" s="2">
        <v>11050</v>
      </c>
      <c r="L595" s="2">
        <v>10179</v>
      </c>
      <c r="M595" s="2">
        <v>5665</v>
      </c>
      <c r="N595" s="2">
        <v>0</v>
      </c>
      <c r="O595" s="2">
        <v>0</v>
      </c>
      <c r="P595" s="2"/>
      <c r="Q595" s="2">
        <v>716</v>
      </c>
      <c r="R595" s="2">
        <v>10019</v>
      </c>
      <c r="S595" s="2">
        <v>10366</v>
      </c>
      <c r="T595" s="2">
        <v>8870</v>
      </c>
      <c r="U595" s="2">
        <v>0</v>
      </c>
      <c r="V595" s="2"/>
      <c r="W595" s="2">
        <v>8748</v>
      </c>
      <c r="X595" s="2">
        <v>7102</v>
      </c>
      <c r="Y595" s="2">
        <v>0</v>
      </c>
      <c r="Z595" s="2">
        <v>0</v>
      </c>
      <c r="AA595" s="2">
        <v>0</v>
      </c>
      <c r="AB595" s="2"/>
      <c r="AC595" s="2">
        <v>794</v>
      </c>
      <c r="AD595" s="2">
        <v>794</v>
      </c>
      <c r="AE595" s="2">
        <v>0</v>
      </c>
      <c r="AF595" s="2">
        <v>0</v>
      </c>
      <c r="AG595" s="2">
        <v>0</v>
      </c>
      <c r="AH595" s="2"/>
      <c r="AI595" s="2">
        <v>-11723</v>
      </c>
      <c r="AJ595" s="2">
        <v>-9727</v>
      </c>
      <c r="AK595" s="2">
        <v>-9730</v>
      </c>
      <c r="AL595" s="2">
        <v>0</v>
      </c>
      <c r="AM595" s="2">
        <v>-9727</v>
      </c>
    </row>
    <row r="596" spans="1:39">
      <c r="A596" s="351">
        <v>96351</v>
      </c>
      <c r="B596" s="344" t="s">
        <v>1291</v>
      </c>
      <c r="C596" s="360">
        <v>1.0456E-3</v>
      </c>
      <c r="E596" s="2">
        <v>364557</v>
      </c>
      <c r="F596" s="2">
        <v>485394</v>
      </c>
      <c r="G596" s="2">
        <v>291642</v>
      </c>
      <c r="H596" s="2">
        <v>155608</v>
      </c>
      <c r="I596" s="2">
        <v>0</v>
      </c>
      <c r="J596" s="2"/>
      <c r="K596" s="2">
        <v>193864</v>
      </c>
      <c r="L596" s="2">
        <v>178582</v>
      </c>
      <c r="M596" s="2">
        <v>99393</v>
      </c>
      <c r="N596" s="2">
        <v>0</v>
      </c>
      <c r="O596" s="2">
        <v>0</v>
      </c>
      <c r="P596" s="2"/>
      <c r="Q596" s="2">
        <v>12567</v>
      </c>
      <c r="R596" s="2">
        <v>175771</v>
      </c>
      <c r="S596" s="2">
        <v>181849</v>
      </c>
      <c r="T596" s="2">
        <v>155608</v>
      </c>
      <c r="U596" s="2">
        <v>0</v>
      </c>
      <c r="V596" s="2"/>
      <c r="W596" s="2">
        <v>153469</v>
      </c>
      <c r="X596" s="2">
        <v>124591</v>
      </c>
      <c r="Y596" s="2">
        <v>0</v>
      </c>
      <c r="Z596" s="2">
        <v>0</v>
      </c>
      <c r="AA596" s="2">
        <v>0</v>
      </c>
      <c r="AB596" s="2"/>
      <c r="AC596" s="2">
        <v>16299</v>
      </c>
      <c r="AD596" s="2">
        <v>16299</v>
      </c>
      <c r="AE596" s="2">
        <v>16298</v>
      </c>
      <c r="AF596" s="2">
        <v>0</v>
      </c>
      <c r="AG596" s="2">
        <v>0</v>
      </c>
      <c r="AH596" s="2"/>
      <c r="AI596" s="2">
        <v>-11642</v>
      </c>
      <c r="AJ596" s="2">
        <v>-9849</v>
      </c>
      <c r="AK596" s="2">
        <v>-5898</v>
      </c>
      <c r="AL596" s="2">
        <v>0</v>
      </c>
      <c r="AM596" s="2">
        <v>-9849</v>
      </c>
    </row>
    <row r="597" spans="1:39">
      <c r="A597" s="351">
        <v>96361</v>
      </c>
      <c r="B597" s="344" t="s">
        <v>1292</v>
      </c>
      <c r="C597" s="360">
        <v>4.7299999999999998E-5</v>
      </c>
      <c r="E597" s="2">
        <v>16542</v>
      </c>
      <c r="F597" s="2">
        <v>22717</v>
      </c>
      <c r="G597" s="2">
        <v>14511</v>
      </c>
      <c r="H597" s="2">
        <v>7039</v>
      </c>
      <c r="I597" s="2">
        <v>0</v>
      </c>
      <c r="J597" s="2"/>
      <c r="K597" s="2">
        <v>8770</v>
      </c>
      <c r="L597" s="2">
        <v>8079</v>
      </c>
      <c r="M597" s="2">
        <v>4496</v>
      </c>
      <c r="N597" s="2">
        <v>0</v>
      </c>
      <c r="O597" s="2">
        <v>0</v>
      </c>
      <c r="P597" s="2"/>
      <c r="Q597" s="2">
        <v>568</v>
      </c>
      <c r="R597" s="2">
        <v>7951</v>
      </c>
      <c r="S597" s="2">
        <v>8226</v>
      </c>
      <c r="T597" s="2">
        <v>7039</v>
      </c>
      <c r="U597" s="2">
        <v>0</v>
      </c>
      <c r="V597" s="2"/>
      <c r="W597" s="2">
        <v>6943</v>
      </c>
      <c r="X597" s="2">
        <v>5636</v>
      </c>
      <c r="Y597" s="2">
        <v>0</v>
      </c>
      <c r="Z597" s="2">
        <v>0</v>
      </c>
      <c r="AA597" s="2">
        <v>0</v>
      </c>
      <c r="AB597" s="2"/>
      <c r="AC597" s="2">
        <v>2902</v>
      </c>
      <c r="AD597" s="2">
        <v>2902</v>
      </c>
      <c r="AE597" s="2">
        <v>2901</v>
      </c>
      <c r="AF597" s="2">
        <v>0</v>
      </c>
      <c r="AG597" s="2">
        <v>0</v>
      </c>
      <c r="AH597" s="2"/>
      <c r="AI597" s="2">
        <v>-2641</v>
      </c>
      <c r="AJ597" s="2">
        <v>-1851</v>
      </c>
      <c r="AK597" s="2">
        <v>-1112</v>
      </c>
      <c r="AL597" s="2">
        <v>0</v>
      </c>
      <c r="AM597" s="2">
        <v>-1851</v>
      </c>
    </row>
    <row r="598" spans="1:39">
      <c r="A598" s="351">
        <v>96371</v>
      </c>
      <c r="B598" s="344" t="s">
        <v>1293</v>
      </c>
      <c r="C598" s="360">
        <v>1.5330000000000001E-4</v>
      </c>
      <c r="E598" s="2">
        <v>52806</v>
      </c>
      <c r="F598" s="2">
        <v>72669</v>
      </c>
      <c r="G598" s="2">
        <v>45083</v>
      </c>
      <c r="H598" s="2">
        <v>22814</v>
      </c>
      <c r="I598" s="2">
        <v>0</v>
      </c>
      <c r="J598" s="2"/>
      <c r="K598" s="2">
        <v>28423</v>
      </c>
      <c r="L598" s="2">
        <v>26183</v>
      </c>
      <c r="M598" s="2">
        <v>14572</v>
      </c>
      <c r="N598" s="2">
        <v>0</v>
      </c>
      <c r="O598" s="2">
        <v>0</v>
      </c>
      <c r="P598" s="2"/>
      <c r="Q598" s="2">
        <v>1843</v>
      </c>
      <c r="R598" s="2">
        <v>25770</v>
      </c>
      <c r="S598" s="2">
        <v>26662</v>
      </c>
      <c r="T598" s="2">
        <v>22814</v>
      </c>
      <c r="U598" s="2">
        <v>0</v>
      </c>
      <c r="V598" s="2"/>
      <c r="W598" s="2">
        <v>22501</v>
      </c>
      <c r="X598" s="2">
        <v>18267</v>
      </c>
      <c r="Y598" s="2">
        <v>0</v>
      </c>
      <c r="Z598" s="2">
        <v>0</v>
      </c>
      <c r="AA598" s="2">
        <v>0</v>
      </c>
      <c r="AB598" s="2"/>
      <c r="AC598" s="2">
        <v>3851</v>
      </c>
      <c r="AD598" s="2">
        <v>3851</v>
      </c>
      <c r="AE598" s="2">
        <v>3849</v>
      </c>
      <c r="AF598" s="2">
        <v>0</v>
      </c>
      <c r="AG598" s="2">
        <v>0</v>
      </c>
      <c r="AH598" s="2"/>
      <c r="AI598" s="2">
        <v>-3812</v>
      </c>
      <c r="AJ598" s="2">
        <v>-1402</v>
      </c>
      <c r="AK598" s="2">
        <v>0</v>
      </c>
      <c r="AL598" s="2">
        <v>0</v>
      </c>
      <c r="AM598" s="2">
        <v>-1402</v>
      </c>
    </row>
    <row r="599" spans="1:39">
      <c r="A599" s="351">
        <v>96381</v>
      </c>
      <c r="B599" s="344" t="s">
        <v>1294</v>
      </c>
      <c r="C599" s="360">
        <v>3.0700000000000001E-5</v>
      </c>
      <c r="E599" s="2">
        <v>9970</v>
      </c>
      <c r="F599" s="2">
        <v>13425</v>
      </c>
      <c r="G599" s="2">
        <v>7235</v>
      </c>
      <c r="H599" s="2">
        <v>4569</v>
      </c>
      <c r="I599" s="2">
        <v>0</v>
      </c>
      <c r="J599" s="2"/>
      <c r="K599" s="2">
        <v>5692</v>
      </c>
      <c r="L599" s="2">
        <v>5243</v>
      </c>
      <c r="M599" s="2">
        <v>2918</v>
      </c>
      <c r="N599" s="2">
        <v>0</v>
      </c>
      <c r="O599" s="2">
        <v>0</v>
      </c>
      <c r="P599" s="2"/>
      <c r="Q599" s="2">
        <v>369</v>
      </c>
      <c r="R599" s="2">
        <v>5161</v>
      </c>
      <c r="S599" s="2">
        <v>5339</v>
      </c>
      <c r="T599" s="2">
        <v>4569</v>
      </c>
      <c r="U599" s="2">
        <v>0</v>
      </c>
      <c r="V599" s="2"/>
      <c r="W599" s="2">
        <v>4506</v>
      </c>
      <c r="X599" s="2">
        <v>3658</v>
      </c>
      <c r="Y599" s="2">
        <v>0</v>
      </c>
      <c r="Z599" s="2">
        <v>0</v>
      </c>
      <c r="AA599" s="2">
        <v>0</v>
      </c>
      <c r="AB599" s="2"/>
      <c r="AC599" s="2">
        <v>426</v>
      </c>
      <c r="AD599" s="2">
        <v>386</v>
      </c>
      <c r="AE599" s="2">
        <v>0</v>
      </c>
      <c r="AF599" s="2">
        <v>0</v>
      </c>
      <c r="AG599" s="2">
        <v>0</v>
      </c>
      <c r="AH599" s="2"/>
      <c r="AI599" s="2">
        <v>-1023</v>
      </c>
      <c r="AJ599" s="2">
        <v>-1023</v>
      </c>
      <c r="AK599" s="2">
        <v>-1022</v>
      </c>
      <c r="AL599" s="2">
        <v>0</v>
      </c>
      <c r="AM599" s="2">
        <v>-1023</v>
      </c>
    </row>
    <row r="600" spans="1:39">
      <c r="A600" s="351">
        <v>96391</v>
      </c>
      <c r="B600" s="344" t="s">
        <v>1295</v>
      </c>
      <c r="C600" s="360">
        <v>2.14E-4</v>
      </c>
      <c r="E600" s="2">
        <v>61417</v>
      </c>
      <c r="F600" s="2">
        <v>85786</v>
      </c>
      <c r="G600" s="2">
        <v>47894</v>
      </c>
      <c r="H600" s="2">
        <v>31848</v>
      </c>
      <c r="I600" s="2">
        <v>0</v>
      </c>
      <c r="J600" s="2"/>
      <c r="K600" s="2">
        <v>39678</v>
      </c>
      <c r="L600" s="2">
        <v>36550</v>
      </c>
      <c r="M600" s="2">
        <v>20342</v>
      </c>
      <c r="N600" s="2">
        <v>0</v>
      </c>
      <c r="O600" s="2">
        <v>0</v>
      </c>
      <c r="P600" s="2"/>
      <c r="Q600" s="2">
        <v>2572</v>
      </c>
      <c r="R600" s="2">
        <v>35974</v>
      </c>
      <c r="S600" s="2">
        <v>37218</v>
      </c>
      <c r="T600" s="2">
        <v>31848</v>
      </c>
      <c r="U600" s="2">
        <v>0</v>
      </c>
      <c r="V600" s="2"/>
      <c r="W600" s="2">
        <v>31410</v>
      </c>
      <c r="X600" s="2">
        <v>25500</v>
      </c>
      <c r="Y600" s="2">
        <v>0</v>
      </c>
      <c r="Z600" s="2">
        <v>0</v>
      </c>
      <c r="AA600" s="2">
        <v>0</v>
      </c>
      <c r="AB600" s="2"/>
      <c r="AC600" s="2">
        <v>0</v>
      </c>
      <c r="AD600" s="2">
        <v>0</v>
      </c>
      <c r="AE600" s="2">
        <v>0</v>
      </c>
      <c r="AF600" s="2">
        <v>0</v>
      </c>
      <c r="AG600" s="2">
        <v>0</v>
      </c>
      <c r="AH600" s="2"/>
      <c r="AI600" s="2">
        <v>-12243</v>
      </c>
      <c r="AJ600" s="2">
        <v>-12238</v>
      </c>
      <c r="AK600" s="2">
        <v>-9666</v>
      </c>
      <c r="AL600" s="2">
        <v>0</v>
      </c>
      <c r="AM600" s="2">
        <v>-12238</v>
      </c>
    </row>
    <row r="601" spans="1:39">
      <c r="A601" s="351">
        <v>96401</v>
      </c>
      <c r="B601" s="344" t="s">
        <v>1296</v>
      </c>
      <c r="C601" s="360">
        <v>4.3227999999999999E-3</v>
      </c>
      <c r="E601" s="2">
        <v>1421168</v>
      </c>
      <c r="F601" s="2">
        <v>1928474</v>
      </c>
      <c r="G601" s="2">
        <v>1137240</v>
      </c>
      <c r="H601" s="2">
        <v>643328</v>
      </c>
      <c r="I601" s="2">
        <v>0</v>
      </c>
      <c r="J601" s="2"/>
      <c r="K601" s="2">
        <v>801486</v>
      </c>
      <c r="L601" s="2">
        <v>738308</v>
      </c>
      <c r="M601" s="2">
        <v>410917</v>
      </c>
      <c r="N601" s="2">
        <v>0</v>
      </c>
      <c r="O601" s="2">
        <v>0</v>
      </c>
      <c r="P601" s="2"/>
      <c r="Q601" s="2">
        <v>51956</v>
      </c>
      <c r="R601" s="2">
        <v>726684</v>
      </c>
      <c r="S601" s="2">
        <v>751813</v>
      </c>
      <c r="T601" s="2">
        <v>643328</v>
      </c>
      <c r="U601" s="2">
        <v>0</v>
      </c>
      <c r="V601" s="2"/>
      <c r="W601" s="2">
        <v>634483</v>
      </c>
      <c r="X601" s="2">
        <v>515092</v>
      </c>
      <c r="Y601" s="2">
        <v>0</v>
      </c>
      <c r="Z601" s="2">
        <v>0</v>
      </c>
      <c r="AA601" s="2">
        <v>0</v>
      </c>
      <c r="AB601" s="2"/>
      <c r="AC601" s="2">
        <v>0</v>
      </c>
      <c r="AD601" s="2">
        <v>0</v>
      </c>
      <c r="AE601" s="2">
        <v>0</v>
      </c>
      <c r="AF601" s="2">
        <v>0</v>
      </c>
      <c r="AG601" s="2">
        <v>0</v>
      </c>
      <c r="AH601" s="2"/>
      <c r="AI601" s="2">
        <v>-66757</v>
      </c>
      <c r="AJ601" s="2">
        <v>-51610</v>
      </c>
      <c r="AK601" s="2">
        <v>-25490</v>
      </c>
      <c r="AL601" s="2">
        <v>0</v>
      </c>
      <c r="AM601" s="2">
        <v>-51610</v>
      </c>
    </row>
    <row r="602" spans="1:39">
      <c r="A602" s="351">
        <v>96404</v>
      </c>
      <c r="B602" s="344" t="s">
        <v>1297</v>
      </c>
      <c r="C602" s="360">
        <v>9.4300000000000002E-5</v>
      </c>
      <c r="E602" s="2">
        <v>43552</v>
      </c>
      <c r="F602" s="2">
        <v>51502</v>
      </c>
      <c r="G602" s="2">
        <v>31368</v>
      </c>
      <c r="H602" s="2">
        <v>14034</v>
      </c>
      <c r="I602" s="2">
        <v>0</v>
      </c>
      <c r="J602" s="2"/>
      <c r="K602" s="2">
        <v>17484</v>
      </c>
      <c r="L602" s="2">
        <v>16106</v>
      </c>
      <c r="M602" s="2">
        <v>8964</v>
      </c>
      <c r="N602" s="2">
        <v>0</v>
      </c>
      <c r="O602" s="2">
        <v>0</v>
      </c>
      <c r="P602" s="2"/>
      <c r="Q602" s="2">
        <v>1133</v>
      </c>
      <c r="R602" s="2">
        <v>15852</v>
      </c>
      <c r="S602" s="2">
        <v>16400</v>
      </c>
      <c r="T602" s="2">
        <v>14034</v>
      </c>
      <c r="U602" s="2">
        <v>0</v>
      </c>
      <c r="V602" s="2"/>
      <c r="W602" s="2">
        <v>13841</v>
      </c>
      <c r="X602" s="2">
        <v>11237</v>
      </c>
      <c r="Y602" s="2">
        <v>0</v>
      </c>
      <c r="Z602" s="2">
        <v>0</v>
      </c>
      <c r="AA602" s="2">
        <v>0</v>
      </c>
      <c r="AB602" s="2"/>
      <c r="AC602" s="2">
        <v>11094</v>
      </c>
      <c r="AD602" s="2">
        <v>8307</v>
      </c>
      <c r="AE602" s="2">
        <v>6004</v>
      </c>
      <c r="AF602" s="2">
        <v>0</v>
      </c>
      <c r="AG602" s="2">
        <v>0</v>
      </c>
      <c r="AH602" s="2"/>
      <c r="AI602" s="2">
        <v>0</v>
      </c>
      <c r="AJ602" s="2">
        <v>0</v>
      </c>
      <c r="AK602" s="2">
        <v>0</v>
      </c>
      <c r="AL602" s="2">
        <v>0</v>
      </c>
      <c r="AM602" s="2">
        <v>0</v>
      </c>
    </row>
    <row r="603" spans="1:39">
      <c r="A603" s="351">
        <v>96405</v>
      </c>
      <c r="B603" s="344" t="s">
        <v>1298</v>
      </c>
      <c r="C603" s="360">
        <v>1.2889999999999999E-4</v>
      </c>
      <c r="E603" s="2">
        <v>45473</v>
      </c>
      <c r="F603" s="2">
        <v>60361</v>
      </c>
      <c r="G603" s="2">
        <v>36148</v>
      </c>
      <c r="H603" s="2">
        <v>19183</v>
      </c>
      <c r="I603" s="2">
        <v>0</v>
      </c>
      <c r="J603" s="2"/>
      <c r="K603" s="2">
        <v>23899</v>
      </c>
      <c r="L603" s="2">
        <v>22015</v>
      </c>
      <c r="M603" s="2">
        <v>12253</v>
      </c>
      <c r="N603" s="2">
        <v>0</v>
      </c>
      <c r="O603" s="2">
        <v>0</v>
      </c>
      <c r="P603" s="2"/>
      <c r="Q603" s="2">
        <v>1549</v>
      </c>
      <c r="R603" s="2">
        <v>21669</v>
      </c>
      <c r="S603" s="2">
        <v>22418</v>
      </c>
      <c r="T603" s="2">
        <v>19183</v>
      </c>
      <c r="U603" s="2">
        <v>0</v>
      </c>
      <c r="V603" s="2"/>
      <c r="W603" s="2">
        <v>18919</v>
      </c>
      <c r="X603" s="2">
        <v>15359</v>
      </c>
      <c r="Y603" s="2">
        <v>0</v>
      </c>
      <c r="Z603" s="2">
        <v>0</v>
      </c>
      <c r="AA603" s="2">
        <v>0</v>
      </c>
      <c r="AB603" s="2"/>
      <c r="AC603" s="2">
        <v>6325</v>
      </c>
      <c r="AD603" s="2">
        <v>6325</v>
      </c>
      <c r="AE603" s="2">
        <v>6326</v>
      </c>
      <c r="AF603" s="2">
        <v>0</v>
      </c>
      <c r="AG603" s="2">
        <v>0</v>
      </c>
      <c r="AH603" s="2"/>
      <c r="AI603" s="2">
        <v>-5219</v>
      </c>
      <c r="AJ603" s="2">
        <v>-5007</v>
      </c>
      <c r="AK603" s="2">
        <v>-4849</v>
      </c>
      <c r="AL603" s="2">
        <v>0</v>
      </c>
      <c r="AM603" s="2">
        <v>-5007</v>
      </c>
    </row>
    <row r="604" spans="1:39">
      <c r="A604" s="351">
        <v>96411</v>
      </c>
      <c r="B604" s="344" t="s">
        <v>1299</v>
      </c>
      <c r="C604" s="360">
        <v>6.8200000000000004E-5</v>
      </c>
      <c r="E604" s="2">
        <v>21137</v>
      </c>
      <c r="F604" s="2">
        <v>27150</v>
      </c>
      <c r="G604" s="2">
        <v>15213</v>
      </c>
      <c r="H604" s="2">
        <v>10150</v>
      </c>
      <c r="I604" s="2">
        <v>0</v>
      </c>
      <c r="J604" s="2"/>
      <c r="K604" s="2">
        <v>12645</v>
      </c>
      <c r="L604" s="2">
        <v>11648</v>
      </c>
      <c r="M604" s="2">
        <v>6483</v>
      </c>
      <c r="N604" s="2">
        <v>0</v>
      </c>
      <c r="O604" s="2">
        <v>0</v>
      </c>
      <c r="P604" s="2"/>
      <c r="Q604" s="2">
        <v>820</v>
      </c>
      <c r="R604" s="2">
        <v>11465</v>
      </c>
      <c r="S604" s="2">
        <v>11861</v>
      </c>
      <c r="T604" s="2">
        <v>10150</v>
      </c>
      <c r="U604" s="2">
        <v>0</v>
      </c>
      <c r="V604" s="2"/>
      <c r="W604" s="2">
        <v>10010</v>
      </c>
      <c r="X604" s="2">
        <v>8127</v>
      </c>
      <c r="Y604" s="2">
        <v>0</v>
      </c>
      <c r="Z604" s="2">
        <v>0</v>
      </c>
      <c r="AA604" s="2">
        <v>0</v>
      </c>
      <c r="AB604" s="2"/>
      <c r="AC604" s="2">
        <v>1750</v>
      </c>
      <c r="AD604" s="2">
        <v>0</v>
      </c>
      <c r="AE604" s="2">
        <v>0</v>
      </c>
      <c r="AF604" s="2">
        <v>0</v>
      </c>
      <c r="AG604" s="2">
        <v>0</v>
      </c>
      <c r="AH604" s="2"/>
      <c r="AI604" s="2">
        <v>-4088</v>
      </c>
      <c r="AJ604" s="2">
        <v>-4090</v>
      </c>
      <c r="AK604" s="2">
        <v>-3131</v>
      </c>
      <c r="AL604" s="2">
        <v>0</v>
      </c>
      <c r="AM604" s="2">
        <v>-4090</v>
      </c>
    </row>
    <row r="605" spans="1:39">
      <c r="A605" s="351">
        <v>96421</v>
      </c>
      <c r="B605" s="344" t="s">
        <v>1300</v>
      </c>
      <c r="C605" s="360">
        <v>4.2299999999999998E-4</v>
      </c>
      <c r="E605" s="2">
        <v>127562</v>
      </c>
      <c r="F605" s="2">
        <v>181241</v>
      </c>
      <c r="G605" s="2">
        <v>105506</v>
      </c>
      <c r="H605" s="2">
        <v>62952</v>
      </c>
      <c r="I605" s="2">
        <v>0</v>
      </c>
      <c r="J605" s="2"/>
      <c r="K605" s="2">
        <v>78428</v>
      </c>
      <c r="L605" s="2">
        <v>72246</v>
      </c>
      <c r="M605" s="2">
        <v>40210</v>
      </c>
      <c r="N605" s="2">
        <v>0</v>
      </c>
      <c r="O605" s="2">
        <v>0</v>
      </c>
      <c r="P605" s="2"/>
      <c r="Q605" s="2">
        <v>5084</v>
      </c>
      <c r="R605" s="2">
        <v>71108</v>
      </c>
      <c r="S605" s="2">
        <v>73567</v>
      </c>
      <c r="T605" s="2">
        <v>62952</v>
      </c>
      <c r="U605" s="2">
        <v>0</v>
      </c>
      <c r="V605" s="2"/>
      <c r="W605" s="2">
        <v>62086</v>
      </c>
      <c r="X605" s="2">
        <v>50403</v>
      </c>
      <c r="Y605" s="2">
        <v>0</v>
      </c>
      <c r="Z605" s="2">
        <v>0</v>
      </c>
      <c r="AA605" s="2">
        <v>0</v>
      </c>
      <c r="AB605" s="2"/>
      <c r="AC605" s="2">
        <v>6086</v>
      </c>
      <c r="AD605" s="2">
        <v>6086</v>
      </c>
      <c r="AE605" s="2">
        <v>6084</v>
      </c>
      <c r="AF605" s="2">
        <v>0</v>
      </c>
      <c r="AG605" s="2">
        <v>0</v>
      </c>
      <c r="AH605" s="2"/>
      <c r="AI605" s="2">
        <v>-24122</v>
      </c>
      <c r="AJ605" s="2">
        <v>-18602</v>
      </c>
      <c r="AK605" s="2">
        <v>-14355</v>
      </c>
      <c r="AL605" s="2">
        <v>0</v>
      </c>
      <c r="AM605" s="2">
        <v>-18602</v>
      </c>
    </row>
    <row r="606" spans="1:39">
      <c r="A606" s="351">
        <v>96431</v>
      </c>
      <c r="B606" s="344" t="s">
        <v>1301</v>
      </c>
      <c r="C606" s="360">
        <v>4.85E-5</v>
      </c>
      <c r="E606" s="2">
        <v>23406</v>
      </c>
      <c r="F606" s="2">
        <v>30830</v>
      </c>
      <c r="G606" s="2">
        <v>22467</v>
      </c>
      <c r="H606" s="2">
        <v>7218</v>
      </c>
      <c r="I606" s="2">
        <v>0</v>
      </c>
      <c r="J606" s="2"/>
      <c r="K606" s="2">
        <v>8992</v>
      </c>
      <c r="L606" s="2">
        <v>8284</v>
      </c>
      <c r="M606" s="2">
        <v>4610</v>
      </c>
      <c r="N606" s="2">
        <v>0</v>
      </c>
      <c r="O606" s="2">
        <v>0</v>
      </c>
      <c r="P606" s="2"/>
      <c r="Q606" s="2">
        <v>583</v>
      </c>
      <c r="R606" s="2">
        <v>8153</v>
      </c>
      <c r="S606" s="2">
        <v>8435</v>
      </c>
      <c r="T606" s="2">
        <v>7218</v>
      </c>
      <c r="U606" s="2">
        <v>0</v>
      </c>
      <c r="V606" s="2"/>
      <c r="W606" s="2">
        <v>7119</v>
      </c>
      <c r="X606" s="2">
        <v>5779</v>
      </c>
      <c r="Y606" s="2">
        <v>0</v>
      </c>
      <c r="Z606" s="2">
        <v>0</v>
      </c>
      <c r="AA606" s="2">
        <v>0</v>
      </c>
      <c r="AB606" s="2"/>
      <c r="AC606" s="2">
        <v>9421</v>
      </c>
      <c r="AD606" s="2">
        <v>9421</v>
      </c>
      <c r="AE606" s="2">
        <v>9422</v>
      </c>
      <c r="AF606" s="2">
        <v>0</v>
      </c>
      <c r="AG606" s="2">
        <v>0</v>
      </c>
      <c r="AH606" s="2"/>
      <c r="AI606" s="2">
        <v>-2709</v>
      </c>
      <c r="AJ606" s="2">
        <v>-807</v>
      </c>
      <c r="AK606" s="2">
        <v>0</v>
      </c>
      <c r="AL606" s="2">
        <v>0</v>
      </c>
      <c r="AM606" s="2">
        <v>-807</v>
      </c>
    </row>
    <row r="607" spans="1:39">
      <c r="A607" s="351">
        <v>96441</v>
      </c>
      <c r="B607" s="344" t="s">
        <v>1302</v>
      </c>
      <c r="C607" s="360">
        <v>2.9300000000000001E-5</v>
      </c>
      <c r="E607" s="2">
        <v>14229</v>
      </c>
      <c r="F607" s="2">
        <v>16801</v>
      </c>
      <c r="G607" s="2">
        <v>11235</v>
      </c>
      <c r="H607" s="2">
        <v>4360</v>
      </c>
      <c r="I607" s="2">
        <v>0</v>
      </c>
      <c r="J607" s="2"/>
      <c r="K607" s="2">
        <v>5432</v>
      </c>
      <c r="L607" s="2">
        <v>5004</v>
      </c>
      <c r="M607" s="2">
        <v>2785</v>
      </c>
      <c r="N607" s="2">
        <v>0</v>
      </c>
      <c r="O607" s="2">
        <v>0</v>
      </c>
      <c r="P607" s="2"/>
      <c r="Q607" s="2">
        <v>352</v>
      </c>
      <c r="R607" s="2">
        <v>4925</v>
      </c>
      <c r="S607" s="2">
        <v>5096</v>
      </c>
      <c r="T607" s="2">
        <v>4360</v>
      </c>
      <c r="U607" s="2">
        <v>0</v>
      </c>
      <c r="V607" s="2"/>
      <c r="W607" s="2">
        <v>4301</v>
      </c>
      <c r="X607" s="2">
        <v>3491</v>
      </c>
      <c r="Y607" s="2">
        <v>0</v>
      </c>
      <c r="Z607" s="2">
        <v>0</v>
      </c>
      <c r="AA607" s="2">
        <v>0</v>
      </c>
      <c r="AB607" s="2"/>
      <c r="AC607" s="2">
        <v>5144</v>
      </c>
      <c r="AD607" s="2">
        <v>4381</v>
      </c>
      <c r="AE607" s="2">
        <v>4353</v>
      </c>
      <c r="AF607" s="2">
        <v>0</v>
      </c>
      <c r="AG607" s="2">
        <v>0</v>
      </c>
      <c r="AH607" s="2"/>
      <c r="AI607" s="2">
        <v>-1000</v>
      </c>
      <c r="AJ607" s="2">
        <v>-1000</v>
      </c>
      <c r="AK607" s="2">
        <v>-999</v>
      </c>
      <c r="AL607" s="2">
        <v>0</v>
      </c>
      <c r="AM607" s="2">
        <v>-1000</v>
      </c>
    </row>
    <row r="608" spans="1:39">
      <c r="A608" s="351">
        <v>96451</v>
      </c>
      <c r="B608" s="344" t="s">
        <v>1303</v>
      </c>
      <c r="C608" s="360">
        <v>1.31E-5</v>
      </c>
      <c r="E608" s="2">
        <v>6845</v>
      </c>
      <c r="F608" s="2">
        <v>7397</v>
      </c>
      <c r="G608" s="2">
        <v>5328</v>
      </c>
      <c r="H608" s="2">
        <v>1950</v>
      </c>
      <c r="I608" s="2">
        <v>0</v>
      </c>
      <c r="J608" s="2"/>
      <c r="K608" s="2">
        <v>2429</v>
      </c>
      <c r="L608" s="2">
        <v>2237</v>
      </c>
      <c r="M608" s="2">
        <v>1245</v>
      </c>
      <c r="N608" s="2">
        <v>0</v>
      </c>
      <c r="O608" s="2">
        <v>0</v>
      </c>
      <c r="P608" s="2"/>
      <c r="Q608" s="2">
        <v>157</v>
      </c>
      <c r="R608" s="2">
        <v>2202</v>
      </c>
      <c r="S608" s="2">
        <v>2278</v>
      </c>
      <c r="T608" s="2">
        <v>1950</v>
      </c>
      <c r="U608" s="2">
        <v>0</v>
      </c>
      <c r="V608" s="2"/>
      <c r="W608" s="2">
        <v>1923</v>
      </c>
      <c r="X608" s="2">
        <v>1561</v>
      </c>
      <c r="Y608" s="2">
        <v>0</v>
      </c>
      <c r="Z608" s="2">
        <v>0</v>
      </c>
      <c r="AA608" s="2">
        <v>0</v>
      </c>
      <c r="AB608" s="2"/>
      <c r="AC608" s="2">
        <v>4312</v>
      </c>
      <c r="AD608" s="2">
        <v>3373</v>
      </c>
      <c r="AE608" s="2">
        <v>3374</v>
      </c>
      <c r="AF608" s="2">
        <v>0</v>
      </c>
      <c r="AG608" s="2">
        <v>0</v>
      </c>
      <c r="AH608" s="2"/>
      <c r="AI608" s="2">
        <v>-1976</v>
      </c>
      <c r="AJ608" s="2">
        <v>-1976</v>
      </c>
      <c r="AK608" s="2">
        <v>-1569</v>
      </c>
      <c r="AL608" s="2">
        <v>0</v>
      </c>
      <c r="AM608" s="2">
        <v>-1976</v>
      </c>
    </row>
    <row r="609" spans="1:39">
      <c r="A609" s="351">
        <v>96461</v>
      </c>
      <c r="B609" s="344" t="s">
        <v>1304</v>
      </c>
      <c r="C609" s="360">
        <v>1.294E-4</v>
      </c>
      <c r="E609" s="2">
        <v>38801</v>
      </c>
      <c r="F609" s="2">
        <v>52909</v>
      </c>
      <c r="G609" s="2">
        <v>25921</v>
      </c>
      <c r="H609" s="2">
        <v>19258</v>
      </c>
      <c r="I609" s="2">
        <v>0</v>
      </c>
      <c r="J609" s="2"/>
      <c r="K609" s="2">
        <v>23992</v>
      </c>
      <c r="L609" s="2">
        <v>22101</v>
      </c>
      <c r="M609" s="2">
        <v>12301</v>
      </c>
      <c r="N609" s="2">
        <v>0</v>
      </c>
      <c r="O609" s="2">
        <v>0</v>
      </c>
      <c r="P609" s="2"/>
      <c r="Q609" s="2">
        <v>1555</v>
      </c>
      <c r="R609" s="2">
        <v>21753</v>
      </c>
      <c r="S609" s="2">
        <v>22505</v>
      </c>
      <c r="T609" s="2">
        <v>19258</v>
      </c>
      <c r="U609" s="2">
        <v>0</v>
      </c>
      <c r="V609" s="2"/>
      <c r="W609" s="2">
        <v>18993</v>
      </c>
      <c r="X609" s="2">
        <v>15419</v>
      </c>
      <c r="Y609" s="2">
        <v>0</v>
      </c>
      <c r="Z609" s="2">
        <v>0</v>
      </c>
      <c r="AA609" s="2">
        <v>0</v>
      </c>
      <c r="AB609" s="2"/>
      <c r="AC609" s="2">
        <v>3144</v>
      </c>
      <c r="AD609" s="2">
        <v>2519</v>
      </c>
      <c r="AE609" s="2">
        <v>0</v>
      </c>
      <c r="AF609" s="2">
        <v>0</v>
      </c>
      <c r="AG609" s="2">
        <v>0</v>
      </c>
      <c r="AH609" s="2"/>
      <c r="AI609" s="2">
        <v>-8883</v>
      </c>
      <c r="AJ609" s="2">
        <v>-8883</v>
      </c>
      <c r="AK609" s="2">
        <v>-8885</v>
      </c>
      <c r="AL609" s="2">
        <v>0</v>
      </c>
      <c r="AM609" s="2">
        <v>-8883</v>
      </c>
    </row>
    <row r="610" spans="1:39">
      <c r="A610" s="351">
        <v>96501</v>
      </c>
      <c r="B610" s="344" t="s">
        <v>1305</v>
      </c>
      <c r="C610" s="360">
        <v>1.4739800000000001E-2</v>
      </c>
      <c r="E610" s="2">
        <v>5113707</v>
      </c>
      <c r="F610" s="2">
        <v>6787778</v>
      </c>
      <c r="G610" s="2">
        <v>4023365</v>
      </c>
      <c r="H610" s="2">
        <v>2193607</v>
      </c>
      <c r="I610" s="2">
        <v>0</v>
      </c>
      <c r="J610" s="2"/>
      <c r="K610" s="2">
        <v>2732892</v>
      </c>
      <c r="L610" s="2">
        <v>2517469</v>
      </c>
      <c r="M610" s="2">
        <v>1401136</v>
      </c>
      <c r="N610" s="2">
        <v>0</v>
      </c>
      <c r="O610" s="2">
        <v>0</v>
      </c>
      <c r="P610" s="2"/>
      <c r="Q610" s="2">
        <v>177158</v>
      </c>
      <c r="R610" s="2">
        <v>2477834</v>
      </c>
      <c r="S610" s="2">
        <v>2563517</v>
      </c>
      <c r="T610" s="2">
        <v>2193607</v>
      </c>
      <c r="U610" s="2">
        <v>0</v>
      </c>
      <c r="V610" s="2"/>
      <c r="W610" s="2">
        <v>2163449</v>
      </c>
      <c r="X610" s="2">
        <v>1756350</v>
      </c>
      <c r="Y610" s="2">
        <v>0</v>
      </c>
      <c r="Z610" s="2">
        <v>0</v>
      </c>
      <c r="AA610" s="2">
        <v>0</v>
      </c>
      <c r="AB610" s="2"/>
      <c r="AC610" s="2">
        <v>62796</v>
      </c>
      <c r="AD610" s="2">
        <v>58714</v>
      </c>
      <c r="AE610" s="2">
        <v>58712</v>
      </c>
      <c r="AF610" s="2">
        <v>0</v>
      </c>
      <c r="AG610" s="2">
        <v>0</v>
      </c>
      <c r="AH610" s="2"/>
      <c r="AI610" s="2">
        <v>-22588</v>
      </c>
      <c r="AJ610" s="2">
        <v>-22589</v>
      </c>
      <c r="AK610" s="2">
        <v>0</v>
      </c>
      <c r="AL610" s="2">
        <v>0</v>
      </c>
      <c r="AM610" s="2">
        <v>-22589</v>
      </c>
    </row>
    <row r="611" spans="1:39">
      <c r="A611" s="351">
        <v>96502</v>
      </c>
      <c r="B611" s="344" t="s">
        <v>2765</v>
      </c>
      <c r="C611" s="360">
        <v>3.3369999999999998E-4</v>
      </c>
      <c r="E611" s="2">
        <v>94913</v>
      </c>
      <c r="F611" s="2">
        <v>132034</v>
      </c>
      <c r="G611" s="2">
        <v>68877</v>
      </c>
      <c r="H611" s="2">
        <v>49662</v>
      </c>
      <c r="I611" s="2">
        <v>0</v>
      </c>
      <c r="J611" s="2"/>
      <c r="K611" s="2">
        <v>61871</v>
      </c>
      <c r="L611" s="2">
        <v>56994</v>
      </c>
      <c r="M611" s="2">
        <v>31721</v>
      </c>
      <c r="N611" s="2">
        <v>0</v>
      </c>
      <c r="O611" s="2">
        <v>0</v>
      </c>
      <c r="P611" s="2"/>
      <c r="Q611" s="2">
        <v>4011</v>
      </c>
      <c r="R611" s="2">
        <v>56097</v>
      </c>
      <c r="S611" s="2">
        <v>58036</v>
      </c>
      <c r="T611" s="2">
        <v>49662</v>
      </c>
      <c r="U611" s="2">
        <v>0</v>
      </c>
      <c r="V611" s="2"/>
      <c r="W611" s="2">
        <v>48979</v>
      </c>
      <c r="X611" s="2">
        <v>39763</v>
      </c>
      <c r="Y611" s="2">
        <v>0</v>
      </c>
      <c r="Z611" s="2">
        <v>0</v>
      </c>
      <c r="AA611" s="2">
        <v>0</v>
      </c>
      <c r="AB611" s="2"/>
      <c r="AC611" s="2">
        <v>4328</v>
      </c>
      <c r="AD611" s="2">
        <v>3456</v>
      </c>
      <c r="AE611" s="2">
        <v>3395</v>
      </c>
      <c r="AF611" s="2">
        <v>0</v>
      </c>
      <c r="AG611" s="2">
        <v>0</v>
      </c>
      <c r="AH611" s="2"/>
      <c r="AI611" s="2">
        <v>-24276</v>
      </c>
      <c r="AJ611" s="2">
        <v>-24276</v>
      </c>
      <c r="AK611" s="2">
        <v>-24275</v>
      </c>
      <c r="AL611" s="2">
        <v>0</v>
      </c>
      <c r="AM611" s="2">
        <v>-24276</v>
      </c>
    </row>
    <row r="612" spans="1:39">
      <c r="A612" s="351">
        <v>96503</v>
      </c>
      <c r="B612" s="344" t="s">
        <v>1307</v>
      </c>
      <c r="C612" s="360">
        <v>2.81E-4</v>
      </c>
      <c r="E612" s="2">
        <v>200615</v>
      </c>
      <c r="F612" s="2">
        <v>207552</v>
      </c>
      <c r="G612" s="2">
        <v>120942</v>
      </c>
      <c r="H612" s="2">
        <v>41819</v>
      </c>
      <c r="I612" s="2">
        <v>0</v>
      </c>
      <c r="J612" s="2"/>
      <c r="K612" s="2">
        <v>52100</v>
      </c>
      <c r="L612" s="2">
        <v>47993</v>
      </c>
      <c r="M612" s="2">
        <v>26711</v>
      </c>
      <c r="N612" s="2">
        <v>0</v>
      </c>
      <c r="O612" s="2">
        <v>0</v>
      </c>
      <c r="P612" s="2"/>
      <c r="Q612" s="2">
        <v>3377</v>
      </c>
      <c r="R612" s="2">
        <v>47238</v>
      </c>
      <c r="S612" s="2">
        <v>48871</v>
      </c>
      <c r="T612" s="2">
        <v>41819</v>
      </c>
      <c r="U612" s="2">
        <v>0</v>
      </c>
      <c r="V612" s="2"/>
      <c r="W612" s="2">
        <v>41244</v>
      </c>
      <c r="X612" s="2">
        <v>33483</v>
      </c>
      <c r="Y612" s="2">
        <v>0</v>
      </c>
      <c r="Z612" s="2">
        <v>0</v>
      </c>
      <c r="AA612" s="2">
        <v>0</v>
      </c>
      <c r="AB612" s="2"/>
      <c r="AC612" s="2">
        <v>107067</v>
      </c>
      <c r="AD612" s="2">
        <v>82011</v>
      </c>
      <c r="AE612" s="2">
        <v>48531</v>
      </c>
      <c r="AF612" s="2">
        <v>0</v>
      </c>
      <c r="AG612" s="2">
        <v>0</v>
      </c>
      <c r="AH612" s="2"/>
      <c r="AI612" s="2">
        <v>-3173</v>
      </c>
      <c r="AJ612" s="2">
        <v>-3173</v>
      </c>
      <c r="AK612" s="2">
        <v>-3171</v>
      </c>
      <c r="AL612" s="2">
        <v>0</v>
      </c>
      <c r="AM612" s="2">
        <v>-3173</v>
      </c>
    </row>
    <row r="613" spans="1:39">
      <c r="A613" s="351">
        <v>96504</v>
      </c>
      <c r="B613" s="344" t="s">
        <v>1308</v>
      </c>
      <c r="C613" s="360">
        <v>3.8099999999999999E-4</v>
      </c>
      <c r="E613" s="2">
        <v>127726</v>
      </c>
      <c r="F613" s="2">
        <v>161879</v>
      </c>
      <c r="G613" s="2">
        <v>90018</v>
      </c>
      <c r="H613" s="2">
        <v>56701</v>
      </c>
      <c r="I613" s="2">
        <v>0</v>
      </c>
      <c r="J613" s="2"/>
      <c r="K613" s="2">
        <v>70641</v>
      </c>
      <c r="L613" s="2">
        <v>65073</v>
      </c>
      <c r="M613" s="2">
        <v>36217</v>
      </c>
      <c r="N613" s="2">
        <v>0</v>
      </c>
      <c r="O613" s="2">
        <v>0</v>
      </c>
      <c r="P613" s="2"/>
      <c r="Q613" s="2">
        <v>4579</v>
      </c>
      <c r="R613" s="2">
        <v>64048</v>
      </c>
      <c r="S613" s="2">
        <v>66263</v>
      </c>
      <c r="T613" s="2">
        <v>56701</v>
      </c>
      <c r="U613" s="2">
        <v>0</v>
      </c>
      <c r="V613" s="2"/>
      <c r="W613" s="2">
        <v>55922</v>
      </c>
      <c r="X613" s="2">
        <v>45399</v>
      </c>
      <c r="Y613" s="2">
        <v>0</v>
      </c>
      <c r="Z613" s="2">
        <v>0</v>
      </c>
      <c r="AA613" s="2">
        <v>0</v>
      </c>
      <c r="AB613" s="2"/>
      <c r="AC613" s="2">
        <v>14340</v>
      </c>
      <c r="AD613" s="2">
        <v>5115</v>
      </c>
      <c r="AE613" s="2">
        <v>5117</v>
      </c>
      <c r="AF613" s="2">
        <v>0</v>
      </c>
      <c r="AG613" s="2">
        <v>0</v>
      </c>
      <c r="AH613" s="2"/>
      <c r="AI613" s="2">
        <v>-17756</v>
      </c>
      <c r="AJ613" s="2">
        <v>-17756</v>
      </c>
      <c r="AK613" s="2">
        <v>-17579</v>
      </c>
      <c r="AL613" s="2">
        <v>0</v>
      </c>
      <c r="AM613" s="2">
        <v>-17756</v>
      </c>
    </row>
    <row r="614" spans="1:39">
      <c r="A614" s="351">
        <v>96507</v>
      </c>
      <c r="B614" s="344" t="s">
        <v>1309</v>
      </c>
      <c r="C614" s="360">
        <v>2.2848999999999999E-3</v>
      </c>
      <c r="E614" s="2">
        <v>825186</v>
      </c>
      <c r="F614" s="2">
        <v>1091024</v>
      </c>
      <c r="G614" s="2">
        <v>650488</v>
      </c>
      <c r="H614" s="2">
        <v>340043</v>
      </c>
      <c r="I614" s="2">
        <v>0</v>
      </c>
      <c r="J614" s="2"/>
      <c r="K614" s="2">
        <v>423641</v>
      </c>
      <c r="L614" s="2">
        <v>390247</v>
      </c>
      <c r="M614" s="2">
        <v>217198</v>
      </c>
      <c r="N614" s="2">
        <v>0</v>
      </c>
      <c r="O614" s="2">
        <v>0</v>
      </c>
      <c r="P614" s="2"/>
      <c r="Q614" s="2">
        <v>27462</v>
      </c>
      <c r="R614" s="2">
        <v>384103</v>
      </c>
      <c r="S614" s="2">
        <v>397385</v>
      </c>
      <c r="T614" s="2">
        <v>340043</v>
      </c>
      <c r="U614" s="2">
        <v>0</v>
      </c>
      <c r="V614" s="2"/>
      <c r="W614" s="2">
        <v>335368</v>
      </c>
      <c r="X614" s="2">
        <v>272262</v>
      </c>
      <c r="Y614" s="2">
        <v>0</v>
      </c>
      <c r="Z614" s="2">
        <v>0</v>
      </c>
      <c r="AA614" s="2">
        <v>0</v>
      </c>
      <c r="AB614" s="2"/>
      <c r="AC614" s="2">
        <v>44412</v>
      </c>
      <c r="AD614" s="2">
        <v>44412</v>
      </c>
      <c r="AE614" s="2">
        <v>35905</v>
      </c>
      <c r="AF614" s="2">
        <v>0</v>
      </c>
      <c r="AG614" s="2">
        <v>0</v>
      </c>
      <c r="AH614" s="2"/>
      <c r="AI614" s="2">
        <v>-5697</v>
      </c>
      <c r="AJ614" s="2">
        <v>0</v>
      </c>
      <c r="AK614" s="2">
        <v>0</v>
      </c>
      <c r="AL614" s="2">
        <v>0</v>
      </c>
      <c r="AM614" s="2">
        <v>0</v>
      </c>
    </row>
    <row r="615" spans="1:39">
      <c r="A615" s="351">
        <v>96508</v>
      </c>
      <c r="B615" s="344" t="s">
        <v>3690</v>
      </c>
      <c r="C615" s="360">
        <v>2.3999999999999999E-6</v>
      </c>
      <c r="E615" s="2">
        <v>6086</v>
      </c>
      <c r="F615" s="2">
        <v>5131</v>
      </c>
      <c r="G615" s="2">
        <v>3272</v>
      </c>
      <c r="H615" s="2">
        <v>357</v>
      </c>
      <c r="I615" s="2">
        <v>0</v>
      </c>
      <c r="J615" s="2"/>
      <c r="K615" s="2">
        <v>445</v>
      </c>
      <c r="L615" s="2">
        <v>410</v>
      </c>
      <c r="M615" s="2">
        <v>228</v>
      </c>
      <c r="N615" s="2">
        <v>0</v>
      </c>
      <c r="O615" s="2">
        <v>0</v>
      </c>
      <c r="P615" s="2"/>
      <c r="Q615" s="2">
        <v>29</v>
      </c>
      <c r="R615" s="2">
        <v>403</v>
      </c>
      <c r="S615" s="2">
        <v>417</v>
      </c>
      <c r="T615" s="2">
        <v>357</v>
      </c>
      <c r="U615" s="2">
        <v>0</v>
      </c>
      <c r="V615" s="2"/>
      <c r="W615" s="2">
        <v>352</v>
      </c>
      <c r="X615" s="2">
        <v>286</v>
      </c>
      <c r="Y615" s="2">
        <v>0</v>
      </c>
      <c r="Z615" s="2">
        <v>0</v>
      </c>
      <c r="AA615" s="2">
        <v>0</v>
      </c>
      <c r="AB615" s="2"/>
      <c r="AC615" s="2">
        <v>5260</v>
      </c>
      <c r="AD615" s="2">
        <v>4032</v>
      </c>
      <c r="AE615" s="2">
        <v>2627</v>
      </c>
      <c r="AF615" s="2">
        <v>0</v>
      </c>
      <c r="AG615" s="2">
        <v>0</v>
      </c>
      <c r="AH615" s="2"/>
      <c r="AI615" s="2">
        <v>0</v>
      </c>
      <c r="AJ615" s="2">
        <v>0</v>
      </c>
      <c r="AK615" s="2">
        <v>0</v>
      </c>
      <c r="AL615" s="2">
        <v>0</v>
      </c>
      <c r="AM615" s="2">
        <v>0</v>
      </c>
    </row>
    <row r="616" spans="1:39">
      <c r="A616" s="351">
        <v>96511</v>
      </c>
      <c r="B616" s="344" t="s">
        <v>1311</v>
      </c>
      <c r="C616" s="360">
        <v>5.5500000000000005E-4</v>
      </c>
      <c r="E616" s="2">
        <v>163570</v>
      </c>
      <c r="F616" s="2">
        <v>228770</v>
      </c>
      <c r="G616" s="2">
        <v>126117</v>
      </c>
      <c r="H616" s="2">
        <v>82596</v>
      </c>
      <c r="I616" s="2">
        <v>0</v>
      </c>
      <c r="J616" s="2"/>
      <c r="K616" s="2">
        <v>102902</v>
      </c>
      <c r="L616" s="2">
        <v>94791</v>
      </c>
      <c r="M616" s="2">
        <v>52757</v>
      </c>
      <c r="N616" s="2">
        <v>0</v>
      </c>
      <c r="O616" s="2">
        <v>0</v>
      </c>
      <c r="P616" s="2"/>
      <c r="Q616" s="2">
        <v>6671</v>
      </c>
      <c r="R616" s="2">
        <v>93298</v>
      </c>
      <c r="S616" s="2">
        <v>96524</v>
      </c>
      <c r="T616" s="2">
        <v>82596</v>
      </c>
      <c r="U616" s="2">
        <v>0</v>
      </c>
      <c r="V616" s="2"/>
      <c r="W616" s="2">
        <v>81461</v>
      </c>
      <c r="X616" s="2">
        <v>66132</v>
      </c>
      <c r="Y616" s="2">
        <v>0</v>
      </c>
      <c r="Z616" s="2">
        <v>0</v>
      </c>
      <c r="AA616" s="2">
        <v>0</v>
      </c>
      <c r="AB616" s="2"/>
      <c r="AC616" s="2">
        <v>0</v>
      </c>
      <c r="AD616" s="2">
        <v>0</v>
      </c>
      <c r="AE616" s="2">
        <v>0</v>
      </c>
      <c r="AF616" s="2">
        <v>0</v>
      </c>
      <c r="AG616" s="2">
        <v>0</v>
      </c>
      <c r="AH616" s="2"/>
      <c r="AI616" s="2">
        <v>-27464</v>
      </c>
      <c r="AJ616" s="2">
        <v>-25451</v>
      </c>
      <c r="AK616" s="2">
        <v>-23164</v>
      </c>
      <c r="AL616" s="2">
        <v>0</v>
      </c>
      <c r="AM616" s="2">
        <v>-25451</v>
      </c>
    </row>
    <row r="617" spans="1:39">
      <c r="A617" s="351">
        <v>96512</v>
      </c>
      <c r="B617" s="344" t="s">
        <v>1312</v>
      </c>
      <c r="C617" s="360">
        <v>1.3689999999999999E-4</v>
      </c>
      <c r="E617" s="2">
        <v>42150</v>
      </c>
      <c r="F617" s="2">
        <v>60230</v>
      </c>
      <c r="G617" s="2">
        <v>32563</v>
      </c>
      <c r="H617" s="2">
        <v>20374</v>
      </c>
      <c r="I617" s="2">
        <v>0</v>
      </c>
      <c r="J617" s="2"/>
      <c r="K617" s="2">
        <v>25382</v>
      </c>
      <c r="L617" s="2">
        <v>23382</v>
      </c>
      <c r="M617" s="2">
        <v>13013</v>
      </c>
      <c r="N617" s="2">
        <v>0</v>
      </c>
      <c r="O617" s="2">
        <v>0</v>
      </c>
      <c r="P617" s="2"/>
      <c r="Q617" s="2">
        <v>1645</v>
      </c>
      <c r="R617" s="2">
        <v>23014</v>
      </c>
      <c r="S617" s="2">
        <v>23809</v>
      </c>
      <c r="T617" s="2">
        <v>20374</v>
      </c>
      <c r="U617" s="2">
        <v>0</v>
      </c>
      <c r="V617" s="2"/>
      <c r="W617" s="2">
        <v>20094</v>
      </c>
      <c r="X617" s="2">
        <v>16313</v>
      </c>
      <c r="Y617" s="2">
        <v>0</v>
      </c>
      <c r="Z617" s="2">
        <v>0</v>
      </c>
      <c r="AA617" s="2">
        <v>0</v>
      </c>
      <c r="AB617" s="2"/>
      <c r="AC617" s="2">
        <v>1777</v>
      </c>
      <c r="AD617" s="2">
        <v>1779</v>
      </c>
      <c r="AE617" s="2">
        <v>0</v>
      </c>
      <c r="AF617" s="2">
        <v>0</v>
      </c>
      <c r="AG617" s="2">
        <v>0</v>
      </c>
      <c r="AH617" s="2"/>
      <c r="AI617" s="2">
        <v>-6748</v>
      </c>
      <c r="AJ617" s="2">
        <v>-4258</v>
      </c>
      <c r="AK617" s="2">
        <v>-4259</v>
      </c>
      <c r="AL617" s="2">
        <v>0</v>
      </c>
      <c r="AM617" s="2">
        <v>-4258</v>
      </c>
    </row>
    <row r="618" spans="1:39">
      <c r="A618" s="351">
        <v>96521</v>
      </c>
      <c r="B618" s="344" t="s">
        <v>1313</v>
      </c>
      <c r="C618" s="360">
        <v>8.9309999999999997E-4</v>
      </c>
      <c r="E618" s="2">
        <v>254195</v>
      </c>
      <c r="F618" s="2">
        <v>357303</v>
      </c>
      <c r="G618" s="2">
        <v>201257</v>
      </c>
      <c r="H618" s="2">
        <v>132913</v>
      </c>
      <c r="I618" s="2">
        <v>0</v>
      </c>
      <c r="J618" s="2"/>
      <c r="K618" s="2">
        <v>165589</v>
      </c>
      <c r="L618" s="2">
        <v>152536</v>
      </c>
      <c r="M618" s="2">
        <v>84896</v>
      </c>
      <c r="N618" s="2">
        <v>0</v>
      </c>
      <c r="O618" s="2">
        <v>0</v>
      </c>
      <c r="P618" s="2"/>
      <c r="Q618" s="2">
        <v>10734</v>
      </c>
      <c r="R618" s="2">
        <v>150135</v>
      </c>
      <c r="S618" s="2">
        <v>155326</v>
      </c>
      <c r="T618" s="2">
        <v>132913</v>
      </c>
      <c r="U618" s="2">
        <v>0</v>
      </c>
      <c r="V618" s="2"/>
      <c r="W618" s="2">
        <v>131086</v>
      </c>
      <c r="X618" s="2">
        <v>106419</v>
      </c>
      <c r="Y618" s="2">
        <v>0</v>
      </c>
      <c r="Z618" s="2">
        <v>0</v>
      </c>
      <c r="AA618" s="2">
        <v>0</v>
      </c>
      <c r="AB618" s="2"/>
      <c r="AC618" s="2">
        <v>0</v>
      </c>
      <c r="AD618" s="2">
        <v>0</v>
      </c>
      <c r="AE618" s="2">
        <v>0</v>
      </c>
      <c r="AF618" s="2">
        <v>0</v>
      </c>
      <c r="AG618" s="2">
        <v>0</v>
      </c>
      <c r="AH618" s="2"/>
      <c r="AI618" s="2">
        <v>-53214</v>
      </c>
      <c r="AJ618" s="2">
        <v>-51787</v>
      </c>
      <c r="AK618" s="2">
        <v>-38965</v>
      </c>
      <c r="AL618" s="2">
        <v>0</v>
      </c>
      <c r="AM618" s="2">
        <v>-51787</v>
      </c>
    </row>
    <row r="619" spans="1:39">
      <c r="A619" s="351">
        <v>96531</v>
      </c>
      <c r="B619" s="344" t="s">
        <v>1314</v>
      </c>
      <c r="C619" s="360">
        <v>8.2658999999999996E-3</v>
      </c>
      <c r="E619" s="2">
        <v>2578982</v>
      </c>
      <c r="F619" s="2">
        <v>3556386</v>
      </c>
      <c r="G619" s="2">
        <v>2015739</v>
      </c>
      <c r="H619" s="2">
        <v>1230148</v>
      </c>
      <c r="I619" s="2">
        <v>0</v>
      </c>
      <c r="J619" s="2"/>
      <c r="K619" s="2">
        <v>1532572</v>
      </c>
      <c r="L619" s="2">
        <v>1411766</v>
      </c>
      <c r="M619" s="2">
        <v>785740</v>
      </c>
      <c r="N619" s="2">
        <v>0</v>
      </c>
      <c r="O619" s="2">
        <v>0</v>
      </c>
      <c r="P619" s="2"/>
      <c r="Q619" s="2">
        <v>99348</v>
      </c>
      <c r="R619" s="2">
        <v>1389539</v>
      </c>
      <c r="S619" s="2">
        <v>1437589</v>
      </c>
      <c r="T619" s="2">
        <v>1230148</v>
      </c>
      <c r="U619" s="2">
        <v>0</v>
      </c>
      <c r="V619" s="2"/>
      <c r="W619" s="2">
        <v>1213236</v>
      </c>
      <c r="X619" s="2">
        <v>984940</v>
      </c>
      <c r="Y619" s="2">
        <v>0</v>
      </c>
      <c r="Z619" s="2">
        <v>0</v>
      </c>
      <c r="AA619" s="2">
        <v>0</v>
      </c>
      <c r="AB619" s="2"/>
      <c r="AC619" s="2">
        <v>0</v>
      </c>
      <c r="AD619" s="2">
        <v>0</v>
      </c>
      <c r="AE619" s="2">
        <v>0</v>
      </c>
      <c r="AF619" s="2">
        <v>0</v>
      </c>
      <c r="AG619" s="2">
        <v>0</v>
      </c>
      <c r="AH619" s="2"/>
      <c r="AI619" s="2">
        <v>-266174</v>
      </c>
      <c r="AJ619" s="2">
        <v>-229859</v>
      </c>
      <c r="AK619" s="2">
        <v>-207590</v>
      </c>
      <c r="AL619" s="2">
        <v>0</v>
      </c>
      <c r="AM619" s="2">
        <v>-229859</v>
      </c>
    </row>
    <row r="620" spans="1:39">
      <c r="A620" s="351">
        <v>96541</v>
      </c>
      <c r="B620" s="344" t="s">
        <v>1315</v>
      </c>
      <c r="C620" s="360">
        <v>4.06E-4</v>
      </c>
      <c r="E620" s="2">
        <v>146993</v>
      </c>
      <c r="F620" s="2">
        <v>190205</v>
      </c>
      <c r="G620" s="2">
        <v>114725</v>
      </c>
      <c r="H620" s="2">
        <v>60422</v>
      </c>
      <c r="I620" s="2">
        <v>0</v>
      </c>
      <c r="J620" s="2"/>
      <c r="K620" s="2">
        <v>75276</v>
      </c>
      <c r="L620" s="2">
        <v>69342</v>
      </c>
      <c r="M620" s="2">
        <v>38594</v>
      </c>
      <c r="N620" s="2">
        <v>0</v>
      </c>
      <c r="O620" s="2">
        <v>0</v>
      </c>
      <c r="P620" s="2"/>
      <c r="Q620" s="2">
        <v>4880</v>
      </c>
      <c r="R620" s="2">
        <v>68251</v>
      </c>
      <c r="S620" s="2">
        <v>70611</v>
      </c>
      <c r="T620" s="2">
        <v>60422</v>
      </c>
      <c r="U620" s="2">
        <v>0</v>
      </c>
      <c r="V620" s="2"/>
      <c r="W620" s="2">
        <v>59591</v>
      </c>
      <c r="X620" s="2">
        <v>48378</v>
      </c>
      <c r="Y620" s="2">
        <v>0</v>
      </c>
      <c r="Z620" s="2">
        <v>0</v>
      </c>
      <c r="AA620" s="2">
        <v>0</v>
      </c>
      <c r="AB620" s="2"/>
      <c r="AC620" s="2">
        <v>8533</v>
      </c>
      <c r="AD620" s="2">
        <v>5523</v>
      </c>
      <c r="AE620" s="2">
        <v>5520</v>
      </c>
      <c r="AF620" s="2">
        <v>0</v>
      </c>
      <c r="AG620" s="2">
        <v>0</v>
      </c>
      <c r="AH620" s="2"/>
      <c r="AI620" s="2">
        <v>-1287</v>
      </c>
      <c r="AJ620" s="2">
        <v>-1289</v>
      </c>
      <c r="AK620" s="2">
        <v>0</v>
      </c>
      <c r="AL620" s="2">
        <v>0</v>
      </c>
      <c r="AM620" s="2">
        <v>-1289</v>
      </c>
    </row>
    <row r="621" spans="1:39">
      <c r="A621" s="351">
        <v>96601</v>
      </c>
      <c r="B621" s="344" t="s">
        <v>1316</v>
      </c>
      <c r="C621" s="360">
        <v>1.5973000000000001E-3</v>
      </c>
      <c r="E621" s="2">
        <v>491805</v>
      </c>
      <c r="F621" s="2">
        <v>668845</v>
      </c>
      <c r="G621" s="2">
        <v>385894</v>
      </c>
      <c r="H621" s="2">
        <v>237713</v>
      </c>
      <c r="I621" s="2">
        <v>0</v>
      </c>
      <c r="J621" s="2"/>
      <c r="K621" s="2">
        <v>296154</v>
      </c>
      <c r="L621" s="2">
        <v>272809</v>
      </c>
      <c r="M621" s="2">
        <v>151836</v>
      </c>
      <c r="N621" s="2">
        <v>0</v>
      </c>
      <c r="O621" s="2">
        <v>0</v>
      </c>
      <c r="P621" s="2"/>
      <c r="Q621" s="2">
        <v>19198</v>
      </c>
      <c r="R621" s="2">
        <v>268514</v>
      </c>
      <c r="S621" s="2">
        <v>277799</v>
      </c>
      <c r="T621" s="2">
        <v>237713</v>
      </c>
      <c r="U621" s="2">
        <v>0</v>
      </c>
      <c r="V621" s="2"/>
      <c r="W621" s="2">
        <v>234445</v>
      </c>
      <c r="X621" s="2">
        <v>190329</v>
      </c>
      <c r="Y621" s="2">
        <v>0</v>
      </c>
      <c r="Z621" s="2">
        <v>0</v>
      </c>
      <c r="AA621" s="2">
        <v>0</v>
      </c>
      <c r="AB621" s="2"/>
      <c r="AC621" s="2">
        <v>8497</v>
      </c>
      <c r="AD621" s="2">
        <v>3683</v>
      </c>
      <c r="AE621" s="2">
        <v>3685</v>
      </c>
      <c r="AF621" s="2">
        <v>0</v>
      </c>
      <c r="AG621" s="2">
        <v>0</v>
      </c>
      <c r="AH621" s="2"/>
      <c r="AI621" s="2">
        <v>-66489</v>
      </c>
      <c r="AJ621" s="2">
        <v>-66490</v>
      </c>
      <c r="AK621" s="2">
        <v>-47426</v>
      </c>
      <c r="AL621" s="2">
        <v>0</v>
      </c>
      <c r="AM621" s="2">
        <v>-66490</v>
      </c>
    </row>
    <row r="622" spans="1:39">
      <c r="A622" s="351">
        <v>96604</v>
      </c>
      <c r="B622" s="344" t="s">
        <v>1317</v>
      </c>
      <c r="C622" s="360">
        <v>4.6E-6</v>
      </c>
      <c r="E622" s="2">
        <v>2556</v>
      </c>
      <c r="F622" s="2">
        <v>2823</v>
      </c>
      <c r="G622" s="2">
        <v>1882</v>
      </c>
      <c r="H622" s="2">
        <v>685</v>
      </c>
      <c r="I622" s="2">
        <v>0</v>
      </c>
      <c r="J622" s="2"/>
      <c r="K622" s="2">
        <v>853</v>
      </c>
      <c r="L622" s="2">
        <v>786</v>
      </c>
      <c r="M622" s="2">
        <v>437</v>
      </c>
      <c r="N622" s="2">
        <v>0</v>
      </c>
      <c r="O622" s="2">
        <v>0</v>
      </c>
      <c r="P622" s="2"/>
      <c r="Q622" s="2">
        <v>55</v>
      </c>
      <c r="R622" s="2">
        <v>773</v>
      </c>
      <c r="S622" s="2">
        <v>800</v>
      </c>
      <c r="T622" s="2">
        <v>685</v>
      </c>
      <c r="U622" s="2">
        <v>0</v>
      </c>
      <c r="V622" s="2"/>
      <c r="W622" s="2">
        <v>675</v>
      </c>
      <c r="X622" s="2">
        <v>548</v>
      </c>
      <c r="Y622" s="2">
        <v>0</v>
      </c>
      <c r="Z622" s="2">
        <v>0</v>
      </c>
      <c r="AA622" s="2">
        <v>0</v>
      </c>
      <c r="AB622" s="2"/>
      <c r="AC622" s="2">
        <v>973</v>
      </c>
      <c r="AD622" s="2">
        <v>716</v>
      </c>
      <c r="AE622" s="2">
        <v>645</v>
      </c>
      <c r="AF622" s="2">
        <v>0</v>
      </c>
      <c r="AG622" s="2">
        <v>0</v>
      </c>
      <c r="AH622" s="2"/>
      <c r="AI622" s="2">
        <v>0</v>
      </c>
      <c r="AJ622" s="2">
        <v>0</v>
      </c>
      <c r="AK622" s="2">
        <v>0</v>
      </c>
      <c r="AL622" s="2">
        <v>0</v>
      </c>
      <c r="AM622" s="2">
        <v>0</v>
      </c>
    </row>
    <row r="623" spans="1:39">
      <c r="A623" s="351">
        <v>96611</v>
      </c>
      <c r="B623" s="344" t="s">
        <v>1318</v>
      </c>
      <c r="C623" s="360">
        <v>1.95E-5</v>
      </c>
      <c r="E623" s="2">
        <v>6894</v>
      </c>
      <c r="F623" s="2">
        <v>10080</v>
      </c>
      <c r="G623" s="2">
        <v>6924</v>
      </c>
      <c r="H623" s="2">
        <v>2902</v>
      </c>
      <c r="I623" s="2">
        <v>0</v>
      </c>
      <c r="J623" s="2"/>
      <c r="K623" s="2">
        <v>3615</v>
      </c>
      <c r="L623" s="2">
        <v>3330</v>
      </c>
      <c r="M623" s="2">
        <v>1854</v>
      </c>
      <c r="N623" s="2">
        <v>0</v>
      </c>
      <c r="O623" s="2">
        <v>0</v>
      </c>
      <c r="P623" s="2"/>
      <c r="Q623" s="2">
        <v>234</v>
      </c>
      <c r="R623" s="2">
        <v>3278</v>
      </c>
      <c r="S623" s="2">
        <v>3391</v>
      </c>
      <c r="T623" s="2">
        <v>2902</v>
      </c>
      <c r="U623" s="2">
        <v>0</v>
      </c>
      <c r="V623" s="2"/>
      <c r="W623" s="2">
        <v>2862</v>
      </c>
      <c r="X623" s="2">
        <v>2324</v>
      </c>
      <c r="Y623" s="2">
        <v>0</v>
      </c>
      <c r="Z623" s="2">
        <v>0</v>
      </c>
      <c r="AA623" s="2">
        <v>0</v>
      </c>
      <c r="AB623" s="2"/>
      <c r="AC623" s="2">
        <v>2729</v>
      </c>
      <c r="AD623" s="2">
        <v>2729</v>
      </c>
      <c r="AE623" s="2">
        <v>2729</v>
      </c>
      <c r="AF623" s="2">
        <v>0</v>
      </c>
      <c r="AG623" s="2">
        <v>0</v>
      </c>
      <c r="AH623" s="2"/>
      <c r="AI623" s="2">
        <v>-2546</v>
      </c>
      <c r="AJ623" s="2">
        <v>-1581</v>
      </c>
      <c r="AK623" s="2">
        <v>-1050</v>
      </c>
      <c r="AL623" s="2">
        <v>0</v>
      </c>
      <c r="AM623" s="2">
        <v>-1581</v>
      </c>
    </row>
    <row r="624" spans="1:39">
      <c r="A624" s="351">
        <v>96612</v>
      </c>
      <c r="B624" s="344" t="s">
        <v>2767</v>
      </c>
      <c r="C624" s="360">
        <v>4.4199999999999997E-5</v>
      </c>
      <c r="E624" s="2">
        <v>16423</v>
      </c>
      <c r="F624" s="2">
        <v>20801</v>
      </c>
      <c r="G624" s="2">
        <v>13009</v>
      </c>
      <c r="H624" s="2">
        <v>6578</v>
      </c>
      <c r="I624" s="2">
        <v>0</v>
      </c>
      <c r="J624" s="2"/>
      <c r="K624" s="2">
        <v>8195</v>
      </c>
      <c r="L624" s="2">
        <v>7549</v>
      </c>
      <c r="M624" s="2">
        <v>4202</v>
      </c>
      <c r="N624" s="2">
        <v>0</v>
      </c>
      <c r="O624" s="2">
        <v>0</v>
      </c>
      <c r="P624" s="2"/>
      <c r="Q624" s="2">
        <v>531</v>
      </c>
      <c r="R624" s="2">
        <v>7430</v>
      </c>
      <c r="S624" s="2">
        <v>7687</v>
      </c>
      <c r="T624" s="2">
        <v>6578</v>
      </c>
      <c r="U624" s="2">
        <v>0</v>
      </c>
      <c r="V624" s="2"/>
      <c r="W624" s="2">
        <v>6487</v>
      </c>
      <c r="X624" s="2">
        <v>5267</v>
      </c>
      <c r="Y624" s="2">
        <v>0</v>
      </c>
      <c r="Z624" s="2">
        <v>0</v>
      </c>
      <c r="AA624" s="2">
        <v>0</v>
      </c>
      <c r="AB624" s="2"/>
      <c r="AC624" s="2">
        <v>2520</v>
      </c>
      <c r="AD624" s="2">
        <v>1865</v>
      </c>
      <c r="AE624" s="2">
        <v>1865</v>
      </c>
      <c r="AF624" s="2">
        <v>0</v>
      </c>
      <c r="AG624" s="2">
        <v>0</v>
      </c>
      <c r="AH624" s="2"/>
      <c r="AI624" s="2">
        <v>-1310</v>
      </c>
      <c r="AJ624" s="2">
        <v>-1310</v>
      </c>
      <c r="AK624" s="2">
        <v>-745</v>
      </c>
      <c r="AL624" s="2">
        <v>0</v>
      </c>
      <c r="AM624" s="2">
        <v>-1310</v>
      </c>
    </row>
    <row r="625" spans="1:39">
      <c r="A625" s="351">
        <v>96621</v>
      </c>
      <c r="B625" s="344" t="s">
        <v>1320</v>
      </c>
      <c r="C625" s="360">
        <v>1.8600000000000001E-5</v>
      </c>
      <c r="E625" s="2">
        <v>6617</v>
      </c>
      <c r="F625" s="2">
        <v>8559</v>
      </c>
      <c r="G625" s="2">
        <v>5615</v>
      </c>
      <c r="H625" s="2">
        <v>2768</v>
      </c>
      <c r="I625" s="2">
        <v>0</v>
      </c>
      <c r="J625" s="2"/>
      <c r="K625" s="2">
        <v>3449</v>
      </c>
      <c r="L625" s="2">
        <v>3177</v>
      </c>
      <c r="M625" s="2">
        <v>1768</v>
      </c>
      <c r="N625" s="2">
        <v>0</v>
      </c>
      <c r="O625" s="2">
        <v>0</v>
      </c>
      <c r="P625" s="2"/>
      <c r="Q625" s="2">
        <v>224</v>
      </c>
      <c r="R625" s="2">
        <v>3127</v>
      </c>
      <c r="S625" s="2">
        <v>3235</v>
      </c>
      <c r="T625" s="2">
        <v>2768</v>
      </c>
      <c r="U625" s="2">
        <v>0</v>
      </c>
      <c r="V625" s="2"/>
      <c r="W625" s="2">
        <v>2730</v>
      </c>
      <c r="X625" s="2">
        <v>2216</v>
      </c>
      <c r="Y625" s="2">
        <v>0</v>
      </c>
      <c r="Z625" s="2">
        <v>0</v>
      </c>
      <c r="AA625" s="2">
        <v>0</v>
      </c>
      <c r="AB625" s="2"/>
      <c r="AC625" s="2">
        <v>788</v>
      </c>
      <c r="AD625" s="2">
        <v>612</v>
      </c>
      <c r="AE625" s="2">
        <v>612</v>
      </c>
      <c r="AF625" s="2">
        <v>0</v>
      </c>
      <c r="AG625" s="2">
        <v>0</v>
      </c>
      <c r="AH625" s="2"/>
      <c r="AI625" s="2">
        <v>-574</v>
      </c>
      <c r="AJ625" s="2">
        <v>-573</v>
      </c>
      <c r="AK625" s="2">
        <v>0</v>
      </c>
      <c r="AL625" s="2">
        <v>0</v>
      </c>
      <c r="AM625" s="2">
        <v>-573</v>
      </c>
    </row>
    <row r="626" spans="1:39">
      <c r="A626" s="351">
        <v>96631</v>
      </c>
      <c r="B626" s="344" t="s">
        <v>1321</v>
      </c>
      <c r="C626" s="360">
        <v>2.3099999999999999E-5</v>
      </c>
      <c r="E626" s="2">
        <v>8366</v>
      </c>
      <c r="F626" s="2">
        <v>11049</v>
      </c>
      <c r="G626" s="2">
        <v>6755</v>
      </c>
      <c r="H626" s="2">
        <v>3438</v>
      </c>
      <c r="I626" s="2">
        <v>0</v>
      </c>
      <c r="J626" s="2"/>
      <c r="K626" s="2">
        <v>4283</v>
      </c>
      <c r="L626" s="2">
        <v>3945</v>
      </c>
      <c r="M626" s="2">
        <v>2196</v>
      </c>
      <c r="N626" s="2">
        <v>0</v>
      </c>
      <c r="O626" s="2">
        <v>0</v>
      </c>
      <c r="P626" s="2"/>
      <c r="Q626" s="2">
        <v>278</v>
      </c>
      <c r="R626" s="2">
        <v>3883</v>
      </c>
      <c r="S626" s="2">
        <v>4018</v>
      </c>
      <c r="T626" s="2">
        <v>3438</v>
      </c>
      <c r="U626" s="2">
        <v>0</v>
      </c>
      <c r="V626" s="2"/>
      <c r="W626" s="2">
        <v>3391</v>
      </c>
      <c r="X626" s="2">
        <v>2753</v>
      </c>
      <c r="Y626" s="2">
        <v>0</v>
      </c>
      <c r="Z626" s="2">
        <v>0</v>
      </c>
      <c r="AA626" s="2">
        <v>0</v>
      </c>
      <c r="AB626" s="2"/>
      <c r="AC626" s="2">
        <v>673</v>
      </c>
      <c r="AD626" s="2">
        <v>673</v>
      </c>
      <c r="AE626" s="2">
        <v>674</v>
      </c>
      <c r="AF626" s="2">
        <v>0</v>
      </c>
      <c r="AG626" s="2">
        <v>0</v>
      </c>
      <c r="AH626" s="2"/>
      <c r="AI626" s="2">
        <v>-259</v>
      </c>
      <c r="AJ626" s="2">
        <v>-205</v>
      </c>
      <c r="AK626" s="2">
        <v>-133</v>
      </c>
      <c r="AL626" s="2">
        <v>0</v>
      </c>
      <c r="AM626" s="2">
        <v>-205</v>
      </c>
    </row>
    <row r="627" spans="1:39">
      <c r="A627" s="351">
        <v>96641</v>
      </c>
      <c r="B627" s="344" t="s">
        <v>1322</v>
      </c>
      <c r="C627" s="360">
        <v>2.9499999999999999E-5</v>
      </c>
      <c r="E627" s="2">
        <v>15611</v>
      </c>
      <c r="F627" s="2">
        <v>16881</v>
      </c>
      <c r="G627" s="2">
        <v>10060</v>
      </c>
      <c r="H627" s="2">
        <v>4390</v>
      </c>
      <c r="I627" s="2">
        <v>0</v>
      </c>
      <c r="J627" s="2"/>
      <c r="K627" s="2">
        <v>5470</v>
      </c>
      <c r="L627" s="2">
        <v>5038</v>
      </c>
      <c r="M627" s="2">
        <v>2804</v>
      </c>
      <c r="N627" s="2">
        <v>0</v>
      </c>
      <c r="O627" s="2">
        <v>0</v>
      </c>
      <c r="P627" s="2"/>
      <c r="Q627" s="2">
        <v>355</v>
      </c>
      <c r="R627" s="2">
        <v>4959</v>
      </c>
      <c r="S627" s="2">
        <v>5131</v>
      </c>
      <c r="T627" s="2">
        <v>4390</v>
      </c>
      <c r="U627" s="2">
        <v>0</v>
      </c>
      <c r="V627" s="2"/>
      <c r="W627" s="2">
        <v>4330</v>
      </c>
      <c r="X627" s="2">
        <v>3515</v>
      </c>
      <c r="Y627" s="2">
        <v>0</v>
      </c>
      <c r="Z627" s="2">
        <v>0</v>
      </c>
      <c r="AA627" s="2">
        <v>0</v>
      </c>
      <c r="AB627" s="2"/>
      <c r="AC627" s="2">
        <v>5456</v>
      </c>
      <c r="AD627" s="2">
        <v>3369</v>
      </c>
      <c r="AE627" s="2">
        <v>2125</v>
      </c>
      <c r="AF627" s="2">
        <v>0</v>
      </c>
      <c r="AG627" s="2">
        <v>0</v>
      </c>
      <c r="AH627" s="2"/>
      <c r="AI627" s="2">
        <v>0</v>
      </c>
      <c r="AJ627" s="2">
        <v>0</v>
      </c>
      <c r="AK627" s="2">
        <v>0</v>
      </c>
      <c r="AL627" s="2">
        <v>0</v>
      </c>
      <c r="AM627" s="2">
        <v>0</v>
      </c>
    </row>
    <row r="628" spans="1:39">
      <c r="A628" s="351">
        <v>96651</v>
      </c>
      <c r="B628" s="344" t="s">
        <v>1323</v>
      </c>
      <c r="C628" s="360">
        <v>1.5999999999999999E-5</v>
      </c>
      <c r="E628" s="2">
        <v>4758</v>
      </c>
      <c r="F628" s="2">
        <v>6230</v>
      </c>
      <c r="G628" s="2">
        <v>2834</v>
      </c>
      <c r="H628" s="2">
        <v>2381</v>
      </c>
      <c r="I628" s="2">
        <v>0</v>
      </c>
      <c r="J628" s="2"/>
      <c r="K628" s="2">
        <v>2967</v>
      </c>
      <c r="L628" s="2">
        <v>2733</v>
      </c>
      <c r="M628" s="2">
        <v>1521</v>
      </c>
      <c r="N628" s="2">
        <v>0</v>
      </c>
      <c r="O628" s="2">
        <v>0</v>
      </c>
      <c r="P628" s="2"/>
      <c r="Q628" s="2">
        <v>192</v>
      </c>
      <c r="R628" s="2">
        <v>2690</v>
      </c>
      <c r="S628" s="2">
        <v>2783</v>
      </c>
      <c r="T628" s="2">
        <v>2381</v>
      </c>
      <c r="U628" s="2">
        <v>0</v>
      </c>
      <c r="V628" s="2"/>
      <c r="W628" s="2">
        <v>2348</v>
      </c>
      <c r="X628" s="2">
        <v>1907</v>
      </c>
      <c r="Y628" s="2">
        <v>0</v>
      </c>
      <c r="Z628" s="2">
        <v>0</v>
      </c>
      <c r="AA628" s="2">
        <v>0</v>
      </c>
      <c r="AB628" s="2"/>
      <c r="AC628" s="2">
        <v>723</v>
      </c>
      <c r="AD628" s="2">
        <v>372</v>
      </c>
      <c r="AE628" s="2">
        <v>0</v>
      </c>
      <c r="AF628" s="2">
        <v>0</v>
      </c>
      <c r="AG628" s="2">
        <v>0</v>
      </c>
      <c r="AH628" s="2"/>
      <c r="AI628" s="2">
        <v>-1472</v>
      </c>
      <c r="AJ628" s="2">
        <v>-1472</v>
      </c>
      <c r="AK628" s="2">
        <v>-1470</v>
      </c>
      <c r="AL628" s="2">
        <v>0</v>
      </c>
      <c r="AM628" s="2">
        <v>-1472</v>
      </c>
    </row>
    <row r="629" spans="1:39">
      <c r="A629" s="351">
        <v>96661</v>
      </c>
      <c r="B629" s="344" t="s">
        <v>1324</v>
      </c>
      <c r="C629" s="360">
        <v>2.4899999999999999E-5</v>
      </c>
      <c r="E629" s="2">
        <v>11902</v>
      </c>
      <c r="F629" s="2">
        <v>14347</v>
      </c>
      <c r="G629" s="2">
        <v>9448</v>
      </c>
      <c r="H629" s="2">
        <v>3706</v>
      </c>
      <c r="I629" s="2">
        <v>0</v>
      </c>
      <c r="J629" s="2"/>
      <c r="K629" s="2">
        <v>4617</v>
      </c>
      <c r="L629" s="2">
        <v>4253</v>
      </c>
      <c r="M629" s="2">
        <v>2367</v>
      </c>
      <c r="N629" s="2">
        <v>0</v>
      </c>
      <c r="O629" s="2">
        <v>0</v>
      </c>
      <c r="P629" s="2"/>
      <c r="Q629" s="2">
        <v>299</v>
      </c>
      <c r="R629" s="2">
        <v>4186</v>
      </c>
      <c r="S629" s="2">
        <v>4331</v>
      </c>
      <c r="T629" s="2">
        <v>3706</v>
      </c>
      <c r="U629" s="2">
        <v>0</v>
      </c>
      <c r="V629" s="2"/>
      <c r="W629" s="2">
        <v>3655</v>
      </c>
      <c r="X629" s="2">
        <v>2967</v>
      </c>
      <c r="Y629" s="2">
        <v>0</v>
      </c>
      <c r="Z629" s="2">
        <v>0</v>
      </c>
      <c r="AA629" s="2">
        <v>0</v>
      </c>
      <c r="AB629" s="2"/>
      <c r="AC629" s="2">
        <v>3372</v>
      </c>
      <c r="AD629" s="2">
        <v>2982</v>
      </c>
      <c r="AE629" s="2">
        <v>2792</v>
      </c>
      <c r="AF629" s="2">
        <v>0</v>
      </c>
      <c r="AG629" s="2">
        <v>0</v>
      </c>
      <c r="AH629" s="2"/>
      <c r="AI629" s="2">
        <v>-41</v>
      </c>
      <c r="AJ629" s="2">
        <v>-41</v>
      </c>
      <c r="AK629" s="2">
        <v>-42</v>
      </c>
      <c r="AL629" s="2">
        <v>0</v>
      </c>
      <c r="AM629" s="2">
        <v>-41</v>
      </c>
    </row>
    <row r="630" spans="1:39">
      <c r="A630" s="351">
        <v>96671</v>
      </c>
      <c r="B630" s="344" t="s">
        <v>1325</v>
      </c>
      <c r="C630" s="360">
        <v>1.4E-5</v>
      </c>
      <c r="E630" s="2">
        <v>7086</v>
      </c>
      <c r="F630" s="2">
        <v>8467</v>
      </c>
      <c r="G630" s="2">
        <v>5585</v>
      </c>
      <c r="H630" s="2">
        <v>2084</v>
      </c>
      <c r="I630" s="2">
        <v>0</v>
      </c>
      <c r="J630" s="2"/>
      <c r="K630" s="2">
        <v>2596</v>
      </c>
      <c r="L630" s="2">
        <v>2391</v>
      </c>
      <c r="M630" s="2">
        <v>1331</v>
      </c>
      <c r="N630" s="2">
        <v>0</v>
      </c>
      <c r="O630" s="2">
        <v>0</v>
      </c>
      <c r="P630" s="2"/>
      <c r="Q630" s="2">
        <v>168</v>
      </c>
      <c r="R630" s="2">
        <v>2353</v>
      </c>
      <c r="S630" s="2">
        <v>2435</v>
      </c>
      <c r="T630" s="2">
        <v>2084</v>
      </c>
      <c r="U630" s="2">
        <v>0</v>
      </c>
      <c r="V630" s="2"/>
      <c r="W630" s="2">
        <v>2055</v>
      </c>
      <c r="X630" s="2">
        <v>1668</v>
      </c>
      <c r="Y630" s="2">
        <v>0</v>
      </c>
      <c r="Z630" s="2">
        <v>0</v>
      </c>
      <c r="AA630" s="2">
        <v>0</v>
      </c>
      <c r="AB630" s="2"/>
      <c r="AC630" s="2">
        <v>2267</v>
      </c>
      <c r="AD630" s="2">
        <v>2055</v>
      </c>
      <c r="AE630" s="2">
        <v>1819</v>
      </c>
      <c r="AF630" s="2">
        <v>0</v>
      </c>
      <c r="AG630" s="2">
        <v>0</v>
      </c>
      <c r="AH630" s="2"/>
      <c r="AI630" s="2">
        <v>0</v>
      </c>
      <c r="AJ630" s="2">
        <v>0</v>
      </c>
      <c r="AK630" s="2">
        <v>0</v>
      </c>
      <c r="AL630" s="2">
        <v>0</v>
      </c>
      <c r="AM630" s="2">
        <v>0</v>
      </c>
    </row>
    <row r="631" spans="1:39">
      <c r="A631" s="351">
        <v>96681</v>
      </c>
      <c r="B631" s="344" t="s">
        <v>1326</v>
      </c>
      <c r="C631" s="360">
        <v>1.7600000000000001E-5</v>
      </c>
      <c r="E631" s="2">
        <v>5187</v>
      </c>
      <c r="F631" s="2">
        <v>9263</v>
      </c>
      <c r="G631" s="2">
        <v>4300</v>
      </c>
      <c r="H631" s="2">
        <v>2619</v>
      </c>
      <c r="I631" s="2">
        <v>0</v>
      </c>
      <c r="J631" s="2"/>
      <c r="K631" s="2">
        <v>3263</v>
      </c>
      <c r="L631" s="2">
        <v>3006</v>
      </c>
      <c r="M631" s="2">
        <v>1673</v>
      </c>
      <c r="N631" s="2">
        <v>0</v>
      </c>
      <c r="O631" s="2">
        <v>0</v>
      </c>
      <c r="P631" s="2"/>
      <c r="Q631" s="2">
        <v>212</v>
      </c>
      <c r="R631" s="2">
        <v>2959</v>
      </c>
      <c r="S631" s="2">
        <v>3061</v>
      </c>
      <c r="T631" s="2">
        <v>2619</v>
      </c>
      <c r="U631" s="2">
        <v>0</v>
      </c>
      <c r="V631" s="2"/>
      <c r="W631" s="2">
        <v>2583</v>
      </c>
      <c r="X631" s="2">
        <v>2097</v>
      </c>
      <c r="Y631" s="2">
        <v>0</v>
      </c>
      <c r="Z631" s="2">
        <v>0</v>
      </c>
      <c r="AA631" s="2">
        <v>0</v>
      </c>
      <c r="AB631" s="2"/>
      <c r="AC631" s="2">
        <v>3064</v>
      </c>
      <c r="AD631" s="2">
        <v>3066</v>
      </c>
      <c r="AE631" s="2">
        <v>1429</v>
      </c>
      <c r="AF631" s="2">
        <v>0</v>
      </c>
      <c r="AG631" s="2">
        <v>0</v>
      </c>
      <c r="AH631" s="2"/>
      <c r="AI631" s="2">
        <v>-3935</v>
      </c>
      <c r="AJ631" s="2">
        <v>-1865</v>
      </c>
      <c r="AK631" s="2">
        <v>-1863</v>
      </c>
      <c r="AL631" s="2">
        <v>0</v>
      </c>
      <c r="AM631" s="2">
        <v>-1865</v>
      </c>
    </row>
    <row r="632" spans="1:39">
      <c r="A632" s="351">
        <v>96701</v>
      </c>
      <c r="B632" s="344" t="s">
        <v>1327</v>
      </c>
      <c r="C632" s="360">
        <v>7.9334000000000002E-3</v>
      </c>
      <c r="E632" s="2">
        <v>2402858</v>
      </c>
      <c r="F632" s="2">
        <v>3241266</v>
      </c>
      <c r="G632" s="2">
        <v>1764950</v>
      </c>
      <c r="H632" s="2">
        <v>1180664</v>
      </c>
      <c r="I632" s="2">
        <v>0</v>
      </c>
      <c r="J632" s="2"/>
      <c r="K632" s="2">
        <v>1470924</v>
      </c>
      <c r="L632" s="2">
        <v>1354977</v>
      </c>
      <c r="M632" s="2">
        <v>754133</v>
      </c>
      <c r="N632" s="2">
        <v>0</v>
      </c>
      <c r="O632" s="2">
        <v>0</v>
      </c>
      <c r="P632" s="2"/>
      <c r="Q632" s="2">
        <v>95352</v>
      </c>
      <c r="R632" s="2">
        <v>1333644</v>
      </c>
      <c r="S632" s="2">
        <v>1379761</v>
      </c>
      <c r="T632" s="2">
        <v>1180664</v>
      </c>
      <c r="U632" s="2">
        <v>0</v>
      </c>
      <c r="V632" s="2"/>
      <c r="W632" s="2">
        <v>1164433</v>
      </c>
      <c r="X632" s="2">
        <v>945320</v>
      </c>
      <c r="Y632" s="2">
        <v>0</v>
      </c>
      <c r="Z632" s="2">
        <v>0</v>
      </c>
      <c r="AA632" s="2">
        <v>0</v>
      </c>
      <c r="AB632" s="2"/>
      <c r="AC632" s="2">
        <v>64826</v>
      </c>
      <c r="AD632" s="2">
        <v>0</v>
      </c>
      <c r="AE632" s="2">
        <v>0</v>
      </c>
      <c r="AF632" s="2">
        <v>0</v>
      </c>
      <c r="AG632" s="2">
        <v>0</v>
      </c>
      <c r="AH632" s="2"/>
      <c r="AI632" s="2">
        <v>-392677</v>
      </c>
      <c r="AJ632" s="2">
        <v>-392675</v>
      </c>
      <c r="AK632" s="2">
        <v>-368944</v>
      </c>
      <c r="AL632" s="2">
        <v>0</v>
      </c>
      <c r="AM632" s="2">
        <v>-392675</v>
      </c>
    </row>
    <row r="633" spans="1:39">
      <c r="A633" s="351">
        <v>96704</v>
      </c>
      <c r="B633" s="344" t="s">
        <v>1328</v>
      </c>
      <c r="C633" s="360">
        <v>1.9349999999999999E-4</v>
      </c>
      <c r="E633" s="2">
        <v>97121</v>
      </c>
      <c r="F633" s="2">
        <v>113297</v>
      </c>
      <c r="G633" s="2">
        <v>71976</v>
      </c>
      <c r="H633" s="2">
        <v>28797</v>
      </c>
      <c r="I633" s="2">
        <v>0</v>
      </c>
      <c r="J633" s="2"/>
      <c r="K633" s="2">
        <v>35877</v>
      </c>
      <c r="L633" s="2">
        <v>33049</v>
      </c>
      <c r="M633" s="2">
        <v>18394</v>
      </c>
      <c r="N633" s="2">
        <v>0</v>
      </c>
      <c r="O633" s="2">
        <v>0</v>
      </c>
      <c r="P633" s="2"/>
      <c r="Q633" s="2">
        <v>2326</v>
      </c>
      <c r="R633" s="2">
        <v>32528</v>
      </c>
      <c r="S633" s="2">
        <v>33653</v>
      </c>
      <c r="T633" s="2">
        <v>28797</v>
      </c>
      <c r="U633" s="2">
        <v>0</v>
      </c>
      <c r="V633" s="2"/>
      <c r="W633" s="2">
        <v>28401</v>
      </c>
      <c r="X633" s="2">
        <v>23057</v>
      </c>
      <c r="Y633" s="2">
        <v>0</v>
      </c>
      <c r="Z633" s="2">
        <v>0</v>
      </c>
      <c r="AA633" s="2">
        <v>0</v>
      </c>
      <c r="AB633" s="2"/>
      <c r="AC633" s="2">
        <v>30517</v>
      </c>
      <c r="AD633" s="2">
        <v>24663</v>
      </c>
      <c r="AE633" s="2">
        <v>19929</v>
      </c>
      <c r="AF633" s="2">
        <v>0</v>
      </c>
      <c r="AG633" s="2">
        <v>0</v>
      </c>
      <c r="AH633" s="2"/>
      <c r="AI633" s="2">
        <v>0</v>
      </c>
      <c r="AJ633" s="2">
        <v>0</v>
      </c>
      <c r="AK633" s="2">
        <v>0</v>
      </c>
      <c r="AL633" s="2">
        <v>0</v>
      </c>
      <c r="AM633" s="2">
        <v>0</v>
      </c>
    </row>
    <row r="634" spans="1:39">
      <c r="A634" s="351">
        <v>96708</v>
      </c>
      <c r="B634" s="344" t="s">
        <v>1329</v>
      </c>
      <c r="C634" s="360">
        <v>8.5760000000000003E-4</v>
      </c>
      <c r="E634" s="2">
        <v>313174</v>
      </c>
      <c r="F634" s="2">
        <v>395799</v>
      </c>
      <c r="G634" s="2">
        <v>227322</v>
      </c>
      <c r="H634" s="2">
        <v>127630</v>
      </c>
      <c r="I634" s="2">
        <v>0</v>
      </c>
      <c r="J634" s="2"/>
      <c r="K634" s="2">
        <v>159007</v>
      </c>
      <c r="L634" s="2">
        <v>146473</v>
      </c>
      <c r="M634" s="2">
        <v>81522</v>
      </c>
      <c r="N634" s="2">
        <v>0</v>
      </c>
      <c r="O634" s="2">
        <v>0</v>
      </c>
      <c r="P634" s="2"/>
      <c r="Q634" s="2">
        <v>10307</v>
      </c>
      <c r="R634" s="2">
        <v>144167</v>
      </c>
      <c r="S634" s="2">
        <v>149152</v>
      </c>
      <c r="T634" s="2">
        <v>127630</v>
      </c>
      <c r="U634" s="2">
        <v>0</v>
      </c>
      <c r="V634" s="2"/>
      <c r="W634" s="2">
        <v>125875</v>
      </c>
      <c r="X634" s="2">
        <v>102189</v>
      </c>
      <c r="Y634" s="2">
        <v>0</v>
      </c>
      <c r="Z634" s="2">
        <v>0</v>
      </c>
      <c r="AA634" s="2">
        <v>0</v>
      </c>
      <c r="AB634" s="2"/>
      <c r="AC634" s="2">
        <v>29909</v>
      </c>
      <c r="AD634" s="2">
        <v>14894</v>
      </c>
      <c r="AE634" s="2">
        <v>8572</v>
      </c>
      <c r="AF634" s="2">
        <v>0</v>
      </c>
      <c r="AG634" s="2">
        <v>0</v>
      </c>
      <c r="AH634" s="2"/>
      <c r="AI634" s="2">
        <v>-11924</v>
      </c>
      <c r="AJ634" s="2">
        <v>-11924</v>
      </c>
      <c r="AK634" s="2">
        <v>-11924</v>
      </c>
      <c r="AL634" s="2">
        <v>0</v>
      </c>
      <c r="AM634" s="2">
        <v>-11924</v>
      </c>
    </row>
    <row r="635" spans="1:39">
      <c r="A635" s="351">
        <v>96711</v>
      </c>
      <c r="B635" s="344" t="s">
        <v>1330</v>
      </c>
      <c r="C635" s="360">
        <v>3.8658999999999998E-3</v>
      </c>
      <c r="E635" s="2">
        <v>1234170</v>
      </c>
      <c r="F635" s="2">
        <v>1733468</v>
      </c>
      <c r="G635" s="2">
        <v>1031498</v>
      </c>
      <c r="H635" s="2">
        <v>575331</v>
      </c>
      <c r="I635" s="2">
        <v>0</v>
      </c>
      <c r="J635" s="2"/>
      <c r="K635" s="2">
        <v>716773</v>
      </c>
      <c r="L635" s="2">
        <v>660273</v>
      </c>
      <c r="M635" s="2">
        <v>367485</v>
      </c>
      <c r="N635" s="2">
        <v>0</v>
      </c>
      <c r="O635" s="2">
        <v>0</v>
      </c>
      <c r="P635" s="2"/>
      <c r="Q635" s="2">
        <v>46464</v>
      </c>
      <c r="R635" s="2">
        <v>649877</v>
      </c>
      <c r="S635" s="2">
        <v>672350</v>
      </c>
      <c r="T635" s="2">
        <v>575331</v>
      </c>
      <c r="U635" s="2">
        <v>0</v>
      </c>
      <c r="V635" s="2"/>
      <c r="W635" s="2">
        <v>567421</v>
      </c>
      <c r="X635" s="2">
        <v>460649</v>
      </c>
      <c r="Y635" s="2">
        <v>0</v>
      </c>
      <c r="Z635" s="2">
        <v>0</v>
      </c>
      <c r="AA635" s="2">
        <v>0</v>
      </c>
      <c r="AB635" s="2"/>
      <c r="AC635" s="2">
        <v>11631</v>
      </c>
      <c r="AD635" s="2">
        <v>11631</v>
      </c>
      <c r="AE635" s="2">
        <v>11630</v>
      </c>
      <c r="AF635" s="2">
        <v>0</v>
      </c>
      <c r="AG635" s="2">
        <v>0</v>
      </c>
      <c r="AH635" s="2"/>
      <c r="AI635" s="2">
        <v>-108119</v>
      </c>
      <c r="AJ635" s="2">
        <v>-48962</v>
      </c>
      <c r="AK635" s="2">
        <v>-19967</v>
      </c>
      <c r="AL635" s="2">
        <v>0</v>
      </c>
      <c r="AM635" s="2">
        <v>-48962</v>
      </c>
    </row>
    <row r="636" spans="1:39">
      <c r="A636" s="351">
        <v>96721</v>
      </c>
      <c r="B636" s="344" t="s">
        <v>1331</v>
      </c>
      <c r="C636" s="360">
        <v>2.3929999999999999E-4</v>
      </c>
      <c r="E636" s="2">
        <v>93524</v>
      </c>
      <c r="F636" s="2">
        <v>118488</v>
      </c>
      <c r="G636" s="2">
        <v>72910</v>
      </c>
      <c r="H636" s="2">
        <v>35613</v>
      </c>
      <c r="I636" s="2">
        <v>0</v>
      </c>
      <c r="J636" s="2"/>
      <c r="K636" s="2">
        <v>44368</v>
      </c>
      <c r="L636" s="2">
        <v>40871</v>
      </c>
      <c r="M636" s="2">
        <v>22747</v>
      </c>
      <c r="N636" s="2">
        <v>0</v>
      </c>
      <c r="O636" s="2">
        <v>0</v>
      </c>
      <c r="P636" s="2"/>
      <c r="Q636" s="2">
        <v>2876</v>
      </c>
      <c r="R636" s="2">
        <v>40228</v>
      </c>
      <c r="S636" s="2">
        <v>41619</v>
      </c>
      <c r="T636" s="2">
        <v>35613</v>
      </c>
      <c r="U636" s="2">
        <v>0</v>
      </c>
      <c r="V636" s="2"/>
      <c r="W636" s="2">
        <v>35123</v>
      </c>
      <c r="X636" s="2">
        <v>28514</v>
      </c>
      <c r="Y636" s="2">
        <v>0</v>
      </c>
      <c r="Z636" s="2">
        <v>0</v>
      </c>
      <c r="AA636" s="2">
        <v>0</v>
      </c>
      <c r="AB636" s="2"/>
      <c r="AC636" s="2">
        <v>12046</v>
      </c>
      <c r="AD636" s="2">
        <v>9764</v>
      </c>
      <c r="AE636" s="2">
        <v>9432</v>
      </c>
      <c r="AF636" s="2">
        <v>0</v>
      </c>
      <c r="AG636" s="2">
        <v>0</v>
      </c>
      <c r="AH636" s="2"/>
      <c r="AI636" s="2">
        <v>-889</v>
      </c>
      <c r="AJ636" s="2">
        <v>-889</v>
      </c>
      <c r="AK636" s="2">
        <v>-888</v>
      </c>
      <c r="AL636" s="2">
        <v>0</v>
      </c>
      <c r="AM636" s="2">
        <v>-889</v>
      </c>
    </row>
    <row r="637" spans="1:39">
      <c r="A637" s="351">
        <v>96731</v>
      </c>
      <c r="B637" s="344" t="s">
        <v>1332</v>
      </c>
      <c r="C637" s="360">
        <v>1.741E-4</v>
      </c>
      <c r="E637" s="2">
        <v>59891</v>
      </c>
      <c r="F637" s="2">
        <v>77667</v>
      </c>
      <c r="G637" s="2">
        <v>45194</v>
      </c>
      <c r="H637" s="2">
        <v>25910</v>
      </c>
      <c r="I637" s="2">
        <v>0</v>
      </c>
      <c r="J637" s="2"/>
      <c r="K637" s="2">
        <v>32280</v>
      </c>
      <c r="L637" s="2">
        <v>29735</v>
      </c>
      <c r="M637" s="2">
        <v>16550</v>
      </c>
      <c r="N637" s="2">
        <v>0</v>
      </c>
      <c r="O637" s="2">
        <v>0</v>
      </c>
      <c r="P637" s="2"/>
      <c r="Q637" s="2">
        <v>2093</v>
      </c>
      <c r="R637" s="2">
        <v>29267</v>
      </c>
      <c r="S637" s="2">
        <v>30279</v>
      </c>
      <c r="T637" s="2">
        <v>25910</v>
      </c>
      <c r="U637" s="2">
        <v>0</v>
      </c>
      <c r="V637" s="2"/>
      <c r="W637" s="2">
        <v>25554</v>
      </c>
      <c r="X637" s="2">
        <v>20745</v>
      </c>
      <c r="Y637" s="2">
        <v>0</v>
      </c>
      <c r="Z637" s="2">
        <v>0</v>
      </c>
      <c r="AA637" s="2">
        <v>0</v>
      </c>
      <c r="AB637" s="2"/>
      <c r="AC637" s="2">
        <v>2204</v>
      </c>
      <c r="AD637" s="2">
        <v>162</v>
      </c>
      <c r="AE637" s="2">
        <v>164</v>
      </c>
      <c r="AF637" s="2">
        <v>0</v>
      </c>
      <c r="AG637" s="2">
        <v>0</v>
      </c>
      <c r="AH637" s="2"/>
      <c r="AI637" s="2">
        <v>-2240</v>
      </c>
      <c r="AJ637" s="2">
        <v>-2242</v>
      </c>
      <c r="AK637" s="2">
        <v>-1799</v>
      </c>
      <c r="AL637" s="2">
        <v>0</v>
      </c>
      <c r="AM637" s="2">
        <v>-2242</v>
      </c>
    </row>
    <row r="638" spans="1:39">
      <c r="A638" s="351">
        <v>96733</v>
      </c>
      <c r="B638" s="344" t="s">
        <v>1333</v>
      </c>
      <c r="C638" s="360"/>
      <c r="E638" s="2">
        <v>-3844</v>
      </c>
      <c r="F638" s="2">
        <v>-3710</v>
      </c>
      <c r="G638" s="2">
        <v>-4259</v>
      </c>
      <c r="H638" s="2">
        <v>0</v>
      </c>
      <c r="I638" s="2">
        <v>0</v>
      </c>
      <c r="J638" s="2"/>
      <c r="K638" s="2">
        <v>0</v>
      </c>
      <c r="L638" s="2">
        <v>0</v>
      </c>
      <c r="M638" s="2">
        <v>0</v>
      </c>
      <c r="N638" s="2">
        <v>0</v>
      </c>
      <c r="O638" s="2">
        <v>0</v>
      </c>
      <c r="P638" s="2"/>
      <c r="Q638" s="2">
        <v>0</v>
      </c>
      <c r="R638" s="2">
        <v>0</v>
      </c>
      <c r="S638" s="2">
        <v>0</v>
      </c>
      <c r="T638" s="2">
        <v>0</v>
      </c>
      <c r="U638" s="2">
        <v>0</v>
      </c>
      <c r="V638" s="2"/>
      <c r="W638" s="2">
        <v>0</v>
      </c>
      <c r="X638" s="2">
        <v>0</v>
      </c>
      <c r="Y638" s="2">
        <v>0</v>
      </c>
      <c r="Z638" s="2">
        <v>0</v>
      </c>
      <c r="AA638" s="2">
        <v>0</v>
      </c>
      <c r="AB638" s="2"/>
      <c r="AC638" s="2">
        <v>549</v>
      </c>
      <c r="AD638" s="2">
        <v>550</v>
      </c>
      <c r="AE638" s="2">
        <v>0</v>
      </c>
      <c r="AF638" s="2">
        <v>0</v>
      </c>
      <c r="AG638" s="2">
        <v>0</v>
      </c>
      <c r="AH638" s="2"/>
      <c r="AI638" s="2">
        <v>-4393</v>
      </c>
      <c r="AJ638" s="2">
        <v>-4260</v>
      </c>
      <c r="AK638" s="2">
        <v>-4259</v>
      </c>
      <c r="AL638" s="2">
        <v>0</v>
      </c>
      <c r="AM638" s="2">
        <v>-4260</v>
      </c>
    </row>
    <row r="639" spans="1:39">
      <c r="A639" s="351">
        <v>96741</v>
      </c>
      <c r="B639" s="344" t="s">
        <v>1334</v>
      </c>
      <c r="C639" s="360">
        <v>8.6799999999999996E-5</v>
      </c>
      <c r="E639" s="2">
        <v>24591</v>
      </c>
      <c r="F639" s="2">
        <v>34787</v>
      </c>
      <c r="G639" s="2">
        <v>17676</v>
      </c>
      <c r="H639" s="2">
        <v>12918</v>
      </c>
      <c r="I639" s="2">
        <v>0</v>
      </c>
      <c r="J639" s="2"/>
      <c r="K639" s="2">
        <v>16094</v>
      </c>
      <c r="L639" s="2">
        <v>14825</v>
      </c>
      <c r="M639" s="2">
        <v>8251</v>
      </c>
      <c r="N639" s="2">
        <v>0</v>
      </c>
      <c r="O639" s="2">
        <v>0</v>
      </c>
      <c r="P639" s="2"/>
      <c r="Q639" s="2">
        <v>1043</v>
      </c>
      <c r="R639" s="2">
        <v>14592</v>
      </c>
      <c r="S639" s="2">
        <v>15096</v>
      </c>
      <c r="T639" s="2">
        <v>12918</v>
      </c>
      <c r="U639" s="2">
        <v>0</v>
      </c>
      <c r="V639" s="2"/>
      <c r="W639" s="2">
        <v>12740</v>
      </c>
      <c r="X639" s="2">
        <v>10343</v>
      </c>
      <c r="Y639" s="2">
        <v>0</v>
      </c>
      <c r="Z639" s="2">
        <v>0</v>
      </c>
      <c r="AA639" s="2">
        <v>0</v>
      </c>
      <c r="AB639" s="2"/>
      <c r="AC639" s="2">
        <v>702</v>
      </c>
      <c r="AD639" s="2">
        <v>701</v>
      </c>
      <c r="AE639" s="2">
        <v>0</v>
      </c>
      <c r="AF639" s="2">
        <v>0</v>
      </c>
      <c r="AG639" s="2">
        <v>0</v>
      </c>
      <c r="AH639" s="2"/>
      <c r="AI639" s="2">
        <v>-5988</v>
      </c>
      <c r="AJ639" s="2">
        <v>-5674</v>
      </c>
      <c r="AK639" s="2">
        <v>-5671</v>
      </c>
      <c r="AL639" s="2">
        <v>0</v>
      </c>
      <c r="AM639" s="2">
        <v>-5674</v>
      </c>
    </row>
    <row r="640" spans="1:39">
      <c r="A640" s="351">
        <v>96751</v>
      </c>
      <c r="B640" s="344" t="s">
        <v>3691</v>
      </c>
      <c r="C640" s="360">
        <v>2.7139999999999998E-4</v>
      </c>
      <c r="E640" s="2">
        <v>86500</v>
      </c>
      <c r="F640" s="2">
        <v>118488</v>
      </c>
      <c r="G640" s="2">
        <v>66744</v>
      </c>
      <c r="H640" s="2">
        <v>40390</v>
      </c>
      <c r="I640" s="2">
        <v>0</v>
      </c>
      <c r="J640" s="2"/>
      <c r="K640" s="2">
        <v>50320</v>
      </c>
      <c r="L640" s="2">
        <v>46353</v>
      </c>
      <c r="M640" s="2">
        <v>25799</v>
      </c>
      <c r="N640" s="2">
        <v>0</v>
      </c>
      <c r="O640" s="2">
        <v>0</v>
      </c>
      <c r="P640" s="2"/>
      <c r="Q640" s="2">
        <v>3262</v>
      </c>
      <c r="R640" s="2">
        <v>45624</v>
      </c>
      <c r="S640" s="2">
        <v>47201</v>
      </c>
      <c r="T640" s="2">
        <v>40390</v>
      </c>
      <c r="U640" s="2">
        <v>0</v>
      </c>
      <c r="V640" s="2"/>
      <c r="W640" s="2">
        <v>39835</v>
      </c>
      <c r="X640" s="2">
        <v>32339</v>
      </c>
      <c r="Y640" s="2">
        <v>0</v>
      </c>
      <c r="Z640" s="2">
        <v>0</v>
      </c>
      <c r="AA640" s="2">
        <v>0</v>
      </c>
      <c r="AB640" s="2"/>
      <c r="AC640" s="2">
        <v>6016</v>
      </c>
      <c r="AD640" s="2">
        <v>6018</v>
      </c>
      <c r="AE640" s="2">
        <v>5590</v>
      </c>
      <c r="AF640" s="2">
        <v>0</v>
      </c>
      <c r="AG640" s="2">
        <v>0</v>
      </c>
      <c r="AH640" s="2"/>
      <c r="AI640" s="2">
        <v>-12933</v>
      </c>
      <c r="AJ640" s="2">
        <v>-11846</v>
      </c>
      <c r="AK640" s="2">
        <v>-11846</v>
      </c>
      <c r="AL640" s="2">
        <v>0</v>
      </c>
      <c r="AM640" s="2">
        <v>-11846</v>
      </c>
    </row>
    <row r="641" spans="1:39">
      <c r="A641" s="351">
        <v>96801</v>
      </c>
      <c r="B641" s="344" t="s">
        <v>1336</v>
      </c>
      <c r="C641" s="360">
        <v>7.3815E-3</v>
      </c>
      <c r="E641" s="2">
        <v>2476926</v>
      </c>
      <c r="F641" s="2">
        <v>3335619</v>
      </c>
      <c r="G641" s="2">
        <v>1921907</v>
      </c>
      <c r="H641" s="2">
        <v>1098530</v>
      </c>
      <c r="I641" s="2">
        <v>0</v>
      </c>
      <c r="J641" s="2"/>
      <c r="K641" s="2">
        <v>1368597</v>
      </c>
      <c r="L641" s="2">
        <v>1260716</v>
      </c>
      <c r="M641" s="2">
        <v>701671</v>
      </c>
      <c r="N641" s="2">
        <v>0</v>
      </c>
      <c r="O641" s="2">
        <v>0</v>
      </c>
      <c r="P641" s="2"/>
      <c r="Q641" s="2">
        <v>88718</v>
      </c>
      <c r="R641" s="2">
        <v>1240867</v>
      </c>
      <c r="S641" s="2">
        <v>1283776</v>
      </c>
      <c r="T641" s="2">
        <v>1098530</v>
      </c>
      <c r="U641" s="2">
        <v>0</v>
      </c>
      <c r="V641" s="2"/>
      <c r="W641" s="2">
        <v>1083427</v>
      </c>
      <c r="X641" s="2">
        <v>879557</v>
      </c>
      <c r="Y641" s="2">
        <v>0</v>
      </c>
      <c r="Z641" s="2">
        <v>0</v>
      </c>
      <c r="AA641" s="2">
        <v>0</v>
      </c>
      <c r="AB641" s="2"/>
      <c r="AC641" s="2">
        <v>18014</v>
      </c>
      <c r="AD641" s="2">
        <v>18016</v>
      </c>
      <c r="AE641" s="2">
        <v>0</v>
      </c>
      <c r="AF641" s="2">
        <v>0</v>
      </c>
      <c r="AG641" s="2">
        <v>0</v>
      </c>
      <c r="AH641" s="2"/>
      <c r="AI641" s="2">
        <v>-81830</v>
      </c>
      <c r="AJ641" s="2">
        <v>-63537</v>
      </c>
      <c r="AK641" s="2">
        <v>-63540</v>
      </c>
      <c r="AL641" s="2">
        <v>0</v>
      </c>
      <c r="AM641" s="2">
        <v>-63537</v>
      </c>
    </row>
    <row r="642" spans="1:39">
      <c r="A642" s="351">
        <v>96804</v>
      </c>
      <c r="B642" s="344" t="s">
        <v>1337</v>
      </c>
      <c r="C642" s="360">
        <v>2.3499999999999999E-4</v>
      </c>
      <c r="E642" s="2">
        <v>67610</v>
      </c>
      <c r="F642" s="2">
        <v>93029</v>
      </c>
      <c r="G642" s="2">
        <v>53453</v>
      </c>
      <c r="H642" s="2">
        <v>34973</v>
      </c>
      <c r="I642" s="2">
        <v>0</v>
      </c>
      <c r="J642" s="2"/>
      <c r="K642" s="2">
        <v>43571</v>
      </c>
      <c r="L642" s="2">
        <v>40137</v>
      </c>
      <c r="M642" s="2">
        <v>22339</v>
      </c>
      <c r="N642" s="2">
        <v>0</v>
      </c>
      <c r="O642" s="2">
        <v>0</v>
      </c>
      <c r="P642" s="2"/>
      <c r="Q642" s="2">
        <v>2824</v>
      </c>
      <c r="R642" s="2">
        <v>39505</v>
      </c>
      <c r="S642" s="2">
        <v>40871</v>
      </c>
      <c r="T642" s="2">
        <v>34973</v>
      </c>
      <c r="U642" s="2">
        <v>0</v>
      </c>
      <c r="V642" s="2"/>
      <c r="W642" s="2">
        <v>34492</v>
      </c>
      <c r="X642" s="2">
        <v>28002</v>
      </c>
      <c r="Y642" s="2">
        <v>0</v>
      </c>
      <c r="Z642" s="2">
        <v>0</v>
      </c>
      <c r="AA642" s="2">
        <v>0</v>
      </c>
      <c r="AB642" s="2"/>
      <c r="AC642" s="2">
        <v>1338</v>
      </c>
      <c r="AD642" s="2">
        <v>0</v>
      </c>
      <c r="AE642" s="2">
        <v>0</v>
      </c>
      <c r="AF642" s="2">
        <v>0</v>
      </c>
      <c r="AG642" s="2">
        <v>0</v>
      </c>
      <c r="AH642" s="2"/>
      <c r="AI642" s="2">
        <v>-14615</v>
      </c>
      <c r="AJ642" s="2">
        <v>-14615</v>
      </c>
      <c r="AK642" s="2">
        <v>-9757</v>
      </c>
      <c r="AL642" s="2">
        <v>0</v>
      </c>
      <c r="AM642" s="2">
        <v>-14615</v>
      </c>
    </row>
    <row r="643" spans="1:39">
      <c r="A643" s="351">
        <v>96808</v>
      </c>
      <c r="B643" s="344" t="s">
        <v>1338</v>
      </c>
      <c r="C643" s="360">
        <v>1.2712999999999999E-3</v>
      </c>
      <c r="E643" s="2">
        <v>446892</v>
      </c>
      <c r="F643" s="2">
        <v>592554</v>
      </c>
      <c r="G643" s="2">
        <v>355246</v>
      </c>
      <c r="H643" s="2">
        <v>189197</v>
      </c>
      <c r="I643" s="2">
        <v>0</v>
      </c>
      <c r="J643" s="2"/>
      <c r="K643" s="2">
        <v>235710</v>
      </c>
      <c r="L643" s="2">
        <v>217130</v>
      </c>
      <c r="M643" s="2">
        <v>120847</v>
      </c>
      <c r="N643" s="2">
        <v>0</v>
      </c>
      <c r="O643" s="2">
        <v>0</v>
      </c>
      <c r="P643" s="2"/>
      <c r="Q643" s="2">
        <v>15280</v>
      </c>
      <c r="R643" s="2">
        <v>213712</v>
      </c>
      <c r="S643" s="2">
        <v>221102</v>
      </c>
      <c r="T643" s="2">
        <v>189197</v>
      </c>
      <c r="U643" s="2">
        <v>0</v>
      </c>
      <c r="V643" s="2"/>
      <c r="W643" s="2">
        <v>186596</v>
      </c>
      <c r="X643" s="2">
        <v>151484</v>
      </c>
      <c r="Y643" s="2">
        <v>0</v>
      </c>
      <c r="Z643" s="2">
        <v>0</v>
      </c>
      <c r="AA643" s="2">
        <v>0</v>
      </c>
      <c r="AB643" s="2"/>
      <c r="AC643" s="2">
        <v>20485</v>
      </c>
      <c r="AD643" s="2">
        <v>20485</v>
      </c>
      <c r="AE643" s="2">
        <v>20486</v>
      </c>
      <c r="AF643" s="2">
        <v>0</v>
      </c>
      <c r="AG643" s="2">
        <v>0</v>
      </c>
      <c r="AH643" s="2"/>
      <c r="AI643" s="2">
        <v>-11179</v>
      </c>
      <c r="AJ643" s="2">
        <v>-10257</v>
      </c>
      <c r="AK643" s="2">
        <v>-7189</v>
      </c>
      <c r="AL643" s="2">
        <v>0</v>
      </c>
      <c r="AM643" s="2">
        <v>-10257</v>
      </c>
    </row>
    <row r="644" spans="1:39">
      <c r="A644" s="351">
        <v>96811</v>
      </c>
      <c r="B644" s="344" t="s">
        <v>1339</v>
      </c>
      <c r="C644" s="360">
        <v>5.7375999999999998E-3</v>
      </c>
      <c r="E644" s="2">
        <v>1912413</v>
      </c>
      <c r="F644" s="2">
        <v>2556296</v>
      </c>
      <c r="G644" s="2">
        <v>1484684</v>
      </c>
      <c r="H644" s="2">
        <v>853881</v>
      </c>
      <c r="I644" s="2">
        <v>0</v>
      </c>
      <c r="J644" s="2"/>
      <c r="K644" s="2">
        <v>1063803</v>
      </c>
      <c r="L644" s="2">
        <v>979948</v>
      </c>
      <c r="M644" s="2">
        <v>545405</v>
      </c>
      <c r="N644" s="2">
        <v>0</v>
      </c>
      <c r="O644" s="2">
        <v>0</v>
      </c>
      <c r="P644" s="2"/>
      <c r="Q644" s="2">
        <v>68960</v>
      </c>
      <c r="R644" s="2">
        <v>964519</v>
      </c>
      <c r="S644" s="2">
        <v>997872</v>
      </c>
      <c r="T644" s="2">
        <v>853881</v>
      </c>
      <c r="U644" s="2">
        <v>0</v>
      </c>
      <c r="V644" s="2"/>
      <c r="W644" s="2">
        <v>842142</v>
      </c>
      <c r="X644" s="2">
        <v>683675</v>
      </c>
      <c r="Y644" s="2">
        <v>0</v>
      </c>
      <c r="Z644" s="2">
        <v>0</v>
      </c>
      <c r="AA644" s="2">
        <v>0</v>
      </c>
      <c r="AB644" s="2"/>
      <c r="AC644" s="2">
        <v>9353</v>
      </c>
      <c r="AD644" s="2">
        <v>0</v>
      </c>
      <c r="AE644" s="2">
        <v>0</v>
      </c>
      <c r="AF644" s="2">
        <v>0</v>
      </c>
      <c r="AG644" s="2">
        <v>0</v>
      </c>
      <c r="AH644" s="2"/>
      <c r="AI644" s="2">
        <v>-71845</v>
      </c>
      <c r="AJ644" s="2">
        <v>-71846</v>
      </c>
      <c r="AK644" s="2">
        <v>-58593</v>
      </c>
      <c r="AL644" s="2">
        <v>0</v>
      </c>
      <c r="AM644" s="2">
        <v>-71846</v>
      </c>
    </row>
    <row r="645" spans="1:39">
      <c r="A645" s="351">
        <v>96821</v>
      </c>
      <c r="B645" s="344" t="s">
        <v>1340</v>
      </c>
      <c r="C645" s="360">
        <v>1.2259E-3</v>
      </c>
      <c r="E645" s="2">
        <v>421497</v>
      </c>
      <c r="F645" s="2">
        <v>568341</v>
      </c>
      <c r="G645" s="2">
        <v>358877</v>
      </c>
      <c r="H645" s="2">
        <v>182441</v>
      </c>
      <c r="I645" s="2">
        <v>0</v>
      </c>
      <c r="J645" s="2"/>
      <c r="K645" s="2">
        <v>227293</v>
      </c>
      <c r="L645" s="2">
        <v>209376</v>
      </c>
      <c r="M645" s="2">
        <v>116532</v>
      </c>
      <c r="N645" s="2">
        <v>0</v>
      </c>
      <c r="O645" s="2">
        <v>0</v>
      </c>
      <c r="P645" s="2"/>
      <c r="Q645" s="2">
        <v>14734</v>
      </c>
      <c r="R645" s="2">
        <v>206080</v>
      </c>
      <c r="S645" s="2">
        <v>213206</v>
      </c>
      <c r="T645" s="2">
        <v>182441</v>
      </c>
      <c r="U645" s="2">
        <v>0</v>
      </c>
      <c r="V645" s="2"/>
      <c r="W645" s="2">
        <v>179933</v>
      </c>
      <c r="X645" s="2">
        <v>146075</v>
      </c>
      <c r="Y645" s="2">
        <v>0</v>
      </c>
      <c r="Z645" s="2">
        <v>0</v>
      </c>
      <c r="AA645" s="2">
        <v>0</v>
      </c>
      <c r="AB645" s="2"/>
      <c r="AC645" s="2">
        <v>29139</v>
      </c>
      <c r="AD645" s="2">
        <v>29139</v>
      </c>
      <c r="AE645" s="2">
        <v>29139</v>
      </c>
      <c r="AF645" s="2">
        <v>0</v>
      </c>
      <c r="AG645" s="2">
        <v>0</v>
      </c>
      <c r="AH645" s="2"/>
      <c r="AI645" s="2">
        <v>-29602</v>
      </c>
      <c r="AJ645" s="2">
        <v>-22329</v>
      </c>
      <c r="AK645" s="2">
        <v>0</v>
      </c>
      <c r="AL645" s="2">
        <v>0</v>
      </c>
      <c r="AM645" s="2">
        <v>-22329</v>
      </c>
    </row>
    <row r="646" spans="1:39">
      <c r="A646" s="351">
        <v>96831</v>
      </c>
      <c r="B646" s="344" t="s">
        <v>1341</v>
      </c>
      <c r="C646" s="360">
        <v>9.2150000000000001E-4</v>
      </c>
      <c r="E646" s="2">
        <v>317591</v>
      </c>
      <c r="F646" s="2">
        <v>422382</v>
      </c>
      <c r="G646" s="2">
        <v>249595</v>
      </c>
      <c r="H646" s="2">
        <v>137139</v>
      </c>
      <c r="I646" s="2">
        <v>0</v>
      </c>
      <c r="J646" s="2"/>
      <c r="K646" s="2">
        <v>170854</v>
      </c>
      <c r="L646" s="2">
        <v>157387</v>
      </c>
      <c r="M646" s="2">
        <v>87596</v>
      </c>
      <c r="N646" s="2">
        <v>0</v>
      </c>
      <c r="O646" s="2">
        <v>0</v>
      </c>
      <c r="P646" s="2"/>
      <c r="Q646" s="2">
        <v>11076</v>
      </c>
      <c r="R646" s="2">
        <v>154909</v>
      </c>
      <c r="S646" s="2">
        <v>160265</v>
      </c>
      <c r="T646" s="2">
        <v>137139</v>
      </c>
      <c r="U646" s="2">
        <v>0</v>
      </c>
      <c r="V646" s="2"/>
      <c r="W646" s="2">
        <v>135254</v>
      </c>
      <c r="X646" s="2">
        <v>109803</v>
      </c>
      <c r="Y646" s="2">
        <v>0</v>
      </c>
      <c r="Z646" s="2">
        <v>0</v>
      </c>
      <c r="AA646" s="2">
        <v>0</v>
      </c>
      <c r="AB646" s="2"/>
      <c r="AC646" s="2">
        <v>8882</v>
      </c>
      <c r="AD646" s="2">
        <v>8760</v>
      </c>
      <c r="AE646" s="2">
        <v>8758</v>
      </c>
      <c r="AF646" s="2">
        <v>0</v>
      </c>
      <c r="AG646" s="2">
        <v>0</v>
      </c>
      <c r="AH646" s="2"/>
      <c r="AI646" s="2">
        <v>-8475</v>
      </c>
      <c r="AJ646" s="2">
        <v>-8477</v>
      </c>
      <c r="AK646" s="2">
        <v>-7024</v>
      </c>
      <c r="AL646" s="2">
        <v>0</v>
      </c>
      <c r="AM646" s="2">
        <v>-8477</v>
      </c>
    </row>
    <row r="647" spans="1:39">
      <c r="A647" s="351">
        <v>96901</v>
      </c>
      <c r="B647" s="344" t="s">
        <v>1342</v>
      </c>
      <c r="C647" s="360">
        <v>8.6399999999999997E-4</v>
      </c>
      <c r="E647" s="2">
        <v>272300</v>
      </c>
      <c r="F647" s="2">
        <v>357028</v>
      </c>
      <c r="G647" s="2">
        <v>190662</v>
      </c>
      <c r="H647" s="2">
        <v>128582</v>
      </c>
      <c r="I647" s="2">
        <v>0</v>
      </c>
      <c r="J647" s="2"/>
      <c r="K647" s="2">
        <v>160193</v>
      </c>
      <c r="L647" s="2">
        <v>147566</v>
      </c>
      <c r="M647" s="2">
        <v>82130</v>
      </c>
      <c r="N647" s="2">
        <v>0</v>
      </c>
      <c r="O647" s="2">
        <v>0</v>
      </c>
      <c r="P647" s="2"/>
      <c r="Q647" s="2">
        <v>10384</v>
      </c>
      <c r="R647" s="2">
        <v>145243</v>
      </c>
      <c r="S647" s="2">
        <v>150265</v>
      </c>
      <c r="T647" s="2">
        <v>128582</v>
      </c>
      <c r="U647" s="2">
        <v>0</v>
      </c>
      <c r="V647" s="2"/>
      <c r="W647" s="2">
        <v>126814</v>
      </c>
      <c r="X647" s="2">
        <v>102952</v>
      </c>
      <c r="Y647" s="2">
        <v>0</v>
      </c>
      <c r="Z647" s="2">
        <v>0</v>
      </c>
      <c r="AA647" s="2">
        <v>0</v>
      </c>
      <c r="AB647" s="2"/>
      <c r="AC647" s="2">
        <v>23947</v>
      </c>
      <c r="AD647" s="2">
        <v>10305</v>
      </c>
      <c r="AE647" s="2">
        <v>7306</v>
      </c>
      <c r="AF647" s="2">
        <v>0</v>
      </c>
      <c r="AG647" s="2">
        <v>0</v>
      </c>
      <c r="AH647" s="2"/>
      <c r="AI647" s="2">
        <v>-49038</v>
      </c>
      <c r="AJ647" s="2">
        <v>-49038</v>
      </c>
      <c r="AK647" s="2">
        <v>-49039</v>
      </c>
      <c r="AL647" s="2">
        <v>0</v>
      </c>
      <c r="AM647" s="2">
        <v>-49038</v>
      </c>
    </row>
    <row r="648" spans="1:39">
      <c r="A648" s="351">
        <v>96911</v>
      </c>
      <c r="B648" s="344" t="s">
        <v>1343</v>
      </c>
      <c r="C648" s="360">
        <v>2.3E-6</v>
      </c>
      <c r="E648" s="2">
        <v>1842</v>
      </c>
      <c r="F648" s="2">
        <v>2156</v>
      </c>
      <c r="G648" s="2">
        <v>1469</v>
      </c>
      <c r="H648" s="2">
        <v>342</v>
      </c>
      <c r="I648" s="2">
        <v>0</v>
      </c>
      <c r="J648" s="2"/>
      <c r="K648" s="2">
        <v>426</v>
      </c>
      <c r="L648" s="2">
        <v>393</v>
      </c>
      <c r="M648" s="2">
        <v>219</v>
      </c>
      <c r="N648" s="2">
        <v>0</v>
      </c>
      <c r="O648" s="2">
        <v>0</v>
      </c>
      <c r="P648" s="2"/>
      <c r="Q648" s="2">
        <v>28</v>
      </c>
      <c r="R648" s="2">
        <v>387</v>
      </c>
      <c r="S648" s="2">
        <v>400</v>
      </c>
      <c r="T648" s="2">
        <v>342</v>
      </c>
      <c r="U648" s="2">
        <v>0</v>
      </c>
      <c r="V648" s="2"/>
      <c r="W648" s="2">
        <v>338</v>
      </c>
      <c r="X648" s="2">
        <v>274</v>
      </c>
      <c r="Y648" s="2">
        <v>0</v>
      </c>
      <c r="Z648" s="2">
        <v>0</v>
      </c>
      <c r="AA648" s="2">
        <v>0</v>
      </c>
      <c r="AB648" s="2"/>
      <c r="AC648" s="2">
        <v>1100</v>
      </c>
      <c r="AD648" s="2">
        <v>1102</v>
      </c>
      <c r="AE648" s="2">
        <v>850</v>
      </c>
      <c r="AF648" s="2">
        <v>0</v>
      </c>
      <c r="AG648" s="2">
        <v>0</v>
      </c>
      <c r="AH648" s="2"/>
      <c r="AI648" s="2">
        <v>-50</v>
      </c>
      <c r="AJ648" s="2">
        <v>0</v>
      </c>
      <c r="AK648" s="2">
        <v>0</v>
      </c>
      <c r="AL648" s="2">
        <v>0</v>
      </c>
      <c r="AM648" s="2">
        <v>0</v>
      </c>
    </row>
    <row r="649" spans="1:39">
      <c r="A649" s="351">
        <v>96912</v>
      </c>
      <c r="B649" s="344" t="s">
        <v>1344</v>
      </c>
      <c r="C649" s="360">
        <v>7.5400000000000003E-5</v>
      </c>
      <c r="E649" s="2">
        <v>25723</v>
      </c>
      <c r="F649" s="2">
        <v>35053</v>
      </c>
      <c r="G649" s="2">
        <v>20686</v>
      </c>
      <c r="H649" s="2">
        <v>11221</v>
      </c>
      <c r="I649" s="2">
        <v>0</v>
      </c>
      <c r="J649" s="2"/>
      <c r="K649" s="2">
        <v>13980</v>
      </c>
      <c r="L649" s="2">
        <v>12878</v>
      </c>
      <c r="M649" s="2">
        <v>7167</v>
      </c>
      <c r="N649" s="2">
        <v>0</v>
      </c>
      <c r="O649" s="2">
        <v>0</v>
      </c>
      <c r="P649" s="2"/>
      <c r="Q649" s="2">
        <v>906</v>
      </c>
      <c r="R649" s="2">
        <v>12675</v>
      </c>
      <c r="S649" s="2">
        <v>13113</v>
      </c>
      <c r="T649" s="2">
        <v>11221</v>
      </c>
      <c r="U649" s="2">
        <v>0</v>
      </c>
      <c r="V649" s="2"/>
      <c r="W649" s="2">
        <v>11067</v>
      </c>
      <c r="X649" s="2">
        <v>8984</v>
      </c>
      <c r="Y649" s="2">
        <v>0</v>
      </c>
      <c r="Z649" s="2">
        <v>0</v>
      </c>
      <c r="AA649" s="2">
        <v>0</v>
      </c>
      <c r="AB649" s="2"/>
      <c r="AC649" s="2">
        <v>766</v>
      </c>
      <c r="AD649" s="2">
        <v>765</v>
      </c>
      <c r="AE649" s="2">
        <v>656</v>
      </c>
      <c r="AF649" s="2">
        <v>0</v>
      </c>
      <c r="AG649" s="2">
        <v>0</v>
      </c>
      <c r="AH649" s="2"/>
      <c r="AI649" s="2">
        <v>-996</v>
      </c>
      <c r="AJ649" s="2">
        <v>-249</v>
      </c>
      <c r="AK649" s="2">
        <v>-250</v>
      </c>
      <c r="AL649" s="2">
        <v>0</v>
      </c>
      <c r="AM649" s="2">
        <v>-249</v>
      </c>
    </row>
    <row r="650" spans="1:39">
      <c r="A650" s="351">
        <v>96918</v>
      </c>
      <c r="B650" s="344" t="s">
        <v>1345</v>
      </c>
      <c r="C650" s="360">
        <v>3.1300000000000002E-5</v>
      </c>
      <c r="E650" s="2">
        <v>12601</v>
      </c>
      <c r="F650" s="2">
        <v>16015</v>
      </c>
      <c r="G650" s="2">
        <v>10926</v>
      </c>
      <c r="H650" s="2">
        <v>4658</v>
      </c>
      <c r="I650" s="2">
        <v>0</v>
      </c>
      <c r="J650" s="2"/>
      <c r="K650" s="2">
        <v>5803</v>
      </c>
      <c r="L650" s="2">
        <v>5346</v>
      </c>
      <c r="M650" s="2">
        <v>2975</v>
      </c>
      <c r="N650" s="2">
        <v>0</v>
      </c>
      <c r="O650" s="2">
        <v>0</v>
      </c>
      <c r="P650" s="2"/>
      <c r="Q650" s="2">
        <v>376</v>
      </c>
      <c r="R650" s="2">
        <v>5262</v>
      </c>
      <c r="S650" s="2">
        <v>5444</v>
      </c>
      <c r="T650" s="2">
        <v>4658</v>
      </c>
      <c r="U650" s="2">
        <v>0</v>
      </c>
      <c r="V650" s="2"/>
      <c r="W650" s="2">
        <v>4594</v>
      </c>
      <c r="X650" s="2">
        <v>3730</v>
      </c>
      <c r="Y650" s="2">
        <v>0</v>
      </c>
      <c r="Z650" s="2">
        <v>0</v>
      </c>
      <c r="AA650" s="2">
        <v>0</v>
      </c>
      <c r="AB650" s="2"/>
      <c r="AC650" s="2">
        <v>2756</v>
      </c>
      <c r="AD650" s="2">
        <v>2607</v>
      </c>
      <c r="AE650" s="2">
        <v>2606</v>
      </c>
      <c r="AF650" s="2">
        <v>0</v>
      </c>
      <c r="AG650" s="2">
        <v>0</v>
      </c>
      <c r="AH650" s="2"/>
      <c r="AI650" s="2">
        <v>-928</v>
      </c>
      <c r="AJ650" s="2">
        <v>-930</v>
      </c>
      <c r="AK650" s="2">
        <v>-99</v>
      </c>
      <c r="AL650" s="2">
        <v>0</v>
      </c>
      <c r="AM650" s="2">
        <v>-930</v>
      </c>
    </row>
    <row r="651" spans="1:39">
      <c r="A651" s="351">
        <v>97001</v>
      </c>
      <c r="B651" s="344" t="s">
        <v>1346</v>
      </c>
      <c r="C651" s="360">
        <v>1.4051999999999999E-3</v>
      </c>
      <c r="E651" s="2">
        <v>557048</v>
      </c>
      <c r="F651" s="2">
        <v>699103</v>
      </c>
      <c r="G651" s="2">
        <v>423042</v>
      </c>
      <c r="H651" s="2">
        <v>209125</v>
      </c>
      <c r="I651" s="2">
        <v>0</v>
      </c>
      <c r="J651" s="2"/>
      <c r="K651" s="2">
        <v>260537</v>
      </c>
      <c r="L651" s="2">
        <v>240000</v>
      </c>
      <c r="M651" s="2">
        <v>133576</v>
      </c>
      <c r="N651" s="2">
        <v>0</v>
      </c>
      <c r="O651" s="2">
        <v>0</v>
      </c>
      <c r="P651" s="2"/>
      <c r="Q651" s="2">
        <v>16889</v>
      </c>
      <c r="R651" s="2">
        <v>236221</v>
      </c>
      <c r="S651" s="2">
        <v>244390</v>
      </c>
      <c r="T651" s="2">
        <v>209125</v>
      </c>
      <c r="U651" s="2">
        <v>0</v>
      </c>
      <c r="V651" s="2"/>
      <c r="W651" s="2">
        <v>206250</v>
      </c>
      <c r="X651" s="2">
        <v>167439</v>
      </c>
      <c r="Y651" s="2">
        <v>0</v>
      </c>
      <c r="Z651" s="2">
        <v>0</v>
      </c>
      <c r="AA651" s="2">
        <v>0</v>
      </c>
      <c r="AB651" s="2"/>
      <c r="AC651" s="2">
        <v>73372</v>
      </c>
      <c r="AD651" s="2">
        <v>55443</v>
      </c>
      <c r="AE651" s="2">
        <v>45076</v>
      </c>
      <c r="AF651" s="2">
        <v>0</v>
      </c>
      <c r="AG651" s="2">
        <v>0</v>
      </c>
      <c r="AH651" s="2"/>
      <c r="AI651" s="2">
        <v>0</v>
      </c>
      <c r="AJ651" s="2">
        <v>0</v>
      </c>
      <c r="AK651" s="2">
        <v>0</v>
      </c>
      <c r="AL651" s="2">
        <v>0</v>
      </c>
      <c r="AM651" s="2">
        <v>0</v>
      </c>
    </row>
    <row r="652" spans="1:39">
      <c r="A652" s="351">
        <v>97002</v>
      </c>
      <c r="B652" s="344" t="s">
        <v>1347</v>
      </c>
      <c r="C652" s="360">
        <v>4.7550000000000001E-4</v>
      </c>
      <c r="E652" s="2">
        <v>107596</v>
      </c>
      <c r="F652" s="2">
        <v>163485</v>
      </c>
      <c r="G652" s="2">
        <v>91151</v>
      </c>
      <c r="H652" s="2">
        <v>70765</v>
      </c>
      <c r="I652" s="2">
        <v>0</v>
      </c>
      <c r="J652" s="2"/>
      <c r="K652" s="2">
        <v>88162</v>
      </c>
      <c r="L652" s="2">
        <v>81213</v>
      </c>
      <c r="M652" s="2">
        <v>45200</v>
      </c>
      <c r="N652" s="2">
        <v>0</v>
      </c>
      <c r="O652" s="2">
        <v>0</v>
      </c>
      <c r="P652" s="2"/>
      <c r="Q652" s="2">
        <v>5715</v>
      </c>
      <c r="R652" s="2">
        <v>79934</v>
      </c>
      <c r="S652" s="2">
        <v>82698</v>
      </c>
      <c r="T652" s="2">
        <v>70765</v>
      </c>
      <c r="U652" s="2">
        <v>0</v>
      </c>
      <c r="V652" s="2"/>
      <c r="W652" s="2">
        <v>69792</v>
      </c>
      <c r="X652" s="2">
        <v>56659</v>
      </c>
      <c r="Y652" s="2">
        <v>0</v>
      </c>
      <c r="Z652" s="2">
        <v>0</v>
      </c>
      <c r="AA652" s="2">
        <v>0</v>
      </c>
      <c r="AB652" s="2"/>
      <c r="AC652" s="2">
        <v>0</v>
      </c>
      <c r="AD652" s="2">
        <v>0</v>
      </c>
      <c r="AE652" s="2">
        <v>0</v>
      </c>
      <c r="AF652" s="2">
        <v>0</v>
      </c>
      <c r="AG652" s="2">
        <v>0</v>
      </c>
      <c r="AH652" s="2"/>
      <c r="AI652" s="2">
        <v>-56073</v>
      </c>
      <c r="AJ652" s="2">
        <v>-54321</v>
      </c>
      <c r="AK652" s="2">
        <v>-36747</v>
      </c>
      <c r="AL652" s="2">
        <v>0</v>
      </c>
      <c r="AM652" s="2">
        <v>-54321</v>
      </c>
    </row>
    <row r="653" spans="1:39">
      <c r="A653" s="351">
        <v>97004</v>
      </c>
      <c r="B653" s="344" t="s">
        <v>3692</v>
      </c>
      <c r="C653" s="360">
        <v>1.27E-5</v>
      </c>
      <c r="E653" s="2">
        <v>7251</v>
      </c>
      <c r="F653" s="2">
        <v>8127</v>
      </c>
      <c r="G653" s="2">
        <v>5029</v>
      </c>
      <c r="H653" s="2">
        <v>1890</v>
      </c>
      <c r="I653" s="2">
        <v>0</v>
      </c>
      <c r="J653" s="2"/>
      <c r="K653" s="2">
        <v>2355</v>
      </c>
      <c r="L653" s="2">
        <v>2169</v>
      </c>
      <c r="M653" s="2">
        <v>1207</v>
      </c>
      <c r="N653" s="2">
        <v>0</v>
      </c>
      <c r="O653" s="2">
        <v>0</v>
      </c>
      <c r="P653" s="2"/>
      <c r="Q653" s="2">
        <v>153</v>
      </c>
      <c r="R653" s="2">
        <v>2135</v>
      </c>
      <c r="S653" s="2">
        <v>2209</v>
      </c>
      <c r="T653" s="2">
        <v>1890</v>
      </c>
      <c r="U653" s="2">
        <v>0</v>
      </c>
      <c r="V653" s="2"/>
      <c r="W653" s="2">
        <v>1864</v>
      </c>
      <c r="X653" s="2">
        <v>1513</v>
      </c>
      <c r="Y653" s="2">
        <v>0</v>
      </c>
      <c r="Z653" s="2">
        <v>0</v>
      </c>
      <c r="AA653" s="2">
        <v>0</v>
      </c>
      <c r="AB653" s="2"/>
      <c r="AC653" s="2">
        <v>3184</v>
      </c>
      <c r="AD653" s="2">
        <v>2615</v>
      </c>
      <c r="AE653" s="2">
        <v>1917</v>
      </c>
      <c r="AF653" s="2">
        <v>0</v>
      </c>
      <c r="AG653" s="2">
        <v>0</v>
      </c>
      <c r="AH653" s="2"/>
      <c r="AI653" s="2">
        <v>-305</v>
      </c>
      <c r="AJ653" s="2">
        <v>-305</v>
      </c>
      <c r="AK653" s="2">
        <v>-304</v>
      </c>
      <c r="AL653" s="2">
        <v>0</v>
      </c>
      <c r="AM653" s="2">
        <v>-305</v>
      </c>
    </row>
    <row r="654" spans="1:39">
      <c r="A654" s="351">
        <v>97005</v>
      </c>
      <c r="B654" s="344" t="s">
        <v>1349</v>
      </c>
      <c r="C654" s="360">
        <v>2.2500000000000001E-5</v>
      </c>
      <c r="E654" s="2">
        <v>12364</v>
      </c>
      <c r="F654" s="2">
        <v>12141</v>
      </c>
      <c r="G654" s="2">
        <v>7728</v>
      </c>
      <c r="H654" s="2">
        <v>3348</v>
      </c>
      <c r="I654" s="2">
        <v>0</v>
      </c>
      <c r="J654" s="2"/>
      <c r="K654" s="2">
        <v>4172</v>
      </c>
      <c r="L654" s="2">
        <v>3843</v>
      </c>
      <c r="M654" s="2">
        <v>2139</v>
      </c>
      <c r="N654" s="2">
        <v>0</v>
      </c>
      <c r="O654" s="2">
        <v>0</v>
      </c>
      <c r="P654" s="2"/>
      <c r="Q654" s="2">
        <v>270</v>
      </c>
      <c r="R654" s="2">
        <v>3782</v>
      </c>
      <c r="S654" s="2">
        <v>3913</v>
      </c>
      <c r="T654" s="2">
        <v>3348</v>
      </c>
      <c r="U654" s="2">
        <v>0</v>
      </c>
      <c r="V654" s="2"/>
      <c r="W654" s="2">
        <v>3302</v>
      </c>
      <c r="X654" s="2">
        <v>2681</v>
      </c>
      <c r="Y654" s="2">
        <v>0</v>
      </c>
      <c r="Z654" s="2">
        <v>0</v>
      </c>
      <c r="AA654" s="2">
        <v>0</v>
      </c>
      <c r="AB654" s="2"/>
      <c r="AC654" s="2">
        <v>5070</v>
      </c>
      <c r="AD654" s="2">
        <v>2285</v>
      </c>
      <c r="AE654" s="2">
        <v>2127</v>
      </c>
      <c r="AF654" s="2">
        <v>0</v>
      </c>
      <c r="AG654" s="2">
        <v>0</v>
      </c>
      <c r="AH654" s="2"/>
      <c r="AI654" s="2">
        <v>-450</v>
      </c>
      <c r="AJ654" s="2">
        <v>-450</v>
      </c>
      <c r="AK654" s="2">
        <v>-451</v>
      </c>
      <c r="AL654" s="2">
        <v>0</v>
      </c>
      <c r="AM654" s="2">
        <v>-450</v>
      </c>
    </row>
    <row r="655" spans="1:39">
      <c r="A655" s="351">
        <v>97008</v>
      </c>
      <c r="B655" s="344" t="s">
        <v>1350</v>
      </c>
      <c r="C655" s="360">
        <v>2.7549999999999997E-4</v>
      </c>
      <c r="E655" s="2">
        <v>95714</v>
      </c>
      <c r="F655" s="2">
        <v>125809</v>
      </c>
      <c r="G655" s="2">
        <v>74629</v>
      </c>
      <c r="H655" s="2">
        <v>41000</v>
      </c>
      <c r="I655" s="2">
        <v>0</v>
      </c>
      <c r="J655" s="2"/>
      <c r="K655" s="2">
        <v>51080</v>
      </c>
      <c r="L655" s="2">
        <v>47054</v>
      </c>
      <c r="M655" s="2">
        <v>26188</v>
      </c>
      <c r="N655" s="2">
        <v>0</v>
      </c>
      <c r="O655" s="2">
        <v>0</v>
      </c>
      <c r="P655" s="2"/>
      <c r="Q655" s="2">
        <v>3311</v>
      </c>
      <c r="R655" s="2">
        <v>46313</v>
      </c>
      <c r="S655" s="2">
        <v>47914</v>
      </c>
      <c r="T655" s="2">
        <v>41000</v>
      </c>
      <c r="U655" s="2">
        <v>0</v>
      </c>
      <c r="V655" s="2"/>
      <c r="W655" s="2">
        <v>40437</v>
      </c>
      <c r="X655" s="2">
        <v>32828</v>
      </c>
      <c r="Y655" s="2">
        <v>0</v>
      </c>
      <c r="Z655" s="2">
        <v>0</v>
      </c>
      <c r="AA655" s="2">
        <v>0</v>
      </c>
      <c r="AB655" s="2"/>
      <c r="AC655" s="2">
        <v>4184</v>
      </c>
      <c r="AD655" s="2">
        <v>2914</v>
      </c>
      <c r="AE655" s="2">
        <v>2913</v>
      </c>
      <c r="AF655" s="2">
        <v>0</v>
      </c>
      <c r="AG655" s="2">
        <v>0</v>
      </c>
      <c r="AH655" s="2"/>
      <c r="AI655" s="2">
        <v>-3298</v>
      </c>
      <c r="AJ655" s="2">
        <v>-3300</v>
      </c>
      <c r="AK655" s="2">
        <v>-2386</v>
      </c>
      <c r="AL655" s="2">
        <v>0</v>
      </c>
      <c r="AM655" s="2">
        <v>-3300</v>
      </c>
    </row>
    <row r="656" spans="1:39">
      <c r="A656" s="351">
        <v>97011</v>
      </c>
      <c r="B656" s="344" t="s">
        <v>1352</v>
      </c>
      <c r="C656" s="360">
        <v>1.8404000000000001E-3</v>
      </c>
      <c r="E656" s="2">
        <v>612648</v>
      </c>
      <c r="F656" s="2">
        <v>822639</v>
      </c>
      <c r="G656" s="2">
        <v>476436</v>
      </c>
      <c r="H656" s="2">
        <v>273892</v>
      </c>
      <c r="I656" s="2">
        <v>0</v>
      </c>
      <c r="J656" s="2"/>
      <c r="K656" s="2">
        <v>341227</v>
      </c>
      <c r="L656" s="2">
        <v>314329</v>
      </c>
      <c r="M656" s="2">
        <v>174945</v>
      </c>
      <c r="N656" s="2">
        <v>0</v>
      </c>
      <c r="O656" s="2">
        <v>0</v>
      </c>
      <c r="P656" s="2"/>
      <c r="Q656" s="2">
        <v>22120</v>
      </c>
      <c r="R656" s="2">
        <v>309380</v>
      </c>
      <c r="S656" s="2">
        <v>320079</v>
      </c>
      <c r="T656" s="2">
        <v>273892</v>
      </c>
      <c r="U656" s="2">
        <v>0</v>
      </c>
      <c r="V656" s="2"/>
      <c r="W656" s="2">
        <v>270127</v>
      </c>
      <c r="X656" s="2">
        <v>219297</v>
      </c>
      <c r="Y656" s="2">
        <v>0</v>
      </c>
      <c r="Z656" s="2">
        <v>0</v>
      </c>
      <c r="AA656" s="2">
        <v>0</v>
      </c>
      <c r="AB656" s="2"/>
      <c r="AC656" s="2">
        <v>5687</v>
      </c>
      <c r="AD656" s="2">
        <v>5687</v>
      </c>
      <c r="AE656" s="2">
        <v>5686</v>
      </c>
      <c r="AF656" s="2">
        <v>0</v>
      </c>
      <c r="AG656" s="2">
        <v>0</v>
      </c>
      <c r="AH656" s="2"/>
      <c r="AI656" s="2">
        <v>-26513</v>
      </c>
      <c r="AJ656" s="2">
        <v>-26054</v>
      </c>
      <c r="AK656" s="2">
        <v>-24274</v>
      </c>
      <c r="AL656" s="2">
        <v>0</v>
      </c>
      <c r="AM656" s="2">
        <v>-26054</v>
      </c>
    </row>
    <row r="657" spans="1:39">
      <c r="A657" s="351">
        <v>97012</v>
      </c>
      <c r="B657" s="344" t="s">
        <v>3693</v>
      </c>
      <c r="C657" s="360">
        <v>2.8399999999999999E-5</v>
      </c>
      <c r="E657" s="2">
        <v>10599</v>
      </c>
      <c r="F657" s="2">
        <v>13226</v>
      </c>
      <c r="G657" s="2">
        <v>7043</v>
      </c>
      <c r="H657" s="2">
        <v>4227</v>
      </c>
      <c r="I657" s="2">
        <v>0</v>
      </c>
      <c r="J657" s="2"/>
      <c r="K657" s="2">
        <v>5266</v>
      </c>
      <c r="L657" s="2">
        <v>4851</v>
      </c>
      <c r="M657" s="2">
        <v>2700</v>
      </c>
      <c r="N657" s="2">
        <v>0</v>
      </c>
      <c r="O657" s="2">
        <v>0</v>
      </c>
      <c r="P657" s="2"/>
      <c r="Q657" s="2">
        <v>341</v>
      </c>
      <c r="R657" s="2">
        <v>4774</v>
      </c>
      <c r="S657" s="2">
        <v>4939</v>
      </c>
      <c r="T657" s="2">
        <v>4227</v>
      </c>
      <c r="U657" s="2">
        <v>0</v>
      </c>
      <c r="V657" s="2"/>
      <c r="W657" s="2">
        <v>4168</v>
      </c>
      <c r="X657" s="2">
        <v>3384</v>
      </c>
      <c r="Y657" s="2">
        <v>0</v>
      </c>
      <c r="Z657" s="2">
        <v>0</v>
      </c>
      <c r="AA657" s="2">
        <v>0</v>
      </c>
      <c r="AB657" s="2"/>
      <c r="AC657" s="2">
        <v>1826</v>
      </c>
      <c r="AD657" s="2">
        <v>1219</v>
      </c>
      <c r="AE657" s="2">
        <v>404</v>
      </c>
      <c r="AF657" s="2">
        <v>0</v>
      </c>
      <c r="AG657" s="2">
        <v>0</v>
      </c>
      <c r="AH657" s="2"/>
      <c r="AI657" s="2">
        <v>-1002</v>
      </c>
      <c r="AJ657" s="2">
        <v>-1002</v>
      </c>
      <c r="AK657" s="2">
        <v>-1000</v>
      </c>
      <c r="AL657" s="2">
        <v>0</v>
      </c>
      <c r="AM657" s="2">
        <v>-1002</v>
      </c>
    </row>
    <row r="658" spans="1:39">
      <c r="A658" s="351">
        <v>97013</v>
      </c>
      <c r="B658" s="344" t="s">
        <v>1354</v>
      </c>
      <c r="C658" s="360">
        <v>1.8899999999999999E-5</v>
      </c>
      <c r="E658" s="2">
        <v>9737</v>
      </c>
      <c r="F658" s="2">
        <v>11690</v>
      </c>
      <c r="G658" s="2">
        <v>7213</v>
      </c>
      <c r="H658" s="2">
        <v>2813</v>
      </c>
      <c r="I658" s="2">
        <v>0</v>
      </c>
      <c r="J658" s="2"/>
      <c r="K658" s="2">
        <v>3504</v>
      </c>
      <c r="L658" s="2">
        <v>3228</v>
      </c>
      <c r="M658" s="2">
        <v>1797</v>
      </c>
      <c r="N658" s="2">
        <v>0</v>
      </c>
      <c r="O658" s="2">
        <v>0</v>
      </c>
      <c r="P658" s="2"/>
      <c r="Q658" s="2">
        <v>227</v>
      </c>
      <c r="R658" s="2">
        <v>3177</v>
      </c>
      <c r="S658" s="2">
        <v>3287</v>
      </c>
      <c r="T658" s="2">
        <v>2813</v>
      </c>
      <c r="U658" s="2">
        <v>0</v>
      </c>
      <c r="V658" s="2"/>
      <c r="W658" s="2">
        <v>2774</v>
      </c>
      <c r="X658" s="2">
        <v>2252</v>
      </c>
      <c r="Y658" s="2">
        <v>0</v>
      </c>
      <c r="Z658" s="2">
        <v>0</v>
      </c>
      <c r="AA658" s="2">
        <v>0</v>
      </c>
      <c r="AB658" s="2"/>
      <c r="AC658" s="2">
        <v>5345</v>
      </c>
      <c r="AD658" s="2">
        <v>5146</v>
      </c>
      <c r="AE658" s="2">
        <v>4240</v>
      </c>
      <c r="AF658" s="2">
        <v>0</v>
      </c>
      <c r="AG658" s="2">
        <v>0</v>
      </c>
      <c r="AH658" s="2"/>
      <c r="AI658" s="2">
        <v>-2113</v>
      </c>
      <c r="AJ658" s="2">
        <v>-2113</v>
      </c>
      <c r="AK658" s="2">
        <v>-2111</v>
      </c>
      <c r="AL658" s="2">
        <v>0</v>
      </c>
      <c r="AM658" s="2">
        <v>-2113</v>
      </c>
    </row>
    <row r="659" spans="1:39">
      <c r="A659" s="351">
        <v>97015</v>
      </c>
      <c r="B659" s="344" t="s">
        <v>1355</v>
      </c>
      <c r="C659" s="360">
        <v>4.71E-5</v>
      </c>
      <c r="E659" s="2">
        <v>18079</v>
      </c>
      <c r="F659" s="2">
        <v>24690</v>
      </c>
      <c r="G659" s="2">
        <v>13957</v>
      </c>
      <c r="H659" s="2">
        <v>7010</v>
      </c>
      <c r="I659" s="2">
        <v>0</v>
      </c>
      <c r="J659" s="2"/>
      <c r="K659" s="2">
        <v>8733</v>
      </c>
      <c r="L659" s="2">
        <v>8044</v>
      </c>
      <c r="M659" s="2">
        <v>4477</v>
      </c>
      <c r="N659" s="2">
        <v>0</v>
      </c>
      <c r="O659" s="2">
        <v>0</v>
      </c>
      <c r="P659" s="2"/>
      <c r="Q659" s="2">
        <v>566</v>
      </c>
      <c r="R659" s="2">
        <v>7918</v>
      </c>
      <c r="S659" s="2">
        <v>8192</v>
      </c>
      <c r="T659" s="2">
        <v>7010</v>
      </c>
      <c r="U659" s="2">
        <v>0</v>
      </c>
      <c r="V659" s="2"/>
      <c r="W659" s="2">
        <v>6913</v>
      </c>
      <c r="X659" s="2">
        <v>5612</v>
      </c>
      <c r="Y659" s="2">
        <v>0</v>
      </c>
      <c r="Z659" s="2">
        <v>0</v>
      </c>
      <c r="AA659" s="2">
        <v>0</v>
      </c>
      <c r="AB659" s="2"/>
      <c r="AC659" s="2">
        <v>4266</v>
      </c>
      <c r="AD659" s="2">
        <v>4266</v>
      </c>
      <c r="AE659" s="2">
        <v>2438</v>
      </c>
      <c r="AF659" s="2">
        <v>0</v>
      </c>
      <c r="AG659" s="2">
        <v>0</v>
      </c>
      <c r="AH659" s="2"/>
      <c r="AI659" s="2">
        <v>-2399</v>
      </c>
      <c r="AJ659" s="2">
        <v>-1150</v>
      </c>
      <c r="AK659" s="2">
        <v>-1150</v>
      </c>
      <c r="AL659" s="2">
        <v>0</v>
      </c>
      <c r="AM659" s="2">
        <v>-1150</v>
      </c>
    </row>
    <row r="660" spans="1:39">
      <c r="A660" s="351">
        <v>97018</v>
      </c>
      <c r="B660" s="344" t="s">
        <v>3694</v>
      </c>
      <c r="C660" s="360">
        <v>1.63E-5</v>
      </c>
      <c r="E660" s="2">
        <v>8892</v>
      </c>
      <c r="F660" s="2">
        <v>10043</v>
      </c>
      <c r="G660" s="2">
        <v>6182</v>
      </c>
      <c r="H660" s="2">
        <v>2426</v>
      </c>
      <c r="I660" s="2">
        <v>0</v>
      </c>
      <c r="J660" s="2"/>
      <c r="K660" s="2">
        <v>3022</v>
      </c>
      <c r="L660" s="2">
        <v>2784</v>
      </c>
      <c r="M660" s="2">
        <v>1549</v>
      </c>
      <c r="N660" s="2">
        <v>0</v>
      </c>
      <c r="O660" s="2">
        <v>0</v>
      </c>
      <c r="P660" s="2"/>
      <c r="Q660" s="2">
        <v>196</v>
      </c>
      <c r="R660" s="2">
        <v>2740</v>
      </c>
      <c r="S660" s="2">
        <v>2835</v>
      </c>
      <c r="T660" s="2">
        <v>2426</v>
      </c>
      <c r="U660" s="2">
        <v>0</v>
      </c>
      <c r="V660" s="2"/>
      <c r="W660" s="2">
        <v>2392</v>
      </c>
      <c r="X660" s="2">
        <v>1942</v>
      </c>
      <c r="Y660" s="2">
        <v>0</v>
      </c>
      <c r="Z660" s="2">
        <v>0</v>
      </c>
      <c r="AA660" s="2">
        <v>0</v>
      </c>
      <c r="AB660" s="2"/>
      <c r="AC660" s="2">
        <v>3282</v>
      </c>
      <c r="AD660" s="2">
        <v>2577</v>
      </c>
      <c r="AE660" s="2">
        <v>1798</v>
      </c>
      <c r="AF660" s="2">
        <v>0</v>
      </c>
      <c r="AG660" s="2">
        <v>0</v>
      </c>
      <c r="AH660" s="2"/>
      <c r="AI660" s="2">
        <v>0</v>
      </c>
      <c r="AJ660" s="2">
        <v>0</v>
      </c>
      <c r="AK660" s="2">
        <v>0</v>
      </c>
      <c r="AL660" s="2">
        <v>0</v>
      </c>
      <c r="AM660" s="2">
        <v>0</v>
      </c>
    </row>
    <row r="661" spans="1:39">
      <c r="A661" s="351">
        <v>97101</v>
      </c>
      <c r="B661" s="344" t="s">
        <v>1357</v>
      </c>
      <c r="C661" s="360">
        <v>2.7287000000000001E-3</v>
      </c>
      <c r="E661" s="2">
        <v>1031432</v>
      </c>
      <c r="F661" s="2">
        <v>1341201</v>
      </c>
      <c r="G661" s="2">
        <v>819474</v>
      </c>
      <c r="H661" s="2">
        <v>406091</v>
      </c>
      <c r="I661" s="2">
        <v>0</v>
      </c>
      <c r="J661" s="2"/>
      <c r="K661" s="2">
        <v>505926</v>
      </c>
      <c r="L661" s="2">
        <v>466046</v>
      </c>
      <c r="M661" s="2">
        <v>259385</v>
      </c>
      <c r="N661" s="2">
        <v>0</v>
      </c>
      <c r="O661" s="2">
        <v>0</v>
      </c>
      <c r="P661" s="2"/>
      <c r="Q661" s="2">
        <v>32796</v>
      </c>
      <c r="R661" s="2">
        <v>458708</v>
      </c>
      <c r="S661" s="2">
        <v>474570</v>
      </c>
      <c r="T661" s="2">
        <v>406091</v>
      </c>
      <c r="U661" s="2">
        <v>0</v>
      </c>
      <c r="V661" s="2"/>
      <c r="W661" s="2">
        <v>400508</v>
      </c>
      <c r="X661" s="2">
        <v>325144</v>
      </c>
      <c r="Y661" s="2">
        <v>0</v>
      </c>
      <c r="Z661" s="2">
        <v>0</v>
      </c>
      <c r="AA661" s="2">
        <v>0</v>
      </c>
      <c r="AB661" s="2"/>
      <c r="AC661" s="2">
        <v>92202</v>
      </c>
      <c r="AD661" s="2">
        <v>91303</v>
      </c>
      <c r="AE661" s="2">
        <v>85519</v>
      </c>
      <c r="AF661" s="2">
        <v>0</v>
      </c>
      <c r="AG661" s="2">
        <v>0</v>
      </c>
      <c r="AH661" s="2"/>
      <c r="AI661" s="2">
        <v>0</v>
      </c>
      <c r="AJ661" s="2">
        <v>0</v>
      </c>
      <c r="AK661" s="2">
        <v>0</v>
      </c>
      <c r="AL661" s="2">
        <v>0</v>
      </c>
      <c r="AM661" s="2">
        <v>0</v>
      </c>
    </row>
    <row r="662" spans="1:39">
      <c r="A662" s="351">
        <v>97104</v>
      </c>
      <c r="B662" s="344" t="s">
        <v>1358</v>
      </c>
      <c r="C662" s="360">
        <v>5.3199999999999999E-5</v>
      </c>
      <c r="E662" s="2">
        <v>21614</v>
      </c>
      <c r="F662" s="2">
        <v>27249</v>
      </c>
      <c r="G662" s="2">
        <v>15782</v>
      </c>
      <c r="H662" s="2">
        <v>7917</v>
      </c>
      <c r="I662" s="2">
        <v>0</v>
      </c>
      <c r="J662" s="2"/>
      <c r="K662" s="2">
        <v>9864</v>
      </c>
      <c r="L662" s="2">
        <v>9086</v>
      </c>
      <c r="M662" s="2">
        <v>5057</v>
      </c>
      <c r="N662" s="2">
        <v>0</v>
      </c>
      <c r="O662" s="2">
        <v>0</v>
      </c>
      <c r="P662" s="2"/>
      <c r="Q662" s="2">
        <v>639</v>
      </c>
      <c r="R662" s="2">
        <v>8943</v>
      </c>
      <c r="S662" s="2">
        <v>9252</v>
      </c>
      <c r="T662" s="2">
        <v>7917</v>
      </c>
      <c r="U662" s="2">
        <v>0</v>
      </c>
      <c r="V662" s="2"/>
      <c r="W662" s="2">
        <v>7808</v>
      </c>
      <c r="X662" s="2">
        <v>6339</v>
      </c>
      <c r="Y662" s="2">
        <v>0</v>
      </c>
      <c r="Z662" s="2">
        <v>0</v>
      </c>
      <c r="AA662" s="2">
        <v>0</v>
      </c>
      <c r="AB662" s="2"/>
      <c r="AC662" s="2">
        <v>3303</v>
      </c>
      <c r="AD662" s="2">
        <v>2881</v>
      </c>
      <c r="AE662" s="2">
        <v>1473</v>
      </c>
      <c r="AF662" s="2">
        <v>0</v>
      </c>
      <c r="AG662" s="2">
        <v>0</v>
      </c>
      <c r="AH662" s="2"/>
      <c r="AI662" s="2">
        <v>0</v>
      </c>
      <c r="AJ662" s="2">
        <v>0</v>
      </c>
      <c r="AK662" s="2">
        <v>0</v>
      </c>
      <c r="AL662" s="2">
        <v>0</v>
      </c>
      <c r="AM662" s="2">
        <v>0</v>
      </c>
    </row>
    <row r="663" spans="1:39">
      <c r="A663" s="351">
        <v>97111</v>
      </c>
      <c r="B663" s="344" t="s">
        <v>1359</v>
      </c>
      <c r="C663" s="360">
        <v>3.1780000000000003E-4</v>
      </c>
      <c r="E663" s="2">
        <v>111264</v>
      </c>
      <c r="F663" s="2">
        <v>149719</v>
      </c>
      <c r="G663" s="2">
        <v>91574</v>
      </c>
      <c r="H663" s="2">
        <v>47296</v>
      </c>
      <c r="I663" s="2">
        <v>0</v>
      </c>
      <c r="J663" s="2"/>
      <c r="K663" s="2">
        <v>58923</v>
      </c>
      <c r="L663" s="2">
        <v>54278</v>
      </c>
      <c r="M663" s="2">
        <v>30209</v>
      </c>
      <c r="N663" s="2">
        <v>0</v>
      </c>
      <c r="O663" s="2">
        <v>0</v>
      </c>
      <c r="P663" s="2"/>
      <c r="Q663" s="2">
        <v>3820</v>
      </c>
      <c r="R663" s="2">
        <v>53424</v>
      </c>
      <c r="S663" s="2">
        <v>55271</v>
      </c>
      <c r="T663" s="2">
        <v>47296</v>
      </c>
      <c r="U663" s="2">
        <v>0</v>
      </c>
      <c r="V663" s="2"/>
      <c r="W663" s="2">
        <v>46645</v>
      </c>
      <c r="X663" s="2">
        <v>37868</v>
      </c>
      <c r="Y663" s="2">
        <v>0</v>
      </c>
      <c r="Z663" s="2">
        <v>0</v>
      </c>
      <c r="AA663" s="2">
        <v>0</v>
      </c>
      <c r="AB663" s="2"/>
      <c r="AC663" s="2">
        <v>10029</v>
      </c>
      <c r="AD663" s="2">
        <v>10029</v>
      </c>
      <c r="AE663" s="2">
        <v>10029</v>
      </c>
      <c r="AF663" s="2">
        <v>0</v>
      </c>
      <c r="AG663" s="2">
        <v>0</v>
      </c>
      <c r="AH663" s="2"/>
      <c r="AI663" s="2">
        <v>-8153</v>
      </c>
      <c r="AJ663" s="2">
        <v>-5880</v>
      </c>
      <c r="AK663" s="2">
        <v>-3935</v>
      </c>
      <c r="AL663" s="2">
        <v>0</v>
      </c>
      <c r="AM663" s="2">
        <v>-5880</v>
      </c>
    </row>
    <row r="664" spans="1:39">
      <c r="A664" s="351">
        <v>97121</v>
      </c>
      <c r="B664" s="344" t="s">
        <v>1360</v>
      </c>
      <c r="C664" s="360">
        <v>1.4660000000000001E-4</v>
      </c>
      <c r="E664" s="2">
        <v>66652</v>
      </c>
      <c r="F664" s="2">
        <v>79931</v>
      </c>
      <c r="G664" s="2">
        <v>50859</v>
      </c>
      <c r="H664" s="2">
        <v>21817</v>
      </c>
      <c r="I664" s="2">
        <v>0</v>
      </c>
      <c r="J664" s="2"/>
      <c r="K664" s="2">
        <v>27181</v>
      </c>
      <c r="L664" s="2">
        <v>25038</v>
      </c>
      <c r="M664" s="2">
        <v>13936</v>
      </c>
      <c r="N664" s="2">
        <v>0</v>
      </c>
      <c r="O664" s="2">
        <v>0</v>
      </c>
      <c r="P664" s="2"/>
      <c r="Q664" s="2">
        <v>1762</v>
      </c>
      <c r="R664" s="2">
        <v>24644</v>
      </c>
      <c r="S664" s="2">
        <v>25496</v>
      </c>
      <c r="T664" s="2">
        <v>21817</v>
      </c>
      <c r="U664" s="2">
        <v>0</v>
      </c>
      <c r="V664" s="2"/>
      <c r="W664" s="2">
        <v>21517</v>
      </c>
      <c r="X664" s="2">
        <v>17468</v>
      </c>
      <c r="Y664" s="2">
        <v>0</v>
      </c>
      <c r="Z664" s="2">
        <v>0</v>
      </c>
      <c r="AA664" s="2">
        <v>0</v>
      </c>
      <c r="AB664" s="2"/>
      <c r="AC664" s="2">
        <v>16192</v>
      </c>
      <c r="AD664" s="2">
        <v>12781</v>
      </c>
      <c r="AE664" s="2">
        <v>11427</v>
      </c>
      <c r="AF664" s="2">
        <v>0</v>
      </c>
      <c r="AG664" s="2">
        <v>0</v>
      </c>
      <c r="AH664" s="2"/>
      <c r="AI664" s="2">
        <v>0</v>
      </c>
      <c r="AJ664" s="2">
        <v>0</v>
      </c>
      <c r="AK664" s="2">
        <v>0</v>
      </c>
      <c r="AL664" s="2">
        <v>0</v>
      </c>
      <c r="AM664" s="2">
        <v>0</v>
      </c>
    </row>
    <row r="665" spans="1:39">
      <c r="A665" s="351">
        <v>97131</v>
      </c>
      <c r="B665" s="344" t="s">
        <v>1361</v>
      </c>
      <c r="C665" s="360">
        <v>7.1219999999999996E-4</v>
      </c>
      <c r="E665" s="2">
        <v>232280</v>
      </c>
      <c r="F665" s="2">
        <v>307042</v>
      </c>
      <c r="G665" s="2">
        <v>201691</v>
      </c>
      <c r="H665" s="2">
        <v>105991</v>
      </c>
      <c r="I665" s="2">
        <v>0</v>
      </c>
      <c r="J665" s="2"/>
      <c r="K665" s="2">
        <v>132048</v>
      </c>
      <c r="L665" s="2">
        <v>121639</v>
      </c>
      <c r="M665" s="2">
        <v>67700</v>
      </c>
      <c r="N665" s="2">
        <v>0</v>
      </c>
      <c r="O665" s="2">
        <v>0</v>
      </c>
      <c r="P665" s="2"/>
      <c r="Q665" s="2">
        <v>8560</v>
      </c>
      <c r="R665" s="2">
        <v>119724</v>
      </c>
      <c r="S665" s="2">
        <v>123864</v>
      </c>
      <c r="T665" s="2">
        <v>105991</v>
      </c>
      <c r="U665" s="2">
        <v>0</v>
      </c>
      <c r="V665" s="2"/>
      <c r="W665" s="2">
        <v>104534</v>
      </c>
      <c r="X665" s="2">
        <v>84864</v>
      </c>
      <c r="Y665" s="2">
        <v>0</v>
      </c>
      <c r="Z665" s="2">
        <v>0</v>
      </c>
      <c r="AA665" s="2">
        <v>0</v>
      </c>
      <c r="AB665" s="2"/>
      <c r="AC665" s="2">
        <v>16450</v>
      </c>
      <c r="AD665" s="2">
        <v>10128</v>
      </c>
      <c r="AE665" s="2">
        <v>10127</v>
      </c>
      <c r="AF665" s="2">
        <v>0</v>
      </c>
      <c r="AG665" s="2">
        <v>0</v>
      </c>
      <c r="AH665" s="2"/>
      <c r="AI665" s="2">
        <v>-29312</v>
      </c>
      <c r="AJ665" s="2">
        <v>-29313</v>
      </c>
      <c r="AK665" s="2">
        <v>0</v>
      </c>
      <c r="AL665" s="2">
        <v>0</v>
      </c>
      <c r="AM665" s="2">
        <v>-29313</v>
      </c>
    </row>
    <row r="666" spans="1:39">
      <c r="A666" s="351">
        <v>97201</v>
      </c>
      <c r="B666" s="344" t="s">
        <v>1362</v>
      </c>
      <c r="C666" s="360">
        <v>5.5250000000000004E-4</v>
      </c>
      <c r="E666" s="2">
        <v>198593</v>
      </c>
      <c r="F666" s="2">
        <v>254784</v>
      </c>
      <c r="G666" s="2">
        <v>150627</v>
      </c>
      <c r="H666" s="2">
        <v>82224</v>
      </c>
      <c r="I666" s="2">
        <v>0</v>
      </c>
      <c r="J666" s="2"/>
      <c r="K666" s="2">
        <v>102438</v>
      </c>
      <c r="L666" s="2">
        <v>94364</v>
      </c>
      <c r="M666" s="2">
        <v>52520</v>
      </c>
      <c r="N666" s="2">
        <v>0</v>
      </c>
      <c r="O666" s="2">
        <v>0</v>
      </c>
      <c r="P666" s="2"/>
      <c r="Q666" s="2">
        <v>6640</v>
      </c>
      <c r="R666" s="2">
        <v>92878</v>
      </c>
      <c r="S666" s="2">
        <v>96090</v>
      </c>
      <c r="T666" s="2">
        <v>82224</v>
      </c>
      <c r="U666" s="2">
        <v>0</v>
      </c>
      <c r="V666" s="2"/>
      <c r="W666" s="2">
        <v>81094</v>
      </c>
      <c r="X666" s="2">
        <v>65834</v>
      </c>
      <c r="Y666" s="2">
        <v>0</v>
      </c>
      <c r="Z666" s="2">
        <v>0</v>
      </c>
      <c r="AA666" s="2">
        <v>0</v>
      </c>
      <c r="AB666" s="2"/>
      <c r="AC666" s="2">
        <v>21291</v>
      </c>
      <c r="AD666" s="2">
        <v>14576</v>
      </c>
      <c r="AE666" s="2">
        <v>14575</v>
      </c>
      <c r="AF666" s="2">
        <v>0</v>
      </c>
      <c r="AG666" s="2">
        <v>0</v>
      </c>
      <c r="AH666" s="2"/>
      <c r="AI666" s="2">
        <v>-12870</v>
      </c>
      <c r="AJ666" s="2">
        <v>-12868</v>
      </c>
      <c r="AK666" s="2">
        <v>-12558</v>
      </c>
      <c r="AL666" s="2">
        <v>0</v>
      </c>
      <c r="AM666" s="2">
        <v>-12868</v>
      </c>
    </row>
    <row r="667" spans="1:39">
      <c r="A667" s="351">
        <v>97211</v>
      </c>
      <c r="B667" s="344" t="s">
        <v>1363</v>
      </c>
      <c r="C667" s="360">
        <v>1.403E-4</v>
      </c>
      <c r="E667" s="2">
        <v>70463</v>
      </c>
      <c r="F667" s="2">
        <v>83014</v>
      </c>
      <c r="G667" s="2">
        <v>57694</v>
      </c>
      <c r="H667" s="2">
        <v>20880</v>
      </c>
      <c r="I667" s="2">
        <v>0</v>
      </c>
      <c r="J667" s="2"/>
      <c r="K667" s="2">
        <v>26013</v>
      </c>
      <c r="L667" s="2">
        <v>23962</v>
      </c>
      <c r="M667" s="2">
        <v>13337</v>
      </c>
      <c r="N667" s="2">
        <v>0</v>
      </c>
      <c r="O667" s="2">
        <v>0</v>
      </c>
      <c r="P667" s="2"/>
      <c r="Q667" s="2">
        <v>1686</v>
      </c>
      <c r="R667" s="2">
        <v>23585</v>
      </c>
      <c r="S667" s="2">
        <v>24401</v>
      </c>
      <c r="T667" s="2">
        <v>20880</v>
      </c>
      <c r="U667" s="2">
        <v>0</v>
      </c>
      <c r="V667" s="2"/>
      <c r="W667" s="2">
        <v>20593</v>
      </c>
      <c r="X667" s="2">
        <v>16718</v>
      </c>
      <c r="Y667" s="2">
        <v>0</v>
      </c>
      <c r="Z667" s="2">
        <v>0</v>
      </c>
      <c r="AA667" s="2">
        <v>0</v>
      </c>
      <c r="AB667" s="2"/>
      <c r="AC667" s="2">
        <v>31605</v>
      </c>
      <c r="AD667" s="2">
        <v>28181</v>
      </c>
      <c r="AE667" s="2">
        <v>28180</v>
      </c>
      <c r="AF667" s="2">
        <v>0</v>
      </c>
      <c r="AG667" s="2">
        <v>0</v>
      </c>
      <c r="AH667" s="2"/>
      <c r="AI667" s="2">
        <v>-9434</v>
      </c>
      <c r="AJ667" s="2">
        <v>-9432</v>
      </c>
      <c r="AK667" s="2">
        <v>-8224</v>
      </c>
      <c r="AL667" s="2">
        <v>0</v>
      </c>
      <c r="AM667" s="2">
        <v>-9432</v>
      </c>
    </row>
    <row r="668" spans="1:39">
      <c r="A668" s="351">
        <v>97213</v>
      </c>
      <c r="B668" s="344" t="s">
        <v>2769</v>
      </c>
      <c r="C668" s="360">
        <v>3.5299999999999997E-5</v>
      </c>
      <c r="E668" s="2">
        <v>14607</v>
      </c>
      <c r="F668" s="2">
        <v>17148</v>
      </c>
      <c r="G668" s="2">
        <v>9442</v>
      </c>
      <c r="H668" s="2">
        <v>5253</v>
      </c>
      <c r="I668" s="2">
        <v>0</v>
      </c>
      <c r="J668" s="2"/>
      <c r="K668" s="2">
        <v>6545</v>
      </c>
      <c r="L668" s="2">
        <v>6029</v>
      </c>
      <c r="M668" s="2">
        <v>3356</v>
      </c>
      <c r="N668" s="2">
        <v>0</v>
      </c>
      <c r="O668" s="2">
        <v>0</v>
      </c>
      <c r="P668" s="2"/>
      <c r="Q668" s="2">
        <v>424</v>
      </c>
      <c r="R668" s="2">
        <v>5934</v>
      </c>
      <c r="S668" s="2">
        <v>6139</v>
      </c>
      <c r="T668" s="2">
        <v>5253</v>
      </c>
      <c r="U668" s="2">
        <v>0</v>
      </c>
      <c r="V668" s="2"/>
      <c r="W668" s="2">
        <v>5181</v>
      </c>
      <c r="X668" s="2">
        <v>4206</v>
      </c>
      <c r="Y668" s="2">
        <v>0</v>
      </c>
      <c r="Z668" s="2">
        <v>0</v>
      </c>
      <c r="AA668" s="2">
        <v>0</v>
      </c>
      <c r="AB668" s="2"/>
      <c r="AC668" s="2">
        <v>3696</v>
      </c>
      <c r="AD668" s="2">
        <v>2218</v>
      </c>
      <c r="AE668" s="2">
        <v>1184</v>
      </c>
      <c r="AF668" s="2">
        <v>0</v>
      </c>
      <c r="AG668" s="2">
        <v>0</v>
      </c>
      <c r="AH668" s="2"/>
      <c r="AI668" s="2">
        <v>-1239</v>
      </c>
      <c r="AJ668" s="2">
        <v>-1239</v>
      </c>
      <c r="AK668" s="2">
        <v>-1237</v>
      </c>
      <c r="AL668" s="2">
        <v>0</v>
      </c>
      <c r="AM668" s="2">
        <v>-1239</v>
      </c>
    </row>
    <row r="669" spans="1:39">
      <c r="A669" s="351">
        <v>97217</v>
      </c>
      <c r="B669" s="344" t="s">
        <v>1365</v>
      </c>
      <c r="C669" s="360">
        <v>5.3000000000000001E-6</v>
      </c>
      <c r="E669" s="2">
        <v>5451</v>
      </c>
      <c r="F669" s="2">
        <v>5147</v>
      </c>
      <c r="G669" s="2">
        <v>3280</v>
      </c>
      <c r="H669" s="2">
        <v>789</v>
      </c>
      <c r="I669" s="2">
        <v>0</v>
      </c>
      <c r="J669" s="2"/>
      <c r="K669" s="2">
        <v>983</v>
      </c>
      <c r="L669" s="2">
        <v>905</v>
      </c>
      <c r="M669" s="2">
        <v>504</v>
      </c>
      <c r="N669" s="2">
        <v>0</v>
      </c>
      <c r="O669" s="2">
        <v>0</v>
      </c>
      <c r="P669" s="2"/>
      <c r="Q669" s="2">
        <v>64</v>
      </c>
      <c r="R669" s="2">
        <v>891</v>
      </c>
      <c r="S669" s="2">
        <v>922</v>
      </c>
      <c r="T669" s="2">
        <v>789</v>
      </c>
      <c r="U669" s="2">
        <v>0</v>
      </c>
      <c r="V669" s="2"/>
      <c r="W669" s="2">
        <v>778</v>
      </c>
      <c r="X669" s="2">
        <v>632</v>
      </c>
      <c r="Y669" s="2">
        <v>0</v>
      </c>
      <c r="Z669" s="2">
        <v>0</v>
      </c>
      <c r="AA669" s="2">
        <v>0</v>
      </c>
      <c r="AB669" s="2"/>
      <c r="AC669" s="2">
        <v>3626</v>
      </c>
      <c r="AD669" s="2">
        <v>2719</v>
      </c>
      <c r="AE669" s="2">
        <v>1854</v>
      </c>
      <c r="AF669" s="2">
        <v>0</v>
      </c>
      <c r="AG669" s="2">
        <v>0</v>
      </c>
      <c r="AH669" s="2"/>
      <c r="AI669" s="2">
        <v>0</v>
      </c>
      <c r="AJ669" s="2">
        <v>0</v>
      </c>
      <c r="AK669" s="2">
        <v>0</v>
      </c>
      <c r="AL669" s="2">
        <v>0</v>
      </c>
      <c r="AM669" s="2">
        <v>0</v>
      </c>
    </row>
    <row r="670" spans="1:39">
      <c r="A670" s="351">
        <v>97221</v>
      </c>
      <c r="B670" s="344" t="s">
        <v>1366</v>
      </c>
      <c r="C670" s="360">
        <v>2.2000000000000001E-6</v>
      </c>
      <c r="E670" s="2">
        <v>1215</v>
      </c>
      <c r="F670" s="2">
        <v>403</v>
      </c>
      <c r="G670" s="2">
        <v>-290</v>
      </c>
      <c r="H670" s="2">
        <v>327</v>
      </c>
      <c r="I670" s="2">
        <v>0</v>
      </c>
      <c r="J670" s="2"/>
      <c r="K670" s="2">
        <v>408</v>
      </c>
      <c r="L670" s="2">
        <v>376</v>
      </c>
      <c r="M670" s="2">
        <v>209</v>
      </c>
      <c r="N670" s="2">
        <v>0</v>
      </c>
      <c r="O670" s="2">
        <v>0</v>
      </c>
      <c r="P670" s="2"/>
      <c r="Q670" s="2">
        <v>26</v>
      </c>
      <c r="R670" s="2">
        <v>370</v>
      </c>
      <c r="S670" s="2">
        <v>383</v>
      </c>
      <c r="T670" s="2">
        <v>327</v>
      </c>
      <c r="U670" s="2">
        <v>0</v>
      </c>
      <c r="V670" s="2"/>
      <c r="W670" s="2">
        <v>323</v>
      </c>
      <c r="X670" s="2">
        <v>262</v>
      </c>
      <c r="Y670" s="2">
        <v>0</v>
      </c>
      <c r="Z670" s="2">
        <v>0</v>
      </c>
      <c r="AA670" s="2">
        <v>0</v>
      </c>
      <c r="AB670" s="2"/>
      <c r="AC670" s="2">
        <v>3120</v>
      </c>
      <c r="AD670" s="2">
        <v>2057</v>
      </c>
      <c r="AE670" s="2">
        <v>1781</v>
      </c>
      <c r="AF670" s="2">
        <v>0</v>
      </c>
      <c r="AG670" s="2">
        <v>0</v>
      </c>
      <c r="AH670" s="2"/>
      <c r="AI670" s="2">
        <v>-2662</v>
      </c>
      <c r="AJ670" s="2">
        <v>-2662</v>
      </c>
      <c r="AK670" s="2">
        <v>-2663</v>
      </c>
      <c r="AL670" s="2">
        <v>0</v>
      </c>
      <c r="AM670" s="2">
        <v>-2662</v>
      </c>
    </row>
    <row r="671" spans="1:39">
      <c r="A671" s="351">
        <v>97301</v>
      </c>
      <c r="B671" s="344" t="s">
        <v>1367</v>
      </c>
      <c r="C671" s="360">
        <v>2.4283999999999998E-3</v>
      </c>
      <c r="E671" s="2">
        <v>781521</v>
      </c>
      <c r="F671" s="2">
        <v>1061560</v>
      </c>
      <c r="G671" s="2">
        <v>606414</v>
      </c>
      <c r="H671" s="2">
        <v>361399</v>
      </c>
      <c r="I671" s="2">
        <v>0</v>
      </c>
      <c r="J671" s="2"/>
      <c r="K671" s="2">
        <v>450247</v>
      </c>
      <c r="L671" s="2">
        <v>414756</v>
      </c>
      <c r="M671" s="2">
        <v>230839</v>
      </c>
      <c r="N671" s="2">
        <v>0</v>
      </c>
      <c r="O671" s="2">
        <v>0</v>
      </c>
      <c r="P671" s="2"/>
      <c r="Q671" s="2">
        <v>29187</v>
      </c>
      <c r="R671" s="2">
        <v>408226</v>
      </c>
      <c r="S671" s="2">
        <v>422342</v>
      </c>
      <c r="T671" s="2">
        <v>361399</v>
      </c>
      <c r="U671" s="2">
        <v>0</v>
      </c>
      <c r="V671" s="2"/>
      <c r="W671" s="2">
        <v>356431</v>
      </c>
      <c r="X671" s="2">
        <v>289361</v>
      </c>
      <c r="Y671" s="2">
        <v>0</v>
      </c>
      <c r="Z671" s="2">
        <v>0</v>
      </c>
      <c r="AA671" s="2">
        <v>0</v>
      </c>
      <c r="AB671" s="2"/>
      <c r="AC671" s="2">
        <v>0</v>
      </c>
      <c r="AD671" s="2">
        <v>0</v>
      </c>
      <c r="AE671" s="2">
        <v>0</v>
      </c>
      <c r="AF671" s="2">
        <v>0</v>
      </c>
      <c r="AG671" s="2">
        <v>0</v>
      </c>
      <c r="AH671" s="2"/>
      <c r="AI671" s="2">
        <v>-54344</v>
      </c>
      <c r="AJ671" s="2">
        <v>-50783</v>
      </c>
      <c r="AK671" s="2">
        <v>-46767</v>
      </c>
      <c r="AL671" s="2">
        <v>0</v>
      </c>
      <c r="AM671" s="2">
        <v>-50783</v>
      </c>
    </row>
    <row r="672" spans="1:39">
      <c r="A672" s="351">
        <v>97304</v>
      </c>
      <c r="B672" s="344" t="s">
        <v>3695</v>
      </c>
      <c r="C672" s="360">
        <v>1.4100000000000001E-5</v>
      </c>
      <c r="E672" s="2">
        <v>10618</v>
      </c>
      <c r="F672" s="2">
        <v>11223</v>
      </c>
      <c r="G672" s="2">
        <v>7574</v>
      </c>
      <c r="H672" s="2">
        <v>2098</v>
      </c>
      <c r="I672" s="2">
        <v>0</v>
      </c>
      <c r="J672" s="2"/>
      <c r="K672" s="2">
        <v>2614</v>
      </c>
      <c r="L672" s="2">
        <v>2408</v>
      </c>
      <c r="M672" s="2">
        <v>1340</v>
      </c>
      <c r="N672" s="2">
        <v>0</v>
      </c>
      <c r="O672" s="2">
        <v>0</v>
      </c>
      <c r="P672" s="2"/>
      <c r="Q672" s="2">
        <v>169</v>
      </c>
      <c r="R672" s="2">
        <v>2370</v>
      </c>
      <c r="S672" s="2">
        <v>2452</v>
      </c>
      <c r="T672" s="2">
        <v>2098</v>
      </c>
      <c r="U672" s="2">
        <v>0</v>
      </c>
      <c r="V672" s="2"/>
      <c r="W672" s="2">
        <v>2070</v>
      </c>
      <c r="X672" s="2">
        <v>1680</v>
      </c>
      <c r="Y672" s="2">
        <v>0</v>
      </c>
      <c r="Z672" s="2">
        <v>0</v>
      </c>
      <c r="AA672" s="2">
        <v>0</v>
      </c>
      <c r="AB672" s="2"/>
      <c r="AC672" s="2">
        <v>5765</v>
      </c>
      <c r="AD672" s="2">
        <v>4765</v>
      </c>
      <c r="AE672" s="2">
        <v>3782</v>
      </c>
      <c r="AF672" s="2">
        <v>0</v>
      </c>
      <c r="AG672" s="2">
        <v>0</v>
      </c>
      <c r="AH672" s="2"/>
      <c r="AI672" s="2">
        <v>0</v>
      </c>
      <c r="AJ672" s="2">
        <v>0</v>
      </c>
      <c r="AK672" s="2">
        <v>0</v>
      </c>
      <c r="AL672" s="2">
        <v>0</v>
      </c>
      <c r="AM672" s="2">
        <v>0</v>
      </c>
    </row>
    <row r="673" spans="1:39">
      <c r="A673" s="351">
        <v>97311</v>
      </c>
      <c r="B673" s="344" t="s">
        <v>1369</v>
      </c>
      <c r="C673" s="360">
        <v>8.4060000000000005E-4</v>
      </c>
      <c r="E673" s="2">
        <v>251483</v>
      </c>
      <c r="F673" s="2">
        <v>355411</v>
      </c>
      <c r="G673" s="2">
        <v>203457</v>
      </c>
      <c r="H673" s="2">
        <v>125100</v>
      </c>
      <c r="I673" s="2">
        <v>0</v>
      </c>
      <c r="J673" s="2"/>
      <c r="K673" s="2">
        <v>155855</v>
      </c>
      <c r="L673" s="2">
        <v>143569</v>
      </c>
      <c r="M673" s="2">
        <v>79906</v>
      </c>
      <c r="N673" s="2">
        <v>0</v>
      </c>
      <c r="O673" s="2">
        <v>0</v>
      </c>
      <c r="P673" s="2"/>
      <c r="Q673" s="2">
        <v>10103</v>
      </c>
      <c r="R673" s="2">
        <v>141309</v>
      </c>
      <c r="S673" s="2">
        <v>146195</v>
      </c>
      <c r="T673" s="2">
        <v>125100</v>
      </c>
      <c r="U673" s="2">
        <v>0</v>
      </c>
      <c r="V673" s="2"/>
      <c r="W673" s="2">
        <v>123380</v>
      </c>
      <c r="X673" s="2">
        <v>100163</v>
      </c>
      <c r="Y673" s="2">
        <v>0</v>
      </c>
      <c r="Z673" s="2">
        <v>0</v>
      </c>
      <c r="AA673" s="2">
        <v>0</v>
      </c>
      <c r="AB673" s="2"/>
      <c r="AC673" s="2">
        <v>0</v>
      </c>
      <c r="AD673" s="2">
        <v>0</v>
      </c>
      <c r="AE673" s="2">
        <v>0</v>
      </c>
      <c r="AF673" s="2">
        <v>0</v>
      </c>
      <c r="AG673" s="2">
        <v>0</v>
      </c>
      <c r="AH673" s="2"/>
      <c r="AI673" s="2">
        <v>-37855</v>
      </c>
      <c r="AJ673" s="2">
        <v>-29630</v>
      </c>
      <c r="AK673" s="2">
        <v>-22644</v>
      </c>
      <c r="AL673" s="2">
        <v>0</v>
      </c>
      <c r="AM673" s="2">
        <v>-29630</v>
      </c>
    </row>
    <row r="674" spans="1:39">
      <c r="A674" s="351">
        <v>97401</v>
      </c>
      <c r="B674" s="344" t="s">
        <v>1370</v>
      </c>
      <c r="C674" s="360">
        <v>6.9747999999999998E-3</v>
      </c>
      <c r="E674" s="2">
        <v>2381652</v>
      </c>
      <c r="F674" s="2">
        <v>3137903</v>
      </c>
      <c r="G674" s="2">
        <v>1798818</v>
      </c>
      <c r="H674" s="2">
        <v>1038004</v>
      </c>
      <c r="I674" s="2">
        <v>0</v>
      </c>
      <c r="J674" s="2"/>
      <c r="K674" s="2">
        <v>1293191</v>
      </c>
      <c r="L674" s="2">
        <v>1191254</v>
      </c>
      <c r="M674" s="2">
        <v>663011</v>
      </c>
      <c r="N674" s="2">
        <v>0</v>
      </c>
      <c r="O674" s="2">
        <v>0</v>
      </c>
      <c r="P674" s="2"/>
      <c r="Q674" s="2">
        <v>83830</v>
      </c>
      <c r="R674" s="2">
        <v>1172499</v>
      </c>
      <c r="S674" s="2">
        <v>1213043</v>
      </c>
      <c r="T674" s="2">
        <v>1038004</v>
      </c>
      <c r="U674" s="2">
        <v>0</v>
      </c>
      <c r="V674" s="2"/>
      <c r="W674" s="2">
        <v>1023733</v>
      </c>
      <c r="X674" s="2">
        <v>831096</v>
      </c>
      <c r="Y674" s="2">
        <v>0</v>
      </c>
      <c r="Z674" s="2">
        <v>0</v>
      </c>
      <c r="AA674" s="2">
        <v>0</v>
      </c>
      <c r="AB674" s="2"/>
      <c r="AC674" s="2">
        <v>58132</v>
      </c>
      <c r="AD674" s="2">
        <v>20288</v>
      </c>
      <c r="AE674" s="2">
        <v>0</v>
      </c>
      <c r="AF674" s="2">
        <v>0</v>
      </c>
      <c r="AG674" s="2">
        <v>0</v>
      </c>
      <c r="AH674" s="2"/>
      <c r="AI674" s="2">
        <v>-77234</v>
      </c>
      <c r="AJ674" s="2">
        <v>-77234</v>
      </c>
      <c r="AK674" s="2">
        <v>-77236</v>
      </c>
      <c r="AL674" s="2">
        <v>0</v>
      </c>
      <c r="AM674" s="2">
        <v>-77234</v>
      </c>
    </row>
    <row r="675" spans="1:39">
      <c r="A675" s="351">
        <v>97402</v>
      </c>
      <c r="B675" s="344" t="s">
        <v>3696</v>
      </c>
      <c r="C675" s="360">
        <v>5.1999999999999997E-5</v>
      </c>
      <c r="E675" s="2">
        <v>25251</v>
      </c>
      <c r="F675" s="2">
        <v>29981</v>
      </c>
      <c r="G675" s="2">
        <v>19528</v>
      </c>
      <c r="H675" s="2">
        <v>7739</v>
      </c>
      <c r="I675" s="2">
        <v>0</v>
      </c>
      <c r="J675" s="2"/>
      <c r="K675" s="2">
        <v>9641</v>
      </c>
      <c r="L675" s="2">
        <v>8881</v>
      </c>
      <c r="M675" s="2">
        <v>4943</v>
      </c>
      <c r="N675" s="2">
        <v>0</v>
      </c>
      <c r="O675" s="2">
        <v>0</v>
      </c>
      <c r="P675" s="2"/>
      <c r="Q675" s="2">
        <v>625</v>
      </c>
      <c r="R675" s="2">
        <v>8741</v>
      </c>
      <c r="S675" s="2">
        <v>9044</v>
      </c>
      <c r="T675" s="2">
        <v>7739</v>
      </c>
      <c r="U675" s="2">
        <v>0</v>
      </c>
      <c r="V675" s="2"/>
      <c r="W675" s="2">
        <v>7632</v>
      </c>
      <c r="X675" s="2">
        <v>6196</v>
      </c>
      <c r="Y675" s="2">
        <v>0</v>
      </c>
      <c r="Z675" s="2">
        <v>0</v>
      </c>
      <c r="AA675" s="2">
        <v>0</v>
      </c>
      <c r="AB675" s="2"/>
      <c r="AC675" s="2">
        <v>7362</v>
      </c>
      <c r="AD675" s="2">
        <v>6172</v>
      </c>
      <c r="AE675" s="2">
        <v>5551</v>
      </c>
      <c r="AF675" s="2">
        <v>0</v>
      </c>
      <c r="AG675" s="2">
        <v>0</v>
      </c>
      <c r="AH675" s="2"/>
      <c r="AI675" s="2">
        <v>-9</v>
      </c>
      <c r="AJ675" s="2">
        <v>-9</v>
      </c>
      <c r="AK675" s="2">
        <v>-10</v>
      </c>
      <c r="AL675" s="2">
        <v>0</v>
      </c>
      <c r="AM675" s="2">
        <v>-9</v>
      </c>
    </row>
    <row r="676" spans="1:39">
      <c r="A676" s="351">
        <v>97404</v>
      </c>
      <c r="B676" s="344" t="s">
        <v>1372</v>
      </c>
      <c r="C676" s="360">
        <v>2.128E-4</v>
      </c>
      <c r="E676" s="2">
        <v>66080</v>
      </c>
      <c r="F676" s="2">
        <v>92735</v>
      </c>
      <c r="G676" s="2">
        <v>55487</v>
      </c>
      <c r="H676" s="2">
        <v>31669</v>
      </c>
      <c r="I676" s="2">
        <v>0</v>
      </c>
      <c r="J676" s="2"/>
      <c r="K676" s="2">
        <v>39455</v>
      </c>
      <c r="L676" s="2">
        <v>36345</v>
      </c>
      <c r="M676" s="2">
        <v>20228</v>
      </c>
      <c r="N676" s="2">
        <v>0</v>
      </c>
      <c r="O676" s="2">
        <v>0</v>
      </c>
      <c r="P676" s="2"/>
      <c r="Q676" s="2">
        <v>2558</v>
      </c>
      <c r="R676" s="2">
        <v>35773</v>
      </c>
      <c r="S676" s="2">
        <v>37010</v>
      </c>
      <c r="T676" s="2">
        <v>31669</v>
      </c>
      <c r="U676" s="2">
        <v>0</v>
      </c>
      <c r="V676" s="2"/>
      <c r="W676" s="2">
        <v>31234</v>
      </c>
      <c r="X676" s="2">
        <v>25357</v>
      </c>
      <c r="Y676" s="2">
        <v>0</v>
      </c>
      <c r="Z676" s="2">
        <v>0</v>
      </c>
      <c r="AA676" s="2">
        <v>0</v>
      </c>
      <c r="AB676" s="2"/>
      <c r="AC676" s="2">
        <v>201</v>
      </c>
      <c r="AD676" s="2">
        <v>201</v>
      </c>
      <c r="AE676" s="2">
        <v>201</v>
      </c>
      <c r="AF676" s="2">
        <v>0</v>
      </c>
      <c r="AG676" s="2">
        <v>0</v>
      </c>
      <c r="AH676" s="2"/>
      <c r="AI676" s="2">
        <v>-7368</v>
      </c>
      <c r="AJ676" s="2">
        <v>-4941</v>
      </c>
      <c r="AK676" s="2">
        <v>-1952</v>
      </c>
      <c r="AL676" s="2">
        <v>0</v>
      </c>
      <c r="AM676" s="2">
        <v>-4941</v>
      </c>
    </row>
    <row r="677" spans="1:39">
      <c r="A677" s="351">
        <v>97405</v>
      </c>
      <c r="B677" s="344" t="s">
        <v>1373</v>
      </c>
      <c r="C677" s="360">
        <v>1.014E-4</v>
      </c>
      <c r="E677" s="2">
        <v>45067</v>
      </c>
      <c r="F677" s="2">
        <v>53421</v>
      </c>
      <c r="G677" s="2">
        <v>30174</v>
      </c>
      <c r="H677" s="2">
        <v>15091</v>
      </c>
      <c r="I677" s="2">
        <v>0</v>
      </c>
      <c r="J677" s="2"/>
      <c r="K677" s="2">
        <v>18800</v>
      </c>
      <c r="L677" s="2">
        <v>17319</v>
      </c>
      <c r="M677" s="2">
        <v>9639</v>
      </c>
      <c r="N677" s="2">
        <v>0</v>
      </c>
      <c r="O677" s="2">
        <v>0</v>
      </c>
      <c r="P677" s="2"/>
      <c r="Q677" s="2">
        <v>1219</v>
      </c>
      <c r="R677" s="2">
        <v>17046</v>
      </c>
      <c r="S677" s="2">
        <v>17635</v>
      </c>
      <c r="T677" s="2">
        <v>15091</v>
      </c>
      <c r="U677" s="2">
        <v>0</v>
      </c>
      <c r="V677" s="2"/>
      <c r="W677" s="2">
        <v>14883</v>
      </c>
      <c r="X677" s="2">
        <v>12083</v>
      </c>
      <c r="Y677" s="2">
        <v>0</v>
      </c>
      <c r="Z677" s="2">
        <v>0</v>
      </c>
      <c r="AA677" s="2">
        <v>0</v>
      </c>
      <c r="AB677" s="2"/>
      <c r="AC677" s="2">
        <v>10165</v>
      </c>
      <c r="AD677" s="2">
        <v>6973</v>
      </c>
      <c r="AE677" s="2">
        <v>2900</v>
      </c>
      <c r="AF677" s="2">
        <v>0</v>
      </c>
      <c r="AG677" s="2">
        <v>0</v>
      </c>
      <c r="AH677" s="2"/>
      <c r="AI677" s="2">
        <v>0</v>
      </c>
      <c r="AJ677" s="2">
        <v>0</v>
      </c>
      <c r="AK677" s="2">
        <v>0</v>
      </c>
      <c r="AL677" s="2">
        <v>0</v>
      </c>
      <c r="AM677" s="2">
        <v>0</v>
      </c>
    </row>
    <row r="678" spans="1:39">
      <c r="A678" s="351">
        <v>97408</v>
      </c>
      <c r="B678" s="344" t="s">
        <v>3697</v>
      </c>
      <c r="C678" s="360">
        <v>4.18E-5</v>
      </c>
      <c r="E678" s="2">
        <v>19024</v>
      </c>
      <c r="F678" s="2">
        <v>23174</v>
      </c>
      <c r="G678" s="2">
        <v>14719</v>
      </c>
      <c r="H678" s="2">
        <v>6221</v>
      </c>
      <c r="I678" s="2">
        <v>0</v>
      </c>
      <c r="J678" s="2"/>
      <c r="K678" s="2">
        <v>7750</v>
      </c>
      <c r="L678" s="2">
        <v>7139</v>
      </c>
      <c r="M678" s="2">
        <v>3973</v>
      </c>
      <c r="N678" s="2">
        <v>0</v>
      </c>
      <c r="O678" s="2">
        <v>0</v>
      </c>
      <c r="P678" s="2"/>
      <c r="Q678" s="2">
        <v>502</v>
      </c>
      <c r="R678" s="2">
        <v>7027</v>
      </c>
      <c r="S678" s="2">
        <v>7270</v>
      </c>
      <c r="T678" s="2">
        <v>6221</v>
      </c>
      <c r="U678" s="2">
        <v>0</v>
      </c>
      <c r="V678" s="2"/>
      <c r="W678" s="2">
        <v>6135</v>
      </c>
      <c r="X678" s="2">
        <v>4981</v>
      </c>
      <c r="Y678" s="2">
        <v>0</v>
      </c>
      <c r="Z678" s="2">
        <v>0</v>
      </c>
      <c r="AA678" s="2">
        <v>0</v>
      </c>
      <c r="AB678" s="2"/>
      <c r="AC678" s="2">
        <v>4637</v>
      </c>
      <c r="AD678" s="2">
        <v>4027</v>
      </c>
      <c r="AE678" s="2">
        <v>3476</v>
      </c>
      <c r="AF678" s="2">
        <v>0</v>
      </c>
      <c r="AG678" s="2">
        <v>0</v>
      </c>
      <c r="AH678" s="2"/>
      <c r="AI678" s="2">
        <v>0</v>
      </c>
      <c r="AJ678" s="2">
        <v>0</v>
      </c>
      <c r="AK678" s="2">
        <v>0</v>
      </c>
      <c r="AL678" s="2">
        <v>0</v>
      </c>
      <c r="AM678" s="2">
        <v>0</v>
      </c>
    </row>
    <row r="679" spans="1:39">
      <c r="A679" s="351">
        <v>97411</v>
      </c>
      <c r="B679" s="344" t="s">
        <v>1375</v>
      </c>
      <c r="C679" s="360">
        <v>6.3677999999999998E-3</v>
      </c>
      <c r="E679" s="2">
        <v>2033516</v>
      </c>
      <c r="F679" s="2">
        <v>2787053</v>
      </c>
      <c r="G679" s="2">
        <v>1659313</v>
      </c>
      <c r="H679" s="2">
        <v>947669</v>
      </c>
      <c r="I679" s="2">
        <v>0</v>
      </c>
      <c r="J679" s="2"/>
      <c r="K679" s="2">
        <v>1180647</v>
      </c>
      <c r="L679" s="2">
        <v>1087582</v>
      </c>
      <c r="M679" s="2">
        <v>605310</v>
      </c>
      <c r="N679" s="2">
        <v>0</v>
      </c>
      <c r="O679" s="2">
        <v>0</v>
      </c>
      <c r="P679" s="2"/>
      <c r="Q679" s="2">
        <v>76535</v>
      </c>
      <c r="R679" s="2">
        <v>1070459</v>
      </c>
      <c r="S679" s="2">
        <v>1107475</v>
      </c>
      <c r="T679" s="2">
        <v>947669</v>
      </c>
      <c r="U679" s="2">
        <v>0</v>
      </c>
      <c r="V679" s="2"/>
      <c r="W679" s="2">
        <v>934640</v>
      </c>
      <c r="X679" s="2">
        <v>758768</v>
      </c>
      <c r="Y679" s="2">
        <v>0</v>
      </c>
      <c r="Z679" s="2">
        <v>0</v>
      </c>
      <c r="AA679" s="2">
        <v>0</v>
      </c>
      <c r="AB679" s="2"/>
      <c r="AC679" s="2">
        <v>8440</v>
      </c>
      <c r="AD679" s="2">
        <v>8440</v>
      </c>
      <c r="AE679" s="2">
        <v>8440</v>
      </c>
      <c r="AF679" s="2">
        <v>0</v>
      </c>
      <c r="AG679" s="2">
        <v>0</v>
      </c>
      <c r="AH679" s="2"/>
      <c r="AI679" s="2">
        <v>-166746</v>
      </c>
      <c r="AJ679" s="2">
        <v>-138196</v>
      </c>
      <c r="AK679" s="2">
        <v>-61912</v>
      </c>
      <c r="AL679" s="2">
        <v>0</v>
      </c>
      <c r="AM679" s="2">
        <v>-138196</v>
      </c>
    </row>
    <row r="680" spans="1:39">
      <c r="A680" s="351">
        <v>97412</v>
      </c>
      <c r="B680" s="344" t="s">
        <v>1376</v>
      </c>
      <c r="C680" s="360">
        <v>4.3990000000000001E-3</v>
      </c>
      <c r="E680" s="2">
        <v>1526181</v>
      </c>
      <c r="F680" s="2">
        <v>1995702</v>
      </c>
      <c r="G680" s="2">
        <v>1141682</v>
      </c>
      <c r="H680" s="2">
        <v>654668</v>
      </c>
      <c r="I680" s="2">
        <v>0</v>
      </c>
      <c r="J680" s="2"/>
      <c r="K680" s="2">
        <v>815614</v>
      </c>
      <c r="L680" s="2">
        <v>751323</v>
      </c>
      <c r="M680" s="2">
        <v>418160</v>
      </c>
      <c r="N680" s="2">
        <v>0</v>
      </c>
      <c r="O680" s="2">
        <v>0</v>
      </c>
      <c r="P680" s="2"/>
      <c r="Q680" s="2">
        <v>52872</v>
      </c>
      <c r="R680" s="2">
        <v>739494</v>
      </c>
      <c r="S680" s="2">
        <v>765065</v>
      </c>
      <c r="T680" s="2">
        <v>654668</v>
      </c>
      <c r="U680" s="2">
        <v>0</v>
      </c>
      <c r="V680" s="2"/>
      <c r="W680" s="2">
        <v>645668</v>
      </c>
      <c r="X680" s="2">
        <v>524172</v>
      </c>
      <c r="Y680" s="2">
        <v>0</v>
      </c>
      <c r="Z680" s="2">
        <v>0</v>
      </c>
      <c r="AA680" s="2">
        <v>0</v>
      </c>
      <c r="AB680" s="2"/>
      <c r="AC680" s="2">
        <v>53568</v>
      </c>
      <c r="AD680" s="2">
        <v>22254</v>
      </c>
      <c r="AE680" s="2">
        <v>0</v>
      </c>
      <c r="AF680" s="2">
        <v>0</v>
      </c>
      <c r="AG680" s="2">
        <v>0</v>
      </c>
      <c r="AH680" s="2"/>
      <c r="AI680" s="2">
        <v>-41541</v>
      </c>
      <c r="AJ680" s="2">
        <v>-41541</v>
      </c>
      <c r="AK680" s="2">
        <v>-41543</v>
      </c>
      <c r="AL680" s="2">
        <v>0</v>
      </c>
      <c r="AM680" s="2">
        <v>-41541</v>
      </c>
    </row>
    <row r="681" spans="1:39">
      <c r="A681" s="351">
        <v>97413</v>
      </c>
      <c r="B681" s="344" t="s">
        <v>1377</v>
      </c>
      <c r="C681" s="360">
        <v>2.6689999999999998E-4</v>
      </c>
      <c r="E681" s="2">
        <v>107322</v>
      </c>
      <c r="F681" s="2">
        <v>136187</v>
      </c>
      <c r="G681" s="2">
        <v>81735</v>
      </c>
      <c r="H681" s="2">
        <v>39721</v>
      </c>
      <c r="I681" s="2">
        <v>0</v>
      </c>
      <c r="J681" s="2"/>
      <c r="K681" s="2">
        <v>49486</v>
      </c>
      <c r="L681" s="2">
        <v>45585</v>
      </c>
      <c r="M681" s="2">
        <v>25371</v>
      </c>
      <c r="N681" s="2">
        <v>0</v>
      </c>
      <c r="O681" s="2">
        <v>0</v>
      </c>
      <c r="P681" s="2"/>
      <c r="Q681" s="2">
        <v>3208</v>
      </c>
      <c r="R681" s="2">
        <v>44867</v>
      </c>
      <c r="S681" s="2">
        <v>46419</v>
      </c>
      <c r="T681" s="2">
        <v>39721</v>
      </c>
      <c r="U681" s="2">
        <v>0</v>
      </c>
      <c r="V681" s="2"/>
      <c r="W681" s="2">
        <v>39175</v>
      </c>
      <c r="X681" s="2">
        <v>31803</v>
      </c>
      <c r="Y681" s="2">
        <v>0</v>
      </c>
      <c r="Z681" s="2">
        <v>0</v>
      </c>
      <c r="AA681" s="2">
        <v>0</v>
      </c>
      <c r="AB681" s="2"/>
      <c r="AC681" s="2">
        <v>15453</v>
      </c>
      <c r="AD681" s="2">
        <v>13932</v>
      </c>
      <c r="AE681" s="2">
        <v>9945</v>
      </c>
      <c r="AF681" s="2">
        <v>0</v>
      </c>
      <c r="AG681" s="2">
        <v>0</v>
      </c>
      <c r="AH681" s="2"/>
      <c r="AI681" s="2">
        <v>0</v>
      </c>
      <c r="AJ681" s="2">
        <v>0</v>
      </c>
      <c r="AK681" s="2">
        <v>0</v>
      </c>
      <c r="AL681" s="2">
        <v>0</v>
      </c>
      <c r="AM681" s="2">
        <v>0</v>
      </c>
    </row>
    <row r="682" spans="1:39">
      <c r="A682" s="351">
        <v>97421</v>
      </c>
      <c r="B682" s="344" t="s">
        <v>1378</v>
      </c>
      <c r="C682" s="360">
        <v>4.239E-4</v>
      </c>
      <c r="E682" s="2">
        <v>136856</v>
      </c>
      <c r="F682" s="2">
        <v>183079</v>
      </c>
      <c r="G682" s="2">
        <v>101288</v>
      </c>
      <c r="H682" s="2">
        <v>63086</v>
      </c>
      <c r="I682" s="2">
        <v>0</v>
      </c>
      <c r="J682" s="2"/>
      <c r="K682" s="2">
        <v>78595</v>
      </c>
      <c r="L682" s="2">
        <v>72400</v>
      </c>
      <c r="M682" s="2">
        <v>40295</v>
      </c>
      <c r="N682" s="2">
        <v>0</v>
      </c>
      <c r="O682" s="2">
        <v>0</v>
      </c>
      <c r="P682" s="2"/>
      <c r="Q682" s="2">
        <v>5095</v>
      </c>
      <c r="R682" s="2">
        <v>71260</v>
      </c>
      <c r="S682" s="2">
        <v>73724</v>
      </c>
      <c r="T682" s="2">
        <v>63086</v>
      </c>
      <c r="U682" s="2">
        <v>0</v>
      </c>
      <c r="V682" s="2"/>
      <c r="W682" s="2">
        <v>62218</v>
      </c>
      <c r="X682" s="2">
        <v>50511</v>
      </c>
      <c r="Y682" s="2">
        <v>0</v>
      </c>
      <c r="Z682" s="2">
        <v>0</v>
      </c>
      <c r="AA682" s="2">
        <v>0</v>
      </c>
      <c r="AB682" s="2"/>
      <c r="AC682" s="2">
        <v>3679</v>
      </c>
      <c r="AD682" s="2">
        <v>1639</v>
      </c>
      <c r="AE682" s="2">
        <v>0</v>
      </c>
      <c r="AF682" s="2">
        <v>0</v>
      </c>
      <c r="AG682" s="2">
        <v>0</v>
      </c>
      <c r="AH682" s="2"/>
      <c r="AI682" s="2">
        <v>-12731</v>
      </c>
      <c r="AJ682" s="2">
        <v>-12731</v>
      </c>
      <c r="AK682" s="2">
        <v>-12731</v>
      </c>
      <c r="AL682" s="2">
        <v>0</v>
      </c>
      <c r="AM682" s="2">
        <v>-12731</v>
      </c>
    </row>
    <row r="683" spans="1:39">
      <c r="A683" s="351">
        <v>97423</v>
      </c>
      <c r="B683" s="344" t="s">
        <v>1379</v>
      </c>
      <c r="C683" s="360">
        <v>4.0000000000000003E-5</v>
      </c>
      <c r="E683" s="2">
        <v>25590</v>
      </c>
      <c r="F683" s="2">
        <v>25919</v>
      </c>
      <c r="G683" s="2">
        <v>14868</v>
      </c>
      <c r="H683" s="2">
        <v>5953</v>
      </c>
      <c r="I683" s="2">
        <v>0</v>
      </c>
      <c r="J683" s="2"/>
      <c r="K683" s="2">
        <v>7416</v>
      </c>
      <c r="L683" s="2">
        <v>6832</v>
      </c>
      <c r="M683" s="2">
        <v>3802</v>
      </c>
      <c r="N683" s="2">
        <v>0</v>
      </c>
      <c r="O683" s="2">
        <v>0</v>
      </c>
      <c r="P683" s="2"/>
      <c r="Q683" s="2">
        <v>481</v>
      </c>
      <c r="R683" s="2">
        <v>6724</v>
      </c>
      <c r="S683" s="2">
        <v>6957</v>
      </c>
      <c r="T683" s="2">
        <v>5953</v>
      </c>
      <c r="U683" s="2">
        <v>0</v>
      </c>
      <c r="V683" s="2"/>
      <c r="W683" s="2">
        <v>5871</v>
      </c>
      <c r="X683" s="2">
        <v>4766</v>
      </c>
      <c r="Y683" s="2">
        <v>0</v>
      </c>
      <c r="Z683" s="2">
        <v>0</v>
      </c>
      <c r="AA683" s="2">
        <v>0</v>
      </c>
      <c r="AB683" s="2"/>
      <c r="AC683" s="2">
        <v>13289</v>
      </c>
      <c r="AD683" s="2">
        <v>9064</v>
      </c>
      <c r="AE683" s="2">
        <v>5576</v>
      </c>
      <c r="AF683" s="2">
        <v>0</v>
      </c>
      <c r="AG683" s="2">
        <v>0</v>
      </c>
      <c r="AH683" s="2"/>
      <c r="AI683" s="2">
        <v>-1467</v>
      </c>
      <c r="AJ683" s="2">
        <v>-1467</v>
      </c>
      <c r="AK683" s="2">
        <v>-1467</v>
      </c>
      <c r="AL683" s="2">
        <v>0</v>
      </c>
      <c r="AM683" s="2">
        <v>-1467</v>
      </c>
    </row>
    <row r="684" spans="1:39">
      <c r="A684" s="351">
        <v>97431</v>
      </c>
      <c r="B684" s="344" t="s">
        <v>1380</v>
      </c>
      <c r="C684" s="360">
        <v>9.2999999999999997E-5</v>
      </c>
      <c r="E684" s="2">
        <v>36533</v>
      </c>
      <c r="F684" s="2">
        <v>46007</v>
      </c>
      <c r="G684" s="2">
        <v>25207</v>
      </c>
      <c r="H684" s="2">
        <v>13840</v>
      </c>
      <c r="I684" s="2">
        <v>0</v>
      </c>
      <c r="J684" s="2"/>
      <c r="K684" s="2">
        <v>17243</v>
      </c>
      <c r="L684" s="2">
        <v>15884</v>
      </c>
      <c r="M684" s="2">
        <v>8840</v>
      </c>
      <c r="N684" s="2">
        <v>0</v>
      </c>
      <c r="O684" s="2">
        <v>0</v>
      </c>
      <c r="P684" s="2"/>
      <c r="Q684" s="2">
        <v>1118</v>
      </c>
      <c r="R684" s="2">
        <v>15634</v>
      </c>
      <c r="S684" s="2">
        <v>16174</v>
      </c>
      <c r="T684" s="2">
        <v>13840</v>
      </c>
      <c r="U684" s="2">
        <v>0</v>
      </c>
      <c r="V684" s="2"/>
      <c r="W684" s="2">
        <v>13650</v>
      </c>
      <c r="X684" s="2">
        <v>11082</v>
      </c>
      <c r="Y684" s="2">
        <v>0</v>
      </c>
      <c r="Z684" s="2">
        <v>0</v>
      </c>
      <c r="AA684" s="2">
        <v>0</v>
      </c>
      <c r="AB684" s="2"/>
      <c r="AC684" s="2">
        <v>6298</v>
      </c>
      <c r="AD684" s="2">
        <v>5183</v>
      </c>
      <c r="AE684" s="2">
        <v>1971</v>
      </c>
      <c r="AF684" s="2">
        <v>0</v>
      </c>
      <c r="AG684" s="2">
        <v>0</v>
      </c>
      <c r="AH684" s="2"/>
      <c r="AI684" s="2">
        <v>-1776</v>
      </c>
      <c r="AJ684" s="2">
        <v>-1776</v>
      </c>
      <c r="AK684" s="2">
        <v>-1778</v>
      </c>
      <c r="AL684" s="2">
        <v>0</v>
      </c>
      <c r="AM684" s="2">
        <v>-1776</v>
      </c>
    </row>
    <row r="685" spans="1:39">
      <c r="A685" s="351">
        <v>97441</v>
      </c>
      <c r="B685" s="344" t="s">
        <v>1381</v>
      </c>
      <c r="C685" s="360">
        <v>6.2199999999999994E-5</v>
      </c>
      <c r="E685" s="2">
        <v>13745</v>
      </c>
      <c r="F685" s="2">
        <v>21848</v>
      </c>
      <c r="G685" s="2">
        <v>15047</v>
      </c>
      <c r="H685" s="2">
        <v>9257</v>
      </c>
      <c r="I685" s="2">
        <v>0</v>
      </c>
      <c r="J685" s="2"/>
      <c r="K685" s="2">
        <v>11532</v>
      </c>
      <c r="L685" s="2">
        <v>10623</v>
      </c>
      <c r="M685" s="2">
        <v>5913</v>
      </c>
      <c r="N685" s="2">
        <v>0</v>
      </c>
      <c r="O685" s="2">
        <v>0</v>
      </c>
      <c r="P685" s="2"/>
      <c r="Q685" s="2">
        <v>748</v>
      </c>
      <c r="R685" s="2">
        <v>10456</v>
      </c>
      <c r="S685" s="2">
        <v>10818</v>
      </c>
      <c r="T685" s="2">
        <v>9257</v>
      </c>
      <c r="U685" s="2">
        <v>0</v>
      </c>
      <c r="V685" s="2"/>
      <c r="W685" s="2">
        <v>9129</v>
      </c>
      <c r="X685" s="2">
        <v>7412</v>
      </c>
      <c r="Y685" s="2">
        <v>0</v>
      </c>
      <c r="Z685" s="2">
        <v>0</v>
      </c>
      <c r="AA685" s="2">
        <v>0</v>
      </c>
      <c r="AB685" s="2"/>
      <c r="AC685" s="2">
        <v>0</v>
      </c>
      <c r="AD685" s="2">
        <v>0</v>
      </c>
      <c r="AE685" s="2">
        <v>0</v>
      </c>
      <c r="AF685" s="2">
        <v>0</v>
      </c>
      <c r="AG685" s="2">
        <v>0</v>
      </c>
      <c r="AH685" s="2"/>
      <c r="AI685" s="2">
        <v>-7664</v>
      </c>
      <c r="AJ685" s="2">
        <v>-6643</v>
      </c>
      <c r="AK685" s="2">
        <v>-1684</v>
      </c>
      <c r="AL685" s="2">
        <v>0</v>
      </c>
      <c r="AM685" s="2">
        <v>-6643</v>
      </c>
    </row>
    <row r="686" spans="1:39">
      <c r="A686" s="351">
        <v>97451</v>
      </c>
      <c r="B686" s="344" t="s">
        <v>1382</v>
      </c>
      <c r="C686" s="360">
        <v>7.5849999999999995E-4</v>
      </c>
      <c r="E686" s="2">
        <v>278821</v>
      </c>
      <c r="F686" s="2">
        <v>376137</v>
      </c>
      <c r="G686" s="2">
        <v>229815</v>
      </c>
      <c r="H686" s="2">
        <v>112881</v>
      </c>
      <c r="I686" s="2">
        <v>0</v>
      </c>
      <c r="J686" s="2"/>
      <c r="K686" s="2">
        <v>140633</v>
      </c>
      <c r="L686" s="2">
        <v>129547</v>
      </c>
      <c r="M686" s="2">
        <v>72101</v>
      </c>
      <c r="N686" s="2">
        <v>0</v>
      </c>
      <c r="O686" s="2">
        <v>0</v>
      </c>
      <c r="P686" s="2"/>
      <c r="Q686" s="2">
        <v>9116</v>
      </c>
      <c r="R686" s="2">
        <v>127508</v>
      </c>
      <c r="S686" s="2">
        <v>131917</v>
      </c>
      <c r="T686" s="2">
        <v>112881</v>
      </c>
      <c r="U686" s="2">
        <v>0</v>
      </c>
      <c r="V686" s="2"/>
      <c r="W686" s="2">
        <v>111330</v>
      </c>
      <c r="X686" s="2">
        <v>90381</v>
      </c>
      <c r="Y686" s="2">
        <v>0</v>
      </c>
      <c r="Z686" s="2">
        <v>0</v>
      </c>
      <c r="AA686" s="2">
        <v>0</v>
      </c>
      <c r="AB686" s="2"/>
      <c r="AC686" s="2">
        <v>29170</v>
      </c>
      <c r="AD686" s="2">
        <v>29170</v>
      </c>
      <c r="AE686" s="2">
        <v>26266</v>
      </c>
      <c r="AF686" s="2">
        <v>0</v>
      </c>
      <c r="AG686" s="2">
        <v>0</v>
      </c>
      <c r="AH686" s="2"/>
      <c r="AI686" s="2">
        <v>-11428</v>
      </c>
      <c r="AJ686" s="2">
        <v>-469</v>
      </c>
      <c r="AK686" s="2">
        <v>-469</v>
      </c>
      <c r="AL686" s="2">
        <v>0</v>
      </c>
      <c r="AM686" s="2">
        <v>-469</v>
      </c>
    </row>
    <row r="687" spans="1:39">
      <c r="A687" s="351">
        <v>97471</v>
      </c>
      <c r="B687" s="344" t="s">
        <v>1385</v>
      </c>
      <c r="C687" s="360">
        <v>1.63E-5</v>
      </c>
      <c r="E687" s="2">
        <v>10551</v>
      </c>
      <c r="F687" s="2">
        <v>11561</v>
      </c>
      <c r="G687" s="2">
        <v>6853</v>
      </c>
      <c r="H687" s="2">
        <v>2426</v>
      </c>
      <c r="I687" s="2">
        <v>0</v>
      </c>
      <c r="J687" s="2"/>
      <c r="K687" s="2">
        <v>3022</v>
      </c>
      <c r="L687" s="2">
        <v>2784</v>
      </c>
      <c r="M687" s="2">
        <v>1549</v>
      </c>
      <c r="N687" s="2">
        <v>0</v>
      </c>
      <c r="O687" s="2">
        <v>0</v>
      </c>
      <c r="P687" s="2"/>
      <c r="Q687" s="2">
        <v>196</v>
      </c>
      <c r="R687" s="2">
        <v>2740</v>
      </c>
      <c r="S687" s="2">
        <v>2835</v>
      </c>
      <c r="T687" s="2">
        <v>2426</v>
      </c>
      <c r="U687" s="2">
        <v>0</v>
      </c>
      <c r="V687" s="2"/>
      <c r="W687" s="2">
        <v>2392</v>
      </c>
      <c r="X687" s="2">
        <v>1942</v>
      </c>
      <c r="Y687" s="2">
        <v>0</v>
      </c>
      <c r="Z687" s="2">
        <v>0</v>
      </c>
      <c r="AA687" s="2">
        <v>0</v>
      </c>
      <c r="AB687" s="2"/>
      <c r="AC687" s="2">
        <v>4941</v>
      </c>
      <c r="AD687" s="2">
        <v>4095</v>
      </c>
      <c r="AE687" s="2">
        <v>2469</v>
      </c>
      <c r="AF687" s="2">
        <v>0</v>
      </c>
      <c r="AG687" s="2">
        <v>0</v>
      </c>
      <c r="AH687" s="2"/>
      <c r="AI687" s="2">
        <v>0</v>
      </c>
      <c r="AJ687" s="2">
        <v>0</v>
      </c>
      <c r="AK687" s="2">
        <v>0</v>
      </c>
      <c r="AL687" s="2">
        <v>0</v>
      </c>
      <c r="AM687" s="2">
        <v>0</v>
      </c>
    </row>
    <row r="688" spans="1:39">
      <c r="A688" s="351">
        <v>97481</v>
      </c>
      <c r="B688" s="344" t="s">
        <v>1386</v>
      </c>
      <c r="C688" s="360">
        <v>1.7E-6</v>
      </c>
      <c r="E688" s="2">
        <v>-1388</v>
      </c>
      <c r="F688" s="2">
        <v>-416</v>
      </c>
      <c r="G688" s="2">
        <v>-867</v>
      </c>
      <c r="H688" s="2">
        <v>253</v>
      </c>
      <c r="I688" s="2">
        <v>0</v>
      </c>
      <c r="J688" s="2"/>
      <c r="K688" s="2">
        <v>315</v>
      </c>
      <c r="L688" s="2">
        <v>290</v>
      </c>
      <c r="M688" s="2">
        <v>162</v>
      </c>
      <c r="N688" s="2">
        <v>0</v>
      </c>
      <c r="O688" s="2">
        <v>0</v>
      </c>
      <c r="P688" s="2"/>
      <c r="Q688" s="2">
        <v>20</v>
      </c>
      <c r="R688" s="2">
        <v>286</v>
      </c>
      <c r="S688" s="2">
        <v>296</v>
      </c>
      <c r="T688" s="2">
        <v>253</v>
      </c>
      <c r="U688" s="2">
        <v>0</v>
      </c>
      <c r="V688" s="2"/>
      <c r="W688" s="2">
        <v>250</v>
      </c>
      <c r="X688" s="2">
        <v>203</v>
      </c>
      <c r="Y688" s="2">
        <v>0</v>
      </c>
      <c r="Z688" s="2">
        <v>0</v>
      </c>
      <c r="AA688" s="2">
        <v>0</v>
      </c>
      <c r="AB688" s="2"/>
      <c r="AC688" s="2">
        <v>930</v>
      </c>
      <c r="AD688" s="2">
        <v>930</v>
      </c>
      <c r="AE688" s="2">
        <v>799</v>
      </c>
      <c r="AF688" s="2">
        <v>0</v>
      </c>
      <c r="AG688" s="2">
        <v>0</v>
      </c>
      <c r="AH688" s="2"/>
      <c r="AI688" s="2">
        <v>-2903</v>
      </c>
      <c r="AJ688" s="2">
        <v>-2125</v>
      </c>
      <c r="AK688" s="2">
        <v>-2124</v>
      </c>
      <c r="AL688" s="2">
        <v>0</v>
      </c>
      <c r="AM688" s="2">
        <v>-2125</v>
      </c>
    </row>
    <row r="689" spans="1:39">
      <c r="A689" s="351">
        <v>97501</v>
      </c>
      <c r="B689" s="344" t="s">
        <v>1388</v>
      </c>
      <c r="C689" s="360">
        <v>1.2210999999999999E-3</v>
      </c>
      <c r="E689" s="2">
        <v>484332</v>
      </c>
      <c r="F689" s="2">
        <v>598602</v>
      </c>
      <c r="G689" s="2">
        <v>368535</v>
      </c>
      <c r="H689" s="2">
        <v>181727</v>
      </c>
      <c r="I689" s="2">
        <v>0</v>
      </c>
      <c r="J689" s="2"/>
      <c r="K689" s="2">
        <v>226403</v>
      </c>
      <c r="L689" s="2">
        <v>208557</v>
      </c>
      <c r="M689" s="2">
        <v>116075</v>
      </c>
      <c r="N689" s="2">
        <v>0</v>
      </c>
      <c r="O689" s="2">
        <v>0</v>
      </c>
      <c r="P689" s="2"/>
      <c r="Q689" s="2">
        <v>14676</v>
      </c>
      <c r="R689" s="2">
        <v>205273</v>
      </c>
      <c r="S689" s="2">
        <v>212371</v>
      </c>
      <c r="T689" s="2">
        <v>181727</v>
      </c>
      <c r="U689" s="2">
        <v>0</v>
      </c>
      <c r="V689" s="2"/>
      <c r="W689" s="2">
        <v>179228</v>
      </c>
      <c r="X689" s="2">
        <v>145503</v>
      </c>
      <c r="Y689" s="2">
        <v>0</v>
      </c>
      <c r="Z689" s="2">
        <v>0</v>
      </c>
      <c r="AA689" s="2">
        <v>0</v>
      </c>
      <c r="AB689" s="2"/>
      <c r="AC689" s="2">
        <v>64846</v>
      </c>
      <c r="AD689" s="2">
        <v>40088</v>
      </c>
      <c r="AE689" s="2">
        <v>40089</v>
      </c>
      <c r="AF689" s="2">
        <v>0</v>
      </c>
      <c r="AG689" s="2">
        <v>0</v>
      </c>
      <c r="AH689" s="2"/>
      <c r="AI689" s="2">
        <v>-821</v>
      </c>
      <c r="AJ689" s="2">
        <v>-819</v>
      </c>
      <c r="AK689" s="2">
        <v>0</v>
      </c>
      <c r="AL689" s="2">
        <v>0</v>
      </c>
      <c r="AM689" s="2">
        <v>-819</v>
      </c>
    </row>
    <row r="690" spans="1:39">
      <c r="A690" s="351">
        <v>97511</v>
      </c>
      <c r="B690" s="344" t="s">
        <v>1389</v>
      </c>
      <c r="C690" s="360">
        <v>2.2149999999999999E-4</v>
      </c>
      <c r="E690" s="2">
        <v>89645</v>
      </c>
      <c r="F690" s="2">
        <v>113600</v>
      </c>
      <c r="G690" s="2">
        <v>78591</v>
      </c>
      <c r="H690" s="2">
        <v>32964</v>
      </c>
      <c r="I690" s="2">
        <v>0</v>
      </c>
      <c r="J690" s="2"/>
      <c r="K690" s="2">
        <v>41068</v>
      </c>
      <c r="L690" s="2">
        <v>37831</v>
      </c>
      <c r="M690" s="2">
        <v>21055</v>
      </c>
      <c r="N690" s="2">
        <v>0</v>
      </c>
      <c r="O690" s="2">
        <v>0</v>
      </c>
      <c r="P690" s="2"/>
      <c r="Q690" s="2">
        <v>2662</v>
      </c>
      <c r="R690" s="2">
        <v>37235</v>
      </c>
      <c r="S690" s="2">
        <v>38523</v>
      </c>
      <c r="T690" s="2">
        <v>32964</v>
      </c>
      <c r="U690" s="2">
        <v>0</v>
      </c>
      <c r="V690" s="2"/>
      <c r="W690" s="2">
        <v>32511</v>
      </c>
      <c r="X690" s="2">
        <v>26393</v>
      </c>
      <c r="Y690" s="2">
        <v>0</v>
      </c>
      <c r="Z690" s="2">
        <v>0</v>
      </c>
      <c r="AA690" s="2">
        <v>0</v>
      </c>
      <c r="AB690" s="2"/>
      <c r="AC690" s="2">
        <v>20280</v>
      </c>
      <c r="AD690" s="2">
        <v>19015</v>
      </c>
      <c r="AE690" s="2">
        <v>19013</v>
      </c>
      <c r="AF690" s="2">
        <v>0</v>
      </c>
      <c r="AG690" s="2">
        <v>0</v>
      </c>
      <c r="AH690" s="2"/>
      <c r="AI690" s="2">
        <v>-6876</v>
      </c>
      <c r="AJ690" s="2">
        <v>-6874</v>
      </c>
      <c r="AK690" s="2">
        <v>0</v>
      </c>
      <c r="AL690" s="2">
        <v>0</v>
      </c>
      <c r="AM690" s="2">
        <v>-6874</v>
      </c>
    </row>
    <row r="691" spans="1:39">
      <c r="A691" s="351">
        <v>97521</v>
      </c>
      <c r="B691" s="344" t="s">
        <v>1390</v>
      </c>
      <c r="C691" s="360">
        <v>1.295E-4</v>
      </c>
      <c r="E691" s="2">
        <v>46057</v>
      </c>
      <c r="F691" s="2">
        <v>61382</v>
      </c>
      <c r="G691" s="2">
        <v>38010</v>
      </c>
      <c r="H691" s="2">
        <v>19272</v>
      </c>
      <c r="I691" s="2">
        <v>0</v>
      </c>
      <c r="J691" s="2"/>
      <c r="K691" s="2">
        <v>24010</v>
      </c>
      <c r="L691" s="2">
        <v>22118</v>
      </c>
      <c r="M691" s="2">
        <v>12310</v>
      </c>
      <c r="N691" s="2">
        <v>0</v>
      </c>
      <c r="O691" s="2">
        <v>0</v>
      </c>
      <c r="P691" s="2"/>
      <c r="Q691" s="2">
        <v>1556</v>
      </c>
      <c r="R691" s="2">
        <v>21770</v>
      </c>
      <c r="S691" s="2">
        <v>22522</v>
      </c>
      <c r="T691" s="2">
        <v>19272</v>
      </c>
      <c r="U691" s="2">
        <v>0</v>
      </c>
      <c r="V691" s="2"/>
      <c r="W691" s="2">
        <v>19007</v>
      </c>
      <c r="X691" s="2">
        <v>15431</v>
      </c>
      <c r="Y691" s="2">
        <v>0</v>
      </c>
      <c r="Z691" s="2">
        <v>0</v>
      </c>
      <c r="AA691" s="2">
        <v>0</v>
      </c>
      <c r="AB691" s="2"/>
      <c r="AC691" s="2">
        <v>6139</v>
      </c>
      <c r="AD691" s="2">
        <v>6139</v>
      </c>
      <c r="AE691" s="2">
        <v>6139</v>
      </c>
      <c r="AF691" s="2">
        <v>0</v>
      </c>
      <c r="AG691" s="2">
        <v>0</v>
      </c>
      <c r="AH691" s="2"/>
      <c r="AI691" s="2">
        <v>-4655</v>
      </c>
      <c r="AJ691" s="2">
        <v>-4076</v>
      </c>
      <c r="AK691" s="2">
        <v>-2961</v>
      </c>
      <c r="AL691" s="2">
        <v>0</v>
      </c>
      <c r="AM691" s="2">
        <v>-4076</v>
      </c>
    </row>
    <row r="692" spans="1:39">
      <c r="A692" s="351">
        <v>97527</v>
      </c>
      <c r="B692" s="344" t="s">
        <v>1641</v>
      </c>
      <c r="C692" s="360">
        <v>5.0000000000000004E-6</v>
      </c>
      <c r="E692" s="2">
        <v>517</v>
      </c>
      <c r="F692" s="2">
        <v>1085</v>
      </c>
      <c r="G692" s="2">
        <v>-725</v>
      </c>
      <c r="H692" s="2">
        <v>744</v>
      </c>
      <c r="I692" s="2">
        <v>0</v>
      </c>
      <c r="J692" s="2"/>
      <c r="K692" s="2">
        <v>927</v>
      </c>
      <c r="L692" s="2">
        <v>854</v>
      </c>
      <c r="M692" s="2">
        <v>475</v>
      </c>
      <c r="N692" s="2">
        <v>0</v>
      </c>
      <c r="O692" s="2">
        <v>0</v>
      </c>
      <c r="P692" s="2"/>
      <c r="Q692" s="2">
        <v>60</v>
      </c>
      <c r="R692" s="2">
        <v>841</v>
      </c>
      <c r="S692" s="2">
        <v>870</v>
      </c>
      <c r="T692" s="2">
        <v>744</v>
      </c>
      <c r="U692" s="2">
        <v>0</v>
      </c>
      <c r="V692" s="2"/>
      <c r="W692" s="2">
        <v>734</v>
      </c>
      <c r="X692" s="2">
        <v>596</v>
      </c>
      <c r="Y692" s="2">
        <v>0</v>
      </c>
      <c r="Z692" s="2">
        <v>0</v>
      </c>
      <c r="AA692" s="2">
        <v>0</v>
      </c>
      <c r="AB692" s="2"/>
      <c r="AC692" s="2">
        <v>3432</v>
      </c>
      <c r="AD692" s="2">
        <v>3430</v>
      </c>
      <c r="AE692" s="2">
        <v>2565</v>
      </c>
      <c r="AF692" s="2">
        <v>0</v>
      </c>
      <c r="AG692" s="2">
        <v>0</v>
      </c>
      <c r="AH692" s="2"/>
      <c r="AI692" s="2">
        <v>-4636</v>
      </c>
      <c r="AJ692" s="2">
        <v>-4636</v>
      </c>
      <c r="AK692" s="2">
        <v>-4635</v>
      </c>
      <c r="AL692" s="2">
        <v>0</v>
      </c>
      <c r="AM692" s="2">
        <v>-4636</v>
      </c>
    </row>
    <row r="693" spans="1:39">
      <c r="A693" s="351">
        <v>97531</v>
      </c>
      <c r="B693" s="344" t="s">
        <v>1391</v>
      </c>
      <c r="C693" s="360">
        <v>6.5699999999999998E-5</v>
      </c>
      <c r="E693" s="2">
        <v>25395</v>
      </c>
      <c r="F693" s="2">
        <v>30678</v>
      </c>
      <c r="G693" s="2">
        <v>15717</v>
      </c>
      <c r="H693" s="2">
        <v>9778</v>
      </c>
      <c r="I693" s="2">
        <v>0</v>
      </c>
      <c r="J693" s="2"/>
      <c r="K693" s="2">
        <v>12181</v>
      </c>
      <c r="L693" s="2">
        <v>11221</v>
      </c>
      <c r="M693" s="2">
        <v>6245</v>
      </c>
      <c r="N693" s="2">
        <v>0</v>
      </c>
      <c r="O693" s="2">
        <v>0</v>
      </c>
      <c r="P693" s="2"/>
      <c r="Q693" s="2">
        <v>790</v>
      </c>
      <c r="R693" s="2">
        <v>11044</v>
      </c>
      <c r="S693" s="2">
        <v>11426</v>
      </c>
      <c r="T693" s="2">
        <v>9778</v>
      </c>
      <c r="U693" s="2">
        <v>0</v>
      </c>
      <c r="V693" s="2"/>
      <c r="W693" s="2">
        <v>9643</v>
      </c>
      <c r="X693" s="2">
        <v>7829</v>
      </c>
      <c r="Y693" s="2">
        <v>0</v>
      </c>
      <c r="Z693" s="2">
        <v>0</v>
      </c>
      <c r="AA693" s="2">
        <v>0</v>
      </c>
      <c r="AB693" s="2"/>
      <c r="AC693" s="2">
        <v>9597</v>
      </c>
      <c r="AD693" s="2">
        <v>7400</v>
      </c>
      <c r="AE693" s="2">
        <v>4861</v>
      </c>
      <c r="AF693" s="2">
        <v>0</v>
      </c>
      <c r="AG693" s="2">
        <v>0</v>
      </c>
      <c r="AH693" s="2"/>
      <c r="AI693" s="2">
        <v>-6816</v>
      </c>
      <c r="AJ693" s="2">
        <v>-6816</v>
      </c>
      <c r="AK693" s="2">
        <v>-6815</v>
      </c>
      <c r="AL693" s="2">
        <v>0</v>
      </c>
      <c r="AM693" s="2">
        <v>-6816</v>
      </c>
    </row>
    <row r="694" spans="1:39">
      <c r="A694" s="351">
        <v>97601</v>
      </c>
      <c r="B694" s="344" t="s">
        <v>1392</v>
      </c>
      <c r="C694" s="360">
        <v>5.2855999999999997E-3</v>
      </c>
      <c r="E694" s="2">
        <v>1827945</v>
      </c>
      <c r="F694" s="2">
        <v>2381988</v>
      </c>
      <c r="G694" s="2">
        <v>1385276</v>
      </c>
      <c r="H694" s="2">
        <v>786614</v>
      </c>
      <c r="I694" s="2">
        <v>0</v>
      </c>
      <c r="J694" s="2"/>
      <c r="K694" s="2">
        <v>979998</v>
      </c>
      <c r="L694" s="2">
        <v>902749</v>
      </c>
      <c r="M694" s="2">
        <v>502439</v>
      </c>
      <c r="N694" s="2">
        <v>0</v>
      </c>
      <c r="O694" s="2">
        <v>0</v>
      </c>
      <c r="P694" s="2"/>
      <c r="Q694" s="2">
        <v>63528</v>
      </c>
      <c r="R694" s="2">
        <v>888536</v>
      </c>
      <c r="S694" s="2">
        <v>919261</v>
      </c>
      <c r="T694" s="2">
        <v>786614</v>
      </c>
      <c r="U694" s="2">
        <v>0</v>
      </c>
      <c r="V694" s="2"/>
      <c r="W694" s="2">
        <v>775799</v>
      </c>
      <c r="X694" s="2">
        <v>629816</v>
      </c>
      <c r="Y694" s="2">
        <v>0</v>
      </c>
      <c r="Z694" s="2">
        <v>0</v>
      </c>
      <c r="AA694" s="2">
        <v>0</v>
      </c>
      <c r="AB694" s="2"/>
      <c r="AC694" s="2">
        <v>47731</v>
      </c>
      <c r="AD694" s="2">
        <v>0</v>
      </c>
      <c r="AE694" s="2">
        <v>0</v>
      </c>
      <c r="AF694" s="2">
        <v>0</v>
      </c>
      <c r="AG694" s="2">
        <v>0</v>
      </c>
      <c r="AH694" s="2"/>
      <c r="AI694" s="2">
        <v>-39111</v>
      </c>
      <c r="AJ694" s="2">
        <v>-39113</v>
      </c>
      <c r="AK694" s="2">
        <v>-36424</v>
      </c>
      <c r="AL694" s="2">
        <v>0</v>
      </c>
      <c r="AM694" s="2">
        <v>-39113</v>
      </c>
    </row>
    <row r="695" spans="1:39">
      <c r="A695" s="351">
        <v>97607</v>
      </c>
      <c r="B695" s="344" t="s">
        <v>1393</v>
      </c>
      <c r="C695" s="360">
        <v>1.6699999999999999E-5</v>
      </c>
      <c r="E695" s="2">
        <v>12135</v>
      </c>
      <c r="F695" s="2">
        <v>12044</v>
      </c>
      <c r="G695" s="2">
        <v>7454</v>
      </c>
      <c r="H695" s="2">
        <v>2485</v>
      </c>
      <c r="I695" s="2">
        <v>0</v>
      </c>
      <c r="J695" s="2"/>
      <c r="K695" s="2">
        <v>3096</v>
      </c>
      <c r="L695" s="2">
        <v>2852</v>
      </c>
      <c r="M695" s="2">
        <v>1587</v>
      </c>
      <c r="N695" s="2">
        <v>0</v>
      </c>
      <c r="O695" s="2">
        <v>0</v>
      </c>
      <c r="P695" s="2"/>
      <c r="Q695" s="2">
        <v>201</v>
      </c>
      <c r="R695" s="2">
        <v>2807</v>
      </c>
      <c r="S695" s="2">
        <v>2904</v>
      </c>
      <c r="T695" s="2">
        <v>2485</v>
      </c>
      <c r="U695" s="2">
        <v>0</v>
      </c>
      <c r="V695" s="2"/>
      <c r="W695" s="2">
        <v>2451</v>
      </c>
      <c r="X695" s="2">
        <v>1990</v>
      </c>
      <c r="Y695" s="2">
        <v>0</v>
      </c>
      <c r="Z695" s="2">
        <v>0</v>
      </c>
      <c r="AA695" s="2">
        <v>0</v>
      </c>
      <c r="AB695" s="2"/>
      <c r="AC695" s="2">
        <v>6387</v>
      </c>
      <c r="AD695" s="2">
        <v>4395</v>
      </c>
      <c r="AE695" s="2">
        <v>2963</v>
      </c>
      <c r="AF695" s="2">
        <v>0</v>
      </c>
      <c r="AG695" s="2">
        <v>0</v>
      </c>
      <c r="AH695" s="2"/>
      <c r="AI695" s="2">
        <v>0</v>
      </c>
      <c r="AJ695" s="2">
        <v>0</v>
      </c>
      <c r="AK695" s="2">
        <v>0</v>
      </c>
      <c r="AL695" s="2">
        <v>0</v>
      </c>
      <c r="AM695" s="2">
        <v>0</v>
      </c>
    </row>
    <row r="696" spans="1:39">
      <c r="A696" s="351">
        <v>97611</v>
      </c>
      <c r="B696" s="344" t="s">
        <v>1394</v>
      </c>
      <c r="C696" s="360">
        <v>2.4239999999999999E-3</v>
      </c>
      <c r="E696" s="2">
        <v>834127</v>
      </c>
      <c r="F696" s="2">
        <v>1132296</v>
      </c>
      <c r="G696" s="2">
        <v>699493</v>
      </c>
      <c r="H696" s="2">
        <v>360745</v>
      </c>
      <c r="I696" s="2">
        <v>0</v>
      </c>
      <c r="J696" s="2"/>
      <c r="K696" s="2">
        <v>449431</v>
      </c>
      <c r="L696" s="2">
        <v>414005</v>
      </c>
      <c r="M696" s="2">
        <v>230421</v>
      </c>
      <c r="N696" s="2">
        <v>0</v>
      </c>
      <c r="O696" s="2">
        <v>0</v>
      </c>
      <c r="P696" s="2"/>
      <c r="Q696" s="2">
        <v>29134</v>
      </c>
      <c r="R696" s="2">
        <v>407487</v>
      </c>
      <c r="S696" s="2">
        <v>421577</v>
      </c>
      <c r="T696" s="2">
        <v>360745</v>
      </c>
      <c r="U696" s="2">
        <v>0</v>
      </c>
      <c r="V696" s="2"/>
      <c r="W696" s="2">
        <v>355785</v>
      </c>
      <c r="X696" s="2">
        <v>288837</v>
      </c>
      <c r="Y696" s="2">
        <v>0</v>
      </c>
      <c r="Z696" s="2">
        <v>0</v>
      </c>
      <c r="AA696" s="2">
        <v>0</v>
      </c>
      <c r="AB696" s="2"/>
      <c r="AC696" s="2">
        <v>49774</v>
      </c>
      <c r="AD696" s="2">
        <v>49774</v>
      </c>
      <c r="AE696" s="2">
        <v>49773</v>
      </c>
      <c r="AF696" s="2">
        <v>0</v>
      </c>
      <c r="AG696" s="2">
        <v>0</v>
      </c>
      <c r="AH696" s="2"/>
      <c r="AI696" s="2">
        <v>-49997</v>
      </c>
      <c r="AJ696" s="2">
        <v>-27807</v>
      </c>
      <c r="AK696" s="2">
        <v>-2278</v>
      </c>
      <c r="AL696" s="2">
        <v>0</v>
      </c>
      <c r="AM696" s="2">
        <v>-27807</v>
      </c>
    </row>
    <row r="697" spans="1:39">
      <c r="A697" s="351">
        <v>97613</v>
      </c>
      <c r="B697" s="344" t="s">
        <v>2753</v>
      </c>
      <c r="C697" s="360">
        <v>8.7100000000000003E-5</v>
      </c>
      <c r="E697" s="2">
        <v>33259</v>
      </c>
      <c r="F697" s="2">
        <v>43213</v>
      </c>
      <c r="G697" s="2">
        <v>25570</v>
      </c>
      <c r="H697" s="2">
        <v>12962</v>
      </c>
      <c r="I697" s="2">
        <v>0</v>
      </c>
      <c r="J697" s="2"/>
      <c r="K697" s="2">
        <v>16149</v>
      </c>
      <c r="L697" s="2">
        <v>14876</v>
      </c>
      <c r="M697" s="2">
        <v>8280</v>
      </c>
      <c r="N697" s="2">
        <v>0</v>
      </c>
      <c r="O697" s="2">
        <v>0</v>
      </c>
      <c r="P697" s="2"/>
      <c r="Q697" s="2">
        <v>1047</v>
      </c>
      <c r="R697" s="2">
        <v>14642</v>
      </c>
      <c r="S697" s="2">
        <v>15148</v>
      </c>
      <c r="T697" s="2">
        <v>12962</v>
      </c>
      <c r="U697" s="2">
        <v>0</v>
      </c>
      <c r="V697" s="2"/>
      <c r="W697" s="2">
        <v>12784</v>
      </c>
      <c r="X697" s="2">
        <v>10379</v>
      </c>
      <c r="Y697" s="2">
        <v>0</v>
      </c>
      <c r="Z697" s="2">
        <v>0</v>
      </c>
      <c r="AA697" s="2">
        <v>0</v>
      </c>
      <c r="AB697" s="2"/>
      <c r="AC697" s="2">
        <v>5778</v>
      </c>
      <c r="AD697" s="2">
        <v>5777</v>
      </c>
      <c r="AE697" s="2">
        <v>4602</v>
      </c>
      <c r="AF697" s="2">
        <v>0</v>
      </c>
      <c r="AG697" s="2">
        <v>0</v>
      </c>
      <c r="AH697" s="2"/>
      <c r="AI697" s="2">
        <v>-2499</v>
      </c>
      <c r="AJ697" s="2">
        <v>-2461</v>
      </c>
      <c r="AK697" s="2">
        <v>-2460</v>
      </c>
      <c r="AL697" s="2">
        <v>0</v>
      </c>
      <c r="AM697" s="2">
        <v>-2461</v>
      </c>
    </row>
    <row r="698" spans="1:39">
      <c r="A698" s="351">
        <v>97621</v>
      </c>
      <c r="B698" s="344" t="s">
        <v>1396</v>
      </c>
      <c r="C698" s="360">
        <v>4.2010000000000002E-4</v>
      </c>
      <c r="E698" s="2">
        <v>102940</v>
      </c>
      <c r="F698" s="2">
        <v>160214</v>
      </c>
      <c r="G698" s="2">
        <v>87875</v>
      </c>
      <c r="H698" s="2">
        <v>62520</v>
      </c>
      <c r="I698" s="2">
        <v>0</v>
      </c>
      <c r="J698" s="2"/>
      <c r="K698" s="2">
        <v>77890</v>
      </c>
      <c r="L698" s="2">
        <v>71751</v>
      </c>
      <c r="M698" s="2">
        <v>39934</v>
      </c>
      <c r="N698" s="2">
        <v>0</v>
      </c>
      <c r="O698" s="2">
        <v>0</v>
      </c>
      <c r="P698" s="2"/>
      <c r="Q698" s="2">
        <v>5049</v>
      </c>
      <c r="R698" s="2">
        <v>70621</v>
      </c>
      <c r="S698" s="2">
        <v>73063</v>
      </c>
      <c r="T698" s="2">
        <v>62520</v>
      </c>
      <c r="U698" s="2">
        <v>0</v>
      </c>
      <c r="V698" s="2"/>
      <c r="W698" s="2">
        <v>61661</v>
      </c>
      <c r="X698" s="2">
        <v>50058</v>
      </c>
      <c r="Y698" s="2">
        <v>0</v>
      </c>
      <c r="Z698" s="2">
        <v>0</v>
      </c>
      <c r="AA698" s="2">
        <v>0</v>
      </c>
      <c r="AB698" s="2"/>
      <c r="AC698" s="2">
        <v>0</v>
      </c>
      <c r="AD698" s="2">
        <v>0</v>
      </c>
      <c r="AE698" s="2">
        <v>0</v>
      </c>
      <c r="AF698" s="2">
        <v>0</v>
      </c>
      <c r="AG698" s="2">
        <v>0</v>
      </c>
      <c r="AH698" s="2"/>
      <c r="AI698" s="2">
        <v>-41660</v>
      </c>
      <c r="AJ698" s="2">
        <v>-32216</v>
      </c>
      <c r="AK698" s="2">
        <v>-25122</v>
      </c>
      <c r="AL698" s="2">
        <v>0</v>
      </c>
      <c r="AM698" s="2">
        <v>-32216</v>
      </c>
    </row>
    <row r="699" spans="1:39">
      <c r="A699" s="351">
        <v>97623</v>
      </c>
      <c r="B699" s="344" t="s">
        <v>1397</v>
      </c>
      <c r="C699" s="360">
        <v>2.4499999999999999E-5</v>
      </c>
      <c r="E699" s="2">
        <v>7145</v>
      </c>
      <c r="F699" s="2">
        <v>10367</v>
      </c>
      <c r="G699" s="2">
        <v>6786</v>
      </c>
      <c r="H699" s="2">
        <v>3646</v>
      </c>
      <c r="I699" s="2">
        <v>0</v>
      </c>
      <c r="J699" s="2"/>
      <c r="K699" s="2">
        <v>4543</v>
      </c>
      <c r="L699" s="2">
        <v>4184</v>
      </c>
      <c r="M699" s="2">
        <v>2329</v>
      </c>
      <c r="N699" s="2">
        <v>0</v>
      </c>
      <c r="O699" s="2">
        <v>0</v>
      </c>
      <c r="P699" s="2"/>
      <c r="Q699" s="2">
        <v>294</v>
      </c>
      <c r="R699" s="2">
        <v>4119</v>
      </c>
      <c r="S699" s="2">
        <v>4261</v>
      </c>
      <c r="T699" s="2">
        <v>3646</v>
      </c>
      <c r="U699" s="2">
        <v>0</v>
      </c>
      <c r="V699" s="2"/>
      <c r="W699" s="2">
        <v>3596</v>
      </c>
      <c r="X699" s="2">
        <v>2919</v>
      </c>
      <c r="Y699" s="2">
        <v>0</v>
      </c>
      <c r="Z699" s="2">
        <v>0</v>
      </c>
      <c r="AA699" s="2">
        <v>0</v>
      </c>
      <c r="AB699" s="2"/>
      <c r="AC699" s="2">
        <v>197</v>
      </c>
      <c r="AD699" s="2">
        <v>197</v>
      </c>
      <c r="AE699" s="2">
        <v>196</v>
      </c>
      <c r="AF699" s="2">
        <v>0</v>
      </c>
      <c r="AG699" s="2">
        <v>0</v>
      </c>
      <c r="AH699" s="2"/>
      <c r="AI699" s="2">
        <v>-1485</v>
      </c>
      <c r="AJ699" s="2">
        <v>-1052</v>
      </c>
      <c r="AK699" s="2">
        <v>0</v>
      </c>
      <c r="AL699" s="2">
        <v>0</v>
      </c>
      <c r="AM699" s="2">
        <v>-1052</v>
      </c>
    </row>
    <row r="700" spans="1:39">
      <c r="A700" s="351">
        <v>97627</v>
      </c>
      <c r="B700" s="344" t="s">
        <v>1398</v>
      </c>
      <c r="C700" s="360">
        <v>5.4999999999999999E-6</v>
      </c>
      <c r="E700" s="2">
        <v>1140</v>
      </c>
      <c r="F700" s="2">
        <v>1738</v>
      </c>
      <c r="G700" s="2">
        <v>572</v>
      </c>
      <c r="H700" s="2">
        <v>819</v>
      </c>
      <c r="I700" s="2">
        <v>0</v>
      </c>
      <c r="J700" s="2"/>
      <c r="K700" s="2">
        <v>1020</v>
      </c>
      <c r="L700" s="2">
        <v>939</v>
      </c>
      <c r="M700" s="2">
        <v>523</v>
      </c>
      <c r="N700" s="2">
        <v>0</v>
      </c>
      <c r="O700" s="2">
        <v>0</v>
      </c>
      <c r="P700" s="2"/>
      <c r="Q700" s="2">
        <v>66</v>
      </c>
      <c r="R700" s="2">
        <v>925</v>
      </c>
      <c r="S700" s="2">
        <v>957</v>
      </c>
      <c r="T700" s="2">
        <v>819</v>
      </c>
      <c r="U700" s="2">
        <v>0</v>
      </c>
      <c r="V700" s="2"/>
      <c r="W700" s="2">
        <v>807</v>
      </c>
      <c r="X700" s="2">
        <v>655</v>
      </c>
      <c r="Y700" s="2">
        <v>0</v>
      </c>
      <c r="Z700" s="2">
        <v>0</v>
      </c>
      <c r="AA700" s="2">
        <v>0</v>
      </c>
      <c r="AB700" s="2"/>
      <c r="AC700" s="2">
        <v>302</v>
      </c>
      <c r="AD700" s="2">
        <v>274</v>
      </c>
      <c r="AE700" s="2">
        <v>147</v>
      </c>
      <c r="AF700" s="2">
        <v>0</v>
      </c>
      <c r="AG700" s="2">
        <v>0</v>
      </c>
      <c r="AH700" s="2"/>
      <c r="AI700" s="2">
        <v>-1055</v>
      </c>
      <c r="AJ700" s="2">
        <v>-1055</v>
      </c>
      <c r="AK700" s="2">
        <v>-1055</v>
      </c>
      <c r="AL700" s="2">
        <v>0</v>
      </c>
      <c r="AM700" s="2">
        <v>-1055</v>
      </c>
    </row>
    <row r="701" spans="1:39">
      <c r="A701" s="351">
        <v>97631</v>
      </c>
      <c r="B701" s="344" t="s">
        <v>1399</v>
      </c>
      <c r="C701" s="360">
        <v>2.118E-4</v>
      </c>
      <c r="E701" s="2">
        <v>70779</v>
      </c>
      <c r="F701" s="2">
        <v>95820</v>
      </c>
      <c r="G701" s="2">
        <v>57048</v>
      </c>
      <c r="H701" s="2">
        <v>31520</v>
      </c>
      <c r="I701" s="2">
        <v>0</v>
      </c>
      <c r="J701" s="2"/>
      <c r="K701" s="2">
        <v>39270</v>
      </c>
      <c r="L701" s="2">
        <v>36174</v>
      </c>
      <c r="M701" s="2">
        <v>20133</v>
      </c>
      <c r="N701" s="2">
        <v>0</v>
      </c>
      <c r="O701" s="2">
        <v>0</v>
      </c>
      <c r="P701" s="2"/>
      <c r="Q701" s="2">
        <v>2546</v>
      </c>
      <c r="R701" s="2">
        <v>35605</v>
      </c>
      <c r="S701" s="2">
        <v>36836</v>
      </c>
      <c r="T701" s="2">
        <v>31520</v>
      </c>
      <c r="U701" s="2">
        <v>0</v>
      </c>
      <c r="V701" s="2"/>
      <c r="W701" s="2">
        <v>31087</v>
      </c>
      <c r="X701" s="2">
        <v>25237</v>
      </c>
      <c r="Y701" s="2">
        <v>0</v>
      </c>
      <c r="Z701" s="2">
        <v>0</v>
      </c>
      <c r="AA701" s="2">
        <v>0</v>
      </c>
      <c r="AB701" s="2"/>
      <c r="AC701" s="2">
        <v>3522</v>
      </c>
      <c r="AD701" s="2">
        <v>3522</v>
      </c>
      <c r="AE701" s="2">
        <v>3523</v>
      </c>
      <c r="AF701" s="2">
        <v>0</v>
      </c>
      <c r="AG701" s="2">
        <v>0</v>
      </c>
      <c r="AH701" s="2"/>
      <c r="AI701" s="2">
        <v>-5646</v>
      </c>
      <c r="AJ701" s="2">
        <v>-4718</v>
      </c>
      <c r="AK701" s="2">
        <v>-3444</v>
      </c>
      <c r="AL701" s="2">
        <v>0</v>
      </c>
      <c r="AM701" s="2">
        <v>-4718</v>
      </c>
    </row>
    <row r="702" spans="1:39">
      <c r="A702" s="351">
        <v>97637</v>
      </c>
      <c r="B702" s="344" t="s">
        <v>1400</v>
      </c>
      <c r="C702" s="360"/>
      <c r="E702" s="2">
        <v>-416</v>
      </c>
      <c r="F702" s="2">
        <v>-550</v>
      </c>
      <c r="G702" s="2">
        <v>-743</v>
      </c>
      <c r="H702" s="2">
        <v>0</v>
      </c>
      <c r="I702" s="2">
        <v>0</v>
      </c>
      <c r="J702" s="2"/>
      <c r="K702" s="2">
        <v>0</v>
      </c>
      <c r="L702" s="2">
        <v>0</v>
      </c>
      <c r="M702" s="2">
        <v>0</v>
      </c>
      <c r="N702" s="2">
        <v>0</v>
      </c>
      <c r="O702" s="2">
        <v>0</v>
      </c>
      <c r="P702" s="2"/>
      <c r="Q702" s="2">
        <v>0</v>
      </c>
      <c r="R702" s="2">
        <v>0</v>
      </c>
      <c r="S702" s="2">
        <v>0</v>
      </c>
      <c r="T702" s="2">
        <v>0</v>
      </c>
      <c r="U702" s="2">
        <v>0</v>
      </c>
      <c r="V702" s="2"/>
      <c r="W702" s="2">
        <v>0</v>
      </c>
      <c r="X702" s="2">
        <v>0</v>
      </c>
      <c r="Y702" s="2">
        <v>0</v>
      </c>
      <c r="Z702" s="2">
        <v>0</v>
      </c>
      <c r="AA702" s="2">
        <v>0</v>
      </c>
      <c r="AB702" s="2"/>
      <c r="AC702" s="2">
        <v>566</v>
      </c>
      <c r="AD702" s="2">
        <v>432</v>
      </c>
      <c r="AE702" s="2">
        <v>239</v>
      </c>
      <c r="AF702" s="2">
        <v>0</v>
      </c>
      <c r="AG702" s="2">
        <v>0</v>
      </c>
      <c r="AH702" s="2"/>
      <c r="AI702" s="2">
        <v>-982</v>
      </c>
      <c r="AJ702" s="2">
        <v>-982</v>
      </c>
      <c r="AK702" s="2">
        <v>-982</v>
      </c>
      <c r="AL702" s="2">
        <v>0</v>
      </c>
      <c r="AM702" s="2">
        <v>-982</v>
      </c>
    </row>
    <row r="703" spans="1:39">
      <c r="A703" s="351">
        <v>97641</v>
      </c>
      <c r="B703" s="344" t="s">
        <v>1401</v>
      </c>
      <c r="C703" s="360">
        <v>5.1199999999999998E-5</v>
      </c>
      <c r="E703" s="2">
        <v>20166</v>
      </c>
      <c r="F703" s="2">
        <v>25501</v>
      </c>
      <c r="G703" s="2">
        <v>17890</v>
      </c>
      <c r="H703" s="2">
        <v>7620</v>
      </c>
      <c r="I703" s="2">
        <v>0</v>
      </c>
      <c r="J703" s="2"/>
      <c r="K703" s="2">
        <v>9493</v>
      </c>
      <c r="L703" s="2">
        <v>8745</v>
      </c>
      <c r="M703" s="2">
        <v>4867</v>
      </c>
      <c r="N703" s="2">
        <v>0</v>
      </c>
      <c r="O703" s="2">
        <v>0</v>
      </c>
      <c r="P703" s="2"/>
      <c r="Q703" s="2">
        <v>615</v>
      </c>
      <c r="R703" s="2">
        <v>8607</v>
      </c>
      <c r="S703" s="2">
        <v>8905</v>
      </c>
      <c r="T703" s="2">
        <v>7620</v>
      </c>
      <c r="U703" s="2">
        <v>0</v>
      </c>
      <c r="V703" s="2"/>
      <c r="W703" s="2">
        <v>7515</v>
      </c>
      <c r="X703" s="2">
        <v>6101</v>
      </c>
      <c r="Y703" s="2">
        <v>0</v>
      </c>
      <c r="Z703" s="2">
        <v>0</v>
      </c>
      <c r="AA703" s="2">
        <v>0</v>
      </c>
      <c r="AB703" s="2"/>
      <c r="AC703" s="2">
        <v>4614</v>
      </c>
      <c r="AD703" s="2">
        <v>4121</v>
      </c>
      <c r="AE703" s="2">
        <v>4118</v>
      </c>
      <c r="AF703" s="2">
        <v>0</v>
      </c>
      <c r="AG703" s="2">
        <v>0</v>
      </c>
      <c r="AH703" s="2"/>
      <c r="AI703" s="2">
        <v>-2071</v>
      </c>
      <c r="AJ703" s="2">
        <v>-2073</v>
      </c>
      <c r="AK703" s="2">
        <v>0</v>
      </c>
      <c r="AL703" s="2">
        <v>0</v>
      </c>
      <c r="AM703" s="2">
        <v>-2073</v>
      </c>
    </row>
    <row r="704" spans="1:39">
      <c r="A704" s="351">
        <v>97651</v>
      </c>
      <c r="B704" s="344" t="s">
        <v>1402</v>
      </c>
      <c r="C704" s="360">
        <v>5.2769999999999998E-4</v>
      </c>
      <c r="E704" s="2">
        <v>164584</v>
      </c>
      <c r="F704" s="2">
        <v>227228</v>
      </c>
      <c r="G704" s="2">
        <v>131828</v>
      </c>
      <c r="H704" s="2">
        <v>78533</v>
      </c>
      <c r="I704" s="2">
        <v>0</v>
      </c>
      <c r="J704" s="2"/>
      <c r="K704" s="2">
        <v>97840</v>
      </c>
      <c r="L704" s="2">
        <v>90128</v>
      </c>
      <c r="M704" s="2">
        <v>50162</v>
      </c>
      <c r="N704" s="2">
        <v>0</v>
      </c>
      <c r="O704" s="2">
        <v>0</v>
      </c>
      <c r="P704" s="2"/>
      <c r="Q704" s="2">
        <v>6342</v>
      </c>
      <c r="R704" s="2">
        <v>88709</v>
      </c>
      <c r="S704" s="2">
        <v>91777</v>
      </c>
      <c r="T704" s="2">
        <v>78533</v>
      </c>
      <c r="U704" s="2">
        <v>0</v>
      </c>
      <c r="V704" s="2"/>
      <c r="W704" s="2">
        <v>77454</v>
      </c>
      <c r="X704" s="2">
        <v>62879</v>
      </c>
      <c r="Y704" s="2">
        <v>0</v>
      </c>
      <c r="Z704" s="2">
        <v>0</v>
      </c>
      <c r="AA704" s="2">
        <v>0</v>
      </c>
      <c r="AB704" s="2"/>
      <c r="AC704" s="2">
        <v>0</v>
      </c>
      <c r="AD704" s="2">
        <v>0</v>
      </c>
      <c r="AE704" s="2">
        <v>0</v>
      </c>
      <c r="AF704" s="2">
        <v>0</v>
      </c>
      <c r="AG704" s="2">
        <v>0</v>
      </c>
      <c r="AH704" s="2"/>
      <c r="AI704" s="2">
        <v>-17052</v>
      </c>
      <c r="AJ704" s="2">
        <v>-14488</v>
      </c>
      <c r="AK704" s="2">
        <v>-10111</v>
      </c>
      <c r="AL704" s="2">
        <v>0</v>
      </c>
      <c r="AM704" s="2">
        <v>-14488</v>
      </c>
    </row>
    <row r="705" spans="1:39">
      <c r="A705" s="351">
        <v>97661</v>
      </c>
      <c r="B705" s="344" t="s">
        <v>1403</v>
      </c>
      <c r="C705" s="360">
        <v>4.2400000000000001E-5</v>
      </c>
      <c r="E705" s="2">
        <v>13994</v>
      </c>
      <c r="F705" s="2">
        <v>17396</v>
      </c>
      <c r="G705" s="2">
        <v>9864</v>
      </c>
      <c r="H705" s="2">
        <v>6310</v>
      </c>
      <c r="I705" s="2">
        <v>0</v>
      </c>
      <c r="J705" s="2"/>
      <c r="K705" s="2">
        <v>7861</v>
      </c>
      <c r="L705" s="2">
        <v>7242</v>
      </c>
      <c r="M705" s="2">
        <v>4030</v>
      </c>
      <c r="N705" s="2">
        <v>0</v>
      </c>
      <c r="O705" s="2">
        <v>0</v>
      </c>
      <c r="P705" s="2"/>
      <c r="Q705" s="2">
        <v>510</v>
      </c>
      <c r="R705" s="2">
        <v>7128</v>
      </c>
      <c r="S705" s="2">
        <v>7374</v>
      </c>
      <c r="T705" s="2">
        <v>6310</v>
      </c>
      <c r="U705" s="2">
        <v>0</v>
      </c>
      <c r="V705" s="2"/>
      <c r="W705" s="2">
        <v>6223</v>
      </c>
      <c r="X705" s="2">
        <v>5052</v>
      </c>
      <c r="Y705" s="2">
        <v>0</v>
      </c>
      <c r="Z705" s="2">
        <v>0</v>
      </c>
      <c r="AA705" s="2">
        <v>0</v>
      </c>
      <c r="AB705" s="2"/>
      <c r="AC705" s="2">
        <v>3260</v>
      </c>
      <c r="AD705" s="2">
        <v>1834</v>
      </c>
      <c r="AE705" s="2">
        <v>1833</v>
      </c>
      <c r="AF705" s="2">
        <v>0</v>
      </c>
      <c r="AG705" s="2">
        <v>0</v>
      </c>
      <c r="AH705" s="2"/>
      <c r="AI705" s="2">
        <v>-3860</v>
      </c>
      <c r="AJ705" s="2">
        <v>-3860</v>
      </c>
      <c r="AK705" s="2">
        <v>-3373</v>
      </c>
      <c r="AL705" s="2">
        <v>0</v>
      </c>
      <c r="AM705" s="2">
        <v>-3860</v>
      </c>
    </row>
    <row r="706" spans="1:39">
      <c r="A706" s="351">
        <v>97701</v>
      </c>
      <c r="B706" s="344" t="s">
        <v>1404</v>
      </c>
      <c r="C706" s="360">
        <v>2.392E-3</v>
      </c>
      <c r="E706" s="2">
        <v>791255</v>
      </c>
      <c r="F706" s="2">
        <v>1063446</v>
      </c>
      <c r="G706" s="2">
        <v>601675</v>
      </c>
      <c r="H706" s="2">
        <v>355982</v>
      </c>
      <c r="I706" s="2">
        <v>0</v>
      </c>
      <c r="J706" s="2"/>
      <c r="K706" s="2">
        <v>443498</v>
      </c>
      <c r="L706" s="2">
        <v>408539</v>
      </c>
      <c r="M706" s="2">
        <v>227379</v>
      </c>
      <c r="N706" s="2">
        <v>0</v>
      </c>
      <c r="O706" s="2">
        <v>0</v>
      </c>
      <c r="P706" s="2"/>
      <c r="Q706" s="2">
        <v>28749</v>
      </c>
      <c r="R706" s="2">
        <v>402107</v>
      </c>
      <c r="S706" s="2">
        <v>416012</v>
      </c>
      <c r="T706" s="2">
        <v>355982</v>
      </c>
      <c r="U706" s="2">
        <v>0</v>
      </c>
      <c r="V706" s="2"/>
      <c r="W706" s="2">
        <v>351088</v>
      </c>
      <c r="X706" s="2">
        <v>285024</v>
      </c>
      <c r="Y706" s="2">
        <v>0</v>
      </c>
      <c r="Z706" s="2">
        <v>0</v>
      </c>
      <c r="AA706" s="2">
        <v>0</v>
      </c>
      <c r="AB706" s="2"/>
      <c r="AC706" s="2">
        <v>9634</v>
      </c>
      <c r="AD706" s="2">
        <v>9490</v>
      </c>
      <c r="AE706" s="2">
        <v>0</v>
      </c>
      <c r="AF706" s="2">
        <v>0</v>
      </c>
      <c r="AG706" s="2">
        <v>0</v>
      </c>
      <c r="AH706" s="2"/>
      <c r="AI706" s="2">
        <v>-41714</v>
      </c>
      <c r="AJ706" s="2">
        <v>-41714</v>
      </c>
      <c r="AK706" s="2">
        <v>-41716</v>
      </c>
      <c r="AL706" s="2">
        <v>0</v>
      </c>
      <c r="AM706" s="2">
        <v>-41714</v>
      </c>
    </row>
    <row r="707" spans="1:39">
      <c r="A707" s="351">
        <v>97705</v>
      </c>
      <c r="B707" s="344" t="s">
        <v>1405</v>
      </c>
      <c r="C707" s="360">
        <v>3.1099999999999997E-5</v>
      </c>
      <c r="E707" s="2">
        <v>8324</v>
      </c>
      <c r="F707" s="2">
        <v>14553</v>
      </c>
      <c r="G707" s="2">
        <v>8798</v>
      </c>
      <c r="H707" s="2">
        <v>4628</v>
      </c>
      <c r="I707" s="2">
        <v>0</v>
      </c>
      <c r="J707" s="2"/>
      <c r="K707" s="2">
        <v>5766</v>
      </c>
      <c r="L707" s="2">
        <v>5312</v>
      </c>
      <c r="M707" s="2">
        <v>2956</v>
      </c>
      <c r="N707" s="2">
        <v>0</v>
      </c>
      <c r="O707" s="2">
        <v>0</v>
      </c>
      <c r="P707" s="2"/>
      <c r="Q707" s="2">
        <v>374</v>
      </c>
      <c r="R707" s="2">
        <v>5228</v>
      </c>
      <c r="S707" s="2">
        <v>5409</v>
      </c>
      <c r="T707" s="2">
        <v>4628</v>
      </c>
      <c r="U707" s="2">
        <v>0</v>
      </c>
      <c r="V707" s="2"/>
      <c r="W707" s="2">
        <v>4565</v>
      </c>
      <c r="X707" s="2">
        <v>3706</v>
      </c>
      <c r="Y707" s="2">
        <v>0</v>
      </c>
      <c r="Z707" s="2">
        <v>0</v>
      </c>
      <c r="AA707" s="2">
        <v>0</v>
      </c>
      <c r="AB707" s="2"/>
      <c r="AC707" s="2">
        <v>2037</v>
      </c>
      <c r="AD707" s="2">
        <v>2037</v>
      </c>
      <c r="AE707" s="2">
        <v>2036</v>
      </c>
      <c r="AF707" s="2">
        <v>0</v>
      </c>
      <c r="AG707" s="2">
        <v>0</v>
      </c>
      <c r="AH707" s="2"/>
      <c r="AI707" s="2">
        <v>-4418</v>
      </c>
      <c r="AJ707" s="2">
        <v>-1730</v>
      </c>
      <c r="AK707" s="2">
        <v>-1603</v>
      </c>
      <c r="AL707" s="2">
        <v>0</v>
      </c>
      <c r="AM707" s="2">
        <v>-1730</v>
      </c>
    </row>
    <row r="708" spans="1:39">
      <c r="A708" s="351">
        <v>97711</v>
      </c>
      <c r="B708" s="344" t="s">
        <v>1406</v>
      </c>
      <c r="C708" s="360">
        <v>8.3679999999999996E-4</v>
      </c>
      <c r="E708" s="2">
        <v>276380</v>
      </c>
      <c r="F708" s="2">
        <v>375109</v>
      </c>
      <c r="G708" s="2">
        <v>214144</v>
      </c>
      <c r="H708" s="2">
        <v>124534</v>
      </c>
      <c r="I708" s="2">
        <v>0</v>
      </c>
      <c r="J708" s="2"/>
      <c r="K708" s="2">
        <v>155150</v>
      </c>
      <c r="L708" s="2">
        <v>142920</v>
      </c>
      <c r="M708" s="2">
        <v>79545</v>
      </c>
      <c r="N708" s="2">
        <v>0</v>
      </c>
      <c r="O708" s="2">
        <v>0</v>
      </c>
      <c r="P708" s="2"/>
      <c r="Q708" s="2">
        <v>10057</v>
      </c>
      <c r="R708" s="2">
        <v>140670</v>
      </c>
      <c r="S708" s="2">
        <v>145535</v>
      </c>
      <c r="T708" s="2">
        <v>124534</v>
      </c>
      <c r="U708" s="2">
        <v>0</v>
      </c>
      <c r="V708" s="2"/>
      <c r="W708" s="2">
        <v>122822</v>
      </c>
      <c r="X708" s="2">
        <v>99711</v>
      </c>
      <c r="Y708" s="2">
        <v>0</v>
      </c>
      <c r="Z708" s="2">
        <v>0</v>
      </c>
      <c r="AA708" s="2">
        <v>0</v>
      </c>
      <c r="AB708" s="2"/>
      <c r="AC708" s="2">
        <v>2745</v>
      </c>
      <c r="AD708" s="2">
        <v>2747</v>
      </c>
      <c r="AE708" s="2">
        <v>0</v>
      </c>
      <c r="AF708" s="2">
        <v>0</v>
      </c>
      <c r="AG708" s="2">
        <v>0</v>
      </c>
      <c r="AH708" s="2"/>
      <c r="AI708" s="2">
        <v>-14394</v>
      </c>
      <c r="AJ708" s="2">
        <v>-10939</v>
      </c>
      <c r="AK708" s="2">
        <v>-10936</v>
      </c>
      <c r="AL708" s="2">
        <v>0</v>
      </c>
      <c r="AM708" s="2">
        <v>-10939</v>
      </c>
    </row>
    <row r="709" spans="1:39">
      <c r="A709" s="351">
        <v>97713</v>
      </c>
      <c r="B709" s="344" t="s">
        <v>1407</v>
      </c>
      <c r="C709" s="360">
        <v>5.7899999999999998E-5</v>
      </c>
      <c r="E709" s="2">
        <v>20696</v>
      </c>
      <c r="F709" s="2">
        <v>29700</v>
      </c>
      <c r="G709" s="2">
        <v>17647</v>
      </c>
      <c r="H709" s="2">
        <v>8617</v>
      </c>
      <c r="I709" s="2">
        <v>0</v>
      </c>
      <c r="J709" s="2"/>
      <c r="K709" s="2">
        <v>10735</v>
      </c>
      <c r="L709" s="2">
        <v>9889</v>
      </c>
      <c r="M709" s="2">
        <v>5504</v>
      </c>
      <c r="N709" s="2">
        <v>0</v>
      </c>
      <c r="O709" s="2">
        <v>0</v>
      </c>
      <c r="P709" s="2"/>
      <c r="Q709" s="2">
        <v>696</v>
      </c>
      <c r="R709" s="2">
        <v>9733</v>
      </c>
      <c r="S709" s="2">
        <v>10070</v>
      </c>
      <c r="T709" s="2">
        <v>8617</v>
      </c>
      <c r="U709" s="2">
        <v>0</v>
      </c>
      <c r="V709" s="2"/>
      <c r="W709" s="2">
        <v>8498</v>
      </c>
      <c r="X709" s="2">
        <v>6899</v>
      </c>
      <c r="Y709" s="2">
        <v>0</v>
      </c>
      <c r="Z709" s="2">
        <v>0</v>
      </c>
      <c r="AA709" s="2">
        <v>0</v>
      </c>
      <c r="AB709" s="2"/>
      <c r="AC709" s="2">
        <v>3353</v>
      </c>
      <c r="AD709" s="2">
        <v>3351</v>
      </c>
      <c r="AE709" s="2">
        <v>2245</v>
      </c>
      <c r="AF709" s="2">
        <v>0</v>
      </c>
      <c r="AG709" s="2">
        <v>0</v>
      </c>
      <c r="AH709" s="2"/>
      <c r="AI709" s="2">
        <v>-2586</v>
      </c>
      <c r="AJ709" s="2">
        <v>-172</v>
      </c>
      <c r="AK709" s="2">
        <v>-172</v>
      </c>
      <c r="AL709" s="2">
        <v>0</v>
      </c>
      <c r="AM709" s="2">
        <v>-172</v>
      </c>
    </row>
    <row r="710" spans="1:39">
      <c r="A710" s="351">
        <v>97717</v>
      </c>
      <c r="B710" s="344" t="s">
        <v>1408</v>
      </c>
      <c r="C710" s="360">
        <v>5.5999999999999997E-6</v>
      </c>
      <c r="E710" s="2">
        <v>2020</v>
      </c>
      <c r="F710" s="2">
        <v>3064</v>
      </c>
      <c r="G710" s="2">
        <v>1920</v>
      </c>
      <c r="H710" s="2">
        <v>833</v>
      </c>
      <c r="I710" s="2">
        <v>0</v>
      </c>
      <c r="J710" s="2"/>
      <c r="K710" s="2">
        <v>1038</v>
      </c>
      <c r="L710" s="2">
        <v>956</v>
      </c>
      <c r="M710" s="2">
        <v>532</v>
      </c>
      <c r="N710" s="2">
        <v>0</v>
      </c>
      <c r="O710" s="2">
        <v>0</v>
      </c>
      <c r="P710" s="2"/>
      <c r="Q710" s="2">
        <v>67</v>
      </c>
      <c r="R710" s="2">
        <v>941</v>
      </c>
      <c r="S710" s="2">
        <v>974</v>
      </c>
      <c r="T710" s="2">
        <v>833</v>
      </c>
      <c r="U710" s="2">
        <v>0</v>
      </c>
      <c r="V710" s="2"/>
      <c r="W710" s="2">
        <v>822</v>
      </c>
      <c r="X710" s="2">
        <v>667</v>
      </c>
      <c r="Y710" s="2">
        <v>0</v>
      </c>
      <c r="Z710" s="2">
        <v>0</v>
      </c>
      <c r="AA710" s="2">
        <v>0</v>
      </c>
      <c r="AB710" s="2"/>
      <c r="AC710" s="2">
        <v>518</v>
      </c>
      <c r="AD710" s="2">
        <v>518</v>
      </c>
      <c r="AE710" s="2">
        <v>434</v>
      </c>
      <c r="AF710" s="2">
        <v>0</v>
      </c>
      <c r="AG710" s="2">
        <v>0</v>
      </c>
      <c r="AH710" s="2"/>
      <c r="AI710" s="2">
        <v>-425</v>
      </c>
      <c r="AJ710" s="2">
        <v>-18</v>
      </c>
      <c r="AK710" s="2">
        <v>-20</v>
      </c>
      <c r="AL710" s="2">
        <v>0</v>
      </c>
      <c r="AM710" s="2">
        <v>-18</v>
      </c>
    </row>
    <row r="711" spans="1:39">
      <c r="A711" s="351">
        <v>97721</v>
      </c>
      <c r="B711" s="344" t="s">
        <v>1409</v>
      </c>
      <c r="C711" s="360">
        <v>5.2959999999999997E-4</v>
      </c>
      <c r="E711" s="2">
        <v>155113</v>
      </c>
      <c r="F711" s="2">
        <v>217311</v>
      </c>
      <c r="G711" s="2">
        <v>116309</v>
      </c>
      <c r="H711" s="2">
        <v>78816</v>
      </c>
      <c r="I711" s="2">
        <v>0</v>
      </c>
      <c r="J711" s="2"/>
      <c r="K711" s="2">
        <v>98193</v>
      </c>
      <c r="L711" s="2">
        <v>90453</v>
      </c>
      <c r="M711" s="2">
        <v>50343</v>
      </c>
      <c r="N711" s="2">
        <v>0</v>
      </c>
      <c r="O711" s="2">
        <v>0</v>
      </c>
      <c r="P711" s="2"/>
      <c r="Q711" s="2">
        <v>6365</v>
      </c>
      <c r="R711" s="2">
        <v>89028</v>
      </c>
      <c r="S711" s="2">
        <v>92107</v>
      </c>
      <c r="T711" s="2">
        <v>78816</v>
      </c>
      <c r="U711" s="2">
        <v>0</v>
      </c>
      <c r="V711" s="2"/>
      <c r="W711" s="2">
        <v>77733</v>
      </c>
      <c r="X711" s="2">
        <v>63106</v>
      </c>
      <c r="Y711" s="2">
        <v>0</v>
      </c>
      <c r="Z711" s="2">
        <v>0</v>
      </c>
      <c r="AA711" s="2">
        <v>0</v>
      </c>
      <c r="AB711" s="2"/>
      <c r="AC711" s="2">
        <v>866</v>
      </c>
      <c r="AD711" s="2">
        <v>868</v>
      </c>
      <c r="AE711" s="2">
        <v>0</v>
      </c>
      <c r="AF711" s="2">
        <v>0</v>
      </c>
      <c r="AG711" s="2">
        <v>0</v>
      </c>
      <c r="AH711" s="2"/>
      <c r="AI711" s="2">
        <v>-28044</v>
      </c>
      <c r="AJ711" s="2">
        <v>-26144</v>
      </c>
      <c r="AK711" s="2">
        <v>-26141</v>
      </c>
      <c r="AL711" s="2">
        <v>0</v>
      </c>
      <c r="AM711" s="2">
        <v>-26144</v>
      </c>
    </row>
    <row r="712" spans="1:39">
      <c r="A712" s="351">
        <v>97727</v>
      </c>
      <c r="B712" s="344" t="s">
        <v>1410</v>
      </c>
      <c r="C712" s="360">
        <v>1.6900000000000001E-5</v>
      </c>
      <c r="E712" s="2">
        <v>5751</v>
      </c>
      <c r="F712" s="2">
        <v>7731</v>
      </c>
      <c r="G712" s="2">
        <v>4693</v>
      </c>
      <c r="H712" s="2">
        <v>2515</v>
      </c>
      <c r="I712" s="2">
        <v>0</v>
      </c>
      <c r="J712" s="2"/>
      <c r="K712" s="2">
        <v>3133</v>
      </c>
      <c r="L712" s="2">
        <v>2886</v>
      </c>
      <c r="M712" s="2">
        <v>1606</v>
      </c>
      <c r="N712" s="2">
        <v>0</v>
      </c>
      <c r="O712" s="2">
        <v>0</v>
      </c>
      <c r="P712" s="2"/>
      <c r="Q712" s="2">
        <v>203</v>
      </c>
      <c r="R712" s="2">
        <v>2841</v>
      </c>
      <c r="S712" s="2">
        <v>2939</v>
      </c>
      <c r="T712" s="2">
        <v>2515</v>
      </c>
      <c r="U712" s="2">
        <v>0</v>
      </c>
      <c r="V712" s="2"/>
      <c r="W712" s="2">
        <v>2481</v>
      </c>
      <c r="X712" s="2">
        <v>2014</v>
      </c>
      <c r="Y712" s="2">
        <v>0</v>
      </c>
      <c r="Z712" s="2">
        <v>0</v>
      </c>
      <c r="AA712" s="2">
        <v>0</v>
      </c>
      <c r="AB712" s="2"/>
      <c r="AC712" s="2">
        <v>157</v>
      </c>
      <c r="AD712" s="2">
        <v>157</v>
      </c>
      <c r="AE712" s="2">
        <v>158</v>
      </c>
      <c r="AF712" s="2">
        <v>0</v>
      </c>
      <c r="AG712" s="2">
        <v>0</v>
      </c>
      <c r="AH712" s="2"/>
      <c r="AI712" s="2">
        <v>-223</v>
      </c>
      <c r="AJ712" s="2">
        <v>-167</v>
      </c>
      <c r="AK712" s="2">
        <v>-10</v>
      </c>
      <c r="AL712" s="2">
        <v>0</v>
      </c>
      <c r="AM712" s="2">
        <v>-167</v>
      </c>
    </row>
    <row r="713" spans="1:39">
      <c r="A713" s="351">
        <v>97731</v>
      </c>
      <c r="B713" s="344" t="s">
        <v>1411</v>
      </c>
      <c r="C713" s="360">
        <v>3.8300000000000003E-5</v>
      </c>
      <c r="E713" s="2">
        <v>15413</v>
      </c>
      <c r="F713" s="2">
        <v>19605</v>
      </c>
      <c r="G713" s="2">
        <v>12041</v>
      </c>
      <c r="H713" s="2">
        <v>5700</v>
      </c>
      <c r="I713" s="2">
        <v>0</v>
      </c>
      <c r="J713" s="2"/>
      <c r="K713" s="2">
        <v>7101</v>
      </c>
      <c r="L713" s="2">
        <v>6541</v>
      </c>
      <c r="M713" s="2">
        <v>3641</v>
      </c>
      <c r="N713" s="2">
        <v>0</v>
      </c>
      <c r="O713" s="2">
        <v>0</v>
      </c>
      <c r="P713" s="2"/>
      <c r="Q713" s="2">
        <v>460</v>
      </c>
      <c r="R713" s="2">
        <v>6438</v>
      </c>
      <c r="S713" s="2">
        <v>6661</v>
      </c>
      <c r="T713" s="2">
        <v>5700</v>
      </c>
      <c r="U713" s="2">
        <v>0</v>
      </c>
      <c r="V713" s="2"/>
      <c r="W713" s="2">
        <v>5622</v>
      </c>
      <c r="X713" s="2">
        <v>4564</v>
      </c>
      <c r="Y713" s="2">
        <v>0</v>
      </c>
      <c r="Z713" s="2">
        <v>0</v>
      </c>
      <c r="AA713" s="2">
        <v>0</v>
      </c>
      <c r="AB713" s="2"/>
      <c r="AC713" s="2">
        <v>2230</v>
      </c>
      <c r="AD713" s="2">
        <v>2062</v>
      </c>
      <c r="AE713" s="2">
        <v>1739</v>
      </c>
      <c r="AF713" s="2">
        <v>0</v>
      </c>
      <c r="AG713" s="2">
        <v>0</v>
      </c>
      <c r="AH713" s="2"/>
      <c r="AI713" s="2">
        <v>0</v>
      </c>
      <c r="AJ713" s="2">
        <v>0</v>
      </c>
      <c r="AK713" s="2">
        <v>0</v>
      </c>
      <c r="AL713" s="2">
        <v>0</v>
      </c>
      <c r="AM713" s="2">
        <v>0</v>
      </c>
    </row>
    <row r="714" spans="1:39">
      <c r="A714" s="351">
        <v>97801</v>
      </c>
      <c r="B714" s="344" t="s">
        <v>1412</v>
      </c>
      <c r="C714" s="360">
        <v>6.2462999999999998E-3</v>
      </c>
      <c r="E714" s="2">
        <v>2129147</v>
      </c>
      <c r="F714" s="2">
        <v>2908413</v>
      </c>
      <c r="G714" s="2">
        <v>1784306</v>
      </c>
      <c r="H714" s="2">
        <v>929587</v>
      </c>
      <c r="I714" s="2">
        <v>0</v>
      </c>
      <c r="J714" s="2"/>
      <c r="K714" s="2">
        <v>1158120</v>
      </c>
      <c r="L714" s="2">
        <v>1066831</v>
      </c>
      <c r="M714" s="2">
        <v>593761</v>
      </c>
      <c r="N714" s="2">
        <v>0</v>
      </c>
      <c r="O714" s="2">
        <v>0</v>
      </c>
      <c r="P714" s="2"/>
      <c r="Q714" s="2">
        <v>75074</v>
      </c>
      <c r="R714" s="2">
        <v>1050034</v>
      </c>
      <c r="S714" s="2">
        <v>1086344</v>
      </c>
      <c r="T714" s="2">
        <v>929587</v>
      </c>
      <c r="U714" s="2">
        <v>0</v>
      </c>
      <c r="V714" s="2"/>
      <c r="W714" s="2">
        <v>916807</v>
      </c>
      <c r="X714" s="2">
        <v>744290</v>
      </c>
      <c r="Y714" s="2">
        <v>0</v>
      </c>
      <c r="Z714" s="2">
        <v>0</v>
      </c>
      <c r="AA714" s="2">
        <v>0</v>
      </c>
      <c r="AB714" s="2"/>
      <c r="AC714" s="2">
        <v>181868</v>
      </c>
      <c r="AD714" s="2">
        <v>181868</v>
      </c>
      <c r="AE714" s="2">
        <v>181866</v>
      </c>
      <c r="AF714" s="2">
        <v>0</v>
      </c>
      <c r="AG714" s="2">
        <v>0</v>
      </c>
      <c r="AH714" s="2"/>
      <c r="AI714" s="2">
        <v>-202722</v>
      </c>
      <c r="AJ714" s="2">
        <v>-134610</v>
      </c>
      <c r="AK714" s="2">
        <v>-77665</v>
      </c>
      <c r="AL714" s="2">
        <v>0</v>
      </c>
      <c r="AM714" s="2">
        <v>-134610</v>
      </c>
    </row>
    <row r="715" spans="1:39">
      <c r="A715" s="351">
        <v>97802</v>
      </c>
      <c r="B715" s="344" t="s">
        <v>1413</v>
      </c>
      <c r="C715" s="360">
        <v>1.5880000000000001E-4</v>
      </c>
      <c r="E715" s="2">
        <v>44297</v>
      </c>
      <c r="F715" s="2">
        <v>65805</v>
      </c>
      <c r="G715" s="2">
        <v>32595</v>
      </c>
      <c r="H715" s="2">
        <v>23633</v>
      </c>
      <c r="I715" s="2">
        <v>0</v>
      </c>
      <c r="J715" s="2"/>
      <c r="K715" s="2">
        <v>29443</v>
      </c>
      <c r="L715" s="2">
        <v>27122</v>
      </c>
      <c r="M715" s="2">
        <v>15095</v>
      </c>
      <c r="N715" s="2">
        <v>0</v>
      </c>
      <c r="O715" s="2">
        <v>0</v>
      </c>
      <c r="P715" s="2"/>
      <c r="Q715" s="2">
        <v>1909</v>
      </c>
      <c r="R715" s="2">
        <v>26695</v>
      </c>
      <c r="S715" s="2">
        <v>27618</v>
      </c>
      <c r="T715" s="2">
        <v>23633</v>
      </c>
      <c r="U715" s="2">
        <v>0</v>
      </c>
      <c r="V715" s="2"/>
      <c r="W715" s="2">
        <v>23308</v>
      </c>
      <c r="X715" s="2">
        <v>18922</v>
      </c>
      <c r="Y715" s="2">
        <v>0</v>
      </c>
      <c r="Z715" s="2">
        <v>0</v>
      </c>
      <c r="AA715" s="2">
        <v>0</v>
      </c>
      <c r="AB715" s="2"/>
      <c r="AC715" s="2">
        <v>6412</v>
      </c>
      <c r="AD715" s="2">
        <v>6410</v>
      </c>
      <c r="AE715" s="2">
        <v>3225</v>
      </c>
      <c r="AF715" s="2">
        <v>0</v>
      </c>
      <c r="AG715" s="2">
        <v>0</v>
      </c>
      <c r="AH715" s="2"/>
      <c r="AI715" s="2">
        <v>-16775</v>
      </c>
      <c r="AJ715" s="2">
        <v>-13344</v>
      </c>
      <c r="AK715" s="2">
        <v>-13343</v>
      </c>
      <c r="AL715" s="2">
        <v>0</v>
      </c>
      <c r="AM715" s="2">
        <v>-13344</v>
      </c>
    </row>
    <row r="716" spans="1:39">
      <c r="A716" s="351">
        <v>97803</v>
      </c>
      <c r="B716" s="344" t="s">
        <v>1414</v>
      </c>
      <c r="C716" s="360">
        <v>7.2999999999999999E-5</v>
      </c>
      <c r="E716" s="2">
        <v>23998</v>
      </c>
      <c r="F716" s="2">
        <v>32210</v>
      </c>
      <c r="G716" s="2">
        <v>17405</v>
      </c>
      <c r="H716" s="2">
        <v>10864</v>
      </c>
      <c r="I716" s="2">
        <v>0</v>
      </c>
      <c r="J716" s="2"/>
      <c r="K716" s="2">
        <v>13535</v>
      </c>
      <c r="L716" s="2">
        <v>12468</v>
      </c>
      <c r="M716" s="2">
        <v>6939</v>
      </c>
      <c r="N716" s="2">
        <v>0</v>
      </c>
      <c r="O716" s="2">
        <v>0</v>
      </c>
      <c r="P716" s="2"/>
      <c r="Q716" s="2">
        <v>877</v>
      </c>
      <c r="R716" s="2">
        <v>12272</v>
      </c>
      <c r="S716" s="2">
        <v>12696</v>
      </c>
      <c r="T716" s="2">
        <v>10864</v>
      </c>
      <c r="U716" s="2">
        <v>0</v>
      </c>
      <c r="V716" s="2"/>
      <c r="W716" s="2">
        <v>10715</v>
      </c>
      <c r="X716" s="2">
        <v>8698</v>
      </c>
      <c r="Y716" s="2">
        <v>0</v>
      </c>
      <c r="Z716" s="2">
        <v>0</v>
      </c>
      <c r="AA716" s="2">
        <v>0</v>
      </c>
      <c r="AB716" s="2"/>
      <c r="AC716" s="2">
        <v>1100</v>
      </c>
      <c r="AD716" s="2">
        <v>1001</v>
      </c>
      <c r="AE716" s="2">
        <v>0</v>
      </c>
      <c r="AF716" s="2">
        <v>0</v>
      </c>
      <c r="AG716" s="2">
        <v>0</v>
      </c>
      <c r="AH716" s="2"/>
      <c r="AI716" s="2">
        <v>-2229</v>
      </c>
      <c r="AJ716" s="2">
        <v>-2229</v>
      </c>
      <c r="AK716" s="2">
        <v>-2230</v>
      </c>
      <c r="AL716" s="2">
        <v>0</v>
      </c>
      <c r="AM716" s="2">
        <v>-2229</v>
      </c>
    </row>
    <row r="717" spans="1:39">
      <c r="A717" s="351">
        <v>97805</v>
      </c>
      <c r="B717" s="344" t="s">
        <v>1415</v>
      </c>
      <c r="C717" s="360">
        <v>8.6299999999999997E-5</v>
      </c>
      <c r="E717" s="2">
        <v>31052</v>
      </c>
      <c r="F717" s="2">
        <v>40810</v>
      </c>
      <c r="G717" s="2">
        <v>23566</v>
      </c>
      <c r="H717" s="2">
        <v>12843</v>
      </c>
      <c r="I717" s="2">
        <v>0</v>
      </c>
      <c r="J717" s="2"/>
      <c r="K717" s="2">
        <v>16001</v>
      </c>
      <c r="L717" s="2">
        <v>14740</v>
      </c>
      <c r="M717" s="2">
        <v>8204</v>
      </c>
      <c r="N717" s="2">
        <v>0</v>
      </c>
      <c r="O717" s="2">
        <v>0</v>
      </c>
      <c r="P717" s="2"/>
      <c r="Q717" s="2">
        <v>1037</v>
      </c>
      <c r="R717" s="2">
        <v>14507</v>
      </c>
      <c r="S717" s="2">
        <v>15009</v>
      </c>
      <c r="T717" s="2">
        <v>12843</v>
      </c>
      <c r="U717" s="2">
        <v>0</v>
      </c>
      <c r="V717" s="2"/>
      <c r="W717" s="2">
        <v>12667</v>
      </c>
      <c r="X717" s="2">
        <v>10283</v>
      </c>
      <c r="Y717" s="2">
        <v>0</v>
      </c>
      <c r="Z717" s="2">
        <v>0</v>
      </c>
      <c r="AA717" s="2">
        <v>0</v>
      </c>
      <c r="AB717" s="2"/>
      <c r="AC717" s="2">
        <v>1814</v>
      </c>
      <c r="AD717" s="2">
        <v>1747</v>
      </c>
      <c r="AE717" s="2">
        <v>819</v>
      </c>
      <c r="AF717" s="2">
        <v>0</v>
      </c>
      <c r="AG717" s="2">
        <v>0</v>
      </c>
      <c r="AH717" s="2"/>
      <c r="AI717" s="2">
        <v>-467</v>
      </c>
      <c r="AJ717" s="2">
        <v>-467</v>
      </c>
      <c r="AK717" s="2">
        <v>-466</v>
      </c>
      <c r="AL717" s="2">
        <v>0</v>
      </c>
      <c r="AM717" s="2">
        <v>-467</v>
      </c>
    </row>
    <row r="718" spans="1:39">
      <c r="A718" s="351">
        <v>97811</v>
      </c>
      <c r="B718" s="344" t="s">
        <v>1416</v>
      </c>
      <c r="C718" s="360">
        <v>2.2964000000000001E-3</v>
      </c>
      <c r="E718" s="2">
        <v>744141</v>
      </c>
      <c r="F718" s="2">
        <v>1005871</v>
      </c>
      <c r="G718" s="2">
        <v>572804</v>
      </c>
      <c r="H718" s="2">
        <v>341755</v>
      </c>
      <c r="I718" s="2">
        <v>0</v>
      </c>
      <c r="J718" s="2"/>
      <c r="K718" s="2">
        <v>425773</v>
      </c>
      <c r="L718" s="2">
        <v>392211</v>
      </c>
      <c r="M718" s="2">
        <v>218291</v>
      </c>
      <c r="N718" s="2">
        <v>0</v>
      </c>
      <c r="O718" s="2">
        <v>0</v>
      </c>
      <c r="P718" s="2"/>
      <c r="Q718" s="2">
        <v>27600</v>
      </c>
      <c r="R718" s="2">
        <v>386036</v>
      </c>
      <c r="S718" s="2">
        <v>399385</v>
      </c>
      <c r="T718" s="2">
        <v>341755</v>
      </c>
      <c r="U718" s="2">
        <v>0</v>
      </c>
      <c r="V718" s="2"/>
      <c r="W718" s="2">
        <v>337056</v>
      </c>
      <c r="X718" s="2">
        <v>273632</v>
      </c>
      <c r="Y718" s="2">
        <v>0</v>
      </c>
      <c r="Z718" s="2">
        <v>0</v>
      </c>
      <c r="AA718" s="2">
        <v>0</v>
      </c>
      <c r="AB718" s="2"/>
      <c r="AC718" s="2">
        <v>0</v>
      </c>
      <c r="AD718" s="2">
        <v>0</v>
      </c>
      <c r="AE718" s="2">
        <v>0</v>
      </c>
      <c r="AF718" s="2">
        <v>0</v>
      </c>
      <c r="AG718" s="2">
        <v>0</v>
      </c>
      <c r="AH718" s="2"/>
      <c r="AI718" s="2">
        <v>-46288</v>
      </c>
      <c r="AJ718" s="2">
        <v>-46008</v>
      </c>
      <c r="AK718" s="2">
        <v>-44872</v>
      </c>
      <c r="AL718" s="2">
        <v>0</v>
      </c>
      <c r="AM718" s="2">
        <v>-46008</v>
      </c>
    </row>
    <row r="719" spans="1:39">
      <c r="A719" s="351">
        <v>97817</v>
      </c>
      <c r="B719" s="344" t="s">
        <v>1417</v>
      </c>
      <c r="C719" s="360">
        <v>1.9300000000000002E-5</v>
      </c>
      <c r="E719" s="2">
        <v>13721</v>
      </c>
      <c r="F719" s="2">
        <v>12080</v>
      </c>
      <c r="G719" s="2">
        <v>8169</v>
      </c>
      <c r="H719" s="2">
        <v>2872</v>
      </c>
      <c r="I719" s="2">
        <v>0</v>
      </c>
      <c r="J719" s="2"/>
      <c r="K719" s="2">
        <v>3578</v>
      </c>
      <c r="L719" s="2">
        <v>3296</v>
      </c>
      <c r="M719" s="2">
        <v>1835</v>
      </c>
      <c r="N719" s="2">
        <v>0</v>
      </c>
      <c r="O719" s="2">
        <v>0</v>
      </c>
      <c r="P719" s="2"/>
      <c r="Q719" s="2">
        <v>232</v>
      </c>
      <c r="R719" s="2">
        <v>3244</v>
      </c>
      <c r="S719" s="2">
        <v>3357</v>
      </c>
      <c r="T719" s="2">
        <v>2872</v>
      </c>
      <c r="U719" s="2">
        <v>0</v>
      </c>
      <c r="V719" s="2"/>
      <c r="W719" s="2">
        <v>2833</v>
      </c>
      <c r="X719" s="2">
        <v>2300</v>
      </c>
      <c r="Y719" s="2">
        <v>0</v>
      </c>
      <c r="Z719" s="2">
        <v>0</v>
      </c>
      <c r="AA719" s="2">
        <v>0</v>
      </c>
      <c r="AB719" s="2"/>
      <c r="AC719" s="2">
        <v>7078</v>
      </c>
      <c r="AD719" s="2">
        <v>3240</v>
      </c>
      <c r="AE719" s="2">
        <v>2977</v>
      </c>
      <c r="AF719" s="2">
        <v>0</v>
      </c>
      <c r="AG719" s="2">
        <v>0</v>
      </c>
      <c r="AH719" s="2"/>
      <c r="AI719" s="2">
        <v>0</v>
      </c>
      <c r="AJ719" s="2">
        <v>0</v>
      </c>
      <c r="AK719" s="2">
        <v>0</v>
      </c>
      <c r="AL719" s="2">
        <v>0</v>
      </c>
      <c r="AM719" s="2">
        <v>0</v>
      </c>
    </row>
    <row r="720" spans="1:39">
      <c r="A720" s="351">
        <v>97818</v>
      </c>
      <c r="B720" s="344" t="s">
        <v>2804</v>
      </c>
      <c r="C720" s="360">
        <v>1.6500000000000001E-5</v>
      </c>
      <c r="E720" s="2">
        <v>4227</v>
      </c>
      <c r="F720" s="2">
        <v>6032</v>
      </c>
      <c r="G720" s="2">
        <v>3160</v>
      </c>
      <c r="H720" s="2">
        <v>2456</v>
      </c>
      <c r="I720" s="2">
        <v>0</v>
      </c>
      <c r="J720" s="2"/>
      <c r="K720" s="2">
        <v>3059</v>
      </c>
      <c r="L720" s="2">
        <v>2818</v>
      </c>
      <c r="M720" s="2">
        <v>1568</v>
      </c>
      <c r="N720" s="2">
        <v>0</v>
      </c>
      <c r="O720" s="2">
        <v>0</v>
      </c>
      <c r="P720" s="2"/>
      <c r="Q720" s="2">
        <v>198</v>
      </c>
      <c r="R720" s="2">
        <v>2774</v>
      </c>
      <c r="S720" s="2">
        <v>2870</v>
      </c>
      <c r="T720" s="2">
        <v>2456</v>
      </c>
      <c r="U720" s="2">
        <v>0</v>
      </c>
      <c r="V720" s="2"/>
      <c r="W720" s="2">
        <v>2422</v>
      </c>
      <c r="X720" s="2">
        <v>1966</v>
      </c>
      <c r="Y720" s="2">
        <v>0</v>
      </c>
      <c r="Z720" s="2">
        <v>0</v>
      </c>
      <c r="AA720" s="2">
        <v>0</v>
      </c>
      <c r="AB720" s="2"/>
      <c r="AC720" s="2">
        <v>1019</v>
      </c>
      <c r="AD720" s="2">
        <v>944</v>
      </c>
      <c r="AE720" s="2">
        <v>946</v>
      </c>
      <c r="AF720" s="2">
        <v>0</v>
      </c>
      <c r="AG720" s="2">
        <v>0</v>
      </c>
      <c r="AH720" s="2"/>
      <c r="AI720" s="2">
        <v>-2471</v>
      </c>
      <c r="AJ720" s="2">
        <v>-2470</v>
      </c>
      <c r="AK720" s="2">
        <v>-2224</v>
      </c>
      <c r="AL720" s="2">
        <v>0</v>
      </c>
      <c r="AM720" s="2">
        <v>-2470</v>
      </c>
    </row>
    <row r="721" spans="1:39">
      <c r="A721" s="351">
        <v>97821</v>
      </c>
      <c r="B721" s="344" t="s">
        <v>1419</v>
      </c>
      <c r="C721" s="360">
        <v>1.038E-4</v>
      </c>
      <c r="E721" s="2">
        <v>35968</v>
      </c>
      <c r="F721" s="2">
        <v>46449</v>
      </c>
      <c r="G721" s="2">
        <v>24679</v>
      </c>
      <c r="H721" s="2">
        <v>15448</v>
      </c>
      <c r="I721" s="2">
        <v>0</v>
      </c>
      <c r="J721" s="2"/>
      <c r="K721" s="2">
        <v>19245</v>
      </c>
      <c r="L721" s="2">
        <v>17728</v>
      </c>
      <c r="M721" s="2">
        <v>9867</v>
      </c>
      <c r="N721" s="2">
        <v>0</v>
      </c>
      <c r="O721" s="2">
        <v>0</v>
      </c>
      <c r="P721" s="2"/>
      <c r="Q721" s="2">
        <v>1248</v>
      </c>
      <c r="R721" s="2">
        <v>17449</v>
      </c>
      <c r="S721" s="2">
        <v>18053</v>
      </c>
      <c r="T721" s="2">
        <v>15448</v>
      </c>
      <c r="U721" s="2">
        <v>0</v>
      </c>
      <c r="V721" s="2"/>
      <c r="W721" s="2">
        <v>15235</v>
      </c>
      <c r="X721" s="2">
        <v>12368</v>
      </c>
      <c r="Y721" s="2">
        <v>0</v>
      </c>
      <c r="Z721" s="2">
        <v>0</v>
      </c>
      <c r="AA721" s="2">
        <v>0</v>
      </c>
      <c r="AB721" s="2"/>
      <c r="AC721" s="2">
        <v>9353</v>
      </c>
      <c r="AD721" s="2">
        <v>8017</v>
      </c>
      <c r="AE721" s="2">
        <v>5870</v>
      </c>
      <c r="AF721" s="2">
        <v>0</v>
      </c>
      <c r="AG721" s="2">
        <v>0</v>
      </c>
      <c r="AH721" s="2"/>
      <c r="AI721" s="2">
        <v>-9113</v>
      </c>
      <c r="AJ721" s="2">
        <v>-9113</v>
      </c>
      <c r="AK721" s="2">
        <v>-9111</v>
      </c>
      <c r="AL721" s="2">
        <v>0</v>
      </c>
      <c r="AM721" s="2">
        <v>-9113</v>
      </c>
    </row>
    <row r="722" spans="1:39">
      <c r="A722" s="351">
        <v>97823</v>
      </c>
      <c r="B722" s="344" t="s">
        <v>1420</v>
      </c>
      <c r="C722" s="360">
        <v>1.91E-5</v>
      </c>
      <c r="E722" s="2">
        <v>9465</v>
      </c>
      <c r="F722" s="2">
        <v>11381</v>
      </c>
      <c r="G722" s="2">
        <v>8294</v>
      </c>
      <c r="H722" s="2">
        <v>2843</v>
      </c>
      <c r="I722" s="2">
        <v>0</v>
      </c>
      <c r="J722" s="2"/>
      <c r="K722" s="2">
        <v>3541</v>
      </c>
      <c r="L722" s="2">
        <v>3262</v>
      </c>
      <c r="M722" s="2">
        <v>1816</v>
      </c>
      <c r="N722" s="2">
        <v>0</v>
      </c>
      <c r="O722" s="2">
        <v>0</v>
      </c>
      <c r="P722" s="2"/>
      <c r="Q722" s="2">
        <v>230</v>
      </c>
      <c r="R722" s="2">
        <v>3211</v>
      </c>
      <c r="S722" s="2">
        <v>3322</v>
      </c>
      <c r="T722" s="2">
        <v>2843</v>
      </c>
      <c r="U722" s="2">
        <v>0</v>
      </c>
      <c r="V722" s="2"/>
      <c r="W722" s="2">
        <v>2803</v>
      </c>
      <c r="X722" s="2">
        <v>2276</v>
      </c>
      <c r="Y722" s="2">
        <v>0</v>
      </c>
      <c r="Z722" s="2">
        <v>0</v>
      </c>
      <c r="AA722" s="2">
        <v>0</v>
      </c>
      <c r="AB722" s="2"/>
      <c r="AC722" s="2">
        <v>3418</v>
      </c>
      <c r="AD722" s="2">
        <v>3157</v>
      </c>
      <c r="AE722" s="2">
        <v>3156</v>
      </c>
      <c r="AF722" s="2">
        <v>0</v>
      </c>
      <c r="AG722" s="2">
        <v>0</v>
      </c>
      <c r="AH722" s="2"/>
      <c r="AI722" s="2">
        <v>-527</v>
      </c>
      <c r="AJ722" s="2">
        <v>-525</v>
      </c>
      <c r="AK722" s="2">
        <v>0</v>
      </c>
      <c r="AL722" s="2">
        <v>0</v>
      </c>
      <c r="AM722" s="2">
        <v>-525</v>
      </c>
    </row>
    <row r="723" spans="1:39">
      <c r="A723" s="351">
        <v>97831</v>
      </c>
      <c r="B723" s="344" t="s">
        <v>1421</v>
      </c>
      <c r="C723" s="360">
        <v>1.8760000000000001E-4</v>
      </c>
      <c r="E723" s="2">
        <v>83797</v>
      </c>
      <c r="F723" s="2">
        <v>101338</v>
      </c>
      <c r="G723" s="2">
        <v>66692</v>
      </c>
      <c r="H723" s="2">
        <v>27919</v>
      </c>
      <c r="I723" s="2">
        <v>0</v>
      </c>
      <c r="J723" s="2"/>
      <c r="K723" s="2">
        <v>34783</v>
      </c>
      <c r="L723" s="2">
        <v>32041</v>
      </c>
      <c r="M723" s="2">
        <v>17833</v>
      </c>
      <c r="N723" s="2">
        <v>0</v>
      </c>
      <c r="O723" s="2">
        <v>0</v>
      </c>
      <c r="P723" s="2"/>
      <c r="Q723" s="2">
        <v>2255</v>
      </c>
      <c r="R723" s="2">
        <v>31536</v>
      </c>
      <c r="S723" s="2">
        <v>32627</v>
      </c>
      <c r="T723" s="2">
        <v>27919</v>
      </c>
      <c r="U723" s="2">
        <v>0</v>
      </c>
      <c r="V723" s="2"/>
      <c r="W723" s="2">
        <v>27535</v>
      </c>
      <c r="X723" s="2">
        <v>22354</v>
      </c>
      <c r="Y723" s="2">
        <v>0</v>
      </c>
      <c r="Z723" s="2">
        <v>0</v>
      </c>
      <c r="AA723" s="2">
        <v>0</v>
      </c>
      <c r="AB723" s="2"/>
      <c r="AC723" s="2">
        <v>20050</v>
      </c>
      <c r="AD723" s="2">
        <v>16233</v>
      </c>
      <c r="AE723" s="2">
        <v>16232</v>
      </c>
      <c r="AF723" s="2">
        <v>0</v>
      </c>
      <c r="AG723" s="2">
        <v>0</v>
      </c>
      <c r="AH723" s="2"/>
      <c r="AI723" s="2">
        <v>-826</v>
      </c>
      <c r="AJ723" s="2">
        <v>-826</v>
      </c>
      <c r="AK723" s="2">
        <v>0</v>
      </c>
      <c r="AL723" s="2">
        <v>0</v>
      </c>
      <c r="AM723" s="2">
        <v>-826</v>
      </c>
    </row>
    <row r="724" spans="1:39">
      <c r="A724" s="351">
        <v>97837</v>
      </c>
      <c r="B724" s="344" t="s">
        <v>3698</v>
      </c>
      <c r="C724" s="360">
        <v>8.4999999999999999E-6</v>
      </c>
      <c r="E724" s="2">
        <v>3133</v>
      </c>
      <c r="F724" s="2">
        <v>3592</v>
      </c>
      <c r="G724" s="2">
        <v>1633</v>
      </c>
      <c r="H724" s="2">
        <v>1265</v>
      </c>
      <c r="I724" s="2">
        <v>0</v>
      </c>
      <c r="J724" s="2"/>
      <c r="K724" s="2">
        <v>1576</v>
      </c>
      <c r="L724" s="2">
        <v>1452</v>
      </c>
      <c r="M724" s="2">
        <v>808</v>
      </c>
      <c r="N724" s="2">
        <v>0</v>
      </c>
      <c r="O724" s="2">
        <v>0</v>
      </c>
      <c r="P724" s="2"/>
      <c r="Q724" s="2">
        <v>102</v>
      </c>
      <c r="R724" s="2">
        <v>1429</v>
      </c>
      <c r="S724" s="2">
        <v>1478</v>
      </c>
      <c r="T724" s="2">
        <v>1265</v>
      </c>
      <c r="U724" s="2">
        <v>0</v>
      </c>
      <c r="V724" s="2"/>
      <c r="W724" s="2">
        <v>1248</v>
      </c>
      <c r="X724" s="2">
        <v>1013</v>
      </c>
      <c r="Y724" s="2">
        <v>0</v>
      </c>
      <c r="Z724" s="2">
        <v>0</v>
      </c>
      <c r="AA724" s="2">
        <v>0</v>
      </c>
      <c r="AB724" s="2"/>
      <c r="AC724" s="2">
        <v>1008</v>
      </c>
      <c r="AD724" s="2">
        <v>499</v>
      </c>
      <c r="AE724" s="2">
        <v>148</v>
      </c>
      <c r="AF724" s="2">
        <v>0</v>
      </c>
      <c r="AG724" s="2">
        <v>0</v>
      </c>
      <c r="AH724" s="2"/>
      <c r="AI724" s="2">
        <v>-801</v>
      </c>
      <c r="AJ724" s="2">
        <v>-801</v>
      </c>
      <c r="AK724" s="2">
        <v>-801</v>
      </c>
      <c r="AL724" s="2">
        <v>0</v>
      </c>
      <c r="AM724" s="2">
        <v>-801</v>
      </c>
    </row>
    <row r="725" spans="1:39">
      <c r="A725" s="351">
        <v>97840</v>
      </c>
      <c r="B725" s="344" t="s">
        <v>1423</v>
      </c>
      <c r="C725" s="360">
        <v>1.3219999999999999E-4</v>
      </c>
      <c r="E725" s="2">
        <v>81457</v>
      </c>
      <c r="F725" s="2">
        <v>88467</v>
      </c>
      <c r="G725" s="2">
        <v>52884</v>
      </c>
      <c r="H725" s="2">
        <v>19674</v>
      </c>
      <c r="I725" s="2">
        <v>0</v>
      </c>
      <c r="J725" s="2"/>
      <c r="K725" s="2">
        <v>24511</v>
      </c>
      <c r="L725" s="2">
        <v>22579</v>
      </c>
      <c r="M725" s="2">
        <v>12567</v>
      </c>
      <c r="N725" s="2">
        <v>0</v>
      </c>
      <c r="O725" s="2">
        <v>0</v>
      </c>
      <c r="P725" s="2"/>
      <c r="Q725" s="2">
        <v>1589</v>
      </c>
      <c r="R725" s="2">
        <v>22223</v>
      </c>
      <c r="S725" s="2">
        <v>22992</v>
      </c>
      <c r="T725" s="2">
        <v>19674</v>
      </c>
      <c r="U725" s="2">
        <v>0</v>
      </c>
      <c r="V725" s="2"/>
      <c r="W725" s="2">
        <v>19404</v>
      </c>
      <c r="X725" s="2">
        <v>15753</v>
      </c>
      <c r="Y725" s="2">
        <v>0</v>
      </c>
      <c r="Z725" s="2">
        <v>0</v>
      </c>
      <c r="AA725" s="2">
        <v>0</v>
      </c>
      <c r="AB725" s="2"/>
      <c r="AC725" s="2">
        <v>35953</v>
      </c>
      <c r="AD725" s="2">
        <v>27912</v>
      </c>
      <c r="AE725" s="2">
        <v>17325</v>
      </c>
      <c r="AF725" s="2">
        <v>0</v>
      </c>
      <c r="AG725" s="2">
        <v>0</v>
      </c>
      <c r="AH725" s="2"/>
      <c r="AI725" s="2">
        <v>0</v>
      </c>
      <c r="AJ725" s="2">
        <v>0</v>
      </c>
      <c r="AK725" s="2">
        <v>0</v>
      </c>
      <c r="AL725" s="2">
        <v>0</v>
      </c>
      <c r="AM725" s="2">
        <v>0</v>
      </c>
    </row>
    <row r="726" spans="1:39">
      <c r="A726" s="351">
        <v>97841</v>
      </c>
      <c r="B726" s="344" t="s">
        <v>1424</v>
      </c>
      <c r="C726" s="360">
        <v>1.4100000000000001E-5</v>
      </c>
      <c r="E726" s="2">
        <v>5194</v>
      </c>
      <c r="F726" s="2">
        <v>6952</v>
      </c>
      <c r="G726" s="2">
        <v>4303</v>
      </c>
      <c r="H726" s="2">
        <v>2098</v>
      </c>
      <c r="I726" s="2">
        <v>0</v>
      </c>
      <c r="J726" s="2"/>
      <c r="K726" s="2">
        <v>2614</v>
      </c>
      <c r="L726" s="2">
        <v>2408</v>
      </c>
      <c r="M726" s="2">
        <v>1340</v>
      </c>
      <c r="N726" s="2">
        <v>0</v>
      </c>
      <c r="O726" s="2">
        <v>0</v>
      </c>
      <c r="P726" s="2"/>
      <c r="Q726" s="2">
        <v>169</v>
      </c>
      <c r="R726" s="2">
        <v>2370</v>
      </c>
      <c r="S726" s="2">
        <v>2452</v>
      </c>
      <c r="T726" s="2">
        <v>2098</v>
      </c>
      <c r="U726" s="2">
        <v>0</v>
      </c>
      <c r="V726" s="2"/>
      <c r="W726" s="2">
        <v>2070</v>
      </c>
      <c r="X726" s="2">
        <v>1680</v>
      </c>
      <c r="Y726" s="2">
        <v>0</v>
      </c>
      <c r="Z726" s="2">
        <v>0</v>
      </c>
      <c r="AA726" s="2">
        <v>0</v>
      </c>
      <c r="AB726" s="2"/>
      <c r="AC726" s="2">
        <v>510</v>
      </c>
      <c r="AD726" s="2">
        <v>510</v>
      </c>
      <c r="AE726" s="2">
        <v>511</v>
      </c>
      <c r="AF726" s="2">
        <v>0</v>
      </c>
      <c r="AG726" s="2">
        <v>0</v>
      </c>
      <c r="AH726" s="2"/>
      <c r="AI726" s="2">
        <v>-169</v>
      </c>
      <c r="AJ726" s="2">
        <v>-16</v>
      </c>
      <c r="AK726" s="2">
        <v>0</v>
      </c>
      <c r="AL726" s="2">
        <v>0</v>
      </c>
      <c r="AM726" s="2">
        <v>-16</v>
      </c>
    </row>
    <row r="727" spans="1:39">
      <c r="A727" s="351">
        <v>97847</v>
      </c>
      <c r="B727" s="344" t="s">
        <v>1425</v>
      </c>
      <c r="C727" s="360">
        <v>1.7999999999999999E-6</v>
      </c>
      <c r="E727" s="2">
        <v>1975</v>
      </c>
      <c r="F727" s="2">
        <v>1935</v>
      </c>
      <c r="G727" s="2">
        <v>1341</v>
      </c>
      <c r="H727" s="2">
        <v>268</v>
      </c>
      <c r="I727" s="2">
        <v>0</v>
      </c>
      <c r="J727" s="2"/>
      <c r="K727" s="2">
        <v>334</v>
      </c>
      <c r="L727" s="2">
        <v>307</v>
      </c>
      <c r="M727" s="2">
        <v>171</v>
      </c>
      <c r="N727" s="2">
        <v>0</v>
      </c>
      <c r="O727" s="2">
        <v>0</v>
      </c>
      <c r="P727" s="2"/>
      <c r="Q727" s="2">
        <v>22</v>
      </c>
      <c r="R727" s="2">
        <v>303</v>
      </c>
      <c r="S727" s="2">
        <v>313</v>
      </c>
      <c r="T727" s="2">
        <v>268</v>
      </c>
      <c r="U727" s="2">
        <v>0</v>
      </c>
      <c r="V727" s="2"/>
      <c r="W727" s="2">
        <v>264</v>
      </c>
      <c r="X727" s="2">
        <v>214</v>
      </c>
      <c r="Y727" s="2">
        <v>0</v>
      </c>
      <c r="Z727" s="2">
        <v>0</v>
      </c>
      <c r="AA727" s="2">
        <v>0</v>
      </c>
      <c r="AB727" s="2"/>
      <c r="AC727" s="2">
        <v>1355</v>
      </c>
      <c r="AD727" s="2">
        <v>1111</v>
      </c>
      <c r="AE727" s="2">
        <v>857</v>
      </c>
      <c r="AF727" s="2">
        <v>0</v>
      </c>
      <c r="AG727" s="2">
        <v>0</v>
      </c>
      <c r="AH727" s="2"/>
      <c r="AI727" s="2">
        <v>0</v>
      </c>
      <c r="AJ727" s="2">
        <v>0</v>
      </c>
      <c r="AK727" s="2">
        <v>0</v>
      </c>
      <c r="AL727" s="2">
        <v>0</v>
      </c>
      <c r="AM727" s="2">
        <v>0</v>
      </c>
    </row>
    <row r="728" spans="1:39">
      <c r="A728" s="351">
        <v>97851</v>
      </c>
      <c r="B728" s="344" t="s">
        <v>1426</v>
      </c>
      <c r="C728" s="360">
        <v>2.5589999999999999E-4</v>
      </c>
      <c r="E728" s="2">
        <v>66007</v>
      </c>
      <c r="F728" s="2">
        <v>96813</v>
      </c>
      <c r="G728" s="2">
        <v>52576</v>
      </c>
      <c r="H728" s="2">
        <v>38084</v>
      </c>
      <c r="I728" s="2">
        <v>0</v>
      </c>
      <c r="J728" s="2"/>
      <c r="K728" s="2">
        <v>47446</v>
      </c>
      <c r="L728" s="2">
        <v>43706</v>
      </c>
      <c r="M728" s="2">
        <v>24325</v>
      </c>
      <c r="N728" s="2">
        <v>0</v>
      </c>
      <c r="O728" s="2">
        <v>0</v>
      </c>
      <c r="P728" s="2"/>
      <c r="Q728" s="2">
        <v>3076</v>
      </c>
      <c r="R728" s="2">
        <v>43018</v>
      </c>
      <c r="S728" s="2">
        <v>44506</v>
      </c>
      <c r="T728" s="2">
        <v>38084</v>
      </c>
      <c r="U728" s="2">
        <v>0</v>
      </c>
      <c r="V728" s="2"/>
      <c r="W728" s="2">
        <v>37560</v>
      </c>
      <c r="X728" s="2">
        <v>30492</v>
      </c>
      <c r="Y728" s="2">
        <v>0</v>
      </c>
      <c r="Z728" s="2">
        <v>0</v>
      </c>
      <c r="AA728" s="2">
        <v>0</v>
      </c>
      <c r="AB728" s="2"/>
      <c r="AC728" s="2">
        <v>0</v>
      </c>
      <c r="AD728" s="2">
        <v>0</v>
      </c>
      <c r="AE728" s="2">
        <v>0</v>
      </c>
      <c r="AF728" s="2">
        <v>0</v>
      </c>
      <c r="AG728" s="2">
        <v>0</v>
      </c>
      <c r="AH728" s="2"/>
      <c r="AI728" s="2">
        <v>-22075</v>
      </c>
      <c r="AJ728" s="2">
        <v>-20403</v>
      </c>
      <c r="AK728" s="2">
        <v>-16255</v>
      </c>
      <c r="AL728" s="2">
        <v>0</v>
      </c>
      <c r="AM728" s="2">
        <v>-20403</v>
      </c>
    </row>
    <row r="729" spans="1:39">
      <c r="A729" s="351">
        <v>97853</v>
      </c>
      <c r="B729" s="344" t="s">
        <v>1427</v>
      </c>
      <c r="C729" s="360">
        <v>7.6600000000000005E-5</v>
      </c>
      <c r="E729" s="2">
        <v>19301</v>
      </c>
      <c r="F729" s="2">
        <v>26768</v>
      </c>
      <c r="G729" s="2">
        <v>15203</v>
      </c>
      <c r="H729" s="2">
        <v>11400</v>
      </c>
      <c r="I729" s="2">
        <v>0</v>
      </c>
      <c r="J729" s="2"/>
      <c r="K729" s="2">
        <v>14202</v>
      </c>
      <c r="L729" s="2">
        <v>13083</v>
      </c>
      <c r="M729" s="2">
        <v>7281</v>
      </c>
      <c r="N729" s="2">
        <v>0</v>
      </c>
      <c r="O729" s="2">
        <v>0</v>
      </c>
      <c r="P729" s="2"/>
      <c r="Q729" s="2">
        <v>921</v>
      </c>
      <c r="R729" s="2">
        <v>12877</v>
      </c>
      <c r="S729" s="2">
        <v>13322</v>
      </c>
      <c r="T729" s="2">
        <v>11400</v>
      </c>
      <c r="U729" s="2">
        <v>0</v>
      </c>
      <c r="V729" s="2"/>
      <c r="W729" s="2">
        <v>11243</v>
      </c>
      <c r="X729" s="2">
        <v>9127</v>
      </c>
      <c r="Y729" s="2">
        <v>0</v>
      </c>
      <c r="Z729" s="2">
        <v>0</v>
      </c>
      <c r="AA729" s="2">
        <v>0</v>
      </c>
      <c r="AB729" s="2"/>
      <c r="AC729" s="2">
        <v>1253</v>
      </c>
      <c r="AD729" s="2">
        <v>0</v>
      </c>
      <c r="AE729" s="2">
        <v>0</v>
      </c>
      <c r="AF729" s="2">
        <v>0</v>
      </c>
      <c r="AG729" s="2">
        <v>0</v>
      </c>
      <c r="AH729" s="2"/>
      <c r="AI729" s="2">
        <v>-8318</v>
      </c>
      <c r="AJ729" s="2">
        <v>-8319</v>
      </c>
      <c r="AK729" s="2">
        <v>-5400</v>
      </c>
      <c r="AL729" s="2">
        <v>0</v>
      </c>
      <c r="AM729" s="2">
        <v>-8319</v>
      </c>
    </row>
    <row r="730" spans="1:39">
      <c r="A730" s="351">
        <v>97861</v>
      </c>
      <c r="B730" s="344" t="s">
        <v>1428</v>
      </c>
      <c r="C730" s="360">
        <v>4.4700000000000002E-5</v>
      </c>
      <c r="E730" s="2">
        <v>15518</v>
      </c>
      <c r="F730" s="2">
        <v>21503</v>
      </c>
      <c r="G730" s="2">
        <v>16183</v>
      </c>
      <c r="H730" s="2">
        <v>6652</v>
      </c>
      <c r="I730" s="2">
        <v>0</v>
      </c>
      <c r="J730" s="2"/>
      <c r="K730" s="2">
        <v>8288</v>
      </c>
      <c r="L730" s="2">
        <v>7634</v>
      </c>
      <c r="M730" s="2">
        <v>4249</v>
      </c>
      <c r="N730" s="2">
        <v>0</v>
      </c>
      <c r="O730" s="2">
        <v>0</v>
      </c>
      <c r="P730" s="2"/>
      <c r="Q730" s="2">
        <v>537</v>
      </c>
      <c r="R730" s="2">
        <v>7514</v>
      </c>
      <c r="S730" s="2">
        <v>7774</v>
      </c>
      <c r="T730" s="2">
        <v>6652</v>
      </c>
      <c r="U730" s="2">
        <v>0</v>
      </c>
      <c r="V730" s="2"/>
      <c r="W730" s="2">
        <v>6561</v>
      </c>
      <c r="X730" s="2">
        <v>5326</v>
      </c>
      <c r="Y730" s="2">
        <v>0</v>
      </c>
      <c r="Z730" s="2">
        <v>0</v>
      </c>
      <c r="AA730" s="2">
        <v>0</v>
      </c>
      <c r="AB730" s="2"/>
      <c r="AC730" s="2">
        <v>4162</v>
      </c>
      <c r="AD730" s="2">
        <v>4162</v>
      </c>
      <c r="AE730" s="2">
        <v>4160</v>
      </c>
      <c r="AF730" s="2">
        <v>0</v>
      </c>
      <c r="AG730" s="2">
        <v>0</v>
      </c>
      <c r="AH730" s="2"/>
      <c r="AI730" s="2">
        <v>-4030</v>
      </c>
      <c r="AJ730" s="2">
        <v>-3133</v>
      </c>
      <c r="AK730" s="2">
        <v>0</v>
      </c>
      <c r="AL730" s="2">
        <v>0</v>
      </c>
      <c r="AM730" s="2">
        <v>-3133</v>
      </c>
    </row>
    <row r="731" spans="1:39">
      <c r="A731" s="351">
        <v>97871</v>
      </c>
      <c r="B731" s="344" t="s">
        <v>1429</v>
      </c>
      <c r="C731" s="360">
        <v>2.6209999999999997E-4</v>
      </c>
      <c r="E731" s="2">
        <v>161635</v>
      </c>
      <c r="F731" s="2">
        <v>166854</v>
      </c>
      <c r="G731" s="2">
        <v>86638</v>
      </c>
      <c r="H731" s="2">
        <v>39006</v>
      </c>
      <c r="I731" s="2">
        <v>0</v>
      </c>
      <c r="J731" s="2"/>
      <c r="K731" s="2">
        <v>48596</v>
      </c>
      <c r="L731" s="2">
        <v>44765</v>
      </c>
      <c r="M731" s="2">
        <v>24915</v>
      </c>
      <c r="N731" s="2">
        <v>0</v>
      </c>
      <c r="O731" s="2">
        <v>0</v>
      </c>
      <c r="P731" s="2"/>
      <c r="Q731" s="2">
        <v>3150</v>
      </c>
      <c r="R731" s="2">
        <v>44060</v>
      </c>
      <c r="S731" s="2">
        <v>45584</v>
      </c>
      <c r="T731" s="2">
        <v>39006</v>
      </c>
      <c r="U731" s="2">
        <v>0</v>
      </c>
      <c r="V731" s="2"/>
      <c r="W731" s="2">
        <v>38470</v>
      </c>
      <c r="X731" s="2">
        <v>31231</v>
      </c>
      <c r="Y731" s="2">
        <v>0</v>
      </c>
      <c r="Z731" s="2">
        <v>0</v>
      </c>
      <c r="AA731" s="2">
        <v>0</v>
      </c>
      <c r="AB731" s="2"/>
      <c r="AC731" s="2">
        <v>82279</v>
      </c>
      <c r="AD731" s="2">
        <v>57658</v>
      </c>
      <c r="AE731" s="2">
        <v>26999</v>
      </c>
      <c r="AF731" s="2">
        <v>0</v>
      </c>
      <c r="AG731" s="2">
        <v>0</v>
      </c>
      <c r="AH731" s="2"/>
      <c r="AI731" s="2">
        <v>-10860</v>
      </c>
      <c r="AJ731" s="2">
        <v>-10860</v>
      </c>
      <c r="AK731" s="2">
        <v>-10860</v>
      </c>
      <c r="AL731" s="2">
        <v>0</v>
      </c>
      <c r="AM731" s="2">
        <v>-10860</v>
      </c>
    </row>
    <row r="732" spans="1:39">
      <c r="A732" s="351">
        <v>97877</v>
      </c>
      <c r="B732" s="344" t="s">
        <v>1430</v>
      </c>
      <c r="C732" s="360">
        <v>8.8999999999999995E-6</v>
      </c>
      <c r="E732" s="2">
        <v>5758</v>
      </c>
      <c r="F732" s="2">
        <v>6574</v>
      </c>
      <c r="G732" s="2">
        <v>4531</v>
      </c>
      <c r="H732" s="2">
        <v>1325</v>
      </c>
      <c r="I732" s="2">
        <v>0</v>
      </c>
      <c r="J732" s="2"/>
      <c r="K732" s="2">
        <v>1650</v>
      </c>
      <c r="L732" s="2">
        <v>1520</v>
      </c>
      <c r="M732" s="2">
        <v>846</v>
      </c>
      <c r="N732" s="2">
        <v>0</v>
      </c>
      <c r="O732" s="2">
        <v>0</v>
      </c>
      <c r="P732" s="2"/>
      <c r="Q732" s="2">
        <v>107</v>
      </c>
      <c r="R732" s="2">
        <v>1496</v>
      </c>
      <c r="S732" s="2">
        <v>1548</v>
      </c>
      <c r="T732" s="2">
        <v>1325</v>
      </c>
      <c r="U732" s="2">
        <v>0</v>
      </c>
      <c r="V732" s="2"/>
      <c r="W732" s="2">
        <v>1306</v>
      </c>
      <c r="X732" s="2">
        <v>1060</v>
      </c>
      <c r="Y732" s="2">
        <v>0</v>
      </c>
      <c r="Z732" s="2">
        <v>0</v>
      </c>
      <c r="AA732" s="2">
        <v>0</v>
      </c>
      <c r="AB732" s="2"/>
      <c r="AC732" s="2">
        <v>2695</v>
      </c>
      <c r="AD732" s="2">
        <v>2498</v>
      </c>
      <c r="AE732" s="2">
        <v>2137</v>
      </c>
      <c r="AF732" s="2">
        <v>0</v>
      </c>
      <c r="AG732" s="2">
        <v>0</v>
      </c>
      <c r="AH732" s="2"/>
      <c r="AI732" s="2">
        <v>0</v>
      </c>
      <c r="AJ732" s="2">
        <v>0</v>
      </c>
      <c r="AK732" s="2">
        <v>0</v>
      </c>
      <c r="AL732" s="2">
        <v>0</v>
      </c>
      <c r="AM732" s="2">
        <v>0</v>
      </c>
    </row>
    <row r="733" spans="1:39">
      <c r="A733" s="351">
        <v>97901</v>
      </c>
      <c r="B733" s="344" t="s">
        <v>1431</v>
      </c>
      <c r="C733" s="360">
        <v>3.8295999999999998E-3</v>
      </c>
      <c r="E733" s="2">
        <v>1202426</v>
      </c>
      <c r="F733" s="2">
        <v>1627975</v>
      </c>
      <c r="G733" s="2">
        <v>908533</v>
      </c>
      <c r="H733" s="2">
        <v>569929</v>
      </c>
      <c r="I733" s="2">
        <v>0</v>
      </c>
      <c r="J733" s="2"/>
      <c r="K733" s="2">
        <v>710042</v>
      </c>
      <c r="L733" s="2">
        <v>654073</v>
      </c>
      <c r="M733" s="2">
        <v>364034</v>
      </c>
      <c r="N733" s="2">
        <v>0</v>
      </c>
      <c r="O733" s="2">
        <v>0</v>
      </c>
      <c r="P733" s="2"/>
      <c r="Q733" s="2">
        <v>46028</v>
      </c>
      <c r="R733" s="2">
        <v>643775</v>
      </c>
      <c r="S733" s="2">
        <v>666036</v>
      </c>
      <c r="T733" s="2">
        <v>569929</v>
      </c>
      <c r="U733" s="2">
        <v>0</v>
      </c>
      <c r="V733" s="2"/>
      <c r="W733" s="2">
        <v>562093</v>
      </c>
      <c r="X733" s="2">
        <v>456324</v>
      </c>
      <c r="Y733" s="2">
        <v>0</v>
      </c>
      <c r="Z733" s="2">
        <v>0</v>
      </c>
      <c r="AA733" s="2">
        <v>0</v>
      </c>
      <c r="AB733" s="2"/>
      <c r="AC733" s="2">
        <v>10460</v>
      </c>
      <c r="AD733" s="2">
        <v>0</v>
      </c>
      <c r="AE733" s="2">
        <v>0</v>
      </c>
      <c r="AF733" s="2">
        <v>0</v>
      </c>
      <c r="AG733" s="2">
        <v>0</v>
      </c>
      <c r="AH733" s="2"/>
      <c r="AI733" s="2">
        <v>-126197</v>
      </c>
      <c r="AJ733" s="2">
        <v>-126197</v>
      </c>
      <c r="AK733" s="2">
        <v>-121537</v>
      </c>
      <c r="AL733" s="2">
        <v>0</v>
      </c>
      <c r="AM733" s="2">
        <v>-126197</v>
      </c>
    </row>
    <row r="734" spans="1:39">
      <c r="A734" s="351">
        <v>97911</v>
      </c>
      <c r="B734" s="344" t="s">
        <v>1432</v>
      </c>
      <c r="C734" s="360">
        <v>1.2029E-3</v>
      </c>
      <c r="E734" s="2">
        <v>422369</v>
      </c>
      <c r="F734" s="2">
        <v>559177</v>
      </c>
      <c r="G734" s="2">
        <v>331592</v>
      </c>
      <c r="H734" s="2">
        <v>179018</v>
      </c>
      <c r="I734" s="2">
        <v>0</v>
      </c>
      <c r="J734" s="2"/>
      <c r="K734" s="2">
        <v>223028</v>
      </c>
      <c r="L734" s="2">
        <v>205448</v>
      </c>
      <c r="M734" s="2">
        <v>114345</v>
      </c>
      <c r="N734" s="2">
        <v>0</v>
      </c>
      <c r="O734" s="2">
        <v>0</v>
      </c>
      <c r="P734" s="2"/>
      <c r="Q734" s="2">
        <v>14458</v>
      </c>
      <c r="R734" s="2">
        <v>202214</v>
      </c>
      <c r="S734" s="2">
        <v>209206</v>
      </c>
      <c r="T734" s="2">
        <v>179018</v>
      </c>
      <c r="U734" s="2">
        <v>0</v>
      </c>
      <c r="V734" s="2"/>
      <c r="W734" s="2">
        <v>176557</v>
      </c>
      <c r="X734" s="2">
        <v>143334</v>
      </c>
      <c r="Y734" s="2">
        <v>0</v>
      </c>
      <c r="Z734" s="2">
        <v>0</v>
      </c>
      <c r="AA734" s="2">
        <v>0</v>
      </c>
      <c r="AB734" s="2"/>
      <c r="AC734" s="2">
        <v>14280</v>
      </c>
      <c r="AD734" s="2">
        <v>14135</v>
      </c>
      <c r="AE734" s="2">
        <v>13994</v>
      </c>
      <c r="AF734" s="2">
        <v>0</v>
      </c>
      <c r="AG734" s="2">
        <v>0</v>
      </c>
      <c r="AH734" s="2"/>
      <c r="AI734" s="2">
        <v>-5954</v>
      </c>
      <c r="AJ734" s="2">
        <v>-5954</v>
      </c>
      <c r="AK734" s="2">
        <v>-5953</v>
      </c>
      <c r="AL734" s="2">
        <v>0</v>
      </c>
      <c r="AM734" s="2">
        <v>-5954</v>
      </c>
    </row>
    <row r="735" spans="1:39">
      <c r="A735" s="351">
        <v>97913</v>
      </c>
      <c r="B735" s="344" t="s">
        <v>2770</v>
      </c>
      <c r="C735" s="360">
        <v>2.2900000000000001E-5</v>
      </c>
      <c r="E735" s="2">
        <v>13539</v>
      </c>
      <c r="F735" s="2">
        <v>14183</v>
      </c>
      <c r="G735" s="2">
        <v>8085</v>
      </c>
      <c r="H735" s="2">
        <v>3408</v>
      </c>
      <c r="I735" s="2">
        <v>0</v>
      </c>
      <c r="J735" s="2"/>
      <c r="K735" s="2">
        <v>4246</v>
      </c>
      <c r="L735" s="2">
        <v>3911</v>
      </c>
      <c r="M735" s="2">
        <v>2177</v>
      </c>
      <c r="N735" s="2">
        <v>0</v>
      </c>
      <c r="O735" s="2">
        <v>0</v>
      </c>
      <c r="P735" s="2"/>
      <c r="Q735" s="2">
        <v>275</v>
      </c>
      <c r="R735" s="2">
        <v>3850</v>
      </c>
      <c r="S735" s="2">
        <v>3983</v>
      </c>
      <c r="T735" s="2">
        <v>3408</v>
      </c>
      <c r="U735" s="2">
        <v>0</v>
      </c>
      <c r="V735" s="2"/>
      <c r="W735" s="2">
        <v>3361</v>
      </c>
      <c r="X735" s="2">
        <v>2729</v>
      </c>
      <c r="Y735" s="2">
        <v>0</v>
      </c>
      <c r="Z735" s="2">
        <v>0</v>
      </c>
      <c r="AA735" s="2">
        <v>0</v>
      </c>
      <c r="AB735" s="2"/>
      <c r="AC735" s="2">
        <v>5657</v>
      </c>
      <c r="AD735" s="2">
        <v>3693</v>
      </c>
      <c r="AE735" s="2">
        <v>1925</v>
      </c>
      <c r="AF735" s="2">
        <v>0</v>
      </c>
      <c r="AG735" s="2">
        <v>0</v>
      </c>
      <c r="AH735" s="2"/>
      <c r="AI735" s="2">
        <v>0</v>
      </c>
      <c r="AJ735" s="2">
        <v>0</v>
      </c>
      <c r="AK735" s="2">
        <v>0</v>
      </c>
      <c r="AL735" s="2">
        <v>0</v>
      </c>
      <c r="AM735" s="2">
        <v>0</v>
      </c>
    </row>
    <row r="736" spans="1:39">
      <c r="A736" s="351">
        <v>97917</v>
      </c>
      <c r="B736" s="344" t="s">
        <v>1434</v>
      </c>
      <c r="C736" s="360">
        <v>1.7799999999999999E-5</v>
      </c>
      <c r="E736" s="2">
        <v>9909</v>
      </c>
      <c r="F736" s="2">
        <v>10980</v>
      </c>
      <c r="G736" s="2">
        <v>7019</v>
      </c>
      <c r="H736" s="2">
        <v>2649</v>
      </c>
      <c r="I736" s="2">
        <v>0</v>
      </c>
      <c r="J736" s="2"/>
      <c r="K736" s="2">
        <v>3300</v>
      </c>
      <c r="L736" s="2">
        <v>3040</v>
      </c>
      <c r="M736" s="2">
        <v>1692</v>
      </c>
      <c r="N736" s="2">
        <v>0</v>
      </c>
      <c r="O736" s="2">
        <v>0</v>
      </c>
      <c r="P736" s="2"/>
      <c r="Q736" s="2">
        <v>214</v>
      </c>
      <c r="R736" s="2">
        <v>2992</v>
      </c>
      <c r="S736" s="2">
        <v>3096</v>
      </c>
      <c r="T736" s="2">
        <v>2649</v>
      </c>
      <c r="U736" s="2">
        <v>0</v>
      </c>
      <c r="V736" s="2"/>
      <c r="W736" s="2">
        <v>2613</v>
      </c>
      <c r="X736" s="2">
        <v>2121</v>
      </c>
      <c r="Y736" s="2">
        <v>0</v>
      </c>
      <c r="Z736" s="2">
        <v>0</v>
      </c>
      <c r="AA736" s="2">
        <v>0</v>
      </c>
      <c r="AB736" s="2"/>
      <c r="AC736" s="2">
        <v>3782</v>
      </c>
      <c r="AD736" s="2">
        <v>2827</v>
      </c>
      <c r="AE736" s="2">
        <v>2231</v>
      </c>
      <c r="AF736" s="2">
        <v>0</v>
      </c>
      <c r="AG736" s="2">
        <v>0</v>
      </c>
      <c r="AH736" s="2"/>
      <c r="AI736" s="2">
        <v>0</v>
      </c>
      <c r="AJ736" s="2">
        <v>0</v>
      </c>
      <c r="AK736" s="2">
        <v>0</v>
      </c>
      <c r="AL736" s="2">
        <v>0</v>
      </c>
      <c r="AM736" s="2">
        <v>0</v>
      </c>
    </row>
    <row r="737" spans="1:39">
      <c r="A737" s="351">
        <v>97921</v>
      </c>
      <c r="B737" s="344" t="s">
        <v>1435</v>
      </c>
      <c r="C737" s="360">
        <v>2.14E-4</v>
      </c>
      <c r="E737" s="2">
        <v>75312</v>
      </c>
      <c r="F737" s="2">
        <v>99755</v>
      </c>
      <c r="G737" s="2">
        <v>57390</v>
      </c>
      <c r="H737" s="2">
        <v>31848</v>
      </c>
      <c r="I737" s="2">
        <v>0</v>
      </c>
      <c r="J737" s="2"/>
      <c r="K737" s="2">
        <v>39678</v>
      </c>
      <c r="L737" s="2">
        <v>36550</v>
      </c>
      <c r="M737" s="2">
        <v>20342</v>
      </c>
      <c r="N737" s="2">
        <v>0</v>
      </c>
      <c r="O737" s="2">
        <v>0</v>
      </c>
      <c r="P737" s="2"/>
      <c r="Q737" s="2">
        <v>2572</v>
      </c>
      <c r="R737" s="2">
        <v>35974</v>
      </c>
      <c r="S737" s="2">
        <v>37218</v>
      </c>
      <c r="T737" s="2">
        <v>31848</v>
      </c>
      <c r="U737" s="2">
        <v>0</v>
      </c>
      <c r="V737" s="2"/>
      <c r="W737" s="2">
        <v>31410</v>
      </c>
      <c r="X737" s="2">
        <v>25500</v>
      </c>
      <c r="Y737" s="2">
        <v>0</v>
      </c>
      <c r="Z737" s="2">
        <v>0</v>
      </c>
      <c r="AA737" s="2">
        <v>0</v>
      </c>
      <c r="AB737" s="2"/>
      <c r="AC737" s="2">
        <v>5017</v>
      </c>
      <c r="AD737" s="2">
        <v>5015</v>
      </c>
      <c r="AE737" s="2">
        <v>3116</v>
      </c>
      <c r="AF737" s="2">
        <v>0</v>
      </c>
      <c r="AG737" s="2">
        <v>0</v>
      </c>
      <c r="AH737" s="2"/>
      <c r="AI737" s="2">
        <v>-3365</v>
      </c>
      <c r="AJ737" s="2">
        <v>-3284</v>
      </c>
      <c r="AK737" s="2">
        <v>-3286</v>
      </c>
      <c r="AL737" s="2">
        <v>0</v>
      </c>
      <c r="AM737" s="2">
        <v>-3284</v>
      </c>
    </row>
    <row r="738" spans="1:39">
      <c r="A738" s="351">
        <v>97931</v>
      </c>
      <c r="B738" s="344" t="s">
        <v>1436</v>
      </c>
      <c r="C738" s="360">
        <v>7.7700000000000005E-5</v>
      </c>
      <c r="E738" s="2">
        <v>31872</v>
      </c>
      <c r="F738" s="2">
        <v>39337</v>
      </c>
      <c r="G738" s="2">
        <v>25085</v>
      </c>
      <c r="H738" s="2">
        <v>11563</v>
      </c>
      <c r="I738" s="2">
        <v>0</v>
      </c>
      <c r="J738" s="2"/>
      <c r="K738" s="2">
        <v>14406</v>
      </c>
      <c r="L738" s="2">
        <v>13271</v>
      </c>
      <c r="M738" s="2">
        <v>7386</v>
      </c>
      <c r="N738" s="2">
        <v>0</v>
      </c>
      <c r="O738" s="2">
        <v>0</v>
      </c>
      <c r="P738" s="2"/>
      <c r="Q738" s="2">
        <v>934</v>
      </c>
      <c r="R738" s="2">
        <v>13062</v>
      </c>
      <c r="S738" s="2">
        <v>13513</v>
      </c>
      <c r="T738" s="2">
        <v>11563</v>
      </c>
      <c r="U738" s="2">
        <v>0</v>
      </c>
      <c r="V738" s="2"/>
      <c r="W738" s="2">
        <v>11404</v>
      </c>
      <c r="X738" s="2">
        <v>9258</v>
      </c>
      <c r="Y738" s="2">
        <v>0</v>
      </c>
      <c r="Z738" s="2">
        <v>0</v>
      </c>
      <c r="AA738" s="2">
        <v>0</v>
      </c>
      <c r="AB738" s="2"/>
      <c r="AC738" s="2">
        <v>5570</v>
      </c>
      <c r="AD738" s="2">
        <v>4187</v>
      </c>
      <c r="AE738" s="2">
        <v>4186</v>
      </c>
      <c r="AF738" s="2">
        <v>0</v>
      </c>
      <c r="AG738" s="2">
        <v>0</v>
      </c>
      <c r="AH738" s="2"/>
      <c r="AI738" s="2">
        <v>-442</v>
      </c>
      <c r="AJ738" s="2">
        <v>-441</v>
      </c>
      <c r="AK738" s="2">
        <v>0</v>
      </c>
      <c r="AL738" s="2">
        <v>0</v>
      </c>
      <c r="AM738" s="2">
        <v>-441</v>
      </c>
    </row>
    <row r="739" spans="1:39">
      <c r="A739" s="351">
        <v>97941</v>
      </c>
      <c r="B739" s="344" t="s">
        <v>1437</v>
      </c>
      <c r="C739" s="360">
        <v>2.195E-4</v>
      </c>
      <c r="E739" s="2">
        <v>84693</v>
      </c>
      <c r="F739" s="2">
        <v>111873</v>
      </c>
      <c r="G739" s="2">
        <v>67656</v>
      </c>
      <c r="H739" s="2">
        <v>32666</v>
      </c>
      <c r="I739" s="2">
        <v>0</v>
      </c>
      <c r="J739" s="2"/>
      <c r="K739" s="2">
        <v>40697</v>
      </c>
      <c r="L739" s="2">
        <v>37489</v>
      </c>
      <c r="M739" s="2">
        <v>20865</v>
      </c>
      <c r="N739" s="2">
        <v>0</v>
      </c>
      <c r="O739" s="2">
        <v>0</v>
      </c>
      <c r="P739" s="2"/>
      <c r="Q739" s="2">
        <v>2638</v>
      </c>
      <c r="R739" s="2">
        <v>36899</v>
      </c>
      <c r="S739" s="2">
        <v>38175</v>
      </c>
      <c r="T739" s="2">
        <v>32666</v>
      </c>
      <c r="U739" s="2">
        <v>0</v>
      </c>
      <c r="V739" s="2"/>
      <c r="W739" s="2">
        <v>32217</v>
      </c>
      <c r="X739" s="2">
        <v>26155</v>
      </c>
      <c r="Y739" s="2">
        <v>0</v>
      </c>
      <c r="Z739" s="2">
        <v>0</v>
      </c>
      <c r="AA739" s="2">
        <v>0</v>
      </c>
      <c r="AB739" s="2"/>
      <c r="AC739" s="2">
        <v>11328</v>
      </c>
      <c r="AD739" s="2">
        <v>11330</v>
      </c>
      <c r="AE739" s="2">
        <v>8616</v>
      </c>
      <c r="AF739" s="2">
        <v>0</v>
      </c>
      <c r="AG739" s="2">
        <v>0</v>
      </c>
      <c r="AH739" s="2"/>
      <c r="AI739" s="2">
        <v>-2187</v>
      </c>
      <c r="AJ739" s="2">
        <v>0</v>
      </c>
      <c r="AK739" s="2">
        <v>0</v>
      </c>
      <c r="AL739" s="2">
        <v>0</v>
      </c>
      <c r="AM739" s="2">
        <v>0</v>
      </c>
    </row>
    <row r="740" spans="1:39">
      <c r="A740" s="351">
        <v>97947</v>
      </c>
      <c r="B740" s="344" t="s">
        <v>1438</v>
      </c>
      <c r="C740" s="360">
        <v>1.5E-5</v>
      </c>
      <c r="E740" s="2">
        <v>9022</v>
      </c>
      <c r="F740" s="2">
        <v>9981</v>
      </c>
      <c r="G740" s="2">
        <v>5811</v>
      </c>
      <c r="H740" s="2">
        <v>2232</v>
      </c>
      <c r="I740" s="2">
        <v>0</v>
      </c>
      <c r="J740" s="2"/>
      <c r="K740" s="2">
        <v>2781</v>
      </c>
      <c r="L740" s="2">
        <v>2562</v>
      </c>
      <c r="M740" s="2">
        <v>1426</v>
      </c>
      <c r="N740" s="2">
        <v>0</v>
      </c>
      <c r="O740" s="2">
        <v>0</v>
      </c>
      <c r="P740" s="2"/>
      <c r="Q740" s="2">
        <v>180</v>
      </c>
      <c r="R740" s="2">
        <v>2522</v>
      </c>
      <c r="S740" s="2">
        <v>2609</v>
      </c>
      <c r="T740" s="2">
        <v>2232</v>
      </c>
      <c r="U740" s="2">
        <v>0</v>
      </c>
      <c r="V740" s="2"/>
      <c r="W740" s="2">
        <v>2202</v>
      </c>
      <c r="X740" s="2">
        <v>1787</v>
      </c>
      <c r="Y740" s="2">
        <v>0</v>
      </c>
      <c r="Z740" s="2">
        <v>0</v>
      </c>
      <c r="AA740" s="2">
        <v>0</v>
      </c>
      <c r="AB740" s="2"/>
      <c r="AC740" s="2">
        <v>3859</v>
      </c>
      <c r="AD740" s="2">
        <v>3110</v>
      </c>
      <c r="AE740" s="2">
        <v>1776</v>
      </c>
      <c r="AF740" s="2">
        <v>0</v>
      </c>
      <c r="AG740" s="2">
        <v>0</v>
      </c>
      <c r="AH740" s="2"/>
      <c r="AI740" s="2">
        <v>0</v>
      </c>
      <c r="AJ740" s="2">
        <v>0</v>
      </c>
      <c r="AK740" s="2">
        <v>0</v>
      </c>
      <c r="AL740" s="2">
        <v>0</v>
      </c>
      <c r="AM740" s="2">
        <v>0</v>
      </c>
    </row>
    <row r="741" spans="1:39">
      <c r="A741" s="351">
        <v>97948</v>
      </c>
      <c r="B741" s="344" t="s">
        <v>3699</v>
      </c>
      <c r="C741" s="360">
        <v>2.65E-5</v>
      </c>
      <c r="E741" s="2">
        <v>8145</v>
      </c>
      <c r="F741" s="2">
        <v>13217</v>
      </c>
      <c r="G741" s="2">
        <v>8111</v>
      </c>
      <c r="H741" s="2">
        <v>3944</v>
      </c>
      <c r="I741" s="2">
        <v>0</v>
      </c>
      <c r="J741" s="2"/>
      <c r="K741" s="2">
        <v>4913</v>
      </c>
      <c r="L741" s="2">
        <v>4526</v>
      </c>
      <c r="M741" s="2">
        <v>2519</v>
      </c>
      <c r="N741" s="2">
        <v>0</v>
      </c>
      <c r="O741" s="2">
        <v>0</v>
      </c>
      <c r="P741" s="2"/>
      <c r="Q741" s="2">
        <v>319</v>
      </c>
      <c r="R741" s="2">
        <v>4455</v>
      </c>
      <c r="S741" s="2">
        <v>4609</v>
      </c>
      <c r="T741" s="2">
        <v>3944</v>
      </c>
      <c r="U741" s="2">
        <v>0</v>
      </c>
      <c r="V741" s="2"/>
      <c r="W741" s="2">
        <v>3890</v>
      </c>
      <c r="X741" s="2">
        <v>3158</v>
      </c>
      <c r="Y741" s="2">
        <v>0</v>
      </c>
      <c r="Z741" s="2">
        <v>0</v>
      </c>
      <c r="AA741" s="2">
        <v>0</v>
      </c>
      <c r="AB741" s="2"/>
      <c r="AC741" s="2">
        <v>1080</v>
      </c>
      <c r="AD741" s="2">
        <v>1078</v>
      </c>
      <c r="AE741" s="2">
        <v>983</v>
      </c>
      <c r="AF741" s="2">
        <v>0</v>
      </c>
      <c r="AG741" s="2">
        <v>0</v>
      </c>
      <c r="AH741" s="2"/>
      <c r="AI741" s="2">
        <v>-2057</v>
      </c>
      <c r="AJ741" s="2">
        <v>0</v>
      </c>
      <c r="AK741" s="2">
        <v>0</v>
      </c>
      <c r="AL741" s="2">
        <v>0</v>
      </c>
      <c r="AM741" s="2">
        <v>0</v>
      </c>
    </row>
    <row r="742" spans="1:39">
      <c r="A742" s="351">
        <v>97951</v>
      </c>
      <c r="B742" s="344" t="s">
        <v>1440</v>
      </c>
      <c r="C742" s="360">
        <v>1.1284000000000001E-3</v>
      </c>
      <c r="E742" s="2">
        <v>402617</v>
      </c>
      <c r="F742" s="2">
        <v>526691</v>
      </c>
      <c r="G742" s="2">
        <v>313359</v>
      </c>
      <c r="H742" s="2">
        <v>167931</v>
      </c>
      <c r="I742" s="2">
        <v>0</v>
      </c>
      <c r="J742" s="2"/>
      <c r="K742" s="2">
        <v>209216</v>
      </c>
      <c r="L742" s="2">
        <v>192724</v>
      </c>
      <c r="M742" s="2">
        <v>107263</v>
      </c>
      <c r="N742" s="2">
        <v>0</v>
      </c>
      <c r="O742" s="2">
        <v>0</v>
      </c>
      <c r="P742" s="2"/>
      <c r="Q742" s="2">
        <v>13562</v>
      </c>
      <c r="R742" s="2">
        <v>189690</v>
      </c>
      <c r="S742" s="2">
        <v>196249</v>
      </c>
      <c r="T742" s="2">
        <v>167931</v>
      </c>
      <c r="U742" s="2">
        <v>0</v>
      </c>
      <c r="V742" s="2"/>
      <c r="W742" s="2">
        <v>165622</v>
      </c>
      <c r="X742" s="2">
        <v>134457</v>
      </c>
      <c r="Y742" s="2">
        <v>0</v>
      </c>
      <c r="Z742" s="2">
        <v>0</v>
      </c>
      <c r="AA742" s="2">
        <v>0</v>
      </c>
      <c r="AB742" s="2"/>
      <c r="AC742" s="2">
        <v>14242</v>
      </c>
      <c r="AD742" s="2">
        <v>9845</v>
      </c>
      <c r="AE742" s="2">
        <v>9847</v>
      </c>
      <c r="AF742" s="2">
        <v>0</v>
      </c>
      <c r="AG742" s="2">
        <v>0</v>
      </c>
      <c r="AH742" s="2"/>
      <c r="AI742" s="2">
        <v>-25</v>
      </c>
      <c r="AJ742" s="2">
        <v>-25</v>
      </c>
      <c r="AK742" s="2">
        <v>0</v>
      </c>
      <c r="AL742" s="2">
        <v>0</v>
      </c>
      <c r="AM742" s="2">
        <v>-25</v>
      </c>
    </row>
    <row r="743" spans="1:39">
      <c r="A743" s="351">
        <v>97957</v>
      </c>
      <c r="B743" s="344" t="s">
        <v>1441</v>
      </c>
      <c r="C743" s="360">
        <v>1.3900000000000001E-5</v>
      </c>
      <c r="E743" s="2">
        <v>8285</v>
      </c>
      <c r="F743" s="2">
        <v>9166</v>
      </c>
      <c r="G743" s="2">
        <v>5876</v>
      </c>
      <c r="H743" s="2">
        <v>2069</v>
      </c>
      <c r="I743" s="2">
        <v>0</v>
      </c>
      <c r="J743" s="2"/>
      <c r="K743" s="2">
        <v>2577</v>
      </c>
      <c r="L743" s="2">
        <v>2374</v>
      </c>
      <c r="M743" s="2">
        <v>1321</v>
      </c>
      <c r="N743" s="2">
        <v>0</v>
      </c>
      <c r="O743" s="2">
        <v>0</v>
      </c>
      <c r="P743" s="2"/>
      <c r="Q743" s="2">
        <v>167</v>
      </c>
      <c r="R743" s="2">
        <v>2337</v>
      </c>
      <c r="S743" s="2">
        <v>2417</v>
      </c>
      <c r="T743" s="2">
        <v>2069</v>
      </c>
      <c r="U743" s="2">
        <v>0</v>
      </c>
      <c r="V743" s="2"/>
      <c r="W743" s="2">
        <v>2040</v>
      </c>
      <c r="X743" s="2">
        <v>1656</v>
      </c>
      <c r="Y743" s="2">
        <v>0</v>
      </c>
      <c r="Z743" s="2">
        <v>0</v>
      </c>
      <c r="AA743" s="2">
        <v>0</v>
      </c>
      <c r="AB743" s="2"/>
      <c r="AC743" s="2">
        <v>3501</v>
      </c>
      <c r="AD743" s="2">
        <v>2799</v>
      </c>
      <c r="AE743" s="2">
        <v>2138</v>
      </c>
      <c r="AF743" s="2">
        <v>0</v>
      </c>
      <c r="AG743" s="2">
        <v>0</v>
      </c>
      <c r="AH743" s="2"/>
      <c r="AI743" s="2">
        <v>0</v>
      </c>
      <c r="AJ743" s="2">
        <v>0</v>
      </c>
      <c r="AK743" s="2">
        <v>0</v>
      </c>
      <c r="AL743" s="2">
        <v>0</v>
      </c>
      <c r="AM743" s="2">
        <v>0</v>
      </c>
    </row>
    <row r="744" spans="1:39">
      <c r="A744" s="351">
        <v>98001</v>
      </c>
      <c r="B744" s="344" t="s">
        <v>1442</v>
      </c>
      <c r="C744" s="360">
        <v>5.3790000000000001E-3</v>
      </c>
      <c r="E744" s="2">
        <v>1956866</v>
      </c>
      <c r="F744" s="2">
        <v>2540554</v>
      </c>
      <c r="G744" s="2">
        <v>1479852</v>
      </c>
      <c r="H744" s="2">
        <v>800514</v>
      </c>
      <c r="I744" s="2">
        <v>0</v>
      </c>
      <c r="J744" s="2"/>
      <c r="K744" s="2">
        <v>997315</v>
      </c>
      <c r="L744" s="2">
        <v>918701</v>
      </c>
      <c r="M744" s="2">
        <v>511317</v>
      </c>
      <c r="N744" s="2">
        <v>0</v>
      </c>
      <c r="O744" s="2">
        <v>0</v>
      </c>
      <c r="P744" s="2"/>
      <c r="Q744" s="2">
        <v>64650</v>
      </c>
      <c r="R744" s="2">
        <v>904237</v>
      </c>
      <c r="S744" s="2">
        <v>935505</v>
      </c>
      <c r="T744" s="2">
        <v>800514</v>
      </c>
      <c r="U744" s="2">
        <v>0</v>
      </c>
      <c r="V744" s="2"/>
      <c r="W744" s="2">
        <v>789508</v>
      </c>
      <c r="X744" s="2">
        <v>640946</v>
      </c>
      <c r="Y744" s="2">
        <v>0</v>
      </c>
      <c r="Z744" s="2">
        <v>0</v>
      </c>
      <c r="AA744" s="2">
        <v>0</v>
      </c>
      <c r="AB744" s="2"/>
      <c r="AC744" s="2">
        <v>119089</v>
      </c>
      <c r="AD744" s="2">
        <v>90366</v>
      </c>
      <c r="AE744" s="2">
        <v>46728</v>
      </c>
      <c r="AF744" s="2">
        <v>0</v>
      </c>
      <c r="AG744" s="2">
        <v>0</v>
      </c>
      <c r="AH744" s="2"/>
      <c r="AI744" s="2">
        <v>-13696</v>
      </c>
      <c r="AJ744" s="2">
        <v>-13696</v>
      </c>
      <c r="AK744" s="2">
        <v>-13698</v>
      </c>
      <c r="AL744" s="2">
        <v>0</v>
      </c>
      <c r="AM744" s="2">
        <v>-13696</v>
      </c>
    </row>
    <row r="745" spans="1:39">
      <c r="A745" s="351">
        <v>98002</v>
      </c>
      <c r="B745" s="344" t="s">
        <v>1443</v>
      </c>
      <c r="C745" s="360">
        <v>5.5999999999999997E-6</v>
      </c>
      <c r="E745" s="2">
        <v>2836</v>
      </c>
      <c r="F745" s="2">
        <v>3364</v>
      </c>
      <c r="G745" s="2">
        <v>2028</v>
      </c>
      <c r="H745" s="2">
        <v>833</v>
      </c>
      <c r="I745" s="2">
        <v>0</v>
      </c>
      <c r="J745" s="2"/>
      <c r="K745" s="2">
        <v>1038</v>
      </c>
      <c r="L745" s="2">
        <v>956</v>
      </c>
      <c r="M745" s="2">
        <v>532</v>
      </c>
      <c r="N745" s="2">
        <v>0</v>
      </c>
      <c r="O745" s="2">
        <v>0</v>
      </c>
      <c r="P745" s="2"/>
      <c r="Q745" s="2">
        <v>67</v>
      </c>
      <c r="R745" s="2">
        <v>941</v>
      </c>
      <c r="S745" s="2">
        <v>974</v>
      </c>
      <c r="T745" s="2">
        <v>833</v>
      </c>
      <c r="U745" s="2">
        <v>0</v>
      </c>
      <c r="V745" s="2"/>
      <c r="W745" s="2">
        <v>822</v>
      </c>
      <c r="X745" s="2">
        <v>667</v>
      </c>
      <c r="Y745" s="2">
        <v>0</v>
      </c>
      <c r="Z745" s="2">
        <v>0</v>
      </c>
      <c r="AA745" s="2">
        <v>0</v>
      </c>
      <c r="AB745" s="2"/>
      <c r="AC745" s="2">
        <v>909</v>
      </c>
      <c r="AD745" s="2">
        <v>800</v>
      </c>
      <c r="AE745" s="2">
        <v>522</v>
      </c>
      <c r="AF745" s="2">
        <v>0</v>
      </c>
      <c r="AG745" s="2">
        <v>0</v>
      </c>
      <c r="AH745" s="2"/>
      <c r="AI745" s="2">
        <v>0</v>
      </c>
      <c r="AJ745" s="2">
        <v>0</v>
      </c>
      <c r="AK745" s="2">
        <v>0</v>
      </c>
      <c r="AL745" s="2">
        <v>0</v>
      </c>
      <c r="AM745" s="2">
        <v>0</v>
      </c>
    </row>
    <row r="746" spans="1:39">
      <c r="A746" s="351">
        <v>98003</v>
      </c>
      <c r="B746" s="344" t="s">
        <v>3700</v>
      </c>
      <c r="C746" s="360">
        <v>6.9999999999999994E-5</v>
      </c>
      <c r="E746" s="2">
        <v>46078</v>
      </c>
      <c r="F746" s="2">
        <v>47639</v>
      </c>
      <c r="G746" s="2">
        <v>27829</v>
      </c>
      <c r="H746" s="2">
        <v>10418</v>
      </c>
      <c r="I746" s="2">
        <v>0</v>
      </c>
      <c r="J746" s="2"/>
      <c r="K746" s="2">
        <v>12979</v>
      </c>
      <c r="L746" s="2">
        <v>11956</v>
      </c>
      <c r="M746" s="2">
        <v>6654</v>
      </c>
      <c r="N746" s="2">
        <v>0</v>
      </c>
      <c r="O746" s="2">
        <v>0</v>
      </c>
      <c r="P746" s="2"/>
      <c r="Q746" s="2">
        <v>841</v>
      </c>
      <c r="R746" s="2">
        <v>11767</v>
      </c>
      <c r="S746" s="2">
        <v>12174</v>
      </c>
      <c r="T746" s="2">
        <v>10418</v>
      </c>
      <c r="U746" s="2">
        <v>0</v>
      </c>
      <c r="V746" s="2"/>
      <c r="W746" s="2">
        <v>10274</v>
      </c>
      <c r="X746" s="2">
        <v>8341</v>
      </c>
      <c r="Y746" s="2">
        <v>0</v>
      </c>
      <c r="Z746" s="2">
        <v>0</v>
      </c>
      <c r="AA746" s="2">
        <v>0</v>
      </c>
      <c r="AB746" s="2"/>
      <c r="AC746" s="2">
        <v>21984</v>
      </c>
      <c r="AD746" s="2">
        <v>15575</v>
      </c>
      <c r="AE746" s="2">
        <v>9001</v>
      </c>
      <c r="AF746" s="2">
        <v>0</v>
      </c>
      <c r="AG746" s="2">
        <v>0</v>
      </c>
      <c r="AH746" s="2"/>
      <c r="AI746" s="2">
        <v>0</v>
      </c>
      <c r="AJ746" s="2">
        <v>0</v>
      </c>
      <c r="AK746" s="2">
        <v>0</v>
      </c>
      <c r="AL746" s="2">
        <v>0</v>
      </c>
      <c r="AM746" s="2">
        <v>0</v>
      </c>
    </row>
    <row r="747" spans="1:39">
      <c r="A747" s="351">
        <v>98004</v>
      </c>
      <c r="B747" s="344" t="s">
        <v>1445</v>
      </c>
      <c r="C747" s="360">
        <v>1.3569999999999999E-4</v>
      </c>
      <c r="E747" s="2">
        <v>78943</v>
      </c>
      <c r="F747" s="2">
        <v>90090</v>
      </c>
      <c r="G747" s="2">
        <v>59567</v>
      </c>
      <c r="H747" s="2">
        <v>20195</v>
      </c>
      <c r="I747" s="2">
        <v>0</v>
      </c>
      <c r="J747" s="2"/>
      <c r="K747" s="2">
        <v>25160</v>
      </c>
      <c r="L747" s="2">
        <v>23177</v>
      </c>
      <c r="M747" s="2">
        <v>12899</v>
      </c>
      <c r="N747" s="2">
        <v>0</v>
      </c>
      <c r="O747" s="2">
        <v>0</v>
      </c>
      <c r="P747" s="2"/>
      <c r="Q747" s="2">
        <v>1631</v>
      </c>
      <c r="R747" s="2">
        <v>22812</v>
      </c>
      <c r="S747" s="2">
        <v>23601</v>
      </c>
      <c r="T747" s="2">
        <v>20195</v>
      </c>
      <c r="U747" s="2">
        <v>0</v>
      </c>
      <c r="V747" s="2"/>
      <c r="W747" s="2">
        <v>19918</v>
      </c>
      <c r="X747" s="2">
        <v>16170</v>
      </c>
      <c r="Y747" s="2">
        <v>0</v>
      </c>
      <c r="Z747" s="2">
        <v>0</v>
      </c>
      <c r="AA747" s="2">
        <v>0</v>
      </c>
      <c r="AB747" s="2"/>
      <c r="AC747" s="2">
        <v>32234</v>
      </c>
      <c r="AD747" s="2">
        <v>27931</v>
      </c>
      <c r="AE747" s="2">
        <v>23067</v>
      </c>
      <c r="AF747" s="2">
        <v>0</v>
      </c>
      <c r="AG747" s="2">
        <v>0</v>
      </c>
      <c r="AH747" s="2"/>
      <c r="AI747" s="2">
        <v>0</v>
      </c>
      <c r="AJ747" s="2">
        <v>0</v>
      </c>
      <c r="AK747" s="2">
        <v>0</v>
      </c>
      <c r="AL747" s="2">
        <v>0</v>
      </c>
      <c r="AM747" s="2">
        <v>0</v>
      </c>
    </row>
    <row r="748" spans="1:39">
      <c r="A748" s="351">
        <v>98008</v>
      </c>
      <c r="B748" s="344" t="s">
        <v>3701</v>
      </c>
      <c r="C748" s="360">
        <v>6.8000000000000001E-6</v>
      </c>
      <c r="E748" s="2">
        <v>2011</v>
      </c>
      <c r="F748" s="2">
        <v>2776</v>
      </c>
      <c r="G748" s="2">
        <v>1553</v>
      </c>
      <c r="H748" s="2">
        <v>1012</v>
      </c>
      <c r="I748" s="2">
        <v>0</v>
      </c>
      <c r="J748" s="2"/>
      <c r="K748" s="2">
        <v>1261</v>
      </c>
      <c r="L748" s="2">
        <v>1161</v>
      </c>
      <c r="M748" s="2">
        <v>646</v>
      </c>
      <c r="N748" s="2">
        <v>0</v>
      </c>
      <c r="O748" s="2">
        <v>0</v>
      </c>
      <c r="P748" s="2"/>
      <c r="Q748" s="2">
        <v>82</v>
      </c>
      <c r="R748" s="2">
        <v>1143</v>
      </c>
      <c r="S748" s="2">
        <v>1183</v>
      </c>
      <c r="T748" s="2">
        <v>1012</v>
      </c>
      <c r="U748" s="2">
        <v>0</v>
      </c>
      <c r="V748" s="2"/>
      <c r="W748" s="2">
        <v>998</v>
      </c>
      <c r="X748" s="2">
        <v>810</v>
      </c>
      <c r="Y748" s="2">
        <v>0</v>
      </c>
      <c r="Z748" s="2">
        <v>0</v>
      </c>
      <c r="AA748" s="2">
        <v>0</v>
      </c>
      <c r="AB748" s="2"/>
      <c r="AC748" s="2">
        <v>8</v>
      </c>
      <c r="AD748" s="2">
        <v>0</v>
      </c>
      <c r="AE748" s="2">
        <v>0</v>
      </c>
      <c r="AF748" s="2">
        <v>0</v>
      </c>
      <c r="AG748" s="2">
        <v>0</v>
      </c>
      <c r="AH748" s="2"/>
      <c r="AI748" s="2">
        <v>-338</v>
      </c>
      <c r="AJ748" s="2">
        <v>-338</v>
      </c>
      <c r="AK748" s="2">
        <v>-276</v>
      </c>
      <c r="AL748" s="2">
        <v>0</v>
      </c>
      <c r="AM748" s="2">
        <v>-338</v>
      </c>
    </row>
    <row r="749" spans="1:39">
      <c r="A749" s="351">
        <v>98011</v>
      </c>
      <c r="B749" s="344" t="s">
        <v>1447</v>
      </c>
      <c r="C749" s="360">
        <v>3.4218999999999999E-3</v>
      </c>
      <c r="E749" s="2">
        <v>1151719</v>
      </c>
      <c r="F749" s="2">
        <v>1548863</v>
      </c>
      <c r="G749" s="2">
        <v>881530</v>
      </c>
      <c r="H749" s="2">
        <v>509254</v>
      </c>
      <c r="I749" s="2">
        <v>0</v>
      </c>
      <c r="J749" s="2"/>
      <c r="K749" s="2">
        <v>634451</v>
      </c>
      <c r="L749" s="2">
        <v>584440</v>
      </c>
      <c r="M749" s="2">
        <v>325279</v>
      </c>
      <c r="N749" s="2">
        <v>0</v>
      </c>
      <c r="O749" s="2">
        <v>0</v>
      </c>
      <c r="P749" s="2"/>
      <c r="Q749" s="2">
        <v>41128</v>
      </c>
      <c r="R749" s="2">
        <v>575238</v>
      </c>
      <c r="S749" s="2">
        <v>595130</v>
      </c>
      <c r="T749" s="2">
        <v>509254</v>
      </c>
      <c r="U749" s="2">
        <v>0</v>
      </c>
      <c r="V749" s="2"/>
      <c r="W749" s="2">
        <v>502253</v>
      </c>
      <c r="X749" s="2">
        <v>407743</v>
      </c>
      <c r="Y749" s="2">
        <v>0</v>
      </c>
      <c r="Z749" s="2">
        <v>0</v>
      </c>
      <c r="AA749" s="2">
        <v>0</v>
      </c>
      <c r="AB749" s="2"/>
      <c r="AC749" s="2">
        <v>28962</v>
      </c>
      <c r="AD749" s="2">
        <v>28964</v>
      </c>
      <c r="AE749" s="2">
        <v>8642</v>
      </c>
      <c r="AF749" s="2">
        <v>0</v>
      </c>
      <c r="AG749" s="2">
        <v>0</v>
      </c>
      <c r="AH749" s="2"/>
      <c r="AI749" s="2">
        <v>-55075</v>
      </c>
      <c r="AJ749" s="2">
        <v>-47522</v>
      </c>
      <c r="AK749" s="2">
        <v>-47521</v>
      </c>
      <c r="AL749" s="2">
        <v>0</v>
      </c>
      <c r="AM749" s="2">
        <v>-47522</v>
      </c>
    </row>
    <row r="750" spans="1:39">
      <c r="A750" s="351">
        <v>98013</v>
      </c>
      <c r="B750" s="344" t="s">
        <v>3702</v>
      </c>
      <c r="C750" s="360">
        <v>1.4520000000000001E-4</v>
      </c>
      <c r="E750" s="2">
        <v>97348</v>
      </c>
      <c r="F750" s="2">
        <v>99353</v>
      </c>
      <c r="G750" s="2">
        <v>57970</v>
      </c>
      <c r="H750" s="2">
        <v>21609</v>
      </c>
      <c r="I750" s="2">
        <v>0</v>
      </c>
      <c r="J750" s="2"/>
      <c r="K750" s="2">
        <v>26921</v>
      </c>
      <c r="L750" s="2">
        <v>24799</v>
      </c>
      <c r="M750" s="2">
        <v>13802</v>
      </c>
      <c r="N750" s="2">
        <v>0</v>
      </c>
      <c r="O750" s="2">
        <v>0</v>
      </c>
      <c r="P750" s="2"/>
      <c r="Q750" s="2">
        <v>1745</v>
      </c>
      <c r="R750" s="2">
        <v>24409</v>
      </c>
      <c r="S750" s="2">
        <v>25253</v>
      </c>
      <c r="T750" s="2">
        <v>21609</v>
      </c>
      <c r="U750" s="2">
        <v>0</v>
      </c>
      <c r="V750" s="2"/>
      <c r="W750" s="2">
        <v>21312</v>
      </c>
      <c r="X750" s="2">
        <v>17302</v>
      </c>
      <c r="Y750" s="2">
        <v>0</v>
      </c>
      <c r="Z750" s="2">
        <v>0</v>
      </c>
      <c r="AA750" s="2">
        <v>0</v>
      </c>
      <c r="AB750" s="2"/>
      <c r="AC750" s="2">
        <v>47370</v>
      </c>
      <c r="AD750" s="2">
        <v>32843</v>
      </c>
      <c r="AE750" s="2">
        <v>18915</v>
      </c>
      <c r="AF750" s="2">
        <v>0</v>
      </c>
      <c r="AG750" s="2">
        <v>0</v>
      </c>
      <c r="AH750" s="2"/>
      <c r="AI750" s="2">
        <v>0</v>
      </c>
      <c r="AJ750" s="2">
        <v>0</v>
      </c>
      <c r="AK750" s="2">
        <v>0</v>
      </c>
      <c r="AL750" s="2">
        <v>0</v>
      </c>
      <c r="AM750" s="2">
        <v>0</v>
      </c>
    </row>
    <row r="751" spans="1:39">
      <c r="A751" s="351">
        <v>98021</v>
      </c>
      <c r="B751" s="344" t="s">
        <v>1449</v>
      </c>
      <c r="C751" s="360">
        <v>4.0899999999999998E-5</v>
      </c>
      <c r="E751" s="2">
        <v>11032</v>
      </c>
      <c r="F751" s="2">
        <v>16036</v>
      </c>
      <c r="G751" s="2">
        <v>15341</v>
      </c>
      <c r="H751" s="2">
        <v>6087</v>
      </c>
      <c r="I751" s="2">
        <v>0</v>
      </c>
      <c r="J751" s="2"/>
      <c r="K751" s="2">
        <v>7583</v>
      </c>
      <c r="L751" s="2">
        <v>6985</v>
      </c>
      <c r="M751" s="2">
        <v>3888</v>
      </c>
      <c r="N751" s="2">
        <v>0</v>
      </c>
      <c r="O751" s="2">
        <v>0</v>
      </c>
      <c r="P751" s="2"/>
      <c r="Q751" s="2">
        <v>492</v>
      </c>
      <c r="R751" s="2">
        <v>6875</v>
      </c>
      <c r="S751" s="2">
        <v>7113</v>
      </c>
      <c r="T751" s="2">
        <v>6087</v>
      </c>
      <c r="U751" s="2">
        <v>0</v>
      </c>
      <c r="V751" s="2"/>
      <c r="W751" s="2">
        <v>6003</v>
      </c>
      <c r="X751" s="2">
        <v>4874</v>
      </c>
      <c r="Y751" s="2">
        <v>0</v>
      </c>
      <c r="Z751" s="2">
        <v>0</v>
      </c>
      <c r="AA751" s="2">
        <v>0</v>
      </c>
      <c r="AB751" s="2"/>
      <c r="AC751" s="2">
        <v>4341</v>
      </c>
      <c r="AD751" s="2">
        <v>4341</v>
      </c>
      <c r="AE751" s="2">
        <v>4340</v>
      </c>
      <c r="AF751" s="2">
        <v>0</v>
      </c>
      <c r="AG751" s="2">
        <v>0</v>
      </c>
      <c r="AH751" s="2"/>
      <c r="AI751" s="2">
        <v>-7387</v>
      </c>
      <c r="AJ751" s="2">
        <v>-7039</v>
      </c>
      <c r="AK751" s="2">
        <v>0</v>
      </c>
      <c r="AL751" s="2">
        <v>0</v>
      </c>
      <c r="AM751" s="2">
        <v>-7039</v>
      </c>
    </row>
    <row r="752" spans="1:39">
      <c r="A752" s="351">
        <v>98023</v>
      </c>
      <c r="B752" s="344" t="s">
        <v>1450</v>
      </c>
      <c r="C752" s="360">
        <v>1.1800000000000001E-5</v>
      </c>
      <c r="E752" s="2">
        <v>3176</v>
      </c>
      <c r="F752" s="2">
        <v>4493</v>
      </c>
      <c r="G752" s="2">
        <v>1853</v>
      </c>
      <c r="H752" s="2">
        <v>1756</v>
      </c>
      <c r="I752" s="2">
        <v>0</v>
      </c>
      <c r="J752" s="2"/>
      <c r="K752" s="2">
        <v>2188</v>
      </c>
      <c r="L752" s="2">
        <v>2015</v>
      </c>
      <c r="M752" s="2">
        <v>1122</v>
      </c>
      <c r="N752" s="2">
        <v>0</v>
      </c>
      <c r="O752" s="2">
        <v>0</v>
      </c>
      <c r="P752" s="2"/>
      <c r="Q752" s="2">
        <v>142</v>
      </c>
      <c r="R752" s="2">
        <v>1984</v>
      </c>
      <c r="S752" s="2">
        <v>2052</v>
      </c>
      <c r="T752" s="2">
        <v>1756</v>
      </c>
      <c r="U752" s="2">
        <v>0</v>
      </c>
      <c r="V752" s="2"/>
      <c r="W752" s="2">
        <v>1732</v>
      </c>
      <c r="X752" s="2">
        <v>1406</v>
      </c>
      <c r="Y752" s="2">
        <v>0</v>
      </c>
      <c r="Z752" s="2">
        <v>0</v>
      </c>
      <c r="AA752" s="2">
        <v>0</v>
      </c>
      <c r="AB752" s="2"/>
      <c r="AC752" s="2">
        <v>1258</v>
      </c>
      <c r="AD752" s="2">
        <v>1232</v>
      </c>
      <c r="AE752" s="2">
        <v>825</v>
      </c>
      <c r="AF752" s="2">
        <v>0</v>
      </c>
      <c r="AG752" s="2">
        <v>0</v>
      </c>
      <c r="AH752" s="2"/>
      <c r="AI752" s="2">
        <v>-2144</v>
      </c>
      <c r="AJ752" s="2">
        <v>-2144</v>
      </c>
      <c r="AK752" s="2">
        <v>-2146</v>
      </c>
      <c r="AL752" s="2">
        <v>0</v>
      </c>
      <c r="AM752" s="2">
        <v>-2144</v>
      </c>
    </row>
    <row r="753" spans="1:39">
      <c r="A753" s="351">
        <v>98031</v>
      </c>
      <c r="B753" s="344" t="s">
        <v>1451</v>
      </c>
      <c r="C753" s="360">
        <v>1.3129999999999999E-4</v>
      </c>
      <c r="E753" s="2">
        <v>31224</v>
      </c>
      <c r="F753" s="2">
        <v>47005</v>
      </c>
      <c r="G753" s="2">
        <v>20887</v>
      </c>
      <c r="H753" s="2">
        <v>19540</v>
      </c>
      <c r="I753" s="2">
        <v>0</v>
      </c>
      <c r="J753" s="2"/>
      <c r="K753" s="2">
        <v>24344</v>
      </c>
      <c r="L753" s="2">
        <v>22425</v>
      </c>
      <c r="M753" s="2">
        <v>12481</v>
      </c>
      <c r="N753" s="2">
        <v>0</v>
      </c>
      <c r="O753" s="2">
        <v>0</v>
      </c>
      <c r="P753" s="2"/>
      <c r="Q753" s="2">
        <v>1578</v>
      </c>
      <c r="R753" s="2">
        <v>22072</v>
      </c>
      <c r="S753" s="2">
        <v>22835</v>
      </c>
      <c r="T753" s="2">
        <v>19540</v>
      </c>
      <c r="U753" s="2">
        <v>0</v>
      </c>
      <c r="V753" s="2"/>
      <c r="W753" s="2">
        <v>19272</v>
      </c>
      <c r="X753" s="2">
        <v>15645</v>
      </c>
      <c r="Y753" s="2">
        <v>0</v>
      </c>
      <c r="Z753" s="2">
        <v>0</v>
      </c>
      <c r="AA753" s="2">
        <v>0</v>
      </c>
      <c r="AB753" s="2"/>
      <c r="AC753" s="2">
        <v>1293</v>
      </c>
      <c r="AD753" s="2">
        <v>1292</v>
      </c>
      <c r="AE753" s="2">
        <v>0</v>
      </c>
      <c r="AF753" s="2">
        <v>0</v>
      </c>
      <c r="AG753" s="2">
        <v>0</v>
      </c>
      <c r="AH753" s="2"/>
      <c r="AI753" s="2">
        <v>-15263</v>
      </c>
      <c r="AJ753" s="2">
        <v>-14429</v>
      </c>
      <c r="AK753" s="2">
        <v>-14429</v>
      </c>
      <c r="AL753" s="2">
        <v>0</v>
      </c>
      <c r="AM753" s="2">
        <v>-14429</v>
      </c>
    </row>
    <row r="754" spans="1:39">
      <c r="A754" s="351">
        <v>98041</v>
      </c>
      <c r="B754" s="344" t="s">
        <v>1452</v>
      </c>
      <c r="C754" s="360">
        <v>2.1320000000000001E-4</v>
      </c>
      <c r="E754" s="2">
        <v>68692</v>
      </c>
      <c r="F754" s="2">
        <v>90052</v>
      </c>
      <c r="G754" s="2">
        <v>46859</v>
      </c>
      <c r="H754" s="2">
        <v>31729</v>
      </c>
      <c r="I754" s="2">
        <v>0</v>
      </c>
      <c r="J754" s="2"/>
      <c r="K754" s="2">
        <v>39529</v>
      </c>
      <c r="L754" s="2">
        <v>36413</v>
      </c>
      <c r="M754" s="2">
        <v>20266</v>
      </c>
      <c r="N754" s="2">
        <v>0</v>
      </c>
      <c r="O754" s="2">
        <v>0</v>
      </c>
      <c r="P754" s="2"/>
      <c r="Q754" s="2">
        <v>2562</v>
      </c>
      <c r="R754" s="2">
        <v>35840</v>
      </c>
      <c r="S754" s="2">
        <v>37079</v>
      </c>
      <c r="T754" s="2">
        <v>31729</v>
      </c>
      <c r="U754" s="2">
        <v>0</v>
      </c>
      <c r="V754" s="2"/>
      <c r="W754" s="2">
        <v>31293</v>
      </c>
      <c r="X754" s="2">
        <v>25404</v>
      </c>
      <c r="Y754" s="2">
        <v>0</v>
      </c>
      <c r="Z754" s="2">
        <v>0</v>
      </c>
      <c r="AA754" s="2">
        <v>0</v>
      </c>
      <c r="AB754" s="2"/>
      <c r="AC754" s="2">
        <v>5793</v>
      </c>
      <c r="AD754" s="2">
        <v>2880</v>
      </c>
      <c r="AE754" s="2">
        <v>0</v>
      </c>
      <c r="AF754" s="2">
        <v>0</v>
      </c>
      <c r="AG754" s="2">
        <v>0</v>
      </c>
      <c r="AH754" s="2"/>
      <c r="AI754" s="2">
        <v>-10485</v>
      </c>
      <c r="AJ754" s="2">
        <v>-10485</v>
      </c>
      <c r="AK754" s="2">
        <v>-10486</v>
      </c>
      <c r="AL754" s="2">
        <v>0</v>
      </c>
      <c r="AM754" s="2">
        <v>-10485</v>
      </c>
    </row>
    <row r="755" spans="1:39">
      <c r="A755" s="351">
        <v>98051</v>
      </c>
      <c r="B755" s="344" t="s">
        <v>1453</v>
      </c>
      <c r="C755" s="360">
        <v>2.4059999999999999E-4</v>
      </c>
      <c r="E755" s="2">
        <v>61160</v>
      </c>
      <c r="F755" s="2">
        <v>90404</v>
      </c>
      <c r="G755" s="2">
        <v>44850</v>
      </c>
      <c r="H755" s="2">
        <v>35807</v>
      </c>
      <c r="I755" s="2">
        <v>0</v>
      </c>
      <c r="J755" s="2"/>
      <c r="K755" s="2">
        <v>44609</v>
      </c>
      <c r="L755" s="2">
        <v>41093</v>
      </c>
      <c r="M755" s="2">
        <v>22871</v>
      </c>
      <c r="N755" s="2">
        <v>0</v>
      </c>
      <c r="O755" s="2">
        <v>0</v>
      </c>
      <c r="P755" s="2"/>
      <c r="Q755" s="2">
        <v>2892</v>
      </c>
      <c r="R755" s="2">
        <v>40446</v>
      </c>
      <c r="S755" s="2">
        <v>41845</v>
      </c>
      <c r="T755" s="2">
        <v>35807</v>
      </c>
      <c r="U755" s="2">
        <v>0</v>
      </c>
      <c r="V755" s="2"/>
      <c r="W755" s="2">
        <v>35314</v>
      </c>
      <c r="X755" s="2">
        <v>28669</v>
      </c>
      <c r="Y755" s="2">
        <v>0</v>
      </c>
      <c r="Z755" s="2">
        <v>0</v>
      </c>
      <c r="AA755" s="2">
        <v>0</v>
      </c>
      <c r="AB755" s="2"/>
      <c r="AC755" s="2">
        <v>4456</v>
      </c>
      <c r="AD755" s="2">
        <v>4455</v>
      </c>
      <c r="AE755" s="2">
        <v>4392</v>
      </c>
      <c r="AF755" s="2">
        <v>0</v>
      </c>
      <c r="AG755" s="2">
        <v>0</v>
      </c>
      <c r="AH755" s="2"/>
      <c r="AI755" s="2">
        <v>-26111</v>
      </c>
      <c r="AJ755" s="2">
        <v>-24259</v>
      </c>
      <c r="AK755" s="2">
        <v>-24258</v>
      </c>
      <c r="AL755" s="2">
        <v>0</v>
      </c>
      <c r="AM755" s="2">
        <v>-24259</v>
      </c>
    </row>
    <row r="756" spans="1:39">
      <c r="A756" s="351">
        <v>98061</v>
      </c>
      <c r="B756" s="344" t="s">
        <v>1454</v>
      </c>
      <c r="C756" s="360">
        <v>1.2799999999999999E-4</v>
      </c>
      <c r="E756" s="2">
        <v>43857</v>
      </c>
      <c r="F756" s="2">
        <v>57477</v>
      </c>
      <c r="G756" s="2">
        <v>30432</v>
      </c>
      <c r="H756" s="2">
        <v>19049</v>
      </c>
      <c r="I756" s="2">
        <v>0</v>
      </c>
      <c r="J756" s="2"/>
      <c r="K756" s="2">
        <v>23732</v>
      </c>
      <c r="L756" s="2">
        <v>21862</v>
      </c>
      <c r="M756" s="2">
        <v>12167</v>
      </c>
      <c r="N756" s="2">
        <v>0</v>
      </c>
      <c r="O756" s="2">
        <v>0</v>
      </c>
      <c r="P756" s="2"/>
      <c r="Q756" s="2">
        <v>1538</v>
      </c>
      <c r="R756" s="2">
        <v>21517</v>
      </c>
      <c r="S756" s="2">
        <v>22262</v>
      </c>
      <c r="T756" s="2">
        <v>19049</v>
      </c>
      <c r="U756" s="2">
        <v>0</v>
      </c>
      <c r="V756" s="2"/>
      <c r="W756" s="2">
        <v>18787</v>
      </c>
      <c r="X756" s="2">
        <v>15252</v>
      </c>
      <c r="Y756" s="2">
        <v>0</v>
      </c>
      <c r="Z756" s="2">
        <v>0</v>
      </c>
      <c r="AA756" s="2">
        <v>0</v>
      </c>
      <c r="AB756" s="2"/>
      <c r="AC756" s="2">
        <v>3819</v>
      </c>
      <c r="AD756" s="2">
        <v>2865</v>
      </c>
      <c r="AE756" s="2">
        <v>20</v>
      </c>
      <c r="AF756" s="2">
        <v>0</v>
      </c>
      <c r="AG756" s="2">
        <v>0</v>
      </c>
      <c r="AH756" s="2"/>
      <c r="AI756" s="2">
        <v>-4019</v>
      </c>
      <c r="AJ756" s="2">
        <v>-4019</v>
      </c>
      <c r="AK756" s="2">
        <v>-4017</v>
      </c>
      <c r="AL756" s="2">
        <v>0</v>
      </c>
      <c r="AM756" s="2">
        <v>-4019</v>
      </c>
    </row>
    <row r="757" spans="1:39">
      <c r="A757" s="351">
        <v>98071</v>
      </c>
      <c r="B757" s="344" t="s">
        <v>1455</v>
      </c>
      <c r="C757" s="360">
        <v>5.2899999999999998E-5</v>
      </c>
      <c r="E757" s="2">
        <v>32790</v>
      </c>
      <c r="F757" s="2">
        <v>35893</v>
      </c>
      <c r="G757" s="2">
        <v>24068</v>
      </c>
      <c r="H757" s="2">
        <v>7873</v>
      </c>
      <c r="I757" s="2">
        <v>0</v>
      </c>
      <c r="J757" s="2"/>
      <c r="K757" s="2">
        <v>9808</v>
      </c>
      <c r="L757" s="2">
        <v>9035</v>
      </c>
      <c r="M757" s="2">
        <v>5029</v>
      </c>
      <c r="N757" s="2">
        <v>0</v>
      </c>
      <c r="O757" s="2">
        <v>0</v>
      </c>
      <c r="P757" s="2"/>
      <c r="Q757" s="2">
        <v>636</v>
      </c>
      <c r="R757" s="2">
        <v>8893</v>
      </c>
      <c r="S757" s="2">
        <v>9200</v>
      </c>
      <c r="T757" s="2">
        <v>7873</v>
      </c>
      <c r="U757" s="2">
        <v>0</v>
      </c>
      <c r="V757" s="2"/>
      <c r="W757" s="2">
        <v>7764</v>
      </c>
      <c r="X757" s="2">
        <v>6303</v>
      </c>
      <c r="Y757" s="2">
        <v>0</v>
      </c>
      <c r="Z757" s="2">
        <v>0</v>
      </c>
      <c r="AA757" s="2">
        <v>0</v>
      </c>
      <c r="AB757" s="2"/>
      <c r="AC757" s="2">
        <v>14582</v>
      </c>
      <c r="AD757" s="2">
        <v>11662</v>
      </c>
      <c r="AE757" s="2">
        <v>9839</v>
      </c>
      <c r="AF757" s="2">
        <v>0</v>
      </c>
      <c r="AG757" s="2">
        <v>0</v>
      </c>
      <c r="AH757" s="2"/>
      <c r="AI757" s="2">
        <v>0</v>
      </c>
      <c r="AJ757" s="2">
        <v>0</v>
      </c>
      <c r="AK757" s="2">
        <v>0</v>
      </c>
      <c r="AL757" s="2">
        <v>0</v>
      </c>
      <c r="AM757" s="2">
        <v>0</v>
      </c>
    </row>
    <row r="758" spans="1:39">
      <c r="A758" s="351">
        <v>98081</v>
      </c>
      <c r="B758" s="344" t="s">
        <v>1456</v>
      </c>
      <c r="C758" s="360">
        <v>1.45E-5</v>
      </c>
      <c r="E758" s="2">
        <v>3715</v>
      </c>
      <c r="F758" s="2">
        <v>5722</v>
      </c>
      <c r="G758" s="2">
        <v>3260</v>
      </c>
      <c r="H758" s="2">
        <v>2158</v>
      </c>
      <c r="I758" s="2">
        <v>0</v>
      </c>
      <c r="J758" s="2"/>
      <c r="K758" s="2">
        <v>2688</v>
      </c>
      <c r="L758" s="2">
        <v>2477</v>
      </c>
      <c r="M758" s="2">
        <v>1378</v>
      </c>
      <c r="N758" s="2">
        <v>0</v>
      </c>
      <c r="O758" s="2">
        <v>0</v>
      </c>
      <c r="P758" s="2"/>
      <c r="Q758" s="2">
        <v>174</v>
      </c>
      <c r="R758" s="2">
        <v>2438</v>
      </c>
      <c r="S758" s="2">
        <v>2522</v>
      </c>
      <c r="T758" s="2">
        <v>2158</v>
      </c>
      <c r="U758" s="2">
        <v>0</v>
      </c>
      <c r="V758" s="2"/>
      <c r="W758" s="2">
        <v>2128</v>
      </c>
      <c r="X758" s="2">
        <v>1728</v>
      </c>
      <c r="Y758" s="2">
        <v>0</v>
      </c>
      <c r="Z758" s="2">
        <v>0</v>
      </c>
      <c r="AA758" s="2">
        <v>0</v>
      </c>
      <c r="AB758" s="2"/>
      <c r="AC758" s="2">
        <v>0</v>
      </c>
      <c r="AD758" s="2">
        <v>0</v>
      </c>
      <c r="AE758" s="2">
        <v>0</v>
      </c>
      <c r="AF758" s="2">
        <v>0</v>
      </c>
      <c r="AG758" s="2">
        <v>0</v>
      </c>
      <c r="AH758" s="2"/>
      <c r="AI758" s="2">
        <v>-1275</v>
      </c>
      <c r="AJ758" s="2">
        <v>-921</v>
      </c>
      <c r="AK758" s="2">
        <v>-640</v>
      </c>
      <c r="AL758" s="2">
        <v>0</v>
      </c>
      <c r="AM758" s="2">
        <v>-921</v>
      </c>
    </row>
    <row r="759" spans="1:39">
      <c r="A759" s="351">
        <v>98091</v>
      </c>
      <c r="B759" s="344" t="s">
        <v>1457</v>
      </c>
      <c r="C759" s="360">
        <v>4.8099999999999997E-5</v>
      </c>
      <c r="E759" s="2">
        <v>12471</v>
      </c>
      <c r="F759" s="2">
        <v>17831</v>
      </c>
      <c r="G759" s="2">
        <v>7473</v>
      </c>
      <c r="H759" s="2">
        <v>7158</v>
      </c>
      <c r="I759" s="2">
        <v>0</v>
      </c>
      <c r="J759" s="2"/>
      <c r="K759" s="2">
        <v>8918</v>
      </c>
      <c r="L759" s="2">
        <v>8215</v>
      </c>
      <c r="M759" s="2">
        <v>4572</v>
      </c>
      <c r="N759" s="2">
        <v>0</v>
      </c>
      <c r="O759" s="2">
        <v>0</v>
      </c>
      <c r="P759" s="2"/>
      <c r="Q759" s="2">
        <v>578</v>
      </c>
      <c r="R759" s="2">
        <v>8086</v>
      </c>
      <c r="S759" s="2">
        <v>8365</v>
      </c>
      <c r="T759" s="2">
        <v>7158</v>
      </c>
      <c r="U759" s="2">
        <v>0</v>
      </c>
      <c r="V759" s="2"/>
      <c r="W759" s="2">
        <v>7060</v>
      </c>
      <c r="X759" s="2">
        <v>5731</v>
      </c>
      <c r="Y759" s="2">
        <v>0</v>
      </c>
      <c r="Z759" s="2">
        <v>0</v>
      </c>
      <c r="AA759" s="2">
        <v>0</v>
      </c>
      <c r="AB759" s="2"/>
      <c r="AC759" s="2">
        <v>3198</v>
      </c>
      <c r="AD759" s="2">
        <v>3082</v>
      </c>
      <c r="AE759" s="2">
        <v>1818</v>
      </c>
      <c r="AF759" s="2">
        <v>0</v>
      </c>
      <c r="AG759" s="2">
        <v>0</v>
      </c>
      <c r="AH759" s="2"/>
      <c r="AI759" s="2">
        <v>-7283</v>
      </c>
      <c r="AJ759" s="2">
        <v>-7283</v>
      </c>
      <c r="AK759" s="2">
        <v>-7282</v>
      </c>
      <c r="AL759" s="2">
        <v>0</v>
      </c>
      <c r="AM759" s="2">
        <v>-7283</v>
      </c>
    </row>
    <row r="760" spans="1:39">
      <c r="A760" s="351">
        <v>98101</v>
      </c>
      <c r="B760" s="344" t="s">
        <v>1458</v>
      </c>
      <c r="C760" s="360">
        <v>2.7560000000000002E-3</v>
      </c>
      <c r="E760" s="2">
        <v>942888</v>
      </c>
      <c r="F760" s="2">
        <v>1260360</v>
      </c>
      <c r="G760" s="2">
        <v>785193</v>
      </c>
      <c r="H760" s="2">
        <v>410153</v>
      </c>
      <c r="I760" s="2">
        <v>0</v>
      </c>
      <c r="J760" s="2"/>
      <c r="K760" s="2">
        <v>510987</v>
      </c>
      <c r="L760" s="2">
        <v>470708</v>
      </c>
      <c r="M760" s="2">
        <v>261980</v>
      </c>
      <c r="N760" s="2">
        <v>0</v>
      </c>
      <c r="O760" s="2">
        <v>0</v>
      </c>
      <c r="P760" s="2"/>
      <c r="Q760" s="2">
        <v>33124</v>
      </c>
      <c r="R760" s="2">
        <v>463297</v>
      </c>
      <c r="S760" s="2">
        <v>479318</v>
      </c>
      <c r="T760" s="2">
        <v>410153</v>
      </c>
      <c r="U760" s="2">
        <v>0</v>
      </c>
      <c r="V760" s="2"/>
      <c r="W760" s="2">
        <v>404515</v>
      </c>
      <c r="X760" s="2">
        <v>328397</v>
      </c>
      <c r="Y760" s="2">
        <v>0</v>
      </c>
      <c r="Z760" s="2">
        <v>0</v>
      </c>
      <c r="AA760" s="2">
        <v>0</v>
      </c>
      <c r="AB760" s="2"/>
      <c r="AC760" s="2">
        <v>43895</v>
      </c>
      <c r="AD760" s="2">
        <v>43895</v>
      </c>
      <c r="AE760" s="2">
        <v>43895</v>
      </c>
      <c r="AF760" s="2">
        <v>0</v>
      </c>
      <c r="AG760" s="2">
        <v>0</v>
      </c>
      <c r="AH760" s="2"/>
      <c r="AI760" s="2">
        <v>-49633</v>
      </c>
      <c r="AJ760" s="2">
        <v>-45937</v>
      </c>
      <c r="AK760" s="2">
        <v>0</v>
      </c>
      <c r="AL760" s="2">
        <v>0</v>
      </c>
      <c r="AM760" s="2">
        <v>-45937</v>
      </c>
    </row>
    <row r="761" spans="1:39">
      <c r="A761" s="351">
        <v>98102</v>
      </c>
      <c r="B761" s="344" t="s">
        <v>1459</v>
      </c>
      <c r="C761" s="360">
        <v>1.56E-4</v>
      </c>
      <c r="E761" s="2">
        <v>51756</v>
      </c>
      <c r="F761" s="2">
        <v>71414</v>
      </c>
      <c r="G761" s="2">
        <v>43021</v>
      </c>
      <c r="H761" s="2">
        <v>23216</v>
      </c>
      <c r="I761" s="2">
        <v>0</v>
      </c>
      <c r="J761" s="2"/>
      <c r="K761" s="2">
        <v>28924</v>
      </c>
      <c r="L761" s="2">
        <v>26644</v>
      </c>
      <c r="M761" s="2">
        <v>14829</v>
      </c>
      <c r="N761" s="2">
        <v>0</v>
      </c>
      <c r="O761" s="2">
        <v>0</v>
      </c>
      <c r="P761" s="2"/>
      <c r="Q761" s="2">
        <v>1875</v>
      </c>
      <c r="R761" s="2">
        <v>26224</v>
      </c>
      <c r="S761" s="2">
        <v>27131</v>
      </c>
      <c r="T761" s="2">
        <v>23216</v>
      </c>
      <c r="U761" s="2">
        <v>0</v>
      </c>
      <c r="V761" s="2"/>
      <c r="W761" s="2">
        <v>22897</v>
      </c>
      <c r="X761" s="2">
        <v>18588</v>
      </c>
      <c r="Y761" s="2">
        <v>0</v>
      </c>
      <c r="Z761" s="2">
        <v>0</v>
      </c>
      <c r="AA761" s="2">
        <v>0</v>
      </c>
      <c r="AB761" s="2"/>
      <c r="AC761" s="2">
        <v>2199</v>
      </c>
      <c r="AD761" s="2">
        <v>2199</v>
      </c>
      <c r="AE761" s="2">
        <v>2200</v>
      </c>
      <c r="AF761" s="2">
        <v>0</v>
      </c>
      <c r="AG761" s="2">
        <v>0</v>
      </c>
      <c r="AH761" s="2"/>
      <c r="AI761" s="2">
        <v>-4139</v>
      </c>
      <c r="AJ761" s="2">
        <v>-2241</v>
      </c>
      <c r="AK761" s="2">
        <v>-1139</v>
      </c>
      <c r="AL761" s="2">
        <v>0</v>
      </c>
      <c r="AM761" s="2">
        <v>-2241</v>
      </c>
    </row>
    <row r="762" spans="1:39">
      <c r="A762" s="351">
        <v>98103</v>
      </c>
      <c r="B762" s="344" t="s">
        <v>2792</v>
      </c>
      <c r="C762" s="360">
        <v>5.0699999999999996E-4</v>
      </c>
      <c r="E762" s="2">
        <v>171410</v>
      </c>
      <c r="F762" s="2">
        <v>226699</v>
      </c>
      <c r="G762" s="2">
        <v>138827</v>
      </c>
      <c r="H762" s="2">
        <v>75453</v>
      </c>
      <c r="I762" s="2">
        <v>0</v>
      </c>
      <c r="J762" s="2"/>
      <c r="K762" s="2">
        <v>94002</v>
      </c>
      <c r="L762" s="2">
        <v>86593</v>
      </c>
      <c r="M762" s="2">
        <v>48194</v>
      </c>
      <c r="N762" s="2">
        <v>0</v>
      </c>
      <c r="O762" s="2">
        <v>0</v>
      </c>
      <c r="P762" s="2"/>
      <c r="Q762" s="2">
        <v>6094</v>
      </c>
      <c r="R762" s="2">
        <v>85229</v>
      </c>
      <c r="S762" s="2">
        <v>88176</v>
      </c>
      <c r="T762" s="2">
        <v>75453</v>
      </c>
      <c r="U762" s="2">
        <v>0</v>
      </c>
      <c r="V762" s="2"/>
      <c r="W762" s="2">
        <v>74415</v>
      </c>
      <c r="X762" s="2">
        <v>60413</v>
      </c>
      <c r="Y762" s="2">
        <v>0</v>
      </c>
      <c r="Z762" s="2">
        <v>0</v>
      </c>
      <c r="AA762" s="2">
        <v>0</v>
      </c>
      <c r="AB762" s="2"/>
      <c r="AC762" s="2">
        <v>8950</v>
      </c>
      <c r="AD762" s="2">
        <v>6516</v>
      </c>
      <c r="AE762" s="2">
        <v>6516</v>
      </c>
      <c r="AF762" s="2">
        <v>0</v>
      </c>
      <c r="AG762" s="2">
        <v>0</v>
      </c>
      <c r="AH762" s="2"/>
      <c r="AI762" s="2">
        <v>-12051</v>
      </c>
      <c r="AJ762" s="2">
        <v>-12052</v>
      </c>
      <c r="AK762" s="2">
        <v>-4059</v>
      </c>
      <c r="AL762" s="2">
        <v>0</v>
      </c>
      <c r="AM762" s="2">
        <v>-12052</v>
      </c>
    </row>
    <row r="763" spans="1:39">
      <c r="A763" s="351">
        <v>98107</v>
      </c>
      <c r="B763" s="344" t="s">
        <v>1461</v>
      </c>
      <c r="C763" s="360">
        <v>7.9000000000000006E-6</v>
      </c>
      <c r="E763" s="2">
        <v>6918</v>
      </c>
      <c r="F763" s="2">
        <v>6959</v>
      </c>
      <c r="G763" s="2">
        <v>4695</v>
      </c>
      <c r="H763" s="2">
        <v>1176</v>
      </c>
      <c r="I763" s="2">
        <v>0</v>
      </c>
      <c r="J763" s="2"/>
      <c r="K763" s="2">
        <v>1465</v>
      </c>
      <c r="L763" s="2">
        <v>1349</v>
      </c>
      <c r="M763" s="2">
        <v>751</v>
      </c>
      <c r="N763" s="2">
        <v>0</v>
      </c>
      <c r="O763" s="2">
        <v>0</v>
      </c>
      <c r="P763" s="2"/>
      <c r="Q763" s="2">
        <v>95</v>
      </c>
      <c r="R763" s="2">
        <v>1328</v>
      </c>
      <c r="S763" s="2">
        <v>1374</v>
      </c>
      <c r="T763" s="2">
        <v>1176</v>
      </c>
      <c r="U763" s="2">
        <v>0</v>
      </c>
      <c r="V763" s="2"/>
      <c r="W763" s="2">
        <v>1160</v>
      </c>
      <c r="X763" s="2">
        <v>941</v>
      </c>
      <c r="Y763" s="2">
        <v>0</v>
      </c>
      <c r="Z763" s="2">
        <v>0</v>
      </c>
      <c r="AA763" s="2">
        <v>0</v>
      </c>
      <c r="AB763" s="2"/>
      <c r="AC763" s="2">
        <v>4198</v>
      </c>
      <c r="AD763" s="2">
        <v>3341</v>
      </c>
      <c r="AE763" s="2">
        <v>2570</v>
      </c>
      <c r="AF763" s="2">
        <v>0</v>
      </c>
      <c r="AG763" s="2">
        <v>0</v>
      </c>
      <c r="AH763" s="2"/>
      <c r="AI763" s="2">
        <v>0</v>
      </c>
      <c r="AJ763" s="2">
        <v>0</v>
      </c>
      <c r="AK763" s="2">
        <v>0</v>
      </c>
      <c r="AL763" s="2">
        <v>0</v>
      </c>
      <c r="AM763" s="2">
        <v>0</v>
      </c>
    </row>
    <row r="764" spans="1:39">
      <c r="A764" s="351">
        <v>98109</v>
      </c>
      <c r="B764" s="344" t="s">
        <v>3703</v>
      </c>
      <c r="C764" s="360">
        <v>1.4339999999999999E-4</v>
      </c>
      <c r="E764" s="2">
        <v>57200</v>
      </c>
      <c r="F764" s="2">
        <v>70970</v>
      </c>
      <c r="G764" s="2">
        <v>43750</v>
      </c>
      <c r="H764" s="2">
        <v>21341</v>
      </c>
      <c r="I764" s="2">
        <v>0</v>
      </c>
      <c r="J764" s="2"/>
      <c r="K764" s="2">
        <v>26588</v>
      </c>
      <c r="L764" s="2">
        <v>24492</v>
      </c>
      <c r="M764" s="2">
        <v>13631</v>
      </c>
      <c r="N764" s="2">
        <v>0</v>
      </c>
      <c r="O764" s="2">
        <v>0</v>
      </c>
      <c r="P764" s="2"/>
      <c r="Q764" s="2">
        <v>1724</v>
      </c>
      <c r="R764" s="2">
        <v>24106</v>
      </c>
      <c r="S764" s="2">
        <v>24940</v>
      </c>
      <c r="T764" s="2">
        <v>21341</v>
      </c>
      <c r="U764" s="2">
        <v>0</v>
      </c>
      <c r="V764" s="2"/>
      <c r="W764" s="2">
        <v>21048</v>
      </c>
      <c r="X764" s="2">
        <v>17087</v>
      </c>
      <c r="Y764" s="2">
        <v>0</v>
      </c>
      <c r="Z764" s="2">
        <v>0</v>
      </c>
      <c r="AA764" s="2">
        <v>0</v>
      </c>
      <c r="AB764" s="2"/>
      <c r="AC764" s="2">
        <v>8567</v>
      </c>
      <c r="AD764" s="2">
        <v>6012</v>
      </c>
      <c r="AE764" s="2">
        <v>5904</v>
      </c>
      <c r="AF764" s="2">
        <v>0</v>
      </c>
      <c r="AG764" s="2">
        <v>0</v>
      </c>
      <c r="AH764" s="2"/>
      <c r="AI764" s="2">
        <v>-727</v>
      </c>
      <c r="AJ764" s="2">
        <v>-727</v>
      </c>
      <c r="AK764" s="2">
        <v>-725</v>
      </c>
      <c r="AL764" s="2">
        <v>0</v>
      </c>
      <c r="AM764" s="2">
        <v>-727</v>
      </c>
    </row>
    <row r="765" spans="1:39">
      <c r="A765" s="351">
        <v>98111</v>
      </c>
      <c r="B765" s="344" t="s">
        <v>1463</v>
      </c>
      <c r="C765" s="360">
        <v>9.8539999999999999E-4</v>
      </c>
      <c r="E765" s="2">
        <v>291443</v>
      </c>
      <c r="F765" s="2">
        <v>411062</v>
      </c>
      <c r="G765" s="2">
        <v>232516</v>
      </c>
      <c r="H765" s="2">
        <v>146649</v>
      </c>
      <c r="I765" s="2">
        <v>0</v>
      </c>
      <c r="J765" s="2"/>
      <c r="K765" s="2">
        <v>182702</v>
      </c>
      <c r="L765" s="2">
        <v>168300</v>
      </c>
      <c r="M765" s="2">
        <v>93670</v>
      </c>
      <c r="N765" s="2">
        <v>0</v>
      </c>
      <c r="O765" s="2">
        <v>0</v>
      </c>
      <c r="P765" s="2"/>
      <c r="Q765" s="2">
        <v>11844</v>
      </c>
      <c r="R765" s="2">
        <v>165651</v>
      </c>
      <c r="S765" s="2">
        <v>171379</v>
      </c>
      <c r="T765" s="2">
        <v>146649</v>
      </c>
      <c r="U765" s="2">
        <v>0</v>
      </c>
      <c r="V765" s="2"/>
      <c r="W765" s="2">
        <v>144633</v>
      </c>
      <c r="X765" s="2">
        <v>117417</v>
      </c>
      <c r="Y765" s="2">
        <v>0</v>
      </c>
      <c r="Z765" s="2">
        <v>0</v>
      </c>
      <c r="AA765" s="2">
        <v>0</v>
      </c>
      <c r="AB765" s="2"/>
      <c r="AC765" s="2">
        <v>0</v>
      </c>
      <c r="AD765" s="2">
        <v>0</v>
      </c>
      <c r="AE765" s="2">
        <v>0</v>
      </c>
      <c r="AF765" s="2">
        <v>0</v>
      </c>
      <c r="AG765" s="2">
        <v>0</v>
      </c>
      <c r="AH765" s="2"/>
      <c r="AI765" s="2">
        <v>-47736</v>
      </c>
      <c r="AJ765" s="2">
        <v>-40306</v>
      </c>
      <c r="AK765" s="2">
        <v>-32533</v>
      </c>
      <c r="AL765" s="2">
        <v>0</v>
      </c>
      <c r="AM765" s="2">
        <v>-40306</v>
      </c>
    </row>
    <row r="766" spans="1:39">
      <c r="A766" s="351">
        <v>98113</v>
      </c>
      <c r="B766" s="344" t="s">
        <v>1464</v>
      </c>
      <c r="C766" s="360">
        <v>2.9099999999999999E-5</v>
      </c>
      <c r="E766" s="2">
        <v>13140</v>
      </c>
      <c r="F766" s="2">
        <v>14789</v>
      </c>
      <c r="G766" s="2">
        <v>9393</v>
      </c>
      <c r="H766" s="2">
        <v>4331</v>
      </c>
      <c r="I766" s="2">
        <v>0</v>
      </c>
      <c r="J766" s="2"/>
      <c r="K766" s="2">
        <v>5395</v>
      </c>
      <c r="L766" s="2">
        <v>4970</v>
      </c>
      <c r="M766" s="2">
        <v>2766</v>
      </c>
      <c r="N766" s="2">
        <v>0</v>
      </c>
      <c r="O766" s="2">
        <v>0</v>
      </c>
      <c r="P766" s="2"/>
      <c r="Q766" s="2">
        <v>350</v>
      </c>
      <c r="R766" s="2">
        <v>4892</v>
      </c>
      <c r="S766" s="2">
        <v>5061</v>
      </c>
      <c r="T766" s="2">
        <v>4331</v>
      </c>
      <c r="U766" s="2">
        <v>0</v>
      </c>
      <c r="V766" s="2"/>
      <c r="W766" s="2">
        <v>4271</v>
      </c>
      <c r="X766" s="2">
        <v>3467</v>
      </c>
      <c r="Y766" s="2">
        <v>0</v>
      </c>
      <c r="Z766" s="2">
        <v>0</v>
      </c>
      <c r="AA766" s="2">
        <v>0</v>
      </c>
      <c r="AB766" s="2"/>
      <c r="AC766" s="2">
        <v>3228</v>
      </c>
      <c r="AD766" s="2">
        <v>1564</v>
      </c>
      <c r="AE766" s="2">
        <v>1566</v>
      </c>
      <c r="AF766" s="2">
        <v>0</v>
      </c>
      <c r="AG766" s="2">
        <v>0</v>
      </c>
      <c r="AH766" s="2"/>
      <c r="AI766" s="2">
        <v>-104</v>
      </c>
      <c r="AJ766" s="2">
        <v>-104</v>
      </c>
      <c r="AK766" s="2">
        <v>0</v>
      </c>
      <c r="AL766" s="2">
        <v>0</v>
      </c>
      <c r="AM766" s="2">
        <v>-104</v>
      </c>
    </row>
    <row r="767" spans="1:39">
      <c r="A767" s="351">
        <v>98121</v>
      </c>
      <c r="B767" s="344" t="s">
        <v>1465</v>
      </c>
      <c r="C767" s="360">
        <v>2.0430000000000001E-4</v>
      </c>
      <c r="E767" s="2">
        <v>61445</v>
      </c>
      <c r="F767" s="2">
        <v>89996</v>
      </c>
      <c r="G767" s="2">
        <v>50063</v>
      </c>
      <c r="H767" s="2">
        <v>30404</v>
      </c>
      <c r="I767" s="2">
        <v>0</v>
      </c>
      <c r="J767" s="2"/>
      <c r="K767" s="2">
        <v>37879</v>
      </c>
      <c r="L767" s="2">
        <v>34893</v>
      </c>
      <c r="M767" s="2">
        <v>19420</v>
      </c>
      <c r="N767" s="2">
        <v>0</v>
      </c>
      <c r="O767" s="2">
        <v>0</v>
      </c>
      <c r="P767" s="2"/>
      <c r="Q767" s="2">
        <v>2455</v>
      </c>
      <c r="R767" s="2">
        <v>34344</v>
      </c>
      <c r="S767" s="2">
        <v>35531</v>
      </c>
      <c r="T767" s="2">
        <v>30404</v>
      </c>
      <c r="U767" s="2">
        <v>0</v>
      </c>
      <c r="V767" s="2"/>
      <c r="W767" s="2">
        <v>29986</v>
      </c>
      <c r="X767" s="2">
        <v>24344</v>
      </c>
      <c r="Y767" s="2">
        <v>0</v>
      </c>
      <c r="Z767" s="2">
        <v>0</v>
      </c>
      <c r="AA767" s="2">
        <v>0</v>
      </c>
      <c r="AB767" s="2"/>
      <c r="AC767" s="2">
        <v>1306</v>
      </c>
      <c r="AD767" s="2">
        <v>1304</v>
      </c>
      <c r="AE767" s="2">
        <v>0</v>
      </c>
      <c r="AF767" s="2">
        <v>0</v>
      </c>
      <c r="AG767" s="2">
        <v>0</v>
      </c>
      <c r="AH767" s="2"/>
      <c r="AI767" s="2">
        <v>-10181</v>
      </c>
      <c r="AJ767" s="2">
        <v>-4889</v>
      </c>
      <c r="AK767" s="2">
        <v>-4888</v>
      </c>
      <c r="AL767" s="2">
        <v>0</v>
      </c>
      <c r="AM767" s="2">
        <v>-4889</v>
      </c>
    </row>
    <row r="768" spans="1:39">
      <c r="A768" s="351">
        <v>98131</v>
      </c>
      <c r="B768" s="344" t="s">
        <v>1466</v>
      </c>
      <c r="C768" s="360">
        <v>2.5710000000000002E-4</v>
      </c>
      <c r="E768" s="2">
        <v>89031</v>
      </c>
      <c r="F768" s="2">
        <v>124801</v>
      </c>
      <c r="G768" s="2">
        <v>78897</v>
      </c>
      <c r="H768" s="2">
        <v>38262</v>
      </c>
      <c r="I768" s="2">
        <v>0</v>
      </c>
      <c r="J768" s="2"/>
      <c r="K768" s="2">
        <v>47669</v>
      </c>
      <c r="L768" s="2">
        <v>43911</v>
      </c>
      <c r="M768" s="2">
        <v>24439</v>
      </c>
      <c r="N768" s="2">
        <v>0</v>
      </c>
      <c r="O768" s="2">
        <v>0</v>
      </c>
      <c r="P768" s="2"/>
      <c r="Q768" s="2">
        <v>3090</v>
      </c>
      <c r="R768" s="2">
        <v>43220</v>
      </c>
      <c r="S768" s="2">
        <v>44714</v>
      </c>
      <c r="T768" s="2">
        <v>38262</v>
      </c>
      <c r="U768" s="2">
        <v>0</v>
      </c>
      <c r="V768" s="2"/>
      <c r="W768" s="2">
        <v>37736</v>
      </c>
      <c r="X768" s="2">
        <v>30635</v>
      </c>
      <c r="Y768" s="2">
        <v>0</v>
      </c>
      <c r="Z768" s="2">
        <v>0</v>
      </c>
      <c r="AA768" s="2">
        <v>0</v>
      </c>
      <c r="AB768" s="2"/>
      <c r="AC768" s="2">
        <v>9742</v>
      </c>
      <c r="AD768" s="2">
        <v>9742</v>
      </c>
      <c r="AE768" s="2">
        <v>9744</v>
      </c>
      <c r="AF768" s="2">
        <v>0</v>
      </c>
      <c r="AG768" s="2">
        <v>0</v>
      </c>
      <c r="AH768" s="2"/>
      <c r="AI768" s="2">
        <v>-9206</v>
      </c>
      <c r="AJ768" s="2">
        <v>-2707</v>
      </c>
      <c r="AK768" s="2">
        <v>0</v>
      </c>
      <c r="AL768" s="2">
        <v>0</v>
      </c>
      <c r="AM768" s="2">
        <v>-2707</v>
      </c>
    </row>
    <row r="769" spans="1:39">
      <c r="A769" s="351">
        <v>98141</v>
      </c>
      <c r="B769" s="344" t="s">
        <v>1467</v>
      </c>
      <c r="C769" s="360">
        <v>2.8600000000000001E-4</v>
      </c>
      <c r="E769" s="2">
        <v>91255</v>
      </c>
      <c r="F769" s="2">
        <v>122750</v>
      </c>
      <c r="G769" s="2">
        <v>71490</v>
      </c>
      <c r="H769" s="2">
        <v>42563</v>
      </c>
      <c r="I769" s="2">
        <v>0</v>
      </c>
      <c r="J769" s="2"/>
      <c r="K769" s="2">
        <v>53027</v>
      </c>
      <c r="L769" s="2">
        <v>48847</v>
      </c>
      <c r="M769" s="2">
        <v>27187</v>
      </c>
      <c r="N769" s="2">
        <v>0</v>
      </c>
      <c r="O769" s="2">
        <v>0</v>
      </c>
      <c r="P769" s="2"/>
      <c r="Q769" s="2">
        <v>3437</v>
      </c>
      <c r="R769" s="2">
        <v>48078</v>
      </c>
      <c r="S769" s="2">
        <v>49741</v>
      </c>
      <c r="T769" s="2">
        <v>42563</v>
      </c>
      <c r="U769" s="2">
        <v>0</v>
      </c>
      <c r="V769" s="2"/>
      <c r="W769" s="2">
        <v>41978</v>
      </c>
      <c r="X769" s="2">
        <v>34079</v>
      </c>
      <c r="Y769" s="2">
        <v>0</v>
      </c>
      <c r="Z769" s="2">
        <v>0</v>
      </c>
      <c r="AA769" s="2">
        <v>0</v>
      </c>
      <c r="AB769" s="2"/>
      <c r="AC769" s="2">
        <v>1067</v>
      </c>
      <c r="AD769" s="2">
        <v>0</v>
      </c>
      <c r="AE769" s="2">
        <v>0</v>
      </c>
      <c r="AF769" s="2">
        <v>0</v>
      </c>
      <c r="AG769" s="2">
        <v>0</v>
      </c>
      <c r="AH769" s="2"/>
      <c r="AI769" s="2">
        <v>-8254</v>
      </c>
      <c r="AJ769" s="2">
        <v>-8254</v>
      </c>
      <c r="AK769" s="2">
        <v>-5438</v>
      </c>
      <c r="AL769" s="2">
        <v>0</v>
      </c>
      <c r="AM769" s="2">
        <v>-8254</v>
      </c>
    </row>
    <row r="770" spans="1:39">
      <c r="A770" s="351">
        <v>98147</v>
      </c>
      <c r="B770" s="344" t="s">
        <v>1468</v>
      </c>
      <c r="C770" s="360">
        <v>1.03E-5</v>
      </c>
      <c r="E770" s="2">
        <v>7465</v>
      </c>
      <c r="F770" s="2">
        <v>7839</v>
      </c>
      <c r="G770" s="2">
        <v>5130</v>
      </c>
      <c r="H770" s="2">
        <v>1533</v>
      </c>
      <c r="I770" s="2">
        <v>0</v>
      </c>
      <c r="J770" s="2"/>
      <c r="K770" s="2">
        <v>1910</v>
      </c>
      <c r="L770" s="2">
        <v>1759</v>
      </c>
      <c r="M770" s="2">
        <v>979</v>
      </c>
      <c r="N770" s="2">
        <v>0</v>
      </c>
      <c r="O770" s="2">
        <v>0</v>
      </c>
      <c r="P770" s="2"/>
      <c r="Q770" s="2">
        <v>124</v>
      </c>
      <c r="R770" s="2">
        <v>1731</v>
      </c>
      <c r="S770" s="2">
        <v>1791</v>
      </c>
      <c r="T770" s="2">
        <v>1533</v>
      </c>
      <c r="U770" s="2">
        <v>0</v>
      </c>
      <c r="V770" s="2"/>
      <c r="W770" s="2">
        <v>1512</v>
      </c>
      <c r="X770" s="2">
        <v>1227</v>
      </c>
      <c r="Y770" s="2">
        <v>0</v>
      </c>
      <c r="Z770" s="2">
        <v>0</v>
      </c>
      <c r="AA770" s="2">
        <v>0</v>
      </c>
      <c r="AB770" s="2"/>
      <c r="AC770" s="2">
        <v>3919</v>
      </c>
      <c r="AD770" s="2">
        <v>3122</v>
      </c>
      <c r="AE770" s="2">
        <v>2360</v>
      </c>
      <c r="AF770" s="2">
        <v>0</v>
      </c>
      <c r="AG770" s="2">
        <v>0</v>
      </c>
      <c r="AH770" s="2"/>
      <c r="AI770" s="2">
        <v>0</v>
      </c>
      <c r="AJ770" s="2">
        <v>0</v>
      </c>
      <c r="AK770" s="2">
        <v>0</v>
      </c>
      <c r="AL770" s="2">
        <v>0</v>
      </c>
      <c r="AM770" s="2">
        <v>0</v>
      </c>
    </row>
    <row r="771" spans="1:39">
      <c r="A771" s="351">
        <v>98161</v>
      </c>
      <c r="B771" s="344" t="s">
        <v>1469</v>
      </c>
      <c r="C771" s="360">
        <v>5.6999999999999996E-6</v>
      </c>
      <c r="E771" s="2">
        <v>3556</v>
      </c>
      <c r="F771" s="2">
        <v>3879</v>
      </c>
      <c r="G771" s="2">
        <v>2493</v>
      </c>
      <c r="H771" s="2">
        <v>848</v>
      </c>
      <c r="I771" s="2">
        <v>0</v>
      </c>
      <c r="J771" s="2"/>
      <c r="K771" s="2">
        <v>1057</v>
      </c>
      <c r="L771" s="2">
        <v>974</v>
      </c>
      <c r="M771" s="2">
        <v>542</v>
      </c>
      <c r="N771" s="2">
        <v>0</v>
      </c>
      <c r="O771" s="2">
        <v>0</v>
      </c>
      <c r="P771" s="2"/>
      <c r="Q771" s="2">
        <v>69</v>
      </c>
      <c r="R771" s="2">
        <v>958</v>
      </c>
      <c r="S771" s="2">
        <v>991</v>
      </c>
      <c r="T771" s="2">
        <v>848</v>
      </c>
      <c r="U771" s="2">
        <v>0</v>
      </c>
      <c r="V771" s="2"/>
      <c r="W771" s="2">
        <v>837</v>
      </c>
      <c r="X771" s="2">
        <v>679</v>
      </c>
      <c r="Y771" s="2">
        <v>0</v>
      </c>
      <c r="Z771" s="2">
        <v>0</v>
      </c>
      <c r="AA771" s="2">
        <v>0</v>
      </c>
      <c r="AB771" s="2"/>
      <c r="AC771" s="2">
        <v>1593</v>
      </c>
      <c r="AD771" s="2">
        <v>1268</v>
      </c>
      <c r="AE771" s="2">
        <v>960</v>
      </c>
      <c r="AF771" s="2">
        <v>0</v>
      </c>
      <c r="AG771" s="2">
        <v>0</v>
      </c>
      <c r="AH771" s="2"/>
      <c r="AI771" s="2">
        <v>0</v>
      </c>
      <c r="AJ771" s="2">
        <v>0</v>
      </c>
      <c r="AK771" s="2">
        <v>0</v>
      </c>
      <c r="AL771" s="2">
        <v>0</v>
      </c>
      <c r="AM771" s="2">
        <v>0</v>
      </c>
    </row>
    <row r="772" spans="1:39">
      <c r="A772" s="351">
        <v>98201</v>
      </c>
      <c r="B772" s="344" t="s">
        <v>1470</v>
      </c>
      <c r="C772" s="360">
        <v>3.1876000000000001E-3</v>
      </c>
      <c r="E772" s="2">
        <v>1049816</v>
      </c>
      <c r="F772" s="2">
        <v>1396835</v>
      </c>
      <c r="G772" s="2">
        <v>802135</v>
      </c>
      <c r="H772" s="2">
        <v>474385</v>
      </c>
      <c r="I772" s="2">
        <v>0</v>
      </c>
      <c r="J772" s="2"/>
      <c r="K772" s="2">
        <v>591010</v>
      </c>
      <c r="L772" s="2">
        <v>544423</v>
      </c>
      <c r="M772" s="2">
        <v>303007</v>
      </c>
      <c r="N772" s="2">
        <v>0</v>
      </c>
      <c r="O772" s="2">
        <v>0</v>
      </c>
      <c r="P772" s="2"/>
      <c r="Q772" s="2">
        <v>38312</v>
      </c>
      <c r="R772" s="2">
        <v>535851</v>
      </c>
      <c r="S772" s="2">
        <v>554381</v>
      </c>
      <c r="T772" s="2">
        <v>474385</v>
      </c>
      <c r="U772" s="2">
        <v>0</v>
      </c>
      <c r="V772" s="2"/>
      <c r="W772" s="2">
        <v>467863</v>
      </c>
      <c r="X772" s="2">
        <v>379825</v>
      </c>
      <c r="Y772" s="2">
        <v>0</v>
      </c>
      <c r="Z772" s="2">
        <v>0</v>
      </c>
      <c r="AA772" s="2">
        <v>0</v>
      </c>
      <c r="AB772" s="2"/>
      <c r="AC772" s="2">
        <v>40454</v>
      </c>
      <c r="AD772" s="2">
        <v>24557</v>
      </c>
      <c r="AE772" s="2">
        <v>24557</v>
      </c>
      <c r="AF772" s="2">
        <v>0</v>
      </c>
      <c r="AG772" s="2">
        <v>0</v>
      </c>
      <c r="AH772" s="2"/>
      <c r="AI772" s="2">
        <v>-87823</v>
      </c>
      <c r="AJ772" s="2">
        <v>-87821</v>
      </c>
      <c r="AK772" s="2">
        <v>-79810</v>
      </c>
      <c r="AL772" s="2">
        <v>0</v>
      </c>
      <c r="AM772" s="2">
        <v>-87821</v>
      </c>
    </row>
    <row r="773" spans="1:39">
      <c r="A773" s="351">
        <v>98205</v>
      </c>
      <c r="B773" s="344" t="s">
        <v>2808</v>
      </c>
      <c r="C773" s="360">
        <v>2.62E-5</v>
      </c>
      <c r="E773" s="2">
        <v>3273</v>
      </c>
      <c r="F773" s="2">
        <v>6607</v>
      </c>
      <c r="G773" s="2">
        <v>2771</v>
      </c>
      <c r="H773" s="2">
        <v>3899</v>
      </c>
      <c r="I773" s="2">
        <v>0</v>
      </c>
      <c r="J773" s="2"/>
      <c r="K773" s="2">
        <v>4858</v>
      </c>
      <c r="L773" s="2">
        <v>4475</v>
      </c>
      <c r="M773" s="2">
        <v>2491</v>
      </c>
      <c r="N773" s="2">
        <v>0</v>
      </c>
      <c r="O773" s="2">
        <v>0</v>
      </c>
      <c r="P773" s="2"/>
      <c r="Q773" s="2">
        <v>315</v>
      </c>
      <c r="R773" s="2">
        <v>4404</v>
      </c>
      <c r="S773" s="2">
        <v>4557</v>
      </c>
      <c r="T773" s="2">
        <v>3899</v>
      </c>
      <c r="U773" s="2">
        <v>0</v>
      </c>
      <c r="V773" s="2"/>
      <c r="W773" s="2">
        <v>3846</v>
      </c>
      <c r="X773" s="2">
        <v>3122</v>
      </c>
      <c r="Y773" s="2">
        <v>0</v>
      </c>
      <c r="Z773" s="2">
        <v>0</v>
      </c>
      <c r="AA773" s="2">
        <v>0</v>
      </c>
      <c r="AB773" s="2"/>
      <c r="AC773" s="2">
        <v>905</v>
      </c>
      <c r="AD773" s="2">
        <v>905</v>
      </c>
      <c r="AE773" s="2">
        <v>906</v>
      </c>
      <c r="AF773" s="2">
        <v>0</v>
      </c>
      <c r="AG773" s="2">
        <v>0</v>
      </c>
      <c r="AH773" s="2"/>
      <c r="AI773" s="2">
        <v>-6651</v>
      </c>
      <c r="AJ773" s="2">
        <v>-6299</v>
      </c>
      <c r="AK773" s="2">
        <v>-5183</v>
      </c>
      <c r="AL773" s="2">
        <v>0</v>
      </c>
      <c r="AM773" s="2">
        <v>-6299</v>
      </c>
    </row>
    <row r="774" spans="1:39">
      <c r="A774" s="351">
        <v>98211</v>
      </c>
      <c r="B774" s="344" t="s">
        <v>1472</v>
      </c>
      <c r="C774" s="360">
        <v>8.8690000000000004E-4</v>
      </c>
      <c r="E774" s="2">
        <v>271584</v>
      </c>
      <c r="F774" s="2">
        <v>387358</v>
      </c>
      <c r="G774" s="2">
        <v>226059</v>
      </c>
      <c r="H774" s="2">
        <v>131990</v>
      </c>
      <c r="I774" s="2">
        <v>0</v>
      </c>
      <c r="J774" s="2"/>
      <c r="K774" s="2">
        <v>164439</v>
      </c>
      <c r="L774" s="2">
        <v>151477</v>
      </c>
      <c r="M774" s="2">
        <v>84307</v>
      </c>
      <c r="N774" s="2">
        <v>0</v>
      </c>
      <c r="O774" s="2">
        <v>0</v>
      </c>
      <c r="P774" s="2"/>
      <c r="Q774" s="2">
        <v>10660</v>
      </c>
      <c r="R774" s="2">
        <v>149092</v>
      </c>
      <c r="S774" s="2">
        <v>154248</v>
      </c>
      <c r="T774" s="2">
        <v>131990</v>
      </c>
      <c r="U774" s="2">
        <v>0</v>
      </c>
      <c r="V774" s="2"/>
      <c r="W774" s="2">
        <v>130176</v>
      </c>
      <c r="X774" s="2">
        <v>105680</v>
      </c>
      <c r="Y774" s="2">
        <v>0</v>
      </c>
      <c r="Z774" s="2">
        <v>0</v>
      </c>
      <c r="AA774" s="2">
        <v>0</v>
      </c>
      <c r="AB774" s="2"/>
      <c r="AC774" s="2">
        <v>6305</v>
      </c>
      <c r="AD774" s="2">
        <v>6305</v>
      </c>
      <c r="AE774" s="2">
        <v>6305</v>
      </c>
      <c r="AF774" s="2">
        <v>0</v>
      </c>
      <c r="AG774" s="2">
        <v>0</v>
      </c>
      <c r="AH774" s="2"/>
      <c r="AI774" s="2">
        <v>-39996</v>
      </c>
      <c r="AJ774" s="2">
        <v>-25196</v>
      </c>
      <c r="AK774" s="2">
        <v>-18801</v>
      </c>
      <c r="AL774" s="2">
        <v>0</v>
      </c>
      <c r="AM774" s="2">
        <v>-25196</v>
      </c>
    </row>
    <row r="775" spans="1:39">
      <c r="A775" s="351">
        <v>98218</v>
      </c>
      <c r="B775" s="344" t="s">
        <v>1473</v>
      </c>
      <c r="C775" s="360">
        <v>1.77E-5</v>
      </c>
      <c r="E775" s="2">
        <v>7553</v>
      </c>
      <c r="F775" s="2">
        <v>9114</v>
      </c>
      <c r="G775" s="2">
        <v>5168</v>
      </c>
      <c r="H775" s="2">
        <v>2634</v>
      </c>
      <c r="I775" s="2">
        <v>0</v>
      </c>
      <c r="J775" s="2"/>
      <c r="K775" s="2">
        <v>3282</v>
      </c>
      <c r="L775" s="2">
        <v>3023</v>
      </c>
      <c r="M775" s="2">
        <v>1683</v>
      </c>
      <c r="N775" s="2">
        <v>0</v>
      </c>
      <c r="O775" s="2">
        <v>0</v>
      </c>
      <c r="P775" s="2"/>
      <c r="Q775" s="2">
        <v>213</v>
      </c>
      <c r="R775" s="2">
        <v>2975</v>
      </c>
      <c r="S775" s="2">
        <v>3078</v>
      </c>
      <c r="T775" s="2">
        <v>2634</v>
      </c>
      <c r="U775" s="2">
        <v>0</v>
      </c>
      <c r="V775" s="2"/>
      <c r="W775" s="2">
        <v>2598</v>
      </c>
      <c r="X775" s="2">
        <v>2109</v>
      </c>
      <c r="Y775" s="2">
        <v>0</v>
      </c>
      <c r="Z775" s="2">
        <v>0</v>
      </c>
      <c r="AA775" s="2">
        <v>0</v>
      </c>
      <c r="AB775" s="2"/>
      <c r="AC775" s="2">
        <v>1594</v>
      </c>
      <c r="AD775" s="2">
        <v>1141</v>
      </c>
      <c r="AE775" s="2">
        <v>541</v>
      </c>
      <c r="AF775" s="2">
        <v>0</v>
      </c>
      <c r="AG775" s="2">
        <v>0</v>
      </c>
      <c r="AH775" s="2"/>
      <c r="AI775" s="2">
        <v>-134</v>
      </c>
      <c r="AJ775" s="2">
        <v>-134</v>
      </c>
      <c r="AK775" s="2">
        <v>-134</v>
      </c>
      <c r="AL775" s="2">
        <v>0</v>
      </c>
      <c r="AM775" s="2">
        <v>-134</v>
      </c>
    </row>
    <row r="776" spans="1:39">
      <c r="A776" s="351">
        <v>98221</v>
      </c>
      <c r="B776" s="344" t="s">
        <v>1474</v>
      </c>
      <c r="C776" s="360">
        <v>2.51E-5</v>
      </c>
      <c r="E776" s="2">
        <v>9373</v>
      </c>
      <c r="F776" s="2">
        <v>11665</v>
      </c>
      <c r="G776" s="2">
        <v>6579</v>
      </c>
      <c r="H776" s="2">
        <v>3735</v>
      </c>
      <c r="I776" s="2">
        <v>0</v>
      </c>
      <c r="J776" s="2"/>
      <c r="K776" s="2">
        <v>4654</v>
      </c>
      <c r="L776" s="2">
        <v>4287</v>
      </c>
      <c r="M776" s="2">
        <v>2386</v>
      </c>
      <c r="N776" s="2">
        <v>0</v>
      </c>
      <c r="O776" s="2">
        <v>0</v>
      </c>
      <c r="P776" s="2"/>
      <c r="Q776" s="2">
        <v>302</v>
      </c>
      <c r="R776" s="2">
        <v>4219</v>
      </c>
      <c r="S776" s="2">
        <v>4365</v>
      </c>
      <c r="T776" s="2">
        <v>3735</v>
      </c>
      <c r="U776" s="2">
        <v>0</v>
      </c>
      <c r="V776" s="2"/>
      <c r="W776" s="2">
        <v>3684</v>
      </c>
      <c r="X776" s="2">
        <v>2991</v>
      </c>
      <c r="Y776" s="2">
        <v>0</v>
      </c>
      <c r="Z776" s="2">
        <v>0</v>
      </c>
      <c r="AA776" s="2">
        <v>0</v>
      </c>
      <c r="AB776" s="2"/>
      <c r="AC776" s="2">
        <v>2381</v>
      </c>
      <c r="AD776" s="2">
        <v>1816</v>
      </c>
      <c r="AE776" s="2">
        <v>1477</v>
      </c>
      <c r="AF776" s="2">
        <v>0</v>
      </c>
      <c r="AG776" s="2">
        <v>0</v>
      </c>
      <c r="AH776" s="2"/>
      <c r="AI776" s="2">
        <v>-1648</v>
      </c>
      <c r="AJ776" s="2">
        <v>-1648</v>
      </c>
      <c r="AK776" s="2">
        <v>-1649</v>
      </c>
      <c r="AL776" s="2">
        <v>0</v>
      </c>
      <c r="AM776" s="2">
        <v>-1648</v>
      </c>
    </row>
    <row r="777" spans="1:39">
      <c r="A777" s="351">
        <v>98231</v>
      </c>
      <c r="B777" s="344" t="s">
        <v>1475</v>
      </c>
      <c r="C777" s="360">
        <v>2.9200000000000002E-5</v>
      </c>
      <c r="E777" s="2">
        <v>9935</v>
      </c>
      <c r="F777" s="2">
        <v>14597</v>
      </c>
      <c r="G777" s="2">
        <v>7331</v>
      </c>
      <c r="H777" s="2">
        <v>4346</v>
      </c>
      <c r="I777" s="2">
        <v>0</v>
      </c>
      <c r="J777" s="2"/>
      <c r="K777" s="2">
        <v>5414</v>
      </c>
      <c r="L777" s="2">
        <v>4987</v>
      </c>
      <c r="M777" s="2">
        <v>2776</v>
      </c>
      <c r="N777" s="2">
        <v>0</v>
      </c>
      <c r="O777" s="2">
        <v>0</v>
      </c>
      <c r="P777" s="2"/>
      <c r="Q777" s="2">
        <v>351</v>
      </c>
      <c r="R777" s="2">
        <v>4909</v>
      </c>
      <c r="S777" s="2">
        <v>5078</v>
      </c>
      <c r="T777" s="2">
        <v>4346</v>
      </c>
      <c r="U777" s="2">
        <v>0</v>
      </c>
      <c r="V777" s="2"/>
      <c r="W777" s="2">
        <v>4286</v>
      </c>
      <c r="X777" s="2">
        <v>3479</v>
      </c>
      <c r="Y777" s="2">
        <v>0</v>
      </c>
      <c r="Z777" s="2">
        <v>0</v>
      </c>
      <c r="AA777" s="2">
        <v>0</v>
      </c>
      <c r="AB777" s="2"/>
      <c r="AC777" s="2">
        <v>1953</v>
      </c>
      <c r="AD777" s="2">
        <v>1953</v>
      </c>
      <c r="AE777" s="2">
        <v>207</v>
      </c>
      <c r="AF777" s="2">
        <v>0</v>
      </c>
      <c r="AG777" s="2">
        <v>0</v>
      </c>
      <c r="AH777" s="2"/>
      <c r="AI777" s="2">
        <v>-2069</v>
      </c>
      <c r="AJ777" s="2">
        <v>-731</v>
      </c>
      <c r="AK777" s="2">
        <v>-730</v>
      </c>
      <c r="AL777" s="2">
        <v>0</v>
      </c>
      <c r="AM777" s="2">
        <v>-731</v>
      </c>
    </row>
    <row r="778" spans="1:39">
      <c r="A778" s="351">
        <v>98237</v>
      </c>
      <c r="B778" s="344" t="s">
        <v>1476</v>
      </c>
      <c r="C778" s="360">
        <v>6.2999999999999998E-6</v>
      </c>
      <c r="E778" s="2">
        <v>3465</v>
      </c>
      <c r="F778" s="2">
        <v>3312</v>
      </c>
      <c r="G778" s="2">
        <v>1960</v>
      </c>
      <c r="H778" s="2">
        <v>938</v>
      </c>
      <c r="I778" s="2">
        <v>0</v>
      </c>
      <c r="J778" s="2"/>
      <c r="K778" s="2">
        <v>1168</v>
      </c>
      <c r="L778" s="2">
        <v>1076</v>
      </c>
      <c r="M778" s="2">
        <v>599</v>
      </c>
      <c r="N778" s="2">
        <v>0</v>
      </c>
      <c r="O778" s="2">
        <v>0</v>
      </c>
      <c r="P778" s="2"/>
      <c r="Q778" s="2">
        <v>76</v>
      </c>
      <c r="R778" s="2">
        <v>1059</v>
      </c>
      <c r="S778" s="2">
        <v>1096</v>
      </c>
      <c r="T778" s="2">
        <v>938</v>
      </c>
      <c r="U778" s="2">
        <v>0</v>
      </c>
      <c r="V778" s="2"/>
      <c r="W778" s="2">
        <v>925</v>
      </c>
      <c r="X778" s="2">
        <v>751</v>
      </c>
      <c r="Y778" s="2">
        <v>0</v>
      </c>
      <c r="Z778" s="2">
        <v>0</v>
      </c>
      <c r="AA778" s="2">
        <v>0</v>
      </c>
      <c r="AB778" s="2"/>
      <c r="AC778" s="2">
        <v>1336</v>
      </c>
      <c r="AD778" s="2">
        <v>466</v>
      </c>
      <c r="AE778" s="2">
        <v>304</v>
      </c>
      <c r="AF778" s="2">
        <v>0</v>
      </c>
      <c r="AG778" s="2">
        <v>0</v>
      </c>
      <c r="AH778" s="2"/>
      <c r="AI778" s="2">
        <v>-40</v>
      </c>
      <c r="AJ778" s="2">
        <v>-40</v>
      </c>
      <c r="AK778" s="2">
        <v>-39</v>
      </c>
      <c r="AL778" s="2">
        <v>0</v>
      </c>
      <c r="AM778" s="2">
        <v>-40</v>
      </c>
    </row>
    <row r="779" spans="1:39">
      <c r="A779" s="351">
        <v>98241</v>
      </c>
      <c r="B779" s="344" t="s">
        <v>1477</v>
      </c>
      <c r="C779" s="360">
        <v>9.0999999999999993E-6</v>
      </c>
      <c r="E779" s="2">
        <v>539</v>
      </c>
      <c r="F779" s="2">
        <v>2071</v>
      </c>
      <c r="G779" s="2">
        <v>568</v>
      </c>
      <c r="H779" s="2">
        <v>1354</v>
      </c>
      <c r="I779" s="2">
        <v>0</v>
      </c>
      <c r="J779" s="2"/>
      <c r="K779" s="2">
        <v>1687</v>
      </c>
      <c r="L779" s="2">
        <v>1554</v>
      </c>
      <c r="M779" s="2">
        <v>865</v>
      </c>
      <c r="N779" s="2">
        <v>0</v>
      </c>
      <c r="O779" s="2">
        <v>0</v>
      </c>
      <c r="P779" s="2"/>
      <c r="Q779" s="2">
        <v>109</v>
      </c>
      <c r="R779" s="2">
        <v>1530</v>
      </c>
      <c r="S779" s="2">
        <v>1583</v>
      </c>
      <c r="T779" s="2">
        <v>1354</v>
      </c>
      <c r="U779" s="2">
        <v>0</v>
      </c>
      <c r="V779" s="2"/>
      <c r="W779" s="2">
        <v>1336</v>
      </c>
      <c r="X779" s="2">
        <v>1084</v>
      </c>
      <c r="Y779" s="2">
        <v>0</v>
      </c>
      <c r="Z779" s="2">
        <v>0</v>
      </c>
      <c r="AA779" s="2">
        <v>0</v>
      </c>
      <c r="AB779" s="2"/>
      <c r="AC779" s="2">
        <v>1576</v>
      </c>
      <c r="AD779" s="2">
        <v>1576</v>
      </c>
      <c r="AE779" s="2">
        <v>1575</v>
      </c>
      <c r="AF779" s="2">
        <v>0</v>
      </c>
      <c r="AG779" s="2">
        <v>0</v>
      </c>
      <c r="AH779" s="2"/>
      <c r="AI779" s="2">
        <v>-4169</v>
      </c>
      <c r="AJ779" s="2">
        <v>-3673</v>
      </c>
      <c r="AK779" s="2">
        <v>-3455</v>
      </c>
      <c r="AL779" s="2">
        <v>0</v>
      </c>
      <c r="AM779" s="2">
        <v>-3673</v>
      </c>
    </row>
    <row r="780" spans="1:39">
      <c r="A780" s="351">
        <v>98251</v>
      </c>
      <c r="B780" s="344" t="s">
        <v>1478</v>
      </c>
      <c r="C780" s="360">
        <v>2.3E-6</v>
      </c>
      <c r="E780" s="2">
        <v>1713</v>
      </c>
      <c r="F780" s="2">
        <v>1827</v>
      </c>
      <c r="G780" s="2">
        <v>1232</v>
      </c>
      <c r="H780" s="2">
        <v>342</v>
      </c>
      <c r="I780" s="2">
        <v>0</v>
      </c>
      <c r="J780" s="2"/>
      <c r="K780" s="2">
        <v>426</v>
      </c>
      <c r="L780" s="2">
        <v>393</v>
      </c>
      <c r="M780" s="2">
        <v>219</v>
      </c>
      <c r="N780" s="2">
        <v>0</v>
      </c>
      <c r="O780" s="2">
        <v>0</v>
      </c>
      <c r="P780" s="2"/>
      <c r="Q780" s="2">
        <v>28</v>
      </c>
      <c r="R780" s="2">
        <v>387</v>
      </c>
      <c r="S780" s="2">
        <v>400</v>
      </c>
      <c r="T780" s="2">
        <v>342</v>
      </c>
      <c r="U780" s="2">
        <v>0</v>
      </c>
      <c r="V780" s="2"/>
      <c r="W780" s="2">
        <v>338</v>
      </c>
      <c r="X780" s="2">
        <v>274</v>
      </c>
      <c r="Y780" s="2">
        <v>0</v>
      </c>
      <c r="Z780" s="2">
        <v>0</v>
      </c>
      <c r="AA780" s="2">
        <v>0</v>
      </c>
      <c r="AB780" s="2"/>
      <c r="AC780" s="2">
        <v>921</v>
      </c>
      <c r="AD780" s="2">
        <v>773</v>
      </c>
      <c r="AE780" s="2">
        <v>613</v>
      </c>
      <c r="AF780" s="2">
        <v>0</v>
      </c>
      <c r="AG780" s="2">
        <v>0</v>
      </c>
      <c r="AH780" s="2"/>
      <c r="AI780" s="2">
        <v>0</v>
      </c>
      <c r="AJ780" s="2">
        <v>0</v>
      </c>
      <c r="AK780" s="2">
        <v>0</v>
      </c>
      <c r="AL780" s="2">
        <v>0</v>
      </c>
      <c r="AM780" s="2">
        <v>0</v>
      </c>
    </row>
    <row r="781" spans="1:39">
      <c r="A781" s="351">
        <v>98261</v>
      </c>
      <c r="B781" s="344" t="s">
        <v>1479</v>
      </c>
      <c r="C781" s="360">
        <v>3.54E-5</v>
      </c>
      <c r="E781" s="2">
        <v>14984</v>
      </c>
      <c r="F781" s="2">
        <v>18104</v>
      </c>
      <c r="G781" s="2">
        <v>10787</v>
      </c>
      <c r="H781" s="2">
        <v>5268</v>
      </c>
      <c r="I781" s="2">
        <v>0</v>
      </c>
      <c r="J781" s="2"/>
      <c r="K781" s="2">
        <v>6563</v>
      </c>
      <c r="L781" s="2">
        <v>6046</v>
      </c>
      <c r="M781" s="2">
        <v>3365</v>
      </c>
      <c r="N781" s="2">
        <v>0</v>
      </c>
      <c r="O781" s="2">
        <v>0</v>
      </c>
      <c r="P781" s="2"/>
      <c r="Q781" s="2">
        <v>425</v>
      </c>
      <c r="R781" s="2">
        <v>5951</v>
      </c>
      <c r="S781" s="2">
        <v>6157</v>
      </c>
      <c r="T781" s="2">
        <v>5268</v>
      </c>
      <c r="U781" s="2">
        <v>0</v>
      </c>
      <c r="V781" s="2"/>
      <c r="W781" s="2">
        <v>5196</v>
      </c>
      <c r="X781" s="2">
        <v>4218</v>
      </c>
      <c r="Y781" s="2">
        <v>0</v>
      </c>
      <c r="Z781" s="2">
        <v>0</v>
      </c>
      <c r="AA781" s="2">
        <v>0</v>
      </c>
      <c r="AB781" s="2"/>
      <c r="AC781" s="2">
        <v>2800</v>
      </c>
      <c r="AD781" s="2">
        <v>1889</v>
      </c>
      <c r="AE781" s="2">
        <v>1265</v>
      </c>
      <c r="AF781" s="2">
        <v>0</v>
      </c>
      <c r="AG781" s="2">
        <v>0</v>
      </c>
      <c r="AH781" s="2"/>
      <c r="AI781" s="2">
        <v>0</v>
      </c>
      <c r="AJ781" s="2">
        <v>0</v>
      </c>
      <c r="AK781" s="2">
        <v>0</v>
      </c>
      <c r="AL781" s="2">
        <v>0</v>
      </c>
      <c r="AM781" s="2">
        <v>0</v>
      </c>
    </row>
    <row r="782" spans="1:39">
      <c r="A782" s="351">
        <v>98271</v>
      </c>
      <c r="B782" s="344" t="s">
        <v>1480</v>
      </c>
      <c r="C782" s="360">
        <v>6.9E-6</v>
      </c>
      <c r="E782" s="2">
        <v>3829</v>
      </c>
      <c r="F782" s="2">
        <v>4446</v>
      </c>
      <c r="G782" s="2">
        <v>2839</v>
      </c>
      <c r="H782" s="2">
        <v>1027</v>
      </c>
      <c r="I782" s="2">
        <v>0</v>
      </c>
      <c r="J782" s="2"/>
      <c r="K782" s="2">
        <v>1279</v>
      </c>
      <c r="L782" s="2">
        <v>1178</v>
      </c>
      <c r="M782" s="2">
        <v>656</v>
      </c>
      <c r="N782" s="2">
        <v>0</v>
      </c>
      <c r="O782" s="2">
        <v>0</v>
      </c>
      <c r="P782" s="2"/>
      <c r="Q782" s="2">
        <v>83</v>
      </c>
      <c r="R782" s="2">
        <v>1160</v>
      </c>
      <c r="S782" s="2">
        <v>1200</v>
      </c>
      <c r="T782" s="2">
        <v>1027</v>
      </c>
      <c r="U782" s="2">
        <v>0</v>
      </c>
      <c r="V782" s="2"/>
      <c r="W782" s="2">
        <v>1013</v>
      </c>
      <c r="X782" s="2">
        <v>822</v>
      </c>
      <c r="Y782" s="2">
        <v>0</v>
      </c>
      <c r="Z782" s="2">
        <v>0</v>
      </c>
      <c r="AA782" s="2">
        <v>0</v>
      </c>
      <c r="AB782" s="2"/>
      <c r="AC782" s="2">
        <v>1454</v>
      </c>
      <c r="AD782" s="2">
        <v>1286</v>
      </c>
      <c r="AE782" s="2">
        <v>983</v>
      </c>
      <c r="AF782" s="2">
        <v>0</v>
      </c>
      <c r="AG782" s="2">
        <v>0</v>
      </c>
      <c r="AH782" s="2"/>
      <c r="AI782" s="2">
        <v>0</v>
      </c>
      <c r="AJ782" s="2">
        <v>0</v>
      </c>
      <c r="AK782" s="2">
        <v>0</v>
      </c>
      <c r="AL782" s="2">
        <v>0</v>
      </c>
      <c r="AM782" s="2">
        <v>0</v>
      </c>
    </row>
    <row r="783" spans="1:39">
      <c r="A783" s="351">
        <v>98301</v>
      </c>
      <c r="B783" s="344" t="s">
        <v>1481</v>
      </c>
      <c r="C783" s="360">
        <v>1.8286999999999999E-3</v>
      </c>
      <c r="E783" s="2">
        <v>683366</v>
      </c>
      <c r="F783" s="2">
        <v>891398</v>
      </c>
      <c r="G783" s="2">
        <v>538021</v>
      </c>
      <c r="H783" s="2">
        <v>272151</v>
      </c>
      <c r="I783" s="2">
        <v>0</v>
      </c>
      <c r="J783" s="2"/>
      <c r="K783" s="2">
        <v>339057</v>
      </c>
      <c r="L783" s="2">
        <v>312331</v>
      </c>
      <c r="M783" s="2">
        <v>173833</v>
      </c>
      <c r="N783" s="2">
        <v>0</v>
      </c>
      <c r="O783" s="2">
        <v>0</v>
      </c>
      <c r="P783" s="2"/>
      <c r="Q783" s="2">
        <v>21979</v>
      </c>
      <c r="R783" s="2">
        <v>307414</v>
      </c>
      <c r="S783" s="2">
        <v>318044</v>
      </c>
      <c r="T783" s="2">
        <v>272151</v>
      </c>
      <c r="U783" s="2">
        <v>0</v>
      </c>
      <c r="V783" s="2"/>
      <c r="W783" s="2">
        <v>268409</v>
      </c>
      <c r="X783" s="2">
        <v>217902</v>
      </c>
      <c r="Y783" s="2">
        <v>0</v>
      </c>
      <c r="Z783" s="2">
        <v>0</v>
      </c>
      <c r="AA783" s="2">
        <v>0</v>
      </c>
      <c r="AB783" s="2"/>
      <c r="AC783" s="2">
        <v>53921</v>
      </c>
      <c r="AD783" s="2">
        <v>53751</v>
      </c>
      <c r="AE783" s="2">
        <v>46144</v>
      </c>
      <c r="AF783" s="2">
        <v>0</v>
      </c>
      <c r="AG783" s="2">
        <v>0</v>
      </c>
      <c r="AH783" s="2"/>
      <c r="AI783" s="2">
        <v>0</v>
      </c>
      <c r="AJ783" s="2">
        <v>0</v>
      </c>
      <c r="AK783" s="2">
        <v>0</v>
      </c>
      <c r="AL783" s="2">
        <v>0</v>
      </c>
      <c r="AM783" s="2">
        <v>0</v>
      </c>
    </row>
    <row r="784" spans="1:39">
      <c r="A784" s="351">
        <v>98304</v>
      </c>
      <c r="B784" s="344" t="s">
        <v>1482</v>
      </c>
      <c r="C784" s="360">
        <v>2.02E-5</v>
      </c>
      <c r="E784" s="2">
        <v>10003</v>
      </c>
      <c r="F784" s="2">
        <v>11999</v>
      </c>
      <c r="G784" s="2">
        <v>7580</v>
      </c>
      <c r="H784" s="2">
        <v>3006</v>
      </c>
      <c r="I784" s="2">
        <v>0</v>
      </c>
      <c r="J784" s="2"/>
      <c r="K784" s="2">
        <v>3745</v>
      </c>
      <c r="L784" s="2">
        <v>3450</v>
      </c>
      <c r="M784" s="2">
        <v>1920</v>
      </c>
      <c r="N784" s="2">
        <v>0</v>
      </c>
      <c r="O784" s="2">
        <v>0</v>
      </c>
      <c r="P784" s="2"/>
      <c r="Q784" s="2">
        <v>243</v>
      </c>
      <c r="R784" s="2">
        <v>3396</v>
      </c>
      <c r="S784" s="2">
        <v>3513</v>
      </c>
      <c r="T784" s="2">
        <v>3006</v>
      </c>
      <c r="U784" s="2">
        <v>0</v>
      </c>
      <c r="V784" s="2"/>
      <c r="W784" s="2">
        <v>2965</v>
      </c>
      <c r="X784" s="2">
        <v>2407</v>
      </c>
      <c r="Y784" s="2">
        <v>0</v>
      </c>
      <c r="Z784" s="2">
        <v>0</v>
      </c>
      <c r="AA784" s="2">
        <v>0</v>
      </c>
      <c r="AB784" s="2"/>
      <c r="AC784" s="2">
        <v>3050</v>
      </c>
      <c r="AD784" s="2">
        <v>2746</v>
      </c>
      <c r="AE784" s="2">
        <v>2147</v>
      </c>
      <c r="AF784" s="2">
        <v>0</v>
      </c>
      <c r="AG784" s="2">
        <v>0</v>
      </c>
      <c r="AH784" s="2"/>
      <c r="AI784" s="2">
        <v>0</v>
      </c>
      <c r="AJ784" s="2">
        <v>0</v>
      </c>
      <c r="AK784" s="2">
        <v>0</v>
      </c>
      <c r="AL784" s="2">
        <v>0</v>
      </c>
      <c r="AM784" s="2">
        <v>0</v>
      </c>
    </row>
    <row r="785" spans="1:39">
      <c r="A785" s="351">
        <v>98308</v>
      </c>
      <c r="B785" s="344" t="s">
        <v>1483</v>
      </c>
      <c r="C785" s="360">
        <v>1.56E-5</v>
      </c>
      <c r="E785" s="2">
        <v>9639</v>
      </c>
      <c r="F785" s="2">
        <v>10823</v>
      </c>
      <c r="G785" s="2">
        <v>6989</v>
      </c>
      <c r="H785" s="2">
        <v>2322</v>
      </c>
      <c r="I785" s="2">
        <v>0</v>
      </c>
      <c r="J785" s="2"/>
      <c r="K785" s="2">
        <v>2892</v>
      </c>
      <c r="L785" s="2">
        <v>2664</v>
      </c>
      <c r="M785" s="2">
        <v>1483</v>
      </c>
      <c r="N785" s="2">
        <v>0</v>
      </c>
      <c r="O785" s="2">
        <v>0</v>
      </c>
      <c r="P785" s="2"/>
      <c r="Q785" s="2">
        <v>187</v>
      </c>
      <c r="R785" s="2">
        <v>2622</v>
      </c>
      <c r="S785" s="2">
        <v>2713</v>
      </c>
      <c r="T785" s="2">
        <v>2322</v>
      </c>
      <c r="U785" s="2">
        <v>0</v>
      </c>
      <c r="V785" s="2"/>
      <c r="W785" s="2">
        <v>2290</v>
      </c>
      <c r="X785" s="2">
        <v>1859</v>
      </c>
      <c r="Y785" s="2">
        <v>0</v>
      </c>
      <c r="Z785" s="2">
        <v>0</v>
      </c>
      <c r="AA785" s="2">
        <v>0</v>
      </c>
      <c r="AB785" s="2"/>
      <c r="AC785" s="2">
        <v>4270</v>
      </c>
      <c r="AD785" s="2">
        <v>3678</v>
      </c>
      <c r="AE785" s="2">
        <v>2793</v>
      </c>
      <c r="AF785" s="2">
        <v>0</v>
      </c>
      <c r="AG785" s="2">
        <v>0</v>
      </c>
      <c r="AH785" s="2"/>
      <c r="AI785" s="2">
        <v>0</v>
      </c>
      <c r="AJ785" s="2">
        <v>0</v>
      </c>
      <c r="AK785" s="2">
        <v>0</v>
      </c>
      <c r="AL785" s="2">
        <v>0</v>
      </c>
      <c r="AM785" s="2">
        <v>0</v>
      </c>
    </row>
    <row r="786" spans="1:39">
      <c r="A786" s="351">
        <v>98311</v>
      </c>
      <c r="B786" s="344" t="s">
        <v>1484</v>
      </c>
      <c r="C786" s="360">
        <v>1.036E-3</v>
      </c>
      <c r="E786" s="2">
        <v>288691</v>
      </c>
      <c r="F786" s="2">
        <v>418541</v>
      </c>
      <c r="G786" s="2">
        <v>244010</v>
      </c>
      <c r="H786" s="2">
        <v>154180</v>
      </c>
      <c r="I786" s="2">
        <v>0</v>
      </c>
      <c r="J786" s="2"/>
      <c r="K786" s="2">
        <v>192084</v>
      </c>
      <c r="L786" s="2">
        <v>176943</v>
      </c>
      <c r="M786" s="2">
        <v>98480</v>
      </c>
      <c r="N786" s="2">
        <v>0</v>
      </c>
      <c r="O786" s="2">
        <v>0</v>
      </c>
      <c r="P786" s="2"/>
      <c r="Q786" s="2">
        <v>12452</v>
      </c>
      <c r="R786" s="2">
        <v>174157</v>
      </c>
      <c r="S786" s="2">
        <v>180179</v>
      </c>
      <c r="T786" s="2">
        <v>154180</v>
      </c>
      <c r="U786" s="2">
        <v>0</v>
      </c>
      <c r="V786" s="2"/>
      <c r="W786" s="2">
        <v>152060</v>
      </c>
      <c r="X786" s="2">
        <v>123447</v>
      </c>
      <c r="Y786" s="2">
        <v>0</v>
      </c>
      <c r="Z786" s="2">
        <v>0</v>
      </c>
      <c r="AA786" s="2">
        <v>0</v>
      </c>
      <c r="AB786" s="2"/>
      <c r="AC786" s="2">
        <v>0</v>
      </c>
      <c r="AD786" s="2">
        <v>0</v>
      </c>
      <c r="AE786" s="2">
        <v>0</v>
      </c>
      <c r="AF786" s="2">
        <v>0</v>
      </c>
      <c r="AG786" s="2">
        <v>0</v>
      </c>
      <c r="AH786" s="2"/>
      <c r="AI786" s="2">
        <v>-67905</v>
      </c>
      <c r="AJ786" s="2">
        <v>-56006</v>
      </c>
      <c r="AK786" s="2">
        <v>-34649</v>
      </c>
      <c r="AL786" s="2">
        <v>0</v>
      </c>
      <c r="AM786" s="2">
        <v>-56006</v>
      </c>
    </row>
    <row r="787" spans="1:39">
      <c r="A787" s="351">
        <v>98313</v>
      </c>
      <c r="B787" s="344" t="s">
        <v>1485</v>
      </c>
      <c r="C787" s="360">
        <v>1.951E-4</v>
      </c>
      <c r="E787" s="2">
        <v>156959</v>
      </c>
      <c r="F787" s="2">
        <v>150114</v>
      </c>
      <c r="G787" s="2">
        <v>81203</v>
      </c>
      <c r="H787" s="2">
        <v>29035</v>
      </c>
      <c r="I787" s="2">
        <v>0</v>
      </c>
      <c r="J787" s="2"/>
      <c r="K787" s="2">
        <v>36173</v>
      </c>
      <c r="L787" s="2">
        <v>33322</v>
      </c>
      <c r="M787" s="2">
        <v>18546</v>
      </c>
      <c r="N787" s="2">
        <v>0</v>
      </c>
      <c r="O787" s="2">
        <v>0</v>
      </c>
      <c r="P787" s="2"/>
      <c r="Q787" s="2">
        <v>2345</v>
      </c>
      <c r="R787" s="2">
        <v>32797</v>
      </c>
      <c r="S787" s="2">
        <v>33931</v>
      </c>
      <c r="T787" s="2">
        <v>29035</v>
      </c>
      <c r="U787" s="2">
        <v>0</v>
      </c>
      <c r="V787" s="2"/>
      <c r="W787" s="2">
        <v>28636</v>
      </c>
      <c r="X787" s="2">
        <v>23248</v>
      </c>
      <c r="Y787" s="2">
        <v>0</v>
      </c>
      <c r="Z787" s="2">
        <v>0</v>
      </c>
      <c r="AA787" s="2">
        <v>0</v>
      </c>
      <c r="AB787" s="2"/>
      <c r="AC787" s="2">
        <v>89805</v>
      </c>
      <c r="AD787" s="2">
        <v>60747</v>
      </c>
      <c r="AE787" s="2">
        <v>28726</v>
      </c>
      <c r="AF787" s="2">
        <v>0</v>
      </c>
      <c r="AG787" s="2">
        <v>0</v>
      </c>
      <c r="AH787" s="2"/>
      <c r="AI787" s="2">
        <v>0</v>
      </c>
      <c r="AJ787" s="2">
        <v>0</v>
      </c>
      <c r="AK787" s="2">
        <v>0</v>
      </c>
      <c r="AL787" s="2">
        <v>0</v>
      </c>
      <c r="AM787" s="2">
        <v>0</v>
      </c>
    </row>
    <row r="788" spans="1:39">
      <c r="A788" s="351">
        <v>98321</v>
      </c>
      <c r="B788" s="344" t="s">
        <v>1486</v>
      </c>
      <c r="C788" s="360">
        <v>1.3499999999999999E-5</v>
      </c>
      <c r="E788" s="2">
        <v>3460</v>
      </c>
      <c r="F788" s="2">
        <v>4978</v>
      </c>
      <c r="G788" s="2">
        <v>2426</v>
      </c>
      <c r="H788" s="2">
        <v>2009</v>
      </c>
      <c r="I788" s="2">
        <v>0</v>
      </c>
      <c r="J788" s="2"/>
      <c r="K788" s="2">
        <v>2503</v>
      </c>
      <c r="L788" s="2">
        <v>2306</v>
      </c>
      <c r="M788" s="2">
        <v>1283</v>
      </c>
      <c r="N788" s="2">
        <v>0</v>
      </c>
      <c r="O788" s="2">
        <v>0</v>
      </c>
      <c r="P788" s="2"/>
      <c r="Q788" s="2">
        <v>162</v>
      </c>
      <c r="R788" s="2">
        <v>2269</v>
      </c>
      <c r="S788" s="2">
        <v>2348</v>
      </c>
      <c r="T788" s="2">
        <v>2009</v>
      </c>
      <c r="U788" s="2">
        <v>0</v>
      </c>
      <c r="V788" s="2"/>
      <c r="W788" s="2">
        <v>1981</v>
      </c>
      <c r="X788" s="2">
        <v>1609</v>
      </c>
      <c r="Y788" s="2">
        <v>0</v>
      </c>
      <c r="Z788" s="2">
        <v>0</v>
      </c>
      <c r="AA788" s="2">
        <v>0</v>
      </c>
      <c r="AB788" s="2"/>
      <c r="AC788" s="2">
        <v>21</v>
      </c>
      <c r="AD788" s="2">
        <v>0</v>
      </c>
      <c r="AE788" s="2">
        <v>0</v>
      </c>
      <c r="AF788" s="2">
        <v>0</v>
      </c>
      <c r="AG788" s="2">
        <v>0</v>
      </c>
      <c r="AH788" s="2"/>
      <c r="AI788" s="2">
        <v>-1207</v>
      </c>
      <c r="AJ788" s="2">
        <v>-1206</v>
      </c>
      <c r="AK788" s="2">
        <v>-1205</v>
      </c>
      <c r="AL788" s="2">
        <v>0</v>
      </c>
      <c r="AM788" s="2">
        <v>-1206</v>
      </c>
    </row>
    <row r="789" spans="1:39">
      <c r="A789" s="351">
        <v>98331</v>
      </c>
      <c r="B789" s="344" t="s">
        <v>1487</v>
      </c>
      <c r="C789" s="360">
        <v>1.7E-6</v>
      </c>
      <c r="E789" s="2">
        <v>-711</v>
      </c>
      <c r="F789" s="2">
        <v>-788</v>
      </c>
      <c r="G789" s="2">
        <v>-1445</v>
      </c>
      <c r="H789" s="2">
        <v>253</v>
      </c>
      <c r="I789" s="2">
        <v>0</v>
      </c>
      <c r="J789" s="2"/>
      <c r="K789" s="2">
        <v>315</v>
      </c>
      <c r="L789" s="2">
        <v>290</v>
      </c>
      <c r="M789" s="2">
        <v>162</v>
      </c>
      <c r="N789" s="2">
        <v>0</v>
      </c>
      <c r="O789" s="2">
        <v>0</v>
      </c>
      <c r="P789" s="2"/>
      <c r="Q789" s="2">
        <v>20</v>
      </c>
      <c r="R789" s="2">
        <v>286</v>
      </c>
      <c r="S789" s="2">
        <v>296</v>
      </c>
      <c r="T789" s="2">
        <v>253</v>
      </c>
      <c r="U789" s="2">
        <v>0</v>
      </c>
      <c r="V789" s="2"/>
      <c r="W789" s="2">
        <v>250</v>
      </c>
      <c r="X789" s="2">
        <v>203</v>
      </c>
      <c r="Y789" s="2">
        <v>0</v>
      </c>
      <c r="Z789" s="2">
        <v>0</v>
      </c>
      <c r="AA789" s="2">
        <v>0</v>
      </c>
      <c r="AB789" s="2"/>
      <c r="AC789" s="2">
        <v>909</v>
      </c>
      <c r="AD789" s="2">
        <v>638</v>
      </c>
      <c r="AE789" s="2">
        <v>302</v>
      </c>
      <c r="AF789" s="2">
        <v>0</v>
      </c>
      <c r="AG789" s="2">
        <v>0</v>
      </c>
      <c r="AH789" s="2"/>
      <c r="AI789" s="2">
        <v>-2205</v>
      </c>
      <c r="AJ789" s="2">
        <v>-2205</v>
      </c>
      <c r="AK789" s="2">
        <v>-2205</v>
      </c>
      <c r="AL789" s="2">
        <v>0</v>
      </c>
      <c r="AM789" s="2">
        <v>-2205</v>
      </c>
    </row>
    <row r="790" spans="1:39">
      <c r="A790" s="351">
        <v>98401</v>
      </c>
      <c r="B790" s="344" t="s">
        <v>1488</v>
      </c>
      <c r="C790" s="360">
        <v>2.9325000000000002E-3</v>
      </c>
      <c r="E790" s="2">
        <v>1125666</v>
      </c>
      <c r="F790" s="2">
        <v>1432132</v>
      </c>
      <c r="G790" s="2">
        <v>854852</v>
      </c>
      <c r="H790" s="2">
        <v>436421</v>
      </c>
      <c r="I790" s="2">
        <v>0</v>
      </c>
      <c r="J790" s="2"/>
      <c r="K790" s="2">
        <v>543712</v>
      </c>
      <c r="L790" s="2">
        <v>500853</v>
      </c>
      <c r="M790" s="2">
        <v>278758</v>
      </c>
      <c r="N790" s="2">
        <v>0</v>
      </c>
      <c r="O790" s="2">
        <v>0</v>
      </c>
      <c r="P790" s="2"/>
      <c r="Q790" s="2">
        <v>35246</v>
      </c>
      <c r="R790" s="2">
        <v>492968</v>
      </c>
      <c r="S790" s="2">
        <v>510015</v>
      </c>
      <c r="T790" s="2">
        <v>436421</v>
      </c>
      <c r="U790" s="2">
        <v>0</v>
      </c>
      <c r="V790" s="2"/>
      <c r="W790" s="2">
        <v>430421</v>
      </c>
      <c r="X790" s="2">
        <v>349428</v>
      </c>
      <c r="Y790" s="2">
        <v>0</v>
      </c>
      <c r="Z790" s="2">
        <v>0</v>
      </c>
      <c r="AA790" s="2">
        <v>0</v>
      </c>
      <c r="AB790" s="2"/>
      <c r="AC790" s="2">
        <v>116287</v>
      </c>
      <c r="AD790" s="2">
        <v>88883</v>
      </c>
      <c r="AE790" s="2">
        <v>66079</v>
      </c>
      <c r="AF790" s="2">
        <v>0</v>
      </c>
      <c r="AG790" s="2">
        <v>0</v>
      </c>
      <c r="AH790" s="2"/>
      <c r="AI790" s="2">
        <v>0</v>
      </c>
      <c r="AJ790" s="2">
        <v>0</v>
      </c>
      <c r="AK790" s="2">
        <v>0</v>
      </c>
      <c r="AL790" s="2">
        <v>0</v>
      </c>
      <c r="AM790" s="2">
        <v>0</v>
      </c>
    </row>
    <row r="791" spans="1:39">
      <c r="A791" s="351">
        <v>98404</v>
      </c>
      <c r="B791" s="344" t="s">
        <v>1489</v>
      </c>
      <c r="C791" s="360">
        <v>1.5E-5</v>
      </c>
      <c r="E791" s="2">
        <v>7994</v>
      </c>
      <c r="F791" s="2">
        <v>7380</v>
      </c>
      <c r="G791" s="2">
        <v>4363</v>
      </c>
      <c r="H791" s="2">
        <v>2232</v>
      </c>
      <c r="I791" s="2">
        <v>0</v>
      </c>
      <c r="J791" s="2"/>
      <c r="K791" s="2">
        <v>2781</v>
      </c>
      <c r="L791" s="2">
        <v>2562</v>
      </c>
      <c r="M791" s="2">
        <v>1426</v>
      </c>
      <c r="N791" s="2">
        <v>0</v>
      </c>
      <c r="O791" s="2">
        <v>0</v>
      </c>
      <c r="P791" s="2"/>
      <c r="Q791" s="2">
        <v>180</v>
      </c>
      <c r="R791" s="2">
        <v>2522</v>
      </c>
      <c r="S791" s="2">
        <v>2609</v>
      </c>
      <c r="T791" s="2">
        <v>2232</v>
      </c>
      <c r="U791" s="2">
        <v>0</v>
      </c>
      <c r="V791" s="2"/>
      <c r="W791" s="2">
        <v>2202</v>
      </c>
      <c r="X791" s="2">
        <v>1787</v>
      </c>
      <c r="Y791" s="2">
        <v>0</v>
      </c>
      <c r="Z791" s="2">
        <v>0</v>
      </c>
      <c r="AA791" s="2">
        <v>0</v>
      </c>
      <c r="AB791" s="2"/>
      <c r="AC791" s="2">
        <v>2915</v>
      </c>
      <c r="AD791" s="2">
        <v>593</v>
      </c>
      <c r="AE791" s="2">
        <v>412</v>
      </c>
      <c r="AF791" s="2">
        <v>0</v>
      </c>
      <c r="AG791" s="2">
        <v>0</v>
      </c>
      <c r="AH791" s="2"/>
      <c r="AI791" s="2">
        <v>-84</v>
      </c>
      <c r="AJ791" s="2">
        <v>-84</v>
      </c>
      <c r="AK791" s="2">
        <v>-84</v>
      </c>
      <c r="AL791" s="2">
        <v>0</v>
      </c>
      <c r="AM791" s="2">
        <v>-84</v>
      </c>
    </row>
    <row r="792" spans="1:39">
      <c r="A792" s="351">
        <v>98411</v>
      </c>
      <c r="B792" s="344" t="s">
        <v>1490</v>
      </c>
      <c r="C792" s="360">
        <v>1.7830999999999999E-3</v>
      </c>
      <c r="E792" s="2">
        <v>505682</v>
      </c>
      <c r="F792" s="2">
        <v>721018</v>
      </c>
      <c r="G792" s="2">
        <v>400346</v>
      </c>
      <c r="H792" s="2">
        <v>265365</v>
      </c>
      <c r="I792" s="2">
        <v>0</v>
      </c>
      <c r="J792" s="2"/>
      <c r="K792" s="2">
        <v>330603</v>
      </c>
      <c r="L792" s="2">
        <v>304543</v>
      </c>
      <c r="M792" s="2">
        <v>169498</v>
      </c>
      <c r="N792" s="2">
        <v>0</v>
      </c>
      <c r="O792" s="2">
        <v>0</v>
      </c>
      <c r="P792" s="2"/>
      <c r="Q792" s="2">
        <v>21431</v>
      </c>
      <c r="R792" s="2">
        <v>299748</v>
      </c>
      <c r="S792" s="2">
        <v>310113</v>
      </c>
      <c r="T792" s="2">
        <v>265365</v>
      </c>
      <c r="U792" s="2">
        <v>0</v>
      </c>
      <c r="V792" s="2"/>
      <c r="W792" s="2">
        <v>261716</v>
      </c>
      <c r="X792" s="2">
        <v>212469</v>
      </c>
      <c r="Y792" s="2">
        <v>0</v>
      </c>
      <c r="Z792" s="2">
        <v>0</v>
      </c>
      <c r="AA792" s="2">
        <v>0</v>
      </c>
      <c r="AB792" s="2"/>
      <c r="AC792" s="2">
        <v>0</v>
      </c>
      <c r="AD792" s="2">
        <v>0</v>
      </c>
      <c r="AE792" s="2">
        <v>0</v>
      </c>
      <c r="AF792" s="2">
        <v>0</v>
      </c>
      <c r="AG792" s="2">
        <v>0</v>
      </c>
      <c r="AH792" s="2"/>
      <c r="AI792" s="2">
        <v>-108068</v>
      </c>
      <c r="AJ792" s="2">
        <v>-95742</v>
      </c>
      <c r="AK792" s="2">
        <v>-79265</v>
      </c>
      <c r="AL792" s="2">
        <v>0</v>
      </c>
      <c r="AM792" s="2">
        <v>-95742</v>
      </c>
    </row>
    <row r="793" spans="1:39">
      <c r="A793" s="351">
        <v>98417</v>
      </c>
      <c r="B793" s="344" t="s">
        <v>1492</v>
      </c>
      <c r="C793" s="360">
        <v>2.1699999999999999E-5</v>
      </c>
      <c r="E793" s="2">
        <v>10795</v>
      </c>
      <c r="F793" s="2">
        <v>12879</v>
      </c>
      <c r="G793" s="2">
        <v>8042</v>
      </c>
      <c r="H793" s="2">
        <v>3229</v>
      </c>
      <c r="I793" s="2">
        <v>0</v>
      </c>
      <c r="J793" s="2"/>
      <c r="K793" s="2">
        <v>4023</v>
      </c>
      <c r="L793" s="2">
        <v>3706</v>
      </c>
      <c r="M793" s="2">
        <v>2063</v>
      </c>
      <c r="N793" s="2">
        <v>0</v>
      </c>
      <c r="O793" s="2">
        <v>0</v>
      </c>
      <c r="P793" s="2"/>
      <c r="Q793" s="2">
        <v>261</v>
      </c>
      <c r="R793" s="2">
        <v>3648</v>
      </c>
      <c r="S793" s="2">
        <v>3774</v>
      </c>
      <c r="T793" s="2">
        <v>3229</v>
      </c>
      <c r="U793" s="2">
        <v>0</v>
      </c>
      <c r="V793" s="2"/>
      <c r="W793" s="2">
        <v>3185</v>
      </c>
      <c r="X793" s="2">
        <v>2586</v>
      </c>
      <c r="Y793" s="2">
        <v>0</v>
      </c>
      <c r="Z793" s="2">
        <v>0</v>
      </c>
      <c r="AA793" s="2">
        <v>0</v>
      </c>
      <c r="AB793" s="2"/>
      <c r="AC793" s="2">
        <v>3326</v>
      </c>
      <c r="AD793" s="2">
        <v>2939</v>
      </c>
      <c r="AE793" s="2">
        <v>2205</v>
      </c>
      <c r="AF793" s="2">
        <v>0</v>
      </c>
      <c r="AG793" s="2">
        <v>0</v>
      </c>
      <c r="AH793" s="2"/>
      <c r="AI793" s="2">
        <v>0</v>
      </c>
      <c r="AJ793" s="2">
        <v>0</v>
      </c>
      <c r="AK793" s="2">
        <v>0</v>
      </c>
      <c r="AL793" s="2">
        <v>0</v>
      </c>
      <c r="AM793" s="2">
        <v>0</v>
      </c>
    </row>
    <row r="794" spans="1:39">
      <c r="A794" s="351">
        <v>98421</v>
      </c>
      <c r="B794" s="344" t="s">
        <v>1493</v>
      </c>
      <c r="C794" s="360">
        <v>1.081E-4</v>
      </c>
      <c r="E794" s="2">
        <v>35169</v>
      </c>
      <c r="F794" s="2">
        <v>50500</v>
      </c>
      <c r="G794" s="2">
        <v>26181</v>
      </c>
      <c r="H794" s="2">
        <v>16088</v>
      </c>
      <c r="I794" s="2">
        <v>0</v>
      </c>
      <c r="J794" s="2"/>
      <c r="K794" s="2">
        <v>20043</v>
      </c>
      <c r="L794" s="2">
        <v>18463</v>
      </c>
      <c r="M794" s="2">
        <v>10276</v>
      </c>
      <c r="N794" s="2">
        <v>0</v>
      </c>
      <c r="O794" s="2">
        <v>0</v>
      </c>
      <c r="P794" s="2"/>
      <c r="Q794" s="2">
        <v>1299</v>
      </c>
      <c r="R794" s="2">
        <v>18172</v>
      </c>
      <c r="S794" s="2">
        <v>18801</v>
      </c>
      <c r="T794" s="2">
        <v>16088</v>
      </c>
      <c r="U794" s="2">
        <v>0</v>
      </c>
      <c r="V794" s="2"/>
      <c r="W794" s="2">
        <v>15866</v>
      </c>
      <c r="X794" s="2">
        <v>12881</v>
      </c>
      <c r="Y794" s="2">
        <v>0</v>
      </c>
      <c r="Z794" s="2">
        <v>0</v>
      </c>
      <c r="AA794" s="2">
        <v>0</v>
      </c>
      <c r="AB794" s="2"/>
      <c r="AC794" s="2">
        <v>4300</v>
      </c>
      <c r="AD794" s="2">
        <v>4302</v>
      </c>
      <c r="AE794" s="2">
        <v>420</v>
      </c>
      <c r="AF794" s="2">
        <v>0</v>
      </c>
      <c r="AG794" s="2">
        <v>0</v>
      </c>
      <c r="AH794" s="2"/>
      <c r="AI794" s="2">
        <v>-6339</v>
      </c>
      <c r="AJ794" s="2">
        <v>-3318</v>
      </c>
      <c r="AK794" s="2">
        <v>-3316</v>
      </c>
      <c r="AL794" s="2">
        <v>0</v>
      </c>
      <c r="AM794" s="2">
        <v>-3318</v>
      </c>
    </row>
    <row r="795" spans="1:39">
      <c r="A795" s="351">
        <v>98427</v>
      </c>
      <c r="B795" s="344" t="s">
        <v>2799</v>
      </c>
      <c r="C795" s="360">
        <v>2.9000000000000002E-6</v>
      </c>
      <c r="E795" s="2">
        <v>2264</v>
      </c>
      <c r="F795" s="2">
        <v>2413</v>
      </c>
      <c r="G795" s="2">
        <v>1647</v>
      </c>
      <c r="H795" s="2">
        <v>432</v>
      </c>
      <c r="I795" s="2">
        <v>0</v>
      </c>
      <c r="J795" s="2"/>
      <c r="K795" s="2">
        <v>538</v>
      </c>
      <c r="L795" s="2">
        <v>495</v>
      </c>
      <c r="M795" s="2">
        <v>276</v>
      </c>
      <c r="N795" s="2">
        <v>0</v>
      </c>
      <c r="O795" s="2">
        <v>0</v>
      </c>
      <c r="P795" s="2"/>
      <c r="Q795" s="2">
        <v>35</v>
      </c>
      <c r="R795" s="2">
        <v>488</v>
      </c>
      <c r="S795" s="2">
        <v>504</v>
      </c>
      <c r="T795" s="2">
        <v>432</v>
      </c>
      <c r="U795" s="2">
        <v>0</v>
      </c>
      <c r="V795" s="2"/>
      <c r="W795" s="2">
        <v>426</v>
      </c>
      <c r="X795" s="2">
        <v>346</v>
      </c>
      <c r="Y795" s="2">
        <v>0</v>
      </c>
      <c r="Z795" s="2">
        <v>0</v>
      </c>
      <c r="AA795" s="2">
        <v>0</v>
      </c>
      <c r="AB795" s="2"/>
      <c r="AC795" s="2">
        <v>1265</v>
      </c>
      <c r="AD795" s="2">
        <v>1084</v>
      </c>
      <c r="AE795" s="2">
        <v>867</v>
      </c>
      <c r="AF795" s="2">
        <v>0</v>
      </c>
      <c r="AG795" s="2">
        <v>0</v>
      </c>
      <c r="AH795" s="2"/>
      <c r="AI795" s="2">
        <v>0</v>
      </c>
      <c r="AJ795" s="2">
        <v>0</v>
      </c>
      <c r="AK795" s="2">
        <v>0</v>
      </c>
      <c r="AL795" s="2">
        <v>0</v>
      </c>
      <c r="AM795" s="2">
        <v>0</v>
      </c>
    </row>
    <row r="796" spans="1:39">
      <c r="A796" s="351">
        <v>98431</v>
      </c>
      <c r="B796" s="344" t="s">
        <v>1495</v>
      </c>
      <c r="C796" s="360">
        <v>2.062E-4</v>
      </c>
      <c r="E796" s="2">
        <v>63589</v>
      </c>
      <c r="F796" s="2">
        <v>89303</v>
      </c>
      <c r="G796" s="2">
        <v>54700</v>
      </c>
      <c r="H796" s="2">
        <v>30687</v>
      </c>
      <c r="I796" s="2">
        <v>0</v>
      </c>
      <c r="J796" s="2"/>
      <c r="K796" s="2">
        <v>38231</v>
      </c>
      <c r="L796" s="2">
        <v>35218</v>
      </c>
      <c r="M796" s="2">
        <v>19601</v>
      </c>
      <c r="N796" s="2">
        <v>0</v>
      </c>
      <c r="O796" s="2">
        <v>0</v>
      </c>
      <c r="P796" s="2"/>
      <c r="Q796" s="2">
        <v>2478</v>
      </c>
      <c r="R796" s="2">
        <v>34663</v>
      </c>
      <c r="S796" s="2">
        <v>35862</v>
      </c>
      <c r="T796" s="2">
        <v>30687</v>
      </c>
      <c r="U796" s="2">
        <v>0</v>
      </c>
      <c r="V796" s="2"/>
      <c r="W796" s="2">
        <v>30265</v>
      </c>
      <c r="X796" s="2">
        <v>24570</v>
      </c>
      <c r="Y796" s="2">
        <v>0</v>
      </c>
      <c r="Z796" s="2">
        <v>0</v>
      </c>
      <c r="AA796" s="2">
        <v>0</v>
      </c>
      <c r="AB796" s="2"/>
      <c r="AC796" s="2">
        <v>628</v>
      </c>
      <c r="AD796" s="2">
        <v>628</v>
      </c>
      <c r="AE796" s="2">
        <v>629</v>
      </c>
      <c r="AF796" s="2">
        <v>0</v>
      </c>
      <c r="AG796" s="2">
        <v>0</v>
      </c>
      <c r="AH796" s="2"/>
      <c r="AI796" s="2">
        <v>-8013</v>
      </c>
      <c r="AJ796" s="2">
        <v>-5776</v>
      </c>
      <c r="AK796" s="2">
        <v>-1392</v>
      </c>
      <c r="AL796" s="2">
        <v>0</v>
      </c>
      <c r="AM796" s="2">
        <v>-5776</v>
      </c>
    </row>
    <row r="797" spans="1:39">
      <c r="A797" s="351">
        <v>98441</v>
      </c>
      <c r="B797" s="344" t="s">
        <v>1496</v>
      </c>
      <c r="C797" s="360">
        <v>1.1959999999999999E-4</v>
      </c>
      <c r="E797" s="2">
        <v>45052</v>
      </c>
      <c r="F797" s="2">
        <v>60539</v>
      </c>
      <c r="G797" s="2">
        <v>34908</v>
      </c>
      <c r="H797" s="2">
        <v>17799</v>
      </c>
      <c r="I797" s="2">
        <v>0</v>
      </c>
      <c r="J797" s="2"/>
      <c r="K797" s="2">
        <v>22175</v>
      </c>
      <c r="L797" s="2">
        <v>20427</v>
      </c>
      <c r="M797" s="2">
        <v>11369</v>
      </c>
      <c r="N797" s="2">
        <v>0</v>
      </c>
      <c r="O797" s="2">
        <v>0</v>
      </c>
      <c r="P797" s="2"/>
      <c r="Q797" s="2">
        <v>1437</v>
      </c>
      <c r="R797" s="2">
        <v>20105</v>
      </c>
      <c r="S797" s="2">
        <v>20801</v>
      </c>
      <c r="T797" s="2">
        <v>17799</v>
      </c>
      <c r="U797" s="2">
        <v>0</v>
      </c>
      <c r="V797" s="2"/>
      <c r="W797" s="2">
        <v>17554</v>
      </c>
      <c r="X797" s="2">
        <v>14251</v>
      </c>
      <c r="Y797" s="2">
        <v>0</v>
      </c>
      <c r="Z797" s="2">
        <v>0</v>
      </c>
      <c r="AA797" s="2">
        <v>0</v>
      </c>
      <c r="AB797" s="2"/>
      <c r="AC797" s="2">
        <v>8168</v>
      </c>
      <c r="AD797" s="2">
        <v>8168</v>
      </c>
      <c r="AE797" s="2">
        <v>5149</v>
      </c>
      <c r="AF797" s="2">
        <v>0</v>
      </c>
      <c r="AG797" s="2">
        <v>0</v>
      </c>
      <c r="AH797" s="2"/>
      <c r="AI797" s="2">
        <v>-4282</v>
      </c>
      <c r="AJ797" s="2">
        <v>-2412</v>
      </c>
      <c r="AK797" s="2">
        <v>-2411</v>
      </c>
      <c r="AL797" s="2">
        <v>0</v>
      </c>
      <c r="AM797" s="2">
        <v>-2412</v>
      </c>
    </row>
    <row r="798" spans="1:39">
      <c r="A798" s="351">
        <v>98451</v>
      </c>
      <c r="B798" s="344" t="s">
        <v>1497</v>
      </c>
      <c r="C798" s="360">
        <v>3.2100000000000001E-5</v>
      </c>
      <c r="E798" s="2">
        <v>5399</v>
      </c>
      <c r="F798" s="2">
        <v>8926</v>
      </c>
      <c r="G798" s="2">
        <v>3763</v>
      </c>
      <c r="H798" s="2">
        <v>4777</v>
      </c>
      <c r="I798" s="2">
        <v>0</v>
      </c>
      <c r="J798" s="2"/>
      <c r="K798" s="2">
        <v>5952</v>
      </c>
      <c r="L798" s="2">
        <v>5482</v>
      </c>
      <c r="M798" s="2">
        <v>3051</v>
      </c>
      <c r="N798" s="2">
        <v>0</v>
      </c>
      <c r="O798" s="2">
        <v>0</v>
      </c>
      <c r="P798" s="2"/>
      <c r="Q798" s="2">
        <v>386</v>
      </c>
      <c r="R798" s="2">
        <v>5396</v>
      </c>
      <c r="S798" s="2">
        <v>5583</v>
      </c>
      <c r="T798" s="2">
        <v>4777</v>
      </c>
      <c r="U798" s="2">
        <v>0</v>
      </c>
      <c r="V798" s="2"/>
      <c r="W798" s="2">
        <v>4712</v>
      </c>
      <c r="X798" s="2">
        <v>3825</v>
      </c>
      <c r="Y798" s="2">
        <v>0</v>
      </c>
      <c r="Z798" s="2">
        <v>0</v>
      </c>
      <c r="AA798" s="2">
        <v>0</v>
      </c>
      <c r="AB798" s="2"/>
      <c r="AC798" s="2">
        <v>166</v>
      </c>
      <c r="AD798" s="2">
        <v>40</v>
      </c>
      <c r="AE798" s="2">
        <v>41</v>
      </c>
      <c r="AF798" s="2">
        <v>0</v>
      </c>
      <c r="AG798" s="2">
        <v>0</v>
      </c>
      <c r="AH798" s="2"/>
      <c r="AI798" s="2">
        <v>-5817</v>
      </c>
      <c r="AJ798" s="2">
        <v>-5817</v>
      </c>
      <c r="AK798" s="2">
        <v>-4912</v>
      </c>
      <c r="AL798" s="2">
        <v>0</v>
      </c>
      <c r="AM798" s="2">
        <v>-5817</v>
      </c>
    </row>
    <row r="799" spans="1:39">
      <c r="A799" s="351">
        <v>98471</v>
      </c>
      <c r="B799" s="344" t="s">
        <v>1642</v>
      </c>
      <c r="C799" s="360">
        <v>6.7000000000000002E-6</v>
      </c>
      <c r="E799" s="2">
        <v>4181</v>
      </c>
      <c r="F799" s="2">
        <v>4944</v>
      </c>
      <c r="G799" s="2">
        <v>2393</v>
      </c>
      <c r="H799" s="2">
        <v>997</v>
      </c>
      <c r="I799" s="2">
        <v>0</v>
      </c>
      <c r="J799" s="2"/>
      <c r="K799" s="2">
        <v>1242</v>
      </c>
      <c r="L799" s="2">
        <v>1144</v>
      </c>
      <c r="M799" s="2">
        <v>637</v>
      </c>
      <c r="N799" s="2">
        <v>0</v>
      </c>
      <c r="O799" s="2">
        <v>0</v>
      </c>
      <c r="P799" s="2"/>
      <c r="Q799" s="2">
        <v>81</v>
      </c>
      <c r="R799" s="2">
        <v>1126</v>
      </c>
      <c r="S799" s="2">
        <v>1165</v>
      </c>
      <c r="T799" s="2">
        <v>997</v>
      </c>
      <c r="U799" s="2">
        <v>0</v>
      </c>
      <c r="V799" s="2"/>
      <c r="W799" s="2">
        <v>983</v>
      </c>
      <c r="X799" s="2">
        <v>798</v>
      </c>
      <c r="Y799" s="2">
        <v>0</v>
      </c>
      <c r="Z799" s="2">
        <v>0</v>
      </c>
      <c r="AA799" s="2">
        <v>0</v>
      </c>
      <c r="AB799" s="2"/>
      <c r="AC799" s="2">
        <v>1875</v>
      </c>
      <c r="AD799" s="2">
        <v>1876</v>
      </c>
      <c r="AE799" s="2">
        <v>591</v>
      </c>
      <c r="AF799" s="2">
        <v>0</v>
      </c>
      <c r="AG799" s="2">
        <v>0</v>
      </c>
      <c r="AH799" s="2"/>
      <c r="AI799" s="2">
        <v>0</v>
      </c>
      <c r="AJ799" s="2">
        <v>0</v>
      </c>
      <c r="AK799" s="2">
        <v>0</v>
      </c>
      <c r="AL799" s="2">
        <v>0</v>
      </c>
      <c r="AM799" s="2">
        <v>0</v>
      </c>
    </row>
    <row r="800" spans="1:39">
      <c r="A800" s="351">
        <v>98481</v>
      </c>
      <c r="B800" s="344" t="s">
        <v>1498</v>
      </c>
      <c r="C800" s="360">
        <v>5.9799999999999997E-5</v>
      </c>
      <c r="E800" s="2">
        <v>17833</v>
      </c>
      <c r="F800" s="2">
        <v>25709</v>
      </c>
      <c r="G800" s="2">
        <v>13857</v>
      </c>
      <c r="H800" s="2">
        <v>8900</v>
      </c>
      <c r="I800" s="2">
        <v>0</v>
      </c>
      <c r="J800" s="2"/>
      <c r="K800" s="2">
        <v>11087</v>
      </c>
      <c r="L800" s="2">
        <v>10213</v>
      </c>
      <c r="M800" s="2">
        <v>5684</v>
      </c>
      <c r="N800" s="2">
        <v>0</v>
      </c>
      <c r="O800" s="2">
        <v>0</v>
      </c>
      <c r="P800" s="2"/>
      <c r="Q800" s="2">
        <v>719</v>
      </c>
      <c r="R800" s="2">
        <v>10053</v>
      </c>
      <c r="S800" s="2">
        <v>10400</v>
      </c>
      <c r="T800" s="2">
        <v>8900</v>
      </c>
      <c r="U800" s="2">
        <v>0</v>
      </c>
      <c r="V800" s="2"/>
      <c r="W800" s="2">
        <v>8777</v>
      </c>
      <c r="X800" s="2">
        <v>7126</v>
      </c>
      <c r="Y800" s="2">
        <v>0</v>
      </c>
      <c r="Z800" s="2">
        <v>0</v>
      </c>
      <c r="AA800" s="2">
        <v>0</v>
      </c>
      <c r="AB800" s="2"/>
      <c r="AC800" s="2">
        <v>546</v>
      </c>
      <c r="AD800" s="2">
        <v>547</v>
      </c>
      <c r="AE800" s="2">
        <v>0</v>
      </c>
      <c r="AF800" s="2">
        <v>0</v>
      </c>
      <c r="AG800" s="2">
        <v>0</v>
      </c>
      <c r="AH800" s="2"/>
      <c r="AI800" s="2">
        <v>-3296</v>
      </c>
      <c r="AJ800" s="2">
        <v>-2230</v>
      </c>
      <c r="AK800" s="2">
        <v>-2227</v>
      </c>
      <c r="AL800" s="2">
        <v>0</v>
      </c>
      <c r="AM800" s="2">
        <v>-2230</v>
      </c>
    </row>
    <row r="801" spans="1:39">
      <c r="A801" s="351">
        <v>98501</v>
      </c>
      <c r="B801" s="344" t="s">
        <v>1499</v>
      </c>
      <c r="C801" s="360">
        <v>1.8075999999999999E-3</v>
      </c>
      <c r="E801" s="2">
        <v>750254</v>
      </c>
      <c r="F801" s="2">
        <v>945446</v>
      </c>
      <c r="G801" s="2">
        <v>591135</v>
      </c>
      <c r="H801" s="2">
        <v>269011</v>
      </c>
      <c r="I801" s="2">
        <v>0</v>
      </c>
      <c r="J801" s="2"/>
      <c r="K801" s="2">
        <v>335145</v>
      </c>
      <c r="L801" s="2">
        <v>308727</v>
      </c>
      <c r="M801" s="2">
        <v>171827</v>
      </c>
      <c r="N801" s="2">
        <v>0</v>
      </c>
      <c r="O801" s="2">
        <v>0</v>
      </c>
      <c r="P801" s="2"/>
      <c r="Q801" s="2">
        <v>21726</v>
      </c>
      <c r="R801" s="2">
        <v>303867</v>
      </c>
      <c r="S801" s="2">
        <v>314374</v>
      </c>
      <c r="T801" s="2">
        <v>269011</v>
      </c>
      <c r="U801" s="2">
        <v>0</v>
      </c>
      <c r="V801" s="2"/>
      <c r="W801" s="2">
        <v>265312</v>
      </c>
      <c r="X801" s="2">
        <v>215388</v>
      </c>
      <c r="Y801" s="2">
        <v>0</v>
      </c>
      <c r="Z801" s="2">
        <v>0</v>
      </c>
      <c r="AA801" s="2">
        <v>0</v>
      </c>
      <c r="AB801" s="2"/>
      <c r="AC801" s="2">
        <v>128071</v>
      </c>
      <c r="AD801" s="2">
        <v>117464</v>
      </c>
      <c r="AE801" s="2">
        <v>104934</v>
      </c>
      <c r="AF801" s="2">
        <v>0</v>
      </c>
      <c r="AG801" s="2">
        <v>0</v>
      </c>
      <c r="AH801" s="2"/>
      <c r="AI801" s="2">
        <v>0</v>
      </c>
      <c r="AJ801" s="2">
        <v>0</v>
      </c>
      <c r="AK801" s="2">
        <v>0</v>
      </c>
      <c r="AL801" s="2">
        <v>0</v>
      </c>
      <c r="AM801" s="2">
        <v>0</v>
      </c>
    </row>
    <row r="802" spans="1:39">
      <c r="A802" s="351">
        <v>98511</v>
      </c>
      <c r="B802" s="344" t="s">
        <v>1500</v>
      </c>
      <c r="C802" s="360">
        <v>4.4400000000000002E-5</v>
      </c>
      <c r="E802" s="2">
        <v>15205</v>
      </c>
      <c r="F802" s="2">
        <v>19612</v>
      </c>
      <c r="G802" s="2">
        <v>11898</v>
      </c>
      <c r="H802" s="2">
        <v>6608</v>
      </c>
      <c r="I802" s="2">
        <v>0</v>
      </c>
      <c r="J802" s="2"/>
      <c r="K802" s="2">
        <v>8232</v>
      </c>
      <c r="L802" s="2">
        <v>7583</v>
      </c>
      <c r="M802" s="2">
        <v>4221</v>
      </c>
      <c r="N802" s="2">
        <v>0</v>
      </c>
      <c r="O802" s="2">
        <v>0</v>
      </c>
      <c r="P802" s="2"/>
      <c r="Q802" s="2">
        <v>534</v>
      </c>
      <c r="R802" s="2">
        <v>7464</v>
      </c>
      <c r="S802" s="2">
        <v>7722</v>
      </c>
      <c r="T802" s="2">
        <v>6608</v>
      </c>
      <c r="U802" s="2">
        <v>0</v>
      </c>
      <c r="V802" s="2"/>
      <c r="W802" s="2">
        <v>6517</v>
      </c>
      <c r="X802" s="2">
        <v>5291</v>
      </c>
      <c r="Y802" s="2">
        <v>0</v>
      </c>
      <c r="Z802" s="2">
        <v>0</v>
      </c>
      <c r="AA802" s="2">
        <v>0</v>
      </c>
      <c r="AB802" s="2"/>
      <c r="AC802" s="2">
        <v>2205</v>
      </c>
      <c r="AD802" s="2">
        <v>1558</v>
      </c>
      <c r="AE802" s="2">
        <v>1560</v>
      </c>
      <c r="AF802" s="2">
        <v>0</v>
      </c>
      <c r="AG802" s="2">
        <v>0</v>
      </c>
      <c r="AH802" s="2"/>
      <c r="AI802" s="2">
        <v>-2283</v>
      </c>
      <c r="AJ802" s="2">
        <v>-2284</v>
      </c>
      <c r="AK802" s="2">
        <v>-1605</v>
      </c>
      <c r="AL802" s="2">
        <v>0</v>
      </c>
      <c r="AM802" s="2">
        <v>-2284</v>
      </c>
    </row>
    <row r="803" spans="1:39">
      <c r="A803" s="351">
        <v>98517</v>
      </c>
      <c r="B803" s="344" t="s">
        <v>1501</v>
      </c>
      <c r="C803" s="360">
        <v>0</v>
      </c>
      <c r="E803" s="2">
        <v>803</v>
      </c>
      <c r="F803" s="2">
        <v>564</v>
      </c>
      <c r="G803" s="2">
        <v>136</v>
      </c>
      <c r="H803" s="2">
        <v>0</v>
      </c>
      <c r="I803" s="2">
        <v>0</v>
      </c>
      <c r="J803" s="2"/>
      <c r="K803" s="2">
        <v>0</v>
      </c>
      <c r="L803" s="2">
        <v>0</v>
      </c>
      <c r="M803" s="2">
        <v>0</v>
      </c>
      <c r="N803" s="2">
        <v>0</v>
      </c>
      <c r="O803" s="2">
        <v>0</v>
      </c>
      <c r="P803" s="2"/>
      <c r="Q803" s="2">
        <v>0</v>
      </c>
      <c r="R803" s="2">
        <v>0</v>
      </c>
      <c r="S803" s="2">
        <v>0</v>
      </c>
      <c r="T803" s="2">
        <v>0</v>
      </c>
      <c r="U803" s="2">
        <v>0</v>
      </c>
      <c r="V803" s="2"/>
      <c r="W803" s="2">
        <v>0</v>
      </c>
      <c r="X803" s="2">
        <v>0</v>
      </c>
      <c r="Y803" s="2">
        <v>0</v>
      </c>
      <c r="Z803" s="2">
        <v>0</v>
      </c>
      <c r="AA803" s="2">
        <v>0</v>
      </c>
      <c r="AB803" s="2"/>
      <c r="AC803" s="2">
        <v>1131</v>
      </c>
      <c r="AD803" s="2">
        <v>892</v>
      </c>
      <c r="AE803" s="2">
        <v>462</v>
      </c>
      <c r="AF803" s="2">
        <v>0</v>
      </c>
      <c r="AG803" s="2">
        <v>0</v>
      </c>
      <c r="AH803" s="2"/>
      <c r="AI803" s="2">
        <v>-328</v>
      </c>
      <c r="AJ803" s="2">
        <v>-328</v>
      </c>
      <c r="AK803" s="2">
        <v>-326</v>
      </c>
      <c r="AL803" s="2">
        <v>0</v>
      </c>
      <c r="AM803" s="2">
        <v>-328</v>
      </c>
    </row>
    <row r="804" spans="1:39">
      <c r="A804" s="351">
        <v>98521</v>
      </c>
      <c r="B804" s="344" t="s">
        <v>1502</v>
      </c>
      <c r="C804" s="360">
        <v>6.581E-4</v>
      </c>
      <c r="E804" s="2">
        <v>232901</v>
      </c>
      <c r="F804" s="2">
        <v>299132</v>
      </c>
      <c r="G804" s="2">
        <v>181502</v>
      </c>
      <c r="H804" s="2">
        <v>97940</v>
      </c>
      <c r="I804" s="2">
        <v>0</v>
      </c>
      <c r="J804" s="2"/>
      <c r="K804" s="2">
        <v>122018</v>
      </c>
      <c r="L804" s="2">
        <v>112400</v>
      </c>
      <c r="M804" s="2">
        <v>62558</v>
      </c>
      <c r="N804" s="2">
        <v>0</v>
      </c>
      <c r="O804" s="2">
        <v>0</v>
      </c>
      <c r="P804" s="2"/>
      <c r="Q804" s="2">
        <v>7910</v>
      </c>
      <c r="R804" s="2">
        <v>110630</v>
      </c>
      <c r="S804" s="2">
        <v>114455</v>
      </c>
      <c r="T804" s="2">
        <v>97940</v>
      </c>
      <c r="U804" s="2">
        <v>0</v>
      </c>
      <c r="V804" s="2"/>
      <c r="W804" s="2">
        <v>96593</v>
      </c>
      <c r="X804" s="2">
        <v>78417</v>
      </c>
      <c r="Y804" s="2">
        <v>0</v>
      </c>
      <c r="Z804" s="2">
        <v>0</v>
      </c>
      <c r="AA804" s="2">
        <v>0</v>
      </c>
      <c r="AB804" s="2"/>
      <c r="AC804" s="2">
        <v>17826</v>
      </c>
      <c r="AD804" s="2">
        <v>9129</v>
      </c>
      <c r="AE804" s="2">
        <v>9127</v>
      </c>
      <c r="AF804" s="2">
        <v>0</v>
      </c>
      <c r="AG804" s="2">
        <v>0</v>
      </c>
      <c r="AH804" s="2"/>
      <c r="AI804" s="2">
        <v>-11446</v>
      </c>
      <c r="AJ804" s="2">
        <v>-11444</v>
      </c>
      <c r="AK804" s="2">
        <v>-4638</v>
      </c>
      <c r="AL804" s="2">
        <v>0</v>
      </c>
      <c r="AM804" s="2">
        <v>-11444</v>
      </c>
    </row>
    <row r="805" spans="1:39">
      <c r="A805" s="351">
        <v>98601</v>
      </c>
      <c r="B805" s="344" t="s">
        <v>1503</v>
      </c>
      <c r="C805" s="360">
        <v>3.6321000000000001E-3</v>
      </c>
      <c r="E805" s="2">
        <v>1237506</v>
      </c>
      <c r="F805" s="2">
        <v>1681037</v>
      </c>
      <c r="G805" s="2">
        <v>996528</v>
      </c>
      <c r="H805" s="2">
        <v>540536</v>
      </c>
      <c r="I805" s="2">
        <v>0</v>
      </c>
      <c r="J805" s="2"/>
      <c r="K805" s="2">
        <v>673424</v>
      </c>
      <c r="L805" s="2">
        <v>620341</v>
      </c>
      <c r="M805" s="2">
        <v>345260</v>
      </c>
      <c r="N805" s="2">
        <v>0</v>
      </c>
      <c r="O805" s="2">
        <v>0</v>
      </c>
      <c r="P805" s="2"/>
      <c r="Q805" s="2">
        <v>43654</v>
      </c>
      <c r="R805" s="2">
        <v>610574</v>
      </c>
      <c r="S805" s="2">
        <v>631688</v>
      </c>
      <c r="T805" s="2">
        <v>540536</v>
      </c>
      <c r="U805" s="2">
        <v>0</v>
      </c>
      <c r="V805" s="2"/>
      <c r="W805" s="2">
        <v>533105</v>
      </c>
      <c r="X805" s="2">
        <v>432790</v>
      </c>
      <c r="Y805" s="2">
        <v>0</v>
      </c>
      <c r="Z805" s="2">
        <v>0</v>
      </c>
      <c r="AA805" s="2">
        <v>0</v>
      </c>
      <c r="AB805" s="2"/>
      <c r="AC805" s="2">
        <v>19582</v>
      </c>
      <c r="AD805" s="2">
        <v>19582</v>
      </c>
      <c r="AE805" s="2">
        <v>19580</v>
      </c>
      <c r="AF805" s="2">
        <v>0</v>
      </c>
      <c r="AG805" s="2">
        <v>0</v>
      </c>
      <c r="AH805" s="2"/>
      <c r="AI805" s="2">
        <v>-32259</v>
      </c>
      <c r="AJ805" s="2">
        <v>-2250</v>
      </c>
      <c r="AK805" s="2">
        <v>0</v>
      </c>
      <c r="AL805" s="2">
        <v>0</v>
      </c>
      <c r="AM805" s="2">
        <v>-2250</v>
      </c>
    </row>
    <row r="806" spans="1:39">
      <c r="A806" s="351">
        <v>98607</v>
      </c>
      <c r="B806" s="344" t="s">
        <v>1505</v>
      </c>
      <c r="C806" s="360">
        <v>5.2000000000000002E-6</v>
      </c>
      <c r="E806" s="2">
        <v>2154</v>
      </c>
      <c r="F806" s="2">
        <v>2735</v>
      </c>
      <c r="G806" s="2">
        <v>1405</v>
      </c>
      <c r="H806" s="2">
        <v>774</v>
      </c>
      <c r="I806" s="2">
        <v>0</v>
      </c>
      <c r="J806" s="2"/>
      <c r="K806" s="2">
        <v>964</v>
      </c>
      <c r="L806" s="2">
        <v>888</v>
      </c>
      <c r="M806" s="2">
        <v>494</v>
      </c>
      <c r="N806" s="2">
        <v>0</v>
      </c>
      <c r="O806" s="2">
        <v>0</v>
      </c>
      <c r="P806" s="2"/>
      <c r="Q806" s="2">
        <v>62</v>
      </c>
      <c r="R806" s="2">
        <v>874</v>
      </c>
      <c r="S806" s="2">
        <v>904</v>
      </c>
      <c r="T806" s="2">
        <v>774</v>
      </c>
      <c r="U806" s="2">
        <v>0</v>
      </c>
      <c r="V806" s="2"/>
      <c r="W806" s="2">
        <v>763</v>
      </c>
      <c r="X806" s="2">
        <v>620</v>
      </c>
      <c r="Y806" s="2">
        <v>0</v>
      </c>
      <c r="Z806" s="2">
        <v>0</v>
      </c>
      <c r="AA806" s="2">
        <v>0</v>
      </c>
      <c r="AB806" s="2"/>
      <c r="AC806" s="2">
        <v>556</v>
      </c>
      <c r="AD806" s="2">
        <v>544</v>
      </c>
      <c r="AE806" s="2">
        <v>196</v>
      </c>
      <c r="AF806" s="2">
        <v>0</v>
      </c>
      <c r="AG806" s="2">
        <v>0</v>
      </c>
      <c r="AH806" s="2"/>
      <c r="AI806" s="2">
        <v>-191</v>
      </c>
      <c r="AJ806" s="2">
        <v>-191</v>
      </c>
      <c r="AK806" s="2">
        <v>-189</v>
      </c>
      <c r="AL806" s="2">
        <v>0</v>
      </c>
      <c r="AM806" s="2">
        <v>-191</v>
      </c>
    </row>
    <row r="807" spans="1:39">
      <c r="A807" s="351">
        <v>98608</v>
      </c>
      <c r="B807" s="344" t="s">
        <v>1506</v>
      </c>
      <c r="C807" s="360">
        <v>6.3899999999999995E-5</v>
      </c>
      <c r="E807" s="2">
        <v>31330</v>
      </c>
      <c r="F807" s="2">
        <v>37953</v>
      </c>
      <c r="G807" s="2">
        <v>26124</v>
      </c>
      <c r="H807" s="2">
        <v>9510</v>
      </c>
      <c r="I807" s="2">
        <v>0</v>
      </c>
      <c r="J807" s="2"/>
      <c r="K807" s="2">
        <v>11848</v>
      </c>
      <c r="L807" s="2">
        <v>10914</v>
      </c>
      <c r="M807" s="2">
        <v>6074</v>
      </c>
      <c r="N807" s="2">
        <v>0</v>
      </c>
      <c r="O807" s="2">
        <v>0</v>
      </c>
      <c r="P807" s="2"/>
      <c r="Q807" s="2">
        <v>768</v>
      </c>
      <c r="R807" s="2">
        <v>10742</v>
      </c>
      <c r="S807" s="2">
        <v>11113</v>
      </c>
      <c r="T807" s="2">
        <v>9510</v>
      </c>
      <c r="U807" s="2">
        <v>0</v>
      </c>
      <c r="V807" s="2"/>
      <c r="W807" s="2">
        <v>9379</v>
      </c>
      <c r="X807" s="2">
        <v>7614</v>
      </c>
      <c r="Y807" s="2">
        <v>0</v>
      </c>
      <c r="Z807" s="2">
        <v>0</v>
      </c>
      <c r="AA807" s="2">
        <v>0</v>
      </c>
      <c r="AB807" s="2"/>
      <c r="AC807" s="2">
        <v>9586</v>
      </c>
      <c r="AD807" s="2">
        <v>8935</v>
      </c>
      <c r="AE807" s="2">
        <v>8937</v>
      </c>
      <c r="AF807" s="2">
        <v>0</v>
      </c>
      <c r="AG807" s="2">
        <v>0</v>
      </c>
      <c r="AH807" s="2"/>
      <c r="AI807" s="2">
        <v>-251</v>
      </c>
      <c r="AJ807" s="2">
        <v>-252</v>
      </c>
      <c r="AK807" s="2">
        <v>0</v>
      </c>
      <c r="AL807" s="2">
        <v>0</v>
      </c>
      <c r="AM807" s="2">
        <v>-252</v>
      </c>
    </row>
    <row r="808" spans="1:39">
      <c r="A808" s="351">
        <v>98611</v>
      </c>
      <c r="B808" s="344" t="s">
        <v>1507</v>
      </c>
      <c r="C808" s="360">
        <v>1.0620000000000001E-4</v>
      </c>
      <c r="E808" s="2">
        <v>41100</v>
      </c>
      <c r="F808" s="2">
        <v>51148</v>
      </c>
      <c r="G808" s="2">
        <v>25798</v>
      </c>
      <c r="H808" s="2">
        <v>15805</v>
      </c>
      <c r="I808" s="2">
        <v>0</v>
      </c>
      <c r="J808" s="2"/>
      <c r="K808" s="2">
        <v>19690</v>
      </c>
      <c r="L808" s="2">
        <v>18138</v>
      </c>
      <c r="M808" s="2">
        <v>10095</v>
      </c>
      <c r="N808" s="2">
        <v>0</v>
      </c>
      <c r="O808" s="2">
        <v>0</v>
      </c>
      <c r="P808" s="2"/>
      <c r="Q808" s="2">
        <v>1276</v>
      </c>
      <c r="R808" s="2">
        <v>17853</v>
      </c>
      <c r="S808" s="2">
        <v>18470</v>
      </c>
      <c r="T808" s="2">
        <v>15805</v>
      </c>
      <c r="U808" s="2">
        <v>0</v>
      </c>
      <c r="V808" s="2"/>
      <c r="W808" s="2">
        <v>15588</v>
      </c>
      <c r="X808" s="2">
        <v>12654</v>
      </c>
      <c r="Y808" s="2">
        <v>0</v>
      </c>
      <c r="Z808" s="2">
        <v>0</v>
      </c>
      <c r="AA808" s="2">
        <v>0</v>
      </c>
      <c r="AB808" s="2"/>
      <c r="AC808" s="2">
        <v>8863</v>
      </c>
      <c r="AD808" s="2">
        <v>6820</v>
      </c>
      <c r="AE808" s="2">
        <v>1549</v>
      </c>
      <c r="AF808" s="2">
        <v>0</v>
      </c>
      <c r="AG808" s="2">
        <v>0</v>
      </c>
      <c r="AH808" s="2"/>
      <c r="AI808" s="2">
        <v>-4317</v>
      </c>
      <c r="AJ808" s="2">
        <v>-4317</v>
      </c>
      <c r="AK808" s="2">
        <v>-4316</v>
      </c>
      <c r="AL808" s="2">
        <v>0</v>
      </c>
      <c r="AM808" s="2">
        <v>-4317</v>
      </c>
    </row>
    <row r="809" spans="1:39">
      <c r="A809" s="351">
        <v>98621</v>
      </c>
      <c r="B809" s="344" t="s">
        <v>1508</v>
      </c>
      <c r="C809" s="360">
        <v>1.3870000000000001E-4</v>
      </c>
      <c r="E809" s="2">
        <v>48919</v>
      </c>
      <c r="F809" s="2">
        <v>65766</v>
      </c>
      <c r="G809" s="2">
        <v>39483</v>
      </c>
      <c r="H809" s="2">
        <v>20642</v>
      </c>
      <c r="I809" s="2">
        <v>0</v>
      </c>
      <c r="J809" s="2"/>
      <c r="K809" s="2">
        <v>25716</v>
      </c>
      <c r="L809" s="2">
        <v>23689</v>
      </c>
      <c r="M809" s="2">
        <v>13185</v>
      </c>
      <c r="N809" s="2">
        <v>0</v>
      </c>
      <c r="O809" s="2">
        <v>0</v>
      </c>
      <c r="P809" s="2"/>
      <c r="Q809" s="2">
        <v>1667</v>
      </c>
      <c r="R809" s="2">
        <v>23316</v>
      </c>
      <c r="S809" s="2">
        <v>24122</v>
      </c>
      <c r="T809" s="2">
        <v>20642</v>
      </c>
      <c r="U809" s="2">
        <v>0</v>
      </c>
      <c r="V809" s="2"/>
      <c r="W809" s="2">
        <v>20358</v>
      </c>
      <c r="X809" s="2">
        <v>16527</v>
      </c>
      <c r="Y809" s="2">
        <v>0</v>
      </c>
      <c r="Z809" s="2">
        <v>0</v>
      </c>
      <c r="AA809" s="2">
        <v>0</v>
      </c>
      <c r="AB809" s="2"/>
      <c r="AC809" s="2">
        <v>3791</v>
      </c>
      <c r="AD809" s="2">
        <v>3792</v>
      </c>
      <c r="AE809" s="2">
        <v>3734</v>
      </c>
      <c r="AF809" s="2">
        <v>0</v>
      </c>
      <c r="AG809" s="2">
        <v>0</v>
      </c>
      <c r="AH809" s="2"/>
      <c r="AI809" s="2">
        <v>-2613</v>
      </c>
      <c r="AJ809" s="2">
        <v>-1558</v>
      </c>
      <c r="AK809" s="2">
        <v>-1558</v>
      </c>
      <c r="AL809" s="2">
        <v>0</v>
      </c>
      <c r="AM809" s="2">
        <v>-1558</v>
      </c>
    </row>
    <row r="810" spans="1:39">
      <c r="A810" s="351">
        <v>98627</v>
      </c>
      <c r="B810" s="344" t="s">
        <v>3704</v>
      </c>
      <c r="C810" s="360">
        <v>7.4000000000000003E-6</v>
      </c>
      <c r="E810" s="2">
        <v>1792</v>
      </c>
      <c r="F810" s="2">
        <v>2883</v>
      </c>
      <c r="G810" s="2">
        <v>1650</v>
      </c>
      <c r="H810" s="2">
        <v>1101</v>
      </c>
      <c r="I810" s="2">
        <v>0</v>
      </c>
      <c r="J810" s="2"/>
      <c r="K810" s="2">
        <v>1372</v>
      </c>
      <c r="L810" s="2">
        <v>1264</v>
      </c>
      <c r="M810" s="2">
        <v>703</v>
      </c>
      <c r="N810" s="2">
        <v>0</v>
      </c>
      <c r="O810" s="2">
        <v>0</v>
      </c>
      <c r="P810" s="2"/>
      <c r="Q810" s="2">
        <v>89</v>
      </c>
      <c r="R810" s="2">
        <v>1244</v>
      </c>
      <c r="S810" s="2">
        <v>1287</v>
      </c>
      <c r="T810" s="2">
        <v>1101</v>
      </c>
      <c r="U810" s="2">
        <v>0</v>
      </c>
      <c r="V810" s="2"/>
      <c r="W810" s="2">
        <v>1086</v>
      </c>
      <c r="X810" s="2">
        <v>882</v>
      </c>
      <c r="Y810" s="2">
        <v>0</v>
      </c>
      <c r="Z810" s="2">
        <v>0</v>
      </c>
      <c r="AA810" s="2">
        <v>0</v>
      </c>
      <c r="AB810" s="2"/>
      <c r="AC810" s="2">
        <v>0</v>
      </c>
      <c r="AD810" s="2">
        <v>0</v>
      </c>
      <c r="AE810" s="2">
        <v>0</v>
      </c>
      <c r="AF810" s="2">
        <v>0</v>
      </c>
      <c r="AG810" s="2">
        <v>0</v>
      </c>
      <c r="AH810" s="2"/>
      <c r="AI810" s="2">
        <v>-755</v>
      </c>
      <c r="AJ810" s="2">
        <v>-507</v>
      </c>
      <c r="AK810" s="2">
        <v>-340</v>
      </c>
      <c r="AL810" s="2">
        <v>0</v>
      </c>
      <c r="AM810" s="2">
        <v>-507</v>
      </c>
    </row>
    <row r="811" spans="1:39">
      <c r="A811" s="351">
        <v>98631</v>
      </c>
      <c r="B811" s="344" t="s">
        <v>1510</v>
      </c>
      <c r="C811" s="360">
        <v>9.3860000000000005E-4</v>
      </c>
      <c r="E811" s="2">
        <v>294966</v>
      </c>
      <c r="F811" s="2">
        <v>406881</v>
      </c>
      <c r="G811" s="2">
        <v>224666</v>
      </c>
      <c r="H811" s="2">
        <v>139684</v>
      </c>
      <c r="I811" s="2">
        <v>0</v>
      </c>
      <c r="J811" s="2"/>
      <c r="K811" s="2">
        <v>174025</v>
      </c>
      <c r="L811" s="2">
        <v>160307</v>
      </c>
      <c r="M811" s="2">
        <v>89221</v>
      </c>
      <c r="N811" s="2">
        <v>0</v>
      </c>
      <c r="O811" s="2">
        <v>0</v>
      </c>
      <c r="P811" s="2"/>
      <c r="Q811" s="2">
        <v>11281</v>
      </c>
      <c r="R811" s="2">
        <v>157783</v>
      </c>
      <c r="S811" s="2">
        <v>163239</v>
      </c>
      <c r="T811" s="2">
        <v>139684</v>
      </c>
      <c r="U811" s="2">
        <v>0</v>
      </c>
      <c r="V811" s="2"/>
      <c r="W811" s="2">
        <v>137764</v>
      </c>
      <c r="X811" s="2">
        <v>111841</v>
      </c>
      <c r="Y811" s="2">
        <v>0</v>
      </c>
      <c r="Z811" s="2">
        <v>0</v>
      </c>
      <c r="AA811" s="2">
        <v>0</v>
      </c>
      <c r="AB811" s="2"/>
      <c r="AC811" s="2">
        <v>4748</v>
      </c>
      <c r="AD811" s="2">
        <v>4747</v>
      </c>
      <c r="AE811" s="2">
        <v>0</v>
      </c>
      <c r="AF811" s="2">
        <v>0</v>
      </c>
      <c r="AG811" s="2">
        <v>0</v>
      </c>
      <c r="AH811" s="2"/>
      <c r="AI811" s="2">
        <v>-32852</v>
      </c>
      <c r="AJ811" s="2">
        <v>-27797</v>
      </c>
      <c r="AK811" s="2">
        <v>-27794</v>
      </c>
      <c r="AL811" s="2">
        <v>0</v>
      </c>
      <c r="AM811" s="2">
        <v>-27797</v>
      </c>
    </row>
    <row r="812" spans="1:39">
      <c r="A812" s="351">
        <v>98637</v>
      </c>
      <c r="B812" s="344" t="s">
        <v>1511</v>
      </c>
      <c r="C812" s="360">
        <v>2.3499999999999999E-5</v>
      </c>
      <c r="E812" s="2">
        <v>16284</v>
      </c>
      <c r="F812" s="2">
        <v>17958</v>
      </c>
      <c r="G812" s="2">
        <v>12362</v>
      </c>
      <c r="H812" s="2">
        <v>3497</v>
      </c>
      <c r="I812" s="2">
        <v>0</v>
      </c>
      <c r="J812" s="2"/>
      <c r="K812" s="2">
        <v>4357</v>
      </c>
      <c r="L812" s="2">
        <v>4014</v>
      </c>
      <c r="M812" s="2">
        <v>2234</v>
      </c>
      <c r="N812" s="2">
        <v>0</v>
      </c>
      <c r="O812" s="2">
        <v>0</v>
      </c>
      <c r="P812" s="2"/>
      <c r="Q812" s="2">
        <v>282</v>
      </c>
      <c r="R812" s="2">
        <v>3950</v>
      </c>
      <c r="S812" s="2">
        <v>4087</v>
      </c>
      <c r="T812" s="2">
        <v>3497</v>
      </c>
      <c r="U812" s="2">
        <v>0</v>
      </c>
      <c r="V812" s="2"/>
      <c r="W812" s="2">
        <v>3449</v>
      </c>
      <c r="X812" s="2">
        <v>2800</v>
      </c>
      <c r="Y812" s="2">
        <v>0</v>
      </c>
      <c r="Z812" s="2">
        <v>0</v>
      </c>
      <c r="AA812" s="2">
        <v>0</v>
      </c>
      <c r="AB812" s="2"/>
      <c r="AC812" s="2">
        <v>8196</v>
      </c>
      <c r="AD812" s="2">
        <v>7194</v>
      </c>
      <c r="AE812" s="2">
        <v>6041</v>
      </c>
      <c r="AF812" s="2">
        <v>0</v>
      </c>
      <c r="AG812" s="2">
        <v>0</v>
      </c>
      <c r="AH812" s="2"/>
      <c r="AI812" s="2">
        <v>0</v>
      </c>
      <c r="AJ812" s="2">
        <v>0</v>
      </c>
      <c r="AK812" s="2">
        <v>0</v>
      </c>
      <c r="AL812" s="2">
        <v>0</v>
      </c>
      <c r="AM812" s="2">
        <v>0</v>
      </c>
    </row>
    <row r="813" spans="1:39">
      <c r="A813" s="351">
        <v>98641</v>
      </c>
      <c r="B813" s="344" t="s">
        <v>1512</v>
      </c>
      <c r="C813" s="360">
        <v>2.8739999999999999E-4</v>
      </c>
      <c r="E813" s="2">
        <v>107258</v>
      </c>
      <c r="F813" s="2">
        <v>139687</v>
      </c>
      <c r="G813" s="2">
        <v>85074</v>
      </c>
      <c r="H813" s="2">
        <v>42771</v>
      </c>
      <c r="I813" s="2">
        <v>0</v>
      </c>
      <c r="J813" s="2"/>
      <c r="K813" s="2">
        <v>53287</v>
      </c>
      <c r="L813" s="2">
        <v>49086</v>
      </c>
      <c r="M813" s="2">
        <v>27320</v>
      </c>
      <c r="N813" s="2">
        <v>0</v>
      </c>
      <c r="O813" s="2">
        <v>0</v>
      </c>
      <c r="P813" s="2"/>
      <c r="Q813" s="2">
        <v>3454</v>
      </c>
      <c r="R813" s="2">
        <v>48313</v>
      </c>
      <c r="S813" s="2">
        <v>49984</v>
      </c>
      <c r="T813" s="2">
        <v>42771</v>
      </c>
      <c r="U813" s="2">
        <v>0</v>
      </c>
      <c r="V813" s="2"/>
      <c r="W813" s="2">
        <v>42183</v>
      </c>
      <c r="X813" s="2">
        <v>34246</v>
      </c>
      <c r="Y813" s="2">
        <v>0</v>
      </c>
      <c r="Z813" s="2">
        <v>0</v>
      </c>
      <c r="AA813" s="2">
        <v>0</v>
      </c>
      <c r="AB813" s="2"/>
      <c r="AC813" s="2">
        <v>9994</v>
      </c>
      <c r="AD813" s="2">
        <v>9702</v>
      </c>
      <c r="AE813" s="2">
        <v>9428</v>
      </c>
      <c r="AF813" s="2">
        <v>0</v>
      </c>
      <c r="AG813" s="2">
        <v>0</v>
      </c>
      <c r="AH813" s="2"/>
      <c r="AI813" s="2">
        <v>-1660</v>
      </c>
      <c r="AJ813" s="2">
        <v>-1660</v>
      </c>
      <c r="AK813" s="2">
        <v>-1658</v>
      </c>
      <c r="AL813" s="2">
        <v>0</v>
      </c>
      <c r="AM813" s="2">
        <v>-1660</v>
      </c>
    </row>
    <row r="814" spans="1:39">
      <c r="A814" s="351">
        <v>98701</v>
      </c>
      <c r="B814" s="344" t="s">
        <v>1513</v>
      </c>
      <c r="C814" s="360">
        <v>9.9500000000000001E-4</v>
      </c>
      <c r="E814" s="2">
        <v>321419</v>
      </c>
      <c r="F814" s="2">
        <v>443636</v>
      </c>
      <c r="G814" s="2">
        <v>265401</v>
      </c>
      <c r="H814" s="2">
        <v>148078</v>
      </c>
      <c r="I814" s="2">
        <v>0</v>
      </c>
      <c r="J814" s="2"/>
      <c r="K814" s="2">
        <v>184482</v>
      </c>
      <c r="L814" s="2">
        <v>169940</v>
      </c>
      <c r="M814" s="2">
        <v>94583</v>
      </c>
      <c r="N814" s="2">
        <v>0</v>
      </c>
      <c r="O814" s="2">
        <v>0</v>
      </c>
      <c r="P814" s="2"/>
      <c r="Q814" s="2">
        <v>11959</v>
      </c>
      <c r="R814" s="2">
        <v>167264</v>
      </c>
      <c r="S814" s="2">
        <v>173048</v>
      </c>
      <c r="T814" s="2">
        <v>148078</v>
      </c>
      <c r="U814" s="2">
        <v>0</v>
      </c>
      <c r="V814" s="2"/>
      <c r="W814" s="2">
        <v>146042</v>
      </c>
      <c r="X814" s="2">
        <v>118561</v>
      </c>
      <c r="Y814" s="2">
        <v>0</v>
      </c>
      <c r="Z814" s="2">
        <v>0</v>
      </c>
      <c r="AA814" s="2">
        <v>0</v>
      </c>
      <c r="AB814" s="2"/>
      <c r="AC814" s="2">
        <v>17150</v>
      </c>
      <c r="AD814" s="2">
        <v>17150</v>
      </c>
      <c r="AE814" s="2">
        <v>17149</v>
      </c>
      <c r="AF814" s="2">
        <v>0</v>
      </c>
      <c r="AG814" s="2">
        <v>0</v>
      </c>
      <c r="AH814" s="2"/>
      <c r="AI814" s="2">
        <v>-38214</v>
      </c>
      <c r="AJ814" s="2">
        <v>-29279</v>
      </c>
      <c r="AK814" s="2">
        <v>-19379</v>
      </c>
      <c r="AL814" s="2">
        <v>0</v>
      </c>
      <c r="AM814" s="2">
        <v>-29279</v>
      </c>
    </row>
    <row r="815" spans="1:39">
      <c r="A815" s="351">
        <v>98711</v>
      </c>
      <c r="B815" s="344" t="s">
        <v>1514</v>
      </c>
      <c r="C815" s="360">
        <v>1.4550000000000001E-4</v>
      </c>
      <c r="E815" s="2">
        <v>31065</v>
      </c>
      <c r="F815" s="2">
        <v>49876</v>
      </c>
      <c r="G815" s="2">
        <v>27395</v>
      </c>
      <c r="H815" s="2">
        <v>21654</v>
      </c>
      <c r="I815" s="2">
        <v>0</v>
      </c>
      <c r="J815" s="2"/>
      <c r="K815" s="2">
        <v>26977</v>
      </c>
      <c r="L815" s="2">
        <v>24851</v>
      </c>
      <c r="M815" s="2">
        <v>13831</v>
      </c>
      <c r="N815" s="2">
        <v>0</v>
      </c>
      <c r="O815" s="2">
        <v>0</v>
      </c>
      <c r="P815" s="2"/>
      <c r="Q815" s="2">
        <v>1749</v>
      </c>
      <c r="R815" s="2">
        <v>24459</v>
      </c>
      <c r="S815" s="2">
        <v>25305</v>
      </c>
      <c r="T815" s="2">
        <v>21654</v>
      </c>
      <c r="U815" s="2">
        <v>0</v>
      </c>
      <c r="V815" s="2"/>
      <c r="W815" s="2">
        <v>21356</v>
      </c>
      <c r="X815" s="2">
        <v>17337</v>
      </c>
      <c r="Y815" s="2">
        <v>0</v>
      </c>
      <c r="Z815" s="2">
        <v>0</v>
      </c>
      <c r="AA815" s="2">
        <v>0</v>
      </c>
      <c r="AB815" s="2"/>
      <c r="AC815" s="2">
        <v>0</v>
      </c>
      <c r="AD815" s="2">
        <v>0</v>
      </c>
      <c r="AE815" s="2">
        <v>0</v>
      </c>
      <c r="AF815" s="2">
        <v>0</v>
      </c>
      <c r="AG815" s="2">
        <v>0</v>
      </c>
      <c r="AH815" s="2"/>
      <c r="AI815" s="2">
        <v>-19017</v>
      </c>
      <c r="AJ815" s="2">
        <v>-16771</v>
      </c>
      <c r="AK815" s="2">
        <v>-11741</v>
      </c>
      <c r="AL815" s="2">
        <v>0</v>
      </c>
      <c r="AM815" s="2">
        <v>-16771</v>
      </c>
    </row>
    <row r="816" spans="1:39">
      <c r="A816" s="351">
        <v>98717</v>
      </c>
      <c r="B816" s="344" t="s">
        <v>1515</v>
      </c>
      <c r="C816" s="360">
        <v>1.6500000000000001E-5</v>
      </c>
      <c r="E816" s="2">
        <v>3727</v>
      </c>
      <c r="F816" s="2">
        <v>5370</v>
      </c>
      <c r="G816" s="2">
        <v>2683</v>
      </c>
      <c r="H816" s="2">
        <v>2456</v>
      </c>
      <c r="I816" s="2">
        <v>0</v>
      </c>
      <c r="J816" s="2"/>
      <c r="K816" s="2">
        <v>3059</v>
      </c>
      <c r="L816" s="2">
        <v>2818</v>
      </c>
      <c r="M816" s="2">
        <v>1568</v>
      </c>
      <c r="N816" s="2">
        <v>0</v>
      </c>
      <c r="O816" s="2">
        <v>0</v>
      </c>
      <c r="P816" s="2"/>
      <c r="Q816" s="2">
        <v>198</v>
      </c>
      <c r="R816" s="2">
        <v>2774</v>
      </c>
      <c r="S816" s="2">
        <v>2870</v>
      </c>
      <c r="T816" s="2">
        <v>2456</v>
      </c>
      <c r="U816" s="2">
        <v>0</v>
      </c>
      <c r="V816" s="2"/>
      <c r="W816" s="2">
        <v>2422</v>
      </c>
      <c r="X816" s="2">
        <v>1966</v>
      </c>
      <c r="Y816" s="2">
        <v>0</v>
      </c>
      <c r="Z816" s="2">
        <v>0</v>
      </c>
      <c r="AA816" s="2">
        <v>0</v>
      </c>
      <c r="AB816" s="2"/>
      <c r="AC816" s="2">
        <v>606</v>
      </c>
      <c r="AD816" s="2">
        <v>371</v>
      </c>
      <c r="AE816" s="2">
        <v>372</v>
      </c>
      <c r="AF816" s="2">
        <v>0</v>
      </c>
      <c r="AG816" s="2">
        <v>0</v>
      </c>
      <c r="AH816" s="2"/>
      <c r="AI816" s="2">
        <v>-2558</v>
      </c>
      <c r="AJ816" s="2">
        <v>-2559</v>
      </c>
      <c r="AK816" s="2">
        <v>-2127</v>
      </c>
      <c r="AL816" s="2">
        <v>0</v>
      </c>
      <c r="AM816" s="2">
        <v>-2559</v>
      </c>
    </row>
    <row r="817" spans="1:39">
      <c r="A817" s="351">
        <v>98801</v>
      </c>
      <c r="B817" s="344" t="s">
        <v>1516</v>
      </c>
      <c r="C817" s="360">
        <v>2.3004000000000002E-3</v>
      </c>
      <c r="E817" s="2">
        <v>903109</v>
      </c>
      <c r="F817" s="2">
        <v>1143266</v>
      </c>
      <c r="G817" s="2">
        <v>727328</v>
      </c>
      <c r="H817" s="2">
        <v>342350</v>
      </c>
      <c r="I817" s="2">
        <v>0</v>
      </c>
      <c r="J817" s="2"/>
      <c r="K817" s="2">
        <v>426515</v>
      </c>
      <c r="L817" s="2">
        <v>392895</v>
      </c>
      <c r="M817" s="2">
        <v>218671</v>
      </c>
      <c r="N817" s="2">
        <v>0</v>
      </c>
      <c r="O817" s="2">
        <v>0</v>
      </c>
      <c r="P817" s="2"/>
      <c r="Q817" s="2">
        <v>27649</v>
      </c>
      <c r="R817" s="2">
        <v>386709</v>
      </c>
      <c r="S817" s="2">
        <v>400081</v>
      </c>
      <c r="T817" s="2">
        <v>342350</v>
      </c>
      <c r="U817" s="2">
        <v>0</v>
      </c>
      <c r="V817" s="2"/>
      <c r="W817" s="2">
        <v>337644</v>
      </c>
      <c r="X817" s="2">
        <v>274109</v>
      </c>
      <c r="Y817" s="2">
        <v>0</v>
      </c>
      <c r="Z817" s="2">
        <v>0</v>
      </c>
      <c r="AA817" s="2">
        <v>0</v>
      </c>
      <c r="AB817" s="2"/>
      <c r="AC817" s="2">
        <v>130322</v>
      </c>
      <c r="AD817" s="2">
        <v>108574</v>
      </c>
      <c r="AE817" s="2">
        <v>108576</v>
      </c>
      <c r="AF817" s="2">
        <v>0</v>
      </c>
      <c r="AG817" s="2">
        <v>0</v>
      </c>
      <c r="AH817" s="2"/>
      <c r="AI817" s="2">
        <v>-19021</v>
      </c>
      <c r="AJ817" s="2">
        <v>-19021</v>
      </c>
      <c r="AK817" s="2">
        <v>0</v>
      </c>
      <c r="AL817" s="2">
        <v>0</v>
      </c>
      <c r="AM817" s="2">
        <v>-19021</v>
      </c>
    </row>
    <row r="818" spans="1:39">
      <c r="A818" s="351">
        <v>98811</v>
      </c>
      <c r="B818" s="344" t="s">
        <v>1517</v>
      </c>
      <c r="C818" s="360">
        <v>6.6279999999999996E-4</v>
      </c>
      <c r="E818" s="2">
        <v>239150</v>
      </c>
      <c r="F818" s="2">
        <v>319778</v>
      </c>
      <c r="G818" s="2">
        <v>192621</v>
      </c>
      <c r="H818" s="2">
        <v>98639</v>
      </c>
      <c r="I818" s="2">
        <v>0</v>
      </c>
      <c r="J818" s="2"/>
      <c r="K818" s="2">
        <v>122889</v>
      </c>
      <c r="L818" s="2">
        <v>113202</v>
      </c>
      <c r="M818" s="2">
        <v>63004</v>
      </c>
      <c r="N818" s="2">
        <v>0</v>
      </c>
      <c r="O818" s="2">
        <v>0</v>
      </c>
      <c r="P818" s="2"/>
      <c r="Q818" s="2">
        <v>7966</v>
      </c>
      <c r="R818" s="2">
        <v>111420</v>
      </c>
      <c r="S818" s="2">
        <v>115273</v>
      </c>
      <c r="T818" s="2">
        <v>98639</v>
      </c>
      <c r="U818" s="2">
        <v>0</v>
      </c>
      <c r="V818" s="2"/>
      <c r="W818" s="2">
        <v>97283</v>
      </c>
      <c r="X818" s="2">
        <v>78977</v>
      </c>
      <c r="Y818" s="2">
        <v>0</v>
      </c>
      <c r="Z818" s="2">
        <v>0</v>
      </c>
      <c r="AA818" s="2">
        <v>0</v>
      </c>
      <c r="AB818" s="2"/>
      <c r="AC818" s="2">
        <v>16179</v>
      </c>
      <c r="AD818" s="2">
        <v>16179</v>
      </c>
      <c r="AE818" s="2">
        <v>14344</v>
      </c>
      <c r="AF818" s="2">
        <v>0</v>
      </c>
      <c r="AG818" s="2">
        <v>0</v>
      </c>
      <c r="AH818" s="2"/>
      <c r="AI818" s="2">
        <v>-5167</v>
      </c>
      <c r="AJ818" s="2">
        <v>0</v>
      </c>
      <c r="AK818" s="2">
        <v>0</v>
      </c>
      <c r="AL818" s="2">
        <v>0</v>
      </c>
      <c r="AM818" s="2">
        <v>0</v>
      </c>
    </row>
    <row r="819" spans="1:39">
      <c r="A819" s="351">
        <v>98817</v>
      </c>
      <c r="B819" s="344" t="s">
        <v>1518</v>
      </c>
      <c r="C819" s="360">
        <v>1.3900000000000001E-5</v>
      </c>
      <c r="E819" s="2">
        <v>4626</v>
      </c>
      <c r="F819" s="2">
        <v>5292</v>
      </c>
      <c r="G819" s="2">
        <v>2424</v>
      </c>
      <c r="H819" s="2">
        <v>2069</v>
      </c>
      <c r="I819" s="2">
        <v>0</v>
      </c>
      <c r="J819" s="2"/>
      <c r="K819" s="2">
        <v>2577</v>
      </c>
      <c r="L819" s="2">
        <v>2374</v>
      </c>
      <c r="M819" s="2">
        <v>1321</v>
      </c>
      <c r="N819" s="2">
        <v>0</v>
      </c>
      <c r="O819" s="2">
        <v>0</v>
      </c>
      <c r="P819" s="2"/>
      <c r="Q819" s="2">
        <v>167</v>
      </c>
      <c r="R819" s="2">
        <v>2337</v>
      </c>
      <c r="S819" s="2">
        <v>2417</v>
      </c>
      <c r="T819" s="2">
        <v>2069</v>
      </c>
      <c r="U819" s="2">
        <v>0</v>
      </c>
      <c r="V819" s="2"/>
      <c r="W819" s="2">
        <v>2040</v>
      </c>
      <c r="X819" s="2">
        <v>1656</v>
      </c>
      <c r="Y819" s="2">
        <v>0</v>
      </c>
      <c r="Z819" s="2">
        <v>0</v>
      </c>
      <c r="AA819" s="2">
        <v>0</v>
      </c>
      <c r="AB819" s="2"/>
      <c r="AC819" s="2">
        <v>1157</v>
      </c>
      <c r="AD819" s="2">
        <v>240</v>
      </c>
      <c r="AE819" s="2">
        <v>0</v>
      </c>
      <c r="AF819" s="2">
        <v>0</v>
      </c>
      <c r="AG819" s="2">
        <v>0</v>
      </c>
      <c r="AH819" s="2"/>
      <c r="AI819" s="2">
        <v>-1315</v>
      </c>
      <c r="AJ819" s="2">
        <v>-1315</v>
      </c>
      <c r="AK819" s="2">
        <v>-1314</v>
      </c>
      <c r="AL819" s="2">
        <v>0</v>
      </c>
      <c r="AM819" s="2">
        <v>-1315</v>
      </c>
    </row>
    <row r="820" spans="1:39">
      <c r="A820" s="351">
        <v>98901</v>
      </c>
      <c r="B820" s="344" t="s">
        <v>1519</v>
      </c>
      <c r="C820" s="360">
        <v>2.8689999999999998E-4</v>
      </c>
      <c r="E820" s="2">
        <v>103257</v>
      </c>
      <c r="F820" s="2">
        <v>134380</v>
      </c>
      <c r="G820" s="2">
        <v>85643</v>
      </c>
      <c r="H820" s="2">
        <v>42697</v>
      </c>
      <c r="I820" s="2">
        <v>0</v>
      </c>
      <c r="J820" s="2"/>
      <c r="K820" s="2">
        <v>53194</v>
      </c>
      <c r="L820" s="2">
        <v>49001</v>
      </c>
      <c r="M820" s="2">
        <v>27272</v>
      </c>
      <c r="N820" s="2">
        <v>0</v>
      </c>
      <c r="O820" s="2">
        <v>0</v>
      </c>
      <c r="P820" s="2"/>
      <c r="Q820" s="2">
        <v>3448</v>
      </c>
      <c r="R820" s="2">
        <v>48229</v>
      </c>
      <c r="S820" s="2">
        <v>49897</v>
      </c>
      <c r="T820" s="2">
        <v>42697</v>
      </c>
      <c r="U820" s="2">
        <v>0</v>
      </c>
      <c r="V820" s="2"/>
      <c r="W820" s="2">
        <v>42110</v>
      </c>
      <c r="X820" s="2">
        <v>34186</v>
      </c>
      <c r="Y820" s="2">
        <v>0</v>
      </c>
      <c r="Z820" s="2">
        <v>0</v>
      </c>
      <c r="AA820" s="2">
        <v>0</v>
      </c>
      <c r="AB820" s="2"/>
      <c r="AC820" s="2">
        <v>10017</v>
      </c>
      <c r="AD820" s="2">
        <v>8478</v>
      </c>
      <c r="AE820" s="2">
        <v>8474</v>
      </c>
      <c r="AF820" s="2">
        <v>0</v>
      </c>
      <c r="AG820" s="2">
        <v>0</v>
      </c>
      <c r="AH820" s="2"/>
      <c r="AI820" s="2">
        <v>-5512</v>
      </c>
      <c r="AJ820" s="2">
        <v>-5514</v>
      </c>
      <c r="AK820" s="2">
        <v>0</v>
      </c>
      <c r="AL820" s="2">
        <v>0</v>
      </c>
      <c r="AM820" s="2">
        <v>-5514</v>
      </c>
    </row>
    <row r="821" spans="1:39">
      <c r="A821" s="351">
        <v>98904</v>
      </c>
      <c r="B821" s="344" t="s">
        <v>2789</v>
      </c>
      <c r="C821" s="360">
        <v>4.0999999999999997E-6</v>
      </c>
      <c r="E821" s="2">
        <v>1080</v>
      </c>
      <c r="F821" s="2">
        <v>1882</v>
      </c>
      <c r="G821" s="2">
        <v>958</v>
      </c>
      <c r="H821" s="2">
        <v>610</v>
      </c>
      <c r="I821" s="2">
        <v>0</v>
      </c>
      <c r="J821" s="2"/>
      <c r="K821" s="2">
        <v>760</v>
      </c>
      <c r="L821" s="2">
        <v>700</v>
      </c>
      <c r="M821" s="2">
        <v>390</v>
      </c>
      <c r="N821" s="2">
        <v>0</v>
      </c>
      <c r="O821" s="2">
        <v>0</v>
      </c>
      <c r="P821" s="2"/>
      <c r="Q821" s="2">
        <v>49</v>
      </c>
      <c r="R821" s="2">
        <v>689</v>
      </c>
      <c r="S821" s="2">
        <v>713</v>
      </c>
      <c r="T821" s="2">
        <v>610</v>
      </c>
      <c r="U821" s="2">
        <v>0</v>
      </c>
      <c r="V821" s="2"/>
      <c r="W821" s="2">
        <v>602</v>
      </c>
      <c r="X821" s="2">
        <v>489</v>
      </c>
      <c r="Y821" s="2">
        <v>0</v>
      </c>
      <c r="Z821" s="2">
        <v>0</v>
      </c>
      <c r="AA821" s="2">
        <v>0</v>
      </c>
      <c r="AB821" s="2"/>
      <c r="AC821" s="2">
        <v>152</v>
      </c>
      <c r="AD821" s="2">
        <v>151</v>
      </c>
      <c r="AE821" s="2">
        <v>0</v>
      </c>
      <c r="AF821" s="2">
        <v>0</v>
      </c>
      <c r="AG821" s="2">
        <v>0</v>
      </c>
      <c r="AH821" s="2"/>
      <c r="AI821" s="2">
        <v>-483</v>
      </c>
      <c r="AJ821" s="2">
        <v>-147</v>
      </c>
      <c r="AK821" s="2">
        <v>-145</v>
      </c>
      <c r="AL821" s="2">
        <v>0</v>
      </c>
      <c r="AM821" s="2">
        <v>-147</v>
      </c>
    </row>
    <row r="822" spans="1:39">
      <c r="A822" s="351">
        <v>98911</v>
      </c>
      <c r="B822" s="344" t="s">
        <v>1521</v>
      </c>
      <c r="C822" s="360">
        <v>2.16E-5</v>
      </c>
      <c r="E822" s="2">
        <v>13531</v>
      </c>
      <c r="F822" s="2">
        <v>15081</v>
      </c>
      <c r="G822" s="2">
        <v>9641</v>
      </c>
      <c r="H822" s="2">
        <v>3215</v>
      </c>
      <c r="I822" s="2">
        <v>0</v>
      </c>
      <c r="J822" s="2"/>
      <c r="K822" s="2">
        <v>4005</v>
      </c>
      <c r="L822" s="2">
        <v>3689</v>
      </c>
      <c r="M822" s="2">
        <v>2053</v>
      </c>
      <c r="N822" s="2">
        <v>0</v>
      </c>
      <c r="O822" s="2">
        <v>0</v>
      </c>
      <c r="P822" s="2"/>
      <c r="Q822" s="2">
        <v>260</v>
      </c>
      <c r="R822" s="2">
        <v>3631</v>
      </c>
      <c r="S822" s="2">
        <v>3757</v>
      </c>
      <c r="T822" s="2">
        <v>3215</v>
      </c>
      <c r="U822" s="2">
        <v>0</v>
      </c>
      <c r="V822" s="2"/>
      <c r="W822" s="2">
        <v>3170</v>
      </c>
      <c r="X822" s="2">
        <v>2574</v>
      </c>
      <c r="Y822" s="2">
        <v>0</v>
      </c>
      <c r="Z822" s="2">
        <v>0</v>
      </c>
      <c r="AA822" s="2">
        <v>0</v>
      </c>
      <c r="AB822" s="2"/>
      <c r="AC822" s="2">
        <v>6386</v>
      </c>
      <c r="AD822" s="2">
        <v>5477</v>
      </c>
      <c r="AE822" s="2">
        <v>4120</v>
      </c>
      <c r="AF822" s="2">
        <v>0</v>
      </c>
      <c r="AG822" s="2">
        <v>0</v>
      </c>
      <c r="AH822" s="2"/>
      <c r="AI822" s="2">
        <v>-290</v>
      </c>
      <c r="AJ822" s="2">
        <v>-290</v>
      </c>
      <c r="AK822" s="2">
        <v>-289</v>
      </c>
      <c r="AL822" s="2">
        <v>0</v>
      </c>
      <c r="AM822" s="2">
        <v>-290</v>
      </c>
    </row>
    <row r="823" spans="1:39">
      <c r="A823" s="351">
        <v>99001</v>
      </c>
      <c r="B823" s="344" t="s">
        <v>1522</v>
      </c>
      <c r="C823" s="360">
        <v>9.2741000000000004E-3</v>
      </c>
      <c r="E823" s="2">
        <v>3527784</v>
      </c>
      <c r="F823" s="2">
        <v>4564194</v>
      </c>
      <c r="G823" s="2">
        <v>2800881</v>
      </c>
      <c r="H823" s="2">
        <v>1380190</v>
      </c>
      <c r="I823" s="2">
        <v>0</v>
      </c>
      <c r="J823" s="2"/>
      <c r="K823" s="2">
        <v>1719502</v>
      </c>
      <c r="L823" s="2">
        <v>1583961</v>
      </c>
      <c r="M823" s="2">
        <v>881577</v>
      </c>
      <c r="N823" s="2">
        <v>0</v>
      </c>
      <c r="O823" s="2">
        <v>0</v>
      </c>
      <c r="P823" s="2"/>
      <c r="Q823" s="2">
        <v>111465</v>
      </c>
      <c r="R823" s="2">
        <v>1559023</v>
      </c>
      <c r="S823" s="2">
        <v>1612933</v>
      </c>
      <c r="T823" s="2">
        <v>1380190</v>
      </c>
      <c r="U823" s="2">
        <v>0</v>
      </c>
      <c r="V823" s="2"/>
      <c r="W823" s="2">
        <v>1361215</v>
      </c>
      <c r="X823" s="2">
        <v>1105074</v>
      </c>
      <c r="Y823" s="2">
        <v>0</v>
      </c>
      <c r="Z823" s="2">
        <v>0</v>
      </c>
      <c r="AA823" s="2">
        <v>0</v>
      </c>
      <c r="AB823" s="2"/>
      <c r="AC823" s="2">
        <v>335602</v>
      </c>
      <c r="AD823" s="2">
        <v>316136</v>
      </c>
      <c r="AE823" s="2">
        <v>306371</v>
      </c>
      <c r="AF823" s="2">
        <v>0</v>
      </c>
      <c r="AG823" s="2">
        <v>0</v>
      </c>
      <c r="AH823" s="2"/>
      <c r="AI823" s="2">
        <v>0</v>
      </c>
      <c r="AJ823" s="2">
        <v>0</v>
      </c>
      <c r="AK823" s="2">
        <v>0</v>
      </c>
      <c r="AL823" s="2">
        <v>0</v>
      </c>
      <c r="AM823" s="2">
        <v>0</v>
      </c>
    </row>
    <row r="824" spans="1:39">
      <c r="A824" s="351">
        <v>99011</v>
      </c>
      <c r="B824" s="344" t="s">
        <v>1523</v>
      </c>
      <c r="C824" s="360">
        <v>3.8425E-3</v>
      </c>
      <c r="E824" s="2">
        <v>1338608</v>
      </c>
      <c r="F824" s="2">
        <v>1783259</v>
      </c>
      <c r="G824" s="2">
        <v>1056508</v>
      </c>
      <c r="H824" s="2">
        <v>571849</v>
      </c>
      <c r="I824" s="2">
        <v>0</v>
      </c>
      <c r="J824" s="2"/>
      <c r="K824" s="2">
        <v>712434</v>
      </c>
      <c r="L824" s="2">
        <v>656276</v>
      </c>
      <c r="M824" s="2">
        <v>365260</v>
      </c>
      <c r="N824" s="2">
        <v>0</v>
      </c>
      <c r="O824" s="2">
        <v>0</v>
      </c>
      <c r="P824" s="2"/>
      <c r="Q824" s="2">
        <v>46183</v>
      </c>
      <c r="R824" s="2">
        <v>645943</v>
      </c>
      <c r="S824" s="2">
        <v>668280</v>
      </c>
      <c r="T824" s="2">
        <v>571849</v>
      </c>
      <c r="U824" s="2">
        <v>0</v>
      </c>
      <c r="V824" s="2"/>
      <c r="W824" s="2">
        <v>563987</v>
      </c>
      <c r="X824" s="2">
        <v>457861</v>
      </c>
      <c r="Y824" s="2">
        <v>0</v>
      </c>
      <c r="Z824" s="2">
        <v>0</v>
      </c>
      <c r="AA824" s="2">
        <v>0</v>
      </c>
      <c r="AB824" s="2"/>
      <c r="AC824" s="2">
        <v>23177</v>
      </c>
      <c r="AD824" s="2">
        <v>23179</v>
      </c>
      <c r="AE824" s="2">
        <v>22968</v>
      </c>
      <c r="AF824" s="2">
        <v>0</v>
      </c>
      <c r="AG824" s="2">
        <v>0</v>
      </c>
      <c r="AH824" s="2"/>
      <c r="AI824" s="2">
        <v>-7173</v>
      </c>
      <c r="AJ824" s="2">
        <v>0</v>
      </c>
      <c r="AK824" s="2">
        <v>0</v>
      </c>
      <c r="AL824" s="2">
        <v>0</v>
      </c>
      <c r="AM824" s="2">
        <v>0</v>
      </c>
    </row>
    <row r="825" spans="1:39">
      <c r="A825" s="351">
        <v>99013</v>
      </c>
      <c r="B825" s="344" t="s">
        <v>1524</v>
      </c>
      <c r="C825" s="360">
        <v>4.07E-5</v>
      </c>
      <c r="E825" s="2">
        <v>15104</v>
      </c>
      <c r="F825" s="2">
        <v>20159</v>
      </c>
      <c r="G825" s="2">
        <v>12818</v>
      </c>
      <c r="H825" s="2">
        <v>6057</v>
      </c>
      <c r="I825" s="2">
        <v>0</v>
      </c>
      <c r="J825" s="2"/>
      <c r="K825" s="2">
        <v>7546</v>
      </c>
      <c r="L825" s="2">
        <v>6951</v>
      </c>
      <c r="M825" s="2">
        <v>3869</v>
      </c>
      <c r="N825" s="2">
        <v>0</v>
      </c>
      <c r="O825" s="2">
        <v>0</v>
      </c>
      <c r="P825" s="2"/>
      <c r="Q825" s="2">
        <v>489</v>
      </c>
      <c r="R825" s="2">
        <v>6842</v>
      </c>
      <c r="S825" s="2">
        <v>7078</v>
      </c>
      <c r="T825" s="2">
        <v>6057</v>
      </c>
      <c r="U825" s="2">
        <v>0</v>
      </c>
      <c r="V825" s="2"/>
      <c r="W825" s="2">
        <v>5974</v>
      </c>
      <c r="X825" s="2">
        <v>4850</v>
      </c>
      <c r="Y825" s="2">
        <v>0</v>
      </c>
      <c r="Z825" s="2">
        <v>0</v>
      </c>
      <c r="AA825" s="2">
        <v>0</v>
      </c>
      <c r="AB825" s="2"/>
      <c r="AC825" s="2">
        <v>1875</v>
      </c>
      <c r="AD825" s="2">
        <v>1875</v>
      </c>
      <c r="AE825" s="2">
        <v>1871</v>
      </c>
      <c r="AF825" s="2">
        <v>0</v>
      </c>
      <c r="AG825" s="2">
        <v>0</v>
      </c>
      <c r="AH825" s="2"/>
      <c r="AI825" s="2">
        <v>-780</v>
      </c>
      <c r="AJ825" s="2">
        <v>-359</v>
      </c>
      <c r="AK825" s="2">
        <v>0</v>
      </c>
      <c r="AL825" s="2">
        <v>0</v>
      </c>
      <c r="AM825" s="2">
        <v>-359</v>
      </c>
    </row>
    <row r="826" spans="1:39">
      <c r="A826" s="351">
        <v>99014</v>
      </c>
      <c r="B826" s="344" t="s">
        <v>1525</v>
      </c>
      <c r="C826" s="360">
        <v>2.0400000000000001E-5</v>
      </c>
      <c r="E826" s="2">
        <v>9618</v>
      </c>
      <c r="F826" s="2">
        <v>11673</v>
      </c>
      <c r="G826" s="2">
        <v>7872</v>
      </c>
      <c r="H826" s="2">
        <v>3036</v>
      </c>
      <c r="I826" s="2">
        <v>0</v>
      </c>
      <c r="J826" s="2"/>
      <c r="K826" s="2">
        <v>3782</v>
      </c>
      <c r="L826" s="2">
        <v>3484</v>
      </c>
      <c r="M826" s="2">
        <v>1939</v>
      </c>
      <c r="N826" s="2">
        <v>0</v>
      </c>
      <c r="O826" s="2">
        <v>0</v>
      </c>
      <c r="P826" s="2"/>
      <c r="Q826" s="2">
        <v>245</v>
      </c>
      <c r="R826" s="2">
        <v>3429</v>
      </c>
      <c r="S826" s="2">
        <v>3548</v>
      </c>
      <c r="T826" s="2">
        <v>3036</v>
      </c>
      <c r="U826" s="2">
        <v>0</v>
      </c>
      <c r="V826" s="2"/>
      <c r="W826" s="2">
        <v>2994</v>
      </c>
      <c r="X826" s="2">
        <v>2431</v>
      </c>
      <c r="Y826" s="2">
        <v>0</v>
      </c>
      <c r="Z826" s="2">
        <v>0</v>
      </c>
      <c r="AA826" s="2">
        <v>0</v>
      </c>
      <c r="AB826" s="2"/>
      <c r="AC826" s="2">
        <v>2943</v>
      </c>
      <c r="AD826" s="2">
        <v>2676</v>
      </c>
      <c r="AE826" s="2">
        <v>2675</v>
      </c>
      <c r="AF826" s="2">
        <v>0</v>
      </c>
      <c r="AG826" s="2">
        <v>0</v>
      </c>
      <c r="AH826" s="2"/>
      <c r="AI826" s="2">
        <v>-346</v>
      </c>
      <c r="AJ826" s="2">
        <v>-347</v>
      </c>
      <c r="AK826" s="2">
        <v>-290</v>
      </c>
      <c r="AL826" s="2">
        <v>0</v>
      </c>
      <c r="AM826" s="2">
        <v>-347</v>
      </c>
    </row>
    <row r="827" spans="1:39">
      <c r="A827" s="351">
        <v>99017</v>
      </c>
      <c r="B827" s="344" t="s">
        <v>1526</v>
      </c>
      <c r="C827" s="360">
        <v>3.6199999999999999E-5</v>
      </c>
      <c r="E827" s="2">
        <v>8550</v>
      </c>
      <c r="F827" s="2">
        <v>11650</v>
      </c>
      <c r="G827" s="2">
        <v>5633</v>
      </c>
      <c r="H827" s="2">
        <v>5387</v>
      </c>
      <c r="I827" s="2">
        <v>0</v>
      </c>
      <c r="J827" s="2"/>
      <c r="K827" s="2">
        <v>6712</v>
      </c>
      <c r="L827" s="2">
        <v>6183</v>
      </c>
      <c r="M827" s="2">
        <v>3441</v>
      </c>
      <c r="N827" s="2">
        <v>0</v>
      </c>
      <c r="O827" s="2">
        <v>0</v>
      </c>
      <c r="P827" s="2"/>
      <c r="Q827" s="2">
        <v>435</v>
      </c>
      <c r="R827" s="2">
        <v>6085</v>
      </c>
      <c r="S827" s="2">
        <v>6296</v>
      </c>
      <c r="T827" s="2">
        <v>5387</v>
      </c>
      <c r="U827" s="2">
        <v>0</v>
      </c>
      <c r="V827" s="2"/>
      <c r="W827" s="2">
        <v>5313</v>
      </c>
      <c r="X827" s="2">
        <v>4313</v>
      </c>
      <c r="Y827" s="2">
        <v>0</v>
      </c>
      <c r="Z827" s="2">
        <v>0</v>
      </c>
      <c r="AA827" s="2">
        <v>0</v>
      </c>
      <c r="AB827" s="2"/>
      <c r="AC827" s="2">
        <v>1386</v>
      </c>
      <c r="AD827" s="2">
        <v>366</v>
      </c>
      <c r="AE827" s="2">
        <v>368</v>
      </c>
      <c r="AF827" s="2">
        <v>0</v>
      </c>
      <c r="AG827" s="2">
        <v>0</v>
      </c>
      <c r="AH827" s="2"/>
      <c r="AI827" s="2">
        <v>-5296</v>
      </c>
      <c r="AJ827" s="2">
        <v>-5297</v>
      </c>
      <c r="AK827" s="2">
        <v>-4472</v>
      </c>
      <c r="AL827" s="2">
        <v>0</v>
      </c>
      <c r="AM827" s="2">
        <v>-5297</v>
      </c>
    </row>
    <row r="828" spans="1:39">
      <c r="A828" s="351">
        <v>99021</v>
      </c>
      <c r="B828" s="344" t="s">
        <v>1527</v>
      </c>
      <c r="C828" s="360">
        <v>1.3100000000000001E-4</v>
      </c>
      <c r="E828" s="2">
        <v>41132</v>
      </c>
      <c r="F828" s="2">
        <v>54062</v>
      </c>
      <c r="G828" s="2">
        <v>32598</v>
      </c>
      <c r="H828" s="2">
        <v>19496</v>
      </c>
      <c r="I828" s="2">
        <v>0</v>
      </c>
      <c r="J828" s="2"/>
      <c r="K828" s="2">
        <v>24289</v>
      </c>
      <c r="L828" s="2">
        <v>22374</v>
      </c>
      <c r="M828" s="2">
        <v>12453</v>
      </c>
      <c r="N828" s="2">
        <v>0</v>
      </c>
      <c r="O828" s="2">
        <v>0</v>
      </c>
      <c r="P828" s="2"/>
      <c r="Q828" s="2">
        <v>1574</v>
      </c>
      <c r="R828" s="2">
        <v>22022</v>
      </c>
      <c r="S828" s="2">
        <v>22783</v>
      </c>
      <c r="T828" s="2">
        <v>19496</v>
      </c>
      <c r="U828" s="2">
        <v>0</v>
      </c>
      <c r="V828" s="2"/>
      <c r="W828" s="2">
        <v>19228</v>
      </c>
      <c r="X828" s="2">
        <v>15610</v>
      </c>
      <c r="Y828" s="2">
        <v>0</v>
      </c>
      <c r="Z828" s="2">
        <v>0</v>
      </c>
      <c r="AA828" s="2">
        <v>0</v>
      </c>
      <c r="AB828" s="2"/>
      <c r="AC828" s="2">
        <v>2907</v>
      </c>
      <c r="AD828" s="2">
        <v>923</v>
      </c>
      <c r="AE828" s="2">
        <v>923</v>
      </c>
      <c r="AF828" s="2">
        <v>0</v>
      </c>
      <c r="AG828" s="2">
        <v>0</v>
      </c>
      <c r="AH828" s="2"/>
      <c r="AI828" s="2">
        <v>-6866</v>
      </c>
      <c r="AJ828" s="2">
        <v>-6867</v>
      </c>
      <c r="AK828" s="2">
        <v>-3561</v>
      </c>
      <c r="AL828" s="2">
        <v>0</v>
      </c>
      <c r="AM828" s="2">
        <v>-6867</v>
      </c>
    </row>
    <row r="829" spans="1:39">
      <c r="A829" s="351">
        <v>99022</v>
      </c>
      <c r="B829" s="344" t="s">
        <v>211</v>
      </c>
      <c r="C829" s="360">
        <v>7.7000000000000008E-6</v>
      </c>
      <c r="E829" s="2">
        <v>7027</v>
      </c>
      <c r="F829" s="2">
        <v>6785</v>
      </c>
      <c r="G829" s="2">
        <v>4066</v>
      </c>
      <c r="H829" s="2">
        <v>1146</v>
      </c>
      <c r="I829" s="2">
        <v>0</v>
      </c>
      <c r="J829" s="2"/>
      <c r="K829" s="2">
        <v>1428</v>
      </c>
      <c r="L829" s="2">
        <v>1315</v>
      </c>
      <c r="M829" s="2">
        <v>732</v>
      </c>
      <c r="N829" s="2">
        <v>0</v>
      </c>
      <c r="O829" s="2">
        <v>0</v>
      </c>
      <c r="P829" s="2"/>
      <c r="Q829" s="2">
        <v>93</v>
      </c>
      <c r="R829" s="2">
        <v>1294</v>
      </c>
      <c r="S829" s="2">
        <v>1339</v>
      </c>
      <c r="T829" s="2">
        <v>1146</v>
      </c>
      <c r="U829" s="2">
        <v>0</v>
      </c>
      <c r="V829" s="2"/>
      <c r="W829" s="2">
        <v>1130</v>
      </c>
      <c r="X829" s="2">
        <v>918</v>
      </c>
      <c r="Y829" s="2">
        <v>0</v>
      </c>
      <c r="Z829" s="2">
        <v>0</v>
      </c>
      <c r="AA829" s="2">
        <v>0</v>
      </c>
      <c r="AB829" s="2"/>
      <c r="AC829" s="2">
        <v>4376</v>
      </c>
      <c r="AD829" s="2">
        <v>3258</v>
      </c>
      <c r="AE829" s="2">
        <v>1995</v>
      </c>
      <c r="AF829" s="2">
        <v>0</v>
      </c>
      <c r="AG829" s="2">
        <v>0</v>
      </c>
      <c r="AH829" s="2"/>
      <c r="AI829" s="2">
        <v>0</v>
      </c>
      <c r="AJ829" s="2">
        <v>0</v>
      </c>
      <c r="AK829" s="2">
        <v>0</v>
      </c>
      <c r="AL829" s="2">
        <v>0</v>
      </c>
      <c r="AM829" s="2">
        <v>0</v>
      </c>
    </row>
    <row r="830" spans="1:39">
      <c r="A830" s="351">
        <v>99031</v>
      </c>
      <c r="B830" s="344" t="s">
        <v>1528</v>
      </c>
      <c r="C830" s="360">
        <v>9.7499999999999998E-5</v>
      </c>
      <c r="E830" s="2">
        <v>14264</v>
      </c>
      <c r="F830" s="2">
        <v>28660</v>
      </c>
      <c r="G830" s="2">
        <v>14381</v>
      </c>
      <c r="H830" s="2">
        <v>14510</v>
      </c>
      <c r="I830" s="2">
        <v>0</v>
      </c>
      <c r="J830" s="2"/>
      <c r="K830" s="2">
        <v>18077</v>
      </c>
      <c r="L830" s="2">
        <v>16652</v>
      </c>
      <c r="M830" s="2">
        <v>9268</v>
      </c>
      <c r="N830" s="2">
        <v>0</v>
      </c>
      <c r="O830" s="2">
        <v>0</v>
      </c>
      <c r="P830" s="2"/>
      <c r="Q830" s="2">
        <v>1172</v>
      </c>
      <c r="R830" s="2">
        <v>16390</v>
      </c>
      <c r="S830" s="2">
        <v>16957</v>
      </c>
      <c r="T830" s="2">
        <v>14510</v>
      </c>
      <c r="U830" s="2">
        <v>0</v>
      </c>
      <c r="V830" s="2"/>
      <c r="W830" s="2">
        <v>14311</v>
      </c>
      <c r="X830" s="2">
        <v>11618</v>
      </c>
      <c r="Y830" s="2">
        <v>0</v>
      </c>
      <c r="Z830" s="2">
        <v>0</v>
      </c>
      <c r="AA830" s="2">
        <v>0</v>
      </c>
      <c r="AB830" s="2"/>
      <c r="AC830" s="2">
        <v>0</v>
      </c>
      <c r="AD830" s="2">
        <v>0</v>
      </c>
      <c r="AE830" s="2">
        <v>0</v>
      </c>
      <c r="AF830" s="2">
        <v>0</v>
      </c>
      <c r="AG830" s="2">
        <v>0</v>
      </c>
      <c r="AH830" s="2"/>
      <c r="AI830" s="2">
        <v>-19296</v>
      </c>
      <c r="AJ830" s="2">
        <v>-16000</v>
      </c>
      <c r="AK830" s="2">
        <v>-11844</v>
      </c>
      <c r="AL830" s="2">
        <v>0</v>
      </c>
      <c r="AM830" s="2">
        <v>-16000</v>
      </c>
    </row>
    <row r="831" spans="1:39">
      <c r="A831" s="351">
        <v>99041</v>
      </c>
      <c r="B831" s="344" t="s">
        <v>1529</v>
      </c>
      <c r="C831" s="360">
        <v>6.4840000000000004E-4</v>
      </c>
      <c r="E831" s="2">
        <v>218773</v>
      </c>
      <c r="F831" s="2">
        <v>288016</v>
      </c>
      <c r="G831" s="2">
        <v>168696</v>
      </c>
      <c r="H831" s="2">
        <v>96496</v>
      </c>
      <c r="I831" s="2">
        <v>0</v>
      </c>
      <c r="J831" s="2"/>
      <c r="K831" s="2">
        <v>120219</v>
      </c>
      <c r="L831" s="2">
        <v>110743</v>
      </c>
      <c r="M831" s="2">
        <v>61636</v>
      </c>
      <c r="N831" s="2">
        <v>0</v>
      </c>
      <c r="O831" s="2">
        <v>0</v>
      </c>
      <c r="P831" s="2"/>
      <c r="Q831" s="2">
        <v>7793</v>
      </c>
      <c r="R831" s="2">
        <v>108999</v>
      </c>
      <c r="S831" s="2">
        <v>112768</v>
      </c>
      <c r="T831" s="2">
        <v>96496</v>
      </c>
      <c r="U831" s="2">
        <v>0</v>
      </c>
      <c r="V831" s="2"/>
      <c r="W831" s="2">
        <v>95170</v>
      </c>
      <c r="X831" s="2">
        <v>77261</v>
      </c>
      <c r="Y831" s="2">
        <v>0</v>
      </c>
      <c r="Z831" s="2">
        <v>0</v>
      </c>
      <c r="AA831" s="2">
        <v>0</v>
      </c>
      <c r="AB831" s="2"/>
      <c r="AC831" s="2">
        <v>8124</v>
      </c>
      <c r="AD831" s="2">
        <v>3544</v>
      </c>
      <c r="AE831" s="2">
        <v>3545</v>
      </c>
      <c r="AF831" s="2">
        <v>0</v>
      </c>
      <c r="AG831" s="2">
        <v>0</v>
      </c>
      <c r="AH831" s="2"/>
      <c r="AI831" s="2">
        <v>-12533</v>
      </c>
      <c r="AJ831" s="2">
        <v>-12531</v>
      </c>
      <c r="AK831" s="2">
        <v>-9253</v>
      </c>
      <c r="AL831" s="2">
        <v>0</v>
      </c>
      <c r="AM831" s="2">
        <v>-12531</v>
      </c>
    </row>
    <row r="832" spans="1:39">
      <c r="A832" s="351">
        <v>99047</v>
      </c>
      <c r="B832" s="344" t="s">
        <v>1530</v>
      </c>
      <c r="C832" s="360">
        <v>1.38E-5</v>
      </c>
      <c r="E832" s="2">
        <v>8803</v>
      </c>
      <c r="F832" s="2">
        <v>9286</v>
      </c>
      <c r="G832" s="2">
        <v>5998</v>
      </c>
      <c r="H832" s="2">
        <v>2054</v>
      </c>
      <c r="I832" s="2">
        <v>0</v>
      </c>
      <c r="J832" s="2"/>
      <c r="K832" s="2">
        <v>2559</v>
      </c>
      <c r="L832" s="2">
        <v>2357</v>
      </c>
      <c r="M832" s="2">
        <v>1312</v>
      </c>
      <c r="N832" s="2">
        <v>0</v>
      </c>
      <c r="O832" s="2">
        <v>0</v>
      </c>
      <c r="P832" s="2"/>
      <c r="Q832" s="2">
        <v>166</v>
      </c>
      <c r="R832" s="2">
        <v>2320</v>
      </c>
      <c r="S832" s="2">
        <v>2400</v>
      </c>
      <c r="T832" s="2">
        <v>2054</v>
      </c>
      <c r="U832" s="2">
        <v>0</v>
      </c>
      <c r="V832" s="2"/>
      <c r="W832" s="2">
        <v>2026</v>
      </c>
      <c r="X832" s="2">
        <v>1644</v>
      </c>
      <c r="Y832" s="2">
        <v>0</v>
      </c>
      <c r="Z832" s="2">
        <v>0</v>
      </c>
      <c r="AA832" s="2">
        <v>0</v>
      </c>
      <c r="AB832" s="2"/>
      <c r="AC832" s="2">
        <v>4052</v>
      </c>
      <c r="AD832" s="2">
        <v>2965</v>
      </c>
      <c r="AE832" s="2">
        <v>2286</v>
      </c>
      <c r="AF832" s="2">
        <v>0</v>
      </c>
      <c r="AG832" s="2">
        <v>0</v>
      </c>
      <c r="AH832" s="2"/>
      <c r="AI832" s="2">
        <v>0</v>
      </c>
      <c r="AJ832" s="2">
        <v>0</v>
      </c>
      <c r="AK832" s="2">
        <v>0</v>
      </c>
      <c r="AL832" s="2">
        <v>0</v>
      </c>
      <c r="AM832" s="2">
        <v>0</v>
      </c>
    </row>
    <row r="833" spans="1:39">
      <c r="A833" s="351">
        <v>99051</v>
      </c>
      <c r="B833" s="344" t="s">
        <v>1531</v>
      </c>
      <c r="C833" s="360">
        <v>3.592E-4</v>
      </c>
      <c r="E833" s="2">
        <v>118897</v>
      </c>
      <c r="F833" s="2">
        <v>160428</v>
      </c>
      <c r="G833" s="2">
        <v>95383</v>
      </c>
      <c r="H833" s="2">
        <v>53457</v>
      </c>
      <c r="I833" s="2">
        <v>0</v>
      </c>
      <c r="J833" s="2"/>
      <c r="K833" s="2">
        <v>66599</v>
      </c>
      <c r="L833" s="2">
        <v>61349</v>
      </c>
      <c r="M833" s="2">
        <v>34145</v>
      </c>
      <c r="N833" s="2">
        <v>0</v>
      </c>
      <c r="O833" s="2">
        <v>0</v>
      </c>
      <c r="P833" s="2"/>
      <c r="Q833" s="2">
        <v>4317</v>
      </c>
      <c r="R833" s="2">
        <v>60383</v>
      </c>
      <c r="S833" s="2">
        <v>62471</v>
      </c>
      <c r="T833" s="2">
        <v>53457</v>
      </c>
      <c r="U833" s="2">
        <v>0</v>
      </c>
      <c r="V833" s="2"/>
      <c r="W833" s="2">
        <v>52722</v>
      </c>
      <c r="X833" s="2">
        <v>42801</v>
      </c>
      <c r="Y833" s="2">
        <v>0</v>
      </c>
      <c r="Z833" s="2">
        <v>0</v>
      </c>
      <c r="AA833" s="2">
        <v>0</v>
      </c>
      <c r="AB833" s="2"/>
      <c r="AC833" s="2">
        <v>2951</v>
      </c>
      <c r="AD833" s="2">
        <v>2951</v>
      </c>
      <c r="AE833" s="2">
        <v>2950</v>
      </c>
      <c r="AF833" s="2">
        <v>0</v>
      </c>
      <c r="AG833" s="2">
        <v>0</v>
      </c>
      <c r="AH833" s="2"/>
      <c r="AI833" s="2">
        <v>-7692</v>
      </c>
      <c r="AJ833" s="2">
        <v>-7056</v>
      </c>
      <c r="AK833" s="2">
        <v>-4183</v>
      </c>
      <c r="AL833" s="2">
        <v>0</v>
      </c>
      <c r="AM833" s="2">
        <v>-7056</v>
      </c>
    </row>
    <row r="834" spans="1:39">
      <c r="A834" s="351">
        <v>99061</v>
      </c>
      <c r="B834" s="344" t="s">
        <v>1532</v>
      </c>
      <c r="C834" s="360">
        <v>5.4999999999999999E-6</v>
      </c>
      <c r="E834" s="2">
        <v>3846</v>
      </c>
      <c r="F834" s="2">
        <v>3685</v>
      </c>
      <c r="G834" s="2">
        <v>1804</v>
      </c>
      <c r="H834" s="2">
        <v>819</v>
      </c>
      <c r="I834" s="2">
        <v>0</v>
      </c>
      <c r="J834" s="2"/>
      <c r="K834" s="2">
        <v>1020</v>
      </c>
      <c r="L834" s="2">
        <v>939</v>
      </c>
      <c r="M834" s="2">
        <v>523</v>
      </c>
      <c r="N834" s="2">
        <v>0</v>
      </c>
      <c r="O834" s="2">
        <v>0</v>
      </c>
      <c r="P834" s="2"/>
      <c r="Q834" s="2">
        <v>66</v>
      </c>
      <c r="R834" s="2">
        <v>925</v>
      </c>
      <c r="S834" s="2">
        <v>957</v>
      </c>
      <c r="T834" s="2">
        <v>819</v>
      </c>
      <c r="U834" s="2">
        <v>0</v>
      </c>
      <c r="V834" s="2"/>
      <c r="W834" s="2">
        <v>807</v>
      </c>
      <c r="X834" s="2">
        <v>655</v>
      </c>
      <c r="Y834" s="2">
        <v>0</v>
      </c>
      <c r="Z834" s="2">
        <v>0</v>
      </c>
      <c r="AA834" s="2">
        <v>0</v>
      </c>
      <c r="AB834" s="2"/>
      <c r="AC834" s="2">
        <v>1953</v>
      </c>
      <c r="AD834" s="2">
        <v>1166</v>
      </c>
      <c r="AE834" s="2">
        <v>324</v>
      </c>
      <c r="AF834" s="2">
        <v>0</v>
      </c>
      <c r="AG834" s="2">
        <v>0</v>
      </c>
      <c r="AH834" s="2"/>
      <c r="AI834" s="2">
        <v>0</v>
      </c>
      <c r="AJ834" s="2">
        <v>0</v>
      </c>
      <c r="AK834" s="2">
        <v>0</v>
      </c>
      <c r="AL834" s="2">
        <v>0</v>
      </c>
      <c r="AM834" s="2">
        <v>0</v>
      </c>
    </row>
    <row r="835" spans="1:39">
      <c r="A835" s="351">
        <v>99071</v>
      </c>
      <c r="B835" s="344" t="s">
        <v>1533</v>
      </c>
      <c r="C835" s="360">
        <v>2.3799999999999999E-5</v>
      </c>
      <c r="E835" s="2">
        <v>8299</v>
      </c>
      <c r="F835" s="2">
        <v>10803</v>
      </c>
      <c r="G835" s="2">
        <v>7150</v>
      </c>
      <c r="H835" s="2">
        <v>3542</v>
      </c>
      <c r="I835" s="2">
        <v>0</v>
      </c>
      <c r="J835" s="2"/>
      <c r="K835" s="2">
        <v>4413</v>
      </c>
      <c r="L835" s="2">
        <v>4065</v>
      </c>
      <c r="M835" s="2">
        <v>2262</v>
      </c>
      <c r="N835" s="2">
        <v>0</v>
      </c>
      <c r="O835" s="2">
        <v>0</v>
      </c>
      <c r="P835" s="2"/>
      <c r="Q835" s="2">
        <v>286</v>
      </c>
      <c r="R835" s="2">
        <v>4001</v>
      </c>
      <c r="S835" s="2">
        <v>4139</v>
      </c>
      <c r="T835" s="2">
        <v>3542</v>
      </c>
      <c r="U835" s="2">
        <v>0</v>
      </c>
      <c r="V835" s="2"/>
      <c r="W835" s="2">
        <v>3493</v>
      </c>
      <c r="X835" s="2">
        <v>2836</v>
      </c>
      <c r="Y835" s="2">
        <v>0</v>
      </c>
      <c r="Z835" s="2">
        <v>0</v>
      </c>
      <c r="AA835" s="2">
        <v>0</v>
      </c>
      <c r="AB835" s="2"/>
      <c r="AC835" s="2">
        <v>1341</v>
      </c>
      <c r="AD835" s="2">
        <v>1135</v>
      </c>
      <c r="AE835" s="2">
        <v>1135</v>
      </c>
      <c r="AF835" s="2">
        <v>0</v>
      </c>
      <c r="AG835" s="2">
        <v>0</v>
      </c>
      <c r="AH835" s="2"/>
      <c r="AI835" s="2">
        <v>-1234</v>
      </c>
      <c r="AJ835" s="2">
        <v>-1234</v>
      </c>
      <c r="AK835" s="2">
        <v>-386</v>
      </c>
      <c r="AL835" s="2">
        <v>0</v>
      </c>
      <c r="AM835" s="2">
        <v>-1234</v>
      </c>
    </row>
    <row r="836" spans="1:39">
      <c r="A836" s="351">
        <v>99081</v>
      </c>
      <c r="B836" s="344" t="s">
        <v>1534</v>
      </c>
      <c r="C836" s="360">
        <v>3.8800000000000001E-5</v>
      </c>
      <c r="E836" s="2">
        <v>16291</v>
      </c>
      <c r="F836" s="2">
        <v>22793</v>
      </c>
      <c r="G836" s="2">
        <v>14396</v>
      </c>
      <c r="H836" s="2">
        <v>5774</v>
      </c>
      <c r="I836" s="2">
        <v>0</v>
      </c>
      <c r="J836" s="2"/>
      <c r="K836" s="2">
        <v>7194</v>
      </c>
      <c r="L836" s="2">
        <v>6627</v>
      </c>
      <c r="M836" s="2">
        <v>3688</v>
      </c>
      <c r="N836" s="2">
        <v>0</v>
      </c>
      <c r="O836" s="2">
        <v>0</v>
      </c>
      <c r="P836" s="2"/>
      <c r="Q836" s="2">
        <v>466</v>
      </c>
      <c r="R836" s="2">
        <v>6522</v>
      </c>
      <c r="S836" s="2">
        <v>6748</v>
      </c>
      <c r="T836" s="2">
        <v>5774</v>
      </c>
      <c r="U836" s="2">
        <v>0</v>
      </c>
      <c r="V836" s="2"/>
      <c r="W836" s="2">
        <v>5695</v>
      </c>
      <c r="X836" s="2">
        <v>4623</v>
      </c>
      <c r="Y836" s="2">
        <v>0</v>
      </c>
      <c r="Z836" s="2">
        <v>0</v>
      </c>
      <c r="AA836" s="2">
        <v>0</v>
      </c>
      <c r="AB836" s="2"/>
      <c r="AC836" s="2">
        <v>5023</v>
      </c>
      <c r="AD836" s="2">
        <v>5021</v>
      </c>
      <c r="AE836" s="2">
        <v>3960</v>
      </c>
      <c r="AF836" s="2">
        <v>0</v>
      </c>
      <c r="AG836" s="2">
        <v>0</v>
      </c>
      <c r="AH836" s="2"/>
      <c r="AI836" s="2">
        <v>-2087</v>
      </c>
      <c r="AJ836" s="2">
        <v>0</v>
      </c>
      <c r="AK836" s="2">
        <v>0</v>
      </c>
      <c r="AL836" s="2">
        <v>0</v>
      </c>
      <c r="AM836" s="2">
        <v>0</v>
      </c>
    </row>
    <row r="837" spans="1:39">
      <c r="A837" s="351">
        <v>99091</v>
      </c>
      <c r="B837" s="344" t="s">
        <v>1535</v>
      </c>
      <c r="C837" s="360">
        <v>1.5800000000000001E-5</v>
      </c>
      <c r="E837" s="2">
        <v>13425</v>
      </c>
      <c r="F837" s="2">
        <v>14657</v>
      </c>
      <c r="G837" s="2">
        <v>11104</v>
      </c>
      <c r="H837" s="2">
        <v>2351</v>
      </c>
      <c r="I837" s="2">
        <v>0</v>
      </c>
      <c r="J837" s="2"/>
      <c r="K837" s="2">
        <v>2929</v>
      </c>
      <c r="L837" s="2">
        <v>2699</v>
      </c>
      <c r="M837" s="2">
        <v>1502</v>
      </c>
      <c r="N837" s="2">
        <v>0</v>
      </c>
      <c r="O837" s="2">
        <v>0</v>
      </c>
      <c r="P837" s="2"/>
      <c r="Q837" s="2">
        <v>190</v>
      </c>
      <c r="R837" s="2">
        <v>2656</v>
      </c>
      <c r="S837" s="2">
        <v>2748</v>
      </c>
      <c r="T837" s="2">
        <v>2351</v>
      </c>
      <c r="U837" s="2">
        <v>0</v>
      </c>
      <c r="V837" s="2"/>
      <c r="W837" s="2">
        <v>2319</v>
      </c>
      <c r="X837" s="2">
        <v>1883</v>
      </c>
      <c r="Y837" s="2">
        <v>0</v>
      </c>
      <c r="Z837" s="2">
        <v>0</v>
      </c>
      <c r="AA837" s="2">
        <v>0</v>
      </c>
      <c r="AB837" s="2"/>
      <c r="AC837" s="2">
        <v>7987</v>
      </c>
      <c r="AD837" s="2">
        <v>7419</v>
      </c>
      <c r="AE837" s="2">
        <v>6854</v>
      </c>
      <c r="AF837" s="2">
        <v>0</v>
      </c>
      <c r="AG837" s="2">
        <v>0</v>
      </c>
      <c r="AH837" s="2"/>
      <c r="AI837" s="2">
        <v>0</v>
      </c>
      <c r="AJ837" s="2">
        <v>0</v>
      </c>
      <c r="AK837" s="2">
        <v>0</v>
      </c>
      <c r="AL837" s="2">
        <v>0</v>
      </c>
      <c r="AM837" s="2">
        <v>0</v>
      </c>
    </row>
    <row r="838" spans="1:39">
      <c r="A838" s="351">
        <v>99101</v>
      </c>
      <c r="B838" s="344" t="s">
        <v>1536</v>
      </c>
      <c r="C838" s="360">
        <v>1.9082999999999999E-3</v>
      </c>
      <c r="E838" s="2">
        <v>542204</v>
      </c>
      <c r="F838" s="2">
        <v>748652</v>
      </c>
      <c r="G838" s="2">
        <v>397020</v>
      </c>
      <c r="H838" s="2">
        <v>283997</v>
      </c>
      <c r="I838" s="2">
        <v>0</v>
      </c>
      <c r="J838" s="2"/>
      <c r="K838" s="2">
        <v>353816</v>
      </c>
      <c r="L838" s="2">
        <v>325926</v>
      </c>
      <c r="M838" s="2">
        <v>181399</v>
      </c>
      <c r="N838" s="2">
        <v>0</v>
      </c>
      <c r="O838" s="2">
        <v>0</v>
      </c>
      <c r="P838" s="2"/>
      <c r="Q838" s="2">
        <v>22936</v>
      </c>
      <c r="R838" s="2">
        <v>320795</v>
      </c>
      <c r="S838" s="2">
        <v>331888</v>
      </c>
      <c r="T838" s="2">
        <v>283997</v>
      </c>
      <c r="U838" s="2">
        <v>0</v>
      </c>
      <c r="V838" s="2"/>
      <c r="W838" s="2">
        <v>280093</v>
      </c>
      <c r="X838" s="2">
        <v>227387</v>
      </c>
      <c r="Y838" s="2">
        <v>0</v>
      </c>
      <c r="Z838" s="2">
        <v>0</v>
      </c>
      <c r="AA838" s="2">
        <v>0</v>
      </c>
      <c r="AB838" s="2"/>
      <c r="AC838" s="2">
        <v>10815</v>
      </c>
      <c r="AD838" s="2">
        <v>0</v>
      </c>
      <c r="AE838" s="2">
        <v>0</v>
      </c>
      <c r="AF838" s="2">
        <v>0</v>
      </c>
      <c r="AG838" s="2">
        <v>0</v>
      </c>
      <c r="AH838" s="2"/>
      <c r="AI838" s="2">
        <v>-125456</v>
      </c>
      <c r="AJ838" s="2">
        <v>-125456</v>
      </c>
      <c r="AK838" s="2">
        <v>-116267</v>
      </c>
      <c r="AL838" s="2">
        <v>0</v>
      </c>
      <c r="AM838" s="2">
        <v>-125456</v>
      </c>
    </row>
    <row r="839" spans="1:39">
      <c r="A839" s="351">
        <v>99104</v>
      </c>
      <c r="B839" s="344" t="s">
        <v>2788</v>
      </c>
      <c r="C839" s="360">
        <v>3.1999999999999999E-5</v>
      </c>
      <c r="E839" s="2">
        <v>19600</v>
      </c>
      <c r="F839" s="2">
        <v>21963</v>
      </c>
      <c r="G839" s="2">
        <v>14041</v>
      </c>
      <c r="H839" s="2">
        <v>4762</v>
      </c>
      <c r="I839" s="2">
        <v>0</v>
      </c>
      <c r="J839" s="2"/>
      <c r="K839" s="2">
        <v>5933</v>
      </c>
      <c r="L839" s="2">
        <v>5465</v>
      </c>
      <c r="M839" s="2">
        <v>3042</v>
      </c>
      <c r="N839" s="2">
        <v>0</v>
      </c>
      <c r="O839" s="2">
        <v>0</v>
      </c>
      <c r="P839" s="2"/>
      <c r="Q839" s="2">
        <v>385</v>
      </c>
      <c r="R839" s="2">
        <v>5379</v>
      </c>
      <c r="S839" s="2">
        <v>5565</v>
      </c>
      <c r="T839" s="2">
        <v>4762</v>
      </c>
      <c r="U839" s="2">
        <v>0</v>
      </c>
      <c r="V839" s="2"/>
      <c r="W839" s="2">
        <v>4697</v>
      </c>
      <c r="X839" s="2">
        <v>3813</v>
      </c>
      <c r="Y839" s="2">
        <v>0</v>
      </c>
      <c r="Z839" s="2">
        <v>0</v>
      </c>
      <c r="AA839" s="2">
        <v>0</v>
      </c>
      <c r="AB839" s="2"/>
      <c r="AC839" s="2">
        <v>8585</v>
      </c>
      <c r="AD839" s="2">
        <v>7306</v>
      </c>
      <c r="AE839" s="2">
        <v>5434</v>
      </c>
      <c r="AF839" s="2">
        <v>0</v>
      </c>
      <c r="AG839" s="2">
        <v>0</v>
      </c>
      <c r="AH839" s="2"/>
      <c r="AI839" s="2">
        <v>0</v>
      </c>
      <c r="AJ839" s="2">
        <v>0</v>
      </c>
      <c r="AK839" s="2">
        <v>0</v>
      </c>
      <c r="AL839" s="2">
        <v>0</v>
      </c>
      <c r="AM839" s="2">
        <v>0</v>
      </c>
    </row>
    <row r="840" spans="1:39">
      <c r="A840" s="351">
        <v>99109</v>
      </c>
      <c r="B840" s="344" t="s">
        <v>2807</v>
      </c>
      <c r="C840" s="360">
        <v>1.139E-4</v>
      </c>
      <c r="E840" s="2">
        <v>36263</v>
      </c>
      <c r="F840" s="2">
        <v>48474</v>
      </c>
      <c r="G840" s="2">
        <v>27619</v>
      </c>
      <c r="H840" s="2">
        <v>16951</v>
      </c>
      <c r="I840" s="2">
        <v>0</v>
      </c>
      <c r="J840" s="2"/>
      <c r="K840" s="2">
        <v>21118</v>
      </c>
      <c r="L840" s="2">
        <v>19453</v>
      </c>
      <c r="M840" s="2">
        <v>10827</v>
      </c>
      <c r="N840" s="2">
        <v>0</v>
      </c>
      <c r="O840" s="2">
        <v>0</v>
      </c>
      <c r="P840" s="2"/>
      <c r="Q840" s="2">
        <v>1369</v>
      </c>
      <c r="R840" s="2">
        <v>19147</v>
      </c>
      <c r="S840" s="2">
        <v>19809</v>
      </c>
      <c r="T840" s="2">
        <v>16951</v>
      </c>
      <c r="U840" s="2">
        <v>0</v>
      </c>
      <c r="V840" s="2"/>
      <c r="W840" s="2">
        <v>16718</v>
      </c>
      <c r="X840" s="2">
        <v>13572</v>
      </c>
      <c r="Y840" s="2">
        <v>0</v>
      </c>
      <c r="Z840" s="2">
        <v>0</v>
      </c>
      <c r="AA840" s="2">
        <v>0</v>
      </c>
      <c r="AB840" s="2"/>
      <c r="AC840" s="2">
        <v>758</v>
      </c>
      <c r="AD840" s="2">
        <v>0</v>
      </c>
      <c r="AE840" s="2">
        <v>0</v>
      </c>
      <c r="AF840" s="2">
        <v>0</v>
      </c>
      <c r="AG840" s="2">
        <v>0</v>
      </c>
      <c r="AH840" s="2"/>
      <c r="AI840" s="2">
        <v>-3700</v>
      </c>
      <c r="AJ840" s="2">
        <v>-3698</v>
      </c>
      <c r="AK840" s="2">
        <v>-3017</v>
      </c>
      <c r="AL840" s="2">
        <v>0</v>
      </c>
      <c r="AM840" s="2">
        <v>-3698</v>
      </c>
    </row>
    <row r="841" spans="1:39">
      <c r="A841" s="351">
        <v>99110</v>
      </c>
      <c r="B841" s="344" t="s">
        <v>1539</v>
      </c>
      <c r="C841" s="360">
        <v>1.9249999999999999E-4</v>
      </c>
      <c r="E841" s="2">
        <v>118717</v>
      </c>
      <c r="F841" s="2">
        <v>134036</v>
      </c>
      <c r="G841" s="2">
        <v>90275</v>
      </c>
      <c r="H841" s="2">
        <v>28648</v>
      </c>
      <c r="I841" s="2">
        <v>0</v>
      </c>
      <c r="J841" s="2"/>
      <c r="K841" s="2">
        <v>35691</v>
      </c>
      <c r="L841" s="2">
        <v>32878</v>
      </c>
      <c r="M841" s="2">
        <v>18299</v>
      </c>
      <c r="N841" s="2">
        <v>0</v>
      </c>
      <c r="O841" s="2">
        <v>0</v>
      </c>
      <c r="P841" s="2"/>
      <c r="Q841" s="2">
        <v>2314</v>
      </c>
      <c r="R841" s="2">
        <v>32360</v>
      </c>
      <c r="S841" s="2">
        <v>33479</v>
      </c>
      <c r="T841" s="2">
        <v>28648</v>
      </c>
      <c r="U841" s="2">
        <v>0</v>
      </c>
      <c r="V841" s="2"/>
      <c r="W841" s="2">
        <v>28254</v>
      </c>
      <c r="X841" s="2">
        <v>22938</v>
      </c>
      <c r="Y841" s="2">
        <v>0</v>
      </c>
      <c r="Z841" s="2">
        <v>0</v>
      </c>
      <c r="AA841" s="2">
        <v>0</v>
      </c>
      <c r="AB841" s="2"/>
      <c r="AC841" s="2">
        <v>52458</v>
      </c>
      <c r="AD841" s="2">
        <v>45860</v>
      </c>
      <c r="AE841" s="2">
        <v>38497</v>
      </c>
      <c r="AF841" s="2">
        <v>0</v>
      </c>
      <c r="AG841" s="2">
        <v>0</v>
      </c>
      <c r="AH841" s="2"/>
      <c r="AI841" s="2">
        <v>0</v>
      </c>
      <c r="AJ841" s="2">
        <v>0</v>
      </c>
      <c r="AK841" s="2">
        <v>0</v>
      </c>
      <c r="AL841" s="2">
        <v>0</v>
      </c>
      <c r="AM841" s="2">
        <v>0</v>
      </c>
    </row>
    <row r="842" spans="1:39">
      <c r="A842" s="351">
        <v>99111</v>
      </c>
      <c r="B842" s="344" t="s">
        <v>1540</v>
      </c>
      <c r="C842" s="360">
        <v>1.3797E-3</v>
      </c>
      <c r="E842" s="2">
        <v>477844</v>
      </c>
      <c r="F842" s="2">
        <v>644392</v>
      </c>
      <c r="G842" s="2">
        <v>385970</v>
      </c>
      <c r="H842" s="2">
        <v>205330</v>
      </c>
      <c r="I842" s="2">
        <v>0</v>
      </c>
      <c r="J842" s="2"/>
      <c r="K842" s="2">
        <v>255809</v>
      </c>
      <c r="L842" s="2">
        <v>235644</v>
      </c>
      <c r="M842" s="2">
        <v>131152</v>
      </c>
      <c r="N842" s="2">
        <v>0</v>
      </c>
      <c r="O842" s="2">
        <v>0</v>
      </c>
      <c r="P842" s="2"/>
      <c r="Q842" s="2">
        <v>16583</v>
      </c>
      <c r="R842" s="2">
        <v>231934</v>
      </c>
      <c r="S842" s="2">
        <v>239955</v>
      </c>
      <c r="T842" s="2">
        <v>205330</v>
      </c>
      <c r="U842" s="2">
        <v>0</v>
      </c>
      <c r="V842" s="2"/>
      <c r="W842" s="2">
        <v>202507</v>
      </c>
      <c r="X842" s="2">
        <v>164401</v>
      </c>
      <c r="Y842" s="2">
        <v>0</v>
      </c>
      <c r="Z842" s="2">
        <v>0</v>
      </c>
      <c r="AA842" s="2">
        <v>0</v>
      </c>
      <c r="AB842" s="2"/>
      <c r="AC842" s="2">
        <v>21348</v>
      </c>
      <c r="AD842" s="2">
        <v>21348</v>
      </c>
      <c r="AE842" s="2">
        <v>21347</v>
      </c>
      <c r="AF842" s="2">
        <v>0</v>
      </c>
      <c r="AG842" s="2">
        <v>0</v>
      </c>
      <c r="AH842" s="2"/>
      <c r="AI842" s="2">
        <v>-18403</v>
      </c>
      <c r="AJ842" s="2">
        <v>-8935</v>
      </c>
      <c r="AK842" s="2">
        <v>-6484</v>
      </c>
      <c r="AL842" s="2">
        <v>0</v>
      </c>
      <c r="AM842" s="2">
        <v>-8935</v>
      </c>
    </row>
    <row r="843" spans="1:39">
      <c r="A843" s="351">
        <v>99201</v>
      </c>
      <c r="B843" s="344" t="s">
        <v>1541</v>
      </c>
      <c r="C843" s="360">
        <v>3.5152000000000003E-2</v>
      </c>
      <c r="E843" s="2">
        <v>12657424</v>
      </c>
      <c r="F843" s="2">
        <v>16518414</v>
      </c>
      <c r="G843" s="2">
        <v>9730209</v>
      </c>
      <c r="H843" s="2">
        <v>5231391</v>
      </c>
      <c r="I843" s="2">
        <v>0</v>
      </c>
      <c r="J843" s="2"/>
      <c r="K843" s="2">
        <v>6517497</v>
      </c>
      <c r="L843" s="2">
        <v>6003751</v>
      </c>
      <c r="M843" s="2">
        <v>3341479</v>
      </c>
      <c r="N843" s="2">
        <v>0</v>
      </c>
      <c r="O843" s="2">
        <v>0</v>
      </c>
      <c r="P843" s="2"/>
      <c r="Q843" s="2">
        <v>422492</v>
      </c>
      <c r="R843" s="2">
        <v>5909227</v>
      </c>
      <c r="S843" s="2">
        <v>6113566</v>
      </c>
      <c r="T843" s="2">
        <v>5231391</v>
      </c>
      <c r="U843" s="2">
        <v>0</v>
      </c>
      <c r="V843" s="2"/>
      <c r="W843" s="2">
        <v>5159470</v>
      </c>
      <c r="X843" s="2">
        <v>4188607</v>
      </c>
      <c r="Y843" s="2">
        <v>0</v>
      </c>
      <c r="Z843" s="2">
        <v>0</v>
      </c>
      <c r="AA843" s="2">
        <v>0</v>
      </c>
      <c r="AB843" s="2"/>
      <c r="AC843" s="2">
        <v>557965</v>
      </c>
      <c r="AD843" s="2">
        <v>416829</v>
      </c>
      <c r="AE843" s="2">
        <v>275164</v>
      </c>
      <c r="AF843" s="2">
        <v>0</v>
      </c>
      <c r="AG843" s="2">
        <v>0</v>
      </c>
      <c r="AH843" s="2"/>
      <c r="AI843" s="2">
        <v>0</v>
      </c>
      <c r="AJ843" s="2">
        <v>0</v>
      </c>
      <c r="AK843" s="2">
        <v>0</v>
      </c>
      <c r="AL843" s="2">
        <v>0</v>
      </c>
      <c r="AM843" s="2">
        <v>0</v>
      </c>
    </row>
    <row r="844" spans="1:39">
      <c r="A844" s="351">
        <v>99202</v>
      </c>
      <c r="B844" s="344" t="s">
        <v>1542</v>
      </c>
      <c r="C844" s="360">
        <v>2.8838000000000002E-3</v>
      </c>
      <c r="E844" s="2">
        <v>967390</v>
      </c>
      <c r="F844" s="2">
        <v>1306677</v>
      </c>
      <c r="G844" s="2">
        <v>763619</v>
      </c>
      <c r="H844" s="2">
        <v>429173</v>
      </c>
      <c r="I844" s="2">
        <v>0</v>
      </c>
      <c r="J844" s="2"/>
      <c r="K844" s="2">
        <v>534682</v>
      </c>
      <c r="L844" s="2">
        <v>492536</v>
      </c>
      <c r="M844" s="2">
        <v>274128</v>
      </c>
      <c r="N844" s="2">
        <v>0</v>
      </c>
      <c r="O844" s="2">
        <v>0</v>
      </c>
      <c r="P844" s="2"/>
      <c r="Q844" s="2">
        <v>34660</v>
      </c>
      <c r="R844" s="2">
        <v>484781</v>
      </c>
      <c r="S844" s="2">
        <v>501545</v>
      </c>
      <c r="T844" s="2">
        <v>429173</v>
      </c>
      <c r="U844" s="2">
        <v>0</v>
      </c>
      <c r="V844" s="2"/>
      <c r="W844" s="2">
        <v>423273</v>
      </c>
      <c r="X844" s="2">
        <v>343625</v>
      </c>
      <c r="Y844" s="2">
        <v>0</v>
      </c>
      <c r="Z844" s="2">
        <v>0</v>
      </c>
      <c r="AA844" s="2">
        <v>0</v>
      </c>
      <c r="AB844" s="2"/>
      <c r="AC844" s="2">
        <v>0</v>
      </c>
      <c r="AD844" s="2">
        <v>0</v>
      </c>
      <c r="AE844" s="2">
        <v>0</v>
      </c>
      <c r="AF844" s="2">
        <v>0</v>
      </c>
      <c r="AG844" s="2">
        <v>0</v>
      </c>
      <c r="AH844" s="2"/>
      <c r="AI844" s="2">
        <v>-25225</v>
      </c>
      <c r="AJ844" s="2">
        <v>-14265</v>
      </c>
      <c r="AK844" s="2">
        <v>-12054</v>
      </c>
      <c r="AL844" s="2">
        <v>0</v>
      </c>
      <c r="AM844" s="2">
        <v>-14265</v>
      </c>
    </row>
    <row r="845" spans="1:39">
      <c r="A845" s="351">
        <v>99203</v>
      </c>
      <c r="B845" s="344" t="s">
        <v>1543</v>
      </c>
      <c r="C845" s="360">
        <v>3.8450000000000002E-4</v>
      </c>
      <c r="E845" s="2">
        <v>144232</v>
      </c>
      <c r="F845" s="2">
        <v>193187</v>
      </c>
      <c r="G845" s="2">
        <v>123151</v>
      </c>
      <c r="H845" s="2">
        <v>57222</v>
      </c>
      <c r="I845" s="2">
        <v>0</v>
      </c>
      <c r="J845" s="2"/>
      <c r="K845" s="2">
        <v>71290</v>
      </c>
      <c r="L845" s="2">
        <v>65670</v>
      </c>
      <c r="M845" s="2">
        <v>36550</v>
      </c>
      <c r="N845" s="2">
        <v>0</v>
      </c>
      <c r="O845" s="2">
        <v>0</v>
      </c>
      <c r="P845" s="2"/>
      <c r="Q845" s="2">
        <v>4621</v>
      </c>
      <c r="R845" s="2">
        <v>64636</v>
      </c>
      <c r="S845" s="2">
        <v>66871</v>
      </c>
      <c r="T845" s="2">
        <v>57222</v>
      </c>
      <c r="U845" s="2">
        <v>0</v>
      </c>
      <c r="V845" s="2"/>
      <c r="W845" s="2">
        <v>56435</v>
      </c>
      <c r="X845" s="2">
        <v>45816</v>
      </c>
      <c r="Y845" s="2">
        <v>0</v>
      </c>
      <c r="Z845" s="2">
        <v>0</v>
      </c>
      <c r="AA845" s="2">
        <v>0</v>
      </c>
      <c r="AB845" s="2"/>
      <c r="AC845" s="2">
        <v>19730</v>
      </c>
      <c r="AD845" s="2">
        <v>19730</v>
      </c>
      <c r="AE845" s="2">
        <v>19730</v>
      </c>
      <c r="AF845" s="2">
        <v>0</v>
      </c>
      <c r="AG845" s="2">
        <v>0</v>
      </c>
      <c r="AH845" s="2"/>
      <c r="AI845" s="2">
        <v>-7844</v>
      </c>
      <c r="AJ845" s="2">
        <v>-2665</v>
      </c>
      <c r="AK845" s="2">
        <v>0</v>
      </c>
      <c r="AL845" s="2">
        <v>0</v>
      </c>
      <c r="AM845" s="2">
        <v>-2665</v>
      </c>
    </row>
    <row r="846" spans="1:39">
      <c r="A846" s="351">
        <v>99204</v>
      </c>
      <c r="B846" s="344" t="s">
        <v>1544</v>
      </c>
      <c r="C846" s="360">
        <v>1.0219999999999999E-3</v>
      </c>
      <c r="E846" s="2">
        <v>410757</v>
      </c>
      <c r="F846" s="2">
        <v>514291</v>
      </c>
      <c r="G846" s="2">
        <v>307256</v>
      </c>
      <c r="H846" s="2">
        <v>152096</v>
      </c>
      <c r="I846" s="2">
        <v>0</v>
      </c>
      <c r="J846" s="2"/>
      <c r="K846" s="2">
        <v>189488</v>
      </c>
      <c r="L846" s="2">
        <v>174551</v>
      </c>
      <c r="M846" s="2">
        <v>97149</v>
      </c>
      <c r="N846" s="2">
        <v>0</v>
      </c>
      <c r="O846" s="2">
        <v>0</v>
      </c>
      <c r="P846" s="2"/>
      <c r="Q846" s="2">
        <v>12283</v>
      </c>
      <c r="R846" s="2">
        <v>171803</v>
      </c>
      <c r="S846" s="2">
        <v>177744</v>
      </c>
      <c r="T846" s="2">
        <v>152096</v>
      </c>
      <c r="U846" s="2">
        <v>0</v>
      </c>
      <c r="V846" s="2"/>
      <c r="W846" s="2">
        <v>150005</v>
      </c>
      <c r="X846" s="2">
        <v>121778</v>
      </c>
      <c r="Y846" s="2">
        <v>0</v>
      </c>
      <c r="Z846" s="2">
        <v>0</v>
      </c>
      <c r="AA846" s="2">
        <v>0</v>
      </c>
      <c r="AB846" s="2"/>
      <c r="AC846" s="2">
        <v>58981</v>
      </c>
      <c r="AD846" s="2">
        <v>46159</v>
      </c>
      <c r="AE846" s="2">
        <v>32363</v>
      </c>
      <c r="AF846" s="2">
        <v>0</v>
      </c>
      <c r="AG846" s="2">
        <v>0</v>
      </c>
      <c r="AH846" s="2"/>
      <c r="AI846" s="2">
        <v>0</v>
      </c>
      <c r="AJ846" s="2">
        <v>0</v>
      </c>
      <c r="AK846" s="2">
        <v>0</v>
      </c>
      <c r="AL846" s="2">
        <v>0</v>
      </c>
      <c r="AM846" s="2">
        <v>0</v>
      </c>
    </row>
    <row r="847" spans="1:39">
      <c r="A847" s="351">
        <v>99206</v>
      </c>
      <c r="B847" s="344" t="s">
        <v>1545</v>
      </c>
      <c r="C847" s="360">
        <v>1.7485999999999999E-3</v>
      </c>
      <c r="E847" s="2">
        <v>814738</v>
      </c>
      <c r="F847" s="2">
        <v>922566</v>
      </c>
      <c r="G847" s="2">
        <v>488201</v>
      </c>
      <c r="H847" s="2">
        <v>260230</v>
      </c>
      <c r="I847" s="2">
        <v>0</v>
      </c>
      <c r="J847" s="2"/>
      <c r="K847" s="2">
        <v>324206</v>
      </c>
      <c r="L847" s="2">
        <v>298650</v>
      </c>
      <c r="M847" s="2">
        <v>166218</v>
      </c>
      <c r="N847" s="2">
        <v>0</v>
      </c>
      <c r="O847" s="2">
        <v>0</v>
      </c>
      <c r="P847" s="2"/>
      <c r="Q847" s="2">
        <v>21016</v>
      </c>
      <c r="R847" s="2">
        <v>293948</v>
      </c>
      <c r="S847" s="2">
        <v>304113</v>
      </c>
      <c r="T847" s="2">
        <v>260230</v>
      </c>
      <c r="U847" s="2">
        <v>0</v>
      </c>
      <c r="V847" s="2"/>
      <c r="W847" s="2">
        <v>256653</v>
      </c>
      <c r="X847" s="2">
        <v>208358</v>
      </c>
      <c r="Y847" s="2">
        <v>0</v>
      </c>
      <c r="Z847" s="2">
        <v>0</v>
      </c>
      <c r="AA847" s="2">
        <v>0</v>
      </c>
      <c r="AB847" s="2"/>
      <c r="AC847" s="2">
        <v>238090</v>
      </c>
      <c r="AD847" s="2">
        <v>146837</v>
      </c>
      <c r="AE847" s="2">
        <v>43099</v>
      </c>
      <c r="AF847" s="2">
        <v>0</v>
      </c>
      <c r="AG847" s="2">
        <v>0</v>
      </c>
      <c r="AH847" s="2"/>
      <c r="AI847" s="2">
        <v>-25227</v>
      </c>
      <c r="AJ847" s="2">
        <v>-25227</v>
      </c>
      <c r="AK847" s="2">
        <v>-25229</v>
      </c>
      <c r="AL847" s="2">
        <v>0</v>
      </c>
      <c r="AM847" s="2">
        <v>-25227</v>
      </c>
    </row>
    <row r="848" spans="1:39">
      <c r="A848" s="351">
        <v>99207</v>
      </c>
      <c r="B848" s="344" t="s">
        <v>1546</v>
      </c>
      <c r="C848" s="360">
        <v>1.111E-4</v>
      </c>
      <c r="E848" s="2">
        <v>107061</v>
      </c>
      <c r="F848" s="2">
        <v>97101</v>
      </c>
      <c r="G848" s="2">
        <v>53096</v>
      </c>
      <c r="H848" s="2">
        <v>16534</v>
      </c>
      <c r="I848" s="2">
        <v>0</v>
      </c>
      <c r="J848" s="2"/>
      <c r="K848" s="2">
        <v>20599</v>
      </c>
      <c r="L848" s="2">
        <v>18975</v>
      </c>
      <c r="M848" s="2">
        <v>10561</v>
      </c>
      <c r="N848" s="2">
        <v>0</v>
      </c>
      <c r="O848" s="2">
        <v>0</v>
      </c>
      <c r="P848" s="2"/>
      <c r="Q848" s="2">
        <v>1335</v>
      </c>
      <c r="R848" s="2">
        <v>18676</v>
      </c>
      <c r="S848" s="2">
        <v>19322</v>
      </c>
      <c r="T848" s="2">
        <v>16534</v>
      </c>
      <c r="U848" s="2">
        <v>0</v>
      </c>
      <c r="V848" s="2"/>
      <c r="W848" s="2">
        <v>16307</v>
      </c>
      <c r="X848" s="2">
        <v>13238</v>
      </c>
      <c r="Y848" s="2">
        <v>0</v>
      </c>
      <c r="Z848" s="2">
        <v>0</v>
      </c>
      <c r="AA848" s="2">
        <v>0</v>
      </c>
      <c r="AB848" s="2"/>
      <c r="AC848" s="2">
        <v>69015</v>
      </c>
      <c r="AD848" s="2">
        <v>46407</v>
      </c>
      <c r="AE848" s="2">
        <v>23409</v>
      </c>
      <c r="AF848" s="2">
        <v>0</v>
      </c>
      <c r="AG848" s="2">
        <v>0</v>
      </c>
      <c r="AH848" s="2"/>
      <c r="AI848" s="2">
        <v>-195</v>
      </c>
      <c r="AJ848" s="2">
        <v>-195</v>
      </c>
      <c r="AK848" s="2">
        <v>-196</v>
      </c>
      <c r="AL848" s="2">
        <v>0</v>
      </c>
      <c r="AM848" s="2">
        <v>-195</v>
      </c>
    </row>
    <row r="849" spans="1:39">
      <c r="A849" s="351">
        <v>99208</v>
      </c>
      <c r="B849" s="344" t="s">
        <v>1547</v>
      </c>
      <c r="C849" s="360">
        <v>3.2929999999999998E-4</v>
      </c>
      <c r="E849" s="2">
        <v>131052</v>
      </c>
      <c r="F849" s="2">
        <v>168852</v>
      </c>
      <c r="G849" s="2">
        <v>94074</v>
      </c>
      <c r="H849" s="2">
        <v>49007</v>
      </c>
      <c r="I849" s="2">
        <v>0</v>
      </c>
      <c r="J849" s="2"/>
      <c r="K849" s="2">
        <v>61055</v>
      </c>
      <c r="L849" s="2">
        <v>56242</v>
      </c>
      <c r="M849" s="2">
        <v>31303</v>
      </c>
      <c r="N849" s="2">
        <v>0</v>
      </c>
      <c r="O849" s="2">
        <v>0</v>
      </c>
      <c r="P849" s="2"/>
      <c r="Q849" s="2">
        <v>3958</v>
      </c>
      <c r="R849" s="2">
        <v>55357</v>
      </c>
      <c r="S849" s="2">
        <v>57271</v>
      </c>
      <c r="T849" s="2">
        <v>49007</v>
      </c>
      <c r="U849" s="2">
        <v>0</v>
      </c>
      <c r="V849" s="2"/>
      <c r="W849" s="2">
        <v>48333</v>
      </c>
      <c r="X849" s="2">
        <v>39238</v>
      </c>
      <c r="Y849" s="2">
        <v>0</v>
      </c>
      <c r="Z849" s="2">
        <v>0</v>
      </c>
      <c r="AA849" s="2">
        <v>0</v>
      </c>
      <c r="AB849" s="2"/>
      <c r="AC849" s="2">
        <v>20055</v>
      </c>
      <c r="AD849" s="2">
        <v>20055</v>
      </c>
      <c r="AE849" s="2">
        <v>7541</v>
      </c>
      <c r="AF849" s="2">
        <v>0</v>
      </c>
      <c r="AG849" s="2">
        <v>0</v>
      </c>
      <c r="AH849" s="2"/>
      <c r="AI849" s="2">
        <v>-2349</v>
      </c>
      <c r="AJ849" s="2">
        <v>-2040</v>
      </c>
      <c r="AK849" s="2">
        <v>-2041</v>
      </c>
      <c r="AL849" s="2">
        <v>0</v>
      </c>
      <c r="AM849" s="2">
        <v>-2040</v>
      </c>
    </row>
    <row r="850" spans="1:39">
      <c r="A850" s="351">
        <v>99210</v>
      </c>
      <c r="B850" s="344" t="s">
        <v>3705</v>
      </c>
      <c r="C850" s="360">
        <v>1.8843E-3</v>
      </c>
      <c r="E850" s="2">
        <v>783649</v>
      </c>
      <c r="F850" s="2">
        <v>986685</v>
      </c>
      <c r="G850" s="2">
        <v>607457</v>
      </c>
      <c r="H850" s="2">
        <v>280425</v>
      </c>
      <c r="I850" s="2">
        <v>0</v>
      </c>
      <c r="J850" s="2"/>
      <c r="K850" s="2">
        <v>349366</v>
      </c>
      <c r="L850" s="2">
        <v>321827</v>
      </c>
      <c r="M850" s="2">
        <v>179118</v>
      </c>
      <c r="N850" s="2">
        <v>0</v>
      </c>
      <c r="O850" s="2">
        <v>0</v>
      </c>
      <c r="P850" s="2"/>
      <c r="Q850" s="2">
        <v>22647</v>
      </c>
      <c r="R850" s="2">
        <v>316760</v>
      </c>
      <c r="S850" s="2">
        <v>327714</v>
      </c>
      <c r="T850" s="2">
        <v>280425</v>
      </c>
      <c r="U850" s="2">
        <v>0</v>
      </c>
      <c r="V850" s="2"/>
      <c r="W850" s="2">
        <v>276570</v>
      </c>
      <c r="X850" s="2">
        <v>224528</v>
      </c>
      <c r="Y850" s="2">
        <v>0</v>
      </c>
      <c r="Z850" s="2">
        <v>0</v>
      </c>
      <c r="AA850" s="2">
        <v>0</v>
      </c>
      <c r="AB850" s="2"/>
      <c r="AC850" s="2">
        <v>135066</v>
      </c>
      <c r="AD850" s="2">
        <v>123570</v>
      </c>
      <c r="AE850" s="2">
        <v>100625</v>
      </c>
      <c r="AF850" s="2">
        <v>0</v>
      </c>
      <c r="AG850" s="2">
        <v>0</v>
      </c>
      <c r="AH850" s="2"/>
      <c r="AI850" s="2">
        <v>0</v>
      </c>
      <c r="AJ850" s="2">
        <v>0</v>
      </c>
      <c r="AK850" s="2">
        <v>0</v>
      </c>
      <c r="AL850" s="2">
        <v>0</v>
      </c>
      <c r="AM850" s="2">
        <v>0</v>
      </c>
    </row>
    <row r="851" spans="1:39">
      <c r="A851" s="351">
        <v>99211</v>
      </c>
      <c r="B851" s="344" t="s">
        <v>1549</v>
      </c>
      <c r="C851" s="360">
        <v>3.7671200000000002E-2</v>
      </c>
      <c r="E851" s="2">
        <v>12240506</v>
      </c>
      <c r="F851" s="2">
        <v>16734373</v>
      </c>
      <c r="G851" s="2">
        <v>9448996</v>
      </c>
      <c r="H851" s="2">
        <v>5606303</v>
      </c>
      <c r="I851" s="2">
        <v>0</v>
      </c>
      <c r="J851" s="2"/>
      <c r="K851" s="2">
        <v>6984580</v>
      </c>
      <c r="L851" s="2">
        <v>6434015</v>
      </c>
      <c r="M851" s="2">
        <v>3580949</v>
      </c>
      <c r="N851" s="2">
        <v>0</v>
      </c>
      <c r="O851" s="2">
        <v>0</v>
      </c>
      <c r="P851" s="2"/>
      <c r="Q851" s="2">
        <v>452770</v>
      </c>
      <c r="R851" s="2">
        <v>6332717</v>
      </c>
      <c r="S851" s="2">
        <v>6551700</v>
      </c>
      <c r="T851" s="2">
        <v>5606303</v>
      </c>
      <c r="U851" s="2">
        <v>0</v>
      </c>
      <c r="V851" s="2"/>
      <c r="W851" s="2">
        <v>5529228</v>
      </c>
      <c r="X851" s="2">
        <v>4488787</v>
      </c>
      <c r="Y851" s="2">
        <v>0</v>
      </c>
      <c r="Z851" s="2">
        <v>0</v>
      </c>
      <c r="AA851" s="2">
        <v>0</v>
      </c>
      <c r="AB851" s="2"/>
      <c r="AC851" s="2">
        <v>162507</v>
      </c>
      <c r="AD851" s="2">
        <v>162508</v>
      </c>
      <c r="AE851" s="2">
        <v>0</v>
      </c>
      <c r="AF851" s="2">
        <v>0</v>
      </c>
      <c r="AG851" s="2">
        <v>0</v>
      </c>
      <c r="AH851" s="2"/>
      <c r="AI851" s="2">
        <v>-888579</v>
      </c>
      <c r="AJ851" s="2">
        <v>-683654</v>
      </c>
      <c r="AK851" s="2">
        <v>-683653</v>
      </c>
      <c r="AL851" s="2">
        <v>0</v>
      </c>
      <c r="AM851" s="2">
        <v>-683654</v>
      </c>
    </row>
    <row r="852" spans="1:39">
      <c r="A852" s="351">
        <v>99212</v>
      </c>
      <c r="B852" s="344" t="s">
        <v>3706</v>
      </c>
      <c r="C852" s="360">
        <v>8.7200000000000005E-5</v>
      </c>
      <c r="E852" s="2">
        <v>31300</v>
      </c>
      <c r="F852" s="2">
        <v>41170</v>
      </c>
      <c r="G852" s="2">
        <v>26986</v>
      </c>
      <c r="H852" s="2">
        <v>12977</v>
      </c>
      <c r="I852" s="2">
        <v>0</v>
      </c>
      <c r="J852" s="2"/>
      <c r="K852" s="2">
        <v>16168</v>
      </c>
      <c r="L852" s="2">
        <v>14893</v>
      </c>
      <c r="M852" s="2">
        <v>8289</v>
      </c>
      <c r="N852" s="2">
        <v>0</v>
      </c>
      <c r="O852" s="2">
        <v>0</v>
      </c>
      <c r="P852" s="2"/>
      <c r="Q852" s="2">
        <v>1048</v>
      </c>
      <c r="R852" s="2">
        <v>14659</v>
      </c>
      <c r="S852" s="2">
        <v>15166</v>
      </c>
      <c r="T852" s="2">
        <v>12977</v>
      </c>
      <c r="U852" s="2">
        <v>0</v>
      </c>
      <c r="V852" s="2"/>
      <c r="W852" s="2">
        <v>12799</v>
      </c>
      <c r="X852" s="2">
        <v>10390</v>
      </c>
      <c r="Y852" s="2">
        <v>0</v>
      </c>
      <c r="Z852" s="2">
        <v>0</v>
      </c>
      <c r="AA852" s="2">
        <v>0</v>
      </c>
      <c r="AB852" s="2"/>
      <c r="AC852" s="2">
        <v>4742</v>
      </c>
      <c r="AD852" s="2">
        <v>4683</v>
      </c>
      <c r="AE852" s="2">
        <v>4683</v>
      </c>
      <c r="AF852" s="2">
        <v>0</v>
      </c>
      <c r="AG852" s="2">
        <v>0</v>
      </c>
      <c r="AH852" s="2"/>
      <c r="AI852" s="2">
        <v>-3457</v>
      </c>
      <c r="AJ852" s="2">
        <v>-3455</v>
      </c>
      <c r="AK852" s="2">
        <v>-1152</v>
      </c>
      <c r="AL852" s="2">
        <v>0</v>
      </c>
      <c r="AM852" s="2">
        <v>-3455</v>
      </c>
    </row>
    <row r="853" spans="1:39">
      <c r="A853" s="351">
        <v>99213</v>
      </c>
      <c r="B853" s="344" t="s">
        <v>1551</v>
      </c>
      <c r="C853" s="360">
        <v>6.6209999999999999E-4</v>
      </c>
      <c r="E853" s="2">
        <v>211264</v>
      </c>
      <c r="F853" s="2">
        <v>294231</v>
      </c>
      <c r="G853" s="2">
        <v>165381</v>
      </c>
      <c r="H853" s="2">
        <v>98535</v>
      </c>
      <c r="I853" s="2">
        <v>0</v>
      </c>
      <c r="J853" s="2"/>
      <c r="K853" s="2">
        <v>122759</v>
      </c>
      <c r="L853" s="2">
        <v>113083</v>
      </c>
      <c r="M853" s="2">
        <v>62938</v>
      </c>
      <c r="N853" s="2">
        <v>0</v>
      </c>
      <c r="O853" s="2">
        <v>0</v>
      </c>
      <c r="P853" s="2"/>
      <c r="Q853" s="2">
        <v>7958</v>
      </c>
      <c r="R853" s="2">
        <v>111302</v>
      </c>
      <c r="S853" s="2">
        <v>115151</v>
      </c>
      <c r="T853" s="2">
        <v>98535</v>
      </c>
      <c r="U853" s="2">
        <v>0</v>
      </c>
      <c r="V853" s="2"/>
      <c r="W853" s="2">
        <v>97180</v>
      </c>
      <c r="X853" s="2">
        <v>78894</v>
      </c>
      <c r="Y853" s="2">
        <v>0</v>
      </c>
      <c r="Z853" s="2">
        <v>0</v>
      </c>
      <c r="AA853" s="2">
        <v>0</v>
      </c>
      <c r="AB853" s="2"/>
      <c r="AC853" s="2">
        <v>7333</v>
      </c>
      <c r="AD853" s="2">
        <v>7335</v>
      </c>
      <c r="AE853" s="2">
        <v>3677</v>
      </c>
      <c r="AF853" s="2">
        <v>0</v>
      </c>
      <c r="AG853" s="2">
        <v>0</v>
      </c>
      <c r="AH853" s="2"/>
      <c r="AI853" s="2">
        <v>-23966</v>
      </c>
      <c r="AJ853" s="2">
        <v>-16383</v>
      </c>
      <c r="AK853" s="2">
        <v>-16385</v>
      </c>
      <c r="AL853" s="2">
        <v>0</v>
      </c>
      <c r="AM853" s="2">
        <v>-16383</v>
      </c>
    </row>
    <row r="854" spans="1:39">
      <c r="A854" s="351">
        <v>99218</v>
      </c>
      <c r="B854" s="344" t="s">
        <v>1552</v>
      </c>
      <c r="C854" s="360">
        <v>3.7810000000000001E-3</v>
      </c>
      <c r="E854" s="2">
        <v>1569919</v>
      </c>
      <c r="F854" s="2">
        <v>1989015</v>
      </c>
      <c r="G854" s="2">
        <v>1227056</v>
      </c>
      <c r="H854" s="2">
        <v>562696</v>
      </c>
      <c r="I854" s="2">
        <v>0</v>
      </c>
      <c r="J854" s="2"/>
      <c r="K854" s="2">
        <v>701031</v>
      </c>
      <c r="L854" s="2">
        <v>645772</v>
      </c>
      <c r="M854" s="2">
        <v>359414</v>
      </c>
      <c r="N854" s="2">
        <v>0</v>
      </c>
      <c r="O854" s="2">
        <v>0</v>
      </c>
      <c r="P854" s="2"/>
      <c r="Q854" s="2">
        <v>45444</v>
      </c>
      <c r="R854" s="2">
        <v>635605</v>
      </c>
      <c r="S854" s="2">
        <v>657584</v>
      </c>
      <c r="T854" s="2">
        <v>562696</v>
      </c>
      <c r="U854" s="2">
        <v>0</v>
      </c>
      <c r="V854" s="2"/>
      <c r="W854" s="2">
        <v>554960</v>
      </c>
      <c r="X854" s="2">
        <v>450533</v>
      </c>
      <c r="Y854" s="2">
        <v>0</v>
      </c>
      <c r="Z854" s="2">
        <v>0</v>
      </c>
      <c r="AA854" s="2">
        <v>0</v>
      </c>
      <c r="AB854" s="2"/>
      <c r="AC854" s="2">
        <v>268484</v>
      </c>
      <c r="AD854" s="2">
        <v>257105</v>
      </c>
      <c r="AE854" s="2">
        <v>210058</v>
      </c>
      <c r="AF854" s="2">
        <v>0</v>
      </c>
      <c r="AG854" s="2">
        <v>0</v>
      </c>
      <c r="AH854" s="2"/>
      <c r="AI854" s="2">
        <v>0</v>
      </c>
      <c r="AJ854" s="2">
        <v>0</v>
      </c>
      <c r="AK854" s="2">
        <v>0</v>
      </c>
      <c r="AL854" s="2">
        <v>0</v>
      </c>
      <c r="AM854" s="2">
        <v>0</v>
      </c>
    </row>
    <row r="855" spans="1:39">
      <c r="A855" s="351">
        <v>99221</v>
      </c>
      <c r="B855" s="344" t="s">
        <v>1553</v>
      </c>
      <c r="C855" s="360">
        <v>1.2297799999999999E-2</v>
      </c>
      <c r="E855" s="2">
        <v>4013223</v>
      </c>
      <c r="F855" s="2">
        <v>5464571</v>
      </c>
      <c r="G855" s="2">
        <v>3179836</v>
      </c>
      <c r="H855" s="2">
        <v>1830183</v>
      </c>
      <c r="I855" s="2">
        <v>0</v>
      </c>
      <c r="J855" s="2"/>
      <c r="K855" s="2">
        <v>2280123</v>
      </c>
      <c r="L855" s="2">
        <v>2100390</v>
      </c>
      <c r="M855" s="2">
        <v>1169004</v>
      </c>
      <c r="N855" s="2">
        <v>0</v>
      </c>
      <c r="O855" s="2">
        <v>0</v>
      </c>
      <c r="P855" s="2"/>
      <c r="Q855" s="2">
        <v>147807</v>
      </c>
      <c r="R855" s="2">
        <v>2067322</v>
      </c>
      <c r="S855" s="2">
        <v>2138809</v>
      </c>
      <c r="T855" s="2">
        <v>1830183</v>
      </c>
      <c r="U855" s="2">
        <v>0</v>
      </c>
      <c r="V855" s="2"/>
      <c r="W855" s="2">
        <v>1805022</v>
      </c>
      <c r="X855" s="2">
        <v>1465369</v>
      </c>
      <c r="Y855" s="2">
        <v>0</v>
      </c>
      <c r="Z855" s="2">
        <v>0</v>
      </c>
      <c r="AA855" s="2">
        <v>0</v>
      </c>
      <c r="AB855" s="2"/>
      <c r="AC855" s="2">
        <v>0</v>
      </c>
      <c r="AD855" s="2">
        <v>0</v>
      </c>
      <c r="AE855" s="2">
        <v>0</v>
      </c>
      <c r="AF855" s="2">
        <v>0</v>
      </c>
      <c r="AG855" s="2">
        <v>0</v>
      </c>
      <c r="AH855" s="2"/>
      <c r="AI855" s="2">
        <v>-219729</v>
      </c>
      <c r="AJ855" s="2">
        <v>-168510</v>
      </c>
      <c r="AK855" s="2">
        <v>-127977</v>
      </c>
      <c r="AL855" s="2">
        <v>0</v>
      </c>
      <c r="AM855" s="2">
        <v>-168510</v>
      </c>
    </row>
    <row r="856" spans="1:39">
      <c r="A856" s="351">
        <v>99222</v>
      </c>
      <c r="B856" s="344" t="s">
        <v>1554</v>
      </c>
      <c r="C856" s="360">
        <v>3.3200000000000001E-5</v>
      </c>
      <c r="E856" s="2">
        <v>8458</v>
      </c>
      <c r="F856" s="2">
        <v>12905</v>
      </c>
      <c r="G856" s="2">
        <v>7297</v>
      </c>
      <c r="H856" s="2">
        <v>4941</v>
      </c>
      <c r="I856" s="2">
        <v>0</v>
      </c>
      <c r="J856" s="2"/>
      <c r="K856" s="2">
        <v>6156</v>
      </c>
      <c r="L856" s="2">
        <v>5670</v>
      </c>
      <c r="M856" s="2">
        <v>3156</v>
      </c>
      <c r="N856" s="2">
        <v>0</v>
      </c>
      <c r="O856" s="2">
        <v>0</v>
      </c>
      <c r="P856" s="2"/>
      <c r="Q856" s="2">
        <v>399</v>
      </c>
      <c r="R856" s="2">
        <v>5581</v>
      </c>
      <c r="S856" s="2">
        <v>5774</v>
      </c>
      <c r="T856" s="2">
        <v>4941</v>
      </c>
      <c r="U856" s="2">
        <v>0</v>
      </c>
      <c r="V856" s="2"/>
      <c r="W856" s="2">
        <v>4873</v>
      </c>
      <c r="X856" s="2">
        <v>3956</v>
      </c>
      <c r="Y856" s="2">
        <v>0</v>
      </c>
      <c r="Z856" s="2">
        <v>0</v>
      </c>
      <c r="AA856" s="2">
        <v>0</v>
      </c>
      <c r="AB856" s="2"/>
      <c r="AC856" s="2">
        <v>0</v>
      </c>
      <c r="AD856" s="2">
        <v>0</v>
      </c>
      <c r="AE856" s="2">
        <v>0</v>
      </c>
      <c r="AF856" s="2">
        <v>0</v>
      </c>
      <c r="AG856" s="2">
        <v>0</v>
      </c>
      <c r="AH856" s="2"/>
      <c r="AI856" s="2">
        <v>-2970</v>
      </c>
      <c r="AJ856" s="2">
        <v>-2302</v>
      </c>
      <c r="AK856" s="2">
        <v>-1633</v>
      </c>
      <c r="AL856" s="2">
        <v>0</v>
      </c>
      <c r="AM856" s="2">
        <v>-2302</v>
      </c>
    </row>
    <row r="857" spans="1:39">
      <c r="A857" s="351">
        <v>99231</v>
      </c>
      <c r="B857" s="344" t="s">
        <v>1555</v>
      </c>
      <c r="C857" s="360">
        <v>4.0339999999999999E-4</v>
      </c>
      <c r="E857" s="2">
        <v>151944</v>
      </c>
      <c r="F857" s="2">
        <v>201786</v>
      </c>
      <c r="G857" s="2">
        <v>128450</v>
      </c>
      <c r="H857" s="2">
        <v>60035</v>
      </c>
      <c r="I857" s="2">
        <v>0</v>
      </c>
      <c r="J857" s="2"/>
      <c r="K857" s="2">
        <v>74794</v>
      </c>
      <c r="L857" s="2">
        <v>68898</v>
      </c>
      <c r="M857" s="2">
        <v>38346</v>
      </c>
      <c r="N857" s="2">
        <v>0</v>
      </c>
      <c r="O857" s="2">
        <v>0</v>
      </c>
      <c r="P857" s="2"/>
      <c r="Q857" s="2">
        <v>4848</v>
      </c>
      <c r="R857" s="2">
        <v>67814</v>
      </c>
      <c r="S857" s="2">
        <v>70159</v>
      </c>
      <c r="T857" s="2">
        <v>60035</v>
      </c>
      <c r="U857" s="2">
        <v>0</v>
      </c>
      <c r="V857" s="2"/>
      <c r="W857" s="2">
        <v>59209</v>
      </c>
      <c r="X857" s="2">
        <v>48068</v>
      </c>
      <c r="Y857" s="2">
        <v>0</v>
      </c>
      <c r="Z857" s="2">
        <v>0</v>
      </c>
      <c r="AA857" s="2">
        <v>0</v>
      </c>
      <c r="AB857" s="2"/>
      <c r="AC857" s="2">
        <v>22047</v>
      </c>
      <c r="AD857" s="2">
        <v>22047</v>
      </c>
      <c r="AE857" s="2">
        <v>22045</v>
      </c>
      <c r="AF857" s="2">
        <v>0</v>
      </c>
      <c r="AG857" s="2">
        <v>0</v>
      </c>
      <c r="AH857" s="2"/>
      <c r="AI857" s="2">
        <v>-8954</v>
      </c>
      <c r="AJ857" s="2">
        <v>-5041</v>
      </c>
      <c r="AK857" s="2">
        <v>-2100</v>
      </c>
      <c r="AL857" s="2">
        <v>0</v>
      </c>
      <c r="AM857" s="2">
        <v>-5041</v>
      </c>
    </row>
    <row r="858" spans="1:39">
      <c r="A858" s="351">
        <v>99241</v>
      </c>
      <c r="B858" s="344" t="s">
        <v>1556</v>
      </c>
      <c r="C858" s="360">
        <v>5.8560000000000003E-4</v>
      </c>
      <c r="E858" s="2">
        <v>194291</v>
      </c>
      <c r="F858" s="2">
        <v>267745</v>
      </c>
      <c r="G858" s="2">
        <v>160156</v>
      </c>
      <c r="H858" s="2">
        <v>87150</v>
      </c>
      <c r="I858" s="2">
        <v>0</v>
      </c>
      <c r="J858" s="2"/>
      <c r="K858" s="2">
        <v>108576</v>
      </c>
      <c r="L858" s="2">
        <v>100017</v>
      </c>
      <c r="M858" s="2">
        <v>55666</v>
      </c>
      <c r="N858" s="2">
        <v>0</v>
      </c>
      <c r="O858" s="2">
        <v>0</v>
      </c>
      <c r="P858" s="2"/>
      <c r="Q858" s="2">
        <v>7038</v>
      </c>
      <c r="R858" s="2">
        <v>98442</v>
      </c>
      <c r="S858" s="2">
        <v>101846</v>
      </c>
      <c r="T858" s="2">
        <v>87150</v>
      </c>
      <c r="U858" s="2">
        <v>0</v>
      </c>
      <c r="V858" s="2"/>
      <c r="W858" s="2">
        <v>85952</v>
      </c>
      <c r="X858" s="2">
        <v>69778</v>
      </c>
      <c r="Y858" s="2">
        <v>0</v>
      </c>
      <c r="Z858" s="2">
        <v>0</v>
      </c>
      <c r="AA858" s="2">
        <v>0</v>
      </c>
      <c r="AB858" s="2"/>
      <c r="AC858" s="2">
        <v>3938</v>
      </c>
      <c r="AD858" s="2">
        <v>3938</v>
      </c>
      <c r="AE858" s="2">
        <v>3938</v>
      </c>
      <c r="AF858" s="2">
        <v>0</v>
      </c>
      <c r="AG858" s="2">
        <v>0</v>
      </c>
      <c r="AH858" s="2"/>
      <c r="AI858" s="2">
        <v>-11213</v>
      </c>
      <c r="AJ858" s="2">
        <v>-4430</v>
      </c>
      <c r="AK858" s="2">
        <v>-1294</v>
      </c>
      <c r="AL858" s="2">
        <v>0</v>
      </c>
      <c r="AM858" s="2">
        <v>-4430</v>
      </c>
    </row>
    <row r="859" spans="1:39">
      <c r="A859" s="351">
        <v>99251</v>
      </c>
      <c r="B859" s="344" t="s">
        <v>1557</v>
      </c>
      <c r="C859" s="360">
        <v>1.6408E-3</v>
      </c>
      <c r="E859" s="2">
        <v>559225</v>
      </c>
      <c r="F859" s="2">
        <v>752069</v>
      </c>
      <c r="G859" s="2">
        <v>445745</v>
      </c>
      <c r="H859" s="2">
        <v>244187</v>
      </c>
      <c r="I859" s="2">
        <v>0</v>
      </c>
      <c r="J859" s="2"/>
      <c r="K859" s="2">
        <v>304219</v>
      </c>
      <c r="L859" s="2">
        <v>280239</v>
      </c>
      <c r="M859" s="2">
        <v>155971</v>
      </c>
      <c r="N859" s="2">
        <v>0</v>
      </c>
      <c r="O859" s="2">
        <v>0</v>
      </c>
      <c r="P859" s="2"/>
      <c r="Q859" s="2">
        <v>19721</v>
      </c>
      <c r="R859" s="2">
        <v>275827</v>
      </c>
      <c r="S859" s="2">
        <v>285365</v>
      </c>
      <c r="T859" s="2">
        <v>244187</v>
      </c>
      <c r="U859" s="2">
        <v>0</v>
      </c>
      <c r="V859" s="2"/>
      <c r="W859" s="2">
        <v>240830</v>
      </c>
      <c r="X859" s="2">
        <v>195513</v>
      </c>
      <c r="Y859" s="2">
        <v>0</v>
      </c>
      <c r="Z859" s="2">
        <v>0</v>
      </c>
      <c r="AA859" s="2">
        <v>0</v>
      </c>
      <c r="AB859" s="2"/>
      <c r="AC859" s="2">
        <v>4411</v>
      </c>
      <c r="AD859" s="2">
        <v>4411</v>
      </c>
      <c r="AE859" s="2">
        <v>4409</v>
      </c>
      <c r="AF859" s="2">
        <v>0</v>
      </c>
      <c r="AG859" s="2">
        <v>0</v>
      </c>
      <c r="AH859" s="2"/>
      <c r="AI859" s="2">
        <v>-9956</v>
      </c>
      <c r="AJ859" s="2">
        <v>-3921</v>
      </c>
      <c r="AK859" s="2">
        <v>0</v>
      </c>
      <c r="AL859" s="2">
        <v>0</v>
      </c>
      <c r="AM859" s="2">
        <v>-3921</v>
      </c>
    </row>
    <row r="860" spans="1:39">
      <c r="A860" s="351">
        <v>99252</v>
      </c>
      <c r="B860" s="344" t="s">
        <v>3707</v>
      </c>
      <c r="C860" s="360">
        <v>6.4139999999999998E-4</v>
      </c>
      <c r="E860" s="2">
        <v>152344</v>
      </c>
      <c r="F860" s="2">
        <v>234139</v>
      </c>
      <c r="G860" s="2">
        <v>120478</v>
      </c>
      <c r="H860" s="2">
        <v>95454</v>
      </c>
      <c r="I860" s="2">
        <v>0</v>
      </c>
      <c r="J860" s="2"/>
      <c r="K860" s="2">
        <v>118921</v>
      </c>
      <c r="L860" s="2">
        <v>109547</v>
      </c>
      <c r="M860" s="2">
        <v>60970</v>
      </c>
      <c r="N860" s="2">
        <v>0</v>
      </c>
      <c r="O860" s="2">
        <v>0</v>
      </c>
      <c r="P860" s="2"/>
      <c r="Q860" s="2">
        <v>7709</v>
      </c>
      <c r="R860" s="2">
        <v>107823</v>
      </c>
      <c r="S860" s="2">
        <v>111551</v>
      </c>
      <c r="T860" s="2">
        <v>95454</v>
      </c>
      <c r="U860" s="2">
        <v>0</v>
      </c>
      <c r="V860" s="2"/>
      <c r="W860" s="2">
        <v>94142</v>
      </c>
      <c r="X860" s="2">
        <v>76427</v>
      </c>
      <c r="Y860" s="2">
        <v>0</v>
      </c>
      <c r="Z860" s="2">
        <v>0</v>
      </c>
      <c r="AA860" s="2">
        <v>0</v>
      </c>
      <c r="AB860" s="2"/>
      <c r="AC860" s="2">
        <v>0</v>
      </c>
      <c r="AD860" s="2">
        <v>0</v>
      </c>
      <c r="AE860" s="2">
        <v>0</v>
      </c>
      <c r="AF860" s="2">
        <v>0</v>
      </c>
      <c r="AG860" s="2">
        <v>0</v>
      </c>
      <c r="AH860" s="2"/>
      <c r="AI860" s="2">
        <v>-68428</v>
      </c>
      <c r="AJ860" s="2">
        <v>-59658</v>
      </c>
      <c r="AK860" s="2">
        <v>-52043</v>
      </c>
      <c r="AL860" s="2">
        <v>0</v>
      </c>
      <c r="AM860" s="2">
        <v>-59658</v>
      </c>
    </row>
    <row r="861" spans="1:39">
      <c r="A861" s="351">
        <v>99261</v>
      </c>
      <c r="B861" s="344" t="s">
        <v>1559</v>
      </c>
      <c r="C861" s="360">
        <v>2.3002999999999999E-3</v>
      </c>
      <c r="E861" s="2">
        <v>762018</v>
      </c>
      <c r="F861" s="2">
        <v>1031919</v>
      </c>
      <c r="G861" s="2">
        <v>602654</v>
      </c>
      <c r="H861" s="2">
        <v>342335</v>
      </c>
      <c r="I861" s="2">
        <v>0</v>
      </c>
      <c r="J861" s="2"/>
      <c r="K861" s="2">
        <v>426496</v>
      </c>
      <c r="L861" s="2">
        <v>392877</v>
      </c>
      <c r="M861" s="2">
        <v>218662</v>
      </c>
      <c r="N861" s="2">
        <v>0</v>
      </c>
      <c r="O861" s="2">
        <v>0</v>
      </c>
      <c r="P861" s="2"/>
      <c r="Q861" s="2">
        <v>27647</v>
      </c>
      <c r="R861" s="2">
        <v>386692</v>
      </c>
      <c r="S861" s="2">
        <v>400064</v>
      </c>
      <c r="T861" s="2">
        <v>342335</v>
      </c>
      <c r="U861" s="2">
        <v>0</v>
      </c>
      <c r="V861" s="2"/>
      <c r="W861" s="2">
        <v>337629</v>
      </c>
      <c r="X861" s="2">
        <v>274097</v>
      </c>
      <c r="Y861" s="2">
        <v>0</v>
      </c>
      <c r="Z861" s="2">
        <v>0</v>
      </c>
      <c r="AA861" s="2">
        <v>0</v>
      </c>
      <c r="AB861" s="2"/>
      <c r="AC861" s="2">
        <v>470</v>
      </c>
      <c r="AD861" s="2">
        <v>470</v>
      </c>
      <c r="AE861" s="2">
        <v>472</v>
      </c>
      <c r="AF861" s="2">
        <v>0</v>
      </c>
      <c r="AG861" s="2">
        <v>0</v>
      </c>
      <c r="AH861" s="2"/>
      <c r="AI861" s="2">
        <v>-30224</v>
      </c>
      <c r="AJ861" s="2">
        <v>-22217</v>
      </c>
      <c r="AK861" s="2">
        <v>-16544</v>
      </c>
      <c r="AL861" s="2">
        <v>0</v>
      </c>
      <c r="AM861" s="2">
        <v>-22217</v>
      </c>
    </row>
    <row r="862" spans="1:39">
      <c r="A862" s="351">
        <v>99271</v>
      </c>
      <c r="B862" s="344" t="s">
        <v>1560</v>
      </c>
      <c r="C862" s="360">
        <v>4.6093000000000002E-3</v>
      </c>
      <c r="E862" s="2">
        <v>1691338</v>
      </c>
      <c r="F862" s="2">
        <v>2219403</v>
      </c>
      <c r="G862" s="2">
        <v>1329273</v>
      </c>
      <c r="H862" s="2">
        <v>685965</v>
      </c>
      <c r="I862" s="2">
        <v>0</v>
      </c>
      <c r="J862" s="2"/>
      <c r="K862" s="2">
        <v>854606</v>
      </c>
      <c r="L862" s="2">
        <v>787241</v>
      </c>
      <c r="M862" s="2">
        <v>438151</v>
      </c>
      <c r="N862" s="2">
        <v>0</v>
      </c>
      <c r="O862" s="2">
        <v>0</v>
      </c>
      <c r="P862" s="2"/>
      <c r="Q862" s="2">
        <v>55399</v>
      </c>
      <c r="R862" s="2">
        <v>774846</v>
      </c>
      <c r="S862" s="2">
        <v>801640</v>
      </c>
      <c r="T862" s="2">
        <v>685965</v>
      </c>
      <c r="U862" s="2">
        <v>0</v>
      </c>
      <c r="V862" s="2"/>
      <c r="W862" s="2">
        <v>676535</v>
      </c>
      <c r="X862" s="2">
        <v>549230</v>
      </c>
      <c r="Y862" s="2">
        <v>0</v>
      </c>
      <c r="Z862" s="2">
        <v>0</v>
      </c>
      <c r="AA862" s="2">
        <v>0</v>
      </c>
      <c r="AB862" s="2"/>
      <c r="AC862" s="2">
        <v>129178</v>
      </c>
      <c r="AD862" s="2">
        <v>129179</v>
      </c>
      <c r="AE862" s="2">
        <v>110573</v>
      </c>
      <c r="AF862" s="2">
        <v>0</v>
      </c>
      <c r="AG862" s="2">
        <v>0</v>
      </c>
      <c r="AH862" s="2"/>
      <c r="AI862" s="2">
        <v>-24380</v>
      </c>
      <c r="AJ862" s="2">
        <v>-21093</v>
      </c>
      <c r="AK862" s="2">
        <v>-21091</v>
      </c>
      <c r="AL862" s="2">
        <v>0</v>
      </c>
      <c r="AM862" s="2">
        <v>-21093</v>
      </c>
    </row>
    <row r="863" spans="1:39">
      <c r="A863" s="351">
        <v>99281</v>
      </c>
      <c r="B863" s="344" t="s">
        <v>1561</v>
      </c>
      <c r="C863" s="360">
        <v>2.6021999999999998E-3</v>
      </c>
      <c r="E863" s="2">
        <v>918342</v>
      </c>
      <c r="F863" s="2">
        <v>1226495</v>
      </c>
      <c r="G863" s="2">
        <v>729706</v>
      </c>
      <c r="H863" s="2">
        <v>387265</v>
      </c>
      <c r="I863" s="2">
        <v>0</v>
      </c>
      <c r="J863" s="2"/>
      <c r="K863" s="2">
        <v>482471</v>
      </c>
      <c r="L863" s="2">
        <v>444440</v>
      </c>
      <c r="M863" s="2">
        <v>247360</v>
      </c>
      <c r="N863" s="2">
        <v>0</v>
      </c>
      <c r="O863" s="2">
        <v>0</v>
      </c>
      <c r="P863" s="2"/>
      <c r="Q863" s="2">
        <v>31276</v>
      </c>
      <c r="R863" s="2">
        <v>437443</v>
      </c>
      <c r="S863" s="2">
        <v>452569</v>
      </c>
      <c r="T863" s="2">
        <v>387265</v>
      </c>
      <c r="U863" s="2">
        <v>0</v>
      </c>
      <c r="V863" s="2"/>
      <c r="W863" s="2">
        <v>381941</v>
      </c>
      <c r="X863" s="2">
        <v>310070</v>
      </c>
      <c r="Y863" s="2">
        <v>0</v>
      </c>
      <c r="Z863" s="2">
        <v>0</v>
      </c>
      <c r="AA863" s="2">
        <v>0</v>
      </c>
      <c r="AB863" s="2"/>
      <c r="AC863" s="2">
        <v>34553</v>
      </c>
      <c r="AD863" s="2">
        <v>34553</v>
      </c>
      <c r="AE863" s="2">
        <v>29790</v>
      </c>
      <c r="AF863" s="2">
        <v>0</v>
      </c>
      <c r="AG863" s="2">
        <v>0</v>
      </c>
      <c r="AH863" s="2"/>
      <c r="AI863" s="2">
        <v>-11899</v>
      </c>
      <c r="AJ863" s="2">
        <v>-11</v>
      </c>
      <c r="AK863" s="2">
        <v>-13</v>
      </c>
      <c r="AL863" s="2">
        <v>0</v>
      </c>
      <c r="AM863" s="2">
        <v>-11</v>
      </c>
    </row>
    <row r="864" spans="1:39">
      <c r="A864" s="351">
        <v>99291</v>
      </c>
      <c r="B864" s="344" t="s">
        <v>1562</v>
      </c>
      <c r="C864" s="360">
        <v>8.4670000000000004E-4</v>
      </c>
      <c r="E864" s="2">
        <v>256133</v>
      </c>
      <c r="F864" s="2">
        <v>366405</v>
      </c>
      <c r="G864" s="2">
        <v>203169</v>
      </c>
      <c r="H864" s="2">
        <v>126008</v>
      </c>
      <c r="I864" s="2">
        <v>0</v>
      </c>
      <c r="J864" s="2"/>
      <c r="K864" s="2">
        <v>156986</v>
      </c>
      <c r="L864" s="2">
        <v>144611</v>
      </c>
      <c r="M864" s="2">
        <v>80486</v>
      </c>
      <c r="N864" s="2">
        <v>0</v>
      </c>
      <c r="O864" s="2">
        <v>0</v>
      </c>
      <c r="P864" s="2"/>
      <c r="Q864" s="2">
        <v>10176</v>
      </c>
      <c r="R864" s="2">
        <v>142335</v>
      </c>
      <c r="S864" s="2">
        <v>147256</v>
      </c>
      <c r="T864" s="2">
        <v>126008</v>
      </c>
      <c r="U864" s="2">
        <v>0</v>
      </c>
      <c r="V864" s="2"/>
      <c r="W864" s="2">
        <v>124275</v>
      </c>
      <c r="X864" s="2">
        <v>100890</v>
      </c>
      <c r="Y864" s="2">
        <v>0</v>
      </c>
      <c r="Z864" s="2">
        <v>0</v>
      </c>
      <c r="AA864" s="2">
        <v>0</v>
      </c>
      <c r="AB864" s="2"/>
      <c r="AC864" s="2">
        <v>3140</v>
      </c>
      <c r="AD864" s="2">
        <v>3142</v>
      </c>
      <c r="AE864" s="2">
        <v>0</v>
      </c>
      <c r="AF864" s="2">
        <v>0</v>
      </c>
      <c r="AG864" s="2">
        <v>0</v>
      </c>
      <c r="AH864" s="2"/>
      <c r="AI864" s="2">
        <v>-38444</v>
      </c>
      <c r="AJ864" s="2">
        <v>-24573</v>
      </c>
      <c r="AK864" s="2">
        <v>-24573</v>
      </c>
      <c r="AL864" s="2">
        <v>0</v>
      </c>
      <c r="AM864" s="2">
        <v>-24573</v>
      </c>
    </row>
    <row r="865" spans="1:39">
      <c r="A865" s="351">
        <v>99301</v>
      </c>
      <c r="B865" s="344" t="s">
        <v>1563</v>
      </c>
      <c r="C865" s="360">
        <v>1.5418000000000001E-3</v>
      </c>
      <c r="E865" s="2">
        <v>448601</v>
      </c>
      <c r="F865" s="2">
        <v>640226</v>
      </c>
      <c r="G865" s="2">
        <v>364089</v>
      </c>
      <c r="H865" s="2">
        <v>229454</v>
      </c>
      <c r="I865" s="2">
        <v>0</v>
      </c>
      <c r="J865" s="2"/>
      <c r="K865" s="2">
        <v>285864</v>
      </c>
      <c r="L865" s="2">
        <v>263330</v>
      </c>
      <c r="M865" s="2">
        <v>146560</v>
      </c>
      <c r="N865" s="2">
        <v>0</v>
      </c>
      <c r="O865" s="2">
        <v>0</v>
      </c>
      <c r="P865" s="2"/>
      <c r="Q865" s="2">
        <v>18531</v>
      </c>
      <c r="R865" s="2">
        <v>259184</v>
      </c>
      <c r="S865" s="2">
        <v>268147</v>
      </c>
      <c r="T865" s="2">
        <v>229454</v>
      </c>
      <c r="U865" s="2">
        <v>0</v>
      </c>
      <c r="V865" s="2"/>
      <c r="W865" s="2">
        <v>226299</v>
      </c>
      <c r="X865" s="2">
        <v>183716</v>
      </c>
      <c r="Y865" s="2">
        <v>0</v>
      </c>
      <c r="Z865" s="2">
        <v>0</v>
      </c>
      <c r="AA865" s="2">
        <v>0</v>
      </c>
      <c r="AB865" s="2"/>
      <c r="AC865" s="2">
        <v>0</v>
      </c>
      <c r="AD865" s="2">
        <v>0</v>
      </c>
      <c r="AE865" s="2">
        <v>0</v>
      </c>
      <c r="AF865" s="2">
        <v>0</v>
      </c>
      <c r="AG865" s="2">
        <v>0</v>
      </c>
      <c r="AH865" s="2"/>
      <c r="AI865" s="2">
        <v>-82093</v>
      </c>
      <c r="AJ865" s="2">
        <v>-66004</v>
      </c>
      <c r="AK865" s="2">
        <v>-50618</v>
      </c>
      <c r="AL865" s="2">
        <v>0</v>
      </c>
      <c r="AM865" s="2">
        <v>-66004</v>
      </c>
    </row>
    <row r="866" spans="1:39">
      <c r="A866" s="351">
        <v>99304</v>
      </c>
      <c r="B866" s="344" t="s">
        <v>1564</v>
      </c>
      <c r="C866" s="360">
        <v>6.8000000000000001E-6</v>
      </c>
      <c r="E866" s="2">
        <v>5361</v>
      </c>
      <c r="F866" s="2">
        <v>5587</v>
      </c>
      <c r="G866" s="2">
        <v>3612</v>
      </c>
      <c r="H866" s="2">
        <v>1012</v>
      </c>
      <c r="I866" s="2">
        <v>0</v>
      </c>
      <c r="J866" s="2"/>
      <c r="K866" s="2">
        <v>1261</v>
      </c>
      <c r="L866" s="2">
        <v>1161</v>
      </c>
      <c r="M866" s="2">
        <v>646</v>
      </c>
      <c r="N866" s="2">
        <v>0</v>
      </c>
      <c r="O866" s="2">
        <v>0</v>
      </c>
      <c r="P866" s="2"/>
      <c r="Q866" s="2">
        <v>82</v>
      </c>
      <c r="R866" s="2">
        <v>1143</v>
      </c>
      <c r="S866" s="2">
        <v>1183</v>
      </c>
      <c r="T866" s="2">
        <v>1012</v>
      </c>
      <c r="U866" s="2">
        <v>0</v>
      </c>
      <c r="V866" s="2"/>
      <c r="W866" s="2">
        <v>998</v>
      </c>
      <c r="X866" s="2">
        <v>810</v>
      </c>
      <c r="Y866" s="2">
        <v>0</v>
      </c>
      <c r="Z866" s="2">
        <v>0</v>
      </c>
      <c r="AA866" s="2">
        <v>0</v>
      </c>
      <c r="AB866" s="2"/>
      <c r="AC866" s="2">
        <v>3020</v>
      </c>
      <c r="AD866" s="2">
        <v>2473</v>
      </c>
      <c r="AE866" s="2">
        <v>1783</v>
      </c>
      <c r="AF866" s="2">
        <v>0</v>
      </c>
      <c r="AG866" s="2">
        <v>0</v>
      </c>
      <c r="AH866" s="2"/>
      <c r="AI866" s="2">
        <v>0</v>
      </c>
      <c r="AJ866" s="2">
        <v>0</v>
      </c>
      <c r="AK866" s="2">
        <v>0</v>
      </c>
      <c r="AL866" s="2">
        <v>0</v>
      </c>
      <c r="AM866" s="2">
        <v>0</v>
      </c>
    </row>
    <row r="867" spans="1:39">
      <c r="A867" s="351">
        <v>99311</v>
      </c>
      <c r="B867" s="344" t="s">
        <v>1565</v>
      </c>
      <c r="C867" s="360">
        <v>5.5099999999999998E-5</v>
      </c>
      <c r="E867" s="2">
        <v>16031</v>
      </c>
      <c r="F867" s="2">
        <v>22773</v>
      </c>
      <c r="G867" s="2">
        <v>11333</v>
      </c>
      <c r="H867" s="2">
        <v>8200</v>
      </c>
      <c r="I867" s="2">
        <v>0</v>
      </c>
      <c r="J867" s="2"/>
      <c r="K867" s="2">
        <v>10216</v>
      </c>
      <c r="L867" s="2">
        <v>9411</v>
      </c>
      <c r="M867" s="2">
        <v>5238</v>
      </c>
      <c r="N867" s="2">
        <v>0</v>
      </c>
      <c r="O867" s="2">
        <v>0</v>
      </c>
      <c r="P867" s="2"/>
      <c r="Q867" s="2">
        <v>662</v>
      </c>
      <c r="R867" s="2">
        <v>9263</v>
      </c>
      <c r="S867" s="2">
        <v>9583</v>
      </c>
      <c r="T867" s="2">
        <v>8200</v>
      </c>
      <c r="U867" s="2">
        <v>0</v>
      </c>
      <c r="V867" s="2"/>
      <c r="W867" s="2">
        <v>8087</v>
      </c>
      <c r="X867" s="2">
        <v>6566</v>
      </c>
      <c r="Y867" s="2">
        <v>0</v>
      </c>
      <c r="Z867" s="2">
        <v>0</v>
      </c>
      <c r="AA867" s="2">
        <v>0</v>
      </c>
      <c r="AB867" s="2"/>
      <c r="AC867" s="2">
        <v>1019</v>
      </c>
      <c r="AD867" s="2">
        <v>1021</v>
      </c>
      <c r="AE867" s="2">
        <v>0</v>
      </c>
      <c r="AF867" s="2">
        <v>0</v>
      </c>
      <c r="AG867" s="2">
        <v>0</v>
      </c>
      <c r="AH867" s="2"/>
      <c r="AI867" s="2">
        <v>-3953</v>
      </c>
      <c r="AJ867" s="2">
        <v>-3488</v>
      </c>
      <c r="AK867" s="2">
        <v>-3488</v>
      </c>
      <c r="AL867" s="2">
        <v>0</v>
      </c>
      <c r="AM867" s="2">
        <v>-3488</v>
      </c>
    </row>
    <row r="868" spans="1:39">
      <c r="A868" s="351">
        <v>99321</v>
      </c>
      <c r="B868" s="344" t="s">
        <v>1566</v>
      </c>
      <c r="C868" s="360">
        <v>1.024E-4</v>
      </c>
      <c r="E868" s="2">
        <v>69065</v>
      </c>
      <c r="F868" s="2">
        <v>72648</v>
      </c>
      <c r="G868" s="2">
        <v>46765</v>
      </c>
      <c r="H868" s="2">
        <v>15239</v>
      </c>
      <c r="I868" s="2">
        <v>0</v>
      </c>
      <c r="J868" s="2"/>
      <c r="K868" s="2">
        <v>18986</v>
      </c>
      <c r="L868" s="2">
        <v>17489</v>
      </c>
      <c r="M868" s="2">
        <v>9734</v>
      </c>
      <c r="N868" s="2">
        <v>0</v>
      </c>
      <c r="O868" s="2">
        <v>0</v>
      </c>
      <c r="P868" s="2"/>
      <c r="Q868" s="2">
        <v>1231</v>
      </c>
      <c r="R868" s="2">
        <v>17214</v>
      </c>
      <c r="S868" s="2">
        <v>17809</v>
      </c>
      <c r="T868" s="2">
        <v>15239</v>
      </c>
      <c r="U868" s="2">
        <v>0</v>
      </c>
      <c r="V868" s="2"/>
      <c r="W868" s="2">
        <v>15030</v>
      </c>
      <c r="X868" s="2">
        <v>12202</v>
      </c>
      <c r="Y868" s="2">
        <v>0</v>
      </c>
      <c r="Z868" s="2">
        <v>0</v>
      </c>
      <c r="AA868" s="2">
        <v>0</v>
      </c>
      <c r="AB868" s="2"/>
      <c r="AC868" s="2">
        <v>33818</v>
      </c>
      <c r="AD868" s="2">
        <v>25743</v>
      </c>
      <c r="AE868" s="2">
        <v>19222</v>
      </c>
      <c r="AF868" s="2">
        <v>0</v>
      </c>
      <c r="AG868" s="2">
        <v>0</v>
      </c>
      <c r="AH868" s="2"/>
      <c r="AI868" s="2">
        <v>0</v>
      </c>
      <c r="AJ868" s="2">
        <v>0</v>
      </c>
      <c r="AK868" s="2">
        <v>0</v>
      </c>
      <c r="AL868" s="2">
        <v>0</v>
      </c>
      <c r="AM868" s="2">
        <v>0</v>
      </c>
    </row>
    <row r="869" spans="1:39">
      <c r="A869" s="351">
        <v>99401</v>
      </c>
      <c r="B869" s="344" t="s">
        <v>1567</v>
      </c>
      <c r="C869" s="360">
        <v>7.6619999999999998E-4</v>
      </c>
      <c r="E869" s="2">
        <v>239628</v>
      </c>
      <c r="F869" s="2">
        <v>331261</v>
      </c>
      <c r="G869" s="2">
        <v>200953</v>
      </c>
      <c r="H869" s="2">
        <v>114027</v>
      </c>
      <c r="I869" s="2">
        <v>0</v>
      </c>
      <c r="J869" s="2"/>
      <c r="K869" s="2">
        <v>142060</v>
      </c>
      <c r="L869" s="2">
        <v>130862</v>
      </c>
      <c r="M869" s="2">
        <v>72833</v>
      </c>
      <c r="N869" s="2">
        <v>0</v>
      </c>
      <c r="O869" s="2">
        <v>0</v>
      </c>
      <c r="P869" s="2"/>
      <c r="Q869" s="2">
        <v>9209</v>
      </c>
      <c r="R869" s="2">
        <v>128802</v>
      </c>
      <c r="S869" s="2">
        <v>133256</v>
      </c>
      <c r="T869" s="2">
        <v>114027</v>
      </c>
      <c r="U869" s="2">
        <v>0</v>
      </c>
      <c r="V869" s="2"/>
      <c r="W869" s="2">
        <v>112460</v>
      </c>
      <c r="X869" s="2">
        <v>91298</v>
      </c>
      <c r="Y869" s="2">
        <v>0</v>
      </c>
      <c r="Z869" s="2">
        <v>0</v>
      </c>
      <c r="AA869" s="2">
        <v>0</v>
      </c>
      <c r="AB869" s="2"/>
      <c r="AC869" s="2">
        <v>2028</v>
      </c>
      <c r="AD869" s="2">
        <v>2028</v>
      </c>
      <c r="AE869" s="2">
        <v>2027</v>
      </c>
      <c r="AF869" s="2">
        <v>0</v>
      </c>
      <c r="AG869" s="2">
        <v>0</v>
      </c>
      <c r="AH869" s="2"/>
      <c r="AI869" s="2">
        <v>-26129</v>
      </c>
      <c r="AJ869" s="2">
        <v>-21729</v>
      </c>
      <c r="AK869" s="2">
        <v>-7163</v>
      </c>
      <c r="AL869" s="2">
        <v>0</v>
      </c>
      <c r="AM869" s="2">
        <v>-21729</v>
      </c>
    </row>
    <row r="870" spans="1:39">
      <c r="A870" s="351">
        <v>99404</v>
      </c>
      <c r="B870" s="344" t="s">
        <v>1568</v>
      </c>
      <c r="C870" s="360">
        <v>8.1000000000000004E-6</v>
      </c>
      <c r="E870" s="2">
        <v>3730</v>
      </c>
      <c r="F870" s="2">
        <v>4470</v>
      </c>
      <c r="G870" s="2">
        <v>2750</v>
      </c>
      <c r="H870" s="2">
        <v>1205</v>
      </c>
      <c r="I870" s="2">
        <v>0</v>
      </c>
      <c r="J870" s="2"/>
      <c r="K870" s="2">
        <v>1502</v>
      </c>
      <c r="L870" s="2">
        <v>1383</v>
      </c>
      <c r="M870" s="2">
        <v>770</v>
      </c>
      <c r="N870" s="2">
        <v>0</v>
      </c>
      <c r="O870" s="2">
        <v>0</v>
      </c>
      <c r="P870" s="2"/>
      <c r="Q870" s="2">
        <v>97</v>
      </c>
      <c r="R870" s="2">
        <v>1362</v>
      </c>
      <c r="S870" s="2">
        <v>1409</v>
      </c>
      <c r="T870" s="2">
        <v>1205</v>
      </c>
      <c r="U870" s="2">
        <v>0</v>
      </c>
      <c r="V870" s="2"/>
      <c r="W870" s="2">
        <v>1189</v>
      </c>
      <c r="X870" s="2">
        <v>965</v>
      </c>
      <c r="Y870" s="2">
        <v>0</v>
      </c>
      <c r="Z870" s="2">
        <v>0</v>
      </c>
      <c r="AA870" s="2">
        <v>0</v>
      </c>
      <c r="AB870" s="2"/>
      <c r="AC870" s="2">
        <v>942</v>
      </c>
      <c r="AD870" s="2">
        <v>760</v>
      </c>
      <c r="AE870" s="2">
        <v>571</v>
      </c>
      <c r="AF870" s="2">
        <v>0</v>
      </c>
      <c r="AG870" s="2">
        <v>0</v>
      </c>
      <c r="AH870" s="2"/>
      <c r="AI870" s="2">
        <v>0</v>
      </c>
      <c r="AJ870" s="2">
        <v>0</v>
      </c>
      <c r="AK870" s="2">
        <v>0</v>
      </c>
      <c r="AL870" s="2">
        <v>0</v>
      </c>
      <c r="AM870" s="2">
        <v>0</v>
      </c>
    </row>
    <row r="871" spans="1:39">
      <c r="A871" s="351">
        <v>99405</v>
      </c>
      <c r="B871" s="344" t="s">
        <v>1569</v>
      </c>
      <c r="C871" s="360">
        <v>5.91E-5</v>
      </c>
      <c r="E871" s="2">
        <v>29125</v>
      </c>
      <c r="F871" s="2">
        <v>33282</v>
      </c>
      <c r="G871" s="2">
        <v>21543</v>
      </c>
      <c r="H871" s="2">
        <v>8795</v>
      </c>
      <c r="I871" s="2">
        <v>0</v>
      </c>
      <c r="J871" s="2"/>
      <c r="K871" s="2">
        <v>10958</v>
      </c>
      <c r="L871" s="2">
        <v>10094</v>
      </c>
      <c r="M871" s="2">
        <v>5618</v>
      </c>
      <c r="N871" s="2">
        <v>0</v>
      </c>
      <c r="O871" s="2">
        <v>0</v>
      </c>
      <c r="P871" s="2"/>
      <c r="Q871" s="2">
        <v>710</v>
      </c>
      <c r="R871" s="2">
        <v>9935</v>
      </c>
      <c r="S871" s="2">
        <v>10279</v>
      </c>
      <c r="T871" s="2">
        <v>8795</v>
      </c>
      <c r="U871" s="2">
        <v>0</v>
      </c>
      <c r="V871" s="2"/>
      <c r="W871" s="2">
        <v>8674</v>
      </c>
      <c r="X871" s="2">
        <v>7042</v>
      </c>
      <c r="Y871" s="2">
        <v>0</v>
      </c>
      <c r="Z871" s="2">
        <v>0</v>
      </c>
      <c r="AA871" s="2">
        <v>0</v>
      </c>
      <c r="AB871" s="2"/>
      <c r="AC871" s="2">
        <v>8783</v>
      </c>
      <c r="AD871" s="2">
        <v>6211</v>
      </c>
      <c r="AE871" s="2">
        <v>5646</v>
      </c>
      <c r="AF871" s="2">
        <v>0</v>
      </c>
      <c r="AG871" s="2">
        <v>0</v>
      </c>
      <c r="AH871" s="2"/>
      <c r="AI871" s="2">
        <v>0</v>
      </c>
      <c r="AJ871" s="2">
        <v>0</v>
      </c>
      <c r="AK871" s="2">
        <v>0</v>
      </c>
      <c r="AL871" s="2">
        <v>0</v>
      </c>
      <c r="AM871" s="2">
        <v>0</v>
      </c>
    </row>
    <row r="872" spans="1:39">
      <c r="A872" s="351">
        <v>99411</v>
      </c>
      <c r="B872" s="344" t="s">
        <v>1570</v>
      </c>
      <c r="C872" s="360">
        <v>1.6799999999999999E-4</v>
      </c>
      <c r="E872" s="2">
        <v>70092</v>
      </c>
      <c r="F872" s="2">
        <v>83024</v>
      </c>
      <c r="G872" s="2">
        <v>48140</v>
      </c>
      <c r="H872" s="2">
        <v>25002</v>
      </c>
      <c r="I872" s="2">
        <v>0</v>
      </c>
      <c r="J872" s="2"/>
      <c r="K872" s="2">
        <v>31149</v>
      </c>
      <c r="L872" s="2">
        <v>28693</v>
      </c>
      <c r="M872" s="2">
        <v>15970</v>
      </c>
      <c r="N872" s="2">
        <v>0</v>
      </c>
      <c r="O872" s="2">
        <v>0</v>
      </c>
      <c r="P872" s="2"/>
      <c r="Q872" s="2">
        <v>2019</v>
      </c>
      <c r="R872" s="2">
        <v>28242</v>
      </c>
      <c r="S872" s="2">
        <v>29218</v>
      </c>
      <c r="T872" s="2">
        <v>25002</v>
      </c>
      <c r="U872" s="2">
        <v>0</v>
      </c>
      <c r="V872" s="2"/>
      <c r="W872" s="2">
        <v>24658</v>
      </c>
      <c r="X872" s="2">
        <v>20018</v>
      </c>
      <c r="Y872" s="2">
        <v>0</v>
      </c>
      <c r="Z872" s="2">
        <v>0</v>
      </c>
      <c r="AA872" s="2">
        <v>0</v>
      </c>
      <c r="AB872" s="2"/>
      <c r="AC872" s="2">
        <v>12266</v>
      </c>
      <c r="AD872" s="2">
        <v>6071</v>
      </c>
      <c r="AE872" s="2">
        <v>2952</v>
      </c>
      <c r="AF872" s="2">
        <v>0</v>
      </c>
      <c r="AG872" s="2">
        <v>0</v>
      </c>
      <c r="AH872" s="2"/>
      <c r="AI872" s="2">
        <v>0</v>
      </c>
      <c r="AJ872" s="2">
        <v>0</v>
      </c>
      <c r="AK872" s="2">
        <v>0</v>
      </c>
      <c r="AL872" s="2">
        <v>0</v>
      </c>
      <c r="AM872" s="2">
        <v>0</v>
      </c>
    </row>
    <row r="873" spans="1:39">
      <c r="A873" s="351">
        <v>99413</v>
      </c>
      <c r="B873" s="344" t="s">
        <v>1571</v>
      </c>
      <c r="C873" s="360">
        <v>3.3899999999999997E-5</v>
      </c>
      <c r="E873" s="2">
        <v>21584</v>
      </c>
      <c r="F873" s="2">
        <v>24009</v>
      </c>
      <c r="G873" s="2">
        <v>18454</v>
      </c>
      <c r="H873" s="2">
        <v>5045</v>
      </c>
      <c r="I873" s="2">
        <v>0</v>
      </c>
      <c r="J873" s="2"/>
      <c r="K873" s="2">
        <v>6285</v>
      </c>
      <c r="L873" s="2">
        <v>5790</v>
      </c>
      <c r="M873" s="2">
        <v>3222</v>
      </c>
      <c r="N873" s="2">
        <v>0</v>
      </c>
      <c r="O873" s="2">
        <v>0</v>
      </c>
      <c r="P873" s="2"/>
      <c r="Q873" s="2">
        <v>407</v>
      </c>
      <c r="R873" s="2">
        <v>5699</v>
      </c>
      <c r="S873" s="2">
        <v>5896</v>
      </c>
      <c r="T873" s="2">
        <v>5045</v>
      </c>
      <c r="U873" s="2">
        <v>0</v>
      </c>
      <c r="V873" s="2"/>
      <c r="W873" s="2">
        <v>4976</v>
      </c>
      <c r="X873" s="2">
        <v>4039</v>
      </c>
      <c r="Y873" s="2">
        <v>0</v>
      </c>
      <c r="Z873" s="2">
        <v>0</v>
      </c>
      <c r="AA873" s="2">
        <v>0</v>
      </c>
      <c r="AB873" s="2"/>
      <c r="AC873" s="2">
        <v>10771</v>
      </c>
      <c r="AD873" s="2">
        <v>9334</v>
      </c>
      <c r="AE873" s="2">
        <v>9336</v>
      </c>
      <c r="AF873" s="2">
        <v>0</v>
      </c>
      <c r="AG873" s="2">
        <v>0</v>
      </c>
      <c r="AH873" s="2"/>
      <c r="AI873" s="2">
        <v>-855</v>
      </c>
      <c r="AJ873" s="2">
        <v>-853</v>
      </c>
      <c r="AK873" s="2">
        <v>0</v>
      </c>
      <c r="AL873" s="2">
        <v>0</v>
      </c>
      <c r="AM873" s="2">
        <v>-853</v>
      </c>
    </row>
    <row r="874" spans="1:39">
      <c r="A874" s="351">
        <v>99421</v>
      </c>
      <c r="B874" s="344" t="s">
        <v>1572</v>
      </c>
      <c r="C874" s="360">
        <v>1.0699999999999999E-5</v>
      </c>
      <c r="E874" s="2">
        <v>2270</v>
      </c>
      <c r="F874" s="2">
        <v>3970</v>
      </c>
      <c r="G874" s="2">
        <v>1716</v>
      </c>
      <c r="H874" s="2">
        <v>1592</v>
      </c>
      <c r="I874" s="2">
        <v>0</v>
      </c>
      <c r="J874" s="2"/>
      <c r="K874" s="2">
        <v>1984</v>
      </c>
      <c r="L874" s="2">
        <v>1827</v>
      </c>
      <c r="M874" s="2">
        <v>1017</v>
      </c>
      <c r="N874" s="2">
        <v>0</v>
      </c>
      <c r="O874" s="2">
        <v>0</v>
      </c>
      <c r="P874" s="2"/>
      <c r="Q874" s="2">
        <v>129</v>
      </c>
      <c r="R874" s="2">
        <v>1799</v>
      </c>
      <c r="S874" s="2">
        <v>1861</v>
      </c>
      <c r="T874" s="2">
        <v>1592</v>
      </c>
      <c r="U874" s="2">
        <v>0</v>
      </c>
      <c r="V874" s="2"/>
      <c r="W874" s="2">
        <v>1571</v>
      </c>
      <c r="X874" s="2">
        <v>1275</v>
      </c>
      <c r="Y874" s="2">
        <v>0</v>
      </c>
      <c r="Z874" s="2">
        <v>0</v>
      </c>
      <c r="AA874" s="2">
        <v>0</v>
      </c>
      <c r="AB874" s="2"/>
      <c r="AC874" s="2">
        <v>302</v>
      </c>
      <c r="AD874" s="2">
        <v>303</v>
      </c>
      <c r="AE874" s="2">
        <v>72</v>
      </c>
      <c r="AF874" s="2">
        <v>0</v>
      </c>
      <c r="AG874" s="2">
        <v>0</v>
      </c>
      <c r="AH874" s="2"/>
      <c r="AI874" s="2">
        <v>-1716</v>
      </c>
      <c r="AJ874" s="2">
        <v>-1234</v>
      </c>
      <c r="AK874" s="2">
        <v>-1234</v>
      </c>
      <c r="AL874" s="2">
        <v>0</v>
      </c>
      <c r="AM874" s="2">
        <v>-1234</v>
      </c>
    </row>
    <row r="875" spans="1:39">
      <c r="A875" s="351">
        <v>99431</v>
      </c>
      <c r="B875" s="344" t="s">
        <v>1573</v>
      </c>
      <c r="C875" s="360">
        <v>1.91E-5</v>
      </c>
      <c r="E875" s="2">
        <v>5615</v>
      </c>
      <c r="F875" s="2">
        <v>8210</v>
      </c>
      <c r="G875" s="2">
        <v>5138</v>
      </c>
      <c r="H875" s="2">
        <v>2843</v>
      </c>
      <c r="I875" s="2">
        <v>0</v>
      </c>
      <c r="J875" s="2"/>
      <c r="K875" s="2">
        <v>3541</v>
      </c>
      <c r="L875" s="2">
        <v>3262</v>
      </c>
      <c r="M875" s="2">
        <v>1816</v>
      </c>
      <c r="N875" s="2">
        <v>0</v>
      </c>
      <c r="O875" s="2">
        <v>0</v>
      </c>
      <c r="P875" s="2"/>
      <c r="Q875" s="2">
        <v>230</v>
      </c>
      <c r="R875" s="2">
        <v>3211</v>
      </c>
      <c r="S875" s="2">
        <v>3322</v>
      </c>
      <c r="T875" s="2">
        <v>2843</v>
      </c>
      <c r="U875" s="2">
        <v>0</v>
      </c>
      <c r="V875" s="2"/>
      <c r="W875" s="2">
        <v>2803</v>
      </c>
      <c r="X875" s="2">
        <v>2276</v>
      </c>
      <c r="Y875" s="2">
        <v>0</v>
      </c>
      <c r="Z875" s="2">
        <v>0</v>
      </c>
      <c r="AA875" s="2">
        <v>0</v>
      </c>
      <c r="AB875" s="2"/>
      <c r="AC875" s="2">
        <v>1462</v>
      </c>
      <c r="AD875" s="2">
        <v>1462</v>
      </c>
      <c r="AE875" s="2">
        <v>1461</v>
      </c>
      <c r="AF875" s="2">
        <v>0</v>
      </c>
      <c r="AG875" s="2">
        <v>0</v>
      </c>
      <c r="AH875" s="2"/>
      <c r="AI875" s="2">
        <v>-2421</v>
      </c>
      <c r="AJ875" s="2">
        <v>-2001</v>
      </c>
      <c r="AK875" s="2">
        <v>-1461</v>
      </c>
      <c r="AL875" s="2">
        <v>0</v>
      </c>
      <c r="AM875" s="2">
        <v>-2001</v>
      </c>
    </row>
    <row r="876" spans="1:39">
      <c r="A876" s="351">
        <v>99501</v>
      </c>
      <c r="B876" s="344" t="s">
        <v>1574</v>
      </c>
      <c r="C876" s="360">
        <v>1.6310999999999999E-3</v>
      </c>
      <c r="E876" s="2">
        <v>586128</v>
      </c>
      <c r="F876" s="2">
        <v>777207</v>
      </c>
      <c r="G876" s="2">
        <v>462722</v>
      </c>
      <c r="H876" s="2">
        <v>242744</v>
      </c>
      <c r="I876" s="2">
        <v>0</v>
      </c>
      <c r="J876" s="2"/>
      <c r="K876" s="2">
        <v>302421</v>
      </c>
      <c r="L876" s="2">
        <v>278582</v>
      </c>
      <c r="M876" s="2">
        <v>155049</v>
      </c>
      <c r="N876" s="2">
        <v>0</v>
      </c>
      <c r="O876" s="2">
        <v>0</v>
      </c>
      <c r="P876" s="2"/>
      <c r="Q876" s="2">
        <v>19604</v>
      </c>
      <c r="R876" s="2">
        <v>274196</v>
      </c>
      <c r="S876" s="2">
        <v>283678</v>
      </c>
      <c r="T876" s="2">
        <v>242744</v>
      </c>
      <c r="U876" s="2">
        <v>0</v>
      </c>
      <c r="V876" s="2"/>
      <c r="W876" s="2">
        <v>239406</v>
      </c>
      <c r="X876" s="2">
        <v>194357</v>
      </c>
      <c r="Y876" s="2">
        <v>0</v>
      </c>
      <c r="Z876" s="2">
        <v>0</v>
      </c>
      <c r="AA876" s="2">
        <v>0</v>
      </c>
      <c r="AB876" s="2"/>
      <c r="AC876" s="2">
        <v>30074</v>
      </c>
      <c r="AD876" s="2">
        <v>30072</v>
      </c>
      <c r="AE876" s="2">
        <v>23995</v>
      </c>
      <c r="AF876" s="2">
        <v>0</v>
      </c>
      <c r="AG876" s="2">
        <v>0</v>
      </c>
      <c r="AH876" s="2"/>
      <c r="AI876" s="2">
        <v>-5377</v>
      </c>
      <c r="AJ876" s="2">
        <v>0</v>
      </c>
      <c r="AK876" s="2">
        <v>0</v>
      </c>
      <c r="AL876" s="2">
        <v>0</v>
      </c>
      <c r="AM876" s="2">
        <v>0</v>
      </c>
    </row>
    <row r="877" spans="1:39">
      <c r="A877" s="351">
        <v>99502</v>
      </c>
      <c r="B877" s="344" t="s">
        <v>1575</v>
      </c>
      <c r="C877" s="360">
        <v>1.5109999999999999E-4</v>
      </c>
      <c r="E877" s="2">
        <v>53542</v>
      </c>
      <c r="F877" s="2">
        <v>70270</v>
      </c>
      <c r="G877" s="2">
        <v>39418</v>
      </c>
      <c r="H877" s="2">
        <v>22487</v>
      </c>
      <c r="I877" s="2">
        <v>0</v>
      </c>
      <c r="J877" s="2"/>
      <c r="K877" s="2">
        <v>28015</v>
      </c>
      <c r="L877" s="2">
        <v>25807</v>
      </c>
      <c r="M877" s="2">
        <v>14363</v>
      </c>
      <c r="N877" s="2">
        <v>0</v>
      </c>
      <c r="O877" s="2">
        <v>0</v>
      </c>
      <c r="P877" s="2"/>
      <c r="Q877" s="2">
        <v>1816</v>
      </c>
      <c r="R877" s="2">
        <v>25401</v>
      </c>
      <c r="S877" s="2">
        <v>26279</v>
      </c>
      <c r="T877" s="2">
        <v>22487</v>
      </c>
      <c r="U877" s="2">
        <v>0</v>
      </c>
      <c r="V877" s="2"/>
      <c r="W877" s="2">
        <v>22178</v>
      </c>
      <c r="X877" s="2">
        <v>18005</v>
      </c>
      <c r="Y877" s="2">
        <v>0</v>
      </c>
      <c r="Z877" s="2">
        <v>0</v>
      </c>
      <c r="AA877" s="2">
        <v>0</v>
      </c>
      <c r="AB877" s="2"/>
      <c r="AC877" s="2">
        <v>4777</v>
      </c>
      <c r="AD877" s="2">
        <v>4301</v>
      </c>
      <c r="AE877" s="2">
        <v>2019</v>
      </c>
      <c r="AF877" s="2">
        <v>0</v>
      </c>
      <c r="AG877" s="2">
        <v>0</v>
      </c>
      <c r="AH877" s="2"/>
      <c r="AI877" s="2">
        <v>-3244</v>
      </c>
      <c r="AJ877" s="2">
        <v>-3244</v>
      </c>
      <c r="AK877" s="2">
        <v>-3243</v>
      </c>
      <c r="AL877" s="2">
        <v>0</v>
      </c>
      <c r="AM877" s="2">
        <v>-3244</v>
      </c>
    </row>
    <row r="878" spans="1:39">
      <c r="A878" s="351">
        <v>99508</v>
      </c>
      <c r="B878" s="344" t="s">
        <v>1576</v>
      </c>
      <c r="C878" s="360">
        <v>2.0800000000000001E-5</v>
      </c>
      <c r="E878" s="2">
        <v>6779</v>
      </c>
      <c r="F878" s="2">
        <v>9139</v>
      </c>
      <c r="G878" s="2">
        <v>5268</v>
      </c>
      <c r="H878" s="2">
        <v>3095</v>
      </c>
      <c r="I878" s="2">
        <v>0</v>
      </c>
      <c r="J878" s="2"/>
      <c r="K878" s="2">
        <v>3857</v>
      </c>
      <c r="L878" s="2">
        <v>3553</v>
      </c>
      <c r="M878" s="2">
        <v>1977</v>
      </c>
      <c r="N878" s="2">
        <v>0</v>
      </c>
      <c r="O878" s="2">
        <v>0</v>
      </c>
      <c r="P878" s="2"/>
      <c r="Q878" s="2">
        <v>250</v>
      </c>
      <c r="R878" s="2">
        <v>3497</v>
      </c>
      <c r="S878" s="2">
        <v>3617</v>
      </c>
      <c r="T878" s="2">
        <v>3095</v>
      </c>
      <c r="U878" s="2">
        <v>0</v>
      </c>
      <c r="V878" s="2"/>
      <c r="W878" s="2">
        <v>3053</v>
      </c>
      <c r="X878" s="2">
        <v>2478</v>
      </c>
      <c r="Y878" s="2">
        <v>0</v>
      </c>
      <c r="Z878" s="2">
        <v>0</v>
      </c>
      <c r="AA878" s="2">
        <v>0</v>
      </c>
      <c r="AB878" s="2"/>
      <c r="AC878" s="2">
        <v>10</v>
      </c>
      <c r="AD878" s="2">
        <v>0</v>
      </c>
      <c r="AE878" s="2">
        <v>0</v>
      </c>
      <c r="AF878" s="2">
        <v>0</v>
      </c>
      <c r="AG878" s="2">
        <v>0</v>
      </c>
      <c r="AH878" s="2"/>
      <c r="AI878" s="2">
        <v>-391</v>
      </c>
      <c r="AJ878" s="2">
        <v>-389</v>
      </c>
      <c r="AK878" s="2">
        <v>-326</v>
      </c>
      <c r="AL878" s="2">
        <v>0</v>
      </c>
      <c r="AM878" s="2">
        <v>-389</v>
      </c>
    </row>
    <row r="879" spans="1:39">
      <c r="A879" s="351">
        <v>99509</v>
      </c>
      <c r="B879" s="344" t="s">
        <v>3708</v>
      </c>
      <c r="C879" s="360">
        <v>2.0699999999999998E-5</v>
      </c>
      <c r="E879" s="2">
        <v>4738</v>
      </c>
      <c r="F879" s="2">
        <v>7565</v>
      </c>
      <c r="G879" s="2">
        <v>4026</v>
      </c>
      <c r="H879" s="2">
        <v>3081</v>
      </c>
      <c r="I879" s="2">
        <v>0</v>
      </c>
      <c r="J879" s="2"/>
      <c r="K879" s="2">
        <v>3838</v>
      </c>
      <c r="L879" s="2">
        <v>3535</v>
      </c>
      <c r="M879" s="2">
        <v>1968</v>
      </c>
      <c r="N879" s="2">
        <v>0</v>
      </c>
      <c r="O879" s="2">
        <v>0</v>
      </c>
      <c r="P879" s="2"/>
      <c r="Q879" s="2">
        <v>249</v>
      </c>
      <c r="R879" s="2">
        <v>3480</v>
      </c>
      <c r="S879" s="2">
        <v>3600</v>
      </c>
      <c r="T879" s="2">
        <v>3081</v>
      </c>
      <c r="U879" s="2">
        <v>0</v>
      </c>
      <c r="V879" s="2"/>
      <c r="W879" s="2">
        <v>3038</v>
      </c>
      <c r="X879" s="2">
        <v>2467</v>
      </c>
      <c r="Y879" s="2">
        <v>0</v>
      </c>
      <c r="Z879" s="2">
        <v>0</v>
      </c>
      <c r="AA879" s="2">
        <v>0</v>
      </c>
      <c r="AB879" s="2"/>
      <c r="AC879" s="2">
        <v>0</v>
      </c>
      <c r="AD879" s="2">
        <v>0</v>
      </c>
      <c r="AE879" s="2">
        <v>0</v>
      </c>
      <c r="AF879" s="2">
        <v>0</v>
      </c>
      <c r="AG879" s="2">
        <v>0</v>
      </c>
      <c r="AH879" s="2"/>
      <c r="AI879" s="2">
        <v>-2387</v>
      </c>
      <c r="AJ879" s="2">
        <v>-1917</v>
      </c>
      <c r="AK879" s="2">
        <v>-1542</v>
      </c>
      <c r="AL879" s="2">
        <v>0</v>
      </c>
      <c r="AM879" s="2">
        <v>-1917</v>
      </c>
    </row>
    <row r="880" spans="1:39">
      <c r="A880" s="351">
        <v>99511</v>
      </c>
      <c r="B880" s="344" t="s">
        <v>1578</v>
      </c>
      <c r="C880" s="360">
        <v>1.3119E-3</v>
      </c>
      <c r="E880" s="2">
        <v>391663</v>
      </c>
      <c r="F880" s="2">
        <v>547187</v>
      </c>
      <c r="G880" s="2">
        <v>319652</v>
      </c>
      <c r="H880" s="2">
        <v>195240</v>
      </c>
      <c r="I880" s="2">
        <v>0</v>
      </c>
      <c r="J880" s="2"/>
      <c r="K880" s="2">
        <v>243238</v>
      </c>
      <c r="L880" s="2">
        <v>224065</v>
      </c>
      <c r="M880" s="2">
        <v>124707</v>
      </c>
      <c r="N880" s="2">
        <v>0</v>
      </c>
      <c r="O880" s="2">
        <v>0</v>
      </c>
      <c r="P880" s="2"/>
      <c r="Q880" s="2">
        <v>15768</v>
      </c>
      <c r="R880" s="2">
        <v>220537</v>
      </c>
      <c r="S880" s="2">
        <v>228163</v>
      </c>
      <c r="T880" s="2">
        <v>195240</v>
      </c>
      <c r="U880" s="2">
        <v>0</v>
      </c>
      <c r="V880" s="2"/>
      <c r="W880" s="2">
        <v>192555</v>
      </c>
      <c r="X880" s="2">
        <v>156322</v>
      </c>
      <c r="Y880" s="2">
        <v>0</v>
      </c>
      <c r="Z880" s="2">
        <v>0</v>
      </c>
      <c r="AA880" s="2">
        <v>0</v>
      </c>
      <c r="AB880" s="2"/>
      <c r="AC880" s="2">
        <v>0</v>
      </c>
      <c r="AD880" s="2">
        <v>0</v>
      </c>
      <c r="AE880" s="2">
        <v>0</v>
      </c>
      <c r="AF880" s="2">
        <v>0</v>
      </c>
      <c r="AG880" s="2">
        <v>0</v>
      </c>
      <c r="AH880" s="2"/>
      <c r="AI880" s="2">
        <v>-59898</v>
      </c>
      <c r="AJ880" s="2">
        <v>-53737</v>
      </c>
      <c r="AK880" s="2">
        <v>-33218</v>
      </c>
      <c r="AL880" s="2">
        <v>0</v>
      </c>
      <c r="AM880" s="2">
        <v>-53737</v>
      </c>
    </row>
    <row r="881" spans="1:39">
      <c r="A881" s="351">
        <v>99521</v>
      </c>
      <c r="B881" s="344" t="s">
        <v>1579</v>
      </c>
      <c r="C881" s="360">
        <v>4.8440000000000001E-4</v>
      </c>
      <c r="E881" s="2">
        <v>152871</v>
      </c>
      <c r="F881" s="2">
        <v>207697</v>
      </c>
      <c r="G881" s="2">
        <v>110804</v>
      </c>
      <c r="H881" s="2">
        <v>72089</v>
      </c>
      <c r="I881" s="2">
        <v>0</v>
      </c>
      <c r="J881" s="2"/>
      <c r="K881" s="2">
        <v>89812</v>
      </c>
      <c r="L881" s="2">
        <v>82733</v>
      </c>
      <c r="M881" s="2">
        <v>46046</v>
      </c>
      <c r="N881" s="2">
        <v>0</v>
      </c>
      <c r="O881" s="2">
        <v>0</v>
      </c>
      <c r="P881" s="2"/>
      <c r="Q881" s="2">
        <v>5822</v>
      </c>
      <c r="R881" s="2">
        <v>81430</v>
      </c>
      <c r="S881" s="2">
        <v>84246</v>
      </c>
      <c r="T881" s="2">
        <v>72089</v>
      </c>
      <c r="U881" s="2">
        <v>0</v>
      </c>
      <c r="V881" s="2"/>
      <c r="W881" s="2">
        <v>71098</v>
      </c>
      <c r="X881" s="2">
        <v>57720</v>
      </c>
      <c r="Y881" s="2">
        <v>0</v>
      </c>
      <c r="Z881" s="2">
        <v>0</v>
      </c>
      <c r="AA881" s="2">
        <v>0</v>
      </c>
      <c r="AB881" s="2"/>
      <c r="AC881" s="2">
        <v>5627</v>
      </c>
      <c r="AD881" s="2">
        <v>5302</v>
      </c>
      <c r="AE881" s="2">
        <v>0</v>
      </c>
      <c r="AF881" s="2">
        <v>0</v>
      </c>
      <c r="AG881" s="2">
        <v>0</v>
      </c>
      <c r="AH881" s="2"/>
      <c r="AI881" s="2">
        <v>-19488</v>
      </c>
      <c r="AJ881" s="2">
        <v>-19488</v>
      </c>
      <c r="AK881" s="2">
        <v>-19488</v>
      </c>
      <c r="AL881" s="2">
        <v>0</v>
      </c>
      <c r="AM881" s="2">
        <v>-19488</v>
      </c>
    </row>
    <row r="882" spans="1:39">
      <c r="A882" s="351">
        <v>99527</v>
      </c>
      <c r="B882" s="344" t="s">
        <v>3709</v>
      </c>
      <c r="C882" s="360">
        <v>1.03E-5</v>
      </c>
      <c r="E882" s="2">
        <v>4194</v>
      </c>
      <c r="F882" s="2">
        <v>5305</v>
      </c>
      <c r="G882" s="2">
        <v>3222</v>
      </c>
      <c r="H882" s="2">
        <v>1533</v>
      </c>
      <c r="I882" s="2">
        <v>0</v>
      </c>
      <c r="J882" s="2"/>
      <c r="K882" s="2">
        <v>1910</v>
      </c>
      <c r="L882" s="2">
        <v>1759</v>
      </c>
      <c r="M882" s="2">
        <v>979</v>
      </c>
      <c r="N882" s="2">
        <v>0</v>
      </c>
      <c r="O882" s="2">
        <v>0</v>
      </c>
      <c r="P882" s="2"/>
      <c r="Q882" s="2">
        <v>124</v>
      </c>
      <c r="R882" s="2">
        <v>1731</v>
      </c>
      <c r="S882" s="2">
        <v>1791</v>
      </c>
      <c r="T882" s="2">
        <v>1533</v>
      </c>
      <c r="U882" s="2">
        <v>0</v>
      </c>
      <c r="V882" s="2"/>
      <c r="W882" s="2">
        <v>1512</v>
      </c>
      <c r="X882" s="2">
        <v>1227</v>
      </c>
      <c r="Y882" s="2">
        <v>0</v>
      </c>
      <c r="Z882" s="2">
        <v>0</v>
      </c>
      <c r="AA882" s="2">
        <v>0</v>
      </c>
      <c r="AB882" s="2"/>
      <c r="AC882" s="2">
        <v>648</v>
      </c>
      <c r="AD882" s="2">
        <v>588</v>
      </c>
      <c r="AE882" s="2">
        <v>452</v>
      </c>
      <c r="AF882" s="2">
        <v>0</v>
      </c>
      <c r="AG882" s="2">
        <v>0</v>
      </c>
      <c r="AH882" s="2"/>
      <c r="AI882" s="2">
        <v>0</v>
      </c>
      <c r="AJ882" s="2">
        <v>0</v>
      </c>
      <c r="AK882" s="2">
        <v>0</v>
      </c>
      <c r="AL882" s="2">
        <v>0</v>
      </c>
      <c r="AM882" s="2">
        <v>0</v>
      </c>
    </row>
    <row r="883" spans="1:39">
      <c r="A883" s="351">
        <v>99531</v>
      </c>
      <c r="B883" s="344" t="s">
        <v>1581</v>
      </c>
      <c r="C883" s="360">
        <v>9.0500000000000004E-5</v>
      </c>
      <c r="E883" s="2">
        <v>52590</v>
      </c>
      <c r="F883" s="2">
        <v>56013</v>
      </c>
      <c r="G883" s="2">
        <v>33116</v>
      </c>
      <c r="H883" s="2">
        <v>13468</v>
      </c>
      <c r="I883" s="2">
        <v>0</v>
      </c>
      <c r="J883" s="2"/>
      <c r="K883" s="2">
        <v>16780</v>
      </c>
      <c r="L883" s="2">
        <v>15457</v>
      </c>
      <c r="M883" s="2">
        <v>8603</v>
      </c>
      <c r="N883" s="2">
        <v>0</v>
      </c>
      <c r="O883" s="2">
        <v>0</v>
      </c>
      <c r="P883" s="2"/>
      <c r="Q883" s="2">
        <v>1088</v>
      </c>
      <c r="R883" s="2">
        <v>15214</v>
      </c>
      <c r="S883" s="2">
        <v>15740</v>
      </c>
      <c r="T883" s="2">
        <v>13468</v>
      </c>
      <c r="U883" s="2">
        <v>0</v>
      </c>
      <c r="V883" s="2"/>
      <c r="W883" s="2">
        <v>13283</v>
      </c>
      <c r="X883" s="2">
        <v>10784</v>
      </c>
      <c r="Y883" s="2">
        <v>0</v>
      </c>
      <c r="Z883" s="2">
        <v>0</v>
      </c>
      <c r="AA883" s="2">
        <v>0</v>
      </c>
      <c r="AB883" s="2"/>
      <c r="AC883" s="2">
        <v>21439</v>
      </c>
      <c r="AD883" s="2">
        <v>14558</v>
      </c>
      <c r="AE883" s="2">
        <v>8773</v>
      </c>
      <c r="AF883" s="2">
        <v>0</v>
      </c>
      <c r="AG883" s="2">
        <v>0</v>
      </c>
      <c r="AH883" s="2"/>
      <c r="AI883" s="2">
        <v>0</v>
      </c>
      <c r="AJ883" s="2">
        <v>0</v>
      </c>
      <c r="AK883" s="2">
        <v>0</v>
      </c>
      <c r="AL883" s="2">
        <v>0</v>
      </c>
      <c r="AM883" s="2">
        <v>0</v>
      </c>
    </row>
    <row r="884" spans="1:39">
      <c r="A884" s="351">
        <v>99601</v>
      </c>
      <c r="B884" s="344" t="s">
        <v>1582</v>
      </c>
      <c r="C884" s="360">
        <v>5.3302000000000002E-3</v>
      </c>
      <c r="E884" s="2">
        <v>1589044</v>
      </c>
      <c r="F884" s="2">
        <v>2133329</v>
      </c>
      <c r="G884" s="2">
        <v>1124155</v>
      </c>
      <c r="H884" s="2">
        <v>793251</v>
      </c>
      <c r="I884" s="2">
        <v>0</v>
      </c>
      <c r="J884" s="2"/>
      <c r="K884" s="2">
        <v>988267</v>
      </c>
      <c r="L884" s="2">
        <v>910366</v>
      </c>
      <c r="M884" s="2">
        <v>506678</v>
      </c>
      <c r="N884" s="2">
        <v>0</v>
      </c>
      <c r="O884" s="2">
        <v>0</v>
      </c>
      <c r="P884" s="2"/>
      <c r="Q884" s="2">
        <v>64064</v>
      </c>
      <c r="R884" s="2">
        <v>896033</v>
      </c>
      <c r="S884" s="2">
        <v>927018</v>
      </c>
      <c r="T884" s="2">
        <v>793251</v>
      </c>
      <c r="U884" s="2">
        <v>0</v>
      </c>
      <c r="V884" s="2"/>
      <c r="W884" s="2">
        <v>782345</v>
      </c>
      <c r="X884" s="2">
        <v>635131</v>
      </c>
      <c r="Y884" s="2">
        <v>0</v>
      </c>
      <c r="Z884" s="2">
        <v>0</v>
      </c>
      <c r="AA884" s="2">
        <v>0</v>
      </c>
      <c r="AB884" s="2"/>
      <c r="AC884" s="2">
        <v>63908</v>
      </c>
      <c r="AD884" s="2">
        <v>1339</v>
      </c>
      <c r="AE884" s="2">
        <v>0</v>
      </c>
      <c r="AF884" s="2">
        <v>0</v>
      </c>
      <c r="AG884" s="2">
        <v>0</v>
      </c>
      <c r="AH884" s="2"/>
      <c r="AI884" s="2">
        <v>-309540</v>
      </c>
      <c r="AJ884" s="2">
        <v>-309540</v>
      </c>
      <c r="AK884" s="2">
        <v>-309541</v>
      </c>
      <c r="AL884" s="2">
        <v>0</v>
      </c>
      <c r="AM884" s="2">
        <v>-309540</v>
      </c>
    </row>
    <row r="885" spans="1:39">
      <c r="A885" s="351">
        <v>99602</v>
      </c>
      <c r="B885" s="344" t="s">
        <v>3710</v>
      </c>
      <c r="C885" s="360">
        <v>6.1199999999999997E-5</v>
      </c>
      <c r="E885" s="2">
        <v>20515</v>
      </c>
      <c r="F885" s="2">
        <v>25822</v>
      </c>
      <c r="G885" s="2">
        <v>14356</v>
      </c>
      <c r="H885" s="2">
        <v>9108</v>
      </c>
      <c r="I885" s="2">
        <v>0</v>
      </c>
      <c r="J885" s="2"/>
      <c r="K885" s="2">
        <v>11347</v>
      </c>
      <c r="L885" s="2">
        <v>10453</v>
      </c>
      <c r="M885" s="2">
        <v>5818</v>
      </c>
      <c r="N885" s="2">
        <v>0</v>
      </c>
      <c r="O885" s="2">
        <v>0</v>
      </c>
      <c r="P885" s="2"/>
      <c r="Q885" s="2">
        <v>736</v>
      </c>
      <c r="R885" s="2">
        <v>10288</v>
      </c>
      <c r="S885" s="2">
        <v>10644</v>
      </c>
      <c r="T885" s="2">
        <v>9108</v>
      </c>
      <c r="U885" s="2">
        <v>0</v>
      </c>
      <c r="V885" s="2"/>
      <c r="W885" s="2">
        <v>8983</v>
      </c>
      <c r="X885" s="2">
        <v>7292</v>
      </c>
      <c r="Y885" s="2">
        <v>0</v>
      </c>
      <c r="Z885" s="2">
        <v>0</v>
      </c>
      <c r="AA885" s="2">
        <v>0</v>
      </c>
      <c r="AB885" s="2"/>
      <c r="AC885" s="2">
        <v>1658</v>
      </c>
      <c r="AD885" s="2">
        <v>0</v>
      </c>
      <c r="AE885" s="2">
        <v>0</v>
      </c>
      <c r="AF885" s="2">
        <v>0</v>
      </c>
      <c r="AG885" s="2">
        <v>0</v>
      </c>
      <c r="AH885" s="2"/>
      <c r="AI885" s="2">
        <v>-2209</v>
      </c>
      <c r="AJ885" s="2">
        <v>-2211</v>
      </c>
      <c r="AK885" s="2">
        <v>-2106</v>
      </c>
      <c r="AL885" s="2">
        <v>0</v>
      </c>
      <c r="AM885" s="2">
        <v>-2211</v>
      </c>
    </row>
    <row r="886" spans="1:39">
      <c r="A886" s="351">
        <v>99603</v>
      </c>
      <c r="B886" s="344" t="s">
        <v>3711</v>
      </c>
      <c r="C886" s="360">
        <v>1.426E-4</v>
      </c>
      <c r="E886" s="2">
        <v>56636</v>
      </c>
      <c r="F886" s="2">
        <v>67017</v>
      </c>
      <c r="G886" s="2">
        <v>35607</v>
      </c>
      <c r="H886" s="2">
        <v>21222</v>
      </c>
      <c r="I886" s="2">
        <v>0</v>
      </c>
      <c r="J886" s="2"/>
      <c r="K886" s="2">
        <v>26439</v>
      </c>
      <c r="L886" s="2">
        <v>24355</v>
      </c>
      <c r="M886" s="2">
        <v>13555</v>
      </c>
      <c r="N886" s="2">
        <v>0</v>
      </c>
      <c r="O886" s="2">
        <v>0</v>
      </c>
      <c r="P886" s="2"/>
      <c r="Q886" s="2">
        <v>1714</v>
      </c>
      <c r="R886" s="2">
        <v>23972</v>
      </c>
      <c r="S886" s="2">
        <v>24801</v>
      </c>
      <c r="T886" s="2">
        <v>21222</v>
      </c>
      <c r="U886" s="2">
        <v>0</v>
      </c>
      <c r="V886" s="2"/>
      <c r="W886" s="2">
        <v>20930</v>
      </c>
      <c r="X886" s="2">
        <v>16992</v>
      </c>
      <c r="Y886" s="2">
        <v>0</v>
      </c>
      <c r="Z886" s="2">
        <v>0</v>
      </c>
      <c r="AA886" s="2">
        <v>0</v>
      </c>
      <c r="AB886" s="2"/>
      <c r="AC886" s="2">
        <v>10304</v>
      </c>
      <c r="AD886" s="2">
        <v>4449</v>
      </c>
      <c r="AE886" s="2">
        <v>0</v>
      </c>
      <c r="AF886" s="2">
        <v>0</v>
      </c>
      <c r="AG886" s="2">
        <v>0</v>
      </c>
      <c r="AH886" s="2"/>
      <c r="AI886" s="2">
        <v>-2751</v>
      </c>
      <c r="AJ886" s="2">
        <v>-2751</v>
      </c>
      <c r="AK886" s="2">
        <v>-2749</v>
      </c>
      <c r="AL886" s="2">
        <v>0</v>
      </c>
      <c r="AM886" s="2">
        <v>-2751</v>
      </c>
    </row>
    <row r="887" spans="1:39">
      <c r="A887" s="351">
        <v>99604</v>
      </c>
      <c r="B887" s="344" t="s">
        <v>1585</v>
      </c>
      <c r="C887" s="360">
        <v>1.043E-4</v>
      </c>
      <c r="E887" s="2">
        <v>48292</v>
      </c>
      <c r="F887" s="2">
        <v>58288</v>
      </c>
      <c r="G887" s="2">
        <v>36154</v>
      </c>
      <c r="H887" s="2">
        <v>15522</v>
      </c>
      <c r="I887" s="2">
        <v>0</v>
      </c>
      <c r="J887" s="2"/>
      <c r="K887" s="2">
        <v>19338</v>
      </c>
      <c r="L887" s="2">
        <v>17814</v>
      </c>
      <c r="M887" s="2">
        <v>9915</v>
      </c>
      <c r="N887" s="2">
        <v>0</v>
      </c>
      <c r="O887" s="2">
        <v>0</v>
      </c>
      <c r="P887" s="2"/>
      <c r="Q887" s="2">
        <v>1254</v>
      </c>
      <c r="R887" s="2">
        <v>17533</v>
      </c>
      <c r="S887" s="2">
        <v>18140</v>
      </c>
      <c r="T887" s="2">
        <v>15522</v>
      </c>
      <c r="U887" s="2">
        <v>0</v>
      </c>
      <c r="V887" s="2"/>
      <c r="W887" s="2">
        <v>15309</v>
      </c>
      <c r="X887" s="2">
        <v>12428</v>
      </c>
      <c r="Y887" s="2">
        <v>0</v>
      </c>
      <c r="Z887" s="2">
        <v>0</v>
      </c>
      <c r="AA887" s="2">
        <v>0</v>
      </c>
      <c r="AB887" s="2"/>
      <c r="AC887" s="2">
        <v>12391</v>
      </c>
      <c r="AD887" s="2">
        <v>10513</v>
      </c>
      <c r="AE887" s="2">
        <v>8099</v>
      </c>
      <c r="AF887" s="2">
        <v>0</v>
      </c>
      <c r="AG887" s="2">
        <v>0</v>
      </c>
      <c r="AH887" s="2"/>
      <c r="AI887" s="2">
        <v>0</v>
      </c>
      <c r="AJ887" s="2">
        <v>0</v>
      </c>
      <c r="AK887" s="2">
        <v>0</v>
      </c>
      <c r="AL887" s="2">
        <v>0</v>
      </c>
      <c r="AM887" s="2">
        <v>0</v>
      </c>
    </row>
    <row r="888" spans="1:39">
      <c r="A888" s="351">
        <v>99609</v>
      </c>
      <c r="B888" s="344" t="s">
        <v>1586</v>
      </c>
      <c r="C888" s="360">
        <v>2.9499999999999999E-5</v>
      </c>
      <c r="E888" s="2">
        <v>11938</v>
      </c>
      <c r="F888" s="2">
        <v>15675</v>
      </c>
      <c r="G888" s="2">
        <v>9064</v>
      </c>
      <c r="H888" s="2">
        <v>4390</v>
      </c>
      <c r="I888" s="2">
        <v>0</v>
      </c>
      <c r="J888" s="2"/>
      <c r="K888" s="2">
        <v>5470</v>
      </c>
      <c r="L888" s="2">
        <v>5038</v>
      </c>
      <c r="M888" s="2">
        <v>2804</v>
      </c>
      <c r="N888" s="2">
        <v>0</v>
      </c>
      <c r="O888" s="2">
        <v>0</v>
      </c>
      <c r="P888" s="2"/>
      <c r="Q888" s="2">
        <v>355</v>
      </c>
      <c r="R888" s="2">
        <v>4959</v>
      </c>
      <c r="S888" s="2">
        <v>5131</v>
      </c>
      <c r="T888" s="2">
        <v>4390</v>
      </c>
      <c r="U888" s="2">
        <v>0</v>
      </c>
      <c r="V888" s="2"/>
      <c r="W888" s="2">
        <v>4330</v>
      </c>
      <c r="X888" s="2">
        <v>3515</v>
      </c>
      <c r="Y888" s="2">
        <v>0</v>
      </c>
      <c r="Z888" s="2">
        <v>0</v>
      </c>
      <c r="AA888" s="2">
        <v>0</v>
      </c>
      <c r="AB888" s="2"/>
      <c r="AC888" s="2">
        <v>2286</v>
      </c>
      <c r="AD888" s="2">
        <v>2286</v>
      </c>
      <c r="AE888" s="2">
        <v>1250</v>
      </c>
      <c r="AF888" s="2">
        <v>0</v>
      </c>
      <c r="AG888" s="2">
        <v>0</v>
      </c>
      <c r="AH888" s="2"/>
      <c r="AI888" s="2">
        <v>-503</v>
      </c>
      <c r="AJ888" s="2">
        <v>-123</v>
      </c>
      <c r="AK888" s="2">
        <v>-121</v>
      </c>
      <c r="AL888" s="2">
        <v>0</v>
      </c>
      <c r="AM888" s="2">
        <v>-123</v>
      </c>
    </row>
    <row r="889" spans="1:39">
      <c r="A889" s="351">
        <v>99610</v>
      </c>
      <c r="B889" s="344" t="s">
        <v>3712</v>
      </c>
      <c r="C889" s="360">
        <v>1.6770000000000001E-4</v>
      </c>
      <c r="E889" s="2">
        <v>55887</v>
      </c>
      <c r="F889" s="2">
        <v>75812</v>
      </c>
      <c r="G889" s="2">
        <v>45402</v>
      </c>
      <c r="H889" s="2">
        <v>24957</v>
      </c>
      <c r="I889" s="2">
        <v>0</v>
      </c>
      <c r="J889" s="2"/>
      <c r="K889" s="2">
        <v>31093</v>
      </c>
      <c r="L889" s="2">
        <v>28642</v>
      </c>
      <c r="M889" s="2">
        <v>15941</v>
      </c>
      <c r="N889" s="2">
        <v>0</v>
      </c>
      <c r="O889" s="2">
        <v>0</v>
      </c>
      <c r="P889" s="2"/>
      <c r="Q889" s="2">
        <v>2016</v>
      </c>
      <c r="R889" s="2">
        <v>28191</v>
      </c>
      <c r="S889" s="2">
        <v>29166</v>
      </c>
      <c r="T889" s="2">
        <v>24957</v>
      </c>
      <c r="U889" s="2">
        <v>0</v>
      </c>
      <c r="V889" s="2"/>
      <c r="W889" s="2">
        <v>24614</v>
      </c>
      <c r="X889" s="2">
        <v>19983</v>
      </c>
      <c r="Y889" s="2">
        <v>0</v>
      </c>
      <c r="Z889" s="2">
        <v>0</v>
      </c>
      <c r="AA889" s="2">
        <v>0</v>
      </c>
      <c r="AB889" s="2"/>
      <c r="AC889" s="2">
        <v>2716</v>
      </c>
      <c r="AD889" s="2">
        <v>2716</v>
      </c>
      <c r="AE889" s="2">
        <v>2717</v>
      </c>
      <c r="AF889" s="2">
        <v>0</v>
      </c>
      <c r="AG889" s="2">
        <v>0</v>
      </c>
      <c r="AH889" s="2"/>
      <c r="AI889" s="2">
        <v>-4552</v>
      </c>
      <c r="AJ889" s="2">
        <v>-3720</v>
      </c>
      <c r="AK889" s="2">
        <v>-2422</v>
      </c>
      <c r="AL889" s="2">
        <v>0</v>
      </c>
      <c r="AM889" s="2">
        <v>-3720</v>
      </c>
    </row>
    <row r="890" spans="1:39">
      <c r="A890" s="351">
        <v>99611</v>
      </c>
      <c r="B890" s="344" t="s">
        <v>1588</v>
      </c>
      <c r="C890" s="360">
        <v>3.1828E-3</v>
      </c>
      <c r="E890" s="2">
        <v>1065633</v>
      </c>
      <c r="F890" s="2">
        <v>1418873</v>
      </c>
      <c r="G890" s="2">
        <v>808461</v>
      </c>
      <c r="H890" s="2">
        <v>473671</v>
      </c>
      <c r="I890" s="2">
        <v>0</v>
      </c>
      <c r="J890" s="2"/>
      <c r="K890" s="2">
        <v>590120</v>
      </c>
      <c r="L890" s="2">
        <v>543603</v>
      </c>
      <c r="M890" s="2">
        <v>302551</v>
      </c>
      <c r="N890" s="2">
        <v>0</v>
      </c>
      <c r="O890" s="2">
        <v>0</v>
      </c>
      <c r="P890" s="2"/>
      <c r="Q890" s="2">
        <v>38254</v>
      </c>
      <c r="R890" s="2">
        <v>535045</v>
      </c>
      <c r="S890" s="2">
        <v>553546</v>
      </c>
      <c r="T890" s="2">
        <v>473671</v>
      </c>
      <c r="U890" s="2">
        <v>0</v>
      </c>
      <c r="V890" s="2"/>
      <c r="W890" s="2">
        <v>467159</v>
      </c>
      <c r="X890" s="2">
        <v>379253</v>
      </c>
      <c r="Y890" s="2">
        <v>0</v>
      </c>
      <c r="Z890" s="2">
        <v>0</v>
      </c>
      <c r="AA890" s="2">
        <v>0</v>
      </c>
      <c r="AB890" s="2"/>
      <c r="AC890" s="2">
        <v>17736</v>
      </c>
      <c r="AD890" s="2">
        <v>8608</v>
      </c>
      <c r="AE890" s="2">
        <v>0</v>
      </c>
      <c r="AF890" s="2">
        <v>0</v>
      </c>
      <c r="AG890" s="2">
        <v>0</v>
      </c>
      <c r="AH890" s="2"/>
      <c r="AI890" s="2">
        <v>-47636</v>
      </c>
      <c r="AJ890" s="2">
        <v>-47636</v>
      </c>
      <c r="AK890" s="2">
        <v>-47636</v>
      </c>
      <c r="AL890" s="2">
        <v>0</v>
      </c>
      <c r="AM890" s="2">
        <v>-47636</v>
      </c>
    </row>
    <row r="891" spans="1:39">
      <c r="A891" s="351">
        <v>99613</v>
      </c>
      <c r="B891" s="344" t="s">
        <v>1589</v>
      </c>
      <c r="C891" s="360">
        <v>3.1920000000000001E-4</v>
      </c>
      <c r="E891" s="2">
        <v>169873</v>
      </c>
      <c r="F891" s="2">
        <v>175557</v>
      </c>
      <c r="G891" s="2">
        <v>76374</v>
      </c>
      <c r="H891" s="2">
        <v>47504</v>
      </c>
      <c r="I891" s="2">
        <v>0</v>
      </c>
      <c r="J891" s="2"/>
      <c r="K891" s="2">
        <v>59183</v>
      </c>
      <c r="L891" s="2">
        <v>54517</v>
      </c>
      <c r="M891" s="2">
        <v>30343</v>
      </c>
      <c r="N891" s="2">
        <v>0</v>
      </c>
      <c r="O891" s="2">
        <v>0</v>
      </c>
      <c r="P891" s="2"/>
      <c r="Q891" s="2">
        <v>3836</v>
      </c>
      <c r="R891" s="2">
        <v>53659</v>
      </c>
      <c r="S891" s="2">
        <v>55515</v>
      </c>
      <c r="T891" s="2">
        <v>47504</v>
      </c>
      <c r="U891" s="2">
        <v>0</v>
      </c>
      <c r="V891" s="2"/>
      <c r="W891" s="2">
        <v>46851</v>
      </c>
      <c r="X891" s="2">
        <v>38035</v>
      </c>
      <c r="Y891" s="2">
        <v>0</v>
      </c>
      <c r="Z891" s="2">
        <v>0</v>
      </c>
      <c r="AA891" s="2">
        <v>0</v>
      </c>
      <c r="AB891" s="2"/>
      <c r="AC891" s="2">
        <v>69489</v>
      </c>
      <c r="AD891" s="2">
        <v>38832</v>
      </c>
      <c r="AE891" s="2">
        <v>0</v>
      </c>
      <c r="AF891" s="2">
        <v>0</v>
      </c>
      <c r="AG891" s="2">
        <v>0</v>
      </c>
      <c r="AH891" s="2"/>
      <c r="AI891" s="2">
        <v>-9486</v>
      </c>
      <c r="AJ891" s="2">
        <v>-9486</v>
      </c>
      <c r="AK891" s="2">
        <v>-9484</v>
      </c>
      <c r="AL891" s="2">
        <v>0</v>
      </c>
      <c r="AM891" s="2">
        <v>-9486</v>
      </c>
    </row>
    <row r="892" spans="1:39">
      <c r="A892" s="351">
        <v>99621</v>
      </c>
      <c r="B892" s="344" t="s">
        <v>1590</v>
      </c>
      <c r="C892" s="360">
        <v>3.3040000000000001E-4</v>
      </c>
      <c r="E892" s="2">
        <v>107452</v>
      </c>
      <c r="F892" s="2">
        <v>138747</v>
      </c>
      <c r="G892" s="2">
        <v>76710</v>
      </c>
      <c r="H892" s="2">
        <v>49171</v>
      </c>
      <c r="I892" s="2">
        <v>0</v>
      </c>
      <c r="J892" s="2"/>
      <c r="K892" s="2">
        <v>61259</v>
      </c>
      <c r="L892" s="2">
        <v>56430</v>
      </c>
      <c r="M892" s="2">
        <v>31407</v>
      </c>
      <c r="N892" s="2">
        <v>0</v>
      </c>
      <c r="O892" s="2">
        <v>0</v>
      </c>
      <c r="P892" s="2"/>
      <c r="Q892" s="2">
        <v>3971</v>
      </c>
      <c r="R892" s="2">
        <v>55542</v>
      </c>
      <c r="S892" s="2">
        <v>57463</v>
      </c>
      <c r="T892" s="2">
        <v>49171</v>
      </c>
      <c r="U892" s="2">
        <v>0</v>
      </c>
      <c r="V892" s="2"/>
      <c r="W892" s="2">
        <v>48495</v>
      </c>
      <c r="X892" s="2">
        <v>39369</v>
      </c>
      <c r="Y892" s="2">
        <v>0</v>
      </c>
      <c r="Z892" s="2">
        <v>0</v>
      </c>
      <c r="AA892" s="2">
        <v>0</v>
      </c>
      <c r="AB892" s="2"/>
      <c r="AC892" s="2">
        <v>6319</v>
      </c>
      <c r="AD892" s="2">
        <v>0</v>
      </c>
      <c r="AE892" s="2">
        <v>0</v>
      </c>
      <c r="AF892" s="2">
        <v>0</v>
      </c>
      <c r="AG892" s="2">
        <v>0</v>
      </c>
      <c r="AH892" s="2"/>
      <c r="AI892" s="2">
        <v>-12592</v>
      </c>
      <c r="AJ892" s="2">
        <v>-12594</v>
      </c>
      <c r="AK892" s="2">
        <v>-12160</v>
      </c>
      <c r="AL892" s="2">
        <v>0</v>
      </c>
      <c r="AM892" s="2">
        <v>-12594</v>
      </c>
    </row>
    <row r="893" spans="1:39">
      <c r="A893" s="351">
        <v>99623</v>
      </c>
      <c r="B893" s="344" t="s">
        <v>3504</v>
      </c>
      <c r="C893" s="360">
        <v>1.6699999999999999E-5</v>
      </c>
      <c r="E893" s="2">
        <v>2960</v>
      </c>
      <c r="F893" s="2">
        <v>5533</v>
      </c>
      <c r="G893" s="2">
        <v>2385</v>
      </c>
      <c r="H893" s="2">
        <v>2485</v>
      </c>
      <c r="I893" s="2">
        <v>0</v>
      </c>
      <c r="J893" s="2"/>
      <c r="K893" s="2">
        <v>3096</v>
      </c>
      <c r="L893" s="2">
        <v>2852</v>
      </c>
      <c r="M893" s="2">
        <v>1587</v>
      </c>
      <c r="N893" s="2">
        <v>0</v>
      </c>
      <c r="O893" s="2">
        <v>0</v>
      </c>
      <c r="P893" s="2"/>
      <c r="Q893" s="2">
        <v>201</v>
      </c>
      <c r="R893" s="2">
        <v>2807</v>
      </c>
      <c r="S893" s="2">
        <v>2904</v>
      </c>
      <c r="T893" s="2">
        <v>2485</v>
      </c>
      <c r="U893" s="2">
        <v>0</v>
      </c>
      <c r="V893" s="2"/>
      <c r="W893" s="2">
        <v>2451</v>
      </c>
      <c r="X893" s="2">
        <v>1990</v>
      </c>
      <c r="Y893" s="2">
        <v>0</v>
      </c>
      <c r="Z893" s="2">
        <v>0</v>
      </c>
      <c r="AA893" s="2">
        <v>0</v>
      </c>
      <c r="AB893" s="2"/>
      <c r="AC893" s="2">
        <v>2726</v>
      </c>
      <c r="AD893" s="2">
        <v>2726</v>
      </c>
      <c r="AE893" s="2">
        <v>2727</v>
      </c>
      <c r="AF893" s="2">
        <v>0</v>
      </c>
      <c r="AG893" s="2">
        <v>0</v>
      </c>
      <c r="AH893" s="2"/>
      <c r="AI893" s="2">
        <v>-5514</v>
      </c>
      <c r="AJ893" s="2">
        <v>-4842</v>
      </c>
      <c r="AK893" s="2">
        <v>-4833</v>
      </c>
      <c r="AL893" s="2">
        <v>0</v>
      </c>
      <c r="AM893" s="2">
        <v>-4842</v>
      </c>
    </row>
    <row r="894" spans="1:39">
      <c r="A894" s="351">
        <v>99631</v>
      </c>
      <c r="B894" s="344" t="s">
        <v>1592</v>
      </c>
      <c r="C894" s="360">
        <v>7.6899999999999999E-5</v>
      </c>
      <c r="E894" s="2">
        <v>11590</v>
      </c>
      <c r="F894" s="2">
        <v>20080</v>
      </c>
      <c r="G894" s="2">
        <v>5919</v>
      </c>
      <c r="H894" s="2">
        <v>11444</v>
      </c>
      <c r="I894" s="2">
        <v>0</v>
      </c>
      <c r="J894" s="2"/>
      <c r="K894" s="2">
        <v>14258</v>
      </c>
      <c r="L894" s="2">
        <v>13134</v>
      </c>
      <c r="M894" s="2">
        <v>7310</v>
      </c>
      <c r="N894" s="2">
        <v>0</v>
      </c>
      <c r="O894" s="2">
        <v>0</v>
      </c>
      <c r="P894" s="2"/>
      <c r="Q894" s="2">
        <v>924</v>
      </c>
      <c r="R894" s="2">
        <v>12927</v>
      </c>
      <c r="S894" s="2">
        <v>13374</v>
      </c>
      <c r="T894" s="2">
        <v>11444</v>
      </c>
      <c r="U894" s="2">
        <v>0</v>
      </c>
      <c r="V894" s="2"/>
      <c r="W894" s="2">
        <v>11287</v>
      </c>
      <c r="X894" s="2">
        <v>9163</v>
      </c>
      <c r="Y894" s="2">
        <v>0</v>
      </c>
      <c r="Z894" s="2">
        <v>0</v>
      </c>
      <c r="AA894" s="2">
        <v>0</v>
      </c>
      <c r="AB894" s="2"/>
      <c r="AC894" s="2">
        <v>267</v>
      </c>
      <c r="AD894" s="2">
        <v>0</v>
      </c>
      <c r="AE894" s="2">
        <v>0</v>
      </c>
      <c r="AF894" s="2">
        <v>0</v>
      </c>
      <c r="AG894" s="2">
        <v>0</v>
      </c>
      <c r="AH894" s="2"/>
      <c r="AI894" s="2">
        <v>-15146</v>
      </c>
      <c r="AJ894" s="2">
        <v>-15144</v>
      </c>
      <c r="AK894" s="2">
        <v>-14765</v>
      </c>
      <c r="AL894" s="2">
        <v>0</v>
      </c>
      <c r="AM894" s="2">
        <v>-15144</v>
      </c>
    </row>
    <row r="895" spans="1:39">
      <c r="A895" s="351">
        <v>99651</v>
      </c>
      <c r="B895" s="344" t="s">
        <v>1593</v>
      </c>
      <c r="C895" s="360">
        <v>6.5199999999999999E-5</v>
      </c>
      <c r="E895" s="2">
        <v>21639</v>
      </c>
      <c r="F895" s="2">
        <v>29166</v>
      </c>
      <c r="G895" s="2">
        <v>18393</v>
      </c>
      <c r="H895" s="2">
        <v>9703</v>
      </c>
      <c r="I895" s="2">
        <v>0</v>
      </c>
      <c r="J895" s="2"/>
      <c r="K895" s="2">
        <v>12089</v>
      </c>
      <c r="L895" s="2">
        <v>11136</v>
      </c>
      <c r="M895" s="2">
        <v>6198</v>
      </c>
      <c r="N895" s="2">
        <v>0</v>
      </c>
      <c r="O895" s="2">
        <v>0</v>
      </c>
      <c r="P895" s="2"/>
      <c r="Q895" s="2">
        <v>784</v>
      </c>
      <c r="R895" s="2">
        <v>10960</v>
      </c>
      <c r="S895" s="2">
        <v>11339</v>
      </c>
      <c r="T895" s="2">
        <v>9703</v>
      </c>
      <c r="U895" s="2">
        <v>0</v>
      </c>
      <c r="V895" s="2"/>
      <c r="W895" s="2">
        <v>9570</v>
      </c>
      <c r="X895" s="2">
        <v>7769</v>
      </c>
      <c r="Y895" s="2">
        <v>0</v>
      </c>
      <c r="Z895" s="2">
        <v>0</v>
      </c>
      <c r="AA895" s="2">
        <v>0</v>
      </c>
      <c r="AB895" s="2"/>
      <c r="AC895" s="2">
        <v>1912</v>
      </c>
      <c r="AD895" s="2">
        <v>1912</v>
      </c>
      <c r="AE895" s="2">
        <v>1911</v>
      </c>
      <c r="AF895" s="2">
        <v>0</v>
      </c>
      <c r="AG895" s="2">
        <v>0</v>
      </c>
      <c r="AH895" s="2"/>
      <c r="AI895" s="2">
        <v>-2716</v>
      </c>
      <c r="AJ895" s="2">
        <v>-2611</v>
      </c>
      <c r="AK895" s="2">
        <v>-1055</v>
      </c>
      <c r="AL895" s="2">
        <v>0</v>
      </c>
      <c r="AM895" s="2">
        <v>-2611</v>
      </c>
    </row>
    <row r="896" spans="1:39">
      <c r="A896" s="351">
        <v>99661</v>
      </c>
      <c r="B896" s="344" t="s">
        <v>1594</v>
      </c>
      <c r="C896" s="360">
        <v>3.4400000000000003E-5</v>
      </c>
      <c r="E896" s="2">
        <v>30030</v>
      </c>
      <c r="F896" s="2">
        <v>30523</v>
      </c>
      <c r="G896" s="2">
        <v>19115</v>
      </c>
      <c r="H896" s="2">
        <v>5119</v>
      </c>
      <c r="I896" s="2">
        <v>0</v>
      </c>
      <c r="J896" s="2"/>
      <c r="K896" s="2">
        <v>6378</v>
      </c>
      <c r="L896" s="2">
        <v>5875</v>
      </c>
      <c r="M896" s="2">
        <v>3270</v>
      </c>
      <c r="N896" s="2">
        <v>0</v>
      </c>
      <c r="O896" s="2">
        <v>0</v>
      </c>
      <c r="P896" s="2"/>
      <c r="Q896" s="2">
        <v>413</v>
      </c>
      <c r="R896" s="2">
        <v>5783</v>
      </c>
      <c r="S896" s="2">
        <v>5983</v>
      </c>
      <c r="T896" s="2">
        <v>5119</v>
      </c>
      <c r="U896" s="2">
        <v>0</v>
      </c>
      <c r="V896" s="2"/>
      <c r="W896" s="2">
        <v>5049</v>
      </c>
      <c r="X896" s="2">
        <v>4099</v>
      </c>
      <c r="Y896" s="2">
        <v>0</v>
      </c>
      <c r="Z896" s="2">
        <v>0</v>
      </c>
      <c r="AA896" s="2">
        <v>0</v>
      </c>
      <c r="AB896" s="2"/>
      <c r="AC896" s="2">
        <v>18190</v>
      </c>
      <c r="AD896" s="2">
        <v>14766</v>
      </c>
      <c r="AE896" s="2">
        <v>9862</v>
      </c>
      <c r="AF896" s="2">
        <v>0</v>
      </c>
      <c r="AG896" s="2">
        <v>0</v>
      </c>
      <c r="AH896" s="2"/>
      <c r="AI896" s="2">
        <v>0</v>
      </c>
      <c r="AJ896" s="2">
        <v>0</v>
      </c>
      <c r="AK896" s="2">
        <v>0</v>
      </c>
      <c r="AL896" s="2">
        <v>0</v>
      </c>
      <c r="AM896" s="2">
        <v>0</v>
      </c>
    </row>
    <row r="897" spans="1:39">
      <c r="A897" s="351">
        <v>99701</v>
      </c>
      <c r="B897" s="344" t="s">
        <v>1595</v>
      </c>
      <c r="C897" s="360">
        <v>3.0582000000000001E-3</v>
      </c>
      <c r="E897" s="2">
        <v>1060868</v>
      </c>
      <c r="F897" s="2">
        <v>1411015</v>
      </c>
      <c r="G897" s="2">
        <v>836417</v>
      </c>
      <c r="H897" s="2">
        <v>455127</v>
      </c>
      <c r="I897" s="2">
        <v>0</v>
      </c>
      <c r="J897" s="2"/>
      <c r="K897" s="2">
        <v>567018</v>
      </c>
      <c r="L897" s="2">
        <v>522322</v>
      </c>
      <c r="M897" s="2">
        <v>290706</v>
      </c>
      <c r="N897" s="2">
        <v>0</v>
      </c>
      <c r="O897" s="2">
        <v>0</v>
      </c>
      <c r="P897" s="2"/>
      <c r="Q897" s="2">
        <v>36757</v>
      </c>
      <c r="R897" s="2">
        <v>514099</v>
      </c>
      <c r="S897" s="2">
        <v>531876</v>
      </c>
      <c r="T897" s="2">
        <v>455127</v>
      </c>
      <c r="U897" s="2">
        <v>0</v>
      </c>
      <c r="V897" s="2"/>
      <c r="W897" s="2">
        <v>448870</v>
      </c>
      <c r="X897" s="2">
        <v>364406</v>
      </c>
      <c r="Y897" s="2">
        <v>0</v>
      </c>
      <c r="Z897" s="2">
        <v>0</v>
      </c>
      <c r="AA897" s="2">
        <v>0</v>
      </c>
      <c r="AB897" s="2"/>
      <c r="AC897" s="2">
        <v>17246</v>
      </c>
      <c r="AD897" s="2">
        <v>17246</v>
      </c>
      <c r="AE897" s="2">
        <v>17246</v>
      </c>
      <c r="AF897" s="2">
        <v>0</v>
      </c>
      <c r="AG897" s="2">
        <v>0</v>
      </c>
      <c r="AH897" s="2"/>
      <c r="AI897" s="2">
        <v>-9023</v>
      </c>
      <c r="AJ897" s="2">
        <v>-7058</v>
      </c>
      <c r="AK897" s="2">
        <v>-3411</v>
      </c>
      <c r="AL897" s="2">
        <v>0</v>
      </c>
      <c r="AM897" s="2">
        <v>-7058</v>
      </c>
    </row>
    <row r="898" spans="1:39">
      <c r="A898" s="351">
        <v>99705</v>
      </c>
      <c r="B898" s="344" t="s">
        <v>1596</v>
      </c>
      <c r="C898" s="360">
        <v>1.6310000000000001E-4</v>
      </c>
      <c r="E898" s="2">
        <v>70992</v>
      </c>
      <c r="F898" s="2">
        <v>88344</v>
      </c>
      <c r="G898" s="2">
        <v>56426</v>
      </c>
      <c r="H898" s="2">
        <v>24273</v>
      </c>
      <c r="I898" s="2">
        <v>0</v>
      </c>
      <c r="J898" s="2"/>
      <c r="K898" s="2">
        <v>30240</v>
      </c>
      <c r="L898" s="2">
        <v>27857</v>
      </c>
      <c r="M898" s="2">
        <v>15504</v>
      </c>
      <c r="N898" s="2">
        <v>0</v>
      </c>
      <c r="O898" s="2">
        <v>0</v>
      </c>
      <c r="P898" s="2"/>
      <c r="Q898" s="2">
        <v>1960</v>
      </c>
      <c r="R898" s="2">
        <v>27418</v>
      </c>
      <c r="S898" s="2">
        <v>28366</v>
      </c>
      <c r="T898" s="2">
        <v>24273</v>
      </c>
      <c r="U898" s="2">
        <v>0</v>
      </c>
      <c r="V898" s="2"/>
      <c r="W898" s="2">
        <v>23939</v>
      </c>
      <c r="X898" s="2">
        <v>19435</v>
      </c>
      <c r="Y898" s="2">
        <v>0</v>
      </c>
      <c r="Z898" s="2">
        <v>0</v>
      </c>
      <c r="AA898" s="2">
        <v>0</v>
      </c>
      <c r="AB898" s="2"/>
      <c r="AC898" s="2">
        <v>14853</v>
      </c>
      <c r="AD898" s="2">
        <v>13634</v>
      </c>
      <c r="AE898" s="2">
        <v>12556</v>
      </c>
      <c r="AF898" s="2">
        <v>0</v>
      </c>
      <c r="AG898" s="2">
        <v>0</v>
      </c>
      <c r="AH898" s="2"/>
      <c r="AI898" s="2">
        <v>0</v>
      </c>
      <c r="AJ898" s="2">
        <v>0</v>
      </c>
      <c r="AK898" s="2">
        <v>0</v>
      </c>
      <c r="AL898" s="2">
        <v>0</v>
      </c>
      <c r="AM898" s="2">
        <v>0</v>
      </c>
    </row>
    <row r="899" spans="1:39">
      <c r="A899" s="351">
        <v>99711</v>
      </c>
      <c r="B899" s="344" t="s">
        <v>3713</v>
      </c>
      <c r="C899" s="360">
        <v>4.2759999999999999E-4</v>
      </c>
      <c r="E899" s="2">
        <v>151733</v>
      </c>
      <c r="F899" s="2">
        <v>197042</v>
      </c>
      <c r="G899" s="2">
        <v>116223</v>
      </c>
      <c r="H899" s="2">
        <v>63636</v>
      </c>
      <c r="I899" s="2">
        <v>0</v>
      </c>
      <c r="J899" s="2"/>
      <c r="K899" s="2">
        <v>79281</v>
      </c>
      <c r="L899" s="2">
        <v>73032</v>
      </c>
      <c r="M899" s="2">
        <v>40647</v>
      </c>
      <c r="N899" s="2">
        <v>0</v>
      </c>
      <c r="O899" s="2">
        <v>0</v>
      </c>
      <c r="P899" s="2"/>
      <c r="Q899" s="2">
        <v>5139</v>
      </c>
      <c r="R899" s="2">
        <v>71882</v>
      </c>
      <c r="S899" s="2">
        <v>74367</v>
      </c>
      <c r="T899" s="2">
        <v>63636</v>
      </c>
      <c r="U899" s="2">
        <v>0</v>
      </c>
      <c r="V899" s="2"/>
      <c r="W899" s="2">
        <v>62761</v>
      </c>
      <c r="X899" s="2">
        <v>50952</v>
      </c>
      <c r="Y899" s="2">
        <v>0</v>
      </c>
      <c r="Z899" s="2">
        <v>0</v>
      </c>
      <c r="AA899" s="2">
        <v>0</v>
      </c>
      <c r="AB899" s="2"/>
      <c r="AC899" s="2">
        <v>6697</v>
      </c>
      <c r="AD899" s="2">
        <v>3319</v>
      </c>
      <c r="AE899" s="2">
        <v>3319</v>
      </c>
      <c r="AF899" s="2">
        <v>0</v>
      </c>
      <c r="AG899" s="2">
        <v>0</v>
      </c>
      <c r="AH899" s="2"/>
      <c r="AI899" s="2">
        <v>-2145</v>
      </c>
      <c r="AJ899" s="2">
        <v>-2143</v>
      </c>
      <c r="AK899" s="2">
        <v>-2110</v>
      </c>
      <c r="AL899" s="2">
        <v>0</v>
      </c>
      <c r="AM899" s="2">
        <v>-2143</v>
      </c>
    </row>
    <row r="900" spans="1:39">
      <c r="A900" s="351">
        <v>99717</v>
      </c>
      <c r="B900" s="344" t="s">
        <v>3714</v>
      </c>
      <c r="C900" s="360">
        <v>1.6099999999999998E-5</v>
      </c>
      <c r="E900" s="2">
        <v>428</v>
      </c>
      <c r="F900" s="2">
        <v>2878</v>
      </c>
      <c r="G900" s="2">
        <v>186</v>
      </c>
      <c r="H900" s="2">
        <v>2396</v>
      </c>
      <c r="I900" s="2">
        <v>0</v>
      </c>
      <c r="J900" s="2"/>
      <c r="K900" s="2">
        <v>2985</v>
      </c>
      <c r="L900" s="2">
        <v>2750</v>
      </c>
      <c r="M900" s="2">
        <v>1530</v>
      </c>
      <c r="N900" s="2">
        <v>0</v>
      </c>
      <c r="O900" s="2">
        <v>0</v>
      </c>
      <c r="P900" s="2"/>
      <c r="Q900" s="2">
        <v>194</v>
      </c>
      <c r="R900" s="2">
        <v>2706</v>
      </c>
      <c r="S900" s="2">
        <v>2800</v>
      </c>
      <c r="T900" s="2">
        <v>2396</v>
      </c>
      <c r="U900" s="2">
        <v>0</v>
      </c>
      <c r="V900" s="2"/>
      <c r="W900" s="2">
        <v>2363</v>
      </c>
      <c r="X900" s="2">
        <v>1918</v>
      </c>
      <c r="Y900" s="2">
        <v>0</v>
      </c>
      <c r="Z900" s="2">
        <v>0</v>
      </c>
      <c r="AA900" s="2">
        <v>0</v>
      </c>
      <c r="AB900" s="2"/>
      <c r="AC900" s="2">
        <v>215</v>
      </c>
      <c r="AD900" s="2">
        <v>215</v>
      </c>
      <c r="AE900" s="2">
        <v>213</v>
      </c>
      <c r="AF900" s="2">
        <v>0</v>
      </c>
      <c r="AG900" s="2">
        <v>0</v>
      </c>
      <c r="AH900" s="2"/>
      <c r="AI900" s="2">
        <v>-5329</v>
      </c>
      <c r="AJ900" s="2">
        <v>-4711</v>
      </c>
      <c r="AK900" s="2">
        <v>-4357</v>
      </c>
      <c r="AL900" s="2">
        <v>0</v>
      </c>
      <c r="AM900" s="2">
        <v>-4711</v>
      </c>
    </row>
    <row r="901" spans="1:39">
      <c r="A901" s="351">
        <v>99721</v>
      </c>
      <c r="B901" s="344" t="s">
        <v>1599</v>
      </c>
      <c r="C901" s="360">
        <v>5.8069999999999997E-4</v>
      </c>
      <c r="E901" s="2">
        <v>173948</v>
      </c>
      <c r="F901" s="2">
        <v>250396</v>
      </c>
      <c r="G901" s="2">
        <v>142078</v>
      </c>
      <c r="H901" s="2">
        <v>86421</v>
      </c>
      <c r="I901" s="2">
        <v>0</v>
      </c>
      <c r="J901" s="2"/>
      <c r="K901" s="2">
        <v>107667</v>
      </c>
      <c r="L901" s="2">
        <v>99180</v>
      </c>
      <c r="M901" s="2">
        <v>55200</v>
      </c>
      <c r="N901" s="2">
        <v>0</v>
      </c>
      <c r="O901" s="2">
        <v>0</v>
      </c>
      <c r="P901" s="2"/>
      <c r="Q901" s="2">
        <v>6979</v>
      </c>
      <c r="R901" s="2">
        <v>97619</v>
      </c>
      <c r="S901" s="2">
        <v>100994</v>
      </c>
      <c r="T901" s="2">
        <v>86421</v>
      </c>
      <c r="U901" s="2">
        <v>0</v>
      </c>
      <c r="V901" s="2"/>
      <c r="W901" s="2">
        <v>85233</v>
      </c>
      <c r="X901" s="2">
        <v>69194</v>
      </c>
      <c r="Y901" s="2">
        <v>0</v>
      </c>
      <c r="Z901" s="2">
        <v>0</v>
      </c>
      <c r="AA901" s="2">
        <v>0</v>
      </c>
      <c r="AB901" s="2"/>
      <c r="AC901" s="2">
        <v>579</v>
      </c>
      <c r="AD901" s="2">
        <v>579</v>
      </c>
      <c r="AE901" s="2">
        <v>580</v>
      </c>
      <c r="AF901" s="2">
        <v>0</v>
      </c>
      <c r="AG901" s="2">
        <v>0</v>
      </c>
      <c r="AH901" s="2"/>
      <c r="AI901" s="2">
        <v>-26510</v>
      </c>
      <c r="AJ901" s="2">
        <v>-16176</v>
      </c>
      <c r="AK901" s="2">
        <v>-14696</v>
      </c>
      <c r="AL901" s="2">
        <v>0</v>
      </c>
      <c r="AM901" s="2">
        <v>-16176</v>
      </c>
    </row>
    <row r="902" spans="1:39">
      <c r="A902" s="351">
        <v>99727</v>
      </c>
      <c r="B902" s="344" t="s">
        <v>1600</v>
      </c>
      <c r="C902" s="360">
        <v>1.6200000000000001E-5</v>
      </c>
      <c r="E902" s="2">
        <v>27030</v>
      </c>
      <c r="F902" s="2">
        <v>22038</v>
      </c>
      <c r="G902" s="2">
        <v>11602</v>
      </c>
      <c r="H902" s="2">
        <v>2411</v>
      </c>
      <c r="I902" s="2">
        <v>0</v>
      </c>
      <c r="J902" s="2"/>
      <c r="K902" s="2">
        <v>3004</v>
      </c>
      <c r="L902" s="2">
        <v>2767</v>
      </c>
      <c r="M902" s="2">
        <v>1540</v>
      </c>
      <c r="N902" s="2">
        <v>0</v>
      </c>
      <c r="O902" s="2">
        <v>0</v>
      </c>
      <c r="P902" s="2"/>
      <c r="Q902" s="2">
        <v>195</v>
      </c>
      <c r="R902" s="2">
        <v>2723</v>
      </c>
      <c r="S902" s="2">
        <v>2817</v>
      </c>
      <c r="T902" s="2">
        <v>2411</v>
      </c>
      <c r="U902" s="2">
        <v>0</v>
      </c>
      <c r="V902" s="2"/>
      <c r="W902" s="2">
        <v>2378</v>
      </c>
      <c r="X902" s="2">
        <v>1930</v>
      </c>
      <c r="Y902" s="2">
        <v>0</v>
      </c>
      <c r="Z902" s="2">
        <v>0</v>
      </c>
      <c r="AA902" s="2">
        <v>0</v>
      </c>
      <c r="AB902" s="2"/>
      <c r="AC902" s="2">
        <v>21453</v>
      </c>
      <c r="AD902" s="2">
        <v>14618</v>
      </c>
      <c r="AE902" s="2">
        <v>7245</v>
      </c>
      <c r="AF902" s="2">
        <v>0</v>
      </c>
      <c r="AG902" s="2">
        <v>0</v>
      </c>
      <c r="AH902" s="2"/>
      <c r="AI902" s="2">
        <v>0</v>
      </c>
      <c r="AJ902" s="2">
        <v>0</v>
      </c>
      <c r="AK902" s="2">
        <v>0</v>
      </c>
      <c r="AL902" s="2">
        <v>0</v>
      </c>
      <c r="AM902" s="2">
        <v>0</v>
      </c>
    </row>
    <row r="903" spans="1:39">
      <c r="A903" s="351">
        <v>99801</v>
      </c>
      <c r="B903" s="344" t="s">
        <v>1601</v>
      </c>
      <c r="C903" s="360">
        <v>4.6778000000000002E-3</v>
      </c>
      <c r="E903" s="2">
        <v>1398130</v>
      </c>
      <c r="F903" s="2">
        <v>1956526</v>
      </c>
      <c r="G903" s="2">
        <v>1132092</v>
      </c>
      <c r="H903" s="2">
        <v>696160</v>
      </c>
      <c r="I903" s="2">
        <v>0</v>
      </c>
      <c r="J903" s="2"/>
      <c r="K903" s="2">
        <v>867306</v>
      </c>
      <c r="L903" s="2">
        <v>798940</v>
      </c>
      <c r="M903" s="2">
        <v>444662</v>
      </c>
      <c r="N903" s="2">
        <v>0</v>
      </c>
      <c r="O903" s="2">
        <v>0</v>
      </c>
      <c r="P903" s="2"/>
      <c r="Q903" s="2">
        <v>56222</v>
      </c>
      <c r="R903" s="2">
        <v>786362</v>
      </c>
      <c r="S903" s="2">
        <v>813554</v>
      </c>
      <c r="T903" s="2">
        <v>696160</v>
      </c>
      <c r="U903" s="2">
        <v>0</v>
      </c>
      <c r="V903" s="2"/>
      <c r="W903" s="2">
        <v>686589</v>
      </c>
      <c r="X903" s="2">
        <v>557393</v>
      </c>
      <c r="Y903" s="2">
        <v>0</v>
      </c>
      <c r="Z903" s="2">
        <v>0</v>
      </c>
      <c r="AA903" s="2">
        <v>0</v>
      </c>
      <c r="AB903" s="2"/>
      <c r="AC903" s="2">
        <v>0</v>
      </c>
      <c r="AD903" s="2">
        <v>0</v>
      </c>
      <c r="AE903" s="2">
        <v>0</v>
      </c>
      <c r="AF903" s="2">
        <v>0</v>
      </c>
      <c r="AG903" s="2">
        <v>0</v>
      </c>
      <c r="AH903" s="2"/>
      <c r="AI903" s="2">
        <v>-211987</v>
      </c>
      <c r="AJ903" s="2">
        <v>-186169</v>
      </c>
      <c r="AK903" s="2">
        <v>-126124</v>
      </c>
      <c r="AL903" s="2">
        <v>0</v>
      </c>
      <c r="AM903" s="2">
        <v>-186169</v>
      </c>
    </row>
    <row r="904" spans="1:39">
      <c r="A904" s="351">
        <v>99802</v>
      </c>
      <c r="B904" s="344" t="s">
        <v>2773</v>
      </c>
      <c r="C904" s="360">
        <v>1.13E-5</v>
      </c>
      <c r="E904" s="2">
        <v>6131</v>
      </c>
      <c r="F904" s="2">
        <v>7135</v>
      </c>
      <c r="G904" s="2">
        <v>3758</v>
      </c>
      <c r="H904" s="2">
        <v>1682</v>
      </c>
      <c r="I904" s="2">
        <v>0</v>
      </c>
      <c r="J904" s="2"/>
      <c r="K904" s="2">
        <v>2095</v>
      </c>
      <c r="L904" s="2">
        <v>1930</v>
      </c>
      <c r="M904" s="2">
        <v>1074</v>
      </c>
      <c r="N904" s="2">
        <v>0</v>
      </c>
      <c r="O904" s="2">
        <v>0</v>
      </c>
      <c r="P904" s="2"/>
      <c r="Q904" s="2">
        <v>136</v>
      </c>
      <c r="R904" s="2">
        <v>1900</v>
      </c>
      <c r="S904" s="2">
        <v>1965</v>
      </c>
      <c r="T904" s="2">
        <v>1682</v>
      </c>
      <c r="U904" s="2">
        <v>0</v>
      </c>
      <c r="V904" s="2"/>
      <c r="W904" s="2">
        <v>1659</v>
      </c>
      <c r="X904" s="2">
        <v>1346</v>
      </c>
      <c r="Y904" s="2">
        <v>0</v>
      </c>
      <c r="Z904" s="2">
        <v>0</v>
      </c>
      <c r="AA904" s="2">
        <v>0</v>
      </c>
      <c r="AB904" s="2"/>
      <c r="AC904" s="2">
        <v>2241</v>
      </c>
      <c r="AD904" s="2">
        <v>1959</v>
      </c>
      <c r="AE904" s="2">
        <v>719</v>
      </c>
      <c r="AF904" s="2">
        <v>0</v>
      </c>
      <c r="AG904" s="2">
        <v>0</v>
      </c>
      <c r="AH904" s="2"/>
      <c r="AI904" s="2">
        <v>0</v>
      </c>
      <c r="AJ904" s="2">
        <v>0</v>
      </c>
      <c r="AK904" s="2">
        <v>0</v>
      </c>
      <c r="AL904" s="2">
        <v>0</v>
      </c>
      <c r="AM904" s="2">
        <v>0</v>
      </c>
    </row>
    <row r="905" spans="1:39">
      <c r="A905" s="351">
        <v>99804</v>
      </c>
      <c r="B905" s="344" t="s">
        <v>1603</v>
      </c>
      <c r="C905" s="360">
        <v>7.3200000000000004E-5</v>
      </c>
      <c r="E905" s="2">
        <v>31886</v>
      </c>
      <c r="F905" s="2">
        <v>38524</v>
      </c>
      <c r="G905" s="2">
        <v>24719</v>
      </c>
      <c r="H905" s="2">
        <v>10894</v>
      </c>
      <c r="I905" s="2">
        <v>0</v>
      </c>
      <c r="J905" s="2"/>
      <c r="K905" s="2">
        <v>13572</v>
      </c>
      <c r="L905" s="2">
        <v>12502</v>
      </c>
      <c r="M905" s="2">
        <v>6958</v>
      </c>
      <c r="N905" s="2">
        <v>0</v>
      </c>
      <c r="O905" s="2">
        <v>0</v>
      </c>
      <c r="P905" s="2"/>
      <c r="Q905" s="2">
        <v>880</v>
      </c>
      <c r="R905" s="2">
        <v>12305</v>
      </c>
      <c r="S905" s="2">
        <v>12731</v>
      </c>
      <c r="T905" s="2">
        <v>10894</v>
      </c>
      <c r="U905" s="2">
        <v>0</v>
      </c>
      <c r="V905" s="2"/>
      <c r="W905" s="2">
        <v>10744</v>
      </c>
      <c r="X905" s="2">
        <v>8722</v>
      </c>
      <c r="Y905" s="2">
        <v>0</v>
      </c>
      <c r="Z905" s="2">
        <v>0</v>
      </c>
      <c r="AA905" s="2">
        <v>0</v>
      </c>
      <c r="AB905" s="2"/>
      <c r="AC905" s="2">
        <v>6722</v>
      </c>
      <c r="AD905" s="2">
        <v>5028</v>
      </c>
      <c r="AE905" s="2">
        <v>5030</v>
      </c>
      <c r="AF905" s="2">
        <v>0</v>
      </c>
      <c r="AG905" s="2">
        <v>0</v>
      </c>
      <c r="AH905" s="2"/>
      <c r="AI905" s="2">
        <v>-32</v>
      </c>
      <c r="AJ905" s="2">
        <v>-33</v>
      </c>
      <c r="AK905" s="2">
        <v>0</v>
      </c>
      <c r="AL905" s="2">
        <v>0</v>
      </c>
      <c r="AM905" s="2">
        <v>-33</v>
      </c>
    </row>
    <row r="906" spans="1:39">
      <c r="A906" s="351">
        <v>99811</v>
      </c>
      <c r="B906" s="344" t="s">
        <v>1604</v>
      </c>
      <c r="C906" s="360">
        <v>6.3816000000000003E-3</v>
      </c>
      <c r="E906" s="2">
        <v>1979652</v>
      </c>
      <c r="F906" s="2">
        <v>2768026</v>
      </c>
      <c r="G906" s="2">
        <v>1622214</v>
      </c>
      <c r="H906" s="2">
        <v>949722</v>
      </c>
      <c r="I906" s="2">
        <v>0</v>
      </c>
      <c r="J906" s="2"/>
      <c r="K906" s="2">
        <v>1183206</v>
      </c>
      <c r="L906" s="2">
        <v>1089939</v>
      </c>
      <c r="M906" s="2">
        <v>606622</v>
      </c>
      <c r="N906" s="2">
        <v>0</v>
      </c>
      <c r="O906" s="2">
        <v>0</v>
      </c>
      <c r="P906" s="2"/>
      <c r="Q906" s="2">
        <v>76700</v>
      </c>
      <c r="R906" s="2">
        <v>1072779</v>
      </c>
      <c r="S906" s="2">
        <v>1109875</v>
      </c>
      <c r="T906" s="2">
        <v>949722</v>
      </c>
      <c r="U906" s="2">
        <v>0</v>
      </c>
      <c r="V906" s="2"/>
      <c r="W906" s="2">
        <v>936666</v>
      </c>
      <c r="X906" s="2">
        <v>760412</v>
      </c>
      <c r="Y906" s="2">
        <v>0</v>
      </c>
      <c r="Z906" s="2">
        <v>0</v>
      </c>
      <c r="AA906" s="2">
        <v>0</v>
      </c>
      <c r="AB906" s="2"/>
      <c r="AC906" s="2">
        <v>0</v>
      </c>
      <c r="AD906" s="2">
        <v>0</v>
      </c>
      <c r="AE906" s="2">
        <v>0</v>
      </c>
      <c r="AF906" s="2">
        <v>0</v>
      </c>
      <c r="AG906" s="2">
        <v>0</v>
      </c>
      <c r="AH906" s="2"/>
      <c r="AI906" s="2">
        <v>-216920</v>
      </c>
      <c r="AJ906" s="2">
        <v>-155104</v>
      </c>
      <c r="AK906" s="2">
        <v>-94283</v>
      </c>
      <c r="AL906" s="2">
        <v>0</v>
      </c>
      <c r="AM906" s="2">
        <v>-155104</v>
      </c>
    </row>
    <row r="907" spans="1:39">
      <c r="A907" s="351">
        <v>99812</v>
      </c>
      <c r="B907" s="344" t="s">
        <v>3715</v>
      </c>
      <c r="C907" s="360">
        <v>1.6900000000000001E-5</v>
      </c>
      <c r="E907" s="2">
        <v>14739</v>
      </c>
      <c r="F907" s="2">
        <v>15266</v>
      </c>
      <c r="G907" s="2">
        <v>10141</v>
      </c>
      <c r="H907" s="2">
        <v>2515</v>
      </c>
      <c r="I907" s="2">
        <v>0</v>
      </c>
      <c r="J907" s="2"/>
      <c r="K907" s="2">
        <v>3133</v>
      </c>
      <c r="L907" s="2">
        <v>2886</v>
      </c>
      <c r="M907" s="2">
        <v>1606</v>
      </c>
      <c r="N907" s="2">
        <v>0</v>
      </c>
      <c r="O907" s="2">
        <v>0</v>
      </c>
      <c r="P907" s="2"/>
      <c r="Q907" s="2">
        <v>203</v>
      </c>
      <c r="R907" s="2">
        <v>2841</v>
      </c>
      <c r="S907" s="2">
        <v>2939</v>
      </c>
      <c r="T907" s="2">
        <v>2515</v>
      </c>
      <c r="U907" s="2">
        <v>0</v>
      </c>
      <c r="V907" s="2"/>
      <c r="W907" s="2">
        <v>2481</v>
      </c>
      <c r="X907" s="2">
        <v>2014</v>
      </c>
      <c r="Y907" s="2">
        <v>0</v>
      </c>
      <c r="Z907" s="2">
        <v>0</v>
      </c>
      <c r="AA907" s="2">
        <v>0</v>
      </c>
      <c r="AB907" s="2"/>
      <c r="AC907" s="2">
        <v>8922</v>
      </c>
      <c r="AD907" s="2">
        <v>7525</v>
      </c>
      <c r="AE907" s="2">
        <v>5596</v>
      </c>
      <c r="AF907" s="2">
        <v>0</v>
      </c>
      <c r="AG907" s="2">
        <v>0</v>
      </c>
      <c r="AH907" s="2"/>
      <c r="AI907" s="2">
        <v>0</v>
      </c>
      <c r="AJ907" s="2">
        <v>0</v>
      </c>
      <c r="AK907" s="2">
        <v>0</v>
      </c>
      <c r="AL907" s="2">
        <v>0</v>
      </c>
      <c r="AM907" s="2">
        <v>0</v>
      </c>
    </row>
    <row r="908" spans="1:39">
      <c r="A908" s="351">
        <v>99818</v>
      </c>
      <c r="B908" s="344" t="s">
        <v>1606</v>
      </c>
      <c r="C908" s="360">
        <v>4.7500000000000003E-5</v>
      </c>
      <c r="E908" s="2">
        <v>17700</v>
      </c>
      <c r="F908" s="2">
        <v>24156</v>
      </c>
      <c r="G908" s="2">
        <v>15431</v>
      </c>
      <c r="H908" s="2">
        <v>7069</v>
      </c>
      <c r="I908" s="2">
        <v>0</v>
      </c>
      <c r="J908" s="2"/>
      <c r="K908" s="2">
        <v>8807</v>
      </c>
      <c r="L908" s="2">
        <v>8113</v>
      </c>
      <c r="M908" s="2">
        <v>4515</v>
      </c>
      <c r="N908" s="2">
        <v>0</v>
      </c>
      <c r="O908" s="2">
        <v>0</v>
      </c>
      <c r="P908" s="2"/>
      <c r="Q908" s="2">
        <v>571</v>
      </c>
      <c r="R908" s="2">
        <v>7985</v>
      </c>
      <c r="S908" s="2">
        <v>8261</v>
      </c>
      <c r="T908" s="2">
        <v>7069</v>
      </c>
      <c r="U908" s="2">
        <v>0</v>
      </c>
      <c r="V908" s="2"/>
      <c r="W908" s="2">
        <v>6972</v>
      </c>
      <c r="X908" s="2">
        <v>5660</v>
      </c>
      <c r="Y908" s="2">
        <v>0</v>
      </c>
      <c r="Z908" s="2">
        <v>0</v>
      </c>
      <c r="AA908" s="2">
        <v>0</v>
      </c>
      <c r="AB908" s="2"/>
      <c r="AC908" s="2">
        <v>2917</v>
      </c>
      <c r="AD908" s="2">
        <v>2917</v>
      </c>
      <c r="AE908" s="2">
        <v>2915</v>
      </c>
      <c r="AF908" s="2">
        <v>0</v>
      </c>
      <c r="AG908" s="2">
        <v>0</v>
      </c>
      <c r="AH908" s="2"/>
      <c r="AI908" s="2">
        <v>-1567</v>
      </c>
      <c r="AJ908" s="2">
        <v>-519</v>
      </c>
      <c r="AK908" s="2">
        <v>-260</v>
      </c>
      <c r="AL908" s="2">
        <v>0</v>
      </c>
      <c r="AM908" s="2">
        <v>-519</v>
      </c>
    </row>
    <row r="909" spans="1:39">
      <c r="A909" s="351">
        <v>99821</v>
      </c>
      <c r="B909" s="344" t="s">
        <v>1607</v>
      </c>
      <c r="C909" s="360">
        <v>8.81E-5</v>
      </c>
      <c r="E909" s="2">
        <v>33935</v>
      </c>
      <c r="F909" s="2">
        <v>41193</v>
      </c>
      <c r="G909" s="2">
        <v>23204</v>
      </c>
      <c r="H909" s="2">
        <v>13111</v>
      </c>
      <c r="I909" s="2">
        <v>0</v>
      </c>
      <c r="J909" s="2"/>
      <c r="K909" s="2">
        <v>16335</v>
      </c>
      <c r="L909" s="2">
        <v>15047</v>
      </c>
      <c r="M909" s="2">
        <v>8375</v>
      </c>
      <c r="N909" s="2">
        <v>0</v>
      </c>
      <c r="O909" s="2">
        <v>0</v>
      </c>
      <c r="P909" s="2"/>
      <c r="Q909" s="2">
        <v>1059</v>
      </c>
      <c r="R909" s="2">
        <v>14810</v>
      </c>
      <c r="S909" s="2">
        <v>15322</v>
      </c>
      <c r="T909" s="2">
        <v>13111</v>
      </c>
      <c r="U909" s="2">
        <v>0</v>
      </c>
      <c r="V909" s="2"/>
      <c r="W909" s="2">
        <v>12931</v>
      </c>
      <c r="X909" s="2">
        <v>10498</v>
      </c>
      <c r="Y909" s="2">
        <v>0</v>
      </c>
      <c r="Z909" s="2">
        <v>0</v>
      </c>
      <c r="AA909" s="2">
        <v>0</v>
      </c>
      <c r="AB909" s="2"/>
      <c r="AC909" s="2">
        <v>5730</v>
      </c>
      <c r="AD909" s="2">
        <v>2958</v>
      </c>
      <c r="AE909" s="2">
        <v>1627</v>
      </c>
      <c r="AF909" s="2">
        <v>0</v>
      </c>
      <c r="AG909" s="2">
        <v>0</v>
      </c>
      <c r="AH909" s="2"/>
      <c r="AI909" s="2">
        <v>-2120</v>
      </c>
      <c r="AJ909" s="2">
        <v>-2120</v>
      </c>
      <c r="AK909" s="2">
        <v>-2120</v>
      </c>
      <c r="AL909" s="2">
        <v>0</v>
      </c>
      <c r="AM909" s="2">
        <v>-2120</v>
      </c>
    </row>
    <row r="910" spans="1:39">
      <c r="A910" s="351">
        <v>99831</v>
      </c>
      <c r="B910" s="344" t="s">
        <v>1608</v>
      </c>
      <c r="C910" s="360">
        <v>5.5899999999999997E-5</v>
      </c>
      <c r="E910" s="2">
        <v>21283</v>
      </c>
      <c r="F910" s="2">
        <v>26563</v>
      </c>
      <c r="G910" s="2">
        <v>17790</v>
      </c>
      <c r="H910" s="2">
        <v>8319</v>
      </c>
      <c r="I910" s="2">
        <v>0</v>
      </c>
      <c r="J910" s="2"/>
      <c r="K910" s="2">
        <v>10364</v>
      </c>
      <c r="L910" s="2">
        <v>9547</v>
      </c>
      <c r="M910" s="2">
        <v>5314</v>
      </c>
      <c r="N910" s="2">
        <v>0</v>
      </c>
      <c r="O910" s="2">
        <v>0</v>
      </c>
      <c r="P910" s="2"/>
      <c r="Q910" s="2">
        <v>672</v>
      </c>
      <c r="R910" s="2">
        <v>9397</v>
      </c>
      <c r="S910" s="2">
        <v>9722</v>
      </c>
      <c r="T910" s="2">
        <v>8319</v>
      </c>
      <c r="U910" s="2">
        <v>0</v>
      </c>
      <c r="V910" s="2"/>
      <c r="W910" s="2">
        <v>8205</v>
      </c>
      <c r="X910" s="2">
        <v>6661</v>
      </c>
      <c r="Y910" s="2">
        <v>0</v>
      </c>
      <c r="Z910" s="2">
        <v>0</v>
      </c>
      <c r="AA910" s="2">
        <v>0</v>
      </c>
      <c r="AB910" s="2"/>
      <c r="AC910" s="2">
        <v>3842</v>
      </c>
      <c r="AD910" s="2">
        <v>2758</v>
      </c>
      <c r="AE910" s="2">
        <v>2754</v>
      </c>
      <c r="AF910" s="2">
        <v>0</v>
      </c>
      <c r="AG910" s="2">
        <v>0</v>
      </c>
      <c r="AH910" s="2"/>
      <c r="AI910" s="2">
        <v>-1800</v>
      </c>
      <c r="AJ910" s="2">
        <v>-1800</v>
      </c>
      <c r="AK910" s="2">
        <v>0</v>
      </c>
      <c r="AL910" s="2">
        <v>0</v>
      </c>
      <c r="AM910" s="2">
        <v>-1800</v>
      </c>
    </row>
    <row r="911" spans="1:39">
      <c r="A911" s="351">
        <v>99841</v>
      </c>
      <c r="B911" s="344" t="s">
        <v>1609</v>
      </c>
      <c r="C911" s="360">
        <v>5.0500000000000001E-5</v>
      </c>
      <c r="E911" s="2">
        <v>28079</v>
      </c>
      <c r="F911" s="2">
        <v>34381</v>
      </c>
      <c r="G911" s="2">
        <v>26509</v>
      </c>
      <c r="H911" s="2">
        <v>7516</v>
      </c>
      <c r="I911" s="2">
        <v>0</v>
      </c>
      <c r="J911" s="2"/>
      <c r="K911" s="2">
        <v>9363</v>
      </c>
      <c r="L911" s="2">
        <v>8625</v>
      </c>
      <c r="M911" s="2">
        <v>4800</v>
      </c>
      <c r="N911" s="2">
        <v>0</v>
      </c>
      <c r="O911" s="2">
        <v>0</v>
      </c>
      <c r="P911" s="2"/>
      <c r="Q911" s="2">
        <v>607</v>
      </c>
      <c r="R911" s="2">
        <v>8489</v>
      </c>
      <c r="S911" s="2">
        <v>8783</v>
      </c>
      <c r="T911" s="2">
        <v>7516</v>
      </c>
      <c r="U911" s="2">
        <v>0</v>
      </c>
      <c r="V911" s="2"/>
      <c r="W911" s="2">
        <v>7412</v>
      </c>
      <c r="X911" s="2">
        <v>6017</v>
      </c>
      <c r="Y911" s="2">
        <v>0</v>
      </c>
      <c r="Z911" s="2">
        <v>0</v>
      </c>
      <c r="AA911" s="2">
        <v>0</v>
      </c>
      <c r="AB911" s="2"/>
      <c r="AC911" s="2">
        <v>15091</v>
      </c>
      <c r="AD911" s="2">
        <v>15091</v>
      </c>
      <c r="AE911" s="2">
        <v>15089</v>
      </c>
      <c r="AF911" s="2">
        <v>0</v>
      </c>
      <c r="AG911" s="2">
        <v>0</v>
      </c>
      <c r="AH911" s="2"/>
      <c r="AI911" s="2">
        <v>-4394</v>
      </c>
      <c r="AJ911" s="2">
        <v>-3841</v>
      </c>
      <c r="AK911" s="2">
        <v>-2163</v>
      </c>
      <c r="AL911" s="2">
        <v>0</v>
      </c>
      <c r="AM911" s="2">
        <v>-3841</v>
      </c>
    </row>
    <row r="912" spans="1:39">
      <c r="A912" s="351">
        <v>99851</v>
      </c>
      <c r="B912" s="344" t="s">
        <v>1610</v>
      </c>
      <c r="C912" s="360">
        <v>7.5000000000000002E-6</v>
      </c>
      <c r="E912" s="2">
        <v>-1745</v>
      </c>
      <c r="F912" s="2">
        <v>-352</v>
      </c>
      <c r="G912" s="2">
        <v>-1283</v>
      </c>
      <c r="H912" s="2">
        <v>1116</v>
      </c>
      <c r="I912" s="2">
        <v>0</v>
      </c>
      <c r="J912" s="2"/>
      <c r="K912" s="2">
        <v>1391</v>
      </c>
      <c r="L912" s="2">
        <v>1281</v>
      </c>
      <c r="M912" s="2">
        <v>713</v>
      </c>
      <c r="N912" s="2">
        <v>0</v>
      </c>
      <c r="O912" s="2">
        <v>0</v>
      </c>
      <c r="P912" s="2"/>
      <c r="Q912" s="2">
        <v>90</v>
      </c>
      <c r="R912" s="2">
        <v>1261</v>
      </c>
      <c r="S912" s="2">
        <v>1304</v>
      </c>
      <c r="T912" s="2">
        <v>1116</v>
      </c>
      <c r="U912" s="2">
        <v>0</v>
      </c>
      <c r="V912" s="2"/>
      <c r="W912" s="2">
        <v>1101</v>
      </c>
      <c r="X912" s="2">
        <v>894</v>
      </c>
      <c r="Y912" s="2">
        <v>0</v>
      </c>
      <c r="Z912" s="2">
        <v>0</v>
      </c>
      <c r="AA912" s="2">
        <v>0</v>
      </c>
      <c r="AB912" s="2"/>
      <c r="AC912" s="2">
        <v>0</v>
      </c>
      <c r="AD912" s="2">
        <v>0</v>
      </c>
      <c r="AE912" s="2">
        <v>0</v>
      </c>
      <c r="AF912" s="2">
        <v>0</v>
      </c>
      <c r="AG912" s="2">
        <v>0</v>
      </c>
      <c r="AH912" s="2"/>
      <c r="AI912" s="2">
        <v>-4327</v>
      </c>
      <c r="AJ912" s="2">
        <v>-3788</v>
      </c>
      <c r="AK912" s="2">
        <v>-3300</v>
      </c>
      <c r="AL912" s="2">
        <v>0</v>
      </c>
      <c r="AM912" s="2">
        <v>-3788</v>
      </c>
    </row>
    <row r="913" spans="1:92">
      <c r="A913" s="351">
        <v>99901</v>
      </c>
      <c r="B913" s="344" t="s">
        <v>1611</v>
      </c>
      <c r="C913" s="360">
        <v>1.5862999999999999E-3</v>
      </c>
      <c r="E913" s="2">
        <v>515153</v>
      </c>
      <c r="F913" s="2">
        <v>691459</v>
      </c>
      <c r="G913" s="2">
        <v>411529</v>
      </c>
      <c r="H913" s="2">
        <v>236076</v>
      </c>
      <c r="I913" s="2">
        <v>0</v>
      </c>
      <c r="J913" s="2"/>
      <c r="K913" s="2">
        <v>294114</v>
      </c>
      <c r="L913" s="2">
        <v>270931</v>
      </c>
      <c r="M913" s="2">
        <v>150791</v>
      </c>
      <c r="N913" s="2">
        <v>0</v>
      </c>
      <c r="O913" s="2">
        <v>0</v>
      </c>
      <c r="P913" s="2"/>
      <c r="Q913" s="2">
        <v>19066</v>
      </c>
      <c r="R913" s="2">
        <v>266665</v>
      </c>
      <c r="S913" s="2">
        <v>275886</v>
      </c>
      <c r="T913" s="2">
        <v>236076</v>
      </c>
      <c r="U913" s="2">
        <v>0</v>
      </c>
      <c r="V913" s="2"/>
      <c r="W913" s="2">
        <v>232831</v>
      </c>
      <c r="X913" s="2">
        <v>189019</v>
      </c>
      <c r="Y913" s="2">
        <v>0</v>
      </c>
      <c r="Z913" s="2">
        <v>0</v>
      </c>
      <c r="AA913" s="2">
        <v>0</v>
      </c>
      <c r="AB913" s="2"/>
      <c r="AC913" s="2">
        <v>4297</v>
      </c>
      <c r="AD913" s="2">
        <v>0</v>
      </c>
      <c r="AE913" s="2">
        <v>0</v>
      </c>
      <c r="AF913" s="2">
        <v>0</v>
      </c>
      <c r="AG913" s="2">
        <v>0</v>
      </c>
      <c r="AH913" s="2"/>
      <c r="AI913" s="2">
        <v>-35155</v>
      </c>
      <c r="AJ913" s="2">
        <v>-35156</v>
      </c>
      <c r="AK913" s="2">
        <v>-15148</v>
      </c>
      <c r="AL913" s="2">
        <v>0</v>
      </c>
      <c r="AM913" s="2">
        <v>-35156</v>
      </c>
      <c r="AN913" s="244"/>
      <c r="AO913" s="244"/>
      <c r="AP913" s="244"/>
      <c r="AQ913" s="244"/>
      <c r="AR913" s="244"/>
      <c r="AS913" s="244"/>
      <c r="AT913" s="244"/>
      <c r="AU913" s="244"/>
      <c r="AV913" s="244"/>
      <c r="AW913" s="244"/>
      <c r="AX913" s="244"/>
      <c r="AY913" s="244"/>
      <c r="AZ913" s="244"/>
      <c r="BA913" s="244"/>
      <c r="BB913" s="244"/>
      <c r="BC913" s="244"/>
      <c r="BD913" s="244"/>
      <c r="BE913" s="244"/>
      <c r="BF913" s="244"/>
      <c r="BG913" s="244"/>
      <c r="BH913" s="244"/>
      <c r="BI913" s="244"/>
      <c r="BJ913" s="244"/>
      <c r="BK913" s="244"/>
      <c r="BL913" s="244"/>
      <c r="BM913" s="244"/>
      <c r="BN913" s="244"/>
      <c r="BO913" s="244"/>
      <c r="BP913" s="244"/>
      <c r="BQ913" s="244"/>
      <c r="BR913" s="244"/>
      <c r="BS913" s="244"/>
      <c r="BT913" s="244"/>
      <c r="BU913" s="244"/>
      <c r="BV913" s="244"/>
      <c r="BW913" s="244"/>
      <c r="BX913" s="244"/>
      <c r="BY913" s="244"/>
      <c r="BZ913" s="244"/>
      <c r="CA913" s="244"/>
      <c r="CB913" s="244"/>
      <c r="CC913" s="244"/>
      <c r="CD913" s="244"/>
      <c r="CE913" s="244"/>
      <c r="CF913" s="244"/>
      <c r="CG913" s="244"/>
      <c r="CH913" s="244"/>
      <c r="CI913" s="244"/>
      <c r="CJ913" s="244"/>
      <c r="CK913" s="244"/>
      <c r="CL913" s="244"/>
      <c r="CM913" s="244"/>
      <c r="CN913" s="244"/>
    </row>
    <row r="914" spans="1:92" s="243" customFormat="1">
      <c r="A914" s="351">
        <v>99911</v>
      </c>
      <c r="B914" s="344" t="s">
        <v>1612</v>
      </c>
      <c r="C914" s="360">
        <v>2.4049999999999999E-4</v>
      </c>
      <c r="D914"/>
      <c r="E914" s="2">
        <v>96650</v>
      </c>
      <c r="F914" s="2">
        <v>122698</v>
      </c>
      <c r="G914" s="2">
        <v>78964</v>
      </c>
      <c r="H914" s="2">
        <v>35792</v>
      </c>
      <c r="I914" s="2">
        <v>0</v>
      </c>
      <c r="J914" s="2"/>
      <c r="K914" s="2">
        <v>44591</v>
      </c>
      <c r="L914" s="2">
        <v>41076</v>
      </c>
      <c r="M914" s="2">
        <v>22861</v>
      </c>
      <c r="N914" s="2">
        <v>0</v>
      </c>
      <c r="O914" s="2">
        <v>0</v>
      </c>
      <c r="P914" s="2"/>
      <c r="Q914" s="2">
        <v>2891</v>
      </c>
      <c r="R914" s="2">
        <v>40429</v>
      </c>
      <c r="S914" s="2">
        <v>41827</v>
      </c>
      <c r="T914" s="2">
        <v>35792</v>
      </c>
      <c r="U914" s="2">
        <v>0</v>
      </c>
      <c r="V914" s="2"/>
      <c r="W914" s="2">
        <v>35300</v>
      </c>
      <c r="X914" s="2">
        <v>28657</v>
      </c>
      <c r="Y914" s="2">
        <v>0</v>
      </c>
      <c r="Z914" s="2">
        <v>0</v>
      </c>
      <c r="AA914" s="2">
        <v>0</v>
      </c>
      <c r="AB914" s="2"/>
      <c r="AC914" s="2">
        <v>15606</v>
      </c>
      <c r="AD914" s="2">
        <v>14275</v>
      </c>
      <c r="AE914" s="2">
        <v>14276</v>
      </c>
      <c r="AF914" s="2">
        <v>0</v>
      </c>
      <c r="AG914" s="2">
        <v>0</v>
      </c>
      <c r="AH914" s="2"/>
      <c r="AI914" s="2">
        <v>-1738</v>
      </c>
      <c r="AJ914" s="2">
        <v>-1739</v>
      </c>
      <c r="AK914" s="2">
        <v>0</v>
      </c>
      <c r="AL914" s="2">
        <v>0</v>
      </c>
      <c r="AM914" s="2">
        <v>-1739</v>
      </c>
      <c r="AN914" s="245"/>
      <c r="AO914" s="245"/>
      <c r="AP914" s="245"/>
      <c r="AQ914" s="245"/>
      <c r="AR914" s="245"/>
      <c r="AS914" s="245"/>
      <c r="AT914" s="245"/>
      <c r="AU914" s="245"/>
      <c r="AV914" s="245"/>
      <c r="AW914" s="245"/>
      <c r="AX914" s="245"/>
      <c r="AY914" s="245"/>
      <c r="AZ914" s="245"/>
      <c r="BA914" s="245"/>
      <c r="BB914" s="245"/>
      <c r="BC914" s="245"/>
      <c r="BD914" s="245"/>
      <c r="BE914" s="245"/>
      <c r="BF914" s="245"/>
      <c r="BG914" s="245"/>
      <c r="BH914" s="245"/>
      <c r="BI914" s="245"/>
      <c r="BJ914" s="245"/>
      <c r="BK914" s="245"/>
      <c r="BL914" s="245"/>
      <c r="BM914" s="245"/>
      <c r="BN914" s="245"/>
      <c r="BO914" s="245"/>
      <c r="BP914" s="245"/>
      <c r="BQ914" s="245"/>
      <c r="BR914" s="245"/>
      <c r="BS914" s="245"/>
      <c r="BT914" s="245"/>
      <c r="BU914" s="245"/>
      <c r="BV914" s="245"/>
      <c r="BW914" s="245"/>
      <c r="BX914" s="245"/>
      <c r="BY914" s="245"/>
      <c r="BZ914" s="245"/>
      <c r="CA914" s="245"/>
      <c r="CB914" s="245"/>
      <c r="CC914" s="245"/>
      <c r="CD914" s="245"/>
      <c r="CE914" s="245"/>
      <c r="CF914" s="245"/>
      <c r="CG914" s="245"/>
      <c r="CH914" s="245"/>
      <c r="CI914" s="245"/>
      <c r="CJ914" s="245"/>
      <c r="CK914" s="245"/>
      <c r="CL914" s="245"/>
      <c r="CM914" s="245"/>
      <c r="CN914" s="245"/>
    </row>
    <row r="915" spans="1:92">
      <c r="A915" s="351">
        <v>99921</v>
      </c>
      <c r="B915" s="344" t="s">
        <v>1613</v>
      </c>
      <c r="C915" s="360">
        <v>1.484E-4</v>
      </c>
      <c r="E915" s="2">
        <v>53249</v>
      </c>
      <c r="F915" s="2">
        <v>71058</v>
      </c>
      <c r="G915" s="2">
        <v>47202</v>
      </c>
      <c r="H915" s="2">
        <v>22085</v>
      </c>
      <c r="I915" s="2">
        <v>0</v>
      </c>
      <c r="J915" s="2"/>
      <c r="K915" s="2">
        <v>27515</v>
      </c>
      <c r="L915" s="2">
        <v>25346</v>
      </c>
      <c r="M915" s="2">
        <v>14107</v>
      </c>
      <c r="N915" s="2">
        <v>0</v>
      </c>
      <c r="O915" s="2">
        <v>0</v>
      </c>
      <c r="P915" s="2"/>
      <c r="Q915" s="2">
        <v>1784</v>
      </c>
      <c r="R915" s="2">
        <v>24947</v>
      </c>
      <c r="S915" s="2">
        <v>25809</v>
      </c>
      <c r="T915" s="2">
        <v>22085</v>
      </c>
      <c r="U915" s="2">
        <v>0</v>
      </c>
      <c r="V915" s="2"/>
      <c r="W915" s="2">
        <v>21782</v>
      </c>
      <c r="X915" s="2">
        <v>17683</v>
      </c>
      <c r="Y915" s="2">
        <v>0</v>
      </c>
      <c r="Z915" s="2">
        <v>0</v>
      </c>
      <c r="AA915" s="2">
        <v>0</v>
      </c>
      <c r="AB915" s="2"/>
      <c r="AC915" s="2">
        <v>7286</v>
      </c>
      <c r="AD915" s="2">
        <v>7286</v>
      </c>
      <c r="AE915" s="2">
        <v>7286</v>
      </c>
      <c r="AF915" s="2">
        <v>0</v>
      </c>
      <c r="AG915" s="2">
        <v>0</v>
      </c>
      <c r="AH915" s="2"/>
      <c r="AI915" s="2">
        <v>-5118</v>
      </c>
      <c r="AJ915" s="2">
        <v>-4204</v>
      </c>
      <c r="AK915" s="2">
        <v>0</v>
      </c>
      <c r="AL915" s="2">
        <v>0</v>
      </c>
      <c r="AM915" s="2">
        <v>-4204</v>
      </c>
      <c r="AN915" s="244"/>
      <c r="AO915" s="244"/>
      <c r="AP915" s="244"/>
      <c r="AQ915" s="244"/>
      <c r="AR915" s="244"/>
      <c r="AS915" s="244"/>
      <c r="AT915" s="244"/>
      <c r="AU915" s="244"/>
      <c r="AV915" s="244"/>
      <c r="AW915" s="244"/>
      <c r="AX915" s="244"/>
      <c r="AY915" s="244"/>
      <c r="AZ915" s="244"/>
      <c r="BA915" s="244"/>
      <c r="BB915" s="244"/>
      <c r="BC915" s="244"/>
      <c r="BD915" s="244"/>
      <c r="BE915" s="244"/>
      <c r="BF915" s="244"/>
      <c r="BG915" s="244"/>
      <c r="BH915" s="244"/>
      <c r="BI915" s="244"/>
      <c r="BJ915" s="244"/>
      <c r="BK915" s="244"/>
      <c r="BL915" s="244"/>
      <c r="BM915" s="244"/>
      <c r="BN915" s="244"/>
      <c r="BO915" s="244"/>
      <c r="BP915" s="244"/>
      <c r="BQ915" s="244"/>
      <c r="BR915" s="244"/>
      <c r="BS915" s="244"/>
      <c r="BT915" s="244"/>
      <c r="BU915" s="244"/>
      <c r="BV915" s="244"/>
      <c r="BW915" s="244"/>
      <c r="BX915" s="244"/>
      <c r="BY915" s="244"/>
      <c r="BZ915" s="244"/>
      <c r="CA915" s="244"/>
      <c r="CB915" s="244"/>
      <c r="CC915" s="244"/>
      <c r="CD915" s="244"/>
      <c r="CE915" s="244"/>
      <c r="CF915" s="244"/>
      <c r="CG915" s="244"/>
      <c r="CH915" s="244"/>
      <c r="CI915" s="244"/>
      <c r="CJ915" s="244"/>
      <c r="CK915" s="244"/>
      <c r="CL915" s="244"/>
      <c r="CM915" s="244"/>
      <c r="CN915" s="244"/>
    </row>
    <row r="916" spans="1:92">
      <c r="A916" s="351">
        <v>99931</v>
      </c>
      <c r="B916" s="344" t="s">
        <v>1614</v>
      </c>
      <c r="C916" s="360">
        <v>2.4899999999999999E-5</v>
      </c>
      <c r="E916" s="2">
        <v>10343</v>
      </c>
      <c r="F916" s="2">
        <v>14411</v>
      </c>
      <c r="G916" s="2">
        <v>9302</v>
      </c>
      <c r="H916" s="2">
        <v>3706</v>
      </c>
      <c r="I916" s="2">
        <v>0</v>
      </c>
      <c r="J916" s="2"/>
      <c r="K916" s="2">
        <v>4617</v>
      </c>
      <c r="L916" s="2">
        <v>4253</v>
      </c>
      <c r="M916" s="2">
        <v>2367</v>
      </c>
      <c r="N916" s="2">
        <v>0</v>
      </c>
      <c r="O916" s="2">
        <v>0</v>
      </c>
      <c r="P916" s="2"/>
      <c r="Q916" s="2">
        <v>299</v>
      </c>
      <c r="R916" s="2">
        <v>4186</v>
      </c>
      <c r="S916" s="2">
        <v>4331</v>
      </c>
      <c r="T916" s="2">
        <v>3706</v>
      </c>
      <c r="U916" s="2">
        <v>0</v>
      </c>
      <c r="V916" s="2"/>
      <c r="W916" s="2">
        <v>3655</v>
      </c>
      <c r="X916" s="2">
        <v>2967</v>
      </c>
      <c r="Y916" s="2">
        <v>0</v>
      </c>
      <c r="Z916" s="2">
        <v>0</v>
      </c>
      <c r="AA916" s="2">
        <v>0</v>
      </c>
      <c r="AB916" s="2"/>
      <c r="AC916" s="2">
        <v>3007</v>
      </c>
      <c r="AD916" s="2">
        <v>3005</v>
      </c>
      <c r="AE916" s="2">
        <v>2604</v>
      </c>
      <c r="AF916" s="2">
        <v>0</v>
      </c>
      <c r="AG916" s="2">
        <v>0</v>
      </c>
      <c r="AH916" s="2"/>
      <c r="AI916" s="2">
        <v>-1235</v>
      </c>
      <c r="AJ916" s="2">
        <v>0</v>
      </c>
      <c r="AK916" s="2">
        <v>0</v>
      </c>
      <c r="AL916" s="2">
        <v>0</v>
      </c>
      <c r="AM916" s="2">
        <v>0</v>
      </c>
      <c r="AN916" s="244"/>
      <c r="AO916" s="244"/>
      <c r="AP916" s="244"/>
      <c r="AQ916" s="244"/>
      <c r="AR916" s="244"/>
      <c r="AS916" s="244"/>
      <c r="AT916" s="244"/>
      <c r="AU916" s="244"/>
      <c r="AV916" s="244"/>
      <c r="AW916" s="244"/>
      <c r="AX916" s="244"/>
      <c r="AY916" s="244"/>
      <c r="AZ916" s="244"/>
      <c r="BA916" s="244"/>
      <c r="BB916" s="244"/>
      <c r="BC916" s="244"/>
      <c r="BD916" s="244"/>
      <c r="BE916" s="244"/>
      <c r="BF916" s="244"/>
      <c r="BG916" s="244"/>
      <c r="BH916" s="244"/>
      <c r="BI916" s="244"/>
      <c r="BJ916" s="244"/>
      <c r="BK916" s="244"/>
      <c r="BL916" s="244"/>
      <c r="BM916" s="244"/>
      <c r="BN916" s="244"/>
      <c r="BO916" s="244"/>
      <c r="BP916" s="244"/>
      <c r="BQ916" s="244"/>
      <c r="BR916" s="244"/>
      <c r="BS916" s="244"/>
      <c r="BT916" s="244"/>
      <c r="BU916" s="244"/>
      <c r="BV916" s="244"/>
      <c r="BW916" s="244"/>
      <c r="BX916" s="244"/>
      <c r="BY916" s="244"/>
      <c r="BZ916" s="244"/>
      <c r="CA916" s="244"/>
      <c r="CB916" s="244"/>
      <c r="CC916" s="244"/>
      <c r="CD916" s="244"/>
      <c r="CE916" s="244"/>
      <c r="CF916" s="244"/>
      <c r="CG916" s="244"/>
      <c r="CH916" s="244"/>
      <c r="CI916" s="244"/>
      <c r="CJ916" s="244"/>
      <c r="CK916" s="244"/>
      <c r="CL916" s="244"/>
      <c r="CM916" s="244"/>
      <c r="CN916" s="244"/>
    </row>
    <row r="917" spans="1:92">
      <c r="A917" s="351">
        <v>99941</v>
      </c>
      <c r="B917" s="344" t="s">
        <v>1615</v>
      </c>
      <c r="C917" s="360">
        <v>5.9200000000000002E-5</v>
      </c>
      <c r="E917" s="2">
        <v>9501</v>
      </c>
      <c r="F917" s="2">
        <v>17100</v>
      </c>
      <c r="G917" s="2">
        <v>6409</v>
      </c>
      <c r="H917" s="2">
        <v>8810</v>
      </c>
      <c r="I917" s="2">
        <v>0</v>
      </c>
      <c r="J917" s="2"/>
      <c r="K917" s="2">
        <v>10976</v>
      </c>
      <c r="L917" s="2">
        <v>10111</v>
      </c>
      <c r="M917" s="2">
        <v>5627</v>
      </c>
      <c r="N917" s="2">
        <v>0</v>
      </c>
      <c r="O917" s="2">
        <v>0</v>
      </c>
      <c r="P917" s="2"/>
      <c r="Q917" s="2">
        <v>712</v>
      </c>
      <c r="R917" s="2">
        <v>9952</v>
      </c>
      <c r="S917" s="2">
        <v>10296</v>
      </c>
      <c r="T917" s="2">
        <v>8810</v>
      </c>
      <c r="U917" s="2">
        <v>0</v>
      </c>
      <c r="V917" s="2"/>
      <c r="W917" s="2">
        <v>8689</v>
      </c>
      <c r="X917" s="2">
        <v>7054</v>
      </c>
      <c r="Y917" s="2">
        <v>0</v>
      </c>
      <c r="Z917" s="2">
        <v>0</v>
      </c>
      <c r="AA917" s="2">
        <v>0</v>
      </c>
      <c r="AB917" s="2"/>
      <c r="AC917" s="2">
        <v>0</v>
      </c>
      <c r="AD917" s="2">
        <v>0</v>
      </c>
      <c r="AE917" s="2">
        <v>0</v>
      </c>
      <c r="AF917" s="2">
        <v>0</v>
      </c>
      <c r="AG917" s="2">
        <v>0</v>
      </c>
      <c r="AH917" s="2"/>
      <c r="AI917" s="2">
        <v>-10876</v>
      </c>
      <c r="AJ917" s="2">
        <v>-10017</v>
      </c>
      <c r="AK917" s="2">
        <v>-9514</v>
      </c>
      <c r="AL917" s="2">
        <v>0</v>
      </c>
      <c r="AM917" s="2">
        <v>-10017</v>
      </c>
      <c r="AN917" s="244"/>
      <c r="AO917" s="244"/>
      <c r="AP917" s="244"/>
      <c r="AQ917" s="244"/>
      <c r="AR917" s="244"/>
      <c r="AS917" s="244"/>
      <c r="AT917" s="244"/>
      <c r="AU917" s="244"/>
      <c r="AV917" s="244"/>
      <c r="AW917" s="244"/>
      <c r="AX917" s="244"/>
      <c r="AY917" s="244"/>
      <c r="AZ917" s="244"/>
      <c r="BA917" s="244"/>
      <c r="BB917" s="244"/>
      <c r="BC917" s="244"/>
      <c r="BD917" s="244"/>
      <c r="BE917" s="244"/>
      <c r="BF917" s="244"/>
      <c r="BG917" s="244"/>
      <c r="BH917" s="244"/>
      <c r="BI917" s="244"/>
      <c r="BJ917" s="244"/>
      <c r="BK917" s="244"/>
      <c r="BL917" s="244"/>
      <c r="BM917" s="244"/>
      <c r="BN917" s="244"/>
      <c r="BO917" s="244"/>
      <c r="BP917" s="244"/>
      <c r="BQ917" s="244"/>
      <c r="BR917" s="244"/>
      <c r="BS917" s="244"/>
      <c r="BT917" s="244"/>
      <c r="BU917" s="244"/>
      <c r="BV917" s="244"/>
      <c r="BW917" s="244"/>
      <c r="BX917" s="244"/>
      <c r="BY917" s="244"/>
      <c r="BZ917" s="244"/>
      <c r="CA917" s="244"/>
      <c r="CB917" s="244"/>
      <c r="CC917" s="244"/>
      <c r="CD917" s="244"/>
      <c r="CE917" s="244"/>
      <c r="CF917" s="244"/>
      <c r="CG917" s="244"/>
      <c r="CH917" s="244"/>
      <c r="CI917" s="244"/>
      <c r="CJ917" s="244"/>
      <c r="CK917" s="244"/>
      <c r="CL917" s="244"/>
      <c r="CM917" s="244"/>
      <c r="CN917" s="244"/>
    </row>
    <row r="918" spans="1:92">
      <c r="A918" s="351">
        <v>99991</v>
      </c>
      <c r="B918" s="344" t="s">
        <v>3716</v>
      </c>
      <c r="C918" s="360">
        <v>4.4270000000000003E-4</v>
      </c>
      <c r="E918" s="2">
        <v>117617</v>
      </c>
      <c r="F918" s="2">
        <v>175074</v>
      </c>
      <c r="G918" s="2">
        <v>92983</v>
      </c>
      <c r="H918" s="2">
        <v>65883</v>
      </c>
      <c r="I918" s="2">
        <v>0</v>
      </c>
      <c r="J918" s="2"/>
      <c r="K918" s="2">
        <v>82081</v>
      </c>
      <c r="L918" s="2">
        <v>75611</v>
      </c>
      <c r="M918" s="2">
        <v>42082</v>
      </c>
      <c r="N918" s="2">
        <v>0</v>
      </c>
      <c r="O918" s="2">
        <v>0</v>
      </c>
      <c r="P918" s="2"/>
      <c r="Q918" s="2">
        <v>5321</v>
      </c>
      <c r="R918" s="2">
        <v>74420</v>
      </c>
      <c r="S918" s="2">
        <v>76993</v>
      </c>
      <c r="T918" s="2">
        <v>65883</v>
      </c>
      <c r="U918" s="2">
        <v>0</v>
      </c>
      <c r="V918" s="2"/>
      <c r="W918" s="2">
        <v>64978</v>
      </c>
      <c r="X918" s="2">
        <v>52751</v>
      </c>
      <c r="Y918" s="2">
        <v>0</v>
      </c>
      <c r="Z918" s="2">
        <v>0</v>
      </c>
      <c r="AA918" s="2">
        <v>0</v>
      </c>
      <c r="AB918" s="2"/>
      <c r="AC918" s="2">
        <v>0</v>
      </c>
      <c r="AD918" s="2">
        <v>0</v>
      </c>
      <c r="AE918" s="2">
        <v>0</v>
      </c>
      <c r="AF918" s="2">
        <v>0</v>
      </c>
      <c r="AG918" s="2">
        <v>0</v>
      </c>
      <c r="AH918" s="2"/>
      <c r="AI918" s="2">
        <v>-34763</v>
      </c>
      <c r="AJ918" s="2">
        <v>-27708</v>
      </c>
      <c r="AK918" s="2">
        <v>-26092</v>
      </c>
      <c r="AL918" s="2">
        <v>0</v>
      </c>
      <c r="AM918" s="2">
        <v>-27708</v>
      </c>
      <c r="AN918" s="244"/>
      <c r="AO918" s="244"/>
      <c r="AP918" s="244"/>
      <c r="AQ918" s="244"/>
      <c r="AR918" s="244"/>
      <c r="AS918" s="244"/>
      <c r="AT918" s="244"/>
      <c r="AU918" s="244"/>
      <c r="AV918" s="244"/>
      <c r="AW918" s="244"/>
      <c r="AX918" s="244"/>
      <c r="AY918" s="244"/>
      <c r="AZ918" s="244"/>
      <c r="BA918" s="244"/>
      <c r="BB918" s="244"/>
      <c r="BC918" s="244"/>
      <c r="BD918" s="244"/>
      <c r="BE918" s="244"/>
      <c r="BF918" s="244"/>
      <c r="BG918" s="244"/>
      <c r="BH918" s="244"/>
      <c r="BI918" s="244"/>
      <c r="BJ918" s="244"/>
      <c r="BK918" s="244"/>
      <c r="BL918" s="244"/>
      <c r="BM918" s="244"/>
      <c r="BN918" s="244"/>
      <c r="BO918" s="244"/>
      <c r="BP918" s="244"/>
      <c r="BQ918" s="244"/>
      <c r="BR918" s="244"/>
      <c r="BS918" s="244"/>
      <c r="BT918" s="244"/>
      <c r="BU918" s="244"/>
      <c r="BV918" s="244"/>
      <c r="BW918" s="244"/>
      <c r="BX918" s="244"/>
      <c r="BY918" s="244"/>
      <c r="BZ918" s="244"/>
      <c r="CA918" s="244"/>
      <c r="CB918" s="244"/>
      <c r="CC918" s="244"/>
      <c r="CD918" s="244"/>
      <c r="CE918" s="244"/>
      <c r="CF918" s="244"/>
      <c r="CG918" s="244"/>
      <c r="CH918" s="244"/>
      <c r="CI918" s="244"/>
      <c r="CJ918" s="244"/>
      <c r="CK918" s="244"/>
      <c r="CL918" s="244"/>
      <c r="CM918" s="244"/>
      <c r="CN918" s="244"/>
    </row>
    <row r="919" spans="1:92">
      <c r="A919" s="351">
        <v>99999</v>
      </c>
      <c r="B919" s="344" t="s">
        <v>3717</v>
      </c>
      <c r="C919" s="360">
        <v>1.0007E-3</v>
      </c>
      <c r="E919" s="2">
        <v>417420</v>
      </c>
      <c r="F919" s="2">
        <v>532491</v>
      </c>
      <c r="G919" s="2">
        <v>319463</v>
      </c>
      <c r="H919" s="2">
        <v>148926</v>
      </c>
      <c r="I919" s="2">
        <v>0</v>
      </c>
      <c r="J919" s="2"/>
      <c r="K919" s="2">
        <v>185539</v>
      </c>
      <c r="L919" s="2">
        <v>170914</v>
      </c>
      <c r="M919" s="2">
        <v>95125</v>
      </c>
      <c r="N919" s="2">
        <v>0</v>
      </c>
      <c r="O919" s="2">
        <v>0</v>
      </c>
      <c r="P919" s="2"/>
      <c r="Q919" s="2">
        <v>12027</v>
      </c>
      <c r="R919" s="2">
        <v>168223</v>
      </c>
      <c r="S919" s="2">
        <v>174040</v>
      </c>
      <c r="T919" s="2">
        <v>148926</v>
      </c>
      <c r="U919" s="2">
        <v>0</v>
      </c>
      <c r="V919" s="2"/>
      <c r="W919" s="2">
        <v>146879</v>
      </c>
      <c r="X919" s="2">
        <v>119240</v>
      </c>
      <c r="Y919" s="2">
        <v>0</v>
      </c>
      <c r="Z919" s="2">
        <v>0</v>
      </c>
      <c r="AA919" s="2">
        <v>0</v>
      </c>
      <c r="AB919" s="2"/>
      <c r="AC919" s="2">
        <v>74116</v>
      </c>
      <c r="AD919" s="2">
        <v>74114</v>
      </c>
      <c r="AE919" s="2">
        <v>50298</v>
      </c>
      <c r="AF919" s="2">
        <v>0</v>
      </c>
      <c r="AG919" s="2">
        <v>0</v>
      </c>
      <c r="AH919" s="2"/>
      <c r="AI919" s="2">
        <v>-1141</v>
      </c>
      <c r="AJ919" s="2">
        <v>0</v>
      </c>
      <c r="AK919" s="2">
        <v>0</v>
      </c>
      <c r="AL919" s="2">
        <v>0</v>
      </c>
      <c r="AM919" s="2">
        <v>0</v>
      </c>
      <c r="AN919" s="244"/>
      <c r="AO919" s="244"/>
      <c r="AP919" s="244"/>
      <c r="AQ919" s="244"/>
      <c r="AR919" s="244"/>
      <c r="AS919" s="244"/>
      <c r="AT919" s="244"/>
      <c r="AU919" s="244"/>
      <c r="AV919" s="244"/>
      <c r="AW919" s="244"/>
      <c r="AX919" s="244"/>
      <c r="AY919" s="244"/>
      <c r="AZ919" s="244"/>
      <c r="BA919" s="244"/>
      <c r="BB919" s="244"/>
      <c r="BC919" s="244"/>
      <c r="BD919" s="244"/>
      <c r="BE919" s="244"/>
      <c r="BF919" s="244"/>
      <c r="BG919" s="244"/>
      <c r="BH919" s="244"/>
      <c r="BI919" s="244"/>
      <c r="BJ919" s="244"/>
      <c r="BK919" s="244"/>
      <c r="BL919" s="244"/>
      <c r="BM919" s="244"/>
      <c r="BN919" s="244"/>
      <c r="BO919" s="244"/>
      <c r="BP919" s="244"/>
      <c r="BQ919" s="244"/>
      <c r="BR919" s="244"/>
      <c r="BS919" s="244"/>
      <c r="BT919" s="244"/>
      <c r="BU919" s="244"/>
      <c r="BV919" s="244"/>
      <c r="BW919" s="244"/>
      <c r="BX919" s="244"/>
      <c r="BY919" s="244"/>
      <c r="BZ919" s="244"/>
      <c r="CA919" s="244"/>
      <c r="CB919" s="244"/>
      <c r="CC919" s="244"/>
      <c r="CD919" s="244"/>
      <c r="CE919" s="244"/>
      <c r="CF919" s="244"/>
      <c r="CG919" s="244"/>
      <c r="CH919" s="244"/>
      <c r="CI919" s="244"/>
      <c r="CJ919" s="244"/>
      <c r="CK919" s="244"/>
      <c r="CL919" s="244"/>
      <c r="CM919" s="244"/>
      <c r="CN919" s="244"/>
    </row>
    <row r="920" spans="1:92">
      <c r="A920" s="379">
        <v>91119</v>
      </c>
      <c r="B920" t="s">
        <v>48</v>
      </c>
      <c r="C920" s="380">
        <v>0</v>
      </c>
      <c r="D920" s="380"/>
      <c r="E920" s="2">
        <v>0</v>
      </c>
      <c r="F920" s="2">
        <v>0</v>
      </c>
      <c r="G920" s="2">
        <v>0</v>
      </c>
      <c r="H920" s="2">
        <v>0</v>
      </c>
      <c r="I920" s="2">
        <v>0</v>
      </c>
      <c r="J920" s="2"/>
      <c r="K920" s="2">
        <v>0</v>
      </c>
      <c r="L920" s="2">
        <v>0</v>
      </c>
      <c r="M920" s="2">
        <v>0</v>
      </c>
      <c r="N920" s="2">
        <v>0</v>
      </c>
      <c r="O920" s="2">
        <v>0</v>
      </c>
      <c r="P920" s="2"/>
      <c r="Q920" s="2">
        <v>0</v>
      </c>
      <c r="R920" s="2">
        <v>0</v>
      </c>
      <c r="S920" s="2">
        <v>0</v>
      </c>
      <c r="T920" s="2">
        <v>0</v>
      </c>
      <c r="U920" s="2">
        <v>0</v>
      </c>
      <c r="V920" s="2"/>
      <c r="W920" s="2">
        <v>0</v>
      </c>
      <c r="X920" s="2">
        <v>0</v>
      </c>
      <c r="Y920" s="2">
        <v>0</v>
      </c>
      <c r="Z920" s="2">
        <v>0</v>
      </c>
      <c r="AA920" s="2">
        <v>0</v>
      </c>
      <c r="AB920" s="2"/>
      <c r="AC920" s="2">
        <v>0</v>
      </c>
      <c r="AD920" s="2">
        <v>0</v>
      </c>
      <c r="AE920" s="2">
        <v>0</v>
      </c>
      <c r="AF920" s="2">
        <v>0</v>
      </c>
      <c r="AG920" s="2">
        <v>0</v>
      </c>
      <c r="AH920" s="2"/>
      <c r="AI920" s="2">
        <v>0</v>
      </c>
      <c r="AJ920" s="2">
        <v>0</v>
      </c>
      <c r="AK920" s="2">
        <v>0</v>
      </c>
      <c r="AL920" s="2">
        <v>0</v>
      </c>
      <c r="AM920" s="2">
        <v>0</v>
      </c>
      <c r="AN920" s="244"/>
      <c r="AO920" s="244"/>
      <c r="AP920" s="244"/>
      <c r="AQ920" s="244"/>
      <c r="AR920" s="244"/>
      <c r="AS920" s="244"/>
      <c r="AT920" s="244"/>
      <c r="AU920" s="244"/>
      <c r="AV920" s="244"/>
      <c r="AW920" s="244"/>
      <c r="AX920" s="244"/>
      <c r="AY920" s="244"/>
      <c r="AZ920" s="244"/>
      <c r="BA920" s="244"/>
      <c r="BB920" s="244"/>
      <c r="BC920" s="244"/>
      <c r="BD920" s="244"/>
      <c r="BE920" s="244"/>
      <c r="BF920" s="244"/>
      <c r="BG920" s="244"/>
      <c r="BH920" s="244"/>
      <c r="BI920" s="244"/>
      <c r="BJ920" s="244"/>
      <c r="BK920" s="244"/>
      <c r="BL920" s="244"/>
      <c r="BM920" s="244"/>
      <c r="BN920" s="244"/>
      <c r="BO920" s="244"/>
      <c r="BP920" s="244"/>
      <c r="BQ920" s="244"/>
      <c r="BR920" s="244"/>
      <c r="BS920" s="244"/>
      <c r="BT920" s="244"/>
      <c r="BU920" s="244"/>
      <c r="BV920" s="244"/>
      <c r="BW920" s="244"/>
      <c r="BX920" s="244"/>
      <c r="BY920" s="244"/>
      <c r="BZ920" s="244"/>
      <c r="CA920" s="244"/>
      <c r="CB920" s="244"/>
      <c r="CC920" s="244"/>
      <c r="CD920" s="244"/>
      <c r="CE920" s="244"/>
      <c r="CF920" s="244"/>
      <c r="CG920" s="244"/>
      <c r="CH920" s="244"/>
      <c r="CI920" s="244"/>
      <c r="CJ920" s="244"/>
      <c r="CK920" s="244"/>
      <c r="CL920" s="244"/>
      <c r="CM920" s="244"/>
      <c r="CN920" s="244"/>
    </row>
    <row r="921" spans="1:92">
      <c r="A921" s="379">
        <v>93677</v>
      </c>
      <c r="B921" t="s">
        <v>98</v>
      </c>
      <c r="C921" s="380">
        <v>0</v>
      </c>
      <c r="D921" s="380"/>
      <c r="E921" s="2">
        <v>0</v>
      </c>
      <c r="F921" s="2">
        <v>0</v>
      </c>
      <c r="G921" s="2">
        <v>0</v>
      </c>
      <c r="H921" s="2">
        <v>0</v>
      </c>
      <c r="I921" s="2">
        <v>0</v>
      </c>
      <c r="J921" s="2"/>
      <c r="K921" s="2">
        <v>0</v>
      </c>
      <c r="L921" s="2">
        <v>0</v>
      </c>
      <c r="M921" s="2">
        <v>0</v>
      </c>
      <c r="N921" s="2">
        <v>0</v>
      </c>
      <c r="O921" s="2">
        <v>0</v>
      </c>
      <c r="P921" s="2"/>
      <c r="Q921" s="2">
        <v>0</v>
      </c>
      <c r="R921" s="2">
        <v>0</v>
      </c>
      <c r="S921" s="2">
        <v>0</v>
      </c>
      <c r="T921" s="2">
        <v>0</v>
      </c>
      <c r="U921" s="2">
        <v>0</v>
      </c>
      <c r="V921" s="2"/>
      <c r="W921" s="2">
        <v>0</v>
      </c>
      <c r="X921" s="2">
        <v>0</v>
      </c>
      <c r="Y921" s="2">
        <v>0</v>
      </c>
      <c r="Z921" s="2">
        <v>0</v>
      </c>
      <c r="AA921" s="2">
        <v>0</v>
      </c>
      <c r="AB921" s="2"/>
      <c r="AC921" s="2">
        <v>0</v>
      </c>
      <c r="AD921" s="2">
        <v>0</v>
      </c>
      <c r="AE921" s="2">
        <v>0</v>
      </c>
      <c r="AF921" s="2">
        <v>0</v>
      </c>
      <c r="AG921" s="2">
        <v>0</v>
      </c>
      <c r="AH921" s="2"/>
      <c r="AI921" s="2">
        <v>0</v>
      </c>
      <c r="AJ921" s="2">
        <v>0</v>
      </c>
      <c r="AK921" s="2">
        <v>0</v>
      </c>
      <c r="AL921" s="2">
        <v>0</v>
      </c>
      <c r="AM921" s="2">
        <v>0</v>
      </c>
    </row>
    <row r="922" spans="1:92">
      <c r="A922" s="381">
        <v>95010</v>
      </c>
      <c r="B922" s="306" t="s">
        <v>3725</v>
      </c>
      <c r="C922" s="305">
        <v>2.1299999999999999E-5</v>
      </c>
      <c r="D922" s="380"/>
      <c r="E922" s="2">
        <v>15226</v>
      </c>
      <c r="F922" s="2">
        <v>17652</v>
      </c>
      <c r="G922" s="2">
        <v>13624</v>
      </c>
      <c r="H922" s="2">
        <v>3170</v>
      </c>
      <c r="I922" s="2">
        <v>0</v>
      </c>
      <c r="J922" s="2"/>
      <c r="K922" s="2">
        <v>3949</v>
      </c>
      <c r="L922" s="2">
        <v>3638</v>
      </c>
      <c r="M922" s="2">
        <v>2025</v>
      </c>
      <c r="N922" s="2">
        <v>0</v>
      </c>
      <c r="O922" s="2">
        <v>0</v>
      </c>
      <c r="P922" s="2"/>
      <c r="Q922" s="2">
        <v>256</v>
      </c>
      <c r="R922" s="2">
        <v>3581</v>
      </c>
      <c r="S922" s="2">
        <v>3704</v>
      </c>
      <c r="T922" s="2">
        <v>3170</v>
      </c>
      <c r="U922" s="2">
        <v>0</v>
      </c>
      <c r="V922" s="2"/>
      <c r="W922" s="2">
        <v>3126</v>
      </c>
      <c r="X922" s="2">
        <v>2538</v>
      </c>
      <c r="Y922" s="2">
        <v>0</v>
      </c>
      <c r="Z922" s="2">
        <v>0</v>
      </c>
      <c r="AA922" s="2">
        <v>0</v>
      </c>
      <c r="AB922" s="2"/>
      <c r="AC922" s="2">
        <v>7895</v>
      </c>
      <c r="AD922" s="2">
        <v>7895</v>
      </c>
      <c r="AE922" s="2">
        <v>7895</v>
      </c>
      <c r="AF922" s="2">
        <v>0</v>
      </c>
      <c r="AG922" s="2">
        <v>0</v>
      </c>
      <c r="AH922" s="2"/>
      <c r="AI922" s="2">
        <v>0</v>
      </c>
      <c r="AJ922" s="2">
        <v>0</v>
      </c>
      <c r="AK922" s="2">
        <v>0</v>
      </c>
      <c r="AL922" s="2">
        <v>0</v>
      </c>
      <c r="AM922" s="2">
        <v>0</v>
      </c>
    </row>
    <row r="923" spans="1:92">
      <c r="A923" s="7" t="s">
        <v>692</v>
      </c>
      <c r="B923" s="60" t="s">
        <v>691</v>
      </c>
      <c r="C923" s="360">
        <v>0</v>
      </c>
      <c r="E923" s="2">
        <v>0</v>
      </c>
      <c r="F923" s="2">
        <v>0</v>
      </c>
      <c r="G923" s="2">
        <v>0</v>
      </c>
      <c r="H923" s="2">
        <v>0</v>
      </c>
      <c r="I923" s="2">
        <v>0</v>
      </c>
      <c r="J923" s="2"/>
      <c r="K923" s="2">
        <v>0</v>
      </c>
      <c r="L923" s="2">
        <v>0</v>
      </c>
      <c r="M923" s="2">
        <v>0</v>
      </c>
      <c r="N923" s="2">
        <v>0</v>
      </c>
      <c r="O923" s="2">
        <v>0</v>
      </c>
      <c r="P923" s="2"/>
      <c r="Q923" s="2">
        <v>0</v>
      </c>
      <c r="R923" s="2">
        <v>0</v>
      </c>
      <c r="S923" s="2">
        <v>0</v>
      </c>
      <c r="T923" s="2">
        <v>0</v>
      </c>
      <c r="U923" s="2">
        <v>0</v>
      </c>
      <c r="V923" s="2"/>
      <c r="W923" s="2">
        <v>0</v>
      </c>
      <c r="X923" s="2">
        <v>0</v>
      </c>
      <c r="Y923" s="2">
        <v>0</v>
      </c>
      <c r="Z923" s="2">
        <v>0</v>
      </c>
      <c r="AA923" s="2">
        <v>0</v>
      </c>
      <c r="AB923" s="2"/>
      <c r="AC923" s="2">
        <v>0</v>
      </c>
      <c r="AD923" s="2">
        <v>0</v>
      </c>
      <c r="AE923" s="2">
        <v>0</v>
      </c>
      <c r="AF923" s="2">
        <v>0</v>
      </c>
      <c r="AG923" s="2">
        <v>0</v>
      </c>
      <c r="AH923" s="2"/>
      <c r="AI923" s="2">
        <v>0</v>
      </c>
      <c r="AJ923" s="2">
        <v>0</v>
      </c>
      <c r="AK923" s="2">
        <v>0</v>
      </c>
      <c r="AL923" s="2">
        <v>0</v>
      </c>
      <c r="AM923" s="2">
        <v>0</v>
      </c>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44"/>
      <c r="BN923" s="244"/>
      <c r="BO923" s="244"/>
      <c r="BP923" s="244"/>
      <c r="BQ923" s="244"/>
      <c r="BR923" s="244"/>
      <c r="BS923" s="244"/>
      <c r="BT923" s="244"/>
      <c r="BU923" s="244"/>
      <c r="BV923" s="244"/>
      <c r="BW923" s="244"/>
      <c r="BX923" s="244"/>
      <c r="BY923" s="244"/>
      <c r="BZ923" s="244"/>
      <c r="CA923" s="244"/>
      <c r="CB923" s="244"/>
      <c r="CC923" s="244"/>
      <c r="CD923" s="244"/>
      <c r="CE923" s="244"/>
      <c r="CF923" s="244"/>
      <c r="CG923" s="244"/>
      <c r="CH923" s="244"/>
      <c r="CI923" s="244"/>
      <c r="CJ923" s="244"/>
      <c r="CK923" s="244"/>
      <c r="CL923" s="244"/>
      <c r="CM923" s="244"/>
      <c r="CN923" s="244"/>
    </row>
  </sheetData>
  <sheetProtection algorithmName="SHA-512" hashValue="RALvhcoQsDEJvs4wQoY/jarns3+kWH2FQa/HIhmzyYaA8i12SuHuujfAb+baUWbFm79d5lSHc8XsX8PcivvnWg==" saltValue="godcGW0Az2UrdsNijZKDEQ==" spinCount="100000" sheet="1" objects="1" scenarios="1"/>
  <autoFilter ref="A7:CN923" xr:uid="{847E0C6C-2290-4BAE-978B-4AB3BC1CA093}"/>
  <conditionalFormatting sqref="A920">
    <cfRule type="duplicateValues" dxfId="2" priority="3"/>
  </conditionalFormatting>
  <conditionalFormatting sqref="A921">
    <cfRule type="duplicateValues" dxfId="1" priority="2"/>
  </conditionalFormatting>
  <conditionalFormatting sqref="A922">
    <cfRule type="duplicateValues" dxfId="0" priority="1"/>
  </conditionalFormatting>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N921"/>
  <sheetViews>
    <sheetView zoomScaleNormal="100" workbookViewId="0">
      <pane ySplit="7" topLeftCell="A8" activePane="bottomLeft" state="frozen"/>
      <selection pane="bottomLeft" activeCell="C31" sqref="C31"/>
    </sheetView>
  </sheetViews>
  <sheetFormatPr defaultColWidth="9.140625" defaultRowHeight="15"/>
  <cols>
    <col min="1" max="1" width="15.28515625" style="236" customWidth="1"/>
    <col min="2" max="2" width="55.5703125" style="4" bestFit="1" customWidth="1"/>
    <col min="3" max="3" width="13.85546875" style="4" customWidth="1"/>
    <col min="4" max="4" width="4.140625" customWidth="1"/>
    <col min="5" max="9" width="19.28515625" style="4" customWidth="1"/>
    <col min="10" max="10" width="4.140625" style="4" customWidth="1"/>
    <col min="11" max="15" width="19.28515625" style="4" customWidth="1"/>
    <col min="16" max="16" width="4.140625" style="4" customWidth="1"/>
    <col min="17" max="21" width="19.28515625" style="4" customWidth="1"/>
    <col min="22" max="22" width="4.140625" style="4" customWidth="1"/>
    <col min="23" max="27" width="19.28515625" style="4" customWidth="1"/>
    <col min="28" max="28" width="4.140625" style="4" customWidth="1"/>
    <col min="29" max="33" width="19.28515625" style="4" customWidth="1"/>
    <col min="34" max="34" width="4.140625" style="4" customWidth="1"/>
    <col min="35" max="39" width="19.28515625" style="4" customWidth="1"/>
    <col min="40" max="16384" width="9.140625" style="4"/>
  </cols>
  <sheetData>
    <row r="1" spans="1:92" s="47" customFormat="1">
      <c r="A1" s="96"/>
      <c r="B1" s="47" t="s">
        <v>715</v>
      </c>
      <c r="C1" s="343" t="e">
        <f>SUM(C9:C920)+SUM(C913-C914-C915-C916-C917-C918-C919)</f>
        <v>#REF!</v>
      </c>
      <c r="D1"/>
      <c r="E1" s="249">
        <f>SUM(E9:E919)</f>
        <v>487994907</v>
      </c>
      <c r="F1" s="249">
        <f>SUM(F9:F919)</f>
        <v>150883426</v>
      </c>
      <c r="G1" s="249">
        <f>SUM(G9:G919)</f>
        <v>264732912</v>
      </c>
      <c r="H1" s="249">
        <f>SUM(H9:H919)</f>
        <v>75659073</v>
      </c>
      <c r="I1" s="53">
        <v>0</v>
      </c>
      <c r="J1" s="246"/>
      <c r="K1" s="247">
        <f>SUM(K9:K919)</f>
        <v>149803673</v>
      </c>
      <c r="L1" s="247">
        <f>SUM(L9:L919)</f>
        <v>140916890</v>
      </c>
      <c r="M1" s="247">
        <f>SUM(M9:M919)</f>
        <v>126302188</v>
      </c>
      <c r="N1" s="247">
        <f>SUM(N9:N919)</f>
        <v>50569866</v>
      </c>
      <c r="O1" s="247">
        <f>SUM(O9:O919)</f>
        <v>0</v>
      </c>
      <c r="Q1" s="247">
        <f>SUM(Q9:Q919)</f>
        <v>159037482</v>
      </c>
      <c r="R1" s="247">
        <f>SUM(R9:R919)</f>
        <v>-136801976</v>
      </c>
      <c r="S1" s="247">
        <f>SUM(S9:S919)</f>
        <v>19280570</v>
      </c>
      <c r="T1" s="247">
        <f>SUM(T9:T919)</f>
        <v>25093435</v>
      </c>
      <c r="U1" s="247">
        <f>SUM(U9:U919)</f>
        <v>0</v>
      </c>
      <c r="W1" s="248">
        <f>SUM(W9:W919)</f>
        <v>179158011</v>
      </c>
      <c r="X1" s="248">
        <f>SUM(X9:X919)</f>
        <v>146772729</v>
      </c>
      <c r="Y1" s="248">
        <f>SUM(Y9:Y919)</f>
        <v>119154367</v>
      </c>
      <c r="Z1" s="248">
        <f>SUM(Z9:Z919)</f>
        <v>0</v>
      </c>
      <c r="AA1" s="248">
        <f>SUM(AA9:AA919)</f>
        <v>0</v>
      </c>
      <c r="AB1" s="249"/>
      <c r="AC1" s="248">
        <f>SUM(AC9:AC919)</f>
        <v>15917138</v>
      </c>
      <c r="AD1" s="248">
        <f>SUM(AD9:AD919)</f>
        <v>10931208</v>
      </c>
      <c r="AE1" s="248">
        <f>SUM(AE9:AE919)</f>
        <v>7554913</v>
      </c>
      <c r="AF1" s="248">
        <f>SUM(AF9:AF919)</f>
        <v>3952785</v>
      </c>
      <c r="AG1" s="248">
        <f>SUM(AG9:AG919)</f>
        <v>0</v>
      </c>
      <c r="AH1" s="248"/>
      <c r="AI1" s="248">
        <f>SUM(AI9:AI919)</f>
        <v>-15921397</v>
      </c>
      <c r="AJ1" s="248">
        <f>SUM(AJ9:AJ919)</f>
        <v>-10935425</v>
      </c>
      <c r="AK1" s="248">
        <f>SUM(AK9:AK919)</f>
        <v>-7559126</v>
      </c>
      <c r="AL1" s="248">
        <f>SUM(AL9:AL919)</f>
        <v>-3957013</v>
      </c>
      <c r="AM1" s="248">
        <f>SUM(AM9:AM919)</f>
        <v>-10935425</v>
      </c>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row>
    <row r="2" spans="1:92">
      <c r="A2" s="74" t="str">
        <f>+'Changes to Update Template '!C47</f>
        <v>Measurement date 6/30/2021</v>
      </c>
    </row>
    <row r="3" spans="1:92">
      <c r="E3" s="365" t="s">
        <v>3721</v>
      </c>
    </row>
    <row r="4" spans="1:92" s="210" customFormat="1">
      <c r="A4" s="342"/>
      <c r="D4"/>
      <c r="E4" s="365"/>
    </row>
    <row r="5" spans="1:92" s="210" customFormat="1">
      <c r="A5" s="342"/>
      <c r="D5"/>
      <c r="E5" s="365"/>
    </row>
    <row r="6" spans="1:92" s="47" customFormat="1">
      <c r="A6" s="96"/>
      <c r="D6"/>
      <c r="E6" s="7">
        <v>2020</v>
      </c>
      <c r="F6" s="7">
        <v>2021</v>
      </c>
      <c r="G6" s="7">
        <v>2022</v>
      </c>
      <c r="H6" s="7">
        <v>2023</v>
      </c>
      <c r="I6" s="7">
        <v>2024</v>
      </c>
      <c r="K6" s="7">
        <v>2020</v>
      </c>
      <c r="L6" s="7">
        <v>2021</v>
      </c>
      <c r="M6" s="7">
        <v>2022</v>
      </c>
      <c r="N6" s="7">
        <v>2023</v>
      </c>
      <c r="O6" s="7">
        <v>2024</v>
      </c>
      <c r="Q6" s="7">
        <v>2020</v>
      </c>
      <c r="R6" s="7">
        <v>2021</v>
      </c>
      <c r="S6" s="7">
        <v>2022</v>
      </c>
      <c r="T6" s="7">
        <v>2023</v>
      </c>
      <c r="U6" s="7">
        <v>2024</v>
      </c>
      <c r="W6" s="7">
        <v>2020</v>
      </c>
      <c r="X6" s="7">
        <v>2021</v>
      </c>
      <c r="Y6" s="7">
        <v>2022</v>
      </c>
      <c r="Z6" s="7">
        <v>2023</v>
      </c>
      <c r="AA6" s="7">
        <v>2024</v>
      </c>
      <c r="AC6" s="7">
        <v>2020</v>
      </c>
      <c r="AD6" s="7">
        <v>2021</v>
      </c>
      <c r="AE6" s="7">
        <v>2022</v>
      </c>
      <c r="AF6" s="7">
        <v>2023</v>
      </c>
      <c r="AG6" s="7">
        <v>2024</v>
      </c>
      <c r="AI6" s="7">
        <v>2020</v>
      </c>
      <c r="AJ6" s="7">
        <v>2021</v>
      </c>
      <c r="AK6" s="7">
        <v>2022</v>
      </c>
      <c r="AL6" s="7">
        <v>2023</v>
      </c>
      <c r="AM6" s="7">
        <v>2024</v>
      </c>
    </row>
    <row r="7" spans="1:92" ht="90">
      <c r="A7" s="7" t="s">
        <v>0</v>
      </c>
      <c r="B7" s="7" t="s">
        <v>1</v>
      </c>
      <c r="C7" s="7" t="s">
        <v>263</v>
      </c>
      <c r="E7" s="7" t="s">
        <v>702</v>
      </c>
      <c r="F7" s="7" t="s">
        <v>702</v>
      </c>
      <c r="G7" s="7" t="s">
        <v>702</v>
      </c>
      <c r="H7" s="7" t="s">
        <v>702</v>
      </c>
      <c r="I7" s="7" t="s">
        <v>702</v>
      </c>
      <c r="K7" s="7" t="s">
        <v>5</v>
      </c>
      <c r="L7" s="7" t="s">
        <v>5</v>
      </c>
      <c r="M7" s="7" t="s">
        <v>5</v>
      </c>
      <c r="N7" s="7" t="s">
        <v>5</v>
      </c>
      <c r="O7" s="7" t="s">
        <v>5</v>
      </c>
      <c r="Q7" s="7" t="s">
        <v>6</v>
      </c>
      <c r="R7" s="7" t="s">
        <v>6</v>
      </c>
      <c r="S7" s="7" t="s">
        <v>6</v>
      </c>
      <c r="T7" s="7" t="s">
        <v>6</v>
      </c>
      <c r="U7" s="7" t="s">
        <v>6</v>
      </c>
      <c r="W7" s="7" t="s">
        <v>7</v>
      </c>
      <c r="X7" s="7" t="s">
        <v>7</v>
      </c>
      <c r="Y7" s="7" t="s">
        <v>7</v>
      </c>
      <c r="Z7" s="7" t="s">
        <v>7</v>
      </c>
      <c r="AA7" s="7" t="s">
        <v>7</v>
      </c>
      <c r="AC7" s="7" t="s">
        <v>703</v>
      </c>
      <c r="AD7" s="7" t="s">
        <v>703</v>
      </c>
      <c r="AE7" s="7" t="s">
        <v>703</v>
      </c>
      <c r="AF7" s="7" t="s">
        <v>703</v>
      </c>
      <c r="AG7" s="7" t="s">
        <v>703</v>
      </c>
      <c r="AI7" s="7" t="s">
        <v>704</v>
      </c>
      <c r="AJ7" s="7" t="s">
        <v>704</v>
      </c>
      <c r="AK7" s="7" t="s">
        <v>704</v>
      </c>
      <c r="AL7" s="7" t="s">
        <v>704</v>
      </c>
      <c r="AM7" s="7" t="s">
        <v>704</v>
      </c>
    </row>
    <row r="8" spans="1:92">
      <c r="A8" s="358">
        <v>91414</v>
      </c>
      <c r="B8" s="359" t="s">
        <v>3614</v>
      </c>
      <c r="C8" s="360" t="e">
        <f>VLOOKUP(A8,#REF!,10,FALSE)</f>
        <v>#REF!</v>
      </c>
      <c r="E8" s="2">
        <f>VLOOKUP($A8,'[2]App C Total'!$A$4:$I$917,5,FALSE)</f>
        <v>15089</v>
      </c>
      <c r="F8" s="2">
        <f>VLOOKUP($A8,'[2]App C Total'!$A$4:$I$917,6,FALSE)</f>
        <v>7604</v>
      </c>
      <c r="G8" s="2">
        <f>VLOOKUP($A8,'[2]App C Total'!$A$4:$I$917,7,FALSE)</f>
        <v>10132</v>
      </c>
      <c r="H8" s="2">
        <f>VLOOKUP($A8,'[2]App C Total'!$A$4:$I$917,8,FALSE)</f>
        <v>5937</v>
      </c>
      <c r="I8" s="2">
        <f>VLOOKUP($A8,'[2]App C Total'!$A$4:$I$917,9,FALSE)</f>
        <v>0</v>
      </c>
      <c r="J8" s="2"/>
      <c r="K8" s="2">
        <f>VLOOKUP($A8,'[2]App C Exp'!$A$4:$I$917,5,FALSE)</f>
        <v>3326</v>
      </c>
      <c r="L8" s="2">
        <f>VLOOKUP($A8,'[2]App C Exp'!$A$4:$I$917,6,FALSE)</f>
        <v>3128</v>
      </c>
      <c r="M8" s="2">
        <f>VLOOKUP($A8,'[2]App C Exp'!$A$4:$I$917,7,FALSE)</f>
        <v>2804</v>
      </c>
      <c r="N8" s="2">
        <f>VLOOKUP($A8,'[2]App C Exp'!$A$4:$I$917,8,FALSE)</f>
        <v>1123</v>
      </c>
      <c r="O8" s="2">
        <f>VLOOKUP($A8,'[2]App C Exp'!$A$4:$I$917,9,FALSE)</f>
        <v>0</v>
      </c>
      <c r="P8" s="2"/>
      <c r="Q8" s="2">
        <f>VLOOKUP($A8,'[2]App C Inv'!$A$4:$I$917,5,FALSE)</f>
        <v>3531</v>
      </c>
      <c r="R8" s="2">
        <f>VLOOKUP($A8,'[2]App C Inv'!$A$4:$I$917,6,FALSE)</f>
        <v>-3037</v>
      </c>
      <c r="S8" s="2">
        <f>VLOOKUP($A8,'[2]App C Inv'!$A$4:$I$917,7,FALSE)</f>
        <v>428</v>
      </c>
      <c r="T8" s="2">
        <f>VLOOKUP($A8,'[2]App C Inv'!$A$4:$I$917,8,FALSE)</f>
        <v>557</v>
      </c>
      <c r="U8" s="2">
        <f>VLOOKUP($A8,'[2]App C Inv'!$A$4:$I$917,9,FALSE)</f>
        <v>0</v>
      </c>
      <c r="V8" s="2"/>
      <c r="W8" s="2">
        <f>VLOOKUP($A8,'[2]App C Assum'!$A$4:$I$917,5,FALSE)</f>
        <v>3977</v>
      </c>
      <c r="X8" s="2">
        <f>VLOOKUP($A8,'[2]App C Assum'!$A$4:$I$917,6,FALSE)</f>
        <v>3258</v>
      </c>
      <c r="Y8" s="2">
        <f>VLOOKUP($A8,'[2]App C Assum'!$A$4:$I$917,7,FALSE)</f>
        <v>2645</v>
      </c>
      <c r="Z8" s="2">
        <f>VLOOKUP($A8,'[2]App C Assum'!$A$4:$I$917,8,FALSE)</f>
        <v>0</v>
      </c>
      <c r="AA8" s="2">
        <f>VLOOKUP($A8,'[2]App C Assum'!$A$4:$I$917,9,FALSE)</f>
        <v>0</v>
      </c>
      <c r="AB8" s="2"/>
      <c r="AC8" s="2">
        <f>VLOOKUP($A8,'[2]App C Share Outflows'!$A$4:$I$917,5,FALSE)</f>
        <v>4255</v>
      </c>
      <c r="AD8" s="2">
        <f>VLOOKUP($A8,'[2]App C Share Outflows'!$A$4:$I$917,6,FALSE)</f>
        <v>4255</v>
      </c>
      <c r="AE8" s="2">
        <f>VLOOKUP($A8,'[2]App C Share Outflows'!$A$4:$I$917,7,FALSE)</f>
        <v>4255</v>
      </c>
      <c r="AF8" s="2">
        <f>VLOOKUP($A8,'[2]App C Share Outflows'!$A$4:$I$917,8,FALSE)</f>
        <v>4257</v>
      </c>
      <c r="AG8" s="2">
        <f>VLOOKUP($A8,'[2]App C Share Outflows'!$A$4:$I$917,9,FALSE)</f>
        <v>0</v>
      </c>
      <c r="AH8" s="2"/>
      <c r="AI8" s="2">
        <f>VLOOKUP($A8,'[2]App C Share Inflows'!$A$4:$I$917,5,FALSE)</f>
        <v>0</v>
      </c>
      <c r="AJ8" s="2">
        <f>VLOOKUP($A8,'[2]App C Share Inflows'!$A$4:$I$917,6,FALSE)</f>
        <v>0</v>
      </c>
      <c r="AK8" s="2">
        <f>VLOOKUP($A8,'[2]App C Share Inflows'!$A$4:$I$917,7,FALSE)</f>
        <v>0</v>
      </c>
      <c r="AL8" s="2">
        <f>VLOOKUP($A8,'[2]App C Share Inflows'!$A$4:$I$917,8,FALSE)</f>
        <v>0</v>
      </c>
      <c r="AM8" s="2">
        <f>VLOOKUP($A8,'[2]App C Share Inflows'!$A$4:$I$917,6,FALSE)</f>
        <v>0</v>
      </c>
    </row>
    <row r="9" spans="1:92">
      <c r="A9" s="346">
        <v>92414</v>
      </c>
      <c r="B9" s="347" t="s">
        <v>70</v>
      </c>
      <c r="C9" s="371"/>
      <c r="E9" s="2">
        <f>VLOOKUP($A9,'[2]App C Total'!$A$4:$I$917,5,FALSE)</f>
        <v>-1184</v>
      </c>
      <c r="F9" s="2">
        <f>VLOOKUP($A9,'[2]App C Total'!$A$4:$I$917,6,FALSE)</f>
        <v>0</v>
      </c>
      <c r="G9" s="2">
        <f>VLOOKUP($A9,'[2]App C Total'!$A$4:$I$917,7,FALSE)</f>
        <v>0</v>
      </c>
      <c r="H9" s="2">
        <f>VLOOKUP($A9,'[2]App C Total'!$A$4:$I$917,8,FALSE)</f>
        <v>0</v>
      </c>
      <c r="I9" s="2">
        <f>VLOOKUP($A9,'[2]App C Total'!$A$4:$I$917,9,FALSE)</f>
        <v>0</v>
      </c>
      <c r="J9" s="2"/>
      <c r="K9" s="2">
        <f>VLOOKUP($A9,'[2]App C Exp'!$A$4:$I$917,5,FALSE)</f>
        <v>0</v>
      </c>
      <c r="L9" s="2">
        <f>VLOOKUP($A9,'[2]App C Exp'!$A$4:$I$917,6,FALSE)</f>
        <v>0</v>
      </c>
      <c r="M9" s="2">
        <f>VLOOKUP($A9,'[2]App C Exp'!$A$4:$I$917,7,FALSE)</f>
        <v>0</v>
      </c>
      <c r="N9" s="2">
        <f>VLOOKUP($A9,'[2]App C Exp'!$A$4:$I$917,8,FALSE)</f>
        <v>0</v>
      </c>
      <c r="O9" s="2">
        <f>VLOOKUP($A9,'[2]App C Exp'!$A$4:$I$917,9,FALSE)</f>
        <v>0</v>
      </c>
      <c r="P9" s="2"/>
      <c r="Q9" s="2">
        <f>VLOOKUP($A9,'[2]App C Inv'!$A$4:$I$917,5,FALSE)</f>
        <v>0</v>
      </c>
      <c r="R9" s="2">
        <f>VLOOKUP($A9,'[2]App C Inv'!$A$4:$I$917,6,FALSE)</f>
        <v>0</v>
      </c>
      <c r="S9" s="2">
        <f>VLOOKUP($A9,'[2]App C Inv'!$A$4:$I$917,7,FALSE)</f>
        <v>0</v>
      </c>
      <c r="T9" s="2">
        <f>VLOOKUP($A9,'[2]App C Inv'!$A$4:$I$917,8,FALSE)</f>
        <v>0</v>
      </c>
      <c r="U9" s="2">
        <f>VLOOKUP($A9,'[2]App C Inv'!$A$4:$I$917,9,FALSE)</f>
        <v>0</v>
      </c>
      <c r="V9" s="2"/>
      <c r="W9" s="2">
        <f>VLOOKUP($A9,'[2]App C Assum'!$A$4:$I$917,5,FALSE)</f>
        <v>0</v>
      </c>
      <c r="X9" s="2">
        <f>VLOOKUP($A9,'[2]App C Assum'!$A$4:$I$917,6,FALSE)</f>
        <v>0</v>
      </c>
      <c r="Y9" s="2">
        <f>VLOOKUP($A9,'[2]App C Assum'!$A$4:$I$917,7,FALSE)</f>
        <v>0</v>
      </c>
      <c r="Z9" s="2">
        <f>VLOOKUP($A9,'[2]App C Assum'!$A$4:$I$917,8,FALSE)</f>
        <v>0</v>
      </c>
      <c r="AA9" s="2">
        <f>VLOOKUP($A9,'[2]App C Assum'!$A$4:$I$917,9,FALSE)</f>
        <v>0</v>
      </c>
      <c r="AB9" s="2"/>
      <c r="AC9" s="2">
        <f>VLOOKUP($A9,'[2]App C Share Outflows'!$A$4:$I$917,5,FALSE)</f>
        <v>0</v>
      </c>
      <c r="AD9" s="2">
        <f>VLOOKUP($A9,'[2]App C Share Outflows'!$A$4:$I$917,6,FALSE)</f>
        <v>0</v>
      </c>
      <c r="AE9" s="2">
        <f>VLOOKUP($A9,'[2]App C Share Outflows'!$A$4:$I$917,7,FALSE)</f>
        <v>0</v>
      </c>
      <c r="AF9" s="2">
        <f>VLOOKUP($A9,'[2]App C Share Outflows'!$A$4:$I$917,8,FALSE)</f>
        <v>0</v>
      </c>
      <c r="AG9" s="2">
        <f>VLOOKUP($A9,'[2]App C Share Outflows'!$A$4:$I$917,9,FALSE)</f>
        <v>0</v>
      </c>
      <c r="AH9" s="2"/>
      <c r="AI9" s="2">
        <f>VLOOKUP($A9,'[2]App C Share Inflows'!$A$4:$I$917,5,FALSE)</f>
        <v>-1184</v>
      </c>
      <c r="AJ9" s="2">
        <f>VLOOKUP($A9,'[2]App C Share Inflows'!$A$4:$I$917,6,FALSE)</f>
        <v>0</v>
      </c>
      <c r="AK9" s="2">
        <f>VLOOKUP($A9,'[2]App C Share Inflows'!$A$4:$I$917,7,FALSE)</f>
        <v>0</v>
      </c>
      <c r="AL9" s="2">
        <f>VLOOKUP($A9,'[2]App C Share Inflows'!$A$4:$I$917,8,FALSE)</f>
        <v>0</v>
      </c>
      <c r="AM9" s="2">
        <f>VLOOKUP($A9,'[2]App C Share Inflows'!$A$4:$I$917,6,FALSE)</f>
        <v>0</v>
      </c>
    </row>
    <row r="10" spans="1:92">
      <c r="A10" s="346">
        <v>92608</v>
      </c>
      <c r="B10" s="347" t="s">
        <v>3718</v>
      </c>
      <c r="C10" s="371"/>
      <c r="E10" s="2">
        <f>VLOOKUP($A10,'[2]App C Total'!$A$4:$I$917,5,FALSE)</f>
        <v>0</v>
      </c>
      <c r="F10" s="2">
        <f>VLOOKUP($A10,'[2]App C Total'!$A$4:$I$917,6,FALSE)</f>
        <v>0</v>
      </c>
      <c r="G10" s="2">
        <f>VLOOKUP($A10,'[2]App C Total'!$A$4:$I$917,7,FALSE)</f>
        <v>0</v>
      </c>
      <c r="H10" s="2">
        <f>VLOOKUP($A10,'[2]App C Total'!$A$4:$I$917,8,FALSE)</f>
        <v>0</v>
      </c>
      <c r="I10" s="2">
        <f>VLOOKUP($A10,'[2]App C Total'!$A$4:$I$917,9,FALSE)</f>
        <v>0</v>
      </c>
      <c r="J10" s="2"/>
      <c r="K10" s="2">
        <f>VLOOKUP($A10,'[2]App C Exp'!$A$4:$I$917,5,FALSE)</f>
        <v>0</v>
      </c>
      <c r="L10" s="2">
        <f>VLOOKUP($A10,'[2]App C Exp'!$A$4:$I$917,6,FALSE)</f>
        <v>0</v>
      </c>
      <c r="M10" s="2">
        <f>VLOOKUP($A10,'[2]App C Exp'!$A$4:$I$917,7,FALSE)</f>
        <v>0</v>
      </c>
      <c r="N10" s="2">
        <f>VLOOKUP($A10,'[2]App C Exp'!$A$4:$I$917,8,FALSE)</f>
        <v>0</v>
      </c>
      <c r="O10" s="2">
        <f>VLOOKUP($A10,'[2]App C Exp'!$A$4:$I$917,9,FALSE)</f>
        <v>0</v>
      </c>
      <c r="P10" s="2"/>
      <c r="Q10" s="2">
        <f>VLOOKUP($A10,'[2]App C Inv'!$A$4:$I$917,5,FALSE)</f>
        <v>0</v>
      </c>
      <c r="R10" s="2">
        <f>VLOOKUP($A10,'[2]App C Inv'!$A$4:$I$917,6,FALSE)</f>
        <v>0</v>
      </c>
      <c r="S10" s="2">
        <f>VLOOKUP($A10,'[2]App C Inv'!$A$4:$I$917,7,FALSE)</f>
        <v>0</v>
      </c>
      <c r="T10" s="2">
        <f>VLOOKUP($A10,'[2]App C Inv'!$A$4:$I$917,8,FALSE)</f>
        <v>0</v>
      </c>
      <c r="U10" s="2">
        <f>VLOOKUP($A10,'[2]App C Inv'!$A$4:$I$917,9,FALSE)</f>
        <v>0</v>
      </c>
      <c r="V10" s="2"/>
      <c r="W10" s="2">
        <f>VLOOKUP($A10,'[2]App C Assum'!$A$4:$I$917,5,FALSE)</f>
        <v>0</v>
      </c>
      <c r="X10" s="2">
        <f>VLOOKUP($A10,'[2]App C Assum'!$A$4:$I$917,6,FALSE)</f>
        <v>0</v>
      </c>
      <c r="Y10" s="2">
        <f>VLOOKUP($A10,'[2]App C Assum'!$A$4:$I$917,7,FALSE)</f>
        <v>0</v>
      </c>
      <c r="Z10" s="2">
        <f>VLOOKUP($A10,'[2]App C Assum'!$A$4:$I$917,8,FALSE)</f>
        <v>0</v>
      </c>
      <c r="AA10" s="2">
        <f>VLOOKUP($A10,'[2]App C Assum'!$A$4:$I$917,9,FALSE)</f>
        <v>0</v>
      </c>
      <c r="AB10" s="2"/>
      <c r="AC10" s="2">
        <f>VLOOKUP($A10,'[2]App C Share Outflows'!$A$4:$I$917,5,FALSE)</f>
        <v>0</v>
      </c>
      <c r="AD10" s="2">
        <f>VLOOKUP($A10,'[2]App C Share Outflows'!$A$4:$I$917,6,FALSE)</f>
        <v>0</v>
      </c>
      <c r="AE10" s="2">
        <f>VLOOKUP($A10,'[2]App C Share Outflows'!$A$4:$I$917,7,FALSE)</f>
        <v>0</v>
      </c>
      <c r="AF10" s="2">
        <f>VLOOKUP($A10,'[2]App C Share Outflows'!$A$4:$I$917,8,FALSE)</f>
        <v>0</v>
      </c>
      <c r="AG10" s="2">
        <f>VLOOKUP($A10,'[2]App C Share Outflows'!$A$4:$I$917,9,FALSE)</f>
        <v>0</v>
      </c>
      <c r="AH10" s="2"/>
      <c r="AI10" s="2">
        <f>VLOOKUP($A10,'[2]App C Share Inflows'!$A$4:$I$917,5,FALSE)</f>
        <v>0</v>
      </c>
      <c r="AJ10" s="2">
        <f>VLOOKUP($A10,'[2]App C Share Inflows'!$A$4:$I$917,6,FALSE)</f>
        <v>0</v>
      </c>
      <c r="AK10" s="2">
        <f>VLOOKUP($A10,'[2]App C Share Inflows'!$A$4:$I$917,7,FALSE)</f>
        <v>0</v>
      </c>
      <c r="AL10" s="2">
        <f>VLOOKUP($A10,'[2]App C Share Inflows'!$A$4:$I$917,8,FALSE)</f>
        <v>0</v>
      </c>
      <c r="AM10" s="2">
        <f>VLOOKUP($A10,'[2]App C Share Inflows'!$A$4:$I$917,6,FALSE)</f>
        <v>0</v>
      </c>
    </row>
    <row r="11" spans="1:92">
      <c r="A11" s="362">
        <v>93027</v>
      </c>
      <c r="B11" s="363" t="s">
        <v>1005</v>
      </c>
      <c r="C11" s="371"/>
      <c r="E11" s="2">
        <f>VLOOKUP($A11,'[2]App C Total'!$A$4:$I$917,5,FALSE)</f>
        <v>-3398</v>
      </c>
      <c r="F11" s="2">
        <f>VLOOKUP($A11,'[2]App C Total'!$A$4:$I$917,6,FALSE)</f>
        <v>-3601</v>
      </c>
      <c r="G11" s="2">
        <f>VLOOKUP($A11,'[2]App C Total'!$A$4:$I$917,7,FALSE)</f>
        <v>-3720</v>
      </c>
      <c r="H11" s="2">
        <f>VLOOKUP($A11,'[2]App C Total'!$A$4:$I$917,8,FALSE)</f>
        <v>-3192</v>
      </c>
      <c r="I11" s="2">
        <f>VLOOKUP($A11,'[2]App C Total'!$A$4:$I$917,9,FALSE)</f>
        <v>0</v>
      </c>
      <c r="J11" s="2"/>
      <c r="K11" s="2">
        <f>VLOOKUP($A11,'[2]App C Exp'!$A$4:$I$917,5,FALSE)</f>
        <v>0</v>
      </c>
      <c r="L11" s="2">
        <f>VLOOKUP($A11,'[2]App C Exp'!$A$4:$I$917,6,FALSE)</f>
        <v>0</v>
      </c>
      <c r="M11" s="2">
        <f>VLOOKUP($A11,'[2]App C Exp'!$A$4:$I$917,7,FALSE)</f>
        <v>0</v>
      </c>
      <c r="N11" s="2">
        <f>VLOOKUP($A11,'[2]App C Exp'!$A$4:$I$917,8,FALSE)</f>
        <v>0</v>
      </c>
      <c r="O11" s="2">
        <f>VLOOKUP($A11,'[2]App C Exp'!$A$4:$I$917,9,FALSE)</f>
        <v>0</v>
      </c>
      <c r="P11" s="2"/>
      <c r="Q11" s="2">
        <f>VLOOKUP($A11,'[2]App C Inv'!$A$4:$I$917,5,FALSE)</f>
        <v>0</v>
      </c>
      <c r="R11" s="2">
        <f>VLOOKUP($A11,'[2]App C Inv'!$A$4:$I$917,6,FALSE)</f>
        <v>0</v>
      </c>
      <c r="S11" s="2">
        <f>VLOOKUP($A11,'[2]App C Inv'!$A$4:$I$917,7,FALSE)</f>
        <v>0</v>
      </c>
      <c r="T11" s="2">
        <f>VLOOKUP($A11,'[2]App C Inv'!$A$4:$I$917,8,FALSE)</f>
        <v>0</v>
      </c>
      <c r="U11" s="2">
        <f>VLOOKUP($A11,'[2]App C Inv'!$A$4:$I$917,9,FALSE)</f>
        <v>0</v>
      </c>
      <c r="V11" s="2"/>
      <c r="W11" s="2">
        <f>VLOOKUP($A11,'[2]App C Assum'!$A$4:$I$917,5,FALSE)</f>
        <v>0</v>
      </c>
      <c r="X11" s="2">
        <f>VLOOKUP($A11,'[2]App C Assum'!$A$4:$I$917,6,FALSE)</f>
        <v>0</v>
      </c>
      <c r="Y11" s="2">
        <f>VLOOKUP($A11,'[2]App C Assum'!$A$4:$I$917,7,FALSE)</f>
        <v>0</v>
      </c>
      <c r="Z11" s="2">
        <f>VLOOKUP($A11,'[2]App C Assum'!$A$4:$I$917,8,FALSE)</f>
        <v>0</v>
      </c>
      <c r="AA11" s="2">
        <f>VLOOKUP($A11,'[2]App C Assum'!$A$4:$I$917,9,FALSE)</f>
        <v>0</v>
      </c>
      <c r="AB11" s="2"/>
      <c r="AC11" s="2">
        <f>VLOOKUP($A11,'[2]App C Share Outflows'!$A$4:$I$917,5,FALSE)</f>
        <v>322</v>
      </c>
      <c r="AD11" s="2">
        <f>VLOOKUP($A11,'[2]App C Share Outflows'!$A$4:$I$917,6,FALSE)</f>
        <v>119</v>
      </c>
      <c r="AE11" s="2">
        <f>VLOOKUP($A11,'[2]App C Share Outflows'!$A$4:$I$917,7,FALSE)</f>
        <v>0</v>
      </c>
      <c r="AF11" s="2">
        <f>VLOOKUP($A11,'[2]App C Share Outflows'!$A$4:$I$917,8,FALSE)</f>
        <v>0</v>
      </c>
      <c r="AG11" s="2">
        <f>VLOOKUP($A11,'[2]App C Share Outflows'!$A$4:$I$917,9,FALSE)</f>
        <v>0</v>
      </c>
      <c r="AH11" s="2"/>
      <c r="AI11" s="2">
        <f>VLOOKUP($A11,'[2]App C Share Inflows'!$A$4:$I$917,5,FALSE)</f>
        <v>-3720</v>
      </c>
      <c r="AJ11" s="2">
        <f>VLOOKUP($A11,'[2]App C Share Inflows'!$A$4:$I$917,6,FALSE)</f>
        <v>-3720</v>
      </c>
      <c r="AK11" s="2">
        <f>VLOOKUP($A11,'[2]App C Share Inflows'!$A$4:$I$917,7,FALSE)</f>
        <v>-3720</v>
      </c>
      <c r="AL11" s="2">
        <f>VLOOKUP($A11,'[2]App C Share Inflows'!$A$4:$I$917,8,FALSE)</f>
        <v>-3192</v>
      </c>
      <c r="AM11" s="2">
        <f>VLOOKUP($A11,'[2]App C Share Inflows'!$A$4:$I$917,6,FALSE)</f>
        <v>-3720</v>
      </c>
    </row>
    <row r="12" spans="1:92">
      <c r="A12" s="362">
        <v>93028</v>
      </c>
      <c r="B12" s="363" t="s">
        <v>3615</v>
      </c>
      <c r="C12" s="371"/>
      <c r="E12" s="2">
        <f>VLOOKUP($A12,'[2]App C Total'!$A$4:$I$917,5,FALSE)</f>
        <v>924</v>
      </c>
      <c r="F12" s="2">
        <f>VLOOKUP($A12,'[2]App C Total'!$A$4:$I$917,6,FALSE)</f>
        <v>924</v>
      </c>
      <c r="G12" s="2">
        <f>VLOOKUP($A12,'[2]App C Total'!$A$4:$I$917,7,FALSE)</f>
        <v>924</v>
      </c>
      <c r="H12" s="2">
        <f>VLOOKUP($A12,'[2]App C Total'!$A$4:$I$917,8,FALSE)</f>
        <v>924</v>
      </c>
      <c r="I12" s="2">
        <f>VLOOKUP($A12,'[2]App C Total'!$A$4:$I$917,9,FALSE)</f>
        <v>0</v>
      </c>
      <c r="J12" s="2"/>
      <c r="K12" s="2">
        <f>VLOOKUP($A12,'[2]App C Exp'!$A$4:$I$917,5,FALSE)</f>
        <v>0</v>
      </c>
      <c r="L12" s="2">
        <f>VLOOKUP($A12,'[2]App C Exp'!$A$4:$I$917,6,FALSE)</f>
        <v>0</v>
      </c>
      <c r="M12" s="2">
        <f>VLOOKUP($A12,'[2]App C Exp'!$A$4:$I$917,7,FALSE)</f>
        <v>0</v>
      </c>
      <c r="N12" s="2">
        <f>VLOOKUP($A12,'[2]App C Exp'!$A$4:$I$917,8,FALSE)</f>
        <v>0</v>
      </c>
      <c r="O12" s="2">
        <f>VLOOKUP($A12,'[2]App C Exp'!$A$4:$I$917,9,FALSE)</f>
        <v>0</v>
      </c>
      <c r="P12" s="2"/>
      <c r="Q12" s="2">
        <f>VLOOKUP($A12,'[2]App C Inv'!$A$4:$I$917,5,FALSE)</f>
        <v>0</v>
      </c>
      <c r="R12" s="2">
        <f>VLOOKUP($A12,'[2]App C Inv'!$A$4:$I$917,6,FALSE)</f>
        <v>0</v>
      </c>
      <c r="S12" s="2">
        <f>VLOOKUP($A12,'[2]App C Inv'!$A$4:$I$917,7,FALSE)</f>
        <v>0</v>
      </c>
      <c r="T12" s="2">
        <f>VLOOKUP($A12,'[2]App C Inv'!$A$4:$I$917,8,FALSE)</f>
        <v>0</v>
      </c>
      <c r="U12" s="2">
        <f>VLOOKUP($A12,'[2]App C Inv'!$A$4:$I$917,9,FALSE)</f>
        <v>0</v>
      </c>
      <c r="V12" s="2"/>
      <c r="W12" s="2">
        <f>VLOOKUP($A12,'[2]App C Assum'!$A$4:$I$917,5,FALSE)</f>
        <v>0</v>
      </c>
      <c r="X12" s="2">
        <f>VLOOKUP($A12,'[2]App C Assum'!$A$4:$I$917,6,FALSE)</f>
        <v>0</v>
      </c>
      <c r="Y12" s="2">
        <f>VLOOKUP($A12,'[2]App C Assum'!$A$4:$I$917,7,FALSE)</f>
        <v>0</v>
      </c>
      <c r="Z12" s="2">
        <f>VLOOKUP($A12,'[2]App C Assum'!$A$4:$I$917,8,FALSE)</f>
        <v>0</v>
      </c>
      <c r="AA12" s="2">
        <f>VLOOKUP($A12,'[2]App C Assum'!$A$4:$I$917,9,FALSE)</f>
        <v>0</v>
      </c>
      <c r="AB12" s="2"/>
      <c r="AC12" s="2">
        <f>VLOOKUP($A12,'[2]App C Share Outflows'!$A$4:$I$917,5,FALSE)</f>
        <v>924</v>
      </c>
      <c r="AD12" s="2">
        <f>VLOOKUP($A12,'[2]App C Share Outflows'!$A$4:$I$917,6,FALSE)</f>
        <v>924</v>
      </c>
      <c r="AE12" s="2">
        <f>VLOOKUP($A12,'[2]App C Share Outflows'!$A$4:$I$917,7,FALSE)</f>
        <v>924</v>
      </c>
      <c r="AF12" s="2">
        <f>VLOOKUP($A12,'[2]App C Share Outflows'!$A$4:$I$917,8,FALSE)</f>
        <v>924</v>
      </c>
      <c r="AG12" s="2">
        <f>VLOOKUP($A12,'[2]App C Share Outflows'!$A$4:$I$917,9,FALSE)</f>
        <v>0</v>
      </c>
      <c r="AH12" s="2"/>
      <c r="AI12" s="2">
        <f>VLOOKUP($A12,'[2]App C Share Inflows'!$A$4:$I$917,5,FALSE)</f>
        <v>0</v>
      </c>
      <c r="AJ12" s="2">
        <f>VLOOKUP($A12,'[2]App C Share Inflows'!$A$4:$I$917,6,FALSE)</f>
        <v>0</v>
      </c>
      <c r="AK12" s="2">
        <f>VLOOKUP($A12,'[2]App C Share Inflows'!$A$4:$I$917,7,FALSE)</f>
        <v>0</v>
      </c>
      <c r="AL12" s="2">
        <f>VLOOKUP($A12,'[2]App C Share Inflows'!$A$4:$I$917,8,FALSE)</f>
        <v>0</v>
      </c>
      <c r="AM12" s="2">
        <f>VLOOKUP($A12,'[2]App C Share Inflows'!$A$4:$I$917,6,FALSE)</f>
        <v>0</v>
      </c>
    </row>
    <row r="13" spans="1:92">
      <c r="A13" s="346">
        <v>93202</v>
      </c>
      <c r="B13" s="347" t="s">
        <v>1022</v>
      </c>
      <c r="C13" s="371"/>
      <c r="E13" s="2">
        <f>VLOOKUP($A13,'[2]App C Total'!$A$4:$I$917,5,FALSE)</f>
        <v>-25055</v>
      </c>
      <c r="F13" s="2">
        <f>VLOOKUP($A13,'[2]App C Total'!$A$4:$I$917,6,FALSE)</f>
        <v>0</v>
      </c>
      <c r="G13" s="2">
        <f>VLOOKUP($A13,'[2]App C Total'!$A$4:$I$917,7,FALSE)</f>
        <v>0</v>
      </c>
      <c r="H13" s="2">
        <f>VLOOKUP($A13,'[2]App C Total'!$A$4:$I$917,8,FALSE)</f>
        <v>0</v>
      </c>
      <c r="I13" s="2">
        <f>VLOOKUP($A13,'[2]App C Total'!$A$4:$I$917,9,FALSE)</f>
        <v>0</v>
      </c>
      <c r="J13" s="2"/>
      <c r="K13" s="2">
        <f>VLOOKUP($A13,'[2]App C Exp'!$A$4:$I$917,5,FALSE)</f>
        <v>0</v>
      </c>
      <c r="L13" s="2">
        <f>VLOOKUP($A13,'[2]App C Exp'!$A$4:$I$917,6,FALSE)</f>
        <v>0</v>
      </c>
      <c r="M13" s="2">
        <f>VLOOKUP($A13,'[2]App C Exp'!$A$4:$I$917,7,FALSE)</f>
        <v>0</v>
      </c>
      <c r="N13" s="2">
        <f>VLOOKUP($A13,'[2]App C Exp'!$A$4:$I$917,8,FALSE)</f>
        <v>0</v>
      </c>
      <c r="O13" s="2">
        <f>VLOOKUP($A13,'[2]App C Exp'!$A$4:$I$917,9,FALSE)</f>
        <v>0</v>
      </c>
      <c r="P13" s="2"/>
      <c r="Q13" s="2">
        <f>VLOOKUP($A13,'[2]App C Inv'!$A$4:$I$917,5,FALSE)</f>
        <v>0</v>
      </c>
      <c r="R13" s="2">
        <f>VLOOKUP($A13,'[2]App C Inv'!$A$4:$I$917,6,FALSE)</f>
        <v>0</v>
      </c>
      <c r="S13" s="2">
        <f>VLOOKUP($A13,'[2]App C Inv'!$A$4:$I$917,7,FALSE)</f>
        <v>0</v>
      </c>
      <c r="T13" s="2">
        <f>VLOOKUP($A13,'[2]App C Inv'!$A$4:$I$917,8,FALSE)</f>
        <v>0</v>
      </c>
      <c r="U13" s="2">
        <f>VLOOKUP($A13,'[2]App C Inv'!$A$4:$I$917,9,FALSE)</f>
        <v>0</v>
      </c>
      <c r="V13" s="2"/>
      <c r="W13" s="2">
        <f>VLOOKUP($A13,'[2]App C Assum'!$A$4:$I$917,5,FALSE)</f>
        <v>0</v>
      </c>
      <c r="X13" s="2">
        <f>VLOOKUP($A13,'[2]App C Assum'!$A$4:$I$917,6,FALSE)</f>
        <v>0</v>
      </c>
      <c r="Y13" s="2">
        <f>VLOOKUP($A13,'[2]App C Assum'!$A$4:$I$917,7,FALSE)</f>
        <v>0</v>
      </c>
      <c r="Z13" s="2">
        <f>VLOOKUP($A13,'[2]App C Assum'!$A$4:$I$917,8,FALSE)</f>
        <v>0</v>
      </c>
      <c r="AA13" s="2">
        <f>VLOOKUP($A13,'[2]App C Assum'!$A$4:$I$917,9,FALSE)</f>
        <v>0</v>
      </c>
      <c r="AB13" s="2"/>
      <c r="AC13" s="2">
        <f>VLOOKUP($A13,'[2]App C Share Outflows'!$A$4:$I$917,5,FALSE)</f>
        <v>0</v>
      </c>
      <c r="AD13" s="2">
        <f>VLOOKUP($A13,'[2]App C Share Outflows'!$A$4:$I$917,6,FALSE)</f>
        <v>0</v>
      </c>
      <c r="AE13" s="2">
        <f>VLOOKUP($A13,'[2]App C Share Outflows'!$A$4:$I$917,7,FALSE)</f>
        <v>0</v>
      </c>
      <c r="AF13" s="2">
        <f>VLOOKUP($A13,'[2]App C Share Outflows'!$A$4:$I$917,8,FALSE)</f>
        <v>0</v>
      </c>
      <c r="AG13" s="2">
        <f>VLOOKUP($A13,'[2]App C Share Outflows'!$A$4:$I$917,9,FALSE)</f>
        <v>0</v>
      </c>
      <c r="AH13" s="2"/>
      <c r="AI13" s="2">
        <f>VLOOKUP($A13,'[2]App C Share Inflows'!$A$4:$I$917,5,FALSE)</f>
        <v>-25055</v>
      </c>
      <c r="AJ13" s="2">
        <f>VLOOKUP($A13,'[2]App C Share Inflows'!$A$4:$I$917,6,FALSE)</f>
        <v>0</v>
      </c>
      <c r="AK13" s="2">
        <f>VLOOKUP($A13,'[2]App C Share Inflows'!$A$4:$I$917,7,FALSE)</f>
        <v>0</v>
      </c>
      <c r="AL13" s="2">
        <f>VLOOKUP($A13,'[2]App C Share Inflows'!$A$4:$I$917,8,FALSE)</f>
        <v>0</v>
      </c>
      <c r="AM13" s="2">
        <f>VLOOKUP($A13,'[2]App C Share Inflows'!$A$4:$I$917,6,FALSE)</f>
        <v>0</v>
      </c>
    </row>
    <row r="14" spans="1:92">
      <c r="A14" s="362">
        <v>93402</v>
      </c>
      <c r="B14" s="363" t="s">
        <v>1041</v>
      </c>
      <c r="C14" s="371"/>
      <c r="E14" s="2">
        <f>VLOOKUP($A14,'[2]App C Total'!$A$4:$I$917,5,FALSE)</f>
        <v>-19132</v>
      </c>
      <c r="F14" s="2">
        <f>VLOOKUP($A14,'[2]App C Total'!$A$4:$I$917,6,FALSE)</f>
        <v>-18552</v>
      </c>
      <c r="G14" s="2">
        <f>VLOOKUP($A14,'[2]App C Total'!$A$4:$I$917,7,FALSE)</f>
        <v>-18172</v>
      </c>
      <c r="H14" s="2">
        <f>VLOOKUP($A14,'[2]App C Total'!$A$4:$I$917,8,FALSE)</f>
        <v>-16204</v>
      </c>
      <c r="I14" s="2">
        <f>VLOOKUP($A14,'[2]App C Total'!$A$4:$I$917,9,FALSE)</f>
        <v>0</v>
      </c>
      <c r="J14" s="2"/>
      <c r="K14" s="2">
        <f>VLOOKUP($A14,'[2]App C Exp'!$A$4:$I$917,5,FALSE)</f>
        <v>0</v>
      </c>
      <c r="L14" s="2">
        <f>VLOOKUP($A14,'[2]App C Exp'!$A$4:$I$917,6,FALSE)</f>
        <v>0</v>
      </c>
      <c r="M14" s="2">
        <f>VLOOKUP($A14,'[2]App C Exp'!$A$4:$I$917,7,FALSE)</f>
        <v>0</v>
      </c>
      <c r="N14" s="2">
        <f>VLOOKUP($A14,'[2]App C Exp'!$A$4:$I$917,8,FALSE)</f>
        <v>0</v>
      </c>
      <c r="O14" s="2">
        <f>VLOOKUP($A14,'[2]App C Exp'!$A$4:$I$917,9,FALSE)</f>
        <v>0</v>
      </c>
      <c r="P14" s="2"/>
      <c r="Q14" s="2">
        <f>VLOOKUP($A14,'[2]App C Inv'!$A$4:$I$917,5,FALSE)</f>
        <v>0</v>
      </c>
      <c r="R14" s="2">
        <f>VLOOKUP($A14,'[2]App C Inv'!$A$4:$I$917,6,FALSE)</f>
        <v>0</v>
      </c>
      <c r="S14" s="2">
        <f>VLOOKUP($A14,'[2]App C Inv'!$A$4:$I$917,7,FALSE)</f>
        <v>0</v>
      </c>
      <c r="T14" s="2">
        <f>VLOOKUP($A14,'[2]App C Inv'!$A$4:$I$917,8,FALSE)</f>
        <v>0</v>
      </c>
      <c r="U14" s="2">
        <f>VLOOKUP($A14,'[2]App C Inv'!$A$4:$I$917,9,FALSE)</f>
        <v>0</v>
      </c>
      <c r="V14" s="2"/>
      <c r="W14" s="2">
        <f>VLOOKUP($A14,'[2]App C Assum'!$A$4:$I$917,5,FALSE)</f>
        <v>0</v>
      </c>
      <c r="X14" s="2">
        <f>VLOOKUP($A14,'[2]App C Assum'!$A$4:$I$917,6,FALSE)</f>
        <v>0</v>
      </c>
      <c r="Y14" s="2">
        <f>VLOOKUP($A14,'[2]App C Assum'!$A$4:$I$917,7,FALSE)</f>
        <v>0</v>
      </c>
      <c r="Z14" s="2">
        <f>VLOOKUP($A14,'[2]App C Assum'!$A$4:$I$917,8,FALSE)</f>
        <v>0</v>
      </c>
      <c r="AA14" s="2">
        <f>VLOOKUP($A14,'[2]App C Assum'!$A$4:$I$917,9,FALSE)</f>
        <v>0</v>
      </c>
      <c r="AB14" s="2"/>
      <c r="AC14" s="2">
        <f>VLOOKUP($A14,'[2]App C Share Outflows'!$A$4:$I$917,5,FALSE)</f>
        <v>0</v>
      </c>
      <c r="AD14" s="2">
        <f>VLOOKUP($A14,'[2]App C Share Outflows'!$A$4:$I$917,6,FALSE)</f>
        <v>0</v>
      </c>
      <c r="AE14" s="2">
        <f>VLOOKUP($A14,'[2]App C Share Outflows'!$A$4:$I$917,7,FALSE)</f>
        <v>0</v>
      </c>
      <c r="AF14" s="2">
        <f>VLOOKUP($A14,'[2]App C Share Outflows'!$A$4:$I$917,8,FALSE)</f>
        <v>0</v>
      </c>
      <c r="AG14" s="2">
        <f>VLOOKUP($A14,'[2]App C Share Outflows'!$A$4:$I$917,9,FALSE)</f>
        <v>0</v>
      </c>
      <c r="AH14" s="2"/>
      <c r="AI14" s="2">
        <f>VLOOKUP($A14,'[2]App C Share Inflows'!$A$4:$I$917,5,FALSE)</f>
        <v>-19132</v>
      </c>
      <c r="AJ14" s="2">
        <f>VLOOKUP($A14,'[2]App C Share Inflows'!$A$4:$I$917,6,FALSE)</f>
        <v>-18552</v>
      </c>
      <c r="AK14" s="2">
        <f>VLOOKUP($A14,'[2]App C Share Inflows'!$A$4:$I$917,7,FALSE)</f>
        <v>-18172</v>
      </c>
      <c r="AL14" s="2">
        <f>VLOOKUP($A14,'[2]App C Share Inflows'!$A$4:$I$917,8,FALSE)</f>
        <v>-16204</v>
      </c>
      <c r="AM14" s="2">
        <f>VLOOKUP($A14,'[2]App C Share Inflows'!$A$4:$I$917,6,FALSE)</f>
        <v>-18552</v>
      </c>
    </row>
    <row r="15" spans="1:92">
      <c r="A15" s="346">
        <v>93408</v>
      </c>
      <c r="B15" s="347" t="s">
        <v>1043</v>
      </c>
      <c r="C15" s="371"/>
      <c r="E15" s="2">
        <f>VLOOKUP($A15,'[2]App C Total'!$A$4:$I$917,5,FALSE)</f>
        <v>-421153</v>
      </c>
      <c r="F15" s="2">
        <f>VLOOKUP($A15,'[2]App C Total'!$A$4:$I$917,6,FALSE)</f>
        <v>-303143</v>
      </c>
      <c r="G15" s="2">
        <f>VLOOKUP($A15,'[2]App C Total'!$A$4:$I$917,7,FALSE)</f>
        <v>0</v>
      </c>
      <c r="H15" s="2">
        <f>VLOOKUP($A15,'[2]App C Total'!$A$4:$I$917,8,FALSE)</f>
        <v>0</v>
      </c>
      <c r="I15" s="2">
        <f>VLOOKUP($A15,'[2]App C Total'!$A$4:$I$917,9,FALSE)</f>
        <v>0</v>
      </c>
      <c r="J15" s="2"/>
      <c r="K15" s="2">
        <f>VLOOKUP($A15,'[2]App C Exp'!$A$4:$I$917,5,FALSE)</f>
        <v>0</v>
      </c>
      <c r="L15" s="2">
        <f>VLOOKUP($A15,'[2]App C Exp'!$A$4:$I$917,6,FALSE)</f>
        <v>0</v>
      </c>
      <c r="M15" s="2">
        <f>VLOOKUP($A15,'[2]App C Exp'!$A$4:$I$917,7,FALSE)</f>
        <v>0</v>
      </c>
      <c r="N15" s="2">
        <f>VLOOKUP($A15,'[2]App C Exp'!$A$4:$I$917,8,FALSE)</f>
        <v>0</v>
      </c>
      <c r="O15" s="2">
        <f>VLOOKUP($A15,'[2]App C Exp'!$A$4:$I$917,9,FALSE)</f>
        <v>0</v>
      </c>
      <c r="P15" s="2"/>
      <c r="Q15" s="2">
        <f>VLOOKUP($A15,'[2]App C Inv'!$A$4:$I$917,5,FALSE)</f>
        <v>0</v>
      </c>
      <c r="R15" s="2">
        <f>VLOOKUP($A15,'[2]App C Inv'!$A$4:$I$917,6,FALSE)</f>
        <v>0</v>
      </c>
      <c r="S15" s="2">
        <f>VLOOKUP($A15,'[2]App C Inv'!$A$4:$I$917,7,FALSE)</f>
        <v>0</v>
      </c>
      <c r="T15" s="2">
        <f>VLOOKUP($A15,'[2]App C Inv'!$A$4:$I$917,8,FALSE)</f>
        <v>0</v>
      </c>
      <c r="U15" s="2">
        <f>VLOOKUP($A15,'[2]App C Inv'!$A$4:$I$917,9,FALSE)</f>
        <v>0</v>
      </c>
      <c r="V15" s="2"/>
      <c r="W15" s="2">
        <f>VLOOKUP($A15,'[2]App C Assum'!$A$4:$I$917,5,FALSE)</f>
        <v>0</v>
      </c>
      <c r="X15" s="2">
        <f>VLOOKUP($A15,'[2]App C Assum'!$A$4:$I$917,6,FALSE)</f>
        <v>0</v>
      </c>
      <c r="Y15" s="2">
        <f>VLOOKUP($A15,'[2]App C Assum'!$A$4:$I$917,7,FALSE)</f>
        <v>0</v>
      </c>
      <c r="Z15" s="2">
        <f>VLOOKUP($A15,'[2]App C Assum'!$A$4:$I$917,8,FALSE)</f>
        <v>0</v>
      </c>
      <c r="AA15" s="2">
        <f>VLOOKUP($A15,'[2]App C Assum'!$A$4:$I$917,9,FALSE)</f>
        <v>0</v>
      </c>
      <c r="AB15" s="2"/>
      <c r="AC15" s="2">
        <f>VLOOKUP($A15,'[2]App C Share Outflows'!$A$4:$I$917,5,FALSE)</f>
        <v>0</v>
      </c>
      <c r="AD15" s="2">
        <f>VLOOKUP($A15,'[2]App C Share Outflows'!$A$4:$I$917,6,FALSE)</f>
        <v>0</v>
      </c>
      <c r="AE15" s="2">
        <f>VLOOKUP($A15,'[2]App C Share Outflows'!$A$4:$I$917,7,FALSE)</f>
        <v>0</v>
      </c>
      <c r="AF15" s="2">
        <f>VLOOKUP($A15,'[2]App C Share Outflows'!$A$4:$I$917,8,FALSE)</f>
        <v>0</v>
      </c>
      <c r="AG15" s="2">
        <f>VLOOKUP($A15,'[2]App C Share Outflows'!$A$4:$I$917,9,FALSE)</f>
        <v>0</v>
      </c>
      <c r="AH15" s="2"/>
      <c r="AI15" s="2">
        <f>VLOOKUP($A15,'[2]App C Share Inflows'!$A$4:$I$917,5,FALSE)</f>
        <v>-421153</v>
      </c>
      <c r="AJ15" s="2">
        <f>VLOOKUP($A15,'[2]App C Share Inflows'!$A$4:$I$917,6,FALSE)</f>
        <v>-303143</v>
      </c>
      <c r="AK15" s="2">
        <f>VLOOKUP($A15,'[2]App C Share Inflows'!$A$4:$I$917,7,FALSE)</f>
        <v>0</v>
      </c>
      <c r="AL15" s="2">
        <f>VLOOKUP($A15,'[2]App C Share Inflows'!$A$4:$I$917,8,FALSE)</f>
        <v>0</v>
      </c>
      <c r="AM15" s="2">
        <f>VLOOKUP($A15,'[2]App C Share Inflows'!$A$4:$I$917,6,FALSE)</f>
        <v>-303143</v>
      </c>
    </row>
    <row r="16" spans="1:92">
      <c r="A16" s="346">
        <v>94402</v>
      </c>
      <c r="B16" s="347" t="s">
        <v>1139</v>
      </c>
      <c r="C16" s="371"/>
      <c r="E16" s="2">
        <f>VLOOKUP($A16,'[2]App C Total'!$A$4:$I$917,5,FALSE)</f>
        <v>0</v>
      </c>
      <c r="F16" s="2">
        <f>VLOOKUP($A16,'[2]App C Total'!$A$4:$I$917,6,FALSE)</f>
        <v>0</v>
      </c>
      <c r="G16" s="2">
        <f>VLOOKUP($A16,'[2]App C Total'!$A$4:$I$917,7,FALSE)</f>
        <v>0</v>
      </c>
      <c r="H16" s="2">
        <f>VLOOKUP($A16,'[2]App C Total'!$A$4:$I$917,8,FALSE)</f>
        <v>0</v>
      </c>
      <c r="I16" s="2">
        <f>VLOOKUP($A16,'[2]App C Total'!$A$4:$I$917,9,FALSE)</f>
        <v>0</v>
      </c>
      <c r="J16" s="2"/>
      <c r="K16" s="2">
        <f>VLOOKUP($A16,'[2]App C Exp'!$A$4:$I$917,5,FALSE)</f>
        <v>0</v>
      </c>
      <c r="L16" s="2">
        <f>VLOOKUP($A16,'[2]App C Exp'!$A$4:$I$917,6,FALSE)</f>
        <v>0</v>
      </c>
      <c r="M16" s="2">
        <f>VLOOKUP($A16,'[2]App C Exp'!$A$4:$I$917,7,FALSE)</f>
        <v>0</v>
      </c>
      <c r="N16" s="2">
        <f>VLOOKUP($A16,'[2]App C Exp'!$A$4:$I$917,8,FALSE)</f>
        <v>0</v>
      </c>
      <c r="O16" s="2">
        <f>VLOOKUP($A16,'[2]App C Exp'!$A$4:$I$917,9,FALSE)</f>
        <v>0</v>
      </c>
      <c r="P16" s="2"/>
      <c r="Q16" s="2">
        <f>VLOOKUP($A16,'[2]App C Inv'!$A$4:$I$917,5,FALSE)</f>
        <v>0</v>
      </c>
      <c r="R16" s="2">
        <f>VLOOKUP($A16,'[2]App C Inv'!$A$4:$I$917,6,FALSE)</f>
        <v>0</v>
      </c>
      <c r="S16" s="2">
        <f>VLOOKUP($A16,'[2]App C Inv'!$A$4:$I$917,7,FALSE)</f>
        <v>0</v>
      </c>
      <c r="T16" s="2">
        <f>VLOOKUP($A16,'[2]App C Inv'!$A$4:$I$917,8,FALSE)</f>
        <v>0</v>
      </c>
      <c r="U16" s="2">
        <f>VLOOKUP($A16,'[2]App C Inv'!$A$4:$I$917,9,FALSE)</f>
        <v>0</v>
      </c>
      <c r="V16" s="2"/>
      <c r="W16" s="2">
        <f>VLOOKUP($A16,'[2]App C Assum'!$A$4:$I$917,5,FALSE)</f>
        <v>0</v>
      </c>
      <c r="X16" s="2">
        <f>VLOOKUP($A16,'[2]App C Assum'!$A$4:$I$917,6,FALSE)</f>
        <v>0</v>
      </c>
      <c r="Y16" s="2">
        <f>VLOOKUP($A16,'[2]App C Assum'!$A$4:$I$917,7,FALSE)</f>
        <v>0</v>
      </c>
      <c r="Z16" s="2">
        <f>VLOOKUP($A16,'[2]App C Assum'!$A$4:$I$917,8,FALSE)</f>
        <v>0</v>
      </c>
      <c r="AA16" s="2">
        <f>VLOOKUP($A16,'[2]App C Assum'!$A$4:$I$917,9,FALSE)</f>
        <v>0</v>
      </c>
      <c r="AB16" s="2"/>
      <c r="AC16" s="2">
        <f>VLOOKUP($A16,'[2]App C Share Outflows'!$A$4:$I$917,5,FALSE)</f>
        <v>0</v>
      </c>
      <c r="AD16" s="2">
        <f>VLOOKUP($A16,'[2]App C Share Outflows'!$A$4:$I$917,6,FALSE)</f>
        <v>0</v>
      </c>
      <c r="AE16" s="2">
        <f>VLOOKUP($A16,'[2]App C Share Outflows'!$A$4:$I$917,7,FALSE)</f>
        <v>0</v>
      </c>
      <c r="AF16" s="2">
        <f>VLOOKUP($A16,'[2]App C Share Outflows'!$A$4:$I$917,8,FALSE)</f>
        <v>0</v>
      </c>
      <c r="AG16" s="2">
        <f>VLOOKUP($A16,'[2]App C Share Outflows'!$A$4:$I$917,9,FALSE)</f>
        <v>0</v>
      </c>
      <c r="AH16" s="2"/>
      <c r="AI16" s="2">
        <f>VLOOKUP($A16,'[2]App C Share Inflows'!$A$4:$I$917,5,FALSE)</f>
        <v>0</v>
      </c>
      <c r="AJ16" s="2">
        <f>VLOOKUP($A16,'[2]App C Share Inflows'!$A$4:$I$917,6,FALSE)</f>
        <v>0</v>
      </c>
      <c r="AK16" s="2">
        <f>VLOOKUP($A16,'[2]App C Share Inflows'!$A$4:$I$917,7,FALSE)</f>
        <v>0</v>
      </c>
      <c r="AL16" s="2">
        <f>VLOOKUP($A16,'[2]App C Share Inflows'!$A$4:$I$917,8,FALSE)</f>
        <v>0</v>
      </c>
      <c r="AM16" s="2">
        <f>VLOOKUP($A16,'[2]App C Share Inflows'!$A$4:$I$917,6,FALSE)</f>
        <v>0</v>
      </c>
    </row>
    <row r="17" spans="1:39">
      <c r="A17" s="346">
        <v>94512</v>
      </c>
      <c r="B17" s="347" t="s">
        <v>1151</v>
      </c>
      <c r="C17" s="371"/>
      <c r="E17" s="2">
        <f>VLOOKUP($A17,'[2]App C Total'!$A$4:$I$917,5,FALSE)</f>
        <v>0</v>
      </c>
      <c r="F17" s="2">
        <f>VLOOKUP($A17,'[2]App C Total'!$A$4:$I$917,6,FALSE)</f>
        <v>0</v>
      </c>
      <c r="G17" s="2">
        <f>VLOOKUP($A17,'[2]App C Total'!$A$4:$I$917,7,FALSE)</f>
        <v>0</v>
      </c>
      <c r="H17" s="2">
        <f>VLOOKUP($A17,'[2]App C Total'!$A$4:$I$917,8,FALSE)</f>
        <v>0</v>
      </c>
      <c r="I17" s="2">
        <f>VLOOKUP($A17,'[2]App C Total'!$A$4:$I$917,9,FALSE)</f>
        <v>0</v>
      </c>
      <c r="J17" s="2"/>
      <c r="K17" s="2">
        <f>VLOOKUP($A17,'[2]App C Exp'!$A$4:$I$917,5,FALSE)</f>
        <v>0</v>
      </c>
      <c r="L17" s="2">
        <f>VLOOKUP($A17,'[2]App C Exp'!$A$4:$I$917,6,FALSE)</f>
        <v>0</v>
      </c>
      <c r="M17" s="2">
        <f>VLOOKUP($A17,'[2]App C Exp'!$A$4:$I$917,7,FALSE)</f>
        <v>0</v>
      </c>
      <c r="N17" s="2">
        <f>VLOOKUP($A17,'[2]App C Exp'!$A$4:$I$917,8,FALSE)</f>
        <v>0</v>
      </c>
      <c r="O17" s="2">
        <f>VLOOKUP($A17,'[2]App C Exp'!$A$4:$I$917,9,FALSE)</f>
        <v>0</v>
      </c>
      <c r="P17" s="2"/>
      <c r="Q17" s="2">
        <f>VLOOKUP($A17,'[2]App C Inv'!$A$4:$I$917,5,FALSE)</f>
        <v>0</v>
      </c>
      <c r="R17" s="2">
        <f>VLOOKUP($A17,'[2]App C Inv'!$A$4:$I$917,6,FALSE)</f>
        <v>0</v>
      </c>
      <c r="S17" s="2">
        <f>VLOOKUP($A17,'[2]App C Inv'!$A$4:$I$917,7,FALSE)</f>
        <v>0</v>
      </c>
      <c r="T17" s="2">
        <f>VLOOKUP($A17,'[2]App C Inv'!$A$4:$I$917,8,FALSE)</f>
        <v>0</v>
      </c>
      <c r="U17" s="2">
        <f>VLOOKUP($A17,'[2]App C Inv'!$A$4:$I$917,9,FALSE)</f>
        <v>0</v>
      </c>
      <c r="V17" s="2"/>
      <c r="W17" s="2">
        <f>VLOOKUP($A17,'[2]App C Assum'!$A$4:$I$917,5,FALSE)</f>
        <v>0</v>
      </c>
      <c r="X17" s="2">
        <f>VLOOKUP($A17,'[2]App C Assum'!$A$4:$I$917,6,FALSE)</f>
        <v>0</v>
      </c>
      <c r="Y17" s="2">
        <f>VLOOKUP($A17,'[2]App C Assum'!$A$4:$I$917,7,FALSE)</f>
        <v>0</v>
      </c>
      <c r="Z17" s="2">
        <f>VLOOKUP($A17,'[2]App C Assum'!$A$4:$I$917,8,FALSE)</f>
        <v>0</v>
      </c>
      <c r="AA17" s="2">
        <f>VLOOKUP($A17,'[2]App C Assum'!$A$4:$I$917,9,FALSE)</f>
        <v>0</v>
      </c>
      <c r="AB17" s="2"/>
      <c r="AC17" s="2">
        <f>VLOOKUP($A17,'[2]App C Share Outflows'!$A$4:$I$917,5,FALSE)</f>
        <v>0</v>
      </c>
      <c r="AD17" s="2">
        <f>VLOOKUP($A17,'[2]App C Share Outflows'!$A$4:$I$917,6,FALSE)</f>
        <v>0</v>
      </c>
      <c r="AE17" s="2">
        <f>VLOOKUP($A17,'[2]App C Share Outflows'!$A$4:$I$917,7,FALSE)</f>
        <v>0</v>
      </c>
      <c r="AF17" s="2">
        <f>VLOOKUP($A17,'[2]App C Share Outflows'!$A$4:$I$917,8,FALSE)</f>
        <v>0</v>
      </c>
      <c r="AG17" s="2">
        <f>VLOOKUP($A17,'[2]App C Share Outflows'!$A$4:$I$917,9,FALSE)</f>
        <v>0</v>
      </c>
      <c r="AH17" s="2"/>
      <c r="AI17" s="2">
        <f>VLOOKUP($A17,'[2]App C Share Inflows'!$A$4:$I$917,5,FALSE)</f>
        <v>0</v>
      </c>
      <c r="AJ17" s="2">
        <f>VLOOKUP($A17,'[2]App C Share Inflows'!$A$4:$I$917,6,FALSE)</f>
        <v>0</v>
      </c>
      <c r="AK17" s="2">
        <f>VLOOKUP($A17,'[2]App C Share Inflows'!$A$4:$I$917,7,FALSE)</f>
        <v>0</v>
      </c>
      <c r="AL17" s="2">
        <f>VLOOKUP($A17,'[2]App C Share Inflows'!$A$4:$I$917,8,FALSE)</f>
        <v>0</v>
      </c>
      <c r="AM17" s="2">
        <f>VLOOKUP($A17,'[2]App C Share Inflows'!$A$4:$I$917,6,FALSE)</f>
        <v>0</v>
      </c>
    </row>
    <row r="18" spans="1:39">
      <c r="A18" s="362">
        <v>94606</v>
      </c>
      <c r="B18" s="363" t="s">
        <v>1162</v>
      </c>
      <c r="C18" s="371"/>
      <c r="E18" s="2">
        <f>VLOOKUP($A18,'[2]App C Total'!$A$4:$I$917,5,FALSE)</f>
        <v>-55480</v>
      </c>
      <c r="F18" s="2">
        <f>VLOOKUP($A18,'[2]App C Total'!$A$4:$I$917,6,FALSE)</f>
        <v>-51492</v>
      </c>
      <c r="G18" s="2">
        <f>VLOOKUP($A18,'[2]App C Total'!$A$4:$I$917,7,FALSE)</f>
        <v>-46761</v>
      </c>
      <c r="H18" s="2">
        <f>VLOOKUP($A18,'[2]App C Total'!$A$4:$I$917,8,FALSE)</f>
        <v>-40452</v>
      </c>
      <c r="I18" s="2">
        <f>VLOOKUP($A18,'[2]App C Total'!$A$4:$I$917,9,FALSE)</f>
        <v>0</v>
      </c>
      <c r="J18" s="2"/>
      <c r="K18" s="2">
        <f>VLOOKUP($A18,'[2]App C Exp'!$A$4:$I$917,5,FALSE)</f>
        <v>0</v>
      </c>
      <c r="L18" s="2">
        <f>VLOOKUP($A18,'[2]App C Exp'!$A$4:$I$917,6,FALSE)</f>
        <v>0</v>
      </c>
      <c r="M18" s="2">
        <f>VLOOKUP($A18,'[2]App C Exp'!$A$4:$I$917,7,FALSE)</f>
        <v>0</v>
      </c>
      <c r="N18" s="2">
        <f>VLOOKUP($A18,'[2]App C Exp'!$A$4:$I$917,8,FALSE)</f>
        <v>0</v>
      </c>
      <c r="O18" s="2">
        <f>VLOOKUP($A18,'[2]App C Exp'!$A$4:$I$917,9,FALSE)</f>
        <v>0</v>
      </c>
      <c r="P18" s="2"/>
      <c r="Q18" s="2">
        <f>VLOOKUP($A18,'[2]App C Inv'!$A$4:$I$917,5,FALSE)</f>
        <v>0</v>
      </c>
      <c r="R18" s="2">
        <f>VLOOKUP($A18,'[2]App C Inv'!$A$4:$I$917,6,FALSE)</f>
        <v>0</v>
      </c>
      <c r="S18" s="2">
        <f>VLOOKUP($A18,'[2]App C Inv'!$A$4:$I$917,7,FALSE)</f>
        <v>0</v>
      </c>
      <c r="T18" s="2">
        <f>VLOOKUP($A18,'[2]App C Inv'!$A$4:$I$917,8,FALSE)</f>
        <v>0</v>
      </c>
      <c r="U18" s="2">
        <f>VLOOKUP($A18,'[2]App C Inv'!$A$4:$I$917,9,FALSE)</f>
        <v>0</v>
      </c>
      <c r="V18" s="2"/>
      <c r="W18" s="2">
        <f>VLOOKUP($A18,'[2]App C Assum'!$A$4:$I$917,5,FALSE)</f>
        <v>0</v>
      </c>
      <c r="X18" s="2">
        <f>VLOOKUP($A18,'[2]App C Assum'!$A$4:$I$917,6,FALSE)</f>
        <v>0</v>
      </c>
      <c r="Y18" s="2">
        <f>VLOOKUP($A18,'[2]App C Assum'!$A$4:$I$917,7,FALSE)</f>
        <v>0</v>
      </c>
      <c r="Z18" s="2">
        <f>VLOOKUP($A18,'[2]App C Assum'!$A$4:$I$917,8,FALSE)</f>
        <v>0</v>
      </c>
      <c r="AA18" s="2">
        <f>VLOOKUP($A18,'[2]App C Assum'!$A$4:$I$917,9,FALSE)</f>
        <v>0</v>
      </c>
      <c r="AB18" s="2"/>
      <c r="AC18" s="2">
        <f>VLOOKUP($A18,'[2]App C Share Outflows'!$A$4:$I$917,5,FALSE)</f>
        <v>0</v>
      </c>
      <c r="AD18" s="2">
        <f>VLOOKUP($A18,'[2]App C Share Outflows'!$A$4:$I$917,6,FALSE)</f>
        <v>0</v>
      </c>
      <c r="AE18" s="2">
        <f>VLOOKUP($A18,'[2]App C Share Outflows'!$A$4:$I$917,7,FALSE)</f>
        <v>0</v>
      </c>
      <c r="AF18" s="2">
        <f>VLOOKUP($A18,'[2]App C Share Outflows'!$A$4:$I$917,8,FALSE)</f>
        <v>0</v>
      </c>
      <c r="AG18" s="2">
        <f>VLOOKUP($A18,'[2]App C Share Outflows'!$A$4:$I$917,9,FALSE)</f>
        <v>0</v>
      </c>
      <c r="AH18" s="2"/>
      <c r="AI18" s="2">
        <f>VLOOKUP($A18,'[2]App C Share Inflows'!$A$4:$I$917,5,FALSE)</f>
        <v>-55480</v>
      </c>
      <c r="AJ18" s="2">
        <f>VLOOKUP($A18,'[2]App C Share Inflows'!$A$4:$I$917,6,FALSE)</f>
        <v>-51492</v>
      </c>
      <c r="AK18" s="2">
        <f>VLOOKUP($A18,'[2]App C Share Inflows'!$A$4:$I$917,7,FALSE)</f>
        <v>-46761</v>
      </c>
      <c r="AL18" s="2">
        <f>VLOOKUP($A18,'[2]App C Share Inflows'!$A$4:$I$917,8,FALSE)</f>
        <v>-40452</v>
      </c>
      <c r="AM18" s="2">
        <f>VLOOKUP($A18,'[2]App C Share Inflows'!$A$4:$I$917,6,FALSE)</f>
        <v>-51492</v>
      </c>
    </row>
    <row r="19" spans="1:39">
      <c r="A19" s="346">
        <v>95412</v>
      </c>
      <c r="B19" s="347" t="s">
        <v>3719</v>
      </c>
      <c r="C19" s="371"/>
      <c r="E19" s="2">
        <f>VLOOKUP($A19,'[2]App C Total'!$A$4:$I$917,5,FALSE)</f>
        <v>0</v>
      </c>
      <c r="F19" s="2">
        <f>VLOOKUP($A19,'[2]App C Total'!$A$4:$I$917,6,FALSE)</f>
        <v>0</v>
      </c>
      <c r="G19" s="2">
        <f>VLOOKUP($A19,'[2]App C Total'!$A$4:$I$917,7,FALSE)</f>
        <v>0</v>
      </c>
      <c r="H19" s="2">
        <f>VLOOKUP($A19,'[2]App C Total'!$A$4:$I$917,8,FALSE)</f>
        <v>0</v>
      </c>
      <c r="I19" s="2">
        <f>VLOOKUP($A19,'[2]App C Total'!$A$4:$I$917,9,FALSE)</f>
        <v>0</v>
      </c>
      <c r="J19" s="2"/>
      <c r="K19" s="2">
        <f>VLOOKUP($A19,'[2]App C Exp'!$A$4:$I$917,5,FALSE)</f>
        <v>0</v>
      </c>
      <c r="L19" s="2">
        <f>VLOOKUP($A19,'[2]App C Exp'!$A$4:$I$917,6,FALSE)</f>
        <v>0</v>
      </c>
      <c r="M19" s="2">
        <f>VLOOKUP($A19,'[2]App C Exp'!$A$4:$I$917,7,FALSE)</f>
        <v>0</v>
      </c>
      <c r="N19" s="2">
        <f>VLOOKUP($A19,'[2]App C Exp'!$A$4:$I$917,8,FALSE)</f>
        <v>0</v>
      </c>
      <c r="O19" s="2">
        <f>VLOOKUP($A19,'[2]App C Exp'!$A$4:$I$917,9,FALSE)</f>
        <v>0</v>
      </c>
      <c r="P19" s="2"/>
      <c r="Q19" s="2">
        <f>VLOOKUP($A19,'[2]App C Inv'!$A$4:$I$917,5,FALSE)</f>
        <v>0</v>
      </c>
      <c r="R19" s="2">
        <f>VLOOKUP($A19,'[2]App C Inv'!$A$4:$I$917,6,FALSE)</f>
        <v>0</v>
      </c>
      <c r="S19" s="2">
        <f>VLOOKUP($A19,'[2]App C Inv'!$A$4:$I$917,7,FALSE)</f>
        <v>0</v>
      </c>
      <c r="T19" s="2">
        <f>VLOOKUP($A19,'[2]App C Inv'!$A$4:$I$917,8,FALSE)</f>
        <v>0</v>
      </c>
      <c r="U19" s="2">
        <f>VLOOKUP($A19,'[2]App C Inv'!$A$4:$I$917,9,FALSE)</f>
        <v>0</v>
      </c>
      <c r="V19" s="2"/>
      <c r="W19" s="2">
        <f>VLOOKUP($A19,'[2]App C Assum'!$A$4:$I$917,5,FALSE)</f>
        <v>0</v>
      </c>
      <c r="X19" s="2">
        <f>VLOOKUP($A19,'[2]App C Assum'!$A$4:$I$917,6,FALSE)</f>
        <v>0</v>
      </c>
      <c r="Y19" s="2">
        <f>VLOOKUP($A19,'[2]App C Assum'!$A$4:$I$917,7,FALSE)</f>
        <v>0</v>
      </c>
      <c r="Z19" s="2">
        <f>VLOOKUP($A19,'[2]App C Assum'!$A$4:$I$917,8,FALSE)</f>
        <v>0</v>
      </c>
      <c r="AA19" s="2">
        <f>VLOOKUP($A19,'[2]App C Assum'!$A$4:$I$917,9,FALSE)</f>
        <v>0</v>
      </c>
      <c r="AB19" s="2"/>
      <c r="AC19" s="2">
        <f>VLOOKUP($A19,'[2]App C Share Outflows'!$A$4:$I$917,5,FALSE)</f>
        <v>0</v>
      </c>
      <c r="AD19" s="2">
        <f>VLOOKUP($A19,'[2]App C Share Outflows'!$A$4:$I$917,6,FALSE)</f>
        <v>0</v>
      </c>
      <c r="AE19" s="2">
        <f>VLOOKUP($A19,'[2]App C Share Outflows'!$A$4:$I$917,7,FALSE)</f>
        <v>0</v>
      </c>
      <c r="AF19" s="2">
        <f>VLOOKUP($A19,'[2]App C Share Outflows'!$A$4:$I$917,8,FALSE)</f>
        <v>0</v>
      </c>
      <c r="AG19" s="2">
        <f>VLOOKUP($A19,'[2]App C Share Outflows'!$A$4:$I$917,9,FALSE)</f>
        <v>0</v>
      </c>
      <c r="AH19" s="2"/>
      <c r="AI19" s="2">
        <f>VLOOKUP($A19,'[2]App C Share Inflows'!$A$4:$I$917,5,FALSE)</f>
        <v>0</v>
      </c>
      <c r="AJ19" s="2">
        <f>VLOOKUP($A19,'[2]App C Share Inflows'!$A$4:$I$917,6,FALSE)</f>
        <v>0</v>
      </c>
      <c r="AK19" s="2">
        <f>VLOOKUP($A19,'[2]App C Share Inflows'!$A$4:$I$917,7,FALSE)</f>
        <v>0</v>
      </c>
      <c r="AL19" s="2">
        <f>VLOOKUP($A19,'[2]App C Share Inflows'!$A$4:$I$917,8,FALSE)</f>
        <v>0</v>
      </c>
      <c r="AM19" s="2">
        <f>VLOOKUP($A19,'[2]App C Share Inflows'!$A$4:$I$917,6,FALSE)</f>
        <v>0</v>
      </c>
    </row>
    <row r="20" spans="1:39">
      <c r="A20" s="346">
        <v>97010</v>
      </c>
      <c r="B20" s="347" t="s">
        <v>1351</v>
      </c>
      <c r="C20" s="371"/>
      <c r="E20" s="2">
        <f>VLOOKUP($A20,'[2]App C Total'!$A$4:$I$917,5,FALSE)</f>
        <v>0</v>
      </c>
      <c r="F20" s="2">
        <f>VLOOKUP($A20,'[2]App C Total'!$A$4:$I$917,6,FALSE)</f>
        <v>0</v>
      </c>
      <c r="G20" s="2">
        <f>VLOOKUP($A20,'[2]App C Total'!$A$4:$I$917,7,FALSE)</f>
        <v>0</v>
      </c>
      <c r="H20" s="2">
        <f>VLOOKUP($A20,'[2]App C Total'!$A$4:$I$917,8,FALSE)</f>
        <v>0</v>
      </c>
      <c r="I20" s="2">
        <f>VLOOKUP($A20,'[2]App C Total'!$A$4:$I$917,9,FALSE)</f>
        <v>0</v>
      </c>
      <c r="J20" s="2"/>
      <c r="K20" s="2">
        <f>VLOOKUP($A20,'[2]App C Exp'!$A$4:$I$917,5,FALSE)</f>
        <v>0</v>
      </c>
      <c r="L20" s="2">
        <f>VLOOKUP($A20,'[2]App C Exp'!$A$4:$I$917,6,FALSE)</f>
        <v>0</v>
      </c>
      <c r="M20" s="2">
        <f>VLOOKUP($A20,'[2]App C Exp'!$A$4:$I$917,7,FALSE)</f>
        <v>0</v>
      </c>
      <c r="N20" s="2">
        <f>VLOOKUP($A20,'[2]App C Exp'!$A$4:$I$917,8,FALSE)</f>
        <v>0</v>
      </c>
      <c r="O20" s="2">
        <f>VLOOKUP($A20,'[2]App C Exp'!$A$4:$I$917,9,FALSE)</f>
        <v>0</v>
      </c>
      <c r="P20" s="2"/>
      <c r="Q20" s="2">
        <f>VLOOKUP($A20,'[2]App C Inv'!$A$4:$I$917,5,FALSE)</f>
        <v>0</v>
      </c>
      <c r="R20" s="2">
        <f>VLOOKUP($A20,'[2]App C Inv'!$A$4:$I$917,6,FALSE)</f>
        <v>0</v>
      </c>
      <c r="S20" s="2">
        <f>VLOOKUP($A20,'[2]App C Inv'!$A$4:$I$917,7,FALSE)</f>
        <v>0</v>
      </c>
      <c r="T20" s="2">
        <f>VLOOKUP($A20,'[2]App C Inv'!$A$4:$I$917,8,FALSE)</f>
        <v>0</v>
      </c>
      <c r="U20" s="2">
        <f>VLOOKUP($A20,'[2]App C Inv'!$A$4:$I$917,9,FALSE)</f>
        <v>0</v>
      </c>
      <c r="V20" s="2"/>
      <c r="W20" s="2">
        <f>VLOOKUP($A20,'[2]App C Assum'!$A$4:$I$917,5,FALSE)</f>
        <v>0</v>
      </c>
      <c r="X20" s="2">
        <f>VLOOKUP($A20,'[2]App C Assum'!$A$4:$I$917,6,FALSE)</f>
        <v>0</v>
      </c>
      <c r="Y20" s="2">
        <f>VLOOKUP($A20,'[2]App C Assum'!$A$4:$I$917,7,FALSE)</f>
        <v>0</v>
      </c>
      <c r="Z20" s="2">
        <f>VLOOKUP($A20,'[2]App C Assum'!$A$4:$I$917,8,FALSE)</f>
        <v>0</v>
      </c>
      <c r="AA20" s="2">
        <f>VLOOKUP($A20,'[2]App C Assum'!$A$4:$I$917,9,FALSE)</f>
        <v>0</v>
      </c>
      <c r="AB20" s="2"/>
      <c r="AC20" s="2">
        <f>VLOOKUP($A20,'[2]App C Share Outflows'!$A$4:$I$917,5,FALSE)</f>
        <v>0</v>
      </c>
      <c r="AD20" s="2">
        <f>VLOOKUP($A20,'[2]App C Share Outflows'!$A$4:$I$917,6,FALSE)</f>
        <v>0</v>
      </c>
      <c r="AE20" s="2">
        <f>VLOOKUP($A20,'[2]App C Share Outflows'!$A$4:$I$917,7,FALSE)</f>
        <v>0</v>
      </c>
      <c r="AF20" s="2">
        <f>VLOOKUP($A20,'[2]App C Share Outflows'!$A$4:$I$917,8,FALSE)</f>
        <v>0</v>
      </c>
      <c r="AG20" s="2">
        <f>VLOOKUP($A20,'[2]App C Share Outflows'!$A$4:$I$917,9,FALSE)</f>
        <v>0</v>
      </c>
      <c r="AH20" s="2"/>
      <c r="AI20" s="2">
        <f>VLOOKUP($A20,'[2]App C Share Inflows'!$A$4:$I$917,5,FALSE)</f>
        <v>0</v>
      </c>
      <c r="AJ20" s="2">
        <f>VLOOKUP($A20,'[2]App C Share Inflows'!$A$4:$I$917,6,FALSE)</f>
        <v>0</v>
      </c>
      <c r="AK20" s="2">
        <f>VLOOKUP($A20,'[2]App C Share Inflows'!$A$4:$I$917,7,FALSE)</f>
        <v>0</v>
      </c>
      <c r="AL20" s="2">
        <f>VLOOKUP($A20,'[2]App C Share Inflows'!$A$4:$I$917,8,FALSE)</f>
        <v>0</v>
      </c>
      <c r="AM20" s="2">
        <f>VLOOKUP($A20,'[2]App C Share Inflows'!$A$4:$I$917,6,FALSE)</f>
        <v>0</v>
      </c>
    </row>
    <row r="21" spans="1:39">
      <c r="A21" s="346">
        <v>97302</v>
      </c>
      <c r="B21" s="347" t="s">
        <v>3617</v>
      </c>
      <c r="C21" s="371"/>
      <c r="E21" s="2">
        <f>VLOOKUP($A21,'[2]App C Total'!$A$4:$I$917,5,FALSE)</f>
        <v>2721</v>
      </c>
      <c r="F21" s="2">
        <f>VLOOKUP($A21,'[2]App C Total'!$A$4:$I$917,6,FALSE)</f>
        <v>2721</v>
      </c>
      <c r="G21" s="2">
        <f>VLOOKUP($A21,'[2]App C Total'!$A$4:$I$917,7,FALSE)</f>
        <v>2721</v>
      </c>
      <c r="H21" s="2">
        <f>VLOOKUP($A21,'[2]App C Total'!$A$4:$I$917,8,FALSE)</f>
        <v>2722</v>
      </c>
      <c r="I21" s="2">
        <f>VLOOKUP($A21,'[2]App C Total'!$A$4:$I$917,9,FALSE)</f>
        <v>0</v>
      </c>
      <c r="J21" s="2"/>
      <c r="K21" s="2">
        <f>VLOOKUP($A21,'[2]App C Exp'!$A$4:$I$917,5,FALSE)</f>
        <v>0</v>
      </c>
      <c r="L21" s="2">
        <f>VLOOKUP($A21,'[2]App C Exp'!$A$4:$I$917,6,FALSE)</f>
        <v>0</v>
      </c>
      <c r="M21" s="2">
        <f>VLOOKUP($A21,'[2]App C Exp'!$A$4:$I$917,7,FALSE)</f>
        <v>0</v>
      </c>
      <c r="N21" s="2">
        <f>VLOOKUP($A21,'[2]App C Exp'!$A$4:$I$917,8,FALSE)</f>
        <v>0</v>
      </c>
      <c r="O21" s="2">
        <f>VLOOKUP($A21,'[2]App C Exp'!$A$4:$I$917,9,FALSE)</f>
        <v>0</v>
      </c>
      <c r="P21" s="2"/>
      <c r="Q21" s="2">
        <f>VLOOKUP($A21,'[2]App C Inv'!$A$4:$I$917,5,FALSE)</f>
        <v>0</v>
      </c>
      <c r="R21" s="2">
        <f>VLOOKUP($A21,'[2]App C Inv'!$A$4:$I$917,6,FALSE)</f>
        <v>0</v>
      </c>
      <c r="S21" s="2">
        <f>VLOOKUP($A21,'[2]App C Inv'!$A$4:$I$917,7,FALSE)</f>
        <v>0</v>
      </c>
      <c r="T21" s="2">
        <f>VLOOKUP($A21,'[2]App C Inv'!$A$4:$I$917,8,FALSE)</f>
        <v>0</v>
      </c>
      <c r="U21" s="2">
        <f>VLOOKUP($A21,'[2]App C Inv'!$A$4:$I$917,9,FALSE)</f>
        <v>0</v>
      </c>
      <c r="V21" s="2"/>
      <c r="W21" s="2">
        <f>VLOOKUP($A21,'[2]App C Assum'!$A$4:$I$917,5,FALSE)</f>
        <v>0</v>
      </c>
      <c r="X21" s="2">
        <f>VLOOKUP($A21,'[2]App C Assum'!$A$4:$I$917,6,FALSE)</f>
        <v>0</v>
      </c>
      <c r="Y21" s="2">
        <f>VLOOKUP($A21,'[2]App C Assum'!$A$4:$I$917,7,FALSE)</f>
        <v>0</v>
      </c>
      <c r="Z21" s="2">
        <f>VLOOKUP($A21,'[2]App C Assum'!$A$4:$I$917,8,FALSE)</f>
        <v>0</v>
      </c>
      <c r="AA21" s="2">
        <f>VLOOKUP($A21,'[2]App C Assum'!$A$4:$I$917,9,FALSE)</f>
        <v>0</v>
      </c>
      <c r="AB21" s="2"/>
      <c r="AC21" s="2">
        <f>VLOOKUP($A21,'[2]App C Share Outflows'!$A$4:$I$917,5,FALSE)</f>
        <v>2721</v>
      </c>
      <c r="AD21" s="2">
        <f>VLOOKUP($A21,'[2]App C Share Outflows'!$A$4:$I$917,6,FALSE)</f>
        <v>2721</v>
      </c>
      <c r="AE21" s="2">
        <f>VLOOKUP($A21,'[2]App C Share Outflows'!$A$4:$I$917,7,FALSE)</f>
        <v>2721</v>
      </c>
      <c r="AF21" s="2">
        <f>VLOOKUP($A21,'[2]App C Share Outflows'!$A$4:$I$917,8,FALSE)</f>
        <v>2722</v>
      </c>
      <c r="AG21" s="2">
        <f>VLOOKUP($A21,'[2]App C Share Outflows'!$A$4:$I$917,9,FALSE)</f>
        <v>0</v>
      </c>
      <c r="AH21" s="2"/>
      <c r="AI21" s="2">
        <f>VLOOKUP($A21,'[2]App C Share Inflows'!$A$4:$I$917,5,FALSE)</f>
        <v>0</v>
      </c>
      <c r="AJ21" s="2">
        <f>VLOOKUP($A21,'[2]App C Share Inflows'!$A$4:$I$917,6,FALSE)</f>
        <v>0</v>
      </c>
      <c r="AK21" s="2">
        <f>VLOOKUP($A21,'[2]App C Share Inflows'!$A$4:$I$917,7,FALSE)</f>
        <v>0</v>
      </c>
      <c r="AL21" s="2">
        <f>VLOOKUP($A21,'[2]App C Share Inflows'!$A$4:$I$917,8,FALSE)</f>
        <v>0</v>
      </c>
      <c r="AM21" s="2">
        <f>VLOOKUP($A21,'[2]App C Share Inflows'!$A$4:$I$917,6,FALSE)</f>
        <v>0</v>
      </c>
    </row>
    <row r="22" spans="1:39">
      <c r="A22" s="346">
        <v>97491</v>
      </c>
      <c r="B22" s="347" t="s">
        <v>3720</v>
      </c>
      <c r="C22" s="371"/>
      <c r="E22" s="2">
        <f>VLOOKUP($A22,'[2]App C Total'!$A$4:$I$917,5,FALSE)</f>
        <v>0</v>
      </c>
      <c r="F22" s="2">
        <f>VLOOKUP($A22,'[2]App C Total'!$A$4:$I$917,6,FALSE)</f>
        <v>0</v>
      </c>
      <c r="G22" s="2">
        <f>VLOOKUP($A22,'[2]App C Total'!$A$4:$I$917,7,FALSE)</f>
        <v>0</v>
      </c>
      <c r="H22" s="2">
        <f>VLOOKUP($A22,'[2]App C Total'!$A$4:$I$917,8,FALSE)</f>
        <v>0</v>
      </c>
      <c r="I22" s="2">
        <f>VLOOKUP($A22,'[2]App C Total'!$A$4:$I$917,9,FALSE)</f>
        <v>0</v>
      </c>
      <c r="J22" s="2"/>
      <c r="K22" s="2">
        <f>VLOOKUP($A22,'[2]App C Exp'!$A$4:$I$917,5,FALSE)</f>
        <v>0</v>
      </c>
      <c r="L22" s="2">
        <f>VLOOKUP($A22,'[2]App C Exp'!$A$4:$I$917,6,FALSE)</f>
        <v>0</v>
      </c>
      <c r="M22" s="2">
        <f>VLOOKUP($A22,'[2]App C Exp'!$A$4:$I$917,7,FALSE)</f>
        <v>0</v>
      </c>
      <c r="N22" s="2">
        <f>VLOOKUP($A22,'[2]App C Exp'!$A$4:$I$917,8,FALSE)</f>
        <v>0</v>
      </c>
      <c r="O22" s="2">
        <f>VLOOKUP($A22,'[2]App C Exp'!$A$4:$I$917,9,FALSE)</f>
        <v>0</v>
      </c>
      <c r="P22" s="2"/>
      <c r="Q22" s="2">
        <f>VLOOKUP($A22,'[2]App C Inv'!$A$4:$I$917,5,FALSE)</f>
        <v>0</v>
      </c>
      <c r="R22" s="2">
        <f>VLOOKUP($A22,'[2]App C Inv'!$A$4:$I$917,6,FALSE)</f>
        <v>0</v>
      </c>
      <c r="S22" s="2">
        <f>VLOOKUP($A22,'[2]App C Inv'!$A$4:$I$917,7,FALSE)</f>
        <v>0</v>
      </c>
      <c r="T22" s="2">
        <f>VLOOKUP($A22,'[2]App C Inv'!$A$4:$I$917,8,FALSE)</f>
        <v>0</v>
      </c>
      <c r="U22" s="2">
        <f>VLOOKUP($A22,'[2]App C Inv'!$A$4:$I$917,9,FALSE)</f>
        <v>0</v>
      </c>
      <c r="V22" s="2"/>
      <c r="W22" s="2">
        <f>VLOOKUP($A22,'[2]App C Assum'!$A$4:$I$917,5,FALSE)</f>
        <v>0</v>
      </c>
      <c r="X22" s="2">
        <f>VLOOKUP($A22,'[2]App C Assum'!$A$4:$I$917,6,FALSE)</f>
        <v>0</v>
      </c>
      <c r="Y22" s="2">
        <f>VLOOKUP($A22,'[2]App C Assum'!$A$4:$I$917,7,FALSE)</f>
        <v>0</v>
      </c>
      <c r="Z22" s="2">
        <f>VLOOKUP($A22,'[2]App C Assum'!$A$4:$I$917,8,FALSE)</f>
        <v>0</v>
      </c>
      <c r="AA22" s="2">
        <f>VLOOKUP($A22,'[2]App C Assum'!$A$4:$I$917,9,FALSE)</f>
        <v>0</v>
      </c>
      <c r="AB22" s="2"/>
      <c r="AC22" s="2">
        <f>VLOOKUP($A22,'[2]App C Share Outflows'!$A$4:$I$917,5,FALSE)</f>
        <v>0</v>
      </c>
      <c r="AD22" s="2">
        <f>VLOOKUP($A22,'[2]App C Share Outflows'!$A$4:$I$917,6,FALSE)</f>
        <v>0</v>
      </c>
      <c r="AE22" s="2">
        <f>VLOOKUP($A22,'[2]App C Share Outflows'!$A$4:$I$917,7,FALSE)</f>
        <v>0</v>
      </c>
      <c r="AF22" s="2">
        <f>VLOOKUP($A22,'[2]App C Share Outflows'!$A$4:$I$917,8,FALSE)</f>
        <v>0</v>
      </c>
      <c r="AG22" s="2">
        <f>VLOOKUP($A22,'[2]App C Share Outflows'!$A$4:$I$917,9,FALSE)</f>
        <v>0</v>
      </c>
      <c r="AH22" s="2"/>
      <c r="AI22" s="2">
        <f>VLOOKUP($A22,'[2]App C Share Inflows'!$A$4:$I$917,5,FALSE)</f>
        <v>0</v>
      </c>
      <c r="AJ22" s="2">
        <f>VLOOKUP($A22,'[2]App C Share Inflows'!$A$4:$I$917,6,FALSE)</f>
        <v>0</v>
      </c>
      <c r="AK22" s="2">
        <f>VLOOKUP($A22,'[2]App C Share Inflows'!$A$4:$I$917,7,FALSE)</f>
        <v>0</v>
      </c>
      <c r="AL22" s="2">
        <f>VLOOKUP($A22,'[2]App C Share Inflows'!$A$4:$I$917,8,FALSE)</f>
        <v>0</v>
      </c>
      <c r="AM22" s="2">
        <f>VLOOKUP($A22,'[2]App C Share Inflows'!$A$4:$I$917,6,FALSE)</f>
        <v>0</v>
      </c>
    </row>
    <row r="23" spans="1:39">
      <c r="A23" s="369">
        <v>71786</v>
      </c>
      <c r="B23" s="347" t="s">
        <v>1491</v>
      </c>
      <c r="C23" s="371"/>
      <c r="E23" s="2">
        <f>VLOOKUP($A23,'[2]App C Total'!$A$4:$I$917,5,FALSE)</f>
        <v>-7538</v>
      </c>
      <c r="F23" s="2">
        <f>VLOOKUP($A23,'[2]App C Total'!$A$4:$I$917,6,FALSE)</f>
        <v>-6946</v>
      </c>
      <c r="G23" s="2">
        <f>VLOOKUP($A23,'[2]App C Total'!$A$4:$I$917,7,FALSE)</f>
        <v>-1825</v>
      </c>
      <c r="H23" s="2">
        <f>VLOOKUP($A23,'[2]App C Total'!$A$4:$I$917,8,FALSE)</f>
        <v>0</v>
      </c>
      <c r="I23" s="2">
        <f>VLOOKUP($A23,'[2]App C Total'!$A$4:$I$917,9,FALSE)</f>
        <v>0</v>
      </c>
      <c r="J23" s="2"/>
      <c r="K23" s="2">
        <f>VLOOKUP($A23,'[2]App C Exp'!$A$4:$I$917,5,FALSE)</f>
        <v>0</v>
      </c>
      <c r="L23" s="2">
        <f>VLOOKUP($A23,'[2]App C Exp'!$A$4:$I$917,6,FALSE)</f>
        <v>0</v>
      </c>
      <c r="M23" s="2">
        <f>VLOOKUP($A23,'[2]App C Exp'!$A$4:$I$917,7,FALSE)</f>
        <v>0</v>
      </c>
      <c r="N23" s="2">
        <f>VLOOKUP($A23,'[2]App C Exp'!$A$4:$I$917,8,FALSE)</f>
        <v>0</v>
      </c>
      <c r="O23" s="2">
        <f>VLOOKUP($A23,'[2]App C Exp'!$A$4:$I$917,9,FALSE)</f>
        <v>0</v>
      </c>
      <c r="P23" s="2"/>
      <c r="Q23" s="2">
        <f>VLOOKUP($A23,'[2]App C Inv'!$A$4:$I$917,5,FALSE)</f>
        <v>0</v>
      </c>
      <c r="R23" s="2">
        <f>VLOOKUP($A23,'[2]App C Inv'!$A$4:$I$917,6,FALSE)</f>
        <v>0</v>
      </c>
      <c r="S23" s="2">
        <f>VLOOKUP($A23,'[2]App C Inv'!$A$4:$I$917,7,FALSE)</f>
        <v>0</v>
      </c>
      <c r="T23" s="2">
        <f>VLOOKUP($A23,'[2]App C Inv'!$A$4:$I$917,8,FALSE)</f>
        <v>0</v>
      </c>
      <c r="U23" s="2">
        <f>VLOOKUP($A23,'[2]App C Inv'!$A$4:$I$917,9,FALSE)</f>
        <v>0</v>
      </c>
      <c r="V23" s="2"/>
      <c r="W23" s="2">
        <f>VLOOKUP($A23,'[2]App C Assum'!$A$4:$I$917,5,FALSE)</f>
        <v>0</v>
      </c>
      <c r="X23" s="2">
        <f>VLOOKUP($A23,'[2]App C Assum'!$A$4:$I$917,6,FALSE)</f>
        <v>0</v>
      </c>
      <c r="Y23" s="2">
        <f>VLOOKUP($A23,'[2]App C Assum'!$A$4:$I$917,7,FALSE)</f>
        <v>0</v>
      </c>
      <c r="Z23" s="2">
        <f>VLOOKUP($A23,'[2]App C Assum'!$A$4:$I$917,8,FALSE)</f>
        <v>0</v>
      </c>
      <c r="AA23" s="2">
        <f>VLOOKUP($A23,'[2]App C Assum'!$A$4:$I$917,9,FALSE)</f>
        <v>0</v>
      </c>
      <c r="AB23" s="2"/>
      <c r="AC23" s="2">
        <f>VLOOKUP($A23,'[2]App C Share Outflows'!$A$4:$I$917,5,FALSE)</f>
        <v>0</v>
      </c>
      <c r="AD23" s="2">
        <f>VLOOKUP($A23,'[2]App C Share Outflows'!$A$4:$I$917,6,FALSE)</f>
        <v>0</v>
      </c>
      <c r="AE23" s="2">
        <f>VLOOKUP($A23,'[2]App C Share Outflows'!$A$4:$I$917,7,FALSE)</f>
        <v>0</v>
      </c>
      <c r="AF23" s="2">
        <f>VLOOKUP($A23,'[2]App C Share Outflows'!$A$4:$I$917,8,FALSE)</f>
        <v>0</v>
      </c>
      <c r="AG23" s="2">
        <f>VLOOKUP($A23,'[2]App C Share Outflows'!$A$4:$I$917,9,FALSE)</f>
        <v>0</v>
      </c>
      <c r="AH23" s="2"/>
      <c r="AI23" s="2">
        <f>VLOOKUP($A23,'[2]App C Share Inflows'!$A$4:$I$917,5,FALSE)</f>
        <v>-7538</v>
      </c>
      <c r="AJ23" s="2">
        <f>VLOOKUP($A23,'[2]App C Share Inflows'!$A$4:$I$917,6,FALSE)</f>
        <v>-6946</v>
      </c>
      <c r="AK23" s="2">
        <f>VLOOKUP($A23,'[2]App C Share Inflows'!$A$4:$I$917,7,FALSE)</f>
        <v>-1825</v>
      </c>
      <c r="AL23" s="2">
        <f>VLOOKUP($A23,'[2]App C Share Inflows'!$A$4:$I$917,8,FALSE)</f>
        <v>0</v>
      </c>
      <c r="AM23" s="2">
        <f>VLOOKUP($A23,'[2]App C Share Inflows'!$A$4:$I$917,6,FALSE)</f>
        <v>-6946</v>
      </c>
    </row>
    <row r="24" spans="1:39">
      <c r="A24" s="370">
        <v>98414</v>
      </c>
      <c r="B24" s="344" t="s">
        <v>1491</v>
      </c>
      <c r="C24" s="235" t="e">
        <f>VLOOKUP(A24,#REF!,10,FALSE)</f>
        <v>#REF!</v>
      </c>
      <c r="E24" s="2">
        <f>VLOOKUP($A24,'[2]App C Total'!$A$4:$I$917,5,FALSE)</f>
        <v>18201</v>
      </c>
      <c r="F24" s="2">
        <f>VLOOKUP($A24,'[2]App C Total'!$A$4:$I$917,6,FALSE)</f>
        <v>8052</v>
      </c>
      <c r="G24" s="2">
        <f>VLOOKUP($A24,'[2]App C Total'!$A$4:$I$917,7,FALSE)</f>
        <v>7864</v>
      </c>
      <c r="H24" s="2">
        <f>VLOOKUP($A24,'[2]App C Total'!$A$4:$I$917,8,FALSE)</f>
        <v>253</v>
      </c>
      <c r="I24" s="2">
        <f>VLOOKUP($A24,'[2]App C Total'!$A$4:$I$917,9,FALSE)</f>
        <v>0</v>
      </c>
      <c r="J24" s="2"/>
      <c r="K24" s="2">
        <f>VLOOKUP($A24,'[2]App C Exp'!$A$4:$I$917,5,FALSE)</f>
        <v>4509</v>
      </c>
      <c r="L24" s="2">
        <f>VLOOKUP($A24,'[2]App C Exp'!$A$4:$I$917,6,FALSE)</f>
        <v>4242</v>
      </c>
      <c r="M24" s="2">
        <f>VLOOKUP($A24,'[2]App C Exp'!$A$4:$I$917,7,FALSE)</f>
        <v>3802</v>
      </c>
      <c r="N24" s="2">
        <f>VLOOKUP($A24,'[2]App C Exp'!$A$4:$I$917,8,FALSE)</f>
        <v>1522</v>
      </c>
      <c r="O24" s="2">
        <f>VLOOKUP($A24,'[2]App C Exp'!$A$4:$I$917,9,FALSE)</f>
        <v>0</v>
      </c>
      <c r="P24" s="2"/>
      <c r="Q24" s="2">
        <f>VLOOKUP($A24,'[2]App C Inv'!$A$4:$I$917,5,FALSE)</f>
        <v>4787</v>
      </c>
      <c r="R24" s="2">
        <f>VLOOKUP($A24,'[2]App C Inv'!$A$4:$I$917,6,FALSE)</f>
        <v>-4118</v>
      </c>
      <c r="S24" s="2">
        <f>VLOOKUP($A24,'[2]App C Inv'!$A$4:$I$917,7,FALSE)</f>
        <v>580</v>
      </c>
      <c r="T24" s="2">
        <f>VLOOKUP($A24,'[2]App C Inv'!$A$4:$I$917,8,FALSE)</f>
        <v>755</v>
      </c>
      <c r="U24" s="2">
        <f>VLOOKUP($A24,'[2]App C Inv'!$A$4:$I$917,9,FALSE)</f>
        <v>0</v>
      </c>
      <c r="V24" s="2"/>
      <c r="W24" s="2">
        <f>VLOOKUP($A24,'[2]App C Assum'!$A$4:$I$917,5,FALSE)</f>
        <v>5393</v>
      </c>
      <c r="X24" s="2">
        <f>VLOOKUP($A24,'[2]App C Assum'!$A$4:$I$917,6,FALSE)</f>
        <v>4418</v>
      </c>
      <c r="Y24" s="2">
        <f>VLOOKUP($A24,'[2]App C Assum'!$A$4:$I$917,7,FALSE)</f>
        <v>3587</v>
      </c>
      <c r="Z24" s="2">
        <f>VLOOKUP($A24,'[2]App C Assum'!$A$4:$I$917,8,FALSE)</f>
        <v>0</v>
      </c>
      <c r="AA24" s="2">
        <f>VLOOKUP($A24,'[2]App C Assum'!$A$4:$I$917,9,FALSE)</f>
        <v>0</v>
      </c>
      <c r="AB24" s="2"/>
      <c r="AC24" s="2">
        <f>VLOOKUP($A24,'[2]App C Share Outflows'!$A$4:$I$917,5,FALSE)</f>
        <v>5537</v>
      </c>
      <c r="AD24" s="2">
        <f>VLOOKUP($A24,'[2]App C Share Outflows'!$A$4:$I$917,6,FALSE)</f>
        <v>5535</v>
      </c>
      <c r="AE24" s="2">
        <f>VLOOKUP($A24,'[2]App C Share Outflows'!$A$4:$I$917,7,FALSE)</f>
        <v>1920</v>
      </c>
      <c r="AF24" s="2">
        <f>VLOOKUP($A24,'[2]App C Share Outflows'!$A$4:$I$917,8,FALSE)</f>
        <v>0</v>
      </c>
      <c r="AG24" s="2">
        <f>VLOOKUP($A24,'[2]App C Share Outflows'!$A$4:$I$917,9,FALSE)</f>
        <v>0</v>
      </c>
      <c r="AH24" s="2"/>
      <c r="AI24" s="2">
        <f>VLOOKUP($A24,'[2]App C Share Inflows'!$A$4:$I$917,5,FALSE)</f>
        <v>-2025</v>
      </c>
      <c r="AJ24" s="2">
        <f>VLOOKUP($A24,'[2]App C Share Inflows'!$A$4:$I$917,6,FALSE)</f>
        <v>-2025</v>
      </c>
      <c r="AK24" s="2">
        <f>VLOOKUP($A24,'[2]App C Share Inflows'!$A$4:$I$917,7,FALSE)</f>
        <v>-2025</v>
      </c>
      <c r="AL24" s="2">
        <f>VLOOKUP($A24,'[2]App C Share Inflows'!$A$4:$I$917,8,FALSE)</f>
        <v>-2024</v>
      </c>
      <c r="AM24" s="2">
        <f>VLOOKUP($A24,'[2]App C Share Inflows'!$A$4:$I$917,6,FALSE)</f>
        <v>-2025</v>
      </c>
    </row>
    <row r="25" spans="1:39">
      <c r="A25" s="369">
        <v>92509</v>
      </c>
      <c r="B25" s="347" t="s">
        <v>1618</v>
      </c>
      <c r="C25" s="371"/>
      <c r="E25" s="2">
        <f>VLOOKUP($A25,'[2]App C Total'!$A$4:$I$917,5,FALSE)</f>
        <v>-260868</v>
      </c>
      <c r="F25" s="2">
        <f>VLOOKUP($A25,'[2]App C Total'!$A$4:$I$917,6,FALSE)</f>
        <v>0</v>
      </c>
      <c r="G25" s="2">
        <f>VLOOKUP($A25,'[2]App C Total'!$A$4:$I$917,7,FALSE)</f>
        <v>0</v>
      </c>
      <c r="H25" s="2">
        <f>VLOOKUP($A25,'[2]App C Total'!$A$4:$I$917,8,FALSE)</f>
        <v>0</v>
      </c>
      <c r="I25" s="2">
        <f>VLOOKUP($A25,'[2]App C Total'!$A$4:$I$917,9,FALSE)</f>
        <v>0</v>
      </c>
      <c r="J25" s="2"/>
      <c r="K25" s="2">
        <f>VLOOKUP($A25,'[2]App C Exp'!$A$4:$I$917,5,FALSE)</f>
        <v>0</v>
      </c>
      <c r="L25" s="2">
        <f>VLOOKUP($A25,'[2]App C Exp'!$A$4:$I$917,6,FALSE)</f>
        <v>0</v>
      </c>
      <c r="M25" s="2">
        <f>VLOOKUP($A25,'[2]App C Exp'!$A$4:$I$917,7,FALSE)</f>
        <v>0</v>
      </c>
      <c r="N25" s="2">
        <f>VLOOKUP($A25,'[2]App C Exp'!$A$4:$I$917,8,FALSE)</f>
        <v>0</v>
      </c>
      <c r="O25" s="2">
        <f>VLOOKUP($A25,'[2]App C Exp'!$A$4:$I$917,9,FALSE)</f>
        <v>0</v>
      </c>
      <c r="P25" s="2"/>
      <c r="Q25" s="2">
        <f>VLOOKUP($A25,'[2]App C Inv'!$A$4:$I$917,5,FALSE)</f>
        <v>0</v>
      </c>
      <c r="R25" s="2">
        <f>VLOOKUP($A25,'[2]App C Inv'!$A$4:$I$917,6,FALSE)</f>
        <v>0</v>
      </c>
      <c r="S25" s="2">
        <f>VLOOKUP($A25,'[2]App C Inv'!$A$4:$I$917,7,FALSE)</f>
        <v>0</v>
      </c>
      <c r="T25" s="2">
        <f>VLOOKUP($A25,'[2]App C Inv'!$A$4:$I$917,8,FALSE)</f>
        <v>0</v>
      </c>
      <c r="U25" s="2">
        <f>VLOOKUP($A25,'[2]App C Inv'!$A$4:$I$917,9,FALSE)</f>
        <v>0</v>
      </c>
      <c r="V25" s="2"/>
      <c r="W25" s="2">
        <f>VLOOKUP($A25,'[2]App C Assum'!$A$4:$I$917,5,FALSE)</f>
        <v>0</v>
      </c>
      <c r="X25" s="2">
        <f>VLOOKUP($A25,'[2]App C Assum'!$A$4:$I$917,6,FALSE)</f>
        <v>0</v>
      </c>
      <c r="Y25" s="2">
        <f>VLOOKUP($A25,'[2]App C Assum'!$A$4:$I$917,7,FALSE)</f>
        <v>0</v>
      </c>
      <c r="Z25" s="2">
        <f>VLOOKUP($A25,'[2]App C Assum'!$A$4:$I$917,8,FALSE)</f>
        <v>0</v>
      </c>
      <c r="AA25" s="2">
        <f>VLOOKUP($A25,'[2]App C Assum'!$A$4:$I$917,9,FALSE)</f>
        <v>0</v>
      </c>
      <c r="AB25" s="2"/>
      <c r="AC25" s="2">
        <f>VLOOKUP($A25,'[2]App C Share Outflows'!$A$4:$I$917,5,FALSE)</f>
        <v>0</v>
      </c>
      <c r="AD25" s="2">
        <f>VLOOKUP($A25,'[2]App C Share Outflows'!$A$4:$I$917,6,FALSE)</f>
        <v>0</v>
      </c>
      <c r="AE25" s="2">
        <f>VLOOKUP($A25,'[2]App C Share Outflows'!$A$4:$I$917,7,FALSE)</f>
        <v>0</v>
      </c>
      <c r="AF25" s="2">
        <f>VLOOKUP($A25,'[2]App C Share Outflows'!$A$4:$I$917,8,FALSE)</f>
        <v>0</v>
      </c>
      <c r="AG25" s="2">
        <f>VLOOKUP($A25,'[2]App C Share Outflows'!$A$4:$I$917,9,FALSE)</f>
        <v>0</v>
      </c>
      <c r="AH25" s="2"/>
      <c r="AI25" s="2">
        <f>VLOOKUP($A25,'[2]App C Share Inflows'!$A$4:$I$917,5,FALSE)</f>
        <v>-260868</v>
      </c>
      <c r="AJ25" s="2">
        <f>VLOOKUP($A25,'[2]App C Share Inflows'!$A$4:$I$917,6,FALSE)</f>
        <v>0</v>
      </c>
      <c r="AK25" s="2">
        <f>VLOOKUP($A25,'[2]App C Share Inflows'!$A$4:$I$917,7,FALSE)</f>
        <v>0</v>
      </c>
      <c r="AL25" s="2">
        <f>VLOOKUP($A25,'[2]App C Share Inflows'!$A$4:$I$917,8,FALSE)</f>
        <v>0</v>
      </c>
      <c r="AM25" s="2">
        <f>VLOOKUP($A25,'[2]App C Share Inflows'!$A$4:$I$917,6,FALSE)</f>
        <v>0</v>
      </c>
    </row>
    <row r="26" spans="1:39">
      <c r="A26" s="369">
        <v>96519</v>
      </c>
      <c r="B26" s="347" t="s">
        <v>1619</v>
      </c>
      <c r="C26" s="371"/>
      <c r="E26" s="2">
        <f>VLOOKUP($A26,'[2]App C Total'!$A$4:$I$917,5,FALSE)</f>
        <v>-207555</v>
      </c>
      <c r="F26" s="2">
        <f>VLOOKUP($A26,'[2]App C Total'!$A$4:$I$917,6,FALSE)</f>
        <v>0</v>
      </c>
      <c r="G26" s="2">
        <f>VLOOKUP($A26,'[2]App C Total'!$A$4:$I$917,7,FALSE)</f>
        <v>0</v>
      </c>
      <c r="H26" s="2">
        <f>VLOOKUP($A26,'[2]App C Total'!$A$4:$I$917,8,FALSE)</f>
        <v>0</v>
      </c>
      <c r="I26" s="2">
        <f>VLOOKUP($A26,'[2]App C Total'!$A$4:$I$917,9,FALSE)</f>
        <v>0</v>
      </c>
      <c r="J26" s="2"/>
      <c r="K26" s="2">
        <f>VLOOKUP($A26,'[2]App C Exp'!$A$4:$I$917,5,FALSE)</f>
        <v>0</v>
      </c>
      <c r="L26" s="2">
        <f>VLOOKUP($A26,'[2]App C Exp'!$A$4:$I$917,6,FALSE)</f>
        <v>0</v>
      </c>
      <c r="M26" s="2">
        <f>VLOOKUP($A26,'[2]App C Exp'!$A$4:$I$917,7,FALSE)</f>
        <v>0</v>
      </c>
      <c r="N26" s="2">
        <f>VLOOKUP($A26,'[2]App C Exp'!$A$4:$I$917,8,FALSE)</f>
        <v>0</v>
      </c>
      <c r="O26" s="2">
        <f>VLOOKUP($A26,'[2]App C Exp'!$A$4:$I$917,9,FALSE)</f>
        <v>0</v>
      </c>
      <c r="P26" s="2"/>
      <c r="Q26" s="2">
        <f>VLOOKUP($A26,'[2]App C Inv'!$A$4:$I$917,5,FALSE)</f>
        <v>0</v>
      </c>
      <c r="R26" s="2">
        <f>VLOOKUP($A26,'[2]App C Inv'!$A$4:$I$917,6,FALSE)</f>
        <v>0</v>
      </c>
      <c r="S26" s="2">
        <f>VLOOKUP($A26,'[2]App C Inv'!$A$4:$I$917,7,FALSE)</f>
        <v>0</v>
      </c>
      <c r="T26" s="2">
        <f>VLOOKUP($A26,'[2]App C Inv'!$A$4:$I$917,8,FALSE)</f>
        <v>0</v>
      </c>
      <c r="U26" s="2">
        <f>VLOOKUP($A26,'[2]App C Inv'!$A$4:$I$917,9,FALSE)</f>
        <v>0</v>
      </c>
      <c r="V26" s="2"/>
      <c r="W26" s="2">
        <f>VLOOKUP($A26,'[2]App C Assum'!$A$4:$I$917,5,FALSE)</f>
        <v>0</v>
      </c>
      <c r="X26" s="2">
        <f>VLOOKUP($A26,'[2]App C Assum'!$A$4:$I$917,6,FALSE)</f>
        <v>0</v>
      </c>
      <c r="Y26" s="2">
        <f>VLOOKUP($A26,'[2]App C Assum'!$A$4:$I$917,7,FALSE)</f>
        <v>0</v>
      </c>
      <c r="Z26" s="2">
        <f>VLOOKUP($A26,'[2]App C Assum'!$A$4:$I$917,8,FALSE)</f>
        <v>0</v>
      </c>
      <c r="AA26" s="2">
        <f>VLOOKUP($A26,'[2]App C Assum'!$A$4:$I$917,9,FALSE)</f>
        <v>0</v>
      </c>
      <c r="AB26" s="2"/>
      <c r="AC26" s="2">
        <f>VLOOKUP($A26,'[2]App C Share Outflows'!$A$4:$I$917,5,FALSE)</f>
        <v>0</v>
      </c>
      <c r="AD26" s="2">
        <f>VLOOKUP($A26,'[2]App C Share Outflows'!$A$4:$I$917,6,FALSE)</f>
        <v>0</v>
      </c>
      <c r="AE26" s="2">
        <f>VLOOKUP($A26,'[2]App C Share Outflows'!$A$4:$I$917,7,FALSE)</f>
        <v>0</v>
      </c>
      <c r="AF26" s="2">
        <f>VLOOKUP($A26,'[2]App C Share Outflows'!$A$4:$I$917,8,FALSE)</f>
        <v>0</v>
      </c>
      <c r="AG26" s="2">
        <f>VLOOKUP($A26,'[2]App C Share Outflows'!$A$4:$I$917,9,FALSE)</f>
        <v>0</v>
      </c>
      <c r="AH26" s="2"/>
      <c r="AI26" s="2">
        <f>VLOOKUP($A26,'[2]App C Share Inflows'!$A$4:$I$917,5,FALSE)</f>
        <v>-207555</v>
      </c>
      <c r="AJ26" s="2">
        <f>VLOOKUP($A26,'[2]App C Share Inflows'!$A$4:$I$917,6,FALSE)</f>
        <v>0</v>
      </c>
      <c r="AK26" s="2">
        <f>VLOOKUP($A26,'[2]App C Share Inflows'!$A$4:$I$917,7,FALSE)</f>
        <v>0</v>
      </c>
      <c r="AL26" s="2">
        <f>VLOOKUP($A26,'[2]App C Share Inflows'!$A$4:$I$917,8,FALSE)</f>
        <v>0</v>
      </c>
      <c r="AM26" s="2">
        <f>VLOOKUP($A26,'[2]App C Share Inflows'!$A$4:$I$917,6,FALSE)</f>
        <v>0</v>
      </c>
    </row>
    <row r="27" spans="1:39">
      <c r="A27" s="370">
        <v>97461</v>
      </c>
      <c r="B27" s="356" t="s">
        <v>1383</v>
      </c>
      <c r="C27" s="235" t="e">
        <f>VLOOKUP(A27,#REF!,10,FALSE)</f>
        <v>#REF!</v>
      </c>
      <c r="E27" s="2">
        <f>VLOOKUP($A27,'[2]App C Total'!$A$4:$I$917,5,FALSE)</f>
        <v>271138</v>
      </c>
      <c r="F27" s="2">
        <f>VLOOKUP($A27,'[2]App C Total'!$A$4:$I$917,6,FALSE)</f>
        <v>81320</v>
      </c>
      <c r="G27" s="2">
        <f>VLOOKUP($A27,'[2]App C Total'!$A$4:$I$917,7,FALSE)</f>
        <v>145991</v>
      </c>
      <c r="H27" s="2">
        <f>VLOOKUP($A27,'[2]App C Total'!$A$4:$I$917,8,FALSE)</f>
        <v>46771</v>
      </c>
      <c r="I27" s="2">
        <f>VLOOKUP($A27,'[2]App C Total'!$A$4:$I$917,9,FALSE)</f>
        <v>0</v>
      </c>
      <c r="J27" s="2"/>
      <c r="K27" s="2">
        <f>VLOOKUP($A27,'[2]App C Exp'!$A$4:$I$917,5,FALSE)</f>
        <v>86289</v>
      </c>
      <c r="L27" s="2">
        <f>VLOOKUP($A27,'[2]App C Exp'!$A$4:$I$917,6,FALSE)</f>
        <v>81170</v>
      </c>
      <c r="M27" s="2">
        <f>VLOOKUP($A27,'[2]App C Exp'!$A$4:$I$917,7,FALSE)</f>
        <v>72752</v>
      </c>
      <c r="N27" s="2">
        <f>VLOOKUP($A27,'[2]App C Exp'!$A$4:$I$917,8,FALSE)</f>
        <v>29129</v>
      </c>
      <c r="O27" s="2">
        <f>VLOOKUP($A27,'[2]App C Exp'!$A$4:$I$917,9,FALSE)</f>
        <v>0</v>
      </c>
      <c r="P27" s="2"/>
      <c r="Q27" s="2">
        <f>VLOOKUP($A27,'[2]App C Inv'!$A$4:$I$917,5,FALSE)</f>
        <v>91608</v>
      </c>
      <c r="R27" s="2">
        <f>VLOOKUP($A27,'[2]App C Inv'!$A$4:$I$917,6,FALSE)</f>
        <v>-78800</v>
      </c>
      <c r="S27" s="2">
        <f>VLOOKUP($A27,'[2]App C Inv'!$A$4:$I$917,7,FALSE)</f>
        <v>11106</v>
      </c>
      <c r="T27" s="2">
        <f>VLOOKUP($A27,'[2]App C Inv'!$A$4:$I$917,8,FALSE)</f>
        <v>14454</v>
      </c>
      <c r="U27" s="2">
        <f>VLOOKUP($A27,'[2]App C Inv'!$A$4:$I$917,9,FALSE)</f>
        <v>0</v>
      </c>
      <c r="V27" s="2"/>
      <c r="W27" s="2">
        <f>VLOOKUP($A27,'[2]App C Assum'!$A$4:$I$917,5,FALSE)</f>
        <v>103197</v>
      </c>
      <c r="X27" s="2">
        <f>VLOOKUP($A27,'[2]App C Assum'!$A$4:$I$917,6,FALSE)</f>
        <v>84543</v>
      </c>
      <c r="Y27" s="2">
        <f>VLOOKUP($A27,'[2]App C Assum'!$A$4:$I$917,7,FALSE)</f>
        <v>68634</v>
      </c>
      <c r="Z27" s="2">
        <f>VLOOKUP($A27,'[2]App C Assum'!$A$4:$I$917,8,FALSE)</f>
        <v>0</v>
      </c>
      <c r="AA27" s="2">
        <f>VLOOKUP($A27,'[2]App C Assum'!$A$4:$I$917,9,FALSE)</f>
        <v>0</v>
      </c>
      <c r="AB27" s="2"/>
      <c r="AC27" s="2">
        <f>VLOOKUP($A27,'[2]App C Share Outflows'!$A$4:$I$917,5,FALSE)</f>
        <v>4098</v>
      </c>
      <c r="AD27" s="2">
        <f>VLOOKUP($A27,'[2]App C Share Outflows'!$A$4:$I$917,6,FALSE)</f>
        <v>4098</v>
      </c>
      <c r="AE27" s="2">
        <f>VLOOKUP($A27,'[2]App C Share Outflows'!$A$4:$I$917,7,FALSE)</f>
        <v>3188</v>
      </c>
      <c r="AF27" s="2">
        <f>VLOOKUP($A27,'[2]App C Share Outflows'!$A$4:$I$917,8,FALSE)</f>
        <v>3188</v>
      </c>
      <c r="AG27" s="2">
        <f>VLOOKUP($A27,'[2]App C Share Outflows'!$A$4:$I$917,9,FALSE)</f>
        <v>0</v>
      </c>
      <c r="AH27" s="2"/>
      <c r="AI27" s="2">
        <f>VLOOKUP($A27,'[2]App C Share Inflows'!$A$4:$I$917,5,FALSE)</f>
        <v>-14054</v>
      </c>
      <c r="AJ27" s="2">
        <f>VLOOKUP($A27,'[2]App C Share Inflows'!$A$4:$I$917,6,FALSE)</f>
        <v>-9691</v>
      </c>
      <c r="AK27" s="2">
        <f>VLOOKUP($A27,'[2]App C Share Inflows'!$A$4:$I$917,7,FALSE)</f>
        <v>-9689</v>
      </c>
      <c r="AL27" s="2">
        <f>VLOOKUP($A27,'[2]App C Share Inflows'!$A$4:$I$917,8,FALSE)</f>
        <v>0</v>
      </c>
      <c r="AM27" s="2">
        <f>VLOOKUP($A27,'[2]App C Share Inflows'!$A$4:$I$917,6,FALSE)</f>
        <v>-9691</v>
      </c>
    </row>
    <row r="28" spans="1:39">
      <c r="A28" s="369">
        <v>97463</v>
      </c>
      <c r="B28" s="347" t="s">
        <v>1384</v>
      </c>
      <c r="C28" s="371"/>
      <c r="E28" s="2">
        <f>VLOOKUP($A28,'[2]App C Total'!$A$4:$I$917,5,FALSE)</f>
        <v>-8957</v>
      </c>
      <c r="F28" s="2">
        <f>VLOOKUP($A28,'[2]App C Total'!$A$4:$I$917,6,FALSE)</f>
        <v>-7626</v>
      </c>
      <c r="G28" s="2">
        <f>VLOOKUP($A28,'[2]App C Total'!$A$4:$I$917,7,FALSE)</f>
        <v>-5607</v>
      </c>
      <c r="H28" s="2">
        <f>VLOOKUP($A28,'[2]App C Total'!$A$4:$I$917,8,FALSE)</f>
        <v>0</v>
      </c>
      <c r="I28" s="2">
        <f>VLOOKUP($A28,'[2]App C Total'!$A$4:$I$917,9,FALSE)</f>
        <v>0</v>
      </c>
      <c r="J28" s="2"/>
      <c r="K28" s="2">
        <f>VLOOKUP($A28,'[2]App C Exp'!$A$4:$I$917,5,FALSE)</f>
        <v>0</v>
      </c>
      <c r="L28" s="2">
        <f>VLOOKUP($A28,'[2]App C Exp'!$A$4:$I$917,6,FALSE)</f>
        <v>0</v>
      </c>
      <c r="M28" s="2">
        <f>VLOOKUP($A28,'[2]App C Exp'!$A$4:$I$917,7,FALSE)</f>
        <v>0</v>
      </c>
      <c r="N28" s="2">
        <f>VLOOKUP($A28,'[2]App C Exp'!$A$4:$I$917,8,FALSE)</f>
        <v>0</v>
      </c>
      <c r="O28" s="2">
        <f>VLOOKUP($A28,'[2]App C Exp'!$A$4:$I$917,9,FALSE)</f>
        <v>0</v>
      </c>
      <c r="P28" s="2"/>
      <c r="Q28" s="2">
        <f>VLOOKUP($A28,'[2]App C Inv'!$A$4:$I$917,5,FALSE)</f>
        <v>0</v>
      </c>
      <c r="R28" s="2">
        <f>VLOOKUP($A28,'[2]App C Inv'!$A$4:$I$917,6,FALSE)</f>
        <v>0</v>
      </c>
      <c r="S28" s="2">
        <f>VLOOKUP($A28,'[2]App C Inv'!$A$4:$I$917,7,FALSE)</f>
        <v>0</v>
      </c>
      <c r="T28" s="2">
        <f>VLOOKUP($A28,'[2]App C Inv'!$A$4:$I$917,8,FALSE)</f>
        <v>0</v>
      </c>
      <c r="U28" s="2">
        <f>VLOOKUP($A28,'[2]App C Inv'!$A$4:$I$917,9,FALSE)</f>
        <v>0</v>
      </c>
      <c r="V28" s="2"/>
      <c r="W28" s="2">
        <f>VLOOKUP($A28,'[2]App C Assum'!$A$4:$I$917,5,FALSE)</f>
        <v>0</v>
      </c>
      <c r="X28" s="2">
        <f>VLOOKUP($A28,'[2]App C Assum'!$A$4:$I$917,6,FALSE)</f>
        <v>0</v>
      </c>
      <c r="Y28" s="2">
        <f>VLOOKUP($A28,'[2]App C Assum'!$A$4:$I$917,7,FALSE)</f>
        <v>0</v>
      </c>
      <c r="Z28" s="2">
        <f>VLOOKUP($A28,'[2]App C Assum'!$A$4:$I$917,8,FALSE)</f>
        <v>0</v>
      </c>
      <c r="AA28" s="2">
        <f>VLOOKUP($A28,'[2]App C Assum'!$A$4:$I$917,9,FALSE)</f>
        <v>0</v>
      </c>
      <c r="AB28" s="2"/>
      <c r="AC28" s="2">
        <f>VLOOKUP($A28,'[2]App C Share Outflows'!$A$4:$I$917,5,FALSE)</f>
        <v>0</v>
      </c>
      <c r="AD28" s="2">
        <f>VLOOKUP($A28,'[2]App C Share Outflows'!$A$4:$I$917,6,FALSE)</f>
        <v>0</v>
      </c>
      <c r="AE28" s="2">
        <f>VLOOKUP($A28,'[2]App C Share Outflows'!$A$4:$I$917,7,FALSE)</f>
        <v>0</v>
      </c>
      <c r="AF28" s="2">
        <f>VLOOKUP($A28,'[2]App C Share Outflows'!$A$4:$I$917,8,FALSE)</f>
        <v>0</v>
      </c>
      <c r="AG28" s="2">
        <f>VLOOKUP($A28,'[2]App C Share Outflows'!$A$4:$I$917,9,FALSE)</f>
        <v>0</v>
      </c>
      <c r="AH28" s="2"/>
      <c r="AI28" s="2">
        <f>VLOOKUP($A28,'[2]App C Share Inflows'!$A$4:$I$917,5,FALSE)</f>
        <v>-8957</v>
      </c>
      <c r="AJ28" s="2">
        <f>VLOOKUP($A28,'[2]App C Share Inflows'!$A$4:$I$917,6,FALSE)</f>
        <v>-7626</v>
      </c>
      <c r="AK28" s="2">
        <f>VLOOKUP($A28,'[2]App C Share Inflows'!$A$4:$I$917,7,FALSE)</f>
        <v>-5607</v>
      </c>
      <c r="AL28" s="2">
        <f>VLOOKUP($A28,'[2]App C Share Inflows'!$A$4:$I$917,8,FALSE)</f>
        <v>0</v>
      </c>
      <c r="AM28" s="2">
        <f>VLOOKUP($A28,'[2]App C Share Inflows'!$A$4:$I$917,6,FALSE)</f>
        <v>-7626</v>
      </c>
    </row>
    <row r="29" spans="1:39">
      <c r="A29" s="370">
        <v>98604</v>
      </c>
      <c r="B29" s="356" t="s">
        <v>1504</v>
      </c>
      <c r="C29" s="235" t="e">
        <f>VLOOKUP(A29,#REF!,10,FALSE)</f>
        <v>#REF!</v>
      </c>
      <c r="E29" s="2">
        <f>VLOOKUP($A29,'[2]App C Total'!$A$4:$I$917,5,FALSE)</f>
        <v>8122</v>
      </c>
      <c r="F29" s="2">
        <f>VLOOKUP($A29,'[2]App C Total'!$A$4:$I$917,6,FALSE)</f>
        <v>2247</v>
      </c>
      <c r="G29" s="2">
        <f>VLOOKUP($A29,'[2]App C Total'!$A$4:$I$917,7,FALSE)</f>
        <v>3754</v>
      </c>
      <c r="H29" s="2">
        <f>VLOOKUP($A29,'[2]App C Total'!$A$4:$I$917,8,FALSE)</f>
        <v>1247</v>
      </c>
      <c r="I29" s="2">
        <f>VLOOKUP($A29,'[2]App C Total'!$A$4:$I$917,9,FALSE)</f>
        <v>0</v>
      </c>
      <c r="J29" s="2"/>
      <c r="K29" s="2">
        <f>VLOOKUP($A29,'[2]App C Exp'!$A$4:$I$917,5,FALSE)</f>
        <v>1813</v>
      </c>
      <c r="L29" s="2">
        <f>VLOOKUP($A29,'[2]App C Exp'!$A$4:$I$917,6,FALSE)</f>
        <v>1705</v>
      </c>
      <c r="M29" s="2">
        <f>VLOOKUP($A29,'[2]App C Exp'!$A$4:$I$917,7,FALSE)</f>
        <v>1528</v>
      </c>
      <c r="N29" s="2">
        <f>VLOOKUP($A29,'[2]App C Exp'!$A$4:$I$917,8,FALSE)</f>
        <v>612</v>
      </c>
      <c r="O29" s="2">
        <f>VLOOKUP($A29,'[2]App C Exp'!$A$4:$I$917,9,FALSE)</f>
        <v>0</v>
      </c>
      <c r="P29" s="2"/>
      <c r="Q29" s="2">
        <f>VLOOKUP($A29,'[2]App C Inv'!$A$4:$I$917,5,FALSE)</f>
        <v>1924</v>
      </c>
      <c r="R29" s="2">
        <f>VLOOKUP($A29,'[2]App C Inv'!$A$4:$I$917,6,FALSE)</f>
        <v>-1655</v>
      </c>
      <c r="S29" s="2">
        <f>VLOOKUP($A29,'[2]App C Inv'!$A$4:$I$917,7,FALSE)</f>
        <v>233</v>
      </c>
      <c r="T29" s="2">
        <f>VLOOKUP($A29,'[2]App C Inv'!$A$4:$I$917,8,FALSE)</f>
        <v>304</v>
      </c>
      <c r="U29" s="2">
        <f>VLOOKUP($A29,'[2]App C Inv'!$A$4:$I$917,9,FALSE)</f>
        <v>0</v>
      </c>
      <c r="V29" s="2"/>
      <c r="W29" s="2">
        <f>VLOOKUP($A29,'[2]App C Assum'!$A$4:$I$917,5,FALSE)</f>
        <v>2168</v>
      </c>
      <c r="X29" s="2">
        <f>VLOOKUP($A29,'[2]App C Assum'!$A$4:$I$917,6,FALSE)</f>
        <v>1776</v>
      </c>
      <c r="Y29" s="2">
        <f>VLOOKUP($A29,'[2]App C Assum'!$A$4:$I$917,7,FALSE)</f>
        <v>1442</v>
      </c>
      <c r="Z29" s="2">
        <f>VLOOKUP($A29,'[2]App C Assum'!$A$4:$I$917,8,FALSE)</f>
        <v>0</v>
      </c>
      <c r="AA29" s="2">
        <f>VLOOKUP($A29,'[2]App C Assum'!$A$4:$I$917,9,FALSE)</f>
        <v>0</v>
      </c>
      <c r="AB29" s="2"/>
      <c r="AC29" s="2">
        <f>VLOOKUP($A29,'[2]App C Share Outflows'!$A$4:$I$917,5,FALSE)</f>
        <v>2349</v>
      </c>
      <c r="AD29" s="2">
        <f>VLOOKUP($A29,'[2]App C Share Outflows'!$A$4:$I$917,6,FALSE)</f>
        <v>552</v>
      </c>
      <c r="AE29" s="2">
        <f>VLOOKUP($A29,'[2]App C Share Outflows'!$A$4:$I$917,7,FALSE)</f>
        <v>551</v>
      </c>
      <c r="AF29" s="2">
        <f>VLOOKUP($A29,'[2]App C Share Outflows'!$A$4:$I$917,8,FALSE)</f>
        <v>331</v>
      </c>
      <c r="AG29" s="2">
        <f>VLOOKUP($A29,'[2]App C Share Outflows'!$A$4:$I$917,9,FALSE)</f>
        <v>0</v>
      </c>
      <c r="AH29" s="2"/>
      <c r="AI29" s="2">
        <f>VLOOKUP($A29,'[2]App C Share Inflows'!$A$4:$I$917,5,FALSE)</f>
        <v>-132</v>
      </c>
      <c r="AJ29" s="2">
        <f>VLOOKUP($A29,'[2]App C Share Inflows'!$A$4:$I$917,6,FALSE)</f>
        <v>-131</v>
      </c>
      <c r="AK29" s="2">
        <f>VLOOKUP($A29,'[2]App C Share Inflows'!$A$4:$I$917,7,FALSE)</f>
        <v>0</v>
      </c>
      <c r="AL29" s="2">
        <f>VLOOKUP($A29,'[2]App C Share Inflows'!$A$4:$I$917,8,FALSE)</f>
        <v>0</v>
      </c>
      <c r="AM29" s="2">
        <f>VLOOKUP($A29,'[2]App C Share Inflows'!$A$4:$I$917,6,FALSE)</f>
        <v>-131</v>
      </c>
    </row>
    <row r="30" spans="1:39">
      <c r="A30" s="369">
        <v>98647</v>
      </c>
      <c r="B30" s="347" t="s">
        <v>1620</v>
      </c>
      <c r="C30" s="371"/>
      <c r="E30" s="2">
        <f>VLOOKUP($A30,'[2]App C Total'!$A$4:$I$917,5,FALSE)</f>
        <v>-1498</v>
      </c>
      <c r="F30" s="2">
        <f>VLOOKUP($A30,'[2]App C Total'!$A$4:$I$917,6,FALSE)</f>
        <v>0</v>
      </c>
      <c r="G30" s="2">
        <f>VLOOKUP($A30,'[2]App C Total'!$A$4:$I$917,7,FALSE)</f>
        <v>0</v>
      </c>
      <c r="H30" s="2">
        <f>VLOOKUP($A30,'[2]App C Total'!$A$4:$I$917,8,FALSE)</f>
        <v>0</v>
      </c>
      <c r="I30" s="2">
        <f>VLOOKUP($A30,'[2]App C Total'!$A$4:$I$917,9,FALSE)</f>
        <v>0</v>
      </c>
      <c r="J30" s="2"/>
      <c r="K30" s="2">
        <f>VLOOKUP($A30,'[2]App C Exp'!$A$4:$I$917,5,FALSE)</f>
        <v>0</v>
      </c>
      <c r="L30" s="2">
        <f>VLOOKUP($A30,'[2]App C Exp'!$A$4:$I$917,6,FALSE)</f>
        <v>0</v>
      </c>
      <c r="M30" s="2">
        <f>VLOOKUP($A30,'[2]App C Exp'!$A$4:$I$917,7,FALSE)</f>
        <v>0</v>
      </c>
      <c r="N30" s="2">
        <f>VLOOKUP($A30,'[2]App C Exp'!$A$4:$I$917,8,FALSE)</f>
        <v>0</v>
      </c>
      <c r="O30" s="2">
        <f>VLOOKUP($A30,'[2]App C Exp'!$A$4:$I$917,9,FALSE)</f>
        <v>0</v>
      </c>
      <c r="P30" s="2"/>
      <c r="Q30" s="2">
        <f>VLOOKUP($A30,'[2]App C Inv'!$A$4:$I$917,5,FALSE)</f>
        <v>0</v>
      </c>
      <c r="R30" s="2">
        <f>VLOOKUP($A30,'[2]App C Inv'!$A$4:$I$917,6,FALSE)</f>
        <v>0</v>
      </c>
      <c r="S30" s="2">
        <f>VLOOKUP($A30,'[2]App C Inv'!$A$4:$I$917,7,FALSE)</f>
        <v>0</v>
      </c>
      <c r="T30" s="2">
        <f>VLOOKUP($A30,'[2]App C Inv'!$A$4:$I$917,8,FALSE)</f>
        <v>0</v>
      </c>
      <c r="U30" s="2">
        <f>VLOOKUP($A30,'[2]App C Inv'!$A$4:$I$917,9,FALSE)</f>
        <v>0</v>
      </c>
      <c r="V30" s="2"/>
      <c r="W30" s="2">
        <f>VLOOKUP($A30,'[2]App C Assum'!$A$4:$I$917,5,FALSE)</f>
        <v>0</v>
      </c>
      <c r="X30" s="2">
        <f>VLOOKUP($A30,'[2]App C Assum'!$A$4:$I$917,6,FALSE)</f>
        <v>0</v>
      </c>
      <c r="Y30" s="2">
        <f>VLOOKUP($A30,'[2]App C Assum'!$A$4:$I$917,7,FALSE)</f>
        <v>0</v>
      </c>
      <c r="Z30" s="2">
        <f>VLOOKUP($A30,'[2]App C Assum'!$A$4:$I$917,8,FALSE)</f>
        <v>0</v>
      </c>
      <c r="AA30" s="2">
        <f>VLOOKUP($A30,'[2]App C Assum'!$A$4:$I$917,9,FALSE)</f>
        <v>0</v>
      </c>
      <c r="AB30" s="2"/>
      <c r="AC30" s="2">
        <f>VLOOKUP($A30,'[2]App C Share Outflows'!$A$4:$I$917,5,FALSE)</f>
        <v>0</v>
      </c>
      <c r="AD30" s="2">
        <f>VLOOKUP($A30,'[2]App C Share Outflows'!$A$4:$I$917,6,FALSE)</f>
        <v>0</v>
      </c>
      <c r="AE30" s="2">
        <f>VLOOKUP($A30,'[2]App C Share Outflows'!$A$4:$I$917,7,FALSE)</f>
        <v>0</v>
      </c>
      <c r="AF30" s="2">
        <f>VLOOKUP($A30,'[2]App C Share Outflows'!$A$4:$I$917,8,FALSE)</f>
        <v>0</v>
      </c>
      <c r="AG30" s="2">
        <f>VLOOKUP($A30,'[2]App C Share Outflows'!$A$4:$I$917,9,FALSE)</f>
        <v>0</v>
      </c>
      <c r="AH30" s="2"/>
      <c r="AI30" s="2">
        <f>VLOOKUP($A30,'[2]App C Share Inflows'!$A$4:$I$917,5,FALSE)</f>
        <v>-1498</v>
      </c>
      <c r="AJ30" s="2">
        <f>VLOOKUP($A30,'[2]App C Share Inflows'!$A$4:$I$917,6,FALSE)</f>
        <v>0</v>
      </c>
      <c r="AK30" s="2">
        <f>VLOOKUP($A30,'[2]App C Share Inflows'!$A$4:$I$917,7,FALSE)</f>
        <v>0</v>
      </c>
      <c r="AL30" s="2">
        <f>VLOOKUP($A30,'[2]App C Share Inflows'!$A$4:$I$917,8,FALSE)</f>
        <v>0</v>
      </c>
      <c r="AM30" s="2">
        <f>VLOOKUP($A30,'[2]App C Share Inflows'!$A$4:$I$917,6,FALSE)</f>
        <v>0</v>
      </c>
    </row>
    <row r="31" spans="1:39">
      <c r="A31" s="351">
        <v>70505</v>
      </c>
      <c r="B31" s="344" t="s">
        <v>727</v>
      </c>
      <c r="C31" s="235" t="e">
        <f>VLOOKUP(A31,#REF!,10,FALSE)</f>
        <v>#REF!</v>
      </c>
      <c r="E31" s="2">
        <f>VLOOKUP($A31,'[2]App C Total'!$A$4:$I$917,5,FALSE)</f>
        <v>136815</v>
      </c>
      <c r="F31" s="2">
        <f>VLOOKUP($A31,'[2]App C Total'!$A$4:$I$917,6,FALSE)</f>
        <v>31143</v>
      </c>
      <c r="G31" s="2">
        <f>VLOOKUP($A31,'[2]App C Total'!$A$4:$I$917,7,FALSE)</f>
        <v>76581</v>
      </c>
      <c r="H31" s="2">
        <f>VLOOKUP($A31,'[2]App C Total'!$A$4:$I$917,8,FALSE)</f>
        <v>19001</v>
      </c>
      <c r="I31" s="2">
        <f>VLOOKUP($A31,'[2]App C Total'!$A$4:$I$917,9,FALSE)</f>
        <v>0</v>
      </c>
      <c r="J31" s="2"/>
      <c r="K31" s="2">
        <f>VLOOKUP($A31,'[2]App C Exp'!$A$4:$I$917,5,FALSE)</f>
        <v>49272</v>
      </c>
      <c r="L31" s="2">
        <f>VLOOKUP($A31,'[2]App C Exp'!$A$4:$I$917,6,FALSE)</f>
        <v>46349</v>
      </c>
      <c r="M31" s="2">
        <f>VLOOKUP($A31,'[2]App C Exp'!$A$4:$I$917,7,FALSE)</f>
        <v>41542</v>
      </c>
      <c r="N31" s="2">
        <f>VLOOKUP($A31,'[2]App C Exp'!$A$4:$I$917,8,FALSE)</f>
        <v>16633</v>
      </c>
      <c r="O31" s="2">
        <f>VLOOKUP($A31,'[2]App C Exp'!$A$4:$I$917,9,FALSE)</f>
        <v>0</v>
      </c>
      <c r="P31" s="2"/>
      <c r="Q31" s="2">
        <f>VLOOKUP($A31,'[2]App C Inv'!$A$4:$I$917,5,FALSE)</f>
        <v>52309</v>
      </c>
      <c r="R31" s="2">
        <f>VLOOKUP($A31,'[2]App C Inv'!$A$4:$I$917,6,FALSE)</f>
        <v>-44995</v>
      </c>
      <c r="S31" s="2">
        <f>VLOOKUP($A31,'[2]App C Inv'!$A$4:$I$917,7,FALSE)</f>
        <v>6342</v>
      </c>
      <c r="T31" s="2">
        <f>VLOOKUP($A31,'[2]App C Inv'!$A$4:$I$917,8,FALSE)</f>
        <v>8253</v>
      </c>
      <c r="U31" s="2">
        <f>VLOOKUP($A31,'[2]App C Inv'!$A$4:$I$917,9,FALSE)</f>
        <v>0</v>
      </c>
      <c r="V31" s="2"/>
      <c r="W31" s="2">
        <f>VLOOKUP($A31,'[2]App C Assum'!$A$4:$I$917,5,FALSE)</f>
        <v>58926</v>
      </c>
      <c r="X31" s="2">
        <f>VLOOKUP($A31,'[2]App C Assum'!$A$4:$I$917,6,FALSE)</f>
        <v>48275</v>
      </c>
      <c r="Y31" s="2">
        <f>VLOOKUP($A31,'[2]App C Assum'!$A$4:$I$917,7,FALSE)</f>
        <v>39191</v>
      </c>
      <c r="Z31" s="2">
        <f>VLOOKUP($A31,'[2]App C Assum'!$A$4:$I$917,8,FALSE)</f>
        <v>0</v>
      </c>
      <c r="AA31" s="2">
        <f>VLOOKUP($A31,'[2]App C Assum'!$A$4:$I$917,9,FALSE)</f>
        <v>0</v>
      </c>
      <c r="AB31" s="2"/>
      <c r="AC31" s="2">
        <f>VLOOKUP($A31,'[2]App C Share Outflows'!$A$4:$I$917,5,FALSE)</f>
        <v>0</v>
      </c>
      <c r="AD31" s="2">
        <f>VLOOKUP($A31,'[2]App C Share Outflows'!$A$4:$I$917,6,FALSE)</f>
        <v>0</v>
      </c>
      <c r="AE31" s="2">
        <f>VLOOKUP($A31,'[2]App C Share Outflows'!$A$4:$I$917,7,FALSE)</f>
        <v>0</v>
      </c>
      <c r="AF31" s="2">
        <f>VLOOKUP($A31,'[2]App C Share Outflows'!$A$4:$I$917,8,FALSE)</f>
        <v>0</v>
      </c>
      <c r="AG31" s="2">
        <f>VLOOKUP($A31,'[2]App C Share Outflows'!$A$4:$I$917,9,FALSE)</f>
        <v>0</v>
      </c>
      <c r="AH31" s="2"/>
      <c r="AI31" s="2">
        <f>VLOOKUP($A31,'[2]App C Share Inflows'!$A$4:$I$917,5,FALSE)</f>
        <v>-23692</v>
      </c>
      <c r="AJ31" s="2">
        <f>VLOOKUP($A31,'[2]App C Share Inflows'!$A$4:$I$917,6,FALSE)</f>
        <v>-18486</v>
      </c>
      <c r="AK31" s="2">
        <f>VLOOKUP($A31,'[2]App C Share Inflows'!$A$4:$I$917,7,FALSE)</f>
        <v>-10494</v>
      </c>
      <c r="AL31" s="2">
        <f>VLOOKUP($A31,'[2]App C Share Inflows'!$A$4:$I$917,8,FALSE)</f>
        <v>-5885</v>
      </c>
      <c r="AM31" s="2">
        <f>VLOOKUP($A31,'[2]App C Share Inflows'!$A$4:$I$917,6,FALSE)</f>
        <v>-18486</v>
      </c>
    </row>
    <row r="32" spans="1:39">
      <c r="A32" s="351">
        <v>72265</v>
      </c>
      <c r="B32" s="344" t="s">
        <v>728</v>
      </c>
      <c r="C32" s="235" t="e">
        <f>VLOOKUP(A32,#REF!,10,FALSE)</f>
        <v>#REF!</v>
      </c>
      <c r="E32" s="2">
        <f>VLOOKUP($A32,'[2]App C Total'!$A$4:$I$917,5,FALSE)</f>
        <v>70515</v>
      </c>
      <c r="F32" s="2">
        <f>VLOOKUP($A32,'[2]App C Total'!$A$4:$I$917,6,FALSE)</f>
        <v>23047</v>
      </c>
      <c r="G32" s="2">
        <f>VLOOKUP($A32,'[2]App C Total'!$A$4:$I$917,7,FALSE)</f>
        <v>38699</v>
      </c>
      <c r="H32" s="2">
        <f>VLOOKUP($A32,'[2]App C Total'!$A$4:$I$917,8,FALSE)</f>
        <v>9456</v>
      </c>
      <c r="I32" s="2">
        <f>VLOOKUP($A32,'[2]App C Total'!$A$4:$I$917,9,FALSE)</f>
        <v>0</v>
      </c>
      <c r="J32" s="2"/>
      <c r="K32" s="2">
        <f>VLOOKUP($A32,'[2]App C Exp'!$A$4:$I$917,5,FALSE)</f>
        <v>21572</v>
      </c>
      <c r="L32" s="2">
        <f>VLOOKUP($A32,'[2]App C Exp'!$A$4:$I$917,6,FALSE)</f>
        <v>20292</v>
      </c>
      <c r="M32" s="2">
        <f>VLOOKUP($A32,'[2]App C Exp'!$A$4:$I$917,7,FALSE)</f>
        <v>18188</v>
      </c>
      <c r="N32" s="2">
        <f>VLOOKUP($A32,'[2]App C Exp'!$A$4:$I$917,8,FALSE)</f>
        <v>7282</v>
      </c>
      <c r="O32" s="2">
        <f>VLOOKUP($A32,'[2]App C Exp'!$A$4:$I$917,9,FALSE)</f>
        <v>0</v>
      </c>
      <c r="P32" s="2"/>
      <c r="Q32" s="2">
        <f>VLOOKUP($A32,'[2]App C Inv'!$A$4:$I$917,5,FALSE)</f>
        <v>22902</v>
      </c>
      <c r="R32" s="2">
        <f>VLOOKUP($A32,'[2]App C Inv'!$A$4:$I$917,6,FALSE)</f>
        <v>-19700</v>
      </c>
      <c r="S32" s="2">
        <f>VLOOKUP($A32,'[2]App C Inv'!$A$4:$I$917,7,FALSE)</f>
        <v>2776</v>
      </c>
      <c r="T32" s="2">
        <f>VLOOKUP($A32,'[2]App C Inv'!$A$4:$I$917,8,FALSE)</f>
        <v>3614</v>
      </c>
      <c r="U32" s="2">
        <f>VLOOKUP($A32,'[2]App C Inv'!$A$4:$I$917,9,FALSE)</f>
        <v>0</v>
      </c>
      <c r="V32" s="2"/>
      <c r="W32" s="2">
        <f>VLOOKUP($A32,'[2]App C Assum'!$A$4:$I$917,5,FALSE)</f>
        <v>25799</v>
      </c>
      <c r="X32" s="2">
        <f>VLOOKUP($A32,'[2]App C Assum'!$A$4:$I$917,6,FALSE)</f>
        <v>21136</v>
      </c>
      <c r="Y32" s="2">
        <f>VLOOKUP($A32,'[2]App C Assum'!$A$4:$I$917,7,FALSE)</f>
        <v>17159</v>
      </c>
      <c r="Z32" s="2">
        <f>VLOOKUP($A32,'[2]App C Assum'!$A$4:$I$917,8,FALSE)</f>
        <v>0</v>
      </c>
      <c r="AA32" s="2">
        <f>VLOOKUP($A32,'[2]App C Assum'!$A$4:$I$917,9,FALSE)</f>
        <v>0</v>
      </c>
      <c r="AB32" s="2"/>
      <c r="AC32" s="2">
        <f>VLOOKUP($A32,'[2]App C Share Outflows'!$A$4:$I$917,5,FALSE)</f>
        <v>2759</v>
      </c>
      <c r="AD32" s="2">
        <f>VLOOKUP($A32,'[2]App C Share Outflows'!$A$4:$I$917,6,FALSE)</f>
        <v>2760</v>
      </c>
      <c r="AE32" s="2">
        <f>VLOOKUP($A32,'[2]App C Share Outflows'!$A$4:$I$917,7,FALSE)</f>
        <v>2017</v>
      </c>
      <c r="AF32" s="2">
        <f>VLOOKUP($A32,'[2]App C Share Outflows'!$A$4:$I$917,8,FALSE)</f>
        <v>0</v>
      </c>
      <c r="AG32" s="2">
        <f>VLOOKUP($A32,'[2]App C Share Outflows'!$A$4:$I$917,9,FALSE)</f>
        <v>0</v>
      </c>
      <c r="AH32" s="2"/>
      <c r="AI32" s="2">
        <f>VLOOKUP($A32,'[2]App C Share Inflows'!$A$4:$I$917,5,FALSE)</f>
        <v>-2517</v>
      </c>
      <c r="AJ32" s="2">
        <f>VLOOKUP($A32,'[2]App C Share Inflows'!$A$4:$I$917,6,FALSE)</f>
        <v>-1441</v>
      </c>
      <c r="AK32" s="2">
        <f>VLOOKUP($A32,'[2]App C Share Inflows'!$A$4:$I$917,7,FALSE)</f>
        <v>-1441</v>
      </c>
      <c r="AL32" s="2">
        <f>VLOOKUP($A32,'[2]App C Share Inflows'!$A$4:$I$917,8,FALSE)</f>
        <v>-1440</v>
      </c>
      <c r="AM32" s="2">
        <f>VLOOKUP($A32,'[2]App C Share Inflows'!$A$4:$I$917,6,FALSE)</f>
        <v>-1441</v>
      </c>
    </row>
    <row r="33" spans="1:39">
      <c r="A33" s="351">
        <v>72593</v>
      </c>
      <c r="B33" s="344" t="s">
        <v>729</v>
      </c>
      <c r="C33" s="235" t="e">
        <f>VLOOKUP(A33,#REF!,10,FALSE)</f>
        <v>#REF!</v>
      </c>
      <c r="E33" s="2">
        <f>VLOOKUP($A33,'[2]App C Total'!$A$4:$I$917,5,FALSE)</f>
        <v>3482</v>
      </c>
      <c r="F33" s="2">
        <f>VLOOKUP($A33,'[2]App C Total'!$A$4:$I$917,6,FALSE)</f>
        <v>1427</v>
      </c>
      <c r="G33" s="2">
        <f>VLOOKUP($A33,'[2]App C Total'!$A$4:$I$917,7,FALSE)</f>
        <v>1369</v>
      </c>
      <c r="H33" s="2">
        <f>VLOOKUP($A33,'[2]App C Total'!$A$4:$I$917,8,FALSE)</f>
        <v>359</v>
      </c>
      <c r="I33" s="2">
        <f>VLOOKUP($A33,'[2]App C Total'!$A$4:$I$917,9,FALSE)</f>
        <v>0</v>
      </c>
      <c r="J33" s="2"/>
      <c r="K33" s="2">
        <f>VLOOKUP($A33,'[2]App C Exp'!$A$4:$I$917,5,FALSE)</f>
        <v>914</v>
      </c>
      <c r="L33" s="2">
        <f>VLOOKUP($A33,'[2]App C Exp'!$A$4:$I$917,6,FALSE)</f>
        <v>860</v>
      </c>
      <c r="M33" s="2">
        <f>VLOOKUP($A33,'[2]App C Exp'!$A$4:$I$917,7,FALSE)</f>
        <v>770</v>
      </c>
      <c r="N33" s="2">
        <f>VLOOKUP($A33,'[2]App C Exp'!$A$4:$I$917,8,FALSE)</f>
        <v>308</v>
      </c>
      <c r="O33" s="2">
        <f>VLOOKUP($A33,'[2]App C Exp'!$A$4:$I$917,9,FALSE)</f>
        <v>0</v>
      </c>
      <c r="P33" s="2"/>
      <c r="Q33" s="2">
        <f>VLOOKUP($A33,'[2]App C Inv'!$A$4:$I$917,5,FALSE)</f>
        <v>970</v>
      </c>
      <c r="R33" s="2">
        <f>VLOOKUP($A33,'[2]App C Inv'!$A$4:$I$917,6,FALSE)</f>
        <v>-835</v>
      </c>
      <c r="S33" s="2">
        <f>VLOOKUP($A33,'[2]App C Inv'!$A$4:$I$917,7,FALSE)</f>
        <v>118</v>
      </c>
      <c r="T33" s="2">
        <f>VLOOKUP($A33,'[2]App C Inv'!$A$4:$I$917,8,FALSE)</f>
        <v>153</v>
      </c>
      <c r="U33" s="2">
        <f>VLOOKUP($A33,'[2]App C Inv'!$A$4:$I$917,9,FALSE)</f>
        <v>0</v>
      </c>
      <c r="V33" s="2"/>
      <c r="W33" s="2">
        <f>VLOOKUP($A33,'[2]App C Assum'!$A$4:$I$917,5,FALSE)</f>
        <v>1093</v>
      </c>
      <c r="X33" s="2">
        <f>VLOOKUP($A33,'[2]App C Assum'!$A$4:$I$917,6,FALSE)</f>
        <v>895</v>
      </c>
      <c r="Y33" s="2">
        <f>VLOOKUP($A33,'[2]App C Assum'!$A$4:$I$917,7,FALSE)</f>
        <v>727</v>
      </c>
      <c r="Z33" s="2">
        <f>VLOOKUP($A33,'[2]App C Assum'!$A$4:$I$917,8,FALSE)</f>
        <v>0</v>
      </c>
      <c r="AA33" s="2">
        <f>VLOOKUP($A33,'[2]App C Assum'!$A$4:$I$917,9,FALSE)</f>
        <v>0</v>
      </c>
      <c r="AB33" s="2"/>
      <c r="AC33" s="2">
        <f>VLOOKUP($A33,'[2]App C Share Outflows'!$A$4:$I$917,5,FALSE)</f>
        <v>753</v>
      </c>
      <c r="AD33" s="2">
        <f>VLOOKUP($A33,'[2]App C Share Outflows'!$A$4:$I$917,6,FALSE)</f>
        <v>755</v>
      </c>
      <c r="AE33" s="2">
        <f>VLOOKUP($A33,'[2]App C Share Outflows'!$A$4:$I$917,7,FALSE)</f>
        <v>0</v>
      </c>
      <c r="AF33" s="2">
        <f>VLOOKUP($A33,'[2]App C Share Outflows'!$A$4:$I$917,8,FALSE)</f>
        <v>0</v>
      </c>
      <c r="AG33" s="2">
        <f>VLOOKUP($A33,'[2]App C Share Outflows'!$A$4:$I$917,9,FALSE)</f>
        <v>0</v>
      </c>
      <c r="AH33" s="2"/>
      <c r="AI33" s="2">
        <f>VLOOKUP($A33,'[2]App C Share Inflows'!$A$4:$I$917,5,FALSE)</f>
        <v>-248</v>
      </c>
      <c r="AJ33" s="2">
        <f>VLOOKUP($A33,'[2]App C Share Inflows'!$A$4:$I$917,6,FALSE)</f>
        <v>-248</v>
      </c>
      <c r="AK33" s="2">
        <f>VLOOKUP($A33,'[2]App C Share Inflows'!$A$4:$I$917,7,FALSE)</f>
        <v>-246</v>
      </c>
      <c r="AL33" s="2">
        <f>VLOOKUP($A33,'[2]App C Share Inflows'!$A$4:$I$917,8,FALSE)</f>
        <v>-102</v>
      </c>
      <c r="AM33" s="2">
        <f>VLOOKUP($A33,'[2]App C Share Inflows'!$A$4:$I$917,6,FALSE)</f>
        <v>-248</v>
      </c>
    </row>
    <row r="34" spans="1:39">
      <c r="A34" s="351">
        <v>72657</v>
      </c>
      <c r="B34" s="344" t="s">
        <v>730</v>
      </c>
      <c r="C34" s="235" t="e">
        <f>VLOOKUP(A34,#REF!,10,FALSE)</f>
        <v>#REF!</v>
      </c>
      <c r="E34" s="2">
        <f>VLOOKUP($A34,'[2]App C Total'!$A$4:$I$917,5,FALSE)</f>
        <v>15812</v>
      </c>
      <c r="F34" s="2">
        <f>VLOOKUP($A34,'[2]App C Total'!$A$4:$I$917,6,FALSE)</f>
        <v>3426</v>
      </c>
      <c r="G34" s="2">
        <f>VLOOKUP($A34,'[2]App C Total'!$A$4:$I$917,7,FALSE)</f>
        <v>8489</v>
      </c>
      <c r="H34" s="2">
        <f>VLOOKUP($A34,'[2]App C Total'!$A$4:$I$917,8,FALSE)</f>
        <v>1964</v>
      </c>
      <c r="I34" s="2">
        <f>VLOOKUP($A34,'[2]App C Total'!$A$4:$I$917,9,FALSE)</f>
        <v>0</v>
      </c>
      <c r="J34" s="2"/>
      <c r="K34" s="2">
        <f>VLOOKUP($A34,'[2]App C Exp'!$A$4:$I$917,5,FALSE)</f>
        <v>5573</v>
      </c>
      <c r="L34" s="2">
        <f>VLOOKUP($A34,'[2]App C Exp'!$A$4:$I$917,6,FALSE)</f>
        <v>5242</v>
      </c>
      <c r="M34" s="2">
        <f>VLOOKUP($A34,'[2]App C Exp'!$A$4:$I$917,7,FALSE)</f>
        <v>4699</v>
      </c>
      <c r="N34" s="2">
        <f>VLOOKUP($A34,'[2]App C Exp'!$A$4:$I$917,8,FALSE)</f>
        <v>1881</v>
      </c>
      <c r="O34" s="2">
        <f>VLOOKUP($A34,'[2]App C Exp'!$A$4:$I$917,9,FALSE)</f>
        <v>0</v>
      </c>
      <c r="P34" s="2"/>
      <c r="Q34" s="2">
        <f>VLOOKUP($A34,'[2]App C Inv'!$A$4:$I$917,5,FALSE)</f>
        <v>5916</v>
      </c>
      <c r="R34" s="2">
        <f>VLOOKUP($A34,'[2]App C Inv'!$A$4:$I$917,6,FALSE)</f>
        <v>-5089</v>
      </c>
      <c r="S34" s="2">
        <f>VLOOKUP($A34,'[2]App C Inv'!$A$4:$I$917,7,FALSE)</f>
        <v>717</v>
      </c>
      <c r="T34" s="2">
        <f>VLOOKUP($A34,'[2]App C Inv'!$A$4:$I$917,8,FALSE)</f>
        <v>933</v>
      </c>
      <c r="U34" s="2">
        <f>VLOOKUP($A34,'[2]App C Inv'!$A$4:$I$917,9,FALSE)</f>
        <v>0</v>
      </c>
      <c r="V34" s="2"/>
      <c r="W34" s="2">
        <f>VLOOKUP($A34,'[2]App C Assum'!$A$4:$I$917,5,FALSE)</f>
        <v>6665</v>
      </c>
      <c r="X34" s="2">
        <f>VLOOKUP($A34,'[2]App C Assum'!$A$4:$I$917,6,FALSE)</f>
        <v>5460</v>
      </c>
      <c r="Y34" s="2">
        <f>VLOOKUP($A34,'[2]App C Assum'!$A$4:$I$917,7,FALSE)</f>
        <v>4433</v>
      </c>
      <c r="Z34" s="2">
        <f>VLOOKUP($A34,'[2]App C Assum'!$A$4:$I$917,8,FALSE)</f>
        <v>0</v>
      </c>
      <c r="AA34" s="2">
        <f>VLOOKUP($A34,'[2]App C Assum'!$A$4:$I$917,9,FALSE)</f>
        <v>0</v>
      </c>
      <c r="AB34" s="2"/>
      <c r="AC34" s="2">
        <f>VLOOKUP($A34,'[2]App C Share Outflows'!$A$4:$I$917,5,FALSE)</f>
        <v>0</v>
      </c>
      <c r="AD34" s="2">
        <f>VLOOKUP($A34,'[2]App C Share Outflows'!$A$4:$I$917,6,FALSE)</f>
        <v>0</v>
      </c>
      <c r="AE34" s="2">
        <f>VLOOKUP($A34,'[2]App C Share Outflows'!$A$4:$I$917,7,FALSE)</f>
        <v>0</v>
      </c>
      <c r="AF34" s="2">
        <f>VLOOKUP($A34,'[2]App C Share Outflows'!$A$4:$I$917,8,FALSE)</f>
        <v>0</v>
      </c>
      <c r="AG34" s="2">
        <f>VLOOKUP($A34,'[2]App C Share Outflows'!$A$4:$I$917,9,FALSE)</f>
        <v>0</v>
      </c>
      <c r="AH34" s="2"/>
      <c r="AI34" s="2">
        <f>VLOOKUP($A34,'[2]App C Share Inflows'!$A$4:$I$917,5,FALSE)</f>
        <v>-2342</v>
      </c>
      <c r="AJ34" s="2">
        <f>VLOOKUP($A34,'[2]App C Share Inflows'!$A$4:$I$917,6,FALSE)</f>
        <v>-2187</v>
      </c>
      <c r="AK34" s="2">
        <f>VLOOKUP($A34,'[2]App C Share Inflows'!$A$4:$I$917,7,FALSE)</f>
        <v>-1360</v>
      </c>
      <c r="AL34" s="2">
        <f>VLOOKUP($A34,'[2]App C Share Inflows'!$A$4:$I$917,8,FALSE)</f>
        <v>-850</v>
      </c>
      <c r="AM34" s="2">
        <f>VLOOKUP($A34,'[2]App C Share Inflows'!$A$4:$I$917,6,FALSE)</f>
        <v>-2187</v>
      </c>
    </row>
    <row r="35" spans="1:39">
      <c r="A35" s="351">
        <v>90001</v>
      </c>
      <c r="B35" s="344" t="s">
        <v>731</v>
      </c>
      <c r="C35" s="235" t="e">
        <f>VLOOKUP(A35,#REF!,10,FALSE)</f>
        <v>#REF!</v>
      </c>
      <c r="E35" s="2">
        <f>VLOOKUP($A35,'[2]App C Total'!$A$4:$I$917,5,FALSE)</f>
        <v>422170</v>
      </c>
      <c r="F35" s="2">
        <f>VLOOKUP($A35,'[2]App C Total'!$A$4:$I$917,6,FALSE)</f>
        <v>129143</v>
      </c>
      <c r="G35" s="2">
        <f>VLOOKUP($A35,'[2]App C Total'!$A$4:$I$917,7,FALSE)</f>
        <v>230243</v>
      </c>
      <c r="H35" s="2">
        <f>VLOOKUP($A35,'[2]App C Total'!$A$4:$I$917,8,FALSE)</f>
        <v>67217</v>
      </c>
      <c r="I35" s="2">
        <f>VLOOKUP($A35,'[2]App C Total'!$A$4:$I$917,9,FALSE)</f>
        <v>0</v>
      </c>
      <c r="J35" s="2"/>
      <c r="K35" s="2">
        <f>VLOOKUP($A35,'[2]App C Exp'!$A$4:$I$917,5,FALSE)</f>
        <v>128909</v>
      </c>
      <c r="L35" s="2">
        <f>VLOOKUP($A35,'[2]App C Exp'!$A$4:$I$917,6,FALSE)</f>
        <v>121262</v>
      </c>
      <c r="M35" s="2">
        <f>VLOOKUP($A35,'[2]App C Exp'!$A$4:$I$917,7,FALSE)</f>
        <v>108685</v>
      </c>
      <c r="N35" s="2">
        <f>VLOOKUP($A35,'[2]App C Exp'!$A$4:$I$917,8,FALSE)</f>
        <v>43516</v>
      </c>
      <c r="O35" s="2">
        <f>VLOOKUP($A35,'[2]App C Exp'!$A$4:$I$917,9,FALSE)</f>
        <v>0</v>
      </c>
      <c r="P35" s="2"/>
      <c r="Q35" s="2">
        <f>VLOOKUP($A35,'[2]App C Inv'!$A$4:$I$917,5,FALSE)</f>
        <v>136855</v>
      </c>
      <c r="R35" s="2">
        <f>VLOOKUP($A35,'[2]App C Inv'!$A$4:$I$917,6,FALSE)</f>
        <v>-117721</v>
      </c>
      <c r="S35" s="2">
        <f>VLOOKUP($A35,'[2]App C Inv'!$A$4:$I$917,7,FALSE)</f>
        <v>16591</v>
      </c>
      <c r="T35" s="2">
        <f>VLOOKUP($A35,'[2]App C Inv'!$A$4:$I$917,8,FALSE)</f>
        <v>21593</v>
      </c>
      <c r="U35" s="2">
        <f>VLOOKUP($A35,'[2]App C Inv'!$A$4:$I$917,9,FALSE)</f>
        <v>0</v>
      </c>
      <c r="V35" s="2"/>
      <c r="W35" s="2">
        <f>VLOOKUP($A35,'[2]App C Assum'!$A$4:$I$917,5,FALSE)</f>
        <v>154169</v>
      </c>
      <c r="X35" s="2">
        <f>VLOOKUP($A35,'[2]App C Assum'!$A$4:$I$917,6,FALSE)</f>
        <v>126301</v>
      </c>
      <c r="Y35" s="2">
        <f>VLOOKUP($A35,'[2]App C Assum'!$A$4:$I$917,7,FALSE)</f>
        <v>102535</v>
      </c>
      <c r="Z35" s="2">
        <f>VLOOKUP($A35,'[2]App C Assum'!$A$4:$I$917,8,FALSE)</f>
        <v>0</v>
      </c>
      <c r="AA35" s="2">
        <f>VLOOKUP($A35,'[2]App C Assum'!$A$4:$I$917,9,FALSE)</f>
        <v>0</v>
      </c>
      <c r="AB35" s="2"/>
      <c r="AC35" s="2">
        <f>VLOOKUP($A35,'[2]App C Share Outflows'!$A$4:$I$917,5,FALSE)</f>
        <v>5372</v>
      </c>
      <c r="AD35" s="2">
        <f>VLOOKUP($A35,'[2]App C Share Outflows'!$A$4:$I$917,6,FALSE)</f>
        <v>2434</v>
      </c>
      <c r="AE35" s="2">
        <f>VLOOKUP($A35,'[2]App C Share Outflows'!$A$4:$I$917,7,FALSE)</f>
        <v>2432</v>
      </c>
      <c r="AF35" s="2">
        <f>VLOOKUP($A35,'[2]App C Share Outflows'!$A$4:$I$917,8,FALSE)</f>
        <v>2108</v>
      </c>
      <c r="AG35" s="2">
        <f>VLOOKUP($A35,'[2]App C Share Outflows'!$A$4:$I$917,9,FALSE)</f>
        <v>0</v>
      </c>
      <c r="AH35" s="2"/>
      <c r="AI35" s="2">
        <f>VLOOKUP($A35,'[2]App C Share Inflows'!$A$4:$I$917,5,FALSE)</f>
        <v>-3135</v>
      </c>
      <c r="AJ35" s="2">
        <f>VLOOKUP($A35,'[2]App C Share Inflows'!$A$4:$I$917,6,FALSE)</f>
        <v>-3133</v>
      </c>
      <c r="AK35" s="2">
        <f>VLOOKUP($A35,'[2]App C Share Inflows'!$A$4:$I$917,7,FALSE)</f>
        <v>0</v>
      </c>
      <c r="AL35" s="2">
        <f>VLOOKUP($A35,'[2]App C Share Inflows'!$A$4:$I$917,8,FALSE)</f>
        <v>0</v>
      </c>
      <c r="AM35" s="2">
        <f>VLOOKUP($A35,'[2]App C Share Inflows'!$A$4:$I$917,6,FALSE)</f>
        <v>-3133</v>
      </c>
    </row>
    <row r="36" spans="1:39">
      <c r="A36" s="351">
        <v>90002</v>
      </c>
      <c r="B36" s="344" t="s">
        <v>3639</v>
      </c>
      <c r="C36" s="235" t="e">
        <f>VLOOKUP(A36,#REF!,10,FALSE)</f>
        <v>#REF!</v>
      </c>
      <c r="E36" s="2">
        <f>VLOOKUP($A36,'[2]App C Total'!$A$4:$I$917,5,FALSE)</f>
        <v>4847</v>
      </c>
      <c r="F36" s="2">
        <f>VLOOKUP($A36,'[2]App C Total'!$A$4:$I$917,6,FALSE)</f>
        <v>1798</v>
      </c>
      <c r="G36" s="2">
        <f>VLOOKUP($A36,'[2]App C Total'!$A$4:$I$917,7,FALSE)</f>
        <v>2629</v>
      </c>
      <c r="H36" s="2">
        <f>VLOOKUP($A36,'[2]App C Total'!$A$4:$I$917,8,FALSE)</f>
        <v>865</v>
      </c>
      <c r="I36" s="2">
        <f>VLOOKUP($A36,'[2]App C Total'!$A$4:$I$917,9,FALSE)</f>
        <v>0</v>
      </c>
      <c r="J36" s="2"/>
      <c r="K36" s="2">
        <f>VLOOKUP($A36,'[2]App C Exp'!$A$4:$I$917,5,FALSE)</f>
        <v>1258</v>
      </c>
      <c r="L36" s="2">
        <f>VLOOKUP($A36,'[2]App C Exp'!$A$4:$I$917,6,FALSE)</f>
        <v>1184</v>
      </c>
      <c r="M36" s="2">
        <f>VLOOKUP($A36,'[2]App C Exp'!$A$4:$I$917,7,FALSE)</f>
        <v>1061</v>
      </c>
      <c r="N36" s="2">
        <f>VLOOKUP($A36,'[2]App C Exp'!$A$4:$I$917,8,FALSE)</f>
        <v>425</v>
      </c>
      <c r="O36" s="2">
        <f>VLOOKUP($A36,'[2]App C Exp'!$A$4:$I$917,9,FALSE)</f>
        <v>0</v>
      </c>
      <c r="P36" s="2"/>
      <c r="Q36" s="2">
        <f>VLOOKUP($A36,'[2]App C Inv'!$A$4:$I$917,5,FALSE)</f>
        <v>1336</v>
      </c>
      <c r="R36" s="2">
        <f>VLOOKUP($A36,'[2]App C Inv'!$A$4:$I$917,6,FALSE)</f>
        <v>-1149</v>
      </c>
      <c r="S36" s="2">
        <f>VLOOKUP($A36,'[2]App C Inv'!$A$4:$I$917,7,FALSE)</f>
        <v>162</v>
      </c>
      <c r="T36" s="2">
        <f>VLOOKUP($A36,'[2]App C Inv'!$A$4:$I$917,8,FALSE)</f>
        <v>211</v>
      </c>
      <c r="U36" s="2">
        <f>VLOOKUP($A36,'[2]App C Inv'!$A$4:$I$917,9,FALSE)</f>
        <v>0</v>
      </c>
      <c r="V36" s="2"/>
      <c r="W36" s="2">
        <f>VLOOKUP($A36,'[2]App C Assum'!$A$4:$I$917,5,FALSE)</f>
        <v>1505</v>
      </c>
      <c r="X36" s="2">
        <f>VLOOKUP($A36,'[2]App C Assum'!$A$4:$I$917,6,FALSE)</f>
        <v>1233</v>
      </c>
      <c r="Y36" s="2">
        <f>VLOOKUP($A36,'[2]App C Assum'!$A$4:$I$917,7,FALSE)</f>
        <v>1001</v>
      </c>
      <c r="Z36" s="2">
        <f>VLOOKUP($A36,'[2]App C Assum'!$A$4:$I$917,8,FALSE)</f>
        <v>0</v>
      </c>
      <c r="AA36" s="2">
        <f>VLOOKUP($A36,'[2]App C Assum'!$A$4:$I$917,9,FALSE)</f>
        <v>0</v>
      </c>
      <c r="AB36" s="2"/>
      <c r="AC36" s="2">
        <f>VLOOKUP($A36,'[2]App C Share Outflows'!$A$4:$I$917,5,FALSE)</f>
        <v>748</v>
      </c>
      <c r="AD36" s="2">
        <f>VLOOKUP($A36,'[2]App C Share Outflows'!$A$4:$I$917,6,FALSE)</f>
        <v>530</v>
      </c>
      <c r="AE36" s="2">
        <f>VLOOKUP($A36,'[2]App C Share Outflows'!$A$4:$I$917,7,FALSE)</f>
        <v>405</v>
      </c>
      <c r="AF36" s="2">
        <f>VLOOKUP($A36,'[2]App C Share Outflows'!$A$4:$I$917,8,FALSE)</f>
        <v>229</v>
      </c>
      <c r="AG36" s="2">
        <f>VLOOKUP($A36,'[2]App C Share Outflows'!$A$4:$I$917,9,FALSE)</f>
        <v>0</v>
      </c>
      <c r="AH36" s="2"/>
      <c r="AI36" s="2">
        <f>VLOOKUP($A36,'[2]App C Share Inflows'!$A$4:$I$917,5,FALSE)</f>
        <v>0</v>
      </c>
      <c r="AJ36" s="2">
        <f>VLOOKUP($A36,'[2]App C Share Inflows'!$A$4:$I$917,6,FALSE)</f>
        <v>0</v>
      </c>
      <c r="AK36" s="2">
        <f>VLOOKUP($A36,'[2]App C Share Inflows'!$A$4:$I$917,7,FALSE)</f>
        <v>0</v>
      </c>
      <c r="AL36" s="2">
        <f>VLOOKUP($A36,'[2]App C Share Inflows'!$A$4:$I$917,8,FALSE)</f>
        <v>0</v>
      </c>
      <c r="AM36" s="2">
        <f>VLOOKUP($A36,'[2]App C Share Inflows'!$A$4:$I$917,6,FALSE)</f>
        <v>0</v>
      </c>
    </row>
    <row r="37" spans="1:39">
      <c r="A37" s="351">
        <v>90011</v>
      </c>
      <c r="B37" s="344" t="s">
        <v>733</v>
      </c>
      <c r="C37" s="235" t="e">
        <f>VLOOKUP(A37,#REF!,10,FALSE)</f>
        <v>#REF!</v>
      </c>
      <c r="E37" s="2">
        <f>VLOOKUP($A37,'[2]App C Total'!$A$4:$I$917,5,FALSE)</f>
        <v>76334</v>
      </c>
      <c r="F37" s="2">
        <f>VLOOKUP($A37,'[2]App C Total'!$A$4:$I$917,6,FALSE)</f>
        <v>19972</v>
      </c>
      <c r="G37" s="2">
        <f>VLOOKUP($A37,'[2]App C Total'!$A$4:$I$917,7,FALSE)</f>
        <v>43570</v>
      </c>
      <c r="H37" s="2">
        <f>VLOOKUP($A37,'[2]App C Total'!$A$4:$I$917,8,FALSE)</f>
        <v>11407</v>
      </c>
      <c r="I37" s="2">
        <f>VLOOKUP($A37,'[2]App C Total'!$A$4:$I$917,9,FALSE)</f>
        <v>0</v>
      </c>
      <c r="J37" s="2"/>
      <c r="K37" s="2">
        <f>VLOOKUP($A37,'[2]App C Exp'!$A$4:$I$917,5,FALSE)</f>
        <v>26980</v>
      </c>
      <c r="L37" s="2">
        <f>VLOOKUP($A37,'[2]App C Exp'!$A$4:$I$917,6,FALSE)</f>
        <v>25380</v>
      </c>
      <c r="M37" s="2">
        <f>VLOOKUP($A37,'[2]App C Exp'!$A$4:$I$917,7,FALSE)</f>
        <v>22748</v>
      </c>
      <c r="N37" s="2">
        <f>VLOOKUP($A37,'[2]App C Exp'!$A$4:$I$917,8,FALSE)</f>
        <v>9108</v>
      </c>
      <c r="O37" s="2">
        <f>VLOOKUP($A37,'[2]App C Exp'!$A$4:$I$917,9,FALSE)</f>
        <v>0</v>
      </c>
      <c r="P37" s="2"/>
      <c r="Q37" s="2">
        <f>VLOOKUP($A37,'[2]App C Inv'!$A$4:$I$917,5,FALSE)</f>
        <v>28643</v>
      </c>
      <c r="R37" s="2">
        <f>VLOOKUP($A37,'[2]App C Inv'!$A$4:$I$917,6,FALSE)</f>
        <v>-24639</v>
      </c>
      <c r="S37" s="2">
        <f>VLOOKUP($A37,'[2]App C Inv'!$A$4:$I$917,7,FALSE)</f>
        <v>3473</v>
      </c>
      <c r="T37" s="2">
        <f>VLOOKUP($A37,'[2]App C Inv'!$A$4:$I$917,8,FALSE)</f>
        <v>4519</v>
      </c>
      <c r="U37" s="2">
        <f>VLOOKUP($A37,'[2]App C Inv'!$A$4:$I$917,9,FALSE)</f>
        <v>0</v>
      </c>
      <c r="V37" s="2"/>
      <c r="W37" s="2">
        <f>VLOOKUP($A37,'[2]App C Assum'!$A$4:$I$917,5,FALSE)</f>
        <v>32267</v>
      </c>
      <c r="X37" s="2">
        <f>VLOOKUP($A37,'[2]App C Assum'!$A$4:$I$917,6,FALSE)</f>
        <v>26434</v>
      </c>
      <c r="Y37" s="2">
        <f>VLOOKUP($A37,'[2]App C Assum'!$A$4:$I$917,7,FALSE)</f>
        <v>21460</v>
      </c>
      <c r="Z37" s="2">
        <f>VLOOKUP($A37,'[2]App C Assum'!$A$4:$I$917,8,FALSE)</f>
        <v>0</v>
      </c>
      <c r="AA37" s="2">
        <f>VLOOKUP($A37,'[2]App C Assum'!$A$4:$I$917,9,FALSE)</f>
        <v>0</v>
      </c>
      <c r="AB37" s="2"/>
      <c r="AC37" s="2">
        <f>VLOOKUP($A37,'[2]App C Share Outflows'!$A$4:$I$917,5,FALSE)</f>
        <v>0</v>
      </c>
      <c r="AD37" s="2">
        <f>VLOOKUP($A37,'[2]App C Share Outflows'!$A$4:$I$917,6,FALSE)</f>
        <v>0</v>
      </c>
      <c r="AE37" s="2">
        <f>VLOOKUP($A37,'[2]App C Share Outflows'!$A$4:$I$917,7,FALSE)</f>
        <v>0</v>
      </c>
      <c r="AF37" s="2">
        <f>VLOOKUP($A37,'[2]App C Share Outflows'!$A$4:$I$917,8,FALSE)</f>
        <v>0</v>
      </c>
      <c r="AG37" s="2">
        <f>VLOOKUP($A37,'[2]App C Share Outflows'!$A$4:$I$917,9,FALSE)</f>
        <v>0</v>
      </c>
      <c r="AH37" s="2"/>
      <c r="AI37" s="2">
        <f>VLOOKUP($A37,'[2]App C Share Inflows'!$A$4:$I$917,5,FALSE)</f>
        <v>-11556</v>
      </c>
      <c r="AJ37" s="2">
        <f>VLOOKUP($A37,'[2]App C Share Inflows'!$A$4:$I$917,6,FALSE)</f>
        <v>-7203</v>
      </c>
      <c r="AK37" s="2">
        <f>VLOOKUP($A37,'[2]App C Share Inflows'!$A$4:$I$917,7,FALSE)</f>
        <v>-4111</v>
      </c>
      <c r="AL37" s="2">
        <f>VLOOKUP($A37,'[2]App C Share Inflows'!$A$4:$I$917,8,FALSE)</f>
        <v>-2220</v>
      </c>
      <c r="AM37" s="2">
        <f>VLOOKUP($A37,'[2]App C Share Inflows'!$A$4:$I$917,6,FALSE)</f>
        <v>-7203</v>
      </c>
    </row>
    <row r="38" spans="1:39">
      <c r="A38" s="351">
        <v>90092</v>
      </c>
      <c r="B38" s="344" t="s">
        <v>2802</v>
      </c>
      <c r="C38" s="235" t="e">
        <f>VLOOKUP(A38,#REF!,10,FALSE)</f>
        <v>#REF!</v>
      </c>
      <c r="E38" s="2">
        <f>VLOOKUP($A38,'[2]App C Total'!$A$4:$I$917,5,FALSE)</f>
        <v>195072</v>
      </c>
      <c r="F38" s="2">
        <f>VLOOKUP($A38,'[2]App C Total'!$A$4:$I$917,6,FALSE)</f>
        <v>71661</v>
      </c>
      <c r="G38" s="2">
        <f>VLOOKUP($A38,'[2]App C Total'!$A$4:$I$917,7,FALSE)</f>
        <v>118683</v>
      </c>
      <c r="H38" s="2">
        <f>VLOOKUP($A38,'[2]App C Total'!$A$4:$I$917,8,FALSE)</f>
        <v>40268</v>
      </c>
      <c r="I38" s="2">
        <f>VLOOKUP($A38,'[2]App C Total'!$A$4:$I$917,9,FALSE)</f>
        <v>0</v>
      </c>
      <c r="J38" s="2"/>
      <c r="K38" s="2">
        <f>VLOOKUP($A38,'[2]App C Exp'!$A$4:$I$917,5,FALSE)</f>
        <v>59219</v>
      </c>
      <c r="L38" s="2">
        <f>VLOOKUP($A38,'[2]App C Exp'!$A$4:$I$917,6,FALSE)</f>
        <v>55706</v>
      </c>
      <c r="M38" s="2">
        <f>VLOOKUP($A38,'[2]App C Exp'!$A$4:$I$917,7,FALSE)</f>
        <v>49928</v>
      </c>
      <c r="N38" s="2">
        <f>VLOOKUP($A38,'[2]App C Exp'!$A$4:$I$917,8,FALSE)</f>
        <v>19991</v>
      </c>
      <c r="O38" s="2">
        <f>VLOOKUP($A38,'[2]App C Exp'!$A$4:$I$917,9,FALSE)</f>
        <v>0</v>
      </c>
      <c r="P38" s="2"/>
      <c r="Q38" s="2">
        <f>VLOOKUP($A38,'[2]App C Inv'!$A$4:$I$917,5,FALSE)</f>
        <v>62869</v>
      </c>
      <c r="R38" s="2">
        <f>VLOOKUP($A38,'[2]App C Inv'!$A$4:$I$917,6,FALSE)</f>
        <v>-54079</v>
      </c>
      <c r="S38" s="2">
        <f>VLOOKUP($A38,'[2]App C Inv'!$A$4:$I$917,7,FALSE)</f>
        <v>7622</v>
      </c>
      <c r="T38" s="2">
        <f>VLOOKUP($A38,'[2]App C Inv'!$A$4:$I$917,8,FALSE)</f>
        <v>9920</v>
      </c>
      <c r="U38" s="2">
        <f>VLOOKUP($A38,'[2]App C Inv'!$A$4:$I$917,9,FALSE)</f>
        <v>0</v>
      </c>
      <c r="V38" s="2"/>
      <c r="W38" s="2">
        <f>VLOOKUP($A38,'[2]App C Assum'!$A$4:$I$917,5,FALSE)</f>
        <v>70823</v>
      </c>
      <c r="X38" s="2">
        <f>VLOOKUP($A38,'[2]App C Assum'!$A$4:$I$917,6,FALSE)</f>
        <v>58021</v>
      </c>
      <c r="Y38" s="2">
        <f>VLOOKUP($A38,'[2]App C Assum'!$A$4:$I$917,7,FALSE)</f>
        <v>47103</v>
      </c>
      <c r="Z38" s="2">
        <f>VLOOKUP($A38,'[2]App C Assum'!$A$4:$I$917,8,FALSE)</f>
        <v>0</v>
      </c>
      <c r="AA38" s="2">
        <f>VLOOKUP($A38,'[2]App C Assum'!$A$4:$I$917,9,FALSE)</f>
        <v>0</v>
      </c>
      <c r="AB38" s="2"/>
      <c r="AC38" s="2">
        <f>VLOOKUP($A38,'[2]App C Share Outflows'!$A$4:$I$917,5,FALSE)</f>
        <v>14031</v>
      </c>
      <c r="AD38" s="2">
        <f>VLOOKUP($A38,'[2]App C Share Outflows'!$A$4:$I$917,6,FALSE)</f>
        <v>14031</v>
      </c>
      <c r="AE38" s="2">
        <f>VLOOKUP($A38,'[2]App C Share Outflows'!$A$4:$I$917,7,FALSE)</f>
        <v>14030</v>
      </c>
      <c r="AF38" s="2">
        <f>VLOOKUP($A38,'[2]App C Share Outflows'!$A$4:$I$917,8,FALSE)</f>
        <v>10357</v>
      </c>
      <c r="AG38" s="2">
        <f>VLOOKUP($A38,'[2]App C Share Outflows'!$A$4:$I$917,9,FALSE)</f>
        <v>0</v>
      </c>
      <c r="AH38" s="2"/>
      <c r="AI38" s="2">
        <f>VLOOKUP($A38,'[2]App C Share Inflows'!$A$4:$I$917,5,FALSE)</f>
        <v>-11870</v>
      </c>
      <c r="AJ38" s="2">
        <f>VLOOKUP($A38,'[2]App C Share Inflows'!$A$4:$I$917,6,FALSE)</f>
        <v>-2018</v>
      </c>
      <c r="AK38" s="2">
        <f>VLOOKUP($A38,'[2]App C Share Inflows'!$A$4:$I$917,7,FALSE)</f>
        <v>0</v>
      </c>
      <c r="AL38" s="2">
        <f>VLOOKUP($A38,'[2]App C Share Inflows'!$A$4:$I$917,8,FALSE)</f>
        <v>0</v>
      </c>
      <c r="AM38" s="2">
        <f>VLOOKUP($A38,'[2]App C Share Inflows'!$A$4:$I$917,6,FALSE)</f>
        <v>-2018</v>
      </c>
    </row>
    <row r="39" spans="1:39">
      <c r="A39" s="351">
        <v>90096</v>
      </c>
      <c r="B39" s="344" t="s">
        <v>735</v>
      </c>
      <c r="C39" s="235" t="e">
        <f>VLOOKUP(A39,#REF!,10,FALSE)</f>
        <v>#REF!</v>
      </c>
      <c r="E39" s="2">
        <f>VLOOKUP($A39,'[2]App C Total'!$A$4:$I$917,5,FALSE)</f>
        <v>453881</v>
      </c>
      <c r="F39" s="2">
        <f>VLOOKUP($A39,'[2]App C Total'!$A$4:$I$917,6,FALSE)</f>
        <v>136099</v>
      </c>
      <c r="G39" s="2">
        <f>VLOOKUP($A39,'[2]App C Total'!$A$4:$I$917,7,FALSE)</f>
        <v>298144</v>
      </c>
      <c r="H39" s="2">
        <f>VLOOKUP($A39,'[2]App C Total'!$A$4:$I$917,8,FALSE)</f>
        <v>105634</v>
      </c>
      <c r="I39" s="2">
        <f>VLOOKUP($A39,'[2]App C Total'!$A$4:$I$917,9,FALSE)</f>
        <v>0</v>
      </c>
      <c r="J39" s="2"/>
      <c r="K39" s="2">
        <f>VLOOKUP($A39,'[2]App C Exp'!$A$4:$I$917,5,FALSE)</f>
        <v>145642</v>
      </c>
      <c r="L39" s="2">
        <f>VLOOKUP($A39,'[2]App C Exp'!$A$4:$I$917,6,FALSE)</f>
        <v>137002</v>
      </c>
      <c r="M39" s="2">
        <f>VLOOKUP($A39,'[2]App C Exp'!$A$4:$I$917,7,FALSE)</f>
        <v>122794</v>
      </c>
      <c r="N39" s="2">
        <f>VLOOKUP($A39,'[2]App C Exp'!$A$4:$I$917,8,FALSE)</f>
        <v>49165</v>
      </c>
      <c r="O39" s="2">
        <f>VLOOKUP($A39,'[2]App C Exp'!$A$4:$I$917,9,FALSE)</f>
        <v>0</v>
      </c>
      <c r="P39" s="2"/>
      <c r="Q39" s="2">
        <f>VLOOKUP($A39,'[2]App C Inv'!$A$4:$I$917,5,FALSE)</f>
        <v>154620</v>
      </c>
      <c r="R39" s="2">
        <f>VLOOKUP($A39,'[2]App C Inv'!$A$4:$I$917,6,FALSE)</f>
        <v>-133002</v>
      </c>
      <c r="S39" s="2">
        <f>VLOOKUP($A39,'[2]App C Inv'!$A$4:$I$917,7,FALSE)</f>
        <v>18745</v>
      </c>
      <c r="T39" s="2">
        <f>VLOOKUP($A39,'[2]App C Inv'!$A$4:$I$917,8,FALSE)</f>
        <v>24396</v>
      </c>
      <c r="U39" s="2">
        <f>VLOOKUP($A39,'[2]App C Inv'!$A$4:$I$917,9,FALSE)</f>
        <v>0</v>
      </c>
      <c r="V39" s="2"/>
      <c r="W39" s="2">
        <f>VLOOKUP($A39,'[2]App C Assum'!$A$4:$I$917,5,FALSE)</f>
        <v>174181</v>
      </c>
      <c r="X39" s="2">
        <f>VLOOKUP($A39,'[2]App C Assum'!$A$4:$I$917,6,FALSE)</f>
        <v>142696</v>
      </c>
      <c r="Y39" s="2">
        <f>VLOOKUP($A39,'[2]App C Assum'!$A$4:$I$917,7,FALSE)</f>
        <v>115844</v>
      </c>
      <c r="Z39" s="2">
        <f>VLOOKUP($A39,'[2]App C Assum'!$A$4:$I$917,8,FALSE)</f>
        <v>0</v>
      </c>
      <c r="AA39" s="2">
        <f>VLOOKUP($A39,'[2]App C Assum'!$A$4:$I$917,9,FALSE)</f>
        <v>0</v>
      </c>
      <c r="AB39" s="2"/>
      <c r="AC39" s="2">
        <f>VLOOKUP($A39,'[2]App C Share Outflows'!$A$4:$I$917,5,FALSE)</f>
        <v>40759</v>
      </c>
      <c r="AD39" s="2">
        <f>VLOOKUP($A39,'[2]App C Share Outflows'!$A$4:$I$917,6,FALSE)</f>
        <v>40759</v>
      </c>
      <c r="AE39" s="2">
        <f>VLOOKUP($A39,'[2]App C Share Outflows'!$A$4:$I$917,7,FALSE)</f>
        <v>40761</v>
      </c>
      <c r="AF39" s="2">
        <f>VLOOKUP($A39,'[2]App C Share Outflows'!$A$4:$I$917,8,FALSE)</f>
        <v>32073</v>
      </c>
      <c r="AG39" s="2">
        <f>VLOOKUP($A39,'[2]App C Share Outflows'!$A$4:$I$917,9,FALSE)</f>
        <v>0</v>
      </c>
      <c r="AH39" s="2"/>
      <c r="AI39" s="2">
        <f>VLOOKUP($A39,'[2]App C Share Inflows'!$A$4:$I$917,5,FALSE)</f>
        <v>-61321</v>
      </c>
      <c r="AJ39" s="2">
        <f>VLOOKUP($A39,'[2]App C Share Inflows'!$A$4:$I$917,6,FALSE)</f>
        <v>-51356</v>
      </c>
      <c r="AK39" s="2">
        <f>VLOOKUP($A39,'[2]App C Share Inflows'!$A$4:$I$917,7,FALSE)</f>
        <v>0</v>
      </c>
      <c r="AL39" s="2">
        <f>VLOOKUP($A39,'[2]App C Share Inflows'!$A$4:$I$917,8,FALSE)</f>
        <v>0</v>
      </c>
      <c r="AM39" s="2">
        <f>VLOOKUP($A39,'[2]App C Share Inflows'!$A$4:$I$917,6,FALSE)</f>
        <v>-51356</v>
      </c>
    </row>
    <row r="40" spans="1:39">
      <c r="A40" s="351">
        <v>90098</v>
      </c>
      <c r="B40" s="344" t="s">
        <v>736</v>
      </c>
      <c r="C40" s="235" t="e">
        <f>VLOOKUP(A40,#REF!,10,FALSE)</f>
        <v>#REF!</v>
      </c>
      <c r="E40" s="2">
        <f>VLOOKUP($A40,'[2]App C Total'!$A$4:$I$917,5,FALSE)</f>
        <v>92455</v>
      </c>
      <c r="F40" s="2">
        <f>VLOOKUP($A40,'[2]App C Total'!$A$4:$I$917,6,FALSE)</f>
        <v>31947</v>
      </c>
      <c r="G40" s="2">
        <f>VLOOKUP($A40,'[2]App C Total'!$A$4:$I$917,7,FALSE)</f>
        <v>59251</v>
      </c>
      <c r="H40" s="2">
        <f>VLOOKUP($A40,'[2]App C Total'!$A$4:$I$917,8,FALSE)</f>
        <v>7811</v>
      </c>
      <c r="I40" s="2">
        <f>VLOOKUP($A40,'[2]App C Total'!$A$4:$I$917,9,FALSE)</f>
        <v>0</v>
      </c>
      <c r="J40" s="2"/>
      <c r="K40" s="2">
        <f>VLOOKUP($A40,'[2]App C Exp'!$A$4:$I$917,5,FALSE)</f>
        <v>37766</v>
      </c>
      <c r="L40" s="2">
        <f>VLOOKUP($A40,'[2]App C Exp'!$A$4:$I$917,6,FALSE)</f>
        <v>35526</v>
      </c>
      <c r="M40" s="2">
        <f>VLOOKUP($A40,'[2]App C Exp'!$A$4:$I$917,7,FALSE)</f>
        <v>31841</v>
      </c>
      <c r="N40" s="2">
        <f>VLOOKUP($A40,'[2]App C Exp'!$A$4:$I$917,8,FALSE)</f>
        <v>12749</v>
      </c>
      <c r="O40" s="2">
        <f>VLOOKUP($A40,'[2]App C Exp'!$A$4:$I$917,9,FALSE)</f>
        <v>0</v>
      </c>
      <c r="P40" s="2"/>
      <c r="Q40" s="2">
        <f>VLOOKUP($A40,'[2]App C Inv'!$A$4:$I$917,5,FALSE)</f>
        <v>40094</v>
      </c>
      <c r="R40" s="2">
        <f>VLOOKUP($A40,'[2]App C Inv'!$A$4:$I$917,6,FALSE)</f>
        <v>-34489</v>
      </c>
      <c r="S40" s="2">
        <f>VLOOKUP($A40,'[2]App C Inv'!$A$4:$I$917,7,FALSE)</f>
        <v>4861</v>
      </c>
      <c r="T40" s="2">
        <f>VLOOKUP($A40,'[2]App C Inv'!$A$4:$I$917,8,FALSE)</f>
        <v>6326</v>
      </c>
      <c r="U40" s="2">
        <f>VLOOKUP($A40,'[2]App C Inv'!$A$4:$I$917,9,FALSE)</f>
        <v>0</v>
      </c>
      <c r="V40" s="2"/>
      <c r="W40" s="2">
        <f>VLOOKUP($A40,'[2]App C Assum'!$A$4:$I$917,5,FALSE)</f>
        <v>45167</v>
      </c>
      <c r="X40" s="2">
        <f>VLOOKUP($A40,'[2]App C Assum'!$A$4:$I$917,6,FALSE)</f>
        <v>37002</v>
      </c>
      <c r="Y40" s="2">
        <f>VLOOKUP($A40,'[2]App C Assum'!$A$4:$I$917,7,FALSE)</f>
        <v>30039</v>
      </c>
      <c r="Z40" s="2">
        <f>VLOOKUP($A40,'[2]App C Assum'!$A$4:$I$917,8,FALSE)</f>
        <v>0</v>
      </c>
      <c r="AA40" s="2">
        <f>VLOOKUP($A40,'[2]App C Assum'!$A$4:$I$917,9,FALSE)</f>
        <v>0</v>
      </c>
      <c r="AB40" s="2"/>
      <c r="AC40" s="2">
        <f>VLOOKUP($A40,'[2]App C Share Outflows'!$A$4:$I$917,5,FALSE)</f>
        <v>5172</v>
      </c>
      <c r="AD40" s="2">
        <f>VLOOKUP($A40,'[2]App C Share Outflows'!$A$4:$I$917,6,FALSE)</f>
        <v>5174</v>
      </c>
      <c r="AE40" s="2">
        <f>VLOOKUP($A40,'[2]App C Share Outflows'!$A$4:$I$917,7,FALSE)</f>
        <v>3776</v>
      </c>
      <c r="AF40" s="2">
        <f>VLOOKUP($A40,'[2]App C Share Outflows'!$A$4:$I$917,8,FALSE)</f>
        <v>0</v>
      </c>
      <c r="AG40" s="2">
        <f>VLOOKUP($A40,'[2]App C Share Outflows'!$A$4:$I$917,9,FALSE)</f>
        <v>0</v>
      </c>
      <c r="AH40" s="2"/>
      <c r="AI40" s="2">
        <f>VLOOKUP($A40,'[2]App C Share Inflows'!$A$4:$I$917,5,FALSE)</f>
        <v>-35744</v>
      </c>
      <c r="AJ40" s="2">
        <f>VLOOKUP($A40,'[2]App C Share Inflows'!$A$4:$I$917,6,FALSE)</f>
        <v>-11266</v>
      </c>
      <c r="AK40" s="2">
        <f>VLOOKUP($A40,'[2]App C Share Inflows'!$A$4:$I$917,7,FALSE)</f>
        <v>-11266</v>
      </c>
      <c r="AL40" s="2">
        <f>VLOOKUP($A40,'[2]App C Share Inflows'!$A$4:$I$917,8,FALSE)</f>
        <v>-11264</v>
      </c>
      <c r="AM40" s="2">
        <f>VLOOKUP($A40,'[2]App C Share Inflows'!$A$4:$I$917,6,FALSE)</f>
        <v>-11266</v>
      </c>
    </row>
    <row r="41" spans="1:39">
      <c r="A41" s="351">
        <v>90099</v>
      </c>
      <c r="B41" s="344" t="s">
        <v>3640</v>
      </c>
      <c r="C41" s="235" t="e">
        <f>VLOOKUP(A41,#REF!,10,FALSE)</f>
        <v>#REF!</v>
      </c>
      <c r="E41" s="2">
        <f>VLOOKUP($A41,'[2]App C Total'!$A$4:$I$917,5,FALSE)</f>
        <v>325920</v>
      </c>
      <c r="F41" s="2">
        <f>VLOOKUP($A41,'[2]App C Total'!$A$4:$I$917,6,FALSE)</f>
        <v>110315</v>
      </c>
      <c r="G41" s="2">
        <f>VLOOKUP($A41,'[2]App C Total'!$A$4:$I$917,7,FALSE)</f>
        <v>165204</v>
      </c>
      <c r="H41" s="2">
        <f>VLOOKUP($A41,'[2]App C Total'!$A$4:$I$917,8,FALSE)</f>
        <v>38797</v>
      </c>
      <c r="I41" s="2">
        <f>VLOOKUP($A41,'[2]App C Total'!$A$4:$I$917,9,FALSE)</f>
        <v>0</v>
      </c>
      <c r="J41" s="2"/>
      <c r="K41" s="2">
        <f>VLOOKUP($A41,'[2]App C Exp'!$A$4:$I$917,5,FALSE)</f>
        <v>100955</v>
      </c>
      <c r="L41" s="2">
        <f>VLOOKUP($A41,'[2]App C Exp'!$A$4:$I$917,6,FALSE)</f>
        <v>94966</v>
      </c>
      <c r="M41" s="2">
        <f>VLOOKUP($A41,'[2]App C Exp'!$A$4:$I$917,7,FALSE)</f>
        <v>85117</v>
      </c>
      <c r="N41" s="2">
        <f>VLOOKUP($A41,'[2]App C Exp'!$A$4:$I$917,8,FALSE)</f>
        <v>34080</v>
      </c>
      <c r="O41" s="2">
        <f>VLOOKUP($A41,'[2]App C Exp'!$A$4:$I$917,9,FALSE)</f>
        <v>0</v>
      </c>
      <c r="P41" s="2"/>
      <c r="Q41" s="2">
        <f>VLOOKUP($A41,'[2]App C Inv'!$A$4:$I$917,5,FALSE)</f>
        <v>107178</v>
      </c>
      <c r="R41" s="2">
        <f>VLOOKUP($A41,'[2]App C Inv'!$A$4:$I$917,6,FALSE)</f>
        <v>-92193</v>
      </c>
      <c r="S41" s="2">
        <f>VLOOKUP($A41,'[2]App C Inv'!$A$4:$I$917,7,FALSE)</f>
        <v>12993</v>
      </c>
      <c r="T41" s="2">
        <f>VLOOKUP($A41,'[2]App C Inv'!$A$4:$I$917,8,FALSE)</f>
        <v>16911</v>
      </c>
      <c r="U41" s="2">
        <f>VLOOKUP($A41,'[2]App C Inv'!$A$4:$I$917,9,FALSE)</f>
        <v>0</v>
      </c>
      <c r="V41" s="2"/>
      <c r="W41" s="2">
        <f>VLOOKUP($A41,'[2]App C Assum'!$A$4:$I$917,5,FALSE)</f>
        <v>120737</v>
      </c>
      <c r="X41" s="2">
        <f>VLOOKUP($A41,'[2]App C Assum'!$A$4:$I$917,6,FALSE)</f>
        <v>98912</v>
      </c>
      <c r="Y41" s="2">
        <f>VLOOKUP($A41,'[2]App C Assum'!$A$4:$I$917,7,FALSE)</f>
        <v>80300</v>
      </c>
      <c r="Z41" s="2">
        <f>VLOOKUP($A41,'[2]App C Assum'!$A$4:$I$917,8,FALSE)</f>
        <v>0</v>
      </c>
      <c r="AA41" s="2">
        <f>VLOOKUP($A41,'[2]App C Assum'!$A$4:$I$917,9,FALSE)</f>
        <v>0</v>
      </c>
      <c r="AB41" s="2"/>
      <c r="AC41" s="2">
        <f>VLOOKUP($A41,'[2]App C Share Outflows'!$A$4:$I$917,5,FALSE)</f>
        <v>21834</v>
      </c>
      <c r="AD41" s="2">
        <f>VLOOKUP($A41,'[2]App C Share Outflows'!$A$4:$I$917,6,FALSE)</f>
        <v>21836</v>
      </c>
      <c r="AE41" s="2">
        <f>VLOOKUP($A41,'[2]App C Share Outflows'!$A$4:$I$917,7,FALSE)</f>
        <v>0</v>
      </c>
      <c r="AF41" s="2">
        <f>VLOOKUP($A41,'[2]App C Share Outflows'!$A$4:$I$917,8,FALSE)</f>
        <v>0</v>
      </c>
      <c r="AG41" s="2">
        <f>VLOOKUP($A41,'[2]App C Share Outflows'!$A$4:$I$917,9,FALSE)</f>
        <v>0</v>
      </c>
      <c r="AH41" s="2"/>
      <c r="AI41" s="2">
        <f>VLOOKUP($A41,'[2]App C Share Inflows'!$A$4:$I$917,5,FALSE)</f>
        <v>-24784</v>
      </c>
      <c r="AJ41" s="2">
        <f>VLOOKUP($A41,'[2]App C Share Inflows'!$A$4:$I$917,6,FALSE)</f>
        <v>-13206</v>
      </c>
      <c r="AK41" s="2">
        <f>VLOOKUP($A41,'[2]App C Share Inflows'!$A$4:$I$917,7,FALSE)</f>
        <v>-13206</v>
      </c>
      <c r="AL41" s="2">
        <f>VLOOKUP($A41,'[2]App C Share Inflows'!$A$4:$I$917,8,FALSE)</f>
        <v>-12194</v>
      </c>
      <c r="AM41" s="2">
        <f>VLOOKUP($A41,'[2]App C Share Inflows'!$A$4:$I$917,6,FALSE)</f>
        <v>-13206</v>
      </c>
    </row>
    <row r="42" spans="1:39">
      <c r="A42" s="351">
        <v>90101</v>
      </c>
      <c r="B42" s="344" t="s">
        <v>738</v>
      </c>
      <c r="C42" s="235" t="e">
        <f>VLOOKUP(A42,#REF!,10,FALSE)</f>
        <v>#REF!</v>
      </c>
      <c r="E42" s="2">
        <f>VLOOKUP($A42,'[2]App C Total'!$A$4:$I$917,5,FALSE)</f>
        <v>2991740</v>
      </c>
      <c r="F42" s="2">
        <f>VLOOKUP($A42,'[2]App C Total'!$A$4:$I$917,6,FALSE)</f>
        <v>869111</v>
      </c>
      <c r="G42" s="2">
        <f>VLOOKUP($A42,'[2]App C Total'!$A$4:$I$917,7,FALSE)</f>
        <v>1556321</v>
      </c>
      <c r="H42" s="2">
        <f>VLOOKUP($A42,'[2]App C Total'!$A$4:$I$917,8,FALSE)</f>
        <v>413511</v>
      </c>
      <c r="I42" s="2">
        <f>VLOOKUP($A42,'[2]App C Total'!$A$4:$I$917,9,FALSE)</f>
        <v>0</v>
      </c>
      <c r="J42" s="2"/>
      <c r="K42" s="2">
        <f>VLOOKUP($A42,'[2]App C Exp'!$A$4:$I$917,5,FALSE)</f>
        <v>933328</v>
      </c>
      <c r="L42" s="2">
        <f>VLOOKUP($A42,'[2]App C Exp'!$A$4:$I$917,6,FALSE)</f>
        <v>877960</v>
      </c>
      <c r="M42" s="2">
        <f>VLOOKUP($A42,'[2]App C Exp'!$A$4:$I$917,7,FALSE)</f>
        <v>786905</v>
      </c>
      <c r="N42" s="2">
        <f>VLOOKUP($A42,'[2]App C Exp'!$A$4:$I$917,8,FALSE)</f>
        <v>315067</v>
      </c>
      <c r="O42" s="2">
        <f>VLOOKUP($A42,'[2]App C Exp'!$A$4:$I$917,9,FALSE)</f>
        <v>0</v>
      </c>
      <c r="P42" s="2"/>
      <c r="Q42" s="2">
        <f>VLOOKUP($A42,'[2]App C Inv'!$A$4:$I$917,5,FALSE)</f>
        <v>990857</v>
      </c>
      <c r="R42" s="2">
        <f>VLOOKUP($A42,'[2]App C Inv'!$A$4:$I$917,6,FALSE)</f>
        <v>-852323</v>
      </c>
      <c r="S42" s="2">
        <f>VLOOKUP($A42,'[2]App C Inv'!$A$4:$I$917,7,FALSE)</f>
        <v>120124</v>
      </c>
      <c r="T42" s="2">
        <f>VLOOKUP($A42,'[2]App C Inv'!$A$4:$I$917,8,FALSE)</f>
        <v>156341</v>
      </c>
      <c r="U42" s="2">
        <f>VLOOKUP($A42,'[2]App C Inv'!$A$4:$I$917,9,FALSE)</f>
        <v>0</v>
      </c>
      <c r="V42" s="2"/>
      <c r="W42" s="2">
        <f>VLOOKUP($A42,'[2]App C Assum'!$A$4:$I$917,5,FALSE)</f>
        <v>1116215</v>
      </c>
      <c r="X42" s="2">
        <f>VLOOKUP($A42,'[2]App C Assum'!$A$4:$I$917,6,FALSE)</f>
        <v>914444</v>
      </c>
      <c r="Y42" s="2">
        <f>VLOOKUP($A42,'[2]App C Assum'!$A$4:$I$917,7,FALSE)</f>
        <v>742372</v>
      </c>
      <c r="Z42" s="2">
        <f>VLOOKUP($A42,'[2]App C Assum'!$A$4:$I$917,8,FALSE)</f>
        <v>0</v>
      </c>
      <c r="AA42" s="2">
        <f>VLOOKUP($A42,'[2]App C Assum'!$A$4:$I$917,9,FALSE)</f>
        <v>0</v>
      </c>
      <c r="AB42" s="2"/>
      <c r="AC42" s="2">
        <f>VLOOKUP($A42,'[2]App C Share Outflows'!$A$4:$I$917,5,FALSE)</f>
        <v>44419</v>
      </c>
      <c r="AD42" s="2">
        <f>VLOOKUP($A42,'[2]App C Share Outflows'!$A$4:$I$917,6,FALSE)</f>
        <v>22109</v>
      </c>
      <c r="AE42" s="2">
        <f>VLOOKUP($A42,'[2]App C Share Outflows'!$A$4:$I$917,7,FALSE)</f>
        <v>0</v>
      </c>
      <c r="AF42" s="2">
        <f>VLOOKUP($A42,'[2]App C Share Outflows'!$A$4:$I$917,8,FALSE)</f>
        <v>0</v>
      </c>
      <c r="AG42" s="2">
        <f>VLOOKUP($A42,'[2]App C Share Outflows'!$A$4:$I$917,9,FALSE)</f>
        <v>0</v>
      </c>
      <c r="AH42" s="2"/>
      <c r="AI42" s="2">
        <f>VLOOKUP($A42,'[2]App C Share Inflows'!$A$4:$I$917,5,FALSE)</f>
        <v>-93079</v>
      </c>
      <c r="AJ42" s="2">
        <f>VLOOKUP($A42,'[2]App C Share Inflows'!$A$4:$I$917,6,FALSE)</f>
        <v>-93079</v>
      </c>
      <c r="AK42" s="2">
        <f>VLOOKUP($A42,'[2]App C Share Inflows'!$A$4:$I$917,7,FALSE)</f>
        <v>-93080</v>
      </c>
      <c r="AL42" s="2">
        <f>VLOOKUP($A42,'[2]App C Share Inflows'!$A$4:$I$917,8,FALSE)</f>
        <v>-57897</v>
      </c>
      <c r="AM42" s="2">
        <f>VLOOKUP($A42,'[2]App C Share Inflows'!$A$4:$I$917,6,FALSE)</f>
        <v>-93079</v>
      </c>
    </row>
    <row r="43" spans="1:39">
      <c r="A43" s="351">
        <v>90111</v>
      </c>
      <c r="B43" s="344" t="s">
        <v>739</v>
      </c>
      <c r="C43" s="235" t="e">
        <f>VLOOKUP(A43,#REF!,10,FALSE)</f>
        <v>#REF!</v>
      </c>
      <c r="E43" s="2">
        <f>VLOOKUP($A43,'[2]App C Total'!$A$4:$I$917,5,FALSE)</f>
        <v>2365885</v>
      </c>
      <c r="F43" s="2">
        <f>VLOOKUP($A43,'[2]App C Total'!$A$4:$I$917,6,FALSE)</f>
        <v>714948</v>
      </c>
      <c r="G43" s="2">
        <f>VLOOKUP($A43,'[2]App C Total'!$A$4:$I$917,7,FALSE)</f>
        <v>1275062</v>
      </c>
      <c r="H43" s="2">
        <f>VLOOKUP($A43,'[2]App C Total'!$A$4:$I$917,8,FALSE)</f>
        <v>336849</v>
      </c>
      <c r="I43" s="2">
        <f>VLOOKUP($A43,'[2]App C Total'!$A$4:$I$917,9,FALSE)</f>
        <v>0</v>
      </c>
      <c r="J43" s="2"/>
      <c r="K43" s="2">
        <f>VLOOKUP($A43,'[2]App C Exp'!$A$4:$I$917,5,FALSE)</f>
        <v>741964</v>
      </c>
      <c r="L43" s="2">
        <f>VLOOKUP($A43,'[2]App C Exp'!$A$4:$I$917,6,FALSE)</f>
        <v>697949</v>
      </c>
      <c r="M43" s="2">
        <f>VLOOKUP($A43,'[2]App C Exp'!$A$4:$I$917,7,FALSE)</f>
        <v>625563</v>
      </c>
      <c r="N43" s="2">
        <f>VLOOKUP($A43,'[2]App C Exp'!$A$4:$I$917,8,FALSE)</f>
        <v>250468</v>
      </c>
      <c r="O43" s="2">
        <f>VLOOKUP($A43,'[2]App C Exp'!$A$4:$I$917,9,FALSE)</f>
        <v>0</v>
      </c>
      <c r="P43" s="2"/>
      <c r="Q43" s="2">
        <f>VLOOKUP($A43,'[2]App C Inv'!$A$4:$I$917,5,FALSE)</f>
        <v>787698</v>
      </c>
      <c r="R43" s="2">
        <f>VLOOKUP($A43,'[2]App C Inv'!$A$4:$I$917,6,FALSE)</f>
        <v>-677568</v>
      </c>
      <c r="S43" s="2">
        <f>VLOOKUP($A43,'[2]App C Inv'!$A$4:$I$917,7,FALSE)</f>
        <v>95495</v>
      </c>
      <c r="T43" s="2">
        <f>VLOOKUP($A43,'[2]App C Inv'!$A$4:$I$917,8,FALSE)</f>
        <v>124286</v>
      </c>
      <c r="U43" s="2">
        <f>VLOOKUP($A43,'[2]App C Inv'!$A$4:$I$917,9,FALSE)</f>
        <v>0</v>
      </c>
      <c r="V43" s="2"/>
      <c r="W43" s="2">
        <f>VLOOKUP($A43,'[2]App C Assum'!$A$4:$I$917,5,FALSE)</f>
        <v>887354</v>
      </c>
      <c r="X43" s="2">
        <f>VLOOKUP($A43,'[2]App C Assum'!$A$4:$I$917,6,FALSE)</f>
        <v>726952</v>
      </c>
      <c r="Y43" s="2">
        <f>VLOOKUP($A43,'[2]App C Assum'!$A$4:$I$917,7,FALSE)</f>
        <v>590161</v>
      </c>
      <c r="Z43" s="2">
        <f>VLOOKUP($A43,'[2]App C Assum'!$A$4:$I$917,8,FALSE)</f>
        <v>0</v>
      </c>
      <c r="AA43" s="2">
        <f>VLOOKUP($A43,'[2]App C Assum'!$A$4:$I$917,9,FALSE)</f>
        <v>0</v>
      </c>
      <c r="AB43" s="2"/>
      <c r="AC43" s="2">
        <f>VLOOKUP($A43,'[2]App C Share Outflows'!$A$4:$I$917,5,FALSE)</f>
        <v>5520</v>
      </c>
      <c r="AD43" s="2">
        <f>VLOOKUP($A43,'[2]App C Share Outflows'!$A$4:$I$917,6,FALSE)</f>
        <v>5522</v>
      </c>
      <c r="AE43" s="2">
        <f>VLOOKUP($A43,'[2]App C Share Outflows'!$A$4:$I$917,7,FALSE)</f>
        <v>1750</v>
      </c>
      <c r="AF43" s="2">
        <f>VLOOKUP($A43,'[2]App C Share Outflows'!$A$4:$I$917,8,FALSE)</f>
        <v>0</v>
      </c>
      <c r="AG43" s="2">
        <f>VLOOKUP($A43,'[2]App C Share Outflows'!$A$4:$I$917,9,FALSE)</f>
        <v>0</v>
      </c>
      <c r="AH43" s="2"/>
      <c r="AI43" s="2">
        <f>VLOOKUP($A43,'[2]App C Share Inflows'!$A$4:$I$917,5,FALSE)</f>
        <v>-56651</v>
      </c>
      <c r="AJ43" s="2">
        <f>VLOOKUP($A43,'[2]App C Share Inflows'!$A$4:$I$917,6,FALSE)</f>
        <v>-37907</v>
      </c>
      <c r="AK43" s="2">
        <f>VLOOKUP($A43,'[2]App C Share Inflows'!$A$4:$I$917,7,FALSE)</f>
        <v>-37907</v>
      </c>
      <c r="AL43" s="2">
        <f>VLOOKUP($A43,'[2]App C Share Inflows'!$A$4:$I$917,8,FALSE)</f>
        <v>-37905</v>
      </c>
      <c r="AM43" s="2">
        <f>VLOOKUP($A43,'[2]App C Share Inflows'!$A$4:$I$917,6,FALSE)</f>
        <v>-37907</v>
      </c>
    </row>
    <row r="44" spans="1:39">
      <c r="A44" s="351">
        <v>90114</v>
      </c>
      <c r="B44" s="344" t="s">
        <v>740</v>
      </c>
      <c r="C44" s="235" t="e">
        <f>VLOOKUP(A44,#REF!,10,FALSE)</f>
        <v>#REF!</v>
      </c>
      <c r="E44" s="2">
        <f>VLOOKUP($A44,'[2]App C Total'!$A$4:$I$917,5,FALSE)</f>
        <v>1071093</v>
      </c>
      <c r="F44" s="2">
        <f>VLOOKUP($A44,'[2]App C Total'!$A$4:$I$917,6,FALSE)</f>
        <v>582896</v>
      </c>
      <c r="G44" s="2">
        <f>VLOOKUP($A44,'[2]App C Total'!$A$4:$I$917,7,FALSE)</f>
        <v>584858</v>
      </c>
      <c r="H44" s="2">
        <f>VLOOKUP($A44,'[2]App C Total'!$A$4:$I$917,8,FALSE)</f>
        <v>241858</v>
      </c>
      <c r="I44" s="2">
        <f>VLOOKUP($A44,'[2]App C Total'!$A$4:$I$917,9,FALSE)</f>
        <v>0</v>
      </c>
      <c r="J44" s="2"/>
      <c r="K44" s="2">
        <f>VLOOKUP($A44,'[2]App C Exp'!$A$4:$I$917,5,FALSE)</f>
        <v>167619</v>
      </c>
      <c r="L44" s="2">
        <f>VLOOKUP($A44,'[2]App C Exp'!$A$4:$I$917,6,FALSE)</f>
        <v>157675</v>
      </c>
      <c r="M44" s="2">
        <f>VLOOKUP($A44,'[2]App C Exp'!$A$4:$I$917,7,FALSE)</f>
        <v>141323</v>
      </c>
      <c r="N44" s="2">
        <f>VLOOKUP($A44,'[2]App C Exp'!$A$4:$I$917,8,FALSE)</f>
        <v>56584</v>
      </c>
      <c r="O44" s="2">
        <f>VLOOKUP($A44,'[2]App C Exp'!$A$4:$I$917,9,FALSE)</f>
        <v>0</v>
      </c>
      <c r="P44" s="2"/>
      <c r="Q44" s="2">
        <f>VLOOKUP($A44,'[2]App C Inv'!$A$4:$I$917,5,FALSE)</f>
        <v>177951</v>
      </c>
      <c r="R44" s="2">
        <f>VLOOKUP($A44,'[2]App C Inv'!$A$4:$I$917,6,FALSE)</f>
        <v>-153071</v>
      </c>
      <c r="S44" s="2">
        <f>VLOOKUP($A44,'[2]App C Inv'!$A$4:$I$917,7,FALSE)</f>
        <v>21574</v>
      </c>
      <c r="T44" s="2">
        <f>VLOOKUP($A44,'[2]App C Inv'!$A$4:$I$917,8,FALSE)</f>
        <v>28078</v>
      </c>
      <c r="U44" s="2">
        <f>VLOOKUP($A44,'[2]App C Inv'!$A$4:$I$917,9,FALSE)</f>
        <v>0</v>
      </c>
      <c r="V44" s="2"/>
      <c r="W44" s="2">
        <f>VLOOKUP($A44,'[2]App C Assum'!$A$4:$I$917,5,FALSE)</f>
        <v>200464</v>
      </c>
      <c r="X44" s="2">
        <f>VLOOKUP($A44,'[2]App C Assum'!$A$4:$I$917,6,FALSE)</f>
        <v>164228</v>
      </c>
      <c r="Y44" s="2">
        <f>VLOOKUP($A44,'[2]App C Assum'!$A$4:$I$917,7,FALSE)</f>
        <v>133325</v>
      </c>
      <c r="Z44" s="2">
        <f>VLOOKUP($A44,'[2]App C Assum'!$A$4:$I$917,8,FALSE)</f>
        <v>0</v>
      </c>
      <c r="AA44" s="2">
        <f>VLOOKUP($A44,'[2]App C Assum'!$A$4:$I$917,9,FALSE)</f>
        <v>0</v>
      </c>
      <c r="AB44" s="2"/>
      <c r="AC44" s="2">
        <f>VLOOKUP($A44,'[2]App C Share Outflows'!$A$4:$I$917,5,FALSE)</f>
        <v>525059</v>
      </c>
      <c r="AD44" s="2">
        <f>VLOOKUP($A44,'[2]App C Share Outflows'!$A$4:$I$917,6,FALSE)</f>
        <v>414064</v>
      </c>
      <c r="AE44" s="2">
        <f>VLOOKUP($A44,'[2]App C Share Outflows'!$A$4:$I$917,7,FALSE)</f>
        <v>288636</v>
      </c>
      <c r="AF44" s="2">
        <f>VLOOKUP($A44,'[2]App C Share Outflows'!$A$4:$I$917,8,FALSE)</f>
        <v>157196</v>
      </c>
      <c r="AG44" s="2">
        <f>VLOOKUP($A44,'[2]App C Share Outflows'!$A$4:$I$917,9,FALSE)</f>
        <v>0</v>
      </c>
      <c r="AH44" s="2"/>
      <c r="AI44" s="2">
        <f>VLOOKUP($A44,'[2]App C Share Inflows'!$A$4:$I$917,5,FALSE)</f>
        <v>0</v>
      </c>
      <c r="AJ44" s="2">
        <f>VLOOKUP($A44,'[2]App C Share Inflows'!$A$4:$I$917,6,FALSE)</f>
        <v>0</v>
      </c>
      <c r="AK44" s="2">
        <f>VLOOKUP($A44,'[2]App C Share Inflows'!$A$4:$I$917,7,FALSE)</f>
        <v>0</v>
      </c>
      <c r="AL44" s="2">
        <f>VLOOKUP($A44,'[2]App C Share Inflows'!$A$4:$I$917,8,FALSE)</f>
        <v>0</v>
      </c>
      <c r="AM44" s="2">
        <f>VLOOKUP($A44,'[2]App C Share Inflows'!$A$4:$I$917,6,FALSE)</f>
        <v>0</v>
      </c>
    </row>
    <row r="45" spans="1:39">
      <c r="A45" s="351">
        <v>90117</v>
      </c>
      <c r="B45" s="344" t="s">
        <v>741</v>
      </c>
      <c r="C45" s="235" t="e">
        <f>VLOOKUP(A45,#REF!,10,FALSE)</f>
        <v>#REF!</v>
      </c>
      <c r="E45" s="2">
        <f>VLOOKUP($A45,'[2]App C Total'!$A$4:$I$917,5,FALSE)</f>
        <v>80637</v>
      </c>
      <c r="F45" s="2">
        <f>VLOOKUP($A45,'[2]App C Total'!$A$4:$I$917,6,FALSE)</f>
        <v>31346</v>
      </c>
      <c r="G45" s="2">
        <f>VLOOKUP($A45,'[2]App C Total'!$A$4:$I$917,7,FALSE)</f>
        <v>42331</v>
      </c>
      <c r="H45" s="2">
        <f>VLOOKUP($A45,'[2]App C Total'!$A$4:$I$917,8,FALSE)</f>
        <v>13828</v>
      </c>
      <c r="I45" s="2">
        <f>VLOOKUP($A45,'[2]App C Total'!$A$4:$I$917,9,FALSE)</f>
        <v>0</v>
      </c>
      <c r="J45" s="2"/>
      <c r="K45" s="2">
        <f>VLOOKUP($A45,'[2]App C Exp'!$A$4:$I$917,5,FALSE)</f>
        <v>19804</v>
      </c>
      <c r="L45" s="2">
        <f>VLOOKUP($A45,'[2]App C Exp'!$A$4:$I$917,6,FALSE)</f>
        <v>18630</v>
      </c>
      <c r="M45" s="2">
        <f>VLOOKUP($A45,'[2]App C Exp'!$A$4:$I$917,7,FALSE)</f>
        <v>16698</v>
      </c>
      <c r="N45" s="2">
        <f>VLOOKUP($A45,'[2]App C Exp'!$A$4:$I$917,8,FALSE)</f>
        <v>6685</v>
      </c>
      <c r="O45" s="2">
        <f>VLOOKUP($A45,'[2]App C Exp'!$A$4:$I$917,9,FALSE)</f>
        <v>0</v>
      </c>
      <c r="P45" s="2"/>
      <c r="Q45" s="2">
        <f>VLOOKUP($A45,'[2]App C Inv'!$A$4:$I$917,5,FALSE)</f>
        <v>21025</v>
      </c>
      <c r="R45" s="2">
        <f>VLOOKUP($A45,'[2]App C Inv'!$A$4:$I$917,6,FALSE)</f>
        <v>-18086</v>
      </c>
      <c r="S45" s="2">
        <f>VLOOKUP($A45,'[2]App C Inv'!$A$4:$I$917,7,FALSE)</f>
        <v>2549</v>
      </c>
      <c r="T45" s="2">
        <f>VLOOKUP($A45,'[2]App C Inv'!$A$4:$I$917,8,FALSE)</f>
        <v>3317</v>
      </c>
      <c r="U45" s="2">
        <f>VLOOKUP($A45,'[2]App C Inv'!$A$4:$I$917,9,FALSE)</f>
        <v>0</v>
      </c>
      <c r="V45" s="2"/>
      <c r="W45" s="2">
        <f>VLOOKUP($A45,'[2]App C Assum'!$A$4:$I$917,5,FALSE)</f>
        <v>23685</v>
      </c>
      <c r="X45" s="2">
        <f>VLOOKUP($A45,'[2]App C Assum'!$A$4:$I$917,6,FALSE)</f>
        <v>19404</v>
      </c>
      <c r="Y45" s="2">
        <f>VLOOKUP($A45,'[2]App C Assum'!$A$4:$I$917,7,FALSE)</f>
        <v>15753</v>
      </c>
      <c r="Z45" s="2">
        <f>VLOOKUP($A45,'[2]App C Assum'!$A$4:$I$917,8,FALSE)</f>
        <v>0</v>
      </c>
      <c r="AA45" s="2">
        <f>VLOOKUP($A45,'[2]App C Assum'!$A$4:$I$917,9,FALSE)</f>
        <v>0</v>
      </c>
      <c r="AB45" s="2"/>
      <c r="AC45" s="2">
        <f>VLOOKUP($A45,'[2]App C Share Outflows'!$A$4:$I$917,5,FALSE)</f>
        <v>16123</v>
      </c>
      <c r="AD45" s="2">
        <f>VLOOKUP($A45,'[2]App C Share Outflows'!$A$4:$I$917,6,FALSE)</f>
        <v>11398</v>
      </c>
      <c r="AE45" s="2">
        <f>VLOOKUP($A45,'[2]App C Share Outflows'!$A$4:$I$917,7,FALSE)</f>
        <v>7331</v>
      </c>
      <c r="AF45" s="2">
        <f>VLOOKUP($A45,'[2]App C Share Outflows'!$A$4:$I$917,8,FALSE)</f>
        <v>3826</v>
      </c>
      <c r="AG45" s="2">
        <f>VLOOKUP($A45,'[2]App C Share Outflows'!$A$4:$I$917,9,FALSE)</f>
        <v>0</v>
      </c>
      <c r="AH45" s="2"/>
      <c r="AI45" s="2">
        <f>VLOOKUP($A45,'[2]App C Share Inflows'!$A$4:$I$917,5,FALSE)</f>
        <v>0</v>
      </c>
      <c r="AJ45" s="2">
        <f>VLOOKUP($A45,'[2]App C Share Inflows'!$A$4:$I$917,6,FALSE)</f>
        <v>0</v>
      </c>
      <c r="AK45" s="2">
        <f>VLOOKUP($A45,'[2]App C Share Inflows'!$A$4:$I$917,7,FALSE)</f>
        <v>0</v>
      </c>
      <c r="AL45" s="2">
        <f>VLOOKUP($A45,'[2]App C Share Inflows'!$A$4:$I$917,8,FALSE)</f>
        <v>0</v>
      </c>
      <c r="AM45" s="2">
        <f>VLOOKUP($A45,'[2]App C Share Inflows'!$A$4:$I$917,6,FALSE)</f>
        <v>0</v>
      </c>
    </row>
    <row r="46" spans="1:39">
      <c r="A46" s="351">
        <v>90121</v>
      </c>
      <c r="B46" s="344" t="s">
        <v>742</v>
      </c>
      <c r="C46" s="235" t="e">
        <f>VLOOKUP(A46,#REF!,10,FALSE)</f>
        <v>#REF!</v>
      </c>
      <c r="E46" s="2">
        <f>VLOOKUP($A46,'[2]App C Total'!$A$4:$I$917,5,FALSE)</f>
        <v>502832</v>
      </c>
      <c r="F46" s="2">
        <f>VLOOKUP($A46,'[2]App C Total'!$A$4:$I$917,6,FALSE)</f>
        <v>141376</v>
      </c>
      <c r="G46" s="2">
        <f>VLOOKUP($A46,'[2]App C Total'!$A$4:$I$917,7,FALSE)</f>
        <v>274602</v>
      </c>
      <c r="H46" s="2">
        <f>VLOOKUP($A46,'[2]App C Total'!$A$4:$I$917,8,FALSE)</f>
        <v>83389</v>
      </c>
      <c r="I46" s="2">
        <f>VLOOKUP($A46,'[2]App C Total'!$A$4:$I$917,9,FALSE)</f>
        <v>0</v>
      </c>
      <c r="J46" s="2"/>
      <c r="K46" s="2">
        <f>VLOOKUP($A46,'[2]App C Exp'!$A$4:$I$917,5,FALSE)</f>
        <v>165956</v>
      </c>
      <c r="L46" s="2">
        <f>VLOOKUP($A46,'[2]App C Exp'!$A$4:$I$917,6,FALSE)</f>
        <v>156111</v>
      </c>
      <c r="M46" s="2">
        <f>VLOOKUP($A46,'[2]App C Exp'!$A$4:$I$917,7,FALSE)</f>
        <v>139921</v>
      </c>
      <c r="N46" s="2">
        <f>VLOOKUP($A46,'[2]App C Exp'!$A$4:$I$917,8,FALSE)</f>
        <v>56023</v>
      </c>
      <c r="O46" s="2">
        <f>VLOOKUP($A46,'[2]App C Exp'!$A$4:$I$917,9,FALSE)</f>
        <v>0</v>
      </c>
      <c r="P46" s="2"/>
      <c r="Q46" s="2">
        <f>VLOOKUP($A46,'[2]App C Inv'!$A$4:$I$917,5,FALSE)</f>
        <v>176186</v>
      </c>
      <c r="R46" s="2">
        <f>VLOOKUP($A46,'[2]App C Inv'!$A$4:$I$917,6,FALSE)</f>
        <v>-151553</v>
      </c>
      <c r="S46" s="2">
        <f>VLOOKUP($A46,'[2]App C Inv'!$A$4:$I$917,7,FALSE)</f>
        <v>21359</v>
      </c>
      <c r="T46" s="2">
        <f>VLOOKUP($A46,'[2]App C Inv'!$A$4:$I$917,8,FALSE)</f>
        <v>27799</v>
      </c>
      <c r="U46" s="2">
        <f>VLOOKUP($A46,'[2]App C Inv'!$A$4:$I$917,9,FALSE)</f>
        <v>0</v>
      </c>
      <c r="V46" s="2"/>
      <c r="W46" s="2">
        <f>VLOOKUP($A46,'[2]App C Assum'!$A$4:$I$917,5,FALSE)</f>
        <v>198476</v>
      </c>
      <c r="X46" s="2">
        <f>VLOOKUP($A46,'[2]App C Assum'!$A$4:$I$917,6,FALSE)</f>
        <v>162598</v>
      </c>
      <c r="Y46" s="2">
        <f>VLOOKUP($A46,'[2]App C Assum'!$A$4:$I$917,7,FALSE)</f>
        <v>132002</v>
      </c>
      <c r="Z46" s="2">
        <f>VLOOKUP($A46,'[2]App C Assum'!$A$4:$I$917,8,FALSE)</f>
        <v>0</v>
      </c>
      <c r="AA46" s="2">
        <f>VLOOKUP($A46,'[2]App C Assum'!$A$4:$I$917,9,FALSE)</f>
        <v>0</v>
      </c>
      <c r="AB46" s="2"/>
      <c r="AC46" s="2">
        <f>VLOOKUP($A46,'[2]App C Share Outflows'!$A$4:$I$917,5,FALSE)</f>
        <v>0</v>
      </c>
      <c r="AD46" s="2">
        <f>VLOOKUP($A46,'[2]App C Share Outflows'!$A$4:$I$917,6,FALSE)</f>
        <v>0</v>
      </c>
      <c r="AE46" s="2">
        <f>VLOOKUP($A46,'[2]App C Share Outflows'!$A$4:$I$917,7,FALSE)</f>
        <v>0</v>
      </c>
      <c r="AF46" s="2">
        <f>VLOOKUP($A46,'[2]App C Share Outflows'!$A$4:$I$917,8,FALSE)</f>
        <v>0</v>
      </c>
      <c r="AG46" s="2">
        <f>VLOOKUP($A46,'[2]App C Share Outflows'!$A$4:$I$917,9,FALSE)</f>
        <v>0</v>
      </c>
      <c r="AH46" s="2"/>
      <c r="AI46" s="2">
        <f>VLOOKUP($A46,'[2]App C Share Inflows'!$A$4:$I$917,5,FALSE)</f>
        <v>-37786</v>
      </c>
      <c r="AJ46" s="2">
        <f>VLOOKUP($A46,'[2]App C Share Inflows'!$A$4:$I$917,6,FALSE)</f>
        <v>-25780</v>
      </c>
      <c r="AK46" s="2">
        <f>VLOOKUP($A46,'[2]App C Share Inflows'!$A$4:$I$917,7,FALSE)</f>
        <v>-18680</v>
      </c>
      <c r="AL46" s="2">
        <f>VLOOKUP($A46,'[2]App C Share Inflows'!$A$4:$I$917,8,FALSE)</f>
        <v>-433</v>
      </c>
      <c r="AM46" s="2">
        <f>VLOOKUP($A46,'[2]App C Share Inflows'!$A$4:$I$917,6,FALSE)</f>
        <v>-25780</v>
      </c>
    </row>
    <row r="47" spans="1:39">
      <c r="A47" s="351">
        <v>90131</v>
      </c>
      <c r="B47" s="344" t="s">
        <v>743</v>
      </c>
      <c r="C47" s="235" t="e">
        <f>VLOOKUP(A47,#REF!,10,FALSE)</f>
        <v>#REF!</v>
      </c>
      <c r="E47" s="2">
        <f>VLOOKUP($A47,'[2]App C Total'!$A$4:$I$917,5,FALSE)</f>
        <v>228437</v>
      </c>
      <c r="F47" s="2">
        <f>VLOOKUP($A47,'[2]App C Total'!$A$4:$I$917,6,FALSE)</f>
        <v>65223</v>
      </c>
      <c r="G47" s="2">
        <f>VLOOKUP($A47,'[2]App C Total'!$A$4:$I$917,7,FALSE)</f>
        <v>128053</v>
      </c>
      <c r="H47" s="2">
        <f>VLOOKUP($A47,'[2]App C Total'!$A$4:$I$917,8,FALSE)</f>
        <v>37860</v>
      </c>
      <c r="I47" s="2">
        <f>VLOOKUP($A47,'[2]App C Total'!$A$4:$I$917,9,FALSE)</f>
        <v>0</v>
      </c>
      <c r="J47" s="2"/>
      <c r="K47" s="2">
        <f>VLOOKUP($A47,'[2]App C Exp'!$A$4:$I$917,5,FALSE)</f>
        <v>73480</v>
      </c>
      <c r="L47" s="2">
        <f>VLOOKUP($A47,'[2]App C Exp'!$A$4:$I$917,6,FALSE)</f>
        <v>69121</v>
      </c>
      <c r="M47" s="2">
        <f>VLOOKUP($A47,'[2]App C Exp'!$A$4:$I$917,7,FALSE)</f>
        <v>61953</v>
      </c>
      <c r="N47" s="2">
        <f>VLOOKUP($A47,'[2]App C Exp'!$A$4:$I$917,8,FALSE)</f>
        <v>24805</v>
      </c>
      <c r="O47" s="2">
        <f>VLOOKUP($A47,'[2]App C Exp'!$A$4:$I$917,9,FALSE)</f>
        <v>0</v>
      </c>
      <c r="P47" s="2"/>
      <c r="Q47" s="2">
        <f>VLOOKUP($A47,'[2]App C Inv'!$A$4:$I$917,5,FALSE)</f>
        <v>78010</v>
      </c>
      <c r="R47" s="2">
        <f>VLOOKUP($A47,'[2]App C Inv'!$A$4:$I$917,6,FALSE)</f>
        <v>-67103</v>
      </c>
      <c r="S47" s="2">
        <f>VLOOKUP($A47,'[2]App C Inv'!$A$4:$I$917,7,FALSE)</f>
        <v>9457</v>
      </c>
      <c r="T47" s="2">
        <f>VLOOKUP($A47,'[2]App C Inv'!$A$4:$I$917,8,FALSE)</f>
        <v>12309</v>
      </c>
      <c r="U47" s="2">
        <f>VLOOKUP($A47,'[2]App C Inv'!$A$4:$I$917,9,FALSE)</f>
        <v>0</v>
      </c>
      <c r="V47" s="2"/>
      <c r="W47" s="2">
        <f>VLOOKUP($A47,'[2]App C Assum'!$A$4:$I$917,5,FALSE)</f>
        <v>87879</v>
      </c>
      <c r="X47" s="2">
        <f>VLOOKUP($A47,'[2]App C Assum'!$A$4:$I$917,6,FALSE)</f>
        <v>71994</v>
      </c>
      <c r="Y47" s="2">
        <f>VLOOKUP($A47,'[2]App C Assum'!$A$4:$I$917,7,FALSE)</f>
        <v>58447</v>
      </c>
      <c r="Z47" s="2">
        <f>VLOOKUP($A47,'[2]App C Assum'!$A$4:$I$917,8,FALSE)</f>
        <v>0</v>
      </c>
      <c r="AA47" s="2">
        <f>VLOOKUP($A47,'[2]App C Assum'!$A$4:$I$917,9,FALSE)</f>
        <v>0</v>
      </c>
      <c r="AB47" s="2"/>
      <c r="AC47" s="2">
        <f>VLOOKUP($A47,'[2]App C Share Outflows'!$A$4:$I$917,5,FALSE)</f>
        <v>748</v>
      </c>
      <c r="AD47" s="2">
        <f>VLOOKUP($A47,'[2]App C Share Outflows'!$A$4:$I$917,6,FALSE)</f>
        <v>748</v>
      </c>
      <c r="AE47" s="2">
        <f>VLOOKUP($A47,'[2]App C Share Outflows'!$A$4:$I$917,7,FALSE)</f>
        <v>748</v>
      </c>
      <c r="AF47" s="2">
        <f>VLOOKUP($A47,'[2]App C Share Outflows'!$A$4:$I$917,8,FALSE)</f>
        <v>746</v>
      </c>
      <c r="AG47" s="2">
        <f>VLOOKUP($A47,'[2]App C Share Outflows'!$A$4:$I$917,9,FALSE)</f>
        <v>0</v>
      </c>
      <c r="AH47" s="2"/>
      <c r="AI47" s="2">
        <f>VLOOKUP($A47,'[2]App C Share Inflows'!$A$4:$I$917,5,FALSE)</f>
        <v>-11680</v>
      </c>
      <c r="AJ47" s="2">
        <f>VLOOKUP($A47,'[2]App C Share Inflows'!$A$4:$I$917,6,FALSE)</f>
        <v>-9537</v>
      </c>
      <c r="AK47" s="2">
        <f>VLOOKUP($A47,'[2]App C Share Inflows'!$A$4:$I$917,7,FALSE)</f>
        <v>-2552</v>
      </c>
      <c r="AL47" s="2">
        <f>VLOOKUP($A47,'[2]App C Share Inflows'!$A$4:$I$917,8,FALSE)</f>
        <v>0</v>
      </c>
      <c r="AM47" s="2">
        <f>VLOOKUP($A47,'[2]App C Share Inflows'!$A$4:$I$917,6,FALSE)</f>
        <v>-9537</v>
      </c>
    </row>
    <row r="48" spans="1:39">
      <c r="A48" s="351">
        <v>90141</v>
      </c>
      <c r="B48" s="344" t="s">
        <v>744</v>
      </c>
      <c r="C48" s="235" t="e">
        <f>VLOOKUP(A48,#REF!,10,FALSE)</f>
        <v>#REF!</v>
      </c>
      <c r="E48" s="2">
        <f>VLOOKUP($A48,'[2]App C Total'!$A$4:$I$917,5,FALSE)</f>
        <v>70545</v>
      </c>
      <c r="F48" s="2">
        <f>VLOOKUP($A48,'[2]App C Total'!$A$4:$I$917,6,FALSE)</f>
        <v>23816</v>
      </c>
      <c r="G48" s="2">
        <f>VLOOKUP($A48,'[2]App C Total'!$A$4:$I$917,7,FALSE)</f>
        <v>38785</v>
      </c>
      <c r="H48" s="2">
        <f>VLOOKUP($A48,'[2]App C Total'!$A$4:$I$917,8,FALSE)</f>
        <v>11559</v>
      </c>
      <c r="I48" s="2">
        <f>VLOOKUP($A48,'[2]App C Total'!$A$4:$I$917,9,FALSE)</f>
        <v>0</v>
      </c>
      <c r="J48" s="2"/>
      <c r="K48" s="2">
        <f>VLOOKUP($A48,'[2]App C Exp'!$A$4:$I$917,5,FALSE)</f>
        <v>22126</v>
      </c>
      <c r="L48" s="2">
        <f>VLOOKUP($A48,'[2]App C Exp'!$A$4:$I$917,6,FALSE)</f>
        <v>20814</v>
      </c>
      <c r="M48" s="2">
        <f>VLOOKUP($A48,'[2]App C Exp'!$A$4:$I$917,7,FALSE)</f>
        <v>18655</v>
      </c>
      <c r="N48" s="2">
        <f>VLOOKUP($A48,'[2]App C Exp'!$A$4:$I$917,8,FALSE)</f>
        <v>7469</v>
      </c>
      <c r="O48" s="2">
        <f>VLOOKUP($A48,'[2]App C Exp'!$A$4:$I$917,9,FALSE)</f>
        <v>0</v>
      </c>
      <c r="P48" s="2"/>
      <c r="Q48" s="2">
        <f>VLOOKUP($A48,'[2]App C Inv'!$A$4:$I$917,5,FALSE)</f>
        <v>23490</v>
      </c>
      <c r="R48" s="2">
        <f>VLOOKUP($A48,'[2]App C Inv'!$A$4:$I$917,6,FALSE)</f>
        <v>-20206</v>
      </c>
      <c r="S48" s="2">
        <f>VLOOKUP($A48,'[2]App C Inv'!$A$4:$I$917,7,FALSE)</f>
        <v>2848</v>
      </c>
      <c r="T48" s="2">
        <f>VLOOKUP($A48,'[2]App C Inv'!$A$4:$I$917,8,FALSE)</f>
        <v>3706</v>
      </c>
      <c r="U48" s="2">
        <f>VLOOKUP($A48,'[2]App C Inv'!$A$4:$I$917,9,FALSE)</f>
        <v>0</v>
      </c>
      <c r="V48" s="2"/>
      <c r="W48" s="2">
        <f>VLOOKUP($A48,'[2]App C Assum'!$A$4:$I$917,5,FALSE)</f>
        <v>26462</v>
      </c>
      <c r="X48" s="2">
        <f>VLOOKUP($A48,'[2]App C Assum'!$A$4:$I$917,6,FALSE)</f>
        <v>21679</v>
      </c>
      <c r="Y48" s="2">
        <f>VLOOKUP($A48,'[2]App C Assum'!$A$4:$I$917,7,FALSE)</f>
        <v>17599</v>
      </c>
      <c r="Z48" s="2">
        <f>VLOOKUP($A48,'[2]App C Assum'!$A$4:$I$917,8,FALSE)</f>
        <v>0</v>
      </c>
      <c r="AA48" s="2">
        <f>VLOOKUP($A48,'[2]App C Assum'!$A$4:$I$917,9,FALSE)</f>
        <v>0</v>
      </c>
      <c r="AB48" s="2"/>
      <c r="AC48" s="2">
        <f>VLOOKUP($A48,'[2]App C Share Outflows'!$A$4:$I$917,5,FALSE)</f>
        <v>2228</v>
      </c>
      <c r="AD48" s="2">
        <f>VLOOKUP($A48,'[2]App C Share Outflows'!$A$4:$I$917,6,FALSE)</f>
        <v>2230</v>
      </c>
      <c r="AE48" s="2">
        <f>VLOOKUP($A48,'[2]App C Share Outflows'!$A$4:$I$917,7,FALSE)</f>
        <v>385</v>
      </c>
      <c r="AF48" s="2">
        <f>VLOOKUP($A48,'[2]App C Share Outflows'!$A$4:$I$917,8,FALSE)</f>
        <v>384</v>
      </c>
      <c r="AG48" s="2">
        <f>VLOOKUP($A48,'[2]App C Share Outflows'!$A$4:$I$917,9,FALSE)</f>
        <v>0</v>
      </c>
      <c r="AH48" s="2"/>
      <c r="AI48" s="2">
        <f>VLOOKUP($A48,'[2]App C Share Inflows'!$A$4:$I$917,5,FALSE)</f>
        <v>-3761</v>
      </c>
      <c r="AJ48" s="2">
        <f>VLOOKUP($A48,'[2]App C Share Inflows'!$A$4:$I$917,6,FALSE)</f>
        <v>-701</v>
      </c>
      <c r="AK48" s="2">
        <f>VLOOKUP($A48,'[2]App C Share Inflows'!$A$4:$I$917,7,FALSE)</f>
        <v>-702</v>
      </c>
      <c r="AL48" s="2">
        <f>VLOOKUP($A48,'[2]App C Share Inflows'!$A$4:$I$917,8,FALSE)</f>
        <v>0</v>
      </c>
      <c r="AM48" s="2">
        <f>VLOOKUP($A48,'[2]App C Share Inflows'!$A$4:$I$917,6,FALSE)</f>
        <v>-701</v>
      </c>
    </row>
    <row r="49" spans="1:39">
      <c r="A49" s="351">
        <v>90151</v>
      </c>
      <c r="B49" s="344" t="s">
        <v>745</v>
      </c>
      <c r="C49" s="235" t="e">
        <f>VLOOKUP(A49,#REF!,10,FALSE)</f>
        <v>#REF!</v>
      </c>
      <c r="E49" s="2">
        <f>VLOOKUP($A49,'[2]App C Total'!$A$4:$I$917,5,FALSE)</f>
        <v>3308</v>
      </c>
      <c r="F49" s="2">
        <f>VLOOKUP($A49,'[2]App C Total'!$A$4:$I$917,6,FALSE)</f>
        <v>400</v>
      </c>
      <c r="G49" s="2">
        <f>VLOOKUP($A49,'[2]App C Total'!$A$4:$I$917,7,FALSE)</f>
        <v>1768</v>
      </c>
      <c r="H49" s="2">
        <f>VLOOKUP($A49,'[2]App C Total'!$A$4:$I$917,8,FALSE)</f>
        <v>335</v>
      </c>
      <c r="I49" s="2">
        <f>VLOOKUP($A49,'[2]App C Total'!$A$4:$I$917,9,FALSE)</f>
        <v>0</v>
      </c>
      <c r="J49" s="2"/>
      <c r="K49" s="2">
        <f>VLOOKUP($A49,'[2]App C Exp'!$A$4:$I$917,5,FALSE)</f>
        <v>1393</v>
      </c>
      <c r="L49" s="2">
        <f>VLOOKUP($A49,'[2]App C Exp'!$A$4:$I$917,6,FALSE)</f>
        <v>1311</v>
      </c>
      <c r="M49" s="2">
        <f>VLOOKUP($A49,'[2]App C Exp'!$A$4:$I$917,7,FALSE)</f>
        <v>1175</v>
      </c>
      <c r="N49" s="2">
        <f>VLOOKUP($A49,'[2]App C Exp'!$A$4:$I$917,8,FALSE)</f>
        <v>470</v>
      </c>
      <c r="O49" s="2">
        <f>VLOOKUP($A49,'[2]App C Exp'!$A$4:$I$917,9,FALSE)</f>
        <v>0</v>
      </c>
      <c r="P49" s="2"/>
      <c r="Q49" s="2">
        <f>VLOOKUP($A49,'[2]App C Inv'!$A$4:$I$917,5,FALSE)</f>
        <v>1479</v>
      </c>
      <c r="R49" s="2">
        <f>VLOOKUP($A49,'[2]App C Inv'!$A$4:$I$917,6,FALSE)</f>
        <v>-1272</v>
      </c>
      <c r="S49" s="2">
        <f>VLOOKUP($A49,'[2]App C Inv'!$A$4:$I$917,7,FALSE)</f>
        <v>179</v>
      </c>
      <c r="T49" s="2">
        <f>VLOOKUP($A49,'[2]App C Inv'!$A$4:$I$917,8,FALSE)</f>
        <v>233</v>
      </c>
      <c r="U49" s="2">
        <f>VLOOKUP($A49,'[2]App C Inv'!$A$4:$I$917,9,FALSE)</f>
        <v>0</v>
      </c>
      <c r="V49" s="2"/>
      <c r="W49" s="2">
        <f>VLOOKUP($A49,'[2]App C Assum'!$A$4:$I$917,5,FALSE)</f>
        <v>1666</v>
      </c>
      <c r="X49" s="2">
        <f>VLOOKUP($A49,'[2]App C Assum'!$A$4:$I$917,6,FALSE)</f>
        <v>1365</v>
      </c>
      <c r="Y49" s="2">
        <f>VLOOKUP($A49,'[2]App C Assum'!$A$4:$I$917,7,FALSE)</f>
        <v>1108</v>
      </c>
      <c r="Z49" s="2">
        <f>VLOOKUP($A49,'[2]App C Assum'!$A$4:$I$917,8,FALSE)</f>
        <v>0</v>
      </c>
      <c r="AA49" s="2">
        <f>VLOOKUP($A49,'[2]App C Assum'!$A$4:$I$917,9,FALSE)</f>
        <v>0</v>
      </c>
      <c r="AB49" s="2"/>
      <c r="AC49" s="2">
        <f>VLOOKUP($A49,'[2]App C Share Outflows'!$A$4:$I$917,5,FALSE)</f>
        <v>0</v>
      </c>
      <c r="AD49" s="2">
        <f>VLOOKUP($A49,'[2]App C Share Outflows'!$A$4:$I$917,6,FALSE)</f>
        <v>0</v>
      </c>
      <c r="AE49" s="2">
        <f>VLOOKUP($A49,'[2]App C Share Outflows'!$A$4:$I$917,7,FALSE)</f>
        <v>0</v>
      </c>
      <c r="AF49" s="2">
        <f>VLOOKUP($A49,'[2]App C Share Outflows'!$A$4:$I$917,8,FALSE)</f>
        <v>0</v>
      </c>
      <c r="AG49" s="2">
        <f>VLOOKUP($A49,'[2]App C Share Outflows'!$A$4:$I$917,9,FALSE)</f>
        <v>0</v>
      </c>
      <c r="AH49" s="2"/>
      <c r="AI49" s="2">
        <f>VLOOKUP($A49,'[2]App C Share Inflows'!$A$4:$I$917,5,FALSE)</f>
        <v>-1230</v>
      </c>
      <c r="AJ49" s="2">
        <f>VLOOKUP($A49,'[2]App C Share Inflows'!$A$4:$I$917,6,FALSE)</f>
        <v>-1004</v>
      </c>
      <c r="AK49" s="2">
        <f>VLOOKUP($A49,'[2]App C Share Inflows'!$A$4:$I$917,7,FALSE)</f>
        <v>-694</v>
      </c>
      <c r="AL49" s="2">
        <f>VLOOKUP($A49,'[2]App C Share Inflows'!$A$4:$I$917,8,FALSE)</f>
        <v>-368</v>
      </c>
      <c r="AM49" s="2">
        <f>VLOOKUP($A49,'[2]App C Share Inflows'!$A$4:$I$917,6,FALSE)</f>
        <v>-1004</v>
      </c>
    </row>
    <row r="50" spans="1:39">
      <c r="A50" s="351">
        <v>90161</v>
      </c>
      <c r="B50" s="344" t="s">
        <v>746</v>
      </c>
      <c r="C50" s="235" t="e">
        <f>VLOOKUP(A50,#REF!,10,FALSE)</f>
        <v>#REF!</v>
      </c>
      <c r="E50" s="2">
        <f>VLOOKUP($A50,'[2]App C Total'!$A$4:$I$917,5,FALSE)</f>
        <v>17069</v>
      </c>
      <c r="F50" s="2">
        <f>VLOOKUP($A50,'[2]App C Total'!$A$4:$I$917,6,FALSE)</f>
        <v>4218</v>
      </c>
      <c r="G50" s="2">
        <f>VLOOKUP($A50,'[2]App C Total'!$A$4:$I$917,7,FALSE)</f>
        <v>8401</v>
      </c>
      <c r="H50" s="2">
        <f>VLOOKUP($A50,'[2]App C Total'!$A$4:$I$917,8,FALSE)</f>
        <v>984</v>
      </c>
      <c r="I50" s="2">
        <f>VLOOKUP($A50,'[2]App C Total'!$A$4:$I$917,9,FALSE)</f>
        <v>0</v>
      </c>
      <c r="J50" s="2"/>
      <c r="K50" s="2">
        <f>VLOOKUP($A50,'[2]App C Exp'!$A$4:$I$917,5,FALSE)</f>
        <v>5348</v>
      </c>
      <c r="L50" s="2">
        <f>VLOOKUP($A50,'[2]App C Exp'!$A$4:$I$917,6,FALSE)</f>
        <v>5031</v>
      </c>
      <c r="M50" s="2">
        <f>VLOOKUP($A50,'[2]App C Exp'!$A$4:$I$917,7,FALSE)</f>
        <v>4509</v>
      </c>
      <c r="N50" s="2">
        <f>VLOOKUP($A50,'[2]App C Exp'!$A$4:$I$917,8,FALSE)</f>
        <v>1805</v>
      </c>
      <c r="O50" s="2">
        <f>VLOOKUP($A50,'[2]App C Exp'!$A$4:$I$917,9,FALSE)</f>
        <v>0</v>
      </c>
      <c r="P50" s="2"/>
      <c r="Q50" s="2">
        <f>VLOOKUP($A50,'[2]App C Inv'!$A$4:$I$917,5,FALSE)</f>
        <v>5678</v>
      </c>
      <c r="R50" s="2">
        <f>VLOOKUP($A50,'[2]App C Inv'!$A$4:$I$917,6,FALSE)</f>
        <v>-4884</v>
      </c>
      <c r="S50" s="2">
        <f>VLOOKUP($A50,'[2]App C Inv'!$A$4:$I$917,7,FALSE)</f>
        <v>688</v>
      </c>
      <c r="T50" s="2">
        <f>VLOOKUP($A50,'[2]App C Inv'!$A$4:$I$917,8,FALSE)</f>
        <v>896</v>
      </c>
      <c r="U50" s="2">
        <f>VLOOKUP($A50,'[2]App C Inv'!$A$4:$I$917,9,FALSE)</f>
        <v>0</v>
      </c>
      <c r="V50" s="2"/>
      <c r="W50" s="2">
        <f>VLOOKUP($A50,'[2]App C Assum'!$A$4:$I$917,5,FALSE)</f>
        <v>6396</v>
      </c>
      <c r="X50" s="2">
        <f>VLOOKUP($A50,'[2]App C Assum'!$A$4:$I$917,6,FALSE)</f>
        <v>5240</v>
      </c>
      <c r="Y50" s="2">
        <f>VLOOKUP($A50,'[2]App C Assum'!$A$4:$I$917,7,FALSE)</f>
        <v>4254</v>
      </c>
      <c r="Z50" s="2">
        <f>VLOOKUP($A50,'[2]App C Assum'!$A$4:$I$917,8,FALSE)</f>
        <v>0</v>
      </c>
      <c r="AA50" s="2">
        <f>VLOOKUP($A50,'[2]App C Assum'!$A$4:$I$917,9,FALSE)</f>
        <v>0</v>
      </c>
      <c r="AB50" s="2"/>
      <c r="AC50" s="2">
        <f>VLOOKUP($A50,'[2]App C Share Outflows'!$A$4:$I$917,5,FALSE)</f>
        <v>1478</v>
      </c>
      <c r="AD50" s="2">
        <f>VLOOKUP($A50,'[2]App C Share Outflows'!$A$4:$I$917,6,FALSE)</f>
        <v>664</v>
      </c>
      <c r="AE50" s="2">
        <f>VLOOKUP($A50,'[2]App C Share Outflows'!$A$4:$I$917,7,FALSE)</f>
        <v>666</v>
      </c>
      <c r="AF50" s="2">
        <f>VLOOKUP($A50,'[2]App C Share Outflows'!$A$4:$I$917,8,FALSE)</f>
        <v>0</v>
      </c>
      <c r="AG50" s="2">
        <f>VLOOKUP($A50,'[2]App C Share Outflows'!$A$4:$I$917,9,FALSE)</f>
        <v>0</v>
      </c>
      <c r="AH50" s="2"/>
      <c r="AI50" s="2">
        <f>VLOOKUP($A50,'[2]App C Share Inflows'!$A$4:$I$917,5,FALSE)</f>
        <v>-1831</v>
      </c>
      <c r="AJ50" s="2">
        <f>VLOOKUP($A50,'[2]App C Share Inflows'!$A$4:$I$917,6,FALSE)</f>
        <v>-1833</v>
      </c>
      <c r="AK50" s="2">
        <f>VLOOKUP($A50,'[2]App C Share Inflows'!$A$4:$I$917,7,FALSE)</f>
        <v>-1716</v>
      </c>
      <c r="AL50" s="2">
        <f>VLOOKUP($A50,'[2]App C Share Inflows'!$A$4:$I$917,8,FALSE)</f>
        <v>-1717</v>
      </c>
      <c r="AM50" s="2">
        <f>VLOOKUP($A50,'[2]App C Share Inflows'!$A$4:$I$917,6,FALSE)</f>
        <v>-1833</v>
      </c>
    </row>
    <row r="51" spans="1:39">
      <c r="A51" s="351">
        <v>90201</v>
      </c>
      <c r="B51" s="344" t="s">
        <v>747</v>
      </c>
      <c r="C51" s="235" t="e">
        <f>VLOOKUP(A51,#REF!,10,FALSE)</f>
        <v>#REF!</v>
      </c>
      <c r="E51" s="2">
        <f>VLOOKUP($A51,'[2]App C Total'!$A$4:$I$917,5,FALSE)</f>
        <v>613501</v>
      </c>
      <c r="F51" s="2">
        <f>VLOOKUP($A51,'[2]App C Total'!$A$4:$I$917,6,FALSE)</f>
        <v>189876</v>
      </c>
      <c r="G51" s="2">
        <f>VLOOKUP($A51,'[2]App C Total'!$A$4:$I$917,7,FALSE)</f>
        <v>341991</v>
      </c>
      <c r="H51" s="2">
        <f>VLOOKUP($A51,'[2]App C Total'!$A$4:$I$917,8,FALSE)</f>
        <v>110773</v>
      </c>
      <c r="I51" s="2">
        <f>VLOOKUP($A51,'[2]App C Total'!$A$4:$I$917,9,FALSE)</f>
        <v>0</v>
      </c>
      <c r="J51" s="2"/>
      <c r="K51" s="2">
        <f>VLOOKUP($A51,'[2]App C Exp'!$A$4:$I$917,5,FALSE)</f>
        <v>188292</v>
      </c>
      <c r="L51" s="2">
        <f>VLOOKUP($A51,'[2]App C Exp'!$A$4:$I$917,6,FALSE)</f>
        <v>177122</v>
      </c>
      <c r="M51" s="2">
        <f>VLOOKUP($A51,'[2]App C Exp'!$A$4:$I$917,7,FALSE)</f>
        <v>158753</v>
      </c>
      <c r="N51" s="2">
        <f>VLOOKUP($A51,'[2]App C Exp'!$A$4:$I$917,8,FALSE)</f>
        <v>63563</v>
      </c>
      <c r="O51" s="2">
        <f>VLOOKUP($A51,'[2]App C Exp'!$A$4:$I$917,9,FALSE)</f>
        <v>0</v>
      </c>
      <c r="P51" s="2"/>
      <c r="Q51" s="2">
        <f>VLOOKUP($A51,'[2]App C Inv'!$A$4:$I$917,5,FALSE)</f>
        <v>199899</v>
      </c>
      <c r="R51" s="2">
        <f>VLOOKUP($A51,'[2]App C Inv'!$A$4:$I$917,6,FALSE)</f>
        <v>-171950</v>
      </c>
      <c r="S51" s="2">
        <f>VLOOKUP($A51,'[2]App C Inv'!$A$4:$I$917,7,FALSE)</f>
        <v>24234</v>
      </c>
      <c r="T51" s="2">
        <f>VLOOKUP($A51,'[2]App C Inv'!$A$4:$I$917,8,FALSE)</f>
        <v>31541</v>
      </c>
      <c r="U51" s="2">
        <f>VLOOKUP($A51,'[2]App C Inv'!$A$4:$I$917,9,FALSE)</f>
        <v>0</v>
      </c>
      <c r="V51" s="2"/>
      <c r="W51" s="2">
        <f>VLOOKUP($A51,'[2]App C Assum'!$A$4:$I$917,5,FALSE)</f>
        <v>225189</v>
      </c>
      <c r="X51" s="2">
        <f>VLOOKUP($A51,'[2]App C Assum'!$A$4:$I$917,6,FALSE)</f>
        <v>184483</v>
      </c>
      <c r="Y51" s="2">
        <f>VLOOKUP($A51,'[2]App C Assum'!$A$4:$I$917,7,FALSE)</f>
        <v>149768</v>
      </c>
      <c r="Z51" s="2">
        <f>VLOOKUP($A51,'[2]App C Assum'!$A$4:$I$917,8,FALSE)</f>
        <v>0</v>
      </c>
      <c r="AA51" s="2">
        <f>VLOOKUP($A51,'[2]App C Assum'!$A$4:$I$917,9,FALSE)</f>
        <v>0</v>
      </c>
      <c r="AB51" s="2"/>
      <c r="AC51" s="2">
        <f>VLOOKUP($A51,'[2]App C Share Outflows'!$A$4:$I$917,5,FALSE)</f>
        <v>15670</v>
      </c>
      <c r="AD51" s="2">
        <f>VLOOKUP($A51,'[2]App C Share Outflows'!$A$4:$I$917,6,FALSE)</f>
        <v>15670</v>
      </c>
      <c r="AE51" s="2">
        <f>VLOOKUP($A51,'[2]App C Share Outflows'!$A$4:$I$917,7,FALSE)</f>
        <v>15670</v>
      </c>
      <c r="AF51" s="2">
        <f>VLOOKUP($A51,'[2]App C Share Outflows'!$A$4:$I$917,8,FALSE)</f>
        <v>15669</v>
      </c>
      <c r="AG51" s="2">
        <f>VLOOKUP($A51,'[2]App C Share Outflows'!$A$4:$I$917,9,FALSE)</f>
        <v>0</v>
      </c>
      <c r="AH51" s="2"/>
      <c r="AI51" s="2">
        <f>VLOOKUP($A51,'[2]App C Share Inflows'!$A$4:$I$917,5,FALSE)</f>
        <v>-15549</v>
      </c>
      <c r="AJ51" s="2">
        <f>VLOOKUP($A51,'[2]App C Share Inflows'!$A$4:$I$917,6,FALSE)</f>
        <v>-15449</v>
      </c>
      <c r="AK51" s="2">
        <f>VLOOKUP($A51,'[2]App C Share Inflows'!$A$4:$I$917,7,FALSE)</f>
        <v>-6434</v>
      </c>
      <c r="AL51" s="2">
        <f>VLOOKUP($A51,'[2]App C Share Inflows'!$A$4:$I$917,8,FALSE)</f>
        <v>0</v>
      </c>
      <c r="AM51" s="2">
        <f>VLOOKUP($A51,'[2]App C Share Inflows'!$A$4:$I$917,6,FALSE)</f>
        <v>-15449</v>
      </c>
    </row>
    <row r="52" spans="1:39">
      <c r="A52" s="351">
        <v>90203</v>
      </c>
      <c r="B52" s="344" t="s">
        <v>3641</v>
      </c>
      <c r="C52" s="235" t="e">
        <f>VLOOKUP(A52,#REF!,10,FALSE)</f>
        <v>#REF!</v>
      </c>
      <c r="E52" s="2">
        <f>VLOOKUP($A52,'[2]App C Total'!$A$4:$I$917,5,FALSE)</f>
        <v>87836</v>
      </c>
      <c r="F52" s="2">
        <f>VLOOKUP($A52,'[2]App C Total'!$A$4:$I$917,6,FALSE)</f>
        <v>25358</v>
      </c>
      <c r="G52" s="2">
        <f>VLOOKUP($A52,'[2]App C Total'!$A$4:$I$917,7,FALSE)</f>
        <v>54516</v>
      </c>
      <c r="H52" s="2">
        <f>VLOOKUP($A52,'[2]App C Total'!$A$4:$I$917,8,FALSE)</f>
        <v>15883</v>
      </c>
      <c r="I52" s="2">
        <f>VLOOKUP($A52,'[2]App C Total'!$A$4:$I$917,9,FALSE)</f>
        <v>0</v>
      </c>
      <c r="J52" s="2"/>
      <c r="K52" s="2">
        <f>VLOOKUP($A52,'[2]App C Exp'!$A$4:$I$917,5,FALSE)</f>
        <v>29991</v>
      </c>
      <c r="L52" s="2">
        <f>VLOOKUP($A52,'[2]App C Exp'!$A$4:$I$917,6,FALSE)</f>
        <v>28212</v>
      </c>
      <c r="M52" s="2">
        <f>VLOOKUP($A52,'[2]App C Exp'!$A$4:$I$917,7,FALSE)</f>
        <v>25286</v>
      </c>
      <c r="N52" s="2">
        <f>VLOOKUP($A52,'[2]App C Exp'!$A$4:$I$917,8,FALSE)</f>
        <v>10124</v>
      </c>
      <c r="O52" s="2">
        <f>VLOOKUP($A52,'[2]App C Exp'!$A$4:$I$917,9,FALSE)</f>
        <v>0</v>
      </c>
      <c r="P52" s="2"/>
      <c r="Q52" s="2">
        <f>VLOOKUP($A52,'[2]App C Inv'!$A$4:$I$917,5,FALSE)</f>
        <v>31840</v>
      </c>
      <c r="R52" s="2">
        <f>VLOOKUP($A52,'[2]App C Inv'!$A$4:$I$917,6,FALSE)</f>
        <v>-27388</v>
      </c>
      <c r="S52" s="2">
        <f>VLOOKUP($A52,'[2]App C Inv'!$A$4:$I$917,7,FALSE)</f>
        <v>3860</v>
      </c>
      <c r="T52" s="2">
        <f>VLOOKUP($A52,'[2]App C Inv'!$A$4:$I$917,8,FALSE)</f>
        <v>5024</v>
      </c>
      <c r="U52" s="2">
        <f>VLOOKUP($A52,'[2]App C Inv'!$A$4:$I$917,9,FALSE)</f>
        <v>0</v>
      </c>
      <c r="V52" s="2"/>
      <c r="W52" s="2">
        <f>VLOOKUP($A52,'[2]App C Assum'!$A$4:$I$917,5,FALSE)</f>
        <v>35868</v>
      </c>
      <c r="X52" s="2">
        <f>VLOOKUP($A52,'[2]App C Assum'!$A$4:$I$917,6,FALSE)</f>
        <v>29385</v>
      </c>
      <c r="Y52" s="2">
        <f>VLOOKUP($A52,'[2]App C Assum'!$A$4:$I$917,7,FALSE)</f>
        <v>23855</v>
      </c>
      <c r="Z52" s="2">
        <f>VLOOKUP($A52,'[2]App C Assum'!$A$4:$I$917,8,FALSE)</f>
        <v>0</v>
      </c>
      <c r="AA52" s="2">
        <f>VLOOKUP($A52,'[2]App C Assum'!$A$4:$I$917,9,FALSE)</f>
        <v>0</v>
      </c>
      <c r="AB52" s="2"/>
      <c r="AC52" s="2">
        <f>VLOOKUP($A52,'[2]App C Share Outflows'!$A$4:$I$917,5,FALSE)</f>
        <v>1514</v>
      </c>
      <c r="AD52" s="2">
        <f>VLOOKUP($A52,'[2]App C Share Outflows'!$A$4:$I$917,6,FALSE)</f>
        <v>1514</v>
      </c>
      <c r="AE52" s="2">
        <f>VLOOKUP($A52,'[2]App C Share Outflows'!$A$4:$I$917,7,FALSE)</f>
        <v>1515</v>
      </c>
      <c r="AF52" s="2">
        <f>VLOOKUP($A52,'[2]App C Share Outflows'!$A$4:$I$917,8,FALSE)</f>
        <v>735</v>
      </c>
      <c r="AG52" s="2">
        <f>VLOOKUP($A52,'[2]App C Share Outflows'!$A$4:$I$917,9,FALSE)</f>
        <v>0</v>
      </c>
      <c r="AH52" s="2"/>
      <c r="AI52" s="2">
        <f>VLOOKUP($A52,'[2]App C Share Inflows'!$A$4:$I$917,5,FALSE)</f>
        <v>-11377</v>
      </c>
      <c r="AJ52" s="2">
        <f>VLOOKUP($A52,'[2]App C Share Inflows'!$A$4:$I$917,6,FALSE)</f>
        <v>-6365</v>
      </c>
      <c r="AK52" s="2">
        <f>VLOOKUP($A52,'[2]App C Share Inflows'!$A$4:$I$917,7,FALSE)</f>
        <v>0</v>
      </c>
      <c r="AL52" s="2">
        <f>VLOOKUP($A52,'[2]App C Share Inflows'!$A$4:$I$917,8,FALSE)</f>
        <v>0</v>
      </c>
      <c r="AM52" s="2">
        <f>VLOOKUP($A52,'[2]App C Share Inflows'!$A$4:$I$917,6,FALSE)</f>
        <v>-6365</v>
      </c>
    </row>
    <row r="53" spans="1:39">
      <c r="A53" s="351">
        <v>90205</v>
      </c>
      <c r="B53" s="344" t="s">
        <v>749</v>
      </c>
      <c r="C53" s="235" t="e">
        <f>VLOOKUP(A53,#REF!,10,FALSE)</f>
        <v>#REF!</v>
      </c>
      <c r="E53" s="2">
        <f>VLOOKUP($A53,'[2]App C Total'!$A$4:$I$917,5,FALSE)</f>
        <v>14603</v>
      </c>
      <c r="F53" s="2">
        <f>VLOOKUP($A53,'[2]App C Total'!$A$4:$I$917,6,FALSE)</f>
        <v>4525</v>
      </c>
      <c r="G53" s="2">
        <f>VLOOKUP($A53,'[2]App C Total'!$A$4:$I$917,7,FALSE)</f>
        <v>8497</v>
      </c>
      <c r="H53" s="2">
        <f>VLOOKUP($A53,'[2]App C Total'!$A$4:$I$917,8,FALSE)</f>
        <v>2160</v>
      </c>
      <c r="I53" s="2">
        <f>VLOOKUP($A53,'[2]App C Total'!$A$4:$I$917,9,FALSE)</f>
        <v>0</v>
      </c>
      <c r="J53" s="2"/>
      <c r="K53" s="2">
        <f>VLOOKUP($A53,'[2]App C Exp'!$A$4:$I$917,5,FALSE)</f>
        <v>4554</v>
      </c>
      <c r="L53" s="2">
        <f>VLOOKUP($A53,'[2]App C Exp'!$A$4:$I$917,6,FALSE)</f>
        <v>4284</v>
      </c>
      <c r="M53" s="2">
        <f>VLOOKUP($A53,'[2]App C Exp'!$A$4:$I$917,7,FALSE)</f>
        <v>3840</v>
      </c>
      <c r="N53" s="2">
        <f>VLOOKUP($A53,'[2]App C Exp'!$A$4:$I$917,8,FALSE)</f>
        <v>1537</v>
      </c>
      <c r="O53" s="2">
        <f>VLOOKUP($A53,'[2]App C Exp'!$A$4:$I$917,9,FALSE)</f>
        <v>0</v>
      </c>
      <c r="P53" s="2"/>
      <c r="Q53" s="2">
        <f>VLOOKUP($A53,'[2]App C Inv'!$A$4:$I$917,5,FALSE)</f>
        <v>4835</v>
      </c>
      <c r="R53" s="2">
        <f>VLOOKUP($A53,'[2]App C Inv'!$A$4:$I$917,6,FALSE)</f>
        <v>-4159</v>
      </c>
      <c r="S53" s="2">
        <f>VLOOKUP($A53,'[2]App C Inv'!$A$4:$I$917,7,FALSE)</f>
        <v>586</v>
      </c>
      <c r="T53" s="2">
        <f>VLOOKUP($A53,'[2]App C Inv'!$A$4:$I$917,8,FALSE)</f>
        <v>763</v>
      </c>
      <c r="U53" s="2">
        <f>VLOOKUP($A53,'[2]App C Inv'!$A$4:$I$917,9,FALSE)</f>
        <v>0</v>
      </c>
      <c r="V53" s="2"/>
      <c r="W53" s="2">
        <f>VLOOKUP($A53,'[2]App C Assum'!$A$4:$I$917,5,FALSE)</f>
        <v>5447</v>
      </c>
      <c r="X53" s="2">
        <f>VLOOKUP($A53,'[2]App C Assum'!$A$4:$I$917,6,FALSE)</f>
        <v>4462</v>
      </c>
      <c r="Y53" s="2">
        <f>VLOOKUP($A53,'[2]App C Assum'!$A$4:$I$917,7,FALSE)</f>
        <v>3622</v>
      </c>
      <c r="Z53" s="2">
        <f>VLOOKUP($A53,'[2]App C Assum'!$A$4:$I$917,8,FALSE)</f>
        <v>0</v>
      </c>
      <c r="AA53" s="2">
        <f>VLOOKUP($A53,'[2]App C Assum'!$A$4:$I$917,9,FALSE)</f>
        <v>0</v>
      </c>
      <c r="AB53" s="2"/>
      <c r="AC53" s="2">
        <f>VLOOKUP($A53,'[2]App C Share Outflows'!$A$4:$I$917,5,FALSE)</f>
        <v>593</v>
      </c>
      <c r="AD53" s="2">
        <f>VLOOKUP($A53,'[2]App C Share Outflows'!$A$4:$I$917,6,FALSE)</f>
        <v>593</v>
      </c>
      <c r="AE53" s="2">
        <f>VLOOKUP($A53,'[2]App C Share Outflows'!$A$4:$I$917,7,FALSE)</f>
        <v>591</v>
      </c>
      <c r="AF53" s="2">
        <f>VLOOKUP($A53,'[2]App C Share Outflows'!$A$4:$I$917,8,FALSE)</f>
        <v>0</v>
      </c>
      <c r="AG53" s="2">
        <f>VLOOKUP($A53,'[2]App C Share Outflows'!$A$4:$I$917,9,FALSE)</f>
        <v>0</v>
      </c>
      <c r="AH53" s="2"/>
      <c r="AI53" s="2">
        <f>VLOOKUP($A53,'[2]App C Share Inflows'!$A$4:$I$917,5,FALSE)</f>
        <v>-826</v>
      </c>
      <c r="AJ53" s="2">
        <f>VLOOKUP($A53,'[2]App C Share Inflows'!$A$4:$I$917,6,FALSE)</f>
        <v>-655</v>
      </c>
      <c r="AK53" s="2">
        <f>VLOOKUP($A53,'[2]App C Share Inflows'!$A$4:$I$917,7,FALSE)</f>
        <v>-142</v>
      </c>
      <c r="AL53" s="2">
        <f>VLOOKUP($A53,'[2]App C Share Inflows'!$A$4:$I$917,8,FALSE)</f>
        <v>-140</v>
      </c>
      <c r="AM53" s="2">
        <f>VLOOKUP($A53,'[2]App C Share Inflows'!$A$4:$I$917,6,FALSE)</f>
        <v>-655</v>
      </c>
    </row>
    <row r="54" spans="1:39">
      <c r="A54" s="351">
        <v>90206</v>
      </c>
      <c r="B54" s="344" t="s">
        <v>3642</v>
      </c>
      <c r="C54" s="235" t="e">
        <f>VLOOKUP(A54,#REF!,10,FALSE)</f>
        <v>#REF!</v>
      </c>
      <c r="E54" s="2">
        <f>VLOOKUP($A54,'[2]App C Total'!$A$4:$I$917,5,FALSE)</f>
        <v>158237</v>
      </c>
      <c r="F54" s="2">
        <f>VLOOKUP($A54,'[2]App C Total'!$A$4:$I$917,6,FALSE)</f>
        <v>38219</v>
      </c>
      <c r="G54" s="2">
        <f>VLOOKUP($A54,'[2]App C Total'!$A$4:$I$917,7,FALSE)</f>
        <v>83512</v>
      </c>
      <c r="H54" s="2">
        <f>VLOOKUP($A54,'[2]App C Total'!$A$4:$I$917,8,FALSE)</f>
        <v>16578</v>
      </c>
      <c r="I54" s="2">
        <f>VLOOKUP($A54,'[2]App C Total'!$A$4:$I$917,9,FALSE)</f>
        <v>0</v>
      </c>
      <c r="J54" s="2"/>
      <c r="K54" s="2">
        <f>VLOOKUP($A54,'[2]App C Exp'!$A$4:$I$917,5,FALSE)</f>
        <v>54170</v>
      </c>
      <c r="L54" s="2">
        <f>VLOOKUP($A54,'[2]App C Exp'!$A$4:$I$917,6,FALSE)</f>
        <v>50957</v>
      </c>
      <c r="M54" s="2">
        <f>VLOOKUP($A54,'[2]App C Exp'!$A$4:$I$917,7,FALSE)</f>
        <v>45672</v>
      </c>
      <c r="N54" s="2">
        <f>VLOOKUP($A54,'[2]App C Exp'!$A$4:$I$917,8,FALSE)</f>
        <v>18286</v>
      </c>
      <c r="O54" s="2">
        <f>VLOOKUP($A54,'[2]App C Exp'!$A$4:$I$917,9,FALSE)</f>
        <v>0</v>
      </c>
      <c r="P54" s="2"/>
      <c r="Q54" s="2">
        <f>VLOOKUP($A54,'[2]App C Inv'!$A$4:$I$917,5,FALSE)</f>
        <v>57509</v>
      </c>
      <c r="R54" s="2">
        <f>VLOOKUP($A54,'[2]App C Inv'!$A$4:$I$917,6,FALSE)</f>
        <v>-49469</v>
      </c>
      <c r="S54" s="2">
        <f>VLOOKUP($A54,'[2]App C Inv'!$A$4:$I$917,7,FALSE)</f>
        <v>6972</v>
      </c>
      <c r="T54" s="2">
        <f>VLOOKUP($A54,'[2]App C Inv'!$A$4:$I$917,8,FALSE)</f>
        <v>9074</v>
      </c>
      <c r="U54" s="2">
        <f>VLOOKUP($A54,'[2]App C Inv'!$A$4:$I$917,9,FALSE)</f>
        <v>0</v>
      </c>
      <c r="V54" s="2"/>
      <c r="W54" s="2">
        <f>VLOOKUP($A54,'[2]App C Assum'!$A$4:$I$917,5,FALSE)</f>
        <v>64785</v>
      </c>
      <c r="X54" s="2">
        <f>VLOOKUP($A54,'[2]App C Assum'!$A$4:$I$917,6,FALSE)</f>
        <v>53074</v>
      </c>
      <c r="Y54" s="2">
        <f>VLOOKUP($A54,'[2]App C Assum'!$A$4:$I$917,7,FALSE)</f>
        <v>43087</v>
      </c>
      <c r="Z54" s="2">
        <f>VLOOKUP($A54,'[2]App C Assum'!$A$4:$I$917,8,FALSE)</f>
        <v>0</v>
      </c>
      <c r="AA54" s="2">
        <f>VLOOKUP($A54,'[2]App C Assum'!$A$4:$I$917,9,FALSE)</f>
        <v>0</v>
      </c>
      <c r="AB54" s="2"/>
      <c r="AC54" s="2">
        <f>VLOOKUP($A54,'[2]App C Share Outflows'!$A$4:$I$917,5,FALSE)</f>
        <v>0</v>
      </c>
      <c r="AD54" s="2">
        <f>VLOOKUP($A54,'[2]App C Share Outflows'!$A$4:$I$917,6,FALSE)</f>
        <v>0</v>
      </c>
      <c r="AE54" s="2">
        <f>VLOOKUP($A54,'[2]App C Share Outflows'!$A$4:$I$917,7,FALSE)</f>
        <v>0</v>
      </c>
      <c r="AF54" s="2">
        <f>VLOOKUP($A54,'[2]App C Share Outflows'!$A$4:$I$917,8,FALSE)</f>
        <v>0</v>
      </c>
      <c r="AG54" s="2">
        <f>VLOOKUP($A54,'[2]App C Share Outflows'!$A$4:$I$917,9,FALSE)</f>
        <v>0</v>
      </c>
      <c r="AH54" s="2"/>
      <c r="AI54" s="2">
        <f>VLOOKUP($A54,'[2]App C Share Inflows'!$A$4:$I$917,5,FALSE)</f>
        <v>-18227</v>
      </c>
      <c r="AJ54" s="2">
        <f>VLOOKUP($A54,'[2]App C Share Inflows'!$A$4:$I$917,6,FALSE)</f>
        <v>-16343</v>
      </c>
      <c r="AK54" s="2">
        <f>VLOOKUP($A54,'[2]App C Share Inflows'!$A$4:$I$917,7,FALSE)</f>
        <v>-12219</v>
      </c>
      <c r="AL54" s="2">
        <f>VLOOKUP($A54,'[2]App C Share Inflows'!$A$4:$I$917,8,FALSE)</f>
        <v>-10782</v>
      </c>
      <c r="AM54" s="2">
        <f>VLOOKUP($A54,'[2]App C Share Inflows'!$A$4:$I$917,6,FALSE)</f>
        <v>-16343</v>
      </c>
    </row>
    <row r="55" spans="1:39">
      <c r="A55" s="351">
        <v>90211</v>
      </c>
      <c r="B55" s="344" t="s">
        <v>751</v>
      </c>
      <c r="C55" s="235" t="e">
        <f>VLOOKUP(A55,#REF!,10,FALSE)</f>
        <v>#REF!</v>
      </c>
      <c r="E55" s="2">
        <f>VLOOKUP($A55,'[2]App C Total'!$A$4:$I$917,5,FALSE)</f>
        <v>76580</v>
      </c>
      <c r="F55" s="2">
        <f>VLOOKUP($A55,'[2]App C Total'!$A$4:$I$917,6,FALSE)</f>
        <v>25976</v>
      </c>
      <c r="G55" s="2">
        <f>VLOOKUP($A55,'[2]App C Total'!$A$4:$I$917,7,FALSE)</f>
        <v>44793</v>
      </c>
      <c r="H55" s="2">
        <f>VLOOKUP($A55,'[2]App C Total'!$A$4:$I$917,8,FALSE)</f>
        <v>13132</v>
      </c>
      <c r="I55" s="2">
        <f>VLOOKUP($A55,'[2]App C Total'!$A$4:$I$917,9,FALSE)</f>
        <v>0</v>
      </c>
      <c r="J55" s="2"/>
      <c r="K55" s="2">
        <f>VLOOKUP($A55,'[2]App C Exp'!$A$4:$I$917,5,FALSE)</f>
        <v>23670</v>
      </c>
      <c r="L55" s="2">
        <f>VLOOKUP($A55,'[2]App C Exp'!$A$4:$I$917,6,FALSE)</f>
        <v>22265</v>
      </c>
      <c r="M55" s="2">
        <f>VLOOKUP($A55,'[2]App C Exp'!$A$4:$I$917,7,FALSE)</f>
        <v>19956</v>
      </c>
      <c r="N55" s="2">
        <f>VLOOKUP($A55,'[2]App C Exp'!$A$4:$I$917,8,FALSE)</f>
        <v>7990</v>
      </c>
      <c r="O55" s="2">
        <f>VLOOKUP($A55,'[2]App C Exp'!$A$4:$I$917,9,FALSE)</f>
        <v>0</v>
      </c>
      <c r="P55" s="2"/>
      <c r="Q55" s="2">
        <f>VLOOKUP($A55,'[2]App C Inv'!$A$4:$I$917,5,FALSE)</f>
        <v>25128</v>
      </c>
      <c r="R55" s="2">
        <f>VLOOKUP($A55,'[2]App C Inv'!$A$4:$I$917,6,FALSE)</f>
        <v>-21615</v>
      </c>
      <c r="S55" s="2">
        <f>VLOOKUP($A55,'[2]App C Inv'!$A$4:$I$917,7,FALSE)</f>
        <v>3046</v>
      </c>
      <c r="T55" s="2">
        <f>VLOOKUP($A55,'[2]App C Inv'!$A$4:$I$917,8,FALSE)</f>
        <v>3965</v>
      </c>
      <c r="U55" s="2">
        <f>VLOOKUP($A55,'[2]App C Inv'!$A$4:$I$917,9,FALSE)</f>
        <v>0</v>
      </c>
      <c r="V55" s="2"/>
      <c r="W55" s="2">
        <f>VLOOKUP($A55,'[2]App C Assum'!$A$4:$I$917,5,FALSE)</f>
        <v>28308</v>
      </c>
      <c r="X55" s="2">
        <f>VLOOKUP($A55,'[2]App C Assum'!$A$4:$I$917,6,FALSE)</f>
        <v>23191</v>
      </c>
      <c r="Y55" s="2">
        <f>VLOOKUP($A55,'[2]App C Assum'!$A$4:$I$917,7,FALSE)</f>
        <v>18827</v>
      </c>
      <c r="Z55" s="2">
        <f>VLOOKUP($A55,'[2]App C Assum'!$A$4:$I$917,8,FALSE)</f>
        <v>0</v>
      </c>
      <c r="AA55" s="2">
        <f>VLOOKUP($A55,'[2]App C Assum'!$A$4:$I$917,9,FALSE)</f>
        <v>0</v>
      </c>
      <c r="AB55" s="2"/>
      <c r="AC55" s="2">
        <f>VLOOKUP($A55,'[2]App C Share Outflows'!$A$4:$I$917,5,FALSE)</f>
        <v>2962</v>
      </c>
      <c r="AD55" s="2">
        <f>VLOOKUP($A55,'[2]App C Share Outflows'!$A$4:$I$917,6,FALSE)</f>
        <v>2962</v>
      </c>
      <c r="AE55" s="2">
        <f>VLOOKUP($A55,'[2]App C Share Outflows'!$A$4:$I$917,7,FALSE)</f>
        <v>2964</v>
      </c>
      <c r="AF55" s="2">
        <f>VLOOKUP($A55,'[2]App C Share Outflows'!$A$4:$I$917,8,FALSE)</f>
        <v>1177</v>
      </c>
      <c r="AG55" s="2">
        <f>VLOOKUP($A55,'[2]App C Share Outflows'!$A$4:$I$917,9,FALSE)</f>
        <v>0</v>
      </c>
      <c r="AH55" s="2"/>
      <c r="AI55" s="2">
        <f>VLOOKUP($A55,'[2]App C Share Inflows'!$A$4:$I$917,5,FALSE)</f>
        <v>-3488</v>
      </c>
      <c r="AJ55" s="2">
        <f>VLOOKUP($A55,'[2]App C Share Inflows'!$A$4:$I$917,6,FALSE)</f>
        <v>-827</v>
      </c>
      <c r="AK55" s="2">
        <f>VLOOKUP($A55,'[2]App C Share Inflows'!$A$4:$I$917,7,FALSE)</f>
        <v>0</v>
      </c>
      <c r="AL55" s="2">
        <f>VLOOKUP($A55,'[2]App C Share Inflows'!$A$4:$I$917,8,FALSE)</f>
        <v>0</v>
      </c>
      <c r="AM55" s="2">
        <f>VLOOKUP($A55,'[2]App C Share Inflows'!$A$4:$I$917,6,FALSE)</f>
        <v>-827</v>
      </c>
    </row>
    <row r="56" spans="1:39">
      <c r="A56" s="351">
        <v>90301</v>
      </c>
      <c r="B56" s="344" t="s">
        <v>752</v>
      </c>
      <c r="C56" s="235" t="e">
        <f>VLOOKUP(A56,#REF!,10,FALSE)</f>
        <v>#REF!</v>
      </c>
      <c r="E56" s="2">
        <f>VLOOKUP($A56,'[2]App C Total'!$A$4:$I$917,5,FALSE)</f>
        <v>354133</v>
      </c>
      <c r="F56" s="2">
        <f>VLOOKUP($A56,'[2]App C Total'!$A$4:$I$917,6,FALSE)</f>
        <v>108767</v>
      </c>
      <c r="G56" s="2">
        <f>VLOOKUP($A56,'[2]App C Total'!$A$4:$I$917,7,FALSE)</f>
        <v>192667</v>
      </c>
      <c r="H56" s="2">
        <f>VLOOKUP($A56,'[2]App C Total'!$A$4:$I$917,8,FALSE)</f>
        <v>55419</v>
      </c>
      <c r="I56" s="2">
        <f>VLOOKUP($A56,'[2]App C Total'!$A$4:$I$917,9,FALSE)</f>
        <v>0</v>
      </c>
      <c r="J56" s="2"/>
      <c r="K56" s="2">
        <f>VLOOKUP($A56,'[2]App C Exp'!$A$4:$I$917,5,FALSE)</f>
        <v>109943</v>
      </c>
      <c r="L56" s="2">
        <f>VLOOKUP($A56,'[2]App C Exp'!$A$4:$I$917,6,FALSE)</f>
        <v>103421</v>
      </c>
      <c r="M56" s="2">
        <f>VLOOKUP($A56,'[2]App C Exp'!$A$4:$I$917,7,FALSE)</f>
        <v>92695</v>
      </c>
      <c r="N56" s="2">
        <f>VLOOKUP($A56,'[2]App C Exp'!$A$4:$I$917,8,FALSE)</f>
        <v>37114</v>
      </c>
      <c r="O56" s="2">
        <f>VLOOKUP($A56,'[2]App C Exp'!$A$4:$I$917,9,FALSE)</f>
        <v>0</v>
      </c>
      <c r="P56" s="2"/>
      <c r="Q56" s="2">
        <f>VLOOKUP($A56,'[2]App C Inv'!$A$4:$I$917,5,FALSE)</f>
        <v>116720</v>
      </c>
      <c r="R56" s="2">
        <f>VLOOKUP($A56,'[2]App C Inv'!$A$4:$I$917,6,FALSE)</f>
        <v>-100401</v>
      </c>
      <c r="S56" s="2">
        <f>VLOOKUP($A56,'[2]App C Inv'!$A$4:$I$917,7,FALSE)</f>
        <v>14150</v>
      </c>
      <c r="T56" s="2">
        <f>VLOOKUP($A56,'[2]App C Inv'!$A$4:$I$917,8,FALSE)</f>
        <v>18416</v>
      </c>
      <c r="U56" s="2">
        <f>VLOOKUP($A56,'[2]App C Inv'!$A$4:$I$917,9,FALSE)</f>
        <v>0</v>
      </c>
      <c r="V56" s="2"/>
      <c r="W56" s="2">
        <f>VLOOKUP($A56,'[2]App C Assum'!$A$4:$I$917,5,FALSE)</f>
        <v>131487</v>
      </c>
      <c r="X56" s="2">
        <f>VLOOKUP($A56,'[2]App C Assum'!$A$4:$I$917,6,FALSE)</f>
        <v>107719</v>
      </c>
      <c r="Y56" s="2">
        <f>VLOOKUP($A56,'[2]App C Assum'!$A$4:$I$917,7,FALSE)</f>
        <v>87449</v>
      </c>
      <c r="Z56" s="2">
        <f>VLOOKUP($A56,'[2]App C Assum'!$A$4:$I$917,8,FALSE)</f>
        <v>0</v>
      </c>
      <c r="AA56" s="2">
        <f>VLOOKUP($A56,'[2]App C Assum'!$A$4:$I$917,9,FALSE)</f>
        <v>0</v>
      </c>
      <c r="AB56" s="2"/>
      <c r="AC56" s="2">
        <f>VLOOKUP($A56,'[2]App C Share Outflows'!$A$4:$I$917,5,FALSE)</f>
        <v>0</v>
      </c>
      <c r="AD56" s="2">
        <f>VLOOKUP($A56,'[2]App C Share Outflows'!$A$4:$I$917,6,FALSE)</f>
        <v>0</v>
      </c>
      <c r="AE56" s="2">
        <f>VLOOKUP($A56,'[2]App C Share Outflows'!$A$4:$I$917,7,FALSE)</f>
        <v>0</v>
      </c>
      <c r="AF56" s="2">
        <f>VLOOKUP($A56,'[2]App C Share Outflows'!$A$4:$I$917,8,FALSE)</f>
        <v>0</v>
      </c>
      <c r="AG56" s="2">
        <f>VLOOKUP($A56,'[2]App C Share Outflows'!$A$4:$I$917,9,FALSE)</f>
        <v>0</v>
      </c>
      <c r="AH56" s="2"/>
      <c r="AI56" s="2">
        <f>VLOOKUP($A56,'[2]App C Share Inflows'!$A$4:$I$917,5,FALSE)</f>
        <v>-4017</v>
      </c>
      <c r="AJ56" s="2">
        <f>VLOOKUP($A56,'[2]App C Share Inflows'!$A$4:$I$917,6,FALSE)</f>
        <v>-1972</v>
      </c>
      <c r="AK56" s="2">
        <f>VLOOKUP($A56,'[2]App C Share Inflows'!$A$4:$I$917,7,FALSE)</f>
        <v>-1627</v>
      </c>
      <c r="AL56" s="2">
        <f>VLOOKUP($A56,'[2]App C Share Inflows'!$A$4:$I$917,8,FALSE)</f>
        <v>-111</v>
      </c>
      <c r="AM56" s="2">
        <f>VLOOKUP($A56,'[2]App C Share Inflows'!$A$4:$I$917,6,FALSE)</f>
        <v>-1972</v>
      </c>
    </row>
    <row r="57" spans="1:39">
      <c r="A57" s="351">
        <v>90305</v>
      </c>
      <c r="B57" s="344" t="s">
        <v>753</v>
      </c>
      <c r="C57" s="235" t="e">
        <f>VLOOKUP(A57,#REF!,10,FALSE)</f>
        <v>#REF!</v>
      </c>
      <c r="E57" s="2">
        <f>VLOOKUP($A57,'[2]App C Total'!$A$4:$I$917,5,FALSE)</f>
        <v>73852</v>
      </c>
      <c r="F57" s="2">
        <f>VLOOKUP($A57,'[2]App C Total'!$A$4:$I$917,6,FALSE)</f>
        <v>24742</v>
      </c>
      <c r="G57" s="2">
        <f>VLOOKUP($A57,'[2]App C Total'!$A$4:$I$917,7,FALSE)</f>
        <v>39803</v>
      </c>
      <c r="H57" s="2">
        <f>VLOOKUP($A57,'[2]App C Total'!$A$4:$I$917,8,FALSE)</f>
        <v>12854</v>
      </c>
      <c r="I57" s="2">
        <f>VLOOKUP($A57,'[2]App C Total'!$A$4:$I$917,9,FALSE)</f>
        <v>0</v>
      </c>
      <c r="J57" s="2"/>
      <c r="K57" s="2">
        <f>VLOOKUP($A57,'[2]App C Exp'!$A$4:$I$917,5,FALSE)</f>
        <v>21033</v>
      </c>
      <c r="L57" s="2">
        <f>VLOOKUP($A57,'[2]App C Exp'!$A$4:$I$917,6,FALSE)</f>
        <v>19785</v>
      </c>
      <c r="M57" s="2">
        <f>VLOOKUP($A57,'[2]App C Exp'!$A$4:$I$917,7,FALSE)</f>
        <v>17733</v>
      </c>
      <c r="N57" s="2">
        <f>VLOOKUP($A57,'[2]App C Exp'!$A$4:$I$917,8,FALSE)</f>
        <v>7100</v>
      </c>
      <c r="O57" s="2">
        <f>VLOOKUP($A57,'[2]App C Exp'!$A$4:$I$917,9,FALSE)</f>
        <v>0</v>
      </c>
      <c r="P57" s="2"/>
      <c r="Q57" s="2">
        <f>VLOOKUP($A57,'[2]App C Inv'!$A$4:$I$917,5,FALSE)</f>
        <v>22329</v>
      </c>
      <c r="R57" s="2">
        <f>VLOOKUP($A57,'[2]App C Inv'!$A$4:$I$917,6,FALSE)</f>
        <v>-19207</v>
      </c>
      <c r="S57" s="2">
        <f>VLOOKUP($A57,'[2]App C Inv'!$A$4:$I$917,7,FALSE)</f>
        <v>2707</v>
      </c>
      <c r="T57" s="2">
        <f>VLOOKUP($A57,'[2]App C Inv'!$A$4:$I$917,8,FALSE)</f>
        <v>3523</v>
      </c>
      <c r="U57" s="2">
        <f>VLOOKUP($A57,'[2]App C Inv'!$A$4:$I$917,9,FALSE)</f>
        <v>0</v>
      </c>
      <c r="V57" s="2"/>
      <c r="W57" s="2">
        <f>VLOOKUP($A57,'[2]App C Assum'!$A$4:$I$917,5,FALSE)</f>
        <v>25154</v>
      </c>
      <c r="X57" s="2">
        <f>VLOOKUP($A57,'[2]App C Assum'!$A$4:$I$917,6,FALSE)</f>
        <v>20607</v>
      </c>
      <c r="Y57" s="2">
        <f>VLOOKUP($A57,'[2]App C Assum'!$A$4:$I$917,7,FALSE)</f>
        <v>16730</v>
      </c>
      <c r="Z57" s="2">
        <f>VLOOKUP($A57,'[2]App C Assum'!$A$4:$I$917,8,FALSE)</f>
        <v>0</v>
      </c>
      <c r="AA57" s="2">
        <f>VLOOKUP($A57,'[2]App C Assum'!$A$4:$I$917,9,FALSE)</f>
        <v>0</v>
      </c>
      <c r="AB57" s="2"/>
      <c r="AC57" s="2">
        <f>VLOOKUP($A57,'[2]App C Share Outflows'!$A$4:$I$917,5,FALSE)</f>
        <v>5336</v>
      </c>
      <c r="AD57" s="2">
        <f>VLOOKUP($A57,'[2]App C Share Outflows'!$A$4:$I$917,6,FALSE)</f>
        <v>3557</v>
      </c>
      <c r="AE57" s="2">
        <f>VLOOKUP($A57,'[2]App C Share Outflows'!$A$4:$I$917,7,FALSE)</f>
        <v>2633</v>
      </c>
      <c r="AF57" s="2">
        <f>VLOOKUP($A57,'[2]App C Share Outflows'!$A$4:$I$917,8,FALSE)</f>
        <v>2231</v>
      </c>
      <c r="AG57" s="2">
        <f>VLOOKUP($A57,'[2]App C Share Outflows'!$A$4:$I$917,9,FALSE)</f>
        <v>0</v>
      </c>
      <c r="AH57" s="2"/>
      <c r="AI57" s="2">
        <f>VLOOKUP($A57,'[2]App C Share Inflows'!$A$4:$I$917,5,FALSE)</f>
        <v>0</v>
      </c>
      <c r="AJ57" s="2">
        <f>VLOOKUP($A57,'[2]App C Share Inflows'!$A$4:$I$917,6,FALSE)</f>
        <v>0</v>
      </c>
      <c r="AK57" s="2">
        <f>VLOOKUP($A57,'[2]App C Share Inflows'!$A$4:$I$917,7,FALSE)</f>
        <v>0</v>
      </c>
      <c r="AL57" s="2">
        <f>VLOOKUP($A57,'[2]App C Share Inflows'!$A$4:$I$917,8,FALSE)</f>
        <v>0</v>
      </c>
      <c r="AM57" s="2">
        <f>VLOOKUP($A57,'[2]App C Share Inflows'!$A$4:$I$917,6,FALSE)</f>
        <v>0</v>
      </c>
    </row>
    <row r="58" spans="1:39">
      <c r="A58" s="351">
        <v>90307</v>
      </c>
      <c r="B58" s="344" t="s">
        <v>754</v>
      </c>
      <c r="C58" s="235" t="e">
        <f>VLOOKUP(A58,#REF!,10,FALSE)</f>
        <v>#REF!</v>
      </c>
      <c r="E58" s="2">
        <f>VLOOKUP($A58,'[2]App C Total'!$A$4:$I$917,5,FALSE)</f>
        <v>3077</v>
      </c>
      <c r="F58" s="2">
        <f>VLOOKUP($A58,'[2]App C Total'!$A$4:$I$917,6,FALSE)</f>
        <v>1114</v>
      </c>
      <c r="G58" s="2">
        <f>VLOOKUP($A58,'[2]App C Total'!$A$4:$I$917,7,FALSE)</f>
        <v>1650</v>
      </c>
      <c r="H58" s="2">
        <f>VLOOKUP($A58,'[2]App C Total'!$A$4:$I$917,8,FALSE)</f>
        <v>561</v>
      </c>
      <c r="I58" s="2">
        <f>VLOOKUP($A58,'[2]App C Total'!$A$4:$I$917,9,FALSE)</f>
        <v>0</v>
      </c>
      <c r="J58" s="2"/>
      <c r="K58" s="2">
        <f>VLOOKUP($A58,'[2]App C Exp'!$A$4:$I$917,5,FALSE)</f>
        <v>869</v>
      </c>
      <c r="L58" s="2">
        <f>VLOOKUP($A58,'[2]App C Exp'!$A$4:$I$917,6,FALSE)</f>
        <v>817</v>
      </c>
      <c r="M58" s="2">
        <f>VLOOKUP($A58,'[2]App C Exp'!$A$4:$I$917,7,FALSE)</f>
        <v>733</v>
      </c>
      <c r="N58" s="2">
        <f>VLOOKUP($A58,'[2]App C Exp'!$A$4:$I$917,8,FALSE)</f>
        <v>293</v>
      </c>
      <c r="O58" s="2">
        <f>VLOOKUP($A58,'[2]App C Exp'!$A$4:$I$917,9,FALSE)</f>
        <v>0</v>
      </c>
      <c r="P58" s="2"/>
      <c r="Q58" s="2">
        <f>VLOOKUP($A58,'[2]App C Inv'!$A$4:$I$917,5,FALSE)</f>
        <v>922</v>
      </c>
      <c r="R58" s="2">
        <f>VLOOKUP($A58,'[2]App C Inv'!$A$4:$I$917,6,FALSE)</f>
        <v>-793</v>
      </c>
      <c r="S58" s="2">
        <f>VLOOKUP($A58,'[2]App C Inv'!$A$4:$I$917,7,FALSE)</f>
        <v>112</v>
      </c>
      <c r="T58" s="2">
        <f>VLOOKUP($A58,'[2]App C Inv'!$A$4:$I$917,8,FALSE)</f>
        <v>146</v>
      </c>
      <c r="U58" s="2">
        <f>VLOOKUP($A58,'[2]App C Inv'!$A$4:$I$917,9,FALSE)</f>
        <v>0</v>
      </c>
      <c r="V58" s="2"/>
      <c r="W58" s="2">
        <f>VLOOKUP($A58,'[2]App C Assum'!$A$4:$I$917,5,FALSE)</f>
        <v>1039</v>
      </c>
      <c r="X58" s="2">
        <f>VLOOKUP($A58,'[2]App C Assum'!$A$4:$I$917,6,FALSE)</f>
        <v>851</v>
      </c>
      <c r="Y58" s="2">
        <f>VLOOKUP($A58,'[2]App C Assum'!$A$4:$I$917,7,FALSE)</f>
        <v>691</v>
      </c>
      <c r="Z58" s="2">
        <f>VLOOKUP($A58,'[2]App C Assum'!$A$4:$I$917,8,FALSE)</f>
        <v>0</v>
      </c>
      <c r="AA58" s="2">
        <f>VLOOKUP($A58,'[2]App C Assum'!$A$4:$I$917,9,FALSE)</f>
        <v>0</v>
      </c>
      <c r="AB58" s="2"/>
      <c r="AC58" s="2">
        <f>VLOOKUP($A58,'[2]App C Share Outflows'!$A$4:$I$917,5,FALSE)</f>
        <v>255</v>
      </c>
      <c r="AD58" s="2">
        <f>VLOOKUP($A58,'[2]App C Share Outflows'!$A$4:$I$917,6,FALSE)</f>
        <v>247</v>
      </c>
      <c r="AE58" s="2">
        <f>VLOOKUP($A58,'[2]App C Share Outflows'!$A$4:$I$917,7,FALSE)</f>
        <v>122</v>
      </c>
      <c r="AF58" s="2">
        <f>VLOOKUP($A58,'[2]App C Share Outflows'!$A$4:$I$917,8,FALSE)</f>
        <v>122</v>
      </c>
      <c r="AG58" s="2">
        <f>VLOOKUP($A58,'[2]App C Share Outflows'!$A$4:$I$917,9,FALSE)</f>
        <v>0</v>
      </c>
      <c r="AH58" s="2"/>
      <c r="AI58" s="2">
        <f>VLOOKUP($A58,'[2]App C Share Inflows'!$A$4:$I$917,5,FALSE)</f>
        <v>-8</v>
      </c>
      <c r="AJ58" s="2">
        <f>VLOOKUP($A58,'[2]App C Share Inflows'!$A$4:$I$917,6,FALSE)</f>
        <v>-8</v>
      </c>
      <c r="AK58" s="2">
        <f>VLOOKUP($A58,'[2]App C Share Inflows'!$A$4:$I$917,7,FALSE)</f>
        <v>-8</v>
      </c>
      <c r="AL58" s="2">
        <f>VLOOKUP($A58,'[2]App C Share Inflows'!$A$4:$I$917,8,FALSE)</f>
        <v>0</v>
      </c>
      <c r="AM58" s="2">
        <f>VLOOKUP($A58,'[2]App C Share Inflows'!$A$4:$I$917,6,FALSE)</f>
        <v>-8</v>
      </c>
    </row>
    <row r="59" spans="1:39">
      <c r="A59" s="351">
        <v>90401</v>
      </c>
      <c r="B59" s="344" t="s">
        <v>755</v>
      </c>
      <c r="C59" s="235" t="e">
        <f>VLOOKUP(A59,#REF!,10,FALSE)</f>
        <v>#REF!</v>
      </c>
      <c r="E59" s="2">
        <f>VLOOKUP($A59,'[2]App C Total'!$A$4:$I$917,5,FALSE)</f>
        <v>644596</v>
      </c>
      <c r="F59" s="2">
        <f>VLOOKUP($A59,'[2]App C Total'!$A$4:$I$917,6,FALSE)</f>
        <v>208414</v>
      </c>
      <c r="G59" s="2">
        <f>VLOOKUP($A59,'[2]App C Total'!$A$4:$I$917,7,FALSE)</f>
        <v>357837</v>
      </c>
      <c r="H59" s="2">
        <f>VLOOKUP($A59,'[2]App C Total'!$A$4:$I$917,8,FALSE)</f>
        <v>116797</v>
      </c>
      <c r="I59" s="2">
        <f>VLOOKUP($A59,'[2]App C Total'!$A$4:$I$917,9,FALSE)</f>
        <v>0</v>
      </c>
      <c r="J59" s="2"/>
      <c r="K59" s="2">
        <f>VLOOKUP($A59,'[2]App C Exp'!$A$4:$I$917,5,FALSE)</f>
        <v>192891</v>
      </c>
      <c r="L59" s="2">
        <f>VLOOKUP($A59,'[2]App C Exp'!$A$4:$I$917,6,FALSE)</f>
        <v>181449</v>
      </c>
      <c r="M59" s="2">
        <f>VLOOKUP($A59,'[2]App C Exp'!$A$4:$I$917,7,FALSE)</f>
        <v>162630</v>
      </c>
      <c r="N59" s="2">
        <f>VLOOKUP($A59,'[2]App C Exp'!$A$4:$I$917,8,FALSE)</f>
        <v>65115</v>
      </c>
      <c r="O59" s="2">
        <f>VLOOKUP($A59,'[2]App C Exp'!$A$4:$I$917,9,FALSE)</f>
        <v>0</v>
      </c>
      <c r="P59" s="2"/>
      <c r="Q59" s="2">
        <f>VLOOKUP($A59,'[2]App C Inv'!$A$4:$I$917,5,FALSE)</f>
        <v>204781</v>
      </c>
      <c r="R59" s="2">
        <f>VLOOKUP($A59,'[2]App C Inv'!$A$4:$I$917,6,FALSE)</f>
        <v>-176150</v>
      </c>
      <c r="S59" s="2">
        <f>VLOOKUP($A59,'[2]App C Inv'!$A$4:$I$917,7,FALSE)</f>
        <v>24826</v>
      </c>
      <c r="T59" s="2">
        <f>VLOOKUP($A59,'[2]App C Inv'!$A$4:$I$917,8,FALSE)</f>
        <v>32311</v>
      </c>
      <c r="U59" s="2">
        <f>VLOOKUP($A59,'[2]App C Inv'!$A$4:$I$917,9,FALSE)</f>
        <v>0</v>
      </c>
      <c r="V59" s="2"/>
      <c r="W59" s="2">
        <f>VLOOKUP($A59,'[2]App C Assum'!$A$4:$I$917,5,FALSE)</f>
        <v>230689</v>
      </c>
      <c r="X59" s="2">
        <f>VLOOKUP($A59,'[2]App C Assum'!$A$4:$I$917,6,FALSE)</f>
        <v>188989</v>
      </c>
      <c r="Y59" s="2">
        <f>VLOOKUP($A59,'[2]App C Assum'!$A$4:$I$917,7,FALSE)</f>
        <v>153427</v>
      </c>
      <c r="Z59" s="2">
        <f>VLOOKUP($A59,'[2]App C Assum'!$A$4:$I$917,8,FALSE)</f>
        <v>0</v>
      </c>
      <c r="AA59" s="2">
        <f>VLOOKUP($A59,'[2]App C Assum'!$A$4:$I$917,9,FALSE)</f>
        <v>0</v>
      </c>
      <c r="AB59" s="2"/>
      <c r="AC59" s="2">
        <f>VLOOKUP($A59,'[2]App C Share Outflows'!$A$4:$I$917,5,FALSE)</f>
        <v>21478</v>
      </c>
      <c r="AD59" s="2">
        <f>VLOOKUP($A59,'[2]App C Share Outflows'!$A$4:$I$917,6,FALSE)</f>
        <v>19370</v>
      </c>
      <c r="AE59" s="2">
        <f>VLOOKUP($A59,'[2]App C Share Outflows'!$A$4:$I$917,7,FALSE)</f>
        <v>19370</v>
      </c>
      <c r="AF59" s="2">
        <f>VLOOKUP($A59,'[2]App C Share Outflows'!$A$4:$I$917,8,FALSE)</f>
        <v>19371</v>
      </c>
      <c r="AG59" s="2">
        <f>VLOOKUP($A59,'[2]App C Share Outflows'!$A$4:$I$917,9,FALSE)</f>
        <v>0</v>
      </c>
      <c r="AH59" s="2"/>
      <c r="AI59" s="2">
        <f>VLOOKUP($A59,'[2]App C Share Inflows'!$A$4:$I$917,5,FALSE)</f>
        <v>-5243</v>
      </c>
      <c r="AJ59" s="2">
        <f>VLOOKUP($A59,'[2]App C Share Inflows'!$A$4:$I$917,6,FALSE)</f>
        <v>-5244</v>
      </c>
      <c r="AK59" s="2">
        <f>VLOOKUP($A59,'[2]App C Share Inflows'!$A$4:$I$917,7,FALSE)</f>
        <v>-2416</v>
      </c>
      <c r="AL59" s="2">
        <f>VLOOKUP($A59,'[2]App C Share Inflows'!$A$4:$I$917,8,FALSE)</f>
        <v>0</v>
      </c>
      <c r="AM59" s="2">
        <f>VLOOKUP($A59,'[2]App C Share Inflows'!$A$4:$I$917,6,FALSE)</f>
        <v>-5244</v>
      </c>
    </row>
    <row r="60" spans="1:39">
      <c r="A60" s="351">
        <v>90411</v>
      </c>
      <c r="B60" s="344" t="s">
        <v>756</v>
      </c>
      <c r="C60" s="235" t="e">
        <f>VLOOKUP(A60,#REF!,10,FALSE)</f>
        <v>#REF!</v>
      </c>
      <c r="E60" s="2">
        <f>VLOOKUP($A60,'[2]App C Total'!$A$4:$I$917,5,FALSE)</f>
        <v>143861</v>
      </c>
      <c r="F60" s="2">
        <f>VLOOKUP($A60,'[2]App C Total'!$A$4:$I$917,6,FALSE)</f>
        <v>39557</v>
      </c>
      <c r="G60" s="2">
        <f>VLOOKUP($A60,'[2]App C Total'!$A$4:$I$917,7,FALSE)</f>
        <v>79464</v>
      </c>
      <c r="H60" s="2">
        <f>VLOOKUP($A60,'[2]App C Total'!$A$4:$I$917,8,FALSE)</f>
        <v>19638</v>
      </c>
      <c r="I60" s="2">
        <f>VLOOKUP($A60,'[2]App C Total'!$A$4:$I$917,9,FALSE)</f>
        <v>0</v>
      </c>
      <c r="J60" s="2"/>
      <c r="K60" s="2">
        <f>VLOOKUP($A60,'[2]App C Exp'!$A$4:$I$917,5,FALSE)</f>
        <v>49331</v>
      </c>
      <c r="L60" s="2">
        <f>VLOOKUP($A60,'[2]App C Exp'!$A$4:$I$917,6,FALSE)</f>
        <v>46405</v>
      </c>
      <c r="M60" s="2">
        <f>VLOOKUP($A60,'[2]App C Exp'!$A$4:$I$917,7,FALSE)</f>
        <v>41592</v>
      </c>
      <c r="N60" s="2">
        <f>VLOOKUP($A60,'[2]App C Exp'!$A$4:$I$917,8,FALSE)</f>
        <v>16653</v>
      </c>
      <c r="O60" s="2">
        <f>VLOOKUP($A60,'[2]App C Exp'!$A$4:$I$917,9,FALSE)</f>
        <v>0</v>
      </c>
      <c r="P60" s="2"/>
      <c r="Q60" s="2">
        <f>VLOOKUP($A60,'[2]App C Inv'!$A$4:$I$917,5,FALSE)</f>
        <v>52372</v>
      </c>
      <c r="R60" s="2">
        <f>VLOOKUP($A60,'[2]App C Inv'!$A$4:$I$917,6,FALSE)</f>
        <v>-45050</v>
      </c>
      <c r="S60" s="2">
        <f>VLOOKUP($A60,'[2]App C Inv'!$A$4:$I$917,7,FALSE)</f>
        <v>6349</v>
      </c>
      <c r="T60" s="2">
        <f>VLOOKUP($A60,'[2]App C Inv'!$A$4:$I$917,8,FALSE)</f>
        <v>8263</v>
      </c>
      <c r="U60" s="2">
        <f>VLOOKUP($A60,'[2]App C Inv'!$A$4:$I$917,9,FALSE)</f>
        <v>0</v>
      </c>
      <c r="V60" s="2"/>
      <c r="W60" s="2">
        <f>VLOOKUP($A60,'[2]App C Assum'!$A$4:$I$917,5,FALSE)</f>
        <v>58998</v>
      </c>
      <c r="X60" s="2">
        <f>VLOOKUP($A60,'[2]App C Assum'!$A$4:$I$917,6,FALSE)</f>
        <v>48333</v>
      </c>
      <c r="Y60" s="2">
        <f>VLOOKUP($A60,'[2]App C Assum'!$A$4:$I$917,7,FALSE)</f>
        <v>39238</v>
      </c>
      <c r="Z60" s="2">
        <f>VLOOKUP($A60,'[2]App C Assum'!$A$4:$I$917,8,FALSE)</f>
        <v>0</v>
      </c>
      <c r="AA60" s="2">
        <f>VLOOKUP($A60,'[2]App C Assum'!$A$4:$I$917,9,FALSE)</f>
        <v>0</v>
      </c>
      <c r="AB60" s="2"/>
      <c r="AC60" s="2">
        <f>VLOOKUP($A60,'[2]App C Share Outflows'!$A$4:$I$917,5,FALSE)</f>
        <v>0</v>
      </c>
      <c r="AD60" s="2">
        <f>VLOOKUP($A60,'[2]App C Share Outflows'!$A$4:$I$917,6,FALSE)</f>
        <v>0</v>
      </c>
      <c r="AE60" s="2">
        <f>VLOOKUP($A60,'[2]App C Share Outflows'!$A$4:$I$917,7,FALSE)</f>
        <v>0</v>
      </c>
      <c r="AF60" s="2">
        <f>VLOOKUP($A60,'[2]App C Share Outflows'!$A$4:$I$917,8,FALSE)</f>
        <v>0</v>
      </c>
      <c r="AG60" s="2">
        <f>VLOOKUP($A60,'[2]App C Share Outflows'!$A$4:$I$917,9,FALSE)</f>
        <v>0</v>
      </c>
      <c r="AH60" s="2"/>
      <c r="AI60" s="2">
        <f>VLOOKUP($A60,'[2]App C Share Inflows'!$A$4:$I$917,5,FALSE)</f>
        <v>-16840</v>
      </c>
      <c r="AJ60" s="2">
        <f>VLOOKUP($A60,'[2]App C Share Inflows'!$A$4:$I$917,6,FALSE)</f>
        <v>-10131</v>
      </c>
      <c r="AK60" s="2">
        <f>VLOOKUP($A60,'[2]App C Share Inflows'!$A$4:$I$917,7,FALSE)</f>
        <v>-7715</v>
      </c>
      <c r="AL60" s="2">
        <f>VLOOKUP($A60,'[2]App C Share Inflows'!$A$4:$I$917,8,FALSE)</f>
        <v>-5278</v>
      </c>
      <c r="AM60" s="2">
        <f>VLOOKUP($A60,'[2]App C Share Inflows'!$A$4:$I$917,6,FALSE)</f>
        <v>-10131</v>
      </c>
    </row>
    <row r="61" spans="1:39">
      <c r="A61" s="351">
        <v>90413</v>
      </c>
      <c r="B61" s="344" t="s">
        <v>757</v>
      </c>
      <c r="C61" s="235" t="e">
        <f>VLOOKUP(A61,#REF!,10,FALSE)</f>
        <v>#REF!</v>
      </c>
      <c r="E61" s="2">
        <f>VLOOKUP($A61,'[2]App C Total'!$A$4:$I$917,5,FALSE)</f>
        <v>17965</v>
      </c>
      <c r="F61" s="2">
        <f>VLOOKUP($A61,'[2]App C Total'!$A$4:$I$917,6,FALSE)</f>
        <v>5875</v>
      </c>
      <c r="G61" s="2">
        <f>VLOOKUP($A61,'[2]App C Total'!$A$4:$I$917,7,FALSE)</f>
        <v>10078</v>
      </c>
      <c r="H61" s="2">
        <f>VLOOKUP($A61,'[2]App C Total'!$A$4:$I$917,8,FALSE)</f>
        <v>3042</v>
      </c>
      <c r="I61" s="2">
        <f>VLOOKUP($A61,'[2]App C Total'!$A$4:$I$917,9,FALSE)</f>
        <v>0</v>
      </c>
      <c r="J61" s="2"/>
      <c r="K61" s="2">
        <f>VLOOKUP($A61,'[2]App C Exp'!$A$4:$I$917,5,FALSE)</f>
        <v>5228</v>
      </c>
      <c r="L61" s="2">
        <f>VLOOKUP($A61,'[2]App C Exp'!$A$4:$I$917,6,FALSE)</f>
        <v>4918</v>
      </c>
      <c r="M61" s="2">
        <f>VLOOKUP($A61,'[2]App C Exp'!$A$4:$I$917,7,FALSE)</f>
        <v>4408</v>
      </c>
      <c r="N61" s="2">
        <f>VLOOKUP($A61,'[2]App C Exp'!$A$4:$I$917,8,FALSE)</f>
        <v>1765</v>
      </c>
      <c r="O61" s="2">
        <f>VLOOKUP($A61,'[2]App C Exp'!$A$4:$I$917,9,FALSE)</f>
        <v>0</v>
      </c>
      <c r="P61" s="2"/>
      <c r="Q61" s="2">
        <f>VLOOKUP($A61,'[2]App C Inv'!$A$4:$I$917,5,FALSE)</f>
        <v>5551</v>
      </c>
      <c r="R61" s="2">
        <f>VLOOKUP($A61,'[2]App C Inv'!$A$4:$I$917,6,FALSE)</f>
        <v>-4774</v>
      </c>
      <c r="S61" s="2">
        <f>VLOOKUP($A61,'[2]App C Inv'!$A$4:$I$917,7,FALSE)</f>
        <v>673</v>
      </c>
      <c r="T61" s="2">
        <f>VLOOKUP($A61,'[2]App C Inv'!$A$4:$I$917,8,FALSE)</f>
        <v>876</v>
      </c>
      <c r="U61" s="2">
        <f>VLOOKUP($A61,'[2]App C Inv'!$A$4:$I$917,9,FALSE)</f>
        <v>0</v>
      </c>
      <c r="V61" s="2"/>
      <c r="W61" s="2">
        <f>VLOOKUP($A61,'[2]App C Assum'!$A$4:$I$917,5,FALSE)</f>
        <v>6253</v>
      </c>
      <c r="X61" s="2">
        <f>VLOOKUP($A61,'[2]App C Assum'!$A$4:$I$917,6,FALSE)</f>
        <v>5122</v>
      </c>
      <c r="Y61" s="2">
        <f>VLOOKUP($A61,'[2]App C Assum'!$A$4:$I$917,7,FALSE)</f>
        <v>4159</v>
      </c>
      <c r="Z61" s="2">
        <f>VLOOKUP($A61,'[2]App C Assum'!$A$4:$I$917,8,FALSE)</f>
        <v>0</v>
      </c>
      <c r="AA61" s="2">
        <f>VLOOKUP($A61,'[2]App C Assum'!$A$4:$I$917,9,FALSE)</f>
        <v>0</v>
      </c>
      <c r="AB61" s="2"/>
      <c r="AC61" s="2">
        <f>VLOOKUP($A61,'[2]App C Share Outflows'!$A$4:$I$917,5,FALSE)</f>
        <v>1162</v>
      </c>
      <c r="AD61" s="2">
        <f>VLOOKUP($A61,'[2]App C Share Outflows'!$A$4:$I$917,6,FALSE)</f>
        <v>838</v>
      </c>
      <c r="AE61" s="2">
        <f>VLOOKUP($A61,'[2]App C Share Outflows'!$A$4:$I$917,7,FALSE)</f>
        <v>838</v>
      </c>
      <c r="AF61" s="2">
        <f>VLOOKUP($A61,'[2]App C Share Outflows'!$A$4:$I$917,8,FALSE)</f>
        <v>401</v>
      </c>
      <c r="AG61" s="2">
        <f>VLOOKUP($A61,'[2]App C Share Outflows'!$A$4:$I$917,9,FALSE)</f>
        <v>0</v>
      </c>
      <c r="AH61" s="2"/>
      <c r="AI61" s="2">
        <f>VLOOKUP($A61,'[2]App C Share Inflows'!$A$4:$I$917,5,FALSE)</f>
        <v>-229</v>
      </c>
      <c r="AJ61" s="2">
        <f>VLOOKUP($A61,'[2]App C Share Inflows'!$A$4:$I$917,6,FALSE)</f>
        <v>-229</v>
      </c>
      <c r="AK61" s="2">
        <f>VLOOKUP($A61,'[2]App C Share Inflows'!$A$4:$I$917,7,FALSE)</f>
        <v>0</v>
      </c>
      <c r="AL61" s="2">
        <f>VLOOKUP($A61,'[2]App C Share Inflows'!$A$4:$I$917,8,FALSE)</f>
        <v>0</v>
      </c>
      <c r="AM61" s="2">
        <f>VLOOKUP($A61,'[2]App C Share Inflows'!$A$4:$I$917,6,FALSE)</f>
        <v>-229</v>
      </c>
    </row>
    <row r="62" spans="1:39">
      <c r="A62" s="351">
        <v>90417</v>
      </c>
      <c r="B62" s="344" t="s">
        <v>758</v>
      </c>
      <c r="C62" s="235" t="e">
        <f>VLOOKUP(A62,#REF!,10,FALSE)</f>
        <v>#REF!</v>
      </c>
      <c r="E62" s="2">
        <f>VLOOKUP($A62,'[2]App C Total'!$A$4:$I$917,5,FALSE)</f>
        <v>6995</v>
      </c>
      <c r="F62" s="2">
        <f>VLOOKUP($A62,'[2]App C Total'!$A$4:$I$917,6,FALSE)</f>
        <v>3183</v>
      </c>
      <c r="G62" s="2">
        <f>VLOOKUP($A62,'[2]App C Total'!$A$4:$I$917,7,FALSE)</f>
        <v>3854</v>
      </c>
      <c r="H62" s="2">
        <f>VLOOKUP($A62,'[2]App C Total'!$A$4:$I$917,8,FALSE)</f>
        <v>1196</v>
      </c>
      <c r="I62" s="2">
        <f>VLOOKUP($A62,'[2]App C Total'!$A$4:$I$917,9,FALSE)</f>
        <v>0</v>
      </c>
      <c r="J62" s="2"/>
      <c r="K62" s="2">
        <f>VLOOKUP($A62,'[2]App C Exp'!$A$4:$I$917,5,FALSE)</f>
        <v>1588</v>
      </c>
      <c r="L62" s="2">
        <f>VLOOKUP($A62,'[2]App C Exp'!$A$4:$I$917,6,FALSE)</f>
        <v>1494</v>
      </c>
      <c r="M62" s="2">
        <f>VLOOKUP($A62,'[2]App C Exp'!$A$4:$I$917,7,FALSE)</f>
        <v>1339</v>
      </c>
      <c r="N62" s="2">
        <f>VLOOKUP($A62,'[2]App C Exp'!$A$4:$I$917,8,FALSE)</f>
        <v>536</v>
      </c>
      <c r="O62" s="2">
        <f>VLOOKUP($A62,'[2]App C Exp'!$A$4:$I$917,9,FALSE)</f>
        <v>0</v>
      </c>
      <c r="P62" s="2"/>
      <c r="Q62" s="2">
        <f>VLOOKUP($A62,'[2]App C Inv'!$A$4:$I$917,5,FALSE)</f>
        <v>1686</v>
      </c>
      <c r="R62" s="2">
        <f>VLOOKUP($A62,'[2]App C Inv'!$A$4:$I$917,6,FALSE)</f>
        <v>-1450</v>
      </c>
      <c r="S62" s="2">
        <f>VLOOKUP($A62,'[2]App C Inv'!$A$4:$I$917,7,FALSE)</f>
        <v>204</v>
      </c>
      <c r="T62" s="2">
        <f>VLOOKUP($A62,'[2]App C Inv'!$A$4:$I$917,8,FALSE)</f>
        <v>266</v>
      </c>
      <c r="U62" s="2">
        <f>VLOOKUP($A62,'[2]App C Inv'!$A$4:$I$917,9,FALSE)</f>
        <v>0</v>
      </c>
      <c r="V62" s="2"/>
      <c r="W62" s="2">
        <f>VLOOKUP($A62,'[2]App C Assum'!$A$4:$I$917,5,FALSE)</f>
        <v>1899</v>
      </c>
      <c r="X62" s="2">
        <f>VLOOKUP($A62,'[2]App C Assum'!$A$4:$I$917,6,FALSE)</f>
        <v>1556</v>
      </c>
      <c r="Y62" s="2">
        <f>VLOOKUP($A62,'[2]App C Assum'!$A$4:$I$917,7,FALSE)</f>
        <v>1263</v>
      </c>
      <c r="Z62" s="2">
        <f>VLOOKUP($A62,'[2]App C Assum'!$A$4:$I$917,8,FALSE)</f>
        <v>0</v>
      </c>
      <c r="AA62" s="2">
        <f>VLOOKUP($A62,'[2]App C Assum'!$A$4:$I$917,9,FALSE)</f>
        <v>0</v>
      </c>
      <c r="AB62" s="2"/>
      <c r="AC62" s="2">
        <f>VLOOKUP($A62,'[2]App C Share Outflows'!$A$4:$I$917,5,FALSE)</f>
        <v>1822</v>
      </c>
      <c r="AD62" s="2">
        <f>VLOOKUP($A62,'[2]App C Share Outflows'!$A$4:$I$917,6,FALSE)</f>
        <v>1583</v>
      </c>
      <c r="AE62" s="2">
        <f>VLOOKUP($A62,'[2]App C Share Outflows'!$A$4:$I$917,7,FALSE)</f>
        <v>1048</v>
      </c>
      <c r="AF62" s="2">
        <f>VLOOKUP($A62,'[2]App C Share Outflows'!$A$4:$I$917,8,FALSE)</f>
        <v>394</v>
      </c>
      <c r="AG62" s="2">
        <f>VLOOKUP($A62,'[2]App C Share Outflows'!$A$4:$I$917,9,FALSE)</f>
        <v>0</v>
      </c>
      <c r="AH62" s="2"/>
      <c r="AI62" s="2">
        <f>VLOOKUP($A62,'[2]App C Share Inflows'!$A$4:$I$917,5,FALSE)</f>
        <v>0</v>
      </c>
      <c r="AJ62" s="2">
        <f>VLOOKUP($A62,'[2]App C Share Inflows'!$A$4:$I$917,6,FALSE)</f>
        <v>0</v>
      </c>
      <c r="AK62" s="2">
        <f>VLOOKUP($A62,'[2]App C Share Inflows'!$A$4:$I$917,7,FALSE)</f>
        <v>0</v>
      </c>
      <c r="AL62" s="2">
        <f>VLOOKUP($A62,'[2]App C Share Inflows'!$A$4:$I$917,8,FALSE)</f>
        <v>0</v>
      </c>
      <c r="AM62" s="2">
        <f>VLOOKUP($A62,'[2]App C Share Inflows'!$A$4:$I$917,6,FALSE)</f>
        <v>0</v>
      </c>
    </row>
    <row r="63" spans="1:39">
      <c r="A63" s="351">
        <v>90421</v>
      </c>
      <c r="B63" s="344" t="s">
        <v>759</v>
      </c>
      <c r="C63" s="235" t="e">
        <f>VLOOKUP(A63,#REF!,10,FALSE)</f>
        <v>#REF!</v>
      </c>
      <c r="E63" s="2">
        <f>VLOOKUP($A63,'[2]App C Total'!$A$4:$I$917,5,FALSE)</f>
        <v>7829</v>
      </c>
      <c r="F63" s="2">
        <f>VLOOKUP($A63,'[2]App C Total'!$A$4:$I$917,6,FALSE)</f>
        <v>1633</v>
      </c>
      <c r="G63" s="2">
        <f>VLOOKUP($A63,'[2]App C Total'!$A$4:$I$917,7,FALSE)</f>
        <v>4475</v>
      </c>
      <c r="H63" s="2">
        <f>VLOOKUP($A63,'[2]App C Total'!$A$4:$I$917,8,FALSE)</f>
        <v>1156</v>
      </c>
      <c r="I63" s="2">
        <f>VLOOKUP($A63,'[2]App C Total'!$A$4:$I$917,9,FALSE)</f>
        <v>0</v>
      </c>
      <c r="J63" s="2"/>
      <c r="K63" s="2">
        <f>VLOOKUP($A63,'[2]App C Exp'!$A$4:$I$917,5,FALSE)</f>
        <v>2966</v>
      </c>
      <c r="L63" s="2">
        <f>VLOOKUP($A63,'[2]App C Exp'!$A$4:$I$917,6,FALSE)</f>
        <v>2790</v>
      </c>
      <c r="M63" s="2">
        <f>VLOOKUP($A63,'[2]App C Exp'!$A$4:$I$917,7,FALSE)</f>
        <v>2501</v>
      </c>
      <c r="N63" s="2">
        <f>VLOOKUP($A63,'[2]App C Exp'!$A$4:$I$917,8,FALSE)</f>
        <v>1001</v>
      </c>
      <c r="O63" s="2">
        <f>VLOOKUP($A63,'[2]App C Exp'!$A$4:$I$917,9,FALSE)</f>
        <v>0</v>
      </c>
      <c r="P63" s="2"/>
      <c r="Q63" s="2">
        <f>VLOOKUP($A63,'[2]App C Inv'!$A$4:$I$917,5,FALSE)</f>
        <v>3149</v>
      </c>
      <c r="R63" s="2">
        <f>VLOOKUP($A63,'[2]App C Inv'!$A$4:$I$917,6,FALSE)</f>
        <v>-2709</v>
      </c>
      <c r="S63" s="2">
        <f>VLOOKUP($A63,'[2]App C Inv'!$A$4:$I$917,7,FALSE)</f>
        <v>382</v>
      </c>
      <c r="T63" s="2">
        <f>VLOOKUP($A63,'[2]App C Inv'!$A$4:$I$917,8,FALSE)</f>
        <v>497</v>
      </c>
      <c r="U63" s="2">
        <f>VLOOKUP($A63,'[2]App C Inv'!$A$4:$I$917,9,FALSE)</f>
        <v>0</v>
      </c>
      <c r="V63" s="2"/>
      <c r="W63" s="2">
        <f>VLOOKUP($A63,'[2]App C Assum'!$A$4:$I$917,5,FALSE)</f>
        <v>3547</v>
      </c>
      <c r="X63" s="2">
        <f>VLOOKUP($A63,'[2]App C Assum'!$A$4:$I$917,6,FALSE)</f>
        <v>2906</v>
      </c>
      <c r="Y63" s="2">
        <f>VLOOKUP($A63,'[2]App C Assum'!$A$4:$I$917,7,FALSE)</f>
        <v>2359</v>
      </c>
      <c r="Z63" s="2">
        <f>VLOOKUP($A63,'[2]App C Assum'!$A$4:$I$917,8,FALSE)</f>
        <v>0</v>
      </c>
      <c r="AA63" s="2">
        <f>VLOOKUP($A63,'[2]App C Assum'!$A$4:$I$917,9,FALSE)</f>
        <v>0</v>
      </c>
      <c r="AB63" s="2"/>
      <c r="AC63" s="2">
        <f>VLOOKUP($A63,'[2]App C Share Outflows'!$A$4:$I$917,5,FALSE)</f>
        <v>0</v>
      </c>
      <c r="AD63" s="2">
        <f>VLOOKUP($A63,'[2]App C Share Outflows'!$A$4:$I$917,6,FALSE)</f>
        <v>0</v>
      </c>
      <c r="AE63" s="2">
        <f>VLOOKUP($A63,'[2]App C Share Outflows'!$A$4:$I$917,7,FALSE)</f>
        <v>0</v>
      </c>
      <c r="AF63" s="2">
        <f>VLOOKUP($A63,'[2]App C Share Outflows'!$A$4:$I$917,8,FALSE)</f>
        <v>0</v>
      </c>
      <c r="AG63" s="2">
        <f>VLOOKUP($A63,'[2]App C Share Outflows'!$A$4:$I$917,9,FALSE)</f>
        <v>0</v>
      </c>
      <c r="AH63" s="2"/>
      <c r="AI63" s="2">
        <f>VLOOKUP($A63,'[2]App C Share Inflows'!$A$4:$I$917,5,FALSE)</f>
        <v>-1833</v>
      </c>
      <c r="AJ63" s="2">
        <f>VLOOKUP($A63,'[2]App C Share Inflows'!$A$4:$I$917,6,FALSE)</f>
        <v>-1354</v>
      </c>
      <c r="AK63" s="2">
        <f>VLOOKUP($A63,'[2]App C Share Inflows'!$A$4:$I$917,7,FALSE)</f>
        <v>-767</v>
      </c>
      <c r="AL63" s="2">
        <f>VLOOKUP($A63,'[2]App C Share Inflows'!$A$4:$I$917,8,FALSE)</f>
        <v>-342</v>
      </c>
      <c r="AM63" s="2">
        <f>VLOOKUP($A63,'[2]App C Share Inflows'!$A$4:$I$917,6,FALSE)</f>
        <v>-1354</v>
      </c>
    </row>
    <row r="64" spans="1:39">
      <c r="A64" s="351">
        <v>90431</v>
      </c>
      <c r="B64" s="344" t="s">
        <v>760</v>
      </c>
      <c r="C64" s="235" t="e">
        <f>VLOOKUP(A64,#REF!,10,FALSE)</f>
        <v>#REF!</v>
      </c>
      <c r="E64" s="2">
        <f>VLOOKUP($A64,'[2]App C Total'!$A$4:$I$917,5,FALSE)</f>
        <v>24238</v>
      </c>
      <c r="F64" s="2">
        <f>VLOOKUP($A64,'[2]App C Total'!$A$4:$I$917,6,FALSE)</f>
        <v>8404</v>
      </c>
      <c r="G64" s="2">
        <f>VLOOKUP($A64,'[2]App C Total'!$A$4:$I$917,7,FALSE)</f>
        <v>13025</v>
      </c>
      <c r="H64" s="2">
        <f>VLOOKUP($A64,'[2]App C Total'!$A$4:$I$917,8,FALSE)</f>
        <v>4288</v>
      </c>
      <c r="I64" s="2">
        <f>VLOOKUP($A64,'[2]App C Total'!$A$4:$I$917,9,FALSE)</f>
        <v>0</v>
      </c>
      <c r="J64" s="2"/>
      <c r="K64" s="2">
        <f>VLOOKUP($A64,'[2]App C Exp'!$A$4:$I$917,5,FALSE)</f>
        <v>7206</v>
      </c>
      <c r="L64" s="2">
        <f>VLOOKUP($A64,'[2]App C Exp'!$A$4:$I$917,6,FALSE)</f>
        <v>6778</v>
      </c>
      <c r="M64" s="2">
        <f>VLOOKUP($A64,'[2]App C Exp'!$A$4:$I$917,7,FALSE)</f>
        <v>6075</v>
      </c>
      <c r="N64" s="2">
        <f>VLOOKUP($A64,'[2]App C Exp'!$A$4:$I$917,8,FALSE)</f>
        <v>2432</v>
      </c>
      <c r="O64" s="2">
        <f>VLOOKUP($A64,'[2]App C Exp'!$A$4:$I$917,9,FALSE)</f>
        <v>0</v>
      </c>
      <c r="P64" s="2"/>
      <c r="Q64" s="2">
        <f>VLOOKUP($A64,'[2]App C Inv'!$A$4:$I$917,5,FALSE)</f>
        <v>7650</v>
      </c>
      <c r="R64" s="2">
        <f>VLOOKUP($A64,'[2]App C Inv'!$A$4:$I$917,6,FALSE)</f>
        <v>-6580</v>
      </c>
      <c r="S64" s="2">
        <f>VLOOKUP($A64,'[2]App C Inv'!$A$4:$I$917,7,FALSE)</f>
        <v>927</v>
      </c>
      <c r="T64" s="2">
        <f>VLOOKUP($A64,'[2]App C Inv'!$A$4:$I$917,8,FALSE)</f>
        <v>1207</v>
      </c>
      <c r="U64" s="2">
        <f>VLOOKUP($A64,'[2]App C Inv'!$A$4:$I$917,9,FALSE)</f>
        <v>0</v>
      </c>
      <c r="V64" s="2"/>
      <c r="W64" s="2">
        <f>VLOOKUP($A64,'[2]App C Assum'!$A$4:$I$917,5,FALSE)</f>
        <v>8618</v>
      </c>
      <c r="X64" s="2">
        <f>VLOOKUP($A64,'[2]App C Assum'!$A$4:$I$917,6,FALSE)</f>
        <v>7060</v>
      </c>
      <c r="Y64" s="2">
        <f>VLOOKUP($A64,'[2]App C Assum'!$A$4:$I$917,7,FALSE)</f>
        <v>5731</v>
      </c>
      <c r="Z64" s="2">
        <f>VLOOKUP($A64,'[2]App C Assum'!$A$4:$I$917,8,FALSE)</f>
        <v>0</v>
      </c>
      <c r="AA64" s="2">
        <f>VLOOKUP($A64,'[2]App C Assum'!$A$4:$I$917,9,FALSE)</f>
        <v>0</v>
      </c>
      <c r="AB64" s="2"/>
      <c r="AC64" s="2">
        <f>VLOOKUP($A64,'[2]App C Share Outflows'!$A$4:$I$917,5,FALSE)</f>
        <v>1507</v>
      </c>
      <c r="AD64" s="2">
        <f>VLOOKUP($A64,'[2]App C Share Outflows'!$A$4:$I$917,6,FALSE)</f>
        <v>1506</v>
      </c>
      <c r="AE64" s="2">
        <f>VLOOKUP($A64,'[2]App C Share Outflows'!$A$4:$I$917,7,FALSE)</f>
        <v>651</v>
      </c>
      <c r="AF64" s="2">
        <f>VLOOKUP($A64,'[2]App C Share Outflows'!$A$4:$I$917,8,FALSE)</f>
        <v>649</v>
      </c>
      <c r="AG64" s="2">
        <f>VLOOKUP($A64,'[2]App C Share Outflows'!$A$4:$I$917,9,FALSE)</f>
        <v>0</v>
      </c>
      <c r="AH64" s="2"/>
      <c r="AI64" s="2">
        <f>VLOOKUP($A64,'[2]App C Share Inflows'!$A$4:$I$917,5,FALSE)</f>
        <v>-743</v>
      </c>
      <c r="AJ64" s="2">
        <f>VLOOKUP($A64,'[2]App C Share Inflows'!$A$4:$I$917,6,FALSE)</f>
        <v>-360</v>
      </c>
      <c r="AK64" s="2">
        <f>VLOOKUP($A64,'[2]App C Share Inflows'!$A$4:$I$917,7,FALSE)</f>
        <v>-359</v>
      </c>
      <c r="AL64" s="2">
        <f>VLOOKUP($A64,'[2]App C Share Inflows'!$A$4:$I$917,8,FALSE)</f>
        <v>0</v>
      </c>
      <c r="AM64" s="2">
        <f>VLOOKUP($A64,'[2]App C Share Inflows'!$A$4:$I$917,6,FALSE)</f>
        <v>-360</v>
      </c>
    </row>
    <row r="65" spans="1:39">
      <c r="A65" s="351">
        <v>90441</v>
      </c>
      <c r="B65" s="344" t="s">
        <v>761</v>
      </c>
      <c r="C65" s="235" t="e">
        <f>VLOOKUP(A65,#REF!,10,FALSE)</f>
        <v>#REF!</v>
      </c>
      <c r="E65" s="2">
        <f>VLOOKUP($A65,'[2]App C Total'!$A$4:$I$917,5,FALSE)</f>
        <v>3721</v>
      </c>
      <c r="F65" s="2">
        <f>VLOOKUP($A65,'[2]App C Total'!$A$4:$I$917,6,FALSE)</f>
        <v>1427</v>
      </c>
      <c r="G65" s="2">
        <f>VLOOKUP($A65,'[2]App C Total'!$A$4:$I$917,7,FALSE)</f>
        <v>2144</v>
      </c>
      <c r="H65" s="2">
        <f>VLOOKUP($A65,'[2]App C Total'!$A$4:$I$917,8,FALSE)</f>
        <v>724</v>
      </c>
      <c r="I65" s="2">
        <f>VLOOKUP($A65,'[2]App C Total'!$A$4:$I$917,9,FALSE)</f>
        <v>0</v>
      </c>
      <c r="J65" s="2"/>
      <c r="K65" s="2">
        <f>VLOOKUP($A65,'[2]App C Exp'!$A$4:$I$917,5,FALSE)</f>
        <v>1004</v>
      </c>
      <c r="L65" s="2">
        <f>VLOOKUP($A65,'[2]App C Exp'!$A$4:$I$917,6,FALSE)</f>
        <v>944</v>
      </c>
      <c r="M65" s="2">
        <f>VLOOKUP($A65,'[2]App C Exp'!$A$4:$I$917,7,FALSE)</f>
        <v>846</v>
      </c>
      <c r="N65" s="2">
        <f>VLOOKUP($A65,'[2]App C Exp'!$A$4:$I$917,8,FALSE)</f>
        <v>339</v>
      </c>
      <c r="O65" s="2">
        <f>VLOOKUP($A65,'[2]App C Exp'!$A$4:$I$917,9,FALSE)</f>
        <v>0</v>
      </c>
      <c r="P65" s="2"/>
      <c r="Q65" s="2">
        <f>VLOOKUP($A65,'[2]App C Inv'!$A$4:$I$917,5,FALSE)</f>
        <v>1066</v>
      </c>
      <c r="R65" s="2">
        <f>VLOOKUP($A65,'[2]App C Inv'!$A$4:$I$917,6,FALSE)</f>
        <v>-917</v>
      </c>
      <c r="S65" s="2">
        <f>VLOOKUP($A65,'[2]App C Inv'!$A$4:$I$917,7,FALSE)</f>
        <v>129</v>
      </c>
      <c r="T65" s="2">
        <f>VLOOKUP($A65,'[2]App C Inv'!$A$4:$I$917,8,FALSE)</f>
        <v>168</v>
      </c>
      <c r="U65" s="2">
        <f>VLOOKUP($A65,'[2]App C Inv'!$A$4:$I$917,9,FALSE)</f>
        <v>0</v>
      </c>
      <c r="V65" s="2"/>
      <c r="W65" s="2">
        <f>VLOOKUP($A65,'[2]App C Assum'!$A$4:$I$917,5,FALSE)</f>
        <v>1200</v>
      </c>
      <c r="X65" s="2">
        <f>VLOOKUP($A65,'[2]App C Assum'!$A$4:$I$917,6,FALSE)</f>
        <v>983</v>
      </c>
      <c r="Y65" s="2">
        <f>VLOOKUP($A65,'[2]App C Assum'!$A$4:$I$917,7,FALSE)</f>
        <v>798</v>
      </c>
      <c r="Z65" s="2">
        <f>VLOOKUP($A65,'[2]App C Assum'!$A$4:$I$917,8,FALSE)</f>
        <v>0</v>
      </c>
      <c r="AA65" s="2">
        <f>VLOOKUP($A65,'[2]App C Assum'!$A$4:$I$917,9,FALSE)</f>
        <v>0</v>
      </c>
      <c r="AB65" s="2"/>
      <c r="AC65" s="2">
        <f>VLOOKUP($A65,'[2]App C Share Outflows'!$A$4:$I$917,5,FALSE)</f>
        <v>451</v>
      </c>
      <c r="AD65" s="2">
        <f>VLOOKUP($A65,'[2]App C Share Outflows'!$A$4:$I$917,6,FALSE)</f>
        <v>417</v>
      </c>
      <c r="AE65" s="2">
        <f>VLOOKUP($A65,'[2]App C Share Outflows'!$A$4:$I$917,7,FALSE)</f>
        <v>371</v>
      </c>
      <c r="AF65" s="2">
        <f>VLOOKUP($A65,'[2]App C Share Outflows'!$A$4:$I$917,8,FALSE)</f>
        <v>217</v>
      </c>
      <c r="AG65" s="2">
        <f>VLOOKUP($A65,'[2]App C Share Outflows'!$A$4:$I$917,9,FALSE)</f>
        <v>0</v>
      </c>
      <c r="AH65" s="2"/>
      <c r="AI65" s="2">
        <f>VLOOKUP($A65,'[2]App C Share Inflows'!$A$4:$I$917,5,FALSE)</f>
        <v>0</v>
      </c>
      <c r="AJ65" s="2">
        <f>VLOOKUP($A65,'[2]App C Share Inflows'!$A$4:$I$917,6,FALSE)</f>
        <v>0</v>
      </c>
      <c r="AK65" s="2">
        <f>VLOOKUP($A65,'[2]App C Share Inflows'!$A$4:$I$917,7,FALSE)</f>
        <v>0</v>
      </c>
      <c r="AL65" s="2">
        <f>VLOOKUP($A65,'[2]App C Share Inflows'!$A$4:$I$917,8,FALSE)</f>
        <v>0</v>
      </c>
      <c r="AM65" s="2">
        <f>VLOOKUP($A65,'[2]App C Share Inflows'!$A$4:$I$917,6,FALSE)</f>
        <v>0</v>
      </c>
    </row>
    <row r="66" spans="1:39">
      <c r="A66" s="351">
        <v>90451</v>
      </c>
      <c r="B66" s="344" t="s">
        <v>762</v>
      </c>
      <c r="C66" s="235" t="e">
        <f>VLOOKUP(A66,#REF!,10,FALSE)</f>
        <v>#REF!</v>
      </c>
      <c r="E66" s="2">
        <f>VLOOKUP($A66,'[2]App C Total'!$A$4:$I$917,5,FALSE)</f>
        <v>12800</v>
      </c>
      <c r="F66" s="2">
        <f>VLOOKUP($A66,'[2]App C Total'!$A$4:$I$917,6,FALSE)</f>
        <v>4415</v>
      </c>
      <c r="G66" s="2">
        <f>VLOOKUP($A66,'[2]App C Total'!$A$4:$I$917,7,FALSE)</f>
        <v>7227</v>
      </c>
      <c r="H66" s="2">
        <f>VLOOKUP($A66,'[2]App C Total'!$A$4:$I$917,8,FALSE)</f>
        <v>2210</v>
      </c>
      <c r="I66" s="2">
        <f>VLOOKUP($A66,'[2]App C Total'!$A$4:$I$917,9,FALSE)</f>
        <v>0</v>
      </c>
      <c r="J66" s="2"/>
      <c r="K66" s="2">
        <f>VLOOKUP($A66,'[2]App C Exp'!$A$4:$I$917,5,FALSE)</f>
        <v>3461</v>
      </c>
      <c r="L66" s="2">
        <f>VLOOKUP($A66,'[2]App C Exp'!$A$4:$I$917,6,FALSE)</f>
        <v>3255</v>
      </c>
      <c r="M66" s="2">
        <f>VLOOKUP($A66,'[2]App C Exp'!$A$4:$I$917,7,FALSE)</f>
        <v>2918</v>
      </c>
      <c r="N66" s="2">
        <f>VLOOKUP($A66,'[2]App C Exp'!$A$4:$I$917,8,FALSE)</f>
        <v>1168</v>
      </c>
      <c r="O66" s="2">
        <f>VLOOKUP($A66,'[2]App C Exp'!$A$4:$I$917,9,FALSE)</f>
        <v>0</v>
      </c>
      <c r="P66" s="2"/>
      <c r="Q66" s="2">
        <f>VLOOKUP($A66,'[2]App C Inv'!$A$4:$I$917,5,FALSE)</f>
        <v>3674</v>
      </c>
      <c r="R66" s="2">
        <f>VLOOKUP($A66,'[2]App C Inv'!$A$4:$I$917,6,FALSE)</f>
        <v>-3160</v>
      </c>
      <c r="S66" s="2">
        <f>VLOOKUP($A66,'[2]App C Inv'!$A$4:$I$917,7,FALSE)</f>
        <v>445</v>
      </c>
      <c r="T66" s="2">
        <f>VLOOKUP($A66,'[2]App C Inv'!$A$4:$I$917,8,FALSE)</f>
        <v>580</v>
      </c>
      <c r="U66" s="2">
        <f>VLOOKUP($A66,'[2]App C Inv'!$A$4:$I$917,9,FALSE)</f>
        <v>0</v>
      </c>
      <c r="V66" s="2"/>
      <c r="W66" s="2">
        <f>VLOOKUP($A66,'[2]App C Assum'!$A$4:$I$917,5,FALSE)</f>
        <v>4139</v>
      </c>
      <c r="X66" s="2">
        <f>VLOOKUP($A66,'[2]App C Assum'!$A$4:$I$917,6,FALSE)</f>
        <v>3391</v>
      </c>
      <c r="Y66" s="2">
        <f>VLOOKUP($A66,'[2]App C Assum'!$A$4:$I$917,7,FALSE)</f>
        <v>2753</v>
      </c>
      <c r="Z66" s="2">
        <f>VLOOKUP($A66,'[2]App C Assum'!$A$4:$I$917,8,FALSE)</f>
        <v>0</v>
      </c>
      <c r="AA66" s="2">
        <f>VLOOKUP($A66,'[2]App C Assum'!$A$4:$I$917,9,FALSE)</f>
        <v>0</v>
      </c>
      <c r="AB66" s="2"/>
      <c r="AC66" s="2">
        <f>VLOOKUP($A66,'[2]App C Share Outflows'!$A$4:$I$917,5,FALSE)</f>
        <v>1705</v>
      </c>
      <c r="AD66" s="2">
        <f>VLOOKUP($A66,'[2]App C Share Outflows'!$A$4:$I$917,6,FALSE)</f>
        <v>1110</v>
      </c>
      <c r="AE66" s="2">
        <f>VLOOKUP($A66,'[2]App C Share Outflows'!$A$4:$I$917,7,FALSE)</f>
        <v>1111</v>
      </c>
      <c r="AF66" s="2">
        <f>VLOOKUP($A66,'[2]App C Share Outflows'!$A$4:$I$917,8,FALSE)</f>
        <v>462</v>
      </c>
      <c r="AG66" s="2">
        <f>VLOOKUP($A66,'[2]App C Share Outflows'!$A$4:$I$917,9,FALSE)</f>
        <v>0</v>
      </c>
      <c r="AH66" s="2"/>
      <c r="AI66" s="2">
        <f>VLOOKUP($A66,'[2]App C Share Inflows'!$A$4:$I$917,5,FALSE)</f>
        <v>-179</v>
      </c>
      <c r="AJ66" s="2">
        <f>VLOOKUP($A66,'[2]App C Share Inflows'!$A$4:$I$917,6,FALSE)</f>
        <v>-181</v>
      </c>
      <c r="AK66" s="2">
        <f>VLOOKUP($A66,'[2]App C Share Inflows'!$A$4:$I$917,7,FALSE)</f>
        <v>0</v>
      </c>
      <c r="AL66" s="2">
        <f>VLOOKUP($A66,'[2]App C Share Inflows'!$A$4:$I$917,8,FALSE)</f>
        <v>0</v>
      </c>
      <c r="AM66" s="2">
        <f>VLOOKUP($A66,'[2]App C Share Inflows'!$A$4:$I$917,6,FALSE)</f>
        <v>-181</v>
      </c>
    </row>
    <row r="67" spans="1:39">
      <c r="A67" s="351">
        <v>90461</v>
      </c>
      <c r="B67" s="344" t="s">
        <v>763</v>
      </c>
      <c r="C67" s="235" t="e">
        <f>VLOOKUP(A67,#REF!,10,FALSE)</f>
        <v>#REF!</v>
      </c>
      <c r="E67" s="2">
        <f>VLOOKUP($A67,'[2]App C Total'!$A$4:$I$917,5,FALSE)</f>
        <v>-1298</v>
      </c>
      <c r="F67" s="2">
        <f>VLOOKUP($A67,'[2]App C Total'!$A$4:$I$917,6,FALSE)</f>
        <v>-1898</v>
      </c>
      <c r="G67" s="2">
        <f>VLOOKUP($A67,'[2]App C Total'!$A$4:$I$917,7,FALSE)</f>
        <v>-79</v>
      </c>
      <c r="H67" s="2">
        <f>VLOOKUP($A67,'[2]App C Total'!$A$4:$I$917,8,FALSE)</f>
        <v>-497</v>
      </c>
      <c r="I67" s="2">
        <f>VLOOKUP($A67,'[2]App C Total'!$A$4:$I$917,9,FALSE)</f>
        <v>0</v>
      </c>
      <c r="J67" s="2"/>
      <c r="K67" s="2">
        <f>VLOOKUP($A67,'[2]App C Exp'!$A$4:$I$917,5,FALSE)</f>
        <v>315</v>
      </c>
      <c r="L67" s="2">
        <f>VLOOKUP($A67,'[2]App C Exp'!$A$4:$I$917,6,FALSE)</f>
        <v>296</v>
      </c>
      <c r="M67" s="2">
        <f>VLOOKUP($A67,'[2]App C Exp'!$A$4:$I$917,7,FALSE)</f>
        <v>265</v>
      </c>
      <c r="N67" s="2">
        <f>VLOOKUP($A67,'[2]App C Exp'!$A$4:$I$917,8,FALSE)</f>
        <v>106</v>
      </c>
      <c r="O67" s="2">
        <f>VLOOKUP($A67,'[2]App C Exp'!$A$4:$I$917,9,FALSE)</f>
        <v>0</v>
      </c>
      <c r="P67" s="2"/>
      <c r="Q67" s="2">
        <f>VLOOKUP($A67,'[2]App C Inv'!$A$4:$I$917,5,FALSE)</f>
        <v>334</v>
      </c>
      <c r="R67" s="2">
        <f>VLOOKUP($A67,'[2]App C Inv'!$A$4:$I$917,6,FALSE)</f>
        <v>-287</v>
      </c>
      <c r="S67" s="2">
        <f>VLOOKUP($A67,'[2]App C Inv'!$A$4:$I$917,7,FALSE)</f>
        <v>40</v>
      </c>
      <c r="T67" s="2">
        <f>VLOOKUP($A67,'[2]App C Inv'!$A$4:$I$917,8,FALSE)</f>
        <v>53</v>
      </c>
      <c r="U67" s="2">
        <f>VLOOKUP($A67,'[2]App C Inv'!$A$4:$I$917,9,FALSE)</f>
        <v>0</v>
      </c>
      <c r="V67" s="2"/>
      <c r="W67" s="2">
        <f>VLOOKUP($A67,'[2]App C Assum'!$A$4:$I$917,5,FALSE)</f>
        <v>376</v>
      </c>
      <c r="X67" s="2">
        <f>VLOOKUP($A67,'[2]App C Assum'!$A$4:$I$917,6,FALSE)</f>
        <v>308</v>
      </c>
      <c r="Y67" s="2">
        <f>VLOOKUP($A67,'[2]App C Assum'!$A$4:$I$917,7,FALSE)</f>
        <v>250</v>
      </c>
      <c r="Z67" s="2">
        <f>VLOOKUP($A67,'[2]App C Assum'!$A$4:$I$917,8,FALSE)</f>
        <v>0</v>
      </c>
      <c r="AA67" s="2">
        <f>VLOOKUP($A67,'[2]App C Assum'!$A$4:$I$917,9,FALSE)</f>
        <v>0</v>
      </c>
      <c r="AB67" s="2"/>
      <c r="AC67" s="2">
        <f>VLOOKUP($A67,'[2]App C Share Outflows'!$A$4:$I$917,5,FALSE)</f>
        <v>23</v>
      </c>
      <c r="AD67" s="2">
        <f>VLOOKUP($A67,'[2]App C Share Outflows'!$A$4:$I$917,6,FALSE)</f>
        <v>23</v>
      </c>
      <c r="AE67" s="2">
        <f>VLOOKUP($A67,'[2]App C Share Outflows'!$A$4:$I$917,7,FALSE)</f>
        <v>21</v>
      </c>
      <c r="AF67" s="2">
        <f>VLOOKUP($A67,'[2]App C Share Outflows'!$A$4:$I$917,8,FALSE)</f>
        <v>0</v>
      </c>
      <c r="AG67" s="2">
        <f>VLOOKUP($A67,'[2]App C Share Outflows'!$A$4:$I$917,9,FALSE)</f>
        <v>0</v>
      </c>
      <c r="AH67" s="2"/>
      <c r="AI67" s="2">
        <f>VLOOKUP($A67,'[2]App C Share Inflows'!$A$4:$I$917,5,FALSE)</f>
        <v>-2346</v>
      </c>
      <c r="AJ67" s="2">
        <f>VLOOKUP($A67,'[2]App C Share Inflows'!$A$4:$I$917,6,FALSE)</f>
        <v>-2238</v>
      </c>
      <c r="AK67" s="2">
        <f>VLOOKUP($A67,'[2]App C Share Inflows'!$A$4:$I$917,7,FALSE)</f>
        <v>-655</v>
      </c>
      <c r="AL67" s="2">
        <f>VLOOKUP($A67,'[2]App C Share Inflows'!$A$4:$I$917,8,FALSE)</f>
        <v>-656</v>
      </c>
      <c r="AM67" s="2">
        <f>VLOOKUP($A67,'[2]App C Share Inflows'!$A$4:$I$917,6,FALSE)</f>
        <v>-2238</v>
      </c>
    </row>
    <row r="68" spans="1:39">
      <c r="A68" s="351">
        <v>90501</v>
      </c>
      <c r="B68" s="344" t="s">
        <v>764</v>
      </c>
      <c r="C68" s="235" t="e">
        <f>VLOOKUP(A68,#REF!,10,FALSE)</f>
        <v>#REF!</v>
      </c>
      <c r="E68" s="2">
        <f>VLOOKUP($A68,'[2]App C Total'!$A$4:$I$917,5,FALSE)</f>
        <v>740513</v>
      </c>
      <c r="F68" s="2">
        <f>VLOOKUP($A68,'[2]App C Total'!$A$4:$I$917,6,FALSE)</f>
        <v>248004</v>
      </c>
      <c r="G68" s="2">
        <f>VLOOKUP($A68,'[2]App C Total'!$A$4:$I$917,7,FALSE)</f>
        <v>407264</v>
      </c>
      <c r="H68" s="2">
        <f>VLOOKUP($A68,'[2]App C Total'!$A$4:$I$917,8,FALSE)</f>
        <v>132944</v>
      </c>
      <c r="I68" s="2">
        <f>VLOOKUP($A68,'[2]App C Total'!$A$4:$I$917,9,FALSE)</f>
        <v>0</v>
      </c>
      <c r="J68" s="2"/>
      <c r="K68" s="2">
        <f>VLOOKUP($A68,'[2]App C Exp'!$A$4:$I$917,5,FALSE)</f>
        <v>218523</v>
      </c>
      <c r="L68" s="2">
        <f>VLOOKUP($A68,'[2]App C Exp'!$A$4:$I$917,6,FALSE)</f>
        <v>205560</v>
      </c>
      <c r="M68" s="2">
        <f>VLOOKUP($A68,'[2]App C Exp'!$A$4:$I$917,7,FALSE)</f>
        <v>184241</v>
      </c>
      <c r="N68" s="2">
        <f>VLOOKUP($A68,'[2]App C Exp'!$A$4:$I$917,8,FALSE)</f>
        <v>73768</v>
      </c>
      <c r="O68" s="2">
        <f>VLOOKUP($A68,'[2]App C Exp'!$A$4:$I$917,9,FALSE)</f>
        <v>0</v>
      </c>
      <c r="P68" s="2"/>
      <c r="Q68" s="2">
        <f>VLOOKUP($A68,'[2]App C Inv'!$A$4:$I$917,5,FALSE)</f>
        <v>231993</v>
      </c>
      <c r="R68" s="2">
        <f>VLOOKUP($A68,'[2]App C Inv'!$A$4:$I$917,6,FALSE)</f>
        <v>-199557</v>
      </c>
      <c r="S68" s="2">
        <f>VLOOKUP($A68,'[2]App C Inv'!$A$4:$I$917,7,FALSE)</f>
        <v>28125</v>
      </c>
      <c r="T68" s="2">
        <f>VLOOKUP($A68,'[2]App C Inv'!$A$4:$I$917,8,FALSE)</f>
        <v>36605</v>
      </c>
      <c r="U68" s="2">
        <f>VLOOKUP($A68,'[2]App C Inv'!$A$4:$I$917,9,FALSE)</f>
        <v>0</v>
      </c>
      <c r="V68" s="2"/>
      <c r="W68" s="2">
        <f>VLOOKUP($A68,'[2]App C Assum'!$A$4:$I$917,5,FALSE)</f>
        <v>261344</v>
      </c>
      <c r="X68" s="2">
        <f>VLOOKUP($A68,'[2]App C Assum'!$A$4:$I$917,6,FALSE)</f>
        <v>214102</v>
      </c>
      <c r="Y68" s="2">
        <f>VLOOKUP($A68,'[2]App C Assum'!$A$4:$I$917,7,FALSE)</f>
        <v>173814</v>
      </c>
      <c r="Z68" s="2">
        <f>VLOOKUP($A68,'[2]App C Assum'!$A$4:$I$917,8,FALSE)</f>
        <v>0</v>
      </c>
      <c r="AA68" s="2">
        <f>VLOOKUP($A68,'[2]App C Assum'!$A$4:$I$917,9,FALSE)</f>
        <v>0</v>
      </c>
      <c r="AB68" s="2"/>
      <c r="AC68" s="2">
        <f>VLOOKUP($A68,'[2]App C Share Outflows'!$A$4:$I$917,5,FALSE)</f>
        <v>30140</v>
      </c>
      <c r="AD68" s="2">
        <f>VLOOKUP($A68,'[2]App C Share Outflows'!$A$4:$I$917,6,FALSE)</f>
        <v>29386</v>
      </c>
      <c r="AE68" s="2">
        <f>VLOOKUP($A68,'[2]App C Share Outflows'!$A$4:$I$917,7,FALSE)</f>
        <v>22571</v>
      </c>
      <c r="AF68" s="2">
        <f>VLOOKUP($A68,'[2]App C Share Outflows'!$A$4:$I$917,8,FALSE)</f>
        <v>22571</v>
      </c>
      <c r="AG68" s="2">
        <f>VLOOKUP($A68,'[2]App C Share Outflows'!$A$4:$I$917,9,FALSE)</f>
        <v>0</v>
      </c>
      <c r="AH68" s="2"/>
      <c r="AI68" s="2">
        <f>VLOOKUP($A68,'[2]App C Share Inflows'!$A$4:$I$917,5,FALSE)</f>
        <v>-1487</v>
      </c>
      <c r="AJ68" s="2">
        <f>VLOOKUP($A68,'[2]App C Share Inflows'!$A$4:$I$917,6,FALSE)</f>
        <v>-1487</v>
      </c>
      <c r="AK68" s="2">
        <f>VLOOKUP($A68,'[2]App C Share Inflows'!$A$4:$I$917,7,FALSE)</f>
        <v>-1487</v>
      </c>
      <c r="AL68" s="2">
        <f>VLOOKUP($A68,'[2]App C Share Inflows'!$A$4:$I$917,8,FALSE)</f>
        <v>0</v>
      </c>
      <c r="AM68" s="2">
        <f>VLOOKUP($A68,'[2]App C Share Inflows'!$A$4:$I$917,6,FALSE)</f>
        <v>-1487</v>
      </c>
    </row>
    <row r="69" spans="1:39">
      <c r="A69" s="351">
        <v>90507</v>
      </c>
      <c r="B69" s="344" t="s">
        <v>34</v>
      </c>
      <c r="C69" s="235" t="e">
        <f>VLOOKUP(A69,#REF!,10,FALSE)</f>
        <v>#REF!</v>
      </c>
      <c r="E69" s="2">
        <f>VLOOKUP($A69,'[2]App C Total'!$A$4:$I$917,5,FALSE)</f>
        <v>6496</v>
      </c>
      <c r="F69" s="2">
        <f>VLOOKUP($A69,'[2]App C Total'!$A$4:$I$917,6,FALSE)</f>
        <v>4244</v>
      </c>
      <c r="G69" s="2">
        <f>VLOOKUP($A69,'[2]App C Total'!$A$4:$I$917,7,FALSE)</f>
        <v>3270</v>
      </c>
      <c r="H69" s="2">
        <f>VLOOKUP($A69,'[2]App C Total'!$A$4:$I$917,8,FALSE)</f>
        <v>1092</v>
      </c>
      <c r="I69" s="2">
        <f>VLOOKUP($A69,'[2]App C Total'!$A$4:$I$917,9,FALSE)</f>
        <v>0</v>
      </c>
      <c r="J69" s="2"/>
      <c r="K69" s="2">
        <f>VLOOKUP($A69,'[2]App C Exp'!$A$4:$I$917,5,FALSE)</f>
        <v>509</v>
      </c>
      <c r="L69" s="2">
        <f>VLOOKUP($A69,'[2]App C Exp'!$A$4:$I$917,6,FALSE)</f>
        <v>479</v>
      </c>
      <c r="M69" s="2">
        <f>VLOOKUP($A69,'[2]App C Exp'!$A$4:$I$917,7,FALSE)</f>
        <v>429</v>
      </c>
      <c r="N69" s="2">
        <f>VLOOKUP($A69,'[2]App C Exp'!$A$4:$I$917,8,FALSE)</f>
        <v>172</v>
      </c>
      <c r="O69" s="2">
        <f>VLOOKUP($A69,'[2]App C Exp'!$A$4:$I$917,9,FALSE)</f>
        <v>0</v>
      </c>
      <c r="P69" s="2"/>
      <c r="Q69" s="2">
        <f>VLOOKUP($A69,'[2]App C Inv'!$A$4:$I$917,5,FALSE)</f>
        <v>541</v>
      </c>
      <c r="R69" s="2">
        <f>VLOOKUP($A69,'[2]App C Inv'!$A$4:$I$917,6,FALSE)</f>
        <v>-465</v>
      </c>
      <c r="S69" s="2">
        <f>VLOOKUP($A69,'[2]App C Inv'!$A$4:$I$917,7,FALSE)</f>
        <v>66</v>
      </c>
      <c r="T69" s="2">
        <f>VLOOKUP($A69,'[2]App C Inv'!$A$4:$I$917,8,FALSE)</f>
        <v>85</v>
      </c>
      <c r="U69" s="2">
        <f>VLOOKUP($A69,'[2]App C Inv'!$A$4:$I$917,9,FALSE)</f>
        <v>0</v>
      </c>
      <c r="V69" s="2"/>
      <c r="W69" s="2">
        <f>VLOOKUP($A69,'[2]App C Assum'!$A$4:$I$917,5,FALSE)</f>
        <v>609</v>
      </c>
      <c r="X69" s="2">
        <f>VLOOKUP($A69,'[2]App C Assum'!$A$4:$I$917,6,FALSE)</f>
        <v>499</v>
      </c>
      <c r="Y69" s="2">
        <f>VLOOKUP($A69,'[2]App C Assum'!$A$4:$I$917,7,FALSE)</f>
        <v>405</v>
      </c>
      <c r="Z69" s="2">
        <f>VLOOKUP($A69,'[2]App C Assum'!$A$4:$I$917,8,FALSE)</f>
        <v>0</v>
      </c>
      <c r="AA69" s="2">
        <f>VLOOKUP($A69,'[2]App C Assum'!$A$4:$I$917,9,FALSE)</f>
        <v>0</v>
      </c>
      <c r="AB69" s="2"/>
      <c r="AC69" s="2">
        <f>VLOOKUP($A69,'[2]App C Share Outflows'!$A$4:$I$917,5,FALSE)</f>
        <v>4837</v>
      </c>
      <c r="AD69" s="2">
        <f>VLOOKUP($A69,'[2]App C Share Outflows'!$A$4:$I$917,6,FALSE)</f>
        <v>3731</v>
      </c>
      <c r="AE69" s="2">
        <f>VLOOKUP($A69,'[2]App C Share Outflows'!$A$4:$I$917,7,FALSE)</f>
        <v>2370</v>
      </c>
      <c r="AF69" s="2">
        <f>VLOOKUP($A69,'[2]App C Share Outflows'!$A$4:$I$917,8,FALSE)</f>
        <v>835</v>
      </c>
      <c r="AG69" s="2">
        <f>VLOOKUP($A69,'[2]App C Share Outflows'!$A$4:$I$917,9,FALSE)</f>
        <v>0</v>
      </c>
      <c r="AH69" s="2"/>
      <c r="AI69" s="2">
        <f>VLOOKUP($A69,'[2]App C Share Inflows'!$A$4:$I$917,5,FALSE)</f>
        <v>0</v>
      </c>
      <c r="AJ69" s="2">
        <f>VLOOKUP($A69,'[2]App C Share Inflows'!$A$4:$I$917,6,FALSE)</f>
        <v>0</v>
      </c>
      <c r="AK69" s="2">
        <f>VLOOKUP($A69,'[2]App C Share Inflows'!$A$4:$I$917,7,FALSE)</f>
        <v>0</v>
      </c>
      <c r="AL69" s="2">
        <f>VLOOKUP($A69,'[2]App C Share Inflows'!$A$4:$I$917,8,FALSE)</f>
        <v>0</v>
      </c>
      <c r="AM69" s="2">
        <f>VLOOKUP($A69,'[2]App C Share Inflows'!$A$4:$I$917,6,FALSE)</f>
        <v>0</v>
      </c>
    </row>
    <row r="70" spans="1:39">
      <c r="A70" s="351">
        <v>90511</v>
      </c>
      <c r="B70" s="344" t="s">
        <v>765</v>
      </c>
      <c r="C70" s="235" t="e">
        <f>VLOOKUP(A70,#REF!,10,FALSE)</f>
        <v>#REF!</v>
      </c>
      <c r="E70" s="2">
        <f>VLOOKUP($A70,'[2]App C Total'!$A$4:$I$917,5,FALSE)</f>
        <v>59537</v>
      </c>
      <c r="F70" s="2">
        <f>VLOOKUP($A70,'[2]App C Total'!$A$4:$I$917,6,FALSE)</f>
        <v>23748</v>
      </c>
      <c r="G70" s="2">
        <f>VLOOKUP($A70,'[2]App C Total'!$A$4:$I$917,7,FALSE)</f>
        <v>34193</v>
      </c>
      <c r="H70" s="2">
        <f>VLOOKUP($A70,'[2]App C Total'!$A$4:$I$917,8,FALSE)</f>
        <v>13020</v>
      </c>
      <c r="I70" s="2">
        <f>VLOOKUP($A70,'[2]App C Total'!$A$4:$I$917,9,FALSE)</f>
        <v>0</v>
      </c>
      <c r="J70" s="2"/>
      <c r="K70" s="2">
        <f>VLOOKUP($A70,'[2]App C Exp'!$A$4:$I$917,5,FALSE)</f>
        <v>15145</v>
      </c>
      <c r="L70" s="2">
        <f>VLOOKUP($A70,'[2]App C Exp'!$A$4:$I$917,6,FALSE)</f>
        <v>14247</v>
      </c>
      <c r="M70" s="2">
        <f>VLOOKUP($A70,'[2]App C Exp'!$A$4:$I$917,7,FALSE)</f>
        <v>12769</v>
      </c>
      <c r="N70" s="2">
        <f>VLOOKUP($A70,'[2]App C Exp'!$A$4:$I$917,8,FALSE)</f>
        <v>5113</v>
      </c>
      <c r="O70" s="2">
        <f>VLOOKUP($A70,'[2]App C Exp'!$A$4:$I$917,9,FALSE)</f>
        <v>0</v>
      </c>
      <c r="P70" s="2"/>
      <c r="Q70" s="2">
        <f>VLOOKUP($A70,'[2]App C Inv'!$A$4:$I$917,5,FALSE)</f>
        <v>16079</v>
      </c>
      <c r="R70" s="2">
        <f>VLOOKUP($A70,'[2]App C Inv'!$A$4:$I$917,6,FALSE)</f>
        <v>-13831</v>
      </c>
      <c r="S70" s="2">
        <f>VLOOKUP($A70,'[2]App C Inv'!$A$4:$I$917,7,FALSE)</f>
        <v>1949</v>
      </c>
      <c r="T70" s="2">
        <f>VLOOKUP($A70,'[2]App C Inv'!$A$4:$I$917,8,FALSE)</f>
        <v>2537</v>
      </c>
      <c r="U70" s="2">
        <f>VLOOKUP($A70,'[2]App C Inv'!$A$4:$I$917,9,FALSE)</f>
        <v>0</v>
      </c>
      <c r="V70" s="2"/>
      <c r="W70" s="2">
        <f>VLOOKUP($A70,'[2]App C Assum'!$A$4:$I$917,5,FALSE)</f>
        <v>18113</v>
      </c>
      <c r="X70" s="2">
        <f>VLOOKUP($A70,'[2]App C Assum'!$A$4:$I$917,6,FALSE)</f>
        <v>14839</v>
      </c>
      <c r="Y70" s="2">
        <f>VLOOKUP($A70,'[2]App C Assum'!$A$4:$I$917,7,FALSE)</f>
        <v>12047</v>
      </c>
      <c r="Z70" s="2">
        <f>VLOOKUP($A70,'[2]App C Assum'!$A$4:$I$917,8,FALSE)</f>
        <v>0</v>
      </c>
      <c r="AA70" s="2">
        <f>VLOOKUP($A70,'[2]App C Assum'!$A$4:$I$917,9,FALSE)</f>
        <v>0</v>
      </c>
      <c r="AB70" s="2"/>
      <c r="AC70" s="2">
        <f>VLOOKUP($A70,'[2]App C Share Outflows'!$A$4:$I$917,5,FALSE)</f>
        <v>10200</v>
      </c>
      <c r="AD70" s="2">
        <f>VLOOKUP($A70,'[2]App C Share Outflows'!$A$4:$I$917,6,FALSE)</f>
        <v>8493</v>
      </c>
      <c r="AE70" s="2">
        <f>VLOOKUP($A70,'[2]App C Share Outflows'!$A$4:$I$917,7,FALSE)</f>
        <v>7428</v>
      </c>
      <c r="AF70" s="2">
        <f>VLOOKUP($A70,'[2]App C Share Outflows'!$A$4:$I$917,8,FALSE)</f>
        <v>5370</v>
      </c>
      <c r="AG70" s="2">
        <f>VLOOKUP($A70,'[2]App C Share Outflows'!$A$4:$I$917,9,FALSE)</f>
        <v>0</v>
      </c>
      <c r="AH70" s="2"/>
      <c r="AI70" s="2">
        <f>VLOOKUP($A70,'[2]App C Share Inflows'!$A$4:$I$917,5,FALSE)</f>
        <v>0</v>
      </c>
      <c r="AJ70" s="2">
        <f>VLOOKUP($A70,'[2]App C Share Inflows'!$A$4:$I$917,6,FALSE)</f>
        <v>0</v>
      </c>
      <c r="AK70" s="2">
        <f>VLOOKUP($A70,'[2]App C Share Inflows'!$A$4:$I$917,7,FALSE)</f>
        <v>0</v>
      </c>
      <c r="AL70" s="2">
        <f>VLOOKUP($A70,'[2]App C Share Inflows'!$A$4:$I$917,8,FALSE)</f>
        <v>0</v>
      </c>
      <c r="AM70" s="2">
        <f>VLOOKUP($A70,'[2]App C Share Inflows'!$A$4:$I$917,6,FALSE)</f>
        <v>0</v>
      </c>
    </row>
    <row r="71" spans="1:39">
      <c r="A71" s="351">
        <v>90521</v>
      </c>
      <c r="B71" s="344" t="s">
        <v>766</v>
      </c>
      <c r="C71" s="235" t="e">
        <f>VLOOKUP(A71,#REF!,10,FALSE)</f>
        <v>#REF!</v>
      </c>
      <c r="E71" s="2">
        <f>VLOOKUP($A71,'[2]App C Total'!$A$4:$I$917,5,FALSE)</f>
        <v>59177</v>
      </c>
      <c r="F71" s="2">
        <f>VLOOKUP($A71,'[2]App C Total'!$A$4:$I$917,6,FALSE)</f>
        <v>15341</v>
      </c>
      <c r="G71" s="2">
        <f>VLOOKUP($A71,'[2]App C Total'!$A$4:$I$917,7,FALSE)</f>
        <v>32569</v>
      </c>
      <c r="H71" s="2">
        <f>VLOOKUP($A71,'[2]App C Total'!$A$4:$I$917,8,FALSE)</f>
        <v>9867</v>
      </c>
      <c r="I71" s="2">
        <f>VLOOKUP($A71,'[2]App C Total'!$A$4:$I$917,9,FALSE)</f>
        <v>0</v>
      </c>
      <c r="J71" s="2"/>
      <c r="K71" s="2">
        <f>VLOOKUP($A71,'[2]App C Exp'!$A$4:$I$917,5,FALSE)</f>
        <v>20539</v>
      </c>
      <c r="L71" s="2">
        <f>VLOOKUP($A71,'[2]App C Exp'!$A$4:$I$917,6,FALSE)</f>
        <v>19320</v>
      </c>
      <c r="M71" s="2">
        <f>VLOOKUP($A71,'[2]App C Exp'!$A$4:$I$917,7,FALSE)</f>
        <v>17316</v>
      </c>
      <c r="N71" s="2">
        <f>VLOOKUP($A71,'[2]App C Exp'!$A$4:$I$917,8,FALSE)</f>
        <v>6933</v>
      </c>
      <c r="O71" s="2">
        <f>VLOOKUP($A71,'[2]App C Exp'!$A$4:$I$917,9,FALSE)</f>
        <v>0</v>
      </c>
      <c r="P71" s="2"/>
      <c r="Q71" s="2">
        <f>VLOOKUP($A71,'[2]App C Inv'!$A$4:$I$917,5,FALSE)</f>
        <v>21805</v>
      </c>
      <c r="R71" s="2">
        <f>VLOOKUP($A71,'[2]App C Inv'!$A$4:$I$917,6,FALSE)</f>
        <v>-18756</v>
      </c>
      <c r="S71" s="2">
        <f>VLOOKUP($A71,'[2]App C Inv'!$A$4:$I$917,7,FALSE)</f>
        <v>2643</v>
      </c>
      <c r="T71" s="2">
        <f>VLOOKUP($A71,'[2]App C Inv'!$A$4:$I$917,8,FALSE)</f>
        <v>3440</v>
      </c>
      <c r="U71" s="2">
        <f>VLOOKUP($A71,'[2]App C Inv'!$A$4:$I$917,9,FALSE)</f>
        <v>0</v>
      </c>
      <c r="V71" s="2"/>
      <c r="W71" s="2">
        <f>VLOOKUP($A71,'[2]App C Assum'!$A$4:$I$917,5,FALSE)</f>
        <v>24563</v>
      </c>
      <c r="X71" s="2">
        <f>VLOOKUP($A71,'[2]App C Assum'!$A$4:$I$917,6,FALSE)</f>
        <v>20123</v>
      </c>
      <c r="Y71" s="2">
        <f>VLOOKUP($A71,'[2]App C Assum'!$A$4:$I$917,7,FALSE)</f>
        <v>16336</v>
      </c>
      <c r="Z71" s="2">
        <f>VLOOKUP($A71,'[2]App C Assum'!$A$4:$I$917,8,FALSE)</f>
        <v>0</v>
      </c>
      <c r="AA71" s="2">
        <f>VLOOKUP($A71,'[2]App C Assum'!$A$4:$I$917,9,FALSE)</f>
        <v>0</v>
      </c>
      <c r="AB71" s="2"/>
      <c r="AC71" s="2">
        <f>VLOOKUP($A71,'[2]App C Share Outflows'!$A$4:$I$917,5,FALSE)</f>
        <v>0</v>
      </c>
      <c r="AD71" s="2">
        <f>VLOOKUP($A71,'[2]App C Share Outflows'!$A$4:$I$917,6,FALSE)</f>
        <v>0</v>
      </c>
      <c r="AE71" s="2">
        <f>VLOOKUP($A71,'[2]App C Share Outflows'!$A$4:$I$917,7,FALSE)</f>
        <v>0</v>
      </c>
      <c r="AF71" s="2">
        <f>VLOOKUP($A71,'[2]App C Share Outflows'!$A$4:$I$917,8,FALSE)</f>
        <v>0</v>
      </c>
      <c r="AG71" s="2">
        <f>VLOOKUP($A71,'[2]App C Share Outflows'!$A$4:$I$917,9,FALSE)</f>
        <v>0</v>
      </c>
      <c r="AH71" s="2"/>
      <c r="AI71" s="2">
        <f>VLOOKUP($A71,'[2]App C Share Inflows'!$A$4:$I$917,5,FALSE)</f>
        <v>-7730</v>
      </c>
      <c r="AJ71" s="2">
        <f>VLOOKUP($A71,'[2]App C Share Inflows'!$A$4:$I$917,6,FALSE)</f>
        <v>-5346</v>
      </c>
      <c r="AK71" s="2">
        <f>VLOOKUP($A71,'[2]App C Share Inflows'!$A$4:$I$917,7,FALSE)</f>
        <v>-3726</v>
      </c>
      <c r="AL71" s="2">
        <f>VLOOKUP($A71,'[2]App C Share Inflows'!$A$4:$I$917,8,FALSE)</f>
        <v>-506</v>
      </c>
      <c r="AM71" s="2">
        <f>VLOOKUP($A71,'[2]App C Share Inflows'!$A$4:$I$917,6,FALSE)</f>
        <v>-5346</v>
      </c>
    </row>
    <row r="72" spans="1:39">
      <c r="A72" s="351">
        <v>90601</v>
      </c>
      <c r="B72" s="344" t="s">
        <v>767</v>
      </c>
      <c r="C72" s="235" t="e">
        <f>VLOOKUP(A72,#REF!,10,FALSE)</f>
        <v>#REF!</v>
      </c>
      <c r="E72" s="2">
        <f>VLOOKUP($A72,'[2]App C Total'!$A$4:$I$917,5,FALSE)</f>
        <v>531793</v>
      </c>
      <c r="F72" s="2">
        <f>VLOOKUP($A72,'[2]App C Total'!$A$4:$I$917,6,FALSE)</f>
        <v>163504</v>
      </c>
      <c r="G72" s="2">
        <f>VLOOKUP($A72,'[2]App C Total'!$A$4:$I$917,7,FALSE)</f>
        <v>289139</v>
      </c>
      <c r="H72" s="2">
        <f>VLOOKUP($A72,'[2]App C Total'!$A$4:$I$917,8,FALSE)</f>
        <v>85748</v>
      </c>
      <c r="I72" s="2">
        <f>VLOOKUP($A72,'[2]App C Total'!$A$4:$I$917,9,FALSE)</f>
        <v>0</v>
      </c>
      <c r="J72" s="2"/>
      <c r="K72" s="2">
        <f>VLOOKUP($A72,'[2]App C Exp'!$A$4:$I$917,5,FALSE)</f>
        <v>166301</v>
      </c>
      <c r="L72" s="2">
        <f>VLOOKUP($A72,'[2]App C Exp'!$A$4:$I$917,6,FALSE)</f>
        <v>156435</v>
      </c>
      <c r="M72" s="2">
        <f>VLOOKUP($A72,'[2]App C Exp'!$A$4:$I$917,7,FALSE)</f>
        <v>140211</v>
      </c>
      <c r="N72" s="2">
        <f>VLOOKUP($A72,'[2]App C Exp'!$A$4:$I$917,8,FALSE)</f>
        <v>56139</v>
      </c>
      <c r="O72" s="2">
        <f>VLOOKUP($A72,'[2]App C Exp'!$A$4:$I$917,9,FALSE)</f>
        <v>0</v>
      </c>
      <c r="P72" s="2"/>
      <c r="Q72" s="2">
        <f>VLOOKUP($A72,'[2]App C Inv'!$A$4:$I$917,5,FALSE)</f>
        <v>176551</v>
      </c>
      <c r="R72" s="2">
        <f>VLOOKUP($A72,'[2]App C Inv'!$A$4:$I$917,6,FALSE)</f>
        <v>-151867</v>
      </c>
      <c r="S72" s="2">
        <f>VLOOKUP($A72,'[2]App C Inv'!$A$4:$I$917,7,FALSE)</f>
        <v>21404</v>
      </c>
      <c r="T72" s="2">
        <f>VLOOKUP($A72,'[2]App C Inv'!$A$4:$I$917,8,FALSE)</f>
        <v>27857</v>
      </c>
      <c r="U72" s="2">
        <f>VLOOKUP($A72,'[2]App C Inv'!$A$4:$I$917,9,FALSE)</f>
        <v>0</v>
      </c>
      <c r="V72" s="2"/>
      <c r="W72" s="2">
        <f>VLOOKUP($A72,'[2]App C Assum'!$A$4:$I$917,5,FALSE)</f>
        <v>198888</v>
      </c>
      <c r="X72" s="2">
        <f>VLOOKUP($A72,'[2]App C Assum'!$A$4:$I$917,6,FALSE)</f>
        <v>162936</v>
      </c>
      <c r="Y72" s="2">
        <f>VLOOKUP($A72,'[2]App C Assum'!$A$4:$I$917,7,FALSE)</f>
        <v>132276</v>
      </c>
      <c r="Z72" s="2">
        <f>VLOOKUP($A72,'[2]App C Assum'!$A$4:$I$917,8,FALSE)</f>
        <v>0</v>
      </c>
      <c r="AA72" s="2">
        <f>VLOOKUP($A72,'[2]App C Assum'!$A$4:$I$917,9,FALSE)</f>
        <v>0</v>
      </c>
      <c r="AB72" s="2"/>
      <c r="AC72" s="2">
        <f>VLOOKUP($A72,'[2]App C Share Outflows'!$A$4:$I$917,5,FALSE)</f>
        <v>2505</v>
      </c>
      <c r="AD72" s="2">
        <f>VLOOKUP($A72,'[2]App C Share Outflows'!$A$4:$I$917,6,FALSE)</f>
        <v>2504</v>
      </c>
      <c r="AE72" s="2">
        <f>VLOOKUP($A72,'[2]App C Share Outflows'!$A$4:$I$917,7,FALSE)</f>
        <v>1750</v>
      </c>
      <c r="AF72" s="2">
        <f>VLOOKUP($A72,'[2]App C Share Outflows'!$A$4:$I$917,8,FALSE)</f>
        <v>1752</v>
      </c>
      <c r="AG72" s="2">
        <f>VLOOKUP($A72,'[2]App C Share Outflows'!$A$4:$I$917,9,FALSE)</f>
        <v>0</v>
      </c>
      <c r="AH72" s="2"/>
      <c r="AI72" s="2">
        <f>VLOOKUP($A72,'[2]App C Share Inflows'!$A$4:$I$917,5,FALSE)</f>
        <v>-12452</v>
      </c>
      <c r="AJ72" s="2">
        <f>VLOOKUP($A72,'[2]App C Share Inflows'!$A$4:$I$917,6,FALSE)</f>
        <v>-6504</v>
      </c>
      <c r="AK72" s="2">
        <f>VLOOKUP($A72,'[2]App C Share Inflows'!$A$4:$I$917,7,FALSE)</f>
        <v>-6502</v>
      </c>
      <c r="AL72" s="2">
        <f>VLOOKUP($A72,'[2]App C Share Inflows'!$A$4:$I$917,8,FALSE)</f>
        <v>0</v>
      </c>
      <c r="AM72" s="2">
        <f>VLOOKUP($A72,'[2]App C Share Inflows'!$A$4:$I$917,6,FALSE)</f>
        <v>-6504</v>
      </c>
    </row>
    <row r="73" spans="1:39">
      <c r="A73" s="351">
        <v>90602</v>
      </c>
      <c r="B73" s="344" t="s">
        <v>259</v>
      </c>
      <c r="C73" s="235" t="e">
        <f>VLOOKUP(A73,#REF!,10,FALSE)</f>
        <v>#REF!</v>
      </c>
      <c r="E73" s="2">
        <f>VLOOKUP($A73,'[2]App C Total'!$A$4:$I$917,5,FALSE)</f>
        <v>65265</v>
      </c>
      <c r="F73" s="2">
        <f>VLOOKUP($A73,'[2]App C Total'!$A$4:$I$917,6,FALSE)</f>
        <v>25294</v>
      </c>
      <c r="G73" s="2">
        <f>VLOOKUP($A73,'[2]App C Total'!$A$4:$I$917,7,FALSE)</f>
        <v>34681</v>
      </c>
      <c r="H73" s="2">
        <f>VLOOKUP($A73,'[2]App C Total'!$A$4:$I$917,8,FALSE)</f>
        <v>14617</v>
      </c>
      <c r="I73" s="2">
        <f>VLOOKUP($A73,'[2]App C Total'!$A$4:$I$917,9,FALSE)</f>
        <v>0</v>
      </c>
      <c r="J73" s="2"/>
      <c r="K73" s="2">
        <f>VLOOKUP($A73,'[2]App C Exp'!$A$4:$I$917,5,FALSE)</f>
        <v>13932</v>
      </c>
      <c r="L73" s="2">
        <f>VLOOKUP($A73,'[2]App C Exp'!$A$4:$I$917,6,FALSE)</f>
        <v>13106</v>
      </c>
      <c r="M73" s="2">
        <f>VLOOKUP($A73,'[2]App C Exp'!$A$4:$I$917,7,FALSE)</f>
        <v>11746</v>
      </c>
      <c r="N73" s="2">
        <f>VLOOKUP($A73,'[2]App C Exp'!$A$4:$I$917,8,FALSE)</f>
        <v>4703</v>
      </c>
      <c r="O73" s="2">
        <f>VLOOKUP($A73,'[2]App C Exp'!$A$4:$I$917,9,FALSE)</f>
        <v>0</v>
      </c>
      <c r="P73" s="2"/>
      <c r="Q73" s="2">
        <f>VLOOKUP($A73,'[2]App C Inv'!$A$4:$I$917,5,FALSE)</f>
        <v>14791</v>
      </c>
      <c r="R73" s="2">
        <f>VLOOKUP($A73,'[2]App C Inv'!$A$4:$I$917,6,FALSE)</f>
        <v>-12723</v>
      </c>
      <c r="S73" s="2">
        <f>VLOOKUP($A73,'[2]App C Inv'!$A$4:$I$917,7,FALSE)</f>
        <v>1793</v>
      </c>
      <c r="T73" s="2">
        <f>VLOOKUP($A73,'[2]App C Inv'!$A$4:$I$917,8,FALSE)</f>
        <v>2334</v>
      </c>
      <c r="U73" s="2">
        <f>VLOOKUP($A73,'[2]App C Inv'!$A$4:$I$917,9,FALSE)</f>
        <v>0</v>
      </c>
      <c r="V73" s="2"/>
      <c r="W73" s="2">
        <f>VLOOKUP($A73,'[2]App C Assum'!$A$4:$I$917,5,FALSE)</f>
        <v>16662</v>
      </c>
      <c r="X73" s="2">
        <f>VLOOKUP($A73,'[2]App C Assum'!$A$4:$I$917,6,FALSE)</f>
        <v>13650</v>
      </c>
      <c r="Y73" s="2">
        <f>VLOOKUP($A73,'[2]App C Assum'!$A$4:$I$917,7,FALSE)</f>
        <v>11082</v>
      </c>
      <c r="Z73" s="2">
        <f>VLOOKUP($A73,'[2]App C Assum'!$A$4:$I$917,8,FALSE)</f>
        <v>0</v>
      </c>
      <c r="AA73" s="2">
        <f>VLOOKUP($A73,'[2]App C Assum'!$A$4:$I$917,9,FALSE)</f>
        <v>0</v>
      </c>
      <c r="AB73" s="2"/>
      <c r="AC73" s="2">
        <f>VLOOKUP($A73,'[2]App C Share Outflows'!$A$4:$I$917,5,FALSE)</f>
        <v>19880</v>
      </c>
      <c r="AD73" s="2">
        <f>VLOOKUP($A73,'[2]App C Share Outflows'!$A$4:$I$917,6,FALSE)</f>
        <v>11261</v>
      </c>
      <c r="AE73" s="2">
        <f>VLOOKUP($A73,'[2]App C Share Outflows'!$A$4:$I$917,7,FALSE)</f>
        <v>10060</v>
      </c>
      <c r="AF73" s="2">
        <f>VLOOKUP($A73,'[2]App C Share Outflows'!$A$4:$I$917,8,FALSE)</f>
        <v>7580</v>
      </c>
      <c r="AG73" s="2">
        <f>VLOOKUP($A73,'[2]App C Share Outflows'!$A$4:$I$917,9,FALSE)</f>
        <v>0</v>
      </c>
      <c r="AH73" s="2"/>
      <c r="AI73" s="2">
        <f>VLOOKUP($A73,'[2]App C Share Inflows'!$A$4:$I$917,5,FALSE)</f>
        <v>0</v>
      </c>
      <c r="AJ73" s="2">
        <f>VLOOKUP($A73,'[2]App C Share Inflows'!$A$4:$I$917,6,FALSE)</f>
        <v>0</v>
      </c>
      <c r="AK73" s="2">
        <f>VLOOKUP($A73,'[2]App C Share Inflows'!$A$4:$I$917,7,FALSE)</f>
        <v>0</v>
      </c>
      <c r="AL73" s="2">
        <f>VLOOKUP($A73,'[2]App C Share Inflows'!$A$4:$I$917,8,FALSE)</f>
        <v>0</v>
      </c>
      <c r="AM73" s="2">
        <f>VLOOKUP($A73,'[2]App C Share Inflows'!$A$4:$I$917,6,FALSE)</f>
        <v>0</v>
      </c>
    </row>
    <row r="74" spans="1:39">
      <c r="A74" s="351">
        <v>90605</v>
      </c>
      <c r="B74" s="344" t="s">
        <v>3643</v>
      </c>
      <c r="C74" s="235" t="e">
        <f>VLOOKUP(A74,#REF!,10,FALSE)</f>
        <v>#REF!</v>
      </c>
      <c r="E74" s="2">
        <f>VLOOKUP($A74,'[2]App C Total'!$A$4:$I$917,5,FALSE)</f>
        <v>31463</v>
      </c>
      <c r="F74" s="2">
        <f>VLOOKUP($A74,'[2]App C Total'!$A$4:$I$917,6,FALSE)</f>
        <v>13276</v>
      </c>
      <c r="G74" s="2">
        <f>VLOOKUP($A74,'[2]App C Total'!$A$4:$I$917,7,FALSE)</f>
        <v>17105</v>
      </c>
      <c r="H74" s="2">
        <f>VLOOKUP($A74,'[2]App C Total'!$A$4:$I$917,8,FALSE)</f>
        <v>6502</v>
      </c>
      <c r="I74" s="2">
        <f>VLOOKUP($A74,'[2]App C Total'!$A$4:$I$917,9,FALSE)</f>
        <v>0</v>
      </c>
      <c r="J74" s="2"/>
      <c r="K74" s="2">
        <f>VLOOKUP($A74,'[2]App C Exp'!$A$4:$I$917,5,FALSE)</f>
        <v>7460</v>
      </c>
      <c r="L74" s="2">
        <f>VLOOKUP($A74,'[2]App C Exp'!$A$4:$I$917,6,FALSE)</f>
        <v>7018</v>
      </c>
      <c r="M74" s="2">
        <f>VLOOKUP($A74,'[2]App C Exp'!$A$4:$I$917,7,FALSE)</f>
        <v>6290</v>
      </c>
      <c r="N74" s="2">
        <f>VLOOKUP($A74,'[2]App C Exp'!$A$4:$I$917,8,FALSE)</f>
        <v>2518</v>
      </c>
      <c r="O74" s="2">
        <f>VLOOKUP($A74,'[2]App C Exp'!$A$4:$I$917,9,FALSE)</f>
        <v>0</v>
      </c>
      <c r="P74" s="2"/>
      <c r="Q74" s="2">
        <f>VLOOKUP($A74,'[2]App C Inv'!$A$4:$I$917,5,FALSE)</f>
        <v>7920</v>
      </c>
      <c r="R74" s="2">
        <f>VLOOKUP($A74,'[2]App C Inv'!$A$4:$I$917,6,FALSE)</f>
        <v>-6813</v>
      </c>
      <c r="S74" s="2">
        <f>VLOOKUP($A74,'[2]App C Inv'!$A$4:$I$917,7,FALSE)</f>
        <v>960</v>
      </c>
      <c r="T74" s="2">
        <f>VLOOKUP($A74,'[2]App C Inv'!$A$4:$I$917,8,FALSE)</f>
        <v>1250</v>
      </c>
      <c r="U74" s="2">
        <f>VLOOKUP($A74,'[2]App C Inv'!$A$4:$I$917,9,FALSE)</f>
        <v>0</v>
      </c>
      <c r="V74" s="2"/>
      <c r="W74" s="2">
        <f>VLOOKUP($A74,'[2]App C Assum'!$A$4:$I$917,5,FALSE)</f>
        <v>8922</v>
      </c>
      <c r="X74" s="2">
        <f>VLOOKUP($A74,'[2]App C Assum'!$A$4:$I$917,6,FALSE)</f>
        <v>7309</v>
      </c>
      <c r="Y74" s="2">
        <f>VLOOKUP($A74,'[2]App C Assum'!$A$4:$I$917,7,FALSE)</f>
        <v>5934</v>
      </c>
      <c r="Z74" s="2">
        <f>VLOOKUP($A74,'[2]App C Assum'!$A$4:$I$917,8,FALSE)</f>
        <v>0</v>
      </c>
      <c r="AA74" s="2">
        <f>VLOOKUP($A74,'[2]App C Assum'!$A$4:$I$917,9,FALSE)</f>
        <v>0</v>
      </c>
      <c r="AB74" s="2"/>
      <c r="AC74" s="2">
        <f>VLOOKUP($A74,'[2]App C Share Outflows'!$A$4:$I$917,5,FALSE)</f>
        <v>7161</v>
      </c>
      <c r="AD74" s="2">
        <f>VLOOKUP($A74,'[2]App C Share Outflows'!$A$4:$I$917,6,FALSE)</f>
        <v>5762</v>
      </c>
      <c r="AE74" s="2">
        <f>VLOOKUP($A74,'[2]App C Share Outflows'!$A$4:$I$917,7,FALSE)</f>
        <v>3921</v>
      </c>
      <c r="AF74" s="2">
        <f>VLOOKUP($A74,'[2]App C Share Outflows'!$A$4:$I$917,8,FALSE)</f>
        <v>2734</v>
      </c>
      <c r="AG74" s="2">
        <f>VLOOKUP($A74,'[2]App C Share Outflows'!$A$4:$I$917,9,FALSE)</f>
        <v>0</v>
      </c>
      <c r="AH74" s="2"/>
      <c r="AI74" s="2">
        <f>VLOOKUP($A74,'[2]App C Share Inflows'!$A$4:$I$917,5,FALSE)</f>
        <v>0</v>
      </c>
      <c r="AJ74" s="2">
        <f>VLOOKUP($A74,'[2]App C Share Inflows'!$A$4:$I$917,6,FALSE)</f>
        <v>0</v>
      </c>
      <c r="AK74" s="2">
        <f>VLOOKUP($A74,'[2]App C Share Inflows'!$A$4:$I$917,7,FALSE)</f>
        <v>0</v>
      </c>
      <c r="AL74" s="2">
        <f>VLOOKUP($A74,'[2]App C Share Inflows'!$A$4:$I$917,8,FALSE)</f>
        <v>0</v>
      </c>
      <c r="AM74" s="2">
        <f>VLOOKUP($A74,'[2]App C Share Inflows'!$A$4:$I$917,6,FALSE)</f>
        <v>0</v>
      </c>
    </row>
    <row r="75" spans="1:39">
      <c r="A75" s="351">
        <v>90611</v>
      </c>
      <c r="B75" s="344" t="s">
        <v>769</v>
      </c>
      <c r="C75" s="235" t="e">
        <f>VLOOKUP(A75,#REF!,10,FALSE)</f>
        <v>#REF!</v>
      </c>
      <c r="E75" s="2">
        <f>VLOOKUP($A75,'[2]App C Total'!$A$4:$I$917,5,FALSE)</f>
        <v>68865</v>
      </c>
      <c r="F75" s="2">
        <f>VLOOKUP($A75,'[2]App C Total'!$A$4:$I$917,6,FALSE)</f>
        <v>20026</v>
      </c>
      <c r="G75" s="2">
        <f>VLOOKUP($A75,'[2]App C Total'!$A$4:$I$917,7,FALSE)</f>
        <v>39515</v>
      </c>
      <c r="H75" s="2">
        <f>VLOOKUP($A75,'[2]App C Total'!$A$4:$I$917,8,FALSE)</f>
        <v>12790</v>
      </c>
      <c r="I75" s="2">
        <f>VLOOKUP($A75,'[2]App C Total'!$A$4:$I$917,9,FALSE)</f>
        <v>0</v>
      </c>
      <c r="J75" s="2"/>
      <c r="K75" s="2">
        <f>VLOOKUP($A75,'[2]App C Exp'!$A$4:$I$917,5,FALSE)</f>
        <v>22861</v>
      </c>
      <c r="L75" s="2">
        <f>VLOOKUP($A75,'[2]App C Exp'!$A$4:$I$917,6,FALSE)</f>
        <v>21504</v>
      </c>
      <c r="M75" s="2">
        <f>VLOOKUP($A75,'[2]App C Exp'!$A$4:$I$917,7,FALSE)</f>
        <v>19274</v>
      </c>
      <c r="N75" s="2">
        <f>VLOOKUP($A75,'[2]App C Exp'!$A$4:$I$917,8,FALSE)</f>
        <v>7717</v>
      </c>
      <c r="O75" s="2">
        <f>VLOOKUP($A75,'[2]App C Exp'!$A$4:$I$917,9,FALSE)</f>
        <v>0</v>
      </c>
      <c r="P75" s="2"/>
      <c r="Q75" s="2">
        <f>VLOOKUP($A75,'[2]App C Inv'!$A$4:$I$917,5,FALSE)</f>
        <v>24270</v>
      </c>
      <c r="R75" s="2">
        <f>VLOOKUP($A75,'[2]App C Inv'!$A$4:$I$917,6,FALSE)</f>
        <v>-20876</v>
      </c>
      <c r="S75" s="2">
        <f>VLOOKUP($A75,'[2]App C Inv'!$A$4:$I$917,7,FALSE)</f>
        <v>2942</v>
      </c>
      <c r="T75" s="2">
        <f>VLOOKUP($A75,'[2]App C Inv'!$A$4:$I$917,8,FALSE)</f>
        <v>3829</v>
      </c>
      <c r="U75" s="2">
        <f>VLOOKUP($A75,'[2]App C Inv'!$A$4:$I$917,9,FALSE)</f>
        <v>0</v>
      </c>
      <c r="V75" s="2"/>
      <c r="W75" s="2">
        <f>VLOOKUP($A75,'[2]App C Assum'!$A$4:$I$917,5,FALSE)</f>
        <v>27340</v>
      </c>
      <c r="X75" s="2">
        <f>VLOOKUP($A75,'[2]App C Assum'!$A$4:$I$917,6,FALSE)</f>
        <v>22398</v>
      </c>
      <c r="Y75" s="2">
        <f>VLOOKUP($A75,'[2]App C Assum'!$A$4:$I$917,7,FALSE)</f>
        <v>18183</v>
      </c>
      <c r="Z75" s="2">
        <f>VLOOKUP($A75,'[2]App C Assum'!$A$4:$I$917,8,FALSE)</f>
        <v>0</v>
      </c>
      <c r="AA75" s="2">
        <f>VLOOKUP($A75,'[2]App C Assum'!$A$4:$I$917,9,FALSE)</f>
        <v>0</v>
      </c>
      <c r="AB75" s="2"/>
      <c r="AC75" s="2">
        <f>VLOOKUP($A75,'[2]App C Share Outflows'!$A$4:$I$917,5,FALSE)</f>
        <v>1242</v>
      </c>
      <c r="AD75" s="2">
        <f>VLOOKUP($A75,'[2]App C Share Outflows'!$A$4:$I$917,6,FALSE)</f>
        <v>1242</v>
      </c>
      <c r="AE75" s="2">
        <f>VLOOKUP($A75,'[2]App C Share Outflows'!$A$4:$I$917,7,FALSE)</f>
        <v>1242</v>
      </c>
      <c r="AF75" s="2">
        <f>VLOOKUP($A75,'[2]App C Share Outflows'!$A$4:$I$917,8,FALSE)</f>
        <v>1244</v>
      </c>
      <c r="AG75" s="2">
        <f>VLOOKUP($A75,'[2]App C Share Outflows'!$A$4:$I$917,9,FALSE)</f>
        <v>0</v>
      </c>
      <c r="AH75" s="2"/>
      <c r="AI75" s="2">
        <f>VLOOKUP($A75,'[2]App C Share Inflows'!$A$4:$I$917,5,FALSE)</f>
        <v>-6848</v>
      </c>
      <c r="AJ75" s="2">
        <f>VLOOKUP($A75,'[2]App C Share Inflows'!$A$4:$I$917,6,FALSE)</f>
        <v>-4242</v>
      </c>
      <c r="AK75" s="2">
        <f>VLOOKUP($A75,'[2]App C Share Inflows'!$A$4:$I$917,7,FALSE)</f>
        <v>-2126</v>
      </c>
      <c r="AL75" s="2">
        <f>VLOOKUP($A75,'[2]App C Share Inflows'!$A$4:$I$917,8,FALSE)</f>
        <v>0</v>
      </c>
      <c r="AM75" s="2">
        <f>VLOOKUP($A75,'[2]App C Share Inflows'!$A$4:$I$917,6,FALSE)</f>
        <v>-4242</v>
      </c>
    </row>
    <row r="76" spans="1:39">
      <c r="A76" s="351">
        <v>90617</v>
      </c>
      <c r="B76" s="344" t="s">
        <v>770</v>
      </c>
      <c r="C76" s="235" t="e">
        <f>VLOOKUP(A76,#REF!,10,FALSE)</f>
        <v>#REF!</v>
      </c>
      <c r="E76" s="2">
        <f>VLOOKUP($A76,'[2]App C Total'!$A$4:$I$917,5,FALSE)</f>
        <v>16299</v>
      </c>
      <c r="F76" s="2">
        <f>VLOOKUP($A76,'[2]App C Total'!$A$4:$I$917,6,FALSE)</f>
        <v>6087</v>
      </c>
      <c r="G76" s="2">
        <f>VLOOKUP($A76,'[2]App C Total'!$A$4:$I$917,7,FALSE)</f>
        <v>8700</v>
      </c>
      <c r="H76" s="2">
        <f>VLOOKUP($A76,'[2]App C Total'!$A$4:$I$917,8,FALSE)</f>
        <v>2807</v>
      </c>
      <c r="I76" s="2">
        <f>VLOOKUP($A76,'[2]App C Total'!$A$4:$I$917,9,FALSE)</f>
        <v>0</v>
      </c>
      <c r="J76" s="2"/>
      <c r="K76" s="2">
        <f>VLOOKUP($A76,'[2]App C Exp'!$A$4:$I$917,5,FALSE)</f>
        <v>4284</v>
      </c>
      <c r="L76" s="2">
        <f>VLOOKUP($A76,'[2]App C Exp'!$A$4:$I$917,6,FALSE)</f>
        <v>4030</v>
      </c>
      <c r="M76" s="2">
        <f>VLOOKUP($A76,'[2]App C Exp'!$A$4:$I$917,7,FALSE)</f>
        <v>3612</v>
      </c>
      <c r="N76" s="2">
        <f>VLOOKUP($A76,'[2]App C Exp'!$A$4:$I$917,8,FALSE)</f>
        <v>1446</v>
      </c>
      <c r="O76" s="2">
        <f>VLOOKUP($A76,'[2]App C Exp'!$A$4:$I$917,9,FALSE)</f>
        <v>0</v>
      </c>
      <c r="P76" s="2"/>
      <c r="Q76" s="2">
        <f>VLOOKUP($A76,'[2]App C Inv'!$A$4:$I$917,5,FALSE)</f>
        <v>4549</v>
      </c>
      <c r="R76" s="2">
        <f>VLOOKUP($A76,'[2]App C Inv'!$A$4:$I$917,6,FALSE)</f>
        <v>-3913</v>
      </c>
      <c r="S76" s="2">
        <f>VLOOKUP($A76,'[2]App C Inv'!$A$4:$I$917,7,FALSE)</f>
        <v>551</v>
      </c>
      <c r="T76" s="2">
        <f>VLOOKUP($A76,'[2]App C Inv'!$A$4:$I$917,8,FALSE)</f>
        <v>718</v>
      </c>
      <c r="U76" s="2">
        <f>VLOOKUP($A76,'[2]App C Inv'!$A$4:$I$917,9,FALSE)</f>
        <v>0</v>
      </c>
      <c r="V76" s="2"/>
      <c r="W76" s="2">
        <f>VLOOKUP($A76,'[2]App C Assum'!$A$4:$I$917,5,FALSE)</f>
        <v>5124</v>
      </c>
      <c r="X76" s="2">
        <f>VLOOKUP($A76,'[2]App C Assum'!$A$4:$I$917,6,FALSE)</f>
        <v>4198</v>
      </c>
      <c r="Y76" s="2">
        <f>VLOOKUP($A76,'[2]App C Assum'!$A$4:$I$917,7,FALSE)</f>
        <v>3408</v>
      </c>
      <c r="Z76" s="2">
        <f>VLOOKUP($A76,'[2]App C Assum'!$A$4:$I$917,8,FALSE)</f>
        <v>0</v>
      </c>
      <c r="AA76" s="2">
        <f>VLOOKUP($A76,'[2]App C Assum'!$A$4:$I$917,9,FALSE)</f>
        <v>0</v>
      </c>
      <c r="AB76" s="2"/>
      <c r="AC76" s="2">
        <f>VLOOKUP($A76,'[2]App C Share Outflows'!$A$4:$I$917,5,FALSE)</f>
        <v>2342</v>
      </c>
      <c r="AD76" s="2">
        <f>VLOOKUP($A76,'[2]App C Share Outflows'!$A$4:$I$917,6,FALSE)</f>
        <v>1772</v>
      </c>
      <c r="AE76" s="2">
        <f>VLOOKUP($A76,'[2]App C Share Outflows'!$A$4:$I$917,7,FALSE)</f>
        <v>1129</v>
      </c>
      <c r="AF76" s="2">
        <f>VLOOKUP($A76,'[2]App C Share Outflows'!$A$4:$I$917,8,FALSE)</f>
        <v>643</v>
      </c>
      <c r="AG76" s="2">
        <f>VLOOKUP($A76,'[2]App C Share Outflows'!$A$4:$I$917,9,FALSE)</f>
        <v>0</v>
      </c>
      <c r="AH76" s="2"/>
      <c r="AI76" s="2">
        <f>VLOOKUP($A76,'[2]App C Share Inflows'!$A$4:$I$917,5,FALSE)</f>
        <v>0</v>
      </c>
      <c r="AJ76" s="2">
        <f>VLOOKUP($A76,'[2]App C Share Inflows'!$A$4:$I$917,6,FALSE)</f>
        <v>0</v>
      </c>
      <c r="AK76" s="2">
        <f>VLOOKUP($A76,'[2]App C Share Inflows'!$A$4:$I$917,7,FALSE)</f>
        <v>0</v>
      </c>
      <c r="AL76" s="2">
        <f>VLOOKUP($A76,'[2]App C Share Inflows'!$A$4:$I$917,8,FALSE)</f>
        <v>0</v>
      </c>
      <c r="AM76" s="2">
        <f>VLOOKUP($A76,'[2]App C Share Inflows'!$A$4:$I$917,6,FALSE)</f>
        <v>0</v>
      </c>
    </row>
    <row r="77" spans="1:39">
      <c r="A77" s="351">
        <v>90621</v>
      </c>
      <c r="B77" s="344" t="s">
        <v>771</v>
      </c>
      <c r="C77" s="235" t="e">
        <f>VLOOKUP(A77,#REF!,10,FALSE)</f>
        <v>#REF!</v>
      </c>
      <c r="E77" s="2">
        <f>VLOOKUP($A77,'[2]App C Total'!$A$4:$I$917,5,FALSE)</f>
        <v>29825</v>
      </c>
      <c r="F77" s="2">
        <f>VLOOKUP($A77,'[2]App C Total'!$A$4:$I$917,6,FALSE)</f>
        <v>6978</v>
      </c>
      <c r="G77" s="2">
        <f>VLOOKUP($A77,'[2]App C Total'!$A$4:$I$917,7,FALSE)</f>
        <v>18315</v>
      </c>
      <c r="H77" s="2">
        <f>VLOOKUP($A77,'[2]App C Total'!$A$4:$I$917,8,FALSE)</f>
        <v>5826</v>
      </c>
      <c r="I77" s="2">
        <f>VLOOKUP($A77,'[2]App C Total'!$A$4:$I$917,9,FALSE)</f>
        <v>0</v>
      </c>
      <c r="J77" s="2"/>
      <c r="K77" s="2">
        <f>VLOOKUP($A77,'[2]App C Exp'!$A$4:$I$917,5,FALSE)</f>
        <v>10442</v>
      </c>
      <c r="L77" s="2">
        <f>VLOOKUP($A77,'[2]App C Exp'!$A$4:$I$917,6,FALSE)</f>
        <v>9822</v>
      </c>
      <c r="M77" s="2">
        <f>VLOOKUP($A77,'[2]App C Exp'!$A$4:$I$917,7,FALSE)</f>
        <v>8803</v>
      </c>
      <c r="N77" s="2">
        <f>VLOOKUP($A77,'[2]App C Exp'!$A$4:$I$917,8,FALSE)</f>
        <v>3525</v>
      </c>
      <c r="O77" s="2">
        <f>VLOOKUP($A77,'[2]App C Exp'!$A$4:$I$917,9,FALSE)</f>
        <v>0</v>
      </c>
      <c r="P77" s="2"/>
      <c r="Q77" s="2">
        <f>VLOOKUP($A77,'[2]App C Inv'!$A$4:$I$917,5,FALSE)</f>
        <v>11085</v>
      </c>
      <c r="R77" s="2">
        <f>VLOOKUP($A77,'[2]App C Inv'!$A$4:$I$917,6,FALSE)</f>
        <v>-9535</v>
      </c>
      <c r="S77" s="2">
        <f>VLOOKUP($A77,'[2]App C Inv'!$A$4:$I$917,7,FALSE)</f>
        <v>1344</v>
      </c>
      <c r="T77" s="2">
        <f>VLOOKUP($A77,'[2]App C Inv'!$A$4:$I$917,8,FALSE)</f>
        <v>1749</v>
      </c>
      <c r="U77" s="2">
        <f>VLOOKUP($A77,'[2]App C Inv'!$A$4:$I$917,9,FALSE)</f>
        <v>0</v>
      </c>
      <c r="V77" s="2"/>
      <c r="W77" s="2">
        <f>VLOOKUP($A77,'[2]App C Assum'!$A$4:$I$917,5,FALSE)</f>
        <v>12488</v>
      </c>
      <c r="X77" s="2">
        <f>VLOOKUP($A77,'[2]App C Assum'!$A$4:$I$917,6,FALSE)</f>
        <v>10230</v>
      </c>
      <c r="Y77" s="2">
        <f>VLOOKUP($A77,'[2]App C Assum'!$A$4:$I$917,7,FALSE)</f>
        <v>8305</v>
      </c>
      <c r="Z77" s="2">
        <f>VLOOKUP($A77,'[2]App C Assum'!$A$4:$I$917,8,FALSE)</f>
        <v>0</v>
      </c>
      <c r="AA77" s="2">
        <f>VLOOKUP($A77,'[2]App C Assum'!$A$4:$I$917,9,FALSE)</f>
        <v>0</v>
      </c>
      <c r="AB77" s="2"/>
      <c r="AC77" s="2">
        <f>VLOOKUP($A77,'[2]App C Share Outflows'!$A$4:$I$917,5,FALSE)</f>
        <v>552</v>
      </c>
      <c r="AD77" s="2">
        <f>VLOOKUP($A77,'[2]App C Share Outflows'!$A$4:$I$917,6,FALSE)</f>
        <v>552</v>
      </c>
      <c r="AE77" s="2">
        <f>VLOOKUP($A77,'[2]App C Share Outflows'!$A$4:$I$917,7,FALSE)</f>
        <v>552</v>
      </c>
      <c r="AF77" s="2">
        <f>VLOOKUP($A77,'[2]App C Share Outflows'!$A$4:$I$917,8,FALSE)</f>
        <v>552</v>
      </c>
      <c r="AG77" s="2">
        <f>VLOOKUP($A77,'[2]App C Share Outflows'!$A$4:$I$917,9,FALSE)</f>
        <v>0</v>
      </c>
      <c r="AH77" s="2"/>
      <c r="AI77" s="2">
        <f>VLOOKUP($A77,'[2]App C Share Inflows'!$A$4:$I$917,5,FALSE)</f>
        <v>-4742</v>
      </c>
      <c r="AJ77" s="2">
        <f>VLOOKUP($A77,'[2]App C Share Inflows'!$A$4:$I$917,6,FALSE)</f>
        <v>-4091</v>
      </c>
      <c r="AK77" s="2">
        <f>VLOOKUP($A77,'[2]App C Share Inflows'!$A$4:$I$917,7,FALSE)</f>
        <v>-689</v>
      </c>
      <c r="AL77" s="2">
        <f>VLOOKUP($A77,'[2]App C Share Inflows'!$A$4:$I$917,8,FALSE)</f>
        <v>0</v>
      </c>
      <c r="AM77" s="2">
        <f>VLOOKUP($A77,'[2]App C Share Inflows'!$A$4:$I$917,6,FALSE)</f>
        <v>-4091</v>
      </c>
    </row>
    <row r="78" spans="1:39">
      <c r="A78" s="351">
        <v>90631</v>
      </c>
      <c r="B78" s="344" t="s">
        <v>772</v>
      </c>
      <c r="C78" s="235" t="e">
        <f>VLOOKUP(A78,#REF!,10,FALSE)</f>
        <v>#REF!</v>
      </c>
      <c r="E78" s="2">
        <f>VLOOKUP($A78,'[2]App C Total'!$A$4:$I$917,5,FALSE)</f>
        <v>178815</v>
      </c>
      <c r="F78" s="2">
        <f>VLOOKUP($A78,'[2]App C Total'!$A$4:$I$917,6,FALSE)</f>
        <v>52312</v>
      </c>
      <c r="G78" s="2">
        <f>VLOOKUP($A78,'[2]App C Total'!$A$4:$I$917,7,FALSE)</f>
        <v>92417</v>
      </c>
      <c r="H78" s="2">
        <f>VLOOKUP($A78,'[2]App C Total'!$A$4:$I$917,8,FALSE)</f>
        <v>27591</v>
      </c>
      <c r="I78" s="2">
        <f>VLOOKUP($A78,'[2]App C Total'!$A$4:$I$917,9,FALSE)</f>
        <v>0</v>
      </c>
      <c r="J78" s="2"/>
      <c r="K78" s="2">
        <f>VLOOKUP($A78,'[2]App C Exp'!$A$4:$I$917,5,FALSE)</f>
        <v>54575</v>
      </c>
      <c r="L78" s="2">
        <f>VLOOKUP($A78,'[2]App C Exp'!$A$4:$I$917,6,FALSE)</f>
        <v>51337</v>
      </c>
      <c r="M78" s="2">
        <f>VLOOKUP($A78,'[2]App C Exp'!$A$4:$I$917,7,FALSE)</f>
        <v>46013</v>
      </c>
      <c r="N78" s="2">
        <f>VLOOKUP($A78,'[2]App C Exp'!$A$4:$I$917,8,FALSE)</f>
        <v>18423</v>
      </c>
      <c r="O78" s="2">
        <f>VLOOKUP($A78,'[2]App C Exp'!$A$4:$I$917,9,FALSE)</f>
        <v>0</v>
      </c>
      <c r="P78" s="2"/>
      <c r="Q78" s="2">
        <f>VLOOKUP($A78,'[2]App C Inv'!$A$4:$I$917,5,FALSE)</f>
        <v>57939</v>
      </c>
      <c r="R78" s="2">
        <f>VLOOKUP($A78,'[2]App C Inv'!$A$4:$I$917,6,FALSE)</f>
        <v>-49838</v>
      </c>
      <c r="S78" s="2">
        <f>VLOOKUP($A78,'[2]App C Inv'!$A$4:$I$917,7,FALSE)</f>
        <v>7024</v>
      </c>
      <c r="T78" s="2">
        <f>VLOOKUP($A78,'[2]App C Inv'!$A$4:$I$917,8,FALSE)</f>
        <v>9142</v>
      </c>
      <c r="U78" s="2">
        <f>VLOOKUP($A78,'[2]App C Inv'!$A$4:$I$917,9,FALSE)</f>
        <v>0</v>
      </c>
      <c r="V78" s="2"/>
      <c r="W78" s="2">
        <f>VLOOKUP($A78,'[2]App C Assum'!$A$4:$I$917,5,FALSE)</f>
        <v>65269</v>
      </c>
      <c r="X78" s="2">
        <f>VLOOKUP($A78,'[2]App C Assum'!$A$4:$I$917,6,FALSE)</f>
        <v>53470</v>
      </c>
      <c r="Y78" s="2">
        <f>VLOOKUP($A78,'[2]App C Assum'!$A$4:$I$917,7,FALSE)</f>
        <v>43409</v>
      </c>
      <c r="Z78" s="2">
        <f>VLOOKUP($A78,'[2]App C Assum'!$A$4:$I$917,8,FALSE)</f>
        <v>0</v>
      </c>
      <c r="AA78" s="2">
        <f>VLOOKUP($A78,'[2]App C Assum'!$A$4:$I$917,9,FALSE)</f>
        <v>0</v>
      </c>
      <c r="AB78" s="2"/>
      <c r="AC78" s="2">
        <f>VLOOKUP($A78,'[2]App C Share Outflows'!$A$4:$I$917,5,FALSE)</f>
        <v>5090</v>
      </c>
      <c r="AD78" s="2">
        <f>VLOOKUP($A78,'[2]App C Share Outflows'!$A$4:$I$917,6,FALSE)</f>
        <v>1401</v>
      </c>
      <c r="AE78" s="2">
        <f>VLOOKUP($A78,'[2]App C Share Outflows'!$A$4:$I$917,7,FALSE)</f>
        <v>27</v>
      </c>
      <c r="AF78" s="2">
        <f>VLOOKUP($A78,'[2]App C Share Outflows'!$A$4:$I$917,8,FALSE)</f>
        <v>26</v>
      </c>
      <c r="AG78" s="2">
        <f>VLOOKUP($A78,'[2]App C Share Outflows'!$A$4:$I$917,9,FALSE)</f>
        <v>0</v>
      </c>
      <c r="AH78" s="2"/>
      <c r="AI78" s="2">
        <f>VLOOKUP($A78,'[2]App C Share Inflows'!$A$4:$I$917,5,FALSE)</f>
        <v>-4058</v>
      </c>
      <c r="AJ78" s="2">
        <f>VLOOKUP($A78,'[2]App C Share Inflows'!$A$4:$I$917,6,FALSE)</f>
        <v>-4058</v>
      </c>
      <c r="AK78" s="2">
        <f>VLOOKUP($A78,'[2]App C Share Inflows'!$A$4:$I$917,7,FALSE)</f>
        <v>-4056</v>
      </c>
      <c r="AL78" s="2">
        <f>VLOOKUP($A78,'[2]App C Share Inflows'!$A$4:$I$917,8,FALSE)</f>
        <v>0</v>
      </c>
      <c r="AM78" s="2">
        <f>VLOOKUP($A78,'[2]App C Share Inflows'!$A$4:$I$917,6,FALSE)</f>
        <v>-4058</v>
      </c>
    </row>
    <row r="79" spans="1:39">
      <c r="A79" s="351">
        <v>90641</v>
      </c>
      <c r="B79" s="344" t="s">
        <v>773</v>
      </c>
      <c r="C79" s="235" t="e">
        <f>VLOOKUP(A79,#REF!,10,FALSE)</f>
        <v>#REF!</v>
      </c>
      <c r="E79" s="2">
        <f>VLOOKUP($A79,'[2]App C Total'!$A$4:$I$917,5,FALSE)</f>
        <v>5711</v>
      </c>
      <c r="F79" s="2">
        <f>VLOOKUP($A79,'[2]App C Total'!$A$4:$I$917,6,FALSE)</f>
        <v>1851</v>
      </c>
      <c r="G79" s="2">
        <f>VLOOKUP($A79,'[2]App C Total'!$A$4:$I$917,7,FALSE)</f>
        <v>3174</v>
      </c>
      <c r="H79" s="2">
        <f>VLOOKUP($A79,'[2]App C Total'!$A$4:$I$917,8,FALSE)</f>
        <v>921</v>
      </c>
      <c r="I79" s="2">
        <f>VLOOKUP($A79,'[2]App C Total'!$A$4:$I$917,9,FALSE)</f>
        <v>0</v>
      </c>
      <c r="J79" s="2"/>
      <c r="K79" s="2">
        <f>VLOOKUP($A79,'[2]App C Exp'!$A$4:$I$917,5,FALSE)</f>
        <v>1768</v>
      </c>
      <c r="L79" s="2">
        <f>VLOOKUP($A79,'[2]App C Exp'!$A$4:$I$917,6,FALSE)</f>
        <v>1663</v>
      </c>
      <c r="M79" s="2">
        <f>VLOOKUP($A79,'[2]App C Exp'!$A$4:$I$917,7,FALSE)</f>
        <v>1490</v>
      </c>
      <c r="N79" s="2">
        <f>VLOOKUP($A79,'[2]App C Exp'!$A$4:$I$917,8,FALSE)</f>
        <v>597</v>
      </c>
      <c r="O79" s="2">
        <f>VLOOKUP($A79,'[2]App C Exp'!$A$4:$I$917,9,FALSE)</f>
        <v>0</v>
      </c>
      <c r="P79" s="2"/>
      <c r="Q79" s="2">
        <f>VLOOKUP($A79,'[2]App C Inv'!$A$4:$I$917,5,FALSE)</f>
        <v>1877</v>
      </c>
      <c r="R79" s="2">
        <f>VLOOKUP($A79,'[2]App C Inv'!$A$4:$I$917,6,FALSE)</f>
        <v>-1614</v>
      </c>
      <c r="S79" s="2">
        <f>VLOOKUP($A79,'[2]App C Inv'!$A$4:$I$917,7,FALSE)</f>
        <v>228</v>
      </c>
      <c r="T79" s="2">
        <f>VLOOKUP($A79,'[2]App C Inv'!$A$4:$I$917,8,FALSE)</f>
        <v>296</v>
      </c>
      <c r="U79" s="2">
        <f>VLOOKUP($A79,'[2]App C Inv'!$A$4:$I$917,9,FALSE)</f>
        <v>0</v>
      </c>
      <c r="V79" s="2"/>
      <c r="W79" s="2">
        <f>VLOOKUP($A79,'[2]App C Assum'!$A$4:$I$917,5,FALSE)</f>
        <v>2114</v>
      </c>
      <c r="X79" s="2">
        <f>VLOOKUP($A79,'[2]App C Assum'!$A$4:$I$917,6,FALSE)</f>
        <v>1732</v>
      </c>
      <c r="Y79" s="2">
        <f>VLOOKUP($A79,'[2]App C Assum'!$A$4:$I$917,7,FALSE)</f>
        <v>1406</v>
      </c>
      <c r="Z79" s="2">
        <f>VLOOKUP($A79,'[2]App C Assum'!$A$4:$I$917,8,FALSE)</f>
        <v>0</v>
      </c>
      <c r="AA79" s="2">
        <f>VLOOKUP($A79,'[2]App C Assum'!$A$4:$I$917,9,FALSE)</f>
        <v>0</v>
      </c>
      <c r="AB79" s="2"/>
      <c r="AC79" s="2">
        <f>VLOOKUP($A79,'[2]App C Share Outflows'!$A$4:$I$917,5,FALSE)</f>
        <v>69</v>
      </c>
      <c r="AD79" s="2">
        <f>VLOOKUP($A79,'[2]App C Share Outflows'!$A$4:$I$917,6,FALSE)</f>
        <v>70</v>
      </c>
      <c r="AE79" s="2">
        <f>VLOOKUP($A79,'[2]App C Share Outflows'!$A$4:$I$917,7,FALSE)</f>
        <v>50</v>
      </c>
      <c r="AF79" s="2">
        <f>VLOOKUP($A79,'[2]App C Share Outflows'!$A$4:$I$917,8,FALSE)</f>
        <v>28</v>
      </c>
      <c r="AG79" s="2">
        <f>VLOOKUP($A79,'[2]App C Share Outflows'!$A$4:$I$917,9,FALSE)</f>
        <v>0</v>
      </c>
      <c r="AH79" s="2"/>
      <c r="AI79" s="2">
        <f>VLOOKUP($A79,'[2]App C Share Inflows'!$A$4:$I$917,5,FALSE)</f>
        <v>-117</v>
      </c>
      <c r="AJ79" s="2">
        <f>VLOOKUP($A79,'[2]App C Share Inflows'!$A$4:$I$917,6,FALSE)</f>
        <v>0</v>
      </c>
      <c r="AK79" s="2">
        <f>VLOOKUP($A79,'[2]App C Share Inflows'!$A$4:$I$917,7,FALSE)</f>
        <v>0</v>
      </c>
      <c r="AL79" s="2">
        <f>VLOOKUP($A79,'[2]App C Share Inflows'!$A$4:$I$917,8,FALSE)</f>
        <v>0</v>
      </c>
      <c r="AM79" s="2">
        <f>VLOOKUP($A79,'[2]App C Share Inflows'!$A$4:$I$917,6,FALSE)</f>
        <v>0</v>
      </c>
    </row>
    <row r="80" spans="1:39">
      <c r="A80" s="351">
        <v>90651</v>
      </c>
      <c r="B80" s="344" t="s">
        <v>774</v>
      </c>
      <c r="C80" s="235" t="e">
        <f>VLOOKUP(A80,#REF!,10,FALSE)</f>
        <v>#REF!</v>
      </c>
      <c r="E80" s="2">
        <f>VLOOKUP($A80,'[2]App C Total'!$A$4:$I$917,5,FALSE)</f>
        <v>90545</v>
      </c>
      <c r="F80" s="2">
        <f>VLOOKUP($A80,'[2]App C Total'!$A$4:$I$917,6,FALSE)</f>
        <v>46023</v>
      </c>
      <c r="G80" s="2">
        <f>VLOOKUP($A80,'[2]App C Total'!$A$4:$I$917,7,FALSE)</f>
        <v>49143</v>
      </c>
      <c r="H80" s="2">
        <f>VLOOKUP($A80,'[2]App C Total'!$A$4:$I$917,8,FALSE)</f>
        <v>18386</v>
      </c>
      <c r="I80" s="2">
        <f>VLOOKUP($A80,'[2]App C Total'!$A$4:$I$917,9,FALSE)</f>
        <v>0</v>
      </c>
      <c r="J80" s="2"/>
      <c r="K80" s="2">
        <f>VLOOKUP($A80,'[2]App C Exp'!$A$4:$I$917,5,FALSE)</f>
        <v>15445</v>
      </c>
      <c r="L80" s="2">
        <f>VLOOKUP($A80,'[2]App C Exp'!$A$4:$I$917,6,FALSE)</f>
        <v>14529</v>
      </c>
      <c r="M80" s="2">
        <f>VLOOKUP($A80,'[2]App C Exp'!$A$4:$I$917,7,FALSE)</f>
        <v>13022</v>
      </c>
      <c r="N80" s="2">
        <f>VLOOKUP($A80,'[2]App C Exp'!$A$4:$I$917,8,FALSE)</f>
        <v>5214</v>
      </c>
      <c r="O80" s="2">
        <f>VLOOKUP($A80,'[2]App C Exp'!$A$4:$I$917,9,FALSE)</f>
        <v>0</v>
      </c>
      <c r="P80" s="2"/>
      <c r="Q80" s="2">
        <f>VLOOKUP($A80,'[2]App C Inv'!$A$4:$I$917,5,FALSE)</f>
        <v>16397</v>
      </c>
      <c r="R80" s="2">
        <f>VLOOKUP($A80,'[2]App C Inv'!$A$4:$I$917,6,FALSE)</f>
        <v>-14105</v>
      </c>
      <c r="S80" s="2">
        <f>VLOOKUP($A80,'[2]App C Inv'!$A$4:$I$917,7,FALSE)</f>
        <v>1988</v>
      </c>
      <c r="T80" s="2">
        <f>VLOOKUP($A80,'[2]App C Inv'!$A$4:$I$917,8,FALSE)</f>
        <v>2587</v>
      </c>
      <c r="U80" s="2">
        <f>VLOOKUP($A80,'[2]App C Inv'!$A$4:$I$917,9,FALSE)</f>
        <v>0</v>
      </c>
      <c r="V80" s="2"/>
      <c r="W80" s="2">
        <f>VLOOKUP($A80,'[2]App C Assum'!$A$4:$I$917,5,FALSE)</f>
        <v>18472</v>
      </c>
      <c r="X80" s="2">
        <f>VLOOKUP($A80,'[2]App C Assum'!$A$4:$I$917,6,FALSE)</f>
        <v>15133</v>
      </c>
      <c r="Y80" s="2">
        <f>VLOOKUP($A80,'[2]App C Assum'!$A$4:$I$917,7,FALSE)</f>
        <v>12285</v>
      </c>
      <c r="Z80" s="2">
        <f>VLOOKUP($A80,'[2]App C Assum'!$A$4:$I$917,8,FALSE)</f>
        <v>0</v>
      </c>
      <c r="AA80" s="2">
        <f>VLOOKUP($A80,'[2]App C Assum'!$A$4:$I$917,9,FALSE)</f>
        <v>0</v>
      </c>
      <c r="AB80" s="2"/>
      <c r="AC80" s="2">
        <f>VLOOKUP($A80,'[2]App C Share Outflows'!$A$4:$I$917,5,FALSE)</f>
        <v>40231</v>
      </c>
      <c r="AD80" s="2">
        <f>VLOOKUP($A80,'[2]App C Share Outflows'!$A$4:$I$917,6,FALSE)</f>
        <v>30466</v>
      </c>
      <c r="AE80" s="2">
        <f>VLOOKUP($A80,'[2]App C Share Outflows'!$A$4:$I$917,7,FALSE)</f>
        <v>21848</v>
      </c>
      <c r="AF80" s="2">
        <f>VLOOKUP($A80,'[2]App C Share Outflows'!$A$4:$I$917,8,FALSE)</f>
        <v>10585</v>
      </c>
      <c r="AG80" s="2">
        <f>VLOOKUP($A80,'[2]App C Share Outflows'!$A$4:$I$917,9,FALSE)</f>
        <v>0</v>
      </c>
      <c r="AH80" s="2"/>
      <c r="AI80" s="2">
        <f>VLOOKUP($A80,'[2]App C Share Inflows'!$A$4:$I$917,5,FALSE)</f>
        <v>0</v>
      </c>
      <c r="AJ80" s="2">
        <f>VLOOKUP($A80,'[2]App C Share Inflows'!$A$4:$I$917,6,FALSE)</f>
        <v>0</v>
      </c>
      <c r="AK80" s="2">
        <f>VLOOKUP($A80,'[2]App C Share Inflows'!$A$4:$I$917,7,FALSE)</f>
        <v>0</v>
      </c>
      <c r="AL80" s="2">
        <f>VLOOKUP($A80,'[2]App C Share Inflows'!$A$4:$I$917,8,FALSE)</f>
        <v>0</v>
      </c>
      <c r="AM80" s="2">
        <f>VLOOKUP($A80,'[2]App C Share Inflows'!$A$4:$I$917,6,FALSE)</f>
        <v>0</v>
      </c>
    </row>
    <row r="81" spans="1:39">
      <c r="A81" s="351">
        <v>90701</v>
      </c>
      <c r="B81" s="344" t="s">
        <v>775</v>
      </c>
      <c r="C81" s="235" t="e">
        <f>VLOOKUP(A81,#REF!,10,FALSE)</f>
        <v>#REF!</v>
      </c>
      <c r="E81" s="2">
        <f>VLOOKUP($A81,'[2]App C Total'!$A$4:$I$917,5,FALSE)</f>
        <v>1256451</v>
      </c>
      <c r="F81" s="2">
        <f>VLOOKUP($A81,'[2]App C Total'!$A$4:$I$917,6,FALSE)</f>
        <v>379965</v>
      </c>
      <c r="G81" s="2">
        <f>VLOOKUP($A81,'[2]App C Total'!$A$4:$I$917,7,FALSE)</f>
        <v>650327</v>
      </c>
      <c r="H81" s="2">
        <f>VLOOKUP($A81,'[2]App C Total'!$A$4:$I$917,8,FALSE)</f>
        <v>177023</v>
      </c>
      <c r="I81" s="2">
        <f>VLOOKUP($A81,'[2]App C Total'!$A$4:$I$917,9,FALSE)</f>
        <v>0</v>
      </c>
      <c r="J81" s="2"/>
      <c r="K81" s="2">
        <f>VLOOKUP($A81,'[2]App C Exp'!$A$4:$I$917,5,FALSE)</f>
        <v>392914</v>
      </c>
      <c r="L81" s="2">
        <f>VLOOKUP($A81,'[2]App C Exp'!$A$4:$I$917,6,FALSE)</f>
        <v>369605</v>
      </c>
      <c r="M81" s="2">
        <f>VLOOKUP($A81,'[2]App C Exp'!$A$4:$I$917,7,FALSE)</f>
        <v>331273</v>
      </c>
      <c r="N81" s="2">
        <f>VLOOKUP($A81,'[2]App C Exp'!$A$4:$I$917,8,FALSE)</f>
        <v>132638</v>
      </c>
      <c r="O81" s="2">
        <f>VLOOKUP($A81,'[2]App C Exp'!$A$4:$I$917,9,FALSE)</f>
        <v>0</v>
      </c>
      <c r="P81" s="2"/>
      <c r="Q81" s="2">
        <f>VLOOKUP($A81,'[2]App C Inv'!$A$4:$I$917,5,FALSE)</f>
        <v>417133</v>
      </c>
      <c r="R81" s="2">
        <f>VLOOKUP($A81,'[2]App C Inv'!$A$4:$I$917,6,FALSE)</f>
        <v>-358812</v>
      </c>
      <c r="S81" s="2">
        <f>VLOOKUP($A81,'[2]App C Inv'!$A$4:$I$917,7,FALSE)</f>
        <v>50570</v>
      </c>
      <c r="T81" s="2">
        <f>VLOOKUP($A81,'[2]App C Inv'!$A$4:$I$917,8,FALSE)</f>
        <v>65817</v>
      </c>
      <c r="U81" s="2">
        <f>VLOOKUP($A81,'[2]App C Inv'!$A$4:$I$917,9,FALSE)</f>
        <v>0</v>
      </c>
      <c r="V81" s="2"/>
      <c r="W81" s="2">
        <f>VLOOKUP($A81,'[2]App C Assum'!$A$4:$I$917,5,FALSE)</f>
        <v>469906</v>
      </c>
      <c r="X81" s="2">
        <f>VLOOKUP($A81,'[2]App C Assum'!$A$4:$I$917,6,FALSE)</f>
        <v>384964</v>
      </c>
      <c r="Y81" s="2">
        <f>VLOOKUP($A81,'[2]App C Assum'!$A$4:$I$917,7,FALSE)</f>
        <v>312525</v>
      </c>
      <c r="Z81" s="2">
        <f>VLOOKUP($A81,'[2]App C Assum'!$A$4:$I$917,8,FALSE)</f>
        <v>0</v>
      </c>
      <c r="AA81" s="2">
        <f>VLOOKUP($A81,'[2]App C Assum'!$A$4:$I$917,9,FALSE)</f>
        <v>0</v>
      </c>
      <c r="AB81" s="2"/>
      <c r="AC81" s="2">
        <f>VLOOKUP($A81,'[2]App C Share Outflows'!$A$4:$I$917,5,FALSE)</f>
        <v>28251</v>
      </c>
      <c r="AD81" s="2">
        <f>VLOOKUP($A81,'[2]App C Share Outflows'!$A$4:$I$917,6,FALSE)</f>
        <v>28249</v>
      </c>
      <c r="AE81" s="2">
        <f>VLOOKUP($A81,'[2]App C Share Outflows'!$A$4:$I$917,7,FALSE)</f>
        <v>0</v>
      </c>
      <c r="AF81" s="2">
        <f>VLOOKUP($A81,'[2]App C Share Outflows'!$A$4:$I$917,8,FALSE)</f>
        <v>0</v>
      </c>
      <c r="AG81" s="2">
        <f>VLOOKUP($A81,'[2]App C Share Outflows'!$A$4:$I$917,9,FALSE)</f>
        <v>0</v>
      </c>
      <c r="AH81" s="2"/>
      <c r="AI81" s="2">
        <f>VLOOKUP($A81,'[2]App C Share Inflows'!$A$4:$I$917,5,FALSE)</f>
        <v>-51753</v>
      </c>
      <c r="AJ81" s="2">
        <f>VLOOKUP($A81,'[2]App C Share Inflows'!$A$4:$I$917,6,FALSE)</f>
        <v>-44041</v>
      </c>
      <c r="AK81" s="2">
        <f>VLOOKUP($A81,'[2]App C Share Inflows'!$A$4:$I$917,7,FALSE)</f>
        <v>-44041</v>
      </c>
      <c r="AL81" s="2">
        <f>VLOOKUP($A81,'[2]App C Share Inflows'!$A$4:$I$917,8,FALSE)</f>
        <v>-21432</v>
      </c>
      <c r="AM81" s="2">
        <f>VLOOKUP($A81,'[2]App C Share Inflows'!$A$4:$I$917,6,FALSE)</f>
        <v>-44041</v>
      </c>
    </row>
    <row r="82" spans="1:39">
      <c r="A82" s="351">
        <v>90704</v>
      </c>
      <c r="B82" s="344" t="s">
        <v>776</v>
      </c>
      <c r="C82" s="235" t="e">
        <f>VLOOKUP(A82,#REF!,10,FALSE)</f>
        <v>#REF!</v>
      </c>
      <c r="E82" s="2">
        <f>VLOOKUP($A82,'[2]App C Total'!$A$4:$I$917,5,FALSE)</f>
        <v>30666</v>
      </c>
      <c r="F82" s="2">
        <f>VLOOKUP($A82,'[2]App C Total'!$A$4:$I$917,6,FALSE)</f>
        <v>14046</v>
      </c>
      <c r="G82" s="2">
        <f>VLOOKUP($A82,'[2]App C Total'!$A$4:$I$917,7,FALSE)</f>
        <v>17640</v>
      </c>
      <c r="H82" s="2">
        <f>VLOOKUP($A82,'[2]App C Total'!$A$4:$I$917,8,FALSE)</f>
        <v>7050</v>
      </c>
      <c r="I82" s="2">
        <f>VLOOKUP($A82,'[2]App C Total'!$A$4:$I$917,9,FALSE)</f>
        <v>0</v>
      </c>
      <c r="J82" s="2"/>
      <c r="K82" s="2">
        <f>VLOOKUP($A82,'[2]App C Exp'!$A$4:$I$917,5,FALSE)</f>
        <v>6636</v>
      </c>
      <c r="L82" s="2">
        <f>VLOOKUP($A82,'[2]App C Exp'!$A$4:$I$917,6,FALSE)</f>
        <v>6243</v>
      </c>
      <c r="M82" s="2">
        <f>VLOOKUP($A82,'[2]App C Exp'!$A$4:$I$917,7,FALSE)</f>
        <v>5595</v>
      </c>
      <c r="N82" s="2">
        <f>VLOOKUP($A82,'[2]App C Exp'!$A$4:$I$917,8,FALSE)</f>
        <v>2240</v>
      </c>
      <c r="O82" s="2">
        <f>VLOOKUP($A82,'[2]App C Exp'!$A$4:$I$917,9,FALSE)</f>
        <v>0</v>
      </c>
      <c r="P82" s="2"/>
      <c r="Q82" s="2">
        <f>VLOOKUP($A82,'[2]App C Inv'!$A$4:$I$917,5,FALSE)</f>
        <v>7046</v>
      </c>
      <c r="R82" s="2">
        <f>VLOOKUP($A82,'[2]App C Inv'!$A$4:$I$917,6,FALSE)</f>
        <v>-6060</v>
      </c>
      <c r="S82" s="2">
        <f>VLOOKUP($A82,'[2]App C Inv'!$A$4:$I$917,7,FALSE)</f>
        <v>854</v>
      </c>
      <c r="T82" s="2">
        <f>VLOOKUP($A82,'[2]App C Inv'!$A$4:$I$917,8,FALSE)</f>
        <v>1112</v>
      </c>
      <c r="U82" s="2">
        <f>VLOOKUP($A82,'[2]App C Inv'!$A$4:$I$917,9,FALSE)</f>
        <v>0</v>
      </c>
      <c r="V82" s="2"/>
      <c r="W82" s="2">
        <f>VLOOKUP($A82,'[2]App C Assum'!$A$4:$I$917,5,FALSE)</f>
        <v>7937</v>
      </c>
      <c r="X82" s="2">
        <f>VLOOKUP($A82,'[2]App C Assum'!$A$4:$I$917,6,FALSE)</f>
        <v>6502</v>
      </c>
      <c r="Y82" s="2">
        <f>VLOOKUP($A82,'[2]App C Assum'!$A$4:$I$917,7,FALSE)</f>
        <v>5279</v>
      </c>
      <c r="Z82" s="2">
        <f>VLOOKUP($A82,'[2]App C Assum'!$A$4:$I$917,8,FALSE)</f>
        <v>0</v>
      </c>
      <c r="AA82" s="2">
        <f>VLOOKUP($A82,'[2]App C Assum'!$A$4:$I$917,9,FALSE)</f>
        <v>0</v>
      </c>
      <c r="AB82" s="2"/>
      <c r="AC82" s="2">
        <f>VLOOKUP($A82,'[2]App C Share Outflows'!$A$4:$I$917,5,FALSE)</f>
        <v>9047</v>
      </c>
      <c r="AD82" s="2">
        <f>VLOOKUP($A82,'[2]App C Share Outflows'!$A$4:$I$917,6,FALSE)</f>
        <v>7361</v>
      </c>
      <c r="AE82" s="2">
        <f>VLOOKUP($A82,'[2]App C Share Outflows'!$A$4:$I$917,7,FALSE)</f>
        <v>5912</v>
      </c>
      <c r="AF82" s="2">
        <f>VLOOKUP($A82,'[2]App C Share Outflows'!$A$4:$I$917,8,FALSE)</f>
        <v>3698</v>
      </c>
      <c r="AG82" s="2">
        <f>VLOOKUP($A82,'[2]App C Share Outflows'!$A$4:$I$917,9,FALSE)</f>
        <v>0</v>
      </c>
      <c r="AH82" s="2"/>
      <c r="AI82" s="2">
        <f>VLOOKUP($A82,'[2]App C Share Inflows'!$A$4:$I$917,5,FALSE)</f>
        <v>0</v>
      </c>
      <c r="AJ82" s="2">
        <f>VLOOKUP($A82,'[2]App C Share Inflows'!$A$4:$I$917,6,FALSE)</f>
        <v>0</v>
      </c>
      <c r="AK82" s="2">
        <f>VLOOKUP($A82,'[2]App C Share Inflows'!$A$4:$I$917,7,FALSE)</f>
        <v>0</v>
      </c>
      <c r="AL82" s="2">
        <f>VLOOKUP($A82,'[2]App C Share Inflows'!$A$4:$I$917,8,FALSE)</f>
        <v>0</v>
      </c>
      <c r="AM82" s="2">
        <f>VLOOKUP($A82,'[2]App C Share Inflows'!$A$4:$I$917,6,FALSE)</f>
        <v>0</v>
      </c>
    </row>
    <row r="83" spans="1:39">
      <c r="A83" s="351">
        <v>90705</v>
      </c>
      <c r="B83" s="344" t="s">
        <v>777</v>
      </c>
      <c r="C83" s="235" t="e">
        <f>VLOOKUP(A83,#REF!,10,FALSE)</f>
        <v>#REF!</v>
      </c>
      <c r="E83" s="2">
        <f>VLOOKUP($A83,'[2]App C Total'!$A$4:$I$917,5,FALSE)</f>
        <v>24227</v>
      </c>
      <c r="F83" s="2">
        <f>VLOOKUP($A83,'[2]App C Total'!$A$4:$I$917,6,FALSE)</f>
        <v>9283</v>
      </c>
      <c r="G83" s="2">
        <f>VLOOKUP($A83,'[2]App C Total'!$A$4:$I$917,7,FALSE)</f>
        <v>11017</v>
      </c>
      <c r="H83" s="2">
        <f>VLOOKUP($A83,'[2]App C Total'!$A$4:$I$917,8,FALSE)</f>
        <v>5090</v>
      </c>
      <c r="I83" s="2">
        <f>VLOOKUP($A83,'[2]App C Total'!$A$4:$I$917,9,FALSE)</f>
        <v>0</v>
      </c>
      <c r="J83" s="2"/>
      <c r="K83" s="2">
        <f>VLOOKUP($A83,'[2]App C Exp'!$A$4:$I$917,5,FALSE)</f>
        <v>6172</v>
      </c>
      <c r="L83" s="2">
        <f>VLOOKUP($A83,'[2]App C Exp'!$A$4:$I$917,6,FALSE)</f>
        <v>5806</v>
      </c>
      <c r="M83" s="2">
        <f>VLOOKUP($A83,'[2]App C Exp'!$A$4:$I$917,7,FALSE)</f>
        <v>5204</v>
      </c>
      <c r="N83" s="2">
        <f>VLOOKUP($A83,'[2]App C Exp'!$A$4:$I$917,8,FALSE)</f>
        <v>2084</v>
      </c>
      <c r="O83" s="2">
        <f>VLOOKUP($A83,'[2]App C Exp'!$A$4:$I$917,9,FALSE)</f>
        <v>0</v>
      </c>
      <c r="P83" s="2"/>
      <c r="Q83" s="2">
        <f>VLOOKUP($A83,'[2]App C Inv'!$A$4:$I$917,5,FALSE)</f>
        <v>6552</v>
      </c>
      <c r="R83" s="2">
        <f>VLOOKUP($A83,'[2]App C Inv'!$A$4:$I$917,6,FALSE)</f>
        <v>-5636</v>
      </c>
      <c r="S83" s="2">
        <f>VLOOKUP($A83,'[2]App C Inv'!$A$4:$I$917,7,FALSE)</f>
        <v>794</v>
      </c>
      <c r="T83" s="2">
        <f>VLOOKUP($A83,'[2]App C Inv'!$A$4:$I$917,8,FALSE)</f>
        <v>1034</v>
      </c>
      <c r="U83" s="2">
        <f>VLOOKUP($A83,'[2]App C Inv'!$A$4:$I$917,9,FALSE)</f>
        <v>0</v>
      </c>
      <c r="V83" s="2"/>
      <c r="W83" s="2">
        <f>VLOOKUP($A83,'[2]App C Assum'!$A$4:$I$917,5,FALSE)</f>
        <v>7381</v>
      </c>
      <c r="X83" s="2">
        <f>VLOOKUP($A83,'[2]App C Assum'!$A$4:$I$917,6,FALSE)</f>
        <v>6047</v>
      </c>
      <c r="Y83" s="2">
        <f>VLOOKUP($A83,'[2]App C Assum'!$A$4:$I$917,7,FALSE)</f>
        <v>4909</v>
      </c>
      <c r="Z83" s="2">
        <f>VLOOKUP($A83,'[2]App C Assum'!$A$4:$I$917,8,FALSE)</f>
        <v>0</v>
      </c>
      <c r="AA83" s="2">
        <f>VLOOKUP($A83,'[2]App C Assum'!$A$4:$I$917,9,FALSE)</f>
        <v>0</v>
      </c>
      <c r="AB83" s="2"/>
      <c r="AC83" s="2">
        <f>VLOOKUP($A83,'[2]App C Share Outflows'!$A$4:$I$917,5,FALSE)</f>
        <v>5982</v>
      </c>
      <c r="AD83" s="2">
        <f>VLOOKUP($A83,'[2]App C Share Outflows'!$A$4:$I$917,6,FALSE)</f>
        <v>4926</v>
      </c>
      <c r="AE83" s="2">
        <f>VLOOKUP($A83,'[2]App C Share Outflows'!$A$4:$I$917,7,FALSE)</f>
        <v>1970</v>
      </c>
      <c r="AF83" s="2">
        <f>VLOOKUP($A83,'[2]App C Share Outflows'!$A$4:$I$917,8,FALSE)</f>
        <v>1972</v>
      </c>
      <c r="AG83" s="2">
        <f>VLOOKUP($A83,'[2]App C Share Outflows'!$A$4:$I$917,9,FALSE)</f>
        <v>0</v>
      </c>
      <c r="AH83" s="2"/>
      <c r="AI83" s="2">
        <f>VLOOKUP($A83,'[2]App C Share Inflows'!$A$4:$I$917,5,FALSE)</f>
        <v>-1860</v>
      </c>
      <c r="AJ83" s="2">
        <f>VLOOKUP($A83,'[2]App C Share Inflows'!$A$4:$I$917,6,FALSE)</f>
        <v>-1860</v>
      </c>
      <c r="AK83" s="2">
        <f>VLOOKUP($A83,'[2]App C Share Inflows'!$A$4:$I$917,7,FALSE)</f>
        <v>-1860</v>
      </c>
      <c r="AL83" s="2">
        <f>VLOOKUP($A83,'[2]App C Share Inflows'!$A$4:$I$917,8,FALSE)</f>
        <v>0</v>
      </c>
      <c r="AM83" s="2">
        <f>VLOOKUP($A83,'[2]App C Share Inflows'!$A$4:$I$917,6,FALSE)</f>
        <v>-1860</v>
      </c>
    </row>
    <row r="84" spans="1:39">
      <c r="A84" s="351">
        <v>90709</v>
      </c>
      <c r="B84" s="344" t="s">
        <v>778</v>
      </c>
      <c r="C84" s="235" t="e">
        <f>VLOOKUP(A84,#REF!,10,FALSE)</f>
        <v>#REF!</v>
      </c>
      <c r="E84" s="2">
        <f>VLOOKUP($A84,'[2]App C Total'!$A$4:$I$917,5,FALSE)</f>
        <v>66719</v>
      </c>
      <c r="F84" s="2">
        <f>VLOOKUP($A84,'[2]App C Total'!$A$4:$I$917,6,FALSE)</f>
        <v>25854</v>
      </c>
      <c r="G84" s="2">
        <f>VLOOKUP($A84,'[2]App C Total'!$A$4:$I$917,7,FALSE)</f>
        <v>45124</v>
      </c>
      <c r="H84" s="2">
        <f>VLOOKUP($A84,'[2]App C Total'!$A$4:$I$917,8,FALSE)</f>
        <v>7485</v>
      </c>
      <c r="I84" s="2">
        <f>VLOOKUP($A84,'[2]App C Total'!$A$4:$I$917,9,FALSE)</f>
        <v>0</v>
      </c>
      <c r="J84" s="2"/>
      <c r="K84" s="2">
        <f>VLOOKUP($A84,'[2]App C Exp'!$A$4:$I$917,5,FALSE)</f>
        <v>22082</v>
      </c>
      <c r="L84" s="2">
        <f>VLOOKUP($A84,'[2]App C Exp'!$A$4:$I$917,6,FALSE)</f>
        <v>20772</v>
      </c>
      <c r="M84" s="2">
        <f>VLOOKUP($A84,'[2]App C Exp'!$A$4:$I$917,7,FALSE)</f>
        <v>18617</v>
      </c>
      <c r="N84" s="2">
        <f>VLOOKUP($A84,'[2]App C Exp'!$A$4:$I$917,8,FALSE)</f>
        <v>7454</v>
      </c>
      <c r="O84" s="2">
        <f>VLOOKUP($A84,'[2]App C Exp'!$A$4:$I$917,9,FALSE)</f>
        <v>0</v>
      </c>
      <c r="P84" s="2"/>
      <c r="Q84" s="2">
        <f>VLOOKUP($A84,'[2]App C Inv'!$A$4:$I$917,5,FALSE)</f>
        <v>23443</v>
      </c>
      <c r="R84" s="2">
        <f>VLOOKUP($A84,'[2]App C Inv'!$A$4:$I$917,6,FALSE)</f>
        <v>-20165</v>
      </c>
      <c r="S84" s="2">
        <f>VLOOKUP($A84,'[2]App C Inv'!$A$4:$I$917,7,FALSE)</f>
        <v>2842</v>
      </c>
      <c r="T84" s="2">
        <f>VLOOKUP($A84,'[2]App C Inv'!$A$4:$I$917,8,FALSE)</f>
        <v>3699</v>
      </c>
      <c r="U84" s="2">
        <f>VLOOKUP($A84,'[2]App C Inv'!$A$4:$I$917,9,FALSE)</f>
        <v>0</v>
      </c>
      <c r="V84" s="2"/>
      <c r="W84" s="2">
        <f>VLOOKUP($A84,'[2]App C Assum'!$A$4:$I$917,5,FALSE)</f>
        <v>26408</v>
      </c>
      <c r="X84" s="2">
        <f>VLOOKUP($A84,'[2]App C Assum'!$A$4:$I$917,6,FALSE)</f>
        <v>21635</v>
      </c>
      <c r="Y84" s="2">
        <f>VLOOKUP($A84,'[2]App C Assum'!$A$4:$I$917,7,FALSE)</f>
        <v>17564</v>
      </c>
      <c r="Z84" s="2">
        <f>VLOOKUP($A84,'[2]App C Assum'!$A$4:$I$917,8,FALSE)</f>
        <v>0</v>
      </c>
      <c r="AA84" s="2">
        <f>VLOOKUP($A84,'[2]App C Assum'!$A$4:$I$917,9,FALSE)</f>
        <v>0</v>
      </c>
      <c r="AB84" s="2"/>
      <c r="AC84" s="2">
        <f>VLOOKUP($A84,'[2]App C Share Outflows'!$A$4:$I$917,5,FALSE)</f>
        <v>9771</v>
      </c>
      <c r="AD84" s="2">
        <f>VLOOKUP($A84,'[2]App C Share Outflows'!$A$4:$I$917,6,FALSE)</f>
        <v>9771</v>
      </c>
      <c r="AE84" s="2">
        <f>VLOOKUP($A84,'[2]App C Share Outflows'!$A$4:$I$917,7,FALSE)</f>
        <v>9769</v>
      </c>
      <c r="AF84" s="2">
        <f>VLOOKUP($A84,'[2]App C Share Outflows'!$A$4:$I$917,8,FALSE)</f>
        <v>0</v>
      </c>
      <c r="AG84" s="2">
        <f>VLOOKUP($A84,'[2]App C Share Outflows'!$A$4:$I$917,9,FALSE)</f>
        <v>0</v>
      </c>
      <c r="AH84" s="2"/>
      <c r="AI84" s="2">
        <f>VLOOKUP($A84,'[2]App C Share Inflows'!$A$4:$I$917,5,FALSE)</f>
        <v>-14985</v>
      </c>
      <c r="AJ84" s="2">
        <f>VLOOKUP($A84,'[2]App C Share Inflows'!$A$4:$I$917,6,FALSE)</f>
        <v>-6159</v>
      </c>
      <c r="AK84" s="2">
        <f>VLOOKUP($A84,'[2]App C Share Inflows'!$A$4:$I$917,7,FALSE)</f>
        <v>-3668</v>
      </c>
      <c r="AL84" s="2">
        <f>VLOOKUP($A84,'[2]App C Share Inflows'!$A$4:$I$917,8,FALSE)</f>
        <v>-3668</v>
      </c>
      <c r="AM84" s="2">
        <f>VLOOKUP($A84,'[2]App C Share Inflows'!$A$4:$I$917,6,FALSE)</f>
        <v>-6159</v>
      </c>
    </row>
    <row r="85" spans="1:39">
      <c r="A85" s="351">
        <v>90711</v>
      </c>
      <c r="B85" s="344" t="s">
        <v>779</v>
      </c>
      <c r="C85" s="235" t="e">
        <f>VLOOKUP(A85,#REF!,10,FALSE)</f>
        <v>#REF!</v>
      </c>
      <c r="E85" s="2">
        <f>VLOOKUP($A85,'[2]App C Total'!$A$4:$I$917,5,FALSE)</f>
        <v>693215</v>
      </c>
      <c r="F85" s="2">
        <f>VLOOKUP($A85,'[2]App C Total'!$A$4:$I$917,6,FALSE)</f>
        <v>197255</v>
      </c>
      <c r="G85" s="2">
        <f>VLOOKUP($A85,'[2]App C Total'!$A$4:$I$917,7,FALSE)</f>
        <v>380743</v>
      </c>
      <c r="H85" s="2">
        <f>VLOOKUP($A85,'[2]App C Total'!$A$4:$I$917,8,FALSE)</f>
        <v>103111</v>
      </c>
      <c r="I85" s="2">
        <f>VLOOKUP($A85,'[2]App C Total'!$A$4:$I$917,9,FALSE)</f>
        <v>0</v>
      </c>
      <c r="J85" s="2"/>
      <c r="K85" s="2">
        <f>VLOOKUP($A85,'[2]App C Exp'!$A$4:$I$917,5,FALSE)</f>
        <v>231916</v>
      </c>
      <c r="L85" s="2">
        <f>VLOOKUP($A85,'[2]App C Exp'!$A$4:$I$917,6,FALSE)</f>
        <v>218158</v>
      </c>
      <c r="M85" s="2">
        <f>VLOOKUP($A85,'[2]App C Exp'!$A$4:$I$917,7,FALSE)</f>
        <v>195533</v>
      </c>
      <c r="N85" s="2">
        <f>VLOOKUP($A85,'[2]App C Exp'!$A$4:$I$917,8,FALSE)</f>
        <v>78289</v>
      </c>
      <c r="O85" s="2">
        <f>VLOOKUP($A85,'[2]App C Exp'!$A$4:$I$917,9,FALSE)</f>
        <v>0</v>
      </c>
      <c r="P85" s="2"/>
      <c r="Q85" s="2">
        <f>VLOOKUP($A85,'[2]App C Inv'!$A$4:$I$917,5,FALSE)</f>
        <v>246211</v>
      </c>
      <c r="R85" s="2">
        <f>VLOOKUP($A85,'[2]App C Inv'!$A$4:$I$917,6,FALSE)</f>
        <v>-211788</v>
      </c>
      <c r="S85" s="2">
        <f>VLOOKUP($A85,'[2]App C Inv'!$A$4:$I$917,7,FALSE)</f>
        <v>29849</v>
      </c>
      <c r="T85" s="2">
        <f>VLOOKUP($A85,'[2]App C Inv'!$A$4:$I$917,8,FALSE)</f>
        <v>38848</v>
      </c>
      <c r="U85" s="2">
        <f>VLOOKUP($A85,'[2]App C Inv'!$A$4:$I$917,9,FALSE)</f>
        <v>0</v>
      </c>
      <c r="V85" s="2"/>
      <c r="W85" s="2">
        <f>VLOOKUP($A85,'[2]App C Assum'!$A$4:$I$917,5,FALSE)</f>
        <v>277361</v>
      </c>
      <c r="X85" s="2">
        <f>VLOOKUP($A85,'[2]App C Assum'!$A$4:$I$917,6,FALSE)</f>
        <v>227224</v>
      </c>
      <c r="Y85" s="2">
        <f>VLOOKUP($A85,'[2]App C Assum'!$A$4:$I$917,7,FALSE)</f>
        <v>184467</v>
      </c>
      <c r="Z85" s="2">
        <f>VLOOKUP($A85,'[2]App C Assum'!$A$4:$I$917,8,FALSE)</f>
        <v>0</v>
      </c>
      <c r="AA85" s="2">
        <f>VLOOKUP($A85,'[2]App C Assum'!$A$4:$I$917,9,FALSE)</f>
        <v>0</v>
      </c>
      <c r="AB85" s="2"/>
      <c r="AC85" s="2">
        <f>VLOOKUP($A85,'[2]App C Share Outflows'!$A$4:$I$917,5,FALSE)</f>
        <v>0</v>
      </c>
      <c r="AD85" s="2">
        <f>VLOOKUP($A85,'[2]App C Share Outflows'!$A$4:$I$917,6,FALSE)</f>
        <v>0</v>
      </c>
      <c r="AE85" s="2">
        <f>VLOOKUP($A85,'[2]App C Share Outflows'!$A$4:$I$917,7,FALSE)</f>
        <v>0</v>
      </c>
      <c r="AF85" s="2">
        <f>VLOOKUP($A85,'[2]App C Share Outflows'!$A$4:$I$917,8,FALSE)</f>
        <v>0</v>
      </c>
      <c r="AG85" s="2">
        <f>VLOOKUP($A85,'[2]App C Share Outflows'!$A$4:$I$917,9,FALSE)</f>
        <v>0</v>
      </c>
      <c r="AH85" s="2"/>
      <c r="AI85" s="2">
        <f>VLOOKUP($A85,'[2]App C Share Inflows'!$A$4:$I$917,5,FALSE)</f>
        <v>-62273</v>
      </c>
      <c r="AJ85" s="2">
        <f>VLOOKUP($A85,'[2]App C Share Inflows'!$A$4:$I$917,6,FALSE)</f>
        <v>-36339</v>
      </c>
      <c r="AK85" s="2">
        <f>VLOOKUP($A85,'[2]App C Share Inflows'!$A$4:$I$917,7,FALSE)</f>
        <v>-29106</v>
      </c>
      <c r="AL85" s="2">
        <f>VLOOKUP($A85,'[2]App C Share Inflows'!$A$4:$I$917,8,FALSE)</f>
        <v>-14026</v>
      </c>
      <c r="AM85" s="2">
        <f>VLOOKUP($A85,'[2]App C Share Inflows'!$A$4:$I$917,6,FALSE)</f>
        <v>-36339</v>
      </c>
    </row>
    <row r="86" spans="1:39">
      <c r="A86" s="351">
        <v>90721</v>
      </c>
      <c r="B86" s="344" t="s">
        <v>780</v>
      </c>
      <c r="C86" s="235" t="e">
        <f>VLOOKUP(A86,#REF!,10,FALSE)</f>
        <v>#REF!</v>
      </c>
      <c r="E86" s="2">
        <f>VLOOKUP($A86,'[2]App C Total'!$A$4:$I$917,5,FALSE)</f>
        <v>8174</v>
      </c>
      <c r="F86" s="2">
        <f>VLOOKUP($A86,'[2]App C Total'!$A$4:$I$917,6,FALSE)</f>
        <v>1209</v>
      </c>
      <c r="G86" s="2">
        <f>VLOOKUP($A86,'[2]App C Total'!$A$4:$I$917,7,FALSE)</f>
        <v>4672</v>
      </c>
      <c r="H86" s="2">
        <f>VLOOKUP($A86,'[2]App C Total'!$A$4:$I$917,8,FALSE)</f>
        <v>573</v>
      </c>
      <c r="I86" s="2">
        <f>VLOOKUP($A86,'[2]App C Total'!$A$4:$I$917,9,FALSE)</f>
        <v>0</v>
      </c>
      <c r="J86" s="2"/>
      <c r="K86" s="2">
        <f>VLOOKUP($A86,'[2]App C Exp'!$A$4:$I$917,5,FALSE)</f>
        <v>3206</v>
      </c>
      <c r="L86" s="2">
        <f>VLOOKUP($A86,'[2]App C Exp'!$A$4:$I$917,6,FALSE)</f>
        <v>3016</v>
      </c>
      <c r="M86" s="2">
        <f>VLOOKUP($A86,'[2]App C Exp'!$A$4:$I$917,7,FALSE)</f>
        <v>2703</v>
      </c>
      <c r="N86" s="2">
        <f>VLOOKUP($A86,'[2]App C Exp'!$A$4:$I$917,8,FALSE)</f>
        <v>1082</v>
      </c>
      <c r="O86" s="2">
        <f>VLOOKUP($A86,'[2]App C Exp'!$A$4:$I$917,9,FALSE)</f>
        <v>0</v>
      </c>
      <c r="P86" s="2"/>
      <c r="Q86" s="2">
        <f>VLOOKUP($A86,'[2]App C Inv'!$A$4:$I$917,5,FALSE)</f>
        <v>3403</v>
      </c>
      <c r="R86" s="2">
        <f>VLOOKUP($A86,'[2]App C Inv'!$A$4:$I$917,6,FALSE)</f>
        <v>-2928</v>
      </c>
      <c r="S86" s="2">
        <f>VLOOKUP($A86,'[2]App C Inv'!$A$4:$I$917,7,FALSE)</f>
        <v>413</v>
      </c>
      <c r="T86" s="2">
        <f>VLOOKUP($A86,'[2]App C Inv'!$A$4:$I$917,8,FALSE)</f>
        <v>537</v>
      </c>
      <c r="U86" s="2">
        <f>VLOOKUP($A86,'[2]App C Inv'!$A$4:$I$917,9,FALSE)</f>
        <v>0</v>
      </c>
      <c r="V86" s="2"/>
      <c r="W86" s="2">
        <f>VLOOKUP($A86,'[2]App C Assum'!$A$4:$I$917,5,FALSE)</f>
        <v>3834</v>
      </c>
      <c r="X86" s="2">
        <f>VLOOKUP($A86,'[2]App C Assum'!$A$4:$I$917,6,FALSE)</f>
        <v>3141</v>
      </c>
      <c r="Y86" s="2">
        <f>VLOOKUP($A86,'[2]App C Assum'!$A$4:$I$917,7,FALSE)</f>
        <v>2550</v>
      </c>
      <c r="Z86" s="2">
        <f>VLOOKUP($A86,'[2]App C Assum'!$A$4:$I$917,8,FALSE)</f>
        <v>0</v>
      </c>
      <c r="AA86" s="2">
        <f>VLOOKUP($A86,'[2]App C Assum'!$A$4:$I$917,9,FALSE)</f>
        <v>0</v>
      </c>
      <c r="AB86" s="2"/>
      <c r="AC86" s="2">
        <f>VLOOKUP($A86,'[2]App C Share Outflows'!$A$4:$I$917,5,FALSE)</f>
        <v>53</v>
      </c>
      <c r="AD86" s="2">
        <f>VLOOKUP($A86,'[2]App C Share Outflows'!$A$4:$I$917,6,FALSE)</f>
        <v>53</v>
      </c>
      <c r="AE86" s="2">
        <f>VLOOKUP($A86,'[2]App C Share Outflows'!$A$4:$I$917,7,FALSE)</f>
        <v>51</v>
      </c>
      <c r="AF86" s="2">
        <f>VLOOKUP($A86,'[2]App C Share Outflows'!$A$4:$I$917,8,FALSE)</f>
        <v>0</v>
      </c>
      <c r="AG86" s="2">
        <f>VLOOKUP($A86,'[2]App C Share Outflows'!$A$4:$I$917,9,FALSE)</f>
        <v>0</v>
      </c>
      <c r="AH86" s="2"/>
      <c r="AI86" s="2">
        <f>VLOOKUP($A86,'[2]App C Share Inflows'!$A$4:$I$917,5,FALSE)</f>
        <v>-2322</v>
      </c>
      <c r="AJ86" s="2">
        <f>VLOOKUP($A86,'[2]App C Share Inflows'!$A$4:$I$917,6,FALSE)</f>
        <v>-2073</v>
      </c>
      <c r="AK86" s="2">
        <f>VLOOKUP($A86,'[2]App C Share Inflows'!$A$4:$I$917,7,FALSE)</f>
        <v>-1045</v>
      </c>
      <c r="AL86" s="2">
        <f>VLOOKUP($A86,'[2]App C Share Inflows'!$A$4:$I$917,8,FALSE)</f>
        <v>-1046</v>
      </c>
      <c r="AM86" s="2">
        <f>VLOOKUP($A86,'[2]App C Share Inflows'!$A$4:$I$917,6,FALSE)</f>
        <v>-2073</v>
      </c>
    </row>
    <row r="87" spans="1:39">
      <c r="A87" s="351">
        <v>90731</v>
      </c>
      <c r="B87" s="344" t="s">
        <v>781</v>
      </c>
      <c r="C87" s="235" t="e">
        <f>VLOOKUP(A87,#REF!,10,FALSE)</f>
        <v>#REF!</v>
      </c>
      <c r="E87" s="2">
        <f>VLOOKUP($A87,'[2]App C Total'!$A$4:$I$917,5,FALSE)</f>
        <v>60432</v>
      </c>
      <c r="F87" s="2">
        <f>VLOOKUP($A87,'[2]App C Total'!$A$4:$I$917,6,FALSE)</f>
        <v>14437</v>
      </c>
      <c r="G87" s="2">
        <f>VLOOKUP($A87,'[2]App C Total'!$A$4:$I$917,7,FALSE)</f>
        <v>33222</v>
      </c>
      <c r="H87" s="2">
        <f>VLOOKUP($A87,'[2]App C Total'!$A$4:$I$917,8,FALSE)</f>
        <v>10291</v>
      </c>
      <c r="I87" s="2">
        <f>VLOOKUP($A87,'[2]App C Total'!$A$4:$I$917,9,FALSE)</f>
        <v>0</v>
      </c>
      <c r="J87" s="2"/>
      <c r="K87" s="2">
        <f>VLOOKUP($A87,'[2]App C Exp'!$A$4:$I$917,5,FALSE)</f>
        <v>20733</v>
      </c>
      <c r="L87" s="2">
        <f>VLOOKUP($A87,'[2]App C Exp'!$A$4:$I$917,6,FALSE)</f>
        <v>19503</v>
      </c>
      <c r="M87" s="2">
        <f>VLOOKUP($A87,'[2]App C Exp'!$A$4:$I$917,7,FALSE)</f>
        <v>17481</v>
      </c>
      <c r="N87" s="2">
        <f>VLOOKUP($A87,'[2]App C Exp'!$A$4:$I$917,8,FALSE)</f>
        <v>6999</v>
      </c>
      <c r="O87" s="2">
        <f>VLOOKUP($A87,'[2]App C Exp'!$A$4:$I$917,9,FALSE)</f>
        <v>0</v>
      </c>
      <c r="P87" s="2"/>
      <c r="Q87" s="2">
        <f>VLOOKUP($A87,'[2]App C Inv'!$A$4:$I$917,5,FALSE)</f>
        <v>22011</v>
      </c>
      <c r="R87" s="2">
        <f>VLOOKUP($A87,'[2]App C Inv'!$A$4:$I$917,6,FALSE)</f>
        <v>-18934</v>
      </c>
      <c r="S87" s="2">
        <f>VLOOKUP($A87,'[2]App C Inv'!$A$4:$I$917,7,FALSE)</f>
        <v>2668</v>
      </c>
      <c r="T87" s="2">
        <f>VLOOKUP($A87,'[2]App C Inv'!$A$4:$I$917,8,FALSE)</f>
        <v>3473</v>
      </c>
      <c r="U87" s="2">
        <f>VLOOKUP($A87,'[2]App C Inv'!$A$4:$I$917,9,FALSE)</f>
        <v>0</v>
      </c>
      <c r="V87" s="2"/>
      <c r="W87" s="2">
        <f>VLOOKUP($A87,'[2]App C Assum'!$A$4:$I$917,5,FALSE)</f>
        <v>24796</v>
      </c>
      <c r="X87" s="2">
        <f>VLOOKUP($A87,'[2]App C Assum'!$A$4:$I$917,6,FALSE)</f>
        <v>20314</v>
      </c>
      <c r="Y87" s="2">
        <f>VLOOKUP($A87,'[2]App C Assum'!$A$4:$I$917,7,FALSE)</f>
        <v>16491</v>
      </c>
      <c r="Z87" s="2">
        <f>VLOOKUP($A87,'[2]App C Assum'!$A$4:$I$917,8,FALSE)</f>
        <v>0</v>
      </c>
      <c r="AA87" s="2">
        <f>VLOOKUP($A87,'[2]App C Assum'!$A$4:$I$917,9,FALSE)</f>
        <v>0</v>
      </c>
      <c r="AB87" s="2"/>
      <c r="AC87" s="2">
        <f>VLOOKUP($A87,'[2]App C Share Outflows'!$A$4:$I$917,5,FALSE)</f>
        <v>0</v>
      </c>
      <c r="AD87" s="2">
        <f>VLOOKUP($A87,'[2]App C Share Outflows'!$A$4:$I$917,6,FALSE)</f>
        <v>0</v>
      </c>
      <c r="AE87" s="2">
        <f>VLOOKUP($A87,'[2]App C Share Outflows'!$A$4:$I$917,7,FALSE)</f>
        <v>0</v>
      </c>
      <c r="AF87" s="2">
        <f>VLOOKUP($A87,'[2]App C Share Outflows'!$A$4:$I$917,8,FALSE)</f>
        <v>0</v>
      </c>
      <c r="AG87" s="2">
        <f>VLOOKUP($A87,'[2]App C Share Outflows'!$A$4:$I$917,9,FALSE)</f>
        <v>0</v>
      </c>
      <c r="AH87" s="2"/>
      <c r="AI87" s="2">
        <f>VLOOKUP($A87,'[2]App C Share Inflows'!$A$4:$I$917,5,FALSE)</f>
        <v>-7108</v>
      </c>
      <c r="AJ87" s="2">
        <f>VLOOKUP($A87,'[2]App C Share Inflows'!$A$4:$I$917,6,FALSE)</f>
        <v>-6446</v>
      </c>
      <c r="AK87" s="2">
        <f>VLOOKUP($A87,'[2]App C Share Inflows'!$A$4:$I$917,7,FALSE)</f>
        <v>-3418</v>
      </c>
      <c r="AL87" s="2">
        <f>VLOOKUP($A87,'[2]App C Share Inflows'!$A$4:$I$917,8,FALSE)</f>
        <v>-181</v>
      </c>
      <c r="AM87" s="2">
        <f>VLOOKUP($A87,'[2]App C Share Inflows'!$A$4:$I$917,6,FALSE)</f>
        <v>-6446</v>
      </c>
    </row>
    <row r="88" spans="1:39">
      <c r="A88" s="351">
        <v>90741</v>
      </c>
      <c r="B88" s="344" t="s">
        <v>782</v>
      </c>
      <c r="C88" s="235" t="e">
        <f>VLOOKUP(A88,#REF!,10,FALSE)</f>
        <v>#REF!</v>
      </c>
      <c r="E88" s="2">
        <f>VLOOKUP($A88,'[2]App C Total'!$A$4:$I$917,5,FALSE)</f>
        <v>7667</v>
      </c>
      <c r="F88" s="2">
        <f>VLOOKUP($A88,'[2]App C Total'!$A$4:$I$917,6,FALSE)</f>
        <v>2788</v>
      </c>
      <c r="G88" s="2">
        <f>VLOOKUP($A88,'[2]App C Total'!$A$4:$I$917,7,FALSE)</f>
        <v>4408</v>
      </c>
      <c r="H88" s="2">
        <f>VLOOKUP($A88,'[2]App C Total'!$A$4:$I$917,8,FALSE)</f>
        <v>797</v>
      </c>
      <c r="I88" s="2">
        <f>VLOOKUP($A88,'[2]App C Total'!$A$4:$I$917,9,FALSE)</f>
        <v>0</v>
      </c>
      <c r="J88" s="2"/>
      <c r="K88" s="2">
        <f>VLOOKUP($A88,'[2]App C Exp'!$A$4:$I$917,5,FALSE)</f>
        <v>2067</v>
      </c>
      <c r="L88" s="2">
        <f>VLOOKUP($A88,'[2]App C Exp'!$A$4:$I$917,6,FALSE)</f>
        <v>1945</v>
      </c>
      <c r="M88" s="2">
        <f>VLOOKUP($A88,'[2]App C Exp'!$A$4:$I$917,7,FALSE)</f>
        <v>1743</v>
      </c>
      <c r="N88" s="2">
        <f>VLOOKUP($A88,'[2]App C Exp'!$A$4:$I$917,8,FALSE)</f>
        <v>698</v>
      </c>
      <c r="O88" s="2">
        <f>VLOOKUP($A88,'[2]App C Exp'!$A$4:$I$917,9,FALSE)</f>
        <v>0</v>
      </c>
      <c r="P88" s="2"/>
      <c r="Q88" s="2">
        <f>VLOOKUP($A88,'[2]App C Inv'!$A$4:$I$917,5,FALSE)</f>
        <v>2195</v>
      </c>
      <c r="R88" s="2">
        <f>VLOOKUP($A88,'[2]App C Inv'!$A$4:$I$917,6,FALSE)</f>
        <v>-1888</v>
      </c>
      <c r="S88" s="2">
        <f>VLOOKUP($A88,'[2]App C Inv'!$A$4:$I$917,7,FALSE)</f>
        <v>266</v>
      </c>
      <c r="T88" s="2">
        <f>VLOOKUP($A88,'[2]App C Inv'!$A$4:$I$917,8,FALSE)</f>
        <v>346</v>
      </c>
      <c r="U88" s="2">
        <f>VLOOKUP($A88,'[2]App C Inv'!$A$4:$I$917,9,FALSE)</f>
        <v>0</v>
      </c>
      <c r="V88" s="2"/>
      <c r="W88" s="2">
        <f>VLOOKUP($A88,'[2]App C Assum'!$A$4:$I$917,5,FALSE)</f>
        <v>2472</v>
      </c>
      <c r="X88" s="2">
        <f>VLOOKUP($A88,'[2]App C Assum'!$A$4:$I$917,6,FALSE)</f>
        <v>2026</v>
      </c>
      <c r="Y88" s="2">
        <f>VLOOKUP($A88,'[2]App C Assum'!$A$4:$I$917,7,FALSE)</f>
        <v>1644</v>
      </c>
      <c r="Z88" s="2">
        <f>VLOOKUP($A88,'[2]App C Assum'!$A$4:$I$917,8,FALSE)</f>
        <v>0</v>
      </c>
      <c r="AA88" s="2">
        <f>VLOOKUP($A88,'[2]App C Assum'!$A$4:$I$917,9,FALSE)</f>
        <v>0</v>
      </c>
      <c r="AB88" s="2"/>
      <c r="AC88" s="2">
        <f>VLOOKUP($A88,'[2]App C Share Outflows'!$A$4:$I$917,5,FALSE)</f>
        <v>1232</v>
      </c>
      <c r="AD88" s="2">
        <f>VLOOKUP($A88,'[2]App C Share Outflows'!$A$4:$I$917,6,FALSE)</f>
        <v>1003</v>
      </c>
      <c r="AE88" s="2">
        <f>VLOOKUP($A88,'[2]App C Share Outflows'!$A$4:$I$917,7,FALSE)</f>
        <v>1002</v>
      </c>
      <c r="AF88" s="2">
        <f>VLOOKUP($A88,'[2]App C Share Outflows'!$A$4:$I$917,8,FALSE)</f>
        <v>0</v>
      </c>
      <c r="AG88" s="2">
        <f>VLOOKUP($A88,'[2]App C Share Outflows'!$A$4:$I$917,9,FALSE)</f>
        <v>0</v>
      </c>
      <c r="AH88" s="2"/>
      <c r="AI88" s="2">
        <f>VLOOKUP($A88,'[2]App C Share Inflows'!$A$4:$I$917,5,FALSE)</f>
        <v>-299</v>
      </c>
      <c r="AJ88" s="2">
        <f>VLOOKUP($A88,'[2]App C Share Inflows'!$A$4:$I$917,6,FALSE)</f>
        <v>-298</v>
      </c>
      <c r="AK88" s="2">
        <f>VLOOKUP($A88,'[2]App C Share Inflows'!$A$4:$I$917,7,FALSE)</f>
        <v>-247</v>
      </c>
      <c r="AL88" s="2">
        <f>VLOOKUP($A88,'[2]App C Share Inflows'!$A$4:$I$917,8,FALSE)</f>
        <v>-247</v>
      </c>
      <c r="AM88" s="2">
        <f>VLOOKUP($A88,'[2]App C Share Inflows'!$A$4:$I$917,6,FALSE)</f>
        <v>-298</v>
      </c>
    </row>
    <row r="89" spans="1:39">
      <c r="A89" s="351">
        <v>90751</v>
      </c>
      <c r="B89" s="344" t="s">
        <v>783</v>
      </c>
      <c r="C89" s="235" t="e">
        <f>VLOOKUP(A89,#REF!,10,FALSE)</f>
        <v>#REF!</v>
      </c>
      <c r="E89" s="2">
        <f>VLOOKUP($A89,'[2]App C Total'!$A$4:$I$917,5,FALSE)</f>
        <v>27048</v>
      </c>
      <c r="F89" s="2">
        <f>VLOOKUP($A89,'[2]App C Total'!$A$4:$I$917,6,FALSE)</f>
        <v>5759</v>
      </c>
      <c r="G89" s="2">
        <f>VLOOKUP($A89,'[2]App C Total'!$A$4:$I$917,7,FALSE)</f>
        <v>13203</v>
      </c>
      <c r="H89" s="2">
        <f>VLOOKUP($A89,'[2]App C Total'!$A$4:$I$917,8,FALSE)</f>
        <v>673</v>
      </c>
      <c r="I89" s="2">
        <f>VLOOKUP($A89,'[2]App C Total'!$A$4:$I$917,9,FALSE)</f>
        <v>0</v>
      </c>
      <c r="J89" s="2"/>
      <c r="K89" s="2">
        <f>VLOOKUP($A89,'[2]App C Exp'!$A$4:$I$917,5,FALSE)</f>
        <v>9438</v>
      </c>
      <c r="L89" s="2">
        <f>VLOOKUP($A89,'[2]App C Exp'!$A$4:$I$917,6,FALSE)</f>
        <v>8878</v>
      </c>
      <c r="M89" s="2">
        <f>VLOOKUP($A89,'[2]App C Exp'!$A$4:$I$917,7,FALSE)</f>
        <v>7957</v>
      </c>
      <c r="N89" s="2">
        <f>VLOOKUP($A89,'[2]App C Exp'!$A$4:$I$917,8,FALSE)</f>
        <v>3186</v>
      </c>
      <c r="O89" s="2">
        <f>VLOOKUP($A89,'[2]App C Exp'!$A$4:$I$917,9,FALSE)</f>
        <v>0</v>
      </c>
      <c r="P89" s="2"/>
      <c r="Q89" s="2">
        <f>VLOOKUP($A89,'[2]App C Inv'!$A$4:$I$917,5,FALSE)</f>
        <v>10020</v>
      </c>
      <c r="R89" s="2">
        <f>VLOOKUP($A89,'[2]App C Inv'!$A$4:$I$917,6,FALSE)</f>
        <v>-8619</v>
      </c>
      <c r="S89" s="2">
        <f>VLOOKUP($A89,'[2]App C Inv'!$A$4:$I$917,7,FALSE)</f>
        <v>1215</v>
      </c>
      <c r="T89" s="2">
        <f>VLOOKUP($A89,'[2]App C Inv'!$A$4:$I$917,8,FALSE)</f>
        <v>1581</v>
      </c>
      <c r="U89" s="2">
        <f>VLOOKUP($A89,'[2]App C Inv'!$A$4:$I$917,9,FALSE)</f>
        <v>0</v>
      </c>
      <c r="V89" s="2"/>
      <c r="W89" s="2">
        <f>VLOOKUP($A89,'[2]App C Assum'!$A$4:$I$917,5,FALSE)</f>
        <v>11287</v>
      </c>
      <c r="X89" s="2">
        <f>VLOOKUP($A89,'[2]App C Assum'!$A$4:$I$917,6,FALSE)</f>
        <v>9247</v>
      </c>
      <c r="Y89" s="2">
        <f>VLOOKUP($A89,'[2]App C Assum'!$A$4:$I$917,7,FALSE)</f>
        <v>7507</v>
      </c>
      <c r="Z89" s="2">
        <f>VLOOKUP($A89,'[2]App C Assum'!$A$4:$I$917,8,FALSE)</f>
        <v>0</v>
      </c>
      <c r="AA89" s="2">
        <f>VLOOKUP($A89,'[2]App C Assum'!$A$4:$I$917,9,FALSE)</f>
        <v>0</v>
      </c>
      <c r="AB89" s="2"/>
      <c r="AC89" s="2">
        <f>VLOOKUP($A89,'[2]App C Share Outflows'!$A$4:$I$917,5,FALSE)</f>
        <v>667</v>
      </c>
      <c r="AD89" s="2">
        <f>VLOOKUP($A89,'[2]App C Share Outflows'!$A$4:$I$917,6,FALSE)</f>
        <v>617</v>
      </c>
      <c r="AE89" s="2">
        <f>VLOOKUP($A89,'[2]App C Share Outflows'!$A$4:$I$917,7,FALSE)</f>
        <v>618</v>
      </c>
      <c r="AF89" s="2">
        <f>VLOOKUP($A89,'[2]App C Share Outflows'!$A$4:$I$917,8,FALSE)</f>
        <v>0</v>
      </c>
      <c r="AG89" s="2">
        <f>VLOOKUP($A89,'[2]App C Share Outflows'!$A$4:$I$917,9,FALSE)</f>
        <v>0</v>
      </c>
      <c r="AH89" s="2"/>
      <c r="AI89" s="2">
        <f>VLOOKUP($A89,'[2]App C Share Inflows'!$A$4:$I$917,5,FALSE)</f>
        <v>-4364</v>
      </c>
      <c r="AJ89" s="2">
        <f>VLOOKUP($A89,'[2]App C Share Inflows'!$A$4:$I$917,6,FALSE)</f>
        <v>-4364</v>
      </c>
      <c r="AK89" s="2">
        <f>VLOOKUP($A89,'[2]App C Share Inflows'!$A$4:$I$917,7,FALSE)</f>
        <v>-4094</v>
      </c>
      <c r="AL89" s="2">
        <f>VLOOKUP($A89,'[2]App C Share Inflows'!$A$4:$I$917,8,FALSE)</f>
        <v>-4094</v>
      </c>
      <c r="AM89" s="2">
        <f>VLOOKUP($A89,'[2]App C Share Inflows'!$A$4:$I$917,6,FALSE)</f>
        <v>-4364</v>
      </c>
    </row>
    <row r="90" spans="1:39">
      <c r="A90" s="351">
        <v>90801</v>
      </c>
      <c r="B90" s="344" t="s">
        <v>784</v>
      </c>
      <c r="C90" s="235" t="e">
        <f>VLOOKUP(A90,#REF!,10,FALSE)</f>
        <v>#REF!</v>
      </c>
      <c r="E90" s="2">
        <f>VLOOKUP($A90,'[2]App C Total'!$A$4:$I$917,5,FALSE)</f>
        <v>595969</v>
      </c>
      <c r="F90" s="2">
        <f>VLOOKUP($A90,'[2]App C Total'!$A$4:$I$917,6,FALSE)</f>
        <v>162192</v>
      </c>
      <c r="G90" s="2">
        <f>VLOOKUP($A90,'[2]App C Total'!$A$4:$I$917,7,FALSE)</f>
        <v>294335</v>
      </c>
      <c r="H90" s="2">
        <f>VLOOKUP($A90,'[2]App C Total'!$A$4:$I$917,8,FALSE)</f>
        <v>67390</v>
      </c>
      <c r="I90" s="2">
        <f>VLOOKUP($A90,'[2]App C Total'!$A$4:$I$917,9,FALSE)</f>
        <v>0</v>
      </c>
      <c r="J90" s="2"/>
      <c r="K90" s="2">
        <f>VLOOKUP($A90,'[2]App C Exp'!$A$4:$I$917,5,FALSE)</f>
        <v>189805</v>
      </c>
      <c r="L90" s="2">
        <f>VLOOKUP($A90,'[2]App C Exp'!$A$4:$I$917,6,FALSE)</f>
        <v>178546</v>
      </c>
      <c r="M90" s="2">
        <f>VLOOKUP($A90,'[2]App C Exp'!$A$4:$I$917,7,FALSE)</f>
        <v>160028</v>
      </c>
      <c r="N90" s="2">
        <f>VLOOKUP($A90,'[2]App C Exp'!$A$4:$I$917,8,FALSE)</f>
        <v>64073</v>
      </c>
      <c r="O90" s="2">
        <f>VLOOKUP($A90,'[2]App C Exp'!$A$4:$I$917,9,FALSE)</f>
        <v>0</v>
      </c>
      <c r="P90" s="2"/>
      <c r="Q90" s="2">
        <f>VLOOKUP($A90,'[2]App C Inv'!$A$4:$I$917,5,FALSE)</f>
        <v>201505</v>
      </c>
      <c r="R90" s="2">
        <f>VLOOKUP($A90,'[2]App C Inv'!$A$4:$I$917,6,FALSE)</f>
        <v>-173332</v>
      </c>
      <c r="S90" s="2">
        <f>VLOOKUP($A90,'[2]App C Inv'!$A$4:$I$917,7,FALSE)</f>
        <v>24429</v>
      </c>
      <c r="T90" s="2">
        <f>VLOOKUP($A90,'[2]App C Inv'!$A$4:$I$917,8,FALSE)</f>
        <v>31794</v>
      </c>
      <c r="U90" s="2">
        <f>VLOOKUP($A90,'[2]App C Inv'!$A$4:$I$917,9,FALSE)</f>
        <v>0</v>
      </c>
      <c r="V90" s="2"/>
      <c r="W90" s="2">
        <f>VLOOKUP($A90,'[2]App C Assum'!$A$4:$I$917,5,FALSE)</f>
        <v>226998</v>
      </c>
      <c r="X90" s="2">
        <f>VLOOKUP($A90,'[2]App C Assum'!$A$4:$I$917,6,FALSE)</f>
        <v>185965</v>
      </c>
      <c r="Y90" s="2">
        <f>VLOOKUP($A90,'[2]App C Assum'!$A$4:$I$917,7,FALSE)</f>
        <v>150972</v>
      </c>
      <c r="Z90" s="2">
        <f>VLOOKUP($A90,'[2]App C Assum'!$A$4:$I$917,8,FALSE)</f>
        <v>0</v>
      </c>
      <c r="AA90" s="2">
        <f>VLOOKUP($A90,'[2]App C Assum'!$A$4:$I$917,9,FALSE)</f>
        <v>0</v>
      </c>
      <c r="AB90" s="2"/>
      <c r="AC90" s="2">
        <f>VLOOKUP($A90,'[2]App C Share Outflows'!$A$4:$I$917,5,FALSE)</f>
        <v>18755</v>
      </c>
      <c r="AD90" s="2">
        <f>VLOOKUP($A90,'[2]App C Share Outflows'!$A$4:$I$917,6,FALSE)</f>
        <v>12107</v>
      </c>
      <c r="AE90" s="2">
        <f>VLOOKUP($A90,'[2]App C Share Outflows'!$A$4:$I$917,7,FALSE)</f>
        <v>0</v>
      </c>
      <c r="AF90" s="2">
        <f>VLOOKUP($A90,'[2]App C Share Outflows'!$A$4:$I$917,8,FALSE)</f>
        <v>0</v>
      </c>
      <c r="AG90" s="2">
        <f>VLOOKUP($A90,'[2]App C Share Outflows'!$A$4:$I$917,9,FALSE)</f>
        <v>0</v>
      </c>
      <c r="AH90" s="2"/>
      <c r="AI90" s="2">
        <f>VLOOKUP($A90,'[2]App C Share Inflows'!$A$4:$I$917,5,FALSE)</f>
        <v>-41094</v>
      </c>
      <c r="AJ90" s="2">
        <f>VLOOKUP($A90,'[2]App C Share Inflows'!$A$4:$I$917,6,FALSE)</f>
        <v>-41094</v>
      </c>
      <c r="AK90" s="2">
        <f>VLOOKUP($A90,'[2]App C Share Inflows'!$A$4:$I$917,7,FALSE)</f>
        <v>-41094</v>
      </c>
      <c r="AL90" s="2">
        <f>VLOOKUP($A90,'[2]App C Share Inflows'!$A$4:$I$917,8,FALSE)</f>
        <v>-28477</v>
      </c>
      <c r="AM90" s="2">
        <f>VLOOKUP($A90,'[2]App C Share Inflows'!$A$4:$I$917,6,FALSE)</f>
        <v>-41094</v>
      </c>
    </row>
    <row r="91" spans="1:39">
      <c r="A91" s="351">
        <v>90804</v>
      </c>
      <c r="B91" s="344" t="s">
        <v>785</v>
      </c>
      <c r="C91" s="235" t="e">
        <f>VLOOKUP(A91,#REF!,10,FALSE)</f>
        <v>#REF!</v>
      </c>
      <c r="E91" s="2">
        <f>VLOOKUP($A91,'[2]App C Total'!$A$4:$I$917,5,FALSE)</f>
        <v>2775</v>
      </c>
      <c r="F91" s="2">
        <f>VLOOKUP($A91,'[2]App C Total'!$A$4:$I$917,6,FALSE)</f>
        <v>724</v>
      </c>
      <c r="G91" s="2">
        <f>VLOOKUP($A91,'[2]App C Total'!$A$4:$I$917,7,FALSE)</f>
        <v>1349</v>
      </c>
      <c r="H91" s="2">
        <f>VLOOKUP($A91,'[2]App C Total'!$A$4:$I$917,8,FALSE)</f>
        <v>346</v>
      </c>
      <c r="I91" s="2">
        <f>VLOOKUP($A91,'[2]App C Total'!$A$4:$I$917,9,FALSE)</f>
        <v>0</v>
      </c>
      <c r="J91" s="2"/>
      <c r="K91" s="2">
        <f>VLOOKUP($A91,'[2]App C Exp'!$A$4:$I$917,5,FALSE)</f>
        <v>839</v>
      </c>
      <c r="L91" s="2">
        <f>VLOOKUP($A91,'[2]App C Exp'!$A$4:$I$917,6,FALSE)</f>
        <v>789</v>
      </c>
      <c r="M91" s="2">
        <f>VLOOKUP($A91,'[2]App C Exp'!$A$4:$I$917,7,FALSE)</f>
        <v>707</v>
      </c>
      <c r="N91" s="2">
        <f>VLOOKUP($A91,'[2]App C Exp'!$A$4:$I$917,8,FALSE)</f>
        <v>283</v>
      </c>
      <c r="O91" s="2">
        <f>VLOOKUP($A91,'[2]App C Exp'!$A$4:$I$917,9,FALSE)</f>
        <v>0</v>
      </c>
      <c r="P91" s="2"/>
      <c r="Q91" s="2">
        <f>VLOOKUP($A91,'[2]App C Inv'!$A$4:$I$917,5,FALSE)</f>
        <v>891</v>
      </c>
      <c r="R91" s="2">
        <f>VLOOKUP($A91,'[2]App C Inv'!$A$4:$I$917,6,FALSE)</f>
        <v>-766</v>
      </c>
      <c r="S91" s="2">
        <f>VLOOKUP($A91,'[2]App C Inv'!$A$4:$I$917,7,FALSE)</f>
        <v>108</v>
      </c>
      <c r="T91" s="2">
        <f>VLOOKUP($A91,'[2]App C Inv'!$A$4:$I$917,8,FALSE)</f>
        <v>141</v>
      </c>
      <c r="U91" s="2">
        <f>VLOOKUP($A91,'[2]App C Inv'!$A$4:$I$917,9,FALSE)</f>
        <v>0</v>
      </c>
      <c r="V91" s="2"/>
      <c r="W91" s="2">
        <f>VLOOKUP($A91,'[2]App C Assum'!$A$4:$I$917,5,FALSE)</f>
        <v>1003</v>
      </c>
      <c r="X91" s="2">
        <f>VLOOKUP($A91,'[2]App C Assum'!$A$4:$I$917,6,FALSE)</f>
        <v>822</v>
      </c>
      <c r="Y91" s="2">
        <f>VLOOKUP($A91,'[2]App C Assum'!$A$4:$I$917,7,FALSE)</f>
        <v>667</v>
      </c>
      <c r="Z91" s="2">
        <f>VLOOKUP($A91,'[2]App C Assum'!$A$4:$I$917,8,FALSE)</f>
        <v>0</v>
      </c>
      <c r="AA91" s="2">
        <f>VLOOKUP($A91,'[2]App C Assum'!$A$4:$I$917,9,FALSE)</f>
        <v>0</v>
      </c>
      <c r="AB91" s="2"/>
      <c r="AC91" s="2">
        <f>VLOOKUP($A91,'[2]App C Share Outflows'!$A$4:$I$917,5,FALSE)</f>
        <v>176</v>
      </c>
      <c r="AD91" s="2">
        <f>VLOOKUP($A91,'[2]App C Share Outflows'!$A$4:$I$917,6,FALSE)</f>
        <v>13</v>
      </c>
      <c r="AE91" s="2">
        <f>VLOOKUP($A91,'[2]App C Share Outflows'!$A$4:$I$917,7,FALSE)</f>
        <v>0</v>
      </c>
      <c r="AF91" s="2">
        <f>VLOOKUP($A91,'[2]App C Share Outflows'!$A$4:$I$917,8,FALSE)</f>
        <v>0</v>
      </c>
      <c r="AG91" s="2">
        <f>VLOOKUP($A91,'[2]App C Share Outflows'!$A$4:$I$917,9,FALSE)</f>
        <v>0</v>
      </c>
      <c r="AH91" s="2"/>
      <c r="AI91" s="2">
        <f>VLOOKUP($A91,'[2]App C Share Inflows'!$A$4:$I$917,5,FALSE)</f>
        <v>-134</v>
      </c>
      <c r="AJ91" s="2">
        <f>VLOOKUP($A91,'[2]App C Share Inflows'!$A$4:$I$917,6,FALSE)</f>
        <v>-134</v>
      </c>
      <c r="AK91" s="2">
        <f>VLOOKUP($A91,'[2]App C Share Inflows'!$A$4:$I$917,7,FALSE)</f>
        <v>-133</v>
      </c>
      <c r="AL91" s="2">
        <f>VLOOKUP($A91,'[2]App C Share Inflows'!$A$4:$I$917,8,FALSE)</f>
        <v>-78</v>
      </c>
      <c r="AM91" s="2">
        <f>VLOOKUP($A91,'[2]App C Share Inflows'!$A$4:$I$917,6,FALSE)</f>
        <v>-134</v>
      </c>
    </row>
    <row r="92" spans="1:39">
      <c r="A92" s="351">
        <v>90805</v>
      </c>
      <c r="B92" s="344" t="s">
        <v>786</v>
      </c>
      <c r="C92" s="235" t="e">
        <f>VLOOKUP(A92,#REF!,10,FALSE)</f>
        <v>#REF!</v>
      </c>
      <c r="E92" s="2">
        <f>VLOOKUP($A92,'[2]App C Total'!$A$4:$I$917,5,FALSE)</f>
        <v>42449</v>
      </c>
      <c r="F92" s="2">
        <f>VLOOKUP($A92,'[2]App C Total'!$A$4:$I$917,6,FALSE)</f>
        <v>17897</v>
      </c>
      <c r="G92" s="2">
        <f>VLOOKUP($A92,'[2]App C Total'!$A$4:$I$917,7,FALSE)</f>
        <v>23576</v>
      </c>
      <c r="H92" s="2">
        <f>VLOOKUP($A92,'[2]App C Total'!$A$4:$I$917,8,FALSE)</f>
        <v>6830</v>
      </c>
      <c r="I92" s="2">
        <f>VLOOKUP($A92,'[2]App C Total'!$A$4:$I$917,9,FALSE)</f>
        <v>0</v>
      </c>
      <c r="J92" s="2"/>
      <c r="K92" s="2">
        <f>VLOOKUP($A92,'[2]App C Exp'!$A$4:$I$917,5,FALSE)</f>
        <v>9872</v>
      </c>
      <c r="L92" s="2">
        <f>VLOOKUP($A92,'[2]App C Exp'!$A$4:$I$917,6,FALSE)</f>
        <v>9287</v>
      </c>
      <c r="M92" s="2">
        <f>VLOOKUP($A92,'[2]App C Exp'!$A$4:$I$917,7,FALSE)</f>
        <v>8323</v>
      </c>
      <c r="N92" s="2">
        <f>VLOOKUP($A92,'[2]App C Exp'!$A$4:$I$917,8,FALSE)</f>
        <v>3333</v>
      </c>
      <c r="O92" s="2">
        <f>VLOOKUP($A92,'[2]App C Exp'!$A$4:$I$917,9,FALSE)</f>
        <v>0</v>
      </c>
      <c r="P92" s="2"/>
      <c r="Q92" s="2">
        <f>VLOOKUP($A92,'[2]App C Inv'!$A$4:$I$917,5,FALSE)</f>
        <v>10481</v>
      </c>
      <c r="R92" s="2">
        <f>VLOOKUP($A92,'[2]App C Inv'!$A$4:$I$917,6,FALSE)</f>
        <v>-9015</v>
      </c>
      <c r="S92" s="2">
        <f>VLOOKUP($A92,'[2]App C Inv'!$A$4:$I$917,7,FALSE)</f>
        <v>1271</v>
      </c>
      <c r="T92" s="2">
        <f>VLOOKUP($A92,'[2]App C Inv'!$A$4:$I$917,8,FALSE)</f>
        <v>1654</v>
      </c>
      <c r="U92" s="2">
        <f>VLOOKUP($A92,'[2]App C Inv'!$A$4:$I$917,9,FALSE)</f>
        <v>0</v>
      </c>
      <c r="V92" s="2"/>
      <c r="W92" s="2">
        <f>VLOOKUP($A92,'[2]App C Assum'!$A$4:$I$917,5,FALSE)</f>
        <v>11807</v>
      </c>
      <c r="X92" s="2">
        <f>VLOOKUP($A92,'[2]App C Assum'!$A$4:$I$917,6,FALSE)</f>
        <v>9673</v>
      </c>
      <c r="Y92" s="2">
        <f>VLOOKUP($A92,'[2]App C Assum'!$A$4:$I$917,7,FALSE)</f>
        <v>7852</v>
      </c>
      <c r="Z92" s="2">
        <f>VLOOKUP($A92,'[2]App C Assum'!$A$4:$I$917,8,FALSE)</f>
        <v>0</v>
      </c>
      <c r="AA92" s="2">
        <f>VLOOKUP($A92,'[2]App C Assum'!$A$4:$I$917,9,FALSE)</f>
        <v>0</v>
      </c>
      <c r="AB92" s="2"/>
      <c r="AC92" s="2">
        <f>VLOOKUP($A92,'[2]App C Share Outflows'!$A$4:$I$917,5,FALSE)</f>
        <v>10289</v>
      </c>
      <c r="AD92" s="2">
        <f>VLOOKUP($A92,'[2]App C Share Outflows'!$A$4:$I$917,6,FALSE)</f>
        <v>7952</v>
      </c>
      <c r="AE92" s="2">
        <f>VLOOKUP($A92,'[2]App C Share Outflows'!$A$4:$I$917,7,FALSE)</f>
        <v>6130</v>
      </c>
      <c r="AF92" s="2">
        <f>VLOOKUP($A92,'[2]App C Share Outflows'!$A$4:$I$917,8,FALSE)</f>
        <v>1843</v>
      </c>
      <c r="AG92" s="2">
        <f>VLOOKUP($A92,'[2]App C Share Outflows'!$A$4:$I$917,9,FALSE)</f>
        <v>0</v>
      </c>
      <c r="AH92" s="2"/>
      <c r="AI92" s="2">
        <f>VLOOKUP($A92,'[2]App C Share Inflows'!$A$4:$I$917,5,FALSE)</f>
        <v>0</v>
      </c>
      <c r="AJ92" s="2">
        <f>VLOOKUP($A92,'[2]App C Share Inflows'!$A$4:$I$917,6,FALSE)</f>
        <v>0</v>
      </c>
      <c r="AK92" s="2">
        <f>VLOOKUP($A92,'[2]App C Share Inflows'!$A$4:$I$917,7,FALSE)</f>
        <v>0</v>
      </c>
      <c r="AL92" s="2">
        <f>VLOOKUP($A92,'[2]App C Share Inflows'!$A$4:$I$917,8,FALSE)</f>
        <v>0</v>
      </c>
      <c r="AM92" s="2">
        <f>VLOOKUP($A92,'[2]App C Share Inflows'!$A$4:$I$917,6,FALSE)</f>
        <v>0</v>
      </c>
    </row>
    <row r="93" spans="1:39">
      <c r="A93" s="351">
        <v>90808</v>
      </c>
      <c r="B93" s="344" t="s">
        <v>3644</v>
      </c>
      <c r="C93" s="235" t="e">
        <f>VLOOKUP(A93,#REF!,10,FALSE)</f>
        <v>#REF!</v>
      </c>
      <c r="E93" s="2">
        <f>VLOOKUP($A93,'[2]App C Total'!$A$4:$I$917,5,FALSE)</f>
        <v>78165</v>
      </c>
      <c r="F93" s="2">
        <f>VLOOKUP($A93,'[2]App C Total'!$A$4:$I$917,6,FALSE)</f>
        <v>31623</v>
      </c>
      <c r="G93" s="2">
        <f>VLOOKUP($A93,'[2]App C Total'!$A$4:$I$917,7,FALSE)</f>
        <v>46314</v>
      </c>
      <c r="H93" s="2">
        <f>VLOOKUP($A93,'[2]App C Total'!$A$4:$I$917,8,FALSE)</f>
        <v>20010</v>
      </c>
      <c r="I93" s="2">
        <f>VLOOKUP($A93,'[2]App C Total'!$A$4:$I$917,9,FALSE)</f>
        <v>0</v>
      </c>
      <c r="J93" s="2"/>
      <c r="K93" s="2">
        <f>VLOOKUP($A93,'[2]App C Exp'!$A$4:$I$917,5,FALSE)</f>
        <v>20898</v>
      </c>
      <c r="L93" s="2">
        <f>VLOOKUP($A93,'[2]App C Exp'!$A$4:$I$917,6,FALSE)</f>
        <v>19658</v>
      </c>
      <c r="M93" s="2">
        <f>VLOOKUP($A93,'[2]App C Exp'!$A$4:$I$917,7,FALSE)</f>
        <v>17620</v>
      </c>
      <c r="N93" s="2">
        <f>VLOOKUP($A93,'[2]App C Exp'!$A$4:$I$917,8,FALSE)</f>
        <v>7055</v>
      </c>
      <c r="O93" s="2">
        <f>VLOOKUP($A93,'[2]App C Exp'!$A$4:$I$917,9,FALSE)</f>
        <v>0</v>
      </c>
      <c r="P93" s="2"/>
      <c r="Q93" s="2">
        <f>VLOOKUP($A93,'[2]App C Inv'!$A$4:$I$917,5,FALSE)</f>
        <v>22186</v>
      </c>
      <c r="R93" s="2">
        <f>VLOOKUP($A93,'[2]App C Inv'!$A$4:$I$917,6,FALSE)</f>
        <v>-19084</v>
      </c>
      <c r="S93" s="2">
        <f>VLOOKUP($A93,'[2]App C Inv'!$A$4:$I$917,7,FALSE)</f>
        <v>2690</v>
      </c>
      <c r="T93" s="2">
        <f>VLOOKUP($A93,'[2]App C Inv'!$A$4:$I$917,8,FALSE)</f>
        <v>3501</v>
      </c>
      <c r="U93" s="2">
        <f>VLOOKUP($A93,'[2]App C Inv'!$A$4:$I$917,9,FALSE)</f>
        <v>0</v>
      </c>
      <c r="V93" s="2"/>
      <c r="W93" s="2">
        <f>VLOOKUP($A93,'[2]App C Assum'!$A$4:$I$917,5,FALSE)</f>
        <v>24993</v>
      </c>
      <c r="X93" s="2">
        <f>VLOOKUP($A93,'[2]App C Assum'!$A$4:$I$917,6,FALSE)</f>
        <v>20475</v>
      </c>
      <c r="Y93" s="2">
        <f>VLOOKUP($A93,'[2]App C Assum'!$A$4:$I$917,7,FALSE)</f>
        <v>16622</v>
      </c>
      <c r="Z93" s="2">
        <f>VLOOKUP($A93,'[2]App C Assum'!$A$4:$I$917,8,FALSE)</f>
        <v>0</v>
      </c>
      <c r="AA93" s="2">
        <f>VLOOKUP($A93,'[2]App C Assum'!$A$4:$I$917,9,FALSE)</f>
        <v>0</v>
      </c>
      <c r="AB93" s="2"/>
      <c r="AC93" s="2">
        <f>VLOOKUP($A93,'[2]App C Share Outflows'!$A$4:$I$917,5,FALSE)</f>
        <v>10645</v>
      </c>
      <c r="AD93" s="2">
        <f>VLOOKUP($A93,'[2]App C Share Outflows'!$A$4:$I$917,6,FALSE)</f>
        <v>10646</v>
      </c>
      <c r="AE93" s="2">
        <f>VLOOKUP($A93,'[2]App C Share Outflows'!$A$4:$I$917,7,FALSE)</f>
        <v>9455</v>
      </c>
      <c r="AF93" s="2">
        <f>VLOOKUP($A93,'[2]App C Share Outflows'!$A$4:$I$917,8,FALSE)</f>
        <v>9454</v>
      </c>
      <c r="AG93" s="2">
        <f>VLOOKUP($A93,'[2]App C Share Outflows'!$A$4:$I$917,9,FALSE)</f>
        <v>0</v>
      </c>
      <c r="AH93" s="2"/>
      <c r="AI93" s="2">
        <f>VLOOKUP($A93,'[2]App C Share Inflows'!$A$4:$I$917,5,FALSE)</f>
        <v>-557</v>
      </c>
      <c r="AJ93" s="2">
        <f>VLOOKUP($A93,'[2]App C Share Inflows'!$A$4:$I$917,6,FALSE)</f>
        <v>-72</v>
      </c>
      <c r="AK93" s="2">
        <f>VLOOKUP($A93,'[2]App C Share Inflows'!$A$4:$I$917,7,FALSE)</f>
        <v>-73</v>
      </c>
      <c r="AL93" s="2">
        <f>VLOOKUP($A93,'[2]App C Share Inflows'!$A$4:$I$917,8,FALSE)</f>
        <v>0</v>
      </c>
      <c r="AM93" s="2">
        <f>VLOOKUP($A93,'[2]App C Share Inflows'!$A$4:$I$917,6,FALSE)</f>
        <v>-72</v>
      </c>
    </row>
    <row r="94" spans="1:39">
      <c r="A94" s="351">
        <v>90811</v>
      </c>
      <c r="B94" s="344" t="s">
        <v>788</v>
      </c>
      <c r="C94" s="235" t="e">
        <f>VLOOKUP(A94,#REF!,10,FALSE)</f>
        <v>#REF!</v>
      </c>
      <c r="E94" s="2">
        <f>VLOOKUP($A94,'[2]App C Total'!$A$4:$I$917,5,FALSE)</f>
        <v>13245</v>
      </c>
      <c r="F94" s="2">
        <f>VLOOKUP($A94,'[2]App C Total'!$A$4:$I$917,6,FALSE)</f>
        <v>1797</v>
      </c>
      <c r="G94" s="2">
        <f>VLOOKUP($A94,'[2]App C Total'!$A$4:$I$917,7,FALSE)</f>
        <v>7596</v>
      </c>
      <c r="H94" s="2">
        <f>VLOOKUP($A94,'[2]App C Total'!$A$4:$I$917,8,FALSE)</f>
        <v>1709</v>
      </c>
      <c r="I94" s="2">
        <f>VLOOKUP($A94,'[2]App C Total'!$A$4:$I$917,9,FALSE)</f>
        <v>0</v>
      </c>
      <c r="J94" s="2"/>
      <c r="K94" s="2">
        <f>VLOOKUP($A94,'[2]App C Exp'!$A$4:$I$917,5,FALSE)</f>
        <v>5228</v>
      </c>
      <c r="L94" s="2">
        <f>VLOOKUP($A94,'[2]App C Exp'!$A$4:$I$917,6,FALSE)</f>
        <v>4918</v>
      </c>
      <c r="M94" s="2">
        <f>VLOOKUP($A94,'[2]App C Exp'!$A$4:$I$917,7,FALSE)</f>
        <v>4408</v>
      </c>
      <c r="N94" s="2">
        <f>VLOOKUP($A94,'[2]App C Exp'!$A$4:$I$917,8,FALSE)</f>
        <v>1765</v>
      </c>
      <c r="O94" s="2">
        <f>VLOOKUP($A94,'[2]App C Exp'!$A$4:$I$917,9,FALSE)</f>
        <v>0</v>
      </c>
      <c r="P94" s="2"/>
      <c r="Q94" s="2">
        <f>VLOOKUP($A94,'[2]App C Inv'!$A$4:$I$917,5,FALSE)</f>
        <v>5551</v>
      </c>
      <c r="R94" s="2">
        <f>VLOOKUP($A94,'[2]App C Inv'!$A$4:$I$917,6,FALSE)</f>
        <v>-4774</v>
      </c>
      <c r="S94" s="2">
        <f>VLOOKUP($A94,'[2]App C Inv'!$A$4:$I$917,7,FALSE)</f>
        <v>673</v>
      </c>
      <c r="T94" s="2">
        <f>VLOOKUP($A94,'[2]App C Inv'!$A$4:$I$917,8,FALSE)</f>
        <v>876</v>
      </c>
      <c r="U94" s="2">
        <f>VLOOKUP($A94,'[2]App C Inv'!$A$4:$I$917,9,FALSE)</f>
        <v>0</v>
      </c>
      <c r="V94" s="2"/>
      <c r="W94" s="2">
        <f>VLOOKUP($A94,'[2]App C Assum'!$A$4:$I$917,5,FALSE)</f>
        <v>6253</v>
      </c>
      <c r="X94" s="2">
        <f>VLOOKUP($A94,'[2]App C Assum'!$A$4:$I$917,6,FALSE)</f>
        <v>5122</v>
      </c>
      <c r="Y94" s="2">
        <f>VLOOKUP($A94,'[2]App C Assum'!$A$4:$I$917,7,FALSE)</f>
        <v>4159</v>
      </c>
      <c r="Z94" s="2">
        <f>VLOOKUP($A94,'[2]App C Assum'!$A$4:$I$917,8,FALSE)</f>
        <v>0</v>
      </c>
      <c r="AA94" s="2">
        <f>VLOOKUP($A94,'[2]App C Assum'!$A$4:$I$917,9,FALSE)</f>
        <v>0</v>
      </c>
      <c r="AB94" s="2"/>
      <c r="AC94" s="2">
        <f>VLOOKUP($A94,'[2]App C Share Outflows'!$A$4:$I$917,5,FALSE)</f>
        <v>0</v>
      </c>
      <c r="AD94" s="2">
        <f>VLOOKUP($A94,'[2]App C Share Outflows'!$A$4:$I$917,6,FALSE)</f>
        <v>0</v>
      </c>
      <c r="AE94" s="2">
        <f>VLOOKUP($A94,'[2]App C Share Outflows'!$A$4:$I$917,7,FALSE)</f>
        <v>0</v>
      </c>
      <c r="AF94" s="2">
        <f>VLOOKUP($A94,'[2]App C Share Outflows'!$A$4:$I$917,8,FALSE)</f>
        <v>0</v>
      </c>
      <c r="AG94" s="2">
        <f>VLOOKUP($A94,'[2]App C Share Outflows'!$A$4:$I$917,9,FALSE)</f>
        <v>0</v>
      </c>
      <c r="AH94" s="2"/>
      <c r="AI94" s="2">
        <f>VLOOKUP($A94,'[2]App C Share Inflows'!$A$4:$I$917,5,FALSE)</f>
        <v>-3787</v>
      </c>
      <c r="AJ94" s="2">
        <f>VLOOKUP($A94,'[2]App C Share Inflows'!$A$4:$I$917,6,FALSE)</f>
        <v>-3469</v>
      </c>
      <c r="AK94" s="2">
        <f>VLOOKUP($A94,'[2]App C Share Inflows'!$A$4:$I$917,7,FALSE)</f>
        <v>-1644</v>
      </c>
      <c r="AL94" s="2">
        <f>VLOOKUP($A94,'[2]App C Share Inflows'!$A$4:$I$917,8,FALSE)</f>
        <v>-932</v>
      </c>
      <c r="AM94" s="2">
        <f>VLOOKUP($A94,'[2]App C Share Inflows'!$A$4:$I$917,6,FALSE)</f>
        <v>-3469</v>
      </c>
    </row>
    <row r="95" spans="1:39">
      <c r="A95" s="351">
        <v>90812</v>
      </c>
      <c r="B95" s="344" t="s">
        <v>789</v>
      </c>
      <c r="C95" s="235" t="e">
        <f>VLOOKUP(A95,#REF!,10,FALSE)</f>
        <v>#REF!</v>
      </c>
      <c r="E95" s="2">
        <f>VLOOKUP($A95,'[2]App C Total'!$A$4:$I$917,5,FALSE)</f>
        <v>104833</v>
      </c>
      <c r="F95" s="2">
        <f>VLOOKUP($A95,'[2]App C Total'!$A$4:$I$917,6,FALSE)</f>
        <v>33501</v>
      </c>
      <c r="G95" s="2">
        <f>VLOOKUP($A95,'[2]App C Total'!$A$4:$I$917,7,FALSE)</f>
        <v>56000</v>
      </c>
      <c r="H95" s="2">
        <f>VLOOKUP($A95,'[2]App C Total'!$A$4:$I$917,8,FALSE)</f>
        <v>15349</v>
      </c>
      <c r="I95" s="2">
        <f>VLOOKUP($A95,'[2]App C Total'!$A$4:$I$917,9,FALSE)</f>
        <v>0</v>
      </c>
      <c r="J95" s="2"/>
      <c r="K95" s="2">
        <f>VLOOKUP($A95,'[2]App C Exp'!$A$4:$I$917,5,FALSE)</f>
        <v>33107</v>
      </c>
      <c r="L95" s="2">
        <f>VLOOKUP($A95,'[2]App C Exp'!$A$4:$I$917,6,FALSE)</f>
        <v>31143</v>
      </c>
      <c r="M95" s="2">
        <f>VLOOKUP($A95,'[2]App C Exp'!$A$4:$I$917,7,FALSE)</f>
        <v>27913</v>
      </c>
      <c r="N95" s="2">
        <f>VLOOKUP($A95,'[2]App C Exp'!$A$4:$I$917,8,FALSE)</f>
        <v>11176</v>
      </c>
      <c r="O95" s="2">
        <f>VLOOKUP($A95,'[2]App C Exp'!$A$4:$I$917,9,FALSE)</f>
        <v>0</v>
      </c>
      <c r="P95" s="2"/>
      <c r="Q95" s="2">
        <f>VLOOKUP($A95,'[2]App C Inv'!$A$4:$I$917,5,FALSE)</f>
        <v>35148</v>
      </c>
      <c r="R95" s="2">
        <f>VLOOKUP($A95,'[2]App C Inv'!$A$4:$I$917,6,FALSE)</f>
        <v>-30234</v>
      </c>
      <c r="S95" s="2">
        <f>VLOOKUP($A95,'[2]App C Inv'!$A$4:$I$917,7,FALSE)</f>
        <v>4261</v>
      </c>
      <c r="T95" s="2">
        <f>VLOOKUP($A95,'[2]App C Inv'!$A$4:$I$917,8,FALSE)</f>
        <v>5546</v>
      </c>
      <c r="U95" s="2">
        <f>VLOOKUP($A95,'[2]App C Inv'!$A$4:$I$917,9,FALSE)</f>
        <v>0</v>
      </c>
      <c r="V95" s="2"/>
      <c r="W95" s="2">
        <f>VLOOKUP($A95,'[2]App C Assum'!$A$4:$I$917,5,FALSE)</f>
        <v>39595</v>
      </c>
      <c r="X95" s="2">
        <f>VLOOKUP($A95,'[2]App C Assum'!$A$4:$I$917,6,FALSE)</f>
        <v>32437</v>
      </c>
      <c r="Y95" s="2">
        <f>VLOOKUP($A95,'[2]App C Assum'!$A$4:$I$917,7,FALSE)</f>
        <v>26334</v>
      </c>
      <c r="Z95" s="2">
        <f>VLOOKUP($A95,'[2]App C Assum'!$A$4:$I$917,8,FALSE)</f>
        <v>0</v>
      </c>
      <c r="AA95" s="2">
        <f>VLOOKUP($A95,'[2]App C Assum'!$A$4:$I$917,9,FALSE)</f>
        <v>0</v>
      </c>
      <c r="AB95" s="2"/>
      <c r="AC95" s="2">
        <f>VLOOKUP($A95,'[2]App C Share Outflows'!$A$4:$I$917,5,FALSE)</f>
        <v>2664</v>
      </c>
      <c r="AD95" s="2">
        <f>VLOOKUP($A95,'[2]App C Share Outflows'!$A$4:$I$917,6,FALSE)</f>
        <v>2663</v>
      </c>
      <c r="AE95" s="2">
        <f>VLOOKUP($A95,'[2]App C Share Outflows'!$A$4:$I$917,7,FALSE)</f>
        <v>0</v>
      </c>
      <c r="AF95" s="2">
        <f>VLOOKUP($A95,'[2]App C Share Outflows'!$A$4:$I$917,8,FALSE)</f>
        <v>0</v>
      </c>
      <c r="AG95" s="2">
        <f>VLOOKUP($A95,'[2]App C Share Outflows'!$A$4:$I$917,9,FALSE)</f>
        <v>0</v>
      </c>
      <c r="AH95" s="2"/>
      <c r="AI95" s="2">
        <f>VLOOKUP($A95,'[2]App C Share Inflows'!$A$4:$I$917,5,FALSE)</f>
        <v>-5681</v>
      </c>
      <c r="AJ95" s="2">
        <f>VLOOKUP($A95,'[2]App C Share Inflows'!$A$4:$I$917,6,FALSE)</f>
        <v>-2508</v>
      </c>
      <c r="AK95" s="2">
        <f>VLOOKUP($A95,'[2]App C Share Inflows'!$A$4:$I$917,7,FALSE)</f>
        <v>-2508</v>
      </c>
      <c r="AL95" s="2">
        <f>VLOOKUP($A95,'[2]App C Share Inflows'!$A$4:$I$917,8,FALSE)</f>
        <v>-1373</v>
      </c>
      <c r="AM95" s="2">
        <f>VLOOKUP($A95,'[2]App C Share Inflows'!$A$4:$I$917,6,FALSE)</f>
        <v>-2508</v>
      </c>
    </row>
    <row r="96" spans="1:39">
      <c r="A96" s="351">
        <v>90813</v>
      </c>
      <c r="B96" s="344" t="s">
        <v>790</v>
      </c>
      <c r="C96" s="235" t="e">
        <f>VLOOKUP(A96,#REF!,10,FALSE)</f>
        <v>#REF!</v>
      </c>
      <c r="E96" s="2">
        <f>VLOOKUP($A96,'[2]App C Total'!$A$4:$I$917,5,FALSE)</f>
        <v>1858</v>
      </c>
      <c r="F96" s="2">
        <f>VLOOKUP($A96,'[2]App C Total'!$A$4:$I$917,6,FALSE)</f>
        <v>368</v>
      </c>
      <c r="G96" s="2">
        <f>VLOOKUP($A96,'[2]App C Total'!$A$4:$I$917,7,FALSE)</f>
        <v>998</v>
      </c>
      <c r="H96" s="2">
        <f>VLOOKUP($A96,'[2]App C Total'!$A$4:$I$917,8,FALSE)</f>
        <v>232</v>
      </c>
      <c r="I96" s="2">
        <f>VLOOKUP($A96,'[2]App C Total'!$A$4:$I$917,9,FALSE)</f>
        <v>0</v>
      </c>
      <c r="J96" s="2"/>
      <c r="K96" s="2">
        <f>VLOOKUP($A96,'[2]App C Exp'!$A$4:$I$917,5,FALSE)</f>
        <v>689</v>
      </c>
      <c r="L96" s="2">
        <f>VLOOKUP($A96,'[2]App C Exp'!$A$4:$I$917,6,FALSE)</f>
        <v>648</v>
      </c>
      <c r="M96" s="2">
        <f>VLOOKUP($A96,'[2]App C Exp'!$A$4:$I$917,7,FALSE)</f>
        <v>581</v>
      </c>
      <c r="N96" s="2">
        <f>VLOOKUP($A96,'[2]App C Exp'!$A$4:$I$917,8,FALSE)</f>
        <v>233</v>
      </c>
      <c r="O96" s="2">
        <f>VLOOKUP($A96,'[2]App C Exp'!$A$4:$I$917,9,FALSE)</f>
        <v>0</v>
      </c>
      <c r="P96" s="2"/>
      <c r="Q96" s="2">
        <f>VLOOKUP($A96,'[2]App C Inv'!$A$4:$I$917,5,FALSE)</f>
        <v>732</v>
      </c>
      <c r="R96" s="2">
        <f>VLOOKUP($A96,'[2]App C Inv'!$A$4:$I$917,6,FALSE)</f>
        <v>-629</v>
      </c>
      <c r="S96" s="2">
        <f>VLOOKUP($A96,'[2]App C Inv'!$A$4:$I$917,7,FALSE)</f>
        <v>89</v>
      </c>
      <c r="T96" s="2">
        <f>VLOOKUP($A96,'[2]App C Inv'!$A$4:$I$917,8,FALSE)</f>
        <v>115</v>
      </c>
      <c r="U96" s="2">
        <f>VLOOKUP($A96,'[2]App C Inv'!$A$4:$I$917,9,FALSE)</f>
        <v>0</v>
      </c>
      <c r="V96" s="2"/>
      <c r="W96" s="2">
        <f>VLOOKUP($A96,'[2]App C Assum'!$A$4:$I$917,5,FALSE)</f>
        <v>824</v>
      </c>
      <c r="X96" s="2">
        <f>VLOOKUP($A96,'[2]App C Assum'!$A$4:$I$917,6,FALSE)</f>
        <v>675</v>
      </c>
      <c r="Y96" s="2">
        <f>VLOOKUP($A96,'[2]App C Assum'!$A$4:$I$917,7,FALSE)</f>
        <v>548</v>
      </c>
      <c r="Z96" s="2">
        <f>VLOOKUP($A96,'[2]App C Assum'!$A$4:$I$917,8,FALSE)</f>
        <v>0</v>
      </c>
      <c r="AA96" s="2">
        <f>VLOOKUP($A96,'[2]App C Assum'!$A$4:$I$917,9,FALSE)</f>
        <v>0</v>
      </c>
      <c r="AB96" s="2"/>
      <c r="AC96" s="2">
        <f>VLOOKUP($A96,'[2]App C Share Outflows'!$A$4:$I$917,5,FALSE)</f>
        <v>0</v>
      </c>
      <c r="AD96" s="2">
        <f>VLOOKUP($A96,'[2]App C Share Outflows'!$A$4:$I$917,6,FALSE)</f>
        <v>0</v>
      </c>
      <c r="AE96" s="2">
        <f>VLOOKUP($A96,'[2]App C Share Outflows'!$A$4:$I$917,7,FALSE)</f>
        <v>0</v>
      </c>
      <c r="AF96" s="2">
        <f>VLOOKUP($A96,'[2]App C Share Outflows'!$A$4:$I$917,8,FALSE)</f>
        <v>0</v>
      </c>
      <c r="AG96" s="2">
        <f>VLOOKUP($A96,'[2]App C Share Outflows'!$A$4:$I$917,9,FALSE)</f>
        <v>0</v>
      </c>
      <c r="AH96" s="2"/>
      <c r="AI96" s="2">
        <f>VLOOKUP($A96,'[2]App C Share Inflows'!$A$4:$I$917,5,FALSE)</f>
        <v>-387</v>
      </c>
      <c r="AJ96" s="2">
        <f>VLOOKUP($A96,'[2]App C Share Inflows'!$A$4:$I$917,6,FALSE)</f>
        <v>-326</v>
      </c>
      <c r="AK96" s="2">
        <f>VLOOKUP($A96,'[2]App C Share Inflows'!$A$4:$I$917,7,FALSE)</f>
        <v>-220</v>
      </c>
      <c r="AL96" s="2">
        <f>VLOOKUP($A96,'[2]App C Share Inflows'!$A$4:$I$917,8,FALSE)</f>
        <v>-116</v>
      </c>
      <c r="AM96" s="2">
        <f>VLOOKUP($A96,'[2]App C Share Inflows'!$A$4:$I$917,6,FALSE)</f>
        <v>-326</v>
      </c>
    </row>
    <row r="97" spans="1:39">
      <c r="A97" s="351">
        <v>90861</v>
      </c>
      <c r="B97" s="344" t="s">
        <v>791</v>
      </c>
      <c r="C97" s="235" t="e">
        <f>VLOOKUP(A97,#REF!,10,FALSE)</f>
        <v>#REF!</v>
      </c>
      <c r="E97" s="2">
        <f>VLOOKUP($A97,'[2]App C Total'!$A$4:$I$917,5,FALSE)</f>
        <v>6620</v>
      </c>
      <c r="F97" s="2">
        <f>VLOOKUP($A97,'[2]App C Total'!$A$4:$I$917,6,FALSE)</f>
        <v>3546</v>
      </c>
      <c r="G97" s="2">
        <f>VLOOKUP($A97,'[2]App C Total'!$A$4:$I$917,7,FALSE)</f>
        <v>4257</v>
      </c>
      <c r="H97" s="2">
        <f>VLOOKUP($A97,'[2]App C Total'!$A$4:$I$917,8,FALSE)</f>
        <v>1492</v>
      </c>
      <c r="I97" s="2">
        <f>VLOOKUP($A97,'[2]App C Total'!$A$4:$I$917,9,FALSE)</f>
        <v>0</v>
      </c>
      <c r="J97" s="2"/>
      <c r="K97" s="2">
        <f>VLOOKUP($A97,'[2]App C Exp'!$A$4:$I$917,5,FALSE)</f>
        <v>1273</v>
      </c>
      <c r="L97" s="2">
        <f>VLOOKUP($A97,'[2]App C Exp'!$A$4:$I$917,6,FALSE)</f>
        <v>1198</v>
      </c>
      <c r="M97" s="2">
        <f>VLOOKUP($A97,'[2]App C Exp'!$A$4:$I$917,7,FALSE)</f>
        <v>1074</v>
      </c>
      <c r="N97" s="2">
        <f>VLOOKUP($A97,'[2]App C Exp'!$A$4:$I$917,8,FALSE)</f>
        <v>430</v>
      </c>
      <c r="O97" s="2">
        <f>VLOOKUP($A97,'[2]App C Exp'!$A$4:$I$917,9,FALSE)</f>
        <v>0</v>
      </c>
      <c r="P97" s="2"/>
      <c r="Q97" s="2">
        <f>VLOOKUP($A97,'[2]App C Inv'!$A$4:$I$917,5,FALSE)</f>
        <v>1352</v>
      </c>
      <c r="R97" s="2">
        <f>VLOOKUP($A97,'[2]App C Inv'!$A$4:$I$917,6,FALSE)</f>
        <v>-1163</v>
      </c>
      <c r="S97" s="2">
        <f>VLOOKUP($A97,'[2]App C Inv'!$A$4:$I$917,7,FALSE)</f>
        <v>164</v>
      </c>
      <c r="T97" s="2">
        <f>VLOOKUP($A97,'[2]App C Inv'!$A$4:$I$917,8,FALSE)</f>
        <v>213</v>
      </c>
      <c r="U97" s="2">
        <f>VLOOKUP($A97,'[2]App C Inv'!$A$4:$I$917,9,FALSE)</f>
        <v>0</v>
      </c>
      <c r="V97" s="2"/>
      <c r="W97" s="2">
        <f>VLOOKUP($A97,'[2]App C Assum'!$A$4:$I$917,5,FALSE)</f>
        <v>1523</v>
      </c>
      <c r="X97" s="2">
        <f>VLOOKUP($A97,'[2]App C Assum'!$A$4:$I$917,6,FALSE)</f>
        <v>1248</v>
      </c>
      <c r="Y97" s="2">
        <f>VLOOKUP($A97,'[2]App C Assum'!$A$4:$I$917,7,FALSE)</f>
        <v>1013</v>
      </c>
      <c r="Z97" s="2">
        <f>VLOOKUP($A97,'[2]App C Assum'!$A$4:$I$917,8,FALSE)</f>
        <v>0</v>
      </c>
      <c r="AA97" s="2">
        <f>VLOOKUP($A97,'[2]App C Assum'!$A$4:$I$917,9,FALSE)</f>
        <v>0</v>
      </c>
      <c r="AB97" s="2"/>
      <c r="AC97" s="2">
        <f>VLOOKUP($A97,'[2]App C Share Outflows'!$A$4:$I$917,5,FALSE)</f>
        <v>2472</v>
      </c>
      <c r="AD97" s="2">
        <f>VLOOKUP($A97,'[2]App C Share Outflows'!$A$4:$I$917,6,FALSE)</f>
        <v>2263</v>
      </c>
      <c r="AE97" s="2">
        <f>VLOOKUP($A97,'[2]App C Share Outflows'!$A$4:$I$917,7,FALSE)</f>
        <v>2006</v>
      </c>
      <c r="AF97" s="2">
        <f>VLOOKUP($A97,'[2]App C Share Outflows'!$A$4:$I$917,8,FALSE)</f>
        <v>849</v>
      </c>
      <c r="AG97" s="2">
        <f>VLOOKUP($A97,'[2]App C Share Outflows'!$A$4:$I$917,9,FALSE)</f>
        <v>0</v>
      </c>
      <c r="AH97" s="2"/>
      <c r="AI97" s="2">
        <f>VLOOKUP($A97,'[2]App C Share Inflows'!$A$4:$I$917,5,FALSE)</f>
        <v>0</v>
      </c>
      <c r="AJ97" s="2">
        <f>VLOOKUP($A97,'[2]App C Share Inflows'!$A$4:$I$917,6,FALSE)</f>
        <v>0</v>
      </c>
      <c r="AK97" s="2">
        <f>VLOOKUP($A97,'[2]App C Share Inflows'!$A$4:$I$917,7,FALSE)</f>
        <v>0</v>
      </c>
      <c r="AL97" s="2">
        <f>VLOOKUP($A97,'[2]App C Share Inflows'!$A$4:$I$917,8,FALSE)</f>
        <v>0</v>
      </c>
      <c r="AM97" s="2">
        <f>VLOOKUP($A97,'[2]App C Share Inflows'!$A$4:$I$917,6,FALSE)</f>
        <v>0</v>
      </c>
    </row>
    <row r="98" spans="1:39">
      <c r="A98" s="351">
        <v>90901</v>
      </c>
      <c r="B98" s="344" t="s">
        <v>792</v>
      </c>
      <c r="C98" s="235" t="e">
        <f>VLOOKUP(A98,#REF!,10,FALSE)</f>
        <v>#REF!</v>
      </c>
      <c r="E98" s="2">
        <f>VLOOKUP($A98,'[2]App C Total'!$A$4:$I$917,5,FALSE)</f>
        <v>1125533</v>
      </c>
      <c r="F98" s="2">
        <f>VLOOKUP($A98,'[2]App C Total'!$A$4:$I$917,6,FALSE)</f>
        <v>367757</v>
      </c>
      <c r="G98" s="2">
        <f>VLOOKUP($A98,'[2]App C Total'!$A$4:$I$917,7,FALSE)</f>
        <v>622191</v>
      </c>
      <c r="H98" s="2">
        <f>VLOOKUP($A98,'[2]App C Total'!$A$4:$I$917,8,FALSE)</f>
        <v>193547</v>
      </c>
      <c r="I98" s="2">
        <f>VLOOKUP($A98,'[2]App C Total'!$A$4:$I$917,9,FALSE)</f>
        <v>0</v>
      </c>
      <c r="J98" s="2"/>
      <c r="K98" s="2">
        <f>VLOOKUP($A98,'[2]App C Exp'!$A$4:$I$917,5,FALSE)</f>
        <v>340661</v>
      </c>
      <c r="L98" s="2">
        <f>VLOOKUP($A98,'[2]App C Exp'!$A$4:$I$917,6,FALSE)</f>
        <v>320452</v>
      </c>
      <c r="M98" s="2">
        <f>VLOOKUP($A98,'[2]App C Exp'!$A$4:$I$917,7,FALSE)</f>
        <v>287218</v>
      </c>
      <c r="N98" s="2">
        <f>VLOOKUP($A98,'[2]App C Exp'!$A$4:$I$917,8,FALSE)</f>
        <v>114998</v>
      </c>
      <c r="O98" s="2">
        <f>VLOOKUP($A98,'[2]App C Exp'!$A$4:$I$917,9,FALSE)</f>
        <v>0</v>
      </c>
      <c r="P98" s="2"/>
      <c r="Q98" s="2">
        <f>VLOOKUP($A98,'[2]App C Inv'!$A$4:$I$917,5,FALSE)</f>
        <v>361659</v>
      </c>
      <c r="R98" s="2">
        <f>VLOOKUP($A98,'[2]App C Inv'!$A$4:$I$917,6,FALSE)</f>
        <v>-311095</v>
      </c>
      <c r="S98" s="2">
        <f>VLOOKUP($A98,'[2]App C Inv'!$A$4:$I$917,7,FALSE)</f>
        <v>43845</v>
      </c>
      <c r="T98" s="2">
        <f>VLOOKUP($A98,'[2]App C Inv'!$A$4:$I$917,8,FALSE)</f>
        <v>57064</v>
      </c>
      <c r="U98" s="2">
        <f>VLOOKUP($A98,'[2]App C Inv'!$A$4:$I$917,9,FALSE)</f>
        <v>0</v>
      </c>
      <c r="V98" s="2"/>
      <c r="W98" s="2">
        <f>VLOOKUP($A98,'[2]App C Assum'!$A$4:$I$917,5,FALSE)</f>
        <v>407414</v>
      </c>
      <c r="X98" s="2">
        <f>VLOOKUP($A98,'[2]App C Assum'!$A$4:$I$917,6,FALSE)</f>
        <v>333769</v>
      </c>
      <c r="Y98" s="2">
        <f>VLOOKUP($A98,'[2]App C Assum'!$A$4:$I$917,7,FALSE)</f>
        <v>270963</v>
      </c>
      <c r="Z98" s="2">
        <f>VLOOKUP($A98,'[2]App C Assum'!$A$4:$I$917,8,FALSE)</f>
        <v>0</v>
      </c>
      <c r="AA98" s="2">
        <f>VLOOKUP($A98,'[2]App C Assum'!$A$4:$I$917,9,FALSE)</f>
        <v>0</v>
      </c>
      <c r="AB98" s="2"/>
      <c r="AC98" s="2">
        <f>VLOOKUP($A98,'[2]App C Share Outflows'!$A$4:$I$917,5,FALSE)</f>
        <v>25948</v>
      </c>
      <c r="AD98" s="2">
        <f>VLOOKUP($A98,'[2]App C Share Outflows'!$A$4:$I$917,6,FALSE)</f>
        <v>25949</v>
      </c>
      <c r="AE98" s="2">
        <f>VLOOKUP($A98,'[2]App C Share Outflows'!$A$4:$I$917,7,FALSE)</f>
        <v>21485</v>
      </c>
      <c r="AF98" s="2">
        <f>VLOOKUP($A98,'[2]App C Share Outflows'!$A$4:$I$917,8,FALSE)</f>
        <v>21485</v>
      </c>
      <c r="AG98" s="2">
        <f>VLOOKUP($A98,'[2]App C Share Outflows'!$A$4:$I$917,9,FALSE)</f>
        <v>0</v>
      </c>
      <c r="AH98" s="2"/>
      <c r="AI98" s="2">
        <f>VLOOKUP($A98,'[2]App C Share Inflows'!$A$4:$I$917,5,FALSE)</f>
        <v>-10149</v>
      </c>
      <c r="AJ98" s="2">
        <f>VLOOKUP($A98,'[2]App C Share Inflows'!$A$4:$I$917,6,FALSE)</f>
        <v>-1318</v>
      </c>
      <c r="AK98" s="2">
        <f>VLOOKUP($A98,'[2]App C Share Inflows'!$A$4:$I$917,7,FALSE)</f>
        <v>-1320</v>
      </c>
      <c r="AL98" s="2">
        <f>VLOOKUP($A98,'[2]App C Share Inflows'!$A$4:$I$917,8,FALSE)</f>
        <v>0</v>
      </c>
      <c r="AM98" s="2">
        <f>VLOOKUP($A98,'[2]App C Share Inflows'!$A$4:$I$917,6,FALSE)</f>
        <v>-1318</v>
      </c>
    </row>
    <row r="99" spans="1:39">
      <c r="A99" s="351">
        <v>90911</v>
      </c>
      <c r="B99" s="344" t="s">
        <v>793</v>
      </c>
      <c r="C99" s="235" t="e">
        <f>VLOOKUP(A99,#REF!,10,FALSE)</f>
        <v>#REF!</v>
      </c>
      <c r="E99" s="2">
        <f>VLOOKUP($A99,'[2]App C Total'!$A$4:$I$917,5,FALSE)</f>
        <v>173780</v>
      </c>
      <c r="F99" s="2">
        <f>VLOOKUP($A99,'[2]App C Total'!$A$4:$I$917,6,FALSE)</f>
        <v>47969</v>
      </c>
      <c r="G99" s="2">
        <f>VLOOKUP($A99,'[2]App C Total'!$A$4:$I$917,7,FALSE)</f>
        <v>90147</v>
      </c>
      <c r="H99" s="2">
        <f>VLOOKUP($A99,'[2]App C Total'!$A$4:$I$917,8,FALSE)</f>
        <v>21326</v>
      </c>
      <c r="I99" s="2">
        <f>VLOOKUP($A99,'[2]App C Total'!$A$4:$I$917,9,FALSE)</f>
        <v>0</v>
      </c>
      <c r="J99" s="2"/>
      <c r="K99" s="2">
        <f>VLOOKUP($A99,'[2]App C Exp'!$A$4:$I$917,5,FALSE)</f>
        <v>57736</v>
      </c>
      <c r="L99" s="2">
        <f>VLOOKUP($A99,'[2]App C Exp'!$A$4:$I$917,6,FALSE)</f>
        <v>54311</v>
      </c>
      <c r="M99" s="2">
        <f>VLOOKUP($A99,'[2]App C Exp'!$A$4:$I$917,7,FALSE)</f>
        <v>48678</v>
      </c>
      <c r="N99" s="2">
        <f>VLOOKUP($A99,'[2]App C Exp'!$A$4:$I$917,8,FALSE)</f>
        <v>19490</v>
      </c>
      <c r="O99" s="2">
        <f>VLOOKUP($A99,'[2]App C Exp'!$A$4:$I$917,9,FALSE)</f>
        <v>0</v>
      </c>
      <c r="P99" s="2"/>
      <c r="Q99" s="2">
        <f>VLOOKUP($A99,'[2]App C Inv'!$A$4:$I$917,5,FALSE)</f>
        <v>61294</v>
      </c>
      <c r="R99" s="2">
        <f>VLOOKUP($A99,'[2]App C Inv'!$A$4:$I$917,6,FALSE)</f>
        <v>-52725</v>
      </c>
      <c r="S99" s="2">
        <f>VLOOKUP($A99,'[2]App C Inv'!$A$4:$I$917,7,FALSE)</f>
        <v>7431</v>
      </c>
      <c r="T99" s="2">
        <f>VLOOKUP($A99,'[2]App C Inv'!$A$4:$I$917,8,FALSE)</f>
        <v>9671</v>
      </c>
      <c r="U99" s="2">
        <f>VLOOKUP($A99,'[2]App C Inv'!$A$4:$I$917,9,FALSE)</f>
        <v>0</v>
      </c>
      <c r="V99" s="2"/>
      <c r="W99" s="2">
        <f>VLOOKUP($A99,'[2]App C Assum'!$A$4:$I$917,5,FALSE)</f>
        <v>69049</v>
      </c>
      <c r="X99" s="2">
        <f>VLOOKUP($A99,'[2]App C Assum'!$A$4:$I$917,6,FALSE)</f>
        <v>56567</v>
      </c>
      <c r="Y99" s="2">
        <f>VLOOKUP($A99,'[2]App C Assum'!$A$4:$I$917,7,FALSE)</f>
        <v>45923</v>
      </c>
      <c r="Z99" s="2">
        <f>VLOOKUP($A99,'[2]App C Assum'!$A$4:$I$917,8,FALSE)</f>
        <v>0</v>
      </c>
      <c r="AA99" s="2">
        <f>VLOOKUP($A99,'[2]App C Assum'!$A$4:$I$917,9,FALSE)</f>
        <v>0</v>
      </c>
      <c r="AB99" s="2"/>
      <c r="AC99" s="2">
        <f>VLOOKUP($A99,'[2]App C Share Outflows'!$A$4:$I$917,5,FALSE)</f>
        <v>1702</v>
      </c>
      <c r="AD99" s="2">
        <f>VLOOKUP($A99,'[2]App C Share Outflows'!$A$4:$I$917,6,FALSE)</f>
        <v>1700</v>
      </c>
      <c r="AE99" s="2">
        <f>VLOOKUP($A99,'[2]App C Share Outflows'!$A$4:$I$917,7,FALSE)</f>
        <v>0</v>
      </c>
      <c r="AF99" s="2">
        <f>VLOOKUP($A99,'[2]App C Share Outflows'!$A$4:$I$917,8,FALSE)</f>
        <v>0</v>
      </c>
      <c r="AG99" s="2">
        <f>VLOOKUP($A99,'[2]App C Share Outflows'!$A$4:$I$917,9,FALSE)</f>
        <v>0</v>
      </c>
      <c r="AH99" s="2"/>
      <c r="AI99" s="2">
        <f>VLOOKUP($A99,'[2]App C Share Inflows'!$A$4:$I$917,5,FALSE)</f>
        <v>-16001</v>
      </c>
      <c r="AJ99" s="2">
        <f>VLOOKUP($A99,'[2]App C Share Inflows'!$A$4:$I$917,6,FALSE)</f>
        <v>-11884</v>
      </c>
      <c r="AK99" s="2">
        <f>VLOOKUP($A99,'[2]App C Share Inflows'!$A$4:$I$917,7,FALSE)</f>
        <v>-11885</v>
      </c>
      <c r="AL99" s="2">
        <f>VLOOKUP($A99,'[2]App C Share Inflows'!$A$4:$I$917,8,FALSE)</f>
        <v>-7835</v>
      </c>
      <c r="AM99" s="2">
        <f>VLOOKUP($A99,'[2]App C Share Inflows'!$A$4:$I$917,6,FALSE)</f>
        <v>-11884</v>
      </c>
    </row>
    <row r="100" spans="1:39">
      <c r="A100" s="351">
        <v>90917</v>
      </c>
      <c r="B100" s="344" t="s">
        <v>794</v>
      </c>
      <c r="C100" s="235" t="e">
        <f>VLOOKUP(A100,#REF!,10,FALSE)</f>
        <v>#REF!</v>
      </c>
      <c r="E100" s="2">
        <f>VLOOKUP($A100,'[2]App C Total'!$A$4:$I$917,5,FALSE)</f>
        <v>3335</v>
      </c>
      <c r="F100" s="2">
        <f>VLOOKUP($A100,'[2]App C Total'!$A$4:$I$917,6,FALSE)</f>
        <v>229</v>
      </c>
      <c r="G100" s="2">
        <f>VLOOKUP($A100,'[2]App C Total'!$A$4:$I$917,7,FALSE)</f>
        <v>1281</v>
      </c>
      <c r="H100" s="2">
        <f>VLOOKUP($A100,'[2]App C Total'!$A$4:$I$917,8,FALSE)</f>
        <v>94</v>
      </c>
      <c r="I100" s="2">
        <f>VLOOKUP($A100,'[2]App C Total'!$A$4:$I$917,9,FALSE)</f>
        <v>0</v>
      </c>
      <c r="J100" s="2"/>
      <c r="K100" s="2">
        <f>VLOOKUP($A100,'[2]App C Exp'!$A$4:$I$917,5,FALSE)</f>
        <v>1213</v>
      </c>
      <c r="L100" s="2">
        <f>VLOOKUP($A100,'[2]App C Exp'!$A$4:$I$917,6,FALSE)</f>
        <v>1141</v>
      </c>
      <c r="M100" s="2">
        <f>VLOOKUP($A100,'[2]App C Exp'!$A$4:$I$917,7,FALSE)</f>
        <v>1023</v>
      </c>
      <c r="N100" s="2">
        <f>VLOOKUP($A100,'[2]App C Exp'!$A$4:$I$917,8,FALSE)</f>
        <v>410</v>
      </c>
      <c r="O100" s="2">
        <f>VLOOKUP($A100,'[2]App C Exp'!$A$4:$I$917,9,FALSE)</f>
        <v>0</v>
      </c>
      <c r="P100" s="2"/>
      <c r="Q100" s="2">
        <f>VLOOKUP($A100,'[2]App C Inv'!$A$4:$I$917,5,FALSE)</f>
        <v>1288</v>
      </c>
      <c r="R100" s="2">
        <f>VLOOKUP($A100,'[2]App C Inv'!$A$4:$I$917,6,FALSE)</f>
        <v>-1108</v>
      </c>
      <c r="S100" s="2">
        <f>VLOOKUP($A100,'[2]App C Inv'!$A$4:$I$917,7,FALSE)</f>
        <v>156</v>
      </c>
      <c r="T100" s="2">
        <f>VLOOKUP($A100,'[2]App C Inv'!$A$4:$I$917,8,FALSE)</f>
        <v>203</v>
      </c>
      <c r="U100" s="2">
        <f>VLOOKUP($A100,'[2]App C Inv'!$A$4:$I$917,9,FALSE)</f>
        <v>0</v>
      </c>
      <c r="V100" s="2"/>
      <c r="W100" s="2">
        <f>VLOOKUP($A100,'[2]App C Assum'!$A$4:$I$917,5,FALSE)</f>
        <v>1451</v>
      </c>
      <c r="X100" s="2">
        <f>VLOOKUP($A100,'[2]App C Assum'!$A$4:$I$917,6,FALSE)</f>
        <v>1189</v>
      </c>
      <c r="Y100" s="2">
        <f>VLOOKUP($A100,'[2]App C Assum'!$A$4:$I$917,7,FALSE)</f>
        <v>965</v>
      </c>
      <c r="Z100" s="2">
        <f>VLOOKUP($A100,'[2]App C Assum'!$A$4:$I$917,8,FALSE)</f>
        <v>0</v>
      </c>
      <c r="AA100" s="2">
        <f>VLOOKUP($A100,'[2]App C Assum'!$A$4:$I$917,9,FALSE)</f>
        <v>0</v>
      </c>
      <c r="AB100" s="2"/>
      <c r="AC100" s="2">
        <f>VLOOKUP($A100,'[2]App C Share Outflows'!$A$4:$I$917,5,FALSE)</f>
        <v>377</v>
      </c>
      <c r="AD100" s="2">
        <f>VLOOKUP($A100,'[2]App C Share Outflows'!$A$4:$I$917,6,FALSE)</f>
        <v>0</v>
      </c>
      <c r="AE100" s="2">
        <f>VLOOKUP($A100,'[2]App C Share Outflows'!$A$4:$I$917,7,FALSE)</f>
        <v>0</v>
      </c>
      <c r="AF100" s="2">
        <f>VLOOKUP($A100,'[2]App C Share Outflows'!$A$4:$I$917,8,FALSE)</f>
        <v>0</v>
      </c>
      <c r="AG100" s="2">
        <f>VLOOKUP($A100,'[2]App C Share Outflows'!$A$4:$I$917,9,FALSE)</f>
        <v>0</v>
      </c>
      <c r="AH100" s="2"/>
      <c r="AI100" s="2">
        <f>VLOOKUP($A100,'[2]App C Share Inflows'!$A$4:$I$917,5,FALSE)</f>
        <v>-994</v>
      </c>
      <c r="AJ100" s="2">
        <f>VLOOKUP($A100,'[2]App C Share Inflows'!$A$4:$I$917,6,FALSE)</f>
        <v>-993</v>
      </c>
      <c r="AK100" s="2">
        <f>VLOOKUP($A100,'[2]App C Share Inflows'!$A$4:$I$917,7,FALSE)</f>
        <v>-863</v>
      </c>
      <c r="AL100" s="2">
        <f>VLOOKUP($A100,'[2]App C Share Inflows'!$A$4:$I$917,8,FALSE)</f>
        <v>-519</v>
      </c>
      <c r="AM100" s="2">
        <f>VLOOKUP($A100,'[2]App C Share Inflows'!$A$4:$I$917,6,FALSE)</f>
        <v>-993</v>
      </c>
    </row>
    <row r="101" spans="1:39">
      <c r="A101" s="351">
        <v>90918</v>
      </c>
      <c r="B101" s="344" t="s">
        <v>3645</v>
      </c>
      <c r="C101" s="235" t="e">
        <f>VLOOKUP(A101,#REF!,10,FALSE)</f>
        <v>#REF!</v>
      </c>
      <c r="E101" s="2">
        <f>VLOOKUP($A101,'[2]App C Total'!$A$4:$I$917,5,FALSE)</f>
        <v>4271</v>
      </c>
      <c r="F101" s="2">
        <f>VLOOKUP($A101,'[2]App C Total'!$A$4:$I$917,6,FALSE)</f>
        <v>976</v>
      </c>
      <c r="G101" s="2">
        <f>VLOOKUP($A101,'[2]App C Total'!$A$4:$I$917,7,FALSE)</f>
        <v>2403</v>
      </c>
      <c r="H101" s="2">
        <f>VLOOKUP($A101,'[2]App C Total'!$A$4:$I$917,8,FALSE)</f>
        <v>606</v>
      </c>
      <c r="I101" s="2">
        <f>VLOOKUP($A101,'[2]App C Total'!$A$4:$I$917,9,FALSE)</f>
        <v>0</v>
      </c>
      <c r="J101" s="2"/>
      <c r="K101" s="2">
        <f>VLOOKUP($A101,'[2]App C Exp'!$A$4:$I$917,5,FALSE)</f>
        <v>1588</v>
      </c>
      <c r="L101" s="2">
        <f>VLOOKUP($A101,'[2]App C Exp'!$A$4:$I$917,6,FALSE)</f>
        <v>1494</v>
      </c>
      <c r="M101" s="2">
        <f>VLOOKUP($A101,'[2]App C Exp'!$A$4:$I$917,7,FALSE)</f>
        <v>1339</v>
      </c>
      <c r="N101" s="2">
        <f>VLOOKUP($A101,'[2]App C Exp'!$A$4:$I$917,8,FALSE)</f>
        <v>536</v>
      </c>
      <c r="O101" s="2">
        <f>VLOOKUP($A101,'[2]App C Exp'!$A$4:$I$917,9,FALSE)</f>
        <v>0</v>
      </c>
      <c r="P101" s="2"/>
      <c r="Q101" s="2">
        <f>VLOOKUP($A101,'[2]App C Inv'!$A$4:$I$917,5,FALSE)</f>
        <v>1686</v>
      </c>
      <c r="R101" s="2">
        <f>VLOOKUP($A101,'[2]App C Inv'!$A$4:$I$917,6,FALSE)</f>
        <v>-1450</v>
      </c>
      <c r="S101" s="2">
        <f>VLOOKUP($A101,'[2]App C Inv'!$A$4:$I$917,7,FALSE)</f>
        <v>204</v>
      </c>
      <c r="T101" s="2">
        <f>VLOOKUP($A101,'[2]App C Inv'!$A$4:$I$917,8,FALSE)</f>
        <v>266</v>
      </c>
      <c r="U101" s="2">
        <f>VLOOKUP($A101,'[2]App C Inv'!$A$4:$I$917,9,FALSE)</f>
        <v>0</v>
      </c>
      <c r="V101" s="2"/>
      <c r="W101" s="2">
        <f>VLOOKUP($A101,'[2]App C Assum'!$A$4:$I$917,5,FALSE)</f>
        <v>1899</v>
      </c>
      <c r="X101" s="2">
        <f>VLOOKUP($A101,'[2]App C Assum'!$A$4:$I$917,6,FALSE)</f>
        <v>1556</v>
      </c>
      <c r="Y101" s="2">
        <f>VLOOKUP($A101,'[2]App C Assum'!$A$4:$I$917,7,FALSE)</f>
        <v>1263</v>
      </c>
      <c r="Z101" s="2">
        <f>VLOOKUP($A101,'[2]App C Assum'!$A$4:$I$917,8,FALSE)</f>
        <v>0</v>
      </c>
      <c r="AA101" s="2">
        <f>VLOOKUP($A101,'[2]App C Assum'!$A$4:$I$917,9,FALSE)</f>
        <v>0</v>
      </c>
      <c r="AB101" s="2"/>
      <c r="AC101" s="2">
        <f>VLOOKUP($A101,'[2]App C Share Outflows'!$A$4:$I$917,5,FALSE)</f>
        <v>0</v>
      </c>
      <c r="AD101" s="2">
        <f>VLOOKUP($A101,'[2]App C Share Outflows'!$A$4:$I$917,6,FALSE)</f>
        <v>0</v>
      </c>
      <c r="AE101" s="2">
        <f>VLOOKUP($A101,'[2]App C Share Outflows'!$A$4:$I$917,7,FALSE)</f>
        <v>0</v>
      </c>
      <c r="AF101" s="2">
        <f>VLOOKUP($A101,'[2]App C Share Outflows'!$A$4:$I$917,8,FALSE)</f>
        <v>0</v>
      </c>
      <c r="AG101" s="2">
        <f>VLOOKUP($A101,'[2]App C Share Outflows'!$A$4:$I$917,9,FALSE)</f>
        <v>0</v>
      </c>
      <c r="AH101" s="2"/>
      <c r="AI101" s="2">
        <f>VLOOKUP($A101,'[2]App C Share Inflows'!$A$4:$I$917,5,FALSE)</f>
        <v>-902</v>
      </c>
      <c r="AJ101" s="2">
        <f>VLOOKUP($A101,'[2]App C Share Inflows'!$A$4:$I$917,6,FALSE)</f>
        <v>-624</v>
      </c>
      <c r="AK101" s="2">
        <f>VLOOKUP($A101,'[2]App C Share Inflows'!$A$4:$I$917,7,FALSE)</f>
        <v>-403</v>
      </c>
      <c r="AL101" s="2">
        <f>VLOOKUP($A101,'[2]App C Share Inflows'!$A$4:$I$917,8,FALSE)</f>
        <v>-196</v>
      </c>
      <c r="AM101" s="2">
        <f>VLOOKUP($A101,'[2]App C Share Inflows'!$A$4:$I$917,6,FALSE)</f>
        <v>-624</v>
      </c>
    </row>
    <row r="102" spans="1:39">
      <c r="A102" s="351">
        <v>90921</v>
      </c>
      <c r="B102" s="344" t="s">
        <v>796</v>
      </c>
      <c r="C102" s="235" t="e">
        <f>VLOOKUP(A102,#REF!,10,FALSE)</f>
        <v>#REF!</v>
      </c>
      <c r="E102" s="2">
        <f>VLOOKUP($A102,'[2]App C Total'!$A$4:$I$917,5,FALSE)</f>
        <v>64041</v>
      </c>
      <c r="F102" s="2">
        <f>VLOOKUP($A102,'[2]App C Total'!$A$4:$I$917,6,FALSE)</f>
        <v>24746</v>
      </c>
      <c r="G102" s="2">
        <f>VLOOKUP($A102,'[2]App C Total'!$A$4:$I$917,7,FALSE)</f>
        <v>31479</v>
      </c>
      <c r="H102" s="2">
        <f>VLOOKUP($A102,'[2]App C Total'!$A$4:$I$917,8,FALSE)</f>
        <v>8800</v>
      </c>
      <c r="I102" s="2">
        <f>VLOOKUP($A102,'[2]App C Total'!$A$4:$I$917,9,FALSE)</f>
        <v>0</v>
      </c>
      <c r="J102" s="2"/>
      <c r="K102" s="2">
        <f>VLOOKUP($A102,'[2]App C Exp'!$A$4:$I$917,5,FALSE)</f>
        <v>18172</v>
      </c>
      <c r="L102" s="2">
        <f>VLOOKUP($A102,'[2]App C Exp'!$A$4:$I$917,6,FALSE)</f>
        <v>17094</v>
      </c>
      <c r="M102" s="2">
        <f>VLOOKUP($A102,'[2]App C Exp'!$A$4:$I$917,7,FALSE)</f>
        <v>15321</v>
      </c>
      <c r="N102" s="2">
        <f>VLOOKUP($A102,'[2]App C Exp'!$A$4:$I$917,8,FALSE)</f>
        <v>6134</v>
      </c>
      <c r="O102" s="2">
        <f>VLOOKUP($A102,'[2]App C Exp'!$A$4:$I$917,9,FALSE)</f>
        <v>0</v>
      </c>
      <c r="P102" s="2"/>
      <c r="Q102" s="2">
        <f>VLOOKUP($A102,'[2]App C Inv'!$A$4:$I$917,5,FALSE)</f>
        <v>19292</v>
      </c>
      <c r="R102" s="2">
        <f>VLOOKUP($A102,'[2]App C Inv'!$A$4:$I$917,6,FALSE)</f>
        <v>-16594</v>
      </c>
      <c r="S102" s="2">
        <f>VLOOKUP($A102,'[2]App C Inv'!$A$4:$I$917,7,FALSE)</f>
        <v>2339</v>
      </c>
      <c r="T102" s="2">
        <f>VLOOKUP($A102,'[2]App C Inv'!$A$4:$I$917,8,FALSE)</f>
        <v>3044</v>
      </c>
      <c r="U102" s="2">
        <f>VLOOKUP($A102,'[2]App C Inv'!$A$4:$I$917,9,FALSE)</f>
        <v>0</v>
      </c>
      <c r="V102" s="2"/>
      <c r="W102" s="2">
        <f>VLOOKUP($A102,'[2]App C Assum'!$A$4:$I$917,5,FALSE)</f>
        <v>21732</v>
      </c>
      <c r="X102" s="2">
        <f>VLOOKUP($A102,'[2]App C Assum'!$A$4:$I$917,6,FALSE)</f>
        <v>17804</v>
      </c>
      <c r="Y102" s="2">
        <f>VLOOKUP($A102,'[2]App C Assum'!$A$4:$I$917,7,FALSE)</f>
        <v>14454</v>
      </c>
      <c r="Z102" s="2">
        <f>VLOOKUP($A102,'[2]App C Assum'!$A$4:$I$917,8,FALSE)</f>
        <v>0</v>
      </c>
      <c r="AA102" s="2">
        <f>VLOOKUP($A102,'[2]App C Assum'!$A$4:$I$917,9,FALSE)</f>
        <v>0</v>
      </c>
      <c r="AB102" s="2"/>
      <c r="AC102" s="2">
        <f>VLOOKUP($A102,'[2]App C Share Outflows'!$A$4:$I$917,5,FALSE)</f>
        <v>7079</v>
      </c>
      <c r="AD102" s="2">
        <f>VLOOKUP($A102,'[2]App C Share Outflows'!$A$4:$I$917,6,FALSE)</f>
        <v>7078</v>
      </c>
      <c r="AE102" s="2">
        <f>VLOOKUP($A102,'[2]App C Share Outflows'!$A$4:$I$917,7,FALSE)</f>
        <v>0</v>
      </c>
      <c r="AF102" s="2">
        <f>VLOOKUP($A102,'[2]App C Share Outflows'!$A$4:$I$917,8,FALSE)</f>
        <v>0</v>
      </c>
      <c r="AG102" s="2">
        <f>VLOOKUP($A102,'[2]App C Share Outflows'!$A$4:$I$917,9,FALSE)</f>
        <v>0</v>
      </c>
      <c r="AH102" s="2"/>
      <c r="AI102" s="2">
        <f>VLOOKUP($A102,'[2]App C Share Inflows'!$A$4:$I$917,5,FALSE)</f>
        <v>-2234</v>
      </c>
      <c r="AJ102" s="2">
        <f>VLOOKUP($A102,'[2]App C Share Inflows'!$A$4:$I$917,6,FALSE)</f>
        <v>-636</v>
      </c>
      <c r="AK102" s="2">
        <f>VLOOKUP($A102,'[2]App C Share Inflows'!$A$4:$I$917,7,FALSE)</f>
        <v>-635</v>
      </c>
      <c r="AL102" s="2">
        <f>VLOOKUP($A102,'[2]App C Share Inflows'!$A$4:$I$917,8,FALSE)</f>
        <v>-378</v>
      </c>
      <c r="AM102" s="2">
        <f>VLOOKUP($A102,'[2]App C Share Inflows'!$A$4:$I$917,6,FALSE)</f>
        <v>-636</v>
      </c>
    </row>
    <row r="103" spans="1:39">
      <c r="A103" s="351">
        <v>90931</v>
      </c>
      <c r="B103" s="344" t="s">
        <v>797</v>
      </c>
      <c r="C103" s="235" t="e">
        <f>VLOOKUP(A103,#REF!,10,FALSE)</f>
        <v>#REF!</v>
      </c>
      <c r="E103" s="2">
        <f>VLOOKUP($A103,'[2]App C Total'!$A$4:$I$917,5,FALSE)</f>
        <v>12858</v>
      </c>
      <c r="F103" s="2">
        <f>VLOOKUP($A103,'[2]App C Total'!$A$4:$I$917,6,FALSE)</f>
        <v>1672</v>
      </c>
      <c r="G103" s="2">
        <f>VLOOKUP($A103,'[2]App C Total'!$A$4:$I$917,7,FALSE)</f>
        <v>8298</v>
      </c>
      <c r="H103" s="2">
        <f>VLOOKUP($A103,'[2]App C Total'!$A$4:$I$917,8,FALSE)</f>
        <v>2169</v>
      </c>
      <c r="I103" s="2">
        <f>VLOOKUP($A103,'[2]App C Total'!$A$4:$I$917,9,FALSE)</f>
        <v>0</v>
      </c>
      <c r="J103" s="2"/>
      <c r="K103" s="2">
        <f>VLOOKUP($A103,'[2]App C Exp'!$A$4:$I$917,5,FALSE)</f>
        <v>5588</v>
      </c>
      <c r="L103" s="2">
        <f>VLOOKUP($A103,'[2]App C Exp'!$A$4:$I$917,6,FALSE)</f>
        <v>5256</v>
      </c>
      <c r="M103" s="2">
        <f>VLOOKUP($A103,'[2]App C Exp'!$A$4:$I$917,7,FALSE)</f>
        <v>4711</v>
      </c>
      <c r="N103" s="2">
        <f>VLOOKUP($A103,'[2]App C Exp'!$A$4:$I$917,8,FALSE)</f>
        <v>1886</v>
      </c>
      <c r="O103" s="2">
        <f>VLOOKUP($A103,'[2]App C Exp'!$A$4:$I$917,9,FALSE)</f>
        <v>0</v>
      </c>
      <c r="P103" s="2"/>
      <c r="Q103" s="2">
        <f>VLOOKUP($A103,'[2]App C Inv'!$A$4:$I$917,5,FALSE)</f>
        <v>5932</v>
      </c>
      <c r="R103" s="2">
        <f>VLOOKUP($A103,'[2]App C Inv'!$A$4:$I$917,6,FALSE)</f>
        <v>-5103</v>
      </c>
      <c r="S103" s="2">
        <f>VLOOKUP($A103,'[2]App C Inv'!$A$4:$I$917,7,FALSE)</f>
        <v>719</v>
      </c>
      <c r="T103" s="2">
        <f>VLOOKUP($A103,'[2]App C Inv'!$A$4:$I$917,8,FALSE)</f>
        <v>936</v>
      </c>
      <c r="U103" s="2">
        <f>VLOOKUP($A103,'[2]App C Inv'!$A$4:$I$917,9,FALSE)</f>
        <v>0</v>
      </c>
      <c r="V103" s="2"/>
      <c r="W103" s="2">
        <f>VLOOKUP($A103,'[2]App C Assum'!$A$4:$I$917,5,FALSE)</f>
        <v>6683</v>
      </c>
      <c r="X103" s="2">
        <f>VLOOKUP($A103,'[2]App C Assum'!$A$4:$I$917,6,FALSE)</f>
        <v>5475</v>
      </c>
      <c r="Y103" s="2">
        <f>VLOOKUP($A103,'[2]App C Assum'!$A$4:$I$917,7,FALSE)</f>
        <v>4445</v>
      </c>
      <c r="Z103" s="2">
        <f>VLOOKUP($A103,'[2]App C Assum'!$A$4:$I$917,8,FALSE)</f>
        <v>0</v>
      </c>
      <c r="AA103" s="2">
        <f>VLOOKUP($A103,'[2]App C Assum'!$A$4:$I$917,9,FALSE)</f>
        <v>0</v>
      </c>
      <c r="AB103" s="2"/>
      <c r="AC103" s="2">
        <f>VLOOKUP($A103,'[2]App C Share Outflows'!$A$4:$I$917,5,FALSE)</f>
        <v>0</v>
      </c>
      <c r="AD103" s="2">
        <f>VLOOKUP($A103,'[2]App C Share Outflows'!$A$4:$I$917,6,FALSE)</f>
        <v>0</v>
      </c>
      <c r="AE103" s="2">
        <f>VLOOKUP($A103,'[2]App C Share Outflows'!$A$4:$I$917,7,FALSE)</f>
        <v>0</v>
      </c>
      <c r="AF103" s="2">
        <f>VLOOKUP($A103,'[2]App C Share Outflows'!$A$4:$I$917,8,FALSE)</f>
        <v>0</v>
      </c>
      <c r="AG103" s="2">
        <f>VLOOKUP($A103,'[2]App C Share Outflows'!$A$4:$I$917,9,FALSE)</f>
        <v>0</v>
      </c>
      <c r="AH103" s="2"/>
      <c r="AI103" s="2">
        <f>VLOOKUP($A103,'[2]App C Share Inflows'!$A$4:$I$917,5,FALSE)</f>
        <v>-5345</v>
      </c>
      <c r="AJ103" s="2">
        <f>VLOOKUP($A103,'[2]App C Share Inflows'!$A$4:$I$917,6,FALSE)</f>
        <v>-3956</v>
      </c>
      <c r="AK103" s="2">
        <f>VLOOKUP($A103,'[2]App C Share Inflows'!$A$4:$I$917,7,FALSE)</f>
        <v>-1577</v>
      </c>
      <c r="AL103" s="2">
        <f>VLOOKUP($A103,'[2]App C Share Inflows'!$A$4:$I$917,8,FALSE)</f>
        <v>-653</v>
      </c>
      <c r="AM103" s="2">
        <f>VLOOKUP($A103,'[2]App C Share Inflows'!$A$4:$I$917,6,FALSE)</f>
        <v>-3956</v>
      </c>
    </row>
    <row r="104" spans="1:39">
      <c r="A104" s="351">
        <v>90941</v>
      </c>
      <c r="B104" s="344" t="s">
        <v>798</v>
      </c>
      <c r="C104" s="235" t="e">
        <f>VLOOKUP(A104,#REF!,10,FALSE)</f>
        <v>#REF!</v>
      </c>
      <c r="E104" s="2">
        <f>VLOOKUP($A104,'[2]App C Total'!$A$4:$I$917,5,FALSE)</f>
        <v>41214</v>
      </c>
      <c r="F104" s="2">
        <f>VLOOKUP($A104,'[2]App C Total'!$A$4:$I$917,6,FALSE)</f>
        <v>11917</v>
      </c>
      <c r="G104" s="2">
        <f>VLOOKUP($A104,'[2]App C Total'!$A$4:$I$917,7,FALSE)</f>
        <v>24440</v>
      </c>
      <c r="H104" s="2">
        <f>VLOOKUP($A104,'[2]App C Total'!$A$4:$I$917,8,FALSE)</f>
        <v>6414</v>
      </c>
      <c r="I104" s="2">
        <f>VLOOKUP($A104,'[2]App C Total'!$A$4:$I$917,9,FALSE)</f>
        <v>0</v>
      </c>
      <c r="J104" s="2"/>
      <c r="K104" s="2">
        <f>VLOOKUP($A104,'[2]App C Exp'!$A$4:$I$917,5,FALSE)</f>
        <v>12794</v>
      </c>
      <c r="L104" s="2">
        <f>VLOOKUP($A104,'[2]App C Exp'!$A$4:$I$917,6,FALSE)</f>
        <v>12035</v>
      </c>
      <c r="M104" s="2">
        <f>VLOOKUP($A104,'[2]App C Exp'!$A$4:$I$917,7,FALSE)</f>
        <v>10786</v>
      </c>
      <c r="N104" s="2">
        <f>VLOOKUP($A104,'[2]App C Exp'!$A$4:$I$917,8,FALSE)</f>
        <v>4319</v>
      </c>
      <c r="O104" s="2">
        <f>VLOOKUP($A104,'[2]App C Exp'!$A$4:$I$917,9,FALSE)</f>
        <v>0</v>
      </c>
      <c r="P104" s="2"/>
      <c r="Q104" s="2">
        <f>VLOOKUP($A104,'[2]App C Inv'!$A$4:$I$917,5,FALSE)</f>
        <v>13582</v>
      </c>
      <c r="R104" s="2">
        <f>VLOOKUP($A104,'[2]App C Inv'!$A$4:$I$917,6,FALSE)</f>
        <v>-11683</v>
      </c>
      <c r="S104" s="2">
        <f>VLOOKUP($A104,'[2]App C Inv'!$A$4:$I$917,7,FALSE)</f>
        <v>1647</v>
      </c>
      <c r="T104" s="2">
        <f>VLOOKUP($A104,'[2]App C Inv'!$A$4:$I$917,8,FALSE)</f>
        <v>2143</v>
      </c>
      <c r="U104" s="2">
        <f>VLOOKUP($A104,'[2]App C Inv'!$A$4:$I$917,9,FALSE)</f>
        <v>0</v>
      </c>
      <c r="V104" s="2"/>
      <c r="W104" s="2">
        <f>VLOOKUP($A104,'[2]App C Assum'!$A$4:$I$917,5,FALSE)</f>
        <v>15300</v>
      </c>
      <c r="X104" s="2">
        <f>VLOOKUP($A104,'[2]App C Assum'!$A$4:$I$917,6,FALSE)</f>
        <v>12535</v>
      </c>
      <c r="Y104" s="2">
        <f>VLOOKUP($A104,'[2]App C Assum'!$A$4:$I$917,7,FALSE)</f>
        <v>10176</v>
      </c>
      <c r="Z104" s="2">
        <f>VLOOKUP($A104,'[2]App C Assum'!$A$4:$I$917,8,FALSE)</f>
        <v>0</v>
      </c>
      <c r="AA104" s="2">
        <f>VLOOKUP($A104,'[2]App C Assum'!$A$4:$I$917,9,FALSE)</f>
        <v>0</v>
      </c>
      <c r="AB104" s="2"/>
      <c r="AC104" s="2">
        <f>VLOOKUP($A104,'[2]App C Share Outflows'!$A$4:$I$917,5,FALSE)</f>
        <v>2385</v>
      </c>
      <c r="AD104" s="2">
        <f>VLOOKUP($A104,'[2]App C Share Outflows'!$A$4:$I$917,6,FALSE)</f>
        <v>1877</v>
      </c>
      <c r="AE104" s="2">
        <f>VLOOKUP($A104,'[2]App C Share Outflows'!$A$4:$I$917,7,FALSE)</f>
        <v>1878</v>
      </c>
      <c r="AF104" s="2">
        <f>VLOOKUP($A104,'[2]App C Share Outflows'!$A$4:$I$917,8,FALSE)</f>
        <v>0</v>
      </c>
      <c r="AG104" s="2">
        <f>VLOOKUP($A104,'[2]App C Share Outflows'!$A$4:$I$917,9,FALSE)</f>
        <v>0</v>
      </c>
      <c r="AH104" s="2"/>
      <c r="AI104" s="2">
        <f>VLOOKUP($A104,'[2]App C Share Inflows'!$A$4:$I$917,5,FALSE)</f>
        <v>-2847</v>
      </c>
      <c r="AJ104" s="2">
        <f>VLOOKUP($A104,'[2]App C Share Inflows'!$A$4:$I$917,6,FALSE)</f>
        <v>-2847</v>
      </c>
      <c r="AK104" s="2">
        <f>VLOOKUP($A104,'[2]App C Share Inflows'!$A$4:$I$917,7,FALSE)</f>
        <v>-47</v>
      </c>
      <c r="AL104" s="2">
        <f>VLOOKUP($A104,'[2]App C Share Inflows'!$A$4:$I$917,8,FALSE)</f>
        <v>-48</v>
      </c>
      <c r="AM104" s="2">
        <f>VLOOKUP($A104,'[2]App C Share Inflows'!$A$4:$I$917,6,FALSE)</f>
        <v>-2847</v>
      </c>
    </row>
    <row r="105" spans="1:39">
      <c r="A105" s="351">
        <v>91001</v>
      </c>
      <c r="B105" s="344" t="s">
        <v>799</v>
      </c>
      <c r="C105" s="235" t="e">
        <f>VLOOKUP(A105,#REF!,10,FALSE)</f>
        <v>#REF!</v>
      </c>
      <c r="E105" s="2">
        <f>VLOOKUP($A105,'[2]App C Total'!$A$4:$I$917,5,FALSE)</f>
        <v>3533203</v>
      </c>
      <c r="F105" s="2">
        <f>VLOOKUP($A105,'[2]App C Total'!$A$4:$I$917,6,FALSE)</f>
        <v>1117483</v>
      </c>
      <c r="G105" s="2">
        <f>VLOOKUP($A105,'[2]App C Total'!$A$4:$I$917,7,FALSE)</f>
        <v>1976501</v>
      </c>
      <c r="H105" s="2">
        <f>VLOOKUP($A105,'[2]App C Total'!$A$4:$I$917,8,FALSE)</f>
        <v>637903</v>
      </c>
      <c r="I105" s="2">
        <f>VLOOKUP($A105,'[2]App C Total'!$A$4:$I$917,9,FALSE)</f>
        <v>0</v>
      </c>
      <c r="J105" s="2"/>
      <c r="K105" s="2">
        <f>VLOOKUP($A105,'[2]App C Exp'!$A$4:$I$917,5,FALSE)</f>
        <v>1090295</v>
      </c>
      <c r="L105" s="2">
        <f>VLOOKUP($A105,'[2]App C Exp'!$A$4:$I$917,6,FALSE)</f>
        <v>1025616</v>
      </c>
      <c r="M105" s="2">
        <f>VLOOKUP($A105,'[2]App C Exp'!$A$4:$I$917,7,FALSE)</f>
        <v>919248</v>
      </c>
      <c r="N105" s="2">
        <f>VLOOKUP($A105,'[2]App C Exp'!$A$4:$I$917,8,FALSE)</f>
        <v>368056</v>
      </c>
      <c r="O105" s="2">
        <f>VLOOKUP($A105,'[2]App C Exp'!$A$4:$I$917,9,FALSE)</f>
        <v>0</v>
      </c>
      <c r="P105" s="2"/>
      <c r="Q105" s="2">
        <f>VLOOKUP($A105,'[2]App C Inv'!$A$4:$I$917,5,FALSE)</f>
        <v>1157500</v>
      </c>
      <c r="R105" s="2">
        <f>VLOOKUP($A105,'[2]App C Inv'!$A$4:$I$917,6,FALSE)</f>
        <v>-995667</v>
      </c>
      <c r="S105" s="2">
        <f>VLOOKUP($A105,'[2]App C Inv'!$A$4:$I$917,7,FALSE)</f>
        <v>140327</v>
      </c>
      <c r="T105" s="2">
        <f>VLOOKUP($A105,'[2]App C Inv'!$A$4:$I$917,8,FALSE)</f>
        <v>182634</v>
      </c>
      <c r="U105" s="2">
        <f>VLOOKUP($A105,'[2]App C Inv'!$A$4:$I$917,9,FALSE)</f>
        <v>0</v>
      </c>
      <c r="V105" s="2"/>
      <c r="W105" s="2">
        <f>VLOOKUP($A105,'[2]App C Assum'!$A$4:$I$917,5,FALSE)</f>
        <v>1303941</v>
      </c>
      <c r="X105" s="2">
        <f>VLOOKUP($A105,'[2]App C Assum'!$A$4:$I$917,6,FALSE)</f>
        <v>1068236</v>
      </c>
      <c r="Y105" s="2">
        <f>VLOOKUP($A105,'[2]App C Assum'!$A$4:$I$917,7,FALSE)</f>
        <v>867225</v>
      </c>
      <c r="Z105" s="2">
        <f>VLOOKUP($A105,'[2]App C Assum'!$A$4:$I$917,8,FALSE)</f>
        <v>0</v>
      </c>
      <c r="AA105" s="2">
        <f>VLOOKUP($A105,'[2]App C Assum'!$A$4:$I$917,9,FALSE)</f>
        <v>0</v>
      </c>
      <c r="AB105" s="2"/>
      <c r="AC105" s="2">
        <f>VLOOKUP($A105,'[2]App C Share Outflows'!$A$4:$I$917,5,FALSE)</f>
        <v>87212</v>
      </c>
      <c r="AD105" s="2">
        <f>VLOOKUP($A105,'[2]App C Share Outflows'!$A$4:$I$917,6,FALSE)</f>
        <v>87212</v>
      </c>
      <c r="AE105" s="2">
        <f>VLOOKUP($A105,'[2]App C Share Outflows'!$A$4:$I$917,7,FALSE)</f>
        <v>87212</v>
      </c>
      <c r="AF105" s="2">
        <f>VLOOKUP($A105,'[2]App C Share Outflows'!$A$4:$I$917,8,FALSE)</f>
        <v>87213</v>
      </c>
      <c r="AG105" s="2">
        <f>VLOOKUP($A105,'[2]App C Share Outflows'!$A$4:$I$917,9,FALSE)</f>
        <v>0</v>
      </c>
      <c r="AH105" s="2"/>
      <c r="AI105" s="2">
        <f>VLOOKUP($A105,'[2]App C Share Inflows'!$A$4:$I$917,5,FALSE)</f>
        <v>-105745</v>
      </c>
      <c r="AJ105" s="2">
        <f>VLOOKUP($A105,'[2]App C Share Inflows'!$A$4:$I$917,6,FALSE)</f>
        <v>-67914</v>
      </c>
      <c r="AK105" s="2">
        <f>VLOOKUP($A105,'[2]App C Share Inflows'!$A$4:$I$917,7,FALSE)</f>
        <v>-37511</v>
      </c>
      <c r="AL105" s="2">
        <f>VLOOKUP($A105,'[2]App C Share Inflows'!$A$4:$I$917,8,FALSE)</f>
        <v>0</v>
      </c>
      <c r="AM105" s="2">
        <f>VLOOKUP($A105,'[2]App C Share Inflows'!$A$4:$I$917,6,FALSE)</f>
        <v>-67914</v>
      </c>
    </row>
    <row r="106" spans="1:39">
      <c r="A106" s="351">
        <v>91002</v>
      </c>
      <c r="B106" s="344" t="s">
        <v>800</v>
      </c>
      <c r="C106" s="235" t="e">
        <f>VLOOKUP(A106,#REF!,10,FALSE)</f>
        <v>#REF!</v>
      </c>
      <c r="E106" s="2">
        <f>VLOOKUP($A106,'[2]App C Total'!$A$4:$I$917,5,FALSE)</f>
        <v>712128</v>
      </c>
      <c r="F106" s="2">
        <f>VLOOKUP($A106,'[2]App C Total'!$A$4:$I$917,6,FALSE)</f>
        <v>284969</v>
      </c>
      <c r="G106" s="2">
        <f>VLOOKUP($A106,'[2]App C Total'!$A$4:$I$917,7,FALSE)</f>
        <v>423091</v>
      </c>
      <c r="H106" s="2">
        <f>VLOOKUP($A106,'[2]App C Total'!$A$4:$I$917,8,FALSE)</f>
        <v>143739</v>
      </c>
      <c r="I106" s="2">
        <f>VLOOKUP($A106,'[2]App C Total'!$A$4:$I$917,9,FALSE)</f>
        <v>0</v>
      </c>
      <c r="J106" s="2"/>
      <c r="K106" s="2">
        <f>VLOOKUP($A106,'[2]App C Exp'!$A$4:$I$917,5,FALSE)</f>
        <v>193835</v>
      </c>
      <c r="L106" s="2">
        <f>VLOOKUP($A106,'[2]App C Exp'!$A$4:$I$917,6,FALSE)</f>
        <v>182336</v>
      </c>
      <c r="M106" s="2">
        <f>VLOOKUP($A106,'[2]App C Exp'!$A$4:$I$917,7,FALSE)</f>
        <v>163426</v>
      </c>
      <c r="N106" s="2">
        <f>VLOOKUP($A106,'[2]App C Exp'!$A$4:$I$917,8,FALSE)</f>
        <v>65434</v>
      </c>
      <c r="O106" s="2">
        <f>VLOOKUP($A106,'[2]App C Exp'!$A$4:$I$917,9,FALSE)</f>
        <v>0</v>
      </c>
      <c r="P106" s="2"/>
      <c r="Q106" s="2">
        <f>VLOOKUP($A106,'[2]App C Inv'!$A$4:$I$917,5,FALSE)</f>
        <v>205783</v>
      </c>
      <c r="R106" s="2">
        <f>VLOOKUP($A106,'[2]App C Inv'!$A$4:$I$917,6,FALSE)</f>
        <v>-177012</v>
      </c>
      <c r="S106" s="2">
        <f>VLOOKUP($A106,'[2]App C Inv'!$A$4:$I$917,7,FALSE)</f>
        <v>24948</v>
      </c>
      <c r="T106" s="2">
        <f>VLOOKUP($A106,'[2]App C Inv'!$A$4:$I$917,8,FALSE)</f>
        <v>32469</v>
      </c>
      <c r="U106" s="2">
        <f>VLOOKUP($A106,'[2]App C Inv'!$A$4:$I$917,9,FALSE)</f>
        <v>0</v>
      </c>
      <c r="V106" s="2"/>
      <c r="W106" s="2">
        <f>VLOOKUP($A106,'[2]App C Assum'!$A$4:$I$917,5,FALSE)</f>
        <v>231818</v>
      </c>
      <c r="X106" s="2">
        <f>VLOOKUP($A106,'[2]App C Assum'!$A$4:$I$917,6,FALSE)</f>
        <v>189913</v>
      </c>
      <c r="Y106" s="2">
        <f>VLOOKUP($A106,'[2]App C Assum'!$A$4:$I$917,7,FALSE)</f>
        <v>154177</v>
      </c>
      <c r="Z106" s="2">
        <f>VLOOKUP($A106,'[2]App C Assum'!$A$4:$I$917,8,FALSE)</f>
        <v>0</v>
      </c>
      <c r="AA106" s="2">
        <f>VLOOKUP($A106,'[2]App C Assum'!$A$4:$I$917,9,FALSE)</f>
        <v>0</v>
      </c>
      <c r="AB106" s="2"/>
      <c r="AC106" s="2">
        <f>VLOOKUP($A106,'[2]App C Share Outflows'!$A$4:$I$917,5,FALSE)</f>
        <v>89732</v>
      </c>
      <c r="AD106" s="2">
        <f>VLOOKUP($A106,'[2]App C Share Outflows'!$A$4:$I$917,6,FALSE)</f>
        <v>89732</v>
      </c>
      <c r="AE106" s="2">
        <f>VLOOKUP($A106,'[2]App C Share Outflows'!$A$4:$I$917,7,FALSE)</f>
        <v>80540</v>
      </c>
      <c r="AF106" s="2">
        <f>VLOOKUP($A106,'[2]App C Share Outflows'!$A$4:$I$917,8,FALSE)</f>
        <v>45836</v>
      </c>
      <c r="AG106" s="2">
        <f>VLOOKUP($A106,'[2]App C Share Outflows'!$A$4:$I$917,9,FALSE)</f>
        <v>0</v>
      </c>
      <c r="AH106" s="2"/>
      <c r="AI106" s="2">
        <f>VLOOKUP($A106,'[2]App C Share Inflows'!$A$4:$I$917,5,FALSE)</f>
        <v>-9040</v>
      </c>
      <c r="AJ106" s="2">
        <f>VLOOKUP($A106,'[2]App C Share Inflows'!$A$4:$I$917,6,FALSE)</f>
        <v>0</v>
      </c>
      <c r="AK106" s="2">
        <f>VLOOKUP($A106,'[2]App C Share Inflows'!$A$4:$I$917,7,FALSE)</f>
        <v>0</v>
      </c>
      <c r="AL106" s="2">
        <f>VLOOKUP($A106,'[2]App C Share Inflows'!$A$4:$I$917,8,FALSE)</f>
        <v>0</v>
      </c>
      <c r="AM106" s="2">
        <f>VLOOKUP($A106,'[2]App C Share Inflows'!$A$4:$I$917,6,FALSE)</f>
        <v>0</v>
      </c>
    </row>
    <row r="107" spans="1:39">
      <c r="A107" s="351">
        <v>91003</v>
      </c>
      <c r="B107" s="344" t="s">
        <v>3646</v>
      </c>
      <c r="C107" s="235" t="e">
        <f>VLOOKUP(A107,#REF!,10,FALSE)</f>
        <v>#REF!</v>
      </c>
      <c r="E107" s="2">
        <f>VLOOKUP($A107,'[2]App C Total'!$A$4:$I$917,5,FALSE)</f>
        <v>291810</v>
      </c>
      <c r="F107" s="2">
        <f>VLOOKUP($A107,'[2]App C Total'!$A$4:$I$917,6,FALSE)</f>
        <v>99563</v>
      </c>
      <c r="G107" s="2">
        <f>VLOOKUP($A107,'[2]App C Total'!$A$4:$I$917,7,FALSE)</f>
        <v>165016</v>
      </c>
      <c r="H107" s="2">
        <f>VLOOKUP($A107,'[2]App C Total'!$A$4:$I$917,8,FALSE)</f>
        <v>57310</v>
      </c>
      <c r="I107" s="2">
        <f>VLOOKUP($A107,'[2]App C Total'!$A$4:$I$917,9,FALSE)</f>
        <v>0</v>
      </c>
      <c r="J107" s="2"/>
      <c r="K107" s="2">
        <f>VLOOKUP($A107,'[2]App C Exp'!$A$4:$I$917,5,FALSE)</f>
        <v>89240</v>
      </c>
      <c r="L107" s="2">
        <f>VLOOKUP($A107,'[2]App C Exp'!$A$4:$I$917,6,FALSE)</f>
        <v>83946</v>
      </c>
      <c r="M107" s="2">
        <f>VLOOKUP($A107,'[2]App C Exp'!$A$4:$I$917,7,FALSE)</f>
        <v>75240</v>
      </c>
      <c r="N107" s="2">
        <f>VLOOKUP($A107,'[2]App C Exp'!$A$4:$I$917,8,FALSE)</f>
        <v>30125</v>
      </c>
      <c r="O107" s="2">
        <f>VLOOKUP($A107,'[2]App C Exp'!$A$4:$I$917,9,FALSE)</f>
        <v>0</v>
      </c>
      <c r="P107" s="2"/>
      <c r="Q107" s="2">
        <f>VLOOKUP($A107,'[2]App C Inv'!$A$4:$I$917,5,FALSE)</f>
        <v>94741</v>
      </c>
      <c r="R107" s="2">
        <f>VLOOKUP($A107,'[2]App C Inv'!$A$4:$I$917,6,FALSE)</f>
        <v>-81495</v>
      </c>
      <c r="S107" s="2">
        <f>VLOOKUP($A107,'[2]App C Inv'!$A$4:$I$917,7,FALSE)</f>
        <v>11486</v>
      </c>
      <c r="T107" s="2">
        <f>VLOOKUP($A107,'[2]App C Inv'!$A$4:$I$917,8,FALSE)</f>
        <v>14948</v>
      </c>
      <c r="U107" s="2">
        <f>VLOOKUP($A107,'[2]App C Inv'!$A$4:$I$917,9,FALSE)</f>
        <v>0</v>
      </c>
      <c r="V107" s="2"/>
      <c r="W107" s="2">
        <f>VLOOKUP($A107,'[2]App C Assum'!$A$4:$I$917,5,FALSE)</f>
        <v>106727</v>
      </c>
      <c r="X107" s="2">
        <f>VLOOKUP($A107,'[2]App C Assum'!$A$4:$I$917,6,FALSE)</f>
        <v>87434</v>
      </c>
      <c r="Y107" s="2">
        <f>VLOOKUP($A107,'[2]App C Assum'!$A$4:$I$917,7,FALSE)</f>
        <v>70982</v>
      </c>
      <c r="Z107" s="2">
        <f>VLOOKUP($A107,'[2]App C Assum'!$A$4:$I$917,8,FALSE)</f>
        <v>0</v>
      </c>
      <c r="AA107" s="2">
        <f>VLOOKUP($A107,'[2]App C Assum'!$A$4:$I$917,9,FALSE)</f>
        <v>0</v>
      </c>
      <c r="AB107" s="2"/>
      <c r="AC107" s="2">
        <f>VLOOKUP($A107,'[2]App C Share Outflows'!$A$4:$I$917,5,FALSE)</f>
        <v>14609</v>
      </c>
      <c r="AD107" s="2">
        <f>VLOOKUP($A107,'[2]App C Share Outflows'!$A$4:$I$917,6,FALSE)</f>
        <v>14607</v>
      </c>
      <c r="AE107" s="2">
        <f>VLOOKUP($A107,'[2]App C Share Outflows'!$A$4:$I$917,7,FALSE)</f>
        <v>12235</v>
      </c>
      <c r="AF107" s="2">
        <f>VLOOKUP($A107,'[2]App C Share Outflows'!$A$4:$I$917,8,FALSE)</f>
        <v>12237</v>
      </c>
      <c r="AG107" s="2">
        <f>VLOOKUP($A107,'[2]App C Share Outflows'!$A$4:$I$917,9,FALSE)</f>
        <v>0</v>
      </c>
      <c r="AH107" s="2"/>
      <c r="AI107" s="2">
        <f>VLOOKUP($A107,'[2]App C Share Inflows'!$A$4:$I$917,5,FALSE)</f>
        <v>-13507</v>
      </c>
      <c r="AJ107" s="2">
        <f>VLOOKUP($A107,'[2]App C Share Inflows'!$A$4:$I$917,6,FALSE)</f>
        <v>-4929</v>
      </c>
      <c r="AK107" s="2">
        <f>VLOOKUP($A107,'[2]App C Share Inflows'!$A$4:$I$917,7,FALSE)</f>
        <v>-4927</v>
      </c>
      <c r="AL107" s="2">
        <f>VLOOKUP($A107,'[2]App C Share Inflows'!$A$4:$I$917,8,FALSE)</f>
        <v>0</v>
      </c>
      <c r="AM107" s="2">
        <f>VLOOKUP($A107,'[2]App C Share Inflows'!$A$4:$I$917,6,FALSE)</f>
        <v>-4929</v>
      </c>
    </row>
    <row r="108" spans="1:39">
      <c r="A108" s="351">
        <v>91004</v>
      </c>
      <c r="B108" s="344" t="s">
        <v>802</v>
      </c>
      <c r="C108" s="235" t="e">
        <f>VLOOKUP(A108,#REF!,10,FALSE)</f>
        <v>#REF!</v>
      </c>
      <c r="E108" s="2">
        <f>VLOOKUP($A108,'[2]App C Total'!$A$4:$I$917,5,FALSE)</f>
        <v>19289</v>
      </c>
      <c r="F108" s="2">
        <f>VLOOKUP($A108,'[2]App C Total'!$A$4:$I$917,6,FALSE)</f>
        <v>7745</v>
      </c>
      <c r="G108" s="2">
        <f>VLOOKUP($A108,'[2]App C Total'!$A$4:$I$917,7,FALSE)</f>
        <v>9800</v>
      </c>
      <c r="H108" s="2">
        <f>VLOOKUP($A108,'[2]App C Total'!$A$4:$I$917,8,FALSE)</f>
        <v>1678</v>
      </c>
      <c r="I108" s="2">
        <f>VLOOKUP($A108,'[2]App C Total'!$A$4:$I$917,9,FALSE)</f>
        <v>0</v>
      </c>
      <c r="J108" s="2"/>
      <c r="K108" s="2">
        <f>VLOOKUP($A108,'[2]App C Exp'!$A$4:$I$917,5,FALSE)</f>
        <v>4989</v>
      </c>
      <c r="L108" s="2">
        <f>VLOOKUP($A108,'[2]App C Exp'!$A$4:$I$917,6,FALSE)</f>
        <v>4693</v>
      </c>
      <c r="M108" s="2">
        <f>VLOOKUP($A108,'[2]App C Exp'!$A$4:$I$917,7,FALSE)</f>
        <v>4206</v>
      </c>
      <c r="N108" s="2">
        <f>VLOOKUP($A108,'[2]App C Exp'!$A$4:$I$917,8,FALSE)</f>
        <v>1684</v>
      </c>
      <c r="O108" s="2">
        <f>VLOOKUP($A108,'[2]App C Exp'!$A$4:$I$917,9,FALSE)</f>
        <v>0</v>
      </c>
      <c r="P108" s="2"/>
      <c r="Q108" s="2">
        <f>VLOOKUP($A108,'[2]App C Inv'!$A$4:$I$917,5,FALSE)</f>
        <v>5296</v>
      </c>
      <c r="R108" s="2">
        <f>VLOOKUP($A108,'[2]App C Inv'!$A$4:$I$917,6,FALSE)</f>
        <v>-4556</v>
      </c>
      <c r="S108" s="2">
        <f>VLOOKUP($A108,'[2]App C Inv'!$A$4:$I$917,7,FALSE)</f>
        <v>642</v>
      </c>
      <c r="T108" s="2">
        <f>VLOOKUP($A108,'[2]App C Inv'!$A$4:$I$917,8,FALSE)</f>
        <v>836</v>
      </c>
      <c r="U108" s="2">
        <f>VLOOKUP($A108,'[2]App C Inv'!$A$4:$I$917,9,FALSE)</f>
        <v>0</v>
      </c>
      <c r="V108" s="2"/>
      <c r="W108" s="2">
        <f>VLOOKUP($A108,'[2]App C Assum'!$A$4:$I$917,5,FALSE)</f>
        <v>5966</v>
      </c>
      <c r="X108" s="2">
        <f>VLOOKUP($A108,'[2]App C Assum'!$A$4:$I$917,6,FALSE)</f>
        <v>4888</v>
      </c>
      <c r="Y108" s="2">
        <f>VLOOKUP($A108,'[2]App C Assum'!$A$4:$I$917,7,FALSE)</f>
        <v>3968</v>
      </c>
      <c r="Z108" s="2">
        <f>VLOOKUP($A108,'[2]App C Assum'!$A$4:$I$917,8,FALSE)</f>
        <v>0</v>
      </c>
      <c r="AA108" s="2">
        <f>VLOOKUP($A108,'[2]App C Assum'!$A$4:$I$917,9,FALSE)</f>
        <v>0</v>
      </c>
      <c r="AB108" s="2"/>
      <c r="AC108" s="2">
        <f>VLOOKUP($A108,'[2]App C Share Outflows'!$A$4:$I$917,5,FALSE)</f>
        <v>3880</v>
      </c>
      <c r="AD108" s="2">
        <f>VLOOKUP($A108,'[2]App C Share Outflows'!$A$4:$I$917,6,FALSE)</f>
        <v>3562</v>
      </c>
      <c r="AE108" s="2">
        <f>VLOOKUP($A108,'[2]App C Share Outflows'!$A$4:$I$917,7,FALSE)</f>
        <v>1826</v>
      </c>
      <c r="AF108" s="2">
        <f>VLOOKUP($A108,'[2]App C Share Outflows'!$A$4:$I$917,8,FALSE)</f>
        <v>0</v>
      </c>
      <c r="AG108" s="2">
        <f>VLOOKUP($A108,'[2]App C Share Outflows'!$A$4:$I$917,9,FALSE)</f>
        <v>0</v>
      </c>
      <c r="AH108" s="2"/>
      <c r="AI108" s="2">
        <f>VLOOKUP($A108,'[2]App C Share Inflows'!$A$4:$I$917,5,FALSE)</f>
        <v>-842</v>
      </c>
      <c r="AJ108" s="2">
        <f>VLOOKUP($A108,'[2]App C Share Inflows'!$A$4:$I$917,6,FALSE)</f>
        <v>-842</v>
      </c>
      <c r="AK108" s="2">
        <f>VLOOKUP($A108,'[2]App C Share Inflows'!$A$4:$I$917,7,FALSE)</f>
        <v>-842</v>
      </c>
      <c r="AL108" s="2">
        <f>VLOOKUP($A108,'[2]App C Share Inflows'!$A$4:$I$917,8,FALSE)</f>
        <v>-842</v>
      </c>
      <c r="AM108" s="2">
        <f>VLOOKUP($A108,'[2]App C Share Inflows'!$A$4:$I$917,6,FALSE)</f>
        <v>-842</v>
      </c>
    </row>
    <row r="109" spans="1:39">
      <c r="A109" s="351">
        <v>91006</v>
      </c>
      <c r="B109" s="344" t="s">
        <v>3647</v>
      </c>
      <c r="C109" s="235" t="e">
        <f>VLOOKUP(A109,#REF!,10,FALSE)</f>
        <v>#REF!</v>
      </c>
      <c r="E109" s="2">
        <f>VLOOKUP($A109,'[2]App C Total'!$A$4:$I$917,5,FALSE)</f>
        <v>490711</v>
      </c>
      <c r="F109" s="2">
        <f>VLOOKUP($A109,'[2]App C Total'!$A$4:$I$917,6,FALSE)</f>
        <v>141968</v>
      </c>
      <c r="G109" s="2">
        <f>VLOOKUP($A109,'[2]App C Total'!$A$4:$I$917,7,FALSE)</f>
        <v>263085</v>
      </c>
      <c r="H109" s="2">
        <f>VLOOKUP($A109,'[2]App C Total'!$A$4:$I$917,8,FALSE)</f>
        <v>68187</v>
      </c>
      <c r="I109" s="2">
        <f>VLOOKUP($A109,'[2]App C Total'!$A$4:$I$917,9,FALSE)</f>
        <v>0</v>
      </c>
      <c r="J109" s="2"/>
      <c r="K109" s="2">
        <f>VLOOKUP($A109,'[2]App C Exp'!$A$4:$I$917,5,FALSE)</f>
        <v>157133</v>
      </c>
      <c r="L109" s="2">
        <f>VLOOKUP($A109,'[2]App C Exp'!$A$4:$I$917,6,FALSE)</f>
        <v>147811</v>
      </c>
      <c r="M109" s="2">
        <f>VLOOKUP($A109,'[2]App C Exp'!$A$4:$I$917,7,FALSE)</f>
        <v>132481</v>
      </c>
      <c r="N109" s="2">
        <f>VLOOKUP($A109,'[2]App C Exp'!$A$4:$I$917,8,FALSE)</f>
        <v>53044</v>
      </c>
      <c r="O109" s="2">
        <f>VLOOKUP($A109,'[2]App C Exp'!$A$4:$I$917,9,FALSE)</f>
        <v>0</v>
      </c>
      <c r="P109" s="2"/>
      <c r="Q109" s="2">
        <f>VLOOKUP($A109,'[2]App C Inv'!$A$4:$I$917,5,FALSE)</f>
        <v>166818</v>
      </c>
      <c r="R109" s="2">
        <f>VLOOKUP($A109,'[2]App C Inv'!$A$4:$I$917,6,FALSE)</f>
        <v>-143495</v>
      </c>
      <c r="S109" s="2">
        <f>VLOOKUP($A109,'[2]App C Inv'!$A$4:$I$917,7,FALSE)</f>
        <v>20224</v>
      </c>
      <c r="T109" s="2">
        <f>VLOOKUP($A109,'[2]App C Inv'!$A$4:$I$917,8,FALSE)</f>
        <v>26321</v>
      </c>
      <c r="U109" s="2">
        <f>VLOOKUP($A109,'[2]App C Inv'!$A$4:$I$917,9,FALSE)</f>
        <v>0</v>
      </c>
      <c r="V109" s="2"/>
      <c r="W109" s="2">
        <f>VLOOKUP($A109,'[2]App C Assum'!$A$4:$I$917,5,FALSE)</f>
        <v>187923</v>
      </c>
      <c r="X109" s="2">
        <f>VLOOKUP($A109,'[2]App C Assum'!$A$4:$I$917,6,FALSE)</f>
        <v>153953</v>
      </c>
      <c r="Y109" s="2">
        <f>VLOOKUP($A109,'[2]App C Assum'!$A$4:$I$917,7,FALSE)</f>
        <v>124984</v>
      </c>
      <c r="Z109" s="2">
        <f>VLOOKUP($A109,'[2]App C Assum'!$A$4:$I$917,8,FALSE)</f>
        <v>0</v>
      </c>
      <c r="AA109" s="2">
        <f>VLOOKUP($A109,'[2]App C Assum'!$A$4:$I$917,9,FALSE)</f>
        <v>0</v>
      </c>
      <c r="AB109" s="2"/>
      <c r="AC109" s="2">
        <f>VLOOKUP($A109,'[2]App C Share Outflows'!$A$4:$I$917,5,FALSE)</f>
        <v>0</v>
      </c>
      <c r="AD109" s="2">
        <f>VLOOKUP($A109,'[2]App C Share Outflows'!$A$4:$I$917,6,FALSE)</f>
        <v>0</v>
      </c>
      <c r="AE109" s="2">
        <f>VLOOKUP($A109,'[2]App C Share Outflows'!$A$4:$I$917,7,FALSE)</f>
        <v>0</v>
      </c>
      <c r="AF109" s="2">
        <f>VLOOKUP($A109,'[2]App C Share Outflows'!$A$4:$I$917,8,FALSE)</f>
        <v>0</v>
      </c>
      <c r="AG109" s="2">
        <f>VLOOKUP($A109,'[2]App C Share Outflows'!$A$4:$I$917,9,FALSE)</f>
        <v>0</v>
      </c>
      <c r="AH109" s="2"/>
      <c r="AI109" s="2">
        <f>VLOOKUP($A109,'[2]App C Share Inflows'!$A$4:$I$917,5,FALSE)</f>
        <v>-21163</v>
      </c>
      <c r="AJ109" s="2">
        <f>VLOOKUP($A109,'[2]App C Share Inflows'!$A$4:$I$917,6,FALSE)</f>
        <v>-16301</v>
      </c>
      <c r="AK109" s="2">
        <f>VLOOKUP($A109,'[2]App C Share Inflows'!$A$4:$I$917,7,FALSE)</f>
        <v>-14604</v>
      </c>
      <c r="AL109" s="2">
        <f>VLOOKUP($A109,'[2]App C Share Inflows'!$A$4:$I$917,8,FALSE)</f>
        <v>-11178</v>
      </c>
      <c r="AM109" s="2">
        <f>VLOOKUP($A109,'[2]App C Share Inflows'!$A$4:$I$917,6,FALSE)</f>
        <v>-16301</v>
      </c>
    </row>
    <row r="110" spans="1:39">
      <c r="A110" s="351">
        <v>91007</v>
      </c>
      <c r="B110" s="344" t="s">
        <v>804</v>
      </c>
      <c r="C110" s="235" t="e">
        <f>VLOOKUP(A110,#REF!,10,FALSE)</f>
        <v>#REF!</v>
      </c>
      <c r="E110" s="2">
        <f>VLOOKUP($A110,'[2]App C Total'!$A$4:$I$917,5,FALSE)</f>
        <v>7636</v>
      </c>
      <c r="F110" s="2">
        <f>VLOOKUP($A110,'[2]App C Total'!$A$4:$I$917,6,FALSE)</f>
        <v>2735</v>
      </c>
      <c r="G110" s="2">
        <f>VLOOKUP($A110,'[2]App C Total'!$A$4:$I$917,7,FALSE)</f>
        <v>3450</v>
      </c>
      <c r="H110" s="2">
        <f>VLOOKUP($A110,'[2]App C Total'!$A$4:$I$917,8,FALSE)</f>
        <v>1370</v>
      </c>
      <c r="I110" s="2">
        <f>VLOOKUP($A110,'[2]App C Total'!$A$4:$I$917,9,FALSE)</f>
        <v>0</v>
      </c>
      <c r="J110" s="2"/>
      <c r="K110" s="2">
        <f>VLOOKUP($A110,'[2]App C Exp'!$A$4:$I$917,5,FALSE)</f>
        <v>1633</v>
      </c>
      <c r="L110" s="2">
        <f>VLOOKUP($A110,'[2]App C Exp'!$A$4:$I$917,6,FALSE)</f>
        <v>1536</v>
      </c>
      <c r="M110" s="2">
        <f>VLOOKUP($A110,'[2]App C Exp'!$A$4:$I$917,7,FALSE)</f>
        <v>1377</v>
      </c>
      <c r="N110" s="2">
        <f>VLOOKUP($A110,'[2]App C Exp'!$A$4:$I$917,8,FALSE)</f>
        <v>551</v>
      </c>
      <c r="O110" s="2">
        <f>VLOOKUP($A110,'[2]App C Exp'!$A$4:$I$917,9,FALSE)</f>
        <v>0</v>
      </c>
      <c r="P110" s="2"/>
      <c r="Q110" s="2">
        <f>VLOOKUP($A110,'[2]App C Inv'!$A$4:$I$917,5,FALSE)</f>
        <v>1734</v>
      </c>
      <c r="R110" s="2">
        <f>VLOOKUP($A110,'[2]App C Inv'!$A$4:$I$917,6,FALSE)</f>
        <v>-1491</v>
      </c>
      <c r="S110" s="2">
        <f>VLOOKUP($A110,'[2]App C Inv'!$A$4:$I$917,7,FALSE)</f>
        <v>210</v>
      </c>
      <c r="T110" s="2">
        <f>VLOOKUP($A110,'[2]App C Inv'!$A$4:$I$917,8,FALSE)</f>
        <v>274</v>
      </c>
      <c r="U110" s="2">
        <f>VLOOKUP($A110,'[2]App C Inv'!$A$4:$I$917,9,FALSE)</f>
        <v>0</v>
      </c>
      <c r="V110" s="2"/>
      <c r="W110" s="2">
        <f>VLOOKUP($A110,'[2]App C Assum'!$A$4:$I$917,5,FALSE)</f>
        <v>1953</v>
      </c>
      <c r="X110" s="2">
        <f>VLOOKUP($A110,'[2]App C Assum'!$A$4:$I$917,6,FALSE)</f>
        <v>1600</v>
      </c>
      <c r="Y110" s="2">
        <f>VLOOKUP($A110,'[2]App C Assum'!$A$4:$I$917,7,FALSE)</f>
        <v>1299</v>
      </c>
      <c r="Z110" s="2">
        <f>VLOOKUP($A110,'[2]App C Assum'!$A$4:$I$917,8,FALSE)</f>
        <v>0</v>
      </c>
      <c r="AA110" s="2">
        <f>VLOOKUP($A110,'[2]App C Assum'!$A$4:$I$917,9,FALSE)</f>
        <v>0</v>
      </c>
      <c r="AB110" s="2"/>
      <c r="AC110" s="2">
        <f>VLOOKUP($A110,'[2]App C Share Outflows'!$A$4:$I$917,5,FALSE)</f>
        <v>2316</v>
      </c>
      <c r="AD110" s="2">
        <f>VLOOKUP($A110,'[2]App C Share Outflows'!$A$4:$I$917,6,FALSE)</f>
        <v>1090</v>
      </c>
      <c r="AE110" s="2">
        <f>VLOOKUP($A110,'[2]App C Share Outflows'!$A$4:$I$917,7,FALSE)</f>
        <v>564</v>
      </c>
      <c r="AF110" s="2">
        <f>VLOOKUP($A110,'[2]App C Share Outflows'!$A$4:$I$917,8,FALSE)</f>
        <v>545</v>
      </c>
      <c r="AG110" s="2">
        <f>VLOOKUP($A110,'[2]App C Share Outflows'!$A$4:$I$917,9,FALSE)</f>
        <v>0</v>
      </c>
      <c r="AH110" s="2"/>
      <c r="AI110" s="2">
        <f>VLOOKUP($A110,'[2]App C Share Inflows'!$A$4:$I$917,5,FALSE)</f>
        <v>0</v>
      </c>
      <c r="AJ110" s="2">
        <f>VLOOKUP($A110,'[2]App C Share Inflows'!$A$4:$I$917,6,FALSE)</f>
        <v>0</v>
      </c>
      <c r="AK110" s="2">
        <f>VLOOKUP($A110,'[2]App C Share Inflows'!$A$4:$I$917,7,FALSE)</f>
        <v>0</v>
      </c>
      <c r="AL110" s="2">
        <f>VLOOKUP($A110,'[2]App C Share Inflows'!$A$4:$I$917,8,FALSE)</f>
        <v>0</v>
      </c>
      <c r="AM110" s="2">
        <f>VLOOKUP($A110,'[2]App C Share Inflows'!$A$4:$I$917,6,FALSE)</f>
        <v>0</v>
      </c>
    </row>
    <row r="111" spans="1:39">
      <c r="A111" s="351">
        <v>91008</v>
      </c>
      <c r="B111" s="344" t="s">
        <v>805</v>
      </c>
      <c r="C111" s="235" t="e">
        <f>VLOOKUP(A111,#REF!,10,FALSE)</f>
        <v>#REF!</v>
      </c>
      <c r="E111" s="2">
        <f>VLOOKUP($A111,'[2]App C Total'!$A$4:$I$917,5,FALSE)</f>
        <v>84153</v>
      </c>
      <c r="F111" s="2">
        <f>VLOOKUP($A111,'[2]App C Total'!$A$4:$I$917,6,FALSE)</f>
        <v>31047</v>
      </c>
      <c r="G111" s="2">
        <f>VLOOKUP($A111,'[2]App C Total'!$A$4:$I$917,7,FALSE)</f>
        <v>46001</v>
      </c>
      <c r="H111" s="2">
        <f>VLOOKUP($A111,'[2]App C Total'!$A$4:$I$917,8,FALSE)</f>
        <v>13957</v>
      </c>
      <c r="I111" s="2">
        <f>VLOOKUP($A111,'[2]App C Total'!$A$4:$I$917,9,FALSE)</f>
        <v>0</v>
      </c>
      <c r="J111" s="2"/>
      <c r="K111" s="2">
        <f>VLOOKUP($A111,'[2]App C Exp'!$A$4:$I$917,5,FALSE)</f>
        <v>22082</v>
      </c>
      <c r="L111" s="2">
        <f>VLOOKUP($A111,'[2]App C Exp'!$A$4:$I$917,6,FALSE)</f>
        <v>20772</v>
      </c>
      <c r="M111" s="2">
        <f>VLOOKUP($A111,'[2]App C Exp'!$A$4:$I$917,7,FALSE)</f>
        <v>18617</v>
      </c>
      <c r="N111" s="2">
        <f>VLOOKUP($A111,'[2]App C Exp'!$A$4:$I$917,8,FALSE)</f>
        <v>7454</v>
      </c>
      <c r="O111" s="2">
        <f>VLOOKUP($A111,'[2]App C Exp'!$A$4:$I$917,9,FALSE)</f>
        <v>0</v>
      </c>
      <c r="P111" s="2"/>
      <c r="Q111" s="2">
        <f>VLOOKUP($A111,'[2]App C Inv'!$A$4:$I$917,5,FALSE)</f>
        <v>23443</v>
      </c>
      <c r="R111" s="2">
        <f>VLOOKUP($A111,'[2]App C Inv'!$A$4:$I$917,6,FALSE)</f>
        <v>-20165</v>
      </c>
      <c r="S111" s="2">
        <f>VLOOKUP($A111,'[2]App C Inv'!$A$4:$I$917,7,FALSE)</f>
        <v>2842</v>
      </c>
      <c r="T111" s="2">
        <f>VLOOKUP($A111,'[2]App C Inv'!$A$4:$I$917,8,FALSE)</f>
        <v>3699</v>
      </c>
      <c r="U111" s="2">
        <f>VLOOKUP($A111,'[2]App C Inv'!$A$4:$I$917,9,FALSE)</f>
        <v>0</v>
      </c>
      <c r="V111" s="2"/>
      <c r="W111" s="2">
        <f>VLOOKUP($A111,'[2]App C Assum'!$A$4:$I$917,5,FALSE)</f>
        <v>26408</v>
      </c>
      <c r="X111" s="2">
        <f>VLOOKUP($A111,'[2]App C Assum'!$A$4:$I$917,6,FALSE)</f>
        <v>21635</v>
      </c>
      <c r="Y111" s="2">
        <f>VLOOKUP($A111,'[2]App C Assum'!$A$4:$I$917,7,FALSE)</f>
        <v>17564</v>
      </c>
      <c r="Z111" s="2">
        <f>VLOOKUP($A111,'[2]App C Assum'!$A$4:$I$917,8,FALSE)</f>
        <v>0</v>
      </c>
      <c r="AA111" s="2">
        <f>VLOOKUP($A111,'[2]App C Assum'!$A$4:$I$917,9,FALSE)</f>
        <v>0</v>
      </c>
      <c r="AB111" s="2"/>
      <c r="AC111" s="2">
        <f>VLOOKUP($A111,'[2]App C Share Outflows'!$A$4:$I$917,5,FALSE)</f>
        <v>12220</v>
      </c>
      <c r="AD111" s="2">
        <f>VLOOKUP($A111,'[2]App C Share Outflows'!$A$4:$I$917,6,FALSE)</f>
        <v>8805</v>
      </c>
      <c r="AE111" s="2">
        <f>VLOOKUP($A111,'[2]App C Share Outflows'!$A$4:$I$917,7,FALSE)</f>
        <v>6978</v>
      </c>
      <c r="AF111" s="2">
        <f>VLOOKUP($A111,'[2]App C Share Outflows'!$A$4:$I$917,8,FALSE)</f>
        <v>2804</v>
      </c>
      <c r="AG111" s="2">
        <f>VLOOKUP($A111,'[2]App C Share Outflows'!$A$4:$I$917,9,FALSE)</f>
        <v>0</v>
      </c>
      <c r="AH111" s="2"/>
      <c r="AI111" s="2">
        <f>VLOOKUP($A111,'[2]App C Share Inflows'!$A$4:$I$917,5,FALSE)</f>
        <v>0</v>
      </c>
      <c r="AJ111" s="2">
        <f>VLOOKUP($A111,'[2]App C Share Inflows'!$A$4:$I$917,6,FALSE)</f>
        <v>0</v>
      </c>
      <c r="AK111" s="2">
        <f>VLOOKUP($A111,'[2]App C Share Inflows'!$A$4:$I$917,7,FALSE)</f>
        <v>0</v>
      </c>
      <c r="AL111" s="2">
        <f>VLOOKUP($A111,'[2]App C Share Inflows'!$A$4:$I$917,8,FALSE)</f>
        <v>0</v>
      </c>
      <c r="AM111" s="2">
        <f>VLOOKUP($A111,'[2]App C Share Inflows'!$A$4:$I$917,6,FALSE)</f>
        <v>0</v>
      </c>
    </row>
    <row r="112" spans="1:39">
      <c r="A112" s="351">
        <v>91009</v>
      </c>
      <c r="B112" s="344" t="s">
        <v>806</v>
      </c>
      <c r="C112" s="235" t="e">
        <f>VLOOKUP(A112,#REF!,10,FALSE)</f>
        <v>#REF!</v>
      </c>
      <c r="E112" s="2">
        <f>VLOOKUP($A112,'[2]App C Total'!$A$4:$I$917,5,FALSE)</f>
        <v>5757</v>
      </c>
      <c r="F112" s="2">
        <f>VLOOKUP($A112,'[2]App C Total'!$A$4:$I$917,6,FALSE)</f>
        <v>2039</v>
      </c>
      <c r="G112" s="2">
        <f>VLOOKUP($A112,'[2]App C Total'!$A$4:$I$917,7,FALSE)</f>
        <v>2511</v>
      </c>
      <c r="H112" s="2">
        <f>VLOOKUP($A112,'[2]App C Total'!$A$4:$I$917,8,FALSE)</f>
        <v>466</v>
      </c>
      <c r="I112" s="2">
        <f>VLOOKUP($A112,'[2]App C Total'!$A$4:$I$917,9,FALSE)</f>
        <v>0</v>
      </c>
      <c r="J112" s="2"/>
      <c r="K112" s="2">
        <f>VLOOKUP($A112,'[2]App C Exp'!$A$4:$I$917,5,FALSE)</f>
        <v>1243</v>
      </c>
      <c r="L112" s="2">
        <f>VLOOKUP($A112,'[2]App C Exp'!$A$4:$I$917,6,FALSE)</f>
        <v>1170</v>
      </c>
      <c r="M112" s="2">
        <f>VLOOKUP($A112,'[2]App C Exp'!$A$4:$I$917,7,FALSE)</f>
        <v>1048</v>
      </c>
      <c r="N112" s="2">
        <f>VLOOKUP($A112,'[2]App C Exp'!$A$4:$I$917,8,FALSE)</f>
        <v>420</v>
      </c>
      <c r="O112" s="2">
        <f>VLOOKUP($A112,'[2]App C Exp'!$A$4:$I$917,9,FALSE)</f>
        <v>0</v>
      </c>
      <c r="P112" s="2"/>
      <c r="Q112" s="2">
        <f>VLOOKUP($A112,'[2]App C Inv'!$A$4:$I$917,5,FALSE)</f>
        <v>1320</v>
      </c>
      <c r="R112" s="2">
        <f>VLOOKUP($A112,'[2]App C Inv'!$A$4:$I$917,6,FALSE)</f>
        <v>-1135</v>
      </c>
      <c r="S112" s="2">
        <f>VLOOKUP($A112,'[2]App C Inv'!$A$4:$I$917,7,FALSE)</f>
        <v>160</v>
      </c>
      <c r="T112" s="2">
        <f>VLOOKUP($A112,'[2]App C Inv'!$A$4:$I$917,8,FALSE)</f>
        <v>208</v>
      </c>
      <c r="U112" s="2">
        <f>VLOOKUP($A112,'[2]App C Inv'!$A$4:$I$917,9,FALSE)</f>
        <v>0</v>
      </c>
      <c r="V112" s="2"/>
      <c r="W112" s="2">
        <f>VLOOKUP($A112,'[2]App C Assum'!$A$4:$I$917,5,FALSE)</f>
        <v>1487</v>
      </c>
      <c r="X112" s="2">
        <f>VLOOKUP($A112,'[2]App C Assum'!$A$4:$I$917,6,FALSE)</f>
        <v>1218</v>
      </c>
      <c r="Y112" s="2">
        <f>VLOOKUP($A112,'[2]App C Assum'!$A$4:$I$917,7,FALSE)</f>
        <v>989</v>
      </c>
      <c r="Z112" s="2">
        <f>VLOOKUP($A112,'[2]App C Assum'!$A$4:$I$917,8,FALSE)</f>
        <v>0</v>
      </c>
      <c r="AA112" s="2">
        <f>VLOOKUP($A112,'[2]App C Assum'!$A$4:$I$917,9,FALSE)</f>
        <v>0</v>
      </c>
      <c r="AB112" s="2"/>
      <c r="AC112" s="2">
        <f>VLOOKUP($A112,'[2]App C Share Outflows'!$A$4:$I$917,5,FALSE)</f>
        <v>1867</v>
      </c>
      <c r="AD112" s="2">
        <f>VLOOKUP($A112,'[2]App C Share Outflows'!$A$4:$I$917,6,FALSE)</f>
        <v>946</v>
      </c>
      <c r="AE112" s="2">
        <f>VLOOKUP($A112,'[2]App C Share Outflows'!$A$4:$I$917,7,FALSE)</f>
        <v>474</v>
      </c>
      <c r="AF112" s="2">
        <f>VLOOKUP($A112,'[2]App C Share Outflows'!$A$4:$I$917,8,FALSE)</f>
        <v>0</v>
      </c>
      <c r="AG112" s="2">
        <f>VLOOKUP($A112,'[2]App C Share Outflows'!$A$4:$I$917,9,FALSE)</f>
        <v>0</v>
      </c>
      <c r="AH112" s="2"/>
      <c r="AI112" s="2">
        <f>VLOOKUP($A112,'[2]App C Share Inflows'!$A$4:$I$917,5,FALSE)</f>
        <v>-160</v>
      </c>
      <c r="AJ112" s="2">
        <f>VLOOKUP($A112,'[2]App C Share Inflows'!$A$4:$I$917,6,FALSE)</f>
        <v>-160</v>
      </c>
      <c r="AK112" s="2">
        <f>VLOOKUP($A112,'[2]App C Share Inflows'!$A$4:$I$917,7,FALSE)</f>
        <v>-160</v>
      </c>
      <c r="AL112" s="2">
        <f>VLOOKUP($A112,'[2]App C Share Inflows'!$A$4:$I$917,8,FALSE)</f>
        <v>-162</v>
      </c>
      <c r="AM112" s="2">
        <f>VLOOKUP($A112,'[2]App C Share Inflows'!$A$4:$I$917,6,FALSE)</f>
        <v>-160</v>
      </c>
    </row>
    <row r="113" spans="1:39">
      <c r="A113" s="351">
        <v>91010</v>
      </c>
      <c r="B113" s="344" t="s">
        <v>807</v>
      </c>
      <c r="C113" s="235" t="e">
        <f>VLOOKUP(A113,#REF!,10,FALSE)</f>
        <v>#REF!</v>
      </c>
      <c r="E113" s="2">
        <f>VLOOKUP($A113,'[2]App C Total'!$A$4:$I$917,5,FALSE)</f>
        <v>22835</v>
      </c>
      <c r="F113" s="2">
        <f>VLOOKUP($A113,'[2]App C Total'!$A$4:$I$917,6,FALSE)</f>
        <v>5731</v>
      </c>
      <c r="G113" s="2">
        <f>VLOOKUP($A113,'[2]App C Total'!$A$4:$I$917,7,FALSE)</f>
        <v>11184</v>
      </c>
      <c r="H113" s="2">
        <f>VLOOKUP($A113,'[2]App C Total'!$A$4:$I$917,8,FALSE)</f>
        <v>3220</v>
      </c>
      <c r="I113" s="2">
        <f>VLOOKUP($A113,'[2]App C Total'!$A$4:$I$917,9,FALSE)</f>
        <v>0</v>
      </c>
      <c r="J113" s="2"/>
      <c r="K113" s="2">
        <f>VLOOKUP($A113,'[2]App C Exp'!$A$4:$I$917,5,FALSE)</f>
        <v>7640</v>
      </c>
      <c r="L113" s="2">
        <f>VLOOKUP($A113,'[2]App C Exp'!$A$4:$I$917,6,FALSE)</f>
        <v>7187</v>
      </c>
      <c r="M113" s="2">
        <f>VLOOKUP($A113,'[2]App C Exp'!$A$4:$I$917,7,FALSE)</f>
        <v>6442</v>
      </c>
      <c r="N113" s="2">
        <f>VLOOKUP($A113,'[2]App C Exp'!$A$4:$I$917,8,FALSE)</f>
        <v>2579</v>
      </c>
      <c r="O113" s="2">
        <f>VLOOKUP($A113,'[2]App C Exp'!$A$4:$I$917,9,FALSE)</f>
        <v>0</v>
      </c>
      <c r="P113" s="2"/>
      <c r="Q113" s="2">
        <f>VLOOKUP($A113,'[2]App C Inv'!$A$4:$I$917,5,FALSE)</f>
        <v>8111</v>
      </c>
      <c r="R113" s="2">
        <f>VLOOKUP($A113,'[2]App C Inv'!$A$4:$I$917,6,FALSE)</f>
        <v>-6977</v>
      </c>
      <c r="S113" s="2">
        <f>VLOOKUP($A113,'[2]App C Inv'!$A$4:$I$917,7,FALSE)</f>
        <v>983</v>
      </c>
      <c r="T113" s="2">
        <f>VLOOKUP($A113,'[2]App C Inv'!$A$4:$I$917,8,FALSE)</f>
        <v>1280</v>
      </c>
      <c r="U113" s="2">
        <f>VLOOKUP($A113,'[2]App C Inv'!$A$4:$I$917,9,FALSE)</f>
        <v>0</v>
      </c>
      <c r="V113" s="2"/>
      <c r="W113" s="2">
        <f>VLOOKUP($A113,'[2]App C Assum'!$A$4:$I$917,5,FALSE)</f>
        <v>9137</v>
      </c>
      <c r="X113" s="2">
        <f>VLOOKUP($A113,'[2]App C Assum'!$A$4:$I$917,6,FALSE)</f>
        <v>7486</v>
      </c>
      <c r="Y113" s="2">
        <f>VLOOKUP($A113,'[2]App C Assum'!$A$4:$I$917,7,FALSE)</f>
        <v>6077</v>
      </c>
      <c r="Z113" s="2">
        <f>VLOOKUP($A113,'[2]App C Assum'!$A$4:$I$917,8,FALSE)</f>
        <v>0</v>
      </c>
      <c r="AA113" s="2">
        <f>VLOOKUP($A113,'[2]App C Assum'!$A$4:$I$917,9,FALSE)</f>
        <v>0</v>
      </c>
      <c r="AB113" s="2"/>
      <c r="AC113" s="2">
        <f>VLOOKUP($A113,'[2]App C Share Outflows'!$A$4:$I$917,5,FALSE)</f>
        <v>352</v>
      </c>
      <c r="AD113" s="2">
        <f>VLOOKUP($A113,'[2]App C Share Outflows'!$A$4:$I$917,6,FALSE)</f>
        <v>352</v>
      </c>
      <c r="AE113" s="2">
        <f>VLOOKUP($A113,'[2]App C Share Outflows'!$A$4:$I$917,7,FALSE)</f>
        <v>0</v>
      </c>
      <c r="AF113" s="2">
        <f>VLOOKUP($A113,'[2]App C Share Outflows'!$A$4:$I$917,8,FALSE)</f>
        <v>0</v>
      </c>
      <c r="AG113" s="2">
        <f>VLOOKUP($A113,'[2]App C Share Outflows'!$A$4:$I$917,9,FALSE)</f>
        <v>0</v>
      </c>
      <c r="AH113" s="2"/>
      <c r="AI113" s="2">
        <f>VLOOKUP($A113,'[2]App C Share Inflows'!$A$4:$I$917,5,FALSE)</f>
        <v>-2405</v>
      </c>
      <c r="AJ113" s="2">
        <f>VLOOKUP($A113,'[2]App C Share Inflows'!$A$4:$I$917,6,FALSE)</f>
        <v>-2317</v>
      </c>
      <c r="AK113" s="2">
        <f>VLOOKUP($A113,'[2]App C Share Inflows'!$A$4:$I$917,7,FALSE)</f>
        <v>-2318</v>
      </c>
      <c r="AL113" s="2">
        <f>VLOOKUP($A113,'[2]App C Share Inflows'!$A$4:$I$917,8,FALSE)</f>
        <v>-639</v>
      </c>
      <c r="AM113" s="2">
        <f>VLOOKUP($A113,'[2]App C Share Inflows'!$A$4:$I$917,6,FALSE)</f>
        <v>-2317</v>
      </c>
    </row>
    <row r="114" spans="1:39">
      <c r="A114" s="351">
        <v>91011</v>
      </c>
      <c r="B114" s="344" t="s">
        <v>808</v>
      </c>
      <c r="C114" s="235" t="e">
        <f>VLOOKUP(A114,#REF!,10,FALSE)</f>
        <v>#REF!</v>
      </c>
      <c r="E114" s="2">
        <f>VLOOKUP($A114,'[2]App C Total'!$A$4:$I$917,5,FALSE)</f>
        <v>157895</v>
      </c>
      <c r="F114" s="2">
        <f>VLOOKUP($A114,'[2]App C Total'!$A$4:$I$917,6,FALSE)</f>
        <v>47392</v>
      </c>
      <c r="G114" s="2">
        <f>VLOOKUP($A114,'[2]App C Total'!$A$4:$I$917,7,FALSE)</f>
        <v>78044</v>
      </c>
      <c r="H114" s="2">
        <f>VLOOKUP($A114,'[2]App C Total'!$A$4:$I$917,8,FALSE)</f>
        <v>17897</v>
      </c>
      <c r="I114" s="2">
        <f>VLOOKUP($A114,'[2]App C Total'!$A$4:$I$917,9,FALSE)</f>
        <v>0</v>
      </c>
      <c r="J114" s="2"/>
      <c r="K114" s="2">
        <f>VLOOKUP($A114,'[2]App C Exp'!$A$4:$I$917,5,FALSE)</f>
        <v>47953</v>
      </c>
      <c r="L114" s="2">
        <f>VLOOKUP($A114,'[2]App C Exp'!$A$4:$I$917,6,FALSE)</f>
        <v>45108</v>
      </c>
      <c r="M114" s="2">
        <f>VLOOKUP($A114,'[2]App C Exp'!$A$4:$I$917,7,FALSE)</f>
        <v>40430</v>
      </c>
      <c r="N114" s="2">
        <f>VLOOKUP($A114,'[2]App C Exp'!$A$4:$I$917,8,FALSE)</f>
        <v>16188</v>
      </c>
      <c r="O114" s="2">
        <f>VLOOKUP($A114,'[2]App C Exp'!$A$4:$I$917,9,FALSE)</f>
        <v>0</v>
      </c>
      <c r="P114" s="2"/>
      <c r="Q114" s="2">
        <f>VLOOKUP($A114,'[2]App C Inv'!$A$4:$I$917,5,FALSE)</f>
        <v>50909</v>
      </c>
      <c r="R114" s="2">
        <f>VLOOKUP($A114,'[2]App C Inv'!$A$4:$I$917,6,FALSE)</f>
        <v>-43791</v>
      </c>
      <c r="S114" s="2">
        <f>VLOOKUP($A114,'[2]App C Inv'!$A$4:$I$917,7,FALSE)</f>
        <v>6172</v>
      </c>
      <c r="T114" s="2">
        <f>VLOOKUP($A114,'[2]App C Inv'!$A$4:$I$917,8,FALSE)</f>
        <v>8033</v>
      </c>
      <c r="U114" s="2">
        <f>VLOOKUP($A114,'[2]App C Inv'!$A$4:$I$917,9,FALSE)</f>
        <v>0</v>
      </c>
      <c r="V114" s="2"/>
      <c r="W114" s="2">
        <f>VLOOKUP($A114,'[2]App C Assum'!$A$4:$I$917,5,FALSE)</f>
        <v>57350</v>
      </c>
      <c r="X114" s="2">
        <f>VLOOKUP($A114,'[2]App C Assum'!$A$4:$I$917,6,FALSE)</f>
        <v>46983</v>
      </c>
      <c r="Y114" s="2">
        <f>VLOOKUP($A114,'[2]App C Assum'!$A$4:$I$917,7,FALSE)</f>
        <v>38142</v>
      </c>
      <c r="Z114" s="2">
        <f>VLOOKUP($A114,'[2]App C Assum'!$A$4:$I$917,8,FALSE)</f>
        <v>0</v>
      </c>
      <c r="AA114" s="2">
        <f>VLOOKUP($A114,'[2]App C Assum'!$A$4:$I$917,9,FALSE)</f>
        <v>0</v>
      </c>
      <c r="AB114" s="2"/>
      <c r="AC114" s="2">
        <f>VLOOKUP($A114,'[2]App C Share Outflows'!$A$4:$I$917,5,FALSE)</f>
        <v>8382</v>
      </c>
      <c r="AD114" s="2">
        <f>VLOOKUP($A114,'[2]App C Share Outflows'!$A$4:$I$917,6,FALSE)</f>
        <v>5791</v>
      </c>
      <c r="AE114" s="2">
        <f>VLOOKUP($A114,'[2]App C Share Outflows'!$A$4:$I$917,7,FALSE)</f>
        <v>0</v>
      </c>
      <c r="AF114" s="2">
        <f>VLOOKUP($A114,'[2]App C Share Outflows'!$A$4:$I$917,8,FALSE)</f>
        <v>0</v>
      </c>
      <c r="AG114" s="2">
        <f>VLOOKUP($A114,'[2]App C Share Outflows'!$A$4:$I$917,9,FALSE)</f>
        <v>0</v>
      </c>
      <c r="AH114" s="2"/>
      <c r="AI114" s="2">
        <f>VLOOKUP($A114,'[2]App C Share Inflows'!$A$4:$I$917,5,FALSE)</f>
        <v>-6699</v>
      </c>
      <c r="AJ114" s="2">
        <f>VLOOKUP($A114,'[2]App C Share Inflows'!$A$4:$I$917,6,FALSE)</f>
        <v>-6699</v>
      </c>
      <c r="AK114" s="2">
        <f>VLOOKUP($A114,'[2]App C Share Inflows'!$A$4:$I$917,7,FALSE)</f>
        <v>-6700</v>
      </c>
      <c r="AL114" s="2">
        <f>VLOOKUP($A114,'[2]App C Share Inflows'!$A$4:$I$917,8,FALSE)</f>
        <v>-6324</v>
      </c>
      <c r="AM114" s="2">
        <f>VLOOKUP($A114,'[2]App C Share Inflows'!$A$4:$I$917,6,FALSE)</f>
        <v>-6699</v>
      </c>
    </row>
    <row r="115" spans="1:39">
      <c r="A115" s="351">
        <v>91012</v>
      </c>
      <c r="B115" s="344" t="s">
        <v>809</v>
      </c>
      <c r="C115" s="235" t="e">
        <f>VLOOKUP(A115,#REF!,10,FALSE)</f>
        <v>#REF!</v>
      </c>
      <c r="E115" s="2">
        <f>VLOOKUP($A115,'[2]App C Total'!$A$4:$I$917,5,FALSE)</f>
        <v>8336</v>
      </c>
      <c r="F115" s="2">
        <f>VLOOKUP($A115,'[2]App C Total'!$A$4:$I$917,6,FALSE)</f>
        <v>2621</v>
      </c>
      <c r="G115" s="2">
        <f>VLOOKUP($A115,'[2]App C Total'!$A$4:$I$917,7,FALSE)</f>
        <v>3595</v>
      </c>
      <c r="H115" s="2">
        <f>VLOOKUP($A115,'[2]App C Total'!$A$4:$I$917,8,FALSE)</f>
        <v>1606</v>
      </c>
      <c r="I115" s="2">
        <f>VLOOKUP($A115,'[2]App C Total'!$A$4:$I$917,9,FALSE)</f>
        <v>0</v>
      </c>
      <c r="J115" s="2"/>
      <c r="K115" s="2">
        <f>VLOOKUP($A115,'[2]App C Exp'!$A$4:$I$917,5,FALSE)</f>
        <v>2187</v>
      </c>
      <c r="L115" s="2">
        <f>VLOOKUP($A115,'[2]App C Exp'!$A$4:$I$917,6,FALSE)</f>
        <v>2057</v>
      </c>
      <c r="M115" s="2">
        <f>VLOOKUP($A115,'[2]App C Exp'!$A$4:$I$917,7,FALSE)</f>
        <v>1844</v>
      </c>
      <c r="N115" s="2">
        <f>VLOOKUP($A115,'[2]App C Exp'!$A$4:$I$917,8,FALSE)</f>
        <v>738</v>
      </c>
      <c r="O115" s="2">
        <f>VLOOKUP($A115,'[2]App C Exp'!$A$4:$I$917,9,FALSE)</f>
        <v>0</v>
      </c>
      <c r="P115" s="2"/>
      <c r="Q115" s="2">
        <f>VLOOKUP($A115,'[2]App C Inv'!$A$4:$I$917,5,FALSE)</f>
        <v>2322</v>
      </c>
      <c r="R115" s="2">
        <f>VLOOKUP($A115,'[2]App C Inv'!$A$4:$I$917,6,FALSE)</f>
        <v>-1997</v>
      </c>
      <c r="S115" s="2">
        <f>VLOOKUP($A115,'[2]App C Inv'!$A$4:$I$917,7,FALSE)</f>
        <v>282</v>
      </c>
      <c r="T115" s="2">
        <f>VLOOKUP($A115,'[2]App C Inv'!$A$4:$I$917,8,FALSE)</f>
        <v>366</v>
      </c>
      <c r="U115" s="2">
        <f>VLOOKUP($A115,'[2]App C Inv'!$A$4:$I$917,9,FALSE)</f>
        <v>0</v>
      </c>
      <c r="V115" s="2"/>
      <c r="W115" s="2">
        <f>VLOOKUP($A115,'[2]App C Assum'!$A$4:$I$917,5,FALSE)</f>
        <v>2616</v>
      </c>
      <c r="X115" s="2">
        <f>VLOOKUP($A115,'[2]App C Assum'!$A$4:$I$917,6,FALSE)</f>
        <v>2143</v>
      </c>
      <c r="Y115" s="2">
        <f>VLOOKUP($A115,'[2]App C Assum'!$A$4:$I$917,7,FALSE)</f>
        <v>1740</v>
      </c>
      <c r="Z115" s="2">
        <f>VLOOKUP($A115,'[2]App C Assum'!$A$4:$I$917,8,FALSE)</f>
        <v>0</v>
      </c>
      <c r="AA115" s="2">
        <f>VLOOKUP($A115,'[2]App C Assum'!$A$4:$I$917,9,FALSE)</f>
        <v>0</v>
      </c>
      <c r="AB115" s="2"/>
      <c r="AC115" s="2">
        <f>VLOOKUP($A115,'[2]App C Share Outflows'!$A$4:$I$917,5,FALSE)</f>
        <v>1987</v>
      </c>
      <c r="AD115" s="2">
        <f>VLOOKUP($A115,'[2]App C Share Outflows'!$A$4:$I$917,6,FALSE)</f>
        <v>1194</v>
      </c>
      <c r="AE115" s="2">
        <f>VLOOKUP($A115,'[2]App C Share Outflows'!$A$4:$I$917,7,FALSE)</f>
        <v>504</v>
      </c>
      <c r="AF115" s="2">
        <f>VLOOKUP($A115,'[2]App C Share Outflows'!$A$4:$I$917,8,FALSE)</f>
        <v>502</v>
      </c>
      <c r="AG115" s="2">
        <f>VLOOKUP($A115,'[2]App C Share Outflows'!$A$4:$I$917,9,FALSE)</f>
        <v>0</v>
      </c>
      <c r="AH115" s="2"/>
      <c r="AI115" s="2">
        <f>VLOOKUP($A115,'[2]App C Share Inflows'!$A$4:$I$917,5,FALSE)</f>
        <v>-776</v>
      </c>
      <c r="AJ115" s="2">
        <f>VLOOKUP($A115,'[2]App C Share Inflows'!$A$4:$I$917,6,FALSE)</f>
        <v>-776</v>
      </c>
      <c r="AK115" s="2">
        <f>VLOOKUP($A115,'[2]App C Share Inflows'!$A$4:$I$917,7,FALSE)</f>
        <v>-775</v>
      </c>
      <c r="AL115" s="2">
        <f>VLOOKUP($A115,'[2]App C Share Inflows'!$A$4:$I$917,8,FALSE)</f>
        <v>0</v>
      </c>
      <c r="AM115" s="2">
        <f>VLOOKUP($A115,'[2]App C Share Inflows'!$A$4:$I$917,6,FALSE)</f>
        <v>-776</v>
      </c>
    </row>
    <row r="116" spans="1:39">
      <c r="A116" s="351">
        <v>91013</v>
      </c>
      <c r="B116" s="344" t="s">
        <v>810</v>
      </c>
      <c r="C116" s="235" t="e">
        <f>VLOOKUP(A116,#REF!,10,FALSE)</f>
        <v>#REF!</v>
      </c>
      <c r="E116" s="2">
        <f>VLOOKUP($A116,'[2]App C Total'!$A$4:$I$917,5,FALSE)</f>
        <v>35849</v>
      </c>
      <c r="F116" s="2">
        <f>VLOOKUP($A116,'[2]App C Total'!$A$4:$I$917,6,FALSE)</f>
        <v>19290</v>
      </c>
      <c r="G116" s="2">
        <f>VLOOKUP($A116,'[2]App C Total'!$A$4:$I$917,7,FALSE)</f>
        <v>19293</v>
      </c>
      <c r="H116" s="2">
        <f>VLOOKUP($A116,'[2]App C Total'!$A$4:$I$917,8,FALSE)</f>
        <v>8450</v>
      </c>
      <c r="I116" s="2">
        <f>VLOOKUP($A116,'[2]App C Total'!$A$4:$I$917,9,FALSE)</f>
        <v>0</v>
      </c>
      <c r="J116" s="2"/>
      <c r="K116" s="2">
        <f>VLOOKUP($A116,'[2]App C Exp'!$A$4:$I$917,5,FALSE)</f>
        <v>5243</v>
      </c>
      <c r="L116" s="2">
        <f>VLOOKUP($A116,'[2]App C Exp'!$A$4:$I$917,6,FALSE)</f>
        <v>4932</v>
      </c>
      <c r="M116" s="2">
        <f>VLOOKUP($A116,'[2]App C Exp'!$A$4:$I$917,7,FALSE)</f>
        <v>4421</v>
      </c>
      <c r="N116" s="2">
        <f>VLOOKUP($A116,'[2]App C Exp'!$A$4:$I$917,8,FALSE)</f>
        <v>1770</v>
      </c>
      <c r="O116" s="2">
        <f>VLOOKUP($A116,'[2]App C Exp'!$A$4:$I$917,9,FALSE)</f>
        <v>0</v>
      </c>
      <c r="P116" s="2"/>
      <c r="Q116" s="2">
        <f>VLOOKUP($A116,'[2]App C Inv'!$A$4:$I$917,5,FALSE)</f>
        <v>5566</v>
      </c>
      <c r="R116" s="2">
        <f>VLOOKUP($A116,'[2]App C Inv'!$A$4:$I$917,6,FALSE)</f>
        <v>-4788</v>
      </c>
      <c r="S116" s="2">
        <f>VLOOKUP($A116,'[2]App C Inv'!$A$4:$I$917,7,FALSE)</f>
        <v>675</v>
      </c>
      <c r="T116" s="2">
        <f>VLOOKUP($A116,'[2]App C Inv'!$A$4:$I$917,8,FALSE)</f>
        <v>878</v>
      </c>
      <c r="U116" s="2">
        <f>VLOOKUP($A116,'[2]App C Inv'!$A$4:$I$917,9,FALSE)</f>
        <v>0</v>
      </c>
      <c r="V116" s="2"/>
      <c r="W116" s="2">
        <f>VLOOKUP($A116,'[2]App C Assum'!$A$4:$I$917,5,FALSE)</f>
        <v>6271</v>
      </c>
      <c r="X116" s="2">
        <f>VLOOKUP($A116,'[2]App C Assum'!$A$4:$I$917,6,FALSE)</f>
        <v>5137</v>
      </c>
      <c r="Y116" s="2">
        <f>VLOOKUP($A116,'[2]App C Assum'!$A$4:$I$917,7,FALSE)</f>
        <v>4170</v>
      </c>
      <c r="Z116" s="2">
        <f>VLOOKUP($A116,'[2]App C Assum'!$A$4:$I$917,8,FALSE)</f>
        <v>0</v>
      </c>
      <c r="AA116" s="2">
        <f>VLOOKUP($A116,'[2]App C Assum'!$A$4:$I$917,9,FALSE)</f>
        <v>0</v>
      </c>
      <c r="AB116" s="2"/>
      <c r="AC116" s="2">
        <f>VLOOKUP($A116,'[2]App C Share Outflows'!$A$4:$I$917,5,FALSE)</f>
        <v>18769</v>
      </c>
      <c r="AD116" s="2">
        <f>VLOOKUP($A116,'[2]App C Share Outflows'!$A$4:$I$917,6,FALSE)</f>
        <v>14009</v>
      </c>
      <c r="AE116" s="2">
        <f>VLOOKUP($A116,'[2]App C Share Outflows'!$A$4:$I$917,7,FALSE)</f>
        <v>10027</v>
      </c>
      <c r="AF116" s="2">
        <f>VLOOKUP($A116,'[2]App C Share Outflows'!$A$4:$I$917,8,FALSE)</f>
        <v>5802</v>
      </c>
      <c r="AG116" s="2">
        <f>VLOOKUP($A116,'[2]App C Share Outflows'!$A$4:$I$917,9,FALSE)</f>
        <v>0</v>
      </c>
      <c r="AH116" s="2"/>
      <c r="AI116" s="2">
        <f>VLOOKUP($A116,'[2]App C Share Inflows'!$A$4:$I$917,5,FALSE)</f>
        <v>0</v>
      </c>
      <c r="AJ116" s="2">
        <f>VLOOKUP($A116,'[2]App C Share Inflows'!$A$4:$I$917,6,FALSE)</f>
        <v>0</v>
      </c>
      <c r="AK116" s="2">
        <f>VLOOKUP($A116,'[2]App C Share Inflows'!$A$4:$I$917,7,FALSE)</f>
        <v>0</v>
      </c>
      <c r="AL116" s="2">
        <f>VLOOKUP($A116,'[2]App C Share Inflows'!$A$4:$I$917,8,FALSE)</f>
        <v>0</v>
      </c>
      <c r="AM116" s="2">
        <f>VLOOKUP($A116,'[2]App C Share Inflows'!$A$4:$I$917,6,FALSE)</f>
        <v>0</v>
      </c>
    </row>
    <row r="117" spans="1:39">
      <c r="A117" s="351">
        <v>91014</v>
      </c>
      <c r="B117" s="344" t="s">
        <v>811</v>
      </c>
      <c r="C117" s="235" t="e">
        <f>VLOOKUP(A117,#REF!,10,FALSE)</f>
        <v>#REF!</v>
      </c>
      <c r="E117" s="2">
        <f>VLOOKUP($A117,'[2]App C Total'!$A$4:$I$917,5,FALSE)</f>
        <v>77502</v>
      </c>
      <c r="F117" s="2">
        <f>VLOOKUP($A117,'[2]App C Total'!$A$4:$I$917,6,FALSE)</f>
        <v>19846</v>
      </c>
      <c r="G117" s="2">
        <f>VLOOKUP($A117,'[2]App C Total'!$A$4:$I$917,7,FALSE)</f>
        <v>39599</v>
      </c>
      <c r="H117" s="2">
        <f>VLOOKUP($A117,'[2]App C Total'!$A$4:$I$917,8,FALSE)</f>
        <v>9888</v>
      </c>
      <c r="I117" s="2">
        <f>VLOOKUP($A117,'[2]App C Total'!$A$4:$I$917,9,FALSE)</f>
        <v>0</v>
      </c>
      <c r="J117" s="2"/>
      <c r="K117" s="2">
        <f>VLOOKUP($A117,'[2]App C Exp'!$A$4:$I$917,5,FALSE)</f>
        <v>26426</v>
      </c>
      <c r="L117" s="2">
        <f>VLOOKUP($A117,'[2]App C Exp'!$A$4:$I$917,6,FALSE)</f>
        <v>24858</v>
      </c>
      <c r="M117" s="2">
        <f>VLOOKUP($A117,'[2]App C Exp'!$A$4:$I$917,7,FALSE)</f>
        <v>22280</v>
      </c>
      <c r="N117" s="2">
        <f>VLOOKUP($A117,'[2]App C Exp'!$A$4:$I$917,8,FALSE)</f>
        <v>8921</v>
      </c>
      <c r="O117" s="2">
        <f>VLOOKUP($A117,'[2]App C Exp'!$A$4:$I$917,9,FALSE)</f>
        <v>0</v>
      </c>
      <c r="P117" s="2"/>
      <c r="Q117" s="2">
        <f>VLOOKUP($A117,'[2]App C Inv'!$A$4:$I$917,5,FALSE)</f>
        <v>28055</v>
      </c>
      <c r="R117" s="2">
        <f>VLOOKUP($A117,'[2]App C Inv'!$A$4:$I$917,6,FALSE)</f>
        <v>-24132</v>
      </c>
      <c r="S117" s="2">
        <f>VLOOKUP($A117,'[2]App C Inv'!$A$4:$I$917,7,FALSE)</f>
        <v>3401</v>
      </c>
      <c r="T117" s="2">
        <f>VLOOKUP($A117,'[2]App C Inv'!$A$4:$I$917,8,FALSE)</f>
        <v>4427</v>
      </c>
      <c r="U117" s="2">
        <f>VLOOKUP($A117,'[2]App C Inv'!$A$4:$I$917,9,FALSE)</f>
        <v>0</v>
      </c>
      <c r="V117" s="2"/>
      <c r="W117" s="2">
        <f>VLOOKUP($A117,'[2]App C Assum'!$A$4:$I$917,5,FALSE)</f>
        <v>31604</v>
      </c>
      <c r="X117" s="2">
        <f>VLOOKUP($A117,'[2]App C Assum'!$A$4:$I$917,6,FALSE)</f>
        <v>25891</v>
      </c>
      <c r="Y117" s="2">
        <f>VLOOKUP($A117,'[2]App C Assum'!$A$4:$I$917,7,FALSE)</f>
        <v>21019</v>
      </c>
      <c r="Z117" s="2">
        <f>VLOOKUP($A117,'[2]App C Assum'!$A$4:$I$917,8,FALSE)</f>
        <v>0</v>
      </c>
      <c r="AA117" s="2">
        <f>VLOOKUP($A117,'[2]App C Assum'!$A$4:$I$917,9,FALSE)</f>
        <v>0</v>
      </c>
      <c r="AB117" s="2"/>
      <c r="AC117" s="2">
        <f>VLOOKUP($A117,'[2]App C Share Outflows'!$A$4:$I$917,5,FALSE)</f>
        <v>328</v>
      </c>
      <c r="AD117" s="2">
        <f>VLOOKUP($A117,'[2]App C Share Outflows'!$A$4:$I$917,6,FALSE)</f>
        <v>330</v>
      </c>
      <c r="AE117" s="2">
        <f>VLOOKUP($A117,'[2]App C Share Outflows'!$A$4:$I$917,7,FALSE)</f>
        <v>0</v>
      </c>
      <c r="AF117" s="2">
        <f>VLOOKUP($A117,'[2]App C Share Outflows'!$A$4:$I$917,8,FALSE)</f>
        <v>0</v>
      </c>
      <c r="AG117" s="2">
        <f>VLOOKUP($A117,'[2]App C Share Outflows'!$A$4:$I$917,9,FALSE)</f>
        <v>0</v>
      </c>
      <c r="AH117" s="2"/>
      <c r="AI117" s="2">
        <f>VLOOKUP($A117,'[2]App C Share Inflows'!$A$4:$I$917,5,FALSE)</f>
        <v>-8911</v>
      </c>
      <c r="AJ117" s="2">
        <f>VLOOKUP($A117,'[2]App C Share Inflows'!$A$4:$I$917,6,FALSE)</f>
        <v>-7101</v>
      </c>
      <c r="AK117" s="2">
        <f>VLOOKUP($A117,'[2]App C Share Inflows'!$A$4:$I$917,7,FALSE)</f>
        <v>-7101</v>
      </c>
      <c r="AL117" s="2">
        <f>VLOOKUP($A117,'[2]App C Share Inflows'!$A$4:$I$917,8,FALSE)</f>
        <v>-3460</v>
      </c>
      <c r="AM117" s="2">
        <f>VLOOKUP($A117,'[2]App C Share Inflows'!$A$4:$I$917,6,FALSE)</f>
        <v>-7101</v>
      </c>
    </row>
    <row r="118" spans="1:39">
      <c r="A118" s="351">
        <v>91015</v>
      </c>
      <c r="B118" s="344" t="s">
        <v>1640</v>
      </c>
      <c r="C118" s="235" t="e">
        <f>VLOOKUP(A118,#REF!,10,FALSE)</f>
        <v>#REF!</v>
      </c>
      <c r="E118" s="2">
        <f>VLOOKUP($A118,'[2]App C Total'!$A$4:$I$917,5,FALSE)</f>
        <v>15764</v>
      </c>
      <c r="F118" s="2">
        <f>VLOOKUP($A118,'[2]App C Total'!$A$4:$I$917,6,FALSE)</f>
        <v>9528</v>
      </c>
      <c r="G118" s="2">
        <f>VLOOKUP($A118,'[2]App C Total'!$A$4:$I$917,7,FALSE)</f>
        <v>11637</v>
      </c>
      <c r="H118" s="2">
        <f>VLOOKUP($A118,'[2]App C Total'!$A$4:$I$917,8,FALSE)</f>
        <v>3071</v>
      </c>
      <c r="I118" s="2">
        <f>VLOOKUP($A118,'[2]App C Total'!$A$4:$I$917,9,FALSE)</f>
        <v>0</v>
      </c>
      <c r="J118" s="2"/>
      <c r="K118" s="2">
        <f>VLOOKUP($A118,'[2]App C Exp'!$A$4:$I$917,5,FALSE)</f>
        <v>2771</v>
      </c>
      <c r="L118" s="2">
        <f>VLOOKUP($A118,'[2]App C Exp'!$A$4:$I$917,6,FALSE)</f>
        <v>2607</v>
      </c>
      <c r="M118" s="2">
        <f>VLOOKUP($A118,'[2]App C Exp'!$A$4:$I$917,7,FALSE)</f>
        <v>2337</v>
      </c>
      <c r="N118" s="2">
        <f>VLOOKUP($A118,'[2]App C Exp'!$A$4:$I$917,8,FALSE)</f>
        <v>936</v>
      </c>
      <c r="O118" s="2">
        <f>VLOOKUP($A118,'[2]App C Exp'!$A$4:$I$917,9,FALSE)</f>
        <v>0</v>
      </c>
      <c r="P118" s="2"/>
      <c r="Q118" s="2">
        <f>VLOOKUP($A118,'[2]App C Inv'!$A$4:$I$917,5,FALSE)</f>
        <v>2942</v>
      </c>
      <c r="R118" s="2">
        <f>VLOOKUP($A118,'[2]App C Inv'!$A$4:$I$917,6,FALSE)</f>
        <v>-2531</v>
      </c>
      <c r="S118" s="2">
        <f>VLOOKUP($A118,'[2]App C Inv'!$A$4:$I$917,7,FALSE)</f>
        <v>357</v>
      </c>
      <c r="T118" s="2">
        <f>VLOOKUP($A118,'[2]App C Inv'!$A$4:$I$917,8,FALSE)</f>
        <v>464</v>
      </c>
      <c r="U118" s="2">
        <f>VLOOKUP($A118,'[2]App C Inv'!$A$4:$I$917,9,FALSE)</f>
        <v>0</v>
      </c>
      <c r="V118" s="2"/>
      <c r="W118" s="2">
        <f>VLOOKUP($A118,'[2]App C Assum'!$A$4:$I$917,5,FALSE)</f>
        <v>3314</v>
      </c>
      <c r="X118" s="2">
        <f>VLOOKUP($A118,'[2]App C Assum'!$A$4:$I$917,6,FALSE)</f>
        <v>2715</v>
      </c>
      <c r="Y118" s="2">
        <f>VLOOKUP($A118,'[2]App C Assum'!$A$4:$I$917,7,FALSE)</f>
        <v>2204</v>
      </c>
      <c r="Z118" s="2">
        <f>VLOOKUP($A118,'[2]App C Assum'!$A$4:$I$917,8,FALSE)</f>
        <v>0</v>
      </c>
      <c r="AA118" s="2">
        <f>VLOOKUP($A118,'[2]App C Assum'!$A$4:$I$917,9,FALSE)</f>
        <v>0</v>
      </c>
      <c r="AB118" s="2"/>
      <c r="AC118" s="2">
        <f>VLOOKUP($A118,'[2]App C Share Outflows'!$A$4:$I$917,5,FALSE)</f>
        <v>6737</v>
      </c>
      <c r="AD118" s="2">
        <f>VLOOKUP($A118,'[2]App C Share Outflows'!$A$4:$I$917,6,FALSE)</f>
        <v>6737</v>
      </c>
      <c r="AE118" s="2">
        <f>VLOOKUP($A118,'[2]App C Share Outflows'!$A$4:$I$917,7,FALSE)</f>
        <v>6739</v>
      </c>
      <c r="AF118" s="2">
        <f>VLOOKUP($A118,'[2]App C Share Outflows'!$A$4:$I$917,8,FALSE)</f>
        <v>1671</v>
      </c>
      <c r="AG118" s="2">
        <f>VLOOKUP($A118,'[2]App C Share Outflows'!$A$4:$I$917,9,FALSE)</f>
        <v>0</v>
      </c>
      <c r="AH118" s="2"/>
      <c r="AI118" s="2">
        <f>VLOOKUP($A118,'[2]App C Share Inflows'!$A$4:$I$917,5,FALSE)</f>
        <v>0</v>
      </c>
      <c r="AJ118" s="2">
        <f>VLOOKUP($A118,'[2]App C Share Inflows'!$A$4:$I$917,6,FALSE)</f>
        <v>0</v>
      </c>
      <c r="AK118" s="2">
        <f>VLOOKUP($A118,'[2]App C Share Inflows'!$A$4:$I$917,7,FALSE)</f>
        <v>0</v>
      </c>
      <c r="AL118" s="2">
        <f>VLOOKUP($A118,'[2]App C Share Inflows'!$A$4:$I$917,8,FALSE)</f>
        <v>0</v>
      </c>
      <c r="AM118" s="2">
        <f>VLOOKUP($A118,'[2]App C Share Inflows'!$A$4:$I$917,6,FALSE)</f>
        <v>0</v>
      </c>
    </row>
    <row r="119" spans="1:39">
      <c r="A119" s="351">
        <v>91017</v>
      </c>
      <c r="B119" s="344" t="s">
        <v>812</v>
      </c>
      <c r="C119" s="235" t="e">
        <f>VLOOKUP(A119,#REF!,10,FALSE)</f>
        <v>#REF!</v>
      </c>
      <c r="E119" s="2">
        <f>VLOOKUP($A119,'[2]App C Total'!$A$4:$I$917,5,FALSE)</f>
        <v>15062</v>
      </c>
      <c r="F119" s="2">
        <f>VLOOKUP($A119,'[2]App C Total'!$A$4:$I$917,6,FALSE)</f>
        <v>4935</v>
      </c>
      <c r="G119" s="2">
        <f>VLOOKUP($A119,'[2]App C Total'!$A$4:$I$917,7,FALSE)</f>
        <v>7265</v>
      </c>
      <c r="H119" s="2">
        <f>VLOOKUP($A119,'[2]App C Total'!$A$4:$I$917,8,FALSE)</f>
        <v>2415</v>
      </c>
      <c r="I119" s="2">
        <f>VLOOKUP($A119,'[2]App C Total'!$A$4:$I$917,9,FALSE)</f>
        <v>0</v>
      </c>
      <c r="J119" s="2"/>
      <c r="K119" s="2">
        <f>VLOOKUP($A119,'[2]App C Exp'!$A$4:$I$917,5,FALSE)</f>
        <v>3700</v>
      </c>
      <c r="L119" s="2">
        <f>VLOOKUP($A119,'[2]App C Exp'!$A$4:$I$917,6,FALSE)</f>
        <v>3481</v>
      </c>
      <c r="M119" s="2">
        <f>VLOOKUP($A119,'[2]App C Exp'!$A$4:$I$917,7,FALSE)</f>
        <v>3120</v>
      </c>
      <c r="N119" s="2">
        <f>VLOOKUP($A119,'[2]App C Exp'!$A$4:$I$917,8,FALSE)</f>
        <v>1249</v>
      </c>
      <c r="O119" s="2">
        <f>VLOOKUP($A119,'[2]App C Exp'!$A$4:$I$917,9,FALSE)</f>
        <v>0</v>
      </c>
      <c r="P119" s="2"/>
      <c r="Q119" s="2">
        <f>VLOOKUP($A119,'[2]App C Inv'!$A$4:$I$917,5,FALSE)</f>
        <v>3928</v>
      </c>
      <c r="R119" s="2">
        <f>VLOOKUP($A119,'[2]App C Inv'!$A$4:$I$917,6,FALSE)</f>
        <v>-3379</v>
      </c>
      <c r="S119" s="2">
        <f>VLOOKUP($A119,'[2]App C Inv'!$A$4:$I$917,7,FALSE)</f>
        <v>476</v>
      </c>
      <c r="T119" s="2">
        <f>VLOOKUP($A119,'[2]App C Inv'!$A$4:$I$917,8,FALSE)</f>
        <v>620</v>
      </c>
      <c r="U119" s="2">
        <f>VLOOKUP($A119,'[2]App C Inv'!$A$4:$I$917,9,FALSE)</f>
        <v>0</v>
      </c>
      <c r="V119" s="2"/>
      <c r="W119" s="2">
        <f>VLOOKUP($A119,'[2]App C Assum'!$A$4:$I$917,5,FALSE)</f>
        <v>4425</v>
      </c>
      <c r="X119" s="2">
        <f>VLOOKUP($A119,'[2]App C Assum'!$A$4:$I$917,6,FALSE)</f>
        <v>3625</v>
      </c>
      <c r="Y119" s="2">
        <f>VLOOKUP($A119,'[2]App C Assum'!$A$4:$I$917,7,FALSE)</f>
        <v>2943</v>
      </c>
      <c r="Z119" s="2">
        <f>VLOOKUP($A119,'[2]App C Assum'!$A$4:$I$917,8,FALSE)</f>
        <v>0</v>
      </c>
      <c r="AA119" s="2">
        <f>VLOOKUP($A119,'[2]App C Assum'!$A$4:$I$917,9,FALSE)</f>
        <v>0</v>
      </c>
      <c r="AB119" s="2"/>
      <c r="AC119" s="2">
        <f>VLOOKUP($A119,'[2]App C Share Outflows'!$A$4:$I$917,5,FALSE)</f>
        <v>3009</v>
      </c>
      <c r="AD119" s="2">
        <f>VLOOKUP($A119,'[2]App C Share Outflows'!$A$4:$I$917,6,FALSE)</f>
        <v>1208</v>
      </c>
      <c r="AE119" s="2">
        <f>VLOOKUP($A119,'[2]App C Share Outflows'!$A$4:$I$917,7,FALSE)</f>
        <v>726</v>
      </c>
      <c r="AF119" s="2">
        <f>VLOOKUP($A119,'[2]App C Share Outflows'!$A$4:$I$917,8,FALSE)</f>
        <v>546</v>
      </c>
      <c r="AG119" s="2">
        <f>VLOOKUP($A119,'[2]App C Share Outflows'!$A$4:$I$917,9,FALSE)</f>
        <v>0</v>
      </c>
      <c r="AH119" s="2"/>
      <c r="AI119" s="2">
        <f>VLOOKUP($A119,'[2]App C Share Inflows'!$A$4:$I$917,5,FALSE)</f>
        <v>0</v>
      </c>
      <c r="AJ119" s="2">
        <f>VLOOKUP($A119,'[2]App C Share Inflows'!$A$4:$I$917,6,FALSE)</f>
        <v>0</v>
      </c>
      <c r="AK119" s="2">
        <f>VLOOKUP($A119,'[2]App C Share Inflows'!$A$4:$I$917,7,FALSE)</f>
        <v>0</v>
      </c>
      <c r="AL119" s="2">
        <f>VLOOKUP($A119,'[2]App C Share Inflows'!$A$4:$I$917,8,FALSE)</f>
        <v>0</v>
      </c>
      <c r="AM119" s="2">
        <f>VLOOKUP($A119,'[2]App C Share Inflows'!$A$4:$I$917,6,FALSE)</f>
        <v>0</v>
      </c>
    </row>
    <row r="120" spans="1:39">
      <c r="A120" s="351">
        <v>91020</v>
      </c>
      <c r="B120" s="344" t="s">
        <v>813</v>
      </c>
      <c r="C120" s="235" t="e">
        <f>VLOOKUP(A120,#REF!,10,FALSE)</f>
        <v>#REF!</v>
      </c>
      <c r="E120" s="2">
        <f>VLOOKUP($A120,'[2]App C Total'!$A$4:$I$917,5,FALSE)</f>
        <v>11796</v>
      </c>
      <c r="F120" s="2">
        <f>VLOOKUP($A120,'[2]App C Total'!$A$4:$I$917,6,FALSE)</f>
        <v>3669</v>
      </c>
      <c r="G120" s="2">
        <f>VLOOKUP($A120,'[2]App C Total'!$A$4:$I$917,7,FALSE)</f>
        <v>5702</v>
      </c>
      <c r="H120" s="2">
        <f>VLOOKUP($A120,'[2]App C Total'!$A$4:$I$917,8,FALSE)</f>
        <v>325</v>
      </c>
      <c r="I120" s="2">
        <f>VLOOKUP($A120,'[2]App C Total'!$A$4:$I$917,9,FALSE)</f>
        <v>0</v>
      </c>
      <c r="J120" s="2"/>
      <c r="K120" s="2">
        <f>VLOOKUP($A120,'[2]App C Exp'!$A$4:$I$917,5,FALSE)</f>
        <v>3431</v>
      </c>
      <c r="L120" s="2">
        <f>VLOOKUP($A120,'[2]App C Exp'!$A$4:$I$917,6,FALSE)</f>
        <v>3227</v>
      </c>
      <c r="M120" s="2">
        <f>VLOOKUP($A120,'[2]App C Exp'!$A$4:$I$917,7,FALSE)</f>
        <v>2892</v>
      </c>
      <c r="N120" s="2">
        <f>VLOOKUP($A120,'[2]App C Exp'!$A$4:$I$917,8,FALSE)</f>
        <v>1158</v>
      </c>
      <c r="O120" s="2">
        <f>VLOOKUP($A120,'[2]App C Exp'!$A$4:$I$917,9,FALSE)</f>
        <v>0</v>
      </c>
      <c r="P120" s="2"/>
      <c r="Q120" s="2">
        <f>VLOOKUP($A120,'[2]App C Inv'!$A$4:$I$917,5,FALSE)</f>
        <v>3642</v>
      </c>
      <c r="R120" s="2">
        <f>VLOOKUP($A120,'[2]App C Inv'!$A$4:$I$917,6,FALSE)</f>
        <v>-3133</v>
      </c>
      <c r="S120" s="2">
        <f>VLOOKUP($A120,'[2]App C Inv'!$A$4:$I$917,7,FALSE)</f>
        <v>442</v>
      </c>
      <c r="T120" s="2">
        <f>VLOOKUP($A120,'[2]App C Inv'!$A$4:$I$917,8,FALSE)</f>
        <v>575</v>
      </c>
      <c r="U120" s="2">
        <f>VLOOKUP($A120,'[2]App C Inv'!$A$4:$I$917,9,FALSE)</f>
        <v>0</v>
      </c>
      <c r="V120" s="2"/>
      <c r="W120" s="2">
        <f>VLOOKUP($A120,'[2]App C Assum'!$A$4:$I$917,5,FALSE)</f>
        <v>4103</v>
      </c>
      <c r="X120" s="2">
        <f>VLOOKUP($A120,'[2]App C Assum'!$A$4:$I$917,6,FALSE)</f>
        <v>3361</v>
      </c>
      <c r="Y120" s="2">
        <f>VLOOKUP($A120,'[2]App C Assum'!$A$4:$I$917,7,FALSE)</f>
        <v>2729</v>
      </c>
      <c r="Z120" s="2">
        <f>VLOOKUP($A120,'[2]App C Assum'!$A$4:$I$917,8,FALSE)</f>
        <v>0</v>
      </c>
      <c r="AA120" s="2">
        <f>VLOOKUP($A120,'[2]App C Assum'!$A$4:$I$917,9,FALSE)</f>
        <v>0</v>
      </c>
      <c r="AB120" s="2"/>
      <c r="AC120" s="2">
        <f>VLOOKUP($A120,'[2]App C Share Outflows'!$A$4:$I$917,5,FALSE)</f>
        <v>2028</v>
      </c>
      <c r="AD120" s="2">
        <f>VLOOKUP($A120,'[2]App C Share Outflows'!$A$4:$I$917,6,FALSE)</f>
        <v>1622</v>
      </c>
      <c r="AE120" s="2">
        <f>VLOOKUP($A120,'[2]App C Share Outflows'!$A$4:$I$917,7,FALSE)</f>
        <v>1047</v>
      </c>
      <c r="AF120" s="2">
        <f>VLOOKUP($A120,'[2]App C Share Outflows'!$A$4:$I$917,8,FALSE)</f>
        <v>0</v>
      </c>
      <c r="AG120" s="2">
        <f>VLOOKUP($A120,'[2]App C Share Outflows'!$A$4:$I$917,9,FALSE)</f>
        <v>0</v>
      </c>
      <c r="AH120" s="2"/>
      <c r="AI120" s="2">
        <f>VLOOKUP($A120,'[2]App C Share Inflows'!$A$4:$I$917,5,FALSE)</f>
        <v>-1408</v>
      </c>
      <c r="AJ120" s="2">
        <f>VLOOKUP($A120,'[2]App C Share Inflows'!$A$4:$I$917,6,FALSE)</f>
        <v>-1408</v>
      </c>
      <c r="AK120" s="2">
        <f>VLOOKUP($A120,'[2]App C Share Inflows'!$A$4:$I$917,7,FALSE)</f>
        <v>-1408</v>
      </c>
      <c r="AL120" s="2">
        <f>VLOOKUP($A120,'[2]App C Share Inflows'!$A$4:$I$917,8,FALSE)</f>
        <v>-1408</v>
      </c>
      <c r="AM120" s="2">
        <f>VLOOKUP($A120,'[2]App C Share Inflows'!$A$4:$I$917,6,FALSE)</f>
        <v>-1408</v>
      </c>
    </row>
    <row r="121" spans="1:39">
      <c r="A121" s="351">
        <v>91021</v>
      </c>
      <c r="B121" s="344" t="s">
        <v>814</v>
      </c>
      <c r="C121" s="235" t="e">
        <f>VLOOKUP(A121,#REF!,10,FALSE)</f>
        <v>#REF!</v>
      </c>
      <c r="E121" s="2">
        <f>VLOOKUP($A121,'[2]App C Total'!$A$4:$I$917,5,FALSE)</f>
        <v>455425</v>
      </c>
      <c r="F121" s="2">
        <f>VLOOKUP($A121,'[2]App C Total'!$A$4:$I$917,6,FALSE)</f>
        <v>151821</v>
      </c>
      <c r="G121" s="2">
        <f>VLOOKUP($A121,'[2]App C Total'!$A$4:$I$917,7,FALSE)</f>
        <v>259814</v>
      </c>
      <c r="H121" s="2">
        <f>VLOOKUP($A121,'[2]App C Total'!$A$4:$I$917,8,FALSE)</f>
        <v>80885</v>
      </c>
      <c r="I121" s="2">
        <f>VLOOKUP($A121,'[2]App C Total'!$A$4:$I$917,9,FALSE)</f>
        <v>0</v>
      </c>
      <c r="J121" s="2"/>
      <c r="K121" s="2">
        <f>VLOOKUP($A121,'[2]App C Exp'!$A$4:$I$917,5,FALSE)</f>
        <v>138512</v>
      </c>
      <c r="L121" s="2">
        <f>VLOOKUP($A121,'[2]App C Exp'!$A$4:$I$917,6,FALSE)</f>
        <v>130295</v>
      </c>
      <c r="M121" s="2">
        <f>VLOOKUP($A121,'[2]App C Exp'!$A$4:$I$917,7,FALSE)</f>
        <v>116782</v>
      </c>
      <c r="N121" s="2">
        <f>VLOOKUP($A121,'[2]App C Exp'!$A$4:$I$917,8,FALSE)</f>
        <v>46758</v>
      </c>
      <c r="O121" s="2">
        <f>VLOOKUP($A121,'[2]App C Exp'!$A$4:$I$917,9,FALSE)</f>
        <v>0</v>
      </c>
      <c r="P121" s="2"/>
      <c r="Q121" s="2">
        <f>VLOOKUP($A121,'[2]App C Inv'!$A$4:$I$917,5,FALSE)</f>
        <v>147049</v>
      </c>
      <c r="R121" s="2">
        <f>VLOOKUP($A121,'[2]App C Inv'!$A$4:$I$917,6,FALSE)</f>
        <v>-126490</v>
      </c>
      <c r="S121" s="2">
        <f>VLOOKUP($A121,'[2]App C Inv'!$A$4:$I$917,7,FALSE)</f>
        <v>17827</v>
      </c>
      <c r="T121" s="2">
        <f>VLOOKUP($A121,'[2]App C Inv'!$A$4:$I$917,8,FALSE)</f>
        <v>23202</v>
      </c>
      <c r="U121" s="2">
        <f>VLOOKUP($A121,'[2]App C Inv'!$A$4:$I$917,9,FALSE)</f>
        <v>0</v>
      </c>
      <c r="V121" s="2"/>
      <c r="W121" s="2">
        <f>VLOOKUP($A121,'[2]App C Assum'!$A$4:$I$917,5,FALSE)</f>
        <v>165653</v>
      </c>
      <c r="X121" s="2">
        <f>VLOOKUP($A121,'[2]App C Assum'!$A$4:$I$917,6,FALSE)</f>
        <v>135709</v>
      </c>
      <c r="Y121" s="2">
        <f>VLOOKUP($A121,'[2]App C Assum'!$A$4:$I$917,7,FALSE)</f>
        <v>110173</v>
      </c>
      <c r="Z121" s="2">
        <f>VLOOKUP($A121,'[2]App C Assum'!$A$4:$I$917,8,FALSE)</f>
        <v>0</v>
      </c>
      <c r="AA121" s="2">
        <f>VLOOKUP($A121,'[2]App C Assum'!$A$4:$I$917,9,FALSE)</f>
        <v>0</v>
      </c>
      <c r="AB121" s="2"/>
      <c r="AC121" s="2">
        <f>VLOOKUP($A121,'[2]App C Share Outflows'!$A$4:$I$917,5,FALSE)</f>
        <v>15033</v>
      </c>
      <c r="AD121" s="2">
        <f>VLOOKUP($A121,'[2]App C Share Outflows'!$A$4:$I$917,6,FALSE)</f>
        <v>15033</v>
      </c>
      <c r="AE121" s="2">
        <f>VLOOKUP($A121,'[2]App C Share Outflows'!$A$4:$I$917,7,FALSE)</f>
        <v>15032</v>
      </c>
      <c r="AF121" s="2">
        <f>VLOOKUP($A121,'[2]App C Share Outflows'!$A$4:$I$917,8,FALSE)</f>
        <v>10925</v>
      </c>
      <c r="AG121" s="2">
        <f>VLOOKUP($A121,'[2]App C Share Outflows'!$A$4:$I$917,9,FALSE)</f>
        <v>0</v>
      </c>
      <c r="AH121" s="2"/>
      <c r="AI121" s="2">
        <f>VLOOKUP($A121,'[2]App C Share Inflows'!$A$4:$I$917,5,FALSE)</f>
        <v>-10822</v>
      </c>
      <c r="AJ121" s="2">
        <f>VLOOKUP($A121,'[2]App C Share Inflows'!$A$4:$I$917,6,FALSE)</f>
        <v>-2726</v>
      </c>
      <c r="AK121" s="2">
        <f>VLOOKUP($A121,'[2]App C Share Inflows'!$A$4:$I$917,7,FALSE)</f>
        <v>0</v>
      </c>
      <c r="AL121" s="2">
        <f>VLOOKUP($A121,'[2]App C Share Inflows'!$A$4:$I$917,8,FALSE)</f>
        <v>0</v>
      </c>
      <c r="AM121" s="2">
        <f>VLOOKUP($A121,'[2]App C Share Inflows'!$A$4:$I$917,6,FALSE)</f>
        <v>-2726</v>
      </c>
    </row>
    <row r="122" spans="1:39">
      <c r="A122" s="351">
        <v>91024</v>
      </c>
      <c r="B122" s="344" t="s">
        <v>815</v>
      </c>
      <c r="C122" s="235" t="e">
        <f>VLOOKUP(A122,#REF!,10,FALSE)</f>
        <v>#REF!</v>
      </c>
      <c r="E122" s="2">
        <f>VLOOKUP($A122,'[2]App C Total'!$A$4:$I$917,5,FALSE)</f>
        <v>54759</v>
      </c>
      <c r="F122" s="2">
        <f>VLOOKUP($A122,'[2]App C Total'!$A$4:$I$917,6,FALSE)</f>
        <v>20660</v>
      </c>
      <c r="G122" s="2">
        <f>VLOOKUP($A122,'[2]App C Total'!$A$4:$I$917,7,FALSE)</f>
        <v>30003</v>
      </c>
      <c r="H122" s="2">
        <f>VLOOKUP($A122,'[2]App C Total'!$A$4:$I$917,8,FALSE)</f>
        <v>8328</v>
      </c>
      <c r="I122" s="2">
        <f>VLOOKUP($A122,'[2]App C Total'!$A$4:$I$917,9,FALSE)</f>
        <v>0</v>
      </c>
      <c r="J122" s="2"/>
      <c r="K122" s="2">
        <f>VLOOKUP($A122,'[2]App C Exp'!$A$4:$I$917,5,FALSE)</f>
        <v>14022</v>
      </c>
      <c r="L122" s="2">
        <f>VLOOKUP($A122,'[2]App C Exp'!$A$4:$I$917,6,FALSE)</f>
        <v>13190</v>
      </c>
      <c r="M122" s="2">
        <f>VLOOKUP($A122,'[2]App C Exp'!$A$4:$I$917,7,FALSE)</f>
        <v>11822</v>
      </c>
      <c r="N122" s="2">
        <f>VLOOKUP($A122,'[2]App C Exp'!$A$4:$I$917,8,FALSE)</f>
        <v>4733</v>
      </c>
      <c r="O122" s="2">
        <f>VLOOKUP($A122,'[2]App C Exp'!$A$4:$I$917,9,FALSE)</f>
        <v>0</v>
      </c>
      <c r="P122" s="2"/>
      <c r="Q122" s="2">
        <f>VLOOKUP($A122,'[2]App C Inv'!$A$4:$I$917,5,FALSE)</f>
        <v>14886</v>
      </c>
      <c r="R122" s="2">
        <f>VLOOKUP($A122,'[2]App C Inv'!$A$4:$I$917,6,FALSE)</f>
        <v>-12805</v>
      </c>
      <c r="S122" s="2">
        <f>VLOOKUP($A122,'[2]App C Inv'!$A$4:$I$917,7,FALSE)</f>
        <v>1805</v>
      </c>
      <c r="T122" s="2">
        <f>VLOOKUP($A122,'[2]App C Inv'!$A$4:$I$917,8,FALSE)</f>
        <v>2349</v>
      </c>
      <c r="U122" s="2">
        <f>VLOOKUP($A122,'[2]App C Inv'!$A$4:$I$917,9,FALSE)</f>
        <v>0</v>
      </c>
      <c r="V122" s="2"/>
      <c r="W122" s="2">
        <f>VLOOKUP($A122,'[2]App C Assum'!$A$4:$I$917,5,FALSE)</f>
        <v>16770</v>
      </c>
      <c r="X122" s="2">
        <f>VLOOKUP($A122,'[2]App C Assum'!$A$4:$I$917,6,FALSE)</f>
        <v>13738</v>
      </c>
      <c r="Y122" s="2">
        <f>VLOOKUP($A122,'[2]App C Assum'!$A$4:$I$917,7,FALSE)</f>
        <v>11153</v>
      </c>
      <c r="Z122" s="2">
        <f>VLOOKUP($A122,'[2]App C Assum'!$A$4:$I$917,8,FALSE)</f>
        <v>0</v>
      </c>
      <c r="AA122" s="2">
        <f>VLOOKUP($A122,'[2]App C Assum'!$A$4:$I$917,9,FALSE)</f>
        <v>0</v>
      </c>
      <c r="AB122" s="2"/>
      <c r="AC122" s="2">
        <f>VLOOKUP($A122,'[2]App C Share Outflows'!$A$4:$I$917,5,FALSE)</f>
        <v>9081</v>
      </c>
      <c r="AD122" s="2">
        <f>VLOOKUP($A122,'[2]App C Share Outflows'!$A$4:$I$917,6,FALSE)</f>
        <v>6537</v>
      </c>
      <c r="AE122" s="2">
        <f>VLOOKUP($A122,'[2]App C Share Outflows'!$A$4:$I$917,7,FALSE)</f>
        <v>5223</v>
      </c>
      <c r="AF122" s="2">
        <f>VLOOKUP($A122,'[2]App C Share Outflows'!$A$4:$I$917,8,FALSE)</f>
        <v>1246</v>
      </c>
      <c r="AG122" s="2">
        <f>VLOOKUP($A122,'[2]App C Share Outflows'!$A$4:$I$917,9,FALSE)</f>
        <v>0</v>
      </c>
      <c r="AH122" s="2"/>
      <c r="AI122" s="2">
        <f>VLOOKUP($A122,'[2]App C Share Inflows'!$A$4:$I$917,5,FALSE)</f>
        <v>0</v>
      </c>
      <c r="AJ122" s="2">
        <f>VLOOKUP($A122,'[2]App C Share Inflows'!$A$4:$I$917,6,FALSE)</f>
        <v>0</v>
      </c>
      <c r="AK122" s="2">
        <f>VLOOKUP($A122,'[2]App C Share Inflows'!$A$4:$I$917,7,FALSE)</f>
        <v>0</v>
      </c>
      <c r="AL122" s="2">
        <f>VLOOKUP($A122,'[2]App C Share Inflows'!$A$4:$I$917,8,FALSE)</f>
        <v>0</v>
      </c>
      <c r="AM122" s="2">
        <f>VLOOKUP($A122,'[2]App C Share Inflows'!$A$4:$I$917,6,FALSE)</f>
        <v>0</v>
      </c>
    </row>
    <row r="123" spans="1:39">
      <c r="A123" s="351">
        <v>91026</v>
      </c>
      <c r="B123" s="344" t="s">
        <v>43</v>
      </c>
      <c r="C123" s="235" t="e">
        <f>VLOOKUP(A123,#REF!,10,FALSE)</f>
        <v>#REF!</v>
      </c>
      <c r="E123" s="2">
        <f>VLOOKUP($A123,'[2]App C Total'!$A$4:$I$917,5,FALSE)</f>
        <v>28455</v>
      </c>
      <c r="F123" s="2">
        <f>VLOOKUP($A123,'[2]App C Total'!$A$4:$I$917,6,FALSE)</f>
        <v>13574</v>
      </c>
      <c r="G123" s="2">
        <f>VLOOKUP($A123,'[2]App C Total'!$A$4:$I$917,7,FALSE)</f>
        <v>15997</v>
      </c>
      <c r="H123" s="2">
        <f>VLOOKUP($A123,'[2]App C Total'!$A$4:$I$917,8,FALSE)</f>
        <v>4453</v>
      </c>
      <c r="I123" s="2">
        <f>VLOOKUP($A123,'[2]App C Total'!$A$4:$I$917,9,FALSE)</f>
        <v>0</v>
      </c>
      <c r="J123" s="2"/>
      <c r="K123" s="2">
        <f>VLOOKUP($A123,'[2]App C Exp'!$A$4:$I$917,5,FALSE)</f>
        <v>4659</v>
      </c>
      <c r="L123" s="2">
        <f>VLOOKUP($A123,'[2]App C Exp'!$A$4:$I$917,6,FALSE)</f>
        <v>4383</v>
      </c>
      <c r="M123" s="2">
        <f>VLOOKUP($A123,'[2]App C Exp'!$A$4:$I$917,7,FALSE)</f>
        <v>3928</v>
      </c>
      <c r="N123" s="2">
        <f>VLOOKUP($A123,'[2]App C Exp'!$A$4:$I$917,8,FALSE)</f>
        <v>1573</v>
      </c>
      <c r="O123" s="2">
        <f>VLOOKUP($A123,'[2]App C Exp'!$A$4:$I$917,9,FALSE)</f>
        <v>0</v>
      </c>
      <c r="P123" s="2"/>
      <c r="Q123" s="2">
        <f>VLOOKUP($A123,'[2]App C Inv'!$A$4:$I$917,5,FALSE)</f>
        <v>4946</v>
      </c>
      <c r="R123" s="2">
        <f>VLOOKUP($A123,'[2]App C Inv'!$A$4:$I$917,6,FALSE)</f>
        <v>-4255</v>
      </c>
      <c r="S123" s="2">
        <f>VLOOKUP($A123,'[2]App C Inv'!$A$4:$I$917,7,FALSE)</f>
        <v>600</v>
      </c>
      <c r="T123" s="2">
        <f>VLOOKUP($A123,'[2]App C Inv'!$A$4:$I$917,8,FALSE)</f>
        <v>780</v>
      </c>
      <c r="U123" s="2">
        <f>VLOOKUP($A123,'[2]App C Inv'!$A$4:$I$917,9,FALSE)</f>
        <v>0</v>
      </c>
      <c r="V123" s="2"/>
      <c r="W123" s="2">
        <f>VLOOKUP($A123,'[2]App C Assum'!$A$4:$I$917,5,FALSE)</f>
        <v>5572</v>
      </c>
      <c r="X123" s="2">
        <f>VLOOKUP($A123,'[2]App C Assum'!$A$4:$I$917,6,FALSE)</f>
        <v>4565</v>
      </c>
      <c r="Y123" s="2">
        <f>VLOOKUP($A123,'[2]App C Assum'!$A$4:$I$917,7,FALSE)</f>
        <v>3706</v>
      </c>
      <c r="Z123" s="2">
        <f>VLOOKUP($A123,'[2]App C Assum'!$A$4:$I$917,8,FALSE)</f>
        <v>0</v>
      </c>
      <c r="AA123" s="2">
        <f>VLOOKUP($A123,'[2]App C Assum'!$A$4:$I$917,9,FALSE)</f>
        <v>0</v>
      </c>
      <c r="AB123" s="2"/>
      <c r="AC123" s="2">
        <f>VLOOKUP($A123,'[2]App C Share Outflows'!$A$4:$I$917,5,FALSE)</f>
        <v>13278</v>
      </c>
      <c r="AD123" s="2">
        <f>VLOOKUP($A123,'[2]App C Share Outflows'!$A$4:$I$917,6,FALSE)</f>
        <v>8881</v>
      </c>
      <c r="AE123" s="2">
        <f>VLOOKUP($A123,'[2]App C Share Outflows'!$A$4:$I$917,7,FALSE)</f>
        <v>7763</v>
      </c>
      <c r="AF123" s="2">
        <f>VLOOKUP($A123,'[2]App C Share Outflows'!$A$4:$I$917,8,FALSE)</f>
        <v>2100</v>
      </c>
      <c r="AG123" s="2">
        <f>VLOOKUP($A123,'[2]App C Share Outflows'!$A$4:$I$917,9,FALSE)</f>
        <v>0</v>
      </c>
      <c r="AH123" s="2"/>
      <c r="AI123" s="2">
        <f>VLOOKUP($A123,'[2]App C Share Inflows'!$A$4:$I$917,5,FALSE)</f>
        <v>0</v>
      </c>
      <c r="AJ123" s="2">
        <f>VLOOKUP($A123,'[2]App C Share Inflows'!$A$4:$I$917,6,FALSE)</f>
        <v>0</v>
      </c>
      <c r="AK123" s="2">
        <f>VLOOKUP($A123,'[2]App C Share Inflows'!$A$4:$I$917,7,FALSE)</f>
        <v>0</v>
      </c>
      <c r="AL123" s="2">
        <f>VLOOKUP($A123,'[2]App C Share Inflows'!$A$4:$I$917,8,FALSE)</f>
        <v>0</v>
      </c>
      <c r="AM123" s="2">
        <f>VLOOKUP($A123,'[2]App C Share Inflows'!$A$4:$I$917,6,FALSE)</f>
        <v>0</v>
      </c>
    </row>
    <row r="124" spans="1:39">
      <c r="A124" s="351">
        <v>91027</v>
      </c>
      <c r="B124" s="344" t="s">
        <v>2798</v>
      </c>
      <c r="C124" s="235" t="e">
        <f>VLOOKUP(A124,#REF!,10,FALSE)</f>
        <v>#REF!</v>
      </c>
      <c r="E124" s="2">
        <f>VLOOKUP($A124,'[2]App C Total'!$A$4:$I$917,5,FALSE)</f>
        <v>14497</v>
      </c>
      <c r="F124" s="2">
        <f>VLOOKUP($A124,'[2]App C Total'!$A$4:$I$917,6,FALSE)</f>
        <v>7182</v>
      </c>
      <c r="G124" s="2">
        <f>VLOOKUP($A124,'[2]App C Total'!$A$4:$I$917,7,FALSE)</f>
        <v>7563</v>
      </c>
      <c r="H124" s="2">
        <f>VLOOKUP($A124,'[2]App C Total'!$A$4:$I$917,8,FALSE)</f>
        <v>2601</v>
      </c>
      <c r="I124" s="2">
        <f>VLOOKUP($A124,'[2]App C Total'!$A$4:$I$917,9,FALSE)</f>
        <v>0</v>
      </c>
      <c r="J124" s="2"/>
      <c r="K124" s="2">
        <f>VLOOKUP($A124,'[2]App C Exp'!$A$4:$I$917,5,FALSE)</f>
        <v>2547</v>
      </c>
      <c r="L124" s="2">
        <f>VLOOKUP($A124,'[2]App C Exp'!$A$4:$I$917,6,FALSE)</f>
        <v>2396</v>
      </c>
      <c r="M124" s="2">
        <f>VLOOKUP($A124,'[2]App C Exp'!$A$4:$I$917,7,FALSE)</f>
        <v>2147</v>
      </c>
      <c r="N124" s="2">
        <f>VLOOKUP($A124,'[2]App C Exp'!$A$4:$I$917,8,FALSE)</f>
        <v>860</v>
      </c>
      <c r="O124" s="2">
        <f>VLOOKUP($A124,'[2]App C Exp'!$A$4:$I$917,9,FALSE)</f>
        <v>0</v>
      </c>
      <c r="P124" s="2"/>
      <c r="Q124" s="2">
        <f>VLOOKUP($A124,'[2]App C Inv'!$A$4:$I$917,5,FALSE)</f>
        <v>2704</v>
      </c>
      <c r="R124" s="2">
        <f>VLOOKUP($A124,'[2]App C Inv'!$A$4:$I$917,6,FALSE)</f>
        <v>-2326</v>
      </c>
      <c r="S124" s="2">
        <f>VLOOKUP($A124,'[2]App C Inv'!$A$4:$I$917,7,FALSE)</f>
        <v>328</v>
      </c>
      <c r="T124" s="2">
        <f>VLOOKUP($A124,'[2]App C Inv'!$A$4:$I$917,8,FALSE)</f>
        <v>427</v>
      </c>
      <c r="U124" s="2">
        <f>VLOOKUP($A124,'[2]App C Inv'!$A$4:$I$917,9,FALSE)</f>
        <v>0</v>
      </c>
      <c r="V124" s="2"/>
      <c r="W124" s="2">
        <f>VLOOKUP($A124,'[2]App C Assum'!$A$4:$I$917,5,FALSE)</f>
        <v>3046</v>
      </c>
      <c r="X124" s="2">
        <f>VLOOKUP($A124,'[2]App C Assum'!$A$4:$I$917,6,FALSE)</f>
        <v>2495</v>
      </c>
      <c r="Y124" s="2">
        <f>VLOOKUP($A124,'[2]App C Assum'!$A$4:$I$917,7,FALSE)</f>
        <v>2026</v>
      </c>
      <c r="Z124" s="2">
        <f>VLOOKUP($A124,'[2]App C Assum'!$A$4:$I$917,8,FALSE)</f>
        <v>0</v>
      </c>
      <c r="AA124" s="2">
        <f>VLOOKUP($A124,'[2]App C Assum'!$A$4:$I$917,9,FALSE)</f>
        <v>0</v>
      </c>
      <c r="AB124" s="2"/>
      <c r="AC124" s="2">
        <f>VLOOKUP($A124,'[2]App C Share Outflows'!$A$4:$I$917,5,FALSE)</f>
        <v>6200</v>
      </c>
      <c r="AD124" s="2">
        <f>VLOOKUP($A124,'[2]App C Share Outflows'!$A$4:$I$917,6,FALSE)</f>
        <v>4617</v>
      </c>
      <c r="AE124" s="2">
        <f>VLOOKUP($A124,'[2]App C Share Outflows'!$A$4:$I$917,7,FALSE)</f>
        <v>3062</v>
      </c>
      <c r="AF124" s="2">
        <f>VLOOKUP($A124,'[2]App C Share Outflows'!$A$4:$I$917,8,FALSE)</f>
        <v>1314</v>
      </c>
      <c r="AG124" s="2">
        <f>VLOOKUP($A124,'[2]App C Share Outflows'!$A$4:$I$917,9,FALSE)</f>
        <v>0</v>
      </c>
      <c r="AH124" s="2"/>
      <c r="AI124" s="2">
        <f>VLOOKUP($A124,'[2]App C Share Inflows'!$A$4:$I$917,5,FALSE)</f>
        <v>0</v>
      </c>
      <c r="AJ124" s="2">
        <f>VLOOKUP($A124,'[2]App C Share Inflows'!$A$4:$I$917,6,FALSE)</f>
        <v>0</v>
      </c>
      <c r="AK124" s="2">
        <f>VLOOKUP($A124,'[2]App C Share Inflows'!$A$4:$I$917,7,FALSE)</f>
        <v>0</v>
      </c>
      <c r="AL124" s="2">
        <f>VLOOKUP($A124,'[2]App C Share Inflows'!$A$4:$I$917,8,FALSE)</f>
        <v>0</v>
      </c>
      <c r="AM124" s="2">
        <f>VLOOKUP($A124,'[2]App C Share Inflows'!$A$4:$I$917,6,FALSE)</f>
        <v>0</v>
      </c>
    </row>
    <row r="125" spans="1:39">
      <c r="A125" s="351">
        <v>91032</v>
      </c>
      <c r="B125" s="344" t="s">
        <v>817</v>
      </c>
      <c r="C125" s="235" t="e">
        <f>VLOOKUP(A125,#REF!,10,FALSE)</f>
        <v>#REF!</v>
      </c>
      <c r="E125" s="2">
        <f>VLOOKUP($A125,'[2]App C Total'!$A$4:$I$917,5,FALSE)</f>
        <v>14779</v>
      </c>
      <c r="F125" s="2">
        <f>VLOOKUP($A125,'[2]App C Total'!$A$4:$I$917,6,FALSE)</f>
        <v>8336</v>
      </c>
      <c r="G125" s="2">
        <f>VLOOKUP($A125,'[2]App C Total'!$A$4:$I$917,7,FALSE)</f>
        <v>8745</v>
      </c>
      <c r="H125" s="2">
        <f>VLOOKUP($A125,'[2]App C Total'!$A$4:$I$917,8,FALSE)</f>
        <v>3622</v>
      </c>
      <c r="I125" s="2">
        <f>VLOOKUP($A125,'[2]App C Total'!$A$4:$I$917,9,FALSE)</f>
        <v>0</v>
      </c>
      <c r="J125" s="2"/>
      <c r="K125" s="2">
        <f>VLOOKUP($A125,'[2]App C Exp'!$A$4:$I$917,5,FALSE)</f>
        <v>2487</v>
      </c>
      <c r="L125" s="2">
        <f>VLOOKUP($A125,'[2]App C Exp'!$A$4:$I$917,6,FALSE)</f>
        <v>2339</v>
      </c>
      <c r="M125" s="2">
        <f>VLOOKUP($A125,'[2]App C Exp'!$A$4:$I$917,7,FALSE)</f>
        <v>2097</v>
      </c>
      <c r="N125" s="2">
        <f>VLOOKUP($A125,'[2]App C Exp'!$A$4:$I$917,8,FALSE)</f>
        <v>839</v>
      </c>
      <c r="O125" s="2">
        <f>VLOOKUP($A125,'[2]App C Exp'!$A$4:$I$917,9,FALSE)</f>
        <v>0</v>
      </c>
      <c r="P125" s="2"/>
      <c r="Q125" s="2">
        <f>VLOOKUP($A125,'[2]App C Inv'!$A$4:$I$917,5,FALSE)</f>
        <v>2640</v>
      </c>
      <c r="R125" s="2">
        <f>VLOOKUP($A125,'[2]App C Inv'!$A$4:$I$917,6,FALSE)</f>
        <v>-2271</v>
      </c>
      <c r="S125" s="2">
        <f>VLOOKUP($A125,'[2]App C Inv'!$A$4:$I$917,7,FALSE)</f>
        <v>320</v>
      </c>
      <c r="T125" s="2">
        <f>VLOOKUP($A125,'[2]App C Inv'!$A$4:$I$917,8,FALSE)</f>
        <v>417</v>
      </c>
      <c r="U125" s="2">
        <f>VLOOKUP($A125,'[2]App C Inv'!$A$4:$I$917,9,FALSE)</f>
        <v>0</v>
      </c>
      <c r="V125" s="2"/>
      <c r="W125" s="2">
        <f>VLOOKUP($A125,'[2]App C Assum'!$A$4:$I$917,5,FALSE)</f>
        <v>2974</v>
      </c>
      <c r="X125" s="2">
        <f>VLOOKUP($A125,'[2]App C Assum'!$A$4:$I$917,6,FALSE)</f>
        <v>2436</v>
      </c>
      <c r="Y125" s="2">
        <f>VLOOKUP($A125,'[2]App C Assum'!$A$4:$I$917,7,FALSE)</f>
        <v>1978</v>
      </c>
      <c r="Z125" s="2">
        <f>VLOOKUP($A125,'[2]App C Assum'!$A$4:$I$917,8,FALSE)</f>
        <v>0</v>
      </c>
      <c r="AA125" s="2">
        <f>VLOOKUP($A125,'[2]App C Assum'!$A$4:$I$917,9,FALSE)</f>
        <v>0</v>
      </c>
      <c r="AB125" s="2"/>
      <c r="AC125" s="2">
        <f>VLOOKUP($A125,'[2]App C Share Outflows'!$A$4:$I$917,5,FALSE)</f>
        <v>6678</v>
      </c>
      <c r="AD125" s="2">
        <f>VLOOKUP($A125,'[2]App C Share Outflows'!$A$4:$I$917,6,FALSE)</f>
        <v>5832</v>
      </c>
      <c r="AE125" s="2">
        <f>VLOOKUP($A125,'[2]App C Share Outflows'!$A$4:$I$917,7,FALSE)</f>
        <v>4350</v>
      </c>
      <c r="AF125" s="2">
        <f>VLOOKUP($A125,'[2]App C Share Outflows'!$A$4:$I$917,8,FALSE)</f>
        <v>2366</v>
      </c>
      <c r="AG125" s="2">
        <f>VLOOKUP($A125,'[2]App C Share Outflows'!$A$4:$I$917,9,FALSE)</f>
        <v>0</v>
      </c>
      <c r="AH125" s="2"/>
      <c r="AI125" s="2">
        <f>VLOOKUP($A125,'[2]App C Share Inflows'!$A$4:$I$917,5,FALSE)</f>
        <v>0</v>
      </c>
      <c r="AJ125" s="2">
        <f>VLOOKUP($A125,'[2]App C Share Inflows'!$A$4:$I$917,6,FALSE)</f>
        <v>0</v>
      </c>
      <c r="AK125" s="2">
        <f>VLOOKUP($A125,'[2]App C Share Inflows'!$A$4:$I$917,7,FALSE)</f>
        <v>0</v>
      </c>
      <c r="AL125" s="2">
        <f>VLOOKUP($A125,'[2]App C Share Inflows'!$A$4:$I$917,8,FALSE)</f>
        <v>0</v>
      </c>
      <c r="AM125" s="2">
        <f>VLOOKUP($A125,'[2]App C Share Inflows'!$A$4:$I$917,6,FALSE)</f>
        <v>0</v>
      </c>
    </row>
    <row r="126" spans="1:39">
      <c r="A126" s="351">
        <v>91041</v>
      </c>
      <c r="B126" s="344" t="s">
        <v>818</v>
      </c>
      <c r="C126" s="235" t="e">
        <f>VLOOKUP(A126,#REF!,10,FALSE)</f>
        <v>#REF!</v>
      </c>
      <c r="E126" s="2">
        <f>VLOOKUP($A126,'[2]App C Total'!$A$4:$I$917,5,FALSE)</f>
        <v>180869</v>
      </c>
      <c r="F126" s="2">
        <f>VLOOKUP($A126,'[2]App C Total'!$A$4:$I$917,6,FALSE)</f>
        <v>47304</v>
      </c>
      <c r="G126" s="2">
        <f>VLOOKUP($A126,'[2]App C Total'!$A$4:$I$917,7,FALSE)</f>
        <v>107665</v>
      </c>
      <c r="H126" s="2">
        <f>VLOOKUP($A126,'[2]App C Total'!$A$4:$I$917,8,FALSE)</f>
        <v>26766</v>
      </c>
      <c r="I126" s="2">
        <f>VLOOKUP($A126,'[2]App C Total'!$A$4:$I$917,9,FALSE)</f>
        <v>0</v>
      </c>
      <c r="J126" s="2"/>
      <c r="K126" s="2">
        <f>VLOOKUP($A126,'[2]App C Exp'!$A$4:$I$917,5,FALSE)</f>
        <v>64986</v>
      </c>
      <c r="L126" s="2">
        <f>VLOOKUP($A126,'[2]App C Exp'!$A$4:$I$917,6,FALSE)</f>
        <v>61131</v>
      </c>
      <c r="M126" s="2">
        <f>VLOOKUP($A126,'[2]App C Exp'!$A$4:$I$917,7,FALSE)</f>
        <v>54791</v>
      </c>
      <c r="N126" s="2">
        <f>VLOOKUP($A126,'[2]App C Exp'!$A$4:$I$917,8,FALSE)</f>
        <v>21938</v>
      </c>
      <c r="O126" s="2">
        <f>VLOOKUP($A126,'[2]App C Exp'!$A$4:$I$917,9,FALSE)</f>
        <v>0</v>
      </c>
      <c r="P126" s="2"/>
      <c r="Q126" s="2">
        <f>VLOOKUP($A126,'[2]App C Inv'!$A$4:$I$917,5,FALSE)</f>
        <v>68992</v>
      </c>
      <c r="R126" s="2">
        <f>VLOOKUP($A126,'[2]App C Inv'!$A$4:$I$917,6,FALSE)</f>
        <v>-59346</v>
      </c>
      <c r="S126" s="2">
        <f>VLOOKUP($A126,'[2]App C Inv'!$A$4:$I$917,7,FALSE)</f>
        <v>8364</v>
      </c>
      <c r="T126" s="2">
        <f>VLOOKUP($A126,'[2]App C Inv'!$A$4:$I$917,8,FALSE)</f>
        <v>10886</v>
      </c>
      <c r="U126" s="2">
        <f>VLOOKUP($A126,'[2]App C Inv'!$A$4:$I$917,9,FALSE)</f>
        <v>0</v>
      </c>
      <c r="V126" s="2"/>
      <c r="W126" s="2">
        <f>VLOOKUP($A126,'[2]App C Assum'!$A$4:$I$917,5,FALSE)</f>
        <v>77720</v>
      </c>
      <c r="X126" s="2">
        <f>VLOOKUP($A126,'[2]App C Assum'!$A$4:$I$917,6,FALSE)</f>
        <v>63671</v>
      </c>
      <c r="Y126" s="2">
        <f>VLOOKUP($A126,'[2]App C Assum'!$A$4:$I$917,7,FALSE)</f>
        <v>51690</v>
      </c>
      <c r="Z126" s="2">
        <f>VLOOKUP($A126,'[2]App C Assum'!$A$4:$I$917,8,FALSE)</f>
        <v>0</v>
      </c>
      <c r="AA126" s="2">
        <f>VLOOKUP($A126,'[2]App C Assum'!$A$4:$I$917,9,FALSE)</f>
        <v>0</v>
      </c>
      <c r="AB126" s="2"/>
      <c r="AC126" s="2">
        <f>VLOOKUP($A126,'[2]App C Share Outflows'!$A$4:$I$917,5,FALSE)</f>
        <v>0</v>
      </c>
      <c r="AD126" s="2">
        <f>VLOOKUP($A126,'[2]App C Share Outflows'!$A$4:$I$917,6,FALSE)</f>
        <v>0</v>
      </c>
      <c r="AE126" s="2">
        <f>VLOOKUP($A126,'[2]App C Share Outflows'!$A$4:$I$917,7,FALSE)</f>
        <v>0</v>
      </c>
      <c r="AF126" s="2">
        <f>VLOOKUP($A126,'[2]App C Share Outflows'!$A$4:$I$917,8,FALSE)</f>
        <v>0</v>
      </c>
      <c r="AG126" s="2">
        <f>VLOOKUP($A126,'[2]App C Share Outflows'!$A$4:$I$917,9,FALSE)</f>
        <v>0</v>
      </c>
      <c r="AH126" s="2"/>
      <c r="AI126" s="2">
        <f>VLOOKUP($A126,'[2]App C Share Inflows'!$A$4:$I$917,5,FALSE)</f>
        <v>-30829</v>
      </c>
      <c r="AJ126" s="2">
        <f>VLOOKUP($A126,'[2]App C Share Inflows'!$A$4:$I$917,6,FALSE)</f>
        <v>-18152</v>
      </c>
      <c r="AK126" s="2">
        <f>VLOOKUP($A126,'[2]App C Share Inflows'!$A$4:$I$917,7,FALSE)</f>
        <v>-7180</v>
      </c>
      <c r="AL126" s="2">
        <f>VLOOKUP($A126,'[2]App C Share Inflows'!$A$4:$I$917,8,FALSE)</f>
        <v>-6058</v>
      </c>
      <c r="AM126" s="2">
        <f>VLOOKUP($A126,'[2]App C Share Inflows'!$A$4:$I$917,6,FALSE)</f>
        <v>-18152</v>
      </c>
    </row>
    <row r="127" spans="1:39">
      <c r="A127" s="351">
        <v>91042</v>
      </c>
      <c r="B127" s="344" t="s">
        <v>819</v>
      </c>
      <c r="C127" s="235" t="e">
        <f>VLOOKUP(A127,#REF!,10,FALSE)</f>
        <v>#REF!</v>
      </c>
      <c r="E127" s="2">
        <f>VLOOKUP($A127,'[2]App C Total'!$A$4:$I$917,5,FALSE)</f>
        <v>128733</v>
      </c>
      <c r="F127" s="2">
        <f>VLOOKUP($A127,'[2]App C Total'!$A$4:$I$917,6,FALSE)</f>
        <v>42310</v>
      </c>
      <c r="G127" s="2">
        <f>VLOOKUP($A127,'[2]App C Total'!$A$4:$I$917,7,FALSE)</f>
        <v>69153</v>
      </c>
      <c r="H127" s="2">
        <f>VLOOKUP($A127,'[2]App C Total'!$A$4:$I$917,8,FALSE)</f>
        <v>16649</v>
      </c>
      <c r="I127" s="2">
        <f>VLOOKUP($A127,'[2]App C Total'!$A$4:$I$917,9,FALSE)</f>
        <v>0</v>
      </c>
      <c r="J127" s="2"/>
      <c r="K127" s="2">
        <f>VLOOKUP($A127,'[2]App C Exp'!$A$4:$I$917,5,FALSE)</f>
        <v>39339</v>
      </c>
      <c r="L127" s="2">
        <f>VLOOKUP($A127,'[2]App C Exp'!$A$4:$I$917,6,FALSE)</f>
        <v>37006</v>
      </c>
      <c r="M127" s="2">
        <f>VLOOKUP($A127,'[2]App C Exp'!$A$4:$I$917,7,FALSE)</f>
        <v>33168</v>
      </c>
      <c r="N127" s="2">
        <f>VLOOKUP($A127,'[2]App C Exp'!$A$4:$I$917,8,FALSE)</f>
        <v>13280</v>
      </c>
      <c r="O127" s="2">
        <f>VLOOKUP($A127,'[2]App C Exp'!$A$4:$I$917,9,FALSE)</f>
        <v>0</v>
      </c>
      <c r="P127" s="2"/>
      <c r="Q127" s="2">
        <f>VLOOKUP($A127,'[2]App C Inv'!$A$4:$I$917,5,FALSE)</f>
        <v>41764</v>
      </c>
      <c r="R127" s="2">
        <f>VLOOKUP($A127,'[2]App C Inv'!$A$4:$I$917,6,FALSE)</f>
        <v>-35925</v>
      </c>
      <c r="S127" s="2">
        <f>VLOOKUP($A127,'[2]App C Inv'!$A$4:$I$917,7,FALSE)</f>
        <v>5063</v>
      </c>
      <c r="T127" s="2">
        <f>VLOOKUP($A127,'[2]App C Inv'!$A$4:$I$917,8,FALSE)</f>
        <v>6590</v>
      </c>
      <c r="U127" s="2">
        <f>VLOOKUP($A127,'[2]App C Inv'!$A$4:$I$917,9,FALSE)</f>
        <v>0</v>
      </c>
      <c r="V127" s="2"/>
      <c r="W127" s="2">
        <f>VLOOKUP($A127,'[2]App C Assum'!$A$4:$I$917,5,FALSE)</f>
        <v>47048</v>
      </c>
      <c r="X127" s="2">
        <f>VLOOKUP($A127,'[2]App C Assum'!$A$4:$I$917,6,FALSE)</f>
        <v>38543</v>
      </c>
      <c r="Y127" s="2">
        <f>VLOOKUP($A127,'[2]App C Assum'!$A$4:$I$917,7,FALSE)</f>
        <v>31291</v>
      </c>
      <c r="Z127" s="2">
        <f>VLOOKUP($A127,'[2]App C Assum'!$A$4:$I$917,8,FALSE)</f>
        <v>0</v>
      </c>
      <c r="AA127" s="2">
        <f>VLOOKUP($A127,'[2]App C Assum'!$A$4:$I$917,9,FALSE)</f>
        <v>0</v>
      </c>
      <c r="AB127" s="2"/>
      <c r="AC127" s="2">
        <f>VLOOKUP($A127,'[2]App C Share Outflows'!$A$4:$I$917,5,FALSE)</f>
        <v>5905</v>
      </c>
      <c r="AD127" s="2">
        <f>VLOOKUP($A127,'[2]App C Share Outflows'!$A$4:$I$917,6,FALSE)</f>
        <v>5907</v>
      </c>
      <c r="AE127" s="2">
        <f>VLOOKUP($A127,'[2]App C Share Outflows'!$A$4:$I$917,7,FALSE)</f>
        <v>2852</v>
      </c>
      <c r="AF127" s="2">
        <f>VLOOKUP($A127,'[2]App C Share Outflows'!$A$4:$I$917,8,FALSE)</f>
        <v>0</v>
      </c>
      <c r="AG127" s="2">
        <f>VLOOKUP($A127,'[2]App C Share Outflows'!$A$4:$I$917,9,FALSE)</f>
        <v>0</v>
      </c>
      <c r="AH127" s="2"/>
      <c r="AI127" s="2">
        <f>VLOOKUP($A127,'[2]App C Share Inflows'!$A$4:$I$917,5,FALSE)</f>
        <v>-5323</v>
      </c>
      <c r="AJ127" s="2">
        <f>VLOOKUP($A127,'[2]App C Share Inflows'!$A$4:$I$917,6,FALSE)</f>
        <v>-3221</v>
      </c>
      <c r="AK127" s="2">
        <f>VLOOKUP($A127,'[2]App C Share Inflows'!$A$4:$I$917,7,FALSE)</f>
        <v>-3221</v>
      </c>
      <c r="AL127" s="2">
        <f>VLOOKUP($A127,'[2]App C Share Inflows'!$A$4:$I$917,8,FALSE)</f>
        <v>-3221</v>
      </c>
      <c r="AM127" s="2">
        <f>VLOOKUP($A127,'[2]App C Share Inflows'!$A$4:$I$917,6,FALSE)</f>
        <v>-3221</v>
      </c>
    </row>
    <row r="128" spans="1:39">
      <c r="A128" s="351">
        <v>91047</v>
      </c>
      <c r="B128" s="344" t="s">
        <v>820</v>
      </c>
      <c r="C128" s="235" t="e">
        <f>VLOOKUP(A128,#REF!,10,FALSE)</f>
        <v>#REF!</v>
      </c>
      <c r="E128" s="2">
        <f>VLOOKUP($A128,'[2]App C Total'!$A$4:$I$917,5,FALSE)</f>
        <v>14525</v>
      </c>
      <c r="F128" s="2">
        <f>VLOOKUP($A128,'[2]App C Total'!$A$4:$I$917,6,FALSE)</f>
        <v>8438</v>
      </c>
      <c r="G128" s="2">
        <f>VLOOKUP($A128,'[2]App C Total'!$A$4:$I$917,7,FALSE)</f>
        <v>7688</v>
      </c>
      <c r="H128" s="2">
        <f>VLOOKUP($A128,'[2]App C Total'!$A$4:$I$917,8,FALSE)</f>
        <v>3247</v>
      </c>
      <c r="I128" s="2">
        <f>VLOOKUP($A128,'[2]App C Total'!$A$4:$I$917,9,FALSE)</f>
        <v>0</v>
      </c>
      <c r="J128" s="2"/>
      <c r="K128" s="2">
        <f>VLOOKUP($A128,'[2]App C Exp'!$A$4:$I$917,5,FALSE)</f>
        <v>1723</v>
      </c>
      <c r="L128" s="2">
        <f>VLOOKUP($A128,'[2]App C Exp'!$A$4:$I$917,6,FALSE)</f>
        <v>1621</v>
      </c>
      <c r="M128" s="2">
        <f>VLOOKUP($A128,'[2]App C Exp'!$A$4:$I$917,7,FALSE)</f>
        <v>1453</v>
      </c>
      <c r="N128" s="2">
        <f>VLOOKUP($A128,'[2]App C Exp'!$A$4:$I$917,8,FALSE)</f>
        <v>582</v>
      </c>
      <c r="O128" s="2">
        <f>VLOOKUP($A128,'[2]App C Exp'!$A$4:$I$917,9,FALSE)</f>
        <v>0</v>
      </c>
      <c r="P128" s="2"/>
      <c r="Q128" s="2">
        <f>VLOOKUP($A128,'[2]App C Inv'!$A$4:$I$917,5,FALSE)</f>
        <v>1829</v>
      </c>
      <c r="R128" s="2">
        <f>VLOOKUP($A128,'[2]App C Inv'!$A$4:$I$917,6,FALSE)</f>
        <v>-1573</v>
      </c>
      <c r="S128" s="2">
        <f>VLOOKUP($A128,'[2]App C Inv'!$A$4:$I$917,7,FALSE)</f>
        <v>222</v>
      </c>
      <c r="T128" s="2">
        <f>VLOOKUP($A128,'[2]App C Inv'!$A$4:$I$917,8,FALSE)</f>
        <v>289</v>
      </c>
      <c r="U128" s="2">
        <f>VLOOKUP($A128,'[2]App C Inv'!$A$4:$I$917,9,FALSE)</f>
        <v>0</v>
      </c>
      <c r="V128" s="2"/>
      <c r="W128" s="2">
        <f>VLOOKUP($A128,'[2]App C Assum'!$A$4:$I$917,5,FALSE)</f>
        <v>2060</v>
      </c>
      <c r="X128" s="2">
        <f>VLOOKUP($A128,'[2]App C Assum'!$A$4:$I$917,6,FALSE)</f>
        <v>1688</v>
      </c>
      <c r="Y128" s="2">
        <f>VLOOKUP($A128,'[2]App C Assum'!$A$4:$I$917,7,FALSE)</f>
        <v>1370</v>
      </c>
      <c r="Z128" s="2">
        <f>VLOOKUP($A128,'[2]App C Assum'!$A$4:$I$917,8,FALSE)</f>
        <v>0</v>
      </c>
      <c r="AA128" s="2">
        <f>VLOOKUP($A128,'[2]App C Assum'!$A$4:$I$917,9,FALSE)</f>
        <v>0</v>
      </c>
      <c r="AB128" s="2"/>
      <c r="AC128" s="2">
        <f>VLOOKUP($A128,'[2]App C Share Outflows'!$A$4:$I$917,5,FALSE)</f>
        <v>8913</v>
      </c>
      <c r="AD128" s="2">
        <f>VLOOKUP($A128,'[2]App C Share Outflows'!$A$4:$I$917,6,FALSE)</f>
        <v>6702</v>
      </c>
      <c r="AE128" s="2">
        <f>VLOOKUP($A128,'[2]App C Share Outflows'!$A$4:$I$917,7,FALSE)</f>
        <v>4643</v>
      </c>
      <c r="AF128" s="2">
        <f>VLOOKUP($A128,'[2]App C Share Outflows'!$A$4:$I$917,8,FALSE)</f>
        <v>2376</v>
      </c>
      <c r="AG128" s="2">
        <f>VLOOKUP($A128,'[2]App C Share Outflows'!$A$4:$I$917,9,FALSE)</f>
        <v>0</v>
      </c>
      <c r="AH128" s="2"/>
      <c r="AI128" s="2">
        <f>VLOOKUP($A128,'[2]App C Share Inflows'!$A$4:$I$917,5,FALSE)</f>
        <v>0</v>
      </c>
      <c r="AJ128" s="2">
        <f>VLOOKUP($A128,'[2]App C Share Inflows'!$A$4:$I$917,6,FALSE)</f>
        <v>0</v>
      </c>
      <c r="AK128" s="2">
        <f>VLOOKUP($A128,'[2]App C Share Inflows'!$A$4:$I$917,7,FALSE)</f>
        <v>0</v>
      </c>
      <c r="AL128" s="2">
        <f>VLOOKUP($A128,'[2]App C Share Inflows'!$A$4:$I$917,8,FALSE)</f>
        <v>0</v>
      </c>
      <c r="AM128" s="2">
        <f>VLOOKUP($A128,'[2]App C Share Inflows'!$A$4:$I$917,6,FALSE)</f>
        <v>0</v>
      </c>
    </row>
    <row r="129" spans="1:39">
      <c r="A129" s="351">
        <v>91051</v>
      </c>
      <c r="B129" s="344" t="s">
        <v>821</v>
      </c>
      <c r="C129" s="235" t="e">
        <f>VLOOKUP(A129,#REF!,10,FALSE)</f>
        <v>#REF!</v>
      </c>
      <c r="E129" s="2">
        <f>VLOOKUP($A129,'[2]App C Total'!$A$4:$I$917,5,FALSE)</f>
        <v>28529</v>
      </c>
      <c r="F129" s="2">
        <f>VLOOKUP($A129,'[2]App C Total'!$A$4:$I$917,6,FALSE)</f>
        <v>7878</v>
      </c>
      <c r="G129" s="2">
        <f>VLOOKUP($A129,'[2]App C Total'!$A$4:$I$917,7,FALSE)</f>
        <v>16640</v>
      </c>
      <c r="H129" s="2">
        <f>VLOOKUP($A129,'[2]App C Total'!$A$4:$I$917,8,FALSE)</f>
        <v>4479</v>
      </c>
      <c r="I129" s="2">
        <f>VLOOKUP($A129,'[2]App C Total'!$A$4:$I$917,9,FALSE)</f>
        <v>0</v>
      </c>
      <c r="J129" s="2"/>
      <c r="K129" s="2">
        <f>VLOOKUP($A129,'[2]App C Exp'!$A$4:$I$917,5,FALSE)</f>
        <v>9408</v>
      </c>
      <c r="L129" s="2">
        <f>VLOOKUP($A129,'[2]App C Exp'!$A$4:$I$917,6,FALSE)</f>
        <v>8850</v>
      </c>
      <c r="M129" s="2">
        <f>VLOOKUP($A129,'[2]App C Exp'!$A$4:$I$917,7,FALSE)</f>
        <v>7932</v>
      </c>
      <c r="N129" s="2">
        <f>VLOOKUP($A129,'[2]App C Exp'!$A$4:$I$917,8,FALSE)</f>
        <v>3176</v>
      </c>
      <c r="O129" s="2">
        <f>VLOOKUP($A129,'[2]App C Exp'!$A$4:$I$917,9,FALSE)</f>
        <v>0</v>
      </c>
      <c r="P129" s="2"/>
      <c r="Q129" s="2">
        <f>VLOOKUP($A129,'[2]App C Inv'!$A$4:$I$917,5,FALSE)</f>
        <v>9988</v>
      </c>
      <c r="R129" s="2">
        <f>VLOOKUP($A129,'[2]App C Inv'!$A$4:$I$917,6,FALSE)</f>
        <v>-8591</v>
      </c>
      <c r="S129" s="2">
        <f>VLOOKUP($A129,'[2]App C Inv'!$A$4:$I$917,7,FALSE)</f>
        <v>1211</v>
      </c>
      <c r="T129" s="2">
        <f>VLOOKUP($A129,'[2]App C Inv'!$A$4:$I$917,8,FALSE)</f>
        <v>1576</v>
      </c>
      <c r="U129" s="2">
        <f>VLOOKUP($A129,'[2]App C Inv'!$A$4:$I$917,9,FALSE)</f>
        <v>0</v>
      </c>
      <c r="V129" s="2"/>
      <c r="W129" s="2">
        <f>VLOOKUP($A129,'[2]App C Assum'!$A$4:$I$917,5,FALSE)</f>
        <v>11251</v>
      </c>
      <c r="X129" s="2">
        <f>VLOOKUP($A129,'[2]App C Assum'!$A$4:$I$917,6,FALSE)</f>
        <v>9218</v>
      </c>
      <c r="Y129" s="2">
        <f>VLOOKUP($A129,'[2]App C Assum'!$A$4:$I$917,7,FALSE)</f>
        <v>7483</v>
      </c>
      <c r="Z129" s="2">
        <f>VLOOKUP($A129,'[2]App C Assum'!$A$4:$I$917,8,FALSE)</f>
        <v>0</v>
      </c>
      <c r="AA129" s="2">
        <f>VLOOKUP($A129,'[2]App C Assum'!$A$4:$I$917,9,FALSE)</f>
        <v>0</v>
      </c>
      <c r="AB129" s="2"/>
      <c r="AC129" s="2">
        <f>VLOOKUP($A129,'[2]App C Share Outflows'!$A$4:$I$917,5,FALSE)</f>
        <v>291</v>
      </c>
      <c r="AD129" s="2">
        <f>VLOOKUP($A129,'[2]App C Share Outflows'!$A$4:$I$917,6,FALSE)</f>
        <v>291</v>
      </c>
      <c r="AE129" s="2">
        <f>VLOOKUP($A129,'[2]App C Share Outflows'!$A$4:$I$917,7,FALSE)</f>
        <v>289</v>
      </c>
      <c r="AF129" s="2">
        <f>VLOOKUP($A129,'[2]App C Share Outflows'!$A$4:$I$917,8,FALSE)</f>
        <v>0</v>
      </c>
      <c r="AG129" s="2">
        <f>VLOOKUP($A129,'[2]App C Share Outflows'!$A$4:$I$917,9,FALSE)</f>
        <v>0</v>
      </c>
      <c r="AH129" s="2"/>
      <c r="AI129" s="2">
        <f>VLOOKUP($A129,'[2]App C Share Inflows'!$A$4:$I$917,5,FALSE)</f>
        <v>-2409</v>
      </c>
      <c r="AJ129" s="2">
        <f>VLOOKUP($A129,'[2]App C Share Inflows'!$A$4:$I$917,6,FALSE)</f>
        <v>-1890</v>
      </c>
      <c r="AK129" s="2">
        <f>VLOOKUP($A129,'[2]App C Share Inflows'!$A$4:$I$917,7,FALSE)</f>
        <v>-275</v>
      </c>
      <c r="AL129" s="2">
        <f>VLOOKUP($A129,'[2]App C Share Inflows'!$A$4:$I$917,8,FALSE)</f>
        <v>-273</v>
      </c>
      <c r="AM129" s="2">
        <f>VLOOKUP($A129,'[2]App C Share Inflows'!$A$4:$I$917,6,FALSE)</f>
        <v>-1890</v>
      </c>
    </row>
    <row r="130" spans="1:39">
      <c r="A130" s="351">
        <v>91057</v>
      </c>
      <c r="B130" s="344" t="s">
        <v>822</v>
      </c>
      <c r="C130" s="235" t="e">
        <f>VLOOKUP(A130,#REF!,10,FALSE)</f>
        <v>#REF!</v>
      </c>
      <c r="E130" s="2">
        <f>VLOOKUP($A130,'[2]App C Total'!$A$4:$I$917,5,FALSE)</f>
        <v>10719</v>
      </c>
      <c r="F130" s="2">
        <f>VLOOKUP($A130,'[2]App C Total'!$A$4:$I$917,6,FALSE)</f>
        <v>4820</v>
      </c>
      <c r="G130" s="2">
        <f>VLOOKUP($A130,'[2]App C Total'!$A$4:$I$917,7,FALSE)</f>
        <v>6108</v>
      </c>
      <c r="H130" s="2">
        <f>VLOOKUP($A130,'[2]App C Total'!$A$4:$I$917,8,FALSE)</f>
        <v>2466</v>
      </c>
      <c r="I130" s="2">
        <f>VLOOKUP($A130,'[2]App C Total'!$A$4:$I$917,9,FALSE)</f>
        <v>0</v>
      </c>
      <c r="J130" s="2"/>
      <c r="K130" s="2">
        <f>VLOOKUP($A130,'[2]App C Exp'!$A$4:$I$917,5,FALSE)</f>
        <v>2352</v>
      </c>
      <c r="L130" s="2">
        <f>VLOOKUP($A130,'[2]App C Exp'!$A$4:$I$917,6,FALSE)</f>
        <v>2212</v>
      </c>
      <c r="M130" s="2">
        <f>VLOOKUP($A130,'[2]App C Exp'!$A$4:$I$917,7,FALSE)</f>
        <v>1983</v>
      </c>
      <c r="N130" s="2">
        <f>VLOOKUP($A130,'[2]App C Exp'!$A$4:$I$917,8,FALSE)</f>
        <v>794</v>
      </c>
      <c r="O130" s="2">
        <f>VLOOKUP($A130,'[2]App C Exp'!$A$4:$I$917,9,FALSE)</f>
        <v>0</v>
      </c>
      <c r="P130" s="2"/>
      <c r="Q130" s="2">
        <f>VLOOKUP($A130,'[2]App C Inv'!$A$4:$I$917,5,FALSE)</f>
        <v>2497</v>
      </c>
      <c r="R130" s="2">
        <f>VLOOKUP($A130,'[2]App C Inv'!$A$4:$I$917,6,FALSE)</f>
        <v>-2148</v>
      </c>
      <c r="S130" s="2">
        <f>VLOOKUP($A130,'[2]App C Inv'!$A$4:$I$917,7,FALSE)</f>
        <v>303</v>
      </c>
      <c r="T130" s="2">
        <f>VLOOKUP($A130,'[2]App C Inv'!$A$4:$I$917,8,FALSE)</f>
        <v>394</v>
      </c>
      <c r="U130" s="2">
        <f>VLOOKUP($A130,'[2]App C Inv'!$A$4:$I$917,9,FALSE)</f>
        <v>0</v>
      </c>
      <c r="V130" s="2"/>
      <c r="W130" s="2">
        <f>VLOOKUP($A130,'[2]App C Assum'!$A$4:$I$917,5,FALSE)</f>
        <v>2813</v>
      </c>
      <c r="X130" s="2">
        <f>VLOOKUP($A130,'[2]App C Assum'!$A$4:$I$917,6,FALSE)</f>
        <v>2304</v>
      </c>
      <c r="Y130" s="2">
        <f>VLOOKUP($A130,'[2]App C Assum'!$A$4:$I$917,7,FALSE)</f>
        <v>1871</v>
      </c>
      <c r="Z130" s="2">
        <f>VLOOKUP($A130,'[2]App C Assum'!$A$4:$I$917,8,FALSE)</f>
        <v>0</v>
      </c>
      <c r="AA130" s="2">
        <f>VLOOKUP($A130,'[2]App C Assum'!$A$4:$I$917,9,FALSE)</f>
        <v>0</v>
      </c>
      <c r="AB130" s="2"/>
      <c r="AC130" s="2">
        <f>VLOOKUP($A130,'[2]App C Share Outflows'!$A$4:$I$917,5,FALSE)</f>
        <v>3057</v>
      </c>
      <c r="AD130" s="2">
        <f>VLOOKUP($A130,'[2]App C Share Outflows'!$A$4:$I$917,6,FALSE)</f>
        <v>2452</v>
      </c>
      <c r="AE130" s="2">
        <f>VLOOKUP($A130,'[2]App C Share Outflows'!$A$4:$I$917,7,FALSE)</f>
        <v>1951</v>
      </c>
      <c r="AF130" s="2">
        <f>VLOOKUP($A130,'[2]App C Share Outflows'!$A$4:$I$917,8,FALSE)</f>
        <v>1278</v>
      </c>
      <c r="AG130" s="2">
        <f>VLOOKUP($A130,'[2]App C Share Outflows'!$A$4:$I$917,9,FALSE)</f>
        <v>0</v>
      </c>
      <c r="AH130" s="2"/>
      <c r="AI130" s="2">
        <f>VLOOKUP($A130,'[2]App C Share Inflows'!$A$4:$I$917,5,FALSE)</f>
        <v>0</v>
      </c>
      <c r="AJ130" s="2">
        <f>VLOOKUP($A130,'[2]App C Share Inflows'!$A$4:$I$917,6,FALSE)</f>
        <v>0</v>
      </c>
      <c r="AK130" s="2">
        <f>VLOOKUP($A130,'[2]App C Share Inflows'!$A$4:$I$917,7,FALSE)</f>
        <v>0</v>
      </c>
      <c r="AL130" s="2">
        <f>VLOOKUP($A130,'[2]App C Share Inflows'!$A$4:$I$917,8,FALSE)</f>
        <v>0</v>
      </c>
      <c r="AM130" s="2">
        <f>VLOOKUP($A130,'[2]App C Share Inflows'!$A$4:$I$917,6,FALSE)</f>
        <v>0</v>
      </c>
    </row>
    <row r="131" spans="1:39">
      <c r="A131" s="351">
        <v>91061</v>
      </c>
      <c r="B131" s="344" t="s">
        <v>823</v>
      </c>
      <c r="C131" s="235" t="e">
        <f>VLOOKUP(A131,#REF!,10,FALSE)</f>
        <v>#REF!</v>
      </c>
      <c r="E131" s="2">
        <f>VLOOKUP($A131,'[2]App C Total'!$A$4:$I$917,5,FALSE)</f>
        <v>185334</v>
      </c>
      <c r="F131" s="2">
        <f>VLOOKUP($A131,'[2]App C Total'!$A$4:$I$917,6,FALSE)</f>
        <v>54150</v>
      </c>
      <c r="G131" s="2">
        <f>VLOOKUP($A131,'[2]App C Total'!$A$4:$I$917,7,FALSE)</f>
        <v>95089</v>
      </c>
      <c r="H131" s="2">
        <f>VLOOKUP($A131,'[2]App C Total'!$A$4:$I$917,8,FALSE)</f>
        <v>29787</v>
      </c>
      <c r="I131" s="2">
        <f>VLOOKUP($A131,'[2]App C Total'!$A$4:$I$917,9,FALSE)</f>
        <v>0</v>
      </c>
      <c r="J131" s="2"/>
      <c r="K131" s="2">
        <f>VLOOKUP($A131,'[2]App C Exp'!$A$4:$I$917,5,FALSE)</f>
        <v>56987</v>
      </c>
      <c r="L131" s="2">
        <f>VLOOKUP($A131,'[2]App C Exp'!$A$4:$I$917,6,FALSE)</f>
        <v>53606</v>
      </c>
      <c r="M131" s="2">
        <f>VLOOKUP($A131,'[2]App C Exp'!$A$4:$I$917,7,FALSE)</f>
        <v>48046</v>
      </c>
      <c r="N131" s="2">
        <f>VLOOKUP($A131,'[2]App C Exp'!$A$4:$I$917,8,FALSE)</f>
        <v>19237</v>
      </c>
      <c r="O131" s="2">
        <f>VLOOKUP($A131,'[2]App C Exp'!$A$4:$I$917,9,FALSE)</f>
        <v>0</v>
      </c>
      <c r="P131" s="2"/>
      <c r="Q131" s="2">
        <f>VLOOKUP($A131,'[2]App C Inv'!$A$4:$I$917,5,FALSE)</f>
        <v>60499</v>
      </c>
      <c r="R131" s="2">
        <f>VLOOKUP($A131,'[2]App C Inv'!$A$4:$I$917,6,FALSE)</f>
        <v>-52041</v>
      </c>
      <c r="S131" s="2">
        <f>VLOOKUP($A131,'[2]App C Inv'!$A$4:$I$917,7,FALSE)</f>
        <v>7334</v>
      </c>
      <c r="T131" s="2">
        <f>VLOOKUP($A131,'[2]App C Inv'!$A$4:$I$917,8,FALSE)</f>
        <v>9546</v>
      </c>
      <c r="U131" s="2">
        <f>VLOOKUP($A131,'[2]App C Inv'!$A$4:$I$917,9,FALSE)</f>
        <v>0</v>
      </c>
      <c r="V131" s="2"/>
      <c r="W131" s="2">
        <f>VLOOKUP($A131,'[2]App C Assum'!$A$4:$I$917,5,FALSE)</f>
        <v>68153</v>
      </c>
      <c r="X131" s="2">
        <f>VLOOKUP($A131,'[2]App C Assum'!$A$4:$I$917,6,FALSE)</f>
        <v>55834</v>
      </c>
      <c r="Y131" s="2">
        <f>VLOOKUP($A131,'[2]App C Assum'!$A$4:$I$917,7,FALSE)</f>
        <v>45327</v>
      </c>
      <c r="Z131" s="2">
        <f>VLOOKUP($A131,'[2]App C Assum'!$A$4:$I$917,8,FALSE)</f>
        <v>0</v>
      </c>
      <c r="AA131" s="2">
        <f>VLOOKUP($A131,'[2]App C Assum'!$A$4:$I$917,9,FALSE)</f>
        <v>0</v>
      </c>
      <c r="AB131" s="2"/>
      <c r="AC131" s="2">
        <f>VLOOKUP($A131,'[2]App C Share Outflows'!$A$4:$I$917,5,FALSE)</f>
        <v>6315</v>
      </c>
      <c r="AD131" s="2">
        <f>VLOOKUP($A131,'[2]App C Share Outflows'!$A$4:$I$917,6,FALSE)</f>
        <v>3371</v>
      </c>
      <c r="AE131" s="2">
        <f>VLOOKUP($A131,'[2]App C Share Outflows'!$A$4:$I$917,7,FALSE)</f>
        <v>1002</v>
      </c>
      <c r="AF131" s="2">
        <f>VLOOKUP($A131,'[2]App C Share Outflows'!$A$4:$I$917,8,FALSE)</f>
        <v>1004</v>
      </c>
      <c r="AG131" s="2">
        <f>VLOOKUP($A131,'[2]App C Share Outflows'!$A$4:$I$917,9,FALSE)</f>
        <v>0</v>
      </c>
      <c r="AH131" s="2"/>
      <c r="AI131" s="2">
        <f>VLOOKUP($A131,'[2]App C Share Inflows'!$A$4:$I$917,5,FALSE)</f>
        <v>-6620</v>
      </c>
      <c r="AJ131" s="2">
        <f>VLOOKUP($A131,'[2]App C Share Inflows'!$A$4:$I$917,6,FALSE)</f>
        <v>-6620</v>
      </c>
      <c r="AK131" s="2">
        <f>VLOOKUP($A131,'[2]App C Share Inflows'!$A$4:$I$917,7,FALSE)</f>
        <v>-6620</v>
      </c>
      <c r="AL131" s="2">
        <f>VLOOKUP($A131,'[2]App C Share Inflows'!$A$4:$I$917,8,FALSE)</f>
        <v>0</v>
      </c>
      <c r="AM131" s="2">
        <f>VLOOKUP($A131,'[2]App C Share Inflows'!$A$4:$I$917,6,FALSE)</f>
        <v>-6620</v>
      </c>
    </row>
    <row r="132" spans="1:39">
      <c r="A132" s="351">
        <v>91067</v>
      </c>
      <c r="B132" s="344" t="s">
        <v>824</v>
      </c>
      <c r="C132" s="235" t="e">
        <f>VLOOKUP(A132,#REF!,10,FALSE)</f>
        <v>#REF!</v>
      </c>
      <c r="E132" s="2">
        <f>VLOOKUP($A132,'[2]App C Total'!$A$4:$I$917,5,FALSE)</f>
        <v>8634</v>
      </c>
      <c r="F132" s="2">
        <f>VLOOKUP($A132,'[2]App C Total'!$A$4:$I$917,6,FALSE)</f>
        <v>2853</v>
      </c>
      <c r="G132" s="2">
        <f>VLOOKUP($A132,'[2]App C Total'!$A$4:$I$917,7,FALSE)</f>
        <v>4796</v>
      </c>
      <c r="H132" s="2">
        <f>VLOOKUP($A132,'[2]App C Total'!$A$4:$I$917,8,FALSE)</f>
        <v>1346</v>
      </c>
      <c r="I132" s="2">
        <f>VLOOKUP($A132,'[2]App C Total'!$A$4:$I$917,9,FALSE)</f>
        <v>0</v>
      </c>
      <c r="J132" s="2"/>
      <c r="K132" s="2">
        <f>VLOOKUP($A132,'[2]App C Exp'!$A$4:$I$917,5,FALSE)</f>
        <v>2427</v>
      </c>
      <c r="L132" s="2">
        <f>VLOOKUP($A132,'[2]App C Exp'!$A$4:$I$917,6,FALSE)</f>
        <v>2283</v>
      </c>
      <c r="M132" s="2">
        <f>VLOOKUP($A132,'[2]App C Exp'!$A$4:$I$917,7,FALSE)</f>
        <v>2046</v>
      </c>
      <c r="N132" s="2">
        <f>VLOOKUP($A132,'[2]App C Exp'!$A$4:$I$917,8,FALSE)</f>
        <v>819</v>
      </c>
      <c r="O132" s="2">
        <f>VLOOKUP($A132,'[2]App C Exp'!$A$4:$I$917,9,FALSE)</f>
        <v>0</v>
      </c>
      <c r="P132" s="2"/>
      <c r="Q132" s="2">
        <f>VLOOKUP($A132,'[2]App C Inv'!$A$4:$I$917,5,FALSE)</f>
        <v>2576</v>
      </c>
      <c r="R132" s="2">
        <f>VLOOKUP($A132,'[2]App C Inv'!$A$4:$I$917,6,FALSE)</f>
        <v>-2216</v>
      </c>
      <c r="S132" s="2">
        <f>VLOOKUP($A132,'[2]App C Inv'!$A$4:$I$917,7,FALSE)</f>
        <v>312</v>
      </c>
      <c r="T132" s="2">
        <f>VLOOKUP($A132,'[2]App C Inv'!$A$4:$I$917,8,FALSE)</f>
        <v>407</v>
      </c>
      <c r="U132" s="2">
        <f>VLOOKUP($A132,'[2]App C Inv'!$A$4:$I$917,9,FALSE)</f>
        <v>0</v>
      </c>
      <c r="V132" s="2"/>
      <c r="W132" s="2">
        <f>VLOOKUP($A132,'[2]App C Assum'!$A$4:$I$917,5,FALSE)</f>
        <v>2902</v>
      </c>
      <c r="X132" s="2">
        <f>VLOOKUP($A132,'[2]App C Assum'!$A$4:$I$917,6,FALSE)</f>
        <v>2378</v>
      </c>
      <c r="Y132" s="2">
        <f>VLOOKUP($A132,'[2]App C Assum'!$A$4:$I$917,7,FALSE)</f>
        <v>1930</v>
      </c>
      <c r="Z132" s="2">
        <f>VLOOKUP($A132,'[2]App C Assum'!$A$4:$I$917,8,FALSE)</f>
        <v>0</v>
      </c>
      <c r="AA132" s="2">
        <f>VLOOKUP($A132,'[2]App C Assum'!$A$4:$I$917,9,FALSE)</f>
        <v>0</v>
      </c>
      <c r="AB132" s="2"/>
      <c r="AC132" s="2">
        <f>VLOOKUP($A132,'[2]App C Share Outflows'!$A$4:$I$917,5,FALSE)</f>
        <v>831</v>
      </c>
      <c r="AD132" s="2">
        <f>VLOOKUP($A132,'[2]App C Share Outflows'!$A$4:$I$917,6,FALSE)</f>
        <v>509</v>
      </c>
      <c r="AE132" s="2">
        <f>VLOOKUP($A132,'[2]App C Share Outflows'!$A$4:$I$917,7,FALSE)</f>
        <v>508</v>
      </c>
      <c r="AF132" s="2">
        <f>VLOOKUP($A132,'[2]App C Share Outflows'!$A$4:$I$917,8,FALSE)</f>
        <v>120</v>
      </c>
      <c r="AG132" s="2">
        <f>VLOOKUP($A132,'[2]App C Share Outflows'!$A$4:$I$917,9,FALSE)</f>
        <v>0</v>
      </c>
      <c r="AH132" s="2"/>
      <c r="AI132" s="2">
        <f>VLOOKUP($A132,'[2]App C Share Inflows'!$A$4:$I$917,5,FALSE)</f>
        <v>-102</v>
      </c>
      <c r="AJ132" s="2">
        <f>VLOOKUP($A132,'[2]App C Share Inflows'!$A$4:$I$917,6,FALSE)</f>
        <v>-101</v>
      </c>
      <c r="AK132" s="2">
        <f>VLOOKUP($A132,'[2]App C Share Inflows'!$A$4:$I$917,7,FALSE)</f>
        <v>0</v>
      </c>
      <c r="AL132" s="2">
        <f>VLOOKUP($A132,'[2]App C Share Inflows'!$A$4:$I$917,8,FALSE)</f>
        <v>0</v>
      </c>
      <c r="AM132" s="2">
        <f>VLOOKUP($A132,'[2]App C Share Inflows'!$A$4:$I$917,6,FALSE)</f>
        <v>-101</v>
      </c>
    </row>
    <row r="133" spans="1:39">
      <c r="A133" s="351">
        <v>91071</v>
      </c>
      <c r="B133" s="344" t="s">
        <v>3648</v>
      </c>
      <c r="C133" s="235" t="e">
        <f>VLOOKUP(A133,#REF!,10,FALSE)</f>
        <v>#REF!</v>
      </c>
      <c r="E133" s="2">
        <f>VLOOKUP($A133,'[2]App C Total'!$A$4:$I$917,5,FALSE)</f>
        <v>113453</v>
      </c>
      <c r="F133" s="2">
        <f>VLOOKUP($A133,'[2]App C Total'!$A$4:$I$917,6,FALSE)</f>
        <v>31355</v>
      </c>
      <c r="G133" s="2">
        <f>VLOOKUP($A133,'[2]App C Total'!$A$4:$I$917,7,FALSE)</f>
        <v>64196</v>
      </c>
      <c r="H133" s="2">
        <f>VLOOKUP($A133,'[2]App C Total'!$A$4:$I$917,8,FALSE)</f>
        <v>18074</v>
      </c>
      <c r="I133" s="2">
        <f>VLOOKUP($A133,'[2]App C Total'!$A$4:$I$917,9,FALSE)</f>
        <v>0</v>
      </c>
      <c r="J133" s="2"/>
      <c r="K133" s="2">
        <f>VLOOKUP($A133,'[2]App C Exp'!$A$4:$I$917,5,FALSE)</f>
        <v>36688</v>
      </c>
      <c r="L133" s="2">
        <f>VLOOKUP($A133,'[2]App C Exp'!$A$4:$I$917,6,FALSE)</f>
        <v>34511</v>
      </c>
      <c r="M133" s="2">
        <f>VLOOKUP($A133,'[2]App C Exp'!$A$4:$I$917,7,FALSE)</f>
        <v>30932</v>
      </c>
      <c r="N133" s="2">
        <f>VLOOKUP($A133,'[2]App C Exp'!$A$4:$I$917,8,FALSE)</f>
        <v>12385</v>
      </c>
      <c r="O133" s="2">
        <f>VLOOKUP($A133,'[2]App C Exp'!$A$4:$I$917,9,FALSE)</f>
        <v>0</v>
      </c>
      <c r="P133" s="2"/>
      <c r="Q133" s="2">
        <f>VLOOKUP($A133,'[2]App C Inv'!$A$4:$I$917,5,FALSE)</f>
        <v>38949</v>
      </c>
      <c r="R133" s="2">
        <f>VLOOKUP($A133,'[2]App C Inv'!$A$4:$I$917,6,FALSE)</f>
        <v>-33504</v>
      </c>
      <c r="S133" s="2">
        <f>VLOOKUP($A133,'[2]App C Inv'!$A$4:$I$917,7,FALSE)</f>
        <v>4722</v>
      </c>
      <c r="T133" s="2">
        <f>VLOOKUP($A133,'[2]App C Inv'!$A$4:$I$917,8,FALSE)</f>
        <v>6146</v>
      </c>
      <c r="U133" s="2">
        <f>VLOOKUP($A133,'[2]App C Inv'!$A$4:$I$917,9,FALSE)</f>
        <v>0</v>
      </c>
      <c r="V133" s="2"/>
      <c r="W133" s="2">
        <f>VLOOKUP($A133,'[2]App C Assum'!$A$4:$I$917,5,FALSE)</f>
        <v>43877</v>
      </c>
      <c r="X133" s="2">
        <f>VLOOKUP($A133,'[2]App C Assum'!$A$4:$I$917,6,FALSE)</f>
        <v>35945</v>
      </c>
      <c r="Y133" s="2">
        <f>VLOOKUP($A133,'[2]App C Assum'!$A$4:$I$917,7,FALSE)</f>
        <v>29182</v>
      </c>
      <c r="Z133" s="2">
        <f>VLOOKUP($A133,'[2]App C Assum'!$A$4:$I$917,8,FALSE)</f>
        <v>0</v>
      </c>
      <c r="AA133" s="2">
        <f>VLOOKUP($A133,'[2]App C Assum'!$A$4:$I$917,9,FALSE)</f>
        <v>0</v>
      </c>
      <c r="AB133" s="2"/>
      <c r="AC133" s="2">
        <f>VLOOKUP($A133,'[2]App C Share Outflows'!$A$4:$I$917,5,FALSE)</f>
        <v>0</v>
      </c>
      <c r="AD133" s="2">
        <f>VLOOKUP($A133,'[2]App C Share Outflows'!$A$4:$I$917,6,FALSE)</f>
        <v>0</v>
      </c>
      <c r="AE133" s="2">
        <f>VLOOKUP($A133,'[2]App C Share Outflows'!$A$4:$I$917,7,FALSE)</f>
        <v>0</v>
      </c>
      <c r="AF133" s="2">
        <f>VLOOKUP($A133,'[2]App C Share Outflows'!$A$4:$I$917,8,FALSE)</f>
        <v>0</v>
      </c>
      <c r="AG133" s="2">
        <f>VLOOKUP($A133,'[2]App C Share Outflows'!$A$4:$I$917,9,FALSE)</f>
        <v>0</v>
      </c>
      <c r="AH133" s="2"/>
      <c r="AI133" s="2">
        <f>VLOOKUP($A133,'[2]App C Share Inflows'!$A$4:$I$917,5,FALSE)</f>
        <v>-6061</v>
      </c>
      <c r="AJ133" s="2">
        <f>VLOOKUP($A133,'[2]App C Share Inflows'!$A$4:$I$917,6,FALSE)</f>
        <v>-5597</v>
      </c>
      <c r="AK133" s="2">
        <f>VLOOKUP($A133,'[2]App C Share Inflows'!$A$4:$I$917,7,FALSE)</f>
        <v>-640</v>
      </c>
      <c r="AL133" s="2">
        <f>VLOOKUP($A133,'[2]App C Share Inflows'!$A$4:$I$917,8,FALSE)</f>
        <v>-457</v>
      </c>
      <c r="AM133" s="2">
        <f>VLOOKUP($A133,'[2]App C Share Inflows'!$A$4:$I$917,6,FALSE)</f>
        <v>-5597</v>
      </c>
    </row>
    <row r="134" spans="1:39">
      <c r="A134" s="351">
        <v>91077</v>
      </c>
      <c r="B134" s="344" t="s">
        <v>826</v>
      </c>
      <c r="C134" s="235" t="e">
        <f>VLOOKUP(A134,#REF!,10,FALSE)</f>
        <v>#REF!</v>
      </c>
      <c r="E134" s="2">
        <f>VLOOKUP($A134,'[2]App C Total'!$A$4:$I$917,5,FALSE)</f>
        <v>4045</v>
      </c>
      <c r="F134" s="2">
        <f>VLOOKUP($A134,'[2]App C Total'!$A$4:$I$917,6,FALSE)</f>
        <v>1918</v>
      </c>
      <c r="G134" s="2">
        <f>VLOOKUP($A134,'[2]App C Total'!$A$4:$I$917,7,FALSE)</f>
        <v>2334</v>
      </c>
      <c r="H134" s="2">
        <f>VLOOKUP($A134,'[2]App C Total'!$A$4:$I$917,8,FALSE)</f>
        <v>1042</v>
      </c>
      <c r="I134" s="2">
        <f>VLOOKUP($A134,'[2]App C Total'!$A$4:$I$917,9,FALSE)</f>
        <v>0</v>
      </c>
      <c r="J134" s="2"/>
      <c r="K134" s="2">
        <f>VLOOKUP($A134,'[2]App C Exp'!$A$4:$I$917,5,FALSE)</f>
        <v>884</v>
      </c>
      <c r="L134" s="2">
        <f>VLOOKUP($A134,'[2]App C Exp'!$A$4:$I$917,6,FALSE)</f>
        <v>831</v>
      </c>
      <c r="M134" s="2">
        <f>VLOOKUP($A134,'[2]App C Exp'!$A$4:$I$917,7,FALSE)</f>
        <v>745</v>
      </c>
      <c r="N134" s="2">
        <f>VLOOKUP($A134,'[2]App C Exp'!$A$4:$I$917,8,FALSE)</f>
        <v>298</v>
      </c>
      <c r="O134" s="2">
        <f>VLOOKUP($A134,'[2]App C Exp'!$A$4:$I$917,9,FALSE)</f>
        <v>0</v>
      </c>
      <c r="P134" s="2"/>
      <c r="Q134" s="2">
        <f>VLOOKUP($A134,'[2]App C Inv'!$A$4:$I$917,5,FALSE)</f>
        <v>938</v>
      </c>
      <c r="R134" s="2">
        <f>VLOOKUP($A134,'[2]App C Inv'!$A$4:$I$917,6,FALSE)</f>
        <v>-807</v>
      </c>
      <c r="S134" s="2">
        <f>VLOOKUP($A134,'[2]App C Inv'!$A$4:$I$917,7,FALSE)</f>
        <v>114</v>
      </c>
      <c r="T134" s="2">
        <f>VLOOKUP($A134,'[2]App C Inv'!$A$4:$I$917,8,FALSE)</f>
        <v>148</v>
      </c>
      <c r="U134" s="2">
        <f>VLOOKUP($A134,'[2]App C Inv'!$A$4:$I$917,9,FALSE)</f>
        <v>0</v>
      </c>
      <c r="V134" s="2"/>
      <c r="W134" s="2">
        <f>VLOOKUP($A134,'[2]App C Assum'!$A$4:$I$917,5,FALSE)</f>
        <v>1057</v>
      </c>
      <c r="X134" s="2">
        <f>VLOOKUP($A134,'[2]App C Assum'!$A$4:$I$917,6,FALSE)</f>
        <v>866</v>
      </c>
      <c r="Y134" s="2">
        <f>VLOOKUP($A134,'[2]App C Assum'!$A$4:$I$917,7,FALSE)</f>
        <v>703</v>
      </c>
      <c r="Z134" s="2">
        <f>VLOOKUP($A134,'[2]App C Assum'!$A$4:$I$917,8,FALSE)</f>
        <v>0</v>
      </c>
      <c r="AA134" s="2">
        <f>VLOOKUP($A134,'[2]App C Assum'!$A$4:$I$917,9,FALSE)</f>
        <v>0</v>
      </c>
      <c r="AB134" s="2"/>
      <c r="AC134" s="2">
        <f>VLOOKUP($A134,'[2]App C Share Outflows'!$A$4:$I$917,5,FALSE)</f>
        <v>1166</v>
      </c>
      <c r="AD134" s="2">
        <f>VLOOKUP($A134,'[2]App C Share Outflows'!$A$4:$I$917,6,FALSE)</f>
        <v>1028</v>
      </c>
      <c r="AE134" s="2">
        <f>VLOOKUP($A134,'[2]App C Share Outflows'!$A$4:$I$917,7,FALSE)</f>
        <v>772</v>
      </c>
      <c r="AF134" s="2">
        <f>VLOOKUP($A134,'[2]App C Share Outflows'!$A$4:$I$917,8,FALSE)</f>
        <v>596</v>
      </c>
      <c r="AG134" s="2">
        <f>VLOOKUP($A134,'[2]App C Share Outflows'!$A$4:$I$917,9,FALSE)</f>
        <v>0</v>
      </c>
      <c r="AH134" s="2"/>
      <c r="AI134" s="2">
        <f>VLOOKUP($A134,'[2]App C Share Inflows'!$A$4:$I$917,5,FALSE)</f>
        <v>0</v>
      </c>
      <c r="AJ134" s="2">
        <f>VLOOKUP($A134,'[2]App C Share Inflows'!$A$4:$I$917,6,FALSE)</f>
        <v>0</v>
      </c>
      <c r="AK134" s="2">
        <f>VLOOKUP($A134,'[2]App C Share Inflows'!$A$4:$I$917,7,FALSE)</f>
        <v>0</v>
      </c>
      <c r="AL134" s="2">
        <f>VLOOKUP($A134,'[2]App C Share Inflows'!$A$4:$I$917,8,FALSE)</f>
        <v>0</v>
      </c>
      <c r="AM134" s="2">
        <f>VLOOKUP($A134,'[2]App C Share Inflows'!$A$4:$I$917,6,FALSE)</f>
        <v>0</v>
      </c>
    </row>
    <row r="135" spans="1:39">
      <c r="A135" s="351">
        <v>91081</v>
      </c>
      <c r="B135" s="344" t="s">
        <v>827</v>
      </c>
      <c r="C135" s="235" t="e">
        <f>VLOOKUP(A135,#REF!,10,FALSE)</f>
        <v>#REF!</v>
      </c>
      <c r="E135" s="2">
        <f>VLOOKUP($A135,'[2]App C Total'!$A$4:$I$917,5,FALSE)</f>
        <v>217591</v>
      </c>
      <c r="F135" s="2">
        <f>VLOOKUP($A135,'[2]App C Total'!$A$4:$I$917,6,FALSE)</f>
        <v>73251</v>
      </c>
      <c r="G135" s="2">
        <f>VLOOKUP($A135,'[2]App C Total'!$A$4:$I$917,7,FALSE)</f>
        <v>121797</v>
      </c>
      <c r="H135" s="2">
        <f>VLOOKUP($A135,'[2]App C Total'!$A$4:$I$917,8,FALSE)</f>
        <v>36204</v>
      </c>
      <c r="I135" s="2">
        <f>VLOOKUP($A135,'[2]App C Total'!$A$4:$I$917,9,FALSE)</f>
        <v>0</v>
      </c>
      <c r="J135" s="2"/>
      <c r="K135" s="2">
        <f>VLOOKUP($A135,'[2]App C Exp'!$A$4:$I$917,5,FALSE)</f>
        <v>64028</v>
      </c>
      <c r="L135" s="2">
        <f>VLOOKUP($A135,'[2]App C Exp'!$A$4:$I$917,6,FALSE)</f>
        <v>60229</v>
      </c>
      <c r="M135" s="2">
        <f>VLOOKUP($A135,'[2]App C Exp'!$A$4:$I$917,7,FALSE)</f>
        <v>53983</v>
      </c>
      <c r="N135" s="2">
        <f>VLOOKUP($A135,'[2]App C Exp'!$A$4:$I$917,8,FALSE)</f>
        <v>21614</v>
      </c>
      <c r="O135" s="2">
        <f>VLOOKUP($A135,'[2]App C Exp'!$A$4:$I$917,9,FALSE)</f>
        <v>0</v>
      </c>
      <c r="P135" s="2"/>
      <c r="Q135" s="2">
        <f>VLOOKUP($A135,'[2]App C Inv'!$A$4:$I$917,5,FALSE)</f>
        <v>67974</v>
      </c>
      <c r="R135" s="2">
        <f>VLOOKUP($A135,'[2]App C Inv'!$A$4:$I$917,6,FALSE)</f>
        <v>-58470</v>
      </c>
      <c r="S135" s="2">
        <f>VLOOKUP($A135,'[2]App C Inv'!$A$4:$I$917,7,FALSE)</f>
        <v>8241</v>
      </c>
      <c r="T135" s="2">
        <f>VLOOKUP($A135,'[2]App C Inv'!$A$4:$I$917,8,FALSE)</f>
        <v>10725</v>
      </c>
      <c r="U135" s="2">
        <f>VLOOKUP($A135,'[2]App C Inv'!$A$4:$I$917,9,FALSE)</f>
        <v>0</v>
      </c>
      <c r="V135" s="2"/>
      <c r="W135" s="2">
        <f>VLOOKUP($A135,'[2]App C Assum'!$A$4:$I$917,5,FALSE)</f>
        <v>76574</v>
      </c>
      <c r="X135" s="2">
        <f>VLOOKUP($A135,'[2]App C Assum'!$A$4:$I$917,6,FALSE)</f>
        <v>62732</v>
      </c>
      <c r="Y135" s="2">
        <f>VLOOKUP($A135,'[2]App C Assum'!$A$4:$I$917,7,FALSE)</f>
        <v>50928</v>
      </c>
      <c r="Z135" s="2">
        <f>VLOOKUP($A135,'[2]App C Assum'!$A$4:$I$917,8,FALSE)</f>
        <v>0</v>
      </c>
      <c r="AA135" s="2">
        <f>VLOOKUP($A135,'[2]App C Assum'!$A$4:$I$917,9,FALSE)</f>
        <v>0</v>
      </c>
      <c r="AB135" s="2"/>
      <c r="AC135" s="2">
        <f>VLOOKUP($A135,'[2]App C Share Outflows'!$A$4:$I$917,5,FALSE)</f>
        <v>9015</v>
      </c>
      <c r="AD135" s="2">
        <f>VLOOKUP($A135,'[2]App C Share Outflows'!$A$4:$I$917,6,FALSE)</f>
        <v>8760</v>
      </c>
      <c r="AE135" s="2">
        <f>VLOOKUP($A135,'[2]App C Share Outflows'!$A$4:$I$917,7,FALSE)</f>
        <v>8645</v>
      </c>
      <c r="AF135" s="2">
        <f>VLOOKUP($A135,'[2]App C Share Outflows'!$A$4:$I$917,8,FALSE)</f>
        <v>3865</v>
      </c>
      <c r="AG135" s="2">
        <f>VLOOKUP($A135,'[2]App C Share Outflows'!$A$4:$I$917,9,FALSE)</f>
        <v>0</v>
      </c>
      <c r="AH135" s="2"/>
      <c r="AI135" s="2">
        <f>VLOOKUP($A135,'[2]App C Share Inflows'!$A$4:$I$917,5,FALSE)</f>
        <v>0</v>
      </c>
      <c r="AJ135" s="2">
        <f>VLOOKUP($A135,'[2]App C Share Inflows'!$A$4:$I$917,6,FALSE)</f>
        <v>0</v>
      </c>
      <c r="AK135" s="2">
        <f>VLOOKUP($A135,'[2]App C Share Inflows'!$A$4:$I$917,7,FALSE)</f>
        <v>0</v>
      </c>
      <c r="AL135" s="2">
        <f>VLOOKUP($A135,'[2]App C Share Inflows'!$A$4:$I$917,8,FALSE)</f>
        <v>0</v>
      </c>
      <c r="AM135" s="2">
        <f>VLOOKUP($A135,'[2]App C Share Inflows'!$A$4:$I$917,6,FALSE)</f>
        <v>0</v>
      </c>
    </row>
    <row r="136" spans="1:39">
      <c r="A136" s="351">
        <v>91091</v>
      </c>
      <c r="B136" s="344" t="s">
        <v>828</v>
      </c>
      <c r="C136" s="235" t="e">
        <f>VLOOKUP(A136,#REF!,10,FALSE)</f>
        <v>#REF!</v>
      </c>
      <c r="E136" s="2">
        <f>VLOOKUP($A136,'[2]App C Total'!$A$4:$I$917,5,FALSE)</f>
        <v>255972</v>
      </c>
      <c r="F136" s="2">
        <f>VLOOKUP($A136,'[2]App C Total'!$A$4:$I$917,6,FALSE)</f>
        <v>73504</v>
      </c>
      <c r="G136" s="2">
        <f>VLOOKUP($A136,'[2]App C Total'!$A$4:$I$917,7,FALSE)</f>
        <v>144176</v>
      </c>
      <c r="H136" s="2">
        <f>VLOOKUP($A136,'[2]App C Total'!$A$4:$I$917,8,FALSE)</f>
        <v>48076</v>
      </c>
      <c r="I136" s="2">
        <f>VLOOKUP($A136,'[2]App C Total'!$A$4:$I$917,9,FALSE)</f>
        <v>0</v>
      </c>
      <c r="J136" s="2"/>
      <c r="K136" s="2">
        <f>VLOOKUP($A136,'[2]App C Exp'!$A$4:$I$917,5,FALSE)</f>
        <v>81705</v>
      </c>
      <c r="L136" s="2">
        <f>VLOOKUP($A136,'[2]App C Exp'!$A$4:$I$917,6,FALSE)</f>
        <v>76858</v>
      </c>
      <c r="M136" s="2">
        <f>VLOOKUP($A136,'[2]App C Exp'!$A$4:$I$917,7,FALSE)</f>
        <v>68887</v>
      </c>
      <c r="N136" s="2">
        <f>VLOOKUP($A136,'[2]App C Exp'!$A$4:$I$917,8,FALSE)</f>
        <v>27581</v>
      </c>
      <c r="O136" s="2">
        <f>VLOOKUP($A136,'[2]App C Exp'!$A$4:$I$917,9,FALSE)</f>
        <v>0</v>
      </c>
      <c r="P136" s="2"/>
      <c r="Q136" s="2">
        <f>VLOOKUP($A136,'[2]App C Inv'!$A$4:$I$917,5,FALSE)</f>
        <v>86741</v>
      </c>
      <c r="R136" s="2">
        <f>VLOOKUP($A136,'[2]App C Inv'!$A$4:$I$917,6,FALSE)</f>
        <v>-74613</v>
      </c>
      <c r="S136" s="2">
        <f>VLOOKUP($A136,'[2]App C Inv'!$A$4:$I$917,7,FALSE)</f>
        <v>10516</v>
      </c>
      <c r="T136" s="2">
        <f>VLOOKUP($A136,'[2]App C Inv'!$A$4:$I$917,8,FALSE)</f>
        <v>13686</v>
      </c>
      <c r="U136" s="2">
        <f>VLOOKUP($A136,'[2]App C Inv'!$A$4:$I$917,9,FALSE)</f>
        <v>0</v>
      </c>
      <c r="V136" s="2"/>
      <c r="W136" s="2">
        <f>VLOOKUP($A136,'[2]App C Assum'!$A$4:$I$917,5,FALSE)</f>
        <v>97715</v>
      </c>
      <c r="X136" s="2">
        <f>VLOOKUP($A136,'[2]App C Assum'!$A$4:$I$917,6,FALSE)</f>
        <v>80052</v>
      </c>
      <c r="Y136" s="2">
        <f>VLOOKUP($A136,'[2]App C Assum'!$A$4:$I$917,7,FALSE)</f>
        <v>64988</v>
      </c>
      <c r="Z136" s="2">
        <f>VLOOKUP($A136,'[2]App C Assum'!$A$4:$I$917,8,FALSE)</f>
        <v>0</v>
      </c>
      <c r="AA136" s="2">
        <f>VLOOKUP($A136,'[2]App C Assum'!$A$4:$I$917,9,FALSE)</f>
        <v>0</v>
      </c>
      <c r="AB136" s="2"/>
      <c r="AC136" s="2">
        <f>VLOOKUP($A136,'[2]App C Share Outflows'!$A$4:$I$917,5,FALSE)</f>
        <v>6809</v>
      </c>
      <c r="AD136" s="2">
        <f>VLOOKUP($A136,'[2]App C Share Outflows'!$A$4:$I$917,6,FALSE)</f>
        <v>6809</v>
      </c>
      <c r="AE136" s="2">
        <f>VLOOKUP($A136,'[2]App C Share Outflows'!$A$4:$I$917,7,FALSE)</f>
        <v>6809</v>
      </c>
      <c r="AF136" s="2">
        <f>VLOOKUP($A136,'[2]App C Share Outflows'!$A$4:$I$917,8,FALSE)</f>
        <v>6809</v>
      </c>
      <c r="AG136" s="2">
        <f>VLOOKUP($A136,'[2]App C Share Outflows'!$A$4:$I$917,9,FALSE)</f>
        <v>0</v>
      </c>
      <c r="AH136" s="2"/>
      <c r="AI136" s="2">
        <f>VLOOKUP($A136,'[2]App C Share Inflows'!$A$4:$I$917,5,FALSE)</f>
        <v>-16998</v>
      </c>
      <c r="AJ136" s="2">
        <f>VLOOKUP($A136,'[2]App C Share Inflows'!$A$4:$I$917,6,FALSE)</f>
        <v>-15602</v>
      </c>
      <c r="AK136" s="2">
        <f>VLOOKUP($A136,'[2]App C Share Inflows'!$A$4:$I$917,7,FALSE)</f>
        <v>-7024</v>
      </c>
      <c r="AL136" s="2">
        <f>VLOOKUP($A136,'[2]App C Share Inflows'!$A$4:$I$917,8,FALSE)</f>
        <v>0</v>
      </c>
      <c r="AM136" s="2">
        <f>VLOOKUP($A136,'[2]App C Share Inflows'!$A$4:$I$917,6,FALSE)</f>
        <v>-15602</v>
      </c>
    </row>
    <row r="137" spans="1:39">
      <c r="A137" s="351">
        <v>91101</v>
      </c>
      <c r="B137" s="344" t="s">
        <v>829</v>
      </c>
      <c r="C137" s="235" t="e">
        <f>VLOOKUP(A137,#REF!,10,FALSE)</f>
        <v>#REF!</v>
      </c>
      <c r="E137" s="2">
        <f>VLOOKUP($A137,'[2]App C Total'!$A$4:$I$917,5,FALSE)</f>
        <v>6139749</v>
      </c>
      <c r="F137" s="2">
        <f>VLOOKUP($A137,'[2]App C Total'!$A$4:$I$917,6,FALSE)</f>
        <v>1735439</v>
      </c>
      <c r="G137" s="2">
        <f>VLOOKUP($A137,'[2]App C Total'!$A$4:$I$917,7,FALSE)</f>
        <v>3332694</v>
      </c>
      <c r="H137" s="2">
        <f>VLOOKUP($A137,'[2]App C Total'!$A$4:$I$917,8,FALSE)</f>
        <v>869328</v>
      </c>
      <c r="I137" s="2">
        <f>VLOOKUP($A137,'[2]App C Total'!$A$4:$I$917,9,FALSE)</f>
        <v>0</v>
      </c>
      <c r="J137" s="2"/>
      <c r="K137" s="2">
        <f>VLOOKUP($A137,'[2]App C Exp'!$A$4:$I$917,5,FALSE)</f>
        <v>1990546</v>
      </c>
      <c r="L137" s="2">
        <f>VLOOKUP($A137,'[2]App C Exp'!$A$4:$I$917,6,FALSE)</f>
        <v>1872460</v>
      </c>
      <c r="M137" s="2">
        <f>VLOOKUP($A137,'[2]App C Exp'!$A$4:$I$917,7,FALSE)</f>
        <v>1678265</v>
      </c>
      <c r="N137" s="2">
        <f>VLOOKUP($A137,'[2]App C Exp'!$A$4:$I$917,8,FALSE)</f>
        <v>671957</v>
      </c>
      <c r="O137" s="2">
        <f>VLOOKUP($A137,'[2]App C Exp'!$A$4:$I$917,9,FALSE)</f>
        <v>0</v>
      </c>
      <c r="P137" s="2"/>
      <c r="Q137" s="2">
        <f>VLOOKUP($A137,'[2]App C Inv'!$A$4:$I$917,5,FALSE)</f>
        <v>2113241</v>
      </c>
      <c r="R137" s="2">
        <f>VLOOKUP($A137,'[2]App C Inv'!$A$4:$I$917,6,FALSE)</f>
        <v>-1817783</v>
      </c>
      <c r="S137" s="2">
        <f>VLOOKUP($A137,'[2]App C Inv'!$A$4:$I$917,7,FALSE)</f>
        <v>256194</v>
      </c>
      <c r="T137" s="2">
        <f>VLOOKUP($A137,'[2]App C Inv'!$A$4:$I$917,8,FALSE)</f>
        <v>333434</v>
      </c>
      <c r="U137" s="2">
        <f>VLOOKUP($A137,'[2]App C Inv'!$A$4:$I$917,9,FALSE)</f>
        <v>0</v>
      </c>
      <c r="V137" s="2"/>
      <c r="W137" s="2">
        <f>VLOOKUP($A137,'[2]App C Assum'!$A$4:$I$917,5,FALSE)</f>
        <v>2380597</v>
      </c>
      <c r="X137" s="2">
        <f>VLOOKUP($A137,'[2]App C Assum'!$A$4:$I$917,6,FALSE)</f>
        <v>1950271</v>
      </c>
      <c r="Y137" s="2">
        <f>VLOOKUP($A137,'[2]App C Assum'!$A$4:$I$917,7,FALSE)</f>
        <v>1583287</v>
      </c>
      <c r="Z137" s="2">
        <f>VLOOKUP($A137,'[2]App C Assum'!$A$4:$I$917,8,FALSE)</f>
        <v>0</v>
      </c>
      <c r="AA137" s="2">
        <f>VLOOKUP($A137,'[2]App C Assum'!$A$4:$I$917,9,FALSE)</f>
        <v>0</v>
      </c>
      <c r="AB137" s="2"/>
      <c r="AC137" s="2">
        <f>VLOOKUP($A137,'[2]App C Share Outflows'!$A$4:$I$917,5,FALSE)</f>
        <v>0</v>
      </c>
      <c r="AD137" s="2">
        <f>VLOOKUP($A137,'[2]App C Share Outflows'!$A$4:$I$917,6,FALSE)</f>
        <v>0</v>
      </c>
      <c r="AE137" s="2">
        <f>VLOOKUP($A137,'[2]App C Share Outflows'!$A$4:$I$917,7,FALSE)</f>
        <v>0</v>
      </c>
      <c r="AF137" s="2">
        <f>VLOOKUP($A137,'[2]App C Share Outflows'!$A$4:$I$917,8,FALSE)</f>
        <v>0</v>
      </c>
      <c r="AG137" s="2">
        <f>VLOOKUP($A137,'[2]App C Share Outflows'!$A$4:$I$917,9,FALSE)</f>
        <v>0</v>
      </c>
      <c r="AH137" s="2"/>
      <c r="AI137" s="2">
        <f>VLOOKUP($A137,'[2]App C Share Inflows'!$A$4:$I$917,5,FALSE)</f>
        <v>-344635</v>
      </c>
      <c r="AJ137" s="2">
        <f>VLOOKUP($A137,'[2]App C Share Inflows'!$A$4:$I$917,6,FALSE)</f>
        <v>-269509</v>
      </c>
      <c r="AK137" s="2">
        <f>VLOOKUP($A137,'[2]App C Share Inflows'!$A$4:$I$917,7,FALSE)</f>
        <v>-185052</v>
      </c>
      <c r="AL137" s="2">
        <f>VLOOKUP($A137,'[2]App C Share Inflows'!$A$4:$I$917,8,FALSE)</f>
        <v>-136063</v>
      </c>
      <c r="AM137" s="2">
        <f>VLOOKUP($A137,'[2]App C Share Inflows'!$A$4:$I$917,6,FALSE)</f>
        <v>-269509</v>
      </c>
    </row>
    <row r="138" spans="1:39">
      <c r="A138" s="351">
        <v>91102</v>
      </c>
      <c r="B138" s="344" t="s">
        <v>830</v>
      </c>
      <c r="C138" s="235" t="e">
        <f>VLOOKUP(A138,#REF!,10,FALSE)</f>
        <v>#REF!</v>
      </c>
      <c r="E138" s="2">
        <f>VLOOKUP($A138,'[2]App C Total'!$A$4:$I$917,5,FALSE)</f>
        <v>169172</v>
      </c>
      <c r="F138" s="2">
        <f>VLOOKUP($A138,'[2]App C Total'!$A$4:$I$917,6,FALSE)</f>
        <v>54624</v>
      </c>
      <c r="G138" s="2">
        <f>VLOOKUP($A138,'[2]App C Total'!$A$4:$I$917,7,FALSE)</f>
        <v>86545</v>
      </c>
      <c r="H138" s="2">
        <f>VLOOKUP($A138,'[2]App C Total'!$A$4:$I$917,8,FALSE)</f>
        <v>24855</v>
      </c>
      <c r="I138" s="2">
        <f>VLOOKUP($A138,'[2]App C Total'!$A$4:$I$917,9,FALSE)</f>
        <v>0</v>
      </c>
      <c r="J138" s="2"/>
      <c r="K138" s="2">
        <f>VLOOKUP($A138,'[2]App C Exp'!$A$4:$I$917,5,FALSE)</f>
        <v>49122</v>
      </c>
      <c r="L138" s="2">
        <f>VLOOKUP($A138,'[2]App C Exp'!$A$4:$I$917,6,FALSE)</f>
        <v>46208</v>
      </c>
      <c r="M138" s="2">
        <f>VLOOKUP($A138,'[2]App C Exp'!$A$4:$I$917,7,FALSE)</f>
        <v>41415</v>
      </c>
      <c r="N138" s="2">
        <f>VLOOKUP($A138,'[2]App C Exp'!$A$4:$I$917,8,FALSE)</f>
        <v>16582</v>
      </c>
      <c r="O138" s="2">
        <f>VLOOKUP($A138,'[2]App C Exp'!$A$4:$I$917,9,FALSE)</f>
        <v>0</v>
      </c>
      <c r="P138" s="2"/>
      <c r="Q138" s="2">
        <f>VLOOKUP($A138,'[2]App C Inv'!$A$4:$I$917,5,FALSE)</f>
        <v>52150</v>
      </c>
      <c r="R138" s="2">
        <f>VLOOKUP($A138,'[2]App C Inv'!$A$4:$I$917,6,FALSE)</f>
        <v>-44858</v>
      </c>
      <c r="S138" s="2">
        <f>VLOOKUP($A138,'[2]App C Inv'!$A$4:$I$917,7,FALSE)</f>
        <v>6322</v>
      </c>
      <c r="T138" s="2">
        <f>VLOOKUP($A138,'[2]App C Inv'!$A$4:$I$917,8,FALSE)</f>
        <v>8228</v>
      </c>
      <c r="U138" s="2">
        <f>VLOOKUP($A138,'[2]App C Inv'!$A$4:$I$917,9,FALSE)</f>
        <v>0</v>
      </c>
      <c r="V138" s="2"/>
      <c r="W138" s="2">
        <f>VLOOKUP($A138,'[2]App C Assum'!$A$4:$I$917,5,FALSE)</f>
        <v>58747</v>
      </c>
      <c r="X138" s="2">
        <f>VLOOKUP($A138,'[2]App C Assum'!$A$4:$I$917,6,FALSE)</f>
        <v>48128</v>
      </c>
      <c r="Y138" s="2">
        <f>VLOOKUP($A138,'[2]App C Assum'!$A$4:$I$917,7,FALSE)</f>
        <v>39072</v>
      </c>
      <c r="Z138" s="2">
        <f>VLOOKUP($A138,'[2]App C Assum'!$A$4:$I$917,8,FALSE)</f>
        <v>0</v>
      </c>
      <c r="AA138" s="2">
        <f>VLOOKUP($A138,'[2]App C Assum'!$A$4:$I$917,9,FALSE)</f>
        <v>0</v>
      </c>
      <c r="AB138" s="2"/>
      <c r="AC138" s="2">
        <f>VLOOKUP($A138,'[2]App C Share Outflows'!$A$4:$I$917,5,FALSE)</f>
        <v>9461</v>
      </c>
      <c r="AD138" s="2">
        <f>VLOOKUP($A138,'[2]App C Share Outflows'!$A$4:$I$917,6,FALSE)</f>
        <v>5454</v>
      </c>
      <c r="AE138" s="2">
        <f>VLOOKUP($A138,'[2]App C Share Outflows'!$A$4:$I$917,7,FALSE)</f>
        <v>45</v>
      </c>
      <c r="AF138" s="2">
        <f>VLOOKUP($A138,'[2]App C Share Outflows'!$A$4:$I$917,8,FALSE)</f>
        <v>45</v>
      </c>
      <c r="AG138" s="2">
        <f>VLOOKUP($A138,'[2]App C Share Outflows'!$A$4:$I$917,9,FALSE)</f>
        <v>0</v>
      </c>
      <c r="AH138" s="2"/>
      <c r="AI138" s="2">
        <f>VLOOKUP($A138,'[2]App C Share Inflows'!$A$4:$I$917,5,FALSE)</f>
        <v>-308</v>
      </c>
      <c r="AJ138" s="2">
        <f>VLOOKUP($A138,'[2]App C Share Inflows'!$A$4:$I$917,6,FALSE)</f>
        <v>-308</v>
      </c>
      <c r="AK138" s="2">
        <f>VLOOKUP($A138,'[2]App C Share Inflows'!$A$4:$I$917,7,FALSE)</f>
        <v>-309</v>
      </c>
      <c r="AL138" s="2">
        <f>VLOOKUP($A138,'[2]App C Share Inflows'!$A$4:$I$917,8,FALSE)</f>
        <v>0</v>
      </c>
      <c r="AM138" s="2">
        <f>VLOOKUP($A138,'[2]App C Share Inflows'!$A$4:$I$917,6,FALSE)</f>
        <v>-308</v>
      </c>
    </row>
    <row r="139" spans="1:39">
      <c r="A139" s="351">
        <v>91104</v>
      </c>
      <c r="B139" s="344" t="s">
        <v>831</v>
      </c>
      <c r="C139" s="235" t="e">
        <f>VLOOKUP(A139,#REF!,10,FALSE)</f>
        <v>#REF!</v>
      </c>
      <c r="E139" s="2">
        <f>VLOOKUP($A139,'[2]App C Total'!$A$4:$I$917,5,FALSE)</f>
        <v>12025</v>
      </c>
      <c r="F139" s="2">
        <f>VLOOKUP($A139,'[2]App C Total'!$A$4:$I$917,6,FALSE)</f>
        <v>6256</v>
      </c>
      <c r="G139" s="2">
        <f>VLOOKUP($A139,'[2]App C Total'!$A$4:$I$917,7,FALSE)</f>
        <v>7799</v>
      </c>
      <c r="H139" s="2">
        <f>VLOOKUP($A139,'[2]App C Total'!$A$4:$I$917,8,FALSE)</f>
        <v>3935</v>
      </c>
      <c r="I139" s="2">
        <f>VLOOKUP($A139,'[2]App C Total'!$A$4:$I$917,9,FALSE)</f>
        <v>0</v>
      </c>
      <c r="J139" s="2"/>
      <c r="K139" s="2">
        <f>VLOOKUP($A139,'[2]App C Exp'!$A$4:$I$917,5,FALSE)</f>
        <v>2487</v>
      </c>
      <c r="L139" s="2">
        <f>VLOOKUP($A139,'[2]App C Exp'!$A$4:$I$917,6,FALSE)</f>
        <v>2339</v>
      </c>
      <c r="M139" s="2">
        <f>VLOOKUP($A139,'[2]App C Exp'!$A$4:$I$917,7,FALSE)</f>
        <v>2097</v>
      </c>
      <c r="N139" s="2">
        <f>VLOOKUP($A139,'[2]App C Exp'!$A$4:$I$917,8,FALSE)</f>
        <v>839</v>
      </c>
      <c r="O139" s="2">
        <f>VLOOKUP($A139,'[2]App C Exp'!$A$4:$I$917,9,FALSE)</f>
        <v>0</v>
      </c>
      <c r="P139" s="2"/>
      <c r="Q139" s="2">
        <f>VLOOKUP($A139,'[2]App C Inv'!$A$4:$I$917,5,FALSE)</f>
        <v>2640</v>
      </c>
      <c r="R139" s="2">
        <f>VLOOKUP($A139,'[2]App C Inv'!$A$4:$I$917,6,FALSE)</f>
        <v>-2271</v>
      </c>
      <c r="S139" s="2">
        <f>VLOOKUP($A139,'[2]App C Inv'!$A$4:$I$917,7,FALSE)</f>
        <v>320</v>
      </c>
      <c r="T139" s="2">
        <f>VLOOKUP($A139,'[2]App C Inv'!$A$4:$I$917,8,FALSE)</f>
        <v>417</v>
      </c>
      <c r="U139" s="2">
        <f>VLOOKUP($A139,'[2]App C Inv'!$A$4:$I$917,9,FALSE)</f>
        <v>0</v>
      </c>
      <c r="V139" s="2"/>
      <c r="W139" s="2">
        <f>VLOOKUP($A139,'[2]App C Assum'!$A$4:$I$917,5,FALSE)</f>
        <v>2974</v>
      </c>
      <c r="X139" s="2">
        <f>VLOOKUP($A139,'[2]App C Assum'!$A$4:$I$917,6,FALSE)</f>
        <v>2436</v>
      </c>
      <c r="Y139" s="2">
        <f>VLOOKUP($A139,'[2]App C Assum'!$A$4:$I$917,7,FALSE)</f>
        <v>1978</v>
      </c>
      <c r="Z139" s="2">
        <f>VLOOKUP($A139,'[2]App C Assum'!$A$4:$I$917,8,FALSE)</f>
        <v>0</v>
      </c>
      <c r="AA139" s="2">
        <f>VLOOKUP($A139,'[2]App C Assum'!$A$4:$I$917,9,FALSE)</f>
        <v>0</v>
      </c>
      <c r="AB139" s="2"/>
      <c r="AC139" s="2">
        <f>VLOOKUP($A139,'[2]App C Share Outflows'!$A$4:$I$917,5,FALSE)</f>
        <v>3924</v>
      </c>
      <c r="AD139" s="2">
        <f>VLOOKUP($A139,'[2]App C Share Outflows'!$A$4:$I$917,6,FALSE)</f>
        <v>3752</v>
      </c>
      <c r="AE139" s="2">
        <f>VLOOKUP($A139,'[2]App C Share Outflows'!$A$4:$I$917,7,FALSE)</f>
        <v>3404</v>
      </c>
      <c r="AF139" s="2">
        <f>VLOOKUP($A139,'[2]App C Share Outflows'!$A$4:$I$917,8,FALSE)</f>
        <v>2679</v>
      </c>
      <c r="AG139" s="2">
        <f>VLOOKUP($A139,'[2]App C Share Outflows'!$A$4:$I$917,9,FALSE)</f>
        <v>0</v>
      </c>
      <c r="AH139" s="2"/>
      <c r="AI139" s="2">
        <f>VLOOKUP($A139,'[2]App C Share Inflows'!$A$4:$I$917,5,FALSE)</f>
        <v>0</v>
      </c>
      <c r="AJ139" s="2">
        <f>VLOOKUP($A139,'[2]App C Share Inflows'!$A$4:$I$917,6,FALSE)</f>
        <v>0</v>
      </c>
      <c r="AK139" s="2">
        <f>VLOOKUP($A139,'[2]App C Share Inflows'!$A$4:$I$917,7,FALSE)</f>
        <v>0</v>
      </c>
      <c r="AL139" s="2">
        <f>VLOOKUP($A139,'[2]App C Share Inflows'!$A$4:$I$917,8,FALSE)</f>
        <v>0</v>
      </c>
      <c r="AM139" s="2">
        <f>VLOOKUP($A139,'[2]App C Share Inflows'!$A$4:$I$917,6,FALSE)</f>
        <v>0</v>
      </c>
    </row>
    <row r="140" spans="1:39">
      <c r="A140" s="351">
        <v>91107</v>
      </c>
      <c r="B140" s="344" t="s">
        <v>3649</v>
      </c>
      <c r="C140" s="235" t="e">
        <f>VLOOKUP(A140,#REF!,10,FALSE)</f>
        <v>#REF!</v>
      </c>
      <c r="E140" s="2">
        <f>VLOOKUP($A140,'[2]App C Total'!$A$4:$I$917,5,FALSE)</f>
        <v>30946</v>
      </c>
      <c r="F140" s="2">
        <f>VLOOKUP($A140,'[2]App C Total'!$A$4:$I$917,6,FALSE)</f>
        <v>10869</v>
      </c>
      <c r="G140" s="2">
        <f>VLOOKUP($A140,'[2]App C Total'!$A$4:$I$917,7,FALSE)</f>
        <v>15770</v>
      </c>
      <c r="H140" s="2">
        <f>VLOOKUP($A140,'[2]App C Total'!$A$4:$I$917,8,FALSE)</f>
        <v>6215</v>
      </c>
      <c r="I140" s="2">
        <f>VLOOKUP($A140,'[2]App C Total'!$A$4:$I$917,9,FALSE)</f>
        <v>0</v>
      </c>
      <c r="J140" s="2"/>
      <c r="K140" s="2">
        <f>VLOOKUP($A140,'[2]App C Exp'!$A$4:$I$917,5,FALSE)</f>
        <v>8164</v>
      </c>
      <c r="L140" s="2">
        <f>VLOOKUP($A140,'[2]App C Exp'!$A$4:$I$917,6,FALSE)</f>
        <v>7680</v>
      </c>
      <c r="M140" s="2">
        <f>VLOOKUP($A140,'[2]App C Exp'!$A$4:$I$917,7,FALSE)</f>
        <v>6884</v>
      </c>
      <c r="N140" s="2">
        <f>VLOOKUP($A140,'[2]App C Exp'!$A$4:$I$917,8,FALSE)</f>
        <v>2756</v>
      </c>
      <c r="O140" s="2">
        <f>VLOOKUP($A140,'[2]App C Exp'!$A$4:$I$917,9,FALSE)</f>
        <v>0</v>
      </c>
      <c r="P140" s="2"/>
      <c r="Q140" s="2">
        <f>VLOOKUP($A140,'[2]App C Inv'!$A$4:$I$917,5,FALSE)</f>
        <v>8668</v>
      </c>
      <c r="R140" s="2">
        <f>VLOOKUP($A140,'[2]App C Inv'!$A$4:$I$917,6,FALSE)</f>
        <v>-7456</v>
      </c>
      <c r="S140" s="2">
        <f>VLOOKUP($A140,'[2]App C Inv'!$A$4:$I$917,7,FALSE)</f>
        <v>1051</v>
      </c>
      <c r="T140" s="2">
        <f>VLOOKUP($A140,'[2]App C Inv'!$A$4:$I$917,8,FALSE)</f>
        <v>1368</v>
      </c>
      <c r="U140" s="2">
        <f>VLOOKUP($A140,'[2]App C Inv'!$A$4:$I$917,9,FALSE)</f>
        <v>0</v>
      </c>
      <c r="V140" s="2"/>
      <c r="W140" s="2">
        <f>VLOOKUP($A140,'[2]App C Assum'!$A$4:$I$917,5,FALSE)</f>
        <v>9764</v>
      </c>
      <c r="X140" s="2">
        <f>VLOOKUP($A140,'[2]App C Assum'!$A$4:$I$917,6,FALSE)</f>
        <v>7999</v>
      </c>
      <c r="Y140" s="2">
        <f>VLOOKUP($A140,'[2]App C Assum'!$A$4:$I$917,7,FALSE)</f>
        <v>6494</v>
      </c>
      <c r="Z140" s="2">
        <f>VLOOKUP($A140,'[2]App C Assum'!$A$4:$I$917,8,FALSE)</f>
        <v>0</v>
      </c>
      <c r="AA140" s="2">
        <f>VLOOKUP($A140,'[2]App C Assum'!$A$4:$I$917,9,FALSE)</f>
        <v>0</v>
      </c>
      <c r="AB140" s="2"/>
      <c r="AC140" s="2">
        <f>VLOOKUP($A140,'[2]App C Share Outflows'!$A$4:$I$917,5,FALSE)</f>
        <v>5103</v>
      </c>
      <c r="AD140" s="2">
        <f>VLOOKUP($A140,'[2]App C Share Outflows'!$A$4:$I$917,6,FALSE)</f>
        <v>3399</v>
      </c>
      <c r="AE140" s="2">
        <f>VLOOKUP($A140,'[2]App C Share Outflows'!$A$4:$I$917,7,FALSE)</f>
        <v>2092</v>
      </c>
      <c r="AF140" s="2">
        <f>VLOOKUP($A140,'[2]App C Share Outflows'!$A$4:$I$917,8,FALSE)</f>
        <v>2091</v>
      </c>
      <c r="AG140" s="2">
        <f>VLOOKUP($A140,'[2]App C Share Outflows'!$A$4:$I$917,9,FALSE)</f>
        <v>0</v>
      </c>
      <c r="AH140" s="2"/>
      <c r="AI140" s="2">
        <f>VLOOKUP($A140,'[2]App C Share Inflows'!$A$4:$I$917,5,FALSE)</f>
        <v>-753</v>
      </c>
      <c r="AJ140" s="2">
        <f>VLOOKUP($A140,'[2]App C Share Inflows'!$A$4:$I$917,6,FALSE)</f>
        <v>-753</v>
      </c>
      <c r="AK140" s="2">
        <f>VLOOKUP($A140,'[2]App C Share Inflows'!$A$4:$I$917,7,FALSE)</f>
        <v>-751</v>
      </c>
      <c r="AL140" s="2">
        <f>VLOOKUP($A140,'[2]App C Share Inflows'!$A$4:$I$917,8,FALSE)</f>
        <v>0</v>
      </c>
      <c r="AM140" s="2">
        <f>VLOOKUP($A140,'[2]App C Share Inflows'!$A$4:$I$917,6,FALSE)</f>
        <v>-753</v>
      </c>
    </row>
    <row r="141" spans="1:39">
      <c r="A141" s="351">
        <v>91108</v>
      </c>
      <c r="B141" s="344" t="s">
        <v>3650</v>
      </c>
      <c r="C141" s="235" t="e">
        <f>VLOOKUP(A141,#REF!,10,FALSE)</f>
        <v>#REF!</v>
      </c>
      <c r="E141" s="2">
        <f>VLOOKUP($A141,'[2]App C Total'!$A$4:$I$917,5,FALSE)</f>
        <v>611560</v>
      </c>
      <c r="F141" s="2">
        <f>VLOOKUP($A141,'[2]App C Total'!$A$4:$I$917,6,FALSE)</f>
        <v>202832</v>
      </c>
      <c r="G141" s="2">
        <f>VLOOKUP($A141,'[2]App C Total'!$A$4:$I$917,7,FALSE)</f>
        <v>333422</v>
      </c>
      <c r="H141" s="2">
        <f>VLOOKUP($A141,'[2]App C Total'!$A$4:$I$917,8,FALSE)</f>
        <v>101847</v>
      </c>
      <c r="I141" s="2">
        <f>VLOOKUP($A141,'[2]App C Total'!$A$4:$I$917,9,FALSE)</f>
        <v>0</v>
      </c>
      <c r="J141" s="2"/>
      <c r="K141" s="2">
        <f>VLOOKUP($A141,'[2]App C Exp'!$A$4:$I$917,5,FALSE)</f>
        <v>178705</v>
      </c>
      <c r="L141" s="2">
        <f>VLOOKUP($A141,'[2]App C Exp'!$A$4:$I$917,6,FALSE)</f>
        <v>168103</v>
      </c>
      <c r="M141" s="2">
        <f>VLOOKUP($A141,'[2]App C Exp'!$A$4:$I$917,7,FALSE)</f>
        <v>150669</v>
      </c>
      <c r="N141" s="2">
        <f>VLOOKUP($A141,'[2]App C Exp'!$A$4:$I$917,8,FALSE)</f>
        <v>60326</v>
      </c>
      <c r="O141" s="2">
        <f>VLOOKUP($A141,'[2]App C Exp'!$A$4:$I$917,9,FALSE)</f>
        <v>0</v>
      </c>
      <c r="P141" s="2"/>
      <c r="Q141" s="2">
        <f>VLOOKUP($A141,'[2]App C Inv'!$A$4:$I$917,5,FALSE)</f>
        <v>189720</v>
      </c>
      <c r="R141" s="2">
        <f>VLOOKUP($A141,'[2]App C Inv'!$A$4:$I$917,6,FALSE)</f>
        <v>-163195</v>
      </c>
      <c r="S141" s="2">
        <f>VLOOKUP($A141,'[2]App C Inv'!$A$4:$I$917,7,FALSE)</f>
        <v>23000</v>
      </c>
      <c r="T141" s="2">
        <f>VLOOKUP($A141,'[2]App C Inv'!$A$4:$I$917,8,FALSE)</f>
        <v>29935</v>
      </c>
      <c r="U141" s="2">
        <f>VLOOKUP($A141,'[2]App C Inv'!$A$4:$I$917,9,FALSE)</f>
        <v>0</v>
      </c>
      <c r="V141" s="2"/>
      <c r="W141" s="2">
        <f>VLOOKUP($A141,'[2]App C Assum'!$A$4:$I$917,5,FALSE)</f>
        <v>213722</v>
      </c>
      <c r="X141" s="2">
        <f>VLOOKUP($A141,'[2]App C Assum'!$A$4:$I$917,6,FALSE)</f>
        <v>175089</v>
      </c>
      <c r="Y141" s="2">
        <f>VLOOKUP($A141,'[2]App C Assum'!$A$4:$I$917,7,FALSE)</f>
        <v>142142</v>
      </c>
      <c r="Z141" s="2">
        <f>VLOOKUP($A141,'[2]App C Assum'!$A$4:$I$917,8,FALSE)</f>
        <v>0</v>
      </c>
      <c r="AA141" s="2">
        <f>VLOOKUP($A141,'[2]App C Assum'!$A$4:$I$917,9,FALSE)</f>
        <v>0</v>
      </c>
      <c r="AB141" s="2"/>
      <c r="AC141" s="2">
        <f>VLOOKUP($A141,'[2]App C Share Outflows'!$A$4:$I$917,5,FALSE)</f>
        <v>29413</v>
      </c>
      <c r="AD141" s="2">
        <f>VLOOKUP($A141,'[2]App C Share Outflows'!$A$4:$I$917,6,FALSE)</f>
        <v>22835</v>
      </c>
      <c r="AE141" s="2">
        <f>VLOOKUP($A141,'[2]App C Share Outflows'!$A$4:$I$917,7,FALSE)</f>
        <v>17611</v>
      </c>
      <c r="AF141" s="2">
        <f>VLOOKUP($A141,'[2]App C Share Outflows'!$A$4:$I$917,8,FALSE)</f>
        <v>11586</v>
      </c>
      <c r="AG141" s="2">
        <f>VLOOKUP($A141,'[2]App C Share Outflows'!$A$4:$I$917,9,FALSE)</f>
        <v>0</v>
      </c>
      <c r="AH141" s="2"/>
      <c r="AI141" s="2">
        <f>VLOOKUP($A141,'[2]App C Share Inflows'!$A$4:$I$917,5,FALSE)</f>
        <v>0</v>
      </c>
      <c r="AJ141" s="2">
        <f>VLOOKUP($A141,'[2]App C Share Inflows'!$A$4:$I$917,6,FALSE)</f>
        <v>0</v>
      </c>
      <c r="AK141" s="2">
        <f>VLOOKUP($A141,'[2]App C Share Inflows'!$A$4:$I$917,7,FALSE)</f>
        <v>0</v>
      </c>
      <c r="AL141" s="2">
        <f>VLOOKUP($A141,'[2]App C Share Inflows'!$A$4:$I$917,8,FALSE)</f>
        <v>0</v>
      </c>
      <c r="AM141" s="2">
        <f>VLOOKUP($A141,'[2]App C Share Inflows'!$A$4:$I$917,6,FALSE)</f>
        <v>0</v>
      </c>
    </row>
    <row r="142" spans="1:39">
      <c r="A142" s="351">
        <v>91109</v>
      </c>
      <c r="B142" s="344" t="s">
        <v>2785</v>
      </c>
      <c r="C142" s="235" t="e">
        <f>VLOOKUP(A142,#REF!,10,FALSE)</f>
        <v>#REF!</v>
      </c>
      <c r="E142" s="2">
        <f>VLOOKUP($A142,'[2]App C Total'!$A$4:$I$917,5,FALSE)</f>
        <v>50031</v>
      </c>
      <c r="F142" s="2">
        <f>VLOOKUP($A142,'[2]App C Total'!$A$4:$I$917,6,FALSE)</f>
        <v>17001</v>
      </c>
      <c r="G142" s="2">
        <f>VLOOKUP($A142,'[2]App C Total'!$A$4:$I$917,7,FALSE)</f>
        <v>27068</v>
      </c>
      <c r="H142" s="2">
        <f>VLOOKUP($A142,'[2]App C Total'!$A$4:$I$917,8,FALSE)</f>
        <v>7631</v>
      </c>
      <c r="I142" s="2">
        <f>VLOOKUP($A142,'[2]App C Total'!$A$4:$I$917,9,FALSE)</f>
        <v>0</v>
      </c>
      <c r="J142" s="2"/>
      <c r="K142" s="2">
        <f>VLOOKUP($A142,'[2]App C Exp'!$A$4:$I$917,5,FALSE)</f>
        <v>14726</v>
      </c>
      <c r="L142" s="2">
        <f>VLOOKUP($A142,'[2]App C Exp'!$A$4:$I$917,6,FALSE)</f>
        <v>13852</v>
      </c>
      <c r="M142" s="2">
        <f>VLOOKUP($A142,'[2]App C Exp'!$A$4:$I$917,7,FALSE)</f>
        <v>12416</v>
      </c>
      <c r="N142" s="2">
        <f>VLOOKUP($A142,'[2]App C Exp'!$A$4:$I$917,8,FALSE)</f>
        <v>4971</v>
      </c>
      <c r="O142" s="2">
        <f>VLOOKUP($A142,'[2]App C Exp'!$A$4:$I$917,9,FALSE)</f>
        <v>0</v>
      </c>
      <c r="P142" s="2"/>
      <c r="Q142" s="2">
        <f>VLOOKUP($A142,'[2]App C Inv'!$A$4:$I$917,5,FALSE)</f>
        <v>15634</v>
      </c>
      <c r="R142" s="2">
        <f>VLOOKUP($A142,'[2]App C Inv'!$A$4:$I$917,6,FALSE)</f>
        <v>-13448</v>
      </c>
      <c r="S142" s="2">
        <f>VLOOKUP($A142,'[2]App C Inv'!$A$4:$I$917,7,FALSE)</f>
        <v>1895</v>
      </c>
      <c r="T142" s="2">
        <f>VLOOKUP($A142,'[2]App C Inv'!$A$4:$I$917,8,FALSE)</f>
        <v>2467</v>
      </c>
      <c r="U142" s="2">
        <f>VLOOKUP($A142,'[2]App C Inv'!$A$4:$I$917,9,FALSE)</f>
        <v>0</v>
      </c>
      <c r="V142" s="2"/>
      <c r="W142" s="2">
        <f>VLOOKUP($A142,'[2]App C Assum'!$A$4:$I$917,5,FALSE)</f>
        <v>17612</v>
      </c>
      <c r="X142" s="2">
        <f>VLOOKUP($A142,'[2]App C Assum'!$A$4:$I$917,6,FALSE)</f>
        <v>14428</v>
      </c>
      <c r="Y142" s="2">
        <f>VLOOKUP($A142,'[2]App C Assum'!$A$4:$I$917,7,FALSE)</f>
        <v>11713</v>
      </c>
      <c r="Z142" s="2">
        <f>VLOOKUP($A142,'[2]App C Assum'!$A$4:$I$917,8,FALSE)</f>
        <v>0</v>
      </c>
      <c r="AA142" s="2">
        <f>VLOOKUP($A142,'[2]App C Assum'!$A$4:$I$917,9,FALSE)</f>
        <v>0</v>
      </c>
      <c r="AB142" s="2"/>
      <c r="AC142" s="2">
        <f>VLOOKUP($A142,'[2]App C Share Outflows'!$A$4:$I$917,5,FALSE)</f>
        <v>2167</v>
      </c>
      <c r="AD142" s="2">
        <f>VLOOKUP($A142,'[2]App C Share Outflows'!$A$4:$I$917,6,FALSE)</f>
        <v>2169</v>
      </c>
      <c r="AE142" s="2">
        <f>VLOOKUP($A142,'[2]App C Share Outflows'!$A$4:$I$917,7,FALSE)</f>
        <v>1044</v>
      </c>
      <c r="AF142" s="2">
        <f>VLOOKUP($A142,'[2]App C Share Outflows'!$A$4:$I$917,8,FALSE)</f>
        <v>193</v>
      </c>
      <c r="AG142" s="2">
        <f>VLOOKUP($A142,'[2]App C Share Outflows'!$A$4:$I$917,9,FALSE)</f>
        <v>0</v>
      </c>
      <c r="AH142" s="2"/>
      <c r="AI142" s="2">
        <f>VLOOKUP($A142,'[2]App C Share Inflows'!$A$4:$I$917,5,FALSE)</f>
        <v>-108</v>
      </c>
      <c r="AJ142" s="2">
        <f>VLOOKUP($A142,'[2]App C Share Inflows'!$A$4:$I$917,6,FALSE)</f>
        <v>0</v>
      </c>
      <c r="AK142" s="2">
        <f>VLOOKUP($A142,'[2]App C Share Inflows'!$A$4:$I$917,7,FALSE)</f>
        <v>0</v>
      </c>
      <c r="AL142" s="2">
        <f>VLOOKUP($A142,'[2]App C Share Inflows'!$A$4:$I$917,8,FALSE)</f>
        <v>0</v>
      </c>
      <c r="AM142" s="2">
        <f>VLOOKUP($A142,'[2]App C Share Inflows'!$A$4:$I$917,6,FALSE)</f>
        <v>0</v>
      </c>
    </row>
    <row r="143" spans="1:39">
      <c r="A143" s="351">
        <v>91111</v>
      </c>
      <c r="B143" s="344" t="s">
        <v>835</v>
      </c>
      <c r="C143" s="235" t="e">
        <f>VLOOKUP(A143,#REF!,10,FALSE)</f>
        <v>#REF!</v>
      </c>
      <c r="E143" s="2">
        <f>VLOOKUP($A143,'[2]App C Total'!$A$4:$I$917,5,FALSE)</f>
        <v>96106</v>
      </c>
      <c r="F143" s="2">
        <f>VLOOKUP($A143,'[2]App C Total'!$A$4:$I$917,6,FALSE)</f>
        <v>28028</v>
      </c>
      <c r="G143" s="2">
        <f>VLOOKUP($A143,'[2]App C Total'!$A$4:$I$917,7,FALSE)</f>
        <v>48566</v>
      </c>
      <c r="H143" s="2">
        <f>VLOOKUP($A143,'[2]App C Total'!$A$4:$I$917,8,FALSE)</f>
        <v>10107</v>
      </c>
      <c r="I143" s="2">
        <f>VLOOKUP($A143,'[2]App C Total'!$A$4:$I$917,9,FALSE)</f>
        <v>0</v>
      </c>
      <c r="J143" s="2"/>
      <c r="K143" s="2">
        <f>VLOOKUP($A143,'[2]App C Exp'!$A$4:$I$917,5,FALSE)</f>
        <v>29557</v>
      </c>
      <c r="L143" s="2">
        <f>VLOOKUP($A143,'[2]App C Exp'!$A$4:$I$917,6,FALSE)</f>
        <v>27804</v>
      </c>
      <c r="M143" s="2">
        <f>VLOOKUP($A143,'[2]App C Exp'!$A$4:$I$917,7,FALSE)</f>
        <v>24920</v>
      </c>
      <c r="N143" s="2">
        <f>VLOOKUP($A143,'[2]App C Exp'!$A$4:$I$917,8,FALSE)</f>
        <v>9978</v>
      </c>
      <c r="O143" s="2">
        <f>VLOOKUP($A143,'[2]App C Exp'!$A$4:$I$917,9,FALSE)</f>
        <v>0</v>
      </c>
      <c r="P143" s="2"/>
      <c r="Q143" s="2">
        <f>VLOOKUP($A143,'[2]App C Inv'!$A$4:$I$917,5,FALSE)</f>
        <v>31379</v>
      </c>
      <c r="R143" s="2">
        <f>VLOOKUP($A143,'[2]App C Inv'!$A$4:$I$917,6,FALSE)</f>
        <v>-26992</v>
      </c>
      <c r="S143" s="2">
        <f>VLOOKUP($A143,'[2]App C Inv'!$A$4:$I$917,7,FALSE)</f>
        <v>3804</v>
      </c>
      <c r="T143" s="2">
        <f>VLOOKUP($A143,'[2]App C Inv'!$A$4:$I$917,8,FALSE)</f>
        <v>4951</v>
      </c>
      <c r="U143" s="2">
        <f>VLOOKUP($A143,'[2]App C Inv'!$A$4:$I$917,9,FALSE)</f>
        <v>0</v>
      </c>
      <c r="V143" s="2"/>
      <c r="W143" s="2">
        <f>VLOOKUP($A143,'[2]App C Assum'!$A$4:$I$917,5,FALSE)</f>
        <v>35349</v>
      </c>
      <c r="X143" s="2">
        <f>VLOOKUP($A143,'[2]App C Assum'!$A$4:$I$917,6,FALSE)</f>
        <v>28959</v>
      </c>
      <c r="Y143" s="2">
        <f>VLOOKUP($A143,'[2]App C Assum'!$A$4:$I$917,7,FALSE)</f>
        <v>23510</v>
      </c>
      <c r="Z143" s="2">
        <f>VLOOKUP($A143,'[2]App C Assum'!$A$4:$I$917,8,FALSE)</f>
        <v>0</v>
      </c>
      <c r="AA143" s="2">
        <f>VLOOKUP($A143,'[2]App C Assum'!$A$4:$I$917,9,FALSE)</f>
        <v>0</v>
      </c>
      <c r="AB143" s="2"/>
      <c r="AC143" s="2">
        <f>VLOOKUP($A143,'[2]App C Share Outflows'!$A$4:$I$917,5,FALSE)</f>
        <v>4645</v>
      </c>
      <c r="AD143" s="2">
        <f>VLOOKUP($A143,'[2]App C Share Outflows'!$A$4:$I$917,6,FALSE)</f>
        <v>3081</v>
      </c>
      <c r="AE143" s="2">
        <f>VLOOKUP($A143,'[2]App C Share Outflows'!$A$4:$I$917,7,FALSE)</f>
        <v>1156</v>
      </c>
      <c r="AF143" s="2">
        <f>VLOOKUP($A143,'[2]App C Share Outflows'!$A$4:$I$917,8,FALSE)</f>
        <v>0</v>
      </c>
      <c r="AG143" s="2">
        <f>VLOOKUP($A143,'[2]App C Share Outflows'!$A$4:$I$917,9,FALSE)</f>
        <v>0</v>
      </c>
      <c r="AH143" s="2"/>
      <c r="AI143" s="2">
        <f>VLOOKUP($A143,'[2]App C Share Inflows'!$A$4:$I$917,5,FALSE)</f>
        <v>-4824</v>
      </c>
      <c r="AJ143" s="2">
        <f>VLOOKUP($A143,'[2]App C Share Inflows'!$A$4:$I$917,6,FALSE)</f>
        <v>-4824</v>
      </c>
      <c r="AK143" s="2">
        <f>VLOOKUP($A143,'[2]App C Share Inflows'!$A$4:$I$917,7,FALSE)</f>
        <v>-4824</v>
      </c>
      <c r="AL143" s="2">
        <f>VLOOKUP($A143,'[2]App C Share Inflows'!$A$4:$I$917,8,FALSE)</f>
        <v>-4822</v>
      </c>
      <c r="AM143" s="2">
        <f>VLOOKUP($A143,'[2]App C Share Inflows'!$A$4:$I$917,6,FALSE)</f>
        <v>-4824</v>
      </c>
    </row>
    <row r="144" spans="1:39">
      <c r="A144" s="351">
        <v>91120</v>
      </c>
      <c r="B144" s="344" t="s">
        <v>3651</v>
      </c>
      <c r="C144" s="235" t="e">
        <f>VLOOKUP(A144,#REF!,10,FALSE)</f>
        <v>#REF!</v>
      </c>
      <c r="E144" s="2">
        <f>VLOOKUP($A144,'[2]App C Total'!$A$4:$I$917,5,FALSE)</f>
        <v>92497</v>
      </c>
      <c r="F144" s="2">
        <f>VLOOKUP($A144,'[2]App C Total'!$A$4:$I$917,6,FALSE)</f>
        <v>32380</v>
      </c>
      <c r="G144" s="2">
        <f>VLOOKUP($A144,'[2]App C Total'!$A$4:$I$917,7,FALSE)</f>
        <v>53842</v>
      </c>
      <c r="H144" s="2">
        <f>VLOOKUP($A144,'[2]App C Total'!$A$4:$I$917,8,FALSE)</f>
        <v>22400</v>
      </c>
      <c r="I144" s="2">
        <f>VLOOKUP($A144,'[2]App C Total'!$A$4:$I$917,9,FALSE)</f>
        <v>0</v>
      </c>
      <c r="J144" s="2"/>
      <c r="K144" s="2">
        <f>VLOOKUP($A144,'[2]App C Exp'!$A$4:$I$917,5,FALSE)</f>
        <v>27070</v>
      </c>
      <c r="L144" s="2">
        <f>VLOOKUP($A144,'[2]App C Exp'!$A$4:$I$917,6,FALSE)</f>
        <v>25464</v>
      </c>
      <c r="M144" s="2">
        <f>VLOOKUP($A144,'[2]App C Exp'!$A$4:$I$917,7,FALSE)</f>
        <v>22823</v>
      </c>
      <c r="N144" s="2">
        <f>VLOOKUP($A144,'[2]App C Exp'!$A$4:$I$917,8,FALSE)</f>
        <v>9138</v>
      </c>
      <c r="O144" s="2">
        <f>VLOOKUP($A144,'[2]App C Exp'!$A$4:$I$917,9,FALSE)</f>
        <v>0</v>
      </c>
      <c r="P144" s="2"/>
      <c r="Q144" s="2">
        <f>VLOOKUP($A144,'[2]App C Inv'!$A$4:$I$917,5,FALSE)</f>
        <v>28739</v>
      </c>
      <c r="R144" s="2">
        <f>VLOOKUP($A144,'[2]App C Inv'!$A$4:$I$917,6,FALSE)</f>
        <v>-24721</v>
      </c>
      <c r="S144" s="2">
        <f>VLOOKUP($A144,'[2]App C Inv'!$A$4:$I$917,7,FALSE)</f>
        <v>3484</v>
      </c>
      <c r="T144" s="2">
        <f>VLOOKUP($A144,'[2]App C Inv'!$A$4:$I$917,8,FALSE)</f>
        <v>4534</v>
      </c>
      <c r="U144" s="2">
        <f>VLOOKUP($A144,'[2]App C Inv'!$A$4:$I$917,9,FALSE)</f>
        <v>0</v>
      </c>
      <c r="V144" s="2"/>
      <c r="W144" s="2">
        <f>VLOOKUP($A144,'[2]App C Assum'!$A$4:$I$917,5,FALSE)</f>
        <v>32375</v>
      </c>
      <c r="X144" s="2">
        <f>VLOOKUP($A144,'[2]App C Assum'!$A$4:$I$917,6,FALSE)</f>
        <v>26522</v>
      </c>
      <c r="Y144" s="2">
        <f>VLOOKUP($A144,'[2]App C Assum'!$A$4:$I$917,7,FALSE)</f>
        <v>21532</v>
      </c>
      <c r="Z144" s="2">
        <f>VLOOKUP($A144,'[2]App C Assum'!$A$4:$I$917,8,FALSE)</f>
        <v>0</v>
      </c>
      <c r="AA144" s="2">
        <f>VLOOKUP($A144,'[2]App C Assum'!$A$4:$I$917,9,FALSE)</f>
        <v>0</v>
      </c>
      <c r="AB144" s="2"/>
      <c r="AC144" s="2">
        <f>VLOOKUP($A144,'[2]App C Share Outflows'!$A$4:$I$917,5,FALSE)</f>
        <v>8727</v>
      </c>
      <c r="AD144" s="2">
        <f>VLOOKUP($A144,'[2]App C Share Outflows'!$A$4:$I$917,6,FALSE)</f>
        <v>8727</v>
      </c>
      <c r="AE144" s="2">
        <f>VLOOKUP($A144,'[2]App C Share Outflows'!$A$4:$I$917,7,FALSE)</f>
        <v>8727</v>
      </c>
      <c r="AF144" s="2">
        <f>VLOOKUP($A144,'[2]App C Share Outflows'!$A$4:$I$917,8,FALSE)</f>
        <v>8728</v>
      </c>
      <c r="AG144" s="2">
        <f>VLOOKUP($A144,'[2]App C Share Outflows'!$A$4:$I$917,9,FALSE)</f>
        <v>0</v>
      </c>
      <c r="AH144" s="2"/>
      <c r="AI144" s="2">
        <f>VLOOKUP($A144,'[2]App C Share Inflows'!$A$4:$I$917,5,FALSE)</f>
        <v>-4414</v>
      </c>
      <c r="AJ144" s="2">
        <f>VLOOKUP($A144,'[2]App C Share Inflows'!$A$4:$I$917,6,FALSE)</f>
        <v>-3612</v>
      </c>
      <c r="AK144" s="2">
        <f>VLOOKUP($A144,'[2]App C Share Inflows'!$A$4:$I$917,7,FALSE)</f>
        <v>-2724</v>
      </c>
      <c r="AL144" s="2">
        <f>VLOOKUP($A144,'[2]App C Share Inflows'!$A$4:$I$917,8,FALSE)</f>
        <v>0</v>
      </c>
      <c r="AM144" s="2">
        <f>VLOOKUP($A144,'[2]App C Share Inflows'!$A$4:$I$917,6,FALSE)</f>
        <v>-3612</v>
      </c>
    </row>
    <row r="145" spans="1:39">
      <c r="A145" s="351">
        <v>91121</v>
      </c>
      <c r="B145" s="344" t="s">
        <v>837</v>
      </c>
      <c r="C145" s="235" t="e">
        <f>VLOOKUP(A145,#REF!,10,FALSE)</f>
        <v>#REF!</v>
      </c>
      <c r="E145" s="2">
        <f>VLOOKUP($A145,'[2]App C Total'!$A$4:$I$917,5,FALSE)</f>
        <v>4856004</v>
      </c>
      <c r="F145" s="2">
        <f>VLOOKUP($A145,'[2]App C Total'!$A$4:$I$917,6,FALSE)</f>
        <v>1457738</v>
      </c>
      <c r="G145" s="2">
        <f>VLOOKUP($A145,'[2]App C Total'!$A$4:$I$917,7,FALSE)</f>
        <v>2668171</v>
      </c>
      <c r="H145" s="2">
        <f>VLOOKUP($A145,'[2]App C Total'!$A$4:$I$917,8,FALSE)</f>
        <v>724857</v>
      </c>
      <c r="I145" s="2">
        <f>VLOOKUP($A145,'[2]App C Total'!$A$4:$I$917,9,FALSE)</f>
        <v>0</v>
      </c>
      <c r="J145" s="2"/>
      <c r="K145" s="2">
        <f>VLOOKUP($A145,'[2]App C Exp'!$A$4:$I$917,5,FALSE)</f>
        <v>1555656</v>
      </c>
      <c r="L145" s="2">
        <f>VLOOKUP($A145,'[2]App C Exp'!$A$4:$I$917,6,FALSE)</f>
        <v>1463370</v>
      </c>
      <c r="M145" s="2">
        <f>VLOOKUP($A145,'[2]App C Exp'!$A$4:$I$917,7,FALSE)</f>
        <v>1311602</v>
      </c>
      <c r="N145" s="2">
        <f>VLOOKUP($A145,'[2]App C Exp'!$A$4:$I$917,8,FALSE)</f>
        <v>525149</v>
      </c>
      <c r="O145" s="2">
        <f>VLOOKUP($A145,'[2]App C Exp'!$A$4:$I$917,9,FALSE)</f>
        <v>0</v>
      </c>
      <c r="P145" s="2"/>
      <c r="Q145" s="2">
        <f>VLOOKUP($A145,'[2]App C Inv'!$A$4:$I$917,5,FALSE)</f>
        <v>1651545</v>
      </c>
      <c r="R145" s="2">
        <f>VLOOKUP($A145,'[2]App C Inv'!$A$4:$I$917,6,FALSE)</f>
        <v>-1420638</v>
      </c>
      <c r="S145" s="2">
        <f>VLOOKUP($A145,'[2]App C Inv'!$A$4:$I$917,7,FALSE)</f>
        <v>200222</v>
      </c>
      <c r="T145" s="2">
        <f>VLOOKUP($A145,'[2]App C Inv'!$A$4:$I$917,8,FALSE)</f>
        <v>260586</v>
      </c>
      <c r="U145" s="2">
        <f>VLOOKUP($A145,'[2]App C Inv'!$A$4:$I$917,9,FALSE)</f>
        <v>0</v>
      </c>
      <c r="V145" s="2"/>
      <c r="W145" s="2">
        <f>VLOOKUP($A145,'[2]App C Assum'!$A$4:$I$917,5,FALSE)</f>
        <v>1860490</v>
      </c>
      <c r="X145" s="2">
        <f>VLOOKUP($A145,'[2]App C Assum'!$A$4:$I$917,6,FALSE)</f>
        <v>1524181</v>
      </c>
      <c r="Y145" s="2">
        <f>VLOOKUP($A145,'[2]App C Assum'!$A$4:$I$917,7,FALSE)</f>
        <v>1237374</v>
      </c>
      <c r="Z145" s="2">
        <f>VLOOKUP($A145,'[2]App C Assum'!$A$4:$I$917,8,FALSE)</f>
        <v>0</v>
      </c>
      <c r="AA145" s="2">
        <f>VLOOKUP($A145,'[2]App C Assum'!$A$4:$I$917,9,FALSE)</f>
        <v>0</v>
      </c>
      <c r="AB145" s="2"/>
      <c r="AC145" s="2">
        <f>VLOOKUP($A145,'[2]App C Share Outflows'!$A$4:$I$917,5,FALSE)</f>
        <v>0</v>
      </c>
      <c r="AD145" s="2">
        <f>VLOOKUP($A145,'[2]App C Share Outflows'!$A$4:$I$917,6,FALSE)</f>
        <v>0</v>
      </c>
      <c r="AE145" s="2">
        <f>VLOOKUP($A145,'[2]App C Share Outflows'!$A$4:$I$917,7,FALSE)</f>
        <v>0</v>
      </c>
      <c r="AF145" s="2">
        <f>VLOOKUP($A145,'[2]App C Share Outflows'!$A$4:$I$917,8,FALSE)</f>
        <v>0</v>
      </c>
      <c r="AG145" s="2">
        <f>VLOOKUP($A145,'[2]App C Share Outflows'!$A$4:$I$917,9,FALSE)</f>
        <v>0</v>
      </c>
      <c r="AH145" s="2"/>
      <c r="AI145" s="2">
        <f>VLOOKUP($A145,'[2]App C Share Inflows'!$A$4:$I$917,5,FALSE)</f>
        <v>-211687</v>
      </c>
      <c r="AJ145" s="2">
        <f>VLOOKUP($A145,'[2]App C Share Inflows'!$A$4:$I$917,6,FALSE)</f>
        <v>-109175</v>
      </c>
      <c r="AK145" s="2">
        <f>VLOOKUP($A145,'[2]App C Share Inflows'!$A$4:$I$917,7,FALSE)</f>
        <v>-81027</v>
      </c>
      <c r="AL145" s="2">
        <f>VLOOKUP($A145,'[2]App C Share Inflows'!$A$4:$I$917,8,FALSE)</f>
        <v>-60878</v>
      </c>
      <c r="AM145" s="2">
        <f>VLOOKUP($A145,'[2]App C Share Inflows'!$A$4:$I$917,6,FALSE)</f>
        <v>-109175</v>
      </c>
    </row>
    <row r="146" spans="1:39">
      <c r="A146" s="351">
        <v>91127</v>
      </c>
      <c r="B146" s="344" t="s">
        <v>838</v>
      </c>
      <c r="C146" s="235" t="e">
        <f>VLOOKUP(A146,#REF!,10,FALSE)</f>
        <v>#REF!</v>
      </c>
      <c r="E146" s="2">
        <f>VLOOKUP($A146,'[2]App C Total'!$A$4:$I$917,5,FALSE)</f>
        <v>154118</v>
      </c>
      <c r="F146" s="2">
        <f>VLOOKUP($A146,'[2]App C Total'!$A$4:$I$917,6,FALSE)</f>
        <v>55488</v>
      </c>
      <c r="G146" s="2">
        <f>VLOOKUP($A146,'[2]App C Total'!$A$4:$I$917,7,FALSE)</f>
        <v>84913</v>
      </c>
      <c r="H146" s="2">
        <f>VLOOKUP($A146,'[2]App C Total'!$A$4:$I$917,8,FALSE)</f>
        <v>25090</v>
      </c>
      <c r="I146" s="2">
        <f>VLOOKUP($A146,'[2]App C Total'!$A$4:$I$917,9,FALSE)</f>
        <v>0</v>
      </c>
      <c r="J146" s="2"/>
      <c r="K146" s="2">
        <f>VLOOKUP($A146,'[2]App C Exp'!$A$4:$I$917,5,FALSE)</f>
        <v>41931</v>
      </c>
      <c r="L146" s="2">
        <f>VLOOKUP($A146,'[2]App C Exp'!$A$4:$I$917,6,FALSE)</f>
        <v>39444</v>
      </c>
      <c r="M146" s="2">
        <f>VLOOKUP($A146,'[2]App C Exp'!$A$4:$I$917,7,FALSE)</f>
        <v>35353</v>
      </c>
      <c r="N146" s="2">
        <f>VLOOKUP($A146,'[2]App C Exp'!$A$4:$I$917,8,FALSE)</f>
        <v>14155</v>
      </c>
      <c r="O146" s="2">
        <f>VLOOKUP($A146,'[2]App C Exp'!$A$4:$I$917,9,FALSE)</f>
        <v>0</v>
      </c>
      <c r="P146" s="2"/>
      <c r="Q146" s="2">
        <f>VLOOKUP($A146,'[2]App C Inv'!$A$4:$I$917,5,FALSE)</f>
        <v>44516</v>
      </c>
      <c r="R146" s="2">
        <f>VLOOKUP($A146,'[2]App C Inv'!$A$4:$I$917,6,FALSE)</f>
        <v>-38292</v>
      </c>
      <c r="S146" s="2">
        <f>VLOOKUP($A146,'[2]App C Inv'!$A$4:$I$917,7,FALSE)</f>
        <v>5397</v>
      </c>
      <c r="T146" s="2">
        <f>VLOOKUP($A146,'[2]App C Inv'!$A$4:$I$917,8,FALSE)</f>
        <v>7024</v>
      </c>
      <c r="U146" s="2">
        <f>VLOOKUP($A146,'[2]App C Inv'!$A$4:$I$917,9,FALSE)</f>
        <v>0</v>
      </c>
      <c r="V146" s="2"/>
      <c r="W146" s="2">
        <f>VLOOKUP($A146,'[2]App C Assum'!$A$4:$I$917,5,FALSE)</f>
        <v>50147</v>
      </c>
      <c r="X146" s="2">
        <f>VLOOKUP($A146,'[2]App C Assum'!$A$4:$I$917,6,FALSE)</f>
        <v>41083</v>
      </c>
      <c r="Y146" s="2">
        <f>VLOOKUP($A146,'[2]App C Assum'!$A$4:$I$917,7,FALSE)</f>
        <v>33352</v>
      </c>
      <c r="Z146" s="2">
        <f>VLOOKUP($A146,'[2]App C Assum'!$A$4:$I$917,8,FALSE)</f>
        <v>0</v>
      </c>
      <c r="AA146" s="2">
        <f>VLOOKUP($A146,'[2]App C Assum'!$A$4:$I$917,9,FALSE)</f>
        <v>0</v>
      </c>
      <c r="AB146" s="2"/>
      <c r="AC146" s="2">
        <f>VLOOKUP($A146,'[2]App C Share Outflows'!$A$4:$I$917,5,FALSE)</f>
        <v>17524</v>
      </c>
      <c r="AD146" s="2">
        <f>VLOOKUP($A146,'[2]App C Share Outflows'!$A$4:$I$917,6,FALSE)</f>
        <v>13253</v>
      </c>
      <c r="AE146" s="2">
        <f>VLOOKUP($A146,'[2]App C Share Outflows'!$A$4:$I$917,7,FALSE)</f>
        <v>10811</v>
      </c>
      <c r="AF146" s="2">
        <f>VLOOKUP($A146,'[2]App C Share Outflows'!$A$4:$I$917,8,FALSE)</f>
        <v>3911</v>
      </c>
      <c r="AG146" s="2">
        <f>VLOOKUP($A146,'[2]App C Share Outflows'!$A$4:$I$917,9,FALSE)</f>
        <v>0</v>
      </c>
      <c r="AH146" s="2"/>
      <c r="AI146" s="2">
        <f>VLOOKUP($A146,'[2]App C Share Inflows'!$A$4:$I$917,5,FALSE)</f>
        <v>0</v>
      </c>
      <c r="AJ146" s="2">
        <f>VLOOKUP($A146,'[2]App C Share Inflows'!$A$4:$I$917,6,FALSE)</f>
        <v>0</v>
      </c>
      <c r="AK146" s="2">
        <f>VLOOKUP($A146,'[2]App C Share Inflows'!$A$4:$I$917,7,FALSE)</f>
        <v>0</v>
      </c>
      <c r="AL146" s="2">
        <f>VLOOKUP($A146,'[2]App C Share Inflows'!$A$4:$I$917,8,FALSE)</f>
        <v>0</v>
      </c>
      <c r="AM146" s="2">
        <f>VLOOKUP($A146,'[2]App C Share Inflows'!$A$4:$I$917,6,FALSE)</f>
        <v>0</v>
      </c>
    </row>
    <row r="147" spans="1:39">
      <c r="A147" s="351">
        <v>91128</v>
      </c>
      <c r="B147" s="344" t="s">
        <v>839</v>
      </c>
      <c r="C147" s="235" t="e">
        <f>VLOOKUP(A147,#REF!,10,FALSE)</f>
        <v>#REF!</v>
      </c>
      <c r="E147" s="2">
        <f>VLOOKUP($A147,'[2]App C Total'!$A$4:$I$917,5,FALSE)</f>
        <v>221771</v>
      </c>
      <c r="F147" s="2">
        <f>VLOOKUP($A147,'[2]App C Total'!$A$4:$I$917,6,FALSE)</f>
        <v>63859</v>
      </c>
      <c r="G147" s="2">
        <f>VLOOKUP($A147,'[2]App C Total'!$A$4:$I$917,7,FALSE)</f>
        <v>115043</v>
      </c>
      <c r="H147" s="2">
        <f>VLOOKUP($A147,'[2]App C Total'!$A$4:$I$917,8,FALSE)</f>
        <v>29532</v>
      </c>
      <c r="I147" s="2">
        <f>VLOOKUP($A147,'[2]App C Total'!$A$4:$I$917,9,FALSE)</f>
        <v>0</v>
      </c>
      <c r="J147" s="2"/>
      <c r="K147" s="2">
        <f>VLOOKUP($A147,'[2]App C Exp'!$A$4:$I$917,5,FALSE)</f>
        <v>69975</v>
      </c>
      <c r="L147" s="2">
        <f>VLOOKUP($A147,'[2]App C Exp'!$A$4:$I$917,6,FALSE)</f>
        <v>65824</v>
      </c>
      <c r="M147" s="2">
        <f>VLOOKUP($A147,'[2]App C Exp'!$A$4:$I$917,7,FALSE)</f>
        <v>58997</v>
      </c>
      <c r="N147" s="2">
        <f>VLOOKUP($A147,'[2]App C Exp'!$A$4:$I$917,8,FALSE)</f>
        <v>23622</v>
      </c>
      <c r="O147" s="2">
        <f>VLOOKUP($A147,'[2]App C Exp'!$A$4:$I$917,9,FALSE)</f>
        <v>0</v>
      </c>
      <c r="P147" s="2"/>
      <c r="Q147" s="2">
        <f>VLOOKUP($A147,'[2]App C Inv'!$A$4:$I$917,5,FALSE)</f>
        <v>74288</v>
      </c>
      <c r="R147" s="2">
        <f>VLOOKUP($A147,'[2]App C Inv'!$A$4:$I$917,6,FALSE)</f>
        <v>-63902</v>
      </c>
      <c r="S147" s="2">
        <f>VLOOKUP($A147,'[2]App C Inv'!$A$4:$I$917,7,FALSE)</f>
        <v>9006</v>
      </c>
      <c r="T147" s="2">
        <f>VLOOKUP($A147,'[2]App C Inv'!$A$4:$I$917,8,FALSE)</f>
        <v>11721</v>
      </c>
      <c r="U147" s="2">
        <f>VLOOKUP($A147,'[2]App C Inv'!$A$4:$I$917,9,FALSE)</f>
        <v>0</v>
      </c>
      <c r="V147" s="2"/>
      <c r="W147" s="2">
        <f>VLOOKUP($A147,'[2]App C Assum'!$A$4:$I$917,5,FALSE)</f>
        <v>83687</v>
      </c>
      <c r="X147" s="2">
        <f>VLOOKUP($A147,'[2]App C Assum'!$A$4:$I$917,6,FALSE)</f>
        <v>68559</v>
      </c>
      <c r="Y147" s="2">
        <f>VLOOKUP($A147,'[2]App C Assum'!$A$4:$I$917,7,FALSE)</f>
        <v>55658</v>
      </c>
      <c r="Z147" s="2">
        <f>VLOOKUP($A147,'[2]App C Assum'!$A$4:$I$917,8,FALSE)</f>
        <v>0</v>
      </c>
      <c r="AA147" s="2">
        <f>VLOOKUP($A147,'[2]App C Assum'!$A$4:$I$917,9,FALSE)</f>
        <v>0</v>
      </c>
      <c r="AB147" s="2"/>
      <c r="AC147" s="2">
        <f>VLOOKUP($A147,'[2]App C Share Outflows'!$A$4:$I$917,5,FALSE)</f>
        <v>2440</v>
      </c>
      <c r="AD147" s="2">
        <f>VLOOKUP($A147,'[2]App C Share Outflows'!$A$4:$I$917,6,FALSE)</f>
        <v>1997</v>
      </c>
      <c r="AE147" s="2">
        <f>VLOOKUP($A147,'[2]App C Share Outflows'!$A$4:$I$917,7,FALSE)</f>
        <v>0</v>
      </c>
      <c r="AF147" s="2">
        <f>VLOOKUP($A147,'[2]App C Share Outflows'!$A$4:$I$917,8,FALSE)</f>
        <v>0</v>
      </c>
      <c r="AG147" s="2">
        <f>VLOOKUP($A147,'[2]App C Share Outflows'!$A$4:$I$917,9,FALSE)</f>
        <v>0</v>
      </c>
      <c r="AH147" s="2"/>
      <c r="AI147" s="2">
        <f>VLOOKUP($A147,'[2]App C Share Inflows'!$A$4:$I$917,5,FALSE)</f>
        <v>-8619</v>
      </c>
      <c r="AJ147" s="2">
        <f>VLOOKUP($A147,'[2]App C Share Inflows'!$A$4:$I$917,6,FALSE)</f>
        <v>-8619</v>
      </c>
      <c r="AK147" s="2">
        <f>VLOOKUP($A147,'[2]App C Share Inflows'!$A$4:$I$917,7,FALSE)</f>
        <v>-8618</v>
      </c>
      <c r="AL147" s="2">
        <f>VLOOKUP($A147,'[2]App C Share Inflows'!$A$4:$I$917,8,FALSE)</f>
        <v>-5811</v>
      </c>
      <c r="AM147" s="2">
        <f>VLOOKUP($A147,'[2]App C Share Inflows'!$A$4:$I$917,6,FALSE)</f>
        <v>-8619</v>
      </c>
    </row>
    <row r="148" spans="1:39">
      <c r="A148" s="351">
        <v>91138</v>
      </c>
      <c r="B148" s="344" t="s">
        <v>3652</v>
      </c>
      <c r="C148" s="235" t="e">
        <f>VLOOKUP(A148,#REF!,10,FALSE)</f>
        <v>#REF!</v>
      </c>
      <c r="E148" s="2">
        <f>VLOOKUP($A148,'[2]App C Total'!$A$4:$I$917,5,FALSE)</f>
        <v>163599</v>
      </c>
      <c r="F148" s="2">
        <f>VLOOKUP($A148,'[2]App C Total'!$A$4:$I$917,6,FALSE)</f>
        <v>18128</v>
      </c>
      <c r="G148" s="2">
        <f>VLOOKUP($A148,'[2]App C Total'!$A$4:$I$917,7,FALSE)</f>
        <v>85693</v>
      </c>
      <c r="H148" s="2">
        <f>VLOOKUP($A148,'[2]App C Total'!$A$4:$I$917,8,FALSE)</f>
        <v>28226</v>
      </c>
      <c r="I148" s="2">
        <f>VLOOKUP($A148,'[2]App C Total'!$A$4:$I$917,9,FALSE)</f>
        <v>0</v>
      </c>
      <c r="J148" s="2"/>
      <c r="K148" s="2">
        <f>VLOOKUP($A148,'[2]App C Exp'!$A$4:$I$917,5,FALSE)</f>
        <v>71922</v>
      </c>
      <c r="L148" s="2">
        <f>VLOOKUP($A148,'[2]App C Exp'!$A$4:$I$917,6,FALSE)</f>
        <v>67656</v>
      </c>
      <c r="M148" s="2">
        <f>VLOOKUP($A148,'[2]App C Exp'!$A$4:$I$917,7,FALSE)</f>
        <v>60639</v>
      </c>
      <c r="N148" s="2">
        <f>VLOOKUP($A148,'[2]App C Exp'!$A$4:$I$917,8,FALSE)</f>
        <v>24279</v>
      </c>
      <c r="O148" s="2">
        <f>VLOOKUP($A148,'[2]App C Exp'!$A$4:$I$917,9,FALSE)</f>
        <v>0</v>
      </c>
      <c r="P148" s="2"/>
      <c r="Q148" s="2">
        <f>VLOOKUP($A148,'[2]App C Inv'!$A$4:$I$917,5,FALSE)</f>
        <v>76356</v>
      </c>
      <c r="R148" s="2">
        <f>VLOOKUP($A148,'[2]App C Inv'!$A$4:$I$917,6,FALSE)</f>
        <v>-65680</v>
      </c>
      <c r="S148" s="2">
        <f>VLOOKUP($A148,'[2]App C Inv'!$A$4:$I$917,7,FALSE)</f>
        <v>9257</v>
      </c>
      <c r="T148" s="2">
        <f>VLOOKUP($A148,'[2]App C Inv'!$A$4:$I$917,8,FALSE)</f>
        <v>12048</v>
      </c>
      <c r="U148" s="2">
        <f>VLOOKUP($A148,'[2]App C Inv'!$A$4:$I$917,9,FALSE)</f>
        <v>0</v>
      </c>
      <c r="V148" s="2"/>
      <c r="W148" s="2">
        <f>VLOOKUP($A148,'[2]App C Assum'!$A$4:$I$917,5,FALSE)</f>
        <v>86016</v>
      </c>
      <c r="X148" s="2">
        <f>VLOOKUP($A148,'[2]App C Assum'!$A$4:$I$917,6,FALSE)</f>
        <v>70467</v>
      </c>
      <c r="Y148" s="2">
        <f>VLOOKUP($A148,'[2]App C Assum'!$A$4:$I$917,7,FALSE)</f>
        <v>57207</v>
      </c>
      <c r="Z148" s="2">
        <f>VLOOKUP($A148,'[2]App C Assum'!$A$4:$I$917,8,FALSE)</f>
        <v>0</v>
      </c>
      <c r="AA148" s="2">
        <f>VLOOKUP($A148,'[2]App C Assum'!$A$4:$I$917,9,FALSE)</f>
        <v>0</v>
      </c>
      <c r="AB148" s="2"/>
      <c r="AC148" s="2">
        <f>VLOOKUP($A148,'[2]App C Share Outflows'!$A$4:$I$917,5,FALSE)</f>
        <v>0</v>
      </c>
      <c r="AD148" s="2">
        <f>VLOOKUP($A148,'[2]App C Share Outflows'!$A$4:$I$917,6,FALSE)</f>
        <v>0</v>
      </c>
      <c r="AE148" s="2">
        <f>VLOOKUP($A148,'[2]App C Share Outflows'!$A$4:$I$917,7,FALSE)</f>
        <v>0</v>
      </c>
      <c r="AF148" s="2">
        <f>VLOOKUP($A148,'[2]App C Share Outflows'!$A$4:$I$917,8,FALSE)</f>
        <v>0</v>
      </c>
      <c r="AG148" s="2">
        <f>VLOOKUP($A148,'[2]App C Share Outflows'!$A$4:$I$917,9,FALSE)</f>
        <v>0</v>
      </c>
      <c r="AH148" s="2"/>
      <c r="AI148" s="2">
        <f>VLOOKUP($A148,'[2]App C Share Inflows'!$A$4:$I$917,5,FALSE)</f>
        <v>-70695</v>
      </c>
      <c r="AJ148" s="2">
        <f>VLOOKUP($A148,'[2]App C Share Inflows'!$A$4:$I$917,6,FALSE)</f>
        <v>-54315</v>
      </c>
      <c r="AK148" s="2">
        <f>VLOOKUP($A148,'[2]App C Share Inflows'!$A$4:$I$917,7,FALSE)</f>
        <v>-41410</v>
      </c>
      <c r="AL148" s="2">
        <f>VLOOKUP($A148,'[2]App C Share Inflows'!$A$4:$I$917,8,FALSE)</f>
        <v>-8101</v>
      </c>
      <c r="AM148" s="2">
        <f>VLOOKUP($A148,'[2]App C Share Inflows'!$A$4:$I$917,6,FALSE)</f>
        <v>-54315</v>
      </c>
    </row>
    <row r="149" spans="1:39">
      <c r="A149" s="351">
        <v>91141</v>
      </c>
      <c r="B149" s="344" t="s">
        <v>841</v>
      </c>
      <c r="C149" s="235" t="e">
        <f>VLOOKUP(A149,#REF!,10,FALSE)</f>
        <v>#REF!</v>
      </c>
      <c r="E149" s="2">
        <f>VLOOKUP($A149,'[2]App C Total'!$A$4:$I$917,5,FALSE)</f>
        <v>298986</v>
      </c>
      <c r="F149" s="2">
        <f>VLOOKUP($A149,'[2]App C Total'!$A$4:$I$917,6,FALSE)</f>
        <v>95444</v>
      </c>
      <c r="G149" s="2">
        <f>VLOOKUP($A149,'[2]App C Total'!$A$4:$I$917,7,FALSE)</f>
        <v>170296</v>
      </c>
      <c r="H149" s="2">
        <f>VLOOKUP($A149,'[2]App C Total'!$A$4:$I$917,8,FALSE)</f>
        <v>55865</v>
      </c>
      <c r="I149" s="2">
        <f>VLOOKUP($A149,'[2]App C Total'!$A$4:$I$917,9,FALSE)</f>
        <v>0</v>
      </c>
      <c r="J149" s="2"/>
      <c r="K149" s="2">
        <f>VLOOKUP($A149,'[2]App C Exp'!$A$4:$I$917,5,FALSE)</f>
        <v>95292</v>
      </c>
      <c r="L149" s="2">
        <f>VLOOKUP($A149,'[2]App C Exp'!$A$4:$I$917,6,FALSE)</f>
        <v>89639</v>
      </c>
      <c r="M149" s="2">
        <f>VLOOKUP($A149,'[2]App C Exp'!$A$4:$I$917,7,FALSE)</f>
        <v>80343</v>
      </c>
      <c r="N149" s="2">
        <f>VLOOKUP($A149,'[2]App C Exp'!$A$4:$I$917,8,FALSE)</f>
        <v>32168</v>
      </c>
      <c r="O149" s="2">
        <f>VLOOKUP($A149,'[2]App C Exp'!$A$4:$I$917,9,FALSE)</f>
        <v>0</v>
      </c>
      <c r="P149" s="2"/>
      <c r="Q149" s="2">
        <f>VLOOKUP($A149,'[2]App C Inv'!$A$4:$I$917,5,FALSE)</f>
        <v>101166</v>
      </c>
      <c r="R149" s="2">
        <f>VLOOKUP($A149,'[2]App C Inv'!$A$4:$I$917,6,FALSE)</f>
        <v>-87022</v>
      </c>
      <c r="S149" s="2">
        <f>VLOOKUP($A149,'[2]App C Inv'!$A$4:$I$917,7,FALSE)</f>
        <v>12265</v>
      </c>
      <c r="T149" s="2">
        <f>VLOOKUP($A149,'[2]App C Inv'!$A$4:$I$917,8,FALSE)</f>
        <v>15962</v>
      </c>
      <c r="U149" s="2">
        <f>VLOOKUP($A149,'[2]App C Inv'!$A$4:$I$917,9,FALSE)</f>
        <v>0</v>
      </c>
      <c r="V149" s="2"/>
      <c r="W149" s="2">
        <f>VLOOKUP($A149,'[2]App C Assum'!$A$4:$I$917,5,FALSE)</f>
        <v>113965</v>
      </c>
      <c r="X149" s="2">
        <f>VLOOKUP($A149,'[2]App C Assum'!$A$4:$I$917,6,FALSE)</f>
        <v>93364</v>
      </c>
      <c r="Y149" s="2">
        <f>VLOOKUP($A149,'[2]App C Assum'!$A$4:$I$917,7,FALSE)</f>
        <v>75796</v>
      </c>
      <c r="Z149" s="2">
        <f>VLOOKUP($A149,'[2]App C Assum'!$A$4:$I$917,8,FALSE)</f>
        <v>0</v>
      </c>
      <c r="AA149" s="2">
        <f>VLOOKUP($A149,'[2]App C Assum'!$A$4:$I$917,9,FALSE)</f>
        <v>0</v>
      </c>
      <c r="AB149" s="2"/>
      <c r="AC149" s="2">
        <f>VLOOKUP($A149,'[2]App C Share Outflows'!$A$4:$I$917,5,FALSE)</f>
        <v>7734</v>
      </c>
      <c r="AD149" s="2">
        <f>VLOOKUP($A149,'[2]App C Share Outflows'!$A$4:$I$917,6,FALSE)</f>
        <v>7734</v>
      </c>
      <c r="AE149" s="2">
        <f>VLOOKUP($A149,'[2]App C Share Outflows'!$A$4:$I$917,7,FALSE)</f>
        <v>7734</v>
      </c>
      <c r="AF149" s="2">
        <f>VLOOKUP($A149,'[2]App C Share Outflows'!$A$4:$I$917,8,FALSE)</f>
        <v>7735</v>
      </c>
      <c r="AG149" s="2">
        <f>VLOOKUP($A149,'[2]App C Share Outflows'!$A$4:$I$917,9,FALSE)</f>
        <v>0</v>
      </c>
      <c r="AH149" s="2"/>
      <c r="AI149" s="2">
        <f>VLOOKUP($A149,'[2]App C Share Inflows'!$A$4:$I$917,5,FALSE)</f>
        <v>-19171</v>
      </c>
      <c r="AJ149" s="2">
        <f>VLOOKUP($A149,'[2]App C Share Inflows'!$A$4:$I$917,6,FALSE)</f>
        <v>-8271</v>
      </c>
      <c r="AK149" s="2">
        <f>VLOOKUP($A149,'[2]App C Share Inflows'!$A$4:$I$917,7,FALSE)</f>
        <v>-5842</v>
      </c>
      <c r="AL149" s="2">
        <f>VLOOKUP($A149,'[2]App C Share Inflows'!$A$4:$I$917,8,FALSE)</f>
        <v>0</v>
      </c>
      <c r="AM149" s="2">
        <f>VLOOKUP($A149,'[2]App C Share Inflows'!$A$4:$I$917,6,FALSE)</f>
        <v>-8271</v>
      </c>
    </row>
    <row r="150" spans="1:39">
      <c r="A150" s="351">
        <v>91147</v>
      </c>
      <c r="B150" s="344" t="s">
        <v>842</v>
      </c>
      <c r="C150" s="235" t="e">
        <f>VLOOKUP(A150,#REF!,10,FALSE)</f>
        <v>#REF!</v>
      </c>
      <c r="E150" s="2">
        <f>VLOOKUP($A150,'[2]App C Total'!$A$4:$I$917,5,FALSE)</f>
        <v>13500</v>
      </c>
      <c r="F150" s="2">
        <f>VLOOKUP($A150,'[2]App C Total'!$A$4:$I$917,6,FALSE)</f>
        <v>4525</v>
      </c>
      <c r="G150" s="2">
        <f>VLOOKUP($A150,'[2]App C Total'!$A$4:$I$917,7,FALSE)</f>
        <v>7026</v>
      </c>
      <c r="H150" s="2">
        <f>VLOOKUP($A150,'[2]App C Total'!$A$4:$I$917,8,FALSE)</f>
        <v>1786</v>
      </c>
      <c r="I150" s="2">
        <f>VLOOKUP($A150,'[2]App C Total'!$A$4:$I$917,9,FALSE)</f>
        <v>0</v>
      </c>
      <c r="J150" s="2"/>
      <c r="K150" s="2">
        <f>VLOOKUP($A150,'[2]App C Exp'!$A$4:$I$917,5,FALSE)</f>
        <v>3805</v>
      </c>
      <c r="L150" s="2">
        <f>VLOOKUP($A150,'[2]App C Exp'!$A$4:$I$917,6,FALSE)</f>
        <v>3579</v>
      </c>
      <c r="M150" s="2">
        <f>VLOOKUP($A150,'[2]App C Exp'!$A$4:$I$917,7,FALSE)</f>
        <v>3208</v>
      </c>
      <c r="N150" s="2">
        <f>VLOOKUP($A150,'[2]App C Exp'!$A$4:$I$917,8,FALSE)</f>
        <v>1285</v>
      </c>
      <c r="O150" s="2">
        <f>VLOOKUP($A150,'[2]App C Exp'!$A$4:$I$917,9,FALSE)</f>
        <v>0</v>
      </c>
      <c r="P150" s="2"/>
      <c r="Q150" s="2">
        <f>VLOOKUP($A150,'[2]App C Inv'!$A$4:$I$917,5,FALSE)</f>
        <v>4040</v>
      </c>
      <c r="R150" s="2">
        <f>VLOOKUP($A150,'[2]App C Inv'!$A$4:$I$917,6,FALSE)</f>
        <v>-3475</v>
      </c>
      <c r="S150" s="2">
        <f>VLOOKUP($A150,'[2]App C Inv'!$A$4:$I$917,7,FALSE)</f>
        <v>490</v>
      </c>
      <c r="T150" s="2">
        <f>VLOOKUP($A150,'[2]App C Inv'!$A$4:$I$917,8,FALSE)</f>
        <v>637</v>
      </c>
      <c r="U150" s="2">
        <f>VLOOKUP($A150,'[2]App C Inv'!$A$4:$I$917,9,FALSE)</f>
        <v>0</v>
      </c>
      <c r="V150" s="2"/>
      <c r="W150" s="2">
        <f>VLOOKUP($A150,'[2]App C Assum'!$A$4:$I$917,5,FALSE)</f>
        <v>4551</v>
      </c>
      <c r="X150" s="2">
        <f>VLOOKUP($A150,'[2]App C Assum'!$A$4:$I$917,6,FALSE)</f>
        <v>3728</v>
      </c>
      <c r="Y150" s="2">
        <f>VLOOKUP($A150,'[2]App C Assum'!$A$4:$I$917,7,FALSE)</f>
        <v>3027</v>
      </c>
      <c r="Z150" s="2">
        <f>VLOOKUP($A150,'[2]App C Assum'!$A$4:$I$917,8,FALSE)</f>
        <v>0</v>
      </c>
      <c r="AA150" s="2">
        <f>VLOOKUP($A150,'[2]App C Assum'!$A$4:$I$917,9,FALSE)</f>
        <v>0</v>
      </c>
      <c r="AB150" s="2"/>
      <c r="AC150" s="2">
        <f>VLOOKUP($A150,'[2]App C Share Outflows'!$A$4:$I$917,5,FALSE)</f>
        <v>1239</v>
      </c>
      <c r="AD150" s="2">
        <f>VLOOKUP($A150,'[2]App C Share Outflows'!$A$4:$I$917,6,FALSE)</f>
        <v>828</v>
      </c>
      <c r="AE150" s="2">
        <f>VLOOKUP($A150,'[2]App C Share Outflows'!$A$4:$I$917,7,FALSE)</f>
        <v>436</v>
      </c>
      <c r="AF150" s="2">
        <f>VLOOKUP($A150,'[2]App C Share Outflows'!$A$4:$I$917,8,FALSE)</f>
        <v>0</v>
      </c>
      <c r="AG150" s="2">
        <f>VLOOKUP($A150,'[2]App C Share Outflows'!$A$4:$I$917,9,FALSE)</f>
        <v>0</v>
      </c>
      <c r="AH150" s="2"/>
      <c r="AI150" s="2">
        <f>VLOOKUP($A150,'[2]App C Share Inflows'!$A$4:$I$917,5,FALSE)</f>
        <v>-135</v>
      </c>
      <c r="AJ150" s="2">
        <f>VLOOKUP($A150,'[2]App C Share Inflows'!$A$4:$I$917,6,FALSE)</f>
        <v>-135</v>
      </c>
      <c r="AK150" s="2">
        <f>VLOOKUP($A150,'[2]App C Share Inflows'!$A$4:$I$917,7,FALSE)</f>
        <v>-135</v>
      </c>
      <c r="AL150" s="2">
        <f>VLOOKUP($A150,'[2]App C Share Inflows'!$A$4:$I$917,8,FALSE)</f>
        <v>-136</v>
      </c>
      <c r="AM150" s="2">
        <f>VLOOKUP($A150,'[2]App C Share Inflows'!$A$4:$I$917,6,FALSE)</f>
        <v>-135</v>
      </c>
    </row>
    <row r="151" spans="1:39">
      <c r="A151" s="351">
        <v>91151</v>
      </c>
      <c r="B151" s="344" t="s">
        <v>843</v>
      </c>
      <c r="C151" s="235" t="e">
        <f>VLOOKUP(A151,#REF!,10,FALSE)</f>
        <v>#REF!</v>
      </c>
      <c r="E151" s="2">
        <f>VLOOKUP($A151,'[2]App C Total'!$A$4:$I$917,5,FALSE)</f>
        <v>249042</v>
      </c>
      <c r="F151" s="2">
        <f>VLOOKUP($A151,'[2]App C Total'!$A$4:$I$917,6,FALSE)</f>
        <v>61061</v>
      </c>
      <c r="G151" s="2">
        <f>VLOOKUP($A151,'[2]App C Total'!$A$4:$I$917,7,FALSE)</f>
        <v>131153</v>
      </c>
      <c r="H151" s="2">
        <f>VLOOKUP($A151,'[2]App C Total'!$A$4:$I$917,8,FALSE)</f>
        <v>30229</v>
      </c>
      <c r="I151" s="2">
        <f>VLOOKUP($A151,'[2]App C Total'!$A$4:$I$917,9,FALSE)</f>
        <v>0</v>
      </c>
      <c r="J151" s="2"/>
      <c r="K151" s="2">
        <f>VLOOKUP($A151,'[2]App C Exp'!$A$4:$I$917,5,FALSE)</f>
        <v>87577</v>
      </c>
      <c r="L151" s="2">
        <f>VLOOKUP($A151,'[2]App C Exp'!$A$4:$I$917,6,FALSE)</f>
        <v>82382</v>
      </c>
      <c r="M151" s="2">
        <f>VLOOKUP($A151,'[2]App C Exp'!$A$4:$I$917,7,FALSE)</f>
        <v>73838</v>
      </c>
      <c r="N151" s="2">
        <f>VLOOKUP($A151,'[2]App C Exp'!$A$4:$I$917,8,FALSE)</f>
        <v>29564</v>
      </c>
      <c r="O151" s="2">
        <f>VLOOKUP($A151,'[2]App C Exp'!$A$4:$I$917,9,FALSE)</f>
        <v>0</v>
      </c>
      <c r="P151" s="2"/>
      <c r="Q151" s="2">
        <f>VLOOKUP($A151,'[2]App C Inv'!$A$4:$I$917,5,FALSE)</f>
        <v>92975</v>
      </c>
      <c r="R151" s="2">
        <f>VLOOKUP($A151,'[2]App C Inv'!$A$4:$I$917,6,FALSE)</f>
        <v>-79976</v>
      </c>
      <c r="S151" s="2">
        <f>VLOOKUP($A151,'[2]App C Inv'!$A$4:$I$917,7,FALSE)</f>
        <v>11272</v>
      </c>
      <c r="T151" s="2">
        <f>VLOOKUP($A151,'[2]App C Inv'!$A$4:$I$917,8,FALSE)</f>
        <v>14670</v>
      </c>
      <c r="U151" s="2">
        <f>VLOOKUP($A151,'[2]App C Inv'!$A$4:$I$917,9,FALSE)</f>
        <v>0</v>
      </c>
      <c r="V151" s="2"/>
      <c r="W151" s="2">
        <f>VLOOKUP($A151,'[2]App C Assum'!$A$4:$I$917,5,FALSE)</f>
        <v>104738</v>
      </c>
      <c r="X151" s="2">
        <f>VLOOKUP($A151,'[2]App C Assum'!$A$4:$I$917,6,FALSE)</f>
        <v>85805</v>
      </c>
      <c r="Y151" s="2">
        <f>VLOOKUP($A151,'[2]App C Assum'!$A$4:$I$917,7,FALSE)</f>
        <v>69659</v>
      </c>
      <c r="Z151" s="2">
        <f>VLOOKUP($A151,'[2]App C Assum'!$A$4:$I$917,8,FALSE)</f>
        <v>0</v>
      </c>
      <c r="AA151" s="2">
        <f>VLOOKUP($A151,'[2]App C Assum'!$A$4:$I$917,9,FALSE)</f>
        <v>0</v>
      </c>
      <c r="AB151" s="2"/>
      <c r="AC151" s="2">
        <f>VLOOKUP($A151,'[2]App C Share Outflows'!$A$4:$I$917,5,FALSE)</f>
        <v>0</v>
      </c>
      <c r="AD151" s="2">
        <f>VLOOKUP($A151,'[2]App C Share Outflows'!$A$4:$I$917,6,FALSE)</f>
        <v>0</v>
      </c>
      <c r="AE151" s="2">
        <f>VLOOKUP($A151,'[2]App C Share Outflows'!$A$4:$I$917,7,FALSE)</f>
        <v>0</v>
      </c>
      <c r="AF151" s="2">
        <f>VLOOKUP($A151,'[2]App C Share Outflows'!$A$4:$I$917,8,FALSE)</f>
        <v>0</v>
      </c>
      <c r="AG151" s="2">
        <f>VLOOKUP($A151,'[2]App C Share Outflows'!$A$4:$I$917,9,FALSE)</f>
        <v>0</v>
      </c>
      <c r="AH151" s="2"/>
      <c r="AI151" s="2">
        <f>VLOOKUP($A151,'[2]App C Share Inflows'!$A$4:$I$917,5,FALSE)</f>
        <v>-36248</v>
      </c>
      <c r="AJ151" s="2">
        <f>VLOOKUP($A151,'[2]App C Share Inflows'!$A$4:$I$917,6,FALSE)</f>
        <v>-27150</v>
      </c>
      <c r="AK151" s="2">
        <f>VLOOKUP($A151,'[2]App C Share Inflows'!$A$4:$I$917,7,FALSE)</f>
        <v>-23616</v>
      </c>
      <c r="AL151" s="2">
        <f>VLOOKUP($A151,'[2]App C Share Inflows'!$A$4:$I$917,8,FALSE)</f>
        <v>-14005</v>
      </c>
      <c r="AM151" s="2">
        <f>VLOOKUP($A151,'[2]App C Share Inflows'!$A$4:$I$917,6,FALSE)</f>
        <v>-27150</v>
      </c>
    </row>
    <row r="152" spans="1:39">
      <c r="A152" s="351">
        <v>91154</v>
      </c>
      <c r="B152" s="344" t="s">
        <v>3653</v>
      </c>
      <c r="C152" s="235" t="e">
        <f>VLOOKUP(A152,#REF!,10,FALSE)</f>
        <v>#REF!</v>
      </c>
      <c r="E152" s="2">
        <f>VLOOKUP($A152,'[2]App C Total'!$A$4:$I$917,5,FALSE)</f>
        <v>10106</v>
      </c>
      <c r="F152" s="2">
        <f>VLOOKUP($A152,'[2]App C Total'!$A$4:$I$917,6,FALSE)</f>
        <v>2579</v>
      </c>
      <c r="G152" s="2">
        <f>VLOOKUP($A152,'[2]App C Total'!$A$4:$I$917,7,FALSE)</f>
        <v>4085</v>
      </c>
      <c r="H152" s="2">
        <f>VLOOKUP($A152,'[2]App C Total'!$A$4:$I$917,8,FALSE)</f>
        <v>657</v>
      </c>
      <c r="I152" s="2">
        <f>VLOOKUP($A152,'[2]App C Total'!$A$4:$I$917,9,FALSE)</f>
        <v>0</v>
      </c>
      <c r="J152" s="2"/>
      <c r="K152" s="2">
        <f>VLOOKUP($A152,'[2]App C Exp'!$A$4:$I$917,5,FALSE)</f>
        <v>3146</v>
      </c>
      <c r="L152" s="2">
        <f>VLOOKUP($A152,'[2]App C Exp'!$A$4:$I$917,6,FALSE)</f>
        <v>2959</v>
      </c>
      <c r="M152" s="2">
        <f>VLOOKUP($A152,'[2]App C Exp'!$A$4:$I$917,7,FALSE)</f>
        <v>2652</v>
      </c>
      <c r="N152" s="2">
        <f>VLOOKUP($A152,'[2]App C Exp'!$A$4:$I$917,8,FALSE)</f>
        <v>1062</v>
      </c>
      <c r="O152" s="2">
        <f>VLOOKUP($A152,'[2]App C Exp'!$A$4:$I$917,9,FALSE)</f>
        <v>0</v>
      </c>
      <c r="P152" s="2"/>
      <c r="Q152" s="2">
        <f>VLOOKUP($A152,'[2]App C Inv'!$A$4:$I$917,5,FALSE)</f>
        <v>3340</v>
      </c>
      <c r="R152" s="2">
        <f>VLOOKUP($A152,'[2]App C Inv'!$A$4:$I$917,6,FALSE)</f>
        <v>-2873</v>
      </c>
      <c r="S152" s="2">
        <f>VLOOKUP($A152,'[2]App C Inv'!$A$4:$I$917,7,FALSE)</f>
        <v>405</v>
      </c>
      <c r="T152" s="2">
        <f>VLOOKUP($A152,'[2]App C Inv'!$A$4:$I$917,8,FALSE)</f>
        <v>527</v>
      </c>
      <c r="U152" s="2">
        <f>VLOOKUP($A152,'[2]App C Inv'!$A$4:$I$917,9,FALSE)</f>
        <v>0</v>
      </c>
      <c r="V152" s="2"/>
      <c r="W152" s="2">
        <f>VLOOKUP($A152,'[2]App C Assum'!$A$4:$I$917,5,FALSE)</f>
        <v>3762</v>
      </c>
      <c r="X152" s="2">
        <f>VLOOKUP($A152,'[2]App C Assum'!$A$4:$I$917,6,FALSE)</f>
        <v>3082</v>
      </c>
      <c r="Y152" s="2">
        <f>VLOOKUP($A152,'[2]App C Assum'!$A$4:$I$917,7,FALSE)</f>
        <v>2502</v>
      </c>
      <c r="Z152" s="2">
        <f>VLOOKUP($A152,'[2]App C Assum'!$A$4:$I$917,8,FALSE)</f>
        <v>0</v>
      </c>
      <c r="AA152" s="2">
        <f>VLOOKUP($A152,'[2]App C Assum'!$A$4:$I$917,9,FALSE)</f>
        <v>0</v>
      </c>
      <c r="AB152" s="2"/>
      <c r="AC152" s="2">
        <f>VLOOKUP($A152,'[2]App C Share Outflows'!$A$4:$I$917,5,FALSE)</f>
        <v>1334</v>
      </c>
      <c r="AD152" s="2">
        <f>VLOOKUP($A152,'[2]App C Share Outflows'!$A$4:$I$917,6,FALSE)</f>
        <v>887</v>
      </c>
      <c r="AE152" s="2">
        <f>VLOOKUP($A152,'[2]App C Share Outflows'!$A$4:$I$917,7,FALSE)</f>
        <v>0</v>
      </c>
      <c r="AF152" s="2">
        <f>VLOOKUP($A152,'[2]App C Share Outflows'!$A$4:$I$917,8,FALSE)</f>
        <v>0</v>
      </c>
      <c r="AG152" s="2">
        <f>VLOOKUP($A152,'[2]App C Share Outflows'!$A$4:$I$917,9,FALSE)</f>
        <v>0</v>
      </c>
      <c r="AH152" s="2"/>
      <c r="AI152" s="2">
        <f>VLOOKUP($A152,'[2]App C Share Inflows'!$A$4:$I$917,5,FALSE)</f>
        <v>-1476</v>
      </c>
      <c r="AJ152" s="2">
        <f>VLOOKUP($A152,'[2]App C Share Inflows'!$A$4:$I$917,6,FALSE)</f>
        <v>-1476</v>
      </c>
      <c r="AK152" s="2">
        <f>VLOOKUP($A152,'[2]App C Share Inflows'!$A$4:$I$917,7,FALSE)</f>
        <v>-1474</v>
      </c>
      <c r="AL152" s="2">
        <f>VLOOKUP($A152,'[2]App C Share Inflows'!$A$4:$I$917,8,FALSE)</f>
        <v>-932</v>
      </c>
      <c r="AM152" s="2">
        <f>VLOOKUP($A152,'[2]App C Share Inflows'!$A$4:$I$917,6,FALSE)</f>
        <v>-1476</v>
      </c>
    </row>
    <row r="153" spans="1:39">
      <c r="A153" s="351">
        <v>91161</v>
      </c>
      <c r="B153" s="344" t="s">
        <v>845</v>
      </c>
      <c r="C153" s="235" t="e">
        <f>VLOOKUP(A153,#REF!,10,FALSE)</f>
        <v>#REF!</v>
      </c>
      <c r="E153" s="2">
        <f>VLOOKUP($A153,'[2]App C Total'!$A$4:$I$917,5,FALSE)</f>
        <v>51472</v>
      </c>
      <c r="F153" s="2">
        <f>VLOOKUP($A153,'[2]App C Total'!$A$4:$I$917,6,FALSE)</f>
        <v>16580</v>
      </c>
      <c r="G153" s="2">
        <f>VLOOKUP($A153,'[2]App C Total'!$A$4:$I$917,7,FALSE)</f>
        <v>28490</v>
      </c>
      <c r="H153" s="2">
        <f>VLOOKUP($A153,'[2]App C Total'!$A$4:$I$917,8,FALSE)</f>
        <v>10805</v>
      </c>
      <c r="I153" s="2">
        <f>VLOOKUP($A153,'[2]App C Total'!$A$4:$I$917,9,FALSE)</f>
        <v>0</v>
      </c>
      <c r="J153" s="2"/>
      <c r="K153" s="2">
        <f>VLOOKUP($A153,'[2]App C Exp'!$A$4:$I$917,5,FALSE)</f>
        <v>15745</v>
      </c>
      <c r="L153" s="2">
        <f>VLOOKUP($A153,'[2]App C Exp'!$A$4:$I$917,6,FALSE)</f>
        <v>14811</v>
      </c>
      <c r="M153" s="2">
        <f>VLOOKUP($A153,'[2]App C Exp'!$A$4:$I$917,7,FALSE)</f>
        <v>13275</v>
      </c>
      <c r="N153" s="2">
        <f>VLOOKUP($A153,'[2]App C Exp'!$A$4:$I$917,8,FALSE)</f>
        <v>5315</v>
      </c>
      <c r="O153" s="2">
        <f>VLOOKUP($A153,'[2]App C Exp'!$A$4:$I$917,9,FALSE)</f>
        <v>0</v>
      </c>
      <c r="P153" s="2"/>
      <c r="Q153" s="2">
        <f>VLOOKUP($A153,'[2]App C Inv'!$A$4:$I$917,5,FALSE)</f>
        <v>16715</v>
      </c>
      <c r="R153" s="2">
        <f>VLOOKUP($A153,'[2]App C Inv'!$A$4:$I$917,6,FALSE)</f>
        <v>-14378</v>
      </c>
      <c r="S153" s="2">
        <f>VLOOKUP($A153,'[2]App C Inv'!$A$4:$I$917,7,FALSE)</f>
        <v>2026</v>
      </c>
      <c r="T153" s="2">
        <f>VLOOKUP($A153,'[2]App C Inv'!$A$4:$I$917,8,FALSE)</f>
        <v>2637</v>
      </c>
      <c r="U153" s="2">
        <f>VLOOKUP($A153,'[2]App C Inv'!$A$4:$I$917,9,FALSE)</f>
        <v>0</v>
      </c>
      <c r="V153" s="2"/>
      <c r="W153" s="2">
        <f>VLOOKUP($A153,'[2]App C Assum'!$A$4:$I$917,5,FALSE)</f>
        <v>18830</v>
      </c>
      <c r="X153" s="2">
        <f>VLOOKUP($A153,'[2]App C Assum'!$A$4:$I$917,6,FALSE)</f>
        <v>15426</v>
      </c>
      <c r="Y153" s="2">
        <f>VLOOKUP($A153,'[2]App C Assum'!$A$4:$I$917,7,FALSE)</f>
        <v>12523</v>
      </c>
      <c r="Z153" s="2">
        <f>VLOOKUP($A153,'[2]App C Assum'!$A$4:$I$917,8,FALSE)</f>
        <v>0</v>
      </c>
      <c r="AA153" s="2">
        <f>VLOOKUP($A153,'[2]App C Assum'!$A$4:$I$917,9,FALSE)</f>
        <v>0</v>
      </c>
      <c r="AB153" s="2"/>
      <c r="AC153" s="2">
        <f>VLOOKUP($A153,'[2]App C Share Outflows'!$A$4:$I$917,5,FALSE)</f>
        <v>2905</v>
      </c>
      <c r="AD153" s="2">
        <f>VLOOKUP($A153,'[2]App C Share Outflows'!$A$4:$I$917,6,FALSE)</f>
        <v>2905</v>
      </c>
      <c r="AE153" s="2">
        <f>VLOOKUP($A153,'[2]App C Share Outflows'!$A$4:$I$917,7,FALSE)</f>
        <v>2851</v>
      </c>
      <c r="AF153" s="2">
        <f>VLOOKUP($A153,'[2]App C Share Outflows'!$A$4:$I$917,8,FALSE)</f>
        <v>2853</v>
      </c>
      <c r="AG153" s="2">
        <f>VLOOKUP($A153,'[2]App C Share Outflows'!$A$4:$I$917,9,FALSE)</f>
        <v>0</v>
      </c>
      <c r="AH153" s="2"/>
      <c r="AI153" s="2">
        <f>VLOOKUP($A153,'[2]App C Share Inflows'!$A$4:$I$917,5,FALSE)</f>
        <v>-2723</v>
      </c>
      <c r="AJ153" s="2">
        <f>VLOOKUP($A153,'[2]App C Share Inflows'!$A$4:$I$917,6,FALSE)</f>
        <v>-2184</v>
      </c>
      <c r="AK153" s="2">
        <f>VLOOKUP($A153,'[2]App C Share Inflows'!$A$4:$I$917,7,FALSE)</f>
        <v>-2185</v>
      </c>
      <c r="AL153" s="2">
        <f>VLOOKUP($A153,'[2]App C Share Inflows'!$A$4:$I$917,8,FALSE)</f>
        <v>0</v>
      </c>
      <c r="AM153" s="2">
        <f>VLOOKUP($A153,'[2]App C Share Inflows'!$A$4:$I$917,6,FALSE)</f>
        <v>-2184</v>
      </c>
    </row>
    <row r="154" spans="1:39">
      <c r="A154" s="351">
        <v>91171</v>
      </c>
      <c r="B154" s="344" t="s">
        <v>846</v>
      </c>
      <c r="C154" s="235" t="e">
        <f>VLOOKUP(A154,#REF!,10,FALSE)</f>
        <v>#REF!</v>
      </c>
      <c r="E154" s="2">
        <f>VLOOKUP($A154,'[2]App C Total'!$A$4:$I$917,5,FALSE)</f>
        <v>127521</v>
      </c>
      <c r="F154" s="2">
        <f>VLOOKUP($A154,'[2]App C Total'!$A$4:$I$917,6,FALSE)</f>
        <v>39363</v>
      </c>
      <c r="G154" s="2">
        <f>VLOOKUP($A154,'[2]App C Total'!$A$4:$I$917,7,FALSE)</f>
        <v>79281</v>
      </c>
      <c r="H154" s="2">
        <f>VLOOKUP($A154,'[2]App C Total'!$A$4:$I$917,8,FALSE)</f>
        <v>22491</v>
      </c>
      <c r="I154" s="2">
        <f>VLOOKUP($A154,'[2]App C Total'!$A$4:$I$917,9,FALSE)</f>
        <v>0</v>
      </c>
      <c r="J154" s="2"/>
      <c r="K154" s="2">
        <f>VLOOKUP($A154,'[2]App C Exp'!$A$4:$I$917,5,FALSE)</f>
        <v>40178</v>
      </c>
      <c r="L154" s="2">
        <f>VLOOKUP($A154,'[2]App C Exp'!$A$4:$I$917,6,FALSE)</f>
        <v>37795</v>
      </c>
      <c r="M154" s="2">
        <f>VLOOKUP($A154,'[2]App C Exp'!$A$4:$I$917,7,FALSE)</f>
        <v>33875</v>
      </c>
      <c r="N154" s="2">
        <f>VLOOKUP($A154,'[2]App C Exp'!$A$4:$I$917,8,FALSE)</f>
        <v>13563</v>
      </c>
      <c r="O154" s="2">
        <f>VLOOKUP($A154,'[2]App C Exp'!$A$4:$I$917,9,FALSE)</f>
        <v>0</v>
      </c>
      <c r="P154" s="2"/>
      <c r="Q154" s="2">
        <f>VLOOKUP($A154,'[2]App C Inv'!$A$4:$I$917,5,FALSE)</f>
        <v>42655</v>
      </c>
      <c r="R154" s="2">
        <f>VLOOKUP($A154,'[2]App C Inv'!$A$4:$I$917,6,FALSE)</f>
        <v>-36691</v>
      </c>
      <c r="S154" s="2">
        <f>VLOOKUP($A154,'[2]App C Inv'!$A$4:$I$917,7,FALSE)</f>
        <v>5171</v>
      </c>
      <c r="T154" s="2">
        <f>VLOOKUP($A154,'[2]App C Inv'!$A$4:$I$917,8,FALSE)</f>
        <v>6730</v>
      </c>
      <c r="U154" s="2">
        <f>VLOOKUP($A154,'[2]App C Inv'!$A$4:$I$917,9,FALSE)</f>
        <v>0</v>
      </c>
      <c r="V154" s="2"/>
      <c r="W154" s="2">
        <f>VLOOKUP($A154,'[2]App C Assum'!$A$4:$I$917,5,FALSE)</f>
        <v>48051</v>
      </c>
      <c r="X154" s="2">
        <f>VLOOKUP($A154,'[2]App C Assum'!$A$4:$I$917,6,FALSE)</f>
        <v>39365</v>
      </c>
      <c r="Y154" s="2">
        <f>VLOOKUP($A154,'[2]App C Assum'!$A$4:$I$917,7,FALSE)</f>
        <v>31958</v>
      </c>
      <c r="Z154" s="2">
        <f>VLOOKUP($A154,'[2]App C Assum'!$A$4:$I$917,8,FALSE)</f>
        <v>0</v>
      </c>
      <c r="AA154" s="2">
        <f>VLOOKUP($A154,'[2]App C Assum'!$A$4:$I$917,9,FALSE)</f>
        <v>0</v>
      </c>
      <c r="AB154" s="2"/>
      <c r="AC154" s="2">
        <f>VLOOKUP($A154,'[2]App C Share Outflows'!$A$4:$I$917,5,FALSE)</f>
        <v>8275</v>
      </c>
      <c r="AD154" s="2">
        <f>VLOOKUP($A154,'[2]App C Share Outflows'!$A$4:$I$917,6,FALSE)</f>
        <v>8275</v>
      </c>
      <c r="AE154" s="2">
        <f>VLOOKUP($A154,'[2]App C Share Outflows'!$A$4:$I$917,7,FALSE)</f>
        <v>8277</v>
      </c>
      <c r="AF154" s="2">
        <f>VLOOKUP($A154,'[2]App C Share Outflows'!$A$4:$I$917,8,FALSE)</f>
        <v>2198</v>
      </c>
      <c r="AG154" s="2">
        <f>VLOOKUP($A154,'[2]App C Share Outflows'!$A$4:$I$917,9,FALSE)</f>
        <v>0</v>
      </c>
      <c r="AH154" s="2"/>
      <c r="AI154" s="2">
        <f>VLOOKUP($A154,'[2]App C Share Inflows'!$A$4:$I$917,5,FALSE)</f>
        <v>-11638</v>
      </c>
      <c r="AJ154" s="2">
        <f>VLOOKUP($A154,'[2]App C Share Inflows'!$A$4:$I$917,6,FALSE)</f>
        <v>-9381</v>
      </c>
      <c r="AK154" s="2">
        <f>VLOOKUP($A154,'[2]App C Share Inflows'!$A$4:$I$917,7,FALSE)</f>
        <v>0</v>
      </c>
      <c r="AL154" s="2">
        <f>VLOOKUP($A154,'[2]App C Share Inflows'!$A$4:$I$917,8,FALSE)</f>
        <v>0</v>
      </c>
      <c r="AM154" s="2">
        <f>VLOOKUP($A154,'[2]App C Share Inflows'!$A$4:$I$917,6,FALSE)</f>
        <v>-9381</v>
      </c>
    </row>
    <row r="155" spans="1:39">
      <c r="A155" s="351">
        <v>91201</v>
      </c>
      <c r="B155" s="344" t="s">
        <v>847</v>
      </c>
      <c r="C155" s="235" t="e">
        <f>VLOOKUP(A155,#REF!,10,FALSE)</f>
        <v>#REF!</v>
      </c>
      <c r="E155" s="2">
        <f>VLOOKUP($A155,'[2]App C Total'!$A$4:$I$917,5,FALSE)</f>
        <v>1070100</v>
      </c>
      <c r="F155" s="2">
        <f>VLOOKUP($A155,'[2]App C Total'!$A$4:$I$917,6,FALSE)</f>
        <v>302879</v>
      </c>
      <c r="G155" s="2">
        <f>VLOOKUP($A155,'[2]App C Total'!$A$4:$I$917,7,FALSE)</f>
        <v>583765</v>
      </c>
      <c r="H155" s="2">
        <f>VLOOKUP($A155,'[2]App C Total'!$A$4:$I$917,8,FALSE)</f>
        <v>165957</v>
      </c>
      <c r="I155" s="2">
        <f>VLOOKUP($A155,'[2]App C Total'!$A$4:$I$917,9,FALSE)</f>
        <v>0</v>
      </c>
      <c r="J155" s="2"/>
      <c r="K155" s="2">
        <f>VLOOKUP($A155,'[2]App C Exp'!$A$4:$I$917,5,FALSE)</f>
        <v>343028</v>
      </c>
      <c r="L155" s="2">
        <f>VLOOKUP($A155,'[2]App C Exp'!$A$4:$I$917,6,FALSE)</f>
        <v>322679</v>
      </c>
      <c r="M155" s="2">
        <f>VLOOKUP($A155,'[2]App C Exp'!$A$4:$I$917,7,FALSE)</f>
        <v>289213</v>
      </c>
      <c r="N155" s="2">
        <f>VLOOKUP($A155,'[2]App C Exp'!$A$4:$I$917,8,FALSE)</f>
        <v>115797</v>
      </c>
      <c r="O155" s="2">
        <f>VLOOKUP($A155,'[2]App C Exp'!$A$4:$I$917,9,FALSE)</f>
        <v>0</v>
      </c>
      <c r="P155" s="2"/>
      <c r="Q155" s="2">
        <f>VLOOKUP($A155,'[2]App C Inv'!$A$4:$I$917,5,FALSE)</f>
        <v>364172</v>
      </c>
      <c r="R155" s="2">
        <f>VLOOKUP($A155,'[2]App C Inv'!$A$4:$I$917,6,FALSE)</f>
        <v>-313256</v>
      </c>
      <c r="S155" s="2">
        <f>VLOOKUP($A155,'[2]App C Inv'!$A$4:$I$917,7,FALSE)</f>
        <v>44150</v>
      </c>
      <c r="T155" s="2">
        <f>VLOOKUP($A155,'[2]App C Inv'!$A$4:$I$917,8,FALSE)</f>
        <v>57460</v>
      </c>
      <c r="U155" s="2">
        <f>VLOOKUP($A155,'[2]App C Inv'!$A$4:$I$917,9,FALSE)</f>
        <v>0</v>
      </c>
      <c r="V155" s="2"/>
      <c r="W155" s="2">
        <f>VLOOKUP($A155,'[2]App C Assum'!$A$4:$I$917,5,FALSE)</f>
        <v>410245</v>
      </c>
      <c r="X155" s="2">
        <f>VLOOKUP($A155,'[2]App C Assum'!$A$4:$I$917,6,FALSE)</f>
        <v>336088</v>
      </c>
      <c r="Y155" s="2">
        <f>VLOOKUP($A155,'[2]App C Assum'!$A$4:$I$917,7,FALSE)</f>
        <v>272846</v>
      </c>
      <c r="Z155" s="2">
        <f>VLOOKUP($A155,'[2]App C Assum'!$A$4:$I$917,8,FALSE)</f>
        <v>0</v>
      </c>
      <c r="AA155" s="2">
        <f>VLOOKUP($A155,'[2]App C Assum'!$A$4:$I$917,9,FALSE)</f>
        <v>0</v>
      </c>
      <c r="AB155" s="2"/>
      <c r="AC155" s="2">
        <f>VLOOKUP($A155,'[2]App C Share Outflows'!$A$4:$I$917,5,FALSE)</f>
        <v>0</v>
      </c>
      <c r="AD155" s="2">
        <f>VLOOKUP($A155,'[2]App C Share Outflows'!$A$4:$I$917,6,FALSE)</f>
        <v>0</v>
      </c>
      <c r="AE155" s="2">
        <f>VLOOKUP($A155,'[2]App C Share Outflows'!$A$4:$I$917,7,FALSE)</f>
        <v>0</v>
      </c>
      <c r="AF155" s="2">
        <f>VLOOKUP($A155,'[2]App C Share Outflows'!$A$4:$I$917,8,FALSE)</f>
        <v>0</v>
      </c>
      <c r="AG155" s="2">
        <f>VLOOKUP($A155,'[2]App C Share Outflows'!$A$4:$I$917,9,FALSE)</f>
        <v>0</v>
      </c>
      <c r="AH155" s="2"/>
      <c r="AI155" s="2">
        <f>VLOOKUP($A155,'[2]App C Share Inflows'!$A$4:$I$917,5,FALSE)</f>
        <v>-47345</v>
      </c>
      <c r="AJ155" s="2">
        <f>VLOOKUP($A155,'[2]App C Share Inflows'!$A$4:$I$917,6,FALSE)</f>
        <v>-42632</v>
      </c>
      <c r="AK155" s="2">
        <f>VLOOKUP($A155,'[2]App C Share Inflows'!$A$4:$I$917,7,FALSE)</f>
        <v>-22444</v>
      </c>
      <c r="AL155" s="2">
        <f>VLOOKUP($A155,'[2]App C Share Inflows'!$A$4:$I$917,8,FALSE)</f>
        <v>-7300</v>
      </c>
      <c r="AM155" s="2">
        <f>VLOOKUP($A155,'[2]App C Share Inflows'!$A$4:$I$917,6,FALSE)</f>
        <v>-42632</v>
      </c>
    </row>
    <row r="156" spans="1:39">
      <c r="A156" s="351">
        <v>91202</v>
      </c>
      <c r="B156" s="344" t="s">
        <v>3654</v>
      </c>
      <c r="C156" s="235" t="e">
        <f>VLOOKUP(A156,#REF!,10,FALSE)</f>
        <v>#REF!</v>
      </c>
      <c r="E156" s="2">
        <f>VLOOKUP($A156,'[2]App C Total'!$A$4:$I$917,5,FALSE)</f>
        <v>87426</v>
      </c>
      <c r="F156" s="2">
        <f>VLOOKUP($A156,'[2]App C Total'!$A$4:$I$917,6,FALSE)</f>
        <v>25378</v>
      </c>
      <c r="G156" s="2">
        <f>VLOOKUP($A156,'[2]App C Total'!$A$4:$I$917,7,FALSE)</f>
        <v>43175</v>
      </c>
      <c r="H156" s="2">
        <f>VLOOKUP($A156,'[2]App C Total'!$A$4:$I$917,8,FALSE)</f>
        <v>9066</v>
      </c>
      <c r="I156" s="2">
        <f>VLOOKUP($A156,'[2]App C Total'!$A$4:$I$917,9,FALSE)</f>
        <v>0</v>
      </c>
      <c r="J156" s="2"/>
      <c r="K156" s="2">
        <f>VLOOKUP($A156,'[2]App C Exp'!$A$4:$I$917,5,FALSE)</f>
        <v>26246</v>
      </c>
      <c r="L156" s="2">
        <f>VLOOKUP($A156,'[2]App C Exp'!$A$4:$I$917,6,FALSE)</f>
        <v>24689</v>
      </c>
      <c r="M156" s="2">
        <f>VLOOKUP($A156,'[2]App C Exp'!$A$4:$I$917,7,FALSE)</f>
        <v>22129</v>
      </c>
      <c r="N156" s="2">
        <f>VLOOKUP($A156,'[2]App C Exp'!$A$4:$I$917,8,FALSE)</f>
        <v>8860</v>
      </c>
      <c r="O156" s="2">
        <f>VLOOKUP($A156,'[2]App C Exp'!$A$4:$I$917,9,FALSE)</f>
        <v>0</v>
      </c>
      <c r="P156" s="2"/>
      <c r="Q156" s="2">
        <f>VLOOKUP($A156,'[2]App C Inv'!$A$4:$I$917,5,FALSE)</f>
        <v>27864</v>
      </c>
      <c r="R156" s="2">
        <f>VLOOKUP($A156,'[2]App C Inv'!$A$4:$I$917,6,FALSE)</f>
        <v>-23968</v>
      </c>
      <c r="S156" s="2">
        <f>VLOOKUP($A156,'[2]App C Inv'!$A$4:$I$917,7,FALSE)</f>
        <v>3378</v>
      </c>
      <c r="T156" s="2">
        <f>VLOOKUP($A156,'[2]App C Inv'!$A$4:$I$917,8,FALSE)</f>
        <v>4396</v>
      </c>
      <c r="U156" s="2">
        <f>VLOOKUP($A156,'[2]App C Inv'!$A$4:$I$917,9,FALSE)</f>
        <v>0</v>
      </c>
      <c r="V156" s="2"/>
      <c r="W156" s="2">
        <f>VLOOKUP($A156,'[2]App C Assum'!$A$4:$I$917,5,FALSE)</f>
        <v>31389</v>
      </c>
      <c r="X156" s="2">
        <f>VLOOKUP($A156,'[2]App C Assum'!$A$4:$I$917,6,FALSE)</f>
        <v>25715</v>
      </c>
      <c r="Y156" s="2">
        <f>VLOOKUP($A156,'[2]App C Assum'!$A$4:$I$917,7,FALSE)</f>
        <v>20876</v>
      </c>
      <c r="Z156" s="2">
        <f>VLOOKUP($A156,'[2]App C Assum'!$A$4:$I$917,8,FALSE)</f>
        <v>0</v>
      </c>
      <c r="AA156" s="2">
        <f>VLOOKUP($A156,'[2]App C Assum'!$A$4:$I$917,9,FALSE)</f>
        <v>0</v>
      </c>
      <c r="AB156" s="2"/>
      <c r="AC156" s="2">
        <f>VLOOKUP($A156,'[2]App C Share Outflows'!$A$4:$I$917,5,FALSE)</f>
        <v>6115</v>
      </c>
      <c r="AD156" s="2">
        <f>VLOOKUP($A156,'[2]App C Share Outflows'!$A$4:$I$917,6,FALSE)</f>
        <v>3130</v>
      </c>
      <c r="AE156" s="2">
        <f>VLOOKUP($A156,'[2]App C Share Outflows'!$A$4:$I$917,7,FALSE)</f>
        <v>980</v>
      </c>
      <c r="AF156" s="2">
        <f>VLOOKUP($A156,'[2]App C Share Outflows'!$A$4:$I$917,8,FALSE)</f>
        <v>0</v>
      </c>
      <c r="AG156" s="2">
        <f>VLOOKUP($A156,'[2]App C Share Outflows'!$A$4:$I$917,9,FALSE)</f>
        <v>0</v>
      </c>
      <c r="AH156" s="2"/>
      <c r="AI156" s="2">
        <f>VLOOKUP($A156,'[2]App C Share Inflows'!$A$4:$I$917,5,FALSE)</f>
        <v>-4188</v>
      </c>
      <c r="AJ156" s="2">
        <f>VLOOKUP($A156,'[2]App C Share Inflows'!$A$4:$I$917,6,FALSE)</f>
        <v>-4188</v>
      </c>
      <c r="AK156" s="2">
        <f>VLOOKUP($A156,'[2]App C Share Inflows'!$A$4:$I$917,7,FALSE)</f>
        <v>-4188</v>
      </c>
      <c r="AL156" s="2">
        <f>VLOOKUP($A156,'[2]App C Share Inflows'!$A$4:$I$917,8,FALSE)</f>
        <v>-4190</v>
      </c>
      <c r="AM156" s="2">
        <f>VLOOKUP($A156,'[2]App C Share Inflows'!$A$4:$I$917,6,FALSE)</f>
        <v>-4188</v>
      </c>
    </row>
    <row r="157" spans="1:39">
      <c r="A157" s="351">
        <v>91203</v>
      </c>
      <c r="B157" s="344" t="s">
        <v>3655</v>
      </c>
      <c r="C157" s="235" t="e">
        <f>VLOOKUP(A157,#REF!,10,FALSE)</f>
        <v>#REF!</v>
      </c>
      <c r="E157" s="2">
        <f>VLOOKUP($A157,'[2]App C Total'!$A$4:$I$917,5,FALSE)</f>
        <v>125551</v>
      </c>
      <c r="F157" s="2">
        <f>VLOOKUP($A157,'[2]App C Total'!$A$4:$I$917,6,FALSE)</f>
        <v>45550</v>
      </c>
      <c r="G157" s="2">
        <f>VLOOKUP($A157,'[2]App C Total'!$A$4:$I$917,7,FALSE)</f>
        <v>70312</v>
      </c>
      <c r="H157" s="2">
        <f>VLOOKUP($A157,'[2]App C Total'!$A$4:$I$917,8,FALSE)</f>
        <v>20646</v>
      </c>
      <c r="I157" s="2">
        <f>VLOOKUP($A157,'[2]App C Total'!$A$4:$I$917,9,FALSE)</f>
        <v>0</v>
      </c>
      <c r="J157" s="2"/>
      <c r="K157" s="2">
        <f>VLOOKUP($A157,'[2]App C Exp'!$A$4:$I$917,5,FALSE)</f>
        <v>33961</v>
      </c>
      <c r="L157" s="2">
        <f>VLOOKUP($A157,'[2]App C Exp'!$A$4:$I$917,6,FALSE)</f>
        <v>31947</v>
      </c>
      <c r="M157" s="2">
        <f>VLOOKUP($A157,'[2]App C Exp'!$A$4:$I$917,7,FALSE)</f>
        <v>28633</v>
      </c>
      <c r="N157" s="2">
        <f>VLOOKUP($A157,'[2]App C Exp'!$A$4:$I$917,8,FALSE)</f>
        <v>11464</v>
      </c>
      <c r="O157" s="2">
        <f>VLOOKUP($A157,'[2]App C Exp'!$A$4:$I$917,9,FALSE)</f>
        <v>0</v>
      </c>
      <c r="P157" s="2"/>
      <c r="Q157" s="2">
        <f>VLOOKUP($A157,'[2]App C Inv'!$A$4:$I$917,5,FALSE)</f>
        <v>36055</v>
      </c>
      <c r="R157" s="2">
        <f>VLOOKUP($A157,'[2]App C Inv'!$A$4:$I$917,6,FALSE)</f>
        <v>-31014</v>
      </c>
      <c r="S157" s="2">
        <f>VLOOKUP($A157,'[2]App C Inv'!$A$4:$I$917,7,FALSE)</f>
        <v>4371</v>
      </c>
      <c r="T157" s="2">
        <f>VLOOKUP($A157,'[2]App C Inv'!$A$4:$I$917,8,FALSE)</f>
        <v>5689</v>
      </c>
      <c r="U157" s="2">
        <f>VLOOKUP($A157,'[2]App C Inv'!$A$4:$I$917,9,FALSE)</f>
        <v>0</v>
      </c>
      <c r="V157" s="2"/>
      <c r="W157" s="2">
        <f>VLOOKUP($A157,'[2]App C Assum'!$A$4:$I$917,5,FALSE)</f>
        <v>40616</v>
      </c>
      <c r="X157" s="2">
        <f>VLOOKUP($A157,'[2]App C Assum'!$A$4:$I$917,6,FALSE)</f>
        <v>33274</v>
      </c>
      <c r="Y157" s="2">
        <f>VLOOKUP($A157,'[2]App C Assum'!$A$4:$I$917,7,FALSE)</f>
        <v>27013</v>
      </c>
      <c r="Z157" s="2">
        <f>VLOOKUP($A157,'[2]App C Assum'!$A$4:$I$917,8,FALSE)</f>
        <v>0</v>
      </c>
      <c r="AA157" s="2">
        <f>VLOOKUP($A157,'[2]App C Assum'!$A$4:$I$917,9,FALSE)</f>
        <v>0</v>
      </c>
      <c r="AB157" s="2"/>
      <c r="AC157" s="2">
        <f>VLOOKUP($A157,'[2]App C Share Outflows'!$A$4:$I$917,5,FALSE)</f>
        <v>14919</v>
      </c>
      <c r="AD157" s="2">
        <f>VLOOKUP($A157,'[2]App C Share Outflows'!$A$4:$I$917,6,FALSE)</f>
        <v>11343</v>
      </c>
      <c r="AE157" s="2">
        <f>VLOOKUP($A157,'[2]App C Share Outflows'!$A$4:$I$917,7,FALSE)</f>
        <v>10295</v>
      </c>
      <c r="AF157" s="2">
        <f>VLOOKUP($A157,'[2]App C Share Outflows'!$A$4:$I$917,8,FALSE)</f>
        <v>3493</v>
      </c>
      <c r="AG157" s="2">
        <f>VLOOKUP($A157,'[2]App C Share Outflows'!$A$4:$I$917,9,FALSE)</f>
        <v>0</v>
      </c>
      <c r="AH157" s="2"/>
      <c r="AI157" s="2">
        <f>VLOOKUP($A157,'[2]App C Share Inflows'!$A$4:$I$917,5,FALSE)</f>
        <v>0</v>
      </c>
      <c r="AJ157" s="2">
        <f>VLOOKUP($A157,'[2]App C Share Inflows'!$A$4:$I$917,6,FALSE)</f>
        <v>0</v>
      </c>
      <c r="AK157" s="2">
        <f>VLOOKUP($A157,'[2]App C Share Inflows'!$A$4:$I$917,7,FALSE)</f>
        <v>0</v>
      </c>
      <c r="AL157" s="2">
        <f>VLOOKUP($A157,'[2]App C Share Inflows'!$A$4:$I$917,8,FALSE)</f>
        <v>0</v>
      </c>
      <c r="AM157" s="2">
        <f>VLOOKUP($A157,'[2]App C Share Inflows'!$A$4:$I$917,6,FALSE)</f>
        <v>0</v>
      </c>
    </row>
    <row r="158" spans="1:39">
      <c r="A158" s="351">
        <v>91206</v>
      </c>
      <c r="B158" s="344" t="s">
        <v>3656</v>
      </c>
      <c r="C158" s="235" t="e">
        <f>VLOOKUP(A158,#REF!,10,FALSE)</f>
        <v>#REF!</v>
      </c>
      <c r="E158" s="2">
        <f>VLOOKUP($A158,'[2]App C Total'!$A$4:$I$917,5,FALSE)</f>
        <v>483466</v>
      </c>
      <c r="F158" s="2">
        <f>VLOOKUP($A158,'[2]App C Total'!$A$4:$I$917,6,FALSE)</f>
        <v>162702</v>
      </c>
      <c r="G158" s="2">
        <f>VLOOKUP($A158,'[2]App C Total'!$A$4:$I$917,7,FALSE)</f>
        <v>265638</v>
      </c>
      <c r="H158" s="2">
        <f>VLOOKUP($A158,'[2]App C Total'!$A$4:$I$917,8,FALSE)</f>
        <v>78416</v>
      </c>
      <c r="I158" s="2">
        <f>VLOOKUP($A158,'[2]App C Total'!$A$4:$I$917,9,FALSE)</f>
        <v>0</v>
      </c>
      <c r="J158" s="2"/>
      <c r="K158" s="2">
        <f>VLOOKUP($A158,'[2]App C Exp'!$A$4:$I$917,5,FALSE)</f>
        <v>142691</v>
      </c>
      <c r="L158" s="2">
        <f>VLOOKUP($A158,'[2]App C Exp'!$A$4:$I$917,6,FALSE)</f>
        <v>134226</v>
      </c>
      <c r="M158" s="2">
        <f>VLOOKUP($A158,'[2]App C Exp'!$A$4:$I$917,7,FALSE)</f>
        <v>120306</v>
      </c>
      <c r="N158" s="2">
        <f>VLOOKUP($A158,'[2]App C Exp'!$A$4:$I$917,8,FALSE)</f>
        <v>48169</v>
      </c>
      <c r="O158" s="2">
        <f>VLOOKUP($A158,'[2]App C Exp'!$A$4:$I$917,9,FALSE)</f>
        <v>0</v>
      </c>
      <c r="P158" s="2"/>
      <c r="Q158" s="2">
        <f>VLOOKUP($A158,'[2]App C Inv'!$A$4:$I$917,5,FALSE)</f>
        <v>151487</v>
      </c>
      <c r="R158" s="2">
        <f>VLOOKUP($A158,'[2]App C Inv'!$A$4:$I$917,6,FALSE)</f>
        <v>-130307</v>
      </c>
      <c r="S158" s="2">
        <f>VLOOKUP($A158,'[2]App C Inv'!$A$4:$I$917,7,FALSE)</f>
        <v>18365</v>
      </c>
      <c r="T158" s="2">
        <f>VLOOKUP($A158,'[2]App C Inv'!$A$4:$I$917,8,FALSE)</f>
        <v>23902</v>
      </c>
      <c r="U158" s="2">
        <f>VLOOKUP($A158,'[2]App C Inv'!$A$4:$I$917,9,FALSE)</f>
        <v>0</v>
      </c>
      <c r="V158" s="2"/>
      <c r="W158" s="2">
        <f>VLOOKUP($A158,'[2]App C Assum'!$A$4:$I$917,5,FALSE)</f>
        <v>170652</v>
      </c>
      <c r="X158" s="2">
        <f>VLOOKUP($A158,'[2]App C Assum'!$A$4:$I$917,6,FALSE)</f>
        <v>139804</v>
      </c>
      <c r="Y158" s="2">
        <f>VLOOKUP($A158,'[2]App C Assum'!$A$4:$I$917,7,FALSE)</f>
        <v>113497</v>
      </c>
      <c r="Z158" s="2">
        <f>VLOOKUP($A158,'[2]App C Assum'!$A$4:$I$917,8,FALSE)</f>
        <v>0</v>
      </c>
      <c r="AA158" s="2">
        <f>VLOOKUP($A158,'[2]App C Assum'!$A$4:$I$917,9,FALSE)</f>
        <v>0</v>
      </c>
      <c r="AB158" s="2"/>
      <c r="AC158" s="2">
        <f>VLOOKUP($A158,'[2]App C Share Outflows'!$A$4:$I$917,5,FALSE)</f>
        <v>18977</v>
      </c>
      <c r="AD158" s="2">
        <f>VLOOKUP($A158,'[2]App C Share Outflows'!$A$4:$I$917,6,FALSE)</f>
        <v>18979</v>
      </c>
      <c r="AE158" s="2">
        <f>VLOOKUP($A158,'[2]App C Share Outflows'!$A$4:$I$917,7,FALSE)</f>
        <v>13470</v>
      </c>
      <c r="AF158" s="2">
        <f>VLOOKUP($A158,'[2]App C Share Outflows'!$A$4:$I$917,8,FALSE)</f>
        <v>6345</v>
      </c>
      <c r="AG158" s="2">
        <f>VLOOKUP($A158,'[2]App C Share Outflows'!$A$4:$I$917,9,FALSE)</f>
        <v>0</v>
      </c>
      <c r="AH158" s="2"/>
      <c r="AI158" s="2">
        <f>VLOOKUP($A158,'[2]App C Share Inflows'!$A$4:$I$917,5,FALSE)</f>
        <v>-341</v>
      </c>
      <c r="AJ158" s="2">
        <f>VLOOKUP($A158,'[2]App C Share Inflows'!$A$4:$I$917,6,FALSE)</f>
        <v>0</v>
      </c>
      <c r="AK158" s="2">
        <f>VLOOKUP($A158,'[2]App C Share Inflows'!$A$4:$I$917,7,FALSE)</f>
        <v>0</v>
      </c>
      <c r="AL158" s="2">
        <f>VLOOKUP($A158,'[2]App C Share Inflows'!$A$4:$I$917,8,FALSE)</f>
        <v>0</v>
      </c>
      <c r="AM158" s="2">
        <f>VLOOKUP($A158,'[2]App C Share Inflows'!$A$4:$I$917,6,FALSE)</f>
        <v>0</v>
      </c>
    </row>
    <row r="159" spans="1:39">
      <c r="A159" s="351">
        <v>91208</v>
      </c>
      <c r="B159" s="344" t="s">
        <v>3657</v>
      </c>
      <c r="C159" s="235" t="e">
        <f>VLOOKUP(A159,#REF!,10,FALSE)</f>
        <v>#REF!</v>
      </c>
      <c r="E159" s="2">
        <f>VLOOKUP($A159,'[2]App C Total'!$A$4:$I$917,5,FALSE)</f>
        <v>10516</v>
      </c>
      <c r="F159" s="2">
        <f>VLOOKUP($A159,'[2]App C Total'!$A$4:$I$917,6,FALSE)</f>
        <v>4033</v>
      </c>
      <c r="G159" s="2">
        <f>VLOOKUP($A159,'[2]App C Total'!$A$4:$I$917,7,FALSE)</f>
        <v>6140</v>
      </c>
      <c r="H159" s="2">
        <f>VLOOKUP($A159,'[2]App C Total'!$A$4:$I$917,8,FALSE)</f>
        <v>2679</v>
      </c>
      <c r="I159" s="2">
        <f>VLOOKUP($A159,'[2]App C Total'!$A$4:$I$917,9,FALSE)</f>
        <v>0</v>
      </c>
      <c r="J159" s="2"/>
      <c r="K159" s="2">
        <f>VLOOKUP($A159,'[2]App C Exp'!$A$4:$I$917,5,FALSE)</f>
        <v>2846</v>
      </c>
      <c r="L159" s="2">
        <f>VLOOKUP($A159,'[2]App C Exp'!$A$4:$I$917,6,FALSE)</f>
        <v>2677</v>
      </c>
      <c r="M159" s="2">
        <f>VLOOKUP($A159,'[2]App C Exp'!$A$4:$I$917,7,FALSE)</f>
        <v>2400</v>
      </c>
      <c r="N159" s="2">
        <f>VLOOKUP($A159,'[2]App C Exp'!$A$4:$I$917,8,FALSE)</f>
        <v>961</v>
      </c>
      <c r="O159" s="2">
        <f>VLOOKUP($A159,'[2]App C Exp'!$A$4:$I$917,9,FALSE)</f>
        <v>0</v>
      </c>
      <c r="P159" s="2"/>
      <c r="Q159" s="2">
        <f>VLOOKUP($A159,'[2]App C Inv'!$A$4:$I$917,5,FALSE)</f>
        <v>3022</v>
      </c>
      <c r="R159" s="2">
        <f>VLOOKUP($A159,'[2]App C Inv'!$A$4:$I$917,6,FALSE)</f>
        <v>-2599</v>
      </c>
      <c r="S159" s="2">
        <f>VLOOKUP($A159,'[2]App C Inv'!$A$4:$I$917,7,FALSE)</f>
        <v>366</v>
      </c>
      <c r="T159" s="2">
        <f>VLOOKUP($A159,'[2]App C Inv'!$A$4:$I$917,8,FALSE)</f>
        <v>477</v>
      </c>
      <c r="U159" s="2">
        <f>VLOOKUP($A159,'[2]App C Inv'!$A$4:$I$917,9,FALSE)</f>
        <v>0</v>
      </c>
      <c r="V159" s="2"/>
      <c r="W159" s="2">
        <f>VLOOKUP($A159,'[2]App C Assum'!$A$4:$I$917,5,FALSE)</f>
        <v>3404</v>
      </c>
      <c r="X159" s="2">
        <f>VLOOKUP($A159,'[2]App C Assum'!$A$4:$I$917,6,FALSE)</f>
        <v>2789</v>
      </c>
      <c r="Y159" s="2">
        <f>VLOOKUP($A159,'[2]App C Assum'!$A$4:$I$917,7,FALSE)</f>
        <v>2264</v>
      </c>
      <c r="Z159" s="2">
        <f>VLOOKUP($A159,'[2]App C Assum'!$A$4:$I$917,8,FALSE)</f>
        <v>0</v>
      </c>
      <c r="AA159" s="2">
        <f>VLOOKUP($A159,'[2]App C Assum'!$A$4:$I$917,9,FALSE)</f>
        <v>0</v>
      </c>
      <c r="AB159" s="2"/>
      <c r="AC159" s="2">
        <f>VLOOKUP($A159,'[2]App C Share Outflows'!$A$4:$I$917,5,FALSE)</f>
        <v>1375</v>
      </c>
      <c r="AD159" s="2">
        <f>VLOOKUP($A159,'[2]App C Share Outflows'!$A$4:$I$917,6,FALSE)</f>
        <v>1297</v>
      </c>
      <c r="AE159" s="2">
        <f>VLOOKUP($A159,'[2]App C Share Outflows'!$A$4:$I$917,7,FALSE)</f>
        <v>1239</v>
      </c>
      <c r="AF159" s="2">
        <f>VLOOKUP($A159,'[2]App C Share Outflows'!$A$4:$I$917,8,FALSE)</f>
        <v>1241</v>
      </c>
      <c r="AG159" s="2">
        <f>VLOOKUP($A159,'[2]App C Share Outflows'!$A$4:$I$917,9,FALSE)</f>
        <v>0</v>
      </c>
      <c r="AH159" s="2"/>
      <c r="AI159" s="2">
        <f>VLOOKUP($A159,'[2]App C Share Inflows'!$A$4:$I$917,5,FALSE)</f>
        <v>-131</v>
      </c>
      <c r="AJ159" s="2">
        <f>VLOOKUP($A159,'[2]App C Share Inflows'!$A$4:$I$917,6,FALSE)</f>
        <v>-131</v>
      </c>
      <c r="AK159" s="2">
        <f>VLOOKUP($A159,'[2]App C Share Inflows'!$A$4:$I$917,7,FALSE)</f>
        <v>-129</v>
      </c>
      <c r="AL159" s="2">
        <f>VLOOKUP($A159,'[2]App C Share Inflows'!$A$4:$I$917,8,FALSE)</f>
        <v>0</v>
      </c>
      <c r="AM159" s="2">
        <f>VLOOKUP($A159,'[2]App C Share Inflows'!$A$4:$I$917,6,FALSE)</f>
        <v>-131</v>
      </c>
    </row>
    <row r="160" spans="1:39">
      <c r="A160" s="351">
        <v>91211</v>
      </c>
      <c r="B160" s="344" t="s">
        <v>852</v>
      </c>
      <c r="C160" s="235" t="e">
        <f>VLOOKUP(A160,#REF!,10,FALSE)</f>
        <v>#REF!</v>
      </c>
      <c r="E160" s="2">
        <f>VLOOKUP($A160,'[2]App C Total'!$A$4:$I$917,5,FALSE)</f>
        <v>211709</v>
      </c>
      <c r="F160" s="2">
        <f>VLOOKUP($A160,'[2]App C Total'!$A$4:$I$917,6,FALSE)</f>
        <v>59880</v>
      </c>
      <c r="G160" s="2">
        <f>VLOOKUP($A160,'[2]App C Total'!$A$4:$I$917,7,FALSE)</f>
        <v>110178</v>
      </c>
      <c r="H160" s="2">
        <f>VLOOKUP($A160,'[2]App C Total'!$A$4:$I$917,8,FALSE)</f>
        <v>29065</v>
      </c>
      <c r="I160" s="2">
        <f>VLOOKUP($A160,'[2]App C Total'!$A$4:$I$917,9,FALSE)</f>
        <v>0</v>
      </c>
      <c r="J160" s="2"/>
      <c r="K160" s="2">
        <f>VLOOKUP($A160,'[2]App C Exp'!$A$4:$I$917,5,FALSE)</f>
        <v>67218</v>
      </c>
      <c r="L160" s="2">
        <f>VLOOKUP($A160,'[2]App C Exp'!$A$4:$I$917,6,FALSE)</f>
        <v>63231</v>
      </c>
      <c r="M160" s="2">
        <f>VLOOKUP($A160,'[2]App C Exp'!$A$4:$I$917,7,FALSE)</f>
        <v>56673</v>
      </c>
      <c r="N160" s="2">
        <f>VLOOKUP($A160,'[2]App C Exp'!$A$4:$I$917,8,FALSE)</f>
        <v>22691</v>
      </c>
      <c r="O160" s="2">
        <f>VLOOKUP($A160,'[2]App C Exp'!$A$4:$I$917,9,FALSE)</f>
        <v>0</v>
      </c>
      <c r="P160" s="2"/>
      <c r="Q160" s="2">
        <f>VLOOKUP($A160,'[2]App C Inv'!$A$4:$I$917,5,FALSE)</f>
        <v>71362</v>
      </c>
      <c r="R160" s="2">
        <f>VLOOKUP($A160,'[2]App C Inv'!$A$4:$I$917,6,FALSE)</f>
        <v>-61384</v>
      </c>
      <c r="S160" s="2">
        <f>VLOOKUP($A160,'[2]App C Inv'!$A$4:$I$917,7,FALSE)</f>
        <v>8651</v>
      </c>
      <c r="T160" s="2">
        <f>VLOOKUP($A160,'[2]App C Inv'!$A$4:$I$917,8,FALSE)</f>
        <v>11260</v>
      </c>
      <c r="U160" s="2">
        <f>VLOOKUP($A160,'[2]App C Inv'!$A$4:$I$917,9,FALSE)</f>
        <v>0</v>
      </c>
      <c r="V160" s="2"/>
      <c r="W160" s="2">
        <f>VLOOKUP($A160,'[2]App C Assum'!$A$4:$I$917,5,FALSE)</f>
        <v>80390</v>
      </c>
      <c r="X160" s="2">
        <f>VLOOKUP($A160,'[2]App C Assum'!$A$4:$I$917,6,FALSE)</f>
        <v>65858</v>
      </c>
      <c r="Y160" s="2">
        <f>VLOOKUP($A160,'[2]App C Assum'!$A$4:$I$917,7,FALSE)</f>
        <v>53466</v>
      </c>
      <c r="Z160" s="2">
        <f>VLOOKUP($A160,'[2]App C Assum'!$A$4:$I$917,8,FALSE)</f>
        <v>0</v>
      </c>
      <c r="AA160" s="2">
        <f>VLOOKUP($A160,'[2]App C Assum'!$A$4:$I$917,9,FALSE)</f>
        <v>0</v>
      </c>
      <c r="AB160" s="2"/>
      <c r="AC160" s="2">
        <f>VLOOKUP($A160,'[2]App C Share Outflows'!$A$4:$I$917,5,FALSE)</f>
        <v>1352</v>
      </c>
      <c r="AD160" s="2">
        <f>VLOOKUP($A160,'[2]App C Share Outflows'!$A$4:$I$917,6,FALSE)</f>
        <v>788</v>
      </c>
      <c r="AE160" s="2">
        <f>VLOOKUP($A160,'[2]App C Share Outflows'!$A$4:$I$917,7,FALSE)</f>
        <v>0</v>
      </c>
      <c r="AF160" s="2">
        <f>VLOOKUP($A160,'[2]App C Share Outflows'!$A$4:$I$917,8,FALSE)</f>
        <v>0</v>
      </c>
      <c r="AG160" s="2">
        <f>VLOOKUP($A160,'[2]App C Share Outflows'!$A$4:$I$917,9,FALSE)</f>
        <v>0</v>
      </c>
      <c r="AH160" s="2"/>
      <c r="AI160" s="2">
        <f>VLOOKUP($A160,'[2]App C Share Inflows'!$A$4:$I$917,5,FALSE)</f>
        <v>-8613</v>
      </c>
      <c r="AJ160" s="2">
        <f>VLOOKUP($A160,'[2]App C Share Inflows'!$A$4:$I$917,6,FALSE)</f>
        <v>-8613</v>
      </c>
      <c r="AK160" s="2">
        <f>VLOOKUP($A160,'[2]App C Share Inflows'!$A$4:$I$917,7,FALSE)</f>
        <v>-8612</v>
      </c>
      <c r="AL160" s="2">
        <f>VLOOKUP($A160,'[2]App C Share Inflows'!$A$4:$I$917,8,FALSE)</f>
        <v>-4886</v>
      </c>
      <c r="AM160" s="2">
        <f>VLOOKUP($A160,'[2]App C Share Inflows'!$A$4:$I$917,6,FALSE)</f>
        <v>-8613</v>
      </c>
    </row>
    <row r="161" spans="1:39">
      <c r="A161" s="351">
        <v>91213</v>
      </c>
      <c r="B161" s="344" t="s">
        <v>853</v>
      </c>
      <c r="C161" s="235" t="e">
        <f>VLOOKUP(A161,#REF!,10,FALSE)</f>
        <v>#REF!</v>
      </c>
      <c r="E161" s="2">
        <f>VLOOKUP($A161,'[2]App C Total'!$A$4:$I$917,5,FALSE)</f>
        <v>11752</v>
      </c>
      <c r="F161" s="2">
        <f>VLOOKUP($A161,'[2]App C Total'!$A$4:$I$917,6,FALSE)</f>
        <v>2479</v>
      </c>
      <c r="G161" s="2">
        <f>VLOOKUP($A161,'[2]App C Total'!$A$4:$I$917,7,FALSE)</f>
        <v>6909</v>
      </c>
      <c r="H161" s="2">
        <f>VLOOKUP($A161,'[2]App C Total'!$A$4:$I$917,8,FALSE)</f>
        <v>2857</v>
      </c>
      <c r="I161" s="2">
        <f>VLOOKUP($A161,'[2]App C Total'!$A$4:$I$917,9,FALSE)</f>
        <v>0</v>
      </c>
      <c r="J161" s="2"/>
      <c r="K161" s="2">
        <f>VLOOKUP($A161,'[2]App C Exp'!$A$4:$I$917,5,FALSE)</f>
        <v>4374</v>
      </c>
      <c r="L161" s="2">
        <f>VLOOKUP($A161,'[2]App C Exp'!$A$4:$I$917,6,FALSE)</f>
        <v>4115</v>
      </c>
      <c r="M161" s="2">
        <f>VLOOKUP($A161,'[2]App C Exp'!$A$4:$I$917,7,FALSE)</f>
        <v>3688</v>
      </c>
      <c r="N161" s="2">
        <f>VLOOKUP($A161,'[2]App C Exp'!$A$4:$I$917,8,FALSE)</f>
        <v>1477</v>
      </c>
      <c r="O161" s="2">
        <f>VLOOKUP($A161,'[2]App C Exp'!$A$4:$I$917,9,FALSE)</f>
        <v>0</v>
      </c>
      <c r="P161" s="2"/>
      <c r="Q161" s="2">
        <f>VLOOKUP($A161,'[2]App C Inv'!$A$4:$I$917,5,FALSE)</f>
        <v>4644</v>
      </c>
      <c r="R161" s="2">
        <f>VLOOKUP($A161,'[2]App C Inv'!$A$4:$I$917,6,FALSE)</f>
        <v>-3995</v>
      </c>
      <c r="S161" s="2">
        <f>VLOOKUP($A161,'[2]App C Inv'!$A$4:$I$917,7,FALSE)</f>
        <v>563</v>
      </c>
      <c r="T161" s="2">
        <f>VLOOKUP($A161,'[2]App C Inv'!$A$4:$I$917,8,FALSE)</f>
        <v>733</v>
      </c>
      <c r="U161" s="2">
        <f>VLOOKUP($A161,'[2]App C Inv'!$A$4:$I$917,9,FALSE)</f>
        <v>0</v>
      </c>
      <c r="V161" s="2"/>
      <c r="W161" s="2">
        <f>VLOOKUP($A161,'[2]App C Assum'!$A$4:$I$917,5,FALSE)</f>
        <v>5232</v>
      </c>
      <c r="X161" s="2">
        <f>VLOOKUP($A161,'[2]App C Assum'!$A$4:$I$917,6,FALSE)</f>
        <v>4286</v>
      </c>
      <c r="Y161" s="2">
        <f>VLOOKUP($A161,'[2]App C Assum'!$A$4:$I$917,7,FALSE)</f>
        <v>3479</v>
      </c>
      <c r="Z161" s="2">
        <f>VLOOKUP($A161,'[2]App C Assum'!$A$4:$I$917,8,FALSE)</f>
        <v>0</v>
      </c>
      <c r="AA161" s="2">
        <f>VLOOKUP($A161,'[2]App C Assum'!$A$4:$I$917,9,FALSE)</f>
        <v>0</v>
      </c>
      <c r="AB161" s="2"/>
      <c r="AC161" s="2">
        <f>VLOOKUP($A161,'[2]App C Share Outflows'!$A$4:$I$917,5,FALSE)</f>
        <v>645</v>
      </c>
      <c r="AD161" s="2">
        <f>VLOOKUP($A161,'[2]App C Share Outflows'!$A$4:$I$917,6,FALSE)</f>
        <v>645</v>
      </c>
      <c r="AE161" s="2">
        <f>VLOOKUP($A161,'[2]App C Share Outflows'!$A$4:$I$917,7,FALSE)</f>
        <v>645</v>
      </c>
      <c r="AF161" s="2">
        <f>VLOOKUP($A161,'[2]App C Share Outflows'!$A$4:$I$917,8,FALSE)</f>
        <v>647</v>
      </c>
      <c r="AG161" s="2">
        <f>VLOOKUP($A161,'[2]App C Share Outflows'!$A$4:$I$917,9,FALSE)</f>
        <v>0</v>
      </c>
      <c r="AH161" s="2"/>
      <c r="AI161" s="2">
        <f>VLOOKUP($A161,'[2]App C Share Inflows'!$A$4:$I$917,5,FALSE)</f>
        <v>-3143</v>
      </c>
      <c r="AJ161" s="2">
        <f>VLOOKUP($A161,'[2]App C Share Inflows'!$A$4:$I$917,6,FALSE)</f>
        <v>-2572</v>
      </c>
      <c r="AK161" s="2">
        <f>VLOOKUP($A161,'[2]App C Share Inflows'!$A$4:$I$917,7,FALSE)</f>
        <v>-1466</v>
      </c>
      <c r="AL161" s="2">
        <f>VLOOKUP($A161,'[2]App C Share Inflows'!$A$4:$I$917,8,FALSE)</f>
        <v>0</v>
      </c>
      <c r="AM161" s="2">
        <f>VLOOKUP($A161,'[2]App C Share Inflows'!$A$4:$I$917,6,FALSE)</f>
        <v>-2572</v>
      </c>
    </row>
    <row r="162" spans="1:39">
      <c r="A162" s="351">
        <v>91214</v>
      </c>
      <c r="B162" s="344" t="s">
        <v>854</v>
      </c>
      <c r="C162" s="235" t="e">
        <f>VLOOKUP(A162,#REF!,10,FALSE)</f>
        <v>#REF!</v>
      </c>
      <c r="E162" s="2">
        <f>VLOOKUP($A162,'[2]App C Total'!$A$4:$I$917,5,FALSE)</f>
        <v>16230</v>
      </c>
      <c r="F162" s="2">
        <f>VLOOKUP($A162,'[2]App C Total'!$A$4:$I$917,6,FALSE)</f>
        <v>4575</v>
      </c>
      <c r="G162" s="2">
        <f>VLOOKUP($A162,'[2]App C Total'!$A$4:$I$917,7,FALSE)</f>
        <v>9222</v>
      </c>
      <c r="H162" s="2">
        <f>VLOOKUP($A162,'[2]App C Total'!$A$4:$I$917,8,FALSE)</f>
        <v>2862</v>
      </c>
      <c r="I162" s="2">
        <f>VLOOKUP($A162,'[2]App C Total'!$A$4:$I$917,9,FALSE)</f>
        <v>0</v>
      </c>
      <c r="J162" s="2"/>
      <c r="K162" s="2">
        <f>VLOOKUP($A162,'[2]App C Exp'!$A$4:$I$917,5,FALSE)</f>
        <v>5363</v>
      </c>
      <c r="L162" s="2">
        <f>VLOOKUP($A162,'[2]App C Exp'!$A$4:$I$917,6,FALSE)</f>
        <v>5045</v>
      </c>
      <c r="M162" s="2">
        <f>VLOOKUP($A162,'[2]App C Exp'!$A$4:$I$917,7,FALSE)</f>
        <v>4522</v>
      </c>
      <c r="N162" s="2">
        <f>VLOOKUP($A162,'[2]App C Exp'!$A$4:$I$917,8,FALSE)</f>
        <v>1810</v>
      </c>
      <c r="O162" s="2">
        <f>VLOOKUP($A162,'[2]App C Exp'!$A$4:$I$917,9,FALSE)</f>
        <v>0</v>
      </c>
      <c r="P162" s="2"/>
      <c r="Q162" s="2">
        <f>VLOOKUP($A162,'[2]App C Inv'!$A$4:$I$917,5,FALSE)</f>
        <v>5694</v>
      </c>
      <c r="R162" s="2">
        <f>VLOOKUP($A162,'[2]App C Inv'!$A$4:$I$917,6,FALSE)</f>
        <v>-4898</v>
      </c>
      <c r="S162" s="2">
        <f>VLOOKUP($A162,'[2]App C Inv'!$A$4:$I$917,7,FALSE)</f>
        <v>690</v>
      </c>
      <c r="T162" s="2">
        <f>VLOOKUP($A162,'[2]App C Inv'!$A$4:$I$917,8,FALSE)</f>
        <v>898</v>
      </c>
      <c r="U162" s="2">
        <f>VLOOKUP($A162,'[2]App C Inv'!$A$4:$I$917,9,FALSE)</f>
        <v>0</v>
      </c>
      <c r="V162" s="2"/>
      <c r="W162" s="2">
        <f>VLOOKUP($A162,'[2]App C Assum'!$A$4:$I$917,5,FALSE)</f>
        <v>6414</v>
      </c>
      <c r="X162" s="2">
        <f>VLOOKUP($A162,'[2]App C Assum'!$A$4:$I$917,6,FALSE)</f>
        <v>5255</v>
      </c>
      <c r="Y162" s="2">
        <f>VLOOKUP($A162,'[2]App C Assum'!$A$4:$I$917,7,FALSE)</f>
        <v>4266</v>
      </c>
      <c r="Z162" s="2">
        <f>VLOOKUP($A162,'[2]App C Assum'!$A$4:$I$917,8,FALSE)</f>
        <v>0</v>
      </c>
      <c r="AA162" s="2">
        <f>VLOOKUP($A162,'[2]App C Assum'!$A$4:$I$917,9,FALSE)</f>
        <v>0</v>
      </c>
      <c r="AB162" s="2"/>
      <c r="AC162" s="2">
        <f>VLOOKUP($A162,'[2]App C Share Outflows'!$A$4:$I$917,5,FALSE)</f>
        <v>154</v>
      </c>
      <c r="AD162" s="2">
        <f>VLOOKUP($A162,'[2]App C Share Outflows'!$A$4:$I$917,6,FALSE)</f>
        <v>154</v>
      </c>
      <c r="AE162" s="2">
        <f>VLOOKUP($A162,'[2]App C Share Outflows'!$A$4:$I$917,7,FALSE)</f>
        <v>154</v>
      </c>
      <c r="AF162" s="2">
        <f>VLOOKUP($A162,'[2]App C Share Outflows'!$A$4:$I$917,8,FALSE)</f>
        <v>154</v>
      </c>
      <c r="AG162" s="2">
        <f>VLOOKUP($A162,'[2]App C Share Outflows'!$A$4:$I$917,9,FALSE)</f>
        <v>0</v>
      </c>
      <c r="AH162" s="2"/>
      <c r="AI162" s="2">
        <f>VLOOKUP($A162,'[2]App C Share Inflows'!$A$4:$I$917,5,FALSE)</f>
        <v>-1395</v>
      </c>
      <c r="AJ162" s="2">
        <f>VLOOKUP($A162,'[2]App C Share Inflows'!$A$4:$I$917,6,FALSE)</f>
        <v>-981</v>
      </c>
      <c r="AK162" s="2">
        <f>VLOOKUP($A162,'[2]App C Share Inflows'!$A$4:$I$917,7,FALSE)</f>
        <v>-410</v>
      </c>
      <c r="AL162" s="2">
        <f>VLOOKUP($A162,'[2]App C Share Inflows'!$A$4:$I$917,8,FALSE)</f>
        <v>0</v>
      </c>
      <c r="AM162" s="2">
        <f>VLOOKUP($A162,'[2]App C Share Inflows'!$A$4:$I$917,6,FALSE)</f>
        <v>-981</v>
      </c>
    </row>
    <row r="163" spans="1:39">
      <c r="A163" s="351">
        <v>91217</v>
      </c>
      <c r="B163" s="344" t="s">
        <v>855</v>
      </c>
      <c r="C163" s="235" t="e">
        <f>VLOOKUP(A163,#REF!,10,FALSE)</f>
        <v>#REF!</v>
      </c>
      <c r="E163" s="2">
        <f>VLOOKUP($A163,'[2]App C Total'!$A$4:$I$917,5,FALSE)</f>
        <v>13487</v>
      </c>
      <c r="F163" s="2">
        <f>VLOOKUP($A163,'[2]App C Total'!$A$4:$I$917,6,FALSE)</f>
        <v>4926</v>
      </c>
      <c r="G163" s="2">
        <f>VLOOKUP($A163,'[2]App C Total'!$A$4:$I$917,7,FALSE)</f>
        <v>6551</v>
      </c>
      <c r="H163" s="2">
        <f>VLOOKUP($A163,'[2]App C Total'!$A$4:$I$917,8,FALSE)</f>
        <v>3505</v>
      </c>
      <c r="I163" s="2">
        <f>VLOOKUP($A163,'[2]App C Total'!$A$4:$I$917,9,FALSE)</f>
        <v>0</v>
      </c>
      <c r="J163" s="2"/>
      <c r="K163" s="2">
        <f>VLOOKUP($A163,'[2]App C Exp'!$A$4:$I$917,5,FALSE)</f>
        <v>3056</v>
      </c>
      <c r="L163" s="2">
        <f>VLOOKUP($A163,'[2]App C Exp'!$A$4:$I$917,6,FALSE)</f>
        <v>2875</v>
      </c>
      <c r="M163" s="2">
        <f>VLOOKUP($A163,'[2]App C Exp'!$A$4:$I$917,7,FALSE)</f>
        <v>2577</v>
      </c>
      <c r="N163" s="2">
        <f>VLOOKUP($A163,'[2]App C Exp'!$A$4:$I$917,8,FALSE)</f>
        <v>1032</v>
      </c>
      <c r="O163" s="2">
        <f>VLOOKUP($A163,'[2]App C Exp'!$A$4:$I$917,9,FALSE)</f>
        <v>0</v>
      </c>
      <c r="P163" s="2"/>
      <c r="Q163" s="2">
        <f>VLOOKUP($A163,'[2]App C Inv'!$A$4:$I$917,5,FALSE)</f>
        <v>3244</v>
      </c>
      <c r="R163" s="2">
        <f>VLOOKUP($A163,'[2]App C Inv'!$A$4:$I$917,6,FALSE)</f>
        <v>-2791</v>
      </c>
      <c r="S163" s="2">
        <f>VLOOKUP($A163,'[2]App C Inv'!$A$4:$I$917,7,FALSE)</f>
        <v>393</v>
      </c>
      <c r="T163" s="2">
        <f>VLOOKUP($A163,'[2]App C Inv'!$A$4:$I$917,8,FALSE)</f>
        <v>512</v>
      </c>
      <c r="U163" s="2">
        <f>VLOOKUP($A163,'[2]App C Inv'!$A$4:$I$917,9,FALSE)</f>
        <v>0</v>
      </c>
      <c r="V163" s="2"/>
      <c r="W163" s="2">
        <f>VLOOKUP($A163,'[2]App C Assum'!$A$4:$I$917,5,FALSE)</f>
        <v>3655</v>
      </c>
      <c r="X163" s="2">
        <f>VLOOKUP($A163,'[2]App C Assum'!$A$4:$I$917,6,FALSE)</f>
        <v>2994</v>
      </c>
      <c r="Y163" s="2">
        <f>VLOOKUP($A163,'[2]App C Assum'!$A$4:$I$917,7,FALSE)</f>
        <v>2431</v>
      </c>
      <c r="Z163" s="2">
        <f>VLOOKUP($A163,'[2]App C Assum'!$A$4:$I$917,8,FALSE)</f>
        <v>0</v>
      </c>
      <c r="AA163" s="2">
        <f>VLOOKUP($A163,'[2]App C Assum'!$A$4:$I$917,9,FALSE)</f>
        <v>0</v>
      </c>
      <c r="AB163" s="2"/>
      <c r="AC163" s="2">
        <f>VLOOKUP($A163,'[2]App C Share Outflows'!$A$4:$I$917,5,FALSE)</f>
        <v>4342</v>
      </c>
      <c r="AD163" s="2">
        <f>VLOOKUP($A163,'[2]App C Share Outflows'!$A$4:$I$917,6,FALSE)</f>
        <v>2658</v>
      </c>
      <c r="AE163" s="2">
        <f>VLOOKUP($A163,'[2]App C Share Outflows'!$A$4:$I$917,7,FALSE)</f>
        <v>1962</v>
      </c>
      <c r="AF163" s="2">
        <f>VLOOKUP($A163,'[2]App C Share Outflows'!$A$4:$I$917,8,FALSE)</f>
        <v>1961</v>
      </c>
      <c r="AG163" s="2">
        <f>VLOOKUP($A163,'[2]App C Share Outflows'!$A$4:$I$917,9,FALSE)</f>
        <v>0</v>
      </c>
      <c r="AH163" s="2"/>
      <c r="AI163" s="2">
        <f>VLOOKUP($A163,'[2]App C Share Inflows'!$A$4:$I$917,5,FALSE)</f>
        <v>-810</v>
      </c>
      <c r="AJ163" s="2">
        <f>VLOOKUP($A163,'[2]App C Share Inflows'!$A$4:$I$917,6,FALSE)</f>
        <v>-810</v>
      </c>
      <c r="AK163" s="2">
        <f>VLOOKUP($A163,'[2]App C Share Inflows'!$A$4:$I$917,7,FALSE)</f>
        <v>-812</v>
      </c>
      <c r="AL163" s="2">
        <f>VLOOKUP($A163,'[2]App C Share Inflows'!$A$4:$I$917,8,FALSE)</f>
        <v>0</v>
      </c>
      <c r="AM163" s="2">
        <f>VLOOKUP($A163,'[2]App C Share Inflows'!$A$4:$I$917,6,FALSE)</f>
        <v>-810</v>
      </c>
    </row>
    <row r="164" spans="1:39">
      <c r="A164" s="351">
        <v>91221</v>
      </c>
      <c r="B164" s="344" t="s">
        <v>856</v>
      </c>
      <c r="C164" s="235" t="e">
        <f>VLOOKUP(A164,#REF!,10,FALSE)</f>
        <v>#REF!</v>
      </c>
      <c r="E164" s="2">
        <f>VLOOKUP($A164,'[2]App C Total'!$A$4:$I$917,5,FALSE)</f>
        <v>46833</v>
      </c>
      <c r="F164" s="2">
        <f>VLOOKUP($A164,'[2]App C Total'!$A$4:$I$917,6,FALSE)</f>
        <v>11605</v>
      </c>
      <c r="G164" s="2">
        <f>VLOOKUP($A164,'[2]App C Total'!$A$4:$I$917,7,FALSE)</f>
        <v>23788</v>
      </c>
      <c r="H164" s="2">
        <f>VLOOKUP($A164,'[2]App C Total'!$A$4:$I$917,8,FALSE)</f>
        <v>5390</v>
      </c>
      <c r="I164" s="2">
        <f>VLOOKUP($A164,'[2]App C Total'!$A$4:$I$917,9,FALSE)</f>
        <v>0</v>
      </c>
      <c r="J164" s="2"/>
      <c r="K164" s="2">
        <f>VLOOKUP($A164,'[2]App C Exp'!$A$4:$I$917,5,FALSE)</f>
        <v>16464</v>
      </c>
      <c r="L164" s="2">
        <f>VLOOKUP($A164,'[2]App C Exp'!$A$4:$I$917,6,FALSE)</f>
        <v>15487</v>
      </c>
      <c r="M164" s="2">
        <f>VLOOKUP($A164,'[2]App C Exp'!$A$4:$I$917,7,FALSE)</f>
        <v>13881</v>
      </c>
      <c r="N164" s="2">
        <f>VLOOKUP($A164,'[2]App C Exp'!$A$4:$I$917,8,FALSE)</f>
        <v>5558</v>
      </c>
      <c r="O164" s="2">
        <f>VLOOKUP($A164,'[2]App C Exp'!$A$4:$I$917,9,FALSE)</f>
        <v>0</v>
      </c>
      <c r="P164" s="2"/>
      <c r="Q164" s="2">
        <f>VLOOKUP($A164,'[2]App C Inv'!$A$4:$I$917,5,FALSE)</f>
        <v>17479</v>
      </c>
      <c r="R164" s="2">
        <f>VLOOKUP($A164,'[2]App C Inv'!$A$4:$I$917,6,FALSE)</f>
        <v>-15035</v>
      </c>
      <c r="S164" s="2">
        <f>VLOOKUP($A164,'[2]App C Inv'!$A$4:$I$917,7,FALSE)</f>
        <v>2119</v>
      </c>
      <c r="T164" s="2">
        <f>VLOOKUP($A164,'[2]App C Inv'!$A$4:$I$917,8,FALSE)</f>
        <v>2758</v>
      </c>
      <c r="U164" s="2">
        <f>VLOOKUP($A164,'[2]App C Inv'!$A$4:$I$917,9,FALSE)</f>
        <v>0</v>
      </c>
      <c r="V164" s="2"/>
      <c r="W164" s="2">
        <f>VLOOKUP($A164,'[2]App C Assum'!$A$4:$I$917,5,FALSE)</f>
        <v>19690</v>
      </c>
      <c r="X164" s="2">
        <f>VLOOKUP($A164,'[2]App C Assum'!$A$4:$I$917,6,FALSE)</f>
        <v>16131</v>
      </c>
      <c r="Y164" s="2">
        <f>VLOOKUP($A164,'[2]App C Assum'!$A$4:$I$917,7,FALSE)</f>
        <v>13095</v>
      </c>
      <c r="Z164" s="2">
        <f>VLOOKUP($A164,'[2]App C Assum'!$A$4:$I$917,8,FALSE)</f>
        <v>0</v>
      </c>
      <c r="AA164" s="2">
        <f>VLOOKUP($A164,'[2]App C Assum'!$A$4:$I$917,9,FALSE)</f>
        <v>0</v>
      </c>
      <c r="AB164" s="2"/>
      <c r="AC164" s="2">
        <f>VLOOKUP($A164,'[2]App C Share Outflows'!$A$4:$I$917,5,FALSE)</f>
        <v>327</v>
      </c>
      <c r="AD164" s="2">
        <f>VLOOKUP($A164,'[2]App C Share Outflows'!$A$4:$I$917,6,FALSE)</f>
        <v>327</v>
      </c>
      <c r="AE164" s="2">
        <f>VLOOKUP($A164,'[2]App C Share Outflows'!$A$4:$I$917,7,FALSE)</f>
        <v>0</v>
      </c>
      <c r="AF164" s="2">
        <f>VLOOKUP($A164,'[2]App C Share Outflows'!$A$4:$I$917,8,FALSE)</f>
        <v>0</v>
      </c>
      <c r="AG164" s="2">
        <f>VLOOKUP($A164,'[2]App C Share Outflows'!$A$4:$I$917,9,FALSE)</f>
        <v>0</v>
      </c>
      <c r="AH164" s="2"/>
      <c r="AI164" s="2">
        <f>VLOOKUP($A164,'[2]App C Share Inflows'!$A$4:$I$917,5,FALSE)</f>
        <v>-7127</v>
      </c>
      <c r="AJ164" s="2">
        <f>VLOOKUP($A164,'[2]App C Share Inflows'!$A$4:$I$917,6,FALSE)</f>
        <v>-5305</v>
      </c>
      <c r="AK164" s="2">
        <f>VLOOKUP($A164,'[2]App C Share Inflows'!$A$4:$I$917,7,FALSE)</f>
        <v>-5307</v>
      </c>
      <c r="AL164" s="2">
        <f>VLOOKUP($A164,'[2]App C Share Inflows'!$A$4:$I$917,8,FALSE)</f>
        <v>-2926</v>
      </c>
      <c r="AM164" s="2">
        <f>VLOOKUP($A164,'[2]App C Share Inflows'!$A$4:$I$917,6,FALSE)</f>
        <v>-5305</v>
      </c>
    </row>
    <row r="165" spans="1:39">
      <c r="A165" s="351">
        <v>91231</v>
      </c>
      <c r="B165" s="344" t="s">
        <v>857</v>
      </c>
      <c r="C165" s="235" t="e">
        <f>VLOOKUP(A165,#REF!,10,FALSE)</f>
        <v>#REF!</v>
      </c>
      <c r="E165" s="2">
        <f>VLOOKUP($A165,'[2]App C Total'!$A$4:$I$917,5,FALSE)</f>
        <v>881411</v>
      </c>
      <c r="F165" s="2">
        <f>VLOOKUP($A165,'[2]App C Total'!$A$4:$I$917,6,FALSE)</f>
        <v>263400</v>
      </c>
      <c r="G165" s="2">
        <f>VLOOKUP($A165,'[2]App C Total'!$A$4:$I$917,7,FALSE)</f>
        <v>494558</v>
      </c>
      <c r="H165" s="2">
        <f>VLOOKUP($A165,'[2]App C Total'!$A$4:$I$917,8,FALSE)</f>
        <v>146167</v>
      </c>
      <c r="I165" s="2">
        <f>VLOOKUP($A165,'[2]App C Total'!$A$4:$I$917,9,FALSE)</f>
        <v>0</v>
      </c>
      <c r="J165" s="2"/>
      <c r="K165" s="2">
        <f>VLOOKUP($A165,'[2]App C Exp'!$A$4:$I$917,5,FALSE)</f>
        <v>280484</v>
      </c>
      <c r="L165" s="2">
        <f>VLOOKUP($A165,'[2]App C Exp'!$A$4:$I$917,6,FALSE)</f>
        <v>263845</v>
      </c>
      <c r="M165" s="2">
        <f>VLOOKUP($A165,'[2]App C Exp'!$A$4:$I$917,7,FALSE)</f>
        <v>236481</v>
      </c>
      <c r="N165" s="2">
        <f>VLOOKUP($A165,'[2]App C Exp'!$A$4:$I$917,8,FALSE)</f>
        <v>94684</v>
      </c>
      <c r="O165" s="2">
        <f>VLOOKUP($A165,'[2]App C Exp'!$A$4:$I$917,9,FALSE)</f>
        <v>0</v>
      </c>
      <c r="P165" s="2"/>
      <c r="Q165" s="2">
        <f>VLOOKUP($A165,'[2]App C Inv'!$A$4:$I$917,5,FALSE)</f>
        <v>297772</v>
      </c>
      <c r="R165" s="2">
        <f>VLOOKUP($A165,'[2]App C Inv'!$A$4:$I$917,6,FALSE)</f>
        <v>-256140</v>
      </c>
      <c r="S165" s="2">
        <f>VLOOKUP($A165,'[2]App C Inv'!$A$4:$I$917,7,FALSE)</f>
        <v>36100</v>
      </c>
      <c r="T165" s="2">
        <f>VLOOKUP($A165,'[2]App C Inv'!$A$4:$I$917,8,FALSE)</f>
        <v>46983</v>
      </c>
      <c r="U165" s="2">
        <f>VLOOKUP($A165,'[2]App C Inv'!$A$4:$I$917,9,FALSE)</f>
        <v>0</v>
      </c>
      <c r="V165" s="2"/>
      <c r="W165" s="2">
        <f>VLOOKUP($A165,'[2]App C Assum'!$A$4:$I$917,5,FALSE)</f>
        <v>335445</v>
      </c>
      <c r="X165" s="2">
        <f>VLOOKUP($A165,'[2]App C Assum'!$A$4:$I$917,6,FALSE)</f>
        <v>274809</v>
      </c>
      <c r="Y165" s="2">
        <f>VLOOKUP($A165,'[2]App C Assum'!$A$4:$I$917,7,FALSE)</f>
        <v>223098</v>
      </c>
      <c r="Z165" s="2">
        <f>VLOOKUP($A165,'[2]App C Assum'!$A$4:$I$917,8,FALSE)</f>
        <v>0</v>
      </c>
      <c r="AA165" s="2">
        <f>VLOOKUP($A165,'[2]App C Assum'!$A$4:$I$917,9,FALSE)</f>
        <v>0</v>
      </c>
      <c r="AB165" s="2"/>
      <c r="AC165" s="2">
        <f>VLOOKUP($A165,'[2]App C Share Outflows'!$A$4:$I$917,5,FALSE)</f>
        <v>4502</v>
      </c>
      <c r="AD165" s="2">
        <f>VLOOKUP($A165,'[2]App C Share Outflows'!$A$4:$I$917,6,FALSE)</f>
        <v>4502</v>
      </c>
      <c r="AE165" s="2">
        <f>VLOOKUP($A165,'[2]App C Share Outflows'!$A$4:$I$917,7,FALSE)</f>
        <v>4502</v>
      </c>
      <c r="AF165" s="2">
        <f>VLOOKUP($A165,'[2]App C Share Outflows'!$A$4:$I$917,8,FALSE)</f>
        <v>4500</v>
      </c>
      <c r="AG165" s="2">
        <f>VLOOKUP($A165,'[2]App C Share Outflows'!$A$4:$I$917,9,FALSE)</f>
        <v>0</v>
      </c>
      <c r="AH165" s="2"/>
      <c r="AI165" s="2">
        <f>VLOOKUP($A165,'[2]App C Share Inflows'!$A$4:$I$917,5,FALSE)</f>
        <v>-36792</v>
      </c>
      <c r="AJ165" s="2">
        <f>VLOOKUP($A165,'[2]App C Share Inflows'!$A$4:$I$917,6,FALSE)</f>
        <v>-23616</v>
      </c>
      <c r="AK165" s="2">
        <f>VLOOKUP($A165,'[2]App C Share Inflows'!$A$4:$I$917,7,FALSE)</f>
        <v>-5623</v>
      </c>
      <c r="AL165" s="2">
        <f>VLOOKUP($A165,'[2]App C Share Inflows'!$A$4:$I$917,8,FALSE)</f>
        <v>0</v>
      </c>
      <c r="AM165" s="2">
        <f>VLOOKUP($A165,'[2]App C Share Inflows'!$A$4:$I$917,6,FALSE)</f>
        <v>-23616</v>
      </c>
    </row>
    <row r="166" spans="1:39">
      <c r="A166" s="351">
        <v>91233</v>
      </c>
      <c r="B166" s="344" t="s">
        <v>858</v>
      </c>
      <c r="C166" s="235" t="e">
        <f>VLOOKUP(A166,#REF!,10,FALSE)</f>
        <v>#REF!</v>
      </c>
      <c r="E166" s="2">
        <f>VLOOKUP($A166,'[2]App C Total'!$A$4:$I$917,5,FALSE)</f>
        <v>30873</v>
      </c>
      <c r="F166" s="2">
        <f>VLOOKUP($A166,'[2]App C Total'!$A$4:$I$917,6,FALSE)</f>
        <v>10109</v>
      </c>
      <c r="G166" s="2">
        <f>VLOOKUP($A166,'[2]App C Total'!$A$4:$I$917,7,FALSE)</f>
        <v>16006</v>
      </c>
      <c r="H166" s="2">
        <f>VLOOKUP($A166,'[2]App C Total'!$A$4:$I$917,8,FALSE)</f>
        <v>5920</v>
      </c>
      <c r="I166" s="2">
        <f>VLOOKUP($A166,'[2]App C Total'!$A$4:$I$917,9,FALSE)</f>
        <v>0</v>
      </c>
      <c r="J166" s="2"/>
      <c r="K166" s="2">
        <f>VLOOKUP($A166,'[2]App C Exp'!$A$4:$I$917,5,FALSE)</f>
        <v>9243</v>
      </c>
      <c r="L166" s="2">
        <f>VLOOKUP($A166,'[2]App C Exp'!$A$4:$I$917,6,FALSE)</f>
        <v>8695</v>
      </c>
      <c r="M166" s="2">
        <f>VLOOKUP($A166,'[2]App C Exp'!$A$4:$I$917,7,FALSE)</f>
        <v>7793</v>
      </c>
      <c r="N166" s="2">
        <f>VLOOKUP($A166,'[2]App C Exp'!$A$4:$I$917,8,FALSE)</f>
        <v>3120</v>
      </c>
      <c r="O166" s="2">
        <f>VLOOKUP($A166,'[2]App C Exp'!$A$4:$I$917,9,FALSE)</f>
        <v>0</v>
      </c>
      <c r="P166" s="2"/>
      <c r="Q166" s="2">
        <f>VLOOKUP($A166,'[2]App C Inv'!$A$4:$I$917,5,FALSE)</f>
        <v>9813</v>
      </c>
      <c r="R166" s="2">
        <f>VLOOKUP($A166,'[2]App C Inv'!$A$4:$I$917,6,FALSE)</f>
        <v>-8441</v>
      </c>
      <c r="S166" s="2">
        <f>VLOOKUP($A166,'[2]App C Inv'!$A$4:$I$917,7,FALSE)</f>
        <v>1190</v>
      </c>
      <c r="T166" s="2">
        <f>VLOOKUP($A166,'[2]App C Inv'!$A$4:$I$917,8,FALSE)</f>
        <v>1548</v>
      </c>
      <c r="U166" s="2">
        <f>VLOOKUP($A166,'[2]App C Inv'!$A$4:$I$917,9,FALSE)</f>
        <v>0</v>
      </c>
      <c r="V166" s="2"/>
      <c r="W166" s="2">
        <f>VLOOKUP($A166,'[2]App C Assum'!$A$4:$I$917,5,FALSE)</f>
        <v>11054</v>
      </c>
      <c r="X166" s="2">
        <f>VLOOKUP($A166,'[2]App C Assum'!$A$4:$I$917,6,FALSE)</f>
        <v>9056</v>
      </c>
      <c r="Y166" s="2">
        <f>VLOOKUP($A166,'[2]App C Assum'!$A$4:$I$917,7,FALSE)</f>
        <v>7352</v>
      </c>
      <c r="Z166" s="2">
        <f>VLOOKUP($A166,'[2]App C Assum'!$A$4:$I$917,8,FALSE)</f>
        <v>0</v>
      </c>
      <c r="AA166" s="2">
        <f>VLOOKUP($A166,'[2]App C Assum'!$A$4:$I$917,9,FALSE)</f>
        <v>0</v>
      </c>
      <c r="AB166" s="2"/>
      <c r="AC166" s="2">
        <f>VLOOKUP($A166,'[2]App C Share Outflows'!$A$4:$I$917,5,FALSE)</f>
        <v>2380</v>
      </c>
      <c r="AD166" s="2">
        <f>VLOOKUP($A166,'[2]App C Share Outflows'!$A$4:$I$917,6,FALSE)</f>
        <v>2381</v>
      </c>
      <c r="AE166" s="2">
        <f>VLOOKUP($A166,'[2]App C Share Outflows'!$A$4:$I$917,7,FALSE)</f>
        <v>1254</v>
      </c>
      <c r="AF166" s="2">
        <f>VLOOKUP($A166,'[2]App C Share Outflows'!$A$4:$I$917,8,FALSE)</f>
        <v>1252</v>
      </c>
      <c r="AG166" s="2">
        <f>VLOOKUP($A166,'[2]App C Share Outflows'!$A$4:$I$917,9,FALSE)</f>
        <v>0</v>
      </c>
      <c r="AH166" s="2"/>
      <c r="AI166" s="2">
        <f>VLOOKUP($A166,'[2]App C Share Inflows'!$A$4:$I$917,5,FALSE)</f>
        <v>-1617</v>
      </c>
      <c r="AJ166" s="2">
        <f>VLOOKUP($A166,'[2]App C Share Inflows'!$A$4:$I$917,6,FALSE)</f>
        <v>-1582</v>
      </c>
      <c r="AK166" s="2">
        <f>VLOOKUP($A166,'[2]App C Share Inflows'!$A$4:$I$917,7,FALSE)</f>
        <v>-1583</v>
      </c>
      <c r="AL166" s="2">
        <f>VLOOKUP($A166,'[2]App C Share Inflows'!$A$4:$I$917,8,FALSE)</f>
        <v>0</v>
      </c>
      <c r="AM166" s="2">
        <f>VLOOKUP($A166,'[2]App C Share Inflows'!$A$4:$I$917,6,FALSE)</f>
        <v>-1582</v>
      </c>
    </row>
    <row r="167" spans="1:39">
      <c r="A167" s="351">
        <v>91241</v>
      </c>
      <c r="B167" s="344" t="s">
        <v>859</v>
      </c>
      <c r="C167" s="235" t="e">
        <f>VLOOKUP(A167,#REF!,10,FALSE)</f>
        <v>#REF!</v>
      </c>
      <c r="E167" s="2">
        <f>VLOOKUP($A167,'[2]App C Total'!$A$4:$I$917,5,FALSE)</f>
        <v>28807</v>
      </c>
      <c r="F167" s="2">
        <f>VLOOKUP($A167,'[2]App C Total'!$A$4:$I$917,6,FALSE)</f>
        <v>11458</v>
      </c>
      <c r="G167" s="2">
        <f>VLOOKUP($A167,'[2]App C Total'!$A$4:$I$917,7,FALSE)</f>
        <v>17585</v>
      </c>
      <c r="H167" s="2">
        <f>VLOOKUP($A167,'[2]App C Total'!$A$4:$I$917,8,FALSE)</f>
        <v>4527</v>
      </c>
      <c r="I167" s="2">
        <f>VLOOKUP($A167,'[2]App C Total'!$A$4:$I$917,9,FALSE)</f>
        <v>0</v>
      </c>
      <c r="J167" s="2"/>
      <c r="K167" s="2">
        <f>VLOOKUP($A167,'[2]App C Exp'!$A$4:$I$917,5,FALSE)</f>
        <v>8015</v>
      </c>
      <c r="L167" s="2">
        <f>VLOOKUP($A167,'[2]App C Exp'!$A$4:$I$917,6,FALSE)</f>
        <v>7539</v>
      </c>
      <c r="M167" s="2">
        <f>VLOOKUP($A167,'[2]App C Exp'!$A$4:$I$917,7,FALSE)</f>
        <v>6757</v>
      </c>
      <c r="N167" s="2">
        <f>VLOOKUP($A167,'[2]App C Exp'!$A$4:$I$917,8,FALSE)</f>
        <v>2706</v>
      </c>
      <c r="O167" s="2">
        <f>VLOOKUP($A167,'[2]App C Exp'!$A$4:$I$917,9,FALSE)</f>
        <v>0</v>
      </c>
      <c r="P167" s="2"/>
      <c r="Q167" s="2">
        <f>VLOOKUP($A167,'[2]App C Inv'!$A$4:$I$917,5,FALSE)</f>
        <v>8509</v>
      </c>
      <c r="R167" s="2">
        <f>VLOOKUP($A167,'[2]App C Inv'!$A$4:$I$917,6,FALSE)</f>
        <v>-7319</v>
      </c>
      <c r="S167" s="2">
        <f>VLOOKUP($A167,'[2]App C Inv'!$A$4:$I$917,7,FALSE)</f>
        <v>1032</v>
      </c>
      <c r="T167" s="2">
        <f>VLOOKUP($A167,'[2]App C Inv'!$A$4:$I$917,8,FALSE)</f>
        <v>1343</v>
      </c>
      <c r="U167" s="2">
        <f>VLOOKUP($A167,'[2]App C Inv'!$A$4:$I$917,9,FALSE)</f>
        <v>0</v>
      </c>
      <c r="V167" s="2"/>
      <c r="W167" s="2">
        <f>VLOOKUP($A167,'[2]App C Assum'!$A$4:$I$917,5,FALSE)</f>
        <v>9585</v>
      </c>
      <c r="X167" s="2">
        <f>VLOOKUP($A167,'[2]App C Assum'!$A$4:$I$917,6,FALSE)</f>
        <v>7853</v>
      </c>
      <c r="Y167" s="2">
        <f>VLOOKUP($A167,'[2]App C Assum'!$A$4:$I$917,7,FALSE)</f>
        <v>6375</v>
      </c>
      <c r="Z167" s="2">
        <f>VLOOKUP($A167,'[2]App C Assum'!$A$4:$I$917,8,FALSE)</f>
        <v>0</v>
      </c>
      <c r="AA167" s="2">
        <f>VLOOKUP($A167,'[2]App C Assum'!$A$4:$I$917,9,FALSE)</f>
        <v>0</v>
      </c>
      <c r="AB167" s="2"/>
      <c r="AC167" s="2">
        <f>VLOOKUP($A167,'[2]App C Share Outflows'!$A$4:$I$917,5,FALSE)</f>
        <v>3420</v>
      </c>
      <c r="AD167" s="2">
        <f>VLOOKUP($A167,'[2]App C Share Outflows'!$A$4:$I$917,6,FALSE)</f>
        <v>3420</v>
      </c>
      <c r="AE167" s="2">
        <f>VLOOKUP($A167,'[2]App C Share Outflows'!$A$4:$I$917,7,FALSE)</f>
        <v>3421</v>
      </c>
      <c r="AF167" s="2">
        <f>VLOOKUP($A167,'[2]App C Share Outflows'!$A$4:$I$917,8,FALSE)</f>
        <v>478</v>
      </c>
      <c r="AG167" s="2">
        <f>VLOOKUP($A167,'[2]App C Share Outflows'!$A$4:$I$917,9,FALSE)</f>
        <v>0</v>
      </c>
      <c r="AH167" s="2"/>
      <c r="AI167" s="2">
        <f>VLOOKUP($A167,'[2]App C Share Inflows'!$A$4:$I$917,5,FALSE)</f>
        <v>-722</v>
      </c>
      <c r="AJ167" s="2">
        <f>VLOOKUP($A167,'[2]App C Share Inflows'!$A$4:$I$917,6,FALSE)</f>
        <v>-35</v>
      </c>
      <c r="AK167" s="2">
        <f>VLOOKUP($A167,'[2]App C Share Inflows'!$A$4:$I$917,7,FALSE)</f>
        <v>0</v>
      </c>
      <c r="AL167" s="2">
        <f>VLOOKUP($A167,'[2]App C Share Inflows'!$A$4:$I$917,8,FALSE)</f>
        <v>0</v>
      </c>
      <c r="AM167" s="2">
        <f>VLOOKUP($A167,'[2]App C Share Inflows'!$A$4:$I$917,6,FALSE)</f>
        <v>-35</v>
      </c>
    </row>
    <row r="168" spans="1:39">
      <c r="A168" s="351">
        <v>91251</v>
      </c>
      <c r="B168" s="344" t="s">
        <v>860</v>
      </c>
      <c r="C168" s="235" t="e">
        <f>VLOOKUP(A168,#REF!,10,FALSE)</f>
        <v>#REF!</v>
      </c>
      <c r="E168" s="2">
        <f>VLOOKUP($A168,'[2]App C Total'!$A$4:$I$917,5,FALSE)</f>
        <v>9371</v>
      </c>
      <c r="F168" s="2">
        <f>VLOOKUP($A168,'[2]App C Total'!$A$4:$I$917,6,FALSE)</f>
        <v>2816</v>
      </c>
      <c r="G168" s="2">
        <f>VLOOKUP($A168,'[2]App C Total'!$A$4:$I$917,7,FALSE)</f>
        <v>5755</v>
      </c>
      <c r="H168" s="2">
        <f>VLOOKUP($A168,'[2]App C Total'!$A$4:$I$917,8,FALSE)</f>
        <v>-294</v>
      </c>
      <c r="I168" s="2">
        <f>VLOOKUP($A168,'[2]App C Total'!$A$4:$I$917,9,FALSE)</f>
        <v>0</v>
      </c>
      <c r="J168" s="2"/>
      <c r="K168" s="2">
        <f>VLOOKUP($A168,'[2]App C Exp'!$A$4:$I$917,5,FALSE)</f>
        <v>2996</v>
      </c>
      <c r="L168" s="2">
        <f>VLOOKUP($A168,'[2]App C Exp'!$A$4:$I$917,6,FALSE)</f>
        <v>2818</v>
      </c>
      <c r="M168" s="2">
        <f>VLOOKUP($A168,'[2]App C Exp'!$A$4:$I$917,7,FALSE)</f>
        <v>2526</v>
      </c>
      <c r="N168" s="2">
        <f>VLOOKUP($A168,'[2]App C Exp'!$A$4:$I$917,8,FALSE)</f>
        <v>1011</v>
      </c>
      <c r="O168" s="2">
        <f>VLOOKUP($A168,'[2]App C Exp'!$A$4:$I$917,9,FALSE)</f>
        <v>0</v>
      </c>
      <c r="P168" s="2"/>
      <c r="Q168" s="2">
        <f>VLOOKUP($A168,'[2]App C Inv'!$A$4:$I$917,5,FALSE)</f>
        <v>3181</v>
      </c>
      <c r="R168" s="2">
        <f>VLOOKUP($A168,'[2]App C Inv'!$A$4:$I$917,6,FALSE)</f>
        <v>-2736</v>
      </c>
      <c r="S168" s="2">
        <f>VLOOKUP($A168,'[2]App C Inv'!$A$4:$I$917,7,FALSE)</f>
        <v>386</v>
      </c>
      <c r="T168" s="2">
        <f>VLOOKUP($A168,'[2]App C Inv'!$A$4:$I$917,8,FALSE)</f>
        <v>502</v>
      </c>
      <c r="U168" s="2">
        <f>VLOOKUP($A168,'[2]App C Inv'!$A$4:$I$917,9,FALSE)</f>
        <v>0</v>
      </c>
      <c r="V168" s="2"/>
      <c r="W168" s="2">
        <f>VLOOKUP($A168,'[2]App C Assum'!$A$4:$I$917,5,FALSE)</f>
        <v>3583</v>
      </c>
      <c r="X168" s="2">
        <f>VLOOKUP($A168,'[2]App C Assum'!$A$4:$I$917,6,FALSE)</f>
        <v>2936</v>
      </c>
      <c r="Y168" s="2">
        <f>VLOOKUP($A168,'[2]App C Assum'!$A$4:$I$917,7,FALSE)</f>
        <v>2383</v>
      </c>
      <c r="Z168" s="2">
        <f>VLOOKUP($A168,'[2]App C Assum'!$A$4:$I$917,8,FALSE)</f>
        <v>0</v>
      </c>
      <c r="AA168" s="2">
        <f>VLOOKUP($A168,'[2]App C Assum'!$A$4:$I$917,9,FALSE)</f>
        <v>0</v>
      </c>
      <c r="AB168" s="2"/>
      <c r="AC168" s="2">
        <f>VLOOKUP($A168,'[2]App C Share Outflows'!$A$4:$I$917,5,FALSE)</f>
        <v>2271</v>
      </c>
      <c r="AD168" s="2">
        <f>VLOOKUP($A168,'[2]App C Share Outflows'!$A$4:$I$917,6,FALSE)</f>
        <v>2271</v>
      </c>
      <c r="AE168" s="2">
        <f>VLOOKUP($A168,'[2]App C Share Outflows'!$A$4:$I$917,7,FALSE)</f>
        <v>2269</v>
      </c>
      <c r="AF168" s="2">
        <f>VLOOKUP($A168,'[2]App C Share Outflows'!$A$4:$I$917,8,FALSE)</f>
        <v>0</v>
      </c>
      <c r="AG168" s="2">
        <f>VLOOKUP($A168,'[2]App C Share Outflows'!$A$4:$I$917,9,FALSE)</f>
        <v>0</v>
      </c>
      <c r="AH168" s="2"/>
      <c r="AI168" s="2">
        <f>VLOOKUP($A168,'[2]App C Share Inflows'!$A$4:$I$917,5,FALSE)</f>
        <v>-2660</v>
      </c>
      <c r="AJ168" s="2">
        <f>VLOOKUP($A168,'[2]App C Share Inflows'!$A$4:$I$917,6,FALSE)</f>
        <v>-2473</v>
      </c>
      <c r="AK168" s="2">
        <f>VLOOKUP($A168,'[2]App C Share Inflows'!$A$4:$I$917,7,FALSE)</f>
        <v>-1809</v>
      </c>
      <c r="AL168" s="2">
        <f>VLOOKUP($A168,'[2]App C Share Inflows'!$A$4:$I$917,8,FALSE)</f>
        <v>-1807</v>
      </c>
      <c r="AM168" s="2">
        <f>VLOOKUP($A168,'[2]App C Share Inflows'!$A$4:$I$917,6,FALSE)</f>
        <v>-2473</v>
      </c>
    </row>
    <row r="169" spans="1:39">
      <c r="A169" s="351">
        <v>91261</v>
      </c>
      <c r="B169" s="344" t="s">
        <v>861</v>
      </c>
      <c r="C169" s="235" t="e">
        <f>VLOOKUP(A169,#REF!,10,FALSE)</f>
        <v>#REF!</v>
      </c>
      <c r="E169" s="2">
        <f>VLOOKUP($A169,'[2]App C Total'!$A$4:$I$917,5,FALSE)</f>
        <v>4563</v>
      </c>
      <c r="F169" s="2">
        <f>VLOOKUP($A169,'[2]App C Total'!$A$4:$I$917,6,FALSE)</f>
        <v>1171</v>
      </c>
      <c r="G169" s="2">
        <f>VLOOKUP($A169,'[2]App C Total'!$A$4:$I$917,7,FALSE)</f>
        <v>2150</v>
      </c>
      <c r="H169" s="2">
        <f>VLOOKUP($A169,'[2]App C Total'!$A$4:$I$917,8,FALSE)</f>
        <v>316</v>
      </c>
      <c r="I169" s="2">
        <f>VLOOKUP($A169,'[2]App C Total'!$A$4:$I$917,9,FALSE)</f>
        <v>0</v>
      </c>
      <c r="J169" s="2"/>
      <c r="K169" s="2">
        <f>VLOOKUP($A169,'[2]App C Exp'!$A$4:$I$917,5,FALSE)</f>
        <v>1453</v>
      </c>
      <c r="L169" s="2">
        <f>VLOOKUP($A169,'[2]App C Exp'!$A$4:$I$917,6,FALSE)</f>
        <v>1367</v>
      </c>
      <c r="M169" s="2">
        <f>VLOOKUP($A169,'[2]App C Exp'!$A$4:$I$917,7,FALSE)</f>
        <v>1225</v>
      </c>
      <c r="N169" s="2">
        <f>VLOOKUP($A169,'[2]App C Exp'!$A$4:$I$917,8,FALSE)</f>
        <v>491</v>
      </c>
      <c r="O169" s="2">
        <f>VLOOKUP($A169,'[2]App C Exp'!$A$4:$I$917,9,FALSE)</f>
        <v>0</v>
      </c>
      <c r="P169" s="2"/>
      <c r="Q169" s="2">
        <f>VLOOKUP($A169,'[2]App C Inv'!$A$4:$I$917,5,FALSE)</f>
        <v>1543</v>
      </c>
      <c r="R169" s="2">
        <f>VLOOKUP($A169,'[2]App C Inv'!$A$4:$I$917,6,FALSE)</f>
        <v>-1327</v>
      </c>
      <c r="S169" s="2">
        <f>VLOOKUP($A169,'[2]App C Inv'!$A$4:$I$917,7,FALSE)</f>
        <v>187</v>
      </c>
      <c r="T169" s="2">
        <f>VLOOKUP($A169,'[2]App C Inv'!$A$4:$I$917,8,FALSE)</f>
        <v>243</v>
      </c>
      <c r="U169" s="2">
        <f>VLOOKUP($A169,'[2]App C Inv'!$A$4:$I$917,9,FALSE)</f>
        <v>0</v>
      </c>
      <c r="V169" s="2"/>
      <c r="W169" s="2">
        <f>VLOOKUP($A169,'[2]App C Assum'!$A$4:$I$917,5,FALSE)</f>
        <v>1738</v>
      </c>
      <c r="X169" s="2">
        <f>VLOOKUP($A169,'[2]App C Assum'!$A$4:$I$917,6,FALSE)</f>
        <v>1424</v>
      </c>
      <c r="Y169" s="2">
        <f>VLOOKUP($A169,'[2]App C Assum'!$A$4:$I$917,7,FALSE)</f>
        <v>1156</v>
      </c>
      <c r="Z169" s="2">
        <f>VLOOKUP($A169,'[2]App C Assum'!$A$4:$I$917,8,FALSE)</f>
        <v>0</v>
      </c>
      <c r="AA169" s="2">
        <f>VLOOKUP($A169,'[2]App C Assum'!$A$4:$I$917,9,FALSE)</f>
        <v>0</v>
      </c>
      <c r="AB169" s="2"/>
      <c r="AC169" s="2">
        <f>VLOOKUP($A169,'[2]App C Share Outflows'!$A$4:$I$917,5,FALSE)</f>
        <v>246</v>
      </c>
      <c r="AD169" s="2">
        <f>VLOOKUP($A169,'[2]App C Share Outflows'!$A$4:$I$917,6,FALSE)</f>
        <v>124</v>
      </c>
      <c r="AE169" s="2">
        <f>VLOOKUP($A169,'[2]App C Share Outflows'!$A$4:$I$917,7,FALSE)</f>
        <v>0</v>
      </c>
      <c r="AF169" s="2">
        <f>VLOOKUP($A169,'[2]App C Share Outflows'!$A$4:$I$917,8,FALSE)</f>
        <v>0</v>
      </c>
      <c r="AG169" s="2">
        <f>VLOOKUP($A169,'[2]App C Share Outflows'!$A$4:$I$917,9,FALSE)</f>
        <v>0</v>
      </c>
      <c r="AH169" s="2"/>
      <c r="AI169" s="2">
        <f>VLOOKUP($A169,'[2]App C Share Inflows'!$A$4:$I$917,5,FALSE)</f>
        <v>-417</v>
      </c>
      <c r="AJ169" s="2">
        <f>VLOOKUP($A169,'[2]App C Share Inflows'!$A$4:$I$917,6,FALSE)</f>
        <v>-417</v>
      </c>
      <c r="AK169" s="2">
        <f>VLOOKUP($A169,'[2]App C Share Inflows'!$A$4:$I$917,7,FALSE)</f>
        <v>-418</v>
      </c>
      <c r="AL169" s="2">
        <f>VLOOKUP($A169,'[2]App C Share Inflows'!$A$4:$I$917,8,FALSE)</f>
        <v>-418</v>
      </c>
      <c r="AM169" s="2">
        <f>VLOOKUP($A169,'[2]App C Share Inflows'!$A$4:$I$917,6,FALSE)</f>
        <v>-417</v>
      </c>
    </row>
    <row r="170" spans="1:39">
      <c r="A170" s="351">
        <v>91301</v>
      </c>
      <c r="B170" s="344" t="s">
        <v>862</v>
      </c>
      <c r="C170" s="235" t="e">
        <f>VLOOKUP(A170,#REF!,10,FALSE)</f>
        <v>#REF!</v>
      </c>
      <c r="E170" s="2">
        <f>VLOOKUP($A170,'[2]App C Total'!$A$4:$I$917,5,FALSE)</f>
        <v>3838995</v>
      </c>
      <c r="F170" s="2">
        <f>VLOOKUP($A170,'[2]App C Total'!$A$4:$I$917,6,FALSE)</f>
        <v>1152979</v>
      </c>
      <c r="G170" s="2">
        <f>VLOOKUP($A170,'[2]App C Total'!$A$4:$I$917,7,FALSE)</f>
        <v>2092277</v>
      </c>
      <c r="H170" s="2">
        <f>VLOOKUP($A170,'[2]App C Total'!$A$4:$I$917,8,FALSE)</f>
        <v>609098</v>
      </c>
      <c r="I170" s="2">
        <f>VLOOKUP($A170,'[2]App C Total'!$A$4:$I$917,9,FALSE)</f>
        <v>0</v>
      </c>
      <c r="J170" s="2"/>
      <c r="K170" s="2">
        <f>VLOOKUP($A170,'[2]App C Exp'!$A$4:$I$917,5,FALSE)</f>
        <v>1190936</v>
      </c>
      <c r="L170" s="2">
        <f>VLOOKUP($A170,'[2]App C Exp'!$A$4:$I$917,6,FALSE)</f>
        <v>1120286</v>
      </c>
      <c r="M170" s="2">
        <f>VLOOKUP($A170,'[2]App C Exp'!$A$4:$I$917,7,FALSE)</f>
        <v>1004099</v>
      </c>
      <c r="N170" s="2">
        <f>VLOOKUP($A170,'[2]App C Exp'!$A$4:$I$917,8,FALSE)</f>
        <v>402029</v>
      </c>
      <c r="O170" s="2">
        <f>VLOOKUP($A170,'[2]App C Exp'!$A$4:$I$917,9,FALSE)</f>
        <v>0</v>
      </c>
      <c r="P170" s="2"/>
      <c r="Q170" s="2">
        <f>VLOOKUP($A170,'[2]App C Inv'!$A$4:$I$917,5,FALSE)</f>
        <v>1264344</v>
      </c>
      <c r="R170" s="2">
        <f>VLOOKUP($A170,'[2]App C Inv'!$A$4:$I$917,6,FALSE)</f>
        <v>-1087572</v>
      </c>
      <c r="S170" s="2">
        <f>VLOOKUP($A170,'[2]App C Inv'!$A$4:$I$917,7,FALSE)</f>
        <v>153280</v>
      </c>
      <c r="T170" s="2">
        <f>VLOOKUP($A170,'[2]App C Inv'!$A$4:$I$917,8,FALSE)</f>
        <v>199492</v>
      </c>
      <c r="U170" s="2">
        <f>VLOOKUP($A170,'[2]App C Inv'!$A$4:$I$917,9,FALSE)</f>
        <v>0</v>
      </c>
      <c r="V170" s="2"/>
      <c r="W170" s="2">
        <f>VLOOKUP($A170,'[2]App C Assum'!$A$4:$I$917,5,FALSE)</f>
        <v>1424302</v>
      </c>
      <c r="X170" s="2">
        <f>VLOOKUP($A170,'[2]App C Assum'!$A$4:$I$917,6,FALSE)</f>
        <v>1166840</v>
      </c>
      <c r="Y170" s="2">
        <f>VLOOKUP($A170,'[2]App C Assum'!$A$4:$I$917,7,FALSE)</f>
        <v>947274</v>
      </c>
      <c r="Z170" s="2">
        <f>VLOOKUP($A170,'[2]App C Assum'!$A$4:$I$917,8,FALSE)</f>
        <v>0</v>
      </c>
      <c r="AA170" s="2">
        <f>VLOOKUP($A170,'[2]App C Assum'!$A$4:$I$917,9,FALSE)</f>
        <v>0</v>
      </c>
      <c r="AB170" s="2"/>
      <c r="AC170" s="2">
        <f>VLOOKUP($A170,'[2]App C Share Outflows'!$A$4:$I$917,5,FALSE)</f>
        <v>13564</v>
      </c>
      <c r="AD170" s="2">
        <f>VLOOKUP($A170,'[2]App C Share Outflows'!$A$4:$I$917,6,FALSE)</f>
        <v>7577</v>
      </c>
      <c r="AE170" s="2">
        <f>VLOOKUP($A170,'[2]App C Share Outflows'!$A$4:$I$917,7,FALSE)</f>
        <v>7577</v>
      </c>
      <c r="AF170" s="2">
        <f>VLOOKUP($A170,'[2]App C Share Outflows'!$A$4:$I$917,8,FALSE)</f>
        <v>7577</v>
      </c>
      <c r="AG170" s="2">
        <f>VLOOKUP($A170,'[2]App C Share Outflows'!$A$4:$I$917,9,FALSE)</f>
        <v>0</v>
      </c>
      <c r="AH170" s="2"/>
      <c r="AI170" s="2">
        <f>VLOOKUP($A170,'[2]App C Share Inflows'!$A$4:$I$917,5,FALSE)</f>
        <v>-54151</v>
      </c>
      <c r="AJ170" s="2">
        <f>VLOOKUP($A170,'[2]App C Share Inflows'!$A$4:$I$917,6,FALSE)</f>
        <v>-54152</v>
      </c>
      <c r="AK170" s="2">
        <f>VLOOKUP($A170,'[2]App C Share Inflows'!$A$4:$I$917,7,FALSE)</f>
        <v>-19953</v>
      </c>
      <c r="AL170" s="2">
        <f>VLOOKUP($A170,'[2]App C Share Inflows'!$A$4:$I$917,8,FALSE)</f>
        <v>0</v>
      </c>
      <c r="AM170" s="2">
        <f>VLOOKUP($A170,'[2]App C Share Inflows'!$A$4:$I$917,6,FALSE)</f>
        <v>-54152</v>
      </c>
    </row>
    <row r="171" spans="1:39">
      <c r="A171" s="351">
        <v>91302</v>
      </c>
      <c r="B171" s="344" t="s">
        <v>3658</v>
      </c>
      <c r="C171" s="235" t="e">
        <f>VLOOKUP(A171,#REF!,10,FALSE)</f>
        <v>#REF!</v>
      </c>
      <c r="E171" s="2">
        <f>VLOOKUP($A171,'[2]App C Total'!$A$4:$I$917,5,FALSE)</f>
        <v>245630</v>
      </c>
      <c r="F171" s="2">
        <f>VLOOKUP($A171,'[2]App C Total'!$A$4:$I$917,6,FALSE)</f>
        <v>64145</v>
      </c>
      <c r="G171" s="2">
        <f>VLOOKUP($A171,'[2]App C Total'!$A$4:$I$917,7,FALSE)</f>
        <v>126768</v>
      </c>
      <c r="H171" s="2">
        <f>VLOOKUP($A171,'[2]App C Total'!$A$4:$I$917,8,FALSE)</f>
        <v>38087</v>
      </c>
      <c r="I171" s="2">
        <f>VLOOKUP($A171,'[2]App C Total'!$A$4:$I$917,9,FALSE)</f>
        <v>0</v>
      </c>
      <c r="J171" s="2"/>
      <c r="K171" s="2">
        <f>VLOOKUP($A171,'[2]App C Exp'!$A$4:$I$917,5,FALSE)</f>
        <v>80207</v>
      </c>
      <c r="L171" s="2">
        <f>VLOOKUP($A171,'[2]App C Exp'!$A$4:$I$917,6,FALSE)</f>
        <v>75449</v>
      </c>
      <c r="M171" s="2">
        <f>VLOOKUP($A171,'[2]App C Exp'!$A$4:$I$917,7,FALSE)</f>
        <v>67624</v>
      </c>
      <c r="N171" s="2">
        <f>VLOOKUP($A171,'[2]App C Exp'!$A$4:$I$917,8,FALSE)</f>
        <v>27076</v>
      </c>
      <c r="O171" s="2">
        <f>VLOOKUP($A171,'[2]App C Exp'!$A$4:$I$917,9,FALSE)</f>
        <v>0</v>
      </c>
      <c r="P171" s="2"/>
      <c r="Q171" s="2">
        <f>VLOOKUP($A171,'[2]App C Inv'!$A$4:$I$917,5,FALSE)</f>
        <v>85151</v>
      </c>
      <c r="R171" s="2">
        <f>VLOOKUP($A171,'[2]App C Inv'!$A$4:$I$917,6,FALSE)</f>
        <v>-73245</v>
      </c>
      <c r="S171" s="2">
        <f>VLOOKUP($A171,'[2]App C Inv'!$A$4:$I$917,7,FALSE)</f>
        <v>10323</v>
      </c>
      <c r="T171" s="2">
        <f>VLOOKUP($A171,'[2]App C Inv'!$A$4:$I$917,8,FALSE)</f>
        <v>13435</v>
      </c>
      <c r="U171" s="2">
        <f>VLOOKUP($A171,'[2]App C Inv'!$A$4:$I$917,9,FALSE)</f>
        <v>0</v>
      </c>
      <c r="V171" s="2"/>
      <c r="W171" s="2">
        <f>VLOOKUP($A171,'[2]App C Assum'!$A$4:$I$917,5,FALSE)</f>
        <v>95923</v>
      </c>
      <c r="X171" s="2">
        <f>VLOOKUP($A171,'[2]App C Assum'!$A$4:$I$917,6,FALSE)</f>
        <v>78584</v>
      </c>
      <c r="Y171" s="2">
        <f>VLOOKUP($A171,'[2]App C Assum'!$A$4:$I$917,7,FALSE)</f>
        <v>63797</v>
      </c>
      <c r="Z171" s="2">
        <f>VLOOKUP($A171,'[2]App C Assum'!$A$4:$I$917,8,FALSE)</f>
        <v>0</v>
      </c>
      <c r="AA171" s="2">
        <f>VLOOKUP($A171,'[2]App C Assum'!$A$4:$I$917,9,FALSE)</f>
        <v>0</v>
      </c>
      <c r="AB171" s="2"/>
      <c r="AC171" s="2">
        <f>VLOOKUP($A171,'[2]App C Share Outflows'!$A$4:$I$917,5,FALSE)</f>
        <v>990</v>
      </c>
      <c r="AD171" s="2">
        <f>VLOOKUP($A171,'[2]App C Share Outflows'!$A$4:$I$917,6,FALSE)</f>
        <v>0</v>
      </c>
      <c r="AE171" s="2">
        <f>VLOOKUP($A171,'[2]App C Share Outflows'!$A$4:$I$917,7,FALSE)</f>
        <v>0</v>
      </c>
      <c r="AF171" s="2">
        <f>VLOOKUP($A171,'[2]App C Share Outflows'!$A$4:$I$917,8,FALSE)</f>
        <v>0</v>
      </c>
      <c r="AG171" s="2">
        <f>VLOOKUP($A171,'[2]App C Share Outflows'!$A$4:$I$917,9,FALSE)</f>
        <v>0</v>
      </c>
      <c r="AH171" s="2"/>
      <c r="AI171" s="2">
        <f>VLOOKUP($A171,'[2]App C Share Inflows'!$A$4:$I$917,5,FALSE)</f>
        <v>-16641</v>
      </c>
      <c r="AJ171" s="2">
        <f>VLOOKUP($A171,'[2]App C Share Inflows'!$A$4:$I$917,6,FALSE)</f>
        <v>-16643</v>
      </c>
      <c r="AK171" s="2">
        <f>VLOOKUP($A171,'[2]App C Share Inflows'!$A$4:$I$917,7,FALSE)</f>
        <v>-14976</v>
      </c>
      <c r="AL171" s="2">
        <f>VLOOKUP($A171,'[2]App C Share Inflows'!$A$4:$I$917,8,FALSE)</f>
        <v>-2424</v>
      </c>
      <c r="AM171" s="2">
        <f>VLOOKUP($A171,'[2]App C Share Inflows'!$A$4:$I$917,6,FALSE)</f>
        <v>-16643</v>
      </c>
    </row>
    <row r="172" spans="1:39">
      <c r="A172" s="351">
        <v>91306</v>
      </c>
      <c r="B172" s="344" t="s">
        <v>2781</v>
      </c>
      <c r="C172" s="235" t="e">
        <f>VLOOKUP(A172,#REF!,10,FALSE)</f>
        <v>#REF!</v>
      </c>
      <c r="E172" s="2">
        <f>VLOOKUP($A172,'[2]App C Total'!$A$4:$I$917,5,FALSE)</f>
        <v>940134</v>
      </c>
      <c r="F172" s="2">
        <f>VLOOKUP($A172,'[2]App C Total'!$A$4:$I$917,6,FALSE)</f>
        <v>310014</v>
      </c>
      <c r="G172" s="2">
        <f>VLOOKUP($A172,'[2]App C Total'!$A$4:$I$917,7,FALSE)</f>
        <v>519512</v>
      </c>
      <c r="H172" s="2">
        <f>VLOOKUP($A172,'[2]App C Total'!$A$4:$I$917,8,FALSE)</f>
        <v>136728</v>
      </c>
      <c r="I172" s="2">
        <f>VLOOKUP($A172,'[2]App C Total'!$A$4:$I$917,9,FALSE)</f>
        <v>0</v>
      </c>
      <c r="J172" s="2"/>
      <c r="K172" s="2">
        <f>VLOOKUP($A172,'[2]App C Exp'!$A$4:$I$917,5,FALSE)</f>
        <v>273323</v>
      </c>
      <c r="L172" s="2">
        <f>VLOOKUP($A172,'[2]App C Exp'!$A$4:$I$917,6,FALSE)</f>
        <v>257109</v>
      </c>
      <c r="M172" s="2">
        <f>VLOOKUP($A172,'[2]App C Exp'!$A$4:$I$917,7,FALSE)</f>
        <v>230443</v>
      </c>
      <c r="N172" s="2">
        <f>VLOOKUP($A172,'[2]App C Exp'!$A$4:$I$917,8,FALSE)</f>
        <v>92267</v>
      </c>
      <c r="O172" s="2">
        <f>VLOOKUP($A172,'[2]App C Exp'!$A$4:$I$917,9,FALSE)</f>
        <v>0</v>
      </c>
      <c r="P172" s="2"/>
      <c r="Q172" s="2">
        <f>VLOOKUP($A172,'[2]App C Inv'!$A$4:$I$917,5,FALSE)</f>
        <v>290170</v>
      </c>
      <c r="R172" s="2">
        <f>VLOOKUP($A172,'[2]App C Inv'!$A$4:$I$917,6,FALSE)</f>
        <v>-249601</v>
      </c>
      <c r="S172" s="2">
        <f>VLOOKUP($A172,'[2]App C Inv'!$A$4:$I$917,7,FALSE)</f>
        <v>35178</v>
      </c>
      <c r="T172" s="2">
        <f>VLOOKUP($A172,'[2]App C Inv'!$A$4:$I$917,8,FALSE)</f>
        <v>45784</v>
      </c>
      <c r="U172" s="2">
        <f>VLOOKUP($A172,'[2]App C Inv'!$A$4:$I$917,9,FALSE)</f>
        <v>0</v>
      </c>
      <c r="V172" s="2"/>
      <c r="W172" s="2">
        <f>VLOOKUP($A172,'[2]App C Assum'!$A$4:$I$917,5,FALSE)</f>
        <v>326881</v>
      </c>
      <c r="X172" s="2">
        <f>VLOOKUP($A172,'[2]App C Assum'!$A$4:$I$917,6,FALSE)</f>
        <v>267793</v>
      </c>
      <c r="Y172" s="2">
        <f>VLOOKUP($A172,'[2]App C Assum'!$A$4:$I$917,7,FALSE)</f>
        <v>217402</v>
      </c>
      <c r="Z172" s="2">
        <f>VLOOKUP($A172,'[2]App C Assum'!$A$4:$I$917,8,FALSE)</f>
        <v>0</v>
      </c>
      <c r="AA172" s="2">
        <f>VLOOKUP($A172,'[2]App C Assum'!$A$4:$I$917,9,FALSE)</f>
        <v>0</v>
      </c>
      <c r="AB172" s="2"/>
      <c r="AC172" s="2">
        <f>VLOOKUP($A172,'[2]App C Share Outflows'!$A$4:$I$917,5,FALSE)</f>
        <v>52858</v>
      </c>
      <c r="AD172" s="2">
        <f>VLOOKUP($A172,'[2]App C Share Outflows'!$A$4:$I$917,6,FALSE)</f>
        <v>37811</v>
      </c>
      <c r="AE172" s="2">
        <f>VLOOKUP($A172,'[2]App C Share Outflows'!$A$4:$I$917,7,FALSE)</f>
        <v>37812</v>
      </c>
      <c r="AF172" s="2">
        <f>VLOOKUP($A172,'[2]App C Share Outflows'!$A$4:$I$917,8,FALSE)</f>
        <v>0</v>
      </c>
      <c r="AG172" s="2">
        <f>VLOOKUP($A172,'[2]App C Share Outflows'!$A$4:$I$917,9,FALSE)</f>
        <v>0</v>
      </c>
      <c r="AH172" s="2"/>
      <c r="AI172" s="2">
        <f>VLOOKUP($A172,'[2]App C Share Inflows'!$A$4:$I$917,5,FALSE)</f>
        <v>-3098</v>
      </c>
      <c r="AJ172" s="2">
        <f>VLOOKUP($A172,'[2]App C Share Inflows'!$A$4:$I$917,6,FALSE)</f>
        <v>-3098</v>
      </c>
      <c r="AK172" s="2">
        <f>VLOOKUP($A172,'[2]App C Share Inflows'!$A$4:$I$917,7,FALSE)</f>
        <v>-1323</v>
      </c>
      <c r="AL172" s="2">
        <f>VLOOKUP($A172,'[2]App C Share Inflows'!$A$4:$I$917,8,FALSE)</f>
        <v>-1323</v>
      </c>
      <c r="AM172" s="2">
        <f>VLOOKUP($A172,'[2]App C Share Inflows'!$A$4:$I$917,6,FALSE)</f>
        <v>-3098</v>
      </c>
    </row>
    <row r="173" spans="1:39">
      <c r="A173" s="351">
        <v>91308</v>
      </c>
      <c r="B173" s="344" t="s">
        <v>865</v>
      </c>
      <c r="C173" s="235" t="e">
        <f>VLOOKUP(A173,#REF!,10,FALSE)</f>
        <v>#REF!</v>
      </c>
      <c r="E173" s="2">
        <f>VLOOKUP($A173,'[2]App C Total'!$A$4:$I$917,5,FALSE)</f>
        <v>76130</v>
      </c>
      <c r="F173" s="2">
        <f>VLOOKUP($A173,'[2]App C Total'!$A$4:$I$917,6,FALSE)</f>
        <v>18730</v>
      </c>
      <c r="G173" s="2">
        <f>VLOOKUP($A173,'[2]App C Total'!$A$4:$I$917,7,FALSE)</f>
        <v>42764</v>
      </c>
      <c r="H173" s="2">
        <f>VLOOKUP($A173,'[2]App C Total'!$A$4:$I$917,8,FALSE)</f>
        <v>12551</v>
      </c>
      <c r="I173" s="2">
        <f>VLOOKUP($A173,'[2]App C Total'!$A$4:$I$917,9,FALSE)</f>
        <v>0</v>
      </c>
      <c r="J173" s="2"/>
      <c r="K173" s="2">
        <f>VLOOKUP($A173,'[2]App C Exp'!$A$4:$I$917,5,FALSE)</f>
        <v>25482</v>
      </c>
      <c r="L173" s="2">
        <f>VLOOKUP($A173,'[2]App C Exp'!$A$4:$I$917,6,FALSE)</f>
        <v>23970</v>
      </c>
      <c r="M173" s="2">
        <f>VLOOKUP($A173,'[2]App C Exp'!$A$4:$I$917,7,FALSE)</f>
        <v>21484</v>
      </c>
      <c r="N173" s="2">
        <f>VLOOKUP($A173,'[2]App C Exp'!$A$4:$I$917,8,FALSE)</f>
        <v>8602</v>
      </c>
      <c r="O173" s="2">
        <f>VLOOKUP($A173,'[2]App C Exp'!$A$4:$I$917,9,FALSE)</f>
        <v>0</v>
      </c>
      <c r="P173" s="2"/>
      <c r="Q173" s="2">
        <f>VLOOKUP($A173,'[2]App C Inv'!$A$4:$I$917,5,FALSE)</f>
        <v>27053</v>
      </c>
      <c r="R173" s="2">
        <f>VLOOKUP($A173,'[2]App C Inv'!$A$4:$I$917,6,FALSE)</f>
        <v>-23271</v>
      </c>
      <c r="S173" s="2">
        <f>VLOOKUP($A173,'[2]App C Inv'!$A$4:$I$917,7,FALSE)</f>
        <v>3280</v>
      </c>
      <c r="T173" s="2">
        <f>VLOOKUP($A173,'[2]App C Inv'!$A$4:$I$917,8,FALSE)</f>
        <v>4268</v>
      </c>
      <c r="U173" s="2">
        <f>VLOOKUP($A173,'[2]App C Inv'!$A$4:$I$917,9,FALSE)</f>
        <v>0</v>
      </c>
      <c r="V173" s="2"/>
      <c r="W173" s="2">
        <f>VLOOKUP($A173,'[2]App C Assum'!$A$4:$I$917,5,FALSE)</f>
        <v>30475</v>
      </c>
      <c r="X173" s="2">
        <f>VLOOKUP($A173,'[2]App C Assum'!$A$4:$I$917,6,FALSE)</f>
        <v>24967</v>
      </c>
      <c r="Y173" s="2">
        <f>VLOOKUP($A173,'[2]App C Assum'!$A$4:$I$917,7,FALSE)</f>
        <v>20269</v>
      </c>
      <c r="Z173" s="2">
        <f>VLOOKUP($A173,'[2]App C Assum'!$A$4:$I$917,8,FALSE)</f>
        <v>0</v>
      </c>
      <c r="AA173" s="2">
        <f>VLOOKUP($A173,'[2]App C Assum'!$A$4:$I$917,9,FALSE)</f>
        <v>0</v>
      </c>
      <c r="AB173" s="2"/>
      <c r="AC173" s="2">
        <f>VLOOKUP($A173,'[2]App C Share Outflows'!$A$4:$I$917,5,FALSE)</f>
        <v>54</v>
      </c>
      <c r="AD173" s="2">
        <f>VLOOKUP($A173,'[2]App C Share Outflows'!$A$4:$I$917,6,FALSE)</f>
        <v>0</v>
      </c>
      <c r="AE173" s="2">
        <f>VLOOKUP($A173,'[2]App C Share Outflows'!$A$4:$I$917,7,FALSE)</f>
        <v>0</v>
      </c>
      <c r="AF173" s="2">
        <f>VLOOKUP($A173,'[2]App C Share Outflows'!$A$4:$I$917,8,FALSE)</f>
        <v>0</v>
      </c>
      <c r="AG173" s="2">
        <f>VLOOKUP($A173,'[2]App C Share Outflows'!$A$4:$I$917,9,FALSE)</f>
        <v>0</v>
      </c>
      <c r="AH173" s="2"/>
      <c r="AI173" s="2">
        <f>VLOOKUP($A173,'[2]App C Share Inflows'!$A$4:$I$917,5,FALSE)</f>
        <v>-6934</v>
      </c>
      <c r="AJ173" s="2">
        <f>VLOOKUP($A173,'[2]App C Share Inflows'!$A$4:$I$917,6,FALSE)</f>
        <v>-6936</v>
      </c>
      <c r="AK173" s="2">
        <f>VLOOKUP($A173,'[2]App C Share Inflows'!$A$4:$I$917,7,FALSE)</f>
        <v>-2269</v>
      </c>
      <c r="AL173" s="2">
        <f>VLOOKUP($A173,'[2]App C Share Inflows'!$A$4:$I$917,8,FALSE)</f>
        <v>-319</v>
      </c>
      <c r="AM173" s="2">
        <f>VLOOKUP($A173,'[2]App C Share Inflows'!$A$4:$I$917,6,FALSE)</f>
        <v>-6936</v>
      </c>
    </row>
    <row r="174" spans="1:39">
      <c r="A174" s="351">
        <v>91311</v>
      </c>
      <c r="B174" s="344" t="s">
        <v>866</v>
      </c>
      <c r="C174" s="235" t="e">
        <f>VLOOKUP(A174,#REF!,10,FALSE)</f>
        <v>#REF!</v>
      </c>
      <c r="E174" s="2">
        <f>VLOOKUP($A174,'[2]App C Total'!$A$4:$I$917,5,FALSE)</f>
        <v>3741589</v>
      </c>
      <c r="F174" s="2">
        <f>VLOOKUP($A174,'[2]App C Total'!$A$4:$I$917,6,FALSE)</f>
        <v>1151373</v>
      </c>
      <c r="G174" s="2">
        <f>VLOOKUP($A174,'[2]App C Total'!$A$4:$I$917,7,FALSE)</f>
        <v>2093504</v>
      </c>
      <c r="H174" s="2">
        <f>VLOOKUP($A174,'[2]App C Total'!$A$4:$I$917,8,FALSE)</f>
        <v>618523</v>
      </c>
      <c r="I174" s="2">
        <f>VLOOKUP($A174,'[2]App C Total'!$A$4:$I$917,9,FALSE)</f>
        <v>0</v>
      </c>
      <c r="J174" s="2"/>
      <c r="K174" s="2">
        <f>VLOOKUP($A174,'[2]App C Exp'!$A$4:$I$917,5,FALSE)</f>
        <v>1183925</v>
      </c>
      <c r="L174" s="2">
        <f>VLOOKUP($A174,'[2]App C Exp'!$A$4:$I$917,6,FALSE)</f>
        <v>1113691</v>
      </c>
      <c r="M174" s="2">
        <f>VLOOKUP($A174,'[2]App C Exp'!$A$4:$I$917,7,FALSE)</f>
        <v>998188</v>
      </c>
      <c r="N174" s="2">
        <f>VLOOKUP($A174,'[2]App C Exp'!$A$4:$I$917,8,FALSE)</f>
        <v>399663</v>
      </c>
      <c r="O174" s="2">
        <f>VLOOKUP($A174,'[2]App C Exp'!$A$4:$I$917,9,FALSE)</f>
        <v>0</v>
      </c>
      <c r="P174" s="2"/>
      <c r="Q174" s="2">
        <f>VLOOKUP($A174,'[2]App C Inv'!$A$4:$I$917,5,FALSE)</f>
        <v>1256901</v>
      </c>
      <c r="R174" s="2">
        <f>VLOOKUP($A174,'[2]App C Inv'!$A$4:$I$917,6,FALSE)</f>
        <v>-1081170</v>
      </c>
      <c r="S174" s="2">
        <f>VLOOKUP($A174,'[2]App C Inv'!$A$4:$I$917,7,FALSE)</f>
        <v>152378</v>
      </c>
      <c r="T174" s="2">
        <f>VLOOKUP($A174,'[2]App C Inv'!$A$4:$I$917,8,FALSE)</f>
        <v>198318</v>
      </c>
      <c r="U174" s="2">
        <f>VLOOKUP($A174,'[2]App C Inv'!$A$4:$I$917,9,FALSE)</f>
        <v>0</v>
      </c>
      <c r="V174" s="2"/>
      <c r="W174" s="2">
        <f>VLOOKUP($A174,'[2]App C Assum'!$A$4:$I$917,5,FALSE)</f>
        <v>1415917</v>
      </c>
      <c r="X174" s="2">
        <f>VLOOKUP($A174,'[2]App C Assum'!$A$4:$I$917,6,FALSE)</f>
        <v>1159971</v>
      </c>
      <c r="Y174" s="2">
        <f>VLOOKUP($A174,'[2]App C Assum'!$A$4:$I$917,7,FALSE)</f>
        <v>941698</v>
      </c>
      <c r="Z174" s="2">
        <f>VLOOKUP($A174,'[2]App C Assum'!$A$4:$I$917,8,FALSE)</f>
        <v>0</v>
      </c>
      <c r="AA174" s="2">
        <f>VLOOKUP($A174,'[2]App C Assum'!$A$4:$I$917,9,FALSE)</f>
        <v>0</v>
      </c>
      <c r="AB174" s="2"/>
      <c r="AC174" s="2">
        <f>VLOOKUP($A174,'[2]App C Share Outflows'!$A$4:$I$917,5,FALSE)</f>
        <v>20543</v>
      </c>
      <c r="AD174" s="2">
        <f>VLOOKUP($A174,'[2]App C Share Outflows'!$A$4:$I$917,6,FALSE)</f>
        <v>20543</v>
      </c>
      <c r="AE174" s="2">
        <f>VLOOKUP($A174,'[2]App C Share Outflows'!$A$4:$I$917,7,FALSE)</f>
        <v>20543</v>
      </c>
      <c r="AF174" s="2">
        <f>VLOOKUP($A174,'[2]App C Share Outflows'!$A$4:$I$917,8,FALSE)</f>
        <v>20542</v>
      </c>
      <c r="AG174" s="2">
        <f>VLOOKUP($A174,'[2]App C Share Outflows'!$A$4:$I$917,9,FALSE)</f>
        <v>0</v>
      </c>
      <c r="AH174" s="2"/>
      <c r="AI174" s="2">
        <f>VLOOKUP($A174,'[2]App C Share Inflows'!$A$4:$I$917,5,FALSE)</f>
        <v>-135697</v>
      </c>
      <c r="AJ174" s="2">
        <f>VLOOKUP($A174,'[2]App C Share Inflows'!$A$4:$I$917,6,FALSE)</f>
        <v>-61662</v>
      </c>
      <c r="AK174" s="2">
        <f>VLOOKUP($A174,'[2]App C Share Inflows'!$A$4:$I$917,7,FALSE)</f>
        <v>-19303</v>
      </c>
      <c r="AL174" s="2">
        <f>VLOOKUP($A174,'[2]App C Share Inflows'!$A$4:$I$917,8,FALSE)</f>
        <v>0</v>
      </c>
      <c r="AM174" s="2">
        <f>VLOOKUP($A174,'[2]App C Share Inflows'!$A$4:$I$917,6,FALSE)</f>
        <v>-61662</v>
      </c>
    </row>
    <row r="175" spans="1:39">
      <c r="A175" s="351">
        <v>91317</v>
      </c>
      <c r="B175" s="344" t="s">
        <v>867</v>
      </c>
      <c r="C175" s="235" t="e">
        <f>VLOOKUP(A175,#REF!,10,FALSE)</f>
        <v>#REF!</v>
      </c>
      <c r="E175" s="2">
        <f>VLOOKUP($A175,'[2]App C Total'!$A$4:$I$917,5,FALSE)</f>
        <v>55419</v>
      </c>
      <c r="F175" s="2">
        <f>VLOOKUP($A175,'[2]App C Total'!$A$4:$I$917,6,FALSE)</f>
        <v>21480</v>
      </c>
      <c r="G175" s="2">
        <f>VLOOKUP($A175,'[2]App C Total'!$A$4:$I$917,7,FALSE)</f>
        <v>30333</v>
      </c>
      <c r="H175" s="2">
        <f>VLOOKUP($A175,'[2]App C Total'!$A$4:$I$917,8,FALSE)</f>
        <v>10129</v>
      </c>
      <c r="I175" s="2">
        <f>VLOOKUP($A175,'[2]App C Total'!$A$4:$I$917,9,FALSE)</f>
        <v>0</v>
      </c>
      <c r="J175" s="2"/>
      <c r="K175" s="2">
        <f>VLOOKUP($A175,'[2]App C Exp'!$A$4:$I$917,5,FALSE)</f>
        <v>15205</v>
      </c>
      <c r="L175" s="2">
        <f>VLOOKUP($A175,'[2]App C Exp'!$A$4:$I$917,6,FALSE)</f>
        <v>14303</v>
      </c>
      <c r="M175" s="2">
        <f>VLOOKUP($A175,'[2]App C Exp'!$A$4:$I$917,7,FALSE)</f>
        <v>12820</v>
      </c>
      <c r="N175" s="2">
        <f>VLOOKUP($A175,'[2]App C Exp'!$A$4:$I$917,8,FALSE)</f>
        <v>5133</v>
      </c>
      <c r="O175" s="2">
        <f>VLOOKUP($A175,'[2]App C Exp'!$A$4:$I$917,9,FALSE)</f>
        <v>0</v>
      </c>
      <c r="P175" s="2"/>
      <c r="Q175" s="2">
        <f>VLOOKUP($A175,'[2]App C Inv'!$A$4:$I$917,5,FALSE)</f>
        <v>16143</v>
      </c>
      <c r="R175" s="2">
        <f>VLOOKUP($A175,'[2]App C Inv'!$A$4:$I$917,6,FALSE)</f>
        <v>-13886</v>
      </c>
      <c r="S175" s="2">
        <f>VLOOKUP($A175,'[2]App C Inv'!$A$4:$I$917,7,FALSE)</f>
        <v>1957</v>
      </c>
      <c r="T175" s="2">
        <f>VLOOKUP($A175,'[2]App C Inv'!$A$4:$I$917,8,FALSE)</f>
        <v>2547</v>
      </c>
      <c r="U175" s="2">
        <f>VLOOKUP($A175,'[2]App C Inv'!$A$4:$I$917,9,FALSE)</f>
        <v>0</v>
      </c>
      <c r="V175" s="2"/>
      <c r="W175" s="2">
        <f>VLOOKUP($A175,'[2]App C Assum'!$A$4:$I$917,5,FALSE)</f>
        <v>18185</v>
      </c>
      <c r="X175" s="2">
        <f>VLOOKUP($A175,'[2]App C Assum'!$A$4:$I$917,6,FALSE)</f>
        <v>14898</v>
      </c>
      <c r="Y175" s="2">
        <f>VLOOKUP($A175,'[2]App C Assum'!$A$4:$I$917,7,FALSE)</f>
        <v>12094</v>
      </c>
      <c r="Z175" s="2">
        <f>VLOOKUP($A175,'[2]App C Assum'!$A$4:$I$917,8,FALSE)</f>
        <v>0</v>
      </c>
      <c r="AA175" s="2">
        <f>VLOOKUP($A175,'[2]App C Assum'!$A$4:$I$917,9,FALSE)</f>
        <v>0</v>
      </c>
      <c r="AB175" s="2"/>
      <c r="AC175" s="2">
        <f>VLOOKUP($A175,'[2]App C Share Outflows'!$A$4:$I$917,5,FALSE)</f>
        <v>6165</v>
      </c>
      <c r="AD175" s="2">
        <f>VLOOKUP($A175,'[2]App C Share Outflows'!$A$4:$I$917,6,FALSE)</f>
        <v>6165</v>
      </c>
      <c r="AE175" s="2">
        <f>VLOOKUP($A175,'[2]App C Share Outflows'!$A$4:$I$917,7,FALSE)</f>
        <v>3462</v>
      </c>
      <c r="AF175" s="2">
        <f>VLOOKUP($A175,'[2]App C Share Outflows'!$A$4:$I$917,8,FALSE)</f>
        <v>2449</v>
      </c>
      <c r="AG175" s="2">
        <f>VLOOKUP($A175,'[2]App C Share Outflows'!$A$4:$I$917,9,FALSE)</f>
        <v>0</v>
      </c>
      <c r="AH175" s="2"/>
      <c r="AI175" s="2">
        <f>VLOOKUP($A175,'[2]App C Share Inflows'!$A$4:$I$917,5,FALSE)</f>
        <v>-279</v>
      </c>
      <c r="AJ175" s="2">
        <f>VLOOKUP($A175,'[2]App C Share Inflows'!$A$4:$I$917,6,FALSE)</f>
        <v>0</v>
      </c>
      <c r="AK175" s="2">
        <f>VLOOKUP($A175,'[2]App C Share Inflows'!$A$4:$I$917,7,FALSE)</f>
        <v>0</v>
      </c>
      <c r="AL175" s="2">
        <f>VLOOKUP($A175,'[2]App C Share Inflows'!$A$4:$I$917,8,FALSE)</f>
        <v>0</v>
      </c>
      <c r="AM175" s="2">
        <f>VLOOKUP($A175,'[2]App C Share Inflows'!$A$4:$I$917,6,FALSE)</f>
        <v>0</v>
      </c>
    </row>
    <row r="176" spans="1:39">
      <c r="A176" s="351">
        <v>91321</v>
      </c>
      <c r="B176" s="344" t="s">
        <v>868</v>
      </c>
      <c r="C176" s="235" t="e">
        <f>VLOOKUP(A176,#REF!,10,FALSE)</f>
        <v>#REF!</v>
      </c>
      <c r="E176" s="2">
        <f>VLOOKUP($A176,'[2]App C Total'!$A$4:$I$917,5,FALSE)</f>
        <v>42309</v>
      </c>
      <c r="F176" s="2">
        <f>VLOOKUP($A176,'[2]App C Total'!$A$4:$I$917,6,FALSE)</f>
        <v>23056</v>
      </c>
      <c r="G176" s="2">
        <f>VLOOKUP($A176,'[2]App C Total'!$A$4:$I$917,7,FALSE)</f>
        <v>25513</v>
      </c>
      <c r="H176" s="2">
        <f>VLOOKUP($A176,'[2]App C Total'!$A$4:$I$917,8,FALSE)</f>
        <v>10029</v>
      </c>
      <c r="I176" s="2">
        <f>VLOOKUP($A176,'[2]App C Total'!$A$4:$I$917,9,FALSE)</f>
        <v>0</v>
      </c>
      <c r="J176" s="2"/>
      <c r="K176" s="2">
        <f>VLOOKUP($A176,'[2]App C Exp'!$A$4:$I$917,5,FALSE)</f>
        <v>8030</v>
      </c>
      <c r="L176" s="2">
        <f>VLOOKUP($A176,'[2]App C Exp'!$A$4:$I$917,6,FALSE)</f>
        <v>7553</v>
      </c>
      <c r="M176" s="2">
        <f>VLOOKUP($A176,'[2]App C Exp'!$A$4:$I$917,7,FALSE)</f>
        <v>6770</v>
      </c>
      <c r="N176" s="2">
        <f>VLOOKUP($A176,'[2]App C Exp'!$A$4:$I$917,8,FALSE)</f>
        <v>2711</v>
      </c>
      <c r="O176" s="2">
        <f>VLOOKUP($A176,'[2]App C Exp'!$A$4:$I$917,9,FALSE)</f>
        <v>0</v>
      </c>
      <c r="P176" s="2"/>
      <c r="Q176" s="2">
        <f>VLOOKUP($A176,'[2]App C Inv'!$A$4:$I$917,5,FALSE)</f>
        <v>8525</v>
      </c>
      <c r="R176" s="2">
        <f>VLOOKUP($A176,'[2]App C Inv'!$A$4:$I$917,6,FALSE)</f>
        <v>-7333</v>
      </c>
      <c r="S176" s="2">
        <f>VLOOKUP($A176,'[2]App C Inv'!$A$4:$I$917,7,FALSE)</f>
        <v>1033</v>
      </c>
      <c r="T176" s="2">
        <f>VLOOKUP($A176,'[2]App C Inv'!$A$4:$I$917,8,FALSE)</f>
        <v>1345</v>
      </c>
      <c r="U176" s="2">
        <f>VLOOKUP($A176,'[2]App C Inv'!$A$4:$I$917,9,FALSE)</f>
        <v>0</v>
      </c>
      <c r="V176" s="2"/>
      <c r="W176" s="2">
        <f>VLOOKUP($A176,'[2]App C Assum'!$A$4:$I$917,5,FALSE)</f>
        <v>9603</v>
      </c>
      <c r="X176" s="2">
        <f>VLOOKUP($A176,'[2]App C Assum'!$A$4:$I$917,6,FALSE)</f>
        <v>7867</v>
      </c>
      <c r="Y176" s="2">
        <f>VLOOKUP($A176,'[2]App C Assum'!$A$4:$I$917,7,FALSE)</f>
        <v>6387</v>
      </c>
      <c r="Z176" s="2">
        <f>VLOOKUP($A176,'[2]App C Assum'!$A$4:$I$917,8,FALSE)</f>
        <v>0</v>
      </c>
      <c r="AA176" s="2">
        <f>VLOOKUP($A176,'[2]App C Assum'!$A$4:$I$917,9,FALSE)</f>
        <v>0</v>
      </c>
      <c r="AB176" s="2"/>
      <c r="AC176" s="2">
        <f>VLOOKUP($A176,'[2]App C Share Outflows'!$A$4:$I$917,5,FALSE)</f>
        <v>16151</v>
      </c>
      <c r="AD176" s="2">
        <f>VLOOKUP($A176,'[2]App C Share Outflows'!$A$4:$I$917,6,FALSE)</f>
        <v>14969</v>
      </c>
      <c r="AE176" s="2">
        <f>VLOOKUP($A176,'[2]App C Share Outflows'!$A$4:$I$917,7,FALSE)</f>
        <v>11323</v>
      </c>
      <c r="AF176" s="2">
        <f>VLOOKUP($A176,'[2]App C Share Outflows'!$A$4:$I$917,8,FALSE)</f>
        <v>5973</v>
      </c>
      <c r="AG176" s="2">
        <f>VLOOKUP($A176,'[2]App C Share Outflows'!$A$4:$I$917,9,FALSE)</f>
        <v>0</v>
      </c>
      <c r="AH176" s="2"/>
      <c r="AI176" s="2">
        <f>VLOOKUP($A176,'[2]App C Share Inflows'!$A$4:$I$917,5,FALSE)</f>
        <v>0</v>
      </c>
      <c r="AJ176" s="2">
        <f>VLOOKUP($A176,'[2]App C Share Inflows'!$A$4:$I$917,6,FALSE)</f>
        <v>0</v>
      </c>
      <c r="AK176" s="2">
        <f>VLOOKUP($A176,'[2]App C Share Inflows'!$A$4:$I$917,7,FALSE)</f>
        <v>0</v>
      </c>
      <c r="AL176" s="2">
        <f>VLOOKUP($A176,'[2]App C Share Inflows'!$A$4:$I$917,8,FALSE)</f>
        <v>0</v>
      </c>
      <c r="AM176" s="2">
        <f>VLOOKUP($A176,'[2]App C Share Inflows'!$A$4:$I$917,6,FALSE)</f>
        <v>0</v>
      </c>
    </row>
    <row r="177" spans="1:39">
      <c r="A177" s="351">
        <v>91327</v>
      </c>
      <c r="B177" s="344" t="s">
        <v>3505</v>
      </c>
      <c r="C177" s="235" t="e">
        <f>VLOOKUP(A177,#REF!,10,FALSE)</f>
        <v>#REF!</v>
      </c>
      <c r="E177" s="2">
        <f>VLOOKUP($A177,'[2]App C Total'!$A$4:$I$917,5,FALSE)</f>
        <v>5795</v>
      </c>
      <c r="F177" s="2">
        <f>VLOOKUP($A177,'[2]App C Total'!$A$4:$I$917,6,FALSE)</f>
        <v>2263</v>
      </c>
      <c r="G177" s="2">
        <f>VLOOKUP($A177,'[2]App C Total'!$A$4:$I$917,7,FALSE)</f>
        <v>3707</v>
      </c>
      <c r="H177" s="2">
        <f>VLOOKUP($A177,'[2]App C Total'!$A$4:$I$917,8,FALSE)</f>
        <v>1518</v>
      </c>
      <c r="I177" s="2">
        <f>VLOOKUP($A177,'[2]App C Total'!$A$4:$I$917,9,FALSE)</f>
        <v>0</v>
      </c>
      <c r="J177" s="2"/>
      <c r="K177" s="2">
        <f>VLOOKUP($A177,'[2]App C Exp'!$A$4:$I$917,5,FALSE)</f>
        <v>1633</v>
      </c>
      <c r="L177" s="2">
        <f>VLOOKUP($A177,'[2]App C Exp'!$A$4:$I$917,6,FALSE)</f>
        <v>1536</v>
      </c>
      <c r="M177" s="2">
        <f>VLOOKUP($A177,'[2]App C Exp'!$A$4:$I$917,7,FALSE)</f>
        <v>1377</v>
      </c>
      <c r="N177" s="2">
        <f>VLOOKUP($A177,'[2]App C Exp'!$A$4:$I$917,8,FALSE)</f>
        <v>551</v>
      </c>
      <c r="O177" s="2">
        <f>VLOOKUP($A177,'[2]App C Exp'!$A$4:$I$917,9,FALSE)</f>
        <v>0</v>
      </c>
      <c r="P177" s="2"/>
      <c r="Q177" s="2">
        <f>VLOOKUP($A177,'[2]App C Inv'!$A$4:$I$917,5,FALSE)</f>
        <v>1734</v>
      </c>
      <c r="R177" s="2">
        <f>VLOOKUP($A177,'[2]App C Inv'!$A$4:$I$917,6,FALSE)</f>
        <v>-1491</v>
      </c>
      <c r="S177" s="2">
        <f>VLOOKUP($A177,'[2]App C Inv'!$A$4:$I$917,7,FALSE)</f>
        <v>210</v>
      </c>
      <c r="T177" s="2">
        <f>VLOOKUP($A177,'[2]App C Inv'!$A$4:$I$917,8,FALSE)</f>
        <v>274</v>
      </c>
      <c r="U177" s="2">
        <f>VLOOKUP($A177,'[2]App C Inv'!$A$4:$I$917,9,FALSE)</f>
        <v>0</v>
      </c>
      <c r="V177" s="2"/>
      <c r="W177" s="2">
        <f>VLOOKUP($A177,'[2]App C Assum'!$A$4:$I$917,5,FALSE)</f>
        <v>1953</v>
      </c>
      <c r="X177" s="2">
        <f>VLOOKUP($A177,'[2]App C Assum'!$A$4:$I$917,6,FALSE)</f>
        <v>1600</v>
      </c>
      <c r="Y177" s="2">
        <f>VLOOKUP($A177,'[2]App C Assum'!$A$4:$I$917,7,FALSE)</f>
        <v>1299</v>
      </c>
      <c r="Z177" s="2">
        <f>VLOOKUP($A177,'[2]App C Assum'!$A$4:$I$917,8,FALSE)</f>
        <v>0</v>
      </c>
      <c r="AA177" s="2">
        <f>VLOOKUP($A177,'[2]App C Assum'!$A$4:$I$917,9,FALSE)</f>
        <v>0</v>
      </c>
      <c r="AB177" s="2"/>
      <c r="AC177" s="2">
        <f>VLOOKUP($A177,'[2]App C Share Outflows'!$A$4:$I$917,5,FALSE)</f>
        <v>823</v>
      </c>
      <c r="AD177" s="2">
        <f>VLOOKUP($A177,'[2]App C Share Outflows'!$A$4:$I$917,6,FALSE)</f>
        <v>823</v>
      </c>
      <c r="AE177" s="2">
        <f>VLOOKUP($A177,'[2]App C Share Outflows'!$A$4:$I$917,7,FALSE)</f>
        <v>821</v>
      </c>
      <c r="AF177" s="2">
        <f>VLOOKUP($A177,'[2]App C Share Outflows'!$A$4:$I$917,8,FALSE)</f>
        <v>693</v>
      </c>
      <c r="AG177" s="2">
        <f>VLOOKUP($A177,'[2]App C Share Outflows'!$A$4:$I$917,9,FALSE)</f>
        <v>0</v>
      </c>
      <c r="AH177" s="2"/>
      <c r="AI177" s="2">
        <f>VLOOKUP($A177,'[2]App C Share Inflows'!$A$4:$I$917,5,FALSE)</f>
        <v>-348</v>
      </c>
      <c r="AJ177" s="2">
        <f>VLOOKUP($A177,'[2]App C Share Inflows'!$A$4:$I$917,6,FALSE)</f>
        <v>-205</v>
      </c>
      <c r="AK177" s="2">
        <f>VLOOKUP($A177,'[2]App C Share Inflows'!$A$4:$I$917,7,FALSE)</f>
        <v>0</v>
      </c>
      <c r="AL177" s="2">
        <f>VLOOKUP($A177,'[2]App C Share Inflows'!$A$4:$I$917,8,FALSE)</f>
        <v>0</v>
      </c>
      <c r="AM177" s="2">
        <f>VLOOKUP($A177,'[2]App C Share Inflows'!$A$4:$I$917,6,FALSE)</f>
        <v>-205</v>
      </c>
    </row>
    <row r="178" spans="1:39">
      <c r="A178" s="351">
        <v>91331</v>
      </c>
      <c r="B178" s="344" t="s">
        <v>870</v>
      </c>
      <c r="C178" s="235" t="e">
        <f>VLOOKUP(A178,#REF!,10,FALSE)</f>
        <v>#REF!</v>
      </c>
      <c r="E178" s="2">
        <f>VLOOKUP($A178,'[2]App C Total'!$A$4:$I$917,5,FALSE)</f>
        <v>1296081</v>
      </c>
      <c r="F178" s="2">
        <f>VLOOKUP($A178,'[2]App C Total'!$A$4:$I$917,6,FALSE)</f>
        <v>353921</v>
      </c>
      <c r="G178" s="2">
        <f>VLOOKUP($A178,'[2]App C Total'!$A$4:$I$917,7,FALSE)</f>
        <v>699396</v>
      </c>
      <c r="H178" s="2">
        <f>VLOOKUP($A178,'[2]App C Total'!$A$4:$I$917,8,FALSE)</f>
        <v>181132</v>
      </c>
      <c r="I178" s="2">
        <f>VLOOKUP($A178,'[2]App C Total'!$A$4:$I$917,9,FALSE)</f>
        <v>0</v>
      </c>
      <c r="J178" s="2"/>
      <c r="K178" s="2">
        <f>VLOOKUP($A178,'[2]App C Exp'!$A$4:$I$917,5,FALSE)</f>
        <v>438725</v>
      </c>
      <c r="L178" s="2">
        <f>VLOOKUP($A178,'[2]App C Exp'!$A$4:$I$917,6,FALSE)</f>
        <v>412698</v>
      </c>
      <c r="M178" s="2">
        <f>VLOOKUP($A178,'[2]App C Exp'!$A$4:$I$917,7,FALSE)</f>
        <v>369897</v>
      </c>
      <c r="N178" s="2">
        <f>VLOOKUP($A178,'[2]App C Exp'!$A$4:$I$917,8,FALSE)</f>
        <v>148102</v>
      </c>
      <c r="O178" s="2">
        <f>VLOOKUP($A178,'[2]App C Exp'!$A$4:$I$917,9,FALSE)</f>
        <v>0</v>
      </c>
      <c r="P178" s="2"/>
      <c r="Q178" s="2">
        <f>VLOOKUP($A178,'[2]App C Inv'!$A$4:$I$917,5,FALSE)</f>
        <v>465767</v>
      </c>
      <c r="R178" s="2">
        <f>VLOOKUP($A178,'[2]App C Inv'!$A$4:$I$917,6,FALSE)</f>
        <v>-400647</v>
      </c>
      <c r="S178" s="2">
        <f>VLOOKUP($A178,'[2]App C Inv'!$A$4:$I$917,7,FALSE)</f>
        <v>56466</v>
      </c>
      <c r="T178" s="2">
        <f>VLOOKUP($A178,'[2]App C Inv'!$A$4:$I$917,8,FALSE)</f>
        <v>73490</v>
      </c>
      <c r="U178" s="2">
        <f>VLOOKUP($A178,'[2]App C Inv'!$A$4:$I$917,9,FALSE)</f>
        <v>0</v>
      </c>
      <c r="V178" s="2"/>
      <c r="W178" s="2">
        <f>VLOOKUP($A178,'[2]App C Assum'!$A$4:$I$917,5,FALSE)</f>
        <v>524694</v>
      </c>
      <c r="X178" s="2">
        <f>VLOOKUP($A178,'[2]App C Assum'!$A$4:$I$917,6,FALSE)</f>
        <v>429848</v>
      </c>
      <c r="Y178" s="2">
        <f>VLOOKUP($A178,'[2]App C Assum'!$A$4:$I$917,7,FALSE)</f>
        <v>348963</v>
      </c>
      <c r="Z178" s="2">
        <f>VLOOKUP($A178,'[2]App C Assum'!$A$4:$I$917,8,FALSE)</f>
        <v>0</v>
      </c>
      <c r="AA178" s="2">
        <f>VLOOKUP($A178,'[2]App C Assum'!$A$4:$I$917,9,FALSE)</f>
        <v>0</v>
      </c>
      <c r="AB178" s="2"/>
      <c r="AC178" s="2">
        <f>VLOOKUP($A178,'[2]App C Share Outflows'!$A$4:$I$917,5,FALSE)</f>
        <v>0</v>
      </c>
      <c r="AD178" s="2">
        <f>VLOOKUP($A178,'[2]App C Share Outflows'!$A$4:$I$917,6,FALSE)</f>
        <v>0</v>
      </c>
      <c r="AE178" s="2">
        <f>VLOOKUP($A178,'[2]App C Share Outflows'!$A$4:$I$917,7,FALSE)</f>
        <v>0</v>
      </c>
      <c r="AF178" s="2">
        <f>VLOOKUP($A178,'[2]App C Share Outflows'!$A$4:$I$917,8,FALSE)</f>
        <v>0</v>
      </c>
      <c r="AG178" s="2">
        <f>VLOOKUP($A178,'[2]App C Share Outflows'!$A$4:$I$917,9,FALSE)</f>
        <v>0</v>
      </c>
      <c r="AH178" s="2"/>
      <c r="AI178" s="2">
        <f>VLOOKUP($A178,'[2]App C Share Inflows'!$A$4:$I$917,5,FALSE)</f>
        <v>-133105</v>
      </c>
      <c r="AJ178" s="2">
        <f>VLOOKUP($A178,'[2]App C Share Inflows'!$A$4:$I$917,6,FALSE)</f>
        <v>-87978</v>
      </c>
      <c r="AK178" s="2">
        <f>VLOOKUP($A178,'[2]App C Share Inflows'!$A$4:$I$917,7,FALSE)</f>
        <v>-75930</v>
      </c>
      <c r="AL178" s="2">
        <f>VLOOKUP($A178,'[2]App C Share Inflows'!$A$4:$I$917,8,FALSE)</f>
        <v>-40460</v>
      </c>
      <c r="AM178" s="2">
        <f>VLOOKUP($A178,'[2]App C Share Inflows'!$A$4:$I$917,6,FALSE)</f>
        <v>-87978</v>
      </c>
    </row>
    <row r="179" spans="1:39">
      <c r="A179" s="351">
        <v>91341</v>
      </c>
      <c r="B179" s="344" t="s">
        <v>871</v>
      </c>
      <c r="C179" s="235" t="e">
        <f>VLOOKUP(A179,#REF!,10,FALSE)</f>
        <v>#REF!</v>
      </c>
      <c r="E179" s="2">
        <f>VLOOKUP($A179,'[2]App C Total'!$A$4:$I$917,5,FALSE)</f>
        <v>21938</v>
      </c>
      <c r="F179" s="2">
        <f>VLOOKUP($A179,'[2]App C Total'!$A$4:$I$917,6,FALSE)</f>
        <v>9690</v>
      </c>
      <c r="G179" s="2">
        <f>VLOOKUP($A179,'[2]App C Total'!$A$4:$I$917,7,FALSE)</f>
        <v>12685</v>
      </c>
      <c r="H179" s="2">
        <f>VLOOKUP($A179,'[2]App C Total'!$A$4:$I$917,8,FALSE)</f>
        <v>5146</v>
      </c>
      <c r="I179" s="2">
        <f>VLOOKUP($A179,'[2]App C Total'!$A$4:$I$917,9,FALSE)</f>
        <v>0</v>
      </c>
      <c r="J179" s="2"/>
      <c r="K179" s="2">
        <f>VLOOKUP($A179,'[2]App C Exp'!$A$4:$I$917,5,FALSE)</f>
        <v>5678</v>
      </c>
      <c r="L179" s="2">
        <f>VLOOKUP($A179,'[2]App C Exp'!$A$4:$I$917,6,FALSE)</f>
        <v>5341</v>
      </c>
      <c r="M179" s="2">
        <f>VLOOKUP($A179,'[2]App C Exp'!$A$4:$I$917,7,FALSE)</f>
        <v>4787</v>
      </c>
      <c r="N179" s="2">
        <f>VLOOKUP($A179,'[2]App C Exp'!$A$4:$I$917,8,FALSE)</f>
        <v>1917</v>
      </c>
      <c r="O179" s="2">
        <f>VLOOKUP($A179,'[2]App C Exp'!$A$4:$I$917,9,FALSE)</f>
        <v>0</v>
      </c>
      <c r="P179" s="2"/>
      <c r="Q179" s="2">
        <f>VLOOKUP($A179,'[2]App C Inv'!$A$4:$I$917,5,FALSE)</f>
        <v>6028</v>
      </c>
      <c r="R179" s="2">
        <f>VLOOKUP($A179,'[2]App C Inv'!$A$4:$I$917,6,FALSE)</f>
        <v>-5185</v>
      </c>
      <c r="S179" s="2">
        <f>VLOOKUP($A179,'[2]App C Inv'!$A$4:$I$917,7,FALSE)</f>
        <v>731</v>
      </c>
      <c r="T179" s="2">
        <f>VLOOKUP($A179,'[2]App C Inv'!$A$4:$I$917,8,FALSE)</f>
        <v>951</v>
      </c>
      <c r="U179" s="2">
        <f>VLOOKUP($A179,'[2]App C Inv'!$A$4:$I$917,9,FALSE)</f>
        <v>0</v>
      </c>
      <c r="V179" s="2"/>
      <c r="W179" s="2">
        <f>VLOOKUP($A179,'[2]App C Assum'!$A$4:$I$917,5,FALSE)</f>
        <v>6790</v>
      </c>
      <c r="X179" s="2">
        <f>VLOOKUP($A179,'[2]App C Assum'!$A$4:$I$917,6,FALSE)</f>
        <v>5563</v>
      </c>
      <c r="Y179" s="2">
        <f>VLOOKUP($A179,'[2]App C Assum'!$A$4:$I$917,7,FALSE)</f>
        <v>4516</v>
      </c>
      <c r="Z179" s="2">
        <f>VLOOKUP($A179,'[2]App C Assum'!$A$4:$I$917,8,FALSE)</f>
        <v>0</v>
      </c>
      <c r="AA179" s="2">
        <f>VLOOKUP($A179,'[2]App C Assum'!$A$4:$I$917,9,FALSE)</f>
        <v>0</v>
      </c>
      <c r="AB179" s="2"/>
      <c r="AC179" s="2">
        <f>VLOOKUP($A179,'[2]App C Share Outflows'!$A$4:$I$917,5,FALSE)</f>
        <v>3971</v>
      </c>
      <c r="AD179" s="2">
        <f>VLOOKUP($A179,'[2]App C Share Outflows'!$A$4:$I$917,6,FALSE)</f>
        <v>3971</v>
      </c>
      <c r="AE179" s="2">
        <f>VLOOKUP($A179,'[2]App C Share Outflows'!$A$4:$I$917,7,FALSE)</f>
        <v>2651</v>
      </c>
      <c r="AF179" s="2">
        <f>VLOOKUP($A179,'[2]App C Share Outflows'!$A$4:$I$917,8,FALSE)</f>
        <v>2278</v>
      </c>
      <c r="AG179" s="2">
        <f>VLOOKUP($A179,'[2]App C Share Outflows'!$A$4:$I$917,9,FALSE)</f>
        <v>0</v>
      </c>
      <c r="AH179" s="2"/>
      <c r="AI179" s="2">
        <f>VLOOKUP($A179,'[2]App C Share Inflows'!$A$4:$I$917,5,FALSE)</f>
        <v>-529</v>
      </c>
      <c r="AJ179" s="2">
        <f>VLOOKUP($A179,'[2]App C Share Inflows'!$A$4:$I$917,6,FALSE)</f>
        <v>0</v>
      </c>
      <c r="AK179" s="2">
        <f>VLOOKUP($A179,'[2]App C Share Inflows'!$A$4:$I$917,7,FALSE)</f>
        <v>0</v>
      </c>
      <c r="AL179" s="2">
        <f>VLOOKUP($A179,'[2]App C Share Inflows'!$A$4:$I$917,8,FALSE)</f>
        <v>0</v>
      </c>
      <c r="AM179" s="2">
        <f>VLOOKUP($A179,'[2]App C Share Inflows'!$A$4:$I$917,6,FALSE)</f>
        <v>0</v>
      </c>
    </row>
    <row r="180" spans="1:39">
      <c r="A180" s="351">
        <v>91401</v>
      </c>
      <c r="B180" s="344" t="s">
        <v>872</v>
      </c>
      <c r="C180" s="235" t="e">
        <f>VLOOKUP(A180,#REF!,10,FALSE)</f>
        <v>#REF!</v>
      </c>
      <c r="E180" s="2">
        <f>VLOOKUP($A180,'[2]App C Total'!$A$4:$I$917,5,FALSE)</f>
        <v>1574937</v>
      </c>
      <c r="F180" s="2">
        <f>VLOOKUP($A180,'[2]App C Total'!$A$4:$I$917,6,FALSE)</f>
        <v>434103</v>
      </c>
      <c r="G180" s="2">
        <f>VLOOKUP($A180,'[2]App C Total'!$A$4:$I$917,7,FALSE)</f>
        <v>853863</v>
      </c>
      <c r="H180" s="2">
        <f>VLOOKUP($A180,'[2]App C Total'!$A$4:$I$917,8,FALSE)</f>
        <v>233817</v>
      </c>
      <c r="I180" s="2">
        <f>VLOOKUP($A180,'[2]App C Total'!$A$4:$I$917,9,FALSE)</f>
        <v>0</v>
      </c>
      <c r="J180" s="2"/>
      <c r="K180" s="2">
        <f>VLOOKUP($A180,'[2]App C Exp'!$A$4:$I$917,5,FALSE)</f>
        <v>508085</v>
      </c>
      <c r="L180" s="2">
        <f>VLOOKUP($A180,'[2]App C Exp'!$A$4:$I$917,6,FALSE)</f>
        <v>477944</v>
      </c>
      <c r="M180" s="2">
        <f>VLOOKUP($A180,'[2]App C Exp'!$A$4:$I$917,7,FALSE)</f>
        <v>428376</v>
      </c>
      <c r="N180" s="2">
        <f>VLOOKUP($A180,'[2]App C Exp'!$A$4:$I$917,8,FALSE)</f>
        <v>171517</v>
      </c>
      <c r="O180" s="2">
        <f>VLOOKUP($A180,'[2]App C Exp'!$A$4:$I$917,9,FALSE)</f>
        <v>0</v>
      </c>
      <c r="P180" s="2"/>
      <c r="Q180" s="2">
        <f>VLOOKUP($A180,'[2]App C Inv'!$A$4:$I$917,5,FALSE)</f>
        <v>539403</v>
      </c>
      <c r="R180" s="2">
        <f>VLOOKUP($A180,'[2]App C Inv'!$A$4:$I$917,6,FALSE)</f>
        <v>-463988</v>
      </c>
      <c r="S180" s="2">
        <f>VLOOKUP($A180,'[2]App C Inv'!$A$4:$I$917,7,FALSE)</f>
        <v>65393</v>
      </c>
      <c r="T180" s="2">
        <f>VLOOKUP($A180,'[2]App C Inv'!$A$4:$I$917,8,FALSE)</f>
        <v>85109</v>
      </c>
      <c r="U180" s="2">
        <f>VLOOKUP($A180,'[2]App C Inv'!$A$4:$I$917,9,FALSE)</f>
        <v>0</v>
      </c>
      <c r="V180" s="2"/>
      <c r="W180" s="2">
        <f>VLOOKUP($A180,'[2]App C Assum'!$A$4:$I$917,5,FALSE)</f>
        <v>607646</v>
      </c>
      <c r="X180" s="2">
        <f>VLOOKUP($A180,'[2]App C Assum'!$A$4:$I$917,6,FALSE)</f>
        <v>497805</v>
      </c>
      <c r="Y180" s="2">
        <f>VLOOKUP($A180,'[2]App C Assum'!$A$4:$I$917,7,FALSE)</f>
        <v>404133</v>
      </c>
      <c r="Z180" s="2">
        <f>VLOOKUP($A180,'[2]App C Assum'!$A$4:$I$917,8,FALSE)</f>
        <v>0</v>
      </c>
      <c r="AA180" s="2">
        <f>VLOOKUP($A180,'[2]App C Assum'!$A$4:$I$917,9,FALSE)</f>
        <v>0</v>
      </c>
      <c r="AB180" s="2"/>
      <c r="AC180" s="2">
        <f>VLOOKUP($A180,'[2]App C Share Outflows'!$A$4:$I$917,5,FALSE)</f>
        <v>0</v>
      </c>
      <c r="AD180" s="2">
        <f>VLOOKUP($A180,'[2]App C Share Outflows'!$A$4:$I$917,6,FALSE)</f>
        <v>0</v>
      </c>
      <c r="AE180" s="2">
        <f>VLOOKUP($A180,'[2]App C Share Outflows'!$A$4:$I$917,7,FALSE)</f>
        <v>0</v>
      </c>
      <c r="AF180" s="2">
        <f>VLOOKUP($A180,'[2]App C Share Outflows'!$A$4:$I$917,8,FALSE)</f>
        <v>0</v>
      </c>
      <c r="AG180" s="2">
        <f>VLOOKUP($A180,'[2]App C Share Outflows'!$A$4:$I$917,9,FALSE)</f>
        <v>0</v>
      </c>
      <c r="AH180" s="2"/>
      <c r="AI180" s="2">
        <f>VLOOKUP($A180,'[2]App C Share Inflows'!$A$4:$I$917,5,FALSE)</f>
        <v>-80197</v>
      </c>
      <c r="AJ180" s="2">
        <f>VLOOKUP($A180,'[2]App C Share Inflows'!$A$4:$I$917,6,FALSE)</f>
        <v>-77658</v>
      </c>
      <c r="AK180" s="2">
        <f>VLOOKUP($A180,'[2]App C Share Inflows'!$A$4:$I$917,7,FALSE)</f>
        <v>-44039</v>
      </c>
      <c r="AL180" s="2">
        <f>VLOOKUP($A180,'[2]App C Share Inflows'!$A$4:$I$917,8,FALSE)</f>
        <v>-22809</v>
      </c>
      <c r="AM180" s="2">
        <f>VLOOKUP($A180,'[2]App C Share Inflows'!$A$4:$I$917,6,FALSE)</f>
        <v>-77658</v>
      </c>
    </row>
    <row r="181" spans="1:39">
      <c r="A181" s="351">
        <v>91411</v>
      </c>
      <c r="B181" s="344" t="s">
        <v>873</v>
      </c>
      <c r="C181" s="235" t="e">
        <f>VLOOKUP(A181,#REF!,10,FALSE)</f>
        <v>#REF!</v>
      </c>
      <c r="E181" s="2">
        <f>VLOOKUP($A181,'[2]App C Total'!$A$4:$I$917,5,FALSE)</f>
        <v>201521</v>
      </c>
      <c r="F181" s="2">
        <f>VLOOKUP($A181,'[2]App C Total'!$A$4:$I$917,6,FALSE)</f>
        <v>63550</v>
      </c>
      <c r="G181" s="2">
        <f>VLOOKUP($A181,'[2]App C Total'!$A$4:$I$917,7,FALSE)</f>
        <v>105634</v>
      </c>
      <c r="H181" s="2">
        <f>VLOOKUP($A181,'[2]App C Total'!$A$4:$I$917,8,FALSE)</f>
        <v>30337</v>
      </c>
      <c r="I181" s="2">
        <f>VLOOKUP($A181,'[2]App C Total'!$A$4:$I$917,9,FALSE)</f>
        <v>0</v>
      </c>
      <c r="J181" s="2"/>
      <c r="K181" s="2">
        <f>VLOOKUP($A181,'[2]App C Exp'!$A$4:$I$917,5,FALSE)</f>
        <v>59383</v>
      </c>
      <c r="L181" s="2">
        <f>VLOOKUP($A181,'[2]App C Exp'!$A$4:$I$917,6,FALSE)</f>
        <v>55861</v>
      </c>
      <c r="M181" s="2">
        <f>VLOOKUP($A181,'[2]App C Exp'!$A$4:$I$917,7,FALSE)</f>
        <v>50067</v>
      </c>
      <c r="N181" s="2">
        <f>VLOOKUP($A181,'[2]App C Exp'!$A$4:$I$917,8,FALSE)</f>
        <v>20046</v>
      </c>
      <c r="O181" s="2">
        <f>VLOOKUP($A181,'[2]App C Exp'!$A$4:$I$917,9,FALSE)</f>
        <v>0</v>
      </c>
      <c r="P181" s="2"/>
      <c r="Q181" s="2">
        <f>VLOOKUP($A181,'[2]App C Inv'!$A$4:$I$917,5,FALSE)</f>
        <v>63044</v>
      </c>
      <c r="R181" s="2">
        <f>VLOOKUP($A181,'[2]App C Inv'!$A$4:$I$917,6,FALSE)</f>
        <v>-54230</v>
      </c>
      <c r="S181" s="2">
        <f>VLOOKUP($A181,'[2]App C Inv'!$A$4:$I$917,7,FALSE)</f>
        <v>7643</v>
      </c>
      <c r="T181" s="2">
        <f>VLOOKUP($A181,'[2]App C Inv'!$A$4:$I$917,8,FALSE)</f>
        <v>9947</v>
      </c>
      <c r="U181" s="2">
        <f>VLOOKUP($A181,'[2]App C Inv'!$A$4:$I$917,9,FALSE)</f>
        <v>0</v>
      </c>
      <c r="V181" s="2"/>
      <c r="W181" s="2">
        <f>VLOOKUP($A181,'[2]App C Assum'!$A$4:$I$917,5,FALSE)</f>
        <v>71020</v>
      </c>
      <c r="X181" s="2">
        <f>VLOOKUP($A181,'[2]App C Assum'!$A$4:$I$917,6,FALSE)</f>
        <v>58182</v>
      </c>
      <c r="Y181" s="2">
        <f>VLOOKUP($A181,'[2]App C Assum'!$A$4:$I$917,7,FALSE)</f>
        <v>47234</v>
      </c>
      <c r="Z181" s="2">
        <f>VLOOKUP($A181,'[2]App C Assum'!$A$4:$I$917,8,FALSE)</f>
        <v>0</v>
      </c>
      <c r="AA181" s="2">
        <f>VLOOKUP($A181,'[2]App C Assum'!$A$4:$I$917,9,FALSE)</f>
        <v>0</v>
      </c>
      <c r="AB181" s="2"/>
      <c r="AC181" s="2">
        <f>VLOOKUP($A181,'[2]App C Share Outflows'!$A$4:$I$917,5,FALSE)</f>
        <v>8074</v>
      </c>
      <c r="AD181" s="2">
        <f>VLOOKUP($A181,'[2]App C Share Outflows'!$A$4:$I$917,6,FALSE)</f>
        <v>3737</v>
      </c>
      <c r="AE181" s="2">
        <f>VLOOKUP($A181,'[2]App C Share Outflows'!$A$4:$I$917,7,FALSE)</f>
        <v>690</v>
      </c>
      <c r="AF181" s="2">
        <f>VLOOKUP($A181,'[2]App C Share Outflows'!$A$4:$I$917,8,FALSE)</f>
        <v>344</v>
      </c>
      <c r="AG181" s="2">
        <f>VLOOKUP($A181,'[2]App C Share Outflows'!$A$4:$I$917,9,FALSE)</f>
        <v>0</v>
      </c>
      <c r="AH181" s="2"/>
      <c r="AI181" s="2">
        <f>VLOOKUP($A181,'[2]App C Share Inflows'!$A$4:$I$917,5,FALSE)</f>
        <v>0</v>
      </c>
      <c r="AJ181" s="2">
        <f>VLOOKUP($A181,'[2]App C Share Inflows'!$A$4:$I$917,6,FALSE)</f>
        <v>0</v>
      </c>
      <c r="AK181" s="2">
        <f>VLOOKUP($A181,'[2]App C Share Inflows'!$A$4:$I$917,7,FALSE)</f>
        <v>0</v>
      </c>
      <c r="AL181" s="2">
        <f>VLOOKUP($A181,'[2]App C Share Inflows'!$A$4:$I$917,8,FALSE)</f>
        <v>0</v>
      </c>
      <c r="AM181" s="2">
        <f>VLOOKUP($A181,'[2]App C Share Inflows'!$A$4:$I$917,6,FALSE)</f>
        <v>0</v>
      </c>
    </row>
    <row r="182" spans="1:39">
      <c r="A182" s="351">
        <v>91417</v>
      </c>
      <c r="B182" s="344" t="s">
        <v>874</v>
      </c>
      <c r="C182" s="235" t="e">
        <f>VLOOKUP(A182,#REF!,10,FALSE)</f>
        <v>#REF!</v>
      </c>
      <c r="E182" s="2">
        <f>VLOOKUP($A182,'[2]App C Total'!$A$4:$I$917,5,FALSE)</f>
        <v>4064</v>
      </c>
      <c r="F182" s="2">
        <f>VLOOKUP($A182,'[2]App C Total'!$A$4:$I$917,6,FALSE)</f>
        <v>1536</v>
      </c>
      <c r="G182" s="2">
        <f>VLOOKUP($A182,'[2]App C Total'!$A$4:$I$917,7,FALSE)</f>
        <v>2262</v>
      </c>
      <c r="H182" s="2">
        <f>VLOOKUP($A182,'[2]App C Total'!$A$4:$I$917,8,FALSE)</f>
        <v>761</v>
      </c>
      <c r="I182" s="2">
        <f>VLOOKUP($A182,'[2]App C Total'!$A$4:$I$917,9,FALSE)</f>
        <v>0</v>
      </c>
      <c r="J182" s="2"/>
      <c r="K182" s="2">
        <f>VLOOKUP($A182,'[2]App C Exp'!$A$4:$I$917,5,FALSE)</f>
        <v>1094</v>
      </c>
      <c r="L182" s="2">
        <f>VLOOKUP($A182,'[2]App C Exp'!$A$4:$I$917,6,FALSE)</f>
        <v>1029</v>
      </c>
      <c r="M182" s="2">
        <f>VLOOKUP($A182,'[2]App C Exp'!$A$4:$I$917,7,FALSE)</f>
        <v>922</v>
      </c>
      <c r="N182" s="2">
        <f>VLOOKUP($A182,'[2]App C Exp'!$A$4:$I$917,8,FALSE)</f>
        <v>369</v>
      </c>
      <c r="O182" s="2">
        <f>VLOOKUP($A182,'[2]App C Exp'!$A$4:$I$917,9,FALSE)</f>
        <v>0</v>
      </c>
      <c r="P182" s="2"/>
      <c r="Q182" s="2">
        <f>VLOOKUP($A182,'[2]App C Inv'!$A$4:$I$917,5,FALSE)</f>
        <v>1161</v>
      </c>
      <c r="R182" s="2">
        <f>VLOOKUP($A182,'[2]App C Inv'!$A$4:$I$917,6,FALSE)</f>
        <v>-999</v>
      </c>
      <c r="S182" s="2">
        <f>VLOOKUP($A182,'[2]App C Inv'!$A$4:$I$917,7,FALSE)</f>
        <v>141</v>
      </c>
      <c r="T182" s="2">
        <f>VLOOKUP($A182,'[2]App C Inv'!$A$4:$I$917,8,FALSE)</f>
        <v>183</v>
      </c>
      <c r="U182" s="2">
        <f>VLOOKUP($A182,'[2]App C Inv'!$A$4:$I$917,9,FALSE)</f>
        <v>0</v>
      </c>
      <c r="V182" s="2"/>
      <c r="W182" s="2">
        <f>VLOOKUP($A182,'[2]App C Assum'!$A$4:$I$917,5,FALSE)</f>
        <v>1308</v>
      </c>
      <c r="X182" s="2">
        <f>VLOOKUP($A182,'[2]App C Assum'!$A$4:$I$917,6,FALSE)</f>
        <v>1071</v>
      </c>
      <c r="Y182" s="2">
        <f>VLOOKUP($A182,'[2]App C Assum'!$A$4:$I$917,7,FALSE)</f>
        <v>870</v>
      </c>
      <c r="Z182" s="2">
        <f>VLOOKUP($A182,'[2]App C Assum'!$A$4:$I$917,8,FALSE)</f>
        <v>0</v>
      </c>
      <c r="AA182" s="2">
        <f>VLOOKUP($A182,'[2]App C Assum'!$A$4:$I$917,9,FALSE)</f>
        <v>0</v>
      </c>
      <c r="AB182" s="2"/>
      <c r="AC182" s="2">
        <f>VLOOKUP($A182,'[2]App C Share Outflows'!$A$4:$I$917,5,FALSE)</f>
        <v>501</v>
      </c>
      <c r="AD182" s="2">
        <f>VLOOKUP($A182,'[2]App C Share Outflows'!$A$4:$I$917,6,FALSE)</f>
        <v>435</v>
      </c>
      <c r="AE182" s="2">
        <f>VLOOKUP($A182,'[2]App C Share Outflows'!$A$4:$I$917,7,FALSE)</f>
        <v>329</v>
      </c>
      <c r="AF182" s="2">
        <f>VLOOKUP($A182,'[2]App C Share Outflows'!$A$4:$I$917,8,FALSE)</f>
        <v>209</v>
      </c>
      <c r="AG182" s="2">
        <f>VLOOKUP($A182,'[2]App C Share Outflows'!$A$4:$I$917,9,FALSE)</f>
        <v>0</v>
      </c>
      <c r="AH182" s="2"/>
      <c r="AI182" s="2">
        <f>VLOOKUP($A182,'[2]App C Share Inflows'!$A$4:$I$917,5,FALSE)</f>
        <v>0</v>
      </c>
      <c r="AJ182" s="2">
        <f>VLOOKUP($A182,'[2]App C Share Inflows'!$A$4:$I$917,6,FALSE)</f>
        <v>0</v>
      </c>
      <c r="AK182" s="2">
        <f>VLOOKUP($A182,'[2]App C Share Inflows'!$A$4:$I$917,7,FALSE)</f>
        <v>0</v>
      </c>
      <c r="AL182" s="2">
        <f>VLOOKUP($A182,'[2]App C Share Inflows'!$A$4:$I$917,8,FALSE)</f>
        <v>0</v>
      </c>
      <c r="AM182" s="2">
        <f>VLOOKUP($A182,'[2]App C Share Inflows'!$A$4:$I$917,6,FALSE)</f>
        <v>0</v>
      </c>
    </row>
    <row r="183" spans="1:39">
      <c r="A183" s="351">
        <v>91421</v>
      </c>
      <c r="B183" s="344" t="s">
        <v>875</v>
      </c>
      <c r="C183" s="235" t="e">
        <f>VLOOKUP(A183,#REF!,10,FALSE)</f>
        <v>#REF!</v>
      </c>
      <c r="E183" s="2">
        <f>VLOOKUP($A183,'[2]App C Total'!$A$4:$I$917,5,FALSE)</f>
        <v>34405</v>
      </c>
      <c r="F183" s="2">
        <f>VLOOKUP($A183,'[2]App C Total'!$A$4:$I$917,6,FALSE)</f>
        <v>11905</v>
      </c>
      <c r="G183" s="2">
        <f>VLOOKUP($A183,'[2]App C Total'!$A$4:$I$917,7,FALSE)</f>
        <v>18756</v>
      </c>
      <c r="H183" s="2">
        <f>VLOOKUP($A183,'[2]App C Total'!$A$4:$I$917,8,FALSE)</f>
        <v>4914</v>
      </c>
      <c r="I183" s="2">
        <f>VLOOKUP($A183,'[2]App C Total'!$A$4:$I$917,9,FALSE)</f>
        <v>0</v>
      </c>
      <c r="J183" s="2"/>
      <c r="K183" s="2">
        <f>VLOOKUP($A183,'[2]App C Exp'!$A$4:$I$917,5,FALSE)</f>
        <v>10022</v>
      </c>
      <c r="L183" s="2">
        <f>VLOOKUP($A183,'[2]App C Exp'!$A$4:$I$917,6,FALSE)</f>
        <v>9428</v>
      </c>
      <c r="M183" s="2">
        <f>VLOOKUP($A183,'[2]App C Exp'!$A$4:$I$917,7,FALSE)</f>
        <v>8450</v>
      </c>
      <c r="N183" s="2">
        <f>VLOOKUP($A183,'[2]App C Exp'!$A$4:$I$917,8,FALSE)</f>
        <v>3383</v>
      </c>
      <c r="O183" s="2">
        <f>VLOOKUP($A183,'[2]App C Exp'!$A$4:$I$917,9,FALSE)</f>
        <v>0</v>
      </c>
      <c r="P183" s="2"/>
      <c r="Q183" s="2">
        <f>VLOOKUP($A183,'[2]App C Inv'!$A$4:$I$917,5,FALSE)</f>
        <v>10640</v>
      </c>
      <c r="R183" s="2">
        <f>VLOOKUP($A183,'[2]App C Inv'!$A$4:$I$917,6,FALSE)</f>
        <v>-9152</v>
      </c>
      <c r="S183" s="2">
        <f>VLOOKUP($A183,'[2]App C Inv'!$A$4:$I$917,7,FALSE)</f>
        <v>1290</v>
      </c>
      <c r="T183" s="2">
        <f>VLOOKUP($A183,'[2]App C Inv'!$A$4:$I$917,8,FALSE)</f>
        <v>1679</v>
      </c>
      <c r="U183" s="2">
        <f>VLOOKUP($A183,'[2]App C Inv'!$A$4:$I$917,9,FALSE)</f>
        <v>0</v>
      </c>
      <c r="V183" s="2"/>
      <c r="W183" s="2">
        <f>VLOOKUP($A183,'[2]App C Assum'!$A$4:$I$917,5,FALSE)</f>
        <v>11986</v>
      </c>
      <c r="X183" s="2">
        <f>VLOOKUP($A183,'[2]App C Assum'!$A$4:$I$917,6,FALSE)</f>
        <v>9819</v>
      </c>
      <c r="Y183" s="2">
        <f>VLOOKUP($A183,'[2]App C Assum'!$A$4:$I$917,7,FALSE)</f>
        <v>7972</v>
      </c>
      <c r="Z183" s="2">
        <f>VLOOKUP($A183,'[2]App C Assum'!$A$4:$I$917,8,FALSE)</f>
        <v>0</v>
      </c>
      <c r="AA183" s="2">
        <f>VLOOKUP($A183,'[2]App C Assum'!$A$4:$I$917,9,FALSE)</f>
        <v>0</v>
      </c>
      <c r="AB183" s="2"/>
      <c r="AC183" s="2">
        <f>VLOOKUP($A183,'[2]App C Share Outflows'!$A$4:$I$917,5,FALSE)</f>
        <v>1959</v>
      </c>
      <c r="AD183" s="2">
        <f>VLOOKUP($A183,'[2]App C Share Outflows'!$A$4:$I$917,6,FALSE)</f>
        <v>1957</v>
      </c>
      <c r="AE183" s="2">
        <f>VLOOKUP($A183,'[2]App C Share Outflows'!$A$4:$I$917,7,FALSE)</f>
        <v>1191</v>
      </c>
      <c r="AF183" s="2">
        <f>VLOOKUP($A183,'[2]App C Share Outflows'!$A$4:$I$917,8,FALSE)</f>
        <v>0</v>
      </c>
      <c r="AG183" s="2">
        <f>VLOOKUP($A183,'[2]App C Share Outflows'!$A$4:$I$917,9,FALSE)</f>
        <v>0</v>
      </c>
      <c r="AH183" s="2"/>
      <c r="AI183" s="2">
        <f>VLOOKUP($A183,'[2]App C Share Inflows'!$A$4:$I$917,5,FALSE)</f>
        <v>-202</v>
      </c>
      <c r="AJ183" s="2">
        <f>VLOOKUP($A183,'[2]App C Share Inflows'!$A$4:$I$917,6,FALSE)</f>
        <v>-147</v>
      </c>
      <c r="AK183" s="2">
        <f>VLOOKUP($A183,'[2]App C Share Inflows'!$A$4:$I$917,7,FALSE)</f>
        <v>-147</v>
      </c>
      <c r="AL183" s="2">
        <f>VLOOKUP($A183,'[2]App C Share Inflows'!$A$4:$I$917,8,FALSE)</f>
        <v>-148</v>
      </c>
      <c r="AM183" s="2">
        <f>VLOOKUP($A183,'[2]App C Share Inflows'!$A$4:$I$917,6,FALSE)</f>
        <v>-147</v>
      </c>
    </row>
    <row r="184" spans="1:39">
      <c r="A184" s="351">
        <v>91423</v>
      </c>
      <c r="B184" s="344" t="s">
        <v>876</v>
      </c>
      <c r="C184" s="235" t="e">
        <f>VLOOKUP(A184,#REF!,10,FALSE)</f>
        <v>#REF!</v>
      </c>
      <c r="E184" s="2">
        <f>VLOOKUP($A184,'[2]App C Total'!$A$4:$I$917,5,FALSE)</f>
        <v>26173</v>
      </c>
      <c r="F184" s="2">
        <f>VLOOKUP($A184,'[2]App C Total'!$A$4:$I$917,6,FALSE)</f>
        <v>8212</v>
      </c>
      <c r="G184" s="2">
        <f>VLOOKUP($A184,'[2]App C Total'!$A$4:$I$917,7,FALSE)</f>
        <v>12520</v>
      </c>
      <c r="H184" s="2">
        <f>VLOOKUP($A184,'[2]App C Total'!$A$4:$I$917,8,FALSE)</f>
        <v>4231</v>
      </c>
      <c r="I184" s="2">
        <f>VLOOKUP($A184,'[2]App C Total'!$A$4:$I$917,9,FALSE)</f>
        <v>0</v>
      </c>
      <c r="J184" s="2"/>
      <c r="K184" s="2">
        <f>VLOOKUP($A184,'[2]App C Exp'!$A$4:$I$917,5,FALSE)</f>
        <v>7925</v>
      </c>
      <c r="L184" s="2">
        <f>VLOOKUP($A184,'[2]App C Exp'!$A$4:$I$917,6,FALSE)</f>
        <v>7455</v>
      </c>
      <c r="M184" s="2">
        <f>VLOOKUP($A184,'[2]App C Exp'!$A$4:$I$917,7,FALSE)</f>
        <v>6682</v>
      </c>
      <c r="N184" s="2">
        <f>VLOOKUP($A184,'[2]App C Exp'!$A$4:$I$917,8,FALSE)</f>
        <v>2675</v>
      </c>
      <c r="O184" s="2">
        <f>VLOOKUP($A184,'[2]App C Exp'!$A$4:$I$917,9,FALSE)</f>
        <v>0</v>
      </c>
      <c r="P184" s="2"/>
      <c r="Q184" s="2">
        <f>VLOOKUP($A184,'[2]App C Inv'!$A$4:$I$917,5,FALSE)</f>
        <v>8413</v>
      </c>
      <c r="R184" s="2">
        <f>VLOOKUP($A184,'[2]App C Inv'!$A$4:$I$917,6,FALSE)</f>
        <v>-7237</v>
      </c>
      <c r="S184" s="2">
        <f>VLOOKUP($A184,'[2]App C Inv'!$A$4:$I$917,7,FALSE)</f>
        <v>1020</v>
      </c>
      <c r="T184" s="2">
        <f>VLOOKUP($A184,'[2]App C Inv'!$A$4:$I$917,8,FALSE)</f>
        <v>1327</v>
      </c>
      <c r="U184" s="2">
        <f>VLOOKUP($A184,'[2]App C Inv'!$A$4:$I$917,9,FALSE)</f>
        <v>0</v>
      </c>
      <c r="V184" s="2"/>
      <c r="W184" s="2">
        <f>VLOOKUP($A184,'[2]App C Assum'!$A$4:$I$917,5,FALSE)</f>
        <v>9478</v>
      </c>
      <c r="X184" s="2">
        <f>VLOOKUP($A184,'[2]App C Assum'!$A$4:$I$917,6,FALSE)</f>
        <v>7764</v>
      </c>
      <c r="Y184" s="2">
        <f>VLOOKUP($A184,'[2]App C Assum'!$A$4:$I$917,7,FALSE)</f>
        <v>6303</v>
      </c>
      <c r="Z184" s="2">
        <f>VLOOKUP($A184,'[2]App C Assum'!$A$4:$I$917,8,FALSE)</f>
        <v>0</v>
      </c>
      <c r="AA184" s="2">
        <f>VLOOKUP($A184,'[2]App C Assum'!$A$4:$I$917,9,FALSE)</f>
        <v>0</v>
      </c>
      <c r="AB184" s="2"/>
      <c r="AC184" s="2">
        <f>VLOOKUP($A184,'[2]App C Share Outflows'!$A$4:$I$917,5,FALSE)</f>
        <v>2070</v>
      </c>
      <c r="AD184" s="2">
        <f>VLOOKUP($A184,'[2]App C Share Outflows'!$A$4:$I$917,6,FALSE)</f>
        <v>1943</v>
      </c>
      <c r="AE184" s="2">
        <f>VLOOKUP($A184,'[2]App C Share Outflows'!$A$4:$I$917,7,FALSE)</f>
        <v>227</v>
      </c>
      <c r="AF184" s="2">
        <f>VLOOKUP($A184,'[2]App C Share Outflows'!$A$4:$I$917,8,FALSE)</f>
        <v>229</v>
      </c>
      <c r="AG184" s="2">
        <f>VLOOKUP($A184,'[2]App C Share Outflows'!$A$4:$I$917,9,FALSE)</f>
        <v>0</v>
      </c>
      <c r="AH184" s="2"/>
      <c r="AI184" s="2">
        <f>VLOOKUP($A184,'[2]App C Share Inflows'!$A$4:$I$917,5,FALSE)</f>
        <v>-1713</v>
      </c>
      <c r="AJ184" s="2">
        <f>VLOOKUP($A184,'[2]App C Share Inflows'!$A$4:$I$917,6,FALSE)</f>
        <v>-1713</v>
      </c>
      <c r="AK184" s="2">
        <f>VLOOKUP($A184,'[2]App C Share Inflows'!$A$4:$I$917,7,FALSE)</f>
        <v>-1712</v>
      </c>
      <c r="AL184" s="2">
        <f>VLOOKUP($A184,'[2]App C Share Inflows'!$A$4:$I$917,8,FALSE)</f>
        <v>0</v>
      </c>
      <c r="AM184" s="2">
        <f>VLOOKUP($A184,'[2]App C Share Inflows'!$A$4:$I$917,6,FALSE)</f>
        <v>-1713</v>
      </c>
    </row>
    <row r="185" spans="1:39">
      <c r="A185" s="351">
        <v>91431</v>
      </c>
      <c r="B185" s="344" t="s">
        <v>877</v>
      </c>
      <c r="C185" s="235" t="e">
        <f>VLOOKUP(A185,#REF!,10,FALSE)</f>
        <v>#REF!</v>
      </c>
      <c r="E185" s="2">
        <f>VLOOKUP($A185,'[2]App C Total'!$A$4:$I$917,5,FALSE)</f>
        <v>99884</v>
      </c>
      <c r="F185" s="2">
        <f>VLOOKUP($A185,'[2]App C Total'!$A$4:$I$917,6,FALSE)</f>
        <v>39037</v>
      </c>
      <c r="G185" s="2">
        <f>VLOOKUP($A185,'[2]App C Total'!$A$4:$I$917,7,FALSE)</f>
        <v>55604</v>
      </c>
      <c r="H185" s="2">
        <f>VLOOKUP($A185,'[2]App C Total'!$A$4:$I$917,8,FALSE)</f>
        <v>18263</v>
      </c>
      <c r="I185" s="2">
        <f>VLOOKUP($A185,'[2]App C Total'!$A$4:$I$917,9,FALSE)</f>
        <v>0</v>
      </c>
      <c r="J185" s="2"/>
      <c r="K185" s="2">
        <f>VLOOKUP($A185,'[2]App C Exp'!$A$4:$I$917,5,FALSE)</f>
        <v>27250</v>
      </c>
      <c r="L185" s="2">
        <f>VLOOKUP($A185,'[2]App C Exp'!$A$4:$I$917,6,FALSE)</f>
        <v>25633</v>
      </c>
      <c r="M185" s="2">
        <f>VLOOKUP($A185,'[2]App C Exp'!$A$4:$I$917,7,FALSE)</f>
        <v>22975</v>
      </c>
      <c r="N185" s="2">
        <f>VLOOKUP($A185,'[2]App C Exp'!$A$4:$I$917,8,FALSE)</f>
        <v>9199</v>
      </c>
      <c r="O185" s="2">
        <f>VLOOKUP($A185,'[2]App C Exp'!$A$4:$I$917,9,FALSE)</f>
        <v>0</v>
      </c>
      <c r="P185" s="2"/>
      <c r="Q185" s="2">
        <f>VLOOKUP($A185,'[2]App C Inv'!$A$4:$I$917,5,FALSE)</f>
        <v>28930</v>
      </c>
      <c r="R185" s="2">
        <f>VLOOKUP($A185,'[2]App C Inv'!$A$4:$I$917,6,FALSE)</f>
        <v>-24885</v>
      </c>
      <c r="S185" s="2">
        <f>VLOOKUP($A185,'[2]App C Inv'!$A$4:$I$917,7,FALSE)</f>
        <v>3507</v>
      </c>
      <c r="T185" s="2">
        <f>VLOOKUP($A185,'[2]App C Inv'!$A$4:$I$917,8,FALSE)</f>
        <v>4565</v>
      </c>
      <c r="U185" s="2">
        <f>VLOOKUP($A185,'[2]App C Inv'!$A$4:$I$917,9,FALSE)</f>
        <v>0</v>
      </c>
      <c r="V185" s="2"/>
      <c r="W185" s="2">
        <f>VLOOKUP($A185,'[2]App C Assum'!$A$4:$I$917,5,FALSE)</f>
        <v>32590</v>
      </c>
      <c r="X185" s="2">
        <f>VLOOKUP($A185,'[2]App C Assum'!$A$4:$I$917,6,FALSE)</f>
        <v>26699</v>
      </c>
      <c r="Y185" s="2">
        <f>VLOOKUP($A185,'[2]App C Assum'!$A$4:$I$917,7,FALSE)</f>
        <v>21675</v>
      </c>
      <c r="Z185" s="2">
        <f>VLOOKUP($A185,'[2]App C Assum'!$A$4:$I$917,8,FALSE)</f>
        <v>0</v>
      </c>
      <c r="AA185" s="2">
        <f>VLOOKUP($A185,'[2]App C Assum'!$A$4:$I$917,9,FALSE)</f>
        <v>0</v>
      </c>
      <c r="AB185" s="2"/>
      <c r="AC185" s="2">
        <f>VLOOKUP($A185,'[2]App C Share Outflows'!$A$4:$I$917,5,FALSE)</f>
        <v>11592</v>
      </c>
      <c r="AD185" s="2">
        <f>VLOOKUP($A185,'[2]App C Share Outflows'!$A$4:$I$917,6,FALSE)</f>
        <v>11590</v>
      </c>
      <c r="AE185" s="2">
        <f>VLOOKUP($A185,'[2]App C Share Outflows'!$A$4:$I$917,7,FALSE)</f>
        <v>7447</v>
      </c>
      <c r="AF185" s="2">
        <f>VLOOKUP($A185,'[2]App C Share Outflows'!$A$4:$I$917,8,FALSE)</f>
        <v>4499</v>
      </c>
      <c r="AG185" s="2">
        <f>VLOOKUP($A185,'[2]App C Share Outflows'!$A$4:$I$917,9,FALSE)</f>
        <v>0</v>
      </c>
      <c r="AH185" s="2"/>
      <c r="AI185" s="2">
        <f>VLOOKUP($A185,'[2]App C Share Inflows'!$A$4:$I$917,5,FALSE)</f>
        <v>-478</v>
      </c>
      <c r="AJ185" s="2">
        <f>VLOOKUP($A185,'[2]App C Share Inflows'!$A$4:$I$917,6,FALSE)</f>
        <v>0</v>
      </c>
      <c r="AK185" s="2">
        <f>VLOOKUP($A185,'[2]App C Share Inflows'!$A$4:$I$917,7,FALSE)</f>
        <v>0</v>
      </c>
      <c r="AL185" s="2">
        <f>VLOOKUP($A185,'[2]App C Share Inflows'!$A$4:$I$917,8,FALSE)</f>
        <v>0</v>
      </c>
      <c r="AM185" s="2">
        <f>VLOOKUP($A185,'[2]App C Share Inflows'!$A$4:$I$917,6,FALSE)</f>
        <v>0</v>
      </c>
    </row>
    <row r="186" spans="1:39">
      <c r="A186" s="351">
        <v>91441</v>
      </c>
      <c r="B186" s="344" t="s">
        <v>878</v>
      </c>
      <c r="C186" s="235" t="e">
        <f>VLOOKUP(A186,#REF!,10,FALSE)</f>
        <v>#REF!</v>
      </c>
      <c r="E186" s="2">
        <f>VLOOKUP($A186,'[2]App C Total'!$A$4:$I$917,5,FALSE)</f>
        <v>429921</v>
      </c>
      <c r="F186" s="2">
        <f>VLOOKUP($A186,'[2]App C Total'!$A$4:$I$917,6,FALSE)</f>
        <v>117874</v>
      </c>
      <c r="G186" s="2">
        <f>VLOOKUP($A186,'[2]App C Total'!$A$4:$I$917,7,FALSE)</f>
        <v>217735</v>
      </c>
      <c r="H186" s="2">
        <f>VLOOKUP($A186,'[2]App C Total'!$A$4:$I$917,8,FALSE)</f>
        <v>55791</v>
      </c>
      <c r="I186" s="2">
        <f>VLOOKUP($A186,'[2]App C Total'!$A$4:$I$917,9,FALSE)</f>
        <v>0</v>
      </c>
      <c r="J186" s="2"/>
      <c r="K186" s="2">
        <f>VLOOKUP($A186,'[2]App C Exp'!$A$4:$I$917,5,FALSE)</f>
        <v>146841</v>
      </c>
      <c r="L186" s="2">
        <f>VLOOKUP($A186,'[2]App C Exp'!$A$4:$I$917,6,FALSE)</f>
        <v>138130</v>
      </c>
      <c r="M186" s="2">
        <f>VLOOKUP($A186,'[2]App C Exp'!$A$4:$I$917,7,FALSE)</f>
        <v>123804</v>
      </c>
      <c r="N186" s="2">
        <f>VLOOKUP($A186,'[2]App C Exp'!$A$4:$I$917,8,FALSE)</f>
        <v>49570</v>
      </c>
      <c r="O186" s="2">
        <f>VLOOKUP($A186,'[2]App C Exp'!$A$4:$I$917,9,FALSE)</f>
        <v>0</v>
      </c>
      <c r="P186" s="2"/>
      <c r="Q186" s="2">
        <f>VLOOKUP($A186,'[2]App C Inv'!$A$4:$I$917,5,FALSE)</f>
        <v>155892</v>
      </c>
      <c r="R186" s="2">
        <f>VLOOKUP($A186,'[2]App C Inv'!$A$4:$I$917,6,FALSE)</f>
        <v>-134096</v>
      </c>
      <c r="S186" s="2">
        <f>VLOOKUP($A186,'[2]App C Inv'!$A$4:$I$917,7,FALSE)</f>
        <v>18899</v>
      </c>
      <c r="T186" s="2">
        <f>VLOOKUP($A186,'[2]App C Inv'!$A$4:$I$917,8,FALSE)</f>
        <v>24597</v>
      </c>
      <c r="U186" s="2">
        <f>VLOOKUP($A186,'[2]App C Inv'!$A$4:$I$917,9,FALSE)</f>
        <v>0</v>
      </c>
      <c r="V186" s="2"/>
      <c r="W186" s="2">
        <f>VLOOKUP($A186,'[2]App C Assum'!$A$4:$I$917,5,FALSE)</f>
        <v>175615</v>
      </c>
      <c r="X186" s="2">
        <f>VLOOKUP($A186,'[2]App C Assum'!$A$4:$I$917,6,FALSE)</f>
        <v>143870</v>
      </c>
      <c r="Y186" s="2">
        <f>VLOOKUP($A186,'[2]App C Assum'!$A$4:$I$917,7,FALSE)</f>
        <v>116798</v>
      </c>
      <c r="Z186" s="2">
        <f>VLOOKUP($A186,'[2]App C Assum'!$A$4:$I$917,8,FALSE)</f>
        <v>0</v>
      </c>
      <c r="AA186" s="2">
        <f>VLOOKUP($A186,'[2]App C Assum'!$A$4:$I$917,9,FALSE)</f>
        <v>0</v>
      </c>
      <c r="AB186" s="2"/>
      <c r="AC186" s="2">
        <f>VLOOKUP($A186,'[2]App C Share Outflows'!$A$4:$I$917,5,FALSE)</f>
        <v>11739</v>
      </c>
      <c r="AD186" s="2">
        <f>VLOOKUP($A186,'[2]App C Share Outflows'!$A$4:$I$917,6,FALSE)</f>
        <v>11737</v>
      </c>
      <c r="AE186" s="2">
        <f>VLOOKUP($A186,'[2]App C Share Outflows'!$A$4:$I$917,7,FALSE)</f>
        <v>0</v>
      </c>
      <c r="AF186" s="2">
        <f>VLOOKUP($A186,'[2]App C Share Outflows'!$A$4:$I$917,8,FALSE)</f>
        <v>0</v>
      </c>
      <c r="AG186" s="2">
        <f>VLOOKUP($A186,'[2]App C Share Outflows'!$A$4:$I$917,9,FALSE)</f>
        <v>0</v>
      </c>
      <c r="AH186" s="2"/>
      <c r="AI186" s="2">
        <f>VLOOKUP($A186,'[2]App C Share Inflows'!$A$4:$I$917,5,FALSE)</f>
        <v>-60166</v>
      </c>
      <c r="AJ186" s="2">
        <f>VLOOKUP($A186,'[2]App C Share Inflows'!$A$4:$I$917,6,FALSE)</f>
        <v>-41767</v>
      </c>
      <c r="AK186" s="2">
        <f>VLOOKUP($A186,'[2]App C Share Inflows'!$A$4:$I$917,7,FALSE)</f>
        <v>-41766</v>
      </c>
      <c r="AL186" s="2">
        <f>VLOOKUP($A186,'[2]App C Share Inflows'!$A$4:$I$917,8,FALSE)</f>
        <v>-18376</v>
      </c>
      <c r="AM186" s="2">
        <f>VLOOKUP($A186,'[2]App C Share Inflows'!$A$4:$I$917,6,FALSE)</f>
        <v>-41767</v>
      </c>
    </row>
    <row r="187" spans="1:39">
      <c r="A187" s="351">
        <v>91451</v>
      </c>
      <c r="B187" s="344" t="s">
        <v>879</v>
      </c>
      <c r="C187" s="235" t="e">
        <f>VLOOKUP(A187,#REF!,10,FALSE)</f>
        <v>#REF!</v>
      </c>
      <c r="E187" s="2">
        <f>VLOOKUP($A187,'[2]App C Total'!$A$4:$I$917,5,FALSE)</f>
        <v>725223</v>
      </c>
      <c r="F187" s="2">
        <f>VLOOKUP($A187,'[2]App C Total'!$A$4:$I$917,6,FALSE)</f>
        <v>226578</v>
      </c>
      <c r="G187" s="2">
        <f>VLOOKUP($A187,'[2]App C Total'!$A$4:$I$917,7,FALSE)</f>
        <v>419476</v>
      </c>
      <c r="H187" s="2">
        <f>VLOOKUP($A187,'[2]App C Total'!$A$4:$I$917,8,FALSE)</f>
        <v>125808</v>
      </c>
      <c r="I187" s="2">
        <f>VLOOKUP($A187,'[2]App C Total'!$A$4:$I$917,9,FALSE)</f>
        <v>0</v>
      </c>
      <c r="J187" s="2"/>
      <c r="K187" s="2">
        <f>VLOOKUP($A187,'[2]App C Exp'!$A$4:$I$917,5,FALSE)</f>
        <v>232710</v>
      </c>
      <c r="L187" s="2">
        <f>VLOOKUP($A187,'[2]App C Exp'!$A$4:$I$917,6,FALSE)</f>
        <v>218905</v>
      </c>
      <c r="M187" s="2">
        <f>VLOOKUP($A187,'[2]App C Exp'!$A$4:$I$917,7,FALSE)</f>
        <v>196202</v>
      </c>
      <c r="N187" s="2">
        <f>VLOOKUP($A187,'[2]App C Exp'!$A$4:$I$917,8,FALSE)</f>
        <v>78557</v>
      </c>
      <c r="O187" s="2">
        <f>VLOOKUP($A187,'[2]App C Exp'!$A$4:$I$917,9,FALSE)</f>
        <v>0</v>
      </c>
      <c r="P187" s="2"/>
      <c r="Q187" s="2">
        <f>VLOOKUP($A187,'[2]App C Inv'!$A$4:$I$917,5,FALSE)</f>
        <v>247054</v>
      </c>
      <c r="R187" s="2">
        <f>VLOOKUP($A187,'[2]App C Inv'!$A$4:$I$917,6,FALSE)</f>
        <v>-212513</v>
      </c>
      <c r="S187" s="2">
        <f>VLOOKUP($A187,'[2]App C Inv'!$A$4:$I$917,7,FALSE)</f>
        <v>29951</v>
      </c>
      <c r="T187" s="2">
        <f>VLOOKUP($A187,'[2]App C Inv'!$A$4:$I$917,8,FALSE)</f>
        <v>38981</v>
      </c>
      <c r="U187" s="2">
        <f>VLOOKUP($A187,'[2]App C Inv'!$A$4:$I$917,9,FALSE)</f>
        <v>0</v>
      </c>
      <c r="V187" s="2"/>
      <c r="W187" s="2">
        <f>VLOOKUP($A187,'[2]App C Assum'!$A$4:$I$917,5,FALSE)</f>
        <v>278310</v>
      </c>
      <c r="X187" s="2">
        <f>VLOOKUP($A187,'[2]App C Assum'!$A$4:$I$917,6,FALSE)</f>
        <v>228002</v>
      </c>
      <c r="Y187" s="2">
        <f>VLOOKUP($A187,'[2]App C Assum'!$A$4:$I$917,7,FALSE)</f>
        <v>185098</v>
      </c>
      <c r="Z187" s="2">
        <f>VLOOKUP($A187,'[2]App C Assum'!$A$4:$I$917,8,FALSE)</f>
        <v>0</v>
      </c>
      <c r="AA187" s="2">
        <f>VLOOKUP($A187,'[2]App C Assum'!$A$4:$I$917,9,FALSE)</f>
        <v>0</v>
      </c>
      <c r="AB187" s="2"/>
      <c r="AC187" s="2">
        <f>VLOOKUP($A187,'[2]App C Share Outflows'!$A$4:$I$917,5,FALSE)</f>
        <v>8268</v>
      </c>
      <c r="AD187" s="2">
        <f>VLOOKUP($A187,'[2]App C Share Outflows'!$A$4:$I$917,6,FALSE)</f>
        <v>8268</v>
      </c>
      <c r="AE187" s="2">
        <f>VLOOKUP($A187,'[2]App C Share Outflows'!$A$4:$I$917,7,FALSE)</f>
        <v>8268</v>
      </c>
      <c r="AF187" s="2">
        <f>VLOOKUP($A187,'[2]App C Share Outflows'!$A$4:$I$917,8,FALSE)</f>
        <v>8270</v>
      </c>
      <c r="AG187" s="2">
        <f>VLOOKUP($A187,'[2]App C Share Outflows'!$A$4:$I$917,9,FALSE)</f>
        <v>0</v>
      </c>
      <c r="AH187" s="2"/>
      <c r="AI187" s="2">
        <f>VLOOKUP($A187,'[2]App C Share Inflows'!$A$4:$I$917,5,FALSE)</f>
        <v>-41119</v>
      </c>
      <c r="AJ187" s="2">
        <f>VLOOKUP($A187,'[2]App C Share Inflows'!$A$4:$I$917,6,FALSE)</f>
        <v>-16084</v>
      </c>
      <c r="AK187" s="2">
        <f>VLOOKUP($A187,'[2]App C Share Inflows'!$A$4:$I$917,7,FALSE)</f>
        <v>-43</v>
      </c>
      <c r="AL187" s="2">
        <f>VLOOKUP($A187,'[2]App C Share Inflows'!$A$4:$I$917,8,FALSE)</f>
        <v>0</v>
      </c>
      <c r="AM187" s="2">
        <f>VLOOKUP($A187,'[2]App C Share Inflows'!$A$4:$I$917,6,FALSE)</f>
        <v>-16084</v>
      </c>
    </row>
    <row r="188" spans="1:39">
      <c r="A188" s="351">
        <v>91457</v>
      </c>
      <c r="B188" s="344" t="s">
        <v>3659</v>
      </c>
      <c r="C188" s="235" t="e">
        <f>VLOOKUP(A188,#REF!,10,FALSE)</f>
        <v>#REF!</v>
      </c>
      <c r="E188" s="2">
        <f>VLOOKUP($A188,'[2]App C Total'!$A$4:$I$917,5,FALSE)</f>
        <v>20900</v>
      </c>
      <c r="F188" s="2">
        <f>VLOOKUP($A188,'[2]App C Total'!$A$4:$I$917,6,FALSE)</f>
        <v>12727</v>
      </c>
      <c r="G188" s="2">
        <f>VLOOKUP($A188,'[2]App C Total'!$A$4:$I$917,7,FALSE)</f>
        <v>10994</v>
      </c>
      <c r="H188" s="2">
        <f>VLOOKUP($A188,'[2]App C Total'!$A$4:$I$917,8,FALSE)</f>
        <v>4296</v>
      </c>
      <c r="I188" s="2">
        <f>VLOOKUP($A188,'[2]App C Total'!$A$4:$I$917,9,FALSE)</f>
        <v>0</v>
      </c>
      <c r="J188" s="2"/>
      <c r="K188" s="2">
        <f>VLOOKUP($A188,'[2]App C Exp'!$A$4:$I$917,5,FALSE)</f>
        <v>2322</v>
      </c>
      <c r="L188" s="2">
        <f>VLOOKUP($A188,'[2]App C Exp'!$A$4:$I$917,6,FALSE)</f>
        <v>2184</v>
      </c>
      <c r="M188" s="2">
        <f>VLOOKUP($A188,'[2]App C Exp'!$A$4:$I$917,7,FALSE)</f>
        <v>1958</v>
      </c>
      <c r="N188" s="2">
        <f>VLOOKUP($A188,'[2]App C Exp'!$A$4:$I$917,8,FALSE)</f>
        <v>784</v>
      </c>
      <c r="O188" s="2">
        <f>VLOOKUP($A188,'[2]App C Exp'!$A$4:$I$917,9,FALSE)</f>
        <v>0</v>
      </c>
      <c r="P188" s="2"/>
      <c r="Q188" s="2">
        <f>VLOOKUP($A188,'[2]App C Inv'!$A$4:$I$917,5,FALSE)</f>
        <v>2465</v>
      </c>
      <c r="R188" s="2">
        <f>VLOOKUP($A188,'[2]App C Inv'!$A$4:$I$917,6,FALSE)</f>
        <v>-2120</v>
      </c>
      <c r="S188" s="2">
        <f>VLOOKUP($A188,'[2]App C Inv'!$A$4:$I$917,7,FALSE)</f>
        <v>299</v>
      </c>
      <c r="T188" s="2">
        <f>VLOOKUP($A188,'[2]App C Inv'!$A$4:$I$917,8,FALSE)</f>
        <v>389</v>
      </c>
      <c r="U188" s="2">
        <f>VLOOKUP($A188,'[2]App C Inv'!$A$4:$I$917,9,FALSE)</f>
        <v>0</v>
      </c>
      <c r="V188" s="2"/>
      <c r="W188" s="2">
        <f>VLOOKUP($A188,'[2]App C Assum'!$A$4:$I$917,5,FALSE)</f>
        <v>2777</v>
      </c>
      <c r="X188" s="2">
        <f>VLOOKUP($A188,'[2]App C Assum'!$A$4:$I$917,6,FALSE)</f>
        <v>2275</v>
      </c>
      <c r="Y188" s="2">
        <f>VLOOKUP($A188,'[2]App C Assum'!$A$4:$I$917,7,FALSE)</f>
        <v>1847</v>
      </c>
      <c r="Z188" s="2">
        <f>VLOOKUP($A188,'[2]App C Assum'!$A$4:$I$917,8,FALSE)</f>
        <v>0</v>
      </c>
      <c r="AA188" s="2">
        <f>VLOOKUP($A188,'[2]App C Assum'!$A$4:$I$917,9,FALSE)</f>
        <v>0</v>
      </c>
      <c r="AB188" s="2"/>
      <c r="AC188" s="2">
        <f>VLOOKUP($A188,'[2]App C Share Outflows'!$A$4:$I$917,5,FALSE)</f>
        <v>13336</v>
      </c>
      <c r="AD188" s="2">
        <f>VLOOKUP($A188,'[2]App C Share Outflows'!$A$4:$I$917,6,FALSE)</f>
        <v>10388</v>
      </c>
      <c r="AE188" s="2">
        <f>VLOOKUP($A188,'[2]App C Share Outflows'!$A$4:$I$917,7,FALSE)</f>
        <v>6890</v>
      </c>
      <c r="AF188" s="2">
        <f>VLOOKUP($A188,'[2]App C Share Outflows'!$A$4:$I$917,8,FALSE)</f>
        <v>3123</v>
      </c>
      <c r="AG188" s="2">
        <f>VLOOKUP($A188,'[2]App C Share Outflows'!$A$4:$I$917,9,FALSE)</f>
        <v>0</v>
      </c>
      <c r="AH188" s="2"/>
      <c r="AI188" s="2">
        <f>VLOOKUP($A188,'[2]App C Share Inflows'!$A$4:$I$917,5,FALSE)</f>
        <v>0</v>
      </c>
      <c r="AJ188" s="2">
        <f>VLOOKUP($A188,'[2]App C Share Inflows'!$A$4:$I$917,6,FALSE)</f>
        <v>0</v>
      </c>
      <c r="AK188" s="2">
        <f>VLOOKUP($A188,'[2]App C Share Inflows'!$A$4:$I$917,7,FALSE)</f>
        <v>0</v>
      </c>
      <c r="AL188" s="2">
        <f>VLOOKUP($A188,'[2]App C Share Inflows'!$A$4:$I$917,8,FALSE)</f>
        <v>0</v>
      </c>
      <c r="AM188" s="2">
        <f>VLOOKUP($A188,'[2]App C Share Inflows'!$A$4:$I$917,6,FALSE)</f>
        <v>0</v>
      </c>
    </row>
    <row r="189" spans="1:39">
      <c r="A189" s="351">
        <v>91461</v>
      </c>
      <c r="B189" s="344" t="s">
        <v>881</v>
      </c>
      <c r="C189" s="235" t="e">
        <f>VLOOKUP(A189,#REF!,10,FALSE)</f>
        <v>#REF!</v>
      </c>
      <c r="E189" s="2">
        <f>VLOOKUP($A189,'[2]App C Total'!$A$4:$I$917,5,FALSE)</f>
        <v>3963</v>
      </c>
      <c r="F189" s="2">
        <f>VLOOKUP($A189,'[2]App C Total'!$A$4:$I$917,6,FALSE)</f>
        <v>636</v>
      </c>
      <c r="G189" s="2">
        <f>VLOOKUP($A189,'[2]App C Total'!$A$4:$I$917,7,FALSE)</f>
        <v>1878</v>
      </c>
      <c r="H189" s="2">
        <f>VLOOKUP($A189,'[2]App C Total'!$A$4:$I$917,8,FALSE)</f>
        <v>360</v>
      </c>
      <c r="I189" s="2">
        <f>VLOOKUP($A189,'[2]App C Total'!$A$4:$I$917,9,FALSE)</f>
        <v>0</v>
      </c>
      <c r="J189" s="2"/>
      <c r="K189" s="2">
        <f>VLOOKUP($A189,'[2]App C Exp'!$A$4:$I$917,5,FALSE)</f>
        <v>1423</v>
      </c>
      <c r="L189" s="2">
        <f>VLOOKUP($A189,'[2]App C Exp'!$A$4:$I$917,6,FALSE)</f>
        <v>1339</v>
      </c>
      <c r="M189" s="2">
        <f>VLOOKUP($A189,'[2]App C Exp'!$A$4:$I$917,7,FALSE)</f>
        <v>1200</v>
      </c>
      <c r="N189" s="2">
        <f>VLOOKUP($A189,'[2]App C Exp'!$A$4:$I$917,8,FALSE)</f>
        <v>480</v>
      </c>
      <c r="O189" s="2">
        <f>VLOOKUP($A189,'[2]App C Exp'!$A$4:$I$917,9,FALSE)</f>
        <v>0</v>
      </c>
      <c r="P189" s="2"/>
      <c r="Q189" s="2">
        <f>VLOOKUP($A189,'[2]App C Inv'!$A$4:$I$917,5,FALSE)</f>
        <v>1511</v>
      </c>
      <c r="R189" s="2">
        <f>VLOOKUP($A189,'[2]App C Inv'!$A$4:$I$917,6,FALSE)</f>
        <v>-1300</v>
      </c>
      <c r="S189" s="2">
        <f>VLOOKUP($A189,'[2]App C Inv'!$A$4:$I$917,7,FALSE)</f>
        <v>183</v>
      </c>
      <c r="T189" s="2">
        <f>VLOOKUP($A189,'[2]App C Inv'!$A$4:$I$917,8,FALSE)</f>
        <v>238</v>
      </c>
      <c r="U189" s="2">
        <f>VLOOKUP($A189,'[2]App C Inv'!$A$4:$I$917,9,FALSE)</f>
        <v>0</v>
      </c>
      <c r="V189" s="2"/>
      <c r="W189" s="2">
        <f>VLOOKUP($A189,'[2]App C Assum'!$A$4:$I$917,5,FALSE)</f>
        <v>1702</v>
      </c>
      <c r="X189" s="2">
        <f>VLOOKUP($A189,'[2]App C Assum'!$A$4:$I$917,6,FALSE)</f>
        <v>1394</v>
      </c>
      <c r="Y189" s="2">
        <f>VLOOKUP($A189,'[2]App C Assum'!$A$4:$I$917,7,FALSE)</f>
        <v>1132</v>
      </c>
      <c r="Z189" s="2">
        <f>VLOOKUP($A189,'[2]App C Assum'!$A$4:$I$917,8,FALSE)</f>
        <v>0</v>
      </c>
      <c r="AA189" s="2">
        <f>VLOOKUP($A189,'[2]App C Assum'!$A$4:$I$917,9,FALSE)</f>
        <v>0</v>
      </c>
      <c r="AB189" s="2"/>
      <c r="AC189" s="2">
        <f>VLOOKUP($A189,'[2]App C Share Outflows'!$A$4:$I$917,5,FALSE)</f>
        <v>123</v>
      </c>
      <c r="AD189" s="2">
        <f>VLOOKUP($A189,'[2]App C Share Outflows'!$A$4:$I$917,6,FALSE)</f>
        <v>0</v>
      </c>
      <c r="AE189" s="2">
        <f>VLOOKUP($A189,'[2]App C Share Outflows'!$A$4:$I$917,7,FALSE)</f>
        <v>0</v>
      </c>
      <c r="AF189" s="2">
        <f>VLOOKUP($A189,'[2]App C Share Outflows'!$A$4:$I$917,8,FALSE)</f>
        <v>0</v>
      </c>
      <c r="AG189" s="2">
        <f>VLOOKUP($A189,'[2]App C Share Outflows'!$A$4:$I$917,9,FALSE)</f>
        <v>0</v>
      </c>
      <c r="AH189" s="2"/>
      <c r="AI189" s="2">
        <f>VLOOKUP($A189,'[2]App C Share Inflows'!$A$4:$I$917,5,FALSE)</f>
        <v>-796</v>
      </c>
      <c r="AJ189" s="2">
        <f>VLOOKUP($A189,'[2]App C Share Inflows'!$A$4:$I$917,6,FALSE)</f>
        <v>-797</v>
      </c>
      <c r="AK189" s="2">
        <f>VLOOKUP($A189,'[2]App C Share Inflows'!$A$4:$I$917,7,FALSE)</f>
        <v>-637</v>
      </c>
      <c r="AL189" s="2">
        <f>VLOOKUP($A189,'[2]App C Share Inflows'!$A$4:$I$917,8,FALSE)</f>
        <v>-358</v>
      </c>
      <c r="AM189" s="2">
        <f>VLOOKUP($A189,'[2]App C Share Inflows'!$A$4:$I$917,6,FALSE)</f>
        <v>-797</v>
      </c>
    </row>
    <row r="190" spans="1:39">
      <c r="A190" s="351">
        <v>91501</v>
      </c>
      <c r="B190" s="344" t="s">
        <v>882</v>
      </c>
      <c r="C190" s="235" t="e">
        <f>VLOOKUP(A190,#REF!,10,FALSE)</f>
        <v>#REF!</v>
      </c>
      <c r="E190" s="2">
        <f>VLOOKUP($A190,'[2]App C Total'!$A$4:$I$917,5,FALSE)</f>
        <v>254038</v>
      </c>
      <c r="F190" s="2">
        <f>VLOOKUP($A190,'[2]App C Total'!$A$4:$I$917,6,FALSE)</f>
        <v>79041</v>
      </c>
      <c r="G190" s="2">
        <f>VLOOKUP($A190,'[2]App C Total'!$A$4:$I$917,7,FALSE)</f>
        <v>139043</v>
      </c>
      <c r="H190" s="2">
        <f>VLOOKUP($A190,'[2]App C Total'!$A$4:$I$917,8,FALSE)</f>
        <v>46149</v>
      </c>
      <c r="I190" s="2">
        <f>VLOOKUP($A190,'[2]App C Total'!$A$4:$I$917,9,FALSE)</f>
        <v>0</v>
      </c>
      <c r="J190" s="2"/>
      <c r="K190" s="2">
        <f>VLOOKUP($A190,'[2]App C Exp'!$A$4:$I$917,5,FALSE)</f>
        <v>76671</v>
      </c>
      <c r="L190" s="2">
        <f>VLOOKUP($A190,'[2]App C Exp'!$A$4:$I$917,6,FALSE)</f>
        <v>72123</v>
      </c>
      <c r="M190" s="2">
        <f>VLOOKUP($A190,'[2]App C Exp'!$A$4:$I$917,7,FALSE)</f>
        <v>64643</v>
      </c>
      <c r="N190" s="2">
        <f>VLOOKUP($A190,'[2]App C Exp'!$A$4:$I$917,8,FALSE)</f>
        <v>25882</v>
      </c>
      <c r="O190" s="2">
        <f>VLOOKUP($A190,'[2]App C Exp'!$A$4:$I$917,9,FALSE)</f>
        <v>0</v>
      </c>
      <c r="P190" s="2"/>
      <c r="Q190" s="2">
        <f>VLOOKUP($A190,'[2]App C Inv'!$A$4:$I$917,5,FALSE)</f>
        <v>81397</v>
      </c>
      <c r="R190" s="2">
        <f>VLOOKUP($A190,'[2]App C Inv'!$A$4:$I$917,6,FALSE)</f>
        <v>-70017</v>
      </c>
      <c r="S190" s="2">
        <f>VLOOKUP($A190,'[2]App C Inv'!$A$4:$I$917,7,FALSE)</f>
        <v>9868</v>
      </c>
      <c r="T190" s="2">
        <f>VLOOKUP($A190,'[2]App C Inv'!$A$4:$I$917,8,FALSE)</f>
        <v>12843</v>
      </c>
      <c r="U190" s="2">
        <f>VLOOKUP($A190,'[2]App C Inv'!$A$4:$I$917,9,FALSE)</f>
        <v>0</v>
      </c>
      <c r="V190" s="2"/>
      <c r="W190" s="2">
        <f>VLOOKUP($A190,'[2]App C Assum'!$A$4:$I$917,5,FALSE)</f>
        <v>91695</v>
      </c>
      <c r="X190" s="2">
        <f>VLOOKUP($A190,'[2]App C Assum'!$A$4:$I$917,6,FALSE)</f>
        <v>75120</v>
      </c>
      <c r="Y190" s="2">
        <f>VLOOKUP($A190,'[2]App C Assum'!$A$4:$I$917,7,FALSE)</f>
        <v>60985</v>
      </c>
      <c r="Z190" s="2">
        <f>VLOOKUP($A190,'[2]App C Assum'!$A$4:$I$917,8,FALSE)</f>
        <v>0</v>
      </c>
      <c r="AA190" s="2">
        <f>VLOOKUP($A190,'[2]App C Assum'!$A$4:$I$917,9,FALSE)</f>
        <v>0</v>
      </c>
      <c r="AB190" s="2"/>
      <c r="AC190" s="2">
        <f>VLOOKUP($A190,'[2]App C Share Outflows'!$A$4:$I$917,5,FALSE)</f>
        <v>9881</v>
      </c>
      <c r="AD190" s="2">
        <f>VLOOKUP($A190,'[2]App C Share Outflows'!$A$4:$I$917,6,FALSE)</f>
        <v>7423</v>
      </c>
      <c r="AE190" s="2">
        <f>VLOOKUP($A190,'[2]App C Share Outflows'!$A$4:$I$917,7,FALSE)</f>
        <v>7423</v>
      </c>
      <c r="AF190" s="2">
        <f>VLOOKUP($A190,'[2]App C Share Outflows'!$A$4:$I$917,8,FALSE)</f>
        <v>7424</v>
      </c>
      <c r="AG190" s="2">
        <f>VLOOKUP($A190,'[2]App C Share Outflows'!$A$4:$I$917,9,FALSE)</f>
        <v>0</v>
      </c>
      <c r="AH190" s="2"/>
      <c r="AI190" s="2">
        <f>VLOOKUP($A190,'[2]App C Share Inflows'!$A$4:$I$917,5,FALSE)</f>
        <v>-5606</v>
      </c>
      <c r="AJ190" s="2">
        <f>VLOOKUP($A190,'[2]App C Share Inflows'!$A$4:$I$917,6,FALSE)</f>
        <v>-5608</v>
      </c>
      <c r="AK190" s="2">
        <f>VLOOKUP($A190,'[2]App C Share Inflows'!$A$4:$I$917,7,FALSE)</f>
        <v>-3876</v>
      </c>
      <c r="AL190" s="2">
        <f>VLOOKUP($A190,'[2]App C Share Inflows'!$A$4:$I$917,8,FALSE)</f>
        <v>0</v>
      </c>
      <c r="AM190" s="2">
        <f>VLOOKUP($A190,'[2]App C Share Inflows'!$A$4:$I$917,6,FALSE)</f>
        <v>-5608</v>
      </c>
    </row>
    <row r="191" spans="1:39">
      <c r="A191" s="351">
        <v>91504</v>
      </c>
      <c r="B191" s="344" t="s">
        <v>883</v>
      </c>
      <c r="C191" s="235" t="e">
        <f>VLOOKUP(A191,#REF!,10,FALSE)</f>
        <v>#REF!</v>
      </c>
      <c r="E191" s="2">
        <f>VLOOKUP($A191,'[2]App C Total'!$A$4:$I$917,5,FALSE)</f>
        <v>5509</v>
      </c>
      <c r="F191" s="2">
        <f>VLOOKUP($A191,'[2]App C Total'!$A$4:$I$917,6,FALSE)</f>
        <v>2319</v>
      </c>
      <c r="G191" s="2">
        <f>VLOOKUP($A191,'[2]App C Total'!$A$4:$I$917,7,FALSE)</f>
        <v>2946</v>
      </c>
      <c r="H191" s="2">
        <f>VLOOKUP($A191,'[2]App C Total'!$A$4:$I$917,8,FALSE)</f>
        <v>911</v>
      </c>
      <c r="I191" s="2">
        <f>VLOOKUP($A191,'[2]App C Total'!$A$4:$I$917,9,FALSE)</f>
        <v>0</v>
      </c>
      <c r="J191" s="2"/>
      <c r="K191" s="2">
        <f>VLOOKUP($A191,'[2]App C Exp'!$A$4:$I$917,5,FALSE)</f>
        <v>1258</v>
      </c>
      <c r="L191" s="2">
        <f>VLOOKUP($A191,'[2]App C Exp'!$A$4:$I$917,6,FALSE)</f>
        <v>1184</v>
      </c>
      <c r="M191" s="2">
        <f>VLOOKUP($A191,'[2]App C Exp'!$A$4:$I$917,7,FALSE)</f>
        <v>1061</v>
      </c>
      <c r="N191" s="2">
        <f>VLOOKUP($A191,'[2]App C Exp'!$A$4:$I$917,8,FALSE)</f>
        <v>425</v>
      </c>
      <c r="O191" s="2">
        <f>VLOOKUP($A191,'[2]App C Exp'!$A$4:$I$917,9,FALSE)</f>
        <v>0</v>
      </c>
      <c r="P191" s="2"/>
      <c r="Q191" s="2">
        <f>VLOOKUP($A191,'[2]App C Inv'!$A$4:$I$917,5,FALSE)</f>
        <v>1336</v>
      </c>
      <c r="R191" s="2">
        <f>VLOOKUP($A191,'[2]App C Inv'!$A$4:$I$917,6,FALSE)</f>
        <v>-1149</v>
      </c>
      <c r="S191" s="2">
        <f>VLOOKUP($A191,'[2]App C Inv'!$A$4:$I$917,7,FALSE)</f>
        <v>162</v>
      </c>
      <c r="T191" s="2">
        <f>VLOOKUP($A191,'[2]App C Inv'!$A$4:$I$917,8,FALSE)</f>
        <v>211</v>
      </c>
      <c r="U191" s="2">
        <f>VLOOKUP($A191,'[2]App C Inv'!$A$4:$I$917,9,FALSE)</f>
        <v>0</v>
      </c>
      <c r="V191" s="2"/>
      <c r="W191" s="2">
        <f>VLOOKUP($A191,'[2]App C Assum'!$A$4:$I$917,5,FALSE)</f>
        <v>1505</v>
      </c>
      <c r="X191" s="2">
        <f>VLOOKUP($A191,'[2]App C Assum'!$A$4:$I$917,6,FALSE)</f>
        <v>1233</v>
      </c>
      <c r="Y191" s="2">
        <f>VLOOKUP($A191,'[2]App C Assum'!$A$4:$I$917,7,FALSE)</f>
        <v>1001</v>
      </c>
      <c r="Z191" s="2">
        <f>VLOOKUP($A191,'[2]App C Assum'!$A$4:$I$917,8,FALSE)</f>
        <v>0</v>
      </c>
      <c r="AA191" s="2">
        <f>VLOOKUP($A191,'[2]App C Assum'!$A$4:$I$917,9,FALSE)</f>
        <v>0</v>
      </c>
      <c r="AB191" s="2"/>
      <c r="AC191" s="2">
        <f>VLOOKUP($A191,'[2]App C Share Outflows'!$A$4:$I$917,5,FALSE)</f>
        <v>1410</v>
      </c>
      <c r="AD191" s="2">
        <f>VLOOKUP($A191,'[2]App C Share Outflows'!$A$4:$I$917,6,FALSE)</f>
        <v>1051</v>
      </c>
      <c r="AE191" s="2">
        <f>VLOOKUP($A191,'[2]App C Share Outflows'!$A$4:$I$917,7,FALSE)</f>
        <v>722</v>
      </c>
      <c r="AF191" s="2">
        <f>VLOOKUP($A191,'[2]App C Share Outflows'!$A$4:$I$917,8,FALSE)</f>
        <v>275</v>
      </c>
      <c r="AG191" s="2">
        <f>VLOOKUP($A191,'[2]App C Share Outflows'!$A$4:$I$917,9,FALSE)</f>
        <v>0</v>
      </c>
      <c r="AH191" s="2"/>
      <c r="AI191" s="2">
        <f>VLOOKUP($A191,'[2]App C Share Inflows'!$A$4:$I$917,5,FALSE)</f>
        <v>0</v>
      </c>
      <c r="AJ191" s="2">
        <f>VLOOKUP($A191,'[2]App C Share Inflows'!$A$4:$I$917,6,FALSE)</f>
        <v>0</v>
      </c>
      <c r="AK191" s="2">
        <f>VLOOKUP($A191,'[2]App C Share Inflows'!$A$4:$I$917,7,FALSE)</f>
        <v>0</v>
      </c>
      <c r="AL191" s="2">
        <f>VLOOKUP($A191,'[2]App C Share Inflows'!$A$4:$I$917,8,FALSE)</f>
        <v>0</v>
      </c>
      <c r="AM191" s="2">
        <f>VLOOKUP($A191,'[2]App C Share Inflows'!$A$4:$I$917,6,FALSE)</f>
        <v>0</v>
      </c>
    </row>
    <row r="192" spans="1:39">
      <c r="A192" s="351">
        <v>91601</v>
      </c>
      <c r="B192" s="344" t="s">
        <v>884</v>
      </c>
      <c r="C192" s="235" t="e">
        <f>VLOOKUP(A192,#REF!,10,FALSE)</f>
        <v>#REF!</v>
      </c>
      <c r="E192" s="2">
        <f>VLOOKUP($A192,'[2]App C Total'!$A$4:$I$917,5,FALSE)</f>
        <v>1545468</v>
      </c>
      <c r="F192" s="2">
        <f>VLOOKUP($A192,'[2]App C Total'!$A$4:$I$917,6,FALSE)</f>
        <v>500845</v>
      </c>
      <c r="G192" s="2">
        <f>VLOOKUP($A192,'[2]App C Total'!$A$4:$I$917,7,FALSE)</f>
        <v>853299</v>
      </c>
      <c r="H192" s="2">
        <f>VLOOKUP($A192,'[2]App C Total'!$A$4:$I$917,8,FALSE)</f>
        <v>284266</v>
      </c>
      <c r="I192" s="2">
        <f>VLOOKUP($A192,'[2]App C Total'!$A$4:$I$917,9,FALSE)</f>
        <v>0</v>
      </c>
      <c r="J192" s="2"/>
      <c r="K192" s="2">
        <f>VLOOKUP($A192,'[2]App C Exp'!$A$4:$I$917,5,FALSE)</f>
        <v>450485</v>
      </c>
      <c r="L192" s="2">
        <f>VLOOKUP($A192,'[2]App C Exp'!$A$4:$I$917,6,FALSE)</f>
        <v>423761</v>
      </c>
      <c r="M192" s="2">
        <f>VLOOKUP($A192,'[2]App C Exp'!$A$4:$I$917,7,FALSE)</f>
        <v>379812</v>
      </c>
      <c r="N192" s="2">
        <f>VLOOKUP($A192,'[2]App C Exp'!$A$4:$I$917,8,FALSE)</f>
        <v>152072</v>
      </c>
      <c r="O192" s="2">
        <f>VLOOKUP($A192,'[2]App C Exp'!$A$4:$I$917,9,FALSE)</f>
        <v>0</v>
      </c>
      <c r="P192" s="2"/>
      <c r="Q192" s="2">
        <f>VLOOKUP($A192,'[2]App C Inv'!$A$4:$I$917,5,FALSE)</f>
        <v>478252</v>
      </c>
      <c r="R192" s="2">
        <f>VLOOKUP($A192,'[2]App C Inv'!$A$4:$I$917,6,FALSE)</f>
        <v>-411386</v>
      </c>
      <c r="S192" s="2">
        <f>VLOOKUP($A192,'[2]App C Inv'!$A$4:$I$917,7,FALSE)</f>
        <v>57980</v>
      </c>
      <c r="T192" s="2">
        <f>VLOOKUP($A192,'[2]App C Inv'!$A$4:$I$917,8,FALSE)</f>
        <v>75460</v>
      </c>
      <c r="U192" s="2">
        <f>VLOOKUP($A192,'[2]App C Inv'!$A$4:$I$917,9,FALSE)</f>
        <v>0</v>
      </c>
      <c r="V192" s="2"/>
      <c r="W192" s="2">
        <f>VLOOKUP($A192,'[2]App C Assum'!$A$4:$I$917,5,FALSE)</f>
        <v>538758</v>
      </c>
      <c r="X192" s="2">
        <f>VLOOKUP($A192,'[2]App C Assum'!$A$4:$I$917,6,FALSE)</f>
        <v>441370</v>
      </c>
      <c r="Y192" s="2">
        <f>VLOOKUP($A192,'[2]App C Assum'!$A$4:$I$917,7,FALSE)</f>
        <v>358317</v>
      </c>
      <c r="Z192" s="2">
        <f>VLOOKUP($A192,'[2]App C Assum'!$A$4:$I$917,8,FALSE)</f>
        <v>0</v>
      </c>
      <c r="AA192" s="2">
        <f>VLOOKUP($A192,'[2]App C Assum'!$A$4:$I$917,9,FALSE)</f>
        <v>0</v>
      </c>
      <c r="AB192" s="2"/>
      <c r="AC192" s="2">
        <f>VLOOKUP($A192,'[2]App C Share Outflows'!$A$4:$I$917,5,FALSE)</f>
        <v>88065</v>
      </c>
      <c r="AD192" s="2">
        <f>VLOOKUP($A192,'[2]App C Share Outflows'!$A$4:$I$917,6,FALSE)</f>
        <v>57191</v>
      </c>
      <c r="AE192" s="2">
        <f>VLOOKUP($A192,'[2]App C Share Outflows'!$A$4:$I$917,7,FALSE)</f>
        <v>57190</v>
      </c>
      <c r="AF192" s="2">
        <f>VLOOKUP($A192,'[2]App C Share Outflows'!$A$4:$I$917,8,FALSE)</f>
        <v>56734</v>
      </c>
      <c r="AG192" s="2">
        <f>VLOOKUP($A192,'[2]App C Share Outflows'!$A$4:$I$917,9,FALSE)</f>
        <v>0</v>
      </c>
      <c r="AH192" s="2"/>
      <c r="AI192" s="2">
        <f>VLOOKUP($A192,'[2]App C Share Inflows'!$A$4:$I$917,5,FALSE)</f>
        <v>-10092</v>
      </c>
      <c r="AJ192" s="2">
        <f>VLOOKUP($A192,'[2]App C Share Inflows'!$A$4:$I$917,6,FALSE)</f>
        <v>-10091</v>
      </c>
      <c r="AK192" s="2">
        <f>VLOOKUP($A192,'[2]App C Share Inflows'!$A$4:$I$917,7,FALSE)</f>
        <v>0</v>
      </c>
      <c r="AL192" s="2">
        <f>VLOOKUP($A192,'[2]App C Share Inflows'!$A$4:$I$917,8,FALSE)</f>
        <v>0</v>
      </c>
      <c r="AM192" s="2">
        <f>VLOOKUP($A192,'[2]App C Share Inflows'!$A$4:$I$917,6,FALSE)</f>
        <v>-10091</v>
      </c>
    </row>
    <row r="193" spans="1:39">
      <c r="A193" s="351">
        <v>91604</v>
      </c>
      <c r="B193" s="344" t="s">
        <v>885</v>
      </c>
      <c r="C193" s="235" t="e">
        <f>VLOOKUP(A193,#REF!,10,FALSE)</f>
        <v>#REF!</v>
      </c>
      <c r="E193" s="2">
        <f>VLOOKUP($A193,'[2]App C Total'!$A$4:$I$917,5,FALSE)</f>
        <v>51863</v>
      </c>
      <c r="F193" s="2">
        <f>VLOOKUP($A193,'[2]App C Total'!$A$4:$I$917,6,FALSE)</f>
        <v>20757</v>
      </c>
      <c r="G193" s="2">
        <f>VLOOKUP($A193,'[2]App C Total'!$A$4:$I$917,7,FALSE)</f>
        <v>28244</v>
      </c>
      <c r="H193" s="2">
        <f>VLOOKUP($A193,'[2]App C Total'!$A$4:$I$917,8,FALSE)</f>
        <v>9838</v>
      </c>
      <c r="I193" s="2">
        <f>VLOOKUP($A193,'[2]App C Total'!$A$4:$I$917,9,FALSE)</f>
        <v>0</v>
      </c>
      <c r="J193" s="2"/>
      <c r="K193" s="2">
        <f>VLOOKUP($A193,'[2]App C Exp'!$A$4:$I$917,5,FALSE)</f>
        <v>12823</v>
      </c>
      <c r="L193" s="2">
        <f>VLOOKUP($A193,'[2]App C Exp'!$A$4:$I$917,6,FALSE)</f>
        <v>12063</v>
      </c>
      <c r="M193" s="2">
        <f>VLOOKUP($A193,'[2]App C Exp'!$A$4:$I$917,7,FALSE)</f>
        <v>10812</v>
      </c>
      <c r="N193" s="2">
        <f>VLOOKUP($A193,'[2]App C Exp'!$A$4:$I$917,8,FALSE)</f>
        <v>4329</v>
      </c>
      <c r="O193" s="2">
        <f>VLOOKUP($A193,'[2]App C Exp'!$A$4:$I$917,9,FALSE)</f>
        <v>0</v>
      </c>
      <c r="P193" s="2"/>
      <c r="Q193" s="2">
        <f>VLOOKUP($A193,'[2]App C Inv'!$A$4:$I$917,5,FALSE)</f>
        <v>13614</v>
      </c>
      <c r="R193" s="2">
        <f>VLOOKUP($A193,'[2]App C Inv'!$A$4:$I$917,6,FALSE)</f>
        <v>-11711</v>
      </c>
      <c r="S193" s="2">
        <f>VLOOKUP($A193,'[2]App C Inv'!$A$4:$I$917,7,FALSE)</f>
        <v>1650</v>
      </c>
      <c r="T193" s="2">
        <f>VLOOKUP($A193,'[2]App C Inv'!$A$4:$I$917,8,FALSE)</f>
        <v>2148</v>
      </c>
      <c r="U193" s="2">
        <f>VLOOKUP($A193,'[2]App C Inv'!$A$4:$I$917,9,FALSE)</f>
        <v>0</v>
      </c>
      <c r="V193" s="2"/>
      <c r="W193" s="2">
        <f>VLOOKUP($A193,'[2]App C Assum'!$A$4:$I$917,5,FALSE)</f>
        <v>15336</v>
      </c>
      <c r="X193" s="2">
        <f>VLOOKUP($A193,'[2]App C Assum'!$A$4:$I$917,6,FALSE)</f>
        <v>12564</v>
      </c>
      <c r="Y193" s="2">
        <f>VLOOKUP($A193,'[2]App C Assum'!$A$4:$I$917,7,FALSE)</f>
        <v>10200</v>
      </c>
      <c r="Z193" s="2">
        <f>VLOOKUP($A193,'[2]App C Assum'!$A$4:$I$917,8,FALSE)</f>
        <v>0</v>
      </c>
      <c r="AA193" s="2">
        <f>VLOOKUP($A193,'[2]App C Assum'!$A$4:$I$917,9,FALSE)</f>
        <v>0</v>
      </c>
      <c r="AB193" s="2"/>
      <c r="AC193" s="2">
        <f>VLOOKUP($A193,'[2]App C Share Outflows'!$A$4:$I$917,5,FALSE)</f>
        <v>10090</v>
      </c>
      <c r="AD193" s="2">
        <f>VLOOKUP($A193,'[2]App C Share Outflows'!$A$4:$I$917,6,FALSE)</f>
        <v>7841</v>
      </c>
      <c r="AE193" s="2">
        <f>VLOOKUP($A193,'[2]App C Share Outflows'!$A$4:$I$917,7,FALSE)</f>
        <v>5582</v>
      </c>
      <c r="AF193" s="2">
        <f>VLOOKUP($A193,'[2]App C Share Outflows'!$A$4:$I$917,8,FALSE)</f>
        <v>3361</v>
      </c>
      <c r="AG193" s="2">
        <f>VLOOKUP($A193,'[2]App C Share Outflows'!$A$4:$I$917,9,FALSE)</f>
        <v>0</v>
      </c>
      <c r="AH193" s="2"/>
      <c r="AI193" s="2">
        <f>VLOOKUP($A193,'[2]App C Share Inflows'!$A$4:$I$917,5,FALSE)</f>
        <v>0</v>
      </c>
      <c r="AJ193" s="2">
        <f>VLOOKUP($A193,'[2]App C Share Inflows'!$A$4:$I$917,6,FALSE)</f>
        <v>0</v>
      </c>
      <c r="AK193" s="2">
        <f>VLOOKUP($A193,'[2]App C Share Inflows'!$A$4:$I$917,7,FALSE)</f>
        <v>0</v>
      </c>
      <c r="AL193" s="2">
        <f>VLOOKUP($A193,'[2]App C Share Inflows'!$A$4:$I$917,8,FALSE)</f>
        <v>0</v>
      </c>
      <c r="AM193" s="2">
        <f>VLOOKUP($A193,'[2]App C Share Inflows'!$A$4:$I$917,6,FALSE)</f>
        <v>0</v>
      </c>
    </row>
    <row r="194" spans="1:39">
      <c r="A194" s="351">
        <v>91608</v>
      </c>
      <c r="B194" s="344" t="s">
        <v>886</v>
      </c>
      <c r="C194" s="235" t="e">
        <f>VLOOKUP(A194,#REF!,10,FALSE)</f>
        <v>#REF!</v>
      </c>
      <c r="E194" s="2">
        <f>VLOOKUP($A194,'[2]App C Total'!$A$4:$I$917,5,FALSE)</f>
        <v>63397</v>
      </c>
      <c r="F194" s="2">
        <f>VLOOKUP($A194,'[2]App C Total'!$A$4:$I$917,6,FALSE)</f>
        <v>13891</v>
      </c>
      <c r="G194" s="2">
        <f>VLOOKUP($A194,'[2]App C Total'!$A$4:$I$917,7,FALSE)</f>
        <v>31058</v>
      </c>
      <c r="H194" s="2">
        <f>VLOOKUP($A194,'[2]App C Total'!$A$4:$I$917,8,FALSE)</f>
        <v>5995</v>
      </c>
      <c r="I194" s="2">
        <f>VLOOKUP($A194,'[2]App C Total'!$A$4:$I$917,9,FALSE)</f>
        <v>0</v>
      </c>
      <c r="J194" s="2"/>
      <c r="K194" s="2">
        <f>VLOOKUP($A194,'[2]App C Exp'!$A$4:$I$917,5,FALSE)</f>
        <v>23100</v>
      </c>
      <c r="L194" s="2">
        <f>VLOOKUP($A194,'[2]App C Exp'!$A$4:$I$917,6,FALSE)</f>
        <v>21730</v>
      </c>
      <c r="M194" s="2">
        <f>VLOOKUP($A194,'[2]App C Exp'!$A$4:$I$917,7,FALSE)</f>
        <v>19476</v>
      </c>
      <c r="N194" s="2">
        <f>VLOOKUP($A194,'[2]App C Exp'!$A$4:$I$917,8,FALSE)</f>
        <v>7798</v>
      </c>
      <c r="O194" s="2">
        <f>VLOOKUP($A194,'[2]App C Exp'!$A$4:$I$917,9,FALSE)</f>
        <v>0</v>
      </c>
      <c r="P194" s="2"/>
      <c r="Q194" s="2">
        <f>VLOOKUP($A194,'[2]App C Inv'!$A$4:$I$917,5,FALSE)</f>
        <v>24524</v>
      </c>
      <c r="R194" s="2">
        <f>VLOOKUP($A194,'[2]App C Inv'!$A$4:$I$917,6,FALSE)</f>
        <v>-21095</v>
      </c>
      <c r="S194" s="2">
        <f>VLOOKUP($A194,'[2]App C Inv'!$A$4:$I$917,7,FALSE)</f>
        <v>2973</v>
      </c>
      <c r="T194" s="2">
        <f>VLOOKUP($A194,'[2]App C Inv'!$A$4:$I$917,8,FALSE)</f>
        <v>3869</v>
      </c>
      <c r="U194" s="2">
        <f>VLOOKUP($A194,'[2]App C Inv'!$A$4:$I$917,9,FALSE)</f>
        <v>0</v>
      </c>
      <c r="V194" s="2"/>
      <c r="W194" s="2">
        <f>VLOOKUP($A194,'[2]App C Assum'!$A$4:$I$917,5,FALSE)</f>
        <v>27627</v>
      </c>
      <c r="X194" s="2">
        <f>VLOOKUP($A194,'[2]App C Assum'!$A$4:$I$917,6,FALSE)</f>
        <v>22633</v>
      </c>
      <c r="Y194" s="2">
        <f>VLOOKUP($A194,'[2]App C Assum'!$A$4:$I$917,7,FALSE)</f>
        <v>18374</v>
      </c>
      <c r="Z194" s="2">
        <f>VLOOKUP($A194,'[2]App C Assum'!$A$4:$I$917,8,FALSE)</f>
        <v>0</v>
      </c>
      <c r="AA194" s="2">
        <f>VLOOKUP($A194,'[2]App C Assum'!$A$4:$I$917,9,FALSE)</f>
        <v>0</v>
      </c>
      <c r="AB194" s="2"/>
      <c r="AC194" s="2">
        <f>VLOOKUP($A194,'[2]App C Share Outflows'!$A$4:$I$917,5,FALSE)</f>
        <v>390</v>
      </c>
      <c r="AD194" s="2">
        <f>VLOOKUP($A194,'[2]App C Share Outflows'!$A$4:$I$917,6,FALSE)</f>
        <v>389</v>
      </c>
      <c r="AE194" s="2">
        <f>VLOOKUP($A194,'[2]App C Share Outflows'!$A$4:$I$917,7,FALSE)</f>
        <v>0</v>
      </c>
      <c r="AF194" s="2">
        <f>VLOOKUP($A194,'[2]App C Share Outflows'!$A$4:$I$917,8,FALSE)</f>
        <v>0</v>
      </c>
      <c r="AG194" s="2">
        <f>VLOOKUP($A194,'[2]App C Share Outflows'!$A$4:$I$917,9,FALSE)</f>
        <v>0</v>
      </c>
      <c r="AH194" s="2"/>
      <c r="AI194" s="2">
        <f>VLOOKUP($A194,'[2]App C Share Inflows'!$A$4:$I$917,5,FALSE)</f>
        <v>-12244</v>
      </c>
      <c r="AJ194" s="2">
        <f>VLOOKUP($A194,'[2]App C Share Inflows'!$A$4:$I$917,6,FALSE)</f>
        <v>-9766</v>
      </c>
      <c r="AK194" s="2">
        <f>VLOOKUP($A194,'[2]App C Share Inflows'!$A$4:$I$917,7,FALSE)</f>
        <v>-9765</v>
      </c>
      <c r="AL194" s="2">
        <f>VLOOKUP($A194,'[2]App C Share Inflows'!$A$4:$I$917,8,FALSE)</f>
        <v>-5672</v>
      </c>
      <c r="AM194" s="2">
        <f>VLOOKUP($A194,'[2]App C Share Inflows'!$A$4:$I$917,6,FALSE)</f>
        <v>-9766</v>
      </c>
    </row>
    <row r="195" spans="1:39">
      <c r="A195" s="351">
        <v>91611</v>
      </c>
      <c r="B195" s="344" t="s">
        <v>887</v>
      </c>
      <c r="C195" s="235" t="e">
        <f>VLOOKUP(A195,#REF!,10,FALSE)</f>
        <v>#REF!</v>
      </c>
      <c r="E195" s="2">
        <f>VLOOKUP($A195,'[2]App C Total'!$A$4:$I$917,5,FALSE)</f>
        <v>659663</v>
      </c>
      <c r="F195" s="2">
        <f>VLOOKUP($A195,'[2]App C Total'!$A$4:$I$917,6,FALSE)</f>
        <v>170402</v>
      </c>
      <c r="G195" s="2">
        <f>VLOOKUP($A195,'[2]App C Total'!$A$4:$I$917,7,FALSE)</f>
        <v>346557</v>
      </c>
      <c r="H195" s="2">
        <f>VLOOKUP($A195,'[2]App C Total'!$A$4:$I$917,8,FALSE)</f>
        <v>90138</v>
      </c>
      <c r="I195" s="2">
        <f>VLOOKUP($A195,'[2]App C Total'!$A$4:$I$917,9,FALSE)</f>
        <v>0</v>
      </c>
      <c r="J195" s="2"/>
      <c r="K195" s="2">
        <f>VLOOKUP($A195,'[2]App C Exp'!$A$4:$I$917,5,FALSE)</f>
        <v>219587</v>
      </c>
      <c r="L195" s="2">
        <f>VLOOKUP($A195,'[2]App C Exp'!$A$4:$I$917,6,FALSE)</f>
        <v>206561</v>
      </c>
      <c r="M195" s="2">
        <f>VLOOKUP($A195,'[2]App C Exp'!$A$4:$I$917,7,FALSE)</f>
        <v>185138</v>
      </c>
      <c r="N195" s="2">
        <f>VLOOKUP($A195,'[2]App C Exp'!$A$4:$I$917,8,FALSE)</f>
        <v>74127</v>
      </c>
      <c r="O195" s="2">
        <f>VLOOKUP($A195,'[2]App C Exp'!$A$4:$I$917,9,FALSE)</f>
        <v>0</v>
      </c>
      <c r="P195" s="2"/>
      <c r="Q195" s="2">
        <f>VLOOKUP($A195,'[2]App C Inv'!$A$4:$I$917,5,FALSE)</f>
        <v>233122</v>
      </c>
      <c r="R195" s="2">
        <f>VLOOKUP($A195,'[2]App C Inv'!$A$4:$I$917,6,FALSE)</f>
        <v>-200529</v>
      </c>
      <c r="S195" s="2">
        <f>VLOOKUP($A195,'[2]App C Inv'!$A$4:$I$917,7,FALSE)</f>
        <v>28262</v>
      </c>
      <c r="T195" s="2">
        <f>VLOOKUP($A195,'[2]App C Inv'!$A$4:$I$917,8,FALSE)</f>
        <v>36783</v>
      </c>
      <c r="U195" s="2">
        <f>VLOOKUP($A195,'[2]App C Inv'!$A$4:$I$917,9,FALSE)</f>
        <v>0</v>
      </c>
      <c r="V195" s="2"/>
      <c r="W195" s="2">
        <f>VLOOKUP($A195,'[2]App C Assum'!$A$4:$I$917,5,FALSE)</f>
        <v>262616</v>
      </c>
      <c r="X195" s="2">
        <f>VLOOKUP($A195,'[2]App C Assum'!$A$4:$I$917,6,FALSE)</f>
        <v>215144</v>
      </c>
      <c r="Y195" s="2">
        <f>VLOOKUP($A195,'[2]App C Assum'!$A$4:$I$917,7,FALSE)</f>
        <v>174660</v>
      </c>
      <c r="Z195" s="2">
        <f>VLOOKUP($A195,'[2]App C Assum'!$A$4:$I$917,8,FALSE)</f>
        <v>0</v>
      </c>
      <c r="AA195" s="2">
        <f>VLOOKUP($A195,'[2]App C Assum'!$A$4:$I$917,9,FALSE)</f>
        <v>0</v>
      </c>
      <c r="AB195" s="2"/>
      <c r="AC195" s="2">
        <f>VLOOKUP($A195,'[2]App C Share Outflows'!$A$4:$I$917,5,FALSE)</f>
        <v>0</v>
      </c>
      <c r="AD195" s="2">
        <f>VLOOKUP($A195,'[2]App C Share Outflows'!$A$4:$I$917,6,FALSE)</f>
        <v>0</v>
      </c>
      <c r="AE195" s="2">
        <f>VLOOKUP($A195,'[2]App C Share Outflows'!$A$4:$I$917,7,FALSE)</f>
        <v>0</v>
      </c>
      <c r="AF195" s="2">
        <f>VLOOKUP($A195,'[2]App C Share Outflows'!$A$4:$I$917,8,FALSE)</f>
        <v>0</v>
      </c>
      <c r="AG195" s="2">
        <f>VLOOKUP($A195,'[2]App C Share Outflows'!$A$4:$I$917,9,FALSE)</f>
        <v>0</v>
      </c>
      <c r="AH195" s="2"/>
      <c r="AI195" s="2">
        <f>VLOOKUP($A195,'[2]App C Share Inflows'!$A$4:$I$917,5,FALSE)</f>
        <v>-55662</v>
      </c>
      <c r="AJ195" s="2">
        <f>VLOOKUP($A195,'[2]App C Share Inflows'!$A$4:$I$917,6,FALSE)</f>
        <v>-50774</v>
      </c>
      <c r="AK195" s="2">
        <f>VLOOKUP($A195,'[2]App C Share Inflows'!$A$4:$I$917,7,FALSE)</f>
        <v>-41503</v>
      </c>
      <c r="AL195" s="2">
        <f>VLOOKUP($A195,'[2]App C Share Inflows'!$A$4:$I$917,8,FALSE)</f>
        <v>-20772</v>
      </c>
      <c r="AM195" s="2">
        <f>VLOOKUP($A195,'[2]App C Share Inflows'!$A$4:$I$917,6,FALSE)</f>
        <v>-50774</v>
      </c>
    </row>
    <row r="196" spans="1:39">
      <c r="A196" s="351">
        <v>91621</v>
      </c>
      <c r="B196" s="344" t="s">
        <v>888</v>
      </c>
      <c r="C196" s="235" t="e">
        <f>VLOOKUP(A196,#REF!,10,FALSE)</f>
        <v>#REF!</v>
      </c>
      <c r="E196" s="2">
        <f>VLOOKUP($A196,'[2]App C Total'!$A$4:$I$917,5,FALSE)</f>
        <v>110459</v>
      </c>
      <c r="F196" s="2">
        <f>VLOOKUP($A196,'[2]App C Total'!$A$4:$I$917,6,FALSE)</f>
        <v>30308</v>
      </c>
      <c r="G196" s="2">
        <f>VLOOKUP($A196,'[2]App C Total'!$A$4:$I$917,7,FALSE)</f>
        <v>57939</v>
      </c>
      <c r="H196" s="2">
        <f>VLOOKUP($A196,'[2]App C Total'!$A$4:$I$917,8,FALSE)</f>
        <v>14040</v>
      </c>
      <c r="I196" s="2">
        <f>VLOOKUP($A196,'[2]App C Total'!$A$4:$I$917,9,FALSE)</f>
        <v>0</v>
      </c>
      <c r="J196" s="2"/>
      <c r="K196" s="2">
        <f>VLOOKUP($A196,'[2]App C Exp'!$A$4:$I$917,5,FALSE)</f>
        <v>36223</v>
      </c>
      <c r="L196" s="2">
        <f>VLOOKUP($A196,'[2]App C Exp'!$A$4:$I$917,6,FALSE)</f>
        <v>34074</v>
      </c>
      <c r="M196" s="2">
        <f>VLOOKUP($A196,'[2]App C Exp'!$A$4:$I$917,7,FALSE)</f>
        <v>30541</v>
      </c>
      <c r="N196" s="2">
        <f>VLOOKUP($A196,'[2]App C Exp'!$A$4:$I$917,8,FALSE)</f>
        <v>12228</v>
      </c>
      <c r="O196" s="2">
        <f>VLOOKUP($A196,'[2]App C Exp'!$A$4:$I$917,9,FALSE)</f>
        <v>0</v>
      </c>
      <c r="P196" s="2"/>
      <c r="Q196" s="2">
        <f>VLOOKUP($A196,'[2]App C Inv'!$A$4:$I$917,5,FALSE)</f>
        <v>38456</v>
      </c>
      <c r="R196" s="2">
        <f>VLOOKUP($A196,'[2]App C Inv'!$A$4:$I$917,6,FALSE)</f>
        <v>-33079</v>
      </c>
      <c r="S196" s="2">
        <f>VLOOKUP($A196,'[2]App C Inv'!$A$4:$I$917,7,FALSE)</f>
        <v>4662</v>
      </c>
      <c r="T196" s="2">
        <f>VLOOKUP($A196,'[2]App C Inv'!$A$4:$I$917,8,FALSE)</f>
        <v>6068</v>
      </c>
      <c r="U196" s="2">
        <f>VLOOKUP($A196,'[2]App C Inv'!$A$4:$I$917,9,FALSE)</f>
        <v>0</v>
      </c>
      <c r="V196" s="2"/>
      <c r="W196" s="2">
        <f>VLOOKUP($A196,'[2]App C Assum'!$A$4:$I$917,5,FALSE)</f>
        <v>43321</v>
      </c>
      <c r="X196" s="2">
        <f>VLOOKUP($A196,'[2]App C Assum'!$A$4:$I$917,6,FALSE)</f>
        <v>35490</v>
      </c>
      <c r="Y196" s="2">
        <f>VLOOKUP($A196,'[2]App C Assum'!$A$4:$I$917,7,FALSE)</f>
        <v>28812</v>
      </c>
      <c r="Z196" s="2">
        <f>VLOOKUP($A196,'[2]App C Assum'!$A$4:$I$917,8,FALSE)</f>
        <v>0</v>
      </c>
      <c r="AA196" s="2">
        <f>VLOOKUP($A196,'[2]App C Assum'!$A$4:$I$917,9,FALSE)</f>
        <v>0</v>
      </c>
      <c r="AB196" s="2"/>
      <c r="AC196" s="2">
        <f>VLOOKUP($A196,'[2]App C Share Outflows'!$A$4:$I$917,5,FALSE)</f>
        <v>0</v>
      </c>
      <c r="AD196" s="2">
        <f>VLOOKUP($A196,'[2]App C Share Outflows'!$A$4:$I$917,6,FALSE)</f>
        <v>0</v>
      </c>
      <c r="AE196" s="2">
        <f>VLOOKUP($A196,'[2]App C Share Outflows'!$A$4:$I$917,7,FALSE)</f>
        <v>0</v>
      </c>
      <c r="AF196" s="2">
        <f>VLOOKUP($A196,'[2]App C Share Outflows'!$A$4:$I$917,8,FALSE)</f>
        <v>0</v>
      </c>
      <c r="AG196" s="2">
        <f>VLOOKUP($A196,'[2]App C Share Outflows'!$A$4:$I$917,9,FALSE)</f>
        <v>0</v>
      </c>
      <c r="AH196" s="2"/>
      <c r="AI196" s="2">
        <f>VLOOKUP($A196,'[2]App C Share Inflows'!$A$4:$I$917,5,FALSE)</f>
        <v>-7541</v>
      </c>
      <c r="AJ196" s="2">
        <f>VLOOKUP($A196,'[2]App C Share Inflows'!$A$4:$I$917,6,FALSE)</f>
        <v>-6177</v>
      </c>
      <c r="AK196" s="2">
        <f>VLOOKUP($A196,'[2]App C Share Inflows'!$A$4:$I$917,7,FALSE)</f>
        <v>-6076</v>
      </c>
      <c r="AL196" s="2">
        <f>VLOOKUP($A196,'[2]App C Share Inflows'!$A$4:$I$917,8,FALSE)</f>
        <v>-4256</v>
      </c>
      <c r="AM196" s="2">
        <f>VLOOKUP($A196,'[2]App C Share Inflows'!$A$4:$I$917,6,FALSE)</f>
        <v>-6177</v>
      </c>
    </row>
    <row r="197" spans="1:39">
      <c r="A197" s="351">
        <v>91631</v>
      </c>
      <c r="B197" s="344" t="s">
        <v>889</v>
      </c>
      <c r="C197" s="235" t="e">
        <f>VLOOKUP(A197,#REF!,10,FALSE)</f>
        <v>#REF!</v>
      </c>
      <c r="E197" s="2">
        <f>VLOOKUP($A197,'[2]App C Total'!$A$4:$I$917,5,FALSE)</f>
        <v>278130</v>
      </c>
      <c r="F197" s="2">
        <f>VLOOKUP($A197,'[2]App C Total'!$A$4:$I$917,6,FALSE)</f>
        <v>84867</v>
      </c>
      <c r="G197" s="2">
        <f>VLOOKUP($A197,'[2]App C Total'!$A$4:$I$917,7,FALSE)</f>
        <v>159183</v>
      </c>
      <c r="H197" s="2">
        <f>VLOOKUP($A197,'[2]App C Total'!$A$4:$I$917,8,FALSE)</f>
        <v>47920</v>
      </c>
      <c r="I197" s="2">
        <f>VLOOKUP($A197,'[2]App C Total'!$A$4:$I$917,9,FALSE)</f>
        <v>0</v>
      </c>
      <c r="J197" s="2"/>
      <c r="K197" s="2">
        <f>VLOOKUP($A197,'[2]App C Exp'!$A$4:$I$917,5,FALSE)</f>
        <v>88910</v>
      </c>
      <c r="L197" s="2">
        <f>VLOOKUP($A197,'[2]App C Exp'!$A$4:$I$917,6,FALSE)</f>
        <v>83636</v>
      </c>
      <c r="M197" s="2">
        <f>VLOOKUP($A197,'[2]App C Exp'!$A$4:$I$917,7,FALSE)</f>
        <v>74962</v>
      </c>
      <c r="N197" s="2">
        <f>VLOOKUP($A197,'[2]App C Exp'!$A$4:$I$917,8,FALSE)</f>
        <v>30014</v>
      </c>
      <c r="O197" s="2">
        <f>VLOOKUP($A197,'[2]App C Exp'!$A$4:$I$917,9,FALSE)</f>
        <v>0</v>
      </c>
      <c r="P197" s="2"/>
      <c r="Q197" s="2">
        <f>VLOOKUP($A197,'[2]App C Inv'!$A$4:$I$917,5,FALSE)</f>
        <v>94391</v>
      </c>
      <c r="R197" s="2">
        <f>VLOOKUP($A197,'[2]App C Inv'!$A$4:$I$917,6,FALSE)</f>
        <v>-81194</v>
      </c>
      <c r="S197" s="2">
        <f>VLOOKUP($A197,'[2]App C Inv'!$A$4:$I$917,7,FALSE)</f>
        <v>11443</v>
      </c>
      <c r="T197" s="2">
        <f>VLOOKUP($A197,'[2]App C Inv'!$A$4:$I$917,8,FALSE)</f>
        <v>14893</v>
      </c>
      <c r="U197" s="2">
        <f>VLOOKUP($A197,'[2]App C Inv'!$A$4:$I$917,9,FALSE)</f>
        <v>0</v>
      </c>
      <c r="V197" s="2"/>
      <c r="W197" s="2">
        <f>VLOOKUP($A197,'[2]App C Assum'!$A$4:$I$917,5,FALSE)</f>
        <v>106333</v>
      </c>
      <c r="X197" s="2">
        <f>VLOOKUP($A197,'[2]App C Assum'!$A$4:$I$917,6,FALSE)</f>
        <v>87112</v>
      </c>
      <c r="Y197" s="2">
        <f>VLOOKUP($A197,'[2]App C Assum'!$A$4:$I$917,7,FALSE)</f>
        <v>70720</v>
      </c>
      <c r="Z197" s="2">
        <f>VLOOKUP($A197,'[2]App C Assum'!$A$4:$I$917,8,FALSE)</f>
        <v>0</v>
      </c>
      <c r="AA197" s="2">
        <f>VLOOKUP($A197,'[2]App C Assum'!$A$4:$I$917,9,FALSE)</f>
        <v>0</v>
      </c>
      <c r="AB197" s="2"/>
      <c r="AC197" s="2">
        <f>VLOOKUP($A197,'[2]App C Share Outflows'!$A$4:$I$917,5,FALSE)</f>
        <v>3014</v>
      </c>
      <c r="AD197" s="2">
        <f>VLOOKUP($A197,'[2]App C Share Outflows'!$A$4:$I$917,6,FALSE)</f>
        <v>3014</v>
      </c>
      <c r="AE197" s="2">
        <f>VLOOKUP($A197,'[2]App C Share Outflows'!$A$4:$I$917,7,FALSE)</f>
        <v>3014</v>
      </c>
      <c r="AF197" s="2">
        <f>VLOOKUP($A197,'[2]App C Share Outflows'!$A$4:$I$917,8,FALSE)</f>
        <v>3013</v>
      </c>
      <c r="AG197" s="2">
        <f>VLOOKUP($A197,'[2]App C Share Outflows'!$A$4:$I$917,9,FALSE)</f>
        <v>0</v>
      </c>
      <c r="AH197" s="2"/>
      <c r="AI197" s="2">
        <f>VLOOKUP($A197,'[2]App C Share Inflows'!$A$4:$I$917,5,FALSE)</f>
        <v>-14518</v>
      </c>
      <c r="AJ197" s="2">
        <f>VLOOKUP($A197,'[2]App C Share Inflows'!$A$4:$I$917,6,FALSE)</f>
        <v>-7701</v>
      </c>
      <c r="AK197" s="2">
        <f>VLOOKUP($A197,'[2]App C Share Inflows'!$A$4:$I$917,7,FALSE)</f>
        <v>-956</v>
      </c>
      <c r="AL197" s="2">
        <f>VLOOKUP($A197,'[2]App C Share Inflows'!$A$4:$I$917,8,FALSE)</f>
        <v>0</v>
      </c>
      <c r="AM197" s="2">
        <f>VLOOKUP($A197,'[2]App C Share Inflows'!$A$4:$I$917,6,FALSE)</f>
        <v>-7701</v>
      </c>
    </row>
    <row r="198" spans="1:39">
      <c r="A198" s="351">
        <v>91633</v>
      </c>
      <c r="B198" s="344" t="s">
        <v>2756</v>
      </c>
      <c r="C198" s="235" t="e">
        <f>VLOOKUP(A198,#REF!,10,FALSE)</f>
        <v>#REF!</v>
      </c>
      <c r="E198" s="2">
        <f>VLOOKUP($A198,'[2]App C Total'!$A$4:$I$917,5,FALSE)</f>
        <v>17017</v>
      </c>
      <c r="F198" s="2">
        <f>VLOOKUP($A198,'[2]App C Total'!$A$4:$I$917,6,FALSE)</f>
        <v>6082</v>
      </c>
      <c r="G198" s="2">
        <f>VLOOKUP($A198,'[2]App C Total'!$A$4:$I$917,7,FALSE)</f>
        <v>9553</v>
      </c>
      <c r="H198" s="2">
        <f>VLOOKUP($A198,'[2]App C Total'!$A$4:$I$917,8,FALSE)</f>
        <v>4536</v>
      </c>
      <c r="I198" s="2">
        <f>VLOOKUP($A198,'[2]App C Total'!$A$4:$I$917,9,FALSE)</f>
        <v>0</v>
      </c>
      <c r="J198" s="2"/>
      <c r="K198" s="2">
        <f>VLOOKUP($A198,'[2]App C Exp'!$A$4:$I$917,5,FALSE)</f>
        <v>4719</v>
      </c>
      <c r="L198" s="2">
        <f>VLOOKUP($A198,'[2]App C Exp'!$A$4:$I$917,6,FALSE)</f>
        <v>4439</v>
      </c>
      <c r="M198" s="2">
        <f>VLOOKUP($A198,'[2]App C Exp'!$A$4:$I$917,7,FALSE)</f>
        <v>3979</v>
      </c>
      <c r="N198" s="2">
        <f>VLOOKUP($A198,'[2]App C Exp'!$A$4:$I$917,8,FALSE)</f>
        <v>1593</v>
      </c>
      <c r="O198" s="2">
        <f>VLOOKUP($A198,'[2]App C Exp'!$A$4:$I$917,9,FALSE)</f>
        <v>0</v>
      </c>
      <c r="P198" s="2"/>
      <c r="Q198" s="2">
        <f>VLOOKUP($A198,'[2]App C Inv'!$A$4:$I$917,5,FALSE)</f>
        <v>5010</v>
      </c>
      <c r="R198" s="2">
        <f>VLOOKUP($A198,'[2]App C Inv'!$A$4:$I$917,6,FALSE)</f>
        <v>-4309</v>
      </c>
      <c r="S198" s="2">
        <f>VLOOKUP($A198,'[2]App C Inv'!$A$4:$I$917,7,FALSE)</f>
        <v>607</v>
      </c>
      <c r="T198" s="2">
        <f>VLOOKUP($A198,'[2]App C Inv'!$A$4:$I$917,8,FALSE)</f>
        <v>790</v>
      </c>
      <c r="U198" s="2">
        <f>VLOOKUP($A198,'[2]App C Inv'!$A$4:$I$917,9,FALSE)</f>
        <v>0</v>
      </c>
      <c r="V198" s="2"/>
      <c r="W198" s="2">
        <f>VLOOKUP($A198,'[2]App C Assum'!$A$4:$I$917,5,FALSE)</f>
        <v>5644</v>
      </c>
      <c r="X198" s="2">
        <f>VLOOKUP($A198,'[2]App C Assum'!$A$4:$I$917,6,FALSE)</f>
        <v>4623</v>
      </c>
      <c r="Y198" s="2">
        <f>VLOOKUP($A198,'[2]App C Assum'!$A$4:$I$917,7,FALSE)</f>
        <v>3753</v>
      </c>
      <c r="Z198" s="2">
        <f>VLOOKUP($A198,'[2]App C Assum'!$A$4:$I$917,8,FALSE)</f>
        <v>0</v>
      </c>
      <c r="AA198" s="2">
        <f>VLOOKUP($A198,'[2]App C Assum'!$A$4:$I$917,9,FALSE)</f>
        <v>0</v>
      </c>
      <c r="AB198" s="2"/>
      <c r="AC198" s="2">
        <f>VLOOKUP($A198,'[2]App C Share Outflows'!$A$4:$I$917,5,FALSE)</f>
        <v>2583</v>
      </c>
      <c r="AD198" s="2">
        <f>VLOOKUP($A198,'[2]App C Share Outflows'!$A$4:$I$917,6,FALSE)</f>
        <v>2268</v>
      </c>
      <c r="AE198" s="2">
        <f>VLOOKUP($A198,'[2]App C Share Outflows'!$A$4:$I$917,7,FALSE)</f>
        <v>2151</v>
      </c>
      <c r="AF198" s="2">
        <f>VLOOKUP($A198,'[2]App C Share Outflows'!$A$4:$I$917,8,FALSE)</f>
        <v>2153</v>
      </c>
      <c r="AG198" s="2">
        <f>VLOOKUP($A198,'[2]App C Share Outflows'!$A$4:$I$917,9,FALSE)</f>
        <v>0</v>
      </c>
      <c r="AH198" s="2"/>
      <c r="AI198" s="2">
        <f>VLOOKUP($A198,'[2]App C Share Inflows'!$A$4:$I$917,5,FALSE)</f>
        <v>-939</v>
      </c>
      <c r="AJ198" s="2">
        <f>VLOOKUP($A198,'[2]App C Share Inflows'!$A$4:$I$917,6,FALSE)</f>
        <v>-939</v>
      </c>
      <c r="AK198" s="2">
        <f>VLOOKUP($A198,'[2]App C Share Inflows'!$A$4:$I$917,7,FALSE)</f>
        <v>-937</v>
      </c>
      <c r="AL198" s="2">
        <f>VLOOKUP($A198,'[2]App C Share Inflows'!$A$4:$I$917,8,FALSE)</f>
        <v>0</v>
      </c>
      <c r="AM198" s="2">
        <f>VLOOKUP($A198,'[2]App C Share Inflows'!$A$4:$I$917,6,FALSE)</f>
        <v>-939</v>
      </c>
    </row>
    <row r="199" spans="1:39">
      <c r="A199" s="351">
        <v>91641</v>
      </c>
      <c r="B199" s="344" t="s">
        <v>891</v>
      </c>
      <c r="C199" s="235" t="e">
        <f>VLOOKUP(A199,#REF!,10,FALSE)</f>
        <v>#REF!</v>
      </c>
      <c r="E199" s="2">
        <f>VLOOKUP($A199,'[2]App C Total'!$A$4:$I$917,5,FALSE)</f>
        <v>118507</v>
      </c>
      <c r="F199" s="2">
        <f>VLOOKUP($A199,'[2]App C Total'!$A$4:$I$917,6,FALSE)</f>
        <v>30751</v>
      </c>
      <c r="G199" s="2">
        <f>VLOOKUP($A199,'[2]App C Total'!$A$4:$I$917,7,FALSE)</f>
        <v>64700</v>
      </c>
      <c r="H199" s="2">
        <f>VLOOKUP($A199,'[2]App C Total'!$A$4:$I$917,8,FALSE)</f>
        <v>21979</v>
      </c>
      <c r="I199" s="2">
        <f>VLOOKUP($A199,'[2]App C Total'!$A$4:$I$917,9,FALSE)</f>
        <v>0</v>
      </c>
      <c r="J199" s="2"/>
      <c r="K199" s="2">
        <f>VLOOKUP($A199,'[2]App C Exp'!$A$4:$I$917,5,FALSE)</f>
        <v>42725</v>
      </c>
      <c r="L199" s="2">
        <f>VLOOKUP($A199,'[2]App C Exp'!$A$4:$I$917,6,FALSE)</f>
        <v>40190</v>
      </c>
      <c r="M199" s="2">
        <f>VLOOKUP($A199,'[2]App C Exp'!$A$4:$I$917,7,FALSE)</f>
        <v>36022</v>
      </c>
      <c r="N199" s="2">
        <f>VLOOKUP($A199,'[2]App C Exp'!$A$4:$I$917,8,FALSE)</f>
        <v>14423</v>
      </c>
      <c r="O199" s="2">
        <f>VLOOKUP($A199,'[2]App C Exp'!$A$4:$I$917,9,FALSE)</f>
        <v>0</v>
      </c>
      <c r="P199" s="2"/>
      <c r="Q199" s="2">
        <f>VLOOKUP($A199,'[2]App C Inv'!$A$4:$I$917,5,FALSE)</f>
        <v>45358</v>
      </c>
      <c r="R199" s="2">
        <f>VLOOKUP($A199,'[2]App C Inv'!$A$4:$I$917,6,FALSE)</f>
        <v>-39017</v>
      </c>
      <c r="S199" s="2">
        <f>VLOOKUP($A199,'[2]App C Inv'!$A$4:$I$917,7,FALSE)</f>
        <v>5499</v>
      </c>
      <c r="T199" s="2">
        <f>VLOOKUP($A199,'[2]App C Inv'!$A$4:$I$917,8,FALSE)</f>
        <v>7157</v>
      </c>
      <c r="U199" s="2">
        <f>VLOOKUP($A199,'[2]App C Inv'!$A$4:$I$917,9,FALSE)</f>
        <v>0</v>
      </c>
      <c r="V199" s="2"/>
      <c r="W199" s="2">
        <f>VLOOKUP($A199,'[2]App C Assum'!$A$4:$I$917,5,FALSE)</f>
        <v>51097</v>
      </c>
      <c r="X199" s="2">
        <f>VLOOKUP($A199,'[2]App C Assum'!$A$4:$I$917,6,FALSE)</f>
        <v>41861</v>
      </c>
      <c r="Y199" s="2">
        <f>VLOOKUP($A199,'[2]App C Assum'!$A$4:$I$917,7,FALSE)</f>
        <v>33984</v>
      </c>
      <c r="Z199" s="2">
        <f>VLOOKUP($A199,'[2]App C Assum'!$A$4:$I$917,8,FALSE)</f>
        <v>0</v>
      </c>
      <c r="AA199" s="2">
        <f>VLOOKUP($A199,'[2]App C Assum'!$A$4:$I$917,9,FALSE)</f>
        <v>0</v>
      </c>
      <c r="AB199" s="2"/>
      <c r="AC199" s="2">
        <f>VLOOKUP($A199,'[2]App C Share Outflows'!$A$4:$I$917,5,FALSE)</f>
        <v>399</v>
      </c>
      <c r="AD199" s="2">
        <f>VLOOKUP($A199,'[2]App C Share Outflows'!$A$4:$I$917,6,FALSE)</f>
        <v>399</v>
      </c>
      <c r="AE199" s="2">
        <f>VLOOKUP($A199,'[2]App C Share Outflows'!$A$4:$I$917,7,FALSE)</f>
        <v>399</v>
      </c>
      <c r="AF199" s="2">
        <f>VLOOKUP($A199,'[2]App C Share Outflows'!$A$4:$I$917,8,FALSE)</f>
        <v>399</v>
      </c>
      <c r="AG199" s="2">
        <f>VLOOKUP($A199,'[2]App C Share Outflows'!$A$4:$I$917,9,FALSE)</f>
        <v>0</v>
      </c>
      <c r="AH199" s="2"/>
      <c r="AI199" s="2">
        <f>VLOOKUP($A199,'[2]App C Share Inflows'!$A$4:$I$917,5,FALSE)</f>
        <v>-21072</v>
      </c>
      <c r="AJ199" s="2">
        <f>VLOOKUP($A199,'[2]App C Share Inflows'!$A$4:$I$917,6,FALSE)</f>
        <v>-12682</v>
      </c>
      <c r="AK199" s="2">
        <f>VLOOKUP($A199,'[2]App C Share Inflows'!$A$4:$I$917,7,FALSE)</f>
        <v>-11204</v>
      </c>
      <c r="AL199" s="2">
        <f>VLOOKUP($A199,'[2]App C Share Inflows'!$A$4:$I$917,8,FALSE)</f>
        <v>0</v>
      </c>
      <c r="AM199" s="2">
        <f>VLOOKUP($A199,'[2]App C Share Inflows'!$A$4:$I$917,6,FALSE)</f>
        <v>-12682</v>
      </c>
    </row>
    <row r="200" spans="1:39">
      <c r="A200" s="351">
        <v>91651</v>
      </c>
      <c r="B200" s="344" t="s">
        <v>892</v>
      </c>
      <c r="C200" s="235" t="e">
        <f>VLOOKUP(A200,#REF!,10,FALSE)</f>
        <v>#REF!</v>
      </c>
      <c r="E200" s="2">
        <f>VLOOKUP($A200,'[2]App C Total'!$A$4:$I$917,5,FALSE)</f>
        <v>277263</v>
      </c>
      <c r="F200" s="2">
        <f>VLOOKUP($A200,'[2]App C Total'!$A$4:$I$917,6,FALSE)</f>
        <v>98615</v>
      </c>
      <c r="G200" s="2">
        <f>VLOOKUP($A200,'[2]App C Total'!$A$4:$I$917,7,FALSE)</f>
        <v>162718</v>
      </c>
      <c r="H200" s="2">
        <f>VLOOKUP($A200,'[2]App C Total'!$A$4:$I$917,8,FALSE)</f>
        <v>54053</v>
      </c>
      <c r="I200" s="2">
        <f>VLOOKUP($A200,'[2]App C Total'!$A$4:$I$917,9,FALSE)</f>
        <v>0</v>
      </c>
      <c r="J200" s="2"/>
      <c r="K200" s="2">
        <f>VLOOKUP($A200,'[2]App C Exp'!$A$4:$I$917,5,FALSE)</f>
        <v>80971</v>
      </c>
      <c r="L200" s="2">
        <f>VLOOKUP($A200,'[2]App C Exp'!$A$4:$I$917,6,FALSE)</f>
        <v>76167</v>
      </c>
      <c r="M200" s="2">
        <f>VLOOKUP($A200,'[2]App C Exp'!$A$4:$I$917,7,FALSE)</f>
        <v>68268</v>
      </c>
      <c r="N200" s="2">
        <f>VLOOKUP($A200,'[2]App C Exp'!$A$4:$I$917,8,FALSE)</f>
        <v>27334</v>
      </c>
      <c r="O200" s="2">
        <f>VLOOKUP($A200,'[2]App C Exp'!$A$4:$I$917,9,FALSE)</f>
        <v>0</v>
      </c>
      <c r="P200" s="2"/>
      <c r="Q200" s="2">
        <f>VLOOKUP($A200,'[2]App C Inv'!$A$4:$I$917,5,FALSE)</f>
        <v>85962</v>
      </c>
      <c r="R200" s="2">
        <f>VLOOKUP($A200,'[2]App C Inv'!$A$4:$I$917,6,FALSE)</f>
        <v>-73943</v>
      </c>
      <c r="S200" s="2">
        <f>VLOOKUP($A200,'[2]App C Inv'!$A$4:$I$917,7,FALSE)</f>
        <v>10421</v>
      </c>
      <c r="T200" s="2">
        <f>VLOOKUP($A200,'[2]App C Inv'!$A$4:$I$917,8,FALSE)</f>
        <v>13563</v>
      </c>
      <c r="U200" s="2">
        <f>VLOOKUP($A200,'[2]App C Inv'!$A$4:$I$917,9,FALSE)</f>
        <v>0</v>
      </c>
      <c r="V200" s="2"/>
      <c r="W200" s="2">
        <f>VLOOKUP($A200,'[2]App C Assum'!$A$4:$I$917,5,FALSE)</f>
        <v>96837</v>
      </c>
      <c r="X200" s="2">
        <f>VLOOKUP($A200,'[2]App C Assum'!$A$4:$I$917,6,FALSE)</f>
        <v>79332</v>
      </c>
      <c r="Y200" s="2">
        <f>VLOOKUP($A200,'[2]App C Assum'!$A$4:$I$917,7,FALSE)</f>
        <v>64404</v>
      </c>
      <c r="Z200" s="2">
        <f>VLOOKUP($A200,'[2]App C Assum'!$A$4:$I$917,8,FALSE)</f>
        <v>0</v>
      </c>
      <c r="AA200" s="2">
        <f>VLOOKUP($A200,'[2]App C Assum'!$A$4:$I$917,9,FALSE)</f>
        <v>0</v>
      </c>
      <c r="AB200" s="2"/>
      <c r="AC200" s="2">
        <f>VLOOKUP($A200,'[2]App C Share Outflows'!$A$4:$I$917,5,FALSE)</f>
        <v>19626</v>
      </c>
      <c r="AD200" s="2">
        <f>VLOOKUP($A200,'[2]App C Share Outflows'!$A$4:$I$917,6,FALSE)</f>
        <v>19626</v>
      </c>
      <c r="AE200" s="2">
        <f>VLOOKUP($A200,'[2]App C Share Outflows'!$A$4:$I$917,7,FALSE)</f>
        <v>19625</v>
      </c>
      <c r="AF200" s="2">
        <f>VLOOKUP($A200,'[2]App C Share Outflows'!$A$4:$I$917,8,FALSE)</f>
        <v>13156</v>
      </c>
      <c r="AG200" s="2">
        <f>VLOOKUP($A200,'[2]App C Share Outflows'!$A$4:$I$917,9,FALSE)</f>
        <v>0</v>
      </c>
      <c r="AH200" s="2"/>
      <c r="AI200" s="2">
        <f>VLOOKUP($A200,'[2]App C Share Inflows'!$A$4:$I$917,5,FALSE)</f>
        <v>-6133</v>
      </c>
      <c r="AJ200" s="2">
        <f>VLOOKUP($A200,'[2]App C Share Inflows'!$A$4:$I$917,6,FALSE)</f>
        <v>-2567</v>
      </c>
      <c r="AK200" s="2">
        <f>VLOOKUP($A200,'[2]App C Share Inflows'!$A$4:$I$917,7,FALSE)</f>
        <v>0</v>
      </c>
      <c r="AL200" s="2">
        <f>VLOOKUP($A200,'[2]App C Share Inflows'!$A$4:$I$917,8,FALSE)</f>
        <v>0</v>
      </c>
      <c r="AM200" s="2">
        <f>VLOOKUP($A200,'[2]App C Share Inflows'!$A$4:$I$917,6,FALSE)</f>
        <v>-2567</v>
      </c>
    </row>
    <row r="201" spans="1:39">
      <c r="A201" s="351">
        <v>91661</v>
      </c>
      <c r="B201" s="344" t="s">
        <v>893</v>
      </c>
      <c r="C201" s="235" t="e">
        <f>VLOOKUP(A201,#REF!,10,FALSE)</f>
        <v>#REF!</v>
      </c>
      <c r="E201" s="2">
        <f>VLOOKUP($A201,'[2]App C Total'!$A$4:$I$917,5,FALSE)</f>
        <v>76020</v>
      </c>
      <c r="F201" s="2">
        <f>VLOOKUP($A201,'[2]App C Total'!$A$4:$I$917,6,FALSE)</f>
        <v>18846</v>
      </c>
      <c r="G201" s="2">
        <f>VLOOKUP($A201,'[2]App C Total'!$A$4:$I$917,7,FALSE)</f>
        <v>44354</v>
      </c>
      <c r="H201" s="2">
        <f>VLOOKUP($A201,'[2]App C Total'!$A$4:$I$917,8,FALSE)</f>
        <v>10635</v>
      </c>
      <c r="I201" s="2">
        <f>VLOOKUP($A201,'[2]App C Total'!$A$4:$I$917,9,FALSE)</f>
        <v>0</v>
      </c>
      <c r="J201" s="2"/>
      <c r="K201" s="2">
        <f>VLOOKUP($A201,'[2]App C Exp'!$A$4:$I$917,5,FALSE)</f>
        <v>28104</v>
      </c>
      <c r="L201" s="2">
        <f>VLOOKUP($A201,'[2]App C Exp'!$A$4:$I$917,6,FALSE)</f>
        <v>26437</v>
      </c>
      <c r="M201" s="2">
        <f>VLOOKUP($A201,'[2]App C Exp'!$A$4:$I$917,7,FALSE)</f>
        <v>23695</v>
      </c>
      <c r="N201" s="2">
        <f>VLOOKUP($A201,'[2]App C Exp'!$A$4:$I$917,8,FALSE)</f>
        <v>9487</v>
      </c>
      <c r="O201" s="2">
        <f>VLOOKUP($A201,'[2]App C Exp'!$A$4:$I$917,9,FALSE)</f>
        <v>0</v>
      </c>
      <c r="P201" s="2"/>
      <c r="Q201" s="2">
        <f>VLOOKUP($A201,'[2]App C Inv'!$A$4:$I$917,5,FALSE)</f>
        <v>29836</v>
      </c>
      <c r="R201" s="2">
        <f>VLOOKUP($A201,'[2]App C Inv'!$A$4:$I$917,6,FALSE)</f>
        <v>-25665</v>
      </c>
      <c r="S201" s="2">
        <f>VLOOKUP($A201,'[2]App C Inv'!$A$4:$I$917,7,FALSE)</f>
        <v>3617</v>
      </c>
      <c r="T201" s="2">
        <f>VLOOKUP($A201,'[2]App C Inv'!$A$4:$I$917,8,FALSE)</f>
        <v>4708</v>
      </c>
      <c r="U201" s="2">
        <f>VLOOKUP($A201,'[2]App C Inv'!$A$4:$I$917,9,FALSE)</f>
        <v>0</v>
      </c>
      <c r="V201" s="2"/>
      <c r="W201" s="2">
        <f>VLOOKUP($A201,'[2]App C Assum'!$A$4:$I$917,5,FALSE)</f>
        <v>33611</v>
      </c>
      <c r="X201" s="2">
        <f>VLOOKUP($A201,'[2]App C Assum'!$A$4:$I$917,6,FALSE)</f>
        <v>27535</v>
      </c>
      <c r="Y201" s="2">
        <f>VLOOKUP($A201,'[2]App C Assum'!$A$4:$I$917,7,FALSE)</f>
        <v>22354</v>
      </c>
      <c r="Z201" s="2">
        <f>VLOOKUP($A201,'[2]App C Assum'!$A$4:$I$917,8,FALSE)</f>
        <v>0</v>
      </c>
      <c r="AA201" s="2">
        <f>VLOOKUP($A201,'[2]App C Assum'!$A$4:$I$917,9,FALSE)</f>
        <v>0</v>
      </c>
      <c r="AB201" s="2"/>
      <c r="AC201" s="2">
        <f>VLOOKUP($A201,'[2]App C Share Outflows'!$A$4:$I$917,5,FALSE)</f>
        <v>0</v>
      </c>
      <c r="AD201" s="2">
        <f>VLOOKUP($A201,'[2]App C Share Outflows'!$A$4:$I$917,6,FALSE)</f>
        <v>0</v>
      </c>
      <c r="AE201" s="2">
        <f>VLOOKUP($A201,'[2]App C Share Outflows'!$A$4:$I$917,7,FALSE)</f>
        <v>0</v>
      </c>
      <c r="AF201" s="2">
        <f>VLOOKUP($A201,'[2]App C Share Outflows'!$A$4:$I$917,8,FALSE)</f>
        <v>0</v>
      </c>
      <c r="AG201" s="2">
        <f>VLOOKUP($A201,'[2]App C Share Outflows'!$A$4:$I$917,9,FALSE)</f>
        <v>0</v>
      </c>
      <c r="AH201" s="2"/>
      <c r="AI201" s="2">
        <f>VLOOKUP($A201,'[2]App C Share Inflows'!$A$4:$I$917,5,FALSE)</f>
        <v>-15531</v>
      </c>
      <c r="AJ201" s="2">
        <f>VLOOKUP($A201,'[2]App C Share Inflows'!$A$4:$I$917,6,FALSE)</f>
        <v>-9461</v>
      </c>
      <c r="AK201" s="2">
        <f>VLOOKUP($A201,'[2]App C Share Inflows'!$A$4:$I$917,7,FALSE)</f>
        <v>-5312</v>
      </c>
      <c r="AL201" s="2">
        <f>VLOOKUP($A201,'[2]App C Share Inflows'!$A$4:$I$917,8,FALSE)</f>
        <v>-3560</v>
      </c>
      <c r="AM201" s="2">
        <f>VLOOKUP($A201,'[2]App C Share Inflows'!$A$4:$I$917,6,FALSE)</f>
        <v>-9461</v>
      </c>
    </row>
    <row r="202" spans="1:39">
      <c r="A202" s="351">
        <v>91671</v>
      </c>
      <c r="B202" s="344" t="s">
        <v>894</v>
      </c>
      <c r="C202" s="235" t="e">
        <f>VLOOKUP(A202,#REF!,10,FALSE)</f>
        <v>#REF!</v>
      </c>
      <c r="E202" s="2">
        <f>VLOOKUP($A202,'[2]App C Total'!$A$4:$I$917,5,FALSE)</f>
        <v>51196</v>
      </c>
      <c r="F202" s="2">
        <f>VLOOKUP($A202,'[2]App C Total'!$A$4:$I$917,6,FALSE)</f>
        <v>13923</v>
      </c>
      <c r="G202" s="2">
        <f>VLOOKUP($A202,'[2]App C Total'!$A$4:$I$917,7,FALSE)</f>
        <v>26474</v>
      </c>
      <c r="H202" s="2">
        <f>VLOOKUP($A202,'[2]App C Total'!$A$4:$I$917,8,FALSE)</f>
        <v>4807</v>
      </c>
      <c r="I202" s="2">
        <f>VLOOKUP($A202,'[2]App C Total'!$A$4:$I$917,9,FALSE)</f>
        <v>0</v>
      </c>
      <c r="J202" s="2"/>
      <c r="K202" s="2">
        <f>VLOOKUP($A202,'[2]App C Exp'!$A$4:$I$917,5,FALSE)</f>
        <v>16119</v>
      </c>
      <c r="L202" s="2">
        <f>VLOOKUP($A202,'[2]App C Exp'!$A$4:$I$917,6,FALSE)</f>
        <v>15163</v>
      </c>
      <c r="M202" s="2">
        <f>VLOOKUP($A202,'[2]App C Exp'!$A$4:$I$917,7,FALSE)</f>
        <v>13590</v>
      </c>
      <c r="N202" s="2">
        <f>VLOOKUP($A202,'[2]App C Exp'!$A$4:$I$917,8,FALSE)</f>
        <v>5441</v>
      </c>
      <c r="O202" s="2">
        <f>VLOOKUP($A202,'[2]App C Exp'!$A$4:$I$917,9,FALSE)</f>
        <v>0</v>
      </c>
      <c r="P202" s="2"/>
      <c r="Q202" s="2">
        <f>VLOOKUP($A202,'[2]App C Inv'!$A$4:$I$917,5,FALSE)</f>
        <v>17113</v>
      </c>
      <c r="R202" s="2">
        <f>VLOOKUP($A202,'[2]App C Inv'!$A$4:$I$917,6,FALSE)</f>
        <v>-14720</v>
      </c>
      <c r="S202" s="2">
        <f>VLOOKUP($A202,'[2]App C Inv'!$A$4:$I$917,7,FALSE)</f>
        <v>2075</v>
      </c>
      <c r="T202" s="2">
        <f>VLOOKUP($A202,'[2]App C Inv'!$A$4:$I$917,8,FALSE)</f>
        <v>2700</v>
      </c>
      <c r="U202" s="2">
        <f>VLOOKUP($A202,'[2]App C Inv'!$A$4:$I$917,9,FALSE)</f>
        <v>0</v>
      </c>
      <c r="V202" s="2"/>
      <c r="W202" s="2">
        <f>VLOOKUP($A202,'[2]App C Assum'!$A$4:$I$917,5,FALSE)</f>
        <v>19278</v>
      </c>
      <c r="X202" s="2">
        <f>VLOOKUP($A202,'[2]App C Assum'!$A$4:$I$917,6,FALSE)</f>
        <v>15793</v>
      </c>
      <c r="Y202" s="2">
        <f>VLOOKUP($A202,'[2]App C Assum'!$A$4:$I$917,7,FALSE)</f>
        <v>12821</v>
      </c>
      <c r="Z202" s="2">
        <f>VLOOKUP($A202,'[2]App C Assum'!$A$4:$I$917,8,FALSE)</f>
        <v>0</v>
      </c>
      <c r="AA202" s="2">
        <f>VLOOKUP($A202,'[2]App C Assum'!$A$4:$I$917,9,FALSE)</f>
        <v>0</v>
      </c>
      <c r="AB202" s="2"/>
      <c r="AC202" s="2">
        <f>VLOOKUP($A202,'[2]App C Share Outflows'!$A$4:$I$917,5,FALSE)</f>
        <v>2317</v>
      </c>
      <c r="AD202" s="2">
        <f>VLOOKUP($A202,'[2]App C Share Outflows'!$A$4:$I$917,6,FALSE)</f>
        <v>1319</v>
      </c>
      <c r="AE202" s="2">
        <f>VLOOKUP($A202,'[2]App C Share Outflows'!$A$4:$I$917,7,FALSE)</f>
        <v>1320</v>
      </c>
      <c r="AF202" s="2">
        <f>VLOOKUP($A202,'[2]App C Share Outflows'!$A$4:$I$917,8,FALSE)</f>
        <v>0</v>
      </c>
      <c r="AG202" s="2">
        <f>VLOOKUP($A202,'[2]App C Share Outflows'!$A$4:$I$917,9,FALSE)</f>
        <v>0</v>
      </c>
      <c r="AH202" s="2"/>
      <c r="AI202" s="2">
        <f>VLOOKUP($A202,'[2]App C Share Inflows'!$A$4:$I$917,5,FALSE)</f>
        <v>-3631</v>
      </c>
      <c r="AJ202" s="2">
        <f>VLOOKUP($A202,'[2]App C Share Inflows'!$A$4:$I$917,6,FALSE)</f>
        <v>-3632</v>
      </c>
      <c r="AK202" s="2">
        <f>VLOOKUP($A202,'[2]App C Share Inflows'!$A$4:$I$917,7,FALSE)</f>
        <v>-3332</v>
      </c>
      <c r="AL202" s="2">
        <f>VLOOKUP($A202,'[2]App C Share Inflows'!$A$4:$I$917,8,FALSE)</f>
        <v>-3334</v>
      </c>
      <c r="AM202" s="2">
        <f>VLOOKUP($A202,'[2]App C Share Inflows'!$A$4:$I$917,6,FALSE)</f>
        <v>-3632</v>
      </c>
    </row>
    <row r="203" spans="1:39">
      <c r="A203" s="351">
        <v>91681</v>
      </c>
      <c r="B203" s="344" t="s">
        <v>895</v>
      </c>
      <c r="C203" s="235" t="e">
        <f>VLOOKUP(A203,#REF!,10,FALSE)</f>
        <v>#REF!</v>
      </c>
      <c r="E203" s="2">
        <f>VLOOKUP($A203,'[2]App C Total'!$A$4:$I$917,5,FALSE)</f>
        <v>348984</v>
      </c>
      <c r="F203" s="2">
        <f>VLOOKUP($A203,'[2]App C Total'!$A$4:$I$917,6,FALSE)</f>
        <v>171205</v>
      </c>
      <c r="G203" s="2">
        <f>VLOOKUP($A203,'[2]App C Total'!$A$4:$I$917,7,FALSE)</f>
        <v>189070</v>
      </c>
      <c r="H203" s="2">
        <f>VLOOKUP($A203,'[2]App C Total'!$A$4:$I$917,8,FALSE)</f>
        <v>69179</v>
      </c>
      <c r="I203" s="2">
        <f>VLOOKUP($A203,'[2]App C Total'!$A$4:$I$917,9,FALSE)</f>
        <v>0</v>
      </c>
      <c r="J203" s="2"/>
      <c r="K203" s="2">
        <f>VLOOKUP($A203,'[2]App C Exp'!$A$4:$I$917,5,FALSE)</f>
        <v>68776</v>
      </c>
      <c r="L203" s="2">
        <f>VLOOKUP($A203,'[2]App C Exp'!$A$4:$I$917,6,FALSE)</f>
        <v>64696</v>
      </c>
      <c r="M203" s="2">
        <f>VLOOKUP($A203,'[2]App C Exp'!$A$4:$I$917,7,FALSE)</f>
        <v>57987</v>
      </c>
      <c r="N203" s="2">
        <f>VLOOKUP($A203,'[2]App C Exp'!$A$4:$I$917,8,FALSE)</f>
        <v>23217</v>
      </c>
      <c r="O203" s="2">
        <f>VLOOKUP($A203,'[2]App C Exp'!$A$4:$I$917,9,FALSE)</f>
        <v>0</v>
      </c>
      <c r="P203" s="2"/>
      <c r="Q203" s="2">
        <f>VLOOKUP($A203,'[2]App C Inv'!$A$4:$I$917,5,FALSE)</f>
        <v>73016</v>
      </c>
      <c r="R203" s="2">
        <f>VLOOKUP($A203,'[2]App C Inv'!$A$4:$I$917,6,FALSE)</f>
        <v>-62807</v>
      </c>
      <c r="S203" s="2">
        <f>VLOOKUP($A203,'[2]App C Inv'!$A$4:$I$917,7,FALSE)</f>
        <v>8852</v>
      </c>
      <c r="T203" s="2">
        <f>VLOOKUP($A203,'[2]App C Inv'!$A$4:$I$917,8,FALSE)</f>
        <v>11521</v>
      </c>
      <c r="U203" s="2">
        <f>VLOOKUP($A203,'[2]App C Inv'!$A$4:$I$917,9,FALSE)</f>
        <v>0</v>
      </c>
      <c r="V203" s="2"/>
      <c r="W203" s="2">
        <f>VLOOKUP($A203,'[2]App C Assum'!$A$4:$I$917,5,FALSE)</f>
        <v>82253</v>
      </c>
      <c r="X203" s="2">
        <f>VLOOKUP($A203,'[2]App C Assum'!$A$4:$I$917,6,FALSE)</f>
        <v>67385</v>
      </c>
      <c r="Y203" s="2">
        <f>VLOOKUP($A203,'[2]App C Assum'!$A$4:$I$917,7,FALSE)</f>
        <v>54705</v>
      </c>
      <c r="Z203" s="2">
        <f>VLOOKUP($A203,'[2]App C Assum'!$A$4:$I$917,8,FALSE)</f>
        <v>0</v>
      </c>
      <c r="AA203" s="2">
        <f>VLOOKUP($A203,'[2]App C Assum'!$A$4:$I$917,9,FALSE)</f>
        <v>0</v>
      </c>
      <c r="AB203" s="2"/>
      <c r="AC203" s="2">
        <f>VLOOKUP($A203,'[2]App C Share Outflows'!$A$4:$I$917,5,FALSE)</f>
        <v>124939</v>
      </c>
      <c r="AD203" s="2">
        <f>VLOOKUP($A203,'[2]App C Share Outflows'!$A$4:$I$917,6,FALSE)</f>
        <v>101931</v>
      </c>
      <c r="AE203" s="2">
        <f>VLOOKUP($A203,'[2]App C Share Outflows'!$A$4:$I$917,7,FALSE)</f>
        <v>67526</v>
      </c>
      <c r="AF203" s="2">
        <f>VLOOKUP($A203,'[2]App C Share Outflows'!$A$4:$I$917,8,FALSE)</f>
        <v>34441</v>
      </c>
      <c r="AG203" s="2">
        <f>VLOOKUP($A203,'[2]App C Share Outflows'!$A$4:$I$917,9,FALSE)</f>
        <v>0</v>
      </c>
      <c r="AH203" s="2"/>
      <c r="AI203" s="2">
        <f>VLOOKUP($A203,'[2]App C Share Inflows'!$A$4:$I$917,5,FALSE)</f>
        <v>0</v>
      </c>
      <c r="AJ203" s="2">
        <f>VLOOKUP($A203,'[2]App C Share Inflows'!$A$4:$I$917,6,FALSE)</f>
        <v>0</v>
      </c>
      <c r="AK203" s="2">
        <f>VLOOKUP($A203,'[2]App C Share Inflows'!$A$4:$I$917,7,FALSE)</f>
        <v>0</v>
      </c>
      <c r="AL203" s="2">
        <f>VLOOKUP($A203,'[2]App C Share Inflows'!$A$4:$I$917,8,FALSE)</f>
        <v>0</v>
      </c>
      <c r="AM203" s="2">
        <f>VLOOKUP($A203,'[2]App C Share Inflows'!$A$4:$I$917,6,FALSE)</f>
        <v>0</v>
      </c>
    </row>
    <row r="204" spans="1:39">
      <c r="A204" s="351">
        <v>91691</v>
      </c>
      <c r="B204" s="344" t="s">
        <v>896</v>
      </c>
      <c r="C204" s="235" t="e">
        <f>VLOOKUP(A204,#REF!,10,FALSE)</f>
        <v>#REF!</v>
      </c>
      <c r="E204" s="2">
        <f>VLOOKUP($A204,'[2]App C Total'!$A$4:$I$917,5,FALSE)</f>
        <v>11850</v>
      </c>
      <c r="F204" s="2">
        <f>VLOOKUP($A204,'[2]App C Total'!$A$4:$I$917,6,FALSE)</f>
        <v>3613</v>
      </c>
      <c r="G204" s="2">
        <f>VLOOKUP($A204,'[2]App C Total'!$A$4:$I$917,7,FALSE)</f>
        <v>6475</v>
      </c>
      <c r="H204" s="2">
        <f>VLOOKUP($A204,'[2]App C Total'!$A$4:$I$917,8,FALSE)</f>
        <v>2245</v>
      </c>
      <c r="I204" s="2">
        <f>VLOOKUP($A204,'[2]App C Total'!$A$4:$I$917,9,FALSE)</f>
        <v>0</v>
      </c>
      <c r="J204" s="2"/>
      <c r="K204" s="2">
        <f>VLOOKUP($A204,'[2]App C Exp'!$A$4:$I$917,5,FALSE)</f>
        <v>3431</v>
      </c>
      <c r="L204" s="2">
        <f>VLOOKUP($A204,'[2]App C Exp'!$A$4:$I$917,6,FALSE)</f>
        <v>3227</v>
      </c>
      <c r="M204" s="2">
        <f>VLOOKUP($A204,'[2]App C Exp'!$A$4:$I$917,7,FALSE)</f>
        <v>2892</v>
      </c>
      <c r="N204" s="2">
        <f>VLOOKUP($A204,'[2]App C Exp'!$A$4:$I$917,8,FALSE)</f>
        <v>1158</v>
      </c>
      <c r="O204" s="2">
        <f>VLOOKUP($A204,'[2]App C Exp'!$A$4:$I$917,9,FALSE)</f>
        <v>0</v>
      </c>
      <c r="P204" s="2"/>
      <c r="Q204" s="2">
        <f>VLOOKUP($A204,'[2]App C Inv'!$A$4:$I$917,5,FALSE)</f>
        <v>3642</v>
      </c>
      <c r="R204" s="2">
        <f>VLOOKUP($A204,'[2]App C Inv'!$A$4:$I$917,6,FALSE)</f>
        <v>-3133</v>
      </c>
      <c r="S204" s="2">
        <f>VLOOKUP($A204,'[2]App C Inv'!$A$4:$I$917,7,FALSE)</f>
        <v>442</v>
      </c>
      <c r="T204" s="2">
        <f>VLOOKUP($A204,'[2]App C Inv'!$A$4:$I$917,8,FALSE)</f>
        <v>575</v>
      </c>
      <c r="U204" s="2">
        <f>VLOOKUP($A204,'[2]App C Inv'!$A$4:$I$917,9,FALSE)</f>
        <v>0</v>
      </c>
      <c r="V204" s="2"/>
      <c r="W204" s="2">
        <f>VLOOKUP($A204,'[2]App C Assum'!$A$4:$I$917,5,FALSE)</f>
        <v>4103</v>
      </c>
      <c r="X204" s="2">
        <f>VLOOKUP($A204,'[2]App C Assum'!$A$4:$I$917,6,FALSE)</f>
        <v>3361</v>
      </c>
      <c r="Y204" s="2">
        <f>VLOOKUP($A204,'[2]App C Assum'!$A$4:$I$917,7,FALSE)</f>
        <v>2729</v>
      </c>
      <c r="Z204" s="2">
        <f>VLOOKUP($A204,'[2]App C Assum'!$A$4:$I$917,8,FALSE)</f>
        <v>0</v>
      </c>
      <c r="AA204" s="2">
        <f>VLOOKUP($A204,'[2]App C Assum'!$A$4:$I$917,9,FALSE)</f>
        <v>0</v>
      </c>
      <c r="AB204" s="2"/>
      <c r="AC204" s="2">
        <f>VLOOKUP($A204,'[2]App C Share Outflows'!$A$4:$I$917,5,FALSE)</f>
        <v>1026</v>
      </c>
      <c r="AD204" s="2">
        <f>VLOOKUP($A204,'[2]App C Share Outflows'!$A$4:$I$917,6,FALSE)</f>
        <v>510</v>
      </c>
      <c r="AE204" s="2">
        <f>VLOOKUP($A204,'[2]App C Share Outflows'!$A$4:$I$917,7,FALSE)</f>
        <v>510</v>
      </c>
      <c r="AF204" s="2">
        <f>VLOOKUP($A204,'[2]App C Share Outflows'!$A$4:$I$917,8,FALSE)</f>
        <v>512</v>
      </c>
      <c r="AG204" s="2">
        <f>VLOOKUP($A204,'[2]App C Share Outflows'!$A$4:$I$917,9,FALSE)</f>
        <v>0</v>
      </c>
      <c r="AH204" s="2"/>
      <c r="AI204" s="2">
        <f>VLOOKUP($A204,'[2]App C Share Inflows'!$A$4:$I$917,5,FALSE)</f>
        <v>-352</v>
      </c>
      <c r="AJ204" s="2">
        <f>VLOOKUP($A204,'[2]App C Share Inflows'!$A$4:$I$917,6,FALSE)</f>
        <v>-352</v>
      </c>
      <c r="AK204" s="2">
        <f>VLOOKUP($A204,'[2]App C Share Inflows'!$A$4:$I$917,7,FALSE)</f>
        <v>-98</v>
      </c>
      <c r="AL204" s="2">
        <f>VLOOKUP($A204,'[2]App C Share Inflows'!$A$4:$I$917,8,FALSE)</f>
        <v>0</v>
      </c>
      <c r="AM204" s="2">
        <f>VLOOKUP($A204,'[2]App C Share Inflows'!$A$4:$I$917,6,FALSE)</f>
        <v>-352</v>
      </c>
    </row>
    <row r="205" spans="1:39">
      <c r="A205" s="351">
        <v>91701</v>
      </c>
      <c r="B205" s="344" t="s">
        <v>897</v>
      </c>
      <c r="C205" s="235" t="e">
        <f>VLOOKUP(A205,#REF!,10,FALSE)</f>
        <v>#REF!</v>
      </c>
      <c r="E205" s="2">
        <f>VLOOKUP($A205,'[2]App C Total'!$A$4:$I$917,5,FALSE)</f>
        <v>543279</v>
      </c>
      <c r="F205" s="2">
        <f>VLOOKUP($A205,'[2]App C Total'!$A$4:$I$917,6,FALSE)</f>
        <v>156901</v>
      </c>
      <c r="G205" s="2">
        <f>VLOOKUP($A205,'[2]App C Total'!$A$4:$I$917,7,FALSE)</f>
        <v>265728</v>
      </c>
      <c r="H205" s="2">
        <f>VLOOKUP($A205,'[2]App C Total'!$A$4:$I$917,8,FALSE)</f>
        <v>61073</v>
      </c>
      <c r="I205" s="2">
        <f>VLOOKUP($A205,'[2]App C Total'!$A$4:$I$917,9,FALSE)</f>
        <v>0</v>
      </c>
      <c r="J205" s="2"/>
      <c r="K205" s="2">
        <f>VLOOKUP($A205,'[2]App C Exp'!$A$4:$I$917,5,FALSE)</f>
        <v>169926</v>
      </c>
      <c r="L205" s="2">
        <f>VLOOKUP($A205,'[2]App C Exp'!$A$4:$I$917,6,FALSE)</f>
        <v>159846</v>
      </c>
      <c r="M205" s="2">
        <f>VLOOKUP($A205,'[2]App C Exp'!$A$4:$I$917,7,FALSE)</f>
        <v>143268</v>
      </c>
      <c r="N205" s="2">
        <f>VLOOKUP($A205,'[2]App C Exp'!$A$4:$I$917,8,FALSE)</f>
        <v>57363</v>
      </c>
      <c r="O205" s="2">
        <f>VLOOKUP($A205,'[2]App C Exp'!$A$4:$I$917,9,FALSE)</f>
        <v>0</v>
      </c>
      <c r="P205" s="2"/>
      <c r="Q205" s="2">
        <f>VLOOKUP($A205,'[2]App C Inv'!$A$4:$I$917,5,FALSE)</f>
        <v>180400</v>
      </c>
      <c r="R205" s="2">
        <f>VLOOKUP($A205,'[2]App C Inv'!$A$4:$I$917,6,FALSE)</f>
        <v>-155178</v>
      </c>
      <c r="S205" s="2">
        <f>VLOOKUP($A205,'[2]App C Inv'!$A$4:$I$917,7,FALSE)</f>
        <v>21870</v>
      </c>
      <c r="T205" s="2">
        <f>VLOOKUP($A205,'[2]App C Inv'!$A$4:$I$917,8,FALSE)</f>
        <v>28464</v>
      </c>
      <c r="U205" s="2">
        <f>VLOOKUP($A205,'[2]App C Inv'!$A$4:$I$917,9,FALSE)</f>
        <v>0</v>
      </c>
      <c r="V205" s="2"/>
      <c r="W205" s="2">
        <f>VLOOKUP($A205,'[2]App C Assum'!$A$4:$I$917,5,FALSE)</f>
        <v>203223</v>
      </c>
      <c r="X205" s="2">
        <f>VLOOKUP($A205,'[2]App C Assum'!$A$4:$I$917,6,FALSE)</f>
        <v>166488</v>
      </c>
      <c r="Y205" s="2">
        <f>VLOOKUP($A205,'[2]App C Assum'!$A$4:$I$917,7,FALSE)</f>
        <v>135160</v>
      </c>
      <c r="Z205" s="2">
        <f>VLOOKUP($A205,'[2]App C Assum'!$A$4:$I$917,8,FALSE)</f>
        <v>0</v>
      </c>
      <c r="AA205" s="2">
        <f>VLOOKUP($A205,'[2]App C Assum'!$A$4:$I$917,9,FALSE)</f>
        <v>0</v>
      </c>
      <c r="AB205" s="2"/>
      <c r="AC205" s="2">
        <f>VLOOKUP($A205,'[2]App C Share Outflows'!$A$4:$I$917,5,FALSE)</f>
        <v>24302</v>
      </c>
      <c r="AD205" s="2">
        <f>VLOOKUP($A205,'[2]App C Share Outflows'!$A$4:$I$917,6,FALSE)</f>
        <v>20317</v>
      </c>
      <c r="AE205" s="2">
        <f>VLOOKUP($A205,'[2]App C Share Outflows'!$A$4:$I$917,7,FALSE)</f>
        <v>0</v>
      </c>
      <c r="AF205" s="2">
        <f>VLOOKUP($A205,'[2]App C Share Outflows'!$A$4:$I$917,8,FALSE)</f>
        <v>0</v>
      </c>
      <c r="AG205" s="2">
        <f>VLOOKUP($A205,'[2]App C Share Outflows'!$A$4:$I$917,9,FALSE)</f>
        <v>0</v>
      </c>
      <c r="AH205" s="2"/>
      <c r="AI205" s="2">
        <f>VLOOKUP($A205,'[2]App C Share Inflows'!$A$4:$I$917,5,FALSE)</f>
        <v>-34572</v>
      </c>
      <c r="AJ205" s="2">
        <f>VLOOKUP($A205,'[2]App C Share Inflows'!$A$4:$I$917,6,FALSE)</f>
        <v>-34572</v>
      </c>
      <c r="AK205" s="2">
        <f>VLOOKUP($A205,'[2]App C Share Inflows'!$A$4:$I$917,7,FALSE)</f>
        <v>-34570</v>
      </c>
      <c r="AL205" s="2">
        <f>VLOOKUP($A205,'[2]App C Share Inflows'!$A$4:$I$917,8,FALSE)</f>
        <v>-24754</v>
      </c>
      <c r="AM205" s="2">
        <f>VLOOKUP($A205,'[2]App C Share Inflows'!$A$4:$I$917,6,FALSE)</f>
        <v>-34572</v>
      </c>
    </row>
    <row r="206" spans="1:39">
      <c r="A206" s="351">
        <v>91704</v>
      </c>
      <c r="B206" s="344" t="s">
        <v>898</v>
      </c>
      <c r="C206" s="235" t="e">
        <f>VLOOKUP(A206,#REF!,10,FALSE)</f>
        <v>#REF!</v>
      </c>
      <c r="E206" s="2">
        <f>VLOOKUP($A206,'[2]App C Total'!$A$4:$I$917,5,FALSE)</f>
        <v>8798</v>
      </c>
      <c r="F206" s="2">
        <f>VLOOKUP($A206,'[2]App C Total'!$A$4:$I$917,6,FALSE)</f>
        <v>2843</v>
      </c>
      <c r="G206" s="2">
        <f>VLOOKUP($A206,'[2]App C Total'!$A$4:$I$917,7,FALSE)</f>
        <v>4834</v>
      </c>
      <c r="H206" s="2">
        <f>VLOOKUP($A206,'[2]App C Total'!$A$4:$I$917,8,FALSE)</f>
        <v>1475</v>
      </c>
      <c r="I206" s="2">
        <f>VLOOKUP($A206,'[2]App C Total'!$A$4:$I$917,9,FALSE)</f>
        <v>0</v>
      </c>
      <c r="J206" s="2"/>
      <c r="K206" s="2">
        <f>VLOOKUP($A206,'[2]App C Exp'!$A$4:$I$917,5,FALSE)</f>
        <v>2637</v>
      </c>
      <c r="L206" s="2">
        <f>VLOOKUP($A206,'[2]App C Exp'!$A$4:$I$917,6,FALSE)</f>
        <v>2480</v>
      </c>
      <c r="M206" s="2">
        <f>VLOOKUP($A206,'[2]App C Exp'!$A$4:$I$917,7,FALSE)</f>
        <v>2223</v>
      </c>
      <c r="N206" s="2">
        <f>VLOOKUP($A206,'[2]App C Exp'!$A$4:$I$917,8,FALSE)</f>
        <v>890</v>
      </c>
      <c r="O206" s="2">
        <f>VLOOKUP($A206,'[2]App C Exp'!$A$4:$I$917,9,FALSE)</f>
        <v>0</v>
      </c>
      <c r="P206" s="2"/>
      <c r="Q206" s="2">
        <f>VLOOKUP($A206,'[2]App C Inv'!$A$4:$I$917,5,FALSE)</f>
        <v>2799</v>
      </c>
      <c r="R206" s="2">
        <f>VLOOKUP($A206,'[2]App C Inv'!$A$4:$I$917,6,FALSE)</f>
        <v>-2408</v>
      </c>
      <c r="S206" s="2">
        <f>VLOOKUP($A206,'[2]App C Inv'!$A$4:$I$917,7,FALSE)</f>
        <v>339</v>
      </c>
      <c r="T206" s="2">
        <f>VLOOKUP($A206,'[2]App C Inv'!$A$4:$I$917,8,FALSE)</f>
        <v>442</v>
      </c>
      <c r="U206" s="2">
        <f>VLOOKUP($A206,'[2]App C Inv'!$A$4:$I$917,9,FALSE)</f>
        <v>0</v>
      </c>
      <c r="V206" s="2"/>
      <c r="W206" s="2">
        <f>VLOOKUP($A206,'[2]App C Assum'!$A$4:$I$917,5,FALSE)</f>
        <v>3153</v>
      </c>
      <c r="X206" s="2">
        <f>VLOOKUP($A206,'[2]App C Assum'!$A$4:$I$917,6,FALSE)</f>
        <v>2583</v>
      </c>
      <c r="Y206" s="2">
        <f>VLOOKUP($A206,'[2]App C Assum'!$A$4:$I$917,7,FALSE)</f>
        <v>2097</v>
      </c>
      <c r="Z206" s="2">
        <f>VLOOKUP($A206,'[2]App C Assum'!$A$4:$I$917,8,FALSE)</f>
        <v>0</v>
      </c>
      <c r="AA206" s="2">
        <f>VLOOKUP($A206,'[2]App C Assum'!$A$4:$I$917,9,FALSE)</f>
        <v>0</v>
      </c>
      <c r="AB206" s="2"/>
      <c r="AC206" s="2">
        <f>VLOOKUP($A206,'[2]App C Share Outflows'!$A$4:$I$917,5,FALSE)</f>
        <v>209</v>
      </c>
      <c r="AD206" s="2">
        <f>VLOOKUP($A206,'[2]App C Share Outflows'!$A$4:$I$917,6,FALSE)</f>
        <v>188</v>
      </c>
      <c r="AE206" s="2">
        <f>VLOOKUP($A206,'[2]App C Share Outflows'!$A$4:$I$917,7,FALSE)</f>
        <v>175</v>
      </c>
      <c r="AF206" s="2">
        <f>VLOOKUP($A206,'[2]App C Share Outflows'!$A$4:$I$917,8,FALSE)</f>
        <v>143</v>
      </c>
      <c r="AG206" s="2">
        <f>VLOOKUP($A206,'[2]App C Share Outflows'!$A$4:$I$917,9,FALSE)</f>
        <v>0</v>
      </c>
      <c r="AH206" s="2"/>
      <c r="AI206" s="2">
        <f>VLOOKUP($A206,'[2]App C Share Inflows'!$A$4:$I$917,5,FALSE)</f>
        <v>0</v>
      </c>
      <c r="AJ206" s="2">
        <f>VLOOKUP($A206,'[2]App C Share Inflows'!$A$4:$I$917,6,FALSE)</f>
        <v>0</v>
      </c>
      <c r="AK206" s="2">
        <f>VLOOKUP($A206,'[2]App C Share Inflows'!$A$4:$I$917,7,FALSE)</f>
        <v>0</v>
      </c>
      <c r="AL206" s="2">
        <f>VLOOKUP($A206,'[2]App C Share Inflows'!$A$4:$I$917,8,FALSE)</f>
        <v>0</v>
      </c>
      <c r="AM206" s="2">
        <f>VLOOKUP($A206,'[2]App C Share Inflows'!$A$4:$I$917,6,FALSE)</f>
        <v>0</v>
      </c>
    </row>
    <row r="207" spans="1:39">
      <c r="A207" s="351">
        <v>91706</v>
      </c>
      <c r="B207" s="344" t="s">
        <v>3660</v>
      </c>
      <c r="C207" s="235" t="e">
        <f>VLOOKUP(A207,#REF!,10,FALSE)</f>
        <v>#REF!</v>
      </c>
      <c r="E207" s="2">
        <f>VLOOKUP($A207,'[2]App C Total'!$A$4:$I$917,5,FALSE)</f>
        <v>140680</v>
      </c>
      <c r="F207" s="2">
        <f>VLOOKUP($A207,'[2]App C Total'!$A$4:$I$917,6,FALSE)</f>
        <v>55770</v>
      </c>
      <c r="G207" s="2">
        <f>VLOOKUP($A207,'[2]App C Total'!$A$4:$I$917,7,FALSE)</f>
        <v>82578</v>
      </c>
      <c r="H207" s="2">
        <f>VLOOKUP($A207,'[2]App C Total'!$A$4:$I$917,8,FALSE)</f>
        <v>26898</v>
      </c>
      <c r="I207" s="2">
        <f>VLOOKUP($A207,'[2]App C Total'!$A$4:$I$917,9,FALSE)</f>
        <v>0</v>
      </c>
      <c r="J207" s="2"/>
      <c r="K207" s="2">
        <f>VLOOKUP($A207,'[2]App C Exp'!$A$4:$I$917,5,FALSE)</f>
        <v>38096</v>
      </c>
      <c r="L207" s="2">
        <f>VLOOKUP($A207,'[2]App C Exp'!$A$4:$I$917,6,FALSE)</f>
        <v>35836</v>
      </c>
      <c r="M207" s="2">
        <f>VLOOKUP($A207,'[2]App C Exp'!$A$4:$I$917,7,FALSE)</f>
        <v>32119</v>
      </c>
      <c r="N207" s="2">
        <f>VLOOKUP($A207,'[2]App C Exp'!$A$4:$I$917,8,FALSE)</f>
        <v>12860</v>
      </c>
      <c r="O207" s="2">
        <f>VLOOKUP($A207,'[2]App C Exp'!$A$4:$I$917,9,FALSE)</f>
        <v>0</v>
      </c>
      <c r="P207" s="2"/>
      <c r="Q207" s="2">
        <f>VLOOKUP($A207,'[2]App C Inv'!$A$4:$I$917,5,FALSE)</f>
        <v>40444</v>
      </c>
      <c r="R207" s="2">
        <f>VLOOKUP($A207,'[2]App C Inv'!$A$4:$I$917,6,FALSE)</f>
        <v>-34790</v>
      </c>
      <c r="S207" s="2">
        <f>VLOOKUP($A207,'[2]App C Inv'!$A$4:$I$917,7,FALSE)</f>
        <v>4903</v>
      </c>
      <c r="T207" s="2">
        <f>VLOOKUP($A207,'[2]App C Inv'!$A$4:$I$917,8,FALSE)</f>
        <v>6381</v>
      </c>
      <c r="U207" s="2">
        <f>VLOOKUP($A207,'[2]App C Inv'!$A$4:$I$917,9,FALSE)</f>
        <v>0</v>
      </c>
      <c r="V207" s="2"/>
      <c r="W207" s="2">
        <f>VLOOKUP($A207,'[2]App C Assum'!$A$4:$I$917,5,FALSE)</f>
        <v>45561</v>
      </c>
      <c r="X207" s="2">
        <f>VLOOKUP($A207,'[2]App C Assum'!$A$4:$I$917,6,FALSE)</f>
        <v>37325</v>
      </c>
      <c r="Y207" s="2">
        <f>VLOOKUP($A207,'[2]App C Assum'!$A$4:$I$917,7,FALSE)</f>
        <v>30302</v>
      </c>
      <c r="Z207" s="2">
        <f>VLOOKUP($A207,'[2]App C Assum'!$A$4:$I$917,8,FALSE)</f>
        <v>0</v>
      </c>
      <c r="AA207" s="2">
        <f>VLOOKUP($A207,'[2]App C Assum'!$A$4:$I$917,9,FALSE)</f>
        <v>0</v>
      </c>
      <c r="AB207" s="2"/>
      <c r="AC207" s="2">
        <f>VLOOKUP($A207,'[2]App C Share Outflows'!$A$4:$I$917,5,FALSE)</f>
        <v>17399</v>
      </c>
      <c r="AD207" s="2">
        <f>VLOOKUP($A207,'[2]App C Share Outflows'!$A$4:$I$917,6,FALSE)</f>
        <v>17399</v>
      </c>
      <c r="AE207" s="2">
        <f>VLOOKUP($A207,'[2]App C Share Outflows'!$A$4:$I$917,7,FALSE)</f>
        <v>15254</v>
      </c>
      <c r="AF207" s="2">
        <f>VLOOKUP($A207,'[2]App C Share Outflows'!$A$4:$I$917,8,FALSE)</f>
        <v>7657</v>
      </c>
      <c r="AG207" s="2">
        <f>VLOOKUP($A207,'[2]App C Share Outflows'!$A$4:$I$917,9,FALSE)</f>
        <v>0</v>
      </c>
      <c r="AH207" s="2"/>
      <c r="AI207" s="2">
        <f>VLOOKUP($A207,'[2]App C Share Inflows'!$A$4:$I$917,5,FALSE)</f>
        <v>-820</v>
      </c>
      <c r="AJ207" s="2">
        <f>VLOOKUP($A207,'[2]App C Share Inflows'!$A$4:$I$917,6,FALSE)</f>
        <v>0</v>
      </c>
      <c r="AK207" s="2">
        <f>VLOOKUP($A207,'[2]App C Share Inflows'!$A$4:$I$917,7,FALSE)</f>
        <v>0</v>
      </c>
      <c r="AL207" s="2">
        <f>VLOOKUP($A207,'[2]App C Share Inflows'!$A$4:$I$917,8,FALSE)</f>
        <v>0</v>
      </c>
      <c r="AM207" s="2">
        <f>VLOOKUP($A207,'[2]App C Share Inflows'!$A$4:$I$917,6,FALSE)</f>
        <v>0</v>
      </c>
    </row>
    <row r="208" spans="1:39">
      <c r="A208" s="351">
        <v>91719</v>
      </c>
      <c r="B208" s="344" t="s">
        <v>900</v>
      </c>
      <c r="C208" s="235" t="e">
        <f>VLOOKUP(A208,#REF!,10,FALSE)</f>
        <v>#REF!</v>
      </c>
      <c r="E208" s="2">
        <f>VLOOKUP($A208,'[2]App C Total'!$A$4:$I$917,5,FALSE)</f>
        <v>25709</v>
      </c>
      <c r="F208" s="2">
        <f>VLOOKUP($A208,'[2]App C Total'!$A$4:$I$917,6,FALSE)</f>
        <v>6762</v>
      </c>
      <c r="G208" s="2">
        <f>VLOOKUP($A208,'[2]App C Total'!$A$4:$I$917,7,FALSE)</f>
        <v>13783</v>
      </c>
      <c r="H208" s="2">
        <f>VLOOKUP($A208,'[2]App C Total'!$A$4:$I$917,8,FALSE)</f>
        <v>2929</v>
      </c>
      <c r="I208" s="2">
        <f>VLOOKUP($A208,'[2]App C Total'!$A$4:$I$917,9,FALSE)</f>
        <v>0</v>
      </c>
      <c r="J208" s="2"/>
      <c r="K208" s="2">
        <f>VLOOKUP($A208,'[2]App C Exp'!$A$4:$I$917,5,FALSE)</f>
        <v>8494</v>
      </c>
      <c r="L208" s="2">
        <f>VLOOKUP($A208,'[2]App C Exp'!$A$4:$I$917,6,FALSE)</f>
        <v>7990</v>
      </c>
      <c r="M208" s="2">
        <f>VLOOKUP($A208,'[2]App C Exp'!$A$4:$I$917,7,FALSE)</f>
        <v>7161</v>
      </c>
      <c r="N208" s="2">
        <f>VLOOKUP($A208,'[2]App C Exp'!$A$4:$I$917,8,FALSE)</f>
        <v>2867</v>
      </c>
      <c r="O208" s="2">
        <f>VLOOKUP($A208,'[2]App C Exp'!$A$4:$I$917,9,FALSE)</f>
        <v>0</v>
      </c>
      <c r="P208" s="2"/>
      <c r="Q208" s="2">
        <f>VLOOKUP($A208,'[2]App C Inv'!$A$4:$I$917,5,FALSE)</f>
        <v>9018</v>
      </c>
      <c r="R208" s="2">
        <f>VLOOKUP($A208,'[2]App C Inv'!$A$4:$I$917,6,FALSE)</f>
        <v>-7757</v>
      </c>
      <c r="S208" s="2">
        <f>VLOOKUP($A208,'[2]App C Inv'!$A$4:$I$917,7,FALSE)</f>
        <v>1093</v>
      </c>
      <c r="T208" s="2">
        <f>VLOOKUP($A208,'[2]App C Inv'!$A$4:$I$917,8,FALSE)</f>
        <v>1423</v>
      </c>
      <c r="U208" s="2">
        <f>VLOOKUP($A208,'[2]App C Inv'!$A$4:$I$917,9,FALSE)</f>
        <v>0</v>
      </c>
      <c r="V208" s="2"/>
      <c r="W208" s="2">
        <f>VLOOKUP($A208,'[2]App C Assum'!$A$4:$I$917,5,FALSE)</f>
        <v>10158</v>
      </c>
      <c r="X208" s="2">
        <f>VLOOKUP($A208,'[2]App C Assum'!$A$4:$I$917,6,FALSE)</f>
        <v>8322</v>
      </c>
      <c r="Y208" s="2">
        <f>VLOOKUP($A208,'[2]App C Assum'!$A$4:$I$917,7,FALSE)</f>
        <v>6756</v>
      </c>
      <c r="Z208" s="2">
        <f>VLOOKUP($A208,'[2]App C Assum'!$A$4:$I$917,8,FALSE)</f>
        <v>0</v>
      </c>
      <c r="AA208" s="2">
        <f>VLOOKUP($A208,'[2]App C Assum'!$A$4:$I$917,9,FALSE)</f>
        <v>0</v>
      </c>
      <c r="AB208" s="2"/>
      <c r="AC208" s="2">
        <f>VLOOKUP($A208,'[2]App C Share Outflows'!$A$4:$I$917,5,FALSE)</f>
        <v>133</v>
      </c>
      <c r="AD208" s="2">
        <f>VLOOKUP($A208,'[2]App C Share Outflows'!$A$4:$I$917,6,FALSE)</f>
        <v>133</v>
      </c>
      <c r="AE208" s="2">
        <f>VLOOKUP($A208,'[2]App C Share Outflows'!$A$4:$I$917,7,FALSE)</f>
        <v>134</v>
      </c>
      <c r="AF208" s="2">
        <f>VLOOKUP($A208,'[2]App C Share Outflows'!$A$4:$I$917,8,FALSE)</f>
        <v>0</v>
      </c>
      <c r="AG208" s="2">
        <f>VLOOKUP($A208,'[2]App C Share Outflows'!$A$4:$I$917,9,FALSE)</f>
        <v>0</v>
      </c>
      <c r="AH208" s="2"/>
      <c r="AI208" s="2">
        <f>VLOOKUP($A208,'[2]App C Share Inflows'!$A$4:$I$917,5,FALSE)</f>
        <v>-2094</v>
      </c>
      <c r="AJ208" s="2">
        <f>VLOOKUP($A208,'[2]App C Share Inflows'!$A$4:$I$917,6,FALSE)</f>
        <v>-1926</v>
      </c>
      <c r="AK208" s="2">
        <f>VLOOKUP($A208,'[2]App C Share Inflows'!$A$4:$I$917,7,FALSE)</f>
        <v>-1361</v>
      </c>
      <c r="AL208" s="2">
        <f>VLOOKUP($A208,'[2]App C Share Inflows'!$A$4:$I$917,8,FALSE)</f>
        <v>-1361</v>
      </c>
      <c r="AM208" s="2">
        <f>VLOOKUP($A208,'[2]App C Share Inflows'!$A$4:$I$917,6,FALSE)</f>
        <v>-1926</v>
      </c>
    </row>
    <row r="209" spans="1:39">
      <c r="A209" s="351">
        <v>91801</v>
      </c>
      <c r="B209" s="344" t="s">
        <v>901</v>
      </c>
      <c r="C209" s="235" t="e">
        <f>VLOOKUP(A209,#REF!,10,FALSE)</f>
        <v>#REF!</v>
      </c>
      <c r="E209" s="2">
        <f>VLOOKUP($A209,'[2]App C Total'!$A$4:$I$917,5,FALSE)</f>
        <v>3550816</v>
      </c>
      <c r="F209" s="2">
        <f>VLOOKUP($A209,'[2]App C Total'!$A$4:$I$917,6,FALSE)</f>
        <v>1003487</v>
      </c>
      <c r="G209" s="2">
        <f>VLOOKUP($A209,'[2]App C Total'!$A$4:$I$917,7,FALSE)</f>
        <v>1909741</v>
      </c>
      <c r="H209" s="2">
        <f>VLOOKUP($A209,'[2]App C Total'!$A$4:$I$917,8,FALSE)</f>
        <v>507383</v>
      </c>
      <c r="I209" s="2">
        <f>VLOOKUP($A209,'[2]App C Total'!$A$4:$I$917,9,FALSE)</f>
        <v>0</v>
      </c>
      <c r="J209" s="2"/>
      <c r="K209" s="2">
        <f>VLOOKUP($A209,'[2]App C Exp'!$A$4:$I$917,5,FALSE)</f>
        <v>1138114</v>
      </c>
      <c r="L209" s="2">
        <f>VLOOKUP($A209,'[2]App C Exp'!$A$4:$I$917,6,FALSE)</f>
        <v>1070597</v>
      </c>
      <c r="M209" s="2">
        <f>VLOOKUP($A209,'[2]App C Exp'!$A$4:$I$917,7,FALSE)</f>
        <v>959564</v>
      </c>
      <c r="N209" s="2">
        <f>VLOOKUP($A209,'[2]App C Exp'!$A$4:$I$917,8,FALSE)</f>
        <v>384198</v>
      </c>
      <c r="O209" s="2">
        <f>VLOOKUP($A209,'[2]App C Exp'!$A$4:$I$917,9,FALSE)</f>
        <v>0</v>
      </c>
      <c r="P209" s="2"/>
      <c r="Q209" s="2">
        <f>VLOOKUP($A209,'[2]App C Inv'!$A$4:$I$917,5,FALSE)</f>
        <v>1208266</v>
      </c>
      <c r="R209" s="2">
        <f>VLOOKUP($A209,'[2]App C Inv'!$A$4:$I$917,6,FALSE)</f>
        <v>-1039335</v>
      </c>
      <c r="S209" s="2">
        <f>VLOOKUP($A209,'[2]App C Inv'!$A$4:$I$917,7,FALSE)</f>
        <v>146482</v>
      </c>
      <c r="T209" s="2">
        <f>VLOOKUP($A209,'[2]App C Inv'!$A$4:$I$917,8,FALSE)</f>
        <v>190644</v>
      </c>
      <c r="U209" s="2">
        <f>VLOOKUP($A209,'[2]App C Inv'!$A$4:$I$917,9,FALSE)</f>
        <v>0</v>
      </c>
      <c r="V209" s="2"/>
      <c r="W209" s="2">
        <f>VLOOKUP($A209,'[2]App C Assum'!$A$4:$I$917,5,FALSE)</f>
        <v>1361130</v>
      </c>
      <c r="X209" s="2">
        <f>VLOOKUP($A209,'[2]App C Assum'!$A$4:$I$917,6,FALSE)</f>
        <v>1115087</v>
      </c>
      <c r="Y209" s="2">
        <f>VLOOKUP($A209,'[2]App C Assum'!$A$4:$I$917,7,FALSE)</f>
        <v>905260</v>
      </c>
      <c r="Z209" s="2">
        <f>VLOOKUP($A209,'[2]App C Assum'!$A$4:$I$917,8,FALSE)</f>
        <v>0</v>
      </c>
      <c r="AA209" s="2">
        <f>VLOOKUP($A209,'[2]App C Assum'!$A$4:$I$917,9,FALSE)</f>
        <v>0</v>
      </c>
      <c r="AB209" s="2"/>
      <c r="AC209" s="2">
        <f>VLOOKUP($A209,'[2]App C Share Outflows'!$A$4:$I$917,5,FALSE)</f>
        <v>0</v>
      </c>
      <c r="AD209" s="2">
        <f>VLOOKUP($A209,'[2]App C Share Outflows'!$A$4:$I$917,6,FALSE)</f>
        <v>0</v>
      </c>
      <c r="AE209" s="2">
        <f>VLOOKUP($A209,'[2]App C Share Outflows'!$A$4:$I$917,7,FALSE)</f>
        <v>0</v>
      </c>
      <c r="AF209" s="2">
        <f>VLOOKUP($A209,'[2]App C Share Outflows'!$A$4:$I$917,8,FALSE)</f>
        <v>0</v>
      </c>
      <c r="AG209" s="2">
        <f>VLOOKUP($A209,'[2]App C Share Outflows'!$A$4:$I$917,9,FALSE)</f>
        <v>0</v>
      </c>
      <c r="AH209" s="2"/>
      <c r="AI209" s="2">
        <f>VLOOKUP($A209,'[2]App C Share Inflows'!$A$4:$I$917,5,FALSE)</f>
        <v>-156694</v>
      </c>
      <c r="AJ209" s="2">
        <f>VLOOKUP($A209,'[2]App C Share Inflows'!$A$4:$I$917,6,FALSE)</f>
        <v>-142862</v>
      </c>
      <c r="AK209" s="2">
        <f>VLOOKUP($A209,'[2]App C Share Inflows'!$A$4:$I$917,7,FALSE)</f>
        <v>-101565</v>
      </c>
      <c r="AL209" s="2">
        <f>VLOOKUP($A209,'[2]App C Share Inflows'!$A$4:$I$917,8,FALSE)</f>
        <v>-67459</v>
      </c>
      <c r="AM209" s="2">
        <f>VLOOKUP($A209,'[2]App C Share Inflows'!$A$4:$I$917,6,FALSE)</f>
        <v>-142862</v>
      </c>
    </row>
    <row r="210" spans="1:39">
      <c r="A210" s="351">
        <v>91804</v>
      </c>
      <c r="B210" s="344" t="s">
        <v>902</v>
      </c>
      <c r="C210" s="235" t="e">
        <f>VLOOKUP(A210,#REF!,10,FALSE)</f>
        <v>#REF!</v>
      </c>
      <c r="E210" s="2">
        <f>VLOOKUP($A210,'[2]App C Total'!$A$4:$I$917,5,FALSE)</f>
        <v>83438</v>
      </c>
      <c r="F210" s="2">
        <f>VLOOKUP($A210,'[2]App C Total'!$A$4:$I$917,6,FALSE)</f>
        <v>35746</v>
      </c>
      <c r="G210" s="2">
        <f>VLOOKUP($A210,'[2]App C Total'!$A$4:$I$917,7,FALSE)</f>
        <v>45070</v>
      </c>
      <c r="H210" s="2">
        <f>VLOOKUP($A210,'[2]App C Total'!$A$4:$I$917,8,FALSE)</f>
        <v>12498</v>
      </c>
      <c r="I210" s="2">
        <f>VLOOKUP($A210,'[2]App C Total'!$A$4:$I$917,9,FALSE)</f>
        <v>0</v>
      </c>
      <c r="J210" s="2"/>
      <c r="K210" s="2">
        <f>VLOOKUP($A210,'[2]App C Exp'!$A$4:$I$917,5,FALSE)</f>
        <v>18666</v>
      </c>
      <c r="L210" s="2">
        <f>VLOOKUP($A210,'[2]App C Exp'!$A$4:$I$917,6,FALSE)</f>
        <v>17559</v>
      </c>
      <c r="M210" s="2">
        <f>VLOOKUP($A210,'[2]App C Exp'!$A$4:$I$917,7,FALSE)</f>
        <v>15738</v>
      </c>
      <c r="N210" s="2">
        <f>VLOOKUP($A210,'[2]App C Exp'!$A$4:$I$917,8,FALSE)</f>
        <v>6301</v>
      </c>
      <c r="O210" s="2">
        <f>VLOOKUP($A210,'[2]App C Exp'!$A$4:$I$917,9,FALSE)</f>
        <v>0</v>
      </c>
      <c r="P210" s="2"/>
      <c r="Q210" s="2">
        <f>VLOOKUP($A210,'[2]App C Inv'!$A$4:$I$917,5,FALSE)</f>
        <v>19817</v>
      </c>
      <c r="R210" s="2">
        <f>VLOOKUP($A210,'[2]App C Inv'!$A$4:$I$917,6,FALSE)</f>
        <v>-17046</v>
      </c>
      <c r="S210" s="2">
        <f>VLOOKUP($A210,'[2]App C Inv'!$A$4:$I$917,7,FALSE)</f>
        <v>2402</v>
      </c>
      <c r="T210" s="2">
        <f>VLOOKUP($A210,'[2]App C Inv'!$A$4:$I$917,8,FALSE)</f>
        <v>3127</v>
      </c>
      <c r="U210" s="2">
        <f>VLOOKUP($A210,'[2]App C Inv'!$A$4:$I$917,9,FALSE)</f>
        <v>0</v>
      </c>
      <c r="V210" s="2"/>
      <c r="W210" s="2">
        <f>VLOOKUP($A210,'[2]App C Assum'!$A$4:$I$917,5,FALSE)</f>
        <v>22324</v>
      </c>
      <c r="X210" s="2">
        <f>VLOOKUP($A210,'[2]App C Assum'!$A$4:$I$917,6,FALSE)</f>
        <v>18288</v>
      </c>
      <c r="Y210" s="2">
        <f>VLOOKUP($A210,'[2]App C Assum'!$A$4:$I$917,7,FALSE)</f>
        <v>14847</v>
      </c>
      <c r="Z210" s="2">
        <f>VLOOKUP($A210,'[2]App C Assum'!$A$4:$I$917,8,FALSE)</f>
        <v>0</v>
      </c>
      <c r="AA210" s="2">
        <f>VLOOKUP($A210,'[2]App C Assum'!$A$4:$I$917,9,FALSE)</f>
        <v>0</v>
      </c>
      <c r="AB210" s="2"/>
      <c r="AC210" s="2">
        <f>VLOOKUP($A210,'[2]App C Share Outflows'!$A$4:$I$917,5,FALSE)</f>
        <v>22631</v>
      </c>
      <c r="AD210" s="2">
        <f>VLOOKUP($A210,'[2]App C Share Outflows'!$A$4:$I$917,6,FALSE)</f>
        <v>16945</v>
      </c>
      <c r="AE210" s="2">
        <f>VLOOKUP($A210,'[2]App C Share Outflows'!$A$4:$I$917,7,FALSE)</f>
        <v>12083</v>
      </c>
      <c r="AF210" s="2">
        <f>VLOOKUP($A210,'[2]App C Share Outflows'!$A$4:$I$917,8,FALSE)</f>
        <v>3070</v>
      </c>
      <c r="AG210" s="2">
        <f>VLOOKUP($A210,'[2]App C Share Outflows'!$A$4:$I$917,9,FALSE)</f>
        <v>0</v>
      </c>
      <c r="AH210" s="2"/>
      <c r="AI210" s="2">
        <f>VLOOKUP($A210,'[2]App C Share Inflows'!$A$4:$I$917,5,FALSE)</f>
        <v>0</v>
      </c>
      <c r="AJ210" s="2">
        <f>VLOOKUP($A210,'[2]App C Share Inflows'!$A$4:$I$917,6,FALSE)</f>
        <v>0</v>
      </c>
      <c r="AK210" s="2">
        <f>VLOOKUP($A210,'[2]App C Share Inflows'!$A$4:$I$917,7,FALSE)</f>
        <v>0</v>
      </c>
      <c r="AL210" s="2">
        <f>VLOOKUP($A210,'[2]App C Share Inflows'!$A$4:$I$917,8,FALSE)</f>
        <v>0</v>
      </c>
      <c r="AM210" s="2">
        <f>VLOOKUP($A210,'[2]App C Share Inflows'!$A$4:$I$917,6,FALSE)</f>
        <v>0</v>
      </c>
    </row>
    <row r="211" spans="1:39">
      <c r="A211" s="351">
        <v>91811</v>
      </c>
      <c r="B211" s="344" t="s">
        <v>903</v>
      </c>
      <c r="C211" s="235" t="e">
        <f>VLOOKUP(A211,#REF!,10,FALSE)</f>
        <v>#REF!</v>
      </c>
      <c r="E211" s="2">
        <f>VLOOKUP($A211,'[2]App C Total'!$A$4:$I$917,5,FALSE)</f>
        <v>1866154</v>
      </c>
      <c r="F211" s="2">
        <f>VLOOKUP($A211,'[2]App C Total'!$A$4:$I$917,6,FALSE)</f>
        <v>507867</v>
      </c>
      <c r="G211" s="2">
        <f>VLOOKUP($A211,'[2]App C Total'!$A$4:$I$917,7,FALSE)</f>
        <v>1031428</v>
      </c>
      <c r="H211" s="2">
        <f>VLOOKUP($A211,'[2]App C Total'!$A$4:$I$917,8,FALSE)</f>
        <v>272948</v>
      </c>
      <c r="I211" s="2">
        <f>VLOOKUP($A211,'[2]App C Total'!$A$4:$I$917,9,FALSE)</f>
        <v>0</v>
      </c>
      <c r="J211" s="2"/>
      <c r="K211" s="2">
        <f>VLOOKUP($A211,'[2]App C Exp'!$A$4:$I$917,5,FALSE)</f>
        <v>635616</v>
      </c>
      <c r="L211" s="2">
        <f>VLOOKUP($A211,'[2]App C Exp'!$A$4:$I$917,6,FALSE)</f>
        <v>597909</v>
      </c>
      <c r="M211" s="2">
        <f>VLOOKUP($A211,'[2]App C Exp'!$A$4:$I$917,7,FALSE)</f>
        <v>535899</v>
      </c>
      <c r="N211" s="2">
        <f>VLOOKUP($A211,'[2]App C Exp'!$A$4:$I$917,8,FALSE)</f>
        <v>214568</v>
      </c>
      <c r="O211" s="2">
        <f>VLOOKUP($A211,'[2]App C Exp'!$A$4:$I$917,9,FALSE)</f>
        <v>0</v>
      </c>
      <c r="P211" s="2"/>
      <c r="Q211" s="2">
        <f>VLOOKUP($A211,'[2]App C Inv'!$A$4:$I$917,5,FALSE)</f>
        <v>674795</v>
      </c>
      <c r="R211" s="2">
        <f>VLOOKUP($A211,'[2]App C Inv'!$A$4:$I$917,6,FALSE)</f>
        <v>-580450</v>
      </c>
      <c r="S211" s="2">
        <f>VLOOKUP($A211,'[2]App C Inv'!$A$4:$I$917,7,FALSE)</f>
        <v>81807</v>
      </c>
      <c r="T211" s="2">
        <f>VLOOKUP($A211,'[2]App C Inv'!$A$4:$I$917,8,FALSE)</f>
        <v>106471</v>
      </c>
      <c r="U211" s="2">
        <f>VLOOKUP($A211,'[2]App C Inv'!$A$4:$I$917,9,FALSE)</f>
        <v>0</v>
      </c>
      <c r="V211" s="2"/>
      <c r="W211" s="2">
        <f>VLOOKUP($A211,'[2]App C Assum'!$A$4:$I$917,5,FALSE)</f>
        <v>760166</v>
      </c>
      <c r="X211" s="2">
        <f>VLOOKUP($A211,'[2]App C Assum'!$A$4:$I$917,6,FALSE)</f>
        <v>622756</v>
      </c>
      <c r="Y211" s="2">
        <f>VLOOKUP($A211,'[2]App C Assum'!$A$4:$I$917,7,FALSE)</f>
        <v>505571</v>
      </c>
      <c r="Z211" s="2">
        <f>VLOOKUP($A211,'[2]App C Assum'!$A$4:$I$917,8,FALSE)</f>
        <v>0</v>
      </c>
      <c r="AA211" s="2">
        <f>VLOOKUP($A211,'[2]App C Assum'!$A$4:$I$917,9,FALSE)</f>
        <v>0</v>
      </c>
      <c r="AB211" s="2"/>
      <c r="AC211" s="2">
        <f>VLOOKUP($A211,'[2]App C Share Outflows'!$A$4:$I$917,5,FALSE)</f>
        <v>0</v>
      </c>
      <c r="AD211" s="2">
        <f>VLOOKUP($A211,'[2]App C Share Outflows'!$A$4:$I$917,6,FALSE)</f>
        <v>0</v>
      </c>
      <c r="AE211" s="2">
        <f>VLOOKUP($A211,'[2]App C Share Outflows'!$A$4:$I$917,7,FALSE)</f>
        <v>0</v>
      </c>
      <c r="AF211" s="2">
        <f>VLOOKUP($A211,'[2]App C Share Outflows'!$A$4:$I$917,8,FALSE)</f>
        <v>0</v>
      </c>
      <c r="AG211" s="2">
        <f>VLOOKUP($A211,'[2]App C Share Outflows'!$A$4:$I$917,9,FALSE)</f>
        <v>0</v>
      </c>
      <c r="AH211" s="2"/>
      <c r="AI211" s="2">
        <f>VLOOKUP($A211,'[2]App C Share Inflows'!$A$4:$I$917,5,FALSE)</f>
        <v>-204423</v>
      </c>
      <c r="AJ211" s="2">
        <f>VLOOKUP($A211,'[2]App C Share Inflows'!$A$4:$I$917,6,FALSE)</f>
        <v>-132348</v>
      </c>
      <c r="AK211" s="2">
        <f>VLOOKUP($A211,'[2]App C Share Inflows'!$A$4:$I$917,7,FALSE)</f>
        <v>-91849</v>
      </c>
      <c r="AL211" s="2">
        <f>VLOOKUP($A211,'[2]App C Share Inflows'!$A$4:$I$917,8,FALSE)</f>
        <v>-48091</v>
      </c>
      <c r="AM211" s="2">
        <f>VLOOKUP($A211,'[2]App C Share Inflows'!$A$4:$I$917,6,FALSE)</f>
        <v>-132348</v>
      </c>
    </row>
    <row r="212" spans="1:39">
      <c r="A212" s="351">
        <v>91812</v>
      </c>
      <c r="B212" s="344" t="s">
        <v>3661</v>
      </c>
      <c r="C212" s="235" t="e">
        <f>VLOOKUP(A212,#REF!,10,FALSE)</f>
        <v>#REF!</v>
      </c>
      <c r="E212" s="2">
        <f>VLOOKUP($A212,'[2]App C Total'!$A$4:$I$917,5,FALSE)</f>
        <v>24034</v>
      </c>
      <c r="F212" s="2">
        <f>VLOOKUP($A212,'[2]App C Total'!$A$4:$I$917,6,FALSE)</f>
        <v>6509</v>
      </c>
      <c r="G212" s="2">
        <f>VLOOKUP($A212,'[2]App C Total'!$A$4:$I$917,7,FALSE)</f>
        <v>12378</v>
      </c>
      <c r="H212" s="2">
        <f>VLOOKUP($A212,'[2]App C Total'!$A$4:$I$917,8,FALSE)</f>
        <v>2826</v>
      </c>
      <c r="I212" s="2">
        <f>VLOOKUP($A212,'[2]App C Total'!$A$4:$I$917,9,FALSE)</f>
        <v>0</v>
      </c>
      <c r="J212" s="2"/>
      <c r="K212" s="2">
        <f>VLOOKUP($A212,'[2]App C Exp'!$A$4:$I$917,5,FALSE)</f>
        <v>6831</v>
      </c>
      <c r="L212" s="2">
        <f>VLOOKUP($A212,'[2]App C Exp'!$A$4:$I$917,6,FALSE)</f>
        <v>6426</v>
      </c>
      <c r="M212" s="2">
        <f>VLOOKUP($A212,'[2]App C Exp'!$A$4:$I$917,7,FALSE)</f>
        <v>5760</v>
      </c>
      <c r="N212" s="2">
        <f>VLOOKUP($A212,'[2]App C Exp'!$A$4:$I$917,8,FALSE)</f>
        <v>2306</v>
      </c>
      <c r="O212" s="2">
        <f>VLOOKUP($A212,'[2]App C Exp'!$A$4:$I$917,9,FALSE)</f>
        <v>0</v>
      </c>
      <c r="P212" s="2"/>
      <c r="Q212" s="2">
        <f>VLOOKUP($A212,'[2]App C Inv'!$A$4:$I$917,5,FALSE)</f>
        <v>7252</v>
      </c>
      <c r="R212" s="2">
        <f>VLOOKUP($A212,'[2]App C Inv'!$A$4:$I$917,6,FALSE)</f>
        <v>-6238</v>
      </c>
      <c r="S212" s="2">
        <f>VLOOKUP($A212,'[2]App C Inv'!$A$4:$I$917,7,FALSE)</f>
        <v>879</v>
      </c>
      <c r="T212" s="2">
        <f>VLOOKUP($A212,'[2]App C Inv'!$A$4:$I$917,8,FALSE)</f>
        <v>1144</v>
      </c>
      <c r="U212" s="2">
        <f>VLOOKUP($A212,'[2]App C Inv'!$A$4:$I$917,9,FALSE)</f>
        <v>0</v>
      </c>
      <c r="V212" s="2"/>
      <c r="W212" s="2">
        <f>VLOOKUP($A212,'[2]App C Assum'!$A$4:$I$917,5,FALSE)</f>
        <v>8170</v>
      </c>
      <c r="X212" s="2">
        <f>VLOOKUP($A212,'[2]App C Assum'!$A$4:$I$917,6,FALSE)</f>
        <v>6693</v>
      </c>
      <c r="Y212" s="2">
        <f>VLOOKUP($A212,'[2]App C Assum'!$A$4:$I$917,7,FALSE)</f>
        <v>5434</v>
      </c>
      <c r="Z212" s="2">
        <f>VLOOKUP($A212,'[2]App C Assum'!$A$4:$I$917,8,FALSE)</f>
        <v>0</v>
      </c>
      <c r="AA212" s="2">
        <f>VLOOKUP($A212,'[2]App C Assum'!$A$4:$I$917,9,FALSE)</f>
        <v>0</v>
      </c>
      <c r="AB212" s="2"/>
      <c r="AC212" s="2">
        <f>VLOOKUP($A212,'[2]App C Share Outflows'!$A$4:$I$917,5,FALSE)</f>
        <v>3080</v>
      </c>
      <c r="AD212" s="2">
        <f>VLOOKUP($A212,'[2]App C Share Outflows'!$A$4:$I$917,6,FALSE)</f>
        <v>929</v>
      </c>
      <c r="AE212" s="2">
        <f>VLOOKUP($A212,'[2]App C Share Outflows'!$A$4:$I$917,7,FALSE)</f>
        <v>927</v>
      </c>
      <c r="AF212" s="2">
        <f>VLOOKUP($A212,'[2]App C Share Outflows'!$A$4:$I$917,8,FALSE)</f>
        <v>0</v>
      </c>
      <c r="AG212" s="2">
        <f>VLOOKUP($A212,'[2]App C Share Outflows'!$A$4:$I$917,9,FALSE)</f>
        <v>0</v>
      </c>
      <c r="AH212" s="2"/>
      <c r="AI212" s="2">
        <f>VLOOKUP($A212,'[2]App C Share Inflows'!$A$4:$I$917,5,FALSE)</f>
        <v>-1299</v>
      </c>
      <c r="AJ212" s="2">
        <f>VLOOKUP($A212,'[2]App C Share Inflows'!$A$4:$I$917,6,FALSE)</f>
        <v>-1301</v>
      </c>
      <c r="AK212" s="2">
        <f>VLOOKUP($A212,'[2]App C Share Inflows'!$A$4:$I$917,7,FALSE)</f>
        <v>-622</v>
      </c>
      <c r="AL212" s="2">
        <f>VLOOKUP($A212,'[2]App C Share Inflows'!$A$4:$I$917,8,FALSE)</f>
        <v>-624</v>
      </c>
      <c r="AM212" s="2">
        <f>VLOOKUP($A212,'[2]App C Share Inflows'!$A$4:$I$917,6,FALSE)</f>
        <v>-1301</v>
      </c>
    </row>
    <row r="213" spans="1:39">
      <c r="A213" s="351">
        <v>91813</v>
      </c>
      <c r="B213" s="344" t="s">
        <v>905</v>
      </c>
      <c r="C213" s="235" t="e">
        <f>VLOOKUP(A213,#REF!,10,FALSE)</f>
        <v>#REF!</v>
      </c>
      <c r="E213" s="2">
        <f>VLOOKUP($A213,'[2]App C Total'!$A$4:$I$917,5,FALSE)</f>
        <v>31296</v>
      </c>
      <c r="F213" s="2">
        <f>VLOOKUP($A213,'[2]App C Total'!$A$4:$I$917,6,FALSE)</f>
        <v>5976</v>
      </c>
      <c r="G213" s="2">
        <f>VLOOKUP($A213,'[2]App C Total'!$A$4:$I$917,7,FALSE)</f>
        <v>16856</v>
      </c>
      <c r="H213" s="2">
        <f>VLOOKUP($A213,'[2]App C Total'!$A$4:$I$917,8,FALSE)</f>
        <v>3813</v>
      </c>
      <c r="I213" s="2">
        <f>VLOOKUP($A213,'[2]App C Total'!$A$4:$I$917,9,FALSE)</f>
        <v>0</v>
      </c>
      <c r="J213" s="2"/>
      <c r="K213" s="2">
        <f>VLOOKUP($A213,'[2]App C Exp'!$A$4:$I$917,5,FALSE)</f>
        <v>10711</v>
      </c>
      <c r="L213" s="2">
        <f>VLOOKUP($A213,'[2]App C Exp'!$A$4:$I$917,6,FALSE)</f>
        <v>10076</v>
      </c>
      <c r="M213" s="2">
        <f>VLOOKUP($A213,'[2]App C Exp'!$A$4:$I$917,7,FALSE)</f>
        <v>9031</v>
      </c>
      <c r="N213" s="2">
        <f>VLOOKUP($A213,'[2]App C Exp'!$A$4:$I$917,8,FALSE)</f>
        <v>3616</v>
      </c>
      <c r="O213" s="2">
        <f>VLOOKUP($A213,'[2]App C Exp'!$A$4:$I$917,9,FALSE)</f>
        <v>0</v>
      </c>
      <c r="P213" s="2"/>
      <c r="Q213" s="2">
        <f>VLOOKUP($A213,'[2]App C Inv'!$A$4:$I$917,5,FALSE)</f>
        <v>11371</v>
      </c>
      <c r="R213" s="2">
        <f>VLOOKUP($A213,'[2]App C Inv'!$A$4:$I$917,6,FALSE)</f>
        <v>-9782</v>
      </c>
      <c r="S213" s="2">
        <f>VLOOKUP($A213,'[2]App C Inv'!$A$4:$I$917,7,FALSE)</f>
        <v>1379</v>
      </c>
      <c r="T213" s="2">
        <f>VLOOKUP($A213,'[2]App C Inv'!$A$4:$I$917,8,FALSE)</f>
        <v>1794</v>
      </c>
      <c r="U213" s="2">
        <f>VLOOKUP($A213,'[2]App C Inv'!$A$4:$I$917,9,FALSE)</f>
        <v>0</v>
      </c>
      <c r="V213" s="2"/>
      <c r="W213" s="2">
        <f>VLOOKUP($A213,'[2]App C Assum'!$A$4:$I$917,5,FALSE)</f>
        <v>12810</v>
      </c>
      <c r="X213" s="2">
        <f>VLOOKUP($A213,'[2]App C Assum'!$A$4:$I$917,6,FALSE)</f>
        <v>10494</v>
      </c>
      <c r="Y213" s="2">
        <f>VLOOKUP($A213,'[2]App C Assum'!$A$4:$I$917,7,FALSE)</f>
        <v>8520</v>
      </c>
      <c r="Z213" s="2">
        <f>VLOOKUP($A213,'[2]App C Assum'!$A$4:$I$917,8,FALSE)</f>
        <v>0</v>
      </c>
      <c r="AA213" s="2">
        <f>VLOOKUP($A213,'[2]App C Assum'!$A$4:$I$917,9,FALSE)</f>
        <v>0</v>
      </c>
      <c r="AB213" s="2"/>
      <c r="AC213" s="2">
        <f>VLOOKUP($A213,'[2]App C Share Outflows'!$A$4:$I$917,5,FALSE)</f>
        <v>1216</v>
      </c>
      <c r="AD213" s="2">
        <f>VLOOKUP($A213,'[2]App C Share Outflows'!$A$4:$I$917,6,FALSE)</f>
        <v>0</v>
      </c>
      <c r="AE213" s="2">
        <f>VLOOKUP($A213,'[2]App C Share Outflows'!$A$4:$I$917,7,FALSE)</f>
        <v>0</v>
      </c>
      <c r="AF213" s="2">
        <f>VLOOKUP($A213,'[2]App C Share Outflows'!$A$4:$I$917,8,FALSE)</f>
        <v>0</v>
      </c>
      <c r="AG213" s="2">
        <f>VLOOKUP($A213,'[2]App C Share Outflows'!$A$4:$I$917,9,FALSE)</f>
        <v>0</v>
      </c>
      <c r="AH213" s="2"/>
      <c r="AI213" s="2">
        <f>VLOOKUP($A213,'[2]App C Share Inflows'!$A$4:$I$917,5,FALSE)</f>
        <v>-4812</v>
      </c>
      <c r="AJ213" s="2">
        <f>VLOOKUP($A213,'[2]App C Share Inflows'!$A$4:$I$917,6,FALSE)</f>
        <v>-4812</v>
      </c>
      <c r="AK213" s="2">
        <f>VLOOKUP($A213,'[2]App C Share Inflows'!$A$4:$I$917,7,FALSE)</f>
        <v>-2074</v>
      </c>
      <c r="AL213" s="2">
        <f>VLOOKUP($A213,'[2]App C Share Inflows'!$A$4:$I$917,8,FALSE)</f>
        <v>-1597</v>
      </c>
      <c r="AM213" s="2">
        <f>VLOOKUP($A213,'[2]App C Share Inflows'!$A$4:$I$917,6,FALSE)</f>
        <v>-4812</v>
      </c>
    </row>
    <row r="214" spans="1:39">
      <c r="A214" s="351">
        <v>91818</v>
      </c>
      <c r="B214" s="344" t="s">
        <v>2786</v>
      </c>
      <c r="C214" s="235" t="e">
        <f>VLOOKUP(A214,#REF!,10,FALSE)</f>
        <v>#REF!</v>
      </c>
      <c r="E214" s="2">
        <f>VLOOKUP($A214,'[2]App C Total'!$A$4:$I$917,5,FALSE)</f>
        <v>359360</v>
      </c>
      <c r="F214" s="2">
        <f>VLOOKUP($A214,'[2]App C Total'!$A$4:$I$917,6,FALSE)</f>
        <v>177202</v>
      </c>
      <c r="G214" s="2">
        <f>VLOOKUP($A214,'[2]App C Total'!$A$4:$I$917,7,FALSE)</f>
        <v>167016</v>
      </c>
      <c r="H214" s="2">
        <f>VLOOKUP($A214,'[2]App C Total'!$A$4:$I$917,8,FALSE)</f>
        <v>36303</v>
      </c>
      <c r="I214" s="2">
        <f>VLOOKUP($A214,'[2]App C Total'!$A$4:$I$917,9,FALSE)</f>
        <v>0</v>
      </c>
      <c r="J214" s="2"/>
      <c r="K214" s="2">
        <f>VLOOKUP($A214,'[2]App C Exp'!$A$4:$I$917,5,FALSE)</f>
        <v>60852</v>
      </c>
      <c r="L214" s="2">
        <f>VLOOKUP($A214,'[2]App C Exp'!$A$4:$I$917,6,FALSE)</f>
        <v>57242</v>
      </c>
      <c r="M214" s="2">
        <f>VLOOKUP($A214,'[2]App C Exp'!$A$4:$I$917,7,FALSE)</f>
        <v>51305</v>
      </c>
      <c r="N214" s="2">
        <f>VLOOKUP($A214,'[2]App C Exp'!$A$4:$I$917,8,FALSE)</f>
        <v>20542</v>
      </c>
      <c r="O214" s="2">
        <f>VLOOKUP($A214,'[2]App C Exp'!$A$4:$I$917,9,FALSE)</f>
        <v>0</v>
      </c>
      <c r="P214" s="2"/>
      <c r="Q214" s="2">
        <f>VLOOKUP($A214,'[2]App C Inv'!$A$4:$I$917,5,FALSE)</f>
        <v>64602</v>
      </c>
      <c r="R214" s="2">
        <f>VLOOKUP($A214,'[2]App C Inv'!$A$4:$I$917,6,FALSE)</f>
        <v>-55570</v>
      </c>
      <c r="S214" s="2">
        <f>VLOOKUP($A214,'[2]App C Inv'!$A$4:$I$917,7,FALSE)</f>
        <v>7832</v>
      </c>
      <c r="T214" s="2">
        <f>VLOOKUP($A214,'[2]App C Inv'!$A$4:$I$917,8,FALSE)</f>
        <v>10193</v>
      </c>
      <c r="U214" s="2">
        <f>VLOOKUP($A214,'[2]App C Inv'!$A$4:$I$917,9,FALSE)</f>
        <v>0</v>
      </c>
      <c r="V214" s="2"/>
      <c r="W214" s="2">
        <f>VLOOKUP($A214,'[2]App C Assum'!$A$4:$I$917,5,FALSE)</f>
        <v>72776</v>
      </c>
      <c r="X214" s="2">
        <f>VLOOKUP($A214,'[2]App C Assum'!$A$4:$I$917,6,FALSE)</f>
        <v>59620</v>
      </c>
      <c r="Y214" s="2">
        <f>VLOOKUP($A214,'[2]App C Assum'!$A$4:$I$917,7,FALSE)</f>
        <v>48402</v>
      </c>
      <c r="Z214" s="2">
        <f>VLOOKUP($A214,'[2]App C Assum'!$A$4:$I$917,8,FALSE)</f>
        <v>0</v>
      </c>
      <c r="AA214" s="2">
        <f>VLOOKUP($A214,'[2]App C Assum'!$A$4:$I$917,9,FALSE)</f>
        <v>0</v>
      </c>
      <c r="AB214" s="2"/>
      <c r="AC214" s="2">
        <f>VLOOKUP($A214,'[2]App C Share Outflows'!$A$4:$I$917,5,FALSE)</f>
        <v>161130</v>
      </c>
      <c r="AD214" s="2">
        <f>VLOOKUP($A214,'[2]App C Share Outflows'!$A$4:$I$917,6,FALSE)</f>
        <v>115910</v>
      </c>
      <c r="AE214" s="2">
        <f>VLOOKUP($A214,'[2]App C Share Outflows'!$A$4:$I$917,7,FALSE)</f>
        <v>59477</v>
      </c>
      <c r="AF214" s="2">
        <f>VLOOKUP($A214,'[2]App C Share Outflows'!$A$4:$I$917,8,FALSE)</f>
        <v>5568</v>
      </c>
      <c r="AG214" s="2">
        <f>VLOOKUP($A214,'[2]App C Share Outflows'!$A$4:$I$917,9,FALSE)</f>
        <v>0</v>
      </c>
      <c r="AH214" s="2"/>
      <c r="AI214" s="2">
        <f>VLOOKUP($A214,'[2]App C Share Inflows'!$A$4:$I$917,5,FALSE)</f>
        <v>0</v>
      </c>
      <c r="AJ214" s="2">
        <f>VLOOKUP($A214,'[2]App C Share Inflows'!$A$4:$I$917,6,FALSE)</f>
        <v>0</v>
      </c>
      <c r="AK214" s="2">
        <f>VLOOKUP($A214,'[2]App C Share Inflows'!$A$4:$I$917,7,FALSE)</f>
        <v>0</v>
      </c>
      <c r="AL214" s="2">
        <f>VLOOKUP($A214,'[2]App C Share Inflows'!$A$4:$I$917,8,FALSE)</f>
        <v>0</v>
      </c>
      <c r="AM214" s="2">
        <f>VLOOKUP($A214,'[2]App C Share Inflows'!$A$4:$I$917,6,FALSE)</f>
        <v>0</v>
      </c>
    </row>
    <row r="215" spans="1:39">
      <c r="A215" s="351">
        <v>91819</v>
      </c>
      <c r="B215" s="344" t="s">
        <v>907</v>
      </c>
      <c r="C215" s="235" t="e">
        <f>VLOOKUP(A215,#REF!,10,FALSE)</f>
        <v>#REF!</v>
      </c>
      <c r="E215" s="2">
        <f>VLOOKUP($A215,'[2]App C Total'!$A$4:$I$917,5,FALSE)</f>
        <v>163334</v>
      </c>
      <c r="F215" s="2">
        <f>VLOOKUP($A215,'[2]App C Total'!$A$4:$I$917,6,FALSE)</f>
        <v>59246</v>
      </c>
      <c r="G215" s="2">
        <f>VLOOKUP($A215,'[2]App C Total'!$A$4:$I$917,7,FALSE)</f>
        <v>92778</v>
      </c>
      <c r="H215" s="2">
        <f>VLOOKUP($A215,'[2]App C Total'!$A$4:$I$917,8,FALSE)</f>
        <v>28553</v>
      </c>
      <c r="I215" s="2">
        <f>VLOOKUP($A215,'[2]App C Total'!$A$4:$I$917,9,FALSE)</f>
        <v>0</v>
      </c>
      <c r="J215" s="2"/>
      <c r="K215" s="2">
        <f>VLOOKUP($A215,'[2]App C Exp'!$A$4:$I$917,5,FALSE)</f>
        <v>46830</v>
      </c>
      <c r="L215" s="2">
        <f>VLOOKUP($A215,'[2]App C Exp'!$A$4:$I$917,6,FALSE)</f>
        <v>44052</v>
      </c>
      <c r="M215" s="2">
        <f>VLOOKUP($A215,'[2]App C Exp'!$A$4:$I$917,7,FALSE)</f>
        <v>39483</v>
      </c>
      <c r="N215" s="2">
        <f>VLOOKUP($A215,'[2]App C Exp'!$A$4:$I$917,8,FALSE)</f>
        <v>15808</v>
      </c>
      <c r="O215" s="2">
        <f>VLOOKUP($A215,'[2]App C Exp'!$A$4:$I$917,9,FALSE)</f>
        <v>0</v>
      </c>
      <c r="P215" s="2"/>
      <c r="Q215" s="2">
        <f>VLOOKUP($A215,'[2]App C Inv'!$A$4:$I$917,5,FALSE)</f>
        <v>49716</v>
      </c>
      <c r="R215" s="2">
        <f>VLOOKUP($A215,'[2]App C Inv'!$A$4:$I$917,6,FALSE)</f>
        <v>-42765</v>
      </c>
      <c r="S215" s="2">
        <f>VLOOKUP($A215,'[2]App C Inv'!$A$4:$I$917,7,FALSE)</f>
        <v>6027</v>
      </c>
      <c r="T215" s="2">
        <f>VLOOKUP($A215,'[2]App C Inv'!$A$4:$I$917,8,FALSE)</f>
        <v>7844</v>
      </c>
      <c r="U215" s="2">
        <f>VLOOKUP($A215,'[2]App C Inv'!$A$4:$I$917,9,FALSE)</f>
        <v>0</v>
      </c>
      <c r="V215" s="2"/>
      <c r="W215" s="2">
        <f>VLOOKUP($A215,'[2]App C Assum'!$A$4:$I$917,5,FALSE)</f>
        <v>56006</v>
      </c>
      <c r="X215" s="2">
        <f>VLOOKUP($A215,'[2]App C Assum'!$A$4:$I$917,6,FALSE)</f>
        <v>45882</v>
      </c>
      <c r="Y215" s="2">
        <f>VLOOKUP($A215,'[2]App C Assum'!$A$4:$I$917,7,FALSE)</f>
        <v>37248</v>
      </c>
      <c r="Z215" s="2">
        <f>VLOOKUP($A215,'[2]App C Assum'!$A$4:$I$917,8,FALSE)</f>
        <v>0</v>
      </c>
      <c r="AA215" s="2">
        <f>VLOOKUP($A215,'[2]App C Assum'!$A$4:$I$917,9,FALSE)</f>
        <v>0</v>
      </c>
      <c r="AB215" s="2"/>
      <c r="AC215" s="2">
        <f>VLOOKUP($A215,'[2]App C Share Outflows'!$A$4:$I$917,5,FALSE)</f>
        <v>12078</v>
      </c>
      <c r="AD215" s="2">
        <f>VLOOKUP($A215,'[2]App C Share Outflows'!$A$4:$I$917,6,FALSE)</f>
        <v>12077</v>
      </c>
      <c r="AE215" s="2">
        <f>VLOOKUP($A215,'[2]App C Share Outflows'!$A$4:$I$917,7,FALSE)</f>
        <v>10020</v>
      </c>
      <c r="AF215" s="2">
        <f>VLOOKUP($A215,'[2]App C Share Outflows'!$A$4:$I$917,8,FALSE)</f>
        <v>4901</v>
      </c>
      <c r="AG215" s="2">
        <f>VLOOKUP($A215,'[2]App C Share Outflows'!$A$4:$I$917,9,FALSE)</f>
        <v>0</v>
      </c>
      <c r="AH215" s="2"/>
      <c r="AI215" s="2">
        <f>VLOOKUP($A215,'[2]App C Share Inflows'!$A$4:$I$917,5,FALSE)</f>
        <v>-1296</v>
      </c>
      <c r="AJ215" s="2">
        <f>VLOOKUP($A215,'[2]App C Share Inflows'!$A$4:$I$917,6,FALSE)</f>
        <v>0</v>
      </c>
      <c r="AK215" s="2">
        <f>VLOOKUP($A215,'[2]App C Share Inflows'!$A$4:$I$917,7,FALSE)</f>
        <v>0</v>
      </c>
      <c r="AL215" s="2">
        <f>VLOOKUP($A215,'[2]App C Share Inflows'!$A$4:$I$917,8,FALSE)</f>
        <v>0</v>
      </c>
      <c r="AM215" s="2">
        <f>VLOOKUP($A215,'[2]App C Share Inflows'!$A$4:$I$917,6,FALSE)</f>
        <v>0</v>
      </c>
    </row>
    <row r="216" spans="1:39">
      <c r="A216" s="351">
        <v>91821</v>
      </c>
      <c r="B216" s="344" t="s">
        <v>908</v>
      </c>
      <c r="C216" s="235" t="e">
        <f>VLOOKUP(A216,#REF!,10,FALSE)</f>
        <v>#REF!</v>
      </c>
      <c r="E216" s="2">
        <f>VLOOKUP($A216,'[2]App C Total'!$A$4:$I$917,5,FALSE)</f>
        <v>78725</v>
      </c>
      <c r="F216" s="2">
        <f>VLOOKUP($A216,'[2]App C Total'!$A$4:$I$917,6,FALSE)</f>
        <v>22590</v>
      </c>
      <c r="G216" s="2">
        <f>VLOOKUP($A216,'[2]App C Total'!$A$4:$I$917,7,FALSE)</f>
        <v>41623</v>
      </c>
      <c r="H216" s="2">
        <f>VLOOKUP($A216,'[2]App C Total'!$A$4:$I$917,8,FALSE)</f>
        <v>12252</v>
      </c>
      <c r="I216" s="2">
        <f>VLOOKUP($A216,'[2]App C Total'!$A$4:$I$917,9,FALSE)</f>
        <v>0</v>
      </c>
      <c r="J216" s="2"/>
      <c r="K216" s="2">
        <f>VLOOKUP($A216,'[2]App C Exp'!$A$4:$I$917,5,FALSE)</f>
        <v>25093</v>
      </c>
      <c r="L216" s="2">
        <f>VLOOKUP($A216,'[2]App C Exp'!$A$4:$I$917,6,FALSE)</f>
        <v>23604</v>
      </c>
      <c r="M216" s="2">
        <f>VLOOKUP($A216,'[2]App C Exp'!$A$4:$I$917,7,FALSE)</f>
        <v>21156</v>
      </c>
      <c r="N216" s="2">
        <f>VLOOKUP($A216,'[2]App C Exp'!$A$4:$I$917,8,FALSE)</f>
        <v>8471</v>
      </c>
      <c r="O216" s="2">
        <f>VLOOKUP($A216,'[2]App C Exp'!$A$4:$I$917,9,FALSE)</f>
        <v>0</v>
      </c>
      <c r="P216" s="2"/>
      <c r="Q216" s="2">
        <f>VLOOKUP($A216,'[2]App C Inv'!$A$4:$I$917,5,FALSE)</f>
        <v>26639</v>
      </c>
      <c r="R216" s="2">
        <f>VLOOKUP($A216,'[2]App C Inv'!$A$4:$I$917,6,FALSE)</f>
        <v>-22915</v>
      </c>
      <c r="S216" s="2">
        <f>VLOOKUP($A216,'[2]App C Inv'!$A$4:$I$917,7,FALSE)</f>
        <v>3230</v>
      </c>
      <c r="T216" s="2">
        <f>VLOOKUP($A216,'[2]App C Inv'!$A$4:$I$917,8,FALSE)</f>
        <v>4203</v>
      </c>
      <c r="U216" s="2">
        <f>VLOOKUP($A216,'[2]App C Inv'!$A$4:$I$917,9,FALSE)</f>
        <v>0</v>
      </c>
      <c r="V216" s="2"/>
      <c r="W216" s="2">
        <f>VLOOKUP($A216,'[2]App C Assum'!$A$4:$I$917,5,FALSE)</f>
        <v>30010</v>
      </c>
      <c r="X216" s="2">
        <f>VLOOKUP($A216,'[2]App C Assum'!$A$4:$I$917,6,FALSE)</f>
        <v>24585</v>
      </c>
      <c r="Y216" s="2">
        <f>VLOOKUP($A216,'[2]App C Assum'!$A$4:$I$917,7,FALSE)</f>
        <v>19959</v>
      </c>
      <c r="Z216" s="2">
        <f>VLOOKUP($A216,'[2]App C Assum'!$A$4:$I$917,8,FALSE)</f>
        <v>0</v>
      </c>
      <c r="AA216" s="2">
        <f>VLOOKUP($A216,'[2]App C Assum'!$A$4:$I$917,9,FALSE)</f>
        <v>0</v>
      </c>
      <c r="AB216" s="2"/>
      <c r="AC216" s="2">
        <f>VLOOKUP($A216,'[2]App C Share Outflows'!$A$4:$I$917,5,FALSE)</f>
        <v>40</v>
      </c>
      <c r="AD216" s="2">
        <f>VLOOKUP($A216,'[2]App C Share Outflows'!$A$4:$I$917,6,FALSE)</f>
        <v>39</v>
      </c>
      <c r="AE216" s="2">
        <f>VLOOKUP($A216,'[2]App C Share Outflows'!$A$4:$I$917,7,FALSE)</f>
        <v>0</v>
      </c>
      <c r="AF216" s="2">
        <f>VLOOKUP($A216,'[2]App C Share Outflows'!$A$4:$I$917,8,FALSE)</f>
        <v>0</v>
      </c>
      <c r="AG216" s="2">
        <f>VLOOKUP($A216,'[2]App C Share Outflows'!$A$4:$I$917,9,FALSE)</f>
        <v>0</v>
      </c>
      <c r="AH216" s="2"/>
      <c r="AI216" s="2">
        <f>VLOOKUP($A216,'[2]App C Share Inflows'!$A$4:$I$917,5,FALSE)</f>
        <v>-3057</v>
      </c>
      <c r="AJ216" s="2">
        <f>VLOOKUP($A216,'[2]App C Share Inflows'!$A$4:$I$917,6,FALSE)</f>
        <v>-2723</v>
      </c>
      <c r="AK216" s="2">
        <f>VLOOKUP($A216,'[2]App C Share Inflows'!$A$4:$I$917,7,FALSE)</f>
        <v>-2722</v>
      </c>
      <c r="AL216" s="2">
        <f>VLOOKUP($A216,'[2]App C Share Inflows'!$A$4:$I$917,8,FALSE)</f>
        <v>-422</v>
      </c>
      <c r="AM216" s="2">
        <f>VLOOKUP($A216,'[2]App C Share Inflows'!$A$4:$I$917,6,FALSE)</f>
        <v>-2723</v>
      </c>
    </row>
    <row r="217" spans="1:39">
      <c r="A217" s="351">
        <v>91831</v>
      </c>
      <c r="B217" s="344" t="s">
        <v>909</v>
      </c>
      <c r="C217" s="235" t="e">
        <f>VLOOKUP(A217,#REF!,10,FALSE)</f>
        <v>#REF!</v>
      </c>
      <c r="E217" s="2">
        <f>VLOOKUP($A217,'[2]App C Total'!$A$4:$I$917,5,FALSE)</f>
        <v>184640</v>
      </c>
      <c r="F217" s="2">
        <f>VLOOKUP($A217,'[2]App C Total'!$A$4:$I$917,6,FALSE)</f>
        <v>58609</v>
      </c>
      <c r="G217" s="2">
        <f>VLOOKUP($A217,'[2]App C Total'!$A$4:$I$917,7,FALSE)</f>
        <v>103534</v>
      </c>
      <c r="H217" s="2">
        <f>VLOOKUP($A217,'[2]App C Total'!$A$4:$I$917,8,FALSE)</f>
        <v>28248</v>
      </c>
      <c r="I217" s="2">
        <f>VLOOKUP($A217,'[2]App C Total'!$A$4:$I$917,9,FALSE)</f>
        <v>0</v>
      </c>
      <c r="J217" s="2"/>
      <c r="K217" s="2">
        <f>VLOOKUP($A217,'[2]App C Exp'!$A$4:$I$917,5,FALSE)</f>
        <v>56912</v>
      </c>
      <c r="L217" s="2">
        <f>VLOOKUP($A217,'[2]App C Exp'!$A$4:$I$917,6,FALSE)</f>
        <v>53536</v>
      </c>
      <c r="M217" s="2">
        <f>VLOOKUP($A217,'[2]App C Exp'!$A$4:$I$917,7,FALSE)</f>
        <v>47983</v>
      </c>
      <c r="N217" s="2">
        <f>VLOOKUP($A217,'[2]App C Exp'!$A$4:$I$917,8,FALSE)</f>
        <v>19212</v>
      </c>
      <c r="O217" s="2">
        <f>VLOOKUP($A217,'[2]App C Exp'!$A$4:$I$917,9,FALSE)</f>
        <v>0</v>
      </c>
      <c r="P217" s="2"/>
      <c r="Q217" s="2">
        <f>VLOOKUP($A217,'[2]App C Inv'!$A$4:$I$917,5,FALSE)</f>
        <v>60420</v>
      </c>
      <c r="R217" s="2">
        <f>VLOOKUP($A217,'[2]App C Inv'!$A$4:$I$917,6,FALSE)</f>
        <v>-51972</v>
      </c>
      <c r="S217" s="2">
        <f>VLOOKUP($A217,'[2]App C Inv'!$A$4:$I$917,7,FALSE)</f>
        <v>7325</v>
      </c>
      <c r="T217" s="2">
        <f>VLOOKUP($A217,'[2]App C Inv'!$A$4:$I$917,8,FALSE)</f>
        <v>9533</v>
      </c>
      <c r="U217" s="2">
        <f>VLOOKUP($A217,'[2]App C Inv'!$A$4:$I$917,9,FALSE)</f>
        <v>0</v>
      </c>
      <c r="V217" s="2"/>
      <c r="W217" s="2">
        <f>VLOOKUP($A217,'[2]App C Assum'!$A$4:$I$917,5,FALSE)</f>
        <v>68064</v>
      </c>
      <c r="X217" s="2">
        <f>VLOOKUP($A217,'[2]App C Assum'!$A$4:$I$917,6,FALSE)</f>
        <v>55760</v>
      </c>
      <c r="Y217" s="2">
        <f>VLOOKUP($A217,'[2]App C Assum'!$A$4:$I$917,7,FALSE)</f>
        <v>45268</v>
      </c>
      <c r="Z217" s="2">
        <f>VLOOKUP($A217,'[2]App C Assum'!$A$4:$I$917,8,FALSE)</f>
        <v>0</v>
      </c>
      <c r="AA217" s="2">
        <f>VLOOKUP($A217,'[2]App C Assum'!$A$4:$I$917,9,FALSE)</f>
        <v>0</v>
      </c>
      <c r="AB217" s="2"/>
      <c r="AC217" s="2">
        <f>VLOOKUP($A217,'[2]App C Share Outflows'!$A$4:$I$917,5,FALSE)</f>
        <v>3454</v>
      </c>
      <c r="AD217" s="2">
        <f>VLOOKUP($A217,'[2]App C Share Outflows'!$A$4:$I$917,6,FALSE)</f>
        <v>3454</v>
      </c>
      <c r="AE217" s="2">
        <f>VLOOKUP($A217,'[2]App C Share Outflows'!$A$4:$I$917,7,FALSE)</f>
        <v>3454</v>
      </c>
      <c r="AF217" s="2">
        <f>VLOOKUP($A217,'[2]App C Share Outflows'!$A$4:$I$917,8,FALSE)</f>
        <v>0</v>
      </c>
      <c r="AG217" s="2">
        <f>VLOOKUP($A217,'[2]App C Share Outflows'!$A$4:$I$917,9,FALSE)</f>
        <v>0</v>
      </c>
      <c r="AH217" s="2"/>
      <c r="AI217" s="2">
        <f>VLOOKUP($A217,'[2]App C Share Inflows'!$A$4:$I$917,5,FALSE)</f>
        <v>-4210</v>
      </c>
      <c r="AJ217" s="2">
        <f>VLOOKUP($A217,'[2]App C Share Inflows'!$A$4:$I$917,6,FALSE)</f>
        <v>-2169</v>
      </c>
      <c r="AK217" s="2">
        <f>VLOOKUP($A217,'[2]App C Share Inflows'!$A$4:$I$917,7,FALSE)</f>
        <v>-496</v>
      </c>
      <c r="AL217" s="2">
        <f>VLOOKUP($A217,'[2]App C Share Inflows'!$A$4:$I$917,8,FALSE)</f>
        <v>-497</v>
      </c>
      <c r="AM217" s="2">
        <f>VLOOKUP($A217,'[2]App C Share Inflows'!$A$4:$I$917,6,FALSE)</f>
        <v>-2169</v>
      </c>
    </row>
    <row r="218" spans="1:39">
      <c r="A218" s="351">
        <v>91841</v>
      </c>
      <c r="B218" s="344" t="s">
        <v>910</v>
      </c>
      <c r="C218" s="235" t="e">
        <f>VLOOKUP(A218,#REF!,10,FALSE)</f>
        <v>#REF!</v>
      </c>
      <c r="E218" s="2">
        <f>VLOOKUP($A218,'[2]App C Total'!$A$4:$I$917,5,FALSE)</f>
        <v>121695</v>
      </c>
      <c r="F218" s="2">
        <f>VLOOKUP($A218,'[2]App C Total'!$A$4:$I$917,6,FALSE)</f>
        <v>37594</v>
      </c>
      <c r="G218" s="2">
        <f>VLOOKUP($A218,'[2]App C Total'!$A$4:$I$917,7,FALSE)</f>
        <v>65736</v>
      </c>
      <c r="H218" s="2">
        <f>VLOOKUP($A218,'[2]App C Total'!$A$4:$I$917,8,FALSE)</f>
        <v>17124</v>
      </c>
      <c r="I218" s="2">
        <f>VLOOKUP($A218,'[2]App C Total'!$A$4:$I$917,9,FALSE)</f>
        <v>0</v>
      </c>
      <c r="J218" s="2"/>
      <c r="K218" s="2">
        <f>VLOOKUP($A218,'[2]App C Exp'!$A$4:$I$917,5,FALSE)</f>
        <v>37587</v>
      </c>
      <c r="L218" s="2">
        <f>VLOOKUP($A218,'[2]App C Exp'!$A$4:$I$917,6,FALSE)</f>
        <v>35357</v>
      </c>
      <c r="M218" s="2">
        <f>VLOOKUP($A218,'[2]App C Exp'!$A$4:$I$917,7,FALSE)</f>
        <v>31690</v>
      </c>
      <c r="N218" s="2">
        <f>VLOOKUP($A218,'[2]App C Exp'!$A$4:$I$917,8,FALSE)</f>
        <v>12688</v>
      </c>
      <c r="O218" s="2">
        <f>VLOOKUP($A218,'[2]App C Exp'!$A$4:$I$917,9,FALSE)</f>
        <v>0</v>
      </c>
      <c r="P218" s="2"/>
      <c r="Q218" s="2">
        <f>VLOOKUP($A218,'[2]App C Inv'!$A$4:$I$917,5,FALSE)</f>
        <v>39903</v>
      </c>
      <c r="R218" s="2">
        <f>VLOOKUP($A218,'[2]App C Inv'!$A$4:$I$917,6,FALSE)</f>
        <v>-34324</v>
      </c>
      <c r="S218" s="2">
        <f>VLOOKUP($A218,'[2]App C Inv'!$A$4:$I$917,7,FALSE)</f>
        <v>4838</v>
      </c>
      <c r="T218" s="2">
        <f>VLOOKUP($A218,'[2]App C Inv'!$A$4:$I$917,8,FALSE)</f>
        <v>6296</v>
      </c>
      <c r="U218" s="2">
        <f>VLOOKUP($A218,'[2]App C Inv'!$A$4:$I$917,9,FALSE)</f>
        <v>0</v>
      </c>
      <c r="V218" s="2"/>
      <c r="W218" s="2">
        <f>VLOOKUP($A218,'[2]App C Assum'!$A$4:$I$917,5,FALSE)</f>
        <v>44952</v>
      </c>
      <c r="X218" s="2">
        <f>VLOOKUP($A218,'[2]App C Assum'!$A$4:$I$917,6,FALSE)</f>
        <v>36826</v>
      </c>
      <c r="Y218" s="2">
        <f>VLOOKUP($A218,'[2]App C Assum'!$A$4:$I$917,7,FALSE)</f>
        <v>29896</v>
      </c>
      <c r="Z218" s="2">
        <f>VLOOKUP($A218,'[2]App C Assum'!$A$4:$I$917,8,FALSE)</f>
        <v>0</v>
      </c>
      <c r="AA218" s="2">
        <f>VLOOKUP($A218,'[2]App C Assum'!$A$4:$I$917,9,FALSE)</f>
        <v>0</v>
      </c>
      <c r="AB218" s="2"/>
      <c r="AC218" s="2">
        <f>VLOOKUP($A218,'[2]App C Share Outflows'!$A$4:$I$917,5,FALSE)</f>
        <v>1593</v>
      </c>
      <c r="AD218" s="2">
        <f>VLOOKUP($A218,'[2]App C Share Outflows'!$A$4:$I$917,6,FALSE)</f>
        <v>1594</v>
      </c>
      <c r="AE218" s="2">
        <f>VLOOKUP($A218,'[2]App C Share Outflows'!$A$4:$I$917,7,FALSE)</f>
        <v>1171</v>
      </c>
      <c r="AF218" s="2">
        <f>VLOOKUP($A218,'[2]App C Share Outflows'!$A$4:$I$917,8,FALSE)</f>
        <v>0</v>
      </c>
      <c r="AG218" s="2">
        <f>VLOOKUP($A218,'[2]App C Share Outflows'!$A$4:$I$917,9,FALSE)</f>
        <v>0</v>
      </c>
      <c r="AH218" s="2"/>
      <c r="AI218" s="2">
        <f>VLOOKUP($A218,'[2]App C Share Inflows'!$A$4:$I$917,5,FALSE)</f>
        <v>-2340</v>
      </c>
      <c r="AJ218" s="2">
        <f>VLOOKUP($A218,'[2]App C Share Inflows'!$A$4:$I$917,6,FALSE)</f>
        <v>-1859</v>
      </c>
      <c r="AK218" s="2">
        <f>VLOOKUP($A218,'[2]App C Share Inflows'!$A$4:$I$917,7,FALSE)</f>
        <v>-1859</v>
      </c>
      <c r="AL218" s="2">
        <f>VLOOKUP($A218,'[2]App C Share Inflows'!$A$4:$I$917,8,FALSE)</f>
        <v>-1860</v>
      </c>
      <c r="AM218" s="2">
        <f>VLOOKUP($A218,'[2]App C Share Inflows'!$A$4:$I$917,6,FALSE)</f>
        <v>-1859</v>
      </c>
    </row>
    <row r="219" spans="1:39">
      <c r="A219" s="351">
        <v>91851</v>
      </c>
      <c r="B219" s="344" t="s">
        <v>911</v>
      </c>
      <c r="C219" s="235" t="e">
        <f>VLOOKUP(A219,#REF!,10,FALSE)</f>
        <v>#REF!</v>
      </c>
      <c r="E219" s="2">
        <f>VLOOKUP($A219,'[2]App C Total'!$A$4:$I$917,5,FALSE)</f>
        <v>327309</v>
      </c>
      <c r="F219" s="2">
        <f>VLOOKUP($A219,'[2]App C Total'!$A$4:$I$917,6,FALSE)</f>
        <v>100126</v>
      </c>
      <c r="G219" s="2">
        <f>VLOOKUP($A219,'[2]App C Total'!$A$4:$I$917,7,FALSE)</f>
        <v>178503</v>
      </c>
      <c r="H219" s="2">
        <f>VLOOKUP($A219,'[2]App C Total'!$A$4:$I$917,8,FALSE)</f>
        <v>48462</v>
      </c>
      <c r="I219" s="2">
        <f>VLOOKUP($A219,'[2]App C Total'!$A$4:$I$917,9,FALSE)</f>
        <v>0</v>
      </c>
      <c r="J219" s="2"/>
      <c r="K219" s="2">
        <f>VLOOKUP($A219,'[2]App C Exp'!$A$4:$I$917,5,FALSE)</f>
        <v>104925</v>
      </c>
      <c r="L219" s="2">
        <f>VLOOKUP($A219,'[2]App C Exp'!$A$4:$I$917,6,FALSE)</f>
        <v>98700</v>
      </c>
      <c r="M219" s="2">
        <f>VLOOKUP($A219,'[2]App C Exp'!$A$4:$I$917,7,FALSE)</f>
        <v>88464</v>
      </c>
      <c r="N219" s="2">
        <f>VLOOKUP($A219,'[2]App C Exp'!$A$4:$I$917,8,FALSE)</f>
        <v>35420</v>
      </c>
      <c r="O219" s="2">
        <f>VLOOKUP($A219,'[2]App C Exp'!$A$4:$I$917,9,FALSE)</f>
        <v>0</v>
      </c>
      <c r="P219" s="2"/>
      <c r="Q219" s="2">
        <f>VLOOKUP($A219,'[2]App C Inv'!$A$4:$I$917,5,FALSE)</f>
        <v>111392</v>
      </c>
      <c r="R219" s="2">
        <f>VLOOKUP($A219,'[2]App C Inv'!$A$4:$I$917,6,FALSE)</f>
        <v>-95818</v>
      </c>
      <c r="S219" s="2">
        <f>VLOOKUP($A219,'[2]App C Inv'!$A$4:$I$917,7,FALSE)</f>
        <v>13504</v>
      </c>
      <c r="T219" s="2">
        <f>VLOOKUP($A219,'[2]App C Inv'!$A$4:$I$917,8,FALSE)</f>
        <v>17576</v>
      </c>
      <c r="U219" s="2">
        <f>VLOOKUP($A219,'[2]App C Inv'!$A$4:$I$917,9,FALSE)</f>
        <v>0</v>
      </c>
      <c r="V219" s="2"/>
      <c r="W219" s="2">
        <f>VLOOKUP($A219,'[2]App C Assum'!$A$4:$I$917,5,FALSE)</f>
        <v>125485</v>
      </c>
      <c r="X219" s="2">
        <f>VLOOKUP($A219,'[2]App C Assum'!$A$4:$I$917,6,FALSE)</f>
        <v>102802</v>
      </c>
      <c r="Y219" s="2">
        <f>VLOOKUP($A219,'[2]App C Assum'!$A$4:$I$917,7,FALSE)</f>
        <v>83458</v>
      </c>
      <c r="Z219" s="2">
        <f>VLOOKUP($A219,'[2]App C Assum'!$A$4:$I$917,8,FALSE)</f>
        <v>0</v>
      </c>
      <c r="AA219" s="2">
        <f>VLOOKUP($A219,'[2]App C Assum'!$A$4:$I$917,9,FALSE)</f>
        <v>0</v>
      </c>
      <c r="AB219" s="2"/>
      <c r="AC219" s="2">
        <f>VLOOKUP($A219,'[2]App C Share Outflows'!$A$4:$I$917,5,FALSE)</f>
        <v>1364</v>
      </c>
      <c r="AD219" s="2">
        <f>VLOOKUP($A219,'[2]App C Share Outflows'!$A$4:$I$917,6,FALSE)</f>
        <v>1365</v>
      </c>
      <c r="AE219" s="2">
        <f>VLOOKUP($A219,'[2]App C Share Outflows'!$A$4:$I$917,7,FALSE)</f>
        <v>0</v>
      </c>
      <c r="AF219" s="2">
        <f>VLOOKUP($A219,'[2]App C Share Outflows'!$A$4:$I$917,8,FALSE)</f>
        <v>0</v>
      </c>
      <c r="AG219" s="2">
        <f>VLOOKUP($A219,'[2]App C Share Outflows'!$A$4:$I$917,9,FALSE)</f>
        <v>0</v>
      </c>
      <c r="AH219" s="2"/>
      <c r="AI219" s="2">
        <f>VLOOKUP($A219,'[2]App C Share Inflows'!$A$4:$I$917,5,FALSE)</f>
        <v>-15857</v>
      </c>
      <c r="AJ219" s="2">
        <f>VLOOKUP($A219,'[2]App C Share Inflows'!$A$4:$I$917,6,FALSE)</f>
        <v>-6923</v>
      </c>
      <c r="AK219" s="2">
        <f>VLOOKUP($A219,'[2]App C Share Inflows'!$A$4:$I$917,7,FALSE)</f>
        <v>-6923</v>
      </c>
      <c r="AL219" s="2">
        <f>VLOOKUP($A219,'[2]App C Share Inflows'!$A$4:$I$917,8,FALSE)</f>
        <v>-4534</v>
      </c>
      <c r="AM219" s="2">
        <f>VLOOKUP($A219,'[2]App C Share Inflows'!$A$4:$I$917,6,FALSE)</f>
        <v>-6923</v>
      </c>
    </row>
    <row r="220" spans="1:39">
      <c r="A220" s="351">
        <v>91861</v>
      </c>
      <c r="B220" s="344" t="s">
        <v>912</v>
      </c>
      <c r="C220" s="235" t="e">
        <f>VLOOKUP(A220,#REF!,10,FALSE)</f>
        <v>#REF!</v>
      </c>
      <c r="E220" s="2">
        <f>VLOOKUP($A220,'[2]App C Total'!$A$4:$I$917,5,FALSE)</f>
        <v>1607</v>
      </c>
      <c r="F220" s="2">
        <f>VLOOKUP($A220,'[2]App C Total'!$A$4:$I$917,6,FALSE)</f>
        <v>-1118</v>
      </c>
      <c r="G220" s="2">
        <f>VLOOKUP($A220,'[2]App C Total'!$A$4:$I$917,7,FALSE)</f>
        <v>-2</v>
      </c>
      <c r="H220" s="2">
        <f>VLOOKUP($A220,'[2]App C Total'!$A$4:$I$917,8,FALSE)</f>
        <v>-358</v>
      </c>
      <c r="I220" s="2">
        <f>VLOOKUP($A220,'[2]App C Total'!$A$4:$I$917,9,FALSE)</f>
        <v>0</v>
      </c>
      <c r="J220" s="2"/>
      <c r="K220" s="2">
        <f>VLOOKUP($A220,'[2]App C Exp'!$A$4:$I$917,5,FALSE)</f>
        <v>1154</v>
      </c>
      <c r="L220" s="2">
        <f>VLOOKUP($A220,'[2]App C Exp'!$A$4:$I$917,6,FALSE)</f>
        <v>1085</v>
      </c>
      <c r="M220" s="2">
        <f>VLOOKUP($A220,'[2]App C Exp'!$A$4:$I$917,7,FALSE)</f>
        <v>973</v>
      </c>
      <c r="N220" s="2">
        <f>VLOOKUP($A220,'[2]App C Exp'!$A$4:$I$917,8,FALSE)</f>
        <v>389</v>
      </c>
      <c r="O220" s="2">
        <f>VLOOKUP($A220,'[2]App C Exp'!$A$4:$I$917,9,FALSE)</f>
        <v>0</v>
      </c>
      <c r="P220" s="2"/>
      <c r="Q220" s="2">
        <f>VLOOKUP($A220,'[2]App C Inv'!$A$4:$I$917,5,FALSE)</f>
        <v>1225</v>
      </c>
      <c r="R220" s="2">
        <f>VLOOKUP($A220,'[2]App C Inv'!$A$4:$I$917,6,FALSE)</f>
        <v>-1053</v>
      </c>
      <c r="S220" s="2">
        <f>VLOOKUP($A220,'[2]App C Inv'!$A$4:$I$917,7,FALSE)</f>
        <v>148</v>
      </c>
      <c r="T220" s="2">
        <f>VLOOKUP($A220,'[2]App C Inv'!$A$4:$I$917,8,FALSE)</f>
        <v>193</v>
      </c>
      <c r="U220" s="2">
        <f>VLOOKUP($A220,'[2]App C Inv'!$A$4:$I$917,9,FALSE)</f>
        <v>0</v>
      </c>
      <c r="V220" s="2"/>
      <c r="W220" s="2">
        <f>VLOOKUP($A220,'[2]App C Assum'!$A$4:$I$917,5,FALSE)</f>
        <v>1380</v>
      </c>
      <c r="X220" s="2">
        <f>VLOOKUP($A220,'[2]App C Assum'!$A$4:$I$917,6,FALSE)</f>
        <v>1130</v>
      </c>
      <c r="Y220" s="2">
        <f>VLOOKUP($A220,'[2]App C Assum'!$A$4:$I$917,7,FALSE)</f>
        <v>918</v>
      </c>
      <c r="Z220" s="2">
        <f>VLOOKUP($A220,'[2]App C Assum'!$A$4:$I$917,8,FALSE)</f>
        <v>0</v>
      </c>
      <c r="AA220" s="2">
        <f>VLOOKUP($A220,'[2]App C Assum'!$A$4:$I$917,9,FALSE)</f>
        <v>0</v>
      </c>
      <c r="AB220" s="2"/>
      <c r="AC220" s="2">
        <f>VLOOKUP($A220,'[2]App C Share Outflows'!$A$4:$I$917,5,FALSE)</f>
        <v>129</v>
      </c>
      <c r="AD220" s="2">
        <f>VLOOKUP($A220,'[2]App C Share Outflows'!$A$4:$I$917,6,FALSE)</f>
        <v>0</v>
      </c>
      <c r="AE220" s="2">
        <f>VLOOKUP($A220,'[2]App C Share Outflows'!$A$4:$I$917,7,FALSE)</f>
        <v>0</v>
      </c>
      <c r="AF220" s="2">
        <f>VLOOKUP($A220,'[2]App C Share Outflows'!$A$4:$I$917,8,FALSE)</f>
        <v>0</v>
      </c>
      <c r="AG220" s="2">
        <f>VLOOKUP($A220,'[2]App C Share Outflows'!$A$4:$I$917,9,FALSE)</f>
        <v>0</v>
      </c>
      <c r="AH220" s="2"/>
      <c r="AI220" s="2">
        <f>VLOOKUP($A220,'[2]App C Share Inflows'!$A$4:$I$917,5,FALSE)</f>
        <v>-2281</v>
      </c>
      <c r="AJ220" s="2">
        <f>VLOOKUP($A220,'[2]App C Share Inflows'!$A$4:$I$917,6,FALSE)</f>
        <v>-2280</v>
      </c>
      <c r="AK220" s="2">
        <f>VLOOKUP($A220,'[2]App C Share Inflows'!$A$4:$I$917,7,FALSE)</f>
        <v>-2041</v>
      </c>
      <c r="AL220" s="2">
        <f>VLOOKUP($A220,'[2]App C Share Inflows'!$A$4:$I$917,8,FALSE)</f>
        <v>-940</v>
      </c>
      <c r="AM220" s="2">
        <f>VLOOKUP($A220,'[2]App C Share Inflows'!$A$4:$I$917,6,FALSE)</f>
        <v>-2280</v>
      </c>
    </row>
    <row r="221" spans="1:39">
      <c r="A221" s="351">
        <v>91871</v>
      </c>
      <c r="B221" s="344" t="s">
        <v>913</v>
      </c>
      <c r="C221" s="235" t="e">
        <f>VLOOKUP(A221,#REF!,10,FALSE)</f>
        <v>#REF!</v>
      </c>
      <c r="E221" s="2">
        <f>VLOOKUP($A221,'[2]App C Total'!$A$4:$I$917,5,FALSE)</f>
        <v>621461</v>
      </c>
      <c r="F221" s="2">
        <f>VLOOKUP($A221,'[2]App C Total'!$A$4:$I$917,6,FALSE)</f>
        <v>191395</v>
      </c>
      <c r="G221" s="2">
        <f>VLOOKUP($A221,'[2]App C Total'!$A$4:$I$917,7,FALSE)</f>
        <v>335148</v>
      </c>
      <c r="H221" s="2">
        <f>VLOOKUP($A221,'[2]App C Total'!$A$4:$I$917,8,FALSE)</f>
        <v>95194</v>
      </c>
      <c r="I221" s="2">
        <f>VLOOKUP($A221,'[2]App C Total'!$A$4:$I$917,9,FALSE)</f>
        <v>0</v>
      </c>
      <c r="J221" s="2"/>
      <c r="K221" s="2">
        <f>VLOOKUP($A221,'[2]App C Exp'!$A$4:$I$917,5,FALSE)</f>
        <v>196562</v>
      </c>
      <c r="L221" s="2">
        <f>VLOOKUP($A221,'[2]App C Exp'!$A$4:$I$917,6,FALSE)</f>
        <v>184901</v>
      </c>
      <c r="M221" s="2">
        <f>VLOOKUP($A221,'[2]App C Exp'!$A$4:$I$917,7,FALSE)</f>
        <v>165725</v>
      </c>
      <c r="N221" s="2">
        <f>VLOOKUP($A221,'[2]App C Exp'!$A$4:$I$917,8,FALSE)</f>
        <v>66354</v>
      </c>
      <c r="O221" s="2">
        <f>VLOOKUP($A221,'[2]App C Exp'!$A$4:$I$917,9,FALSE)</f>
        <v>0</v>
      </c>
      <c r="P221" s="2"/>
      <c r="Q221" s="2">
        <f>VLOOKUP($A221,'[2]App C Inv'!$A$4:$I$917,5,FALSE)</f>
        <v>208678</v>
      </c>
      <c r="R221" s="2">
        <f>VLOOKUP($A221,'[2]App C Inv'!$A$4:$I$917,6,FALSE)</f>
        <v>-179502</v>
      </c>
      <c r="S221" s="2">
        <f>VLOOKUP($A221,'[2]App C Inv'!$A$4:$I$917,7,FALSE)</f>
        <v>25299</v>
      </c>
      <c r="T221" s="2">
        <f>VLOOKUP($A221,'[2]App C Inv'!$A$4:$I$917,8,FALSE)</f>
        <v>32926</v>
      </c>
      <c r="U221" s="2">
        <f>VLOOKUP($A221,'[2]App C Inv'!$A$4:$I$917,9,FALSE)</f>
        <v>0</v>
      </c>
      <c r="V221" s="2"/>
      <c r="W221" s="2">
        <f>VLOOKUP($A221,'[2]App C Assum'!$A$4:$I$917,5,FALSE)</f>
        <v>235078</v>
      </c>
      <c r="X221" s="2">
        <f>VLOOKUP($A221,'[2]App C Assum'!$A$4:$I$917,6,FALSE)</f>
        <v>192585</v>
      </c>
      <c r="Y221" s="2">
        <f>VLOOKUP($A221,'[2]App C Assum'!$A$4:$I$917,7,FALSE)</f>
        <v>156346</v>
      </c>
      <c r="Z221" s="2">
        <f>VLOOKUP($A221,'[2]App C Assum'!$A$4:$I$917,8,FALSE)</f>
        <v>0</v>
      </c>
      <c r="AA221" s="2">
        <f>VLOOKUP($A221,'[2]App C Assum'!$A$4:$I$917,9,FALSE)</f>
        <v>0</v>
      </c>
      <c r="AB221" s="2"/>
      <c r="AC221" s="2">
        <f>VLOOKUP($A221,'[2]App C Share Outflows'!$A$4:$I$917,5,FALSE)</f>
        <v>5635</v>
      </c>
      <c r="AD221" s="2">
        <f>VLOOKUP($A221,'[2]App C Share Outflows'!$A$4:$I$917,6,FALSE)</f>
        <v>5633</v>
      </c>
      <c r="AE221" s="2">
        <f>VLOOKUP($A221,'[2]App C Share Outflows'!$A$4:$I$917,7,FALSE)</f>
        <v>0</v>
      </c>
      <c r="AF221" s="2">
        <f>VLOOKUP($A221,'[2]App C Share Outflows'!$A$4:$I$917,8,FALSE)</f>
        <v>0</v>
      </c>
      <c r="AG221" s="2">
        <f>VLOOKUP($A221,'[2]App C Share Outflows'!$A$4:$I$917,9,FALSE)</f>
        <v>0</v>
      </c>
      <c r="AH221" s="2"/>
      <c r="AI221" s="2">
        <f>VLOOKUP($A221,'[2]App C Share Inflows'!$A$4:$I$917,5,FALSE)</f>
        <v>-24492</v>
      </c>
      <c r="AJ221" s="2">
        <f>VLOOKUP($A221,'[2]App C Share Inflows'!$A$4:$I$917,6,FALSE)</f>
        <v>-12222</v>
      </c>
      <c r="AK221" s="2">
        <f>VLOOKUP($A221,'[2]App C Share Inflows'!$A$4:$I$917,7,FALSE)</f>
        <v>-12222</v>
      </c>
      <c r="AL221" s="2">
        <f>VLOOKUP($A221,'[2]App C Share Inflows'!$A$4:$I$917,8,FALSE)</f>
        <v>-4086</v>
      </c>
      <c r="AM221" s="2">
        <f>VLOOKUP($A221,'[2]App C Share Inflows'!$A$4:$I$917,6,FALSE)</f>
        <v>-12222</v>
      </c>
    </row>
    <row r="222" spans="1:39">
      <c r="A222" s="351">
        <v>91881</v>
      </c>
      <c r="B222" s="344" t="s">
        <v>914</v>
      </c>
      <c r="C222" s="235" t="e">
        <f>VLOOKUP(A222,#REF!,10,FALSE)</f>
        <v>#REF!</v>
      </c>
      <c r="E222" s="2">
        <f>VLOOKUP($A222,'[2]App C Total'!$A$4:$I$917,5,FALSE)</f>
        <v>11962</v>
      </c>
      <c r="F222" s="2">
        <f>VLOOKUP($A222,'[2]App C Total'!$A$4:$I$917,6,FALSE)</f>
        <v>5807</v>
      </c>
      <c r="G222" s="2">
        <f>VLOOKUP($A222,'[2]App C Total'!$A$4:$I$917,7,FALSE)</f>
        <v>7957</v>
      </c>
      <c r="H222" s="2">
        <f>VLOOKUP($A222,'[2]App C Total'!$A$4:$I$917,8,FALSE)</f>
        <v>3898</v>
      </c>
      <c r="I222" s="2">
        <f>VLOOKUP($A222,'[2]App C Total'!$A$4:$I$917,9,FALSE)</f>
        <v>0</v>
      </c>
      <c r="J222" s="2"/>
      <c r="K222" s="2">
        <f>VLOOKUP($A222,'[2]App C Exp'!$A$4:$I$917,5,FALSE)</f>
        <v>3206</v>
      </c>
      <c r="L222" s="2">
        <f>VLOOKUP($A222,'[2]App C Exp'!$A$4:$I$917,6,FALSE)</f>
        <v>3016</v>
      </c>
      <c r="M222" s="2">
        <f>VLOOKUP($A222,'[2]App C Exp'!$A$4:$I$917,7,FALSE)</f>
        <v>2703</v>
      </c>
      <c r="N222" s="2">
        <f>VLOOKUP($A222,'[2]App C Exp'!$A$4:$I$917,8,FALSE)</f>
        <v>1082</v>
      </c>
      <c r="O222" s="2">
        <f>VLOOKUP($A222,'[2]App C Exp'!$A$4:$I$917,9,FALSE)</f>
        <v>0</v>
      </c>
      <c r="P222" s="2"/>
      <c r="Q222" s="2">
        <f>VLOOKUP($A222,'[2]App C Inv'!$A$4:$I$917,5,FALSE)</f>
        <v>3403</v>
      </c>
      <c r="R222" s="2">
        <f>VLOOKUP($A222,'[2]App C Inv'!$A$4:$I$917,6,FALSE)</f>
        <v>-2928</v>
      </c>
      <c r="S222" s="2">
        <f>VLOOKUP($A222,'[2]App C Inv'!$A$4:$I$917,7,FALSE)</f>
        <v>413</v>
      </c>
      <c r="T222" s="2">
        <f>VLOOKUP($A222,'[2]App C Inv'!$A$4:$I$917,8,FALSE)</f>
        <v>537</v>
      </c>
      <c r="U222" s="2">
        <f>VLOOKUP($A222,'[2]App C Inv'!$A$4:$I$917,9,FALSE)</f>
        <v>0</v>
      </c>
      <c r="V222" s="2"/>
      <c r="W222" s="2">
        <f>VLOOKUP($A222,'[2]App C Assum'!$A$4:$I$917,5,FALSE)</f>
        <v>3834</v>
      </c>
      <c r="X222" s="2">
        <f>VLOOKUP($A222,'[2]App C Assum'!$A$4:$I$917,6,FALSE)</f>
        <v>3141</v>
      </c>
      <c r="Y222" s="2">
        <f>VLOOKUP($A222,'[2]App C Assum'!$A$4:$I$917,7,FALSE)</f>
        <v>2550</v>
      </c>
      <c r="Z222" s="2">
        <f>VLOOKUP($A222,'[2]App C Assum'!$A$4:$I$917,8,FALSE)</f>
        <v>0</v>
      </c>
      <c r="AA222" s="2">
        <f>VLOOKUP($A222,'[2]App C Assum'!$A$4:$I$917,9,FALSE)</f>
        <v>0</v>
      </c>
      <c r="AB222" s="2"/>
      <c r="AC222" s="2">
        <f>VLOOKUP($A222,'[2]App C Share Outflows'!$A$4:$I$917,5,FALSE)</f>
        <v>2578</v>
      </c>
      <c r="AD222" s="2">
        <f>VLOOKUP($A222,'[2]App C Share Outflows'!$A$4:$I$917,6,FALSE)</f>
        <v>2578</v>
      </c>
      <c r="AE222" s="2">
        <f>VLOOKUP($A222,'[2]App C Share Outflows'!$A$4:$I$917,7,FALSE)</f>
        <v>2291</v>
      </c>
      <c r="AF222" s="2">
        <f>VLOOKUP($A222,'[2]App C Share Outflows'!$A$4:$I$917,8,FALSE)</f>
        <v>2279</v>
      </c>
      <c r="AG222" s="2">
        <f>VLOOKUP($A222,'[2]App C Share Outflows'!$A$4:$I$917,9,FALSE)</f>
        <v>0</v>
      </c>
      <c r="AH222" s="2"/>
      <c r="AI222" s="2">
        <f>VLOOKUP($A222,'[2]App C Share Inflows'!$A$4:$I$917,5,FALSE)</f>
        <v>-1059</v>
      </c>
      <c r="AJ222" s="2">
        <f>VLOOKUP($A222,'[2]App C Share Inflows'!$A$4:$I$917,6,FALSE)</f>
        <v>0</v>
      </c>
      <c r="AK222" s="2">
        <f>VLOOKUP($A222,'[2]App C Share Inflows'!$A$4:$I$917,7,FALSE)</f>
        <v>0</v>
      </c>
      <c r="AL222" s="2">
        <f>VLOOKUP($A222,'[2]App C Share Inflows'!$A$4:$I$917,8,FALSE)</f>
        <v>0</v>
      </c>
      <c r="AM222" s="2">
        <f>VLOOKUP($A222,'[2]App C Share Inflows'!$A$4:$I$917,6,FALSE)</f>
        <v>0</v>
      </c>
    </row>
    <row r="223" spans="1:39">
      <c r="A223" s="351">
        <v>91901</v>
      </c>
      <c r="B223" s="344" t="s">
        <v>915</v>
      </c>
      <c r="C223" s="235" t="e">
        <f>VLOOKUP(A223,#REF!,10,FALSE)</f>
        <v>#REF!</v>
      </c>
      <c r="E223" s="2">
        <f>VLOOKUP($A223,'[2]App C Total'!$A$4:$I$917,5,FALSE)</f>
        <v>1786986</v>
      </c>
      <c r="F223" s="2">
        <f>VLOOKUP($A223,'[2]App C Total'!$A$4:$I$917,6,FALSE)</f>
        <v>533241</v>
      </c>
      <c r="G223" s="2">
        <f>VLOOKUP($A223,'[2]App C Total'!$A$4:$I$917,7,FALSE)</f>
        <v>958038</v>
      </c>
      <c r="H223" s="2">
        <f>VLOOKUP($A223,'[2]App C Total'!$A$4:$I$917,8,FALSE)</f>
        <v>268182</v>
      </c>
      <c r="I223" s="2">
        <f>VLOOKUP($A223,'[2]App C Total'!$A$4:$I$917,9,FALSE)</f>
        <v>0</v>
      </c>
      <c r="J223" s="2"/>
      <c r="K223" s="2">
        <f>VLOOKUP($A223,'[2]App C Exp'!$A$4:$I$917,5,FALSE)</f>
        <v>553507</v>
      </c>
      <c r="L223" s="2">
        <f>VLOOKUP($A223,'[2]App C Exp'!$A$4:$I$917,6,FALSE)</f>
        <v>520671</v>
      </c>
      <c r="M223" s="2">
        <f>VLOOKUP($A223,'[2]App C Exp'!$A$4:$I$917,7,FALSE)</f>
        <v>466672</v>
      </c>
      <c r="N223" s="2">
        <f>VLOOKUP($A223,'[2]App C Exp'!$A$4:$I$917,8,FALSE)</f>
        <v>186850</v>
      </c>
      <c r="O223" s="2">
        <f>VLOOKUP($A223,'[2]App C Exp'!$A$4:$I$917,9,FALSE)</f>
        <v>0</v>
      </c>
      <c r="P223" s="2"/>
      <c r="Q223" s="2">
        <f>VLOOKUP($A223,'[2]App C Inv'!$A$4:$I$917,5,FALSE)</f>
        <v>587625</v>
      </c>
      <c r="R223" s="2">
        <f>VLOOKUP($A223,'[2]App C Inv'!$A$4:$I$917,6,FALSE)</f>
        <v>-505467</v>
      </c>
      <c r="S223" s="2">
        <f>VLOOKUP($A223,'[2]App C Inv'!$A$4:$I$917,7,FALSE)</f>
        <v>71239</v>
      </c>
      <c r="T223" s="2">
        <f>VLOOKUP($A223,'[2]App C Inv'!$A$4:$I$917,8,FALSE)</f>
        <v>92717</v>
      </c>
      <c r="U223" s="2">
        <f>VLOOKUP($A223,'[2]App C Inv'!$A$4:$I$917,9,FALSE)</f>
        <v>0</v>
      </c>
      <c r="V223" s="2"/>
      <c r="W223" s="2">
        <f>VLOOKUP($A223,'[2]App C Assum'!$A$4:$I$917,5,FALSE)</f>
        <v>661968</v>
      </c>
      <c r="X223" s="2">
        <f>VLOOKUP($A223,'[2]App C Assum'!$A$4:$I$917,6,FALSE)</f>
        <v>542308</v>
      </c>
      <c r="Y223" s="2">
        <f>VLOOKUP($A223,'[2]App C Assum'!$A$4:$I$917,7,FALSE)</f>
        <v>440261</v>
      </c>
      <c r="Z223" s="2">
        <f>VLOOKUP($A223,'[2]App C Assum'!$A$4:$I$917,8,FALSE)</f>
        <v>0</v>
      </c>
      <c r="AA223" s="2">
        <f>VLOOKUP($A223,'[2]App C Assum'!$A$4:$I$917,9,FALSE)</f>
        <v>0</v>
      </c>
      <c r="AB223" s="2"/>
      <c r="AC223" s="2">
        <f>VLOOKUP($A223,'[2]App C Share Outflows'!$A$4:$I$917,5,FALSE)</f>
        <v>8156</v>
      </c>
      <c r="AD223" s="2">
        <f>VLOOKUP($A223,'[2]App C Share Outflows'!$A$4:$I$917,6,FALSE)</f>
        <v>0</v>
      </c>
      <c r="AE223" s="2">
        <f>VLOOKUP($A223,'[2]App C Share Outflows'!$A$4:$I$917,7,FALSE)</f>
        <v>0</v>
      </c>
      <c r="AF223" s="2">
        <f>VLOOKUP($A223,'[2]App C Share Outflows'!$A$4:$I$917,8,FALSE)</f>
        <v>0</v>
      </c>
      <c r="AG223" s="2">
        <f>VLOOKUP($A223,'[2]App C Share Outflows'!$A$4:$I$917,9,FALSE)</f>
        <v>0</v>
      </c>
      <c r="AH223" s="2"/>
      <c r="AI223" s="2">
        <f>VLOOKUP($A223,'[2]App C Share Inflows'!$A$4:$I$917,5,FALSE)</f>
        <v>-24270</v>
      </c>
      <c r="AJ223" s="2">
        <f>VLOOKUP($A223,'[2]App C Share Inflows'!$A$4:$I$917,6,FALSE)</f>
        <v>-24271</v>
      </c>
      <c r="AK223" s="2">
        <f>VLOOKUP($A223,'[2]App C Share Inflows'!$A$4:$I$917,7,FALSE)</f>
        <v>-20134</v>
      </c>
      <c r="AL223" s="2">
        <f>VLOOKUP($A223,'[2]App C Share Inflows'!$A$4:$I$917,8,FALSE)</f>
        <v>-11385</v>
      </c>
      <c r="AM223" s="2">
        <f>VLOOKUP($A223,'[2]App C Share Inflows'!$A$4:$I$917,6,FALSE)</f>
        <v>-24271</v>
      </c>
    </row>
    <row r="224" spans="1:39">
      <c r="A224" s="351">
        <v>91903</v>
      </c>
      <c r="B224" s="344" t="s">
        <v>2783</v>
      </c>
      <c r="C224" s="235" t="e">
        <f>VLOOKUP(A224,#REF!,10,FALSE)</f>
        <v>#REF!</v>
      </c>
      <c r="E224" s="2">
        <f>VLOOKUP($A224,'[2]App C Total'!$A$4:$I$917,5,FALSE)</f>
        <v>4665</v>
      </c>
      <c r="F224" s="2">
        <f>VLOOKUP($A224,'[2]App C Total'!$A$4:$I$917,6,FALSE)</f>
        <v>2201</v>
      </c>
      <c r="G224" s="2">
        <f>VLOOKUP($A224,'[2]App C Total'!$A$4:$I$917,7,FALSE)</f>
        <v>2620</v>
      </c>
      <c r="H224" s="2">
        <f>VLOOKUP($A224,'[2]App C Total'!$A$4:$I$917,8,FALSE)</f>
        <v>794</v>
      </c>
      <c r="I224" s="2">
        <f>VLOOKUP($A224,'[2]App C Total'!$A$4:$I$917,9,FALSE)</f>
        <v>0</v>
      </c>
      <c r="J224" s="2"/>
      <c r="K224" s="2">
        <f>VLOOKUP($A224,'[2]App C Exp'!$A$4:$I$917,5,FALSE)</f>
        <v>1079</v>
      </c>
      <c r="L224" s="2">
        <f>VLOOKUP($A224,'[2]App C Exp'!$A$4:$I$917,6,FALSE)</f>
        <v>1015</v>
      </c>
      <c r="M224" s="2">
        <f>VLOOKUP($A224,'[2]App C Exp'!$A$4:$I$917,7,FALSE)</f>
        <v>909</v>
      </c>
      <c r="N224" s="2">
        <f>VLOOKUP($A224,'[2]App C Exp'!$A$4:$I$917,8,FALSE)</f>
        <v>364</v>
      </c>
      <c r="O224" s="2">
        <f>VLOOKUP($A224,'[2]App C Exp'!$A$4:$I$917,9,FALSE)</f>
        <v>0</v>
      </c>
      <c r="P224" s="2"/>
      <c r="Q224" s="2">
        <f>VLOOKUP($A224,'[2]App C Inv'!$A$4:$I$917,5,FALSE)</f>
        <v>1145</v>
      </c>
      <c r="R224" s="2">
        <f>VLOOKUP($A224,'[2]App C Inv'!$A$4:$I$917,6,FALSE)</f>
        <v>-985</v>
      </c>
      <c r="S224" s="2">
        <f>VLOOKUP($A224,'[2]App C Inv'!$A$4:$I$917,7,FALSE)</f>
        <v>139</v>
      </c>
      <c r="T224" s="2">
        <f>VLOOKUP($A224,'[2]App C Inv'!$A$4:$I$917,8,FALSE)</f>
        <v>181</v>
      </c>
      <c r="U224" s="2">
        <f>VLOOKUP($A224,'[2]App C Inv'!$A$4:$I$917,9,FALSE)</f>
        <v>0</v>
      </c>
      <c r="V224" s="2"/>
      <c r="W224" s="2">
        <f>VLOOKUP($A224,'[2]App C Assum'!$A$4:$I$917,5,FALSE)</f>
        <v>1290</v>
      </c>
      <c r="X224" s="2">
        <f>VLOOKUP($A224,'[2]App C Assum'!$A$4:$I$917,6,FALSE)</f>
        <v>1057</v>
      </c>
      <c r="Y224" s="2">
        <f>VLOOKUP($A224,'[2]App C Assum'!$A$4:$I$917,7,FALSE)</f>
        <v>858</v>
      </c>
      <c r="Z224" s="2">
        <f>VLOOKUP($A224,'[2]App C Assum'!$A$4:$I$917,8,FALSE)</f>
        <v>0</v>
      </c>
      <c r="AA224" s="2">
        <f>VLOOKUP($A224,'[2]App C Assum'!$A$4:$I$917,9,FALSE)</f>
        <v>0</v>
      </c>
      <c r="AB224" s="2"/>
      <c r="AC224" s="2">
        <f>VLOOKUP($A224,'[2]App C Share Outflows'!$A$4:$I$917,5,FALSE)</f>
        <v>1151</v>
      </c>
      <c r="AD224" s="2">
        <f>VLOOKUP($A224,'[2]App C Share Outflows'!$A$4:$I$917,6,FALSE)</f>
        <v>1114</v>
      </c>
      <c r="AE224" s="2">
        <f>VLOOKUP($A224,'[2]App C Share Outflows'!$A$4:$I$917,7,FALSE)</f>
        <v>714</v>
      </c>
      <c r="AF224" s="2">
        <f>VLOOKUP($A224,'[2]App C Share Outflows'!$A$4:$I$917,8,FALSE)</f>
        <v>249</v>
      </c>
      <c r="AG224" s="2">
        <f>VLOOKUP($A224,'[2]App C Share Outflows'!$A$4:$I$917,9,FALSE)</f>
        <v>0</v>
      </c>
      <c r="AH224" s="2"/>
      <c r="AI224" s="2">
        <f>VLOOKUP($A224,'[2]App C Share Inflows'!$A$4:$I$917,5,FALSE)</f>
        <v>0</v>
      </c>
      <c r="AJ224" s="2">
        <f>VLOOKUP($A224,'[2]App C Share Inflows'!$A$4:$I$917,6,FALSE)</f>
        <v>0</v>
      </c>
      <c r="AK224" s="2">
        <f>VLOOKUP($A224,'[2]App C Share Inflows'!$A$4:$I$917,7,FALSE)</f>
        <v>0</v>
      </c>
      <c r="AL224" s="2">
        <f>VLOOKUP($A224,'[2]App C Share Inflows'!$A$4:$I$917,8,FALSE)</f>
        <v>0</v>
      </c>
      <c r="AM224" s="2">
        <f>VLOOKUP($A224,'[2]App C Share Inflows'!$A$4:$I$917,6,FALSE)</f>
        <v>0</v>
      </c>
    </row>
    <row r="225" spans="1:39">
      <c r="A225" s="351">
        <v>91904</v>
      </c>
      <c r="B225" s="344" t="s">
        <v>917</v>
      </c>
      <c r="C225" s="235" t="e">
        <f>VLOOKUP(A225,#REF!,10,FALSE)</f>
        <v>#REF!</v>
      </c>
      <c r="E225" s="2">
        <f>VLOOKUP($A225,'[2]App C Total'!$A$4:$I$917,5,FALSE)</f>
        <v>19239</v>
      </c>
      <c r="F225" s="2">
        <f>VLOOKUP($A225,'[2]App C Total'!$A$4:$I$917,6,FALSE)</f>
        <v>6901</v>
      </c>
      <c r="G225" s="2">
        <f>VLOOKUP($A225,'[2]App C Total'!$A$4:$I$917,7,FALSE)</f>
        <v>9341</v>
      </c>
      <c r="H225" s="2">
        <f>VLOOKUP($A225,'[2]App C Total'!$A$4:$I$917,8,FALSE)</f>
        <v>3284</v>
      </c>
      <c r="I225" s="2">
        <f>VLOOKUP($A225,'[2]App C Total'!$A$4:$I$917,9,FALSE)</f>
        <v>0</v>
      </c>
      <c r="J225" s="2"/>
      <c r="K225" s="2">
        <f>VLOOKUP($A225,'[2]App C Exp'!$A$4:$I$917,5,FALSE)</f>
        <v>4884</v>
      </c>
      <c r="L225" s="2">
        <f>VLOOKUP($A225,'[2]App C Exp'!$A$4:$I$917,6,FALSE)</f>
        <v>4594</v>
      </c>
      <c r="M225" s="2">
        <f>VLOOKUP($A225,'[2]App C Exp'!$A$4:$I$917,7,FALSE)</f>
        <v>4118</v>
      </c>
      <c r="N225" s="2">
        <f>VLOOKUP($A225,'[2]App C Exp'!$A$4:$I$917,8,FALSE)</f>
        <v>1649</v>
      </c>
      <c r="O225" s="2">
        <f>VLOOKUP($A225,'[2]App C Exp'!$A$4:$I$917,9,FALSE)</f>
        <v>0</v>
      </c>
      <c r="P225" s="2"/>
      <c r="Q225" s="2">
        <f>VLOOKUP($A225,'[2]App C Inv'!$A$4:$I$917,5,FALSE)</f>
        <v>5185</v>
      </c>
      <c r="R225" s="2">
        <f>VLOOKUP($A225,'[2]App C Inv'!$A$4:$I$917,6,FALSE)</f>
        <v>-4460</v>
      </c>
      <c r="S225" s="2">
        <f>VLOOKUP($A225,'[2]App C Inv'!$A$4:$I$917,7,FALSE)</f>
        <v>629</v>
      </c>
      <c r="T225" s="2">
        <f>VLOOKUP($A225,'[2]App C Inv'!$A$4:$I$917,8,FALSE)</f>
        <v>818</v>
      </c>
      <c r="U225" s="2">
        <f>VLOOKUP($A225,'[2]App C Inv'!$A$4:$I$917,9,FALSE)</f>
        <v>0</v>
      </c>
      <c r="V225" s="2"/>
      <c r="W225" s="2">
        <f>VLOOKUP($A225,'[2]App C Assum'!$A$4:$I$917,5,FALSE)</f>
        <v>5841</v>
      </c>
      <c r="X225" s="2">
        <f>VLOOKUP($A225,'[2]App C Assum'!$A$4:$I$917,6,FALSE)</f>
        <v>4785</v>
      </c>
      <c r="Y225" s="2">
        <f>VLOOKUP($A225,'[2]App C Assum'!$A$4:$I$917,7,FALSE)</f>
        <v>3885</v>
      </c>
      <c r="Z225" s="2">
        <f>VLOOKUP($A225,'[2]App C Assum'!$A$4:$I$917,8,FALSE)</f>
        <v>0</v>
      </c>
      <c r="AA225" s="2">
        <f>VLOOKUP($A225,'[2]App C Assum'!$A$4:$I$917,9,FALSE)</f>
        <v>0</v>
      </c>
      <c r="AB225" s="2"/>
      <c r="AC225" s="2">
        <f>VLOOKUP($A225,'[2]App C Share Outflows'!$A$4:$I$917,5,FALSE)</f>
        <v>3437</v>
      </c>
      <c r="AD225" s="2">
        <f>VLOOKUP($A225,'[2]App C Share Outflows'!$A$4:$I$917,6,FALSE)</f>
        <v>2090</v>
      </c>
      <c r="AE225" s="2">
        <f>VLOOKUP($A225,'[2]App C Share Outflows'!$A$4:$I$917,7,FALSE)</f>
        <v>819</v>
      </c>
      <c r="AF225" s="2">
        <f>VLOOKUP($A225,'[2]App C Share Outflows'!$A$4:$I$917,8,FALSE)</f>
        <v>817</v>
      </c>
      <c r="AG225" s="2">
        <f>VLOOKUP($A225,'[2]App C Share Outflows'!$A$4:$I$917,9,FALSE)</f>
        <v>0</v>
      </c>
      <c r="AH225" s="2"/>
      <c r="AI225" s="2">
        <f>VLOOKUP($A225,'[2]App C Share Inflows'!$A$4:$I$917,5,FALSE)</f>
        <v>-108</v>
      </c>
      <c r="AJ225" s="2">
        <f>VLOOKUP($A225,'[2]App C Share Inflows'!$A$4:$I$917,6,FALSE)</f>
        <v>-108</v>
      </c>
      <c r="AK225" s="2">
        <f>VLOOKUP($A225,'[2]App C Share Inflows'!$A$4:$I$917,7,FALSE)</f>
        <v>-110</v>
      </c>
      <c r="AL225" s="2">
        <f>VLOOKUP($A225,'[2]App C Share Inflows'!$A$4:$I$917,8,FALSE)</f>
        <v>0</v>
      </c>
      <c r="AM225" s="2">
        <f>VLOOKUP($A225,'[2]App C Share Inflows'!$A$4:$I$917,6,FALSE)</f>
        <v>-108</v>
      </c>
    </row>
    <row r="226" spans="1:39">
      <c r="A226" s="351">
        <v>91908</v>
      </c>
      <c r="B226" s="344" t="s">
        <v>918</v>
      </c>
      <c r="C226" s="235" t="e">
        <f>VLOOKUP(A226,#REF!,10,FALSE)</f>
        <v>#REF!</v>
      </c>
      <c r="E226" s="2">
        <f>VLOOKUP($A226,'[2]App C Total'!$A$4:$I$917,5,FALSE)</f>
        <v>5823</v>
      </c>
      <c r="F226" s="2">
        <f>VLOOKUP($A226,'[2]App C Total'!$A$4:$I$917,6,FALSE)</f>
        <v>1229</v>
      </c>
      <c r="G226" s="2">
        <f>VLOOKUP($A226,'[2]App C Total'!$A$4:$I$917,7,FALSE)</f>
        <v>3013</v>
      </c>
      <c r="H226" s="2">
        <f>VLOOKUP($A226,'[2]App C Total'!$A$4:$I$917,8,FALSE)</f>
        <v>754</v>
      </c>
      <c r="I226" s="2">
        <f>VLOOKUP($A226,'[2]App C Total'!$A$4:$I$917,9,FALSE)</f>
        <v>0</v>
      </c>
      <c r="J226" s="2"/>
      <c r="K226" s="2">
        <f>VLOOKUP($A226,'[2]App C Exp'!$A$4:$I$917,5,FALSE)</f>
        <v>2382</v>
      </c>
      <c r="L226" s="2">
        <f>VLOOKUP($A226,'[2]App C Exp'!$A$4:$I$917,6,FALSE)</f>
        <v>2241</v>
      </c>
      <c r="M226" s="2">
        <f>VLOOKUP($A226,'[2]App C Exp'!$A$4:$I$917,7,FALSE)</f>
        <v>2008</v>
      </c>
      <c r="N226" s="2">
        <f>VLOOKUP($A226,'[2]App C Exp'!$A$4:$I$917,8,FALSE)</f>
        <v>804</v>
      </c>
      <c r="O226" s="2">
        <f>VLOOKUP($A226,'[2]App C Exp'!$A$4:$I$917,9,FALSE)</f>
        <v>0</v>
      </c>
      <c r="P226" s="2"/>
      <c r="Q226" s="2">
        <f>VLOOKUP($A226,'[2]App C Inv'!$A$4:$I$917,5,FALSE)</f>
        <v>2529</v>
      </c>
      <c r="R226" s="2">
        <f>VLOOKUP($A226,'[2]App C Inv'!$A$4:$I$917,6,FALSE)</f>
        <v>-2175</v>
      </c>
      <c r="S226" s="2">
        <f>VLOOKUP($A226,'[2]App C Inv'!$A$4:$I$917,7,FALSE)</f>
        <v>307</v>
      </c>
      <c r="T226" s="2">
        <f>VLOOKUP($A226,'[2]App C Inv'!$A$4:$I$917,8,FALSE)</f>
        <v>399</v>
      </c>
      <c r="U226" s="2">
        <f>VLOOKUP($A226,'[2]App C Inv'!$A$4:$I$917,9,FALSE)</f>
        <v>0</v>
      </c>
      <c r="V226" s="2"/>
      <c r="W226" s="2">
        <f>VLOOKUP($A226,'[2]App C Assum'!$A$4:$I$917,5,FALSE)</f>
        <v>2849</v>
      </c>
      <c r="X226" s="2">
        <f>VLOOKUP($A226,'[2]App C Assum'!$A$4:$I$917,6,FALSE)</f>
        <v>2334</v>
      </c>
      <c r="Y226" s="2">
        <f>VLOOKUP($A226,'[2]App C Assum'!$A$4:$I$917,7,FALSE)</f>
        <v>1895</v>
      </c>
      <c r="Z226" s="2">
        <f>VLOOKUP($A226,'[2]App C Assum'!$A$4:$I$917,8,FALSE)</f>
        <v>0</v>
      </c>
      <c r="AA226" s="2">
        <f>VLOOKUP($A226,'[2]App C Assum'!$A$4:$I$917,9,FALSE)</f>
        <v>0</v>
      </c>
      <c r="AB226" s="2"/>
      <c r="AC226" s="2">
        <f>VLOOKUP($A226,'[2]App C Share Outflows'!$A$4:$I$917,5,FALSE)</f>
        <v>27</v>
      </c>
      <c r="AD226" s="2">
        <f>VLOOKUP($A226,'[2]App C Share Outflows'!$A$4:$I$917,6,FALSE)</f>
        <v>26</v>
      </c>
      <c r="AE226" s="2">
        <f>VLOOKUP($A226,'[2]App C Share Outflows'!$A$4:$I$917,7,FALSE)</f>
        <v>0</v>
      </c>
      <c r="AF226" s="2">
        <f>VLOOKUP($A226,'[2]App C Share Outflows'!$A$4:$I$917,8,FALSE)</f>
        <v>0</v>
      </c>
      <c r="AG226" s="2">
        <f>VLOOKUP($A226,'[2]App C Share Outflows'!$A$4:$I$917,9,FALSE)</f>
        <v>0</v>
      </c>
      <c r="AH226" s="2"/>
      <c r="AI226" s="2">
        <f>VLOOKUP($A226,'[2]App C Share Inflows'!$A$4:$I$917,5,FALSE)</f>
        <v>-1964</v>
      </c>
      <c r="AJ226" s="2">
        <f>VLOOKUP($A226,'[2]App C Share Inflows'!$A$4:$I$917,6,FALSE)</f>
        <v>-1197</v>
      </c>
      <c r="AK226" s="2">
        <f>VLOOKUP($A226,'[2]App C Share Inflows'!$A$4:$I$917,7,FALSE)</f>
        <v>-1197</v>
      </c>
      <c r="AL226" s="2">
        <f>VLOOKUP($A226,'[2]App C Share Inflows'!$A$4:$I$917,8,FALSE)</f>
        <v>-449</v>
      </c>
      <c r="AM226" s="2">
        <f>VLOOKUP($A226,'[2]App C Share Inflows'!$A$4:$I$917,6,FALSE)</f>
        <v>-1197</v>
      </c>
    </row>
    <row r="227" spans="1:39">
      <c r="A227" s="351">
        <v>91911</v>
      </c>
      <c r="B227" s="344" t="s">
        <v>919</v>
      </c>
      <c r="C227" s="235" t="e">
        <f>VLOOKUP(A227,#REF!,10,FALSE)</f>
        <v>#REF!</v>
      </c>
      <c r="E227" s="2">
        <f>VLOOKUP($A227,'[2]App C Total'!$A$4:$I$917,5,FALSE)</f>
        <v>217735</v>
      </c>
      <c r="F227" s="2">
        <f>VLOOKUP($A227,'[2]App C Total'!$A$4:$I$917,6,FALSE)</f>
        <v>65292</v>
      </c>
      <c r="G227" s="2">
        <f>VLOOKUP($A227,'[2]App C Total'!$A$4:$I$917,7,FALSE)</f>
        <v>114428</v>
      </c>
      <c r="H227" s="2">
        <f>VLOOKUP($A227,'[2]App C Total'!$A$4:$I$917,8,FALSE)</f>
        <v>26005</v>
      </c>
      <c r="I227" s="2">
        <f>VLOOKUP($A227,'[2]App C Total'!$A$4:$I$917,9,FALSE)</f>
        <v>0</v>
      </c>
      <c r="J227" s="2"/>
      <c r="K227" s="2">
        <f>VLOOKUP($A227,'[2]App C Exp'!$A$4:$I$917,5,FALSE)</f>
        <v>66814</v>
      </c>
      <c r="L227" s="2">
        <f>VLOOKUP($A227,'[2]App C Exp'!$A$4:$I$917,6,FALSE)</f>
        <v>62850</v>
      </c>
      <c r="M227" s="2">
        <f>VLOOKUP($A227,'[2]App C Exp'!$A$4:$I$917,7,FALSE)</f>
        <v>56332</v>
      </c>
      <c r="N227" s="2">
        <f>VLOOKUP($A227,'[2]App C Exp'!$A$4:$I$917,8,FALSE)</f>
        <v>22555</v>
      </c>
      <c r="O227" s="2">
        <f>VLOOKUP($A227,'[2]App C Exp'!$A$4:$I$917,9,FALSE)</f>
        <v>0</v>
      </c>
      <c r="P227" s="2"/>
      <c r="Q227" s="2">
        <f>VLOOKUP($A227,'[2]App C Inv'!$A$4:$I$917,5,FALSE)</f>
        <v>70932</v>
      </c>
      <c r="R227" s="2">
        <f>VLOOKUP($A227,'[2]App C Inv'!$A$4:$I$917,6,FALSE)</f>
        <v>-61015</v>
      </c>
      <c r="S227" s="2">
        <f>VLOOKUP($A227,'[2]App C Inv'!$A$4:$I$917,7,FALSE)</f>
        <v>8599</v>
      </c>
      <c r="T227" s="2">
        <f>VLOOKUP($A227,'[2]App C Inv'!$A$4:$I$917,8,FALSE)</f>
        <v>11192</v>
      </c>
      <c r="U227" s="2">
        <f>VLOOKUP($A227,'[2]App C Inv'!$A$4:$I$917,9,FALSE)</f>
        <v>0</v>
      </c>
      <c r="V227" s="2"/>
      <c r="W227" s="2">
        <f>VLOOKUP($A227,'[2]App C Assum'!$A$4:$I$917,5,FALSE)</f>
        <v>79906</v>
      </c>
      <c r="X227" s="2">
        <f>VLOOKUP($A227,'[2]App C Assum'!$A$4:$I$917,6,FALSE)</f>
        <v>65462</v>
      </c>
      <c r="Y227" s="2">
        <f>VLOOKUP($A227,'[2]App C Assum'!$A$4:$I$917,7,FALSE)</f>
        <v>53144</v>
      </c>
      <c r="Z227" s="2">
        <f>VLOOKUP($A227,'[2]App C Assum'!$A$4:$I$917,8,FALSE)</f>
        <v>0</v>
      </c>
      <c r="AA227" s="2">
        <f>VLOOKUP($A227,'[2]App C Assum'!$A$4:$I$917,9,FALSE)</f>
        <v>0</v>
      </c>
      <c r="AB227" s="2"/>
      <c r="AC227" s="2">
        <f>VLOOKUP($A227,'[2]App C Share Outflows'!$A$4:$I$917,5,FALSE)</f>
        <v>7826</v>
      </c>
      <c r="AD227" s="2">
        <f>VLOOKUP($A227,'[2]App C Share Outflows'!$A$4:$I$917,6,FALSE)</f>
        <v>5738</v>
      </c>
      <c r="AE227" s="2">
        <f>VLOOKUP($A227,'[2]App C Share Outflows'!$A$4:$I$917,7,FALSE)</f>
        <v>4096</v>
      </c>
      <c r="AF227" s="2">
        <f>VLOOKUP($A227,'[2]App C Share Outflows'!$A$4:$I$917,8,FALSE)</f>
        <v>0</v>
      </c>
      <c r="AG227" s="2">
        <f>VLOOKUP($A227,'[2]App C Share Outflows'!$A$4:$I$917,9,FALSE)</f>
        <v>0</v>
      </c>
      <c r="AH227" s="2"/>
      <c r="AI227" s="2">
        <f>VLOOKUP($A227,'[2]App C Share Inflows'!$A$4:$I$917,5,FALSE)</f>
        <v>-7743</v>
      </c>
      <c r="AJ227" s="2">
        <f>VLOOKUP($A227,'[2]App C Share Inflows'!$A$4:$I$917,6,FALSE)</f>
        <v>-7743</v>
      </c>
      <c r="AK227" s="2">
        <f>VLOOKUP($A227,'[2]App C Share Inflows'!$A$4:$I$917,7,FALSE)</f>
        <v>-7743</v>
      </c>
      <c r="AL227" s="2">
        <f>VLOOKUP($A227,'[2]App C Share Inflows'!$A$4:$I$917,8,FALSE)</f>
        <v>-7742</v>
      </c>
      <c r="AM227" s="2">
        <f>VLOOKUP($A227,'[2]App C Share Inflows'!$A$4:$I$917,6,FALSE)</f>
        <v>-7743</v>
      </c>
    </row>
    <row r="228" spans="1:39">
      <c r="A228" s="351">
        <v>91917</v>
      </c>
      <c r="B228" s="344" t="s">
        <v>920</v>
      </c>
      <c r="C228" s="235" t="e">
        <f>VLOOKUP(A228,#REF!,10,FALSE)</f>
        <v>#REF!</v>
      </c>
      <c r="E228" s="2">
        <f>VLOOKUP($A228,'[2]App C Total'!$A$4:$I$917,5,FALSE)</f>
        <v>7258</v>
      </c>
      <c r="F228" s="2">
        <f>VLOOKUP($A228,'[2]App C Total'!$A$4:$I$917,6,FALSE)</f>
        <v>2709</v>
      </c>
      <c r="G228" s="2">
        <f>VLOOKUP($A228,'[2]App C Total'!$A$4:$I$917,7,FALSE)</f>
        <v>4282</v>
      </c>
      <c r="H228" s="2">
        <f>VLOOKUP($A228,'[2]App C Total'!$A$4:$I$917,8,FALSE)</f>
        <v>1751</v>
      </c>
      <c r="I228" s="2">
        <f>VLOOKUP($A228,'[2]App C Total'!$A$4:$I$917,9,FALSE)</f>
        <v>0</v>
      </c>
      <c r="J228" s="2"/>
      <c r="K228" s="2">
        <f>VLOOKUP($A228,'[2]App C Exp'!$A$4:$I$917,5,FALSE)</f>
        <v>1962</v>
      </c>
      <c r="L228" s="2">
        <f>VLOOKUP($A228,'[2]App C Exp'!$A$4:$I$917,6,FALSE)</f>
        <v>1846</v>
      </c>
      <c r="M228" s="2">
        <f>VLOOKUP($A228,'[2]App C Exp'!$A$4:$I$917,7,FALSE)</f>
        <v>1655</v>
      </c>
      <c r="N228" s="2">
        <f>VLOOKUP($A228,'[2]App C Exp'!$A$4:$I$917,8,FALSE)</f>
        <v>662</v>
      </c>
      <c r="O228" s="2">
        <f>VLOOKUP($A228,'[2]App C Exp'!$A$4:$I$917,9,FALSE)</f>
        <v>0</v>
      </c>
      <c r="P228" s="2"/>
      <c r="Q228" s="2">
        <f>VLOOKUP($A228,'[2]App C Inv'!$A$4:$I$917,5,FALSE)</f>
        <v>2083</v>
      </c>
      <c r="R228" s="2">
        <f>VLOOKUP($A228,'[2]App C Inv'!$A$4:$I$917,6,FALSE)</f>
        <v>-1792</v>
      </c>
      <c r="S228" s="2">
        <f>VLOOKUP($A228,'[2]App C Inv'!$A$4:$I$917,7,FALSE)</f>
        <v>253</v>
      </c>
      <c r="T228" s="2">
        <f>VLOOKUP($A228,'[2]App C Inv'!$A$4:$I$917,8,FALSE)</f>
        <v>329</v>
      </c>
      <c r="U228" s="2">
        <f>VLOOKUP($A228,'[2]App C Inv'!$A$4:$I$917,9,FALSE)</f>
        <v>0</v>
      </c>
      <c r="V228" s="2"/>
      <c r="W228" s="2">
        <f>VLOOKUP($A228,'[2]App C Assum'!$A$4:$I$917,5,FALSE)</f>
        <v>2347</v>
      </c>
      <c r="X228" s="2">
        <f>VLOOKUP($A228,'[2]App C Assum'!$A$4:$I$917,6,FALSE)</f>
        <v>1923</v>
      </c>
      <c r="Y228" s="2">
        <f>VLOOKUP($A228,'[2]App C Assum'!$A$4:$I$917,7,FALSE)</f>
        <v>1561</v>
      </c>
      <c r="Z228" s="2">
        <f>VLOOKUP($A228,'[2]App C Assum'!$A$4:$I$917,8,FALSE)</f>
        <v>0</v>
      </c>
      <c r="AA228" s="2">
        <f>VLOOKUP($A228,'[2]App C Assum'!$A$4:$I$917,9,FALSE)</f>
        <v>0</v>
      </c>
      <c r="AB228" s="2"/>
      <c r="AC228" s="2">
        <f>VLOOKUP($A228,'[2]App C Share Outflows'!$A$4:$I$917,5,FALSE)</f>
        <v>943</v>
      </c>
      <c r="AD228" s="2">
        <f>VLOOKUP($A228,'[2]App C Share Outflows'!$A$4:$I$917,6,FALSE)</f>
        <v>811</v>
      </c>
      <c r="AE228" s="2">
        <f>VLOOKUP($A228,'[2]App C Share Outflows'!$A$4:$I$917,7,FALSE)</f>
        <v>813</v>
      </c>
      <c r="AF228" s="2">
        <f>VLOOKUP($A228,'[2]App C Share Outflows'!$A$4:$I$917,8,FALSE)</f>
        <v>760</v>
      </c>
      <c r="AG228" s="2">
        <f>VLOOKUP($A228,'[2]App C Share Outflows'!$A$4:$I$917,9,FALSE)</f>
        <v>0</v>
      </c>
      <c r="AH228" s="2"/>
      <c r="AI228" s="2">
        <f>VLOOKUP($A228,'[2]App C Share Inflows'!$A$4:$I$917,5,FALSE)</f>
        <v>-77</v>
      </c>
      <c r="AJ228" s="2">
        <f>VLOOKUP($A228,'[2]App C Share Inflows'!$A$4:$I$917,6,FALSE)</f>
        <v>-79</v>
      </c>
      <c r="AK228" s="2">
        <f>VLOOKUP($A228,'[2]App C Share Inflows'!$A$4:$I$917,7,FALSE)</f>
        <v>0</v>
      </c>
      <c r="AL228" s="2">
        <f>VLOOKUP($A228,'[2]App C Share Inflows'!$A$4:$I$917,8,FALSE)</f>
        <v>0</v>
      </c>
      <c r="AM228" s="2">
        <f>VLOOKUP($A228,'[2]App C Share Inflows'!$A$4:$I$917,6,FALSE)</f>
        <v>-79</v>
      </c>
    </row>
    <row r="229" spans="1:39">
      <c r="A229" s="351">
        <v>91921</v>
      </c>
      <c r="B229" s="344" t="s">
        <v>921</v>
      </c>
      <c r="C229" s="235" t="e">
        <f>VLOOKUP(A229,#REF!,10,FALSE)</f>
        <v>#REF!</v>
      </c>
      <c r="E229" s="2">
        <f>VLOOKUP($A229,'[2]App C Total'!$A$4:$I$917,5,FALSE)</f>
        <v>185005</v>
      </c>
      <c r="F229" s="2">
        <f>VLOOKUP($A229,'[2]App C Total'!$A$4:$I$917,6,FALSE)</f>
        <v>55550</v>
      </c>
      <c r="G229" s="2">
        <f>VLOOKUP($A229,'[2]App C Total'!$A$4:$I$917,7,FALSE)</f>
        <v>100040</v>
      </c>
      <c r="H229" s="2">
        <f>VLOOKUP($A229,'[2]App C Total'!$A$4:$I$917,8,FALSE)</f>
        <v>32638</v>
      </c>
      <c r="I229" s="2">
        <f>VLOOKUP($A229,'[2]App C Total'!$A$4:$I$917,9,FALSE)</f>
        <v>0</v>
      </c>
      <c r="J229" s="2"/>
      <c r="K229" s="2">
        <f>VLOOKUP($A229,'[2]App C Exp'!$A$4:$I$917,5,FALSE)</f>
        <v>57646</v>
      </c>
      <c r="L229" s="2">
        <f>VLOOKUP($A229,'[2]App C Exp'!$A$4:$I$917,6,FALSE)</f>
        <v>54226</v>
      </c>
      <c r="M229" s="2">
        <f>VLOOKUP($A229,'[2]App C Exp'!$A$4:$I$917,7,FALSE)</f>
        <v>48602</v>
      </c>
      <c r="N229" s="2">
        <f>VLOOKUP($A229,'[2]App C Exp'!$A$4:$I$917,8,FALSE)</f>
        <v>19460</v>
      </c>
      <c r="O229" s="2">
        <f>VLOOKUP($A229,'[2]App C Exp'!$A$4:$I$917,9,FALSE)</f>
        <v>0</v>
      </c>
      <c r="P229" s="2"/>
      <c r="Q229" s="2">
        <f>VLOOKUP($A229,'[2]App C Inv'!$A$4:$I$917,5,FALSE)</f>
        <v>61199</v>
      </c>
      <c r="R229" s="2">
        <f>VLOOKUP($A229,'[2]App C Inv'!$A$4:$I$917,6,FALSE)</f>
        <v>-52643</v>
      </c>
      <c r="S229" s="2">
        <f>VLOOKUP($A229,'[2]App C Inv'!$A$4:$I$917,7,FALSE)</f>
        <v>7419</v>
      </c>
      <c r="T229" s="2">
        <f>VLOOKUP($A229,'[2]App C Inv'!$A$4:$I$917,8,FALSE)</f>
        <v>9656</v>
      </c>
      <c r="U229" s="2">
        <f>VLOOKUP($A229,'[2]App C Inv'!$A$4:$I$917,9,FALSE)</f>
        <v>0</v>
      </c>
      <c r="V229" s="2"/>
      <c r="W229" s="2">
        <f>VLOOKUP($A229,'[2]App C Assum'!$A$4:$I$917,5,FALSE)</f>
        <v>68942</v>
      </c>
      <c r="X229" s="2">
        <f>VLOOKUP($A229,'[2]App C Assum'!$A$4:$I$917,6,FALSE)</f>
        <v>56479</v>
      </c>
      <c r="Y229" s="2">
        <f>VLOOKUP($A229,'[2]App C Assum'!$A$4:$I$917,7,FALSE)</f>
        <v>45852</v>
      </c>
      <c r="Z229" s="2">
        <f>VLOOKUP($A229,'[2]App C Assum'!$A$4:$I$917,8,FALSE)</f>
        <v>0</v>
      </c>
      <c r="AA229" s="2">
        <f>VLOOKUP($A229,'[2]App C Assum'!$A$4:$I$917,9,FALSE)</f>
        <v>0</v>
      </c>
      <c r="AB229" s="2"/>
      <c r="AC229" s="2">
        <f>VLOOKUP($A229,'[2]App C Share Outflows'!$A$4:$I$917,5,FALSE)</f>
        <v>3523</v>
      </c>
      <c r="AD229" s="2">
        <f>VLOOKUP($A229,'[2]App C Share Outflows'!$A$4:$I$917,6,FALSE)</f>
        <v>3523</v>
      </c>
      <c r="AE229" s="2">
        <f>VLOOKUP($A229,'[2]App C Share Outflows'!$A$4:$I$917,7,FALSE)</f>
        <v>3523</v>
      </c>
      <c r="AF229" s="2">
        <f>VLOOKUP($A229,'[2]App C Share Outflows'!$A$4:$I$917,8,FALSE)</f>
        <v>3522</v>
      </c>
      <c r="AG229" s="2">
        <f>VLOOKUP($A229,'[2]App C Share Outflows'!$A$4:$I$917,9,FALSE)</f>
        <v>0</v>
      </c>
      <c r="AH229" s="2"/>
      <c r="AI229" s="2">
        <f>VLOOKUP($A229,'[2]App C Share Inflows'!$A$4:$I$917,5,FALSE)</f>
        <v>-6305</v>
      </c>
      <c r="AJ229" s="2">
        <f>VLOOKUP($A229,'[2]App C Share Inflows'!$A$4:$I$917,6,FALSE)</f>
        <v>-6035</v>
      </c>
      <c r="AK229" s="2">
        <f>VLOOKUP($A229,'[2]App C Share Inflows'!$A$4:$I$917,7,FALSE)</f>
        <v>-5356</v>
      </c>
      <c r="AL229" s="2">
        <f>VLOOKUP($A229,'[2]App C Share Inflows'!$A$4:$I$917,8,FALSE)</f>
        <v>0</v>
      </c>
      <c r="AM229" s="2">
        <f>VLOOKUP($A229,'[2]App C Share Inflows'!$A$4:$I$917,6,FALSE)</f>
        <v>-6035</v>
      </c>
    </row>
    <row r="230" spans="1:39">
      <c r="A230" s="351">
        <v>92001</v>
      </c>
      <c r="B230" s="344" t="s">
        <v>922</v>
      </c>
      <c r="C230" s="235" t="e">
        <f>VLOOKUP(A230,#REF!,10,FALSE)</f>
        <v>#REF!</v>
      </c>
      <c r="E230" s="2">
        <f>VLOOKUP($A230,'[2]App C Total'!$A$4:$I$917,5,FALSE)</f>
        <v>830368</v>
      </c>
      <c r="F230" s="2">
        <f>VLOOKUP($A230,'[2]App C Total'!$A$4:$I$917,6,FALSE)</f>
        <v>217899</v>
      </c>
      <c r="G230" s="2">
        <f>VLOOKUP($A230,'[2]App C Total'!$A$4:$I$917,7,FALSE)</f>
        <v>453020</v>
      </c>
      <c r="H230" s="2">
        <f>VLOOKUP($A230,'[2]App C Total'!$A$4:$I$917,8,FALSE)</f>
        <v>120696</v>
      </c>
      <c r="I230" s="2">
        <f>VLOOKUP($A230,'[2]App C Total'!$A$4:$I$917,9,FALSE)</f>
        <v>0</v>
      </c>
      <c r="J230" s="2"/>
      <c r="K230" s="2">
        <f>VLOOKUP($A230,'[2]App C Exp'!$A$4:$I$917,5,FALSE)</f>
        <v>266012</v>
      </c>
      <c r="L230" s="2">
        <f>VLOOKUP($A230,'[2]App C Exp'!$A$4:$I$917,6,FALSE)</f>
        <v>250232</v>
      </c>
      <c r="M230" s="2">
        <f>VLOOKUP($A230,'[2]App C Exp'!$A$4:$I$917,7,FALSE)</f>
        <v>224280</v>
      </c>
      <c r="N230" s="2">
        <f>VLOOKUP($A230,'[2]App C Exp'!$A$4:$I$917,8,FALSE)</f>
        <v>89799</v>
      </c>
      <c r="O230" s="2">
        <f>VLOOKUP($A230,'[2]App C Exp'!$A$4:$I$917,9,FALSE)</f>
        <v>0</v>
      </c>
      <c r="P230" s="2"/>
      <c r="Q230" s="2">
        <f>VLOOKUP($A230,'[2]App C Inv'!$A$4:$I$917,5,FALSE)</f>
        <v>282409</v>
      </c>
      <c r="R230" s="2">
        <f>VLOOKUP($A230,'[2]App C Inv'!$A$4:$I$917,6,FALSE)</f>
        <v>-242925</v>
      </c>
      <c r="S230" s="2">
        <f>VLOOKUP($A230,'[2]App C Inv'!$A$4:$I$917,7,FALSE)</f>
        <v>34237</v>
      </c>
      <c r="T230" s="2">
        <f>VLOOKUP($A230,'[2]App C Inv'!$A$4:$I$917,8,FALSE)</f>
        <v>44559</v>
      </c>
      <c r="U230" s="2">
        <f>VLOOKUP($A230,'[2]App C Inv'!$A$4:$I$917,9,FALSE)</f>
        <v>0</v>
      </c>
      <c r="V230" s="2"/>
      <c r="W230" s="2">
        <f>VLOOKUP($A230,'[2]App C Assum'!$A$4:$I$917,5,FALSE)</f>
        <v>318138</v>
      </c>
      <c r="X230" s="2">
        <f>VLOOKUP($A230,'[2]App C Assum'!$A$4:$I$917,6,FALSE)</f>
        <v>260630</v>
      </c>
      <c r="Y230" s="2">
        <f>VLOOKUP($A230,'[2]App C Assum'!$A$4:$I$917,7,FALSE)</f>
        <v>211587</v>
      </c>
      <c r="Z230" s="2">
        <f>VLOOKUP($A230,'[2]App C Assum'!$A$4:$I$917,8,FALSE)</f>
        <v>0</v>
      </c>
      <c r="AA230" s="2">
        <f>VLOOKUP($A230,'[2]App C Assum'!$A$4:$I$917,9,FALSE)</f>
        <v>0</v>
      </c>
      <c r="AB230" s="2"/>
      <c r="AC230" s="2">
        <f>VLOOKUP($A230,'[2]App C Share Outflows'!$A$4:$I$917,5,FALSE)</f>
        <v>13845</v>
      </c>
      <c r="AD230" s="2">
        <f>VLOOKUP($A230,'[2]App C Share Outflows'!$A$4:$I$917,6,FALSE)</f>
        <v>0</v>
      </c>
      <c r="AE230" s="2">
        <f>VLOOKUP($A230,'[2]App C Share Outflows'!$A$4:$I$917,7,FALSE)</f>
        <v>0</v>
      </c>
      <c r="AF230" s="2">
        <f>VLOOKUP($A230,'[2]App C Share Outflows'!$A$4:$I$917,8,FALSE)</f>
        <v>0</v>
      </c>
      <c r="AG230" s="2">
        <f>VLOOKUP($A230,'[2]App C Share Outflows'!$A$4:$I$917,9,FALSE)</f>
        <v>0</v>
      </c>
      <c r="AH230" s="2"/>
      <c r="AI230" s="2">
        <f>VLOOKUP($A230,'[2]App C Share Inflows'!$A$4:$I$917,5,FALSE)</f>
        <v>-50036</v>
      </c>
      <c r="AJ230" s="2">
        <f>VLOOKUP($A230,'[2]App C Share Inflows'!$A$4:$I$917,6,FALSE)</f>
        <v>-50038</v>
      </c>
      <c r="AK230" s="2">
        <f>VLOOKUP($A230,'[2]App C Share Inflows'!$A$4:$I$917,7,FALSE)</f>
        <v>-17084</v>
      </c>
      <c r="AL230" s="2">
        <f>VLOOKUP($A230,'[2]App C Share Inflows'!$A$4:$I$917,8,FALSE)</f>
        <v>-13662</v>
      </c>
      <c r="AM230" s="2">
        <f>VLOOKUP($A230,'[2]App C Share Inflows'!$A$4:$I$917,6,FALSE)</f>
        <v>-50038</v>
      </c>
    </row>
    <row r="231" spans="1:39">
      <c r="A231" s="351">
        <v>92005</v>
      </c>
      <c r="B231" s="344" t="s">
        <v>923</v>
      </c>
      <c r="C231" s="235" t="e">
        <f>VLOOKUP(A231,#REF!,10,FALSE)</f>
        <v>#REF!</v>
      </c>
      <c r="E231" s="2">
        <f>VLOOKUP($A231,'[2]App C Total'!$A$4:$I$917,5,FALSE)</f>
        <v>17305</v>
      </c>
      <c r="F231" s="2">
        <f>VLOOKUP($A231,'[2]App C Total'!$A$4:$I$917,6,FALSE)</f>
        <v>5010</v>
      </c>
      <c r="G231" s="2">
        <f>VLOOKUP($A231,'[2]App C Total'!$A$4:$I$917,7,FALSE)</f>
        <v>9494</v>
      </c>
      <c r="H231" s="2">
        <f>VLOOKUP($A231,'[2]App C Total'!$A$4:$I$917,8,FALSE)</f>
        <v>2007</v>
      </c>
      <c r="I231" s="2">
        <f>VLOOKUP($A231,'[2]App C Total'!$A$4:$I$917,9,FALSE)</f>
        <v>0</v>
      </c>
      <c r="J231" s="2"/>
      <c r="K231" s="2">
        <f>VLOOKUP($A231,'[2]App C Exp'!$A$4:$I$917,5,FALSE)</f>
        <v>5288</v>
      </c>
      <c r="L231" s="2">
        <f>VLOOKUP($A231,'[2]App C Exp'!$A$4:$I$917,6,FALSE)</f>
        <v>4974</v>
      </c>
      <c r="M231" s="2">
        <f>VLOOKUP($A231,'[2]App C Exp'!$A$4:$I$917,7,FALSE)</f>
        <v>4459</v>
      </c>
      <c r="N231" s="2">
        <f>VLOOKUP($A231,'[2]App C Exp'!$A$4:$I$917,8,FALSE)</f>
        <v>1785</v>
      </c>
      <c r="O231" s="2">
        <f>VLOOKUP($A231,'[2]App C Exp'!$A$4:$I$917,9,FALSE)</f>
        <v>0</v>
      </c>
      <c r="P231" s="2"/>
      <c r="Q231" s="2">
        <f>VLOOKUP($A231,'[2]App C Inv'!$A$4:$I$917,5,FALSE)</f>
        <v>5614</v>
      </c>
      <c r="R231" s="2">
        <f>VLOOKUP($A231,'[2]App C Inv'!$A$4:$I$917,6,FALSE)</f>
        <v>-4829</v>
      </c>
      <c r="S231" s="2">
        <f>VLOOKUP($A231,'[2]App C Inv'!$A$4:$I$917,7,FALSE)</f>
        <v>681</v>
      </c>
      <c r="T231" s="2">
        <f>VLOOKUP($A231,'[2]App C Inv'!$A$4:$I$917,8,FALSE)</f>
        <v>886</v>
      </c>
      <c r="U231" s="2">
        <f>VLOOKUP($A231,'[2]App C Inv'!$A$4:$I$917,9,FALSE)</f>
        <v>0</v>
      </c>
      <c r="V231" s="2"/>
      <c r="W231" s="2">
        <f>VLOOKUP($A231,'[2]App C Assum'!$A$4:$I$917,5,FALSE)</f>
        <v>6324</v>
      </c>
      <c r="X231" s="2">
        <f>VLOOKUP($A231,'[2]App C Assum'!$A$4:$I$917,6,FALSE)</f>
        <v>5181</v>
      </c>
      <c r="Y231" s="2">
        <f>VLOOKUP($A231,'[2]App C Assum'!$A$4:$I$917,7,FALSE)</f>
        <v>4206</v>
      </c>
      <c r="Z231" s="2">
        <f>VLOOKUP($A231,'[2]App C Assum'!$A$4:$I$917,8,FALSE)</f>
        <v>0</v>
      </c>
      <c r="AA231" s="2">
        <f>VLOOKUP($A231,'[2]App C Assum'!$A$4:$I$917,9,FALSE)</f>
        <v>0</v>
      </c>
      <c r="AB231" s="2"/>
      <c r="AC231" s="2">
        <f>VLOOKUP($A231,'[2]App C Share Outflows'!$A$4:$I$917,5,FALSE)</f>
        <v>1212</v>
      </c>
      <c r="AD231" s="2">
        <f>VLOOKUP($A231,'[2]App C Share Outflows'!$A$4:$I$917,6,FALSE)</f>
        <v>815</v>
      </c>
      <c r="AE231" s="2">
        <f>VLOOKUP($A231,'[2]App C Share Outflows'!$A$4:$I$917,7,FALSE)</f>
        <v>814</v>
      </c>
      <c r="AF231" s="2">
        <f>VLOOKUP($A231,'[2]App C Share Outflows'!$A$4:$I$917,8,FALSE)</f>
        <v>0</v>
      </c>
      <c r="AG231" s="2">
        <f>VLOOKUP($A231,'[2]App C Share Outflows'!$A$4:$I$917,9,FALSE)</f>
        <v>0</v>
      </c>
      <c r="AH231" s="2"/>
      <c r="AI231" s="2">
        <f>VLOOKUP($A231,'[2]App C Share Inflows'!$A$4:$I$917,5,FALSE)</f>
        <v>-1133</v>
      </c>
      <c r="AJ231" s="2">
        <f>VLOOKUP($A231,'[2]App C Share Inflows'!$A$4:$I$917,6,FALSE)</f>
        <v>-1131</v>
      </c>
      <c r="AK231" s="2">
        <f>VLOOKUP($A231,'[2]App C Share Inflows'!$A$4:$I$917,7,FALSE)</f>
        <v>-666</v>
      </c>
      <c r="AL231" s="2">
        <f>VLOOKUP($A231,'[2]App C Share Inflows'!$A$4:$I$917,8,FALSE)</f>
        <v>-664</v>
      </c>
      <c r="AM231" s="2">
        <f>VLOOKUP($A231,'[2]App C Share Inflows'!$A$4:$I$917,6,FALSE)</f>
        <v>-1131</v>
      </c>
    </row>
    <row r="232" spans="1:39">
      <c r="A232" s="351">
        <v>92011</v>
      </c>
      <c r="B232" s="344" t="s">
        <v>924</v>
      </c>
      <c r="C232" s="235" t="e">
        <f>VLOOKUP(A232,#REF!,10,FALSE)</f>
        <v>#REF!</v>
      </c>
      <c r="E232" s="2">
        <f>VLOOKUP($A232,'[2]App C Total'!$A$4:$I$917,5,FALSE)</f>
        <v>93155</v>
      </c>
      <c r="F232" s="2">
        <f>VLOOKUP($A232,'[2]App C Total'!$A$4:$I$917,6,FALSE)</f>
        <v>28074</v>
      </c>
      <c r="G232" s="2">
        <f>VLOOKUP($A232,'[2]App C Total'!$A$4:$I$917,7,FALSE)</f>
        <v>47821</v>
      </c>
      <c r="H232" s="2">
        <f>VLOOKUP($A232,'[2]App C Total'!$A$4:$I$917,8,FALSE)</f>
        <v>13152</v>
      </c>
      <c r="I232" s="2">
        <f>VLOOKUP($A232,'[2]App C Total'!$A$4:$I$917,9,FALSE)</f>
        <v>0</v>
      </c>
      <c r="J232" s="2"/>
      <c r="K232" s="2">
        <f>VLOOKUP($A232,'[2]App C Exp'!$A$4:$I$917,5,FALSE)</f>
        <v>28613</v>
      </c>
      <c r="L232" s="2">
        <f>VLOOKUP($A232,'[2]App C Exp'!$A$4:$I$917,6,FALSE)</f>
        <v>26916</v>
      </c>
      <c r="M232" s="2">
        <f>VLOOKUP($A232,'[2]App C Exp'!$A$4:$I$917,7,FALSE)</f>
        <v>24124</v>
      </c>
      <c r="N232" s="2">
        <f>VLOOKUP($A232,'[2]App C Exp'!$A$4:$I$917,8,FALSE)</f>
        <v>9659</v>
      </c>
      <c r="O232" s="2">
        <f>VLOOKUP($A232,'[2]App C Exp'!$A$4:$I$917,9,FALSE)</f>
        <v>0</v>
      </c>
      <c r="P232" s="2"/>
      <c r="Q232" s="2">
        <f>VLOOKUP($A232,'[2]App C Inv'!$A$4:$I$917,5,FALSE)</f>
        <v>30377</v>
      </c>
      <c r="R232" s="2">
        <f>VLOOKUP($A232,'[2]App C Inv'!$A$4:$I$917,6,FALSE)</f>
        <v>-26130</v>
      </c>
      <c r="S232" s="2">
        <f>VLOOKUP($A232,'[2]App C Inv'!$A$4:$I$917,7,FALSE)</f>
        <v>3683</v>
      </c>
      <c r="T232" s="2">
        <f>VLOOKUP($A232,'[2]App C Inv'!$A$4:$I$917,8,FALSE)</f>
        <v>4793</v>
      </c>
      <c r="U232" s="2">
        <f>VLOOKUP($A232,'[2]App C Inv'!$A$4:$I$917,9,FALSE)</f>
        <v>0</v>
      </c>
      <c r="V232" s="2"/>
      <c r="W232" s="2">
        <f>VLOOKUP($A232,'[2]App C Assum'!$A$4:$I$917,5,FALSE)</f>
        <v>34220</v>
      </c>
      <c r="X232" s="2">
        <f>VLOOKUP($A232,'[2]App C Assum'!$A$4:$I$917,6,FALSE)</f>
        <v>28034</v>
      </c>
      <c r="Y232" s="2">
        <f>VLOOKUP($A232,'[2]App C Assum'!$A$4:$I$917,7,FALSE)</f>
        <v>22759</v>
      </c>
      <c r="Z232" s="2">
        <f>VLOOKUP($A232,'[2]App C Assum'!$A$4:$I$917,8,FALSE)</f>
        <v>0</v>
      </c>
      <c r="AA232" s="2">
        <f>VLOOKUP($A232,'[2]App C Assum'!$A$4:$I$917,9,FALSE)</f>
        <v>0</v>
      </c>
      <c r="AB232" s="2"/>
      <c r="AC232" s="2">
        <f>VLOOKUP($A232,'[2]App C Share Outflows'!$A$4:$I$917,5,FALSE)</f>
        <v>2689</v>
      </c>
      <c r="AD232" s="2">
        <f>VLOOKUP($A232,'[2]App C Share Outflows'!$A$4:$I$917,6,FALSE)</f>
        <v>1998</v>
      </c>
      <c r="AE232" s="2">
        <f>VLOOKUP($A232,'[2]App C Share Outflows'!$A$4:$I$917,7,FALSE)</f>
        <v>0</v>
      </c>
      <c r="AF232" s="2">
        <f>VLOOKUP($A232,'[2]App C Share Outflows'!$A$4:$I$917,8,FALSE)</f>
        <v>0</v>
      </c>
      <c r="AG232" s="2">
        <f>VLOOKUP($A232,'[2]App C Share Outflows'!$A$4:$I$917,9,FALSE)</f>
        <v>0</v>
      </c>
      <c r="AH232" s="2"/>
      <c r="AI232" s="2">
        <f>VLOOKUP($A232,'[2]App C Share Inflows'!$A$4:$I$917,5,FALSE)</f>
        <v>-2744</v>
      </c>
      <c r="AJ232" s="2">
        <f>VLOOKUP($A232,'[2]App C Share Inflows'!$A$4:$I$917,6,FALSE)</f>
        <v>-2744</v>
      </c>
      <c r="AK232" s="2">
        <f>VLOOKUP($A232,'[2]App C Share Inflows'!$A$4:$I$917,7,FALSE)</f>
        <v>-2745</v>
      </c>
      <c r="AL232" s="2">
        <f>VLOOKUP($A232,'[2]App C Share Inflows'!$A$4:$I$917,8,FALSE)</f>
        <v>-1300</v>
      </c>
      <c r="AM232" s="2">
        <f>VLOOKUP($A232,'[2]App C Share Inflows'!$A$4:$I$917,6,FALSE)</f>
        <v>-2744</v>
      </c>
    </row>
    <row r="233" spans="1:39">
      <c r="A233" s="351">
        <v>92017</v>
      </c>
      <c r="B233" s="344" t="s">
        <v>925</v>
      </c>
      <c r="C233" s="235" t="e">
        <f>VLOOKUP(A233,#REF!,10,FALSE)</f>
        <v>#REF!</v>
      </c>
      <c r="E233" s="2">
        <f>VLOOKUP($A233,'[2]App C Total'!$A$4:$I$917,5,FALSE)</f>
        <v>16061</v>
      </c>
      <c r="F233" s="2">
        <f>VLOOKUP($A233,'[2]App C Total'!$A$4:$I$917,6,FALSE)</f>
        <v>5475</v>
      </c>
      <c r="G233" s="2">
        <f>VLOOKUP($A233,'[2]App C Total'!$A$4:$I$917,7,FALSE)</f>
        <v>9011</v>
      </c>
      <c r="H233" s="2">
        <f>VLOOKUP($A233,'[2]App C Total'!$A$4:$I$917,8,FALSE)</f>
        <v>2732</v>
      </c>
      <c r="I233" s="2">
        <f>VLOOKUP($A233,'[2]App C Total'!$A$4:$I$917,9,FALSE)</f>
        <v>0</v>
      </c>
      <c r="J233" s="2"/>
      <c r="K233" s="2">
        <f>VLOOKUP($A233,'[2]App C Exp'!$A$4:$I$917,5,FALSE)</f>
        <v>4779</v>
      </c>
      <c r="L233" s="2">
        <f>VLOOKUP($A233,'[2]App C Exp'!$A$4:$I$917,6,FALSE)</f>
        <v>4495</v>
      </c>
      <c r="M233" s="2">
        <f>VLOOKUP($A233,'[2]App C Exp'!$A$4:$I$917,7,FALSE)</f>
        <v>4029</v>
      </c>
      <c r="N233" s="2">
        <f>VLOOKUP($A233,'[2]App C Exp'!$A$4:$I$917,8,FALSE)</f>
        <v>1613</v>
      </c>
      <c r="O233" s="2">
        <f>VLOOKUP($A233,'[2]App C Exp'!$A$4:$I$917,9,FALSE)</f>
        <v>0</v>
      </c>
      <c r="P233" s="2"/>
      <c r="Q233" s="2">
        <f>VLOOKUP($A233,'[2]App C Inv'!$A$4:$I$917,5,FALSE)</f>
        <v>5073</v>
      </c>
      <c r="R233" s="2">
        <f>VLOOKUP($A233,'[2]App C Inv'!$A$4:$I$917,6,FALSE)</f>
        <v>-4364</v>
      </c>
      <c r="S233" s="2">
        <f>VLOOKUP($A233,'[2]App C Inv'!$A$4:$I$917,7,FALSE)</f>
        <v>615</v>
      </c>
      <c r="T233" s="2">
        <f>VLOOKUP($A233,'[2]App C Inv'!$A$4:$I$917,8,FALSE)</f>
        <v>800</v>
      </c>
      <c r="U233" s="2">
        <f>VLOOKUP($A233,'[2]App C Inv'!$A$4:$I$917,9,FALSE)</f>
        <v>0</v>
      </c>
      <c r="V233" s="2"/>
      <c r="W233" s="2">
        <f>VLOOKUP($A233,'[2]App C Assum'!$A$4:$I$917,5,FALSE)</f>
        <v>5715</v>
      </c>
      <c r="X233" s="2">
        <f>VLOOKUP($A233,'[2]App C Assum'!$A$4:$I$917,6,FALSE)</f>
        <v>4682</v>
      </c>
      <c r="Y233" s="2">
        <f>VLOOKUP($A233,'[2]App C Assum'!$A$4:$I$917,7,FALSE)</f>
        <v>3801</v>
      </c>
      <c r="Z233" s="2">
        <f>VLOOKUP($A233,'[2]App C Assum'!$A$4:$I$917,8,FALSE)</f>
        <v>0</v>
      </c>
      <c r="AA233" s="2">
        <f>VLOOKUP($A233,'[2]App C Assum'!$A$4:$I$917,9,FALSE)</f>
        <v>0</v>
      </c>
      <c r="AB233" s="2"/>
      <c r="AC233" s="2">
        <f>VLOOKUP($A233,'[2]App C Share Outflows'!$A$4:$I$917,5,FALSE)</f>
        <v>661</v>
      </c>
      <c r="AD233" s="2">
        <f>VLOOKUP($A233,'[2]App C Share Outflows'!$A$4:$I$917,6,FALSE)</f>
        <v>662</v>
      </c>
      <c r="AE233" s="2">
        <f>VLOOKUP($A233,'[2]App C Share Outflows'!$A$4:$I$917,7,FALSE)</f>
        <v>566</v>
      </c>
      <c r="AF233" s="2">
        <f>VLOOKUP($A233,'[2]App C Share Outflows'!$A$4:$I$917,8,FALSE)</f>
        <v>319</v>
      </c>
      <c r="AG233" s="2">
        <f>VLOOKUP($A233,'[2]App C Share Outflows'!$A$4:$I$917,9,FALSE)</f>
        <v>0</v>
      </c>
      <c r="AH233" s="2"/>
      <c r="AI233" s="2">
        <f>VLOOKUP($A233,'[2]App C Share Inflows'!$A$4:$I$917,5,FALSE)</f>
        <v>-167</v>
      </c>
      <c r="AJ233" s="2">
        <f>VLOOKUP($A233,'[2]App C Share Inflows'!$A$4:$I$917,6,FALSE)</f>
        <v>0</v>
      </c>
      <c r="AK233" s="2">
        <f>VLOOKUP($A233,'[2]App C Share Inflows'!$A$4:$I$917,7,FALSE)</f>
        <v>0</v>
      </c>
      <c r="AL233" s="2">
        <f>VLOOKUP($A233,'[2]App C Share Inflows'!$A$4:$I$917,8,FALSE)</f>
        <v>0</v>
      </c>
      <c r="AM233" s="2">
        <f>VLOOKUP($A233,'[2]App C Share Inflows'!$A$4:$I$917,6,FALSE)</f>
        <v>0</v>
      </c>
    </row>
    <row r="234" spans="1:39">
      <c r="A234" s="351">
        <v>92021</v>
      </c>
      <c r="B234" s="344" t="s">
        <v>926</v>
      </c>
      <c r="C234" s="235" t="e">
        <f>VLOOKUP(A234,#REF!,10,FALSE)</f>
        <v>#REF!</v>
      </c>
      <c r="E234" s="2">
        <f>VLOOKUP($A234,'[2]App C Total'!$A$4:$I$917,5,FALSE)</f>
        <v>46047</v>
      </c>
      <c r="F234" s="2">
        <f>VLOOKUP($A234,'[2]App C Total'!$A$4:$I$917,6,FALSE)</f>
        <v>4473</v>
      </c>
      <c r="G234" s="2">
        <f>VLOOKUP($A234,'[2]App C Total'!$A$4:$I$917,7,FALSE)</f>
        <v>13868</v>
      </c>
      <c r="H234" s="2">
        <f>VLOOKUP($A234,'[2]App C Total'!$A$4:$I$917,8,FALSE)</f>
        <v>-949</v>
      </c>
      <c r="I234" s="2">
        <f>VLOOKUP($A234,'[2]App C Total'!$A$4:$I$917,9,FALSE)</f>
        <v>0</v>
      </c>
      <c r="J234" s="2"/>
      <c r="K234" s="2">
        <f>VLOOKUP($A234,'[2]App C Exp'!$A$4:$I$917,5,FALSE)</f>
        <v>15790</v>
      </c>
      <c r="L234" s="2">
        <f>VLOOKUP($A234,'[2]App C Exp'!$A$4:$I$917,6,FALSE)</f>
        <v>14853</v>
      </c>
      <c r="M234" s="2">
        <f>VLOOKUP($A234,'[2]App C Exp'!$A$4:$I$917,7,FALSE)</f>
        <v>13313</v>
      </c>
      <c r="N234" s="2">
        <f>VLOOKUP($A234,'[2]App C Exp'!$A$4:$I$917,8,FALSE)</f>
        <v>5330</v>
      </c>
      <c r="O234" s="2">
        <f>VLOOKUP($A234,'[2]App C Exp'!$A$4:$I$917,9,FALSE)</f>
        <v>0</v>
      </c>
      <c r="P234" s="2"/>
      <c r="Q234" s="2">
        <f>VLOOKUP($A234,'[2]App C Inv'!$A$4:$I$917,5,FALSE)</f>
        <v>16763</v>
      </c>
      <c r="R234" s="2">
        <f>VLOOKUP($A234,'[2]App C Inv'!$A$4:$I$917,6,FALSE)</f>
        <v>-14419</v>
      </c>
      <c r="S234" s="2">
        <f>VLOOKUP($A234,'[2]App C Inv'!$A$4:$I$917,7,FALSE)</f>
        <v>2032</v>
      </c>
      <c r="T234" s="2">
        <f>VLOOKUP($A234,'[2]App C Inv'!$A$4:$I$917,8,FALSE)</f>
        <v>2645</v>
      </c>
      <c r="U234" s="2">
        <f>VLOOKUP($A234,'[2]App C Inv'!$A$4:$I$917,9,FALSE)</f>
        <v>0</v>
      </c>
      <c r="V234" s="2"/>
      <c r="W234" s="2">
        <f>VLOOKUP($A234,'[2]App C Assum'!$A$4:$I$917,5,FALSE)</f>
        <v>18884</v>
      </c>
      <c r="X234" s="2">
        <f>VLOOKUP($A234,'[2]App C Assum'!$A$4:$I$917,6,FALSE)</f>
        <v>15470</v>
      </c>
      <c r="Y234" s="2">
        <f>VLOOKUP($A234,'[2]App C Assum'!$A$4:$I$917,7,FALSE)</f>
        <v>12559</v>
      </c>
      <c r="Z234" s="2">
        <f>VLOOKUP($A234,'[2]App C Assum'!$A$4:$I$917,8,FALSE)</f>
        <v>0</v>
      </c>
      <c r="AA234" s="2">
        <f>VLOOKUP($A234,'[2]App C Assum'!$A$4:$I$917,9,FALSE)</f>
        <v>0</v>
      </c>
      <c r="AB234" s="2"/>
      <c r="AC234" s="2">
        <f>VLOOKUP($A234,'[2]App C Share Outflows'!$A$4:$I$917,5,FALSE)</f>
        <v>8644</v>
      </c>
      <c r="AD234" s="2">
        <f>VLOOKUP($A234,'[2]App C Share Outflows'!$A$4:$I$917,6,FALSE)</f>
        <v>2603</v>
      </c>
      <c r="AE234" s="2">
        <f>VLOOKUP($A234,'[2]App C Share Outflows'!$A$4:$I$917,7,FALSE)</f>
        <v>0</v>
      </c>
      <c r="AF234" s="2">
        <f>VLOOKUP($A234,'[2]App C Share Outflows'!$A$4:$I$917,8,FALSE)</f>
        <v>0</v>
      </c>
      <c r="AG234" s="2">
        <f>VLOOKUP($A234,'[2]App C Share Outflows'!$A$4:$I$917,9,FALSE)</f>
        <v>0</v>
      </c>
      <c r="AH234" s="2"/>
      <c r="AI234" s="2">
        <f>VLOOKUP($A234,'[2]App C Share Inflows'!$A$4:$I$917,5,FALSE)</f>
        <v>-14034</v>
      </c>
      <c r="AJ234" s="2">
        <f>VLOOKUP($A234,'[2]App C Share Inflows'!$A$4:$I$917,6,FALSE)</f>
        <v>-14034</v>
      </c>
      <c r="AK234" s="2">
        <f>VLOOKUP($A234,'[2]App C Share Inflows'!$A$4:$I$917,7,FALSE)</f>
        <v>-14036</v>
      </c>
      <c r="AL234" s="2">
        <f>VLOOKUP($A234,'[2]App C Share Inflows'!$A$4:$I$917,8,FALSE)</f>
        <v>-8924</v>
      </c>
      <c r="AM234" s="2">
        <f>VLOOKUP($A234,'[2]App C Share Inflows'!$A$4:$I$917,6,FALSE)</f>
        <v>-14034</v>
      </c>
    </row>
    <row r="235" spans="1:39">
      <c r="A235" s="351">
        <v>92101</v>
      </c>
      <c r="B235" s="344" t="s">
        <v>927</v>
      </c>
      <c r="C235" s="235" t="e">
        <f>VLOOKUP(A235,#REF!,10,FALSE)</f>
        <v>#REF!</v>
      </c>
      <c r="E235" s="2">
        <f>VLOOKUP($A235,'[2]App C Total'!$A$4:$I$917,5,FALSE)</f>
        <v>348552</v>
      </c>
      <c r="F235" s="2">
        <f>VLOOKUP($A235,'[2]App C Total'!$A$4:$I$917,6,FALSE)</f>
        <v>93443</v>
      </c>
      <c r="G235" s="2">
        <f>VLOOKUP($A235,'[2]App C Total'!$A$4:$I$917,7,FALSE)</f>
        <v>190359</v>
      </c>
      <c r="H235" s="2">
        <f>VLOOKUP($A235,'[2]App C Total'!$A$4:$I$917,8,FALSE)</f>
        <v>50604</v>
      </c>
      <c r="I235" s="2">
        <f>VLOOKUP($A235,'[2]App C Total'!$A$4:$I$917,9,FALSE)</f>
        <v>0</v>
      </c>
      <c r="J235" s="2"/>
      <c r="K235" s="2">
        <f>VLOOKUP($A235,'[2]App C Exp'!$A$4:$I$917,5,FALSE)</f>
        <v>117898</v>
      </c>
      <c r="L235" s="2">
        <f>VLOOKUP($A235,'[2]App C Exp'!$A$4:$I$917,6,FALSE)</f>
        <v>110904</v>
      </c>
      <c r="M235" s="2">
        <f>VLOOKUP($A235,'[2]App C Exp'!$A$4:$I$917,7,FALSE)</f>
        <v>99402</v>
      </c>
      <c r="N235" s="2">
        <f>VLOOKUP($A235,'[2]App C Exp'!$A$4:$I$917,8,FALSE)</f>
        <v>39799</v>
      </c>
      <c r="O235" s="2">
        <f>VLOOKUP($A235,'[2]App C Exp'!$A$4:$I$917,9,FALSE)</f>
        <v>0</v>
      </c>
      <c r="P235" s="2"/>
      <c r="Q235" s="2">
        <f>VLOOKUP($A235,'[2]App C Inv'!$A$4:$I$917,5,FALSE)</f>
        <v>125165</v>
      </c>
      <c r="R235" s="2">
        <f>VLOOKUP($A235,'[2]App C Inv'!$A$4:$I$917,6,FALSE)</f>
        <v>-107666</v>
      </c>
      <c r="S235" s="2">
        <f>VLOOKUP($A235,'[2]App C Inv'!$A$4:$I$917,7,FALSE)</f>
        <v>15174</v>
      </c>
      <c r="T235" s="2">
        <f>VLOOKUP($A235,'[2]App C Inv'!$A$4:$I$917,8,FALSE)</f>
        <v>19749</v>
      </c>
      <c r="U235" s="2">
        <f>VLOOKUP($A235,'[2]App C Inv'!$A$4:$I$917,9,FALSE)</f>
        <v>0</v>
      </c>
      <c r="V235" s="2"/>
      <c r="W235" s="2">
        <f>VLOOKUP($A235,'[2]App C Assum'!$A$4:$I$917,5,FALSE)</f>
        <v>141000</v>
      </c>
      <c r="X235" s="2">
        <f>VLOOKUP($A235,'[2]App C Assum'!$A$4:$I$917,6,FALSE)</f>
        <v>115513</v>
      </c>
      <c r="Y235" s="2">
        <f>VLOOKUP($A235,'[2]App C Assum'!$A$4:$I$917,7,FALSE)</f>
        <v>93777</v>
      </c>
      <c r="Z235" s="2">
        <f>VLOOKUP($A235,'[2]App C Assum'!$A$4:$I$917,8,FALSE)</f>
        <v>0</v>
      </c>
      <c r="AA235" s="2">
        <f>VLOOKUP($A235,'[2]App C Assum'!$A$4:$I$917,9,FALSE)</f>
        <v>0</v>
      </c>
      <c r="AB235" s="2"/>
      <c r="AC235" s="2">
        <f>VLOOKUP($A235,'[2]App C Share Outflows'!$A$4:$I$917,5,FALSE)</f>
        <v>0</v>
      </c>
      <c r="AD235" s="2">
        <f>VLOOKUP($A235,'[2]App C Share Outflows'!$A$4:$I$917,6,FALSE)</f>
        <v>0</v>
      </c>
      <c r="AE235" s="2">
        <f>VLOOKUP($A235,'[2]App C Share Outflows'!$A$4:$I$917,7,FALSE)</f>
        <v>0</v>
      </c>
      <c r="AF235" s="2">
        <f>VLOOKUP($A235,'[2]App C Share Outflows'!$A$4:$I$917,8,FALSE)</f>
        <v>0</v>
      </c>
      <c r="AG235" s="2">
        <f>VLOOKUP($A235,'[2]App C Share Outflows'!$A$4:$I$917,9,FALSE)</f>
        <v>0</v>
      </c>
      <c r="AH235" s="2"/>
      <c r="AI235" s="2">
        <f>VLOOKUP($A235,'[2]App C Share Inflows'!$A$4:$I$917,5,FALSE)</f>
        <v>-35511</v>
      </c>
      <c r="AJ235" s="2">
        <f>VLOOKUP($A235,'[2]App C Share Inflows'!$A$4:$I$917,6,FALSE)</f>
        <v>-25308</v>
      </c>
      <c r="AK235" s="2">
        <f>VLOOKUP($A235,'[2]App C Share Inflows'!$A$4:$I$917,7,FALSE)</f>
        <v>-17994</v>
      </c>
      <c r="AL235" s="2">
        <f>VLOOKUP($A235,'[2]App C Share Inflows'!$A$4:$I$917,8,FALSE)</f>
        <v>-8944</v>
      </c>
      <c r="AM235" s="2">
        <f>VLOOKUP($A235,'[2]App C Share Inflows'!$A$4:$I$917,6,FALSE)</f>
        <v>-25308</v>
      </c>
    </row>
    <row r="236" spans="1:39">
      <c r="A236" s="351">
        <v>92104</v>
      </c>
      <c r="B236" s="344" t="s">
        <v>928</v>
      </c>
      <c r="C236" s="235" t="e">
        <f>VLOOKUP(A236,#REF!,10,FALSE)</f>
        <v>#REF!</v>
      </c>
      <c r="E236" s="2">
        <f>VLOOKUP($A236,'[2]App C Total'!$A$4:$I$917,5,FALSE)</f>
        <v>4265</v>
      </c>
      <c r="F236" s="2">
        <f>VLOOKUP($A236,'[2]App C Total'!$A$4:$I$917,6,FALSE)</f>
        <v>1613</v>
      </c>
      <c r="G236" s="2">
        <f>VLOOKUP($A236,'[2]App C Total'!$A$4:$I$917,7,FALSE)</f>
        <v>2207</v>
      </c>
      <c r="H236" s="2">
        <f>VLOOKUP($A236,'[2]App C Total'!$A$4:$I$917,8,FALSE)</f>
        <v>649</v>
      </c>
      <c r="I236" s="2">
        <f>VLOOKUP($A236,'[2]App C Total'!$A$4:$I$917,9,FALSE)</f>
        <v>0</v>
      </c>
      <c r="J236" s="2"/>
      <c r="K236" s="2">
        <f>VLOOKUP($A236,'[2]App C Exp'!$A$4:$I$917,5,FALSE)</f>
        <v>1064</v>
      </c>
      <c r="L236" s="2">
        <f>VLOOKUP($A236,'[2]App C Exp'!$A$4:$I$917,6,FALSE)</f>
        <v>1001</v>
      </c>
      <c r="M236" s="2">
        <f>VLOOKUP($A236,'[2]App C Exp'!$A$4:$I$917,7,FALSE)</f>
        <v>897</v>
      </c>
      <c r="N236" s="2">
        <f>VLOOKUP($A236,'[2]App C Exp'!$A$4:$I$917,8,FALSE)</f>
        <v>359</v>
      </c>
      <c r="O236" s="2">
        <f>VLOOKUP($A236,'[2]App C Exp'!$A$4:$I$917,9,FALSE)</f>
        <v>0</v>
      </c>
      <c r="P236" s="2"/>
      <c r="Q236" s="2">
        <f>VLOOKUP($A236,'[2]App C Inv'!$A$4:$I$917,5,FALSE)</f>
        <v>1129</v>
      </c>
      <c r="R236" s="2">
        <f>VLOOKUP($A236,'[2]App C Inv'!$A$4:$I$917,6,FALSE)</f>
        <v>-971</v>
      </c>
      <c r="S236" s="2">
        <f>VLOOKUP($A236,'[2]App C Inv'!$A$4:$I$917,7,FALSE)</f>
        <v>137</v>
      </c>
      <c r="T236" s="2">
        <f>VLOOKUP($A236,'[2]App C Inv'!$A$4:$I$917,8,FALSE)</f>
        <v>178</v>
      </c>
      <c r="U236" s="2">
        <f>VLOOKUP($A236,'[2]App C Inv'!$A$4:$I$917,9,FALSE)</f>
        <v>0</v>
      </c>
      <c r="V236" s="2"/>
      <c r="W236" s="2">
        <f>VLOOKUP($A236,'[2]App C Assum'!$A$4:$I$917,5,FALSE)</f>
        <v>1272</v>
      </c>
      <c r="X236" s="2">
        <f>VLOOKUP($A236,'[2]App C Assum'!$A$4:$I$917,6,FALSE)</f>
        <v>1042</v>
      </c>
      <c r="Y236" s="2">
        <f>VLOOKUP($A236,'[2]App C Assum'!$A$4:$I$917,7,FALSE)</f>
        <v>846</v>
      </c>
      <c r="Z236" s="2">
        <f>VLOOKUP($A236,'[2]App C Assum'!$A$4:$I$917,8,FALSE)</f>
        <v>0</v>
      </c>
      <c r="AA236" s="2">
        <f>VLOOKUP($A236,'[2]App C Assum'!$A$4:$I$917,9,FALSE)</f>
        <v>0</v>
      </c>
      <c r="AB236" s="2"/>
      <c r="AC236" s="2">
        <f>VLOOKUP($A236,'[2]App C Share Outflows'!$A$4:$I$917,5,FALSE)</f>
        <v>800</v>
      </c>
      <c r="AD236" s="2">
        <f>VLOOKUP($A236,'[2]App C Share Outflows'!$A$4:$I$917,6,FALSE)</f>
        <v>541</v>
      </c>
      <c r="AE236" s="2">
        <f>VLOOKUP($A236,'[2]App C Share Outflows'!$A$4:$I$917,7,FALSE)</f>
        <v>327</v>
      </c>
      <c r="AF236" s="2">
        <f>VLOOKUP($A236,'[2]App C Share Outflows'!$A$4:$I$917,8,FALSE)</f>
        <v>112</v>
      </c>
      <c r="AG236" s="2">
        <f>VLOOKUP($A236,'[2]App C Share Outflows'!$A$4:$I$917,9,FALSE)</f>
        <v>0</v>
      </c>
      <c r="AH236" s="2"/>
      <c r="AI236" s="2">
        <f>VLOOKUP($A236,'[2]App C Share Inflows'!$A$4:$I$917,5,FALSE)</f>
        <v>0</v>
      </c>
      <c r="AJ236" s="2">
        <f>VLOOKUP($A236,'[2]App C Share Inflows'!$A$4:$I$917,6,FALSE)</f>
        <v>0</v>
      </c>
      <c r="AK236" s="2">
        <f>VLOOKUP($A236,'[2]App C Share Inflows'!$A$4:$I$917,7,FALSE)</f>
        <v>0</v>
      </c>
      <c r="AL236" s="2">
        <f>VLOOKUP($A236,'[2]App C Share Inflows'!$A$4:$I$917,8,FALSE)</f>
        <v>0</v>
      </c>
      <c r="AM236" s="2">
        <f>VLOOKUP($A236,'[2]App C Share Inflows'!$A$4:$I$917,6,FALSE)</f>
        <v>0</v>
      </c>
    </row>
    <row r="237" spans="1:39">
      <c r="A237" s="351">
        <v>92109</v>
      </c>
      <c r="B237" s="344" t="s">
        <v>3662</v>
      </c>
      <c r="C237" s="235" t="e">
        <f>VLOOKUP(A237,#REF!,10,FALSE)</f>
        <v>#REF!</v>
      </c>
      <c r="E237" s="2">
        <f>VLOOKUP($A237,'[2]App C Total'!$A$4:$I$917,5,FALSE)</f>
        <v>77626</v>
      </c>
      <c r="F237" s="2">
        <f>VLOOKUP($A237,'[2]App C Total'!$A$4:$I$917,6,FALSE)</f>
        <v>20853</v>
      </c>
      <c r="G237" s="2">
        <f>VLOOKUP($A237,'[2]App C Total'!$A$4:$I$917,7,FALSE)</f>
        <v>39894</v>
      </c>
      <c r="H237" s="2">
        <f>VLOOKUP($A237,'[2]App C Total'!$A$4:$I$917,8,FALSE)</f>
        <v>11476</v>
      </c>
      <c r="I237" s="2">
        <f>VLOOKUP($A237,'[2]App C Total'!$A$4:$I$917,9,FALSE)</f>
        <v>0</v>
      </c>
      <c r="J237" s="2"/>
      <c r="K237" s="2">
        <f>VLOOKUP($A237,'[2]App C Exp'!$A$4:$I$917,5,FALSE)</f>
        <v>25168</v>
      </c>
      <c r="L237" s="2">
        <f>VLOOKUP($A237,'[2]App C Exp'!$A$4:$I$917,6,FALSE)</f>
        <v>23675</v>
      </c>
      <c r="M237" s="2">
        <f>VLOOKUP($A237,'[2]App C Exp'!$A$4:$I$917,7,FALSE)</f>
        <v>21219</v>
      </c>
      <c r="N237" s="2">
        <f>VLOOKUP($A237,'[2]App C Exp'!$A$4:$I$917,8,FALSE)</f>
        <v>8496</v>
      </c>
      <c r="O237" s="2">
        <f>VLOOKUP($A237,'[2]App C Exp'!$A$4:$I$917,9,FALSE)</f>
        <v>0</v>
      </c>
      <c r="P237" s="2"/>
      <c r="Q237" s="2">
        <f>VLOOKUP($A237,'[2]App C Inv'!$A$4:$I$917,5,FALSE)</f>
        <v>26719</v>
      </c>
      <c r="R237" s="2">
        <f>VLOOKUP($A237,'[2]App C Inv'!$A$4:$I$917,6,FALSE)</f>
        <v>-22983</v>
      </c>
      <c r="S237" s="2">
        <f>VLOOKUP($A237,'[2]App C Inv'!$A$4:$I$917,7,FALSE)</f>
        <v>3239</v>
      </c>
      <c r="T237" s="2">
        <f>VLOOKUP($A237,'[2]App C Inv'!$A$4:$I$917,8,FALSE)</f>
        <v>4216</v>
      </c>
      <c r="U237" s="2">
        <f>VLOOKUP($A237,'[2]App C Inv'!$A$4:$I$917,9,FALSE)</f>
        <v>0</v>
      </c>
      <c r="V237" s="2"/>
      <c r="W237" s="2">
        <f>VLOOKUP($A237,'[2]App C Assum'!$A$4:$I$917,5,FALSE)</f>
        <v>30099</v>
      </c>
      <c r="X237" s="2">
        <f>VLOOKUP($A237,'[2]App C Assum'!$A$4:$I$917,6,FALSE)</f>
        <v>24658</v>
      </c>
      <c r="Y237" s="2">
        <f>VLOOKUP($A237,'[2]App C Assum'!$A$4:$I$917,7,FALSE)</f>
        <v>20018</v>
      </c>
      <c r="Z237" s="2">
        <f>VLOOKUP($A237,'[2]App C Assum'!$A$4:$I$917,8,FALSE)</f>
        <v>0</v>
      </c>
      <c r="AA237" s="2">
        <f>VLOOKUP($A237,'[2]App C Assum'!$A$4:$I$917,9,FALSE)</f>
        <v>0</v>
      </c>
      <c r="AB237" s="2"/>
      <c r="AC237" s="2">
        <f>VLOOKUP($A237,'[2]App C Share Outflows'!$A$4:$I$917,5,FALSE)</f>
        <v>221</v>
      </c>
      <c r="AD237" s="2">
        <f>VLOOKUP($A237,'[2]App C Share Outflows'!$A$4:$I$917,6,FALSE)</f>
        <v>84</v>
      </c>
      <c r="AE237" s="2">
        <f>VLOOKUP($A237,'[2]App C Share Outflows'!$A$4:$I$917,7,FALSE)</f>
        <v>0</v>
      </c>
      <c r="AF237" s="2">
        <f>VLOOKUP($A237,'[2]App C Share Outflows'!$A$4:$I$917,8,FALSE)</f>
        <v>0</v>
      </c>
      <c r="AG237" s="2">
        <f>VLOOKUP($A237,'[2]App C Share Outflows'!$A$4:$I$917,9,FALSE)</f>
        <v>0</v>
      </c>
      <c r="AH237" s="2"/>
      <c r="AI237" s="2">
        <f>VLOOKUP($A237,'[2]App C Share Inflows'!$A$4:$I$917,5,FALSE)</f>
        <v>-4581</v>
      </c>
      <c r="AJ237" s="2">
        <f>VLOOKUP($A237,'[2]App C Share Inflows'!$A$4:$I$917,6,FALSE)</f>
        <v>-4581</v>
      </c>
      <c r="AK237" s="2">
        <f>VLOOKUP($A237,'[2]App C Share Inflows'!$A$4:$I$917,7,FALSE)</f>
        <v>-4582</v>
      </c>
      <c r="AL237" s="2">
        <f>VLOOKUP($A237,'[2]App C Share Inflows'!$A$4:$I$917,8,FALSE)</f>
        <v>-1236</v>
      </c>
      <c r="AM237" s="2">
        <f>VLOOKUP($A237,'[2]App C Share Inflows'!$A$4:$I$917,6,FALSE)</f>
        <v>-4581</v>
      </c>
    </row>
    <row r="238" spans="1:39">
      <c r="A238" s="351">
        <v>92111</v>
      </c>
      <c r="B238" s="344" t="s">
        <v>930</v>
      </c>
      <c r="C238" s="235" t="e">
        <f>VLOOKUP(A238,#REF!,10,FALSE)</f>
        <v>#REF!</v>
      </c>
      <c r="E238" s="2">
        <f>VLOOKUP($A238,'[2]App C Total'!$A$4:$I$917,5,FALSE)</f>
        <v>230019</v>
      </c>
      <c r="F238" s="2">
        <f>VLOOKUP($A238,'[2]App C Total'!$A$4:$I$917,6,FALSE)</f>
        <v>68113</v>
      </c>
      <c r="G238" s="2">
        <f>VLOOKUP($A238,'[2]App C Total'!$A$4:$I$917,7,FALSE)</f>
        <v>123507</v>
      </c>
      <c r="H238" s="2">
        <f>VLOOKUP($A238,'[2]App C Total'!$A$4:$I$917,8,FALSE)</f>
        <v>30129</v>
      </c>
      <c r="I238" s="2">
        <f>VLOOKUP($A238,'[2]App C Total'!$A$4:$I$917,9,FALSE)</f>
        <v>0</v>
      </c>
      <c r="J238" s="2"/>
      <c r="K238" s="2">
        <f>VLOOKUP($A238,'[2]App C Exp'!$A$4:$I$917,5,FALSE)</f>
        <v>73720</v>
      </c>
      <c r="L238" s="2">
        <f>VLOOKUP($A238,'[2]App C Exp'!$A$4:$I$917,6,FALSE)</f>
        <v>69347</v>
      </c>
      <c r="M238" s="2">
        <f>VLOOKUP($A238,'[2]App C Exp'!$A$4:$I$917,7,FALSE)</f>
        <v>62155</v>
      </c>
      <c r="N238" s="2">
        <f>VLOOKUP($A238,'[2]App C Exp'!$A$4:$I$917,8,FALSE)</f>
        <v>24886</v>
      </c>
      <c r="O238" s="2">
        <f>VLOOKUP($A238,'[2]App C Exp'!$A$4:$I$917,9,FALSE)</f>
        <v>0</v>
      </c>
      <c r="P238" s="2"/>
      <c r="Q238" s="2">
        <f>VLOOKUP($A238,'[2]App C Inv'!$A$4:$I$917,5,FALSE)</f>
        <v>78264</v>
      </c>
      <c r="R238" s="2">
        <f>VLOOKUP($A238,'[2]App C Inv'!$A$4:$I$917,6,FALSE)</f>
        <v>-67322</v>
      </c>
      <c r="S238" s="2">
        <f>VLOOKUP($A238,'[2]App C Inv'!$A$4:$I$917,7,FALSE)</f>
        <v>9488</v>
      </c>
      <c r="T238" s="2">
        <f>VLOOKUP($A238,'[2]App C Inv'!$A$4:$I$917,8,FALSE)</f>
        <v>12349</v>
      </c>
      <c r="U238" s="2">
        <f>VLOOKUP($A238,'[2]App C Inv'!$A$4:$I$917,9,FALSE)</f>
        <v>0</v>
      </c>
      <c r="V238" s="2"/>
      <c r="W238" s="2">
        <f>VLOOKUP($A238,'[2]App C Assum'!$A$4:$I$917,5,FALSE)</f>
        <v>88166</v>
      </c>
      <c r="X238" s="2">
        <f>VLOOKUP($A238,'[2]App C Assum'!$A$4:$I$917,6,FALSE)</f>
        <v>72228</v>
      </c>
      <c r="Y238" s="2">
        <f>VLOOKUP($A238,'[2]App C Assum'!$A$4:$I$917,7,FALSE)</f>
        <v>58637</v>
      </c>
      <c r="Z238" s="2">
        <f>VLOOKUP($A238,'[2]App C Assum'!$A$4:$I$917,8,FALSE)</f>
        <v>0</v>
      </c>
      <c r="AA238" s="2">
        <f>VLOOKUP($A238,'[2]App C Assum'!$A$4:$I$917,9,FALSE)</f>
        <v>0</v>
      </c>
      <c r="AB238" s="2"/>
      <c r="AC238" s="2">
        <f>VLOOKUP($A238,'[2]App C Share Outflows'!$A$4:$I$917,5,FALSE)</f>
        <v>966</v>
      </c>
      <c r="AD238" s="2">
        <f>VLOOKUP($A238,'[2]App C Share Outflows'!$A$4:$I$917,6,FALSE)</f>
        <v>967</v>
      </c>
      <c r="AE238" s="2">
        <f>VLOOKUP($A238,'[2]App C Share Outflows'!$A$4:$I$917,7,FALSE)</f>
        <v>334</v>
      </c>
      <c r="AF238" s="2">
        <f>VLOOKUP($A238,'[2]App C Share Outflows'!$A$4:$I$917,8,FALSE)</f>
        <v>0</v>
      </c>
      <c r="AG238" s="2">
        <f>VLOOKUP($A238,'[2]App C Share Outflows'!$A$4:$I$917,9,FALSE)</f>
        <v>0</v>
      </c>
      <c r="AH238" s="2"/>
      <c r="AI238" s="2">
        <f>VLOOKUP($A238,'[2]App C Share Inflows'!$A$4:$I$917,5,FALSE)</f>
        <v>-11097</v>
      </c>
      <c r="AJ238" s="2">
        <f>VLOOKUP($A238,'[2]App C Share Inflows'!$A$4:$I$917,6,FALSE)</f>
        <v>-7107</v>
      </c>
      <c r="AK238" s="2">
        <f>VLOOKUP($A238,'[2]App C Share Inflows'!$A$4:$I$917,7,FALSE)</f>
        <v>-7107</v>
      </c>
      <c r="AL238" s="2">
        <f>VLOOKUP($A238,'[2]App C Share Inflows'!$A$4:$I$917,8,FALSE)</f>
        <v>-7106</v>
      </c>
      <c r="AM238" s="2">
        <f>VLOOKUP($A238,'[2]App C Share Inflows'!$A$4:$I$917,6,FALSE)</f>
        <v>-7107</v>
      </c>
    </row>
    <row r="239" spans="1:39">
      <c r="A239" s="351">
        <v>92113</v>
      </c>
      <c r="B239" s="344" t="s">
        <v>2759</v>
      </c>
      <c r="C239" s="235" t="e">
        <f>VLOOKUP(A239,#REF!,10,FALSE)</f>
        <v>#REF!</v>
      </c>
      <c r="E239" s="2">
        <f>VLOOKUP($A239,'[2]App C Total'!$A$4:$I$917,5,FALSE)</f>
        <v>13499</v>
      </c>
      <c r="F239" s="2">
        <f>VLOOKUP($A239,'[2]App C Total'!$A$4:$I$917,6,FALSE)</f>
        <v>4522</v>
      </c>
      <c r="G239" s="2">
        <f>VLOOKUP($A239,'[2]App C Total'!$A$4:$I$917,7,FALSE)</f>
        <v>7013</v>
      </c>
      <c r="H239" s="2">
        <f>VLOOKUP($A239,'[2]App C Total'!$A$4:$I$917,8,FALSE)</f>
        <v>2595</v>
      </c>
      <c r="I239" s="2">
        <f>VLOOKUP($A239,'[2]App C Total'!$A$4:$I$917,9,FALSE)</f>
        <v>0</v>
      </c>
      <c r="J239" s="2"/>
      <c r="K239" s="2">
        <f>VLOOKUP($A239,'[2]App C Exp'!$A$4:$I$917,5,FALSE)</f>
        <v>2562</v>
      </c>
      <c r="L239" s="2">
        <f>VLOOKUP($A239,'[2]App C Exp'!$A$4:$I$917,6,FALSE)</f>
        <v>2410</v>
      </c>
      <c r="M239" s="2">
        <f>VLOOKUP($A239,'[2]App C Exp'!$A$4:$I$917,7,FALSE)</f>
        <v>2160</v>
      </c>
      <c r="N239" s="2">
        <f>VLOOKUP($A239,'[2]App C Exp'!$A$4:$I$917,8,FALSE)</f>
        <v>865</v>
      </c>
      <c r="O239" s="2">
        <f>VLOOKUP($A239,'[2]App C Exp'!$A$4:$I$917,9,FALSE)</f>
        <v>0</v>
      </c>
      <c r="P239" s="2"/>
      <c r="Q239" s="2">
        <f>VLOOKUP($A239,'[2]App C Inv'!$A$4:$I$917,5,FALSE)</f>
        <v>2720</v>
      </c>
      <c r="R239" s="2">
        <f>VLOOKUP($A239,'[2]App C Inv'!$A$4:$I$917,6,FALSE)</f>
        <v>-2339</v>
      </c>
      <c r="S239" s="2">
        <f>VLOOKUP($A239,'[2]App C Inv'!$A$4:$I$917,7,FALSE)</f>
        <v>330</v>
      </c>
      <c r="T239" s="2">
        <f>VLOOKUP($A239,'[2]App C Inv'!$A$4:$I$917,8,FALSE)</f>
        <v>429</v>
      </c>
      <c r="U239" s="2">
        <f>VLOOKUP($A239,'[2]App C Inv'!$A$4:$I$917,9,FALSE)</f>
        <v>0</v>
      </c>
      <c r="V239" s="2"/>
      <c r="W239" s="2">
        <f>VLOOKUP($A239,'[2]App C Assum'!$A$4:$I$917,5,FALSE)</f>
        <v>3064</v>
      </c>
      <c r="X239" s="2">
        <f>VLOOKUP($A239,'[2]App C Assum'!$A$4:$I$917,6,FALSE)</f>
        <v>2510</v>
      </c>
      <c r="Y239" s="2">
        <f>VLOOKUP($A239,'[2]App C Assum'!$A$4:$I$917,7,FALSE)</f>
        <v>2038</v>
      </c>
      <c r="Z239" s="2">
        <f>VLOOKUP($A239,'[2]App C Assum'!$A$4:$I$917,8,FALSE)</f>
        <v>0</v>
      </c>
      <c r="AA239" s="2">
        <f>VLOOKUP($A239,'[2]App C Assum'!$A$4:$I$917,9,FALSE)</f>
        <v>0</v>
      </c>
      <c r="AB239" s="2"/>
      <c r="AC239" s="2">
        <f>VLOOKUP($A239,'[2]App C Share Outflows'!$A$4:$I$917,5,FALSE)</f>
        <v>5698</v>
      </c>
      <c r="AD239" s="2">
        <f>VLOOKUP($A239,'[2]App C Share Outflows'!$A$4:$I$917,6,FALSE)</f>
        <v>2484</v>
      </c>
      <c r="AE239" s="2">
        <f>VLOOKUP($A239,'[2]App C Share Outflows'!$A$4:$I$917,7,FALSE)</f>
        <v>2485</v>
      </c>
      <c r="AF239" s="2">
        <f>VLOOKUP($A239,'[2]App C Share Outflows'!$A$4:$I$917,8,FALSE)</f>
        <v>1301</v>
      </c>
      <c r="AG239" s="2">
        <f>VLOOKUP($A239,'[2]App C Share Outflows'!$A$4:$I$917,9,FALSE)</f>
        <v>0</v>
      </c>
      <c r="AH239" s="2"/>
      <c r="AI239" s="2">
        <f>VLOOKUP($A239,'[2]App C Share Inflows'!$A$4:$I$917,5,FALSE)</f>
        <v>-545</v>
      </c>
      <c r="AJ239" s="2">
        <f>VLOOKUP($A239,'[2]App C Share Inflows'!$A$4:$I$917,6,FALSE)</f>
        <v>-543</v>
      </c>
      <c r="AK239" s="2">
        <f>VLOOKUP($A239,'[2]App C Share Inflows'!$A$4:$I$917,7,FALSE)</f>
        <v>0</v>
      </c>
      <c r="AL239" s="2">
        <f>VLOOKUP($A239,'[2]App C Share Inflows'!$A$4:$I$917,8,FALSE)</f>
        <v>0</v>
      </c>
      <c r="AM239" s="2">
        <f>VLOOKUP($A239,'[2]App C Share Inflows'!$A$4:$I$917,6,FALSE)</f>
        <v>-543</v>
      </c>
    </row>
    <row r="240" spans="1:39">
      <c r="A240" s="351">
        <v>92201</v>
      </c>
      <c r="B240" s="344" t="s">
        <v>932</v>
      </c>
      <c r="C240" s="235" t="e">
        <f>VLOOKUP(A240,#REF!,10,FALSE)</f>
        <v>#REF!</v>
      </c>
      <c r="E240" s="2">
        <f>VLOOKUP($A240,'[2]App C Total'!$A$4:$I$917,5,FALSE)</f>
        <v>389929</v>
      </c>
      <c r="F240" s="2">
        <f>VLOOKUP($A240,'[2]App C Total'!$A$4:$I$917,6,FALSE)</f>
        <v>105507</v>
      </c>
      <c r="G240" s="2">
        <f>VLOOKUP($A240,'[2]App C Total'!$A$4:$I$917,7,FALSE)</f>
        <v>211514</v>
      </c>
      <c r="H240" s="2">
        <f>VLOOKUP($A240,'[2]App C Total'!$A$4:$I$917,8,FALSE)</f>
        <v>53409</v>
      </c>
      <c r="I240" s="2">
        <f>VLOOKUP($A240,'[2]App C Total'!$A$4:$I$917,9,FALSE)</f>
        <v>0</v>
      </c>
      <c r="J240" s="2"/>
      <c r="K240" s="2">
        <f>VLOOKUP($A240,'[2]App C Exp'!$A$4:$I$917,5,FALSE)</f>
        <v>125224</v>
      </c>
      <c r="L240" s="2">
        <f>VLOOKUP($A240,'[2]App C Exp'!$A$4:$I$917,6,FALSE)</f>
        <v>117795</v>
      </c>
      <c r="M240" s="2">
        <f>VLOOKUP($A240,'[2]App C Exp'!$A$4:$I$917,7,FALSE)</f>
        <v>105578</v>
      </c>
      <c r="N240" s="2">
        <f>VLOOKUP($A240,'[2]App C Exp'!$A$4:$I$917,8,FALSE)</f>
        <v>42272</v>
      </c>
      <c r="O240" s="2">
        <f>VLOOKUP($A240,'[2]App C Exp'!$A$4:$I$917,9,FALSE)</f>
        <v>0</v>
      </c>
      <c r="P240" s="2"/>
      <c r="Q240" s="2">
        <f>VLOOKUP($A240,'[2]App C Inv'!$A$4:$I$917,5,FALSE)</f>
        <v>132942</v>
      </c>
      <c r="R240" s="2">
        <f>VLOOKUP($A240,'[2]App C Inv'!$A$4:$I$917,6,FALSE)</f>
        <v>-114355</v>
      </c>
      <c r="S240" s="2">
        <f>VLOOKUP($A240,'[2]App C Inv'!$A$4:$I$917,7,FALSE)</f>
        <v>16117</v>
      </c>
      <c r="T240" s="2">
        <f>VLOOKUP($A240,'[2]App C Inv'!$A$4:$I$917,8,FALSE)</f>
        <v>20976</v>
      </c>
      <c r="U240" s="2">
        <f>VLOOKUP($A240,'[2]App C Inv'!$A$4:$I$917,9,FALSE)</f>
        <v>0</v>
      </c>
      <c r="V240" s="2"/>
      <c r="W240" s="2">
        <f>VLOOKUP($A240,'[2]App C Assum'!$A$4:$I$917,5,FALSE)</f>
        <v>149762</v>
      </c>
      <c r="X240" s="2">
        <f>VLOOKUP($A240,'[2]App C Assum'!$A$4:$I$917,6,FALSE)</f>
        <v>122690</v>
      </c>
      <c r="Y240" s="2">
        <f>VLOOKUP($A240,'[2]App C Assum'!$A$4:$I$917,7,FALSE)</f>
        <v>99603</v>
      </c>
      <c r="Z240" s="2">
        <f>VLOOKUP($A240,'[2]App C Assum'!$A$4:$I$917,8,FALSE)</f>
        <v>0</v>
      </c>
      <c r="AA240" s="2">
        <f>VLOOKUP($A240,'[2]App C Assum'!$A$4:$I$917,9,FALSE)</f>
        <v>0</v>
      </c>
      <c r="AB240" s="2"/>
      <c r="AC240" s="2">
        <f>VLOOKUP($A240,'[2]App C Share Outflows'!$A$4:$I$917,5,FALSE)</f>
        <v>2679</v>
      </c>
      <c r="AD240" s="2">
        <f>VLOOKUP($A240,'[2]App C Share Outflows'!$A$4:$I$917,6,FALSE)</f>
        <v>54</v>
      </c>
      <c r="AE240" s="2">
        <f>VLOOKUP($A240,'[2]App C Share Outflows'!$A$4:$I$917,7,FALSE)</f>
        <v>55</v>
      </c>
      <c r="AF240" s="2">
        <f>VLOOKUP($A240,'[2]App C Share Outflows'!$A$4:$I$917,8,FALSE)</f>
        <v>0</v>
      </c>
      <c r="AG240" s="2">
        <f>VLOOKUP($A240,'[2]App C Share Outflows'!$A$4:$I$917,9,FALSE)</f>
        <v>0</v>
      </c>
      <c r="AH240" s="2"/>
      <c r="AI240" s="2">
        <f>VLOOKUP($A240,'[2]App C Share Inflows'!$A$4:$I$917,5,FALSE)</f>
        <v>-20678</v>
      </c>
      <c r="AJ240" s="2">
        <f>VLOOKUP($A240,'[2]App C Share Inflows'!$A$4:$I$917,6,FALSE)</f>
        <v>-20677</v>
      </c>
      <c r="AK240" s="2">
        <f>VLOOKUP($A240,'[2]App C Share Inflows'!$A$4:$I$917,7,FALSE)</f>
        <v>-9839</v>
      </c>
      <c r="AL240" s="2">
        <f>VLOOKUP($A240,'[2]App C Share Inflows'!$A$4:$I$917,8,FALSE)</f>
        <v>-9839</v>
      </c>
      <c r="AM240" s="2">
        <f>VLOOKUP($A240,'[2]App C Share Inflows'!$A$4:$I$917,6,FALSE)</f>
        <v>-20677</v>
      </c>
    </row>
    <row r="241" spans="1:39">
      <c r="A241" s="351">
        <v>92214</v>
      </c>
      <c r="B241" s="344" t="s">
        <v>1931</v>
      </c>
      <c r="C241" s="235" t="e">
        <f>VLOOKUP(A241,#REF!,10,FALSE)</f>
        <v>#REF!</v>
      </c>
      <c r="E241" s="2">
        <f>VLOOKUP($A241,'[2]App C Total'!$A$4:$I$917,5,FALSE)</f>
        <v>13539</v>
      </c>
      <c r="F241" s="2">
        <f>VLOOKUP($A241,'[2]App C Total'!$A$4:$I$917,6,FALSE)</f>
        <v>6730</v>
      </c>
      <c r="G241" s="2">
        <f>VLOOKUP($A241,'[2]App C Total'!$A$4:$I$917,7,FALSE)</f>
        <v>9027</v>
      </c>
      <c r="H241" s="2">
        <f>VLOOKUP($A241,'[2]App C Total'!$A$4:$I$917,8,FALSE)</f>
        <v>1706</v>
      </c>
      <c r="I241" s="2">
        <f>VLOOKUP($A241,'[2]App C Total'!$A$4:$I$917,9,FALSE)</f>
        <v>0</v>
      </c>
      <c r="J241" s="2"/>
      <c r="K241" s="2">
        <f>VLOOKUP($A241,'[2]App C Exp'!$A$4:$I$917,5,FALSE)</f>
        <v>3026</v>
      </c>
      <c r="L241" s="2">
        <f>VLOOKUP($A241,'[2]App C Exp'!$A$4:$I$917,6,FALSE)</f>
        <v>2847</v>
      </c>
      <c r="M241" s="2">
        <f>VLOOKUP($A241,'[2]App C Exp'!$A$4:$I$917,7,FALSE)</f>
        <v>2551</v>
      </c>
      <c r="N241" s="2">
        <f>VLOOKUP($A241,'[2]App C Exp'!$A$4:$I$917,8,FALSE)</f>
        <v>1022</v>
      </c>
      <c r="O241" s="2">
        <f>VLOOKUP($A241,'[2]App C Exp'!$A$4:$I$917,9,FALSE)</f>
        <v>0</v>
      </c>
      <c r="P241" s="2"/>
      <c r="Q241" s="2">
        <f>VLOOKUP($A241,'[2]App C Inv'!$A$4:$I$917,5,FALSE)</f>
        <v>3213</v>
      </c>
      <c r="R241" s="2">
        <f>VLOOKUP($A241,'[2]App C Inv'!$A$4:$I$917,6,FALSE)</f>
        <v>-2763</v>
      </c>
      <c r="S241" s="2">
        <f>VLOOKUP($A241,'[2]App C Inv'!$A$4:$I$917,7,FALSE)</f>
        <v>389</v>
      </c>
      <c r="T241" s="2">
        <f>VLOOKUP($A241,'[2]App C Inv'!$A$4:$I$917,8,FALSE)</f>
        <v>507</v>
      </c>
      <c r="U241" s="2">
        <f>VLOOKUP($A241,'[2]App C Inv'!$A$4:$I$917,9,FALSE)</f>
        <v>0</v>
      </c>
      <c r="V241" s="2"/>
      <c r="W241" s="2">
        <f>VLOOKUP($A241,'[2]App C Assum'!$A$4:$I$917,5,FALSE)</f>
        <v>3619</v>
      </c>
      <c r="X241" s="2">
        <f>VLOOKUP($A241,'[2]App C Assum'!$A$4:$I$917,6,FALSE)</f>
        <v>2965</v>
      </c>
      <c r="Y241" s="2">
        <f>VLOOKUP($A241,'[2]App C Assum'!$A$4:$I$917,7,FALSE)</f>
        <v>2407</v>
      </c>
      <c r="Z241" s="2">
        <f>VLOOKUP($A241,'[2]App C Assum'!$A$4:$I$917,8,FALSE)</f>
        <v>0</v>
      </c>
      <c r="AA241" s="2">
        <f>VLOOKUP($A241,'[2]App C Assum'!$A$4:$I$917,9,FALSE)</f>
        <v>0</v>
      </c>
      <c r="AB241" s="2"/>
      <c r="AC241" s="2">
        <f>VLOOKUP($A241,'[2]App C Share Outflows'!$A$4:$I$917,5,FALSE)</f>
        <v>3681</v>
      </c>
      <c r="AD241" s="2">
        <f>VLOOKUP($A241,'[2]App C Share Outflows'!$A$4:$I$917,6,FALSE)</f>
        <v>3681</v>
      </c>
      <c r="AE241" s="2">
        <f>VLOOKUP($A241,'[2]App C Share Outflows'!$A$4:$I$917,7,FALSE)</f>
        <v>3680</v>
      </c>
      <c r="AF241" s="2">
        <f>VLOOKUP($A241,'[2]App C Share Outflows'!$A$4:$I$917,8,FALSE)</f>
        <v>177</v>
      </c>
      <c r="AG241" s="2">
        <f>VLOOKUP($A241,'[2]App C Share Outflows'!$A$4:$I$917,9,FALSE)</f>
        <v>0</v>
      </c>
      <c r="AH241" s="2"/>
      <c r="AI241" s="2">
        <f>VLOOKUP($A241,'[2]App C Share Inflows'!$A$4:$I$917,5,FALSE)</f>
        <v>0</v>
      </c>
      <c r="AJ241" s="2">
        <f>VLOOKUP($A241,'[2]App C Share Inflows'!$A$4:$I$917,6,FALSE)</f>
        <v>0</v>
      </c>
      <c r="AK241" s="2">
        <f>VLOOKUP($A241,'[2]App C Share Inflows'!$A$4:$I$917,7,FALSE)</f>
        <v>0</v>
      </c>
      <c r="AL241" s="2">
        <f>VLOOKUP($A241,'[2]App C Share Inflows'!$A$4:$I$917,8,FALSE)</f>
        <v>0</v>
      </c>
      <c r="AM241" s="2">
        <f>VLOOKUP($A241,'[2]App C Share Inflows'!$A$4:$I$917,6,FALSE)</f>
        <v>0</v>
      </c>
    </row>
    <row r="242" spans="1:39">
      <c r="A242" s="351">
        <v>92301</v>
      </c>
      <c r="B242" s="344" t="s">
        <v>933</v>
      </c>
      <c r="C242" s="235" t="e">
        <f>VLOOKUP(A242,#REF!,10,FALSE)</f>
        <v>#REF!</v>
      </c>
      <c r="E242" s="2">
        <f>VLOOKUP($A242,'[2]App C Total'!$A$4:$I$917,5,FALSE)</f>
        <v>2777646</v>
      </c>
      <c r="F242" s="2">
        <f>VLOOKUP($A242,'[2]App C Total'!$A$4:$I$917,6,FALSE)</f>
        <v>876221</v>
      </c>
      <c r="G242" s="2">
        <f>VLOOKUP($A242,'[2]App C Total'!$A$4:$I$917,7,FALSE)</f>
        <v>1523469</v>
      </c>
      <c r="H242" s="2">
        <f>VLOOKUP($A242,'[2]App C Total'!$A$4:$I$917,8,FALSE)</f>
        <v>452960</v>
      </c>
      <c r="I242" s="2">
        <f>VLOOKUP($A242,'[2]App C Total'!$A$4:$I$917,9,FALSE)</f>
        <v>0</v>
      </c>
      <c r="J242" s="2"/>
      <c r="K242" s="2">
        <f>VLOOKUP($A242,'[2]App C Exp'!$A$4:$I$917,5,FALSE)</f>
        <v>841106</v>
      </c>
      <c r="L242" s="2">
        <f>VLOOKUP($A242,'[2]App C Exp'!$A$4:$I$917,6,FALSE)</f>
        <v>791209</v>
      </c>
      <c r="M242" s="2">
        <f>VLOOKUP($A242,'[2]App C Exp'!$A$4:$I$917,7,FALSE)</f>
        <v>709152</v>
      </c>
      <c r="N242" s="2">
        <f>VLOOKUP($A242,'[2]App C Exp'!$A$4:$I$917,8,FALSE)</f>
        <v>283936</v>
      </c>
      <c r="O242" s="2">
        <f>VLOOKUP($A242,'[2]App C Exp'!$A$4:$I$917,9,FALSE)</f>
        <v>0</v>
      </c>
      <c r="P242" s="2"/>
      <c r="Q242" s="2">
        <f>VLOOKUP($A242,'[2]App C Inv'!$A$4:$I$917,5,FALSE)</f>
        <v>892952</v>
      </c>
      <c r="R242" s="2">
        <f>VLOOKUP($A242,'[2]App C Inv'!$A$4:$I$917,6,FALSE)</f>
        <v>-768105</v>
      </c>
      <c r="S242" s="2">
        <f>VLOOKUP($A242,'[2]App C Inv'!$A$4:$I$917,7,FALSE)</f>
        <v>108255</v>
      </c>
      <c r="T242" s="2">
        <f>VLOOKUP($A242,'[2]App C Inv'!$A$4:$I$917,8,FALSE)</f>
        <v>140893</v>
      </c>
      <c r="U242" s="2">
        <f>VLOOKUP($A242,'[2]App C Inv'!$A$4:$I$917,9,FALSE)</f>
        <v>0</v>
      </c>
      <c r="V242" s="2"/>
      <c r="W242" s="2">
        <f>VLOOKUP($A242,'[2]App C Assum'!$A$4:$I$917,5,FALSE)</f>
        <v>1005923</v>
      </c>
      <c r="X242" s="2">
        <f>VLOOKUP($A242,'[2]App C Assum'!$A$4:$I$917,6,FALSE)</f>
        <v>824089</v>
      </c>
      <c r="Y242" s="2">
        <f>VLOOKUP($A242,'[2]App C Assum'!$A$4:$I$917,7,FALSE)</f>
        <v>669019</v>
      </c>
      <c r="Z242" s="2">
        <f>VLOOKUP($A242,'[2]App C Assum'!$A$4:$I$917,8,FALSE)</f>
        <v>0</v>
      </c>
      <c r="AA242" s="2">
        <f>VLOOKUP($A242,'[2]App C Assum'!$A$4:$I$917,9,FALSE)</f>
        <v>0</v>
      </c>
      <c r="AB242" s="2"/>
      <c r="AC242" s="2">
        <f>VLOOKUP($A242,'[2]App C Share Outflows'!$A$4:$I$917,5,FALSE)</f>
        <v>45682</v>
      </c>
      <c r="AD242" s="2">
        <f>VLOOKUP($A242,'[2]App C Share Outflows'!$A$4:$I$917,6,FALSE)</f>
        <v>37045</v>
      </c>
      <c r="AE242" s="2">
        <f>VLOOKUP($A242,'[2]App C Share Outflows'!$A$4:$I$917,7,FALSE)</f>
        <v>37043</v>
      </c>
      <c r="AF242" s="2">
        <f>VLOOKUP($A242,'[2]App C Share Outflows'!$A$4:$I$917,8,FALSE)</f>
        <v>28131</v>
      </c>
      <c r="AG242" s="2">
        <f>VLOOKUP($A242,'[2]App C Share Outflows'!$A$4:$I$917,9,FALSE)</f>
        <v>0</v>
      </c>
      <c r="AH242" s="2"/>
      <c r="AI242" s="2">
        <f>VLOOKUP($A242,'[2]App C Share Inflows'!$A$4:$I$917,5,FALSE)</f>
        <v>-8017</v>
      </c>
      <c r="AJ242" s="2">
        <f>VLOOKUP($A242,'[2]App C Share Inflows'!$A$4:$I$917,6,FALSE)</f>
        <v>-8017</v>
      </c>
      <c r="AK242" s="2">
        <f>VLOOKUP($A242,'[2]App C Share Inflows'!$A$4:$I$917,7,FALSE)</f>
        <v>0</v>
      </c>
      <c r="AL242" s="2">
        <f>VLOOKUP($A242,'[2]App C Share Inflows'!$A$4:$I$917,8,FALSE)</f>
        <v>0</v>
      </c>
      <c r="AM242" s="2">
        <f>VLOOKUP($A242,'[2]App C Share Inflows'!$A$4:$I$917,6,FALSE)</f>
        <v>-8017</v>
      </c>
    </row>
    <row r="243" spans="1:39">
      <c r="A243" s="351">
        <v>92302</v>
      </c>
      <c r="B243" s="344" t="s">
        <v>934</v>
      </c>
      <c r="C243" s="235" t="e">
        <f>VLOOKUP(A243,#REF!,10,FALSE)</f>
        <v>#REF!</v>
      </c>
      <c r="E243" s="2">
        <f>VLOOKUP($A243,'[2]App C Total'!$A$4:$I$917,5,FALSE)</f>
        <v>137033</v>
      </c>
      <c r="F243" s="2">
        <f>VLOOKUP($A243,'[2]App C Total'!$A$4:$I$917,6,FALSE)</f>
        <v>35331</v>
      </c>
      <c r="G243" s="2">
        <f>VLOOKUP($A243,'[2]App C Total'!$A$4:$I$917,7,FALSE)</f>
        <v>75516</v>
      </c>
      <c r="H243" s="2">
        <f>VLOOKUP($A243,'[2]App C Total'!$A$4:$I$917,8,FALSE)</f>
        <v>16702</v>
      </c>
      <c r="I243" s="2">
        <f>VLOOKUP($A243,'[2]App C Total'!$A$4:$I$917,9,FALSE)</f>
        <v>0</v>
      </c>
      <c r="J243" s="2"/>
      <c r="K243" s="2">
        <f>VLOOKUP($A243,'[2]App C Exp'!$A$4:$I$917,5,FALSE)</f>
        <v>45317</v>
      </c>
      <c r="L243" s="2">
        <f>VLOOKUP($A243,'[2]App C Exp'!$A$4:$I$917,6,FALSE)</f>
        <v>42628</v>
      </c>
      <c r="M243" s="2">
        <f>VLOOKUP($A243,'[2]App C Exp'!$A$4:$I$917,7,FALSE)</f>
        <v>38207</v>
      </c>
      <c r="N243" s="2">
        <f>VLOOKUP($A243,'[2]App C Exp'!$A$4:$I$917,8,FALSE)</f>
        <v>15298</v>
      </c>
      <c r="O243" s="2">
        <f>VLOOKUP($A243,'[2]App C Exp'!$A$4:$I$917,9,FALSE)</f>
        <v>0</v>
      </c>
      <c r="P243" s="2"/>
      <c r="Q243" s="2">
        <f>VLOOKUP($A243,'[2]App C Inv'!$A$4:$I$917,5,FALSE)</f>
        <v>48110</v>
      </c>
      <c r="R243" s="2">
        <f>VLOOKUP($A243,'[2]App C Inv'!$A$4:$I$917,6,FALSE)</f>
        <v>-41384</v>
      </c>
      <c r="S243" s="2">
        <f>VLOOKUP($A243,'[2]App C Inv'!$A$4:$I$917,7,FALSE)</f>
        <v>5833</v>
      </c>
      <c r="T243" s="2">
        <f>VLOOKUP($A243,'[2]App C Inv'!$A$4:$I$917,8,FALSE)</f>
        <v>7591</v>
      </c>
      <c r="U243" s="2">
        <f>VLOOKUP($A243,'[2]App C Inv'!$A$4:$I$917,9,FALSE)</f>
        <v>0</v>
      </c>
      <c r="V243" s="2"/>
      <c r="W243" s="2">
        <f>VLOOKUP($A243,'[2]App C Assum'!$A$4:$I$917,5,FALSE)</f>
        <v>54197</v>
      </c>
      <c r="X243" s="2">
        <f>VLOOKUP($A243,'[2]App C Assum'!$A$4:$I$917,6,FALSE)</f>
        <v>44400</v>
      </c>
      <c r="Y243" s="2">
        <f>VLOOKUP($A243,'[2]App C Assum'!$A$4:$I$917,7,FALSE)</f>
        <v>36045</v>
      </c>
      <c r="Z243" s="2">
        <f>VLOOKUP($A243,'[2]App C Assum'!$A$4:$I$917,8,FALSE)</f>
        <v>0</v>
      </c>
      <c r="AA243" s="2">
        <f>VLOOKUP($A243,'[2]App C Assum'!$A$4:$I$917,9,FALSE)</f>
        <v>0</v>
      </c>
      <c r="AB243" s="2"/>
      <c r="AC243" s="2">
        <f>VLOOKUP($A243,'[2]App C Share Outflows'!$A$4:$I$917,5,FALSE)</f>
        <v>1615</v>
      </c>
      <c r="AD243" s="2">
        <f>VLOOKUP($A243,'[2]App C Share Outflows'!$A$4:$I$917,6,FALSE)</f>
        <v>1615</v>
      </c>
      <c r="AE243" s="2">
        <f>VLOOKUP($A243,'[2]App C Share Outflows'!$A$4:$I$917,7,FALSE)</f>
        <v>1616</v>
      </c>
      <c r="AF243" s="2">
        <f>VLOOKUP($A243,'[2]App C Share Outflows'!$A$4:$I$917,8,FALSE)</f>
        <v>0</v>
      </c>
      <c r="AG243" s="2">
        <f>VLOOKUP($A243,'[2]App C Share Outflows'!$A$4:$I$917,9,FALSE)</f>
        <v>0</v>
      </c>
      <c r="AH243" s="2"/>
      <c r="AI243" s="2">
        <f>VLOOKUP($A243,'[2]App C Share Inflows'!$A$4:$I$917,5,FALSE)</f>
        <v>-12206</v>
      </c>
      <c r="AJ243" s="2">
        <f>VLOOKUP($A243,'[2]App C Share Inflows'!$A$4:$I$917,6,FALSE)</f>
        <v>-11928</v>
      </c>
      <c r="AK243" s="2">
        <f>VLOOKUP($A243,'[2]App C Share Inflows'!$A$4:$I$917,7,FALSE)</f>
        <v>-6185</v>
      </c>
      <c r="AL243" s="2">
        <f>VLOOKUP($A243,'[2]App C Share Inflows'!$A$4:$I$917,8,FALSE)</f>
        <v>-6187</v>
      </c>
      <c r="AM243" s="2">
        <f>VLOOKUP($A243,'[2]App C Share Inflows'!$A$4:$I$917,6,FALSE)</f>
        <v>-11928</v>
      </c>
    </row>
    <row r="244" spans="1:39">
      <c r="A244" s="351">
        <v>92311</v>
      </c>
      <c r="B244" s="344" t="s">
        <v>935</v>
      </c>
      <c r="C244" s="235" t="e">
        <f>VLOOKUP(A244,#REF!,10,FALSE)</f>
        <v>#REF!</v>
      </c>
      <c r="E244" s="2">
        <f>VLOOKUP($A244,'[2]App C Total'!$A$4:$I$917,5,FALSE)</f>
        <v>1090134</v>
      </c>
      <c r="F244" s="2">
        <f>VLOOKUP($A244,'[2]App C Total'!$A$4:$I$917,6,FALSE)</f>
        <v>330398</v>
      </c>
      <c r="G244" s="2">
        <f>VLOOKUP($A244,'[2]App C Total'!$A$4:$I$917,7,FALSE)</f>
        <v>586142</v>
      </c>
      <c r="H244" s="2">
        <f>VLOOKUP($A244,'[2]App C Total'!$A$4:$I$917,8,FALSE)</f>
        <v>173389</v>
      </c>
      <c r="I244" s="2">
        <f>VLOOKUP($A244,'[2]App C Total'!$A$4:$I$917,9,FALSE)</f>
        <v>0</v>
      </c>
      <c r="J244" s="2"/>
      <c r="K244" s="2">
        <f>VLOOKUP($A244,'[2]App C Exp'!$A$4:$I$917,5,FALSE)</f>
        <v>339253</v>
      </c>
      <c r="L244" s="2">
        <f>VLOOKUP($A244,'[2]App C Exp'!$A$4:$I$917,6,FALSE)</f>
        <v>319127</v>
      </c>
      <c r="M244" s="2">
        <f>VLOOKUP($A244,'[2]App C Exp'!$A$4:$I$917,7,FALSE)</f>
        <v>286030</v>
      </c>
      <c r="N244" s="2">
        <f>VLOOKUP($A244,'[2]App C Exp'!$A$4:$I$917,8,FALSE)</f>
        <v>114523</v>
      </c>
      <c r="O244" s="2">
        <f>VLOOKUP($A244,'[2]App C Exp'!$A$4:$I$917,9,FALSE)</f>
        <v>0</v>
      </c>
      <c r="P244" s="2"/>
      <c r="Q244" s="2">
        <f>VLOOKUP($A244,'[2]App C Inv'!$A$4:$I$917,5,FALSE)</f>
        <v>360164</v>
      </c>
      <c r="R244" s="2">
        <f>VLOOKUP($A244,'[2]App C Inv'!$A$4:$I$917,6,FALSE)</f>
        <v>-309809</v>
      </c>
      <c r="S244" s="2">
        <f>VLOOKUP($A244,'[2]App C Inv'!$A$4:$I$917,7,FALSE)</f>
        <v>43664</v>
      </c>
      <c r="T244" s="2">
        <f>VLOOKUP($A244,'[2]App C Inv'!$A$4:$I$917,8,FALSE)</f>
        <v>56828</v>
      </c>
      <c r="U244" s="2">
        <f>VLOOKUP($A244,'[2]App C Inv'!$A$4:$I$917,9,FALSE)</f>
        <v>0</v>
      </c>
      <c r="V244" s="2"/>
      <c r="W244" s="2">
        <f>VLOOKUP($A244,'[2]App C Assum'!$A$4:$I$917,5,FALSE)</f>
        <v>405730</v>
      </c>
      <c r="X244" s="2">
        <f>VLOOKUP($A244,'[2]App C Assum'!$A$4:$I$917,6,FALSE)</f>
        <v>332389</v>
      </c>
      <c r="Y244" s="2">
        <f>VLOOKUP($A244,'[2]App C Assum'!$A$4:$I$917,7,FALSE)</f>
        <v>269843</v>
      </c>
      <c r="Z244" s="2">
        <f>VLOOKUP($A244,'[2]App C Assum'!$A$4:$I$917,8,FALSE)</f>
        <v>0</v>
      </c>
      <c r="AA244" s="2">
        <f>VLOOKUP($A244,'[2]App C Assum'!$A$4:$I$917,9,FALSE)</f>
        <v>0</v>
      </c>
      <c r="AB244" s="2"/>
      <c r="AC244" s="2">
        <f>VLOOKUP($A244,'[2]App C Share Outflows'!$A$4:$I$917,5,FALSE)</f>
        <v>4126</v>
      </c>
      <c r="AD244" s="2">
        <f>VLOOKUP($A244,'[2]App C Share Outflows'!$A$4:$I$917,6,FALSE)</f>
        <v>4124</v>
      </c>
      <c r="AE244" s="2">
        <f>VLOOKUP($A244,'[2]App C Share Outflows'!$A$4:$I$917,7,FALSE)</f>
        <v>2036</v>
      </c>
      <c r="AF244" s="2">
        <f>VLOOKUP($A244,'[2]App C Share Outflows'!$A$4:$I$917,8,FALSE)</f>
        <v>2038</v>
      </c>
      <c r="AG244" s="2">
        <f>VLOOKUP($A244,'[2]App C Share Outflows'!$A$4:$I$917,9,FALSE)</f>
        <v>0</v>
      </c>
      <c r="AH244" s="2"/>
      <c r="AI244" s="2">
        <f>VLOOKUP($A244,'[2]App C Share Inflows'!$A$4:$I$917,5,FALSE)</f>
        <v>-19139</v>
      </c>
      <c r="AJ244" s="2">
        <f>VLOOKUP($A244,'[2]App C Share Inflows'!$A$4:$I$917,6,FALSE)</f>
        <v>-15433</v>
      </c>
      <c r="AK244" s="2">
        <f>VLOOKUP($A244,'[2]App C Share Inflows'!$A$4:$I$917,7,FALSE)</f>
        <v>-15431</v>
      </c>
      <c r="AL244" s="2">
        <f>VLOOKUP($A244,'[2]App C Share Inflows'!$A$4:$I$917,8,FALSE)</f>
        <v>0</v>
      </c>
      <c r="AM244" s="2">
        <f>VLOOKUP($A244,'[2]App C Share Inflows'!$A$4:$I$917,6,FALSE)</f>
        <v>-15433</v>
      </c>
    </row>
    <row r="245" spans="1:39">
      <c r="A245" s="351">
        <v>92317</v>
      </c>
      <c r="B245" s="344" t="s">
        <v>936</v>
      </c>
      <c r="C245" s="235" t="e">
        <f>VLOOKUP(A245,#REF!,10,FALSE)</f>
        <v>#REF!</v>
      </c>
      <c r="E245" s="2">
        <f>VLOOKUP($A245,'[2]App C Total'!$A$4:$I$917,5,FALSE)</f>
        <v>21860</v>
      </c>
      <c r="F245" s="2">
        <f>VLOOKUP($A245,'[2]App C Total'!$A$4:$I$917,6,FALSE)</f>
        <v>10822</v>
      </c>
      <c r="G245" s="2">
        <f>VLOOKUP($A245,'[2]App C Total'!$A$4:$I$917,7,FALSE)</f>
        <v>12386</v>
      </c>
      <c r="H245" s="2">
        <f>VLOOKUP($A245,'[2]App C Total'!$A$4:$I$917,8,FALSE)</f>
        <v>5675</v>
      </c>
      <c r="I245" s="2">
        <f>VLOOKUP($A245,'[2]App C Total'!$A$4:$I$917,9,FALSE)</f>
        <v>0</v>
      </c>
      <c r="J245" s="2"/>
      <c r="K245" s="2">
        <f>VLOOKUP($A245,'[2]App C Exp'!$A$4:$I$917,5,FALSE)</f>
        <v>4449</v>
      </c>
      <c r="L245" s="2">
        <f>VLOOKUP($A245,'[2]App C Exp'!$A$4:$I$917,6,FALSE)</f>
        <v>4185</v>
      </c>
      <c r="M245" s="2">
        <f>VLOOKUP($A245,'[2]App C Exp'!$A$4:$I$917,7,FALSE)</f>
        <v>3751</v>
      </c>
      <c r="N245" s="2">
        <f>VLOOKUP($A245,'[2]App C Exp'!$A$4:$I$917,8,FALSE)</f>
        <v>1502</v>
      </c>
      <c r="O245" s="2">
        <f>VLOOKUP($A245,'[2]App C Exp'!$A$4:$I$917,9,FALSE)</f>
        <v>0</v>
      </c>
      <c r="P245" s="2"/>
      <c r="Q245" s="2">
        <f>VLOOKUP($A245,'[2]App C Inv'!$A$4:$I$917,5,FALSE)</f>
        <v>4724</v>
      </c>
      <c r="R245" s="2">
        <f>VLOOKUP($A245,'[2]App C Inv'!$A$4:$I$917,6,FALSE)</f>
        <v>-4063</v>
      </c>
      <c r="S245" s="2">
        <f>VLOOKUP($A245,'[2]App C Inv'!$A$4:$I$917,7,FALSE)</f>
        <v>573</v>
      </c>
      <c r="T245" s="2">
        <f>VLOOKUP($A245,'[2]App C Inv'!$A$4:$I$917,8,FALSE)</f>
        <v>745</v>
      </c>
      <c r="U245" s="2">
        <f>VLOOKUP($A245,'[2]App C Inv'!$A$4:$I$917,9,FALSE)</f>
        <v>0</v>
      </c>
      <c r="V245" s="2"/>
      <c r="W245" s="2">
        <f>VLOOKUP($A245,'[2]App C Assum'!$A$4:$I$917,5,FALSE)</f>
        <v>5321</v>
      </c>
      <c r="X245" s="2">
        <f>VLOOKUP($A245,'[2]App C Assum'!$A$4:$I$917,6,FALSE)</f>
        <v>4359</v>
      </c>
      <c r="Y245" s="2">
        <f>VLOOKUP($A245,'[2]App C Assum'!$A$4:$I$917,7,FALSE)</f>
        <v>3539</v>
      </c>
      <c r="Z245" s="2">
        <f>VLOOKUP($A245,'[2]App C Assum'!$A$4:$I$917,8,FALSE)</f>
        <v>0</v>
      </c>
      <c r="AA245" s="2">
        <f>VLOOKUP($A245,'[2]App C Assum'!$A$4:$I$917,9,FALSE)</f>
        <v>0</v>
      </c>
      <c r="AB245" s="2"/>
      <c r="AC245" s="2">
        <f>VLOOKUP($A245,'[2]App C Share Outflows'!$A$4:$I$917,5,FALSE)</f>
        <v>7366</v>
      </c>
      <c r="AD245" s="2">
        <f>VLOOKUP($A245,'[2]App C Share Outflows'!$A$4:$I$917,6,FALSE)</f>
        <v>6341</v>
      </c>
      <c r="AE245" s="2">
        <f>VLOOKUP($A245,'[2]App C Share Outflows'!$A$4:$I$917,7,FALSE)</f>
        <v>4523</v>
      </c>
      <c r="AF245" s="2">
        <f>VLOOKUP($A245,'[2]App C Share Outflows'!$A$4:$I$917,8,FALSE)</f>
        <v>3428</v>
      </c>
      <c r="AG245" s="2">
        <f>VLOOKUP($A245,'[2]App C Share Outflows'!$A$4:$I$917,9,FALSE)</f>
        <v>0</v>
      </c>
      <c r="AH245" s="2"/>
      <c r="AI245" s="2">
        <f>VLOOKUP($A245,'[2]App C Share Inflows'!$A$4:$I$917,5,FALSE)</f>
        <v>0</v>
      </c>
      <c r="AJ245" s="2">
        <f>VLOOKUP($A245,'[2]App C Share Inflows'!$A$4:$I$917,6,FALSE)</f>
        <v>0</v>
      </c>
      <c r="AK245" s="2">
        <f>VLOOKUP($A245,'[2]App C Share Inflows'!$A$4:$I$917,7,FALSE)</f>
        <v>0</v>
      </c>
      <c r="AL245" s="2">
        <f>VLOOKUP($A245,'[2]App C Share Inflows'!$A$4:$I$917,8,FALSE)</f>
        <v>0</v>
      </c>
      <c r="AM245" s="2">
        <f>VLOOKUP($A245,'[2]App C Share Inflows'!$A$4:$I$917,6,FALSE)</f>
        <v>0</v>
      </c>
    </row>
    <row r="246" spans="1:39">
      <c r="A246" s="351">
        <v>92321</v>
      </c>
      <c r="B246" s="344" t="s">
        <v>937</v>
      </c>
      <c r="C246" s="235" t="e">
        <f>VLOOKUP(A246,#REF!,10,FALSE)</f>
        <v>#REF!</v>
      </c>
      <c r="E246" s="2">
        <f>VLOOKUP($A246,'[2]App C Total'!$A$4:$I$917,5,FALSE)</f>
        <v>594263</v>
      </c>
      <c r="F246" s="2">
        <f>VLOOKUP($A246,'[2]App C Total'!$A$4:$I$917,6,FALSE)</f>
        <v>185871</v>
      </c>
      <c r="G246" s="2">
        <f>VLOOKUP($A246,'[2]App C Total'!$A$4:$I$917,7,FALSE)</f>
        <v>328816</v>
      </c>
      <c r="H246" s="2">
        <f>VLOOKUP($A246,'[2]App C Total'!$A$4:$I$917,8,FALSE)</f>
        <v>89316</v>
      </c>
      <c r="I246" s="2">
        <f>VLOOKUP($A246,'[2]App C Total'!$A$4:$I$917,9,FALSE)</f>
        <v>0</v>
      </c>
      <c r="J246" s="2"/>
      <c r="K246" s="2">
        <f>VLOOKUP($A246,'[2]App C Exp'!$A$4:$I$917,5,FALSE)</f>
        <v>181611</v>
      </c>
      <c r="L246" s="2">
        <f>VLOOKUP($A246,'[2]App C Exp'!$A$4:$I$917,6,FALSE)</f>
        <v>170837</v>
      </c>
      <c r="M246" s="2">
        <f>VLOOKUP($A246,'[2]App C Exp'!$A$4:$I$917,7,FALSE)</f>
        <v>153120</v>
      </c>
      <c r="N246" s="2">
        <f>VLOOKUP($A246,'[2]App C Exp'!$A$4:$I$917,8,FALSE)</f>
        <v>61307</v>
      </c>
      <c r="O246" s="2">
        <f>VLOOKUP($A246,'[2]App C Exp'!$A$4:$I$917,9,FALSE)</f>
        <v>0</v>
      </c>
      <c r="P246" s="2"/>
      <c r="Q246" s="2">
        <f>VLOOKUP($A246,'[2]App C Inv'!$A$4:$I$917,5,FALSE)</f>
        <v>192805</v>
      </c>
      <c r="R246" s="2">
        <f>VLOOKUP($A246,'[2]App C Inv'!$A$4:$I$917,6,FALSE)</f>
        <v>-165849</v>
      </c>
      <c r="S246" s="2">
        <f>VLOOKUP($A246,'[2]App C Inv'!$A$4:$I$917,7,FALSE)</f>
        <v>23374</v>
      </c>
      <c r="T246" s="2">
        <f>VLOOKUP($A246,'[2]App C Inv'!$A$4:$I$917,8,FALSE)</f>
        <v>30421</v>
      </c>
      <c r="U246" s="2">
        <f>VLOOKUP($A246,'[2]App C Inv'!$A$4:$I$917,9,FALSE)</f>
        <v>0</v>
      </c>
      <c r="V246" s="2"/>
      <c r="W246" s="2">
        <f>VLOOKUP($A246,'[2]App C Assum'!$A$4:$I$917,5,FALSE)</f>
        <v>217198</v>
      </c>
      <c r="X246" s="2">
        <f>VLOOKUP($A246,'[2]App C Assum'!$A$4:$I$917,6,FALSE)</f>
        <v>177937</v>
      </c>
      <c r="Y246" s="2">
        <f>VLOOKUP($A246,'[2]App C Assum'!$A$4:$I$917,7,FALSE)</f>
        <v>144454</v>
      </c>
      <c r="Z246" s="2">
        <f>VLOOKUP($A246,'[2]App C Assum'!$A$4:$I$917,8,FALSE)</f>
        <v>0</v>
      </c>
      <c r="AA246" s="2">
        <f>VLOOKUP($A246,'[2]App C Assum'!$A$4:$I$917,9,FALSE)</f>
        <v>0</v>
      </c>
      <c r="AB246" s="2"/>
      <c r="AC246" s="2">
        <f>VLOOKUP($A246,'[2]App C Share Outflows'!$A$4:$I$917,5,FALSE)</f>
        <v>10277</v>
      </c>
      <c r="AD246" s="2">
        <f>VLOOKUP($A246,'[2]App C Share Outflows'!$A$4:$I$917,6,FALSE)</f>
        <v>10277</v>
      </c>
      <c r="AE246" s="2">
        <f>VLOOKUP($A246,'[2]App C Share Outflows'!$A$4:$I$917,7,FALSE)</f>
        <v>10279</v>
      </c>
      <c r="AF246" s="2">
        <f>VLOOKUP($A246,'[2]App C Share Outflows'!$A$4:$I$917,8,FALSE)</f>
        <v>0</v>
      </c>
      <c r="AG246" s="2">
        <f>VLOOKUP($A246,'[2]App C Share Outflows'!$A$4:$I$917,9,FALSE)</f>
        <v>0</v>
      </c>
      <c r="AH246" s="2"/>
      <c r="AI246" s="2">
        <f>VLOOKUP($A246,'[2]App C Share Inflows'!$A$4:$I$917,5,FALSE)</f>
        <v>-7628</v>
      </c>
      <c r="AJ246" s="2">
        <f>VLOOKUP($A246,'[2]App C Share Inflows'!$A$4:$I$917,6,FALSE)</f>
        <v>-7331</v>
      </c>
      <c r="AK246" s="2">
        <f>VLOOKUP($A246,'[2]App C Share Inflows'!$A$4:$I$917,7,FALSE)</f>
        <v>-2411</v>
      </c>
      <c r="AL246" s="2">
        <f>VLOOKUP($A246,'[2]App C Share Inflows'!$A$4:$I$917,8,FALSE)</f>
        <v>-2412</v>
      </c>
      <c r="AM246" s="2">
        <f>VLOOKUP($A246,'[2]App C Share Inflows'!$A$4:$I$917,6,FALSE)</f>
        <v>-7331</v>
      </c>
    </row>
    <row r="247" spans="1:39">
      <c r="A247" s="351">
        <v>92327</v>
      </c>
      <c r="B247" s="344" t="s">
        <v>938</v>
      </c>
      <c r="C247" s="235" t="e">
        <f>VLOOKUP(A247,#REF!,10,FALSE)</f>
        <v>#REF!</v>
      </c>
      <c r="E247" s="2">
        <f>VLOOKUP($A247,'[2]App C Total'!$A$4:$I$917,5,FALSE)</f>
        <v>5441</v>
      </c>
      <c r="F247" s="2">
        <f>VLOOKUP($A247,'[2]App C Total'!$A$4:$I$917,6,FALSE)</f>
        <v>2941</v>
      </c>
      <c r="G247" s="2">
        <f>VLOOKUP($A247,'[2]App C Total'!$A$4:$I$917,7,FALSE)</f>
        <v>3395</v>
      </c>
      <c r="H247" s="2">
        <f>VLOOKUP($A247,'[2]App C Total'!$A$4:$I$917,8,FALSE)</f>
        <v>1225</v>
      </c>
      <c r="I247" s="2">
        <f>VLOOKUP($A247,'[2]App C Total'!$A$4:$I$917,9,FALSE)</f>
        <v>0</v>
      </c>
      <c r="J247" s="2"/>
      <c r="K247" s="2">
        <f>VLOOKUP($A247,'[2]App C Exp'!$A$4:$I$917,5,FALSE)</f>
        <v>974</v>
      </c>
      <c r="L247" s="2">
        <f>VLOOKUP($A247,'[2]App C Exp'!$A$4:$I$917,6,FALSE)</f>
        <v>916</v>
      </c>
      <c r="M247" s="2">
        <f>VLOOKUP($A247,'[2]App C Exp'!$A$4:$I$917,7,FALSE)</f>
        <v>821</v>
      </c>
      <c r="N247" s="2">
        <f>VLOOKUP($A247,'[2]App C Exp'!$A$4:$I$917,8,FALSE)</f>
        <v>329</v>
      </c>
      <c r="O247" s="2">
        <f>VLOOKUP($A247,'[2]App C Exp'!$A$4:$I$917,9,FALSE)</f>
        <v>0</v>
      </c>
      <c r="P247" s="2"/>
      <c r="Q247" s="2">
        <f>VLOOKUP($A247,'[2]App C Inv'!$A$4:$I$917,5,FALSE)</f>
        <v>1034</v>
      </c>
      <c r="R247" s="2">
        <f>VLOOKUP($A247,'[2]App C Inv'!$A$4:$I$917,6,FALSE)</f>
        <v>-889</v>
      </c>
      <c r="S247" s="2">
        <f>VLOOKUP($A247,'[2]App C Inv'!$A$4:$I$917,7,FALSE)</f>
        <v>125</v>
      </c>
      <c r="T247" s="2">
        <f>VLOOKUP($A247,'[2]App C Inv'!$A$4:$I$917,8,FALSE)</f>
        <v>163</v>
      </c>
      <c r="U247" s="2">
        <f>VLOOKUP($A247,'[2]App C Inv'!$A$4:$I$917,9,FALSE)</f>
        <v>0</v>
      </c>
      <c r="V247" s="2"/>
      <c r="W247" s="2">
        <f>VLOOKUP($A247,'[2]App C Assum'!$A$4:$I$917,5,FALSE)</f>
        <v>1165</v>
      </c>
      <c r="X247" s="2">
        <f>VLOOKUP($A247,'[2]App C Assum'!$A$4:$I$917,6,FALSE)</f>
        <v>954</v>
      </c>
      <c r="Y247" s="2">
        <f>VLOOKUP($A247,'[2]App C Assum'!$A$4:$I$917,7,FALSE)</f>
        <v>775</v>
      </c>
      <c r="Z247" s="2">
        <f>VLOOKUP($A247,'[2]App C Assum'!$A$4:$I$917,8,FALSE)</f>
        <v>0</v>
      </c>
      <c r="AA247" s="2">
        <f>VLOOKUP($A247,'[2]App C Assum'!$A$4:$I$917,9,FALSE)</f>
        <v>0</v>
      </c>
      <c r="AB247" s="2"/>
      <c r="AC247" s="2">
        <f>VLOOKUP($A247,'[2]App C Share Outflows'!$A$4:$I$917,5,FALSE)</f>
        <v>2268</v>
      </c>
      <c r="AD247" s="2">
        <f>VLOOKUP($A247,'[2]App C Share Outflows'!$A$4:$I$917,6,FALSE)</f>
        <v>1960</v>
      </c>
      <c r="AE247" s="2">
        <f>VLOOKUP($A247,'[2]App C Share Outflows'!$A$4:$I$917,7,FALSE)</f>
        <v>1674</v>
      </c>
      <c r="AF247" s="2">
        <f>VLOOKUP($A247,'[2]App C Share Outflows'!$A$4:$I$917,8,FALSE)</f>
        <v>733</v>
      </c>
      <c r="AG247" s="2">
        <f>VLOOKUP($A247,'[2]App C Share Outflows'!$A$4:$I$917,9,FALSE)</f>
        <v>0</v>
      </c>
      <c r="AH247" s="2"/>
      <c r="AI247" s="2">
        <f>VLOOKUP($A247,'[2]App C Share Inflows'!$A$4:$I$917,5,FALSE)</f>
        <v>0</v>
      </c>
      <c r="AJ247" s="2">
        <f>VLOOKUP($A247,'[2]App C Share Inflows'!$A$4:$I$917,6,FALSE)</f>
        <v>0</v>
      </c>
      <c r="AK247" s="2">
        <f>VLOOKUP($A247,'[2]App C Share Inflows'!$A$4:$I$917,7,FALSE)</f>
        <v>0</v>
      </c>
      <c r="AL247" s="2">
        <f>VLOOKUP($A247,'[2]App C Share Inflows'!$A$4:$I$917,8,FALSE)</f>
        <v>0</v>
      </c>
      <c r="AM247" s="2">
        <f>VLOOKUP($A247,'[2]App C Share Inflows'!$A$4:$I$917,6,FALSE)</f>
        <v>0</v>
      </c>
    </row>
    <row r="248" spans="1:39">
      <c r="A248" s="351">
        <v>92331</v>
      </c>
      <c r="B248" s="344" t="s">
        <v>939</v>
      </c>
      <c r="C248" s="235" t="e">
        <f>VLOOKUP(A248,#REF!,10,FALSE)</f>
        <v>#REF!</v>
      </c>
      <c r="E248" s="2">
        <f>VLOOKUP($A248,'[2]App C Total'!$A$4:$I$917,5,FALSE)</f>
        <v>64389</v>
      </c>
      <c r="F248" s="2">
        <f>VLOOKUP($A248,'[2]App C Total'!$A$4:$I$917,6,FALSE)</f>
        <v>20412</v>
      </c>
      <c r="G248" s="2">
        <f>VLOOKUP($A248,'[2]App C Total'!$A$4:$I$917,7,FALSE)</f>
        <v>36378</v>
      </c>
      <c r="H248" s="2">
        <f>VLOOKUP($A248,'[2]App C Total'!$A$4:$I$917,8,FALSE)</f>
        <v>11922</v>
      </c>
      <c r="I248" s="2">
        <f>VLOOKUP($A248,'[2]App C Total'!$A$4:$I$917,9,FALSE)</f>
        <v>0</v>
      </c>
      <c r="J248" s="2"/>
      <c r="K248" s="2">
        <f>VLOOKUP($A248,'[2]App C Exp'!$A$4:$I$917,5,FALSE)</f>
        <v>20239</v>
      </c>
      <c r="L248" s="2">
        <f>VLOOKUP($A248,'[2]App C Exp'!$A$4:$I$917,6,FALSE)</f>
        <v>19038</v>
      </c>
      <c r="M248" s="2">
        <f>VLOOKUP($A248,'[2]App C Exp'!$A$4:$I$917,7,FALSE)</f>
        <v>17064</v>
      </c>
      <c r="N248" s="2">
        <f>VLOOKUP($A248,'[2]App C Exp'!$A$4:$I$917,8,FALSE)</f>
        <v>6832</v>
      </c>
      <c r="O248" s="2">
        <f>VLOOKUP($A248,'[2]App C Exp'!$A$4:$I$917,9,FALSE)</f>
        <v>0</v>
      </c>
      <c r="P248" s="2"/>
      <c r="Q248" s="2">
        <f>VLOOKUP($A248,'[2]App C Inv'!$A$4:$I$917,5,FALSE)</f>
        <v>21486</v>
      </c>
      <c r="R248" s="2">
        <f>VLOOKUP($A248,'[2]App C Inv'!$A$4:$I$917,6,FALSE)</f>
        <v>-18482</v>
      </c>
      <c r="S248" s="2">
        <f>VLOOKUP($A248,'[2]App C Inv'!$A$4:$I$917,7,FALSE)</f>
        <v>2605</v>
      </c>
      <c r="T248" s="2">
        <f>VLOOKUP($A248,'[2]App C Inv'!$A$4:$I$917,8,FALSE)</f>
        <v>3390</v>
      </c>
      <c r="U248" s="2">
        <f>VLOOKUP($A248,'[2]App C Inv'!$A$4:$I$917,9,FALSE)</f>
        <v>0</v>
      </c>
      <c r="V248" s="2"/>
      <c r="W248" s="2">
        <f>VLOOKUP($A248,'[2]App C Assum'!$A$4:$I$917,5,FALSE)</f>
        <v>24205</v>
      </c>
      <c r="X248" s="2">
        <f>VLOOKUP($A248,'[2]App C Assum'!$A$4:$I$917,6,FALSE)</f>
        <v>19829</v>
      </c>
      <c r="Y248" s="2">
        <f>VLOOKUP($A248,'[2]App C Assum'!$A$4:$I$917,7,FALSE)</f>
        <v>16098</v>
      </c>
      <c r="Z248" s="2">
        <f>VLOOKUP($A248,'[2]App C Assum'!$A$4:$I$917,8,FALSE)</f>
        <v>0</v>
      </c>
      <c r="AA248" s="2">
        <f>VLOOKUP($A248,'[2]App C Assum'!$A$4:$I$917,9,FALSE)</f>
        <v>0</v>
      </c>
      <c r="AB248" s="2"/>
      <c r="AC248" s="2">
        <f>VLOOKUP($A248,'[2]App C Share Outflows'!$A$4:$I$917,5,FALSE)</f>
        <v>1702</v>
      </c>
      <c r="AD248" s="2">
        <f>VLOOKUP($A248,'[2]App C Share Outflows'!$A$4:$I$917,6,FALSE)</f>
        <v>1702</v>
      </c>
      <c r="AE248" s="2">
        <f>VLOOKUP($A248,'[2]App C Share Outflows'!$A$4:$I$917,7,FALSE)</f>
        <v>1702</v>
      </c>
      <c r="AF248" s="2">
        <f>VLOOKUP($A248,'[2]App C Share Outflows'!$A$4:$I$917,8,FALSE)</f>
        <v>1700</v>
      </c>
      <c r="AG248" s="2">
        <f>VLOOKUP($A248,'[2]App C Share Outflows'!$A$4:$I$917,9,FALSE)</f>
        <v>0</v>
      </c>
      <c r="AH248" s="2"/>
      <c r="AI248" s="2">
        <f>VLOOKUP($A248,'[2]App C Share Inflows'!$A$4:$I$917,5,FALSE)</f>
        <v>-3243</v>
      </c>
      <c r="AJ248" s="2">
        <f>VLOOKUP($A248,'[2]App C Share Inflows'!$A$4:$I$917,6,FALSE)</f>
        <v>-1675</v>
      </c>
      <c r="AK248" s="2">
        <f>VLOOKUP($A248,'[2]App C Share Inflows'!$A$4:$I$917,7,FALSE)</f>
        <v>-1091</v>
      </c>
      <c r="AL248" s="2">
        <f>VLOOKUP($A248,'[2]App C Share Inflows'!$A$4:$I$917,8,FALSE)</f>
        <v>0</v>
      </c>
      <c r="AM248" s="2">
        <f>VLOOKUP($A248,'[2]App C Share Inflows'!$A$4:$I$917,6,FALSE)</f>
        <v>-1675</v>
      </c>
    </row>
    <row r="249" spans="1:39">
      <c r="A249" s="351">
        <v>92341</v>
      </c>
      <c r="B249" s="344" t="s">
        <v>940</v>
      </c>
      <c r="C249" s="235" t="e">
        <f>VLOOKUP(A249,#REF!,10,FALSE)</f>
        <v>#REF!</v>
      </c>
      <c r="E249" s="2">
        <f>VLOOKUP($A249,'[2]App C Total'!$A$4:$I$917,5,FALSE)</f>
        <v>3542</v>
      </c>
      <c r="F249" s="2">
        <f>VLOOKUP($A249,'[2]App C Total'!$A$4:$I$917,6,FALSE)</f>
        <v>617</v>
      </c>
      <c r="G249" s="2">
        <f>VLOOKUP($A249,'[2]App C Total'!$A$4:$I$917,7,FALSE)</f>
        <v>1529</v>
      </c>
      <c r="H249" s="2">
        <f>VLOOKUP($A249,'[2]App C Total'!$A$4:$I$917,8,FALSE)</f>
        <v>275</v>
      </c>
      <c r="I249" s="2">
        <f>VLOOKUP($A249,'[2]App C Total'!$A$4:$I$917,9,FALSE)</f>
        <v>0</v>
      </c>
      <c r="J249" s="2"/>
      <c r="K249" s="2">
        <f>VLOOKUP($A249,'[2]App C Exp'!$A$4:$I$917,5,FALSE)</f>
        <v>1273</v>
      </c>
      <c r="L249" s="2">
        <f>VLOOKUP($A249,'[2]App C Exp'!$A$4:$I$917,6,FALSE)</f>
        <v>1198</v>
      </c>
      <c r="M249" s="2">
        <f>VLOOKUP($A249,'[2]App C Exp'!$A$4:$I$917,7,FALSE)</f>
        <v>1074</v>
      </c>
      <c r="N249" s="2">
        <f>VLOOKUP($A249,'[2]App C Exp'!$A$4:$I$917,8,FALSE)</f>
        <v>430</v>
      </c>
      <c r="O249" s="2">
        <f>VLOOKUP($A249,'[2]App C Exp'!$A$4:$I$917,9,FALSE)</f>
        <v>0</v>
      </c>
      <c r="P249" s="2"/>
      <c r="Q249" s="2">
        <f>VLOOKUP($A249,'[2]App C Inv'!$A$4:$I$917,5,FALSE)</f>
        <v>1352</v>
      </c>
      <c r="R249" s="2">
        <f>VLOOKUP($A249,'[2]App C Inv'!$A$4:$I$917,6,FALSE)</f>
        <v>-1163</v>
      </c>
      <c r="S249" s="2">
        <f>VLOOKUP($A249,'[2]App C Inv'!$A$4:$I$917,7,FALSE)</f>
        <v>164</v>
      </c>
      <c r="T249" s="2">
        <f>VLOOKUP($A249,'[2]App C Inv'!$A$4:$I$917,8,FALSE)</f>
        <v>213</v>
      </c>
      <c r="U249" s="2">
        <f>VLOOKUP($A249,'[2]App C Inv'!$A$4:$I$917,9,FALSE)</f>
        <v>0</v>
      </c>
      <c r="V249" s="2"/>
      <c r="W249" s="2">
        <f>VLOOKUP($A249,'[2]App C Assum'!$A$4:$I$917,5,FALSE)</f>
        <v>1523</v>
      </c>
      <c r="X249" s="2">
        <f>VLOOKUP($A249,'[2]App C Assum'!$A$4:$I$917,6,FALSE)</f>
        <v>1248</v>
      </c>
      <c r="Y249" s="2">
        <f>VLOOKUP($A249,'[2]App C Assum'!$A$4:$I$917,7,FALSE)</f>
        <v>1013</v>
      </c>
      <c r="Z249" s="2">
        <f>VLOOKUP($A249,'[2]App C Assum'!$A$4:$I$917,8,FALSE)</f>
        <v>0</v>
      </c>
      <c r="AA249" s="2">
        <f>VLOOKUP($A249,'[2]App C Assum'!$A$4:$I$917,9,FALSE)</f>
        <v>0</v>
      </c>
      <c r="AB249" s="2"/>
      <c r="AC249" s="2">
        <f>VLOOKUP($A249,'[2]App C Share Outflows'!$A$4:$I$917,5,FALSE)</f>
        <v>116</v>
      </c>
      <c r="AD249" s="2">
        <f>VLOOKUP($A249,'[2]App C Share Outflows'!$A$4:$I$917,6,FALSE)</f>
        <v>56</v>
      </c>
      <c r="AE249" s="2">
        <f>VLOOKUP($A249,'[2]App C Share Outflows'!$A$4:$I$917,7,FALSE)</f>
        <v>0</v>
      </c>
      <c r="AF249" s="2">
        <f>VLOOKUP($A249,'[2]App C Share Outflows'!$A$4:$I$917,8,FALSE)</f>
        <v>0</v>
      </c>
      <c r="AG249" s="2">
        <f>VLOOKUP($A249,'[2]App C Share Outflows'!$A$4:$I$917,9,FALSE)</f>
        <v>0</v>
      </c>
      <c r="AH249" s="2"/>
      <c r="AI249" s="2">
        <f>VLOOKUP($A249,'[2]App C Share Inflows'!$A$4:$I$917,5,FALSE)</f>
        <v>-722</v>
      </c>
      <c r="AJ249" s="2">
        <f>VLOOKUP($A249,'[2]App C Share Inflows'!$A$4:$I$917,6,FALSE)</f>
        <v>-722</v>
      </c>
      <c r="AK249" s="2">
        <f>VLOOKUP($A249,'[2]App C Share Inflows'!$A$4:$I$917,7,FALSE)</f>
        <v>-722</v>
      </c>
      <c r="AL249" s="2">
        <f>VLOOKUP($A249,'[2]App C Share Inflows'!$A$4:$I$917,8,FALSE)</f>
        <v>-368</v>
      </c>
      <c r="AM249" s="2">
        <f>VLOOKUP($A249,'[2]App C Share Inflows'!$A$4:$I$917,6,FALSE)</f>
        <v>-722</v>
      </c>
    </row>
    <row r="250" spans="1:39">
      <c r="A250" s="351">
        <v>92351</v>
      </c>
      <c r="B250" s="344" t="s">
        <v>941</v>
      </c>
      <c r="C250" s="235" t="e">
        <f>VLOOKUP(A250,#REF!,10,FALSE)</f>
        <v>#REF!</v>
      </c>
      <c r="E250" s="2">
        <f>VLOOKUP($A250,'[2]App C Total'!$A$4:$I$917,5,FALSE)</f>
        <v>8216</v>
      </c>
      <c r="F250" s="2">
        <f>VLOOKUP($A250,'[2]App C Total'!$A$4:$I$917,6,FALSE)</f>
        <v>3304</v>
      </c>
      <c r="G250" s="2">
        <f>VLOOKUP($A250,'[2]App C Total'!$A$4:$I$917,7,FALSE)</f>
        <v>5253</v>
      </c>
      <c r="H250" s="2">
        <f>VLOOKUP($A250,'[2]App C Total'!$A$4:$I$917,8,FALSE)</f>
        <v>1143</v>
      </c>
      <c r="I250" s="2">
        <f>VLOOKUP($A250,'[2]App C Total'!$A$4:$I$917,9,FALSE)</f>
        <v>0</v>
      </c>
      <c r="J250" s="2"/>
      <c r="K250" s="2">
        <f>VLOOKUP($A250,'[2]App C Exp'!$A$4:$I$917,5,FALSE)</f>
        <v>2622</v>
      </c>
      <c r="L250" s="2">
        <f>VLOOKUP($A250,'[2]App C Exp'!$A$4:$I$917,6,FALSE)</f>
        <v>2466</v>
      </c>
      <c r="M250" s="2">
        <f>VLOOKUP($A250,'[2]App C Exp'!$A$4:$I$917,7,FALSE)</f>
        <v>2210</v>
      </c>
      <c r="N250" s="2">
        <f>VLOOKUP($A250,'[2]App C Exp'!$A$4:$I$917,8,FALSE)</f>
        <v>885</v>
      </c>
      <c r="O250" s="2">
        <f>VLOOKUP($A250,'[2]App C Exp'!$A$4:$I$917,9,FALSE)</f>
        <v>0</v>
      </c>
      <c r="P250" s="2"/>
      <c r="Q250" s="2">
        <f>VLOOKUP($A250,'[2]App C Inv'!$A$4:$I$917,5,FALSE)</f>
        <v>2783</v>
      </c>
      <c r="R250" s="2">
        <f>VLOOKUP($A250,'[2]App C Inv'!$A$4:$I$917,6,FALSE)</f>
        <v>-2394</v>
      </c>
      <c r="S250" s="2">
        <f>VLOOKUP($A250,'[2]App C Inv'!$A$4:$I$917,7,FALSE)</f>
        <v>337</v>
      </c>
      <c r="T250" s="2">
        <f>VLOOKUP($A250,'[2]App C Inv'!$A$4:$I$917,8,FALSE)</f>
        <v>439</v>
      </c>
      <c r="U250" s="2">
        <f>VLOOKUP($A250,'[2]App C Inv'!$A$4:$I$917,9,FALSE)</f>
        <v>0</v>
      </c>
      <c r="V250" s="2"/>
      <c r="W250" s="2">
        <f>VLOOKUP($A250,'[2]App C Assum'!$A$4:$I$917,5,FALSE)</f>
        <v>3135</v>
      </c>
      <c r="X250" s="2">
        <f>VLOOKUP($A250,'[2]App C Assum'!$A$4:$I$917,6,FALSE)</f>
        <v>2569</v>
      </c>
      <c r="Y250" s="2">
        <f>VLOOKUP($A250,'[2]App C Assum'!$A$4:$I$917,7,FALSE)</f>
        <v>2085</v>
      </c>
      <c r="Z250" s="2">
        <f>VLOOKUP($A250,'[2]App C Assum'!$A$4:$I$917,8,FALSE)</f>
        <v>0</v>
      </c>
      <c r="AA250" s="2">
        <f>VLOOKUP($A250,'[2]App C Assum'!$A$4:$I$917,9,FALSE)</f>
        <v>0</v>
      </c>
      <c r="AB250" s="2"/>
      <c r="AC250" s="2">
        <f>VLOOKUP($A250,'[2]App C Share Outflows'!$A$4:$I$917,5,FALSE)</f>
        <v>845</v>
      </c>
      <c r="AD250" s="2">
        <f>VLOOKUP($A250,'[2]App C Share Outflows'!$A$4:$I$917,6,FALSE)</f>
        <v>844</v>
      </c>
      <c r="AE250" s="2">
        <f>VLOOKUP($A250,'[2]App C Share Outflows'!$A$4:$I$917,7,FALSE)</f>
        <v>802</v>
      </c>
      <c r="AF250" s="2">
        <f>VLOOKUP($A250,'[2]App C Share Outflows'!$A$4:$I$917,8,FALSE)</f>
        <v>0</v>
      </c>
      <c r="AG250" s="2">
        <f>VLOOKUP($A250,'[2]App C Share Outflows'!$A$4:$I$917,9,FALSE)</f>
        <v>0</v>
      </c>
      <c r="AH250" s="2"/>
      <c r="AI250" s="2">
        <f>VLOOKUP($A250,'[2]App C Share Inflows'!$A$4:$I$917,5,FALSE)</f>
        <v>-1169</v>
      </c>
      <c r="AJ250" s="2">
        <f>VLOOKUP($A250,'[2]App C Share Inflows'!$A$4:$I$917,6,FALSE)</f>
        <v>-181</v>
      </c>
      <c r="AK250" s="2">
        <f>VLOOKUP($A250,'[2]App C Share Inflows'!$A$4:$I$917,7,FALSE)</f>
        <v>-181</v>
      </c>
      <c r="AL250" s="2">
        <f>VLOOKUP($A250,'[2]App C Share Inflows'!$A$4:$I$917,8,FALSE)</f>
        <v>-181</v>
      </c>
      <c r="AM250" s="2">
        <f>VLOOKUP($A250,'[2]App C Share Inflows'!$A$4:$I$917,6,FALSE)</f>
        <v>-181</v>
      </c>
    </row>
    <row r="251" spans="1:39">
      <c r="A251" s="351">
        <v>92401</v>
      </c>
      <c r="B251" s="344" t="s">
        <v>942</v>
      </c>
      <c r="C251" s="235" t="e">
        <f>VLOOKUP(A251,#REF!,10,FALSE)</f>
        <v>#REF!</v>
      </c>
      <c r="E251" s="2">
        <f>VLOOKUP($A251,'[2]App C Total'!$A$4:$I$917,5,FALSE)</f>
        <v>1331047</v>
      </c>
      <c r="F251" s="2">
        <f>VLOOKUP($A251,'[2]App C Total'!$A$4:$I$917,6,FALSE)</f>
        <v>442787</v>
      </c>
      <c r="G251" s="2">
        <f>VLOOKUP($A251,'[2]App C Total'!$A$4:$I$917,7,FALSE)</f>
        <v>738152</v>
      </c>
      <c r="H251" s="2">
        <f>VLOOKUP($A251,'[2]App C Total'!$A$4:$I$917,8,FALSE)</f>
        <v>253686</v>
      </c>
      <c r="I251" s="2">
        <f>VLOOKUP($A251,'[2]App C Total'!$A$4:$I$917,9,FALSE)</f>
        <v>0</v>
      </c>
      <c r="J251" s="2"/>
      <c r="K251" s="2">
        <f>VLOOKUP($A251,'[2]App C Exp'!$A$4:$I$917,5,FALSE)</f>
        <v>394592</v>
      </c>
      <c r="L251" s="2">
        <f>VLOOKUP($A251,'[2]App C Exp'!$A$4:$I$917,6,FALSE)</f>
        <v>371183</v>
      </c>
      <c r="M251" s="2">
        <f>VLOOKUP($A251,'[2]App C Exp'!$A$4:$I$917,7,FALSE)</f>
        <v>332687</v>
      </c>
      <c r="N251" s="2">
        <f>VLOOKUP($A251,'[2]App C Exp'!$A$4:$I$917,8,FALSE)</f>
        <v>133204</v>
      </c>
      <c r="O251" s="2">
        <f>VLOOKUP($A251,'[2]App C Exp'!$A$4:$I$917,9,FALSE)</f>
        <v>0</v>
      </c>
      <c r="P251" s="2"/>
      <c r="Q251" s="2">
        <f>VLOOKUP($A251,'[2]App C Inv'!$A$4:$I$917,5,FALSE)</f>
        <v>418914</v>
      </c>
      <c r="R251" s="2">
        <f>VLOOKUP($A251,'[2]App C Inv'!$A$4:$I$917,6,FALSE)</f>
        <v>-360344</v>
      </c>
      <c r="S251" s="2">
        <f>VLOOKUP($A251,'[2]App C Inv'!$A$4:$I$917,7,FALSE)</f>
        <v>50786</v>
      </c>
      <c r="T251" s="2">
        <f>VLOOKUP($A251,'[2]App C Inv'!$A$4:$I$917,8,FALSE)</f>
        <v>66098</v>
      </c>
      <c r="U251" s="2">
        <f>VLOOKUP($A251,'[2]App C Inv'!$A$4:$I$917,9,FALSE)</f>
        <v>0</v>
      </c>
      <c r="V251" s="2"/>
      <c r="W251" s="2">
        <f>VLOOKUP($A251,'[2]App C Assum'!$A$4:$I$917,5,FALSE)</f>
        <v>471913</v>
      </c>
      <c r="X251" s="2">
        <f>VLOOKUP($A251,'[2]App C Assum'!$A$4:$I$917,6,FALSE)</f>
        <v>386608</v>
      </c>
      <c r="Y251" s="2">
        <f>VLOOKUP($A251,'[2]App C Assum'!$A$4:$I$917,7,FALSE)</f>
        <v>313860</v>
      </c>
      <c r="Z251" s="2">
        <f>VLOOKUP($A251,'[2]App C Assum'!$A$4:$I$917,8,FALSE)</f>
        <v>0</v>
      </c>
      <c r="AA251" s="2">
        <f>VLOOKUP($A251,'[2]App C Assum'!$A$4:$I$917,9,FALSE)</f>
        <v>0</v>
      </c>
      <c r="AB251" s="2"/>
      <c r="AC251" s="2">
        <f>VLOOKUP($A251,'[2]App C Share Outflows'!$A$4:$I$917,5,FALSE)</f>
        <v>59196</v>
      </c>
      <c r="AD251" s="2">
        <f>VLOOKUP($A251,'[2]App C Share Outflows'!$A$4:$I$917,6,FALSE)</f>
        <v>58908</v>
      </c>
      <c r="AE251" s="2">
        <f>VLOOKUP($A251,'[2]App C Share Outflows'!$A$4:$I$917,7,FALSE)</f>
        <v>54385</v>
      </c>
      <c r="AF251" s="2">
        <f>VLOOKUP($A251,'[2]App C Share Outflows'!$A$4:$I$917,8,FALSE)</f>
        <v>54384</v>
      </c>
      <c r="AG251" s="2">
        <f>VLOOKUP($A251,'[2]App C Share Outflows'!$A$4:$I$917,9,FALSE)</f>
        <v>0</v>
      </c>
      <c r="AH251" s="2"/>
      <c r="AI251" s="2">
        <f>VLOOKUP($A251,'[2]App C Share Inflows'!$A$4:$I$917,5,FALSE)</f>
        <v>-13568</v>
      </c>
      <c r="AJ251" s="2">
        <f>VLOOKUP($A251,'[2]App C Share Inflows'!$A$4:$I$917,6,FALSE)</f>
        <v>-13568</v>
      </c>
      <c r="AK251" s="2">
        <f>VLOOKUP($A251,'[2]App C Share Inflows'!$A$4:$I$917,7,FALSE)</f>
        <v>-13566</v>
      </c>
      <c r="AL251" s="2">
        <f>VLOOKUP($A251,'[2]App C Share Inflows'!$A$4:$I$917,8,FALSE)</f>
        <v>0</v>
      </c>
      <c r="AM251" s="2">
        <f>VLOOKUP($A251,'[2]App C Share Inflows'!$A$4:$I$917,6,FALSE)</f>
        <v>-13568</v>
      </c>
    </row>
    <row r="252" spans="1:39">
      <c r="A252" s="351">
        <v>92403</v>
      </c>
      <c r="B252" s="344" t="s">
        <v>943</v>
      </c>
      <c r="C252" s="235" t="e">
        <f>VLOOKUP(A252,#REF!,10,FALSE)</f>
        <v>#REF!</v>
      </c>
      <c r="E252" s="2">
        <f>VLOOKUP($A252,'[2]App C Total'!$A$4:$I$917,5,FALSE)</f>
        <v>4670</v>
      </c>
      <c r="F252" s="2">
        <f>VLOOKUP($A252,'[2]App C Total'!$A$4:$I$917,6,FALSE)</f>
        <v>1998</v>
      </c>
      <c r="G252" s="2">
        <f>VLOOKUP($A252,'[2]App C Total'!$A$4:$I$917,7,FALSE)</f>
        <v>2653</v>
      </c>
      <c r="H252" s="2">
        <f>VLOOKUP($A252,'[2]App C Total'!$A$4:$I$917,8,FALSE)</f>
        <v>847</v>
      </c>
      <c r="I252" s="2">
        <f>VLOOKUP($A252,'[2]App C Total'!$A$4:$I$917,9,FALSE)</f>
        <v>0</v>
      </c>
      <c r="J252" s="2"/>
      <c r="K252" s="2">
        <f>VLOOKUP($A252,'[2]App C Exp'!$A$4:$I$917,5,FALSE)</f>
        <v>1363</v>
      </c>
      <c r="L252" s="2">
        <f>VLOOKUP($A252,'[2]App C Exp'!$A$4:$I$917,6,FALSE)</f>
        <v>1282</v>
      </c>
      <c r="M252" s="2">
        <f>VLOOKUP($A252,'[2]App C Exp'!$A$4:$I$917,7,FALSE)</f>
        <v>1149</v>
      </c>
      <c r="N252" s="2">
        <f>VLOOKUP($A252,'[2]App C Exp'!$A$4:$I$917,8,FALSE)</f>
        <v>460</v>
      </c>
      <c r="O252" s="2">
        <f>VLOOKUP($A252,'[2]App C Exp'!$A$4:$I$917,9,FALSE)</f>
        <v>0</v>
      </c>
      <c r="P252" s="2"/>
      <c r="Q252" s="2">
        <f>VLOOKUP($A252,'[2]App C Inv'!$A$4:$I$917,5,FALSE)</f>
        <v>1447</v>
      </c>
      <c r="R252" s="2">
        <f>VLOOKUP($A252,'[2]App C Inv'!$A$4:$I$917,6,FALSE)</f>
        <v>-1245</v>
      </c>
      <c r="S252" s="2">
        <f>VLOOKUP($A252,'[2]App C Inv'!$A$4:$I$917,7,FALSE)</f>
        <v>175</v>
      </c>
      <c r="T252" s="2">
        <f>VLOOKUP($A252,'[2]App C Inv'!$A$4:$I$917,8,FALSE)</f>
        <v>228</v>
      </c>
      <c r="U252" s="2">
        <f>VLOOKUP($A252,'[2]App C Inv'!$A$4:$I$917,9,FALSE)</f>
        <v>0</v>
      </c>
      <c r="V252" s="2"/>
      <c r="W252" s="2">
        <f>VLOOKUP($A252,'[2]App C Assum'!$A$4:$I$917,5,FALSE)</f>
        <v>1630</v>
      </c>
      <c r="X252" s="2">
        <f>VLOOKUP($A252,'[2]App C Assum'!$A$4:$I$917,6,FALSE)</f>
        <v>1336</v>
      </c>
      <c r="Y252" s="2">
        <f>VLOOKUP($A252,'[2]App C Assum'!$A$4:$I$917,7,FALSE)</f>
        <v>1084</v>
      </c>
      <c r="Z252" s="2">
        <f>VLOOKUP($A252,'[2]App C Assum'!$A$4:$I$917,8,FALSE)</f>
        <v>0</v>
      </c>
      <c r="AA252" s="2">
        <f>VLOOKUP($A252,'[2]App C Assum'!$A$4:$I$917,9,FALSE)</f>
        <v>0</v>
      </c>
      <c r="AB252" s="2"/>
      <c r="AC252" s="2">
        <f>VLOOKUP($A252,'[2]App C Share Outflows'!$A$4:$I$917,5,FALSE)</f>
        <v>624</v>
      </c>
      <c r="AD252" s="2">
        <f>VLOOKUP($A252,'[2]App C Share Outflows'!$A$4:$I$917,6,FALSE)</f>
        <v>625</v>
      </c>
      <c r="AE252" s="2">
        <f>VLOOKUP($A252,'[2]App C Share Outflows'!$A$4:$I$917,7,FALSE)</f>
        <v>245</v>
      </c>
      <c r="AF252" s="2">
        <f>VLOOKUP($A252,'[2]App C Share Outflows'!$A$4:$I$917,8,FALSE)</f>
        <v>159</v>
      </c>
      <c r="AG252" s="2">
        <f>VLOOKUP($A252,'[2]App C Share Outflows'!$A$4:$I$917,9,FALSE)</f>
        <v>0</v>
      </c>
      <c r="AH252" s="2"/>
      <c r="AI252" s="2">
        <f>VLOOKUP($A252,'[2]App C Share Inflows'!$A$4:$I$917,5,FALSE)</f>
        <v>-394</v>
      </c>
      <c r="AJ252" s="2">
        <f>VLOOKUP($A252,'[2]App C Share Inflows'!$A$4:$I$917,6,FALSE)</f>
        <v>0</v>
      </c>
      <c r="AK252" s="2">
        <f>VLOOKUP($A252,'[2]App C Share Inflows'!$A$4:$I$917,7,FALSE)</f>
        <v>0</v>
      </c>
      <c r="AL252" s="2">
        <f>VLOOKUP($A252,'[2]App C Share Inflows'!$A$4:$I$917,8,FALSE)</f>
        <v>0</v>
      </c>
      <c r="AM252" s="2">
        <f>VLOOKUP($A252,'[2]App C Share Inflows'!$A$4:$I$917,6,FALSE)</f>
        <v>0</v>
      </c>
    </row>
    <row r="253" spans="1:39">
      <c r="A253" s="351">
        <v>92411</v>
      </c>
      <c r="B253" s="344" t="s">
        <v>944</v>
      </c>
      <c r="C253" s="235" t="e">
        <f>VLOOKUP(A253,#REF!,10,FALSE)</f>
        <v>#REF!</v>
      </c>
      <c r="E253" s="2">
        <f>VLOOKUP($A253,'[2]App C Total'!$A$4:$I$917,5,FALSE)</f>
        <v>198970</v>
      </c>
      <c r="F253" s="2">
        <f>VLOOKUP($A253,'[2]App C Total'!$A$4:$I$917,6,FALSE)</f>
        <v>56582</v>
      </c>
      <c r="G253" s="2">
        <f>VLOOKUP($A253,'[2]App C Total'!$A$4:$I$917,7,FALSE)</f>
        <v>109547</v>
      </c>
      <c r="H253" s="2">
        <f>VLOOKUP($A253,'[2]App C Total'!$A$4:$I$917,8,FALSE)</f>
        <v>35699</v>
      </c>
      <c r="I253" s="2">
        <f>VLOOKUP($A253,'[2]App C Total'!$A$4:$I$917,9,FALSE)</f>
        <v>0</v>
      </c>
      <c r="J253" s="2"/>
      <c r="K253" s="2">
        <f>VLOOKUP($A253,'[2]App C Exp'!$A$4:$I$917,5,FALSE)</f>
        <v>67713</v>
      </c>
      <c r="L253" s="2">
        <f>VLOOKUP($A253,'[2]App C Exp'!$A$4:$I$917,6,FALSE)</f>
        <v>63696</v>
      </c>
      <c r="M253" s="2">
        <f>VLOOKUP($A253,'[2]App C Exp'!$A$4:$I$917,7,FALSE)</f>
        <v>57090</v>
      </c>
      <c r="N253" s="2">
        <f>VLOOKUP($A253,'[2]App C Exp'!$A$4:$I$917,8,FALSE)</f>
        <v>22858</v>
      </c>
      <c r="O253" s="2">
        <f>VLOOKUP($A253,'[2]App C Exp'!$A$4:$I$917,9,FALSE)</f>
        <v>0</v>
      </c>
      <c r="P253" s="2"/>
      <c r="Q253" s="2">
        <f>VLOOKUP($A253,'[2]App C Inv'!$A$4:$I$917,5,FALSE)</f>
        <v>71887</v>
      </c>
      <c r="R253" s="2">
        <f>VLOOKUP($A253,'[2]App C Inv'!$A$4:$I$917,6,FALSE)</f>
        <v>-61836</v>
      </c>
      <c r="S253" s="2">
        <f>VLOOKUP($A253,'[2]App C Inv'!$A$4:$I$917,7,FALSE)</f>
        <v>8715</v>
      </c>
      <c r="T253" s="2">
        <f>VLOOKUP($A253,'[2]App C Inv'!$A$4:$I$917,8,FALSE)</f>
        <v>11342</v>
      </c>
      <c r="U253" s="2">
        <f>VLOOKUP($A253,'[2]App C Inv'!$A$4:$I$917,9,FALSE)</f>
        <v>0</v>
      </c>
      <c r="V253" s="2"/>
      <c r="W253" s="2">
        <f>VLOOKUP($A253,'[2]App C Assum'!$A$4:$I$917,5,FALSE)</f>
        <v>80981</v>
      </c>
      <c r="X253" s="2">
        <f>VLOOKUP($A253,'[2]App C Assum'!$A$4:$I$917,6,FALSE)</f>
        <v>66343</v>
      </c>
      <c r="Y253" s="2">
        <f>VLOOKUP($A253,'[2]App C Assum'!$A$4:$I$917,7,FALSE)</f>
        <v>53859</v>
      </c>
      <c r="Z253" s="2">
        <f>VLOOKUP($A253,'[2]App C Assum'!$A$4:$I$917,8,FALSE)</f>
        <v>0</v>
      </c>
      <c r="AA253" s="2">
        <f>VLOOKUP($A253,'[2]App C Assum'!$A$4:$I$917,9,FALSE)</f>
        <v>0</v>
      </c>
      <c r="AB253" s="2"/>
      <c r="AC253" s="2">
        <f>VLOOKUP($A253,'[2]App C Share Outflows'!$A$4:$I$917,5,FALSE)</f>
        <v>1499</v>
      </c>
      <c r="AD253" s="2">
        <f>VLOOKUP($A253,'[2]App C Share Outflows'!$A$4:$I$917,6,FALSE)</f>
        <v>1499</v>
      </c>
      <c r="AE253" s="2">
        <f>VLOOKUP($A253,'[2]App C Share Outflows'!$A$4:$I$917,7,FALSE)</f>
        <v>1499</v>
      </c>
      <c r="AF253" s="2">
        <f>VLOOKUP($A253,'[2]App C Share Outflows'!$A$4:$I$917,8,FALSE)</f>
        <v>1499</v>
      </c>
      <c r="AG253" s="2">
        <f>VLOOKUP($A253,'[2]App C Share Outflows'!$A$4:$I$917,9,FALSE)</f>
        <v>0</v>
      </c>
      <c r="AH253" s="2"/>
      <c r="AI253" s="2">
        <f>VLOOKUP($A253,'[2]App C Share Inflows'!$A$4:$I$917,5,FALSE)</f>
        <v>-23110</v>
      </c>
      <c r="AJ253" s="2">
        <f>VLOOKUP($A253,'[2]App C Share Inflows'!$A$4:$I$917,6,FALSE)</f>
        <v>-13120</v>
      </c>
      <c r="AK253" s="2">
        <f>VLOOKUP($A253,'[2]App C Share Inflows'!$A$4:$I$917,7,FALSE)</f>
        <v>-11616</v>
      </c>
      <c r="AL253" s="2">
        <f>VLOOKUP($A253,'[2]App C Share Inflows'!$A$4:$I$917,8,FALSE)</f>
        <v>0</v>
      </c>
      <c r="AM253" s="2">
        <f>VLOOKUP($A253,'[2]App C Share Inflows'!$A$4:$I$917,6,FALSE)</f>
        <v>-13120</v>
      </c>
    </row>
    <row r="254" spans="1:39">
      <c r="A254" s="351">
        <v>92417</v>
      </c>
      <c r="B254" s="344" t="s">
        <v>945</v>
      </c>
      <c r="C254" s="235" t="e">
        <f>VLOOKUP(A254,#REF!,10,FALSE)</f>
        <v>#REF!</v>
      </c>
      <c r="E254" s="2">
        <f>VLOOKUP($A254,'[2]App C Total'!$A$4:$I$917,5,FALSE)</f>
        <v>6480</v>
      </c>
      <c r="F254" s="2">
        <f>VLOOKUP($A254,'[2]App C Total'!$A$4:$I$917,6,FALSE)</f>
        <v>867</v>
      </c>
      <c r="G254" s="2">
        <f>VLOOKUP($A254,'[2]App C Total'!$A$4:$I$917,7,FALSE)</f>
        <v>3221</v>
      </c>
      <c r="H254" s="2">
        <f>VLOOKUP($A254,'[2]App C Total'!$A$4:$I$917,8,FALSE)</f>
        <v>414</v>
      </c>
      <c r="I254" s="2">
        <f>VLOOKUP($A254,'[2]App C Total'!$A$4:$I$917,9,FALSE)</f>
        <v>0</v>
      </c>
      <c r="J254" s="2"/>
      <c r="K254" s="2">
        <f>VLOOKUP($A254,'[2]App C Exp'!$A$4:$I$917,5,FALSE)</f>
        <v>2592</v>
      </c>
      <c r="L254" s="2">
        <f>VLOOKUP($A254,'[2]App C Exp'!$A$4:$I$917,6,FALSE)</f>
        <v>2438</v>
      </c>
      <c r="M254" s="2">
        <f>VLOOKUP($A254,'[2]App C Exp'!$A$4:$I$917,7,FALSE)</f>
        <v>2185</v>
      </c>
      <c r="N254" s="2">
        <f>VLOOKUP($A254,'[2]App C Exp'!$A$4:$I$917,8,FALSE)</f>
        <v>875</v>
      </c>
      <c r="O254" s="2">
        <f>VLOOKUP($A254,'[2]App C Exp'!$A$4:$I$917,9,FALSE)</f>
        <v>0</v>
      </c>
      <c r="P254" s="2"/>
      <c r="Q254" s="2">
        <f>VLOOKUP($A254,'[2]App C Inv'!$A$4:$I$917,5,FALSE)</f>
        <v>2751</v>
      </c>
      <c r="R254" s="2">
        <f>VLOOKUP($A254,'[2]App C Inv'!$A$4:$I$917,6,FALSE)</f>
        <v>-2367</v>
      </c>
      <c r="S254" s="2">
        <f>VLOOKUP($A254,'[2]App C Inv'!$A$4:$I$917,7,FALSE)</f>
        <v>334</v>
      </c>
      <c r="T254" s="2">
        <f>VLOOKUP($A254,'[2]App C Inv'!$A$4:$I$917,8,FALSE)</f>
        <v>434</v>
      </c>
      <c r="U254" s="2">
        <f>VLOOKUP($A254,'[2]App C Inv'!$A$4:$I$917,9,FALSE)</f>
        <v>0</v>
      </c>
      <c r="V254" s="2"/>
      <c r="W254" s="2">
        <f>VLOOKUP($A254,'[2]App C Assum'!$A$4:$I$917,5,FALSE)</f>
        <v>3100</v>
      </c>
      <c r="X254" s="2">
        <f>VLOOKUP($A254,'[2]App C Assum'!$A$4:$I$917,6,FALSE)</f>
        <v>2539</v>
      </c>
      <c r="Y254" s="2">
        <f>VLOOKUP($A254,'[2]App C Assum'!$A$4:$I$917,7,FALSE)</f>
        <v>2061</v>
      </c>
      <c r="Z254" s="2">
        <f>VLOOKUP($A254,'[2]App C Assum'!$A$4:$I$917,8,FALSE)</f>
        <v>0</v>
      </c>
      <c r="AA254" s="2">
        <f>VLOOKUP($A254,'[2]App C Assum'!$A$4:$I$917,9,FALSE)</f>
        <v>0</v>
      </c>
      <c r="AB254" s="2"/>
      <c r="AC254" s="2">
        <f>VLOOKUP($A254,'[2]App C Share Outflows'!$A$4:$I$917,5,FALSE)</f>
        <v>0</v>
      </c>
      <c r="AD254" s="2">
        <f>VLOOKUP($A254,'[2]App C Share Outflows'!$A$4:$I$917,6,FALSE)</f>
        <v>0</v>
      </c>
      <c r="AE254" s="2">
        <f>VLOOKUP($A254,'[2]App C Share Outflows'!$A$4:$I$917,7,FALSE)</f>
        <v>0</v>
      </c>
      <c r="AF254" s="2">
        <f>VLOOKUP($A254,'[2]App C Share Outflows'!$A$4:$I$917,8,FALSE)</f>
        <v>0</v>
      </c>
      <c r="AG254" s="2">
        <f>VLOOKUP($A254,'[2]App C Share Outflows'!$A$4:$I$917,9,FALSE)</f>
        <v>0</v>
      </c>
      <c r="AH254" s="2"/>
      <c r="AI254" s="2">
        <f>VLOOKUP($A254,'[2]App C Share Inflows'!$A$4:$I$917,5,FALSE)</f>
        <v>-1963</v>
      </c>
      <c r="AJ254" s="2">
        <f>VLOOKUP($A254,'[2]App C Share Inflows'!$A$4:$I$917,6,FALSE)</f>
        <v>-1743</v>
      </c>
      <c r="AK254" s="2">
        <f>VLOOKUP($A254,'[2]App C Share Inflows'!$A$4:$I$917,7,FALSE)</f>
        <v>-1359</v>
      </c>
      <c r="AL254" s="2">
        <f>VLOOKUP($A254,'[2]App C Share Inflows'!$A$4:$I$917,8,FALSE)</f>
        <v>-895</v>
      </c>
      <c r="AM254" s="2">
        <f>VLOOKUP($A254,'[2]App C Share Inflows'!$A$4:$I$917,6,FALSE)</f>
        <v>-1743</v>
      </c>
    </row>
    <row r="255" spans="1:39">
      <c r="A255" s="351">
        <v>92421</v>
      </c>
      <c r="B255" s="344" t="s">
        <v>946</v>
      </c>
      <c r="C255" s="235" t="e">
        <f>VLOOKUP(A255,#REF!,10,FALSE)</f>
        <v>#REF!</v>
      </c>
      <c r="E255" s="2">
        <f>VLOOKUP($A255,'[2]App C Total'!$A$4:$I$917,5,FALSE)</f>
        <v>10865</v>
      </c>
      <c r="F255" s="2">
        <f>VLOOKUP($A255,'[2]App C Total'!$A$4:$I$917,6,FALSE)</f>
        <v>5682</v>
      </c>
      <c r="G255" s="2">
        <f>VLOOKUP($A255,'[2]App C Total'!$A$4:$I$917,7,FALSE)</f>
        <v>6871</v>
      </c>
      <c r="H255" s="2">
        <f>VLOOKUP($A255,'[2]App C Total'!$A$4:$I$917,8,FALSE)</f>
        <v>2777</v>
      </c>
      <c r="I255" s="2">
        <f>VLOOKUP($A255,'[2]App C Total'!$A$4:$I$917,9,FALSE)</f>
        <v>0</v>
      </c>
      <c r="J255" s="2"/>
      <c r="K255" s="2">
        <f>VLOOKUP($A255,'[2]App C Exp'!$A$4:$I$917,5,FALSE)</f>
        <v>2457</v>
      </c>
      <c r="L255" s="2">
        <f>VLOOKUP($A255,'[2]App C Exp'!$A$4:$I$917,6,FALSE)</f>
        <v>2311</v>
      </c>
      <c r="M255" s="2">
        <f>VLOOKUP($A255,'[2]App C Exp'!$A$4:$I$917,7,FALSE)</f>
        <v>2071</v>
      </c>
      <c r="N255" s="2">
        <f>VLOOKUP($A255,'[2]App C Exp'!$A$4:$I$917,8,FALSE)</f>
        <v>829</v>
      </c>
      <c r="O255" s="2">
        <f>VLOOKUP($A255,'[2]App C Exp'!$A$4:$I$917,9,FALSE)</f>
        <v>0</v>
      </c>
      <c r="P255" s="2"/>
      <c r="Q255" s="2">
        <f>VLOOKUP($A255,'[2]App C Inv'!$A$4:$I$917,5,FALSE)</f>
        <v>2608</v>
      </c>
      <c r="R255" s="2">
        <f>VLOOKUP($A255,'[2]App C Inv'!$A$4:$I$917,6,FALSE)</f>
        <v>-2244</v>
      </c>
      <c r="S255" s="2">
        <f>VLOOKUP($A255,'[2]App C Inv'!$A$4:$I$917,7,FALSE)</f>
        <v>316</v>
      </c>
      <c r="T255" s="2">
        <f>VLOOKUP($A255,'[2]App C Inv'!$A$4:$I$917,8,FALSE)</f>
        <v>412</v>
      </c>
      <c r="U255" s="2">
        <f>VLOOKUP($A255,'[2]App C Inv'!$A$4:$I$917,9,FALSE)</f>
        <v>0</v>
      </c>
      <c r="V255" s="2"/>
      <c r="W255" s="2">
        <f>VLOOKUP($A255,'[2]App C Assum'!$A$4:$I$917,5,FALSE)</f>
        <v>2938</v>
      </c>
      <c r="X255" s="2">
        <f>VLOOKUP($A255,'[2]App C Assum'!$A$4:$I$917,6,FALSE)</f>
        <v>2407</v>
      </c>
      <c r="Y255" s="2">
        <f>VLOOKUP($A255,'[2]App C Assum'!$A$4:$I$917,7,FALSE)</f>
        <v>1954</v>
      </c>
      <c r="Z255" s="2">
        <f>VLOOKUP($A255,'[2]App C Assum'!$A$4:$I$917,8,FALSE)</f>
        <v>0</v>
      </c>
      <c r="AA255" s="2">
        <f>VLOOKUP($A255,'[2]App C Assum'!$A$4:$I$917,9,FALSE)</f>
        <v>0</v>
      </c>
      <c r="AB255" s="2"/>
      <c r="AC255" s="2">
        <f>VLOOKUP($A255,'[2]App C Share Outflows'!$A$4:$I$917,5,FALSE)</f>
        <v>3206</v>
      </c>
      <c r="AD255" s="2">
        <f>VLOOKUP($A255,'[2]App C Share Outflows'!$A$4:$I$917,6,FALSE)</f>
        <v>3208</v>
      </c>
      <c r="AE255" s="2">
        <f>VLOOKUP($A255,'[2]App C Share Outflows'!$A$4:$I$917,7,FALSE)</f>
        <v>2530</v>
      </c>
      <c r="AF255" s="2">
        <f>VLOOKUP($A255,'[2]App C Share Outflows'!$A$4:$I$917,8,FALSE)</f>
        <v>1536</v>
      </c>
      <c r="AG255" s="2">
        <f>VLOOKUP($A255,'[2]App C Share Outflows'!$A$4:$I$917,9,FALSE)</f>
        <v>0</v>
      </c>
      <c r="AH255" s="2"/>
      <c r="AI255" s="2">
        <f>VLOOKUP($A255,'[2]App C Share Inflows'!$A$4:$I$917,5,FALSE)</f>
        <v>-344</v>
      </c>
      <c r="AJ255" s="2">
        <f>VLOOKUP($A255,'[2]App C Share Inflows'!$A$4:$I$917,6,FALSE)</f>
        <v>0</v>
      </c>
      <c r="AK255" s="2">
        <f>VLOOKUP($A255,'[2]App C Share Inflows'!$A$4:$I$917,7,FALSE)</f>
        <v>0</v>
      </c>
      <c r="AL255" s="2">
        <f>VLOOKUP($A255,'[2]App C Share Inflows'!$A$4:$I$917,8,FALSE)</f>
        <v>0</v>
      </c>
      <c r="AM255" s="2">
        <f>VLOOKUP($A255,'[2]App C Share Inflows'!$A$4:$I$917,6,FALSE)</f>
        <v>0</v>
      </c>
    </row>
    <row r="256" spans="1:39">
      <c r="A256" s="351">
        <v>92427</v>
      </c>
      <c r="B256" s="344" t="s">
        <v>947</v>
      </c>
      <c r="C256" s="235" t="e">
        <f>VLOOKUP(A256,#REF!,10,FALSE)</f>
        <v>#REF!</v>
      </c>
      <c r="E256" s="2">
        <f>VLOOKUP($A256,'[2]App C Total'!$A$4:$I$917,5,FALSE)</f>
        <v>1877</v>
      </c>
      <c r="F256" s="2">
        <f>VLOOKUP($A256,'[2]App C Total'!$A$4:$I$917,6,FALSE)</f>
        <v>1057</v>
      </c>
      <c r="G256" s="2">
        <f>VLOOKUP($A256,'[2]App C Total'!$A$4:$I$917,7,FALSE)</f>
        <v>1068</v>
      </c>
      <c r="H256" s="2">
        <f>VLOOKUP($A256,'[2]App C Total'!$A$4:$I$917,8,FALSE)</f>
        <v>282</v>
      </c>
      <c r="I256" s="2">
        <f>VLOOKUP($A256,'[2]App C Total'!$A$4:$I$917,9,FALSE)</f>
        <v>0</v>
      </c>
      <c r="J256" s="2"/>
      <c r="K256" s="2">
        <f>VLOOKUP($A256,'[2]App C Exp'!$A$4:$I$917,5,FALSE)</f>
        <v>285</v>
      </c>
      <c r="L256" s="2">
        <f>VLOOKUP($A256,'[2]App C Exp'!$A$4:$I$917,6,FALSE)</f>
        <v>268</v>
      </c>
      <c r="M256" s="2">
        <f>VLOOKUP($A256,'[2]App C Exp'!$A$4:$I$917,7,FALSE)</f>
        <v>240</v>
      </c>
      <c r="N256" s="2">
        <f>VLOOKUP($A256,'[2]App C Exp'!$A$4:$I$917,8,FALSE)</f>
        <v>96</v>
      </c>
      <c r="O256" s="2">
        <f>VLOOKUP($A256,'[2]App C Exp'!$A$4:$I$917,9,FALSE)</f>
        <v>0</v>
      </c>
      <c r="P256" s="2"/>
      <c r="Q256" s="2">
        <f>VLOOKUP($A256,'[2]App C Inv'!$A$4:$I$917,5,FALSE)</f>
        <v>302</v>
      </c>
      <c r="R256" s="2">
        <f>VLOOKUP($A256,'[2]App C Inv'!$A$4:$I$917,6,FALSE)</f>
        <v>-260</v>
      </c>
      <c r="S256" s="2">
        <f>VLOOKUP($A256,'[2]App C Inv'!$A$4:$I$917,7,FALSE)</f>
        <v>37</v>
      </c>
      <c r="T256" s="2">
        <f>VLOOKUP($A256,'[2]App C Inv'!$A$4:$I$917,8,FALSE)</f>
        <v>48</v>
      </c>
      <c r="U256" s="2">
        <f>VLOOKUP($A256,'[2]App C Inv'!$A$4:$I$917,9,FALSE)</f>
        <v>0</v>
      </c>
      <c r="V256" s="2"/>
      <c r="W256" s="2">
        <f>VLOOKUP($A256,'[2]App C Assum'!$A$4:$I$917,5,FALSE)</f>
        <v>340</v>
      </c>
      <c r="X256" s="2">
        <f>VLOOKUP($A256,'[2]App C Assum'!$A$4:$I$917,6,FALSE)</f>
        <v>279</v>
      </c>
      <c r="Y256" s="2">
        <f>VLOOKUP($A256,'[2]App C Assum'!$A$4:$I$917,7,FALSE)</f>
        <v>226</v>
      </c>
      <c r="Z256" s="2">
        <f>VLOOKUP($A256,'[2]App C Assum'!$A$4:$I$917,8,FALSE)</f>
        <v>0</v>
      </c>
      <c r="AA256" s="2">
        <f>VLOOKUP($A256,'[2]App C Assum'!$A$4:$I$917,9,FALSE)</f>
        <v>0</v>
      </c>
      <c r="AB256" s="2"/>
      <c r="AC256" s="2">
        <f>VLOOKUP($A256,'[2]App C Share Outflows'!$A$4:$I$917,5,FALSE)</f>
        <v>950</v>
      </c>
      <c r="AD256" s="2">
        <f>VLOOKUP($A256,'[2]App C Share Outflows'!$A$4:$I$917,6,FALSE)</f>
        <v>770</v>
      </c>
      <c r="AE256" s="2">
        <f>VLOOKUP($A256,'[2]App C Share Outflows'!$A$4:$I$917,7,FALSE)</f>
        <v>565</v>
      </c>
      <c r="AF256" s="2">
        <f>VLOOKUP($A256,'[2]App C Share Outflows'!$A$4:$I$917,8,FALSE)</f>
        <v>138</v>
      </c>
      <c r="AG256" s="2">
        <f>VLOOKUP($A256,'[2]App C Share Outflows'!$A$4:$I$917,9,FALSE)</f>
        <v>0</v>
      </c>
      <c r="AH256" s="2"/>
      <c r="AI256" s="2">
        <f>VLOOKUP($A256,'[2]App C Share Inflows'!$A$4:$I$917,5,FALSE)</f>
        <v>0</v>
      </c>
      <c r="AJ256" s="2">
        <f>VLOOKUP($A256,'[2]App C Share Inflows'!$A$4:$I$917,6,FALSE)</f>
        <v>0</v>
      </c>
      <c r="AK256" s="2">
        <f>VLOOKUP($A256,'[2]App C Share Inflows'!$A$4:$I$917,7,FALSE)</f>
        <v>0</v>
      </c>
      <c r="AL256" s="2">
        <f>VLOOKUP($A256,'[2]App C Share Inflows'!$A$4:$I$917,8,FALSE)</f>
        <v>0</v>
      </c>
      <c r="AM256" s="2">
        <f>VLOOKUP($A256,'[2]App C Share Inflows'!$A$4:$I$917,6,FALSE)</f>
        <v>0</v>
      </c>
    </row>
    <row r="257" spans="1:39">
      <c r="A257" s="351">
        <v>92431</v>
      </c>
      <c r="B257" s="344" t="s">
        <v>948</v>
      </c>
      <c r="C257" s="235" t="e">
        <f>VLOOKUP(A257,#REF!,10,FALSE)</f>
        <v>#REF!</v>
      </c>
      <c r="E257" s="2">
        <f>VLOOKUP($A257,'[2]App C Total'!$A$4:$I$917,5,FALSE)</f>
        <v>17359</v>
      </c>
      <c r="F257" s="2">
        <f>VLOOKUP($A257,'[2]App C Total'!$A$4:$I$917,6,FALSE)</f>
        <v>9195</v>
      </c>
      <c r="G257" s="2">
        <f>VLOOKUP($A257,'[2]App C Total'!$A$4:$I$917,7,FALSE)</f>
        <v>8546</v>
      </c>
      <c r="H257" s="2">
        <f>VLOOKUP($A257,'[2]App C Total'!$A$4:$I$917,8,FALSE)</f>
        <v>3860</v>
      </c>
      <c r="I257" s="2">
        <f>VLOOKUP($A257,'[2]App C Total'!$A$4:$I$917,9,FALSE)</f>
        <v>0</v>
      </c>
      <c r="J257" s="2"/>
      <c r="K257" s="2">
        <f>VLOOKUP($A257,'[2]App C Exp'!$A$4:$I$917,5,FALSE)</f>
        <v>4045</v>
      </c>
      <c r="L257" s="2">
        <f>VLOOKUP($A257,'[2]App C Exp'!$A$4:$I$917,6,FALSE)</f>
        <v>3805</v>
      </c>
      <c r="M257" s="2">
        <f>VLOOKUP($A257,'[2]App C Exp'!$A$4:$I$917,7,FALSE)</f>
        <v>3410</v>
      </c>
      <c r="N257" s="2">
        <f>VLOOKUP($A257,'[2]App C Exp'!$A$4:$I$917,8,FALSE)</f>
        <v>1365</v>
      </c>
      <c r="O257" s="2">
        <f>VLOOKUP($A257,'[2]App C Exp'!$A$4:$I$917,9,FALSE)</f>
        <v>0</v>
      </c>
      <c r="P257" s="2"/>
      <c r="Q257" s="2">
        <f>VLOOKUP($A257,'[2]App C Inv'!$A$4:$I$917,5,FALSE)</f>
        <v>4294</v>
      </c>
      <c r="R257" s="2">
        <f>VLOOKUP($A257,'[2]App C Inv'!$A$4:$I$917,6,FALSE)</f>
        <v>-3694</v>
      </c>
      <c r="S257" s="2">
        <f>VLOOKUP($A257,'[2]App C Inv'!$A$4:$I$917,7,FALSE)</f>
        <v>521</v>
      </c>
      <c r="T257" s="2">
        <f>VLOOKUP($A257,'[2]App C Inv'!$A$4:$I$917,8,FALSE)</f>
        <v>678</v>
      </c>
      <c r="U257" s="2">
        <f>VLOOKUP($A257,'[2]App C Inv'!$A$4:$I$917,9,FALSE)</f>
        <v>0</v>
      </c>
      <c r="V257" s="2"/>
      <c r="W257" s="2">
        <f>VLOOKUP($A257,'[2]App C Assum'!$A$4:$I$917,5,FALSE)</f>
        <v>4837</v>
      </c>
      <c r="X257" s="2">
        <f>VLOOKUP($A257,'[2]App C Assum'!$A$4:$I$917,6,FALSE)</f>
        <v>3963</v>
      </c>
      <c r="Y257" s="2">
        <f>VLOOKUP($A257,'[2]App C Assum'!$A$4:$I$917,7,FALSE)</f>
        <v>3217</v>
      </c>
      <c r="Z257" s="2">
        <f>VLOOKUP($A257,'[2]App C Assum'!$A$4:$I$917,8,FALSE)</f>
        <v>0</v>
      </c>
      <c r="AA257" s="2">
        <f>VLOOKUP($A257,'[2]App C Assum'!$A$4:$I$917,9,FALSE)</f>
        <v>0</v>
      </c>
      <c r="AB257" s="2"/>
      <c r="AC257" s="2">
        <f>VLOOKUP($A257,'[2]App C Share Outflows'!$A$4:$I$917,5,FALSE)</f>
        <v>5542</v>
      </c>
      <c r="AD257" s="2">
        <f>VLOOKUP($A257,'[2]App C Share Outflows'!$A$4:$I$917,6,FALSE)</f>
        <v>5541</v>
      </c>
      <c r="AE257" s="2">
        <f>VLOOKUP($A257,'[2]App C Share Outflows'!$A$4:$I$917,7,FALSE)</f>
        <v>1817</v>
      </c>
      <c r="AF257" s="2">
        <f>VLOOKUP($A257,'[2]App C Share Outflows'!$A$4:$I$917,8,FALSE)</f>
        <v>1817</v>
      </c>
      <c r="AG257" s="2">
        <f>VLOOKUP($A257,'[2]App C Share Outflows'!$A$4:$I$917,9,FALSE)</f>
        <v>0</v>
      </c>
      <c r="AH257" s="2"/>
      <c r="AI257" s="2">
        <f>VLOOKUP($A257,'[2]App C Share Inflows'!$A$4:$I$917,5,FALSE)</f>
        <v>-1359</v>
      </c>
      <c r="AJ257" s="2">
        <f>VLOOKUP($A257,'[2]App C Share Inflows'!$A$4:$I$917,6,FALSE)</f>
        <v>-420</v>
      </c>
      <c r="AK257" s="2">
        <f>VLOOKUP($A257,'[2]App C Share Inflows'!$A$4:$I$917,7,FALSE)</f>
        <v>-419</v>
      </c>
      <c r="AL257" s="2">
        <f>VLOOKUP($A257,'[2]App C Share Inflows'!$A$4:$I$917,8,FALSE)</f>
        <v>0</v>
      </c>
      <c r="AM257" s="2">
        <f>VLOOKUP($A257,'[2]App C Share Inflows'!$A$4:$I$917,6,FALSE)</f>
        <v>-420</v>
      </c>
    </row>
    <row r="258" spans="1:39">
      <c r="A258" s="351">
        <v>92441</v>
      </c>
      <c r="B258" s="344" t="s">
        <v>949</v>
      </c>
      <c r="C258" s="235" t="e">
        <f>VLOOKUP(A258,#REF!,10,FALSE)</f>
        <v>#REF!</v>
      </c>
      <c r="E258" s="2">
        <f>VLOOKUP($A258,'[2]App C Total'!$A$4:$I$917,5,FALSE)</f>
        <v>39815</v>
      </c>
      <c r="F258" s="2">
        <f>VLOOKUP($A258,'[2]App C Total'!$A$4:$I$917,6,FALSE)</f>
        <v>11760</v>
      </c>
      <c r="G258" s="2">
        <f>VLOOKUP($A258,'[2]App C Total'!$A$4:$I$917,7,FALSE)</f>
        <v>23532</v>
      </c>
      <c r="H258" s="2">
        <f>VLOOKUP($A258,'[2]App C Total'!$A$4:$I$917,8,FALSE)</f>
        <v>3341</v>
      </c>
      <c r="I258" s="2">
        <f>VLOOKUP($A258,'[2]App C Total'!$A$4:$I$917,9,FALSE)</f>
        <v>0</v>
      </c>
      <c r="J258" s="2"/>
      <c r="K258" s="2">
        <f>VLOOKUP($A258,'[2]App C Exp'!$A$4:$I$917,5,FALSE)</f>
        <v>12958</v>
      </c>
      <c r="L258" s="2">
        <f>VLOOKUP($A258,'[2]App C Exp'!$A$4:$I$917,6,FALSE)</f>
        <v>12190</v>
      </c>
      <c r="M258" s="2">
        <f>VLOOKUP($A258,'[2]App C Exp'!$A$4:$I$917,7,FALSE)</f>
        <v>10925</v>
      </c>
      <c r="N258" s="2">
        <f>VLOOKUP($A258,'[2]App C Exp'!$A$4:$I$917,8,FALSE)</f>
        <v>4374</v>
      </c>
      <c r="O258" s="2">
        <f>VLOOKUP($A258,'[2]App C Exp'!$A$4:$I$917,9,FALSE)</f>
        <v>0</v>
      </c>
      <c r="P258" s="2"/>
      <c r="Q258" s="2">
        <f>VLOOKUP($A258,'[2]App C Inv'!$A$4:$I$917,5,FALSE)</f>
        <v>13757</v>
      </c>
      <c r="R258" s="2">
        <f>VLOOKUP($A258,'[2]App C Inv'!$A$4:$I$917,6,FALSE)</f>
        <v>-11834</v>
      </c>
      <c r="S258" s="2">
        <f>VLOOKUP($A258,'[2]App C Inv'!$A$4:$I$917,7,FALSE)</f>
        <v>1668</v>
      </c>
      <c r="T258" s="2">
        <f>VLOOKUP($A258,'[2]App C Inv'!$A$4:$I$917,8,FALSE)</f>
        <v>2171</v>
      </c>
      <c r="U258" s="2">
        <f>VLOOKUP($A258,'[2]App C Inv'!$A$4:$I$917,9,FALSE)</f>
        <v>0</v>
      </c>
      <c r="V258" s="2"/>
      <c r="W258" s="2">
        <f>VLOOKUP($A258,'[2]App C Assum'!$A$4:$I$917,5,FALSE)</f>
        <v>15498</v>
      </c>
      <c r="X258" s="2">
        <f>VLOOKUP($A258,'[2]App C Assum'!$A$4:$I$917,6,FALSE)</f>
        <v>12696</v>
      </c>
      <c r="Y258" s="2">
        <f>VLOOKUP($A258,'[2]App C Assum'!$A$4:$I$917,7,FALSE)</f>
        <v>10307</v>
      </c>
      <c r="Z258" s="2">
        <f>VLOOKUP($A258,'[2]App C Assum'!$A$4:$I$917,8,FALSE)</f>
        <v>0</v>
      </c>
      <c r="AA258" s="2">
        <f>VLOOKUP($A258,'[2]App C Assum'!$A$4:$I$917,9,FALSE)</f>
        <v>0</v>
      </c>
      <c r="AB258" s="2"/>
      <c r="AC258" s="2">
        <f>VLOOKUP($A258,'[2]App C Share Outflows'!$A$4:$I$917,5,FALSE)</f>
        <v>3834</v>
      </c>
      <c r="AD258" s="2">
        <f>VLOOKUP($A258,'[2]App C Share Outflows'!$A$4:$I$917,6,FALSE)</f>
        <v>3834</v>
      </c>
      <c r="AE258" s="2">
        <f>VLOOKUP($A258,'[2]App C Share Outflows'!$A$4:$I$917,7,FALSE)</f>
        <v>3836</v>
      </c>
      <c r="AF258" s="2">
        <f>VLOOKUP($A258,'[2]App C Share Outflows'!$A$4:$I$917,8,FALSE)</f>
        <v>0</v>
      </c>
      <c r="AG258" s="2">
        <f>VLOOKUP($A258,'[2]App C Share Outflows'!$A$4:$I$917,9,FALSE)</f>
        <v>0</v>
      </c>
      <c r="AH258" s="2"/>
      <c r="AI258" s="2">
        <f>VLOOKUP($A258,'[2]App C Share Inflows'!$A$4:$I$917,5,FALSE)</f>
        <v>-6232</v>
      </c>
      <c r="AJ258" s="2">
        <f>VLOOKUP($A258,'[2]App C Share Inflows'!$A$4:$I$917,6,FALSE)</f>
        <v>-5126</v>
      </c>
      <c r="AK258" s="2">
        <f>VLOOKUP($A258,'[2]App C Share Inflows'!$A$4:$I$917,7,FALSE)</f>
        <v>-3204</v>
      </c>
      <c r="AL258" s="2">
        <f>VLOOKUP($A258,'[2]App C Share Inflows'!$A$4:$I$917,8,FALSE)</f>
        <v>-3204</v>
      </c>
      <c r="AM258" s="2">
        <f>VLOOKUP($A258,'[2]App C Share Inflows'!$A$4:$I$917,6,FALSE)</f>
        <v>-5126</v>
      </c>
    </row>
    <row r="259" spans="1:39">
      <c r="A259" s="351">
        <v>92444</v>
      </c>
      <c r="B259" s="344" t="s">
        <v>950</v>
      </c>
      <c r="C259" s="235" t="e">
        <f>VLOOKUP(A259,#REF!,10,FALSE)</f>
        <v>#REF!</v>
      </c>
      <c r="E259" s="2">
        <f>VLOOKUP($A259,'[2]App C Total'!$A$4:$I$917,5,FALSE)</f>
        <v>4421</v>
      </c>
      <c r="F259" s="2">
        <f>VLOOKUP($A259,'[2]App C Total'!$A$4:$I$917,6,FALSE)</f>
        <v>2473</v>
      </c>
      <c r="G259" s="2">
        <f>VLOOKUP($A259,'[2]App C Total'!$A$4:$I$917,7,FALSE)</f>
        <v>2832</v>
      </c>
      <c r="H259" s="2">
        <f>VLOOKUP($A259,'[2]App C Total'!$A$4:$I$917,8,FALSE)</f>
        <v>1415</v>
      </c>
      <c r="I259" s="2">
        <f>VLOOKUP($A259,'[2]App C Total'!$A$4:$I$917,9,FALSE)</f>
        <v>0</v>
      </c>
      <c r="J259" s="2"/>
      <c r="K259" s="2">
        <f>VLOOKUP($A259,'[2]App C Exp'!$A$4:$I$917,5,FALSE)</f>
        <v>764</v>
      </c>
      <c r="L259" s="2">
        <f>VLOOKUP($A259,'[2]App C Exp'!$A$4:$I$917,6,FALSE)</f>
        <v>719</v>
      </c>
      <c r="M259" s="2">
        <f>VLOOKUP($A259,'[2]App C Exp'!$A$4:$I$917,7,FALSE)</f>
        <v>644</v>
      </c>
      <c r="N259" s="2">
        <f>VLOOKUP($A259,'[2]App C Exp'!$A$4:$I$917,8,FALSE)</f>
        <v>258</v>
      </c>
      <c r="O259" s="2">
        <f>VLOOKUP($A259,'[2]App C Exp'!$A$4:$I$917,9,FALSE)</f>
        <v>0</v>
      </c>
      <c r="P259" s="2"/>
      <c r="Q259" s="2">
        <f>VLOOKUP($A259,'[2]App C Inv'!$A$4:$I$917,5,FALSE)</f>
        <v>811</v>
      </c>
      <c r="R259" s="2">
        <f>VLOOKUP($A259,'[2]App C Inv'!$A$4:$I$917,6,FALSE)</f>
        <v>-698</v>
      </c>
      <c r="S259" s="2">
        <f>VLOOKUP($A259,'[2]App C Inv'!$A$4:$I$917,7,FALSE)</f>
        <v>98</v>
      </c>
      <c r="T259" s="2">
        <f>VLOOKUP($A259,'[2]App C Inv'!$A$4:$I$917,8,FALSE)</f>
        <v>128</v>
      </c>
      <c r="U259" s="2">
        <f>VLOOKUP($A259,'[2]App C Inv'!$A$4:$I$917,9,FALSE)</f>
        <v>0</v>
      </c>
      <c r="V259" s="2"/>
      <c r="W259" s="2">
        <f>VLOOKUP($A259,'[2]App C Assum'!$A$4:$I$917,5,FALSE)</f>
        <v>914</v>
      </c>
      <c r="X259" s="2">
        <f>VLOOKUP($A259,'[2]App C Assum'!$A$4:$I$917,6,FALSE)</f>
        <v>749</v>
      </c>
      <c r="Y259" s="2">
        <f>VLOOKUP($A259,'[2]App C Assum'!$A$4:$I$917,7,FALSE)</f>
        <v>608</v>
      </c>
      <c r="Z259" s="2">
        <f>VLOOKUP($A259,'[2]App C Assum'!$A$4:$I$917,8,FALSE)</f>
        <v>0</v>
      </c>
      <c r="AA259" s="2">
        <f>VLOOKUP($A259,'[2]App C Assum'!$A$4:$I$917,9,FALSE)</f>
        <v>0</v>
      </c>
      <c r="AB259" s="2"/>
      <c r="AC259" s="2">
        <f>VLOOKUP($A259,'[2]App C Share Outflows'!$A$4:$I$917,5,FALSE)</f>
        <v>1932</v>
      </c>
      <c r="AD259" s="2">
        <f>VLOOKUP($A259,'[2]App C Share Outflows'!$A$4:$I$917,6,FALSE)</f>
        <v>1703</v>
      </c>
      <c r="AE259" s="2">
        <f>VLOOKUP($A259,'[2]App C Share Outflows'!$A$4:$I$917,7,FALSE)</f>
        <v>1482</v>
      </c>
      <c r="AF259" s="2">
        <f>VLOOKUP($A259,'[2]App C Share Outflows'!$A$4:$I$917,8,FALSE)</f>
        <v>1029</v>
      </c>
      <c r="AG259" s="2">
        <f>VLOOKUP($A259,'[2]App C Share Outflows'!$A$4:$I$917,9,FALSE)</f>
        <v>0</v>
      </c>
      <c r="AH259" s="2"/>
      <c r="AI259" s="2">
        <f>VLOOKUP($A259,'[2]App C Share Inflows'!$A$4:$I$917,5,FALSE)</f>
        <v>0</v>
      </c>
      <c r="AJ259" s="2">
        <f>VLOOKUP($A259,'[2]App C Share Inflows'!$A$4:$I$917,6,FALSE)</f>
        <v>0</v>
      </c>
      <c r="AK259" s="2">
        <f>VLOOKUP($A259,'[2]App C Share Inflows'!$A$4:$I$917,7,FALSE)</f>
        <v>0</v>
      </c>
      <c r="AL259" s="2">
        <f>VLOOKUP($A259,'[2]App C Share Inflows'!$A$4:$I$917,8,FALSE)</f>
        <v>0</v>
      </c>
      <c r="AM259" s="2">
        <f>VLOOKUP($A259,'[2]App C Share Inflows'!$A$4:$I$917,6,FALSE)</f>
        <v>0</v>
      </c>
    </row>
    <row r="260" spans="1:39">
      <c r="A260" s="351">
        <v>92451</v>
      </c>
      <c r="B260" s="344" t="s">
        <v>951</v>
      </c>
      <c r="C260" s="235" t="e">
        <f>VLOOKUP(A260,#REF!,10,FALSE)</f>
        <v>#REF!</v>
      </c>
      <c r="E260" s="2">
        <f>VLOOKUP($A260,'[2]App C Total'!$A$4:$I$917,5,FALSE)</f>
        <v>67254</v>
      </c>
      <c r="F260" s="2">
        <f>VLOOKUP($A260,'[2]App C Total'!$A$4:$I$917,6,FALSE)</f>
        <v>23500</v>
      </c>
      <c r="G260" s="2">
        <f>VLOOKUP($A260,'[2]App C Total'!$A$4:$I$917,7,FALSE)</f>
        <v>35427</v>
      </c>
      <c r="H260" s="2">
        <f>VLOOKUP($A260,'[2]App C Total'!$A$4:$I$917,8,FALSE)</f>
        <v>10972</v>
      </c>
      <c r="I260" s="2">
        <f>VLOOKUP($A260,'[2]App C Total'!$A$4:$I$917,9,FALSE)</f>
        <v>0</v>
      </c>
      <c r="J260" s="2"/>
      <c r="K260" s="2">
        <f>VLOOKUP($A260,'[2]App C Exp'!$A$4:$I$917,5,FALSE)</f>
        <v>17123</v>
      </c>
      <c r="L260" s="2">
        <f>VLOOKUP($A260,'[2]App C Exp'!$A$4:$I$917,6,FALSE)</f>
        <v>16107</v>
      </c>
      <c r="M260" s="2">
        <f>VLOOKUP($A260,'[2]App C Exp'!$A$4:$I$917,7,FALSE)</f>
        <v>14437</v>
      </c>
      <c r="N260" s="2">
        <f>VLOOKUP($A260,'[2]App C Exp'!$A$4:$I$917,8,FALSE)</f>
        <v>5780</v>
      </c>
      <c r="O260" s="2">
        <f>VLOOKUP($A260,'[2]App C Exp'!$A$4:$I$917,9,FALSE)</f>
        <v>0</v>
      </c>
      <c r="P260" s="2"/>
      <c r="Q260" s="2">
        <f>VLOOKUP($A260,'[2]App C Inv'!$A$4:$I$917,5,FALSE)</f>
        <v>18178</v>
      </c>
      <c r="R260" s="2">
        <f>VLOOKUP($A260,'[2]App C Inv'!$A$4:$I$917,6,FALSE)</f>
        <v>-15637</v>
      </c>
      <c r="S260" s="2">
        <f>VLOOKUP($A260,'[2]App C Inv'!$A$4:$I$917,7,FALSE)</f>
        <v>2204</v>
      </c>
      <c r="T260" s="2">
        <f>VLOOKUP($A260,'[2]App C Inv'!$A$4:$I$917,8,FALSE)</f>
        <v>2868</v>
      </c>
      <c r="U260" s="2">
        <f>VLOOKUP($A260,'[2]App C Inv'!$A$4:$I$917,9,FALSE)</f>
        <v>0</v>
      </c>
      <c r="V260" s="2"/>
      <c r="W260" s="2">
        <f>VLOOKUP($A260,'[2]App C Assum'!$A$4:$I$917,5,FALSE)</f>
        <v>20478</v>
      </c>
      <c r="X260" s="2">
        <f>VLOOKUP($A260,'[2]App C Assum'!$A$4:$I$917,6,FALSE)</f>
        <v>16776</v>
      </c>
      <c r="Y260" s="2">
        <f>VLOOKUP($A260,'[2]App C Assum'!$A$4:$I$917,7,FALSE)</f>
        <v>13620</v>
      </c>
      <c r="Z260" s="2">
        <f>VLOOKUP($A260,'[2]App C Assum'!$A$4:$I$917,8,FALSE)</f>
        <v>0</v>
      </c>
      <c r="AA260" s="2">
        <f>VLOOKUP($A260,'[2]App C Assum'!$A$4:$I$917,9,FALSE)</f>
        <v>0</v>
      </c>
      <c r="AB260" s="2"/>
      <c r="AC260" s="2">
        <f>VLOOKUP($A260,'[2]App C Share Outflows'!$A$4:$I$917,5,FALSE)</f>
        <v>11475</v>
      </c>
      <c r="AD260" s="2">
        <f>VLOOKUP($A260,'[2]App C Share Outflows'!$A$4:$I$917,6,FALSE)</f>
        <v>6254</v>
      </c>
      <c r="AE260" s="2">
        <f>VLOOKUP($A260,'[2]App C Share Outflows'!$A$4:$I$917,7,FALSE)</f>
        <v>5166</v>
      </c>
      <c r="AF260" s="2">
        <f>VLOOKUP($A260,'[2]App C Share Outflows'!$A$4:$I$917,8,FALSE)</f>
        <v>2324</v>
      </c>
      <c r="AG260" s="2">
        <f>VLOOKUP($A260,'[2]App C Share Outflows'!$A$4:$I$917,9,FALSE)</f>
        <v>0</v>
      </c>
      <c r="AH260" s="2"/>
      <c r="AI260" s="2">
        <f>VLOOKUP($A260,'[2]App C Share Inflows'!$A$4:$I$917,5,FALSE)</f>
        <v>0</v>
      </c>
      <c r="AJ260" s="2">
        <f>VLOOKUP($A260,'[2]App C Share Inflows'!$A$4:$I$917,6,FALSE)</f>
        <v>0</v>
      </c>
      <c r="AK260" s="2">
        <f>VLOOKUP($A260,'[2]App C Share Inflows'!$A$4:$I$917,7,FALSE)</f>
        <v>0</v>
      </c>
      <c r="AL260" s="2">
        <f>VLOOKUP($A260,'[2]App C Share Inflows'!$A$4:$I$917,8,FALSE)</f>
        <v>0</v>
      </c>
      <c r="AM260" s="2">
        <f>VLOOKUP($A260,'[2]App C Share Inflows'!$A$4:$I$917,6,FALSE)</f>
        <v>0</v>
      </c>
    </row>
    <row r="261" spans="1:39">
      <c r="A261" s="351">
        <v>92461</v>
      </c>
      <c r="B261" s="344" t="s">
        <v>952</v>
      </c>
      <c r="C261" s="235" t="e">
        <f>VLOOKUP(A261,#REF!,10,FALSE)</f>
        <v>#REF!</v>
      </c>
      <c r="E261" s="2">
        <f>VLOOKUP($A261,'[2]App C Total'!$A$4:$I$917,5,FALSE)</f>
        <v>33881</v>
      </c>
      <c r="F261" s="2">
        <f>VLOOKUP($A261,'[2]App C Total'!$A$4:$I$917,6,FALSE)</f>
        <v>11886</v>
      </c>
      <c r="G261" s="2">
        <f>VLOOKUP($A261,'[2]App C Total'!$A$4:$I$917,7,FALSE)</f>
        <v>17208</v>
      </c>
      <c r="H261" s="2">
        <f>VLOOKUP($A261,'[2]App C Total'!$A$4:$I$917,8,FALSE)</f>
        <v>4800</v>
      </c>
      <c r="I261" s="2">
        <f>VLOOKUP($A261,'[2]App C Total'!$A$4:$I$917,9,FALSE)</f>
        <v>0</v>
      </c>
      <c r="J261" s="2"/>
      <c r="K261" s="2">
        <f>VLOOKUP($A261,'[2]App C Exp'!$A$4:$I$917,5,FALSE)</f>
        <v>8749</v>
      </c>
      <c r="L261" s="2">
        <f>VLOOKUP($A261,'[2]App C Exp'!$A$4:$I$917,6,FALSE)</f>
        <v>8230</v>
      </c>
      <c r="M261" s="2">
        <f>VLOOKUP($A261,'[2]App C Exp'!$A$4:$I$917,7,FALSE)</f>
        <v>7376</v>
      </c>
      <c r="N261" s="2">
        <f>VLOOKUP($A261,'[2]App C Exp'!$A$4:$I$917,8,FALSE)</f>
        <v>2953</v>
      </c>
      <c r="O261" s="2">
        <f>VLOOKUP($A261,'[2]App C Exp'!$A$4:$I$917,9,FALSE)</f>
        <v>0</v>
      </c>
      <c r="P261" s="2"/>
      <c r="Q261" s="2">
        <f>VLOOKUP($A261,'[2]App C Inv'!$A$4:$I$917,5,FALSE)</f>
        <v>9288</v>
      </c>
      <c r="R261" s="2">
        <f>VLOOKUP($A261,'[2]App C Inv'!$A$4:$I$917,6,FALSE)</f>
        <v>-7989</v>
      </c>
      <c r="S261" s="2">
        <f>VLOOKUP($A261,'[2]App C Inv'!$A$4:$I$917,7,FALSE)</f>
        <v>1126</v>
      </c>
      <c r="T261" s="2">
        <f>VLOOKUP($A261,'[2]App C Inv'!$A$4:$I$917,8,FALSE)</f>
        <v>1465</v>
      </c>
      <c r="U261" s="2">
        <f>VLOOKUP($A261,'[2]App C Inv'!$A$4:$I$917,9,FALSE)</f>
        <v>0</v>
      </c>
      <c r="V261" s="2"/>
      <c r="W261" s="2">
        <f>VLOOKUP($A261,'[2]App C Assum'!$A$4:$I$917,5,FALSE)</f>
        <v>10463</v>
      </c>
      <c r="X261" s="2">
        <f>VLOOKUP($A261,'[2]App C Assum'!$A$4:$I$917,6,FALSE)</f>
        <v>8572</v>
      </c>
      <c r="Y261" s="2">
        <f>VLOOKUP($A261,'[2]App C Assum'!$A$4:$I$917,7,FALSE)</f>
        <v>6959</v>
      </c>
      <c r="Z261" s="2">
        <f>VLOOKUP($A261,'[2]App C Assum'!$A$4:$I$917,8,FALSE)</f>
        <v>0</v>
      </c>
      <c r="AA261" s="2">
        <f>VLOOKUP($A261,'[2]App C Assum'!$A$4:$I$917,9,FALSE)</f>
        <v>0</v>
      </c>
      <c r="AB261" s="2"/>
      <c r="AC261" s="2">
        <f>VLOOKUP($A261,'[2]App C Share Outflows'!$A$4:$I$917,5,FALSE)</f>
        <v>5381</v>
      </c>
      <c r="AD261" s="2">
        <f>VLOOKUP($A261,'[2]App C Share Outflows'!$A$4:$I$917,6,FALSE)</f>
        <v>3073</v>
      </c>
      <c r="AE261" s="2">
        <f>VLOOKUP($A261,'[2]App C Share Outflows'!$A$4:$I$917,7,FALSE)</f>
        <v>1747</v>
      </c>
      <c r="AF261" s="2">
        <f>VLOOKUP($A261,'[2]App C Share Outflows'!$A$4:$I$917,8,FALSE)</f>
        <v>382</v>
      </c>
      <c r="AG261" s="2">
        <f>VLOOKUP($A261,'[2]App C Share Outflows'!$A$4:$I$917,9,FALSE)</f>
        <v>0</v>
      </c>
      <c r="AH261" s="2"/>
      <c r="AI261" s="2">
        <f>VLOOKUP($A261,'[2]App C Share Inflows'!$A$4:$I$917,5,FALSE)</f>
        <v>0</v>
      </c>
      <c r="AJ261" s="2">
        <f>VLOOKUP($A261,'[2]App C Share Inflows'!$A$4:$I$917,6,FALSE)</f>
        <v>0</v>
      </c>
      <c r="AK261" s="2">
        <f>VLOOKUP($A261,'[2]App C Share Inflows'!$A$4:$I$917,7,FALSE)</f>
        <v>0</v>
      </c>
      <c r="AL261" s="2">
        <f>VLOOKUP($A261,'[2]App C Share Inflows'!$A$4:$I$917,8,FALSE)</f>
        <v>0</v>
      </c>
      <c r="AM261" s="2">
        <f>VLOOKUP($A261,'[2]App C Share Inflows'!$A$4:$I$917,6,FALSE)</f>
        <v>0</v>
      </c>
    </row>
    <row r="262" spans="1:39">
      <c r="A262" s="351">
        <v>92501</v>
      </c>
      <c r="B262" s="344" t="s">
        <v>953</v>
      </c>
      <c r="C262" s="235" t="e">
        <f>VLOOKUP(A262,#REF!,10,FALSE)</f>
        <v>#REF!</v>
      </c>
      <c r="E262" s="2">
        <f>VLOOKUP($A262,'[2]App C Total'!$A$4:$I$917,5,FALSE)</f>
        <v>1883183</v>
      </c>
      <c r="F262" s="2">
        <f>VLOOKUP($A262,'[2]App C Total'!$A$4:$I$917,6,FALSE)</f>
        <v>627480</v>
      </c>
      <c r="G262" s="2">
        <f>VLOOKUP($A262,'[2]App C Total'!$A$4:$I$917,7,FALSE)</f>
        <v>1024813</v>
      </c>
      <c r="H262" s="2">
        <f>VLOOKUP($A262,'[2]App C Total'!$A$4:$I$917,8,FALSE)</f>
        <v>301797</v>
      </c>
      <c r="I262" s="2">
        <f>VLOOKUP($A262,'[2]App C Total'!$A$4:$I$917,9,FALSE)</f>
        <v>0</v>
      </c>
      <c r="J262" s="2"/>
      <c r="K262" s="2">
        <f>VLOOKUP($A262,'[2]App C Exp'!$A$4:$I$917,5,FALSE)</f>
        <v>555125</v>
      </c>
      <c r="L262" s="2">
        <f>VLOOKUP($A262,'[2]App C Exp'!$A$4:$I$917,6,FALSE)</f>
        <v>522193</v>
      </c>
      <c r="M262" s="2">
        <f>VLOOKUP($A262,'[2]App C Exp'!$A$4:$I$917,7,FALSE)</f>
        <v>468036</v>
      </c>
      <c r="N262" s="2">
        <f>VLOOKUP($A262,'[2]App C Exp'!$A$4:$I$917,8,FALSE)</f>
        <v>187396</v>
      </c>
      <c r="O262" s="2">
        <f>VLOOKUP($A262,'[2]App C Exp'!$A$4:$I$917,9,FALSE)</f>
        <v>0</v>
      </c>
      <c r="P262" s="2"/>
      <c r="Q262" s="2">
        <f>VLOOKUP($A262,'[2]App C Inv'!$A$4:$I$917,5,FALSE)</f>
        <v>589342</v>
      </c>
      <c r="R262" s="2">
        <f>VLOOKUP($A262,'[2]App C Inv'!$A$4:$I$917,6,FALSE)</f>
        <v>-506945</v>
      </c>
      <c r="S262" s="2">
        <f>VLOOKUP($A262,'[2]App C Inv'!$A$4:$I$917,7,FALSE)</f>
        <v>71448</v>
      </c>
      <c r="T262" s="2">
        <f>VLOOKUP($A262,'[2]App C Inv'!$A$4:$I$917,8,FALSE)</f>
        <v>92988</v>
      </c>
      <c r="U262" s="2">
        <f>VLOOKUP($A262,'[2]App C Inv'!$A$4:$I$917,9,FALSE)</f>
        <v>0</v>
      </c>
      <c r="V262" s="2"/>
      <c r="W262" s="2">
        <f>VLOOKUP($A262,'[2]App C Assum'!$A$4:$I$917,5,FALSE)</f>
        <v>663903</v>
      </c>
      <c r="X262" s="2">
        <f>VLOOKUP($A262,'[2]App C Assum'!$A$4:$I$917,6,FALSE)</f>
        <v>543893</v>
      </c>
      <c r="Y262" s="2">
        <f>VLOOKUP($A262,'[2]App C Assum'!$A$4:$I$917,7,FALSE)</f>
        <v>441548</v>
      </c>
      <c r="Z262" s="2">
        <f>VLOOKUP($A262,'[2]App C Assum'!$A$4:$I$917,8,FALSE)</f>
        <v>0</v>
      </c>
      <c r="AA262" s="2">
        <f>VLOOKUP($A262,'[2]App C Assum'!$A$4:$I$917,9,FALSE)</f>
        <v>0</v>
      </c>
      <c r="AB262" s="2"/>
      <c r="AC262" s="2">
        <f>VLOOKUP($A262,'[2]App C Share Outflows'!$A$4:$I$917,5,FALSE)</f>
        <v>74813</v>
      </c>
      <c r="AD262" s="2">
        <f>VLOOKUP($A262,'[2]App C Share Outflows'!$A$4:$I$917,6,FALSE)</f>
        <v>68339</v>
      </c>
      <c r="AE262" s="2">
        <f>VLOOKUP($A262,'[2]App C Share Outflows'!$A$4:$I$917,7,FALSE)</f>
        <v>43781</v>
      </c>
      <c r="AF262" s="2">
        <f>VLOOKUP($A262,'[2]App C Share Outflows'!$A$4:$I$917,8,FALSE)</f>
        <v>21413</v>
      </c>
      <c r="AG262" s="2">
        <f>VLOOKUP($A262,'[2]App C Share Outflows'!$A$4:$I$917,9,FALSE)</f>
        <v>0</v>
      </c>
      <c r="AH262" s="2"/>
      <c r="AI262" s="2">
        <f>VLOOKUP($A262,'[2]App C Share Inflows'!$A$4:$I$917,5,FALSE)</f>
        <v>0</v>
      </c>
      <c r="AJ262" s="2">
        <f>VLOOKUP($A262,'[2]App C Share Inflows'!$A$4:$I$917,6,FALSE)</f>
        <v>0</v>
      </c>
      <c r="AK262" s="2">
        <f>VLOOKUP($A262,'[2]App C Share Inflows'!$A$4:$I$917,7,FALSE)</f>
        <v>0</v>
      </c>
      <c r="AL262" s="2">
        <f>VLOOKUP($A262,'[2]App C Share Inflows'!$A$4:$I$917,8,FALSE)</f>
        <v>0</v>
      </c>
      <c r="AM262" s="2">
        <f>VLOOKUP($A262,'[2]App C Share Inflows'!$A$4:$I$917,6,FALSE)</f>
        <v>0</v>
      </c>
    </row>
    <row r="263" spans="1:39">
      <c r="A263" s="351">
        <v>92502</v>
      </c>
      <c r="B263" s="344" t="s">
        <v>3663</v>
      </c>
      <c r="C263" s="235" t="e">
        <f>VLOOKUP(A263,#REF!,10,FALSE)</f>
        <v>#REF!</v>
      </c>
      <c r="E263" s="2">
        <f>VLOOKUP($A263,'[2]App C Total'!$A$4:$I$917,5,FALSE)</f>
        <v>13229</v>
      </c>
      <c r="F263" s="2">
        <f>VLOOKUP($A263,'[2]App C Total'!$A$4:$I$917,6,FALSE)</f>
        <v>4196</v>
      </c>
      <c r="G263" s="2">
        <f>VLOOKUP($A263,'[2]App C Total'!$A$4:$I$917,7,FALSE)</f>
        <v>6792</v>
      </c>
      <c r="H263" s="2">
        <f>VLOOKUP($A263,'[2]App C Total'!$A$4:$I$917,8,FALSE)</f>
        <v>2122</v>
      </c>
      <c r="I263" s="2">
        <f>VLOOKUP($A263,'[2]App C Total'!$A$4:$I$917,9,FALSE)</f>
        <v>0</v>
      </c>
      <c r="J263" s="2"/>
      <c r="K263" s="2">
        <f>VLOOKUP($A263,'[2]App C Exp'!$A$4:$I$917,5,FALSE)</f>
        <v>3535</v>
      </c>
      <c r="L263" s="2">
        <f>VLOOKUP($A263,'[2]App C Exp'!$A$4:$I$917,6,FALSE)</f>
        <v>3326</v>
      </c>
      <c r="M263" s="2">
        <f>VLOOKUP($A263,'[2]App C Exp'!$A$4:$I$917,7,FALSE)</f>
        <v>2981</v>
      </c>
      <c r="N263" s="2">
        <f>VLOOKUP($A263,'[2]App C Exp'!$A$4:$I$917,8,FALSE)</f>
        <v>1193</v>
      </c>
      <c r="O263" s="2">
        <f>VLOOKUP($A263,'[2]App C Exp'!$A$4:$I$917,9,FALSE)</f>
        <v>0</v>
      </c>
      <c r="P263" s="2"/>
      <c r="Q263" s="2">
        <f>VLOOKUP($A263,'[2]App C Inv'!$A$4:$I$917,5,FALSE)</f>
        <v>3753</v>
      </c>
      <c r="R263" s="2">
        <f>VLOOKUP($A263,'[2]App C Inv'!$A$4:$I$917,6,FALSE)</f>
        <v>-3229</v>
      </c>
      <c r="S263" s="2">
        <f>VLOOKUP($A263,'[2]App C Inv'!$A$4:$I$917,7,FALSE)</f>
        <v>455</v>
      </c>
      <c r="T263" s="2">
        <f>VLOOKUP($A263,'[2]App C Inv'!$A$4:$I$917,8,FALSE)</f>
        <v>592</v>
      </c>
      <c r="U263" s="2">
        <f>VLOOKUP($A263,'[2]App C Inv'!$A$4:$I$917,9,FALSE)</f>
        <v>0</v>
      </c>
      <c r="V263" s="2"/>
      <c r="W263" s="2">
        <f>VLOOKUP($A263,'[2]App C Assum'!$A$4:$I$917,5,FALSE)</f>
        <v>4228</v>
      </c>
      <c r="X263" s="2">
        <f>VLOOKUP($A263,'[2]App C Assum'!$A$4:$I$917,6,FALSE)</f>
        <v>3464</v>
      </c>
      <c r="Y263" s="2">
        <f>VLOOKUP($A263,'[2]App C Assum'!$A$4:$I$917,7,FALSE)</f>
        <v>2812</v>
      </c>
      <c r="Z263" s="2">
        <f>VLOOKUP($A263,'[2]App C Assum'!$A$4:$I$917,8,FALSE)</f>
        <v>0</v>
      </c>
      <c r="AA263" s="2">
        <f>VLOOKUP($A263,'[2]App C Assum'!$A$4:$I$917,9,FALSE)</f>
        <v>0</v>
      </c>
      <c r="AB263" s="2"/>
      <c r="AC263" s="2">
        <f>VLOOKUP($A263,'[2]App C Share Outflows'!$A$4:$I$917,5,FALSE)</f>
        <v>1713</v>
      </c>
      <c r="AD263" s="2">
        <f>VLOOKUP($A263,'[2]App C Share Outflows'!$A$4:$I$917,6,FALSE)</f>
        <v>635</v>
      </c>
      <c r="AE263" s="2">
        <f>VLOOKUP($A263,'[2]App C Share Outflows'!$A$4:$I$917,7,FALSE)</f>
        <v>544</v>
      </c>
      <c r="AF263" s="2">
        <f>VLOOKUP($A263,'[2]App C Share Outflows'!$A$4:$I$917,8,FALSE)</f>
        <v>337</v>
      </c>
      <c r="AG263" s="2">
        <f>VLOOKUP($A263,'[2]App C Share Outflows'!$A$4:$I$917,9,FALSE)</f>
        <v>0</v>
      </c>
      <c r="AH263" s="2"/>
      <c r="AI263" s="2">
        <f>VLOOKUP($A263,'[2]App C Share Inflows'!$A$4:$I$917,5,FALSE)</f>
        <v>0</v>
      </c>
      <c r="AJ263" s="2">
        <f>VLOOKUP($A263,'[2]App C Share Inflows'!$A$4:$I$917,6,FALSE)</f>
        <v>0</v>
      </c>
      <c r="AK263" s="2">
        <f>VLOOKUP($A263,'[2]App C Share Inflows'!$A$4:$I$917,7,FALSE)</f>
        <v>0</v>
      </c>
      <c r="AL263" s="2">
        <f>VLOOKUP($A263,'[2]App C Share Inflows'!$A$4:$I$917,8,FALSE)</f>
        <v>0</v>
      </c>
      <c r="AM263" s="2">
        <f>VLOOKUP($A263,'[2]App C Share Inflows'!$A$4:$I$917,6,FALSE)</f>
        <v>0</v>
      </c>
    </row>
    <row r="264" spans="1:39">
      <c r="A264" s="351">
        <v>92504</v>
      </c>
      <c r="B264" s="344" t="s">
        <v>3664</v>
      </c>
      <c r="C264" s="235" t="e">
        <f>VLOOKUP(A264,#REF!,10,FALSE)</f>
        <v>#REF!</v>
      </c>
      <c r="E264" s="2">
        <f>VLOOKUP($A264,'[2]App C Total'!$A$4:$I$917,5,FALSE)</f>
        <v>46748</v>
      </c>
      <c r="F264" s="2">
        <f>VLOOKUP($A264,'[2]App C Total'!$A$4:$I$917,6,FALSE)</f>
        <v>19562</v>
      </c>
      <c r="G264" s="2">
        <f>VLOOKUP($A264,'[2]App C Total'!$A$4:$I$917,7,FALSE)</f>
        <v>24129</v>
      </c>
      <c r="H264" s="2">
        <f>VLOOKUP($A264,'[2]App C Total'!$A$4:$I$917,8,FALSE)</f>
        <v>8282</v>
      </c>
      <c r="I264" s="2">
        <f>VLOOKUP($A264,'[2]App C Total'!$A$4:$I$917,9,FALSE)</f>
        <v>0</v>
      </c>
      <c r="J264" s="2"/>
      <c r="K264" s="2">
        <f>VLOOKUP($A264,'[2]App C Exp'!$A$4:$I$917,5,FALSE)</f>
        <v>11430</v>
      </c>
      <c r="L264" s="2">
        <f>VLOOKUP($A264,'[2]App C Exp'!$A$4:$I$917,6,FALSE)</f>
        <v>10752</v>
      </c>
      <c r="M264" s="2">
        <f>VLOOKUP($A264,'[2]App C Exp'!$A$4:$I$917,7,FALSE)</f>
        <v>9637</v>
      </c>
      <c r="N264" s="2">
        <f>VLOOKUP($A264,'[2]App C Exp'!$A$4:$I$917,8,FALSE)</f>
        <v>3859</v>
      </c>
      <c r="O264" s="2">
        <f>VLOOKUP($A264,'[2]App C Exp'!$A$4:$I$917,9,FALSE)</f>
        <v>0</v>
      </c>
      <c r="P264" s="2"/>
      <c r="Q264" s="2">
        <f>VLOOKUP($A264,'[2]App C Inv'!$A$4:$I$917,5,FALSE)</f>
        <v>12135</v>
      </c>
      <c r="R264" s="2">
        <f>VLOOKUP($A264,'[2]App C Inv'!$A$4:$I$917,6,FALSE)</f>
        <v>-10438</v>
      </c>
      <c r="S264" s="2">
        <f>VLOOKUP($A264,'[2]App C Inv'!$A$4:$I$917,7,FALSE)</f>
        <v>1471</v>
      </c>
      <c r="T264" s="2">
        <f>VLOOKUP($A264,'[2]App C Inv'!$A$4:$I$917,8,FALSE)</f>
        <v>1915</v>
      </c>
      <c r="U264" s="2">
        <f>VLOOKUP($A264,'[2]App C Inv'!$A$4:$I$917,9,FALSE)</f>
        <v>0</v>
      </c>
      <c r="V264" s="2"/>
      <c r="W264" s="2">
        <f>VLOOKUP($A264,'[2]App C Assum'!$A$4:$I$917,5,FALSE)</f>
        <v>13670</v>
      </c>
      <c r="X264" s="2">
        <f>VLOOKUP($A264,'[2]App C Assum'!$A$4:$I$917,6,FALSE)</f>
        <v>11199</v>
      </c>
      <c r="Y264" s="2">
        <f>VLOOKUP($A264,'[2]App C Assum'!$A$4:$I$917,7,FALSE)</f>
        <v>9092</v>
      </c>
      <c r="Z264" s="2">
        <f>VLOOKUP($A264,'[2]App C Assum'!$A$4:$I$917,8,FALSE)</f>
        <v>0</v>
      </c>
      <c r="AA264" s="2">
        <f>VLOOKUP($A264,'[2]App C Assum'!$A$4:$I$917,9,FALSE)</f>
        <v>0</v>
      </c>
      <c r="AB264" s="2"/>
      <c r="AC264" s="2">
        <f>VLOOKUP($A264,'[2]App C Share Outflows'!$A$4:$I$917,5,FALSE)</f>
        <v>9513</v>
      </c>
      <c r="AD264" s="2">
        <f>VLOOKUP($A264,'[2]App C Share Outflows'!$A$4:$I$917,6,FALSE)</f>
        <v>8049</v>
      </c>
      <c r="AE264" s="2">
        <f>VLOOKUP($A264,'[2]App C Share Outflows'!$A$4:$I$917,7,FALSE)</f>
        <v>3929</v>
      </c>
      <c r="AF264" s="2">
        <f>VLOOKUP($A264,'[2]App C Share Outflows'!$A$4:$I$917,8,FALSE)</f>
        <v>2508</v>
      </c>
      <c r="AG264" s="2">
        <f>VLOOKUP($A264,'[2]App C Share Outflows'!$A$4:$I$917,9,FALSE)</f>
        <v>0</v>
      </c>
      <c r="AH264" s="2"/>
      <c r="AI264" s="2">
        <f>VLOOKUP($A264,'[2]App C Share Inflows'!$A$4:$I$917,5,FALSE)</f>
        <v>0</v>
      </c>
      <c r="AJ264" s="2">
        <f>VLOOKUP($A264,'[2]App C Share Inflows'!$A$4:$I$917,6,FALSE)</f>
        <v>0</v>
      </c>
      <c r="AK264" s="2">
        <f>VLOOKUP($A264,'[2]App C Share Inflows'!$A$4:$I$917,7,FALSE)</f>
        <v>0</v>
      </c>
      <c r="AL264" s="2">
        <f>VLOOKUP($A264,'[2]App C Share Inflows'!$A$4:$I$917,8,FALSE)</f>
        <v>0</v>
      </c>
      <c r="AM264" s="2">
        <f>VLOOKUP($A264,'[2]App C Share Inflows'!$A$4:$I$917,6,FALSE)</f>
        <v>0</v>
      </c>
    </row>
    <row r="265" spans="1:39">
      <c r="A265" s="351">
        <v>92505</v>
      </c>
      <c r="B265" s="344" t="s">
        <v>956</v>
      </c>
      <c r="C265" s="235" t="e">
        <f>VLOOKUP(A265,#REF!,10,FALSE)</f>
        <v>#REF!</v>
      </c>
      <c r="E265" s="2">
        <f>VLOOKUP($A265,'[2]App C Total'!$A$4:$I$917,5,FALSE)</f>
        <v>106928</v>
      </c>
      <c r="F265" s="2">
        <f>VLOOKUP($A265,'[2]App C Total'!$A$4:$I$917,6,FALSE)</f>
        <v>45235</v>
      </c>
      <c r="G265" s="2">
        <f>VLOOKUP($A265,'[2]App C Total'!$A$4:$I$917,7,FALSE)</f>
        <v>57644</v>
      </c>
      <c r="H265" s="2">
        <f>VLOOKUP($A265,'[2]App C Total'!$A$4:$I$917,8,FALSE)</f>
        <v>19330</v>
      </c>
      <c r="I265" s="2">
        <f>VLOOKUP($A265,'[2]App C Total'!$A$4:$I$917,9,FALSE)</f>
        <v>0</v>
      </c>
      <c r="J265" s="2"/>
      <c r="K265" s="2">
        <f>VLOOKUP($A265,'[2]App C Exp'!$A$4:$I$917,5,FALSE)</f>
        <v>25602</v>
      </c>
      <c r="L265" s="2">
        <f>VLOOKUP($A265,'[2]App C Exp'!$A$4:$I$917,6,FALSE)</f>
        <v>24083</v>
      </c>
      <c r="M265" s="2">
        <f>VLOOKUP($A265,'[2]App C Exp'!$A$4:$I$917,7,FALSE)</f>
        <v>21586</v>
      </c>
      <c r="N265" s="2">
        <f>VLOOKUP($A265,'[2]App C Exp'!$A$4:$I$917,8,FALSE)</f>
        <v>8643</v>
      </c>
      <c r="O265" s="2">
        <f>VLOOKUP($A265,'[2]App C Exp'!$A$4:$I$917,9,FALSE)</f>
        <v>0</v>
      </c>
      <c r="P265" s="2"/>
      <c r="Q265" s="2">
        <f>VLOOKUP($A265,'[2]App C Inv'!$A$4:$I$917,5,FALSE)</f>
        <v>27180</v>
      </c>
      <c r="R265" s="2">
        <f>VLOOKUP($A265,'[2]App C Inv'!$A$4:$I$917,6,FALSE)</f>
        <v>-23380</v>
      </c>
      <c r="S265" s="2">
        <f>VLOOKUP($A265,'[2]App C Inv'!$A$4:$I$917,7,FALSE)</f>
        <v>3295</v>
      </c>
      <c r="T265" s="2">
        <f>VLOOKUP($A265,'[2]App C Inv'!$A$4:$I$917,8,FALSE)</f>
        <v>4289</v>
      </c>
      <c r="U265" s="2">
        <f>VLOOKUP($A265,'[2]App C Inv'!$A$4:$I$917,9,FALSE)</f>
        <v>0</v>
      </c>
      <c r="V265" s="2"/>
      <c r="W265" s="2">
        <f>VLOOKUP($A265,'[2]App C Assum'!$A$4:$I$917,5,FALSE)</f>
        <v>30619</v>
      </c>
      <c r="X265" s="2">
        <f>VLOOKUP($A265,'[2]App C Assum'!$A$4:$I$917,6,FALSE)</f>
        <v>25084</v>
      </c>
      <c r="Y265" s="2">
        <f>VLOOKUP($A265,'[2]App C Assum'!$A$4:$I$917,7,FALSE)</f>
        <v>20364</v>
      </c>
      <c r="Z265" s="2">
        <f>VLOOKUP($A265,'[2]App C Assum'!$A$4:$I$917,8,FALSE)</f>
        <v>0</v>
      </c>
      <c r="AA265" s="2">
        <f>VLOOKUP($A265,'[2]App C Assum'!$A$4:$I$917,9,FALSE)</f>
        <v>0</v>
      </c>
      <c r="AB265" s="2"/>
      <c r="AC265" s="2">
        <f>VLOOKUP($A265,'[2]App C Share Outflows'!$A$4:$I$917,5,FALSE)</f>
        <v>23527</v>
      </c>
      <c r="AD265" s="2">
        <f>VLOOKUP($A265,'[2]App C Share Outflows'!$A$4:$I$917,6,FALSE)</f>
        <v>19448</v>
      </c>
      <c r="AE265" s="2">
        <f>VLOOKUP($A265,'[2]App C Share Outflows'!$A$4:$I$917,7,FALSE)</f>
        <v>12399</v>
      </c>
      <c r="AF265" s="2">
        <f>VLOOKUP($A265,'[2]App C Share Outflows'!$A$4:$I$917,8,FALSE)</f>
        <v>6398</v>
      </c>
      <c r="AG265" s="2">
        <f>VLOOKUP($A265,'[2]App C Share Outflows'!$A$4:$I$917,9,FALSE)</f>
        <v>0</v>
      </c>
      <c r="AH265" s="2"/>
      <c r="AI265" s="2">
        <f>VLOOKUP($A265,'[2]App C Share Inflows'!$A$4:$I$917,5,FALSE)</f>
        <v>0</v>
      </c>
      <c r="AJ265" s="2">
        <f>VLOOKUP($A265,'[2]App C Share Inflows'!$A$4:$I$917,6,FALSE)</f>
        <v>0</v>
      </c>
      <c r="AK265" s="2">
        <f>VLOOKUP($A265,'[2]App C Share Inflows'!$A$4:$I$917,7,FALSE)</f>
        <v>0</v>
      </c>
      <c r="AL265" s="2">
        <f>VLOOKUP($A265,'[2]App C Share Inflows'!$A$4:$I$917,8,FALSE)</f>
        <v>0</v>
      </c>
      <c r="AM265" s="2">
        <f>VLOOKUP($A265,'[2]App C Share Inflows'!$A$4:$I$917,6,FALSE)</f>
        <v>0</v>
      </c>
    </row>
    <row r="266" spans="1:39">
      <c r="A266" s="351">
        <v>92506</v>
      </c>
      <c r="B266" s="344" t="s">
        <v>957</v>
      </c>
      <c r="C266" s="235" t="e">
        <f>VLOOKUP(A266,#REF!,10,FALSE)</f>
        <v>#REF!</v>
      </c>
      <c r="E266" s="2">
        <f>VLOOKUP($A266,'[2]App C Total'!$A$4:$I$917,5,FALSE)</f>
        <v>32405</v>
      </c>
      <c r="F266" s="2">
        <f>VLOOKUP($A266,'[2]App C Total'!$A$4:$I$917,6,FALSE)</f>
        <v>12699</v>
      </c>
      <c r="G266" s="2">
        <f>VLOOKUP($A266,'[2]App C Total'!$A$4:$I$917,7,FALSE)</f>
        <v>17233</v>
      </c>
      <c r="H266" s="2">
        <f>VLOOKUP($A266,'[2]App C Total'!$A$4:$I$917,8,FALSE)</f>
        <v>3737</v>
      </c>
      <c r="I266" s="2">
        <f>VLOOKUP($A266,'[2]App C Total'!$A$4:$I$917,9,FALSE)</f>
        <v>0</v>
      </c>
      <c r="J266" s="2"/>
      <c r="K266" s="2">
        <f>VLOOKUP($A266,'[2]App C Exp'!$A$4:$I$917,5,FALSE)</f>
        <v>8060</v>
      </c>
      <c r="L266" s="2">
        <f>VLOOKUP($A266,'[2]App C Exp'!$A$4:$I$917,6,FALSE)</f>
        <v>7581</v>
      </c>
      <c r="M266" s="2">
        <f>VLOOKUP($A266,'[2]App C Exp'!$A$4:$I$917,7,FALSE)</f>
        <v>6795</v>
      </c>
      <c r="N266" s="2">
        <f>VLOOKUP($A266,'[2]App C Exp'!$A$4:$I$917,8,FALSE)</f>
        <v>2721</v>
      </c>
      <c r="O266" s="2">
        <f>VLOOKUP($A266,'[2]App C Exp'!$A$4:$I$917,9,FALSE)</f>
        <v>0</v>
      </c>
      <c r="P266" s="2"/>
      <c r="Q266" s="2">
        <f>VLOOKUP($A266,'[2]App C Inv'!$A$4:$I$917,5,FALSE)</f>
        <v>8556</v>
      </c>
      <c r="R266" s="2">
        <f>VLOOKUP($A266,'[2]App C Inv'!$A$4:$I$917,6,FALSE)</f>
        <v>-7360</v>
      </c>
      <c r="S266" s="2">
        <f>VLOOKUP($A266,'[2]App C Inv'!$A$4:$I$917,7,FALSE)</f>
        <v>1037</v>
      </c>
      <c r="T266" s="2">
        <f>VLOOKUP($A266,'[2]App C Inv'!$A$4:$I$917,8,FALSE)</f>
        <v>1350</v>
      </c>
      <c r="U266" s="2">
        <f>VLOOKUP($A266,'[2]App C Inv'!$A$4:$I$917,9,FALSE)</f>
        <v>0</v>
      </c>
      <c r="V266" s="2"/>
      <c r="W266" s="2">
        <f>VLOOKUP($A266,'[2]App C Assum'!$A$4:$I$917,5,FALSE)</f>
        <v>9639</v>
      </c>
      <c r="X266" s="2">
        <f>VLOOKUP($A266,'[2]App C Assum'!$A$4:$I$917,6,FALSE)</f>
        <v>7897</v>
      </c>
      <c r="Y266" s="2">
        <f>VLOOKUP($A266,'[2]App C Assum'!$A$4:$I$917,7,FALSE)</f>
        <v>6411</v>
      </c>
      <c r="Z266" s="2">
        <f>VLOOKUP($A266,'[2]App C Assum'!$A$4:$I$917,8,FALSE)</f>
        <v>0</v>
      </c>
      <c r="AA266" s="2">
        <f>VLOOKUP($A266,'[2]App C Assum'!$A$4:$I$917,9,FALSE)</f>
        <v>0</v>
      </c>
      <c r="AB266" s="2"/>
      <c r="AC266" s="2">
        <f>VLOOKUP($A266,'[2]App C Share Outflows'!$A$4:$I$917,5,FALSE)</f>
        <v>6483</v>
      </c>
      <c r="AD266" s="2">
        <f>VLOOKUP($A266,'[2]App C Share Outflows'!$A$4:$I$917,6,FALSE)</f>
        <v>4914</v>
      </c>
      <c r="AE266" s="2">
        <f>VLOOKUP($A266,'[2]App C Share Outflows'!$A$4:$I$917,7,FALSE)</f>
        <v>3323</v>
      </c>
      <c r="AF266" s="2">
        <f>VLOOKUP($A266,'[2]App C Share Outflows'!$A$4:$I$917,8,FALSE)</f>
        <v>0</v>
      </c>
      <c r="AG266" s="2">
        <f>VLOOKUP($A266,'[2]App C Share Outflows'!$A$4:$I$917,9,FALSE)</f>
        <v>0</v>
      </c>
      <c r="AH266" s="2"/>
      <c r="AI266" s="2">
        <f>VLOOKUP($A266,'[2]App C Share Inflows'!$A$4:$I$917,5,FALSE)</f>
        <v>-333</v>
      </c>
      <c r="AJ266" s="2">
        <f>VLOOKUP($A266,'[2]App C Share Inflows'!$A$4:$I$917,6,FALSE)</f>
        <v>-333</v>
      </c>
      <c r="AK266" s="2">
        <f>VLOOKUP($A266,'[2]App C Share Inflows'!$A$4:$I$917,7,FALSE)</f>
        <v>-333</v>
      </c>
      <c r="AL266" s="2">
        <f>VLOOKUP($A266,'[2]App C Share Inflows'!$A$4:$I$917,8,FALSE)</f>
        <v>-334</v>
      </c>
      <c r="AM266" s="2">
        <f>VLOOKUP($A266,'[2]App C Share Inflows'!$A$4:$I$917,6,FALSE)</f>
        <v>-333</v>
      </c>
    </row>
    <row r="267" spans="1:39">
      <c r="A267" s="351">
        <v>92507</v>
      </c>
      <c r="B267" s="344" t="s">
        <v>958</v>
      </c>
      <c r="C267" s="235" t="e">
        <f>VLOOKUP(A267,#REF!,10,FALSE)</f>
        <v>#REF!</v>
      </c>
      <c r="E267" s="2">
        <f>VLOOKUP($A267,'[2]App C Total'!$A$4:$I$917,5,FALSE)</f>
        <v>47558</v>
      </c>
      <c r="F267" s="2">
        <f>VLOOKUP($A267,'[2]App C Total'!$A$4:$I$917,6,FALSE)</f>
        <v>16359</v>
      </c>
      <c r="G267" s="2">
        <f>VLOOKUP($A267,'[2]App C Total'!$A$4:$I$917,7,FALSE)</f>
        <v>25326</v>
      </c>
      <c r="H267" s="2">
        <f>VLOOKUP($A267,'[2]App C Total'!$A$4:$I$917,8,FALSE)</f>
        <v>8098</v>
      </c>
      <c r="I267" s="2">
        <f>VLOOKUP($A267,'[2]App C Total'!$A$4:$I$917,9,FALSE)</f>
        <v>0</v>
      </c>
      <c r="J267" s="2"/>
      <c r="K267" s="2">
        <f>VLOOKUP($A267,'[2]App C Exp'!$A$4:$I$917,5,FALSE)</f>
        <v>15131</v>
      </c>
      <c r="L267" s="2">
        <f>VLOOKUP($A267,'[2]App C Exp'!$A$4:$I$917,6,FALSE)</f>
        <v>14233</v>
      </c>
      <c r="M267" s="2">
        <f>VLOOKUP($A267,'[2]App C Exp'!$A$4:$I$917,7,FALSE)</f>
        <v>12757</v>
      </c>
      <c r="N267" s="2">
        <f>VLOOKUP($A267,'[2]App C Exp'!$A$4:$I$917,8,FALSE)</f>
        <v>5108</v>
      </c>
      <c r="O267" s="2">
        <f>VLOOKUP($A267,'[2]App C Exp'!$A$4:$I$917,9,FALSE)</f>
        <v>0</v>
      </c>
      <c r="P267" s="2"/>
      <c r="Q267" s="2">
        <f>VLOOKUP($A267,'[2]App C Inv'!$A$4:$I$917,5,FALSE)</f>
        <v>16063</v>
      </c>
      <c r="R267" s="2">
        <f>VLOOKUP($A267,'[2]App C Inv'!$A$4:$I$917,6,FALSE)</f>
        <v>-13817</v>
      </c>
      <c r="S267" s="2">
        <f>VLOOKUP($A267,'[2]App C Inv'!$A$4:$I$917,7,FALSE)</f>
        <v>1947</v>
      </c>
      <c r="T267" s="2">
        <f>VLOOKUP($A267,'[2]App C Inv'!$A$4:$I$917,8,FALSE)</f>
        <v>2534</v>
      </c>
      <c r="U267" s="2">
        <f>VLOOKUP($A267,'[2]App C Inv'!$A$4:$I$917,9,FALSE)</f>
        <v>0</v>
      </c>
      <c r="V267" s="2"/>
      <c r="W267" s="2">
        <f>VLOOKUP($A267,'[2]App C Assum'!$A$4:$I$917,5,FALSE)</f>
        <v>18095</v>
      </c>
      <c r="X267" s="2">
        <f>VLOOKUP($A267,'[2]App C Assum'!$A$4:$I$917,6,FALSE)</f>
        <v>14824</v>
      </c>
      <c r="Y267" s="2">
        <f>VLOOKUP($A267,'[2]App C Assum'!$A$4:$I$917,7,FALSE)</f>
        <v>12035</v>
      </c>
      <c r="Z267" s="2">
        <f>VLOOKUP($A267,'[2]App C Assum'!$A$4:$I$917,8,FALSE)</f>
        <v>0</v>
      </c>
      <c r="AA267" s="2">
        <f>VLOOKUP($A267,'[2]App C Assum'!$A$4:$I$917,9,FALSE)</f>
        <v>0</v>
      </c>
      <c r="AB267" s="2"/>
      <c r="AC267" s="2">
        <f>VLOOKUP($A267,'[2]App C Share Outflows'!$A$4:$I$917,5,FALSE)</f>
        <v>2987</v>
      </c>
      <c r="AD267" s="2">
        <f>VLOOKUP($A267,'[2]App C Share Outflows'!$A$4:$I$917,6,FALSE)</f>
        <v>2988</v>
      </c>
      <c r="AE267" s="2">
        <f>VLOOKUP($A267,'[2]App C Share Outflows'!$A$4:$I$917,7,FALSE)</f>
        <v>456</v>
      </c>
      <c r="AF267" s="2">
        <f>VLOOKUP($A267,'[2]App C Share Outflows'!$A$4:$I$917,8,FALSE)</f>
        <v>456</v>
      </c>
      <c r="AG267" s="2">
        <f>VLOOKUP($A267,'[2]App C Share Outflows'!$A$4:$I$917,9,FALSE)</f>
        <v>0</v>
      </c>
      <c r="AH267" s="2"/>
      <c r="AI267" s="2">
        <f>VLOOKUP($A267,'[2]App C Share Inflows'!$A$4:$I$917,5,FALSE)</f>
        <v>-4718</v>
      </c>
      <c r="AJ267" s="2">
        <f>VLOOKUP($A267,'[2]App C Share Inflows'!$A$4:$I$917,6,FALSE)</f>
        <v>-1869</v>
      </c>
      <c r="AK267" s="2">
        <f>VLOOKUP($A267,'[2]App C Share Inflows'!$A$4:$I$917,7,FALSE)</f>
        <v>-1869</v>
      </c>
      <c r="AL267" s="2">
        <f>VLOOKUP($A267,'[2]App C Share Inflows'!$A$4:$I$917,8,FALSE)</f>
        <v>0</v>
      </c>
      <c r="AM267" s="2">
        <f>VLOOKUP($A267,'[2]App C Share Inflows'!$A$4:$I$917,6,FALSE)</f>
        <v>-1869</v>
      </c>
    </row>
    <row r="268" spans="1:39">
      <c r="A268" s="351">
        <v>92508</v>
      </c>
      <c r="B268" s="344" t="s">
        <v>3665</v>
      </c>
      <c r="C268" s="235" t="e">
        <f>VLOOKUP(A268,#REF!,10,FALSE)</f>
        <v>#REF!</v>
      </c>
      <c r="E268" s="2">
        <f>VLOOKUP($A268,'[2]App C Total'!$A$4:$I$917,5,FALSE)</f>
        <v>160214</v>
      </c>
      <c r="F268" s="2">
        <f>VLOOKUP($A268,'[2]App C Total'!$A$4:$I$917,6,FALSE)</f>
        <v>56063</v>
      </c>
      <c r="G268" s="2">
        <f>VLOOKUP($A268,'[2]App C Total'!$A$4:$I$917,7,FALSE)</f>
        <v>90999</v>
      </c>
      <c r="H268" s="2">
        <f>VLOOKUP($A268,'[2]App C Total'!$A$4:$I$917,8,FALSE)</f>
        <v>30918</v>
      </c>
      <c r="I268" s="2">
        <f>VLOOKUP($A268,'[2]App C Total'!$A$4:$I$917,9,FALSE)</f>
        <v>0</v>
      </c>
      <c r="J268" s="2"/>
      <c r="K268" s="2">
        <f>VLOOKUP($A268,'[2]App C Exp'!$A$4:$I$917,5,FALSE)</f>
        <v>46470</v>
      </c>
      <c r="L268" s="2">
        <f>VLOOKUP($A268,'[2]App C Exp'!$A$4:$I$917,6,FALSE)</f>
        <v>43713</v>
      </c>
      <c r="M268" s="2">
        <f>VLOOKUP($A268,'[2]App C Exp'!$A$4:$I$917,7,FALSE)</f>
        <v>39180</v>
      </c>
      <c r="N268" s="2">
        <f>VLOOKUP($A268,'[2]App C Exp'!$A$4:$I$917,8,FALSE)</f>
        <v>15687</v>
      </c>
      <c r="O268" s="2">
        <f>VLOOKUP($A268,'[2]App C Exp'!$A$4:$I$917,9,FALSE)</f>
        <v>0</v>
      </c>
      <c r="P268" s="2"/>
      <c r="Q268" s="2">
        <f>VLOOKUP($A268,'[2]App C Inv'!$A$4:$I$917,5,FALSE)</f>
        <v>49335</v>
      </c>
      <c r="R268" s="2">
        <f>VLOOKUP($A268,'[2]App C Inv'!$A$4:$I$917,6,FALSE)</f>
        <v>-42437</v>
      </c>
      <c r="S268" s="2">
        <f>VLOOKUP($A268,'[2]App C Inv'!$A$4:$I$917,7,FALSE)</f>
        <v>5981</v>
      </c>
      <c r="T268" s="2">
        <f>VLOOKUP($A268,'[2]App C Inv'!$A$4:$I$917,8,FALSE)</f>
        <v>7784</v>
      </c>
      <c r="U268" s="2">
        <f>VLOOKUP($A268,'[2]App C Inv'!$A$4:$I$917,9,FALSE)</f>
        <v>0</v>
      </c>
      <c r="V268" s="2"/>
      <c r="W268" s="2">
        <f>VLOOKUP($A268,'[2]App C Assum'!$A$4:$I$917,5,FALSE)</f>
        <v>55576</v>
      </c>
      <c r="X268" s="2">
        <f>VLOOKUP($A268,'[2]App C Assum'!$A$4:$I$917,6,FALSE)</f>
        <v>45530</v>
      </c>
      <c r="Y268" s="2">
        <f>VLOOKUP($A268,'[2]App C Assum'!$A$4:$I$917,7,FALSE)</f>
        <v>36963</v>
      </c>
      <c r="Z268" s="2">
        <f>VLOOKUP($A268,'[2]App C Assum'!$A$4:$I$917,8,FALSE)</f>
        <v>0</v>
      </c>
      <c r="AA268" s="2">
        <f>VLOOKUP($A268,'[2]App C Assum'!$A$4:$I$917,9,FALSE)</f>
        <v>0</v>
      </c>
      <c r="AB268" s="2"/>
      <c r="AC268" s="2">
        <f>VLOOKUP($A268,'[2]App C Share Outflows'!$A$4:$I$917,5,FALSE)</f>
        <v>9256</v>
      </c>
      <c r="AD268" s="2">
        <f>VLOOKUP($A268,'[2]App C Share Outflows'!$A$4:$I$917,6,FALSE)</f>
        <v>9257</v>
      </c>
      <c r="AE268" s="2">
        <f>VLOOKUP($A268,'[2]App C Share Outflows'!$A$4:$I$917,7,FALSE)</f>
        <v>8875</v>
      </c>
      <c r="AF268" s="2">
        <f>VLOOKUP($A268,'[2]App C Share Outflows'!$A$4:$I$917,8,FALSE)</f>
        <v>7447</v>
      </c>
      <c r="AG268" s="2">
        <f>VLOOKUP($A268,'[2]App C Share Outflows'!$A$4:$I$917,9,FALSE)</f>
        <v>0</v>
      </c>
      <c r="AH268" s="2"/>
      <c r="AI268" s="2">
        <f>VLOOKUP($A268,'[2]App C Share Inflows'!$A$4:$I$917,5,FALSE)</f>
        <v>-423</v>
      </c>
      <c r="AJ268" s="2">
        <f>VLOOKUP($A268,'[2]App C Share Inflows'!$A$4:$I$917,6,FALSE)</f>
        <v>0</v>
      </c>
      <c r="AK268" s="2">
        <f>VLOOKUP($A268,'[2]App C Share Inflows'!$A$4:$I$917,7,FALSE)</f>
        <v>0</v>
      </c>
      <c r="AL268" s="2">
        <f>VLOOKUP($A268,'[2]App C Share Inflows'!$A$4:$I$917,8,FALSE)</f>
        <v>0</v>
      </c>
      <c r="AM268" s="2">
        <f>VLOOKUP($A268,'[2]App C Share Inflows'!$A$4:$I$917,6,FALSE)</f>
        <v>0</v>
      </c>
    </row>
    <row r="269" spans="1:39">
      <c r="A269" s="351">
        <v>92511</v>
      </c>
      <c r="B269" s="344" t="s">
        <v>960</v>
      </c>
      <c r="C269" s="235" t="e">
        <f>VLOOKUP(A269,#REF!,10,FALSE)</f>
        <v>#REF!</v>
      </c>
      <c r="E269" s="2">
        <f>VLOOKUP($A269,'[2]App C Total'!$A$4:$I$917,5,FALSE)</f>
        <v>1732826</v>
      </c>
      <c r="F269" s="2">
        <f>VLOOKUP($A269,'[2]App C Total'!$A$4:$I$917,6,FALSE)</f>
        <v>569271</v>
      </c>
      <c r="G269" s="2">
        <f>VLOOKUP($A269,'[2]App C Total'!$A$4:$I$917,7,FALSE)</f>
        <v>991509</v>
      </c>
      <c r="H269" s="2">
        <f>VLOOKUP($A269,'[2]App C Total'!$A$4:$I$917,8,FALSE)</f>
        <v>313556</v>
      </c>
      <c r="I269" s="2">
        <f>VLOOKUP($A269,'[2]App C Total'!$A$4:$I$917,9,FALSE)</f>
        <v>0</v>
      </c>
      <c r="J269" s="2"/>
      <c r="K269" s="2">
        <f>VLOOKUP($A269,'[2]App C Exp'!$A$4:$I$917,5,FALSE)</f>
        <v>534811</v>
      </c>
      <c r="L269" s="2">
        <f>VLOOKUP($A269,'[2]App C Exp'!$A$4:$I$917,6,FALSE)</f>
        <v>503084</v>
      </c>
      <c r="M269" s="2">
        <f>VLOOKUP($A269,'[2]App C Exp'!$A$4:$I$917,7,FALSE)</f>
        <v>450909</v>
      </c>
      <c r="N269" s="2">
        <f>VLOOKUP($A269,'[2]App C Exp'!$A$4:$I$917,8,FALSE)</f>
        <v>180538</v>
      </c>
      <c r="O269" s="2">
        <f>VLOOKUP($A269,'[2]App C Exp'!$A$4:$I$917,9,FALSE)</f>
        <v>0</v>
      </c>
      <c r="P269" s="2"/>
      <c r="Q269" s="2">
        <f>VLOOKUP($A269,'[2]App C Inv'!$A$4:$I$917,5,FALSE)</f>
        <v>567776</v>
      </c>
      <c r="R269" s="2">
        <f>VLOOKUP($A269,'[2]App C Inv'!$A$4:$I$917,6,FALSE)</f>
        <v>-488394</v>
      </c>
      <c r="S269" s="2">
        <f>VLOOKUP($A269,'[2]App C Inv'!$A$4:$I$917,7,FALSE)</f>
        <v>68833</v>
      </c>
      <c r="T269" s="2">
        <f>VLOOKUP($A269,'[2]App C Inv'!$A$4:$I$917,8,FALSE)</f>
        <v>89586</v>
      </c>
      <c r="U269" s="2">
        <f>VLOOKUP($A269,'[2]App C Inv'!$A$4:$I$917,9,FALSE)</f>
        <v>0</v>
      </c>
      <c r="V269" s="2"/>
      <c r="W269" s="2">
        <f>VLOOKUP($A269,'[2]App C Assum'!$A$4:$I$917,5,FALSE)</f>
        <v>639608</v>
      </c>
      <c r="X269" s="2">
        <f>VLOOKUP($A269,'[2]App C Assum'!$A$4:$I$917,6,FALSE)</f>
        <v>523990</v>
      </c>
      <c r="Y269" s="2">
        <f>VLOOKUP($A269,'[2]App C Assum'!$A$4:$I$917,7,FALSE)</f>
        <v>425390</v>
      </c>
      <c r="Z269" s="2">
        <f>VLOOKUP($A269,'[2]App C Assum'!$A$4:$I$917,8,FALSE)</f>
        <v>0</v>
      </c>
      <c r="AA269" s="2">
        <f>VLOOKUP($A269,'[2]App C Assum'!$A$4:$I$917,9,FALSE)</f>
        <v>0</v>
      </c>
      <c r="AB269" s="2"/>
      <c r="AC269" s="2">
        <f>VLOOKUP($A269,'[2]App C Share Outflows'!$A$4:$I$917,5,FALSE)</f>
        <v>46377</v>
      </c>
      <c r="AD269" s="2">
        <f>VLOOKUP($A269,'[2]App C Share Outflows'!$A$4:$I$917,6,FALSE)</f>
        <v>46377</v>
      </c>
      <c r="AE269" s="2">
        <f>VLOOKUP($A269,'[2]App C Share Outflows'!$A$4:$I$917,7,FALSE)</f>
        <v>46377</v>
      </c>
      <c r="AF269" s="2">
        <f>VLOOKUP($A269,'[2]App C Share Outflows'!$A$4:$I$917,8,FALSE)</f>
        <v>43432</v>
      </c>
      <c r="AG269" s="2">
        <f>VLOOKUP($A269,'[2]App C Share Outflows'!$A$4:$I$917,9,FALSE)</f>
        <v>0</v>
      </c>
      <c r="AH269" s="2"/>
      <c r="AI269" s="2">
        <f>VLOOKUP($A269,'[2]App C Share Inflows'!$A$4:$I$917,5,FALSE)</f>
        <v>-55746</v>
      </c>
      <c r="AJ269" s="2">
        <f>VLOOKUP($A269,'[2]App C Share Inflows'!$A$4:$I$917,6,FALSE)</f>
        <v>-15786</v>
      </c>
      <c r="AK269" s="2">
        <f>VLOOKUP($A269,'[2]App C Share Inflows'!$A$4:$I$917,7,FALSE)</f>
        <v>0</v>
      </c>
      <c r="AL269" s="2">
        <f>VLOOKUP($A269,'[2]App C Share Inflows'!$A$4:$I$917,8,FALSE)</f>
        <v>0</v>
      </c>
      <c r="AM269" s="2">
        <f>VLOOKUP($A269,'[2]App C Share Inflows'!$A$4:$I$917,6,FALSE)</f>
        <v>-15786</v>
      </c>
    </row>
    <row r="270" spans="1:39">
      <c r="A270" s="351">
        <v>92513</v>
      </c>
      <c r="B270" s="344" t="s">
        <v>961</v>
      </c>
      <c r="C270" s="235" t="e">
        <f>VLOOKUP(A270,#REF!,10,FALSE)</f>
        <v>#REF!</v>
      </c>
      <c r="E270" s="2">
        <f>VLOOKUP($A270,'[2]App C Total'!$A$4:$I$917,5,FALSE)</f>
        <v>2270024</v>
      </c>
      <c r="F270" s="2">
        <f>VLOOKUP($A270,'[2]App C Total'!$A$4:$I$917,6,FALSE)</f>
        <v>493411</v>
      </c>
      <c r="G270" s="2">
        <f>VLOOKUP($A270,'[2]App C Total'!$A$4:$I$917,7,FALSE)</f>
        <v>969597</v>
      </c>
      <c r="H270" s="2">
        <f>VLOOKUP($A270,'[2]App C Total'!$A$4:$I$917,8,FALSE)</f>
        <v>275126</v>
      </c>
      <c r="I270" s="2">
        <f>VLOOKUP($A270,'[2]App C Total'!$A$4:$I$917,9,FALSE)</f>
        <v>0</v>
      </c>
      <c r="J270" s="2"/>
      <c r="K270" s="2">
        <f>VLOOKUP($A270,'[2]App C Exp'!$A$4:$I$917,5,FALSE)</f>
        <v>591513</v>
      </c>
      <c r="L270" s="2">
        <f>VLOOKUP($A270,'[2]App C Exp'!$A$4:$I$917,6,FALSE)</f>
        <v>556423</v>
      </c>
      <c r="M270" s="2">
        <f>VLOOKUP($A270,'[2]App C Exp'!$A$4:$I$917,7,FALSE)</f>
        <v>498715</v>
      </c>
      <c r="N270" s="2">
        <f>VLOOKUP($A270,'[2]App C Exp'!$A$4:$I$917,8,FALSE)</f>
        <v>199680</v>
      </c>
      <c r="O270" s="2">
        <f>VLOOKUP($A270,'[2]App C Exp'!$A$4:$I$917,9,FALSE)</f>
        <v>0</v>
      </c>
      <c r="P270" s="2"/>
      <c r="Q270" s="2">
        <f>VLOOKUP($A270,'[2]App C Inv'!$A$4:$I$917,5,FALSE)</f>
        <v>627973</v>
      </c>
      <c r="R270" s="2">
        <f>VLOOKUP($A270,'[2]App C Inv'!$A$4:$I$917,6,FALSE)</f>
        <v>-540175</v>
      </c>
      <c r="S270" s="2">
        <f>VLOOKUP($A270,'[2]App C Inv'!$A$4:$I$917,7,FALSE)</f>
        <v>76131</v>
      </c>
      <c r="T270" s="2">
        <f>VLOOKUP($A270,'[2]App C Inv'!$A$4:$I$917,8,FALSE)</f>
        <v>99084</v>
      </c>
      <c r="U270" s="2">
        <f>VLOOKUP($A270,'[2]App C Inv'!$A$4:$I$917,9,FALSE)</f>
        <v>0</v>
      </c>
      <c r="V270" s="2"/>
      <c r="W270" s="2">
        <f>VLOOKUP($A270,'[2]App C Assum'!$A$4:$I$917,5,FALSE)</f>
        <v>707421</v>
      </c>
      <c r="X270" s="2">
        <f>VLOOKUP($A270,'[2]App C Assum'!$A$4:$I$917,6,FALSE)</f>
        <v>579545</v>
      </c>
      <c r="Y270" s="2">
        <f>VLOOKUP($A270,'[2]App C Assum'!$A$4:$I$917,7,FALSE)</f>
        <v>470491</v>
      </c>
      <c r="Z270" s="2">
        <f>VLOOKUP($A270,'[2]App C Assum'!$A$4:$I$917,8,FALSE)</f>
        <v>0</v>
      </c>
      <c r="AA270" s="2">
        <f>VLOOKUP($A270,'[2]App C Assum'!$A$4:$I$917,9,FALSE)</f>
        <v>0</v>
      </c>
      <c r="AB270" s="2"/>
      <c r="AC270" s="2">
        <f>VLOOKUP($A270,'[2]App C Share Outflows'!$A$4:$I$917,5,FALSE)</f>
        <v>445498</v>
      </c>
      <c r="AD270" s="2">
        <f>VLOOKUP($A270,'[2]App C Share Outflows'!$A$4:$I$917,6,FALSE)</f>
        <v>0</v>
      </c>
      <c r="AE270" s="2">
        <f>VLOOKUP($A270,'[2]App C Share Outflows'!$A$4:$I$917,7,FALSE)</f>
        <v>0</v>
      </c>
      <c r="AF270" s="2">
        <f>VLOOKUP($A270,'[2]App C Share Outflows'!$A$4:$I$917,8,FALSE)</f>
        <v>0</v>
      </c>
      <c r="AG270" s="2">
        <f>VLOOKUP($A270,'[2]App C Share Outflows'!$A$4:$I$917,9,FALSE)</f>
        <v>0</v>
      </c>
      <c r="AH270" s="2"/>
      <c r="AI270" s="2">
        <f>VLOOKUP($A270,'[2]App C Share Inflows'!$A$4:$I$917,5,FALSE)</f>
        <v>-102381</v>
      </c>
      <c r="AJ270" s="2">
        <f>VLOOKUP($A270,'[2]App C Share Inflows'!$A$4:$I$917,6,FALSE)</f>
        <v>-102382</v>
      </c>
      <c r="AK270" s="2">
        <f>VLOOKUP($A270,'[2]App C Share Inflows'!$A$4:$I$917,7,FALSE)</f>
        <v>-75740</v>
      </c>
      <c r="AL270" s="2">
        <f>VLOOKUP($A270,'[2]App C Share Inflows'!$A$4:$I$917,8,FALSE)</f>
        <v>-23638</v>
      </c>
      <c r="AM270" s="2">
        <f>VLOOKUP($A270,'[2]App C Share Inflows'!$A$4:$I$917,6,FALSE)</f>
        <v>-102382</v>
      </c>
    </row>
    <row r="271" spans="1:39">
      <c r="A271" s="351">
        <v>92521</v>
      </c>
      <c r="B271" s="344" t="s">
        <v>962</v>
      </c>
      <c r="C271" s="235" t="e">
        <f>VLOOKUP(A271,#REF!,10,FALSE)</f>
        <v>#REF!</v>
      </c>
      <c r="E271" s="2">
        <f>VLOOKUP($A271,'[2]App C Total'!$A$4:$I$917,5,FALSE)</f>
        <v>33044</v>
      </c>
      <c r="F271" s="2">
        <f>VLOOKUP($A271,'[2]App C Total'!$A$4:$I$917,6,FALSE)</f>
        <v>8507</v>
      </c>
      <c r="G271" s="2">
        <f>VLOOKUP($A271,'[2]App C Total'!$A$4:$I$917,7,FALSE)</f>
        <v>18310</v>
      </c>
      <c r="H271" s="2">
        <f>VLOOKUP($A271,'[2]App C Total'!$A$4:$I$917,8,FALSE)</f>
        <v>4113</v>
      </c>
      <c r="I271" s="2">
        <f>VLOOKUP($A271,'[2]App C Total'!$A$4:$I$917,9,FALSE)</f>
        <v>0</v>
      </c>
      <c r="J271" s="2"/>
      <c r="K271" s="2">
        <f>VLOOKUP($A271,'[2]App C Exp'!$A$4:$I$917,5,FALSE)</f>
        <v>11595</v>
      </c>
      <c r="L271" s="2">
        <f>VLOOKUP($A271,'[2]App C Exp'!$A$4:$I$917,6,FALSE)</f>
        <v>10907</v>
      </c>
      <c r="M271" s="2">
        <f>VLOOKUP($A271,'[2]App C Exp'!$A$4:$I$917,7,FALSE)</f>
        <v>9776</v>
      </c>
      <c r="N271" s="2">
        <f>VLOOKUP($A271,'[2]App C Exp'!$A$4:$I$917,8,FALSE)</f>
        <v>3914</v>
      </c>
      <c r="O271" s="2">
        <f>VLOOKUP($A271,'[2]App C Exp'!$A$4:$I$917,9,FALSE)</f>
        <v>0</v>
      </c>
      <c r="P271" s="2"/>
      <c r="Q271" s="2">
        <f>VLOOKUP($A271,'[2]App C Inv'!$A$4:$I$917,5,FALSE)</f>
        <v>12310</v>
      </c>
      <c r="R271" s="2">
        <f>VLOOKUP($A271,'[2]App C Inv'!$A$4:$I$917,6,FALSE)</f>
        <v>-10589</v>
      </c>
      <c r="S271" s="2">
        <f>VLOOKUP($A271,'[2]App C Inv'!$A$4:$I$917,7,FALSE)</f>
        <v>1492</v>
      </c>
      <c r="T271" s="2">
        <f>VLOOKUP($A271,'[2]App C Inv'!$A$4:$I$917,8,FALSE)</f>
        <v>1942</v>
      </c>
      <c r="U271" s="2">
        <f>VLOOKUP($A271,'[2]App C Inv'!$A$4:$I$917,9,FALSE)</f>
        <v>0</v>
      </c>
      <c r="V271" s="2"/>
      <c r="W271" s="2">
        <f>VLOOKUP($A271,'[2]App C Assum'!$A$4:$I$917,5,FALSE)</f>
        <v>13867</v>
      </c>
      <c r="X271" s="2">
        <f>VLOOKUP($A271,'[2]App C Assum'!$A$4:$I$917,6,FALSE)</f>
        <v>11360</v>
      </c>
      <c r="Y271" s="2">
        <f>VLOOKUP($A271,'[2]App C Assum'!$A$4:$I$917,7,FALSE)</f>
        <v>9223</v>
      </c>
      <c r="Z271" s="2">
        <f>VLOOKUP($A271,'[2]App C Assum'!$A$4:$I$917,8,FALSE)</f>
        <v>0</v>
      </c>
      <c r="AA271" s="2">
        <f>VLOOKUP($A271,'[2]App C Assum'!$A$4:$I$917,9,FALSE)</f>
        <v>0</v>
      </c>
      <c r="AB271" s="2"/>
      <c r="AC271" s="2">
        <f>VLOOKUP($A271,'[2]App C Share Outflows'!$A$4:$I$917,5,FALSE)</f>
        <v>0</v>
      </c>
      <c r="AD271" s="2">
        <f>VLOOKUP($A271,'[2]App C Share Outflows'!$A$4:$I$917,6,FALSE)</f>
        <v>0</v>
      </c>
      <c r="AE271" s="2">
        <f>VLOOKUP($A271,'[2]App C Share Outflows'!$A$4:$I$917,7,FALSE)</f>
        <v>0</v>
      </c>
      <c r="AF271" s="2">
        <f>VLOOKUP($A271,'[2]App C Share Outflows'!$A$4:$I$917,8,FALSE)</f>
        <v>0</v>
      </c>
      <c r="AG271" s="2">
        <f>VLOOKUP($A271,'[2]App C Share Outflows'!$A$4:$I$917,9,FALSE)</f>
        <v>0</v>
      </c>
      <c r="AH271" s="2"/>
      <c r="AI271" s="2">
        <f>VLOOKUP($A271,'[2]App C Share Inflows'!$A$4:$I$917,5,FALSE)</f>
        <v>-4728</v>
      </c>
      <c r="AJ271" s="2">
        <f>VLOOKUP($A271,'[2]App C Share Inflows'!$A$4:$I$917,6,FALSE)</f>
        <v>-3171</v>
      </c>
      <c r="AK271" s="2">
        <f>VLOOKUP($A271,'[2]App C Share Inflows'!$A$4:$I$917,7,FALSE)</f>
        <v>-2181</v>
      </c>
      <c r="AL271" s="2">
        <f>VLOOKUP($A271,'[2]App C Share Inflows'!$A$4:$I$917,8,FALSE)</f>
        <v>-1743</v>
      </c>
      <c r="AM271" s="2">
        <f>VLOOKUP($A271,'[2]App C Share Inflows'!$A$4:$I$917,6,FALSE)</f>
        <v>-3171</v>
      </c>
    </row>
    <row r="272" spans="1:39">
      <c r="A272" s="351">
        <v>92531</v>
      </c>
      <c r="B272" s="344" t="s">
        <v>963</v>
      </c>
      <c r="C272" s="235" t="e">
        <f>VLOOKUP(A272,#REF!,10,FALSE)</f>
        <v>#REF!</v>
      </c>
      <c r="E272" s="2">
        <f>VLOOKUP($A272,'[2]App C Total'!$A$4:$I$917,5,FALSE)</f>
        <v>359951</v>
      </c>
      <c r="F272" s="2">
        <f>VLOOKUP($A272,'[2]App C Total'!$A$4:$I$917,6,FALSE)</f>
        <v>99488</v>
      </c>
      <c r="G272" s="2">
        <f>VLOOKUP($A272,'[2]App C Total'!$A$4:$I$917,7,FALSE)</f>
        <v>196685</v>
      </c>
      <c r="H272" s="2">
        <f>VLOOKUP($A272,'[2]App C Total'!$A$4:$I$917,8,FALSE)</f>
        <v>52735</v>
      </c>
      <c r="I272" s="2">
        <f>VLOOKUP($A272,'[2]App C Total'!$A$4:$I$917,9,FALSE)</f>
        <v>0</v>
      </c>
      <c r="J272" s="2"/>
      <c r="K272" s="2">
        <f>VLOOKUP($A272,'[2]App C Exp'!$A$4:$I$917,5,FALSE)</f>
        <v>123711</v>
      </c>
      <c r="L272" s="2">
        <f>VLOOKUP($A272,'[2]App C Exp'!$A$4:$I$917,6,FALSE)</f>
        <v>116372</v>
      </c>
      <c r="M272" s="2">
        <f>VLOOKUP($A272,'[2]App C Exp'!$A$4:$I$917,7,FALSE)</f>
        <v>104303</v>
      </c>
      <c r="N272" s="2">
        <f>VLOOKUP($A272,'[2]App C Exp'!$A$4:$I$917,8,FALSE)</f>
        <v>41762</v>
      </c>
      <c r="O272" s="2">
        <f>VLOOKUP($A272,'[2]App C Exp'!$A$4:$I$917,9,FALSE)</f>
        <v>0</v>
      </c>
      <c r="P272" s="2"/>
      <c r="Q272" s="2">
        <f>VLOOKUP($A272,'[2]App C Inv'!$A$4:$I$917,5,FALSE)</f>
        <v>131336</v>
      </c>
      <c r="R272" s="2">
        <f>VLOOKUP($A272,'[2]App C Inv'!$A$4:$I$917,6,FALSE)</f>
        <v>-112974</v>
      </c>
      <c r="S272" s="2">
        <f>VLOOKUP($A272,'[2]App C Inv'!$A$4:$I$917,7,FALSE)</f>
        <v>15922</v>
      </c>
      <c r="T272" s="2">
        <f>VLOOKUP($A272,'[2]App C Inv'!$A$4:$I$917,8,FALSE)</f>
        <v>20723</v>
      </c>
      <c r="U272" s="2">
        <f>VLOOKUP($A272,'[2]App C Inv'!$A$4:$I$917,9,FALSE)</f>
        <v>0</v>
      </c>
      <c r="V272" s="2"/>
      <c r="W272" s="2">
        <f>VLOOKUP($A272,'[2]App C Assum'!$A$4:$I$917,5,FALSE)</f>
        <v>147952</v>
      </c>
      <c r="X272" s="2">
        <f>VLOOKUP($A272,'[2]App C Assum'!$A$4:$I$917,6,FALSE)</f>
        <v>121208</v>
      </c>
      <c r="Y272" s="2">
        <f>VLOOKUP($A272,'[2]App C Assum'!$A$4:$I$917,7,FALSE)</f>
        <v>98400</v>
      </c>
      <c r="Z272" s="2">
        <f>VLOOKUP($A272,'[2]App C Assum'!$A$4:$I$917,8,FALSE)</f>
        <v>0</v>
      </c>
      <c r="AA272" s="2">
        <f>VLOOKUP($A272,'[2]App C Assum'!$A$4:$I$917,9,FALSE)</f>
        <v>0</v>
      </c>
      <c r="AB272" s="2"/>
      <c r="AC272" s="2">
        <f>VLOOKUP($A272,'[2]App C Share Outflows'!$A$4:$I$917,5,FALSE)</f>
        <v>0</v>
      </c>
      <c r="AD272" s="2">
        <f>VLOOKUP($A272,'[2]App C Share Outflows'!$A$4:$I$917,6,FALSE)</f>
        <v>0</v>
      </c>
      <c r="AE272" s="2">
        <f>VLOOKUP($A272,'[2]App C Share Outflows'!$A$4:$I$917,7,FALSE)</f>
        <v>0</v>
      </c>
      <c r="AF272" s="2">
        <f>VLOOKUP($A272,'[2]App C Share Outflows'!$A$4:$I$917,8,FALSE)</f>
        <v>0</v>
      </c>
      <c r="AG272" s="2">
        <f>VLOOKUP($A272,'[2]App C Share Outflows'!$A$4:$I$917,9,FALSE)</f>
        <v>0</v>
      </c>
      <c r="AH272" s="2"/>
      <c r="AI272" s="2">
        <f>VLOOKUP($A272,'[2]App C Share Inflows'!$A$4:$I$917,5,FALSE)</f>
        <v>-43048</v>
      </c>
      <c r="AJ272" s="2">
        <f>VLOOKUP($A272,'[2]App C Share Inflows'!$A$4:$I$917,6,FALSE)</f>
        <v>-25118</v>
      </c>
      <c r="AK272" s="2">
        <f>VLOOKUP($A272,'[2]App C Share Inflows'!$A$4:$I$917,7,FALSE)</f>
        <v>-21940</v>
      </c>
      <c r="AL272" s="2">
        <f>VLOOKUP($A272,'[2]App C Share Inflows'!$A$4:$I$917,8,FALSE)</f>
        <v>-9750</v>
      </c>
      <c r="AM272" s="2">
        <f>VLOOKUP($A272,'[2]App C Share Inflows'!$A$4:$I$917,6,FALSE)</f>
        <v>-25118</v>
      </c>
    </row>
    <row r="273" spans="1:39">
      <c r="A273" s="351">
        <v>92541</v>
      </c>
      <c r="B273" s="344" t="s">
        <v>964</v>
      </c>
      <c r="C273" s="235" t="e">
        <f>VLOOKUP(A273,#REF!,10,FALSE)</f>
        <v>#REF!</v>
      </c>
      <c r="E273" s="2">
        <f>VLOOKUP($A273,'[2]App C Total'!$A$4:$I$917,5,FALSE)</f>
        <v>65993</v>
      </c>
      <c r="F273" s="2">
        <f>VLOOKUP($A273,'[2]App C Total'!$A$4:$I$917,6,FALSE)</f>
        <v>18405</v>
      </c>
      <c r="G273" s="2">
        <f>VLOOKUP($A273,'[2]App C Total'!$A$4:$I$917,7,FALSE)</f>
        <v>35258</v>
      </c>
      <c r="H273" s="2">
        <f>VLOOKUP($A273,'[2]App C Total'!$A$4:$I$917,8,FALSE)</f>
        <v>13037</v>
      </c>
      <c r="I273" s="2">
        <f>VLOOKUP($A273,'[2]App C Total'!$A$4:$I$917,9,FALSE)</f>
        <v>0</v>
      </c>
      <c r="J273" s="2"/>
      <c r="K273" s="2">
        <f>VLOOKUP($A273,'[2]App C Exp'!$A$4:$I$917,5,FALSE)</f>
        <v>20583</v>
      </c>
      <c r="L273" s="2">
        <f>VLOOKUP($A273,'[2]App C Exp'!$A$4:$I$917,6,FALSE)</f>
        <v>19362</v>
      </c>
      <c r="M273" s="2">
        <f>VLOOKUP($A273,'[2]App C Exp'!$A$4:$I$917,7,FALSE)</f>
        <v>17354</v>
      </c>
      <c r="N273" s="2">
        <f>VLOOKUP($A273,'[2]App C Exp'!$A$4:$I$917,8,FALSE)</f>
        <v>6948</v>
      </c>
      <c r="O273" s="2">
        <f>VLOOKUP($A273,'[2]App C Exp'!$A$4:$I$917,9,FALSE)</f>
        <v>0</v>
      </c>
      <c r="P273" s="2"/>
      <c r="Q273" s="2">
        <f>VLOOKUP($A273,'[2]App C Inv'!$A$4:$I$917,5,FALSE)</f>
        <v>21852</v>
      </c>
      <c r="R273" s="2">
        <f>VLOOKUP($A273,'[2]App C Inv'!$A$4:$I$917,6,FALSE)</f>
        <v>-18797</v>
      </c>
      <c r="S273" s="2">
        <f>VLOOKUP($A273,'[2]App C Inv'!$A$4:$I$917,7,FALSE)</f>
        <v>2649</v>
      </c>
      <c r="T273" s="2">
        <f>VLOOKUP($A273,'[2]App C Inv'!$A$4:$I$917,8,FALSE)</f>
        <v>3448</v>
      </c>
      <c r="U273" s="2">
        <f>VLOOKUP($A273,'[2]App C Inv'!$A$4:$I$917,9,FALSE)</f>
        <v>0</v>
      </c>
      <c r="V273" s="2"/>
      <c r="W273" s="2">
        <f>VLOOKUP($A273,'[2]App C Assum'!$A$4:$I$917,5,FALSE)</f>
        <v>24617</v>
      </c>
      <c r="X273" s="2">
        <f>VLOOKUP($A273,'[2]App C Assum'!$A$4:$I$917,6,FALSE)</f>
        <v>20167</v>
      </c>
      <c r="Y273" s="2">
        <f>VLOOKUP($A273,'[2]App C Assum'!$A$4:$I$917,7,FALSE)</f>
        <v>16372</v>
      </c>
      <c r="Z273" s="2">
        <f>VLOOKUP($A273,'[2]App C Assum'!$A$4:$I$917,8,FALSE)</f>
        <v>0</v>
      </c>
      <c r="AA273" s="2">
        <f>VLOOKUP($A273,'[2]App C Assum'!$A$4:$I$917,9,FALSE)</f>
        <v>0</v>
      </c>
      <c r="AB273" s="2"/>
      <c r="AC273" s="2">
        <f>VLOOKUP($A273,'[2]App C Share Outflows'!$A$4:$I$917,5,FALSE)</f>
        <v>3909</v>
      </c>
      <c r="AD273" s="2">
        <f>VLOOKUP($A273,'[2]App C Share Outflows'!$A$4:$I$917,6,FALSE)</f>
        <v>2641</v>
      </c>
      <c r="AE273" s="2">
        <f>VLOOKUP($A273,'[2]App C Share Outflows'!$A$4:$I$917,7,FALSE)</f>
        <v>2641</v>
      </c>
      <c r="AF273" s="2">
        <f>VLOOKUP($A273,'[2]App C Share Outflows'!$A$4:$I$917,8,FALSE)</f>
        <v>2641</v>
      </c>
      <c r="AG273" s="2">
        <f>VLOOKUP($A273,'[2]App C Share Outflows'!$A$4:$I$917,9,FALSE)</f>
        <v>0</v>
      </c>
      <c r="AH273" s="2"/>
      <c r="AI273" s="2">
        <f>VLOOKUP($A273,'[2]App C Share Inflows'!$A$4:$I$917,5,FALSE)</f>
        <v>-4968</v>
      </c>
      <c r="AJ273" s="2">
        <f>VLOOKUP($A273,'[2]App C Share Inflows'!$A$4:$I$917,6,FALSE)</f>
        <v>-4968</v>
      </c>
      <c r="AK273" s="2">
        <f>VLOOKUP($A273,'[2]App C Share Inflows'!$A$4:$I$917,7,FALSE)</f>
        <v>-3758</v>
      </c>
      <c r="AL273" s="2">
        <f>VLOOKUP($A273,'[2]App C Share Inflows'!$A$4:$I$917,8,FALSE)</f>
        <v>0</v>
      </c>
      <c r="AM273" s="2">
        <f>VLOOKUP($A273,'[2]App C Share Inflows'!$A$4:$I$917,6,FALSE)</f>
        <v>-4968</v>
      </c>
    </row>
    <row r="274" spans="1:39">
      <c r="A274" s="351">
        <v>92551</v>
      </c>
      <c r="B274" s="344" t="s">
        <v>965</v>
      </c>
      <c r="C274" s="235" t="e">
        <f>VLOOKUP(A274,#REF!,10,FALSE)</f>
        <v>#REF!</v>
      </c>
      <c r="E274" s="2">
        <f>VLOOKUP($A274,'[2]App C Total'!$A$4:$I$917,5,FALSE)</f>
        <v>27296</v>
      </c>
      <c r="F274" s="2">
        <f>VLOOKUP($A274,'[2]App C Total'!$A$4:$I$917,6,FALSE)</f>
        <v>9684</v>
      </c>
      <c r="G274" s="2">
        <f>VLOOKUP($A274,'[2]App C Total'!$A$4:$I$917,7,FALSE)</f>
        <v>15153</v>
      </c>
      <c r="H274" s="2">
        <f>VLOOKUP($A274,'[2]App C Total'!$A$4:$I$917,8,FALSE)</f>
        <v>6124</v>
      </c>
      <c r="I274" s="2">
        <f>VLOOKUP($A274,'[2]App C Total'!$A$4:$I$917,9,FALSE)</f>
        <v>0</v>
      </c>
      <c r="J274" s="2"/>
      <c r="K274" s="2">
        <f>VLOOKUP($A274,'[2]App C Exp'!$A$4:$I$917,5,FALSE)</f>
        <v>8554</v>
      </c>
      <c r="L274" s="2">
        <f>VLOOKUP($A274,'[2]App C Exp'!$A$4:$I$917,6,FALSE)</f>
        <v>8047</v>
      </c>
      <c r="M274" s="2">
        <f>VLOOKUP($A274,'[2]App C Exp'!$A$4:$I$917,7,FALSE)</f>
        <v>7212</v>
      </c>
      <c r="N274" s="2">
        <f>VLOOKUP($A274,'[2]App C Exp'!$A$4:$I$917,8,FALSE)</f>
        <v>2888</v>
      </c>
      <c r="O274" s="2">
        <f>VLOOKUP($A274,'[2]App C Exp'!$A$4:$I$917,9,FALSE)</f>
        <v>0</v>
      </c>
      <c r="P274" s="2"/>
      <c r="Q274" s="2">
        <f>VLOOKUP($A274,'[2]App C Inv'!$A$4:$I$917,5,FALSE)</f>
        <v>9081</v>
      </c>
      <c r="R274" s="2">
        <f>VLOOKUP($A274,'[2]App C Inv'!$A$4:$I$917,6,FALSE)</f>
        <v>-7812</v>
      </c>
      <c r="S274" s="2">
        <f>VLOOKUP($A274,'[2]App C Inv'!$A$4:$I$917,7,FALSE)</f>
        <v>1101</v>
      </c>
      <c r="T274" s="2">
        <f>VLOOKUP($A274,'[2]App C Inv'!$A$4:$I$917,8,FALSE)</f>
        <v>1433</v>
      </c>
      <c r="U274" s="2">
        <f>VLOOKUP($A274,'[2]App C Inv'!$A$4:$I$917,9,FALSE)</f>
        <v>0</v>
      </c>
      <c r="V274" s="2"/>
      <c r="W274" s="2">
        <f>VLOOKUP($A274,'[2]App C Assum'!$A$4:$I$917,5,FALSE)</f>
        <v>10230</v>
      </c>
      <c r="X274" s="2">
        <f>VLOOKUP($A274,'[2]App C Assum'!$A$4:$I$917,6,FALSE)</f>
        <v>8381</v>
      </c>
      <c r="Y274" s="2">
        <f>VLOOKUP($A274,'[2]App C Assum'!$A$4:$I$917,7,FALSE)</f>
        <v>6804</v>
      </c>
      <c r="Z274" s="2">
        <f>VLOOKUP($A274,'[2]App C Assum'!$A$4:$I$917,8,FALSE)</f>
        <v>0</v>
      </c>
      <c r="AA274" s="2">
        <f>VLOOKUP($A274,'[2]App C Assum'!$A$4:$I$917,9,FALSE)</f>
        <v>0</v>
      </c>
      <c r="AB274" s="2"/>
      <c r="AC274" s="2">
        <f>VLOOKUP($A274,'[2]App C Share Outflows'!$A$4:$I$917,5,FALSE)</f>
        <v>2834</v>
      </c>
      <c r="AD274" s="2">
        <f>VLOOKUP($A274,'[2]App C Share Outflows'!$A$4:$I$917,6,FALSE)</f>
        <v>2835</v>
      </c>
      <c r="AE274" s="2">
        <f>VLOOKUP($A274,'[2]App C Share Outflows'!$A$4:$I$917,7,FALSE)</f>
        <v>1802</v>
      </c>
      <c r="AF274" s="2">
        <f>VLOOKUP($A274,'[2]App C Share Outflows'!$A$4:$I$917,8,FALSE)</f>
        <v>1803</v>
      </c>
      <c r="AG274" s="2">
        <f>VLOOKUP($A274,'[2]App C Share Outflows'!$A$4:$I$917,9,FALSE)</f>
        <v>0</v>
      </c>
      <c r="AH274" s="2"/>
      <c r="AI274" s="2">
        <f>VLOOKUP($A274,'[2]App C Share Inflows'!$A$4:$I$917,5,FALSE)</f>
        <v>-3403</v>
      </c>
      <c r="AJ274" s="2">
        <f>VLOOKUP($A274,'[2]App C Share Inflows'!$A$4:$I$917,6,FALSE)</f>
        <v>-1767</v>
      </c>
      <c r="AK274" s="2">
        <f>VLOOKUP($A274,'[2]App C Share Inflows'!$A$4:$I$917,7,FALSE)</f>
        <v>-1766</v>
      </c>
      <c r="AL274" s="2">
        <f>VLOOKUP($A274,'[2]App C Share Inflows'!$A$4:$I$917,8,FALSE)</f>
        <v>0</v>
      </c>
      <c r="AM274" s="2">
        <f>VLOOKUP($A274,'[2]App C Share Inflows'!$A$4:$I$917,6,FALSE)</f>
        <v>-1767</v>
      </c>
    </row>
    <row r="275" spans="1:39">
      <c r="A275" s="351">
        <v>92561</v>
      </c>
      <c r="B275" s="344" t="s">
        <v>966</v>
      </c>
      <c r="C275" s="235" t="e">
        <f>VLOOKUP(A275,#REF!,10,FALSE)</f>
        <v>#REF!</v>
      </c>
      <c r="E275" s="2">
        <f>VLOOKUP($A275,'[2]App C Total'!$A$4:$I$917,5,FALSE)</f>
        <v>9029</v>
      </c>
      <c r="F275" s="2">
        <f>VLOOKUP($A275,'[2]App C Total'!$A$4:$I$917,6,FALSE)</f>
        <v>2252</v>
      </c>
      <c r="G275" s="2">
        <f>VLOOKUP($A275,'[2]App C Total'!$A$4:$I$917,7,FALSE)</f>
        <v>4103</v>
      </c>
      <c r="H275" s="2">
        <f>VLOOKUP($A275,'[2]App C Total'!$A$4:$I$917,8,FALSE)</f>
        <v>750</v>
      </c>
      <c r="I275" s="2">
        <f>VLOOKUP($A275,'[2]App C Total'!$A$4:$I$917,9,FALSE)</f>
        <v>0</v>
      </c>
      <c r="J275" s="2"/>
      <c r="K275" s="2">
        <f>VLOOKUP($A275,'[2]App C Exp'!$A$4:$I$917,5,FALSE)</f>
        <v>2682</v>
      </c>
      <c r="L275" s="2">
        <f>VLOOKUP($A275,'[2]App C Exp'!$A$4:$I$917,6,FALSE)</f>
        <v>2522</v>
      </c>
      <c r="M275" s="2">
        <f>VLOOKUP($A275,'[2]App C Exp'!$A$4:$I$917,7,FALSE)</f>
        <v>2261</v>
      </c>
      <c r="N275" s="2">
        <f>VLOOKUP($A275,'[2]App C Exp'!$A$4:$I$917,8,FALSE)</f>
        <v>905</v>
      </c>
      <c r="O275" s="2">
        <f>VLOOKUP($A275,'[2]App C Exp'!$A$4:$I$917,9,FALSE)</f>
        <v>0</v>
      </c>
      <c r="P275" s="2"/>
      <c r="Q275" s="2">
        <f>VLOOKUP($A275,'[2]App C Inv'!$A$4:$I$917,5,FALSE)</f>
        <v>2847</v>
      </c>
      <c r="R275" s="2">
        <f>VLOOKUP($A275,'[2]App C Inv'!$A$4:$I$917,6,FALSE)</f>
        <v>-2449</v>
      </c>
      <c r="S275" s="2">
        <f>VLOOKUP($A275,'[2]App C Inv'!$A$4:$I$917,7,FALSE)</f>
        <v>345</v>
      </c>
      <c r="T275" s="2">
        <f>VLOOKUP($A275,'[2]App C Inv'!$A$4:$I$917,8,FALSE)</f>
        <v>449</v>
      </c>
      <c r="U275" s="2">
        <f>VLOOKUP($A275,'[2]App C Inv'!$A$4:$I$917,9,FALSE)</f>
        <v>0</v>
      </c>
      <c r="V275" s="2"/>
      <c r="W275" s="2">
        <f>VLOOKUP($A275,'[2]App C Assum'!$A$4:$I$917,5,FALSE)</f>
        <v>3207</v>
      </c>
      <c r="X275" s="2">
        <f>VLOOKUP($A275,'[2]App C Assum'!$A$4:$I$917,6,FALSE)</f>
        <v>2627</v>
      </c>
      <c r="Y275" s="2">
        <f>VLOOKUP($A275,'[2]App C Assum'!$A$4:$I$917,7,FALSE)</f>
        <v>2133</v>
      </c>
      <c r="Z275" s="2">
        <f>VLOOKUP($A275,'[2]App C Assum'!$A$4:$I$917,8,FALSE)</f>
        <v>0</v>
      </c>
      <c r="AA275" s="2">
        <f>VLOOKUP($A275,'[2]App C Assum'!$A$4:$I$917,9,FALSE)</f>
        <v>0</v>
      </c>
      <c r="AB275" s="2"/>
      <c r="AC275" s="2">
        <f>VLOOKUP($A275,'[2]App C Share Outflows'!$A$4:$I$917,5,FALSE)</f>
        <v>930</v>
      </c>
      <c r="AD275" s="2">
        <f>VLOOKUP($A275,'[2]App C Share Outflows'!$A$4:$I$917,6,FALSE)</f>
        <v>189</v>
      </c>
      <c r="AE275" s="2">
        <f>VLOOKUP($A275,'[2]App C Share Outflows'!$A$4:$I$917,7,FALSE)</f>
        <v>0</v>
      </c>
      <c r="AF275" s="2">
        <f>VLOOKUP($A275,'[2]App C Share Outflows'!$A$4:$I$917,8,FALSE)</f>
        <v>0</v>
      </c>
      <c r="AG275" s="2">
        <f>VLOOKUP($A275,'[2]App C Share Outflows'!$A$4:$I$917,9,FALSE)</f>
        <v>0</v>
      </c>
      <c r="AH275" s="2"/>
      <c r="AI275" s="2">
        <f>VLOOKUP($A275,'[2]App C Share Inflows'!$A$4:$I$917,5,FALSE)</f>
        <v>-637</v>
      </c>
      <c r="AJ275" s="2">
        <f>VLOOKUP($A275,'[2]App C Share Inflows'!$A$4:$I$917,6,FALSE)</f>
        <v>-637</v>
      </c>
      <c r="AK275" s="2">
        <f>VLOOKUP($A275,'[2]App C Share Inflows'!$A$4:$I$917,7,FALSE)</f>
        <v>-636</v>
      </c>
      <c r="AL275" s="2">
        <f>VLOOKUP($A275,'[2]App C Share Inflows'!$A$4:$I$917,8,FALSE)</f>
        <v>-604</v>
      </c>
      <c r="AM275" s="2">
        <f>VLOOKUP($A275,'[2]App C Share Inflows'!$A$4:$I$917,6,FALSE)</f>
        <v>-637</v>
      </c>
    </row>
    <row r="276" spans="1:39">
      <c r="A276" s="351">
        <v>92571</v>
      </c>
      <c r="B276" s="344" t="s">
        <v>967</v>
      </c>
      <c r="C276" s="235" t="e">
        <f>VLOOKUP(A276,#REF!,10,FALSE)</f>
        <v>#REF!</v>
      </c>
      <c r="E276" s="2">
        <f>VLOOKUP($A276,'[2]App C Total'!$A$4:$I$917,5,FALSE)</f>
        <v>6632</v>
      </c>
      <c r="F276" s="2">
        <f>VLOOKUP($A276,'[2]App C Total'!$A$4:$I$917,6,FALSE)</f>
        <v>3101</v>
      </c>
      <c r="G276" s="2">
        <f>VLOOKUP($A276,'[2]App C Total'!$A$4:$I$917,7,FALSE)</f>
        <v>2490</v>
      </c>
      <c r="H276" s="2">
        <f>VLOOKUP($A276,'[2]App C Total'!$A$4:$I$917,8,FALSE)</f>
        <v>672</v>
      </c>
      <c r="I276" s="2">
        <f>VLOOKUP($A276,'[2]App C Total'!$A$4:$I$917,9,FALSE)</f>
        <v>0</v>
      </c>
      <c r="J276" s="2"/>
      <c r="K276" s="2">
        <f>VLOOKUP($A276,'[2]App C Exp'!$A$4:$I$917,5,FALSE)</f>
        <v>1228</v>
      </c>
      <c r="L276" s="2">
        <f>VLOOKUP($A276,'[2]App C Exp'!$A$4:$I$917,6,FALSE)</f>
        <v>1156</v>
      </c>
      <c r="M276" s="2">
        <f>VLOOKUP($A276,'[2]App C Exp'!$A$4:$I$917,7,FALSE)</f>
        <v>1036</v>
      </c>
      <c r="N276" s="2">
        <f>VLOOKUP($A276,'[2]App C Exp'!$A$4:$I$917,8,FALSE)</f>
        <v>415</v>
      </c>
      <c r="O276" s="2">
        <f>VLOOKUP($A276,'[2]App C Exp'!$A$4:$I$917,9,FALSE)</f>
        <v>0</v>
      </c>
      <c r="P276" s="2"/>
      <c r="Q276" s="2">
        <f>VLOOKUP($A276,'[2]App C Inv'!$A$4:$I$917,5,FALSE)</f>
        <v>1304</v>
      </c>
      <c r="R276" s="2">
        <f>VLOOKUP($A276,'[2]App C Inv'!$A$4:$I$917,6,FALSE)</f>
        <v>-1122</v>
      </c>
      <c r="S276" s="2">
        <f>VLOOKUP($A276,'[2]App C Inv'!$A$4:$I$917,7,FALSE)</f>
        <v>158</v>
      </c>
      <c r="T276" s="2">
        <f>VLOOKUP($A276,'[2]App C Inv'!$A$4:$I$917,8,FALSE)</f>
        <v>206</v>
      </c>
      <c r="U276" s="2">
        <f>VLOOKUP($A276,'[2]App C Inv'!$A$4:$I$917,9,FALSE)</f>
        <v>0</v>
      </c>
      <c r="V276" s="2"/>
      <c r="W276" s="2">
        <f>VLOOKUP($A276,'[2]App C Assum'!$A$4:$I$917,5,FALSE)</f>
        <v>1469</v>
      </c>
      <c r="X276" s="2">
        <f>VLOOKUP($A276,'[2]App C Assum'!$A$4:$I$917,6,FALSE)</f>
        <v>1204</v>
      </c>
      <c r="Y276" s="2">
        <f>VLOOKUP($A276,'[2]App C Assum'!$A$4:$I$917,7,FALSE)</f>
        <v>977</v>
      </c>
      <c r="Z276" s="2">
        <f>VLOOKUP($A276,'[2]App C Assum'!$A$4:$I$917,8,FALSE)</f>
        <v>0</v>
      </c>
      <c r="AA276" s="2">
        <f>VLOOKUP($A276,'[2]App C Assum'!$A$4:$I$917,9,FALSE)</f>
        <v>0</v>
      </c>
      <c r="AB276" s="2"/>
      <c r="AC276" s="2">
        <f>VLOOKUP($A276,'[2]App C Share Outflows'!$A$4:$I$917,5,FALSE)</f>
        <v>2631</v>
      </c>
      <c r="AD276" s="2">
        <f>VLOOKUP($A276,'[2]App C Share Outflows'!$A$4:$I$917,6,FALSE)</f>
        <v>1863</v>
      </c>
      <c r="AE276" s="2">
        <f>VLOOKUP($A276,'[2]App C Share Outflows'!$A$4:$I$917,7,FALSE)</f>
        <v>319</v>
      </c>
      <c r="AF276" s="2">
        <f>VLOOKUP($A276,'[2]App C Share Outflows'!$A$4:$I$917,8,FALSE)</f>
        <v>51</v>
      </c>
      <c r="AG276" s="2">
        <f>VLOOKUP($A276,'[2]App C Share Outflows'!$A$4:$I$917,9,FALSE)</f>
        <v>0</v>
      </c>
      <c r="AH276" s="2"/>
      <c r="AI276" s="2">
        <f>VLOOKUP($A276,'[2]App C Share Inflows'!$A$4:$I$917,5,FALSE)</f>
        <v>0</v>
      </c>
      <c r="AJ276" s="2">
        <f>VLOOKUP($A276,'[2]App C Share Inflows'!$A$4:$I$917,6,FALSE)</f>
        <v>0</v>
      </c>
      <c r="AK276" s="2">
        <f>VLOOKUP($A276,'[2]App C Share Inflows'!$A$4:$I$917,7,FALSE)</f>
        <v>0</v>
      </c>
      <c r="AL276" s="2">
        <f>VLOOKUP($A276,'[2]App C Share Inflows'!$A$4:$I$917,8,FALSE)</f>
        <v>0</v>
      </c>
      <c r="AM276" s="2">
        <f>VLOOKUP($A276,'[2]App C Share Inflows'!$A$4:$I$917,6,FALSE)</f>
        <v>0</v>
      </c>
    </row>
    <row r="277" spans="1:39">
      <c r="A277" s="351">
        <v>92601</v>
      </c>
      <c r="B277" s="344" t="s">
        <v>968</v>
      </c>
      <c r="C277" s="235" t="e">
        <f>VLOOKUP(A277,#REF!,10,FALSE)</f>
        <v>#REF!</v>
      </c>
      <c r="E277" s="2">
        <f>VLOOKUP($A277,'[2]App C Total'!$A$4:$I$917,5,FALSE)</f>
        <v>6172772</v>
      </c>
      <c r="F277" s="2">
        <f>VLOOKUP($A277,'[2]App C Total'!$A$4:$I$917,6,FALSE)</f>
        <v>1698386</v>
      </c>
      <c r="G277" s="2">
        <f>VLOOKUP($A277,'[2]App C Total'!$A$4:$I$917,7,FALSE)</f>
        <v>3219553</v>
      </c>
      <c r="H277" s="2">
        <f>VLOOKUP($A277,'[2]App C Total'!$A$4:$I$917,8,FALSE)</f>
        <v>1001449</v>
      </c>
      <c r="I277" s="2">
        <f>VLOOKUP($A277,'[2]App C Total'!$A$4:$I$917,9,FALSE)</f>
        <v>0</v>
      </c>
      <c r="J277" s="2"/>
      <c r="K277" s="2">
        <f>VLOOKUP($A277,'[2]App C Exp'!$A$4:$I$917,5,FALSE)</f>
        <v>1986411</v>
      </c>
      <c r="L277" s="2">
        <f>VLOOKUP($A277,'[2]App C Exp'!$A$4:$I$917,6,FALSE)</f>
        <v>1868571</v>
      </c>
      <c r="M277" s="2">
        <f>VLOOKUP($A277,'[2]App C Exp'!$A$4:$I$917,7,FALSE)</f>
        <v>1674779</v>
      </c>
      <c r="N277" s="2">
        <f>VLOOKUP($A277,'[2]App C Exp'!$A$4:$I$917,8,FALSE)</f>
        <v>670561</v>
      </c>
      <c r="O277" s="2">
        <f>VLOOKUP($A277,'[2]App C Exp'!$A$4:$I$917,9,FALSE)</f>
        <v>0</v>
      </c>
      <c r="P277" s="2"/>
      <c r="Q277" s="2">
        <f>VLOOKUP($A277,'[2]App C Inv'!$A$4:$I$917,5,FALSE)</f>
        <v>2108852</v>
      </c>
      <c r="R277" s="2">
        <f>VLOOKUP($A277,'[2]App C Inv'!$A$4:$I$917,6,FALSE)</f>
        <v>-1814007</v>
      </c>
      <c r="S277" s="2">
        <f>VLOOKUP($A277,'[2]App C Inv'!$A$4:$I$917,7,FALSE)</f>
        <v>255662</v>
      </c>
      <c r="T277" s="2">
        <f>VLOOKUP($A277,'[2]App C Inv'!$A$4:$I$917,8,FALSE)</f>
        <v>332741</v>
      </c>
      <c r="U277" s="2">
        <f>VLOOKUP($A277,'[2]App C Inv'!$A$4:$I$917,9,FALSE)</f>
        <v>0</v>
      </c>
      <c r="V277" s="2"/>
      <c r="W277" s="2">
        <f>VLOOKUP($A277,'[2]App C Assum'!$A$4:$I$917,5,FALSE)</f>
        <v>2375652</v>
      </c>
      <c r="X277" s="2">
        <f>VLOOKUP($A277,'[2]App C Assum'!$A$4:$I$917,6,FALSE)</f>
        <v>1946220</v>
      </c>
      <c r="Y277" s="2">
        <f>VLOOKUP($A277,'[2]App C Assum'!$A$4:$I$917,7,FALSE)</f>
        <v>1579998</v>
      </c>
      <c r="Z277" s="2">
        <f>VLOOKUP($A277,'[2]App C Assum'!$A$4:$I$917,8,FALSE)</f>
        <v>0</v>
      </c>
      <c r="AA277" s="2">
        <f>VLOOKUP($A277,'[2]App C Assum'!$A$4:$I$917,9,FALSE)</f>
        <v>0</v>
      </c>
      <c r="AB277" s="2"/>
      <c r="AC277" s="2">
        <f>VLOOKUP($A277,'[2]App C Share Outflows'!$A$4:$I$917,5,FALSE)</f>
        <v>4255</v>
      </c>
      <c r="AD277" s="2">
        <f>VLOOKUP($A277,'[2]App C Share Outflows'!$A$4:$I$917,6,FALSE)</f>
        <v>0</v>
      </c>
      <c r="AE277" s="2">
        <f>VLOOKUP($A277,'[2]App C Share Outflows'!$A$4:$I$917,7,FALSE)</f>
        <v>0</v>
      </c>
      <c r="AF277" s="2">
        <f>VLOOKUP($A277,'[2]App C Share Outflows'!$A$4:$I$917,8,FALSE)</f>
        <v>0</v>
      </c>
      <c r="AG277" s="2">
        <f>VLOOKUP($A277,'[2]App C Share Outflows'!$A$4:$I$917,9,FALSE)</f>
        <v>0</v>
      </c>
      <c r="AH277" s="2"/>
      <c r="AI277" s="2">
        <f>VLOOKUP($A277,'[2]App C Share Inflows'!$A$4:$I$917,5,FALSE)</f>
        <v>-302398</v>
      </c>
      <c r="AJ277" s="2">
        <f>VLOOKUP($A277,'[2]App C Share Inflows'!$A$4:$I$917,6,FALSE)</f>
        <v>-302398</v>
      </c>
      <c r="AK277" s="2">
        <f>VLOOKUP($A277,'[2]App C Share Inflows'!$A$4:$I$917,7,FALSE)</f>
        <v>-290886</v>
      </c>
      <c r="AL277" s="2">
        <f>VLOOKUP($A277,'[2]App C Share Inflows'!$A$4:$I$917,8,FALSE)</f>
        <v>-1853</v>
      </c>
      <c r="AM277" s="2">
        <f>VLOOKUP($A277,'[2]App C Share Inflows'!$A$4:$I$917,6,FALSE)</f>
        <v>-302398</v>
      </c>
    </row>
    <row r="278" spans="1:39">
      <c r="A278" s="351">
        <v>92602</v>
      </c>
      <c r="B278" s="344" t="s">
        <v>3666</v>
      </c>
      <c r="C278" s="235" t="e">
        <f>VLOOKUP(A278,#REF!,10,FALSE)</f>
        <v>#REF!</v>
      </c>
      <c r="E278" s="2">
        <f>VLOOKUP($A278,'[2]App C Total'!$A$4:$I$917,5,FALSE)</f>
        <v>1368</v>
      </c>
      <c r="F278" s="2">
        <f>VLOOKUP($A278,'[2]App C Total'!$A$4:$I$917,6,FALSE)</f>
        <v>-247</v>
      </c>
      <c r="G278" s="2">
        <f>VLOOKUP($A278,'[2]App C Total'!$A$4:$I$917,7,FALSE)</f>
        <v>336</v>
      </c>
      <c r="H278" s="2">
        <f>VLOOKUP($A278,'[2]App C Total'!$A$4:$I$917,8,FALSE)</f>
        <v>-115</v>
      </c>
      <c r="I278" s="2">
        <f>VLOOKUP($A278,'[2]App C Total'!$A$4:$I$917,9,FALSE)</f>
        <v>0</v>
      </c>
      <c r="J278" s="2"/>
      <c r="K278" s="2">
        <f>VLOOKUP($A278,'[2]App C Exp'!$A$4:$I$917,5,FALSE)</f>
        <v>734</v>
      </c>
      <c r="L278" s="2">
        <f>VLOOKUP($A278,'[2]App C Exp'!$A$4:$I$917,6,FALSE)</f>
        <v>691</v>
      </c>
      <c r="M278" s="2">
        <f>VLOOKUP($A278,'[2]App C Exp'!$A$4:$I$917,7,FALSE)</f>
        <v>619</v>
      </c>
      <c r="N278" s="2">
        <f>VLOOKUP($A278,'[2]App C Exp'!$A$4:$I$917,8,FALSE)</f>
        <v>248</v>
      </c>
      <c r="O278" s="2">
        <f>VLOOKUP($A278,'[2]App C Exp'!$A$4:$I$917,9,FALSE)</f>
        <v>0</v>
      </c>
      <c r="P278" s="2"/>
      <c r="Q278" s="2">
        <f>VLOOKUP($A278,'[2]App C Inv'!$A$4:$I$917,5,FALSE)</f>
        <v>779</v>
      </c>
      <c r="R278" s="2">
        <f>VLOOKUP($A278,'[2]App C Inv'!$A$4:$I$917,6,FALSE)</f>
        <v>-670</v>
      </c>
      <c r="S278" s="2">
        <f>VLOOKUP($A278,'[2]App C Inv'!$A$4:$I$917,7,FALSE)</f>
        <v>94</v>
      </c>
      <c r="T278" s="2">
        <f>VLOOKUP($A278,'[2]App C Inv'!$A$4:$I$917,8,FALSE)</f>
        <v>123</v>
      </c>
      <c r="U278" s="2">
        <f>VLOOKUP($A278,'[2]App C Inv'!$A$4:$I$917,9,FALSE)</f>
        <v>0</v>
      </c>
      <c r="V278" s="2"/>
      <c r="W278" s="2">
        <f>VLOOKUP($A278,'[2]App C Assum'!$A$4:$I$917,5,FALSE)</f>
        <v>878</v>
      </c>
      <c r="X278" s="2">
        <f>VLOOKUP($A278,'[2]App C Assum'!$A$4:$I$917,6,FALSE)</f>
        <v>719</v>
      </c>
      <c r="Y278" s="2">
        <f>VLOOKUP($A278,'[2]App C Assum'!$A$4:$I$917,7,FALSE)</f>
        <v>584</v>
      </c>
      <c r="Z278" s="2">
        <f>VLOOKUP($A278,'[2]App C Assum'!$A$4:$I$917,8,FALSE)</f>
        <v>0</v>
      </c>
      <c r="AA278" s="2">
        <f>VLOOKUP($A278,'[2]App C Assum'!$A$4:$I$917,9,FALSE)</f>
        <v>0</v>
      </c>
      <c r="AB278" s="2"/>
      <c r="AC278" s="2">
        <f>VLOOKUP($A278,'[2]App C Share Outflows'!$A$4:$I$917,5,FALSE)</f>
        <v>0</v>
      </c>
      <c r="AD278" s="2">
        <f>VLOOKUP($A278,'[2]App C Share Outflows'!$A$4:$I$917,6,FALSE)</f>
        <v>0</v>
      </c>
      <c r="AE278" s="2">
        <f>VLOOKUP($A278,'[2]App C Share Outflows'!$A$4:$I$917,7,FALSE)</f>
        <v>0</v>
      </c>
      <c r="AF278" s="2">
        <f>VLOOKUP($A278,'[2]App C Share Outflows'!$A$4:$I$917,8,FALSE)</f>
        <v>0</v>
      </c>
      <c r="AG278" s="2">
        <f>VLOOKUP($A278,'[2]App C Share Outflows'!$A$4:$I$917,9,FALSE)</f>
        <v>0</v>
      </c>
      <c r="AH278" s="2"/>
      <c r="AI278" s="2">
        <f>VLOOKUP($A278,'[2]App C Share Inflows'!$A$4:$I$917,5,FALSE)</f>
        <v>-1023</v>
      </c>
      <c r="AJ278" s="2">
        <f>VLOOKUP($A278,'[2]App C Share Inflows'!$A$4:$I$917,6,FALSE)</f>
        <v>-987</v>
      </c>
      <c r="AK278" s="2">
        <f>VLOOKUP($A278,'[2]App C Share Inflows'!$A$4:$I$917,7,FALSE)</f>
        <v>-961</v>
      </c>
      <c r="AL278" s="2">
        <f>VLOOKUP($A278,'[2]App C Share Inflows'!$A$4:$I$917,8,FALSE)</f>
        <v>-486</v>
      </c>
      <c r="AM278" s="2">
        <f>VLOOKUP($A278,'[2]App C Share Inflows'!$A$4:$I$917,6,FALSE)</f>
        <v>-987</v>
      </c>
    </row>
    <row r="279" spans="1:39">
      <c r="A279" s="351">
        <v>92604</v>
      </c>
      <c r="B279" s="344" t="s">
        <v>3667</v>
      </c>
      <c r="C279" s="235" t="e">
        <f>VLOOKUP(A279,#REF!,10,FALSE)</f>
        <v>#REF!</v>
      </c>
      <c r="E279" s="2">
        <f>VLOOKUP($A279,'[2]App C Total'!$A$4:$I$917,5,FALSE)</f>
        <v>195578</v>
      </c>
      <c r="F279" s="2">
        <f>VLOOKUP($A279,'[2]App C Total'!$A$4:$I$917,6,FALSE)</f>
        <v>70688</v>
      </c>
      <c r="G279" s="2">
        <f>VLOOKUP($A279,'[2]App C Total'!$A$4:$I$917,7,FALSE)</f>
        <v>106586</v>
      </c>
      <c r="H279" s="2">
        <f>VLOOKUP($A279,'[2]App C Total'!$A$4:$I$917,8,FALSE)</f>
        <v>35406</v>
      </c>
      <c r="I279" s="2">
        <f>VLOOKUP($A279,'[2]App C Total'!$A$4:$I$917,9,FALSE)</f>
        <v>0</v>
      </c>
      <c r="J279" s="2"/>
      <c r="K279" s="2">
        <f>VLOOKUP($A279,'[2]App C Exp'!$A$4:$I$917,5,FALSE)</f>
        <v>52447</v>
      </c>
      <c r="L279" s="2">
        <f>VLOOKUP($A279,'[2]App C Exp'!$A$4:$I$917,6,FALSE)</f>
        <v>49336</v>
      </c>
      <c r="M279" s="2">
        <f>VLOOKUP($A279,'[2]App C Exp'!$A$4:$I$917,7,FALSE)</f>
        <v>44219</v>
      </c>
      <c r="N279" s="2">
        <f>VLOOKUP($A279,'[2]App C Exp'!$A$4:$I$917,8,FALSE)</f>
        <v>17705</v>
      </c>
      <c r="O279" s="2">
        <f>VLOOKUP($A279,'[2]App C Exp'!$A$4:$I$917,9,FALSE)</f>
        <v>0</v>
      </c>
      <c r="P279" s="2"/>
      <c r="Q279" s="2">
        <f>VLOOKUP($A279,'[2]App C Inv'!$A$4:$I$917,5,FALSE)</f>
        <v>55680</v>
      </c>
      <c r="R279" s="2">
        <f>VLOOKUP($A279,'[2]App C Inv'!$A$4:$I$917,6,FALSE)</f>
        <v>-47895</v>
      </c>
      <c r="S279" s="2">
        <f>VLOOKUP($A279,'[2]App C Inv'!$A$4:$I$917,7,FALSE)</f>
        <v>6750</v>
      </c>
      <c r="T279" s="2">
        <f>VLOOKUP($A279,'[2]App C Inv'!$A$4:$I$917,8,FALSE)</f>
        <v>8785</v>
      </c>
      <c r="U279" s="2">
        <f>VLOOKUP($A279,'[2]App C Inv'!$A$4:$I$917,9,FALSE)</f>
        <v>0</v>
      </c>
      <c r="V279" s="2"/>
      <c r="W279" s="2">
        <f>VLOOKUP($A279,'[2]App C Assum'!$A$4:$I$917,5,FALSE)</f>
        <v>62725</v>
      </c>
      <c r="X279" s="2">
        <f>VLOOKUP($A279,'[2]App C Assum'!$A$4:$I$917,6,FALSE)</f>
        <v>51386</v>
      </c>
      <c r="Y279" s="2">
        <f>VLOOKUP($A279,'[2]App C Assum'!$A$4:$I$917,7,FALSE)</f>
        <v>41717</v>
      </c>
      <c r="Z279" s="2">
        <f>VLOOKUP($A279,'[2]App C Assum'!$A$4:$I$917,8,FALSE)</f>
        <v>0</v>
      </c>
      <c r="AA279" s="2">
        <f>VLOOKUP($A279,'[2]App C Assum'!$A$4:$I$917,9,FALSE)</f>
        <v>0</v>
      </c>
      <c r="AB279" s="2"/>
      <c r="AC279" s="2">
        <f>VLOOKUP($A279,'[2]App C Share Outflows'!$A$4:$I$917,5,FALSE)</f>
        <v>24726</v>
      </c>
      <c r="AD279" s="2">
        <f>VLOOKUP($A279,'[2]App C Share Outflows'!$A$4:$I$917,6,FALSE)</f>
        <v>17861</v>
      </c>
      <c r="AE279" s="2">
        <f>VLOOKUP($A279,'[2]App C Share Outflows'!$A$4:$I$917,7,FALSE)</f>
        <v>13900</v>
      </c>
      <c r="AF279" s="2">
        <f>VLOOKUP($A279,'[2]App C Share Outflows'!$A$4:$I$917,8,FALSE)</f>
        <v>8916</v>
      </c>
      <c r="AG279" s="2">
        <f>VLOOKUP($A279,'[2]App C Share Outflows'!$A$4:$I$917,9,FALSE)</f>
        <v>0</v>
      </c>
      <c r="AH279" s="2"/>
      <c r="AI279" s="2">
        <f>VLOOKUP($A279,'[2]App C Share Inflows'!$A$4:$I$917,5,FALSE)</f>
        <v>0</v>
      </c>
      <c r="AJ279" s="2">
        <f>VLOOKUP($A279,'[2]App C Share Inflows'!$A$4:$I$917,6,FALSE)</f>
        <v>0</v>
      </c>
      <c r="AK279" s="2">
        <f>VLOOKUP($A279,'[2]App C Share Inflows'!$A$4:$I$917,7,FALSE)</f>
        <v>0</v>
      </c>
      <c r="AL279" s="2">
        <f>VLOOKUP($A279,'[2]App C Share Inflows'!$A$4:$I$917,8,FALSE)</f>
        <v>0</v>
      </c>
      <c r="AM279" s="2">
        <f>VLOOKUP($A279,'[2]App C Share Inflows'!$A$4:$I$917,6,FALSE)</f>
        <v>0</v>
      </c>
    </row>
    <row r="280" spans="1:39">
      <c r="A280" s="351">
        <v>92607</v>
      </c>
      <c r="B280" s="344" t="s">
        <v>971</v>
      </c>
      <c r="C280" s="235" t="e">
        <f>VLOOKUP(A280,#REF!,10,FALSE)</f>
        <v>#REF!</v>
      </c>
      <c r="E280" s="2">
        <f>VLOOKUP($A280,'[2]App C Total'!$A$4:$I$917,5,FALSE)</f>
        <v>30160</v>
      </c>
      <c r="F280" s="2">
        <f>VLOOKUP($A280,'[2]App C Total'!$A$4:$I$917,6,FALSE)</f>
        <v>10547</v>
      </c>
      <c r="G280" s="2">
        <f>VLOOKUP($A280,'[2]App C Total'!$A$4:$I$917,7,FALSE)</f>
        <v>16081</v>
      </c>
      <c r="H280" s="2">
        <f>VLOOKUP($A280,'[2]App C Total'!$A$4:$I$917,8,FALSE)</f>
        <v>4099</v>
      </c>
      <c r="I280" s="2">
        <f>VLOOKUP($A280,'[2]App C Total'!$A$4:$I$917,9,FALSE)</f>
        <v>0</v>
      </c>
      <c r="J280" s="2"/>
      <c r="K280" s="2">
        <f>VLOOKUP($A280,'[2]App C Exp'!$A$4:$I$917,5,FALSE)</f>
        <v>8494</v>
      </c>
      <c r="L280" s="2">
        <f>VLOOKUP($A280,'[2]App C Exp'!$A$4:$I$917,6,FALSE)</f>
        <v>7990</v>
      </c>
      <c r="M280" s="2">
        <f>VLOOKUP($A280,'[2]App C Exp'!$A$4:$I$917,7,FALSE)</f>
        <v>7161</v>
      </c>
      <c r="N280" s="2">
        <f>VLOOKUP($A280,'[2]App C Exp'!$A$4:$I$917,8,FALSE)</f>
        <v>2867</v>
      </c>
      <c r="O280" s="2">
        <f>VLOOKUP($A280,'[2]App C Exp'!$A$4:$I$917,9,FALSE)</f>
        <v>0</v>
      </c>
      <c r="P280" s="2"/>
      <c r="Q280" s="2">
        <f>VLOOKUP($A280,'[2]App C Inv'!$A$4:$I$917,5,FALSE)</f>
        <v>9018</v>
      </c>
      <c r="R280" s="2">
        <f>VLOOKUP($A280,'[2]App C Inv'!$A$4:$I$917,6,FALSE)</f>
        <v>-7757</v>
      </c>
      <c r="S280" s="2">
        <f>VLOOKUP($A280,'[2]App C Inv'!$A$4:$I$917,7,FALSE)</f>
        <v>1093</v>
      </c>
      <c r="T280" s="2">
        <f>VLOOKUP($A280,'[2]App C Inv'!$A$4:$I$917,8,FALSE)</f>
        <v>1423</v>
      </c>
      <c r="U280" s="2">
        <f>VLOOKUP($A280,'[2]App C Inv'!$A$4:$I$917,9,FALSE)</f>
        <v>0</v>
      </c>
      <c r="V280" s="2"/>
      <c r="W280" s="2">
        <f>VLOOKUP($A280,'[2]App C Assum'!$A$4:$I$917,5,FALSE)</f>
        <v>10158</v>
      </c>
      <c r="X280" s="2">
        <f>VLOOKUP($A280,'[2]App C Assum'!$A$4:$I$917,6,FALSE)</f>
        <v>8322</v>
      </c>
      <c r="Y280" s="2">
        <f>VLOOKUP($A280,'[2]App C Assum'!$A$4:$I$917,7,FALSE)</f>
        <v>6756</v>
      </c>
      <c r="Z280" s="2">
        <f>VLOOKUP($A280,'[2]App C Assum'!$A$4:$I$917,8,FALSE)</f>
        <v>0</v>
      </c>
      <c r="AA280" s="2">
        <f>VLOOKUP($A280,'[2]App C Assum'!$A$4:$I$917,9,FALSE)</f>
        <v>0</v>
      </c>
      <c r="AB280" s="2"/>
      <c r="AC280" s="2">
        <f>VLOOKUP($A280,'[2]App C Share Outflows'!$A$4:$I$917,5,FALSE)</f>
        <v>2679</v>
      </c>
      <c r="AD280" s="2">
        <f>VLOOKUP($A280,'[2]App C Share Outflows'!$A$4:$I$917,6,FALSE)</f>
        <v>2181</v>
      </c>
      <c r="AE280" s="2">
        <f>VLOOKUP($A280,'[2]App C Share Outflows'!$A$4:$I$917,7,FALSE)</f>
        <v>1260</v>
      </c>
      <c r="AF280" s="2">
        <f>VLOOKUP($A280,'[2]App C Share Outflows'!$A$4:$I$917,8,FALSE)</f>
        <v>0</v>
      </c>
      <c r="AG280" s="2">
        <f>VLOOKUP($A280,'[2]App C Share Outflows'!$A$4:$I$917,9,FALSE)</f>
        <v>0</v>
      </c>
      <c r="AH280" s="2"/>
      <c r="AI280" s="2">
        <f>VLOOKUP($A280,'[2]App C Share Inflows'!$A$4:$I$917,5,FALSE)</f>
        <v>-189</v>
      </c>
      <c r="AJ280" s="2">
        <f>VLOOKUP($A280,'[2]App C Share Inflows'!$A$4:$I$917,6,FALSE)</f>
        <v>-189</v>
      </c>
      <c r="AK280" s="2">
        <f>VLOOKUP($A280,'[2]App C Share Inflows'!$A$4:$I$917,7,FALSE)</f>
        <v>-189</v>
      </c>
      <c r="AL280" s="2">
        <f>VLOOKUP($A280,'[2]App C Share Inflows'!$A$4:$I$917,8,FALSE)</f>
        <v>-191</v>
      </c>
      <c r="AM280" s="2">
        <f>VLOOKUP($A280,'[2]App C Share Inflows'!$A$4:$I$917,6,FALSE)</f>
        <v>-189</v>
      </c>
    </row>
    <row r="281" spans="1:39">
      <c r="A281" s="351">
        <v>92611</v>
      </c>
      <c r="B281" s="344" t="s">
        <v>973</v>
      </c>
      <c r="C281" s="235" t="e">
        <f>VLOOKUP(A281,#REF!,10,FALSE)</f>
        <v>#REF!</v>
      </c>
      <c r="E281" s="2">
        <f>VLOOKUP($A281,'[2]App C Total'!$A$4:$I$917,5,FALSE)</f>
        <v>5439266</v>
      </c>
      <c r="F281" s="2">
        <f>VLOOKUP($A281,'[2]App C Total'!$A$4:$I$917,6,FALSE)</f>
        <v>1431113</v>
      </c>
      <c r="G281" s="2">
        <f>VLOOKUP($A281,'[2]App C Total'!$A$4:$I$917,7,FALSE)</f>
        <v>2939487</v>
      </c>
      <c r="H281" s="2">
        <f>VLOOKUP($A281,'[2]App C Total'!$A$4:$I$917,8,FALSE)</f>
        <v>769993</v>
      </c>
      <c r="I281" s="2">
        <f>VLOOKUP($A281,'[2]App C Total'!$A$4:$I$917,9,FALSE)</f>
        <v>0</v>
      </c>
      <c r="J281" s="2"/>
      <c r="K281" s="2">
        <f>VLOOKUP($A281,'[2]App C Exp'!$A$4:$I$917,5,FALSE)</f>
        <v>1828814</v>
      </c>
      <c r="L281" s="2">
        <f>VLOOKUP($A281,'[2]App C Exp'!$A$4:$I$917,6,FALSE)</f>
        <v>1720323</v>
      </c>
      <c r="M281" s="2">
        <f>VLOOKUP($A281,'[2]App C Exp'!$A$4:$I$917,7,FALSE)</f>
        <v>1541906</v>
      </c>
      <c r="N281" s="2">
        <f>VLOOKUP($A281,'[2]App C Exp'!$A$4:$I$917,8,FALSE)</f>
        <v>617361</v>
      </c>
      <c r="O281" s="2">
        <f>VLOOKUP($A281,'[2]App C Exp'!$A$4:$I$917,9,FALSE)</f>
        <v>0</v>
      </c>
      <c r="P281" s="2"/>
      <c r="Q281" s="2">
        <f>VLOOKUP($A281,'[2]App C Inv'!$A$4:$I$917,5,FALSE)</f>
        <v>1941541</v>
      </c>
      <c r="R281" s="2">
        <f>VLOOKUP($A281,'[2]App C Inv'!$A$4:$I$917,6,FALSE)</f>
        <v>-1670088</v>
      </c>
      <c r="S281" s="2">
        <f>VLOOKUP($A281,'[2]App C Inv'!$A$4:$I$917,7,FALSE)</f>
        <v>235379</v>
      </c>
      <c r="T281" s="2">
        <f>VLOOKUP($A281,'[2]App C Inv'!$A$4:$I$917,8,FALSE)</f>
        <v>306343</v>
      </c>
      <c r="U281" s="2">
        <f>VLOOKUP($A281,'[2]App C Inv'!$A$4:$I$917,9,FALSE)</f>
        <v>0</v>
      </c>
      <c r="V281" s="2"/>
      <c r="W281" s="2">
        <f>VLOOKUP($A281,'[2]App C Assum'!$A$4:$I$917,5,FALSE)</f>
        <v>2187174</v>
      </c>
      <c r="X281" s="2">
        <f>VLOOKUP($A281,'[2]App C Assum'!$A$4:$I$917,6,FALSE)</f>
        <v>1791812</v>
      </c>
      <c r="Y281" s="2">
        <f>VLOOKUP($A281,'[2]App C Assum'!$A$4:$I$917,7,FALSE)</f>
        <v>1454645</v>
      </c>
      <c r="Z281" s="2">
        <f>VLOOKUP($A281,'[2]App C Assum'!$A$4:$I$917,8,FALSE)</f>
        <v>0</v>
      </c>
      <c r="AA281" s="2">
        <f>VLOOKUP($A281,'[2]App C Assum'!$A$4:$I$917,9,FALSE)</f>
        <v>0</v>
      </c>
      <c r="AB281" s="2"/>
      <c r="AC281" s="2">
        <f>VLOOKUP($A281,'[2]App C Share Outflows'!$A$4:$I$917,5,FALSE)</f>
        <v>0</v>
      </c>
      <c r="AD281" s="2">
        <f>VLOOKUP($A281,'[2]App C Share Outflows'!$A$4:$I$917,6,FALSE)</f>
        <v>0</v>
      </c>
      <c r="AE281" s="2">
        <f>VLOOKUP($A281,'[2]App C Share Outflows'!$A$4:$I$917,7,FALSE)</f>
        <v>0</v>
      </c>
      <c r="AF281" s="2">
        <f>VLOOKUP($A281,'[2]App C Share Outflows'!$A$4:$I$917,8,FALSE)</f>
        <v>0</v>
      </c>
      <c r="AG281" s="2">
        <f>VLOOKUP($A281,'[2]App C Share Outflows'!$A$4:$I$917,9,FALSE)</f>
        <v>0</v>
      </c>
      <c r="AH281" s="2"/>
      <c r="AI281" s="2">
        <f>VLOOKUP($A281,'[2]App C Share Inflows'!$A$4:$I$917,5,FALSE)</f>
        <v>-518263</v>
      </c>
      <c r="AJ281" s="2">
        <f>VLOOKUP($A281,'[2]App C Share Inflows'!$A$4:$I$917,6,FALSE)</f>
        <v>-410934</v>
      </c>
      <c r="AK281" s="2">
        <f>VLOOKUP($A281,'[2]App C Share Inflows'!$A$4:$I$917,7,FALSE)</f>
        <v>-292443</v>
      </c>
      <c r="AL281" s="2">
        <f>VLOOKUP($A281,'[2]App C Share Inflows'!$A$4:$I$917,8,FALSE)</f>
        <v>-153711</v>
      </c>
      <c r="AM281" s="2">
        <f>VLOOKUP($A281,'[2]App C Share Inflows'!$A$4:$I$917,6,FALSE)</f>
        <v>-410934</v>
      </c>
    </row>
    <row r="282" spans="1:39">
      <c r="A282" s="351">
        <v>92613</v>
      </c>
      <c r="B282" s="344" t="s">
        <v>2761</v>
      </c>
      <c r="C282" s="235" t="e">
        <f>VLOOKUP(A282,#REF!,10,FALSE)</f>
        <v>#REF!</v>
      </c>
      <c r="E282" s="2">
        <f>VLOOKUP($A282,'[2]App C Total'!$A$4:$I$917,5,FALSE)</f>
        <v>114191</v>
      </c>
      <c r="F282" s="2">
        <f>VLOOKUP($A282,'[2]App C Total'!$A$4:$I$917,6,FALSE)</f>
        <v>35870</v>
      </c>
      <c r="G282" s="2">
        <f>VLOOKUP($A282,'[2]App C Total'!$A$4:$I$917,7,FALSE)</f>
        <v>59691</v>
      </c>
      <c r="H282" s="2">
        <f>VLOOKUP($A282,'[2]App C Total'!$A$4:$I$917,8,FALSE)</f>
        <v>17799</v>
      </c>
      <c r="I282" s="2">
        <f>VLOOKUP($A282,'[2]App C Total'!$A$4:$I$917,9,FALSE)</f>
        <v>0</v>
      </c>
      <c r="J282" s="2"/>
      <c r="K282" s="2">
        <f>VLOOKUP($A282,'[2]App C Exp'!$A$4:$I$917,5,FALSE)</f>
        <v>33407</v>
      </c>
      <c r="L282" s="2">
        <f>VLOOKUP($A282,'[2]App C Exp'!$A$4:$I$917,6,FALSE)</f>
        <v>31425</v>
      </c>
      <c r="M282" s="2">
        <f>VLOOKUP($A282,'[2]App C Exp'!$A$4:$I$917,7,FALSE)</f>
        <v>28166</v>
      </c>
      <c r="N282" s="2">
        <f>VLOOKUP($A282,'[2]App C Exp'!$A$4:$I$917,8,FALSE)</f>
        <v>11277</v>
      </c>
      <c r="O282" s="2">
        <f>VLOOKUP($A282,'[2]App C Exp'!$A$4:$I$917,9,FALSE)</f>
        <v>0</v>
      </c>
      <c r="P282" s="2"/>
      <c r="Q282" s="2">
        <f>VLOOKUP($A282,'[2]App C Inv'!$A$4:$I$917,5,FALSE)</f>
        <v>35466</v>
      </c>
      <c r="R282" s="2">
        <f>VLOOKUP($A282,'[2]App C Inv'!$A$4:$I$917,6,FALSE)</f>
        <v>-30508</v>
      </c>
      <c r="S282" s="2">
        <f>VLOOKUP($A282,'[2]App C Inv'!$A$4:$I$917,7,FALSE)</f>
        <v>4300</v>
      </c>
      <c r="T282" s="2">
        <f>VLOOKUP($A282,'[2]App C Inv'!$A$4:$I$917,8,FALSE)</f>
        <v>5596</v>
      </c>
      <c r="U282" s="2">
        <f>VLOOKUP($A282,'[2]App C Inv'!$A$4:$I$917,9,FALSE)</f>
        <v>0</v>
      </c>
      <c r="V282" s="2"/>
      <c r="W282" s="2">
        <f>VLOOKUP($A282,'[2]App C Assum'!$A$4:$I$917,5,FALSE)</f>
        <v>39953</v>
      </c>
      <c r="X282" s="2">
        <f>VLOOKUP($A282,'[2]App C Assum'!$A$4:$I$917,6,FALSE)</f>
        <v>32731</v>
      </c>
      <c r="Y282" s="2">
        <f>VLOOKUP($A282,'[2]App C Assum'!$A$4:$I$917,7,FALSE)</f>
        <v>26572</v>
      </c>
      <c r="Z282" s="2">
        <f>VLOOKUP($A282,'[2]App C Assum'!$A$4:$I$917,8,FALSE)</f>
        <v>0</v>
      </c>
      <c r="AA282" s="2">
        <f>VLOOKUP($A282,'[2]App C Assum'!$A$4:$I$917,9,FALSE)</f>
        <v>0</v>
      </c>
      <c r="AB282" s="2"/>
      <c r="AC282" s="2">
        <f>VLOOKUP($A282,'[2]App C Share Outflows'!$A$4:$I$917,5,FALSE)</f>
        <v>5636</v>
      </c>
      <c r="AD282" s="2">
        <f>VLOOKUP($A282,'[2]App C Share Outflows'!$A$4:$I$917,6,FALSE)</f>
        <v>2493</v>
      </c>
      <c r="AE282" s="2">
        <f>VLOOKUP($A282,'[2]App C Share Outflows'!$A$4:$I$917,7,FALSE)</f>
        <v>926</v>
      </c>
      <c r="AF282" s="2">
        <f>VLOOKUP($A282,'[2]App C Share Outflows'!$A$4:$I$917,8,FALSE)</f>
        <v>926</v>
      </c>
      <c r="AG282" s="2">
        <f>VLOOKUP($A282,'[2]App C Share Outflows'!$A$4:$I$917,9,FALSE)</f>
        <v>0</v>
      </c>
      <c r="AH282" s="2"/>
      <c r="AI282" s="2">
        <f>VLOOKUP($A282,'[2]App C Share Inflows'!$A$4:$I$917,5,FALSE)</f>
        <v>-271</v>
      </c>
      <c r="AJ282" s="2">
        <f>VLOOKUP($A282,'[2]App C Share Inflows'!$A$4:$I$917,6,FALSE)</f>
        <v>-271</v>
      </c>
      <c r="AK282" s="2">
        <f>VLOOKUP($A282,'[2]App C Share Inflows'!$A$4:$I$917,7,FALSE)</f>
        <v>-273</v>
      </c>
      <c r="AL282" s="2">
        <f>VLOOKUP($A282,'[2]App C Share Inflows'!$A$4:$I$917,8,FALSE)</f>
        <v>0</v>
      </c>
      <c r="AM282" s="2">
        <f>VLOOKUP($A282,'[2]App C Share Inflows'!$A$4:$I$917,6,FALSE)</f>
        <v>-271</v>
      </c>
    </row>
    <row r="283" spans="1:39">
      <c r="A283" s="351">
        <v>92614</v>
      </c>
      <c r="B283" s="344" t="s">
        <v>3668</v>
      </c>
      <c r="C283" s="235" t="e">
        <f>VLOOKUP(A283,#REF!,10,FALSE)</f>
        <v>#REF!</v>
      </c>
      <c r="E283" s="2">
        <f>VLOOKUP($A283,'[2]App C Total'!$A$4:$I$917,5,FALSE)</f>
        <v>4535359</v>
      </c>
      <c r="F283" s="2">
        <f>VLOOKUP($A283,'[2]App C Total'!$A$4:$I$917,6,FALSE)</f>
        <v>2240982</v>
      </c>
      <c r="G283" s="2">
        <f>VLOOKUP($A283,'[2]App C Total'!$A$4:$I$917,7,FALSE)</f>
        <v>2447005</v>
      </c>
      <c r="H283" s="2">
        <f>VLOOKUP($A283,'[2]App C Total'!$A$4:$I$917,8,FALSE)</f>
        <v>950653</v>
      </c>
      <c r="I283" s="2">
        <f>VLOOKUP($A283,'[2]App C Total'!$A$4:$I$917,9,FALSE)</f>
        <v>0</v>
      </c>
      <c r="J283" s="2"/>
      <c r="K283" s="2">
        <f>VLOOKUP($A283,'[2]App C Exp'!$A$4:$I$917,5,FALSE)</f>
        <v>856926</v>
      </c>
      <c r="L283" s="2">
        <f>VLOOKUP($A283,'[2]App C Exp'!$A$4:$I$917,6,FALSE)</f>
        <v>806091</v>
      </c>
      <c r="M283" s="2">
        <f>VLOOKUP($A283,'[2]App C Exp'!$A$4:$I$917,7,FALSE)</f>
        <v>722490</v>
      </c>
      <c r="N283" s="2">
        <f>VLOOKUP($A283,'[2]App C Exp'!$A$4:$I$917,8,FALSE)</f>
        <v>289276</v>
      </c>
      <c r="O283" s="2">
        <f>VLOOKUP($A283,'[2]App C Exp'!$A$4:$I$917,9,FALSE)</f>
        <v>0</v>
      </c>
      <c r="P283" s="2"/>
      <c r="Q283" s="2">
        <f>VLOOKUP($A283,'[2]App C Inv'!$A$4:$I$917,5,FALSE)</f>
        <v>909746</v>
      </c>
      <c r="R283" s="2">
        <f>VLOOKUP($A283,'[2]App C Inv'!$A$4:$I$917,6,FALSE)</f>
        <v>-782552</v>
      </c>
      <c r="S283" s="2">
        <f>VLOOKUP($A283,'[2]App C Inv'!$A$4:$I$917,7,FALSE)</f>
        <v>110291</v>
      </c>
      <c r="T283" s="2">
        <f>VLOOKUP($A283,'[2]App C Inv'!$A$4:$I$917,8,FALSE)</f>
        <v>143543</v>
      </c>
      <c r="U283" s="2">
        <f>VLOOKUP($A283,'[2]App C Inv'!$A$4:$I$917,9,FALSE)</f>
        <v>0</v>
      </c>
      <c r="V283" s="2"/>
      <c r="W283" s="2">
        <f>VLOOKUP($A283,'[2]App C Assum'!$A$4:$I$917,5,FALSE)</f>
        <v>1024842</v>
      </c>
      <c r="X283" s="2">
        <f>VLOOKUP($A283,'[2]App C Assum'!$A$4:$I$917,6,FALSE)</f>
        <v>839588</v>
      </c>
      <c r="Y283" s="2">
        <f>VLOOKUP($A283,'[2]App C Assum'!$A$4:$I$917,7,FALSE)</f>
        <v>681602</v>
      </c>
      <c r="Z283" s="2">
        <f>VLOOKUP($A283,'[2]App C Assum'!$A$4:$I$917,8,FALSE)</f>
        <v>0</v>
      </c>
      <c r="AA283" s="2">
        <f>VLOOKUP($A283,'[2]App C Assum'!$A$4:$I$917,9,FALSE)</f>
        <v>0</v>
      </c>
      <c r="AB283" s="2"/>
      <c r="AC283" s="2">
        <f>VLOOKUP($A283,'[2]App C Share Outflows'!$A$4:$I$917,5,FALSE)</f>
        <v>1743845</v>
      </c>
      <c r="AD283" s="2">
        <f>VLOOKUP($A283,'[2]App C Share Outflows'!$A$4:$I$917,6,FALSE)</f>
        <v>1377855</v>
      </c>
      <c r="AE283" s="2">
        <f>VLOOKUP($A283,'[2]App C Share Outflows'!$A$4:$I$917,7,FALSE)</f>
        <v>932622</v>
      </c>
      <c r="AF283" s="2">
        <f>VLOOKUP($A283,'[2]App C Share Outflows'!$A$4:$I$917,8,FALSE)</f>
        <v>517834</v>
      </c>
      <c r="AG283" s="2">
        <f>VLOOKUP($A283,'[2]App C Share Outflows'!$A$4:$I$917,9,FALSE)</f>
        <v>0</v>
      </c>
      <c r="AH283" s="2"/>
      <c r="AI283" s="2">
        <f>VLOOKUP($A283,'[2]App C Share Inflows'!$A$4:$I$917,5,FALSE)</f>
        <v>0</v>
      </c>
      <c r="AJ283" s="2">
        <f>VLOOKUP($A283,'[2]App C Share Inflows'!$A$4:$I$917,6,FALSE)</f>
        <v>0</v>
      </c>
      <c r="AK283" s="2">
        <f>VLOOKUP($A283,'[2]App C Share Inflows'!$A$4:$I$917,7,FALSE)</f>
        <v>0</v>
      </c>
      <c r="AL283" s="2">
        <f>VLOOKUP($A283,'[2]App C Share Inflows'!$A$4:$I$917,8,FALSE)</f>
        <v>0</v>
      </c>
      <c r="AM283" s="2">
        <f>VLOOKUP($A283,'[2]App C Share Inflows'!$A$4:$I$917,6,FALSE)</f>
        <v>0</v>
      </c>
    </row>
    <row r="284" spans="1:39">
      <c r="A284" s="351">
        <v>92621</v>
      </c>
      <c r="B284" s="344" t="s">
        <v>976</v>
      </c>
      <c r="C284" s="235" t="e">
        <f>VLOOKUP(A284,#REF!,10,FALSE)</f>
        <v>#REF!</v>
      </c>
      <c r="E284" s="2">
        <f>VLOOKUP($A284,'[2]App C Total'!$A$4:$I$917,5,FALSE)</f>
        <v>13364</v>
      </c>
      <c r="F284" s="2">
        <f>VLOOKUP($A284,'[2]App C Total'!$A$4:$I$917,6,FALSE)</f>
        <v>3851</v>
      </c>
      <c r="G284" s="2">
        <f>VLOOKUP($A284,'[2]App C Total'!$A$4:$I$917,7,FALSE)</f>
        <v>8330</v>
      </c>
      <c r="H284" s="2">
        <f>VLOOKUP($A284,'[2]App C Total'!$A$4:$I$917,8,FALSE)</f>
        <v>3030</v>
      </c>
      <c r="I284" s="2">
        <f>VLOOKUP($A284,'[2]App C Total'!$A$4:$I$917,9,FALSE)</f>
        <v>0</v>
      </c>
      <c r="J284" s="2"/>
      <c r="K284" s="2">
        <f>VLOOKUP($A284,'[2]App C Exp'!$A$4:$I$917,5,FALSE)</f>
        <v>4329</v>
      </c>
      <c r="L284" s="2">
        <f>VLOOKUP($A284,'[2]App C Exp'!$A$4:$I$917,6,FALSE)</f>
        <v>4073</v>
      </c>
      <c r="M284" s="2">
        <f>VLOOKUP($A284,'[2]App C Exp'!$A$4:$I$917,7,FALSE)</f>
        <v>3650</v>
      </c>
      <c r="N284" s="2">
        <f>VLOOKUP($A284,'[2]App C Exp'!$A$4:$I$917,8,FALSE)</f>
        <v>1462</v>
      </c>
      <c r="O284" s="2">
        <f>VLOOKUP($A284,'[2]App C Exp'!$A$4:$I$917,9,FALSE)</f>
        <v>0</v>
      </c>
      <c r="P284" s="2"/>
      <c r="Q284" s="2">
        <f>VLOOKUP($A284,'[2]App C Inv'!$A$4:$I$917,5,FALSE)</f>
        <v>4596</v>
      </c>
      <c r="R284" s="2">
        <f>VLOOKUP($A284,'[2]App C Inv'!$A$4:$I$917,6,FALSE)</f>
        <v>-3954</v>
      </c>
      <c r="S284" s="2">
        <f>VLOOKUP($A284,'[2]App C Inv'!$A$4:$I$917,7,FALSE)</f>
        <v>557</v>
      </c>
      <c r="T284" s="2">
        <f>VLOOKUP($A284,'[2]App C Inv'!$A$4:$I$917,8,FALSE)</f>
        <v>725</v>
      </c>
      <c r="U284" s="2">
        <f>VLOOKUP($A284,'[2]App C Inv'!$A$4:$I$917,9,FALSE)</f>
        <v>0</v>
      </c>
      <c r="V284" s="2"/>
      <c r="W284" s="2">
        <f>VLOOKUP($A284,'[2]App C Assum'!$A$4:$I$917,5,FALSE)</f>
        <v>5178</v>
      </c>
      <c r="X284" s="2">
        <f>VLOOKUP($A284,'[2]App C Assum'!$A$4:$I$917,6,FALSE)</f>
        <v>4242</v>
      </c>
      <c r="Y284" s="2">
        <f>VLOOKUP($A284,'[2]App C Assum'!$A$4:$I$917,7,FALSE)</f>
        <v>3444</v>
      </c>
      <c r="Z284" s="2">
        <f>VLOOKUP($A284,'[2]App C Assum'!$A$4:$I$917,8,FALSE)</f>
        <v>0</v>
      </c>
      <c r="AA284" s="2">
        <f>VLOOKUP($A284,'[2]App C Assum'!$A$4:$I$917,9,FALSE)</f>
        <v>0</v>
      </c>
      <c r="AB284" s="2"/>
      <c r="AC284" s="2">
        <f>VLOOKUP($A284,'[2]App C Share Outflows'!$A$4:$I$917,5,FALSE)</f>
        <v>841</v>
      </c>
      <c r="AD284" s="2">
        <f>VLOOKUP($A284,'[2]App C Share Outflows'!$A$4:$I$917,6,FALSE)</f>
        <v>841</v>
      </c>
      <c r="AE284" s="2">
        <f>VLOOKUP($A284,'[2]App C Share Outflows'!$A$4:$I$917,7,FALSE)</f>
        <v>841</v>
      </c>
      <c r="AF284" s="2">
        <f>VLOOKUP($A284,'[2]App C Share Outflows'!$A$4:$I$917,8,FALSE)</f>
        <v>843</v>
      </c>
      <c r="AG284" s="2">
        <f>VLOOKUP($A284,'[2]App C Share Outflows'!$A$4:$I$917,9,FALSE)</f>
        <v>0</v>
      </c>
      <c r="AH284" s="2"/>
      <c r="AI284" s="2">
        <f>VLOOKUP($A284,'[2]App C Share Inflows'!$A$4:$I$917,5,FALSE)</f>
        <v>-1580</v>
      </c>
      <c r="AJ284" s="2">
        <f>VLOOKUP($A284,'[2]App C Share Inflows'!$A$4:$I$917,6,FALSE)</f>
        <v>-1351</v>
      </c>
      <c r="AK284" s="2">
        <f>VLOOKUP($A284,'[2]App C Share Inflows'!$A$4:$I$917,7,FALSE)</f>
        <v>-162</v>
      </c>
      <c r="AL284" s="2">
        <f>VLOOKUP($A284,'[2]App C Share Inflows'!$A$4:$I$917,8,FALSE)</f>
        <v>0</v>
      </c>
      <c r="AM284" s="2">
        <f>VLOOKUP($A284,'[2]App C Share Inflows'!$A$4:$I$917,6,FALSE)</f>
        <v>-1351</v>
      </c>
    </row>
    <row r="285" spans="1:39">
      <c r="A285" s="351">
        <v>92631</v>
      </c>
      <c r="B285" s="344" t="s">
        <v>977</v>
      </c>
      <c r="C285" s="235" t="e">
        <f>VLOOKUP(A285,#REF!,10,FALSE)</f>
        <v>#REF!</v>
      </c>
      <c r="E285" s="2">
        <f>VLOOKUP($A285,'[2]App C Total'!$A$4:$I$917,5,FALSE)</f>
        <v>411404</v>
      </c>
      <c r="F285" s="2">
        <f>VLOOKUP($A285,'[2]App C Total'!$A$4:$I$917,6,FALSE)</f>
        <v>111372</v>
      </c>
      <c r="G285" s="2">
        <f>VLOOKUP($A285,'[2]App C Total'!$A$4:$I$917,7,FALSE)</f>
        <v>236682</v>
      </c>
      <c r="H285" s="2">
        <f>VLOOKUP($A285,'[2]App C Total'!$A$4:$I$917,8,FALSE)</f>
        <v>69896</v>
      </c>
      <c r="I285" s="2">
        <f>VLOOKUP($A285,'[2]App C Total'!$A$4:$I$917,9,FALSE)</f>
        <v>0</v>
      </c>
      <c r="J285" s="2"/>
      <c r="K285" s="2">
        <f>VLOOKUP($A285,'[2]App C Exp'!$A$4:$I$917,5,FALSE)</f>
        <v>139815</v>
      </c>
      <c r="L285" s="2">
        <f>VLOOKUP($A285,'[2]App C Exp'!$A$4:$I$917,6,FALSE)</f>
        <v>131521</v>
      </c>
      <c r="M285" s="2">
        <f>VLOOKUP($A285,'[2]App C Exp'!$A$4:$I$917,7,FALSE)</f>
        <v>117880</v>
      </c>
      <c r="N285" s="2">
        <f>VLOOKUP($A285,'[2]App C Exp'!$A$4:$I$917,8,FALSE)</f>
        <v>47198</v>
      </c>
      <c r="O285" s="2">
        <f>VLOOKUP($A285,'[2]App C Exp'!$A$4:$I$917,9,FALSE)</f>
        <v>0</v>
      </c>
      <c r="P285" s="2"/>
      <c r="Q285" s="2">
        <f>VLOOKUP($A285,'[2]App C Inv'!$A$4:$I$917,5,FALSE)</f>
        <v>148433</v>
      </c>
      <c r="R285" s="2">
        <f>VLOOKUP($A285,'[2]App C Inv'!$A$4:$I$917,6,FALSE)</f>
        <v>-127680</v>
      </c>
      <c r="S285" s="2">
        <f>VLOOKUP($A285,'[2]App C Inv'!$A$4:$I$917,7,FALSE)</f>
        <v>17995</v>
      </c>
      <c r="T285" s="2">
        <f>VLOOKUP($A285,'[2]App C Inv'!$A$4:$I$917,8,FALSE)</f>
        <v>23420</v>
      </c>
      <c r="U285" s="2">
        <f>VLOOKUP($A285,'[2]App C Inv'!$A$4:$I$917,9,FALSE)</f>
        <v>0</v>
      </c>
      <c r="V285" s="2"/>
      <c r="W285" s="2">
        <f>VLOOKUP($A285,'[2]App C Assum'!$A$4:$I$917,5,FALSE)</f>
        <v>167212</v>
      </c>
      <c r="X285" s="2">
        <f>VLOOKUP($A285,'[2]App C Assum'!$A$4:$I$917,6,FALSE)</f>
        <v>136986</v>
      </c>
      <c r="Y285" s="2">
        <f>VLOOKUP($A285,'[2]App C Assum'!$A$4:$I$917,7,FALSE)</f>
        <v>111209</v>
      </c>
      <c r="Z285" s="2">
        <f>VLOOKUP($A285,'[2]App C Assum'!$A$4:$I$917,8,FALSE)</f>
        <v>0</v>
      </c>
      <c r="AA285" s="2">
        <f>VLOOKUP($A285,'[2]App C Assum'!$A$4:$I$917,9,FALSE)</f>
        <v>0</v>
      </c>
      <c r="AB285" s="2"/>
      <c r="AC285" s="2">
        <f>VLOOKUP($A285,'[2]App C Share Outflows'!$A$4:$I$917,5,FALSE)</f>
        <v>0</v>
      </c>
      <c r="AD285" s="2">
        <f>VLOOKUP($A285,'[2]App C Share Outflows'!$A$4:$I$917,6,FALSE)</f>
        <v>0</v>
      </c>
      <c r="AE285" s="2">
        <f>VLOOKUP($A285,'[2]App C Share Outflows'!$A$4:$I$917,7,FALSE)</f>
        <v>0</v>
      </c>
      <c r="AF285" s="2">
        <f>VLOOKUP($A285,'[2]App C Share Outflows'!$A$4:$I$917,8,FALSE)</f>
        <v>0</v>
      </c>
      <c r="AG285" s="2">
        <f>VLOOKUP($A285,'[2]App C Share Outflows'!$A$4:$I$917,9,FALSE)</f>
        <v>0</v>
      </c>
      <c r="AH285" s="2"/>
      <c r="AI285" s="2">
        <f>VLOOKUP($A285,'[2]App C Share Inflows'!$A$4:$I$917,5,FALSE)</f>
        <v>-44056</v>
      </c>
      <c r="AJ285" s="2">
        <f>VLOOKUP($A285,'[2]App C Share Inflows'!$A$4:$I$917,6,FALSE)</f>
        <v>-29455</v>
      </c>
      <c r="AK285" s="2">
        <f>VLOOKUP($A285,'[2]App C Share Inflows'!$A$4:$I$917,7,FALSE)</f>
        <v>-10402</v>
      </c>
      <c r="AL285" s="2">
        <f>VLOOKUP($A285,'[2]App C Share Inflows'!$A$4:$I$917,8,FALSE)</f>
        <v>-722</v>
      </c>
      <c r="AM285" s="2">
        <f>VLOOKUP($A285,'[2]App C Share Inflows'!$A$4:$I$917,6,FALSE)</f>
        <v>-29455</v>
      </c>
    </row>
    <row r="286" spans="1:39">
      <c r="A286" s="351">
        <v>92641</v>
      </c>
      <c r="B286" s="344" t="s">
        <v>978</v>
      </c>
      <c r="C286" s="235" t="e">
        <f>VLOOKUP(A286,#REF!,10,FALSE)</f>
        <v>#REF!</v>
      </c>
      <c r="E286" s="2">
        <f>VLOOKUP($A286,'[2]App C Total'!$A$4:$I$917,5,FALSE)</f>
        <v>6777</v>
      </c>
      <c r="F286" s="2">
        <f>VLOOKUP($A286,'[2]App C Total'!$A$4:$I$917,6,FALSE)</f>
        <v>2959</v>
      </c>
      <c r="G286" s="2">
        <f>VLOOKUP($A286,'[2]App C Total'!$A$4:$I$917,7,FALSE)</f>
        <v>4033</v>
      </c>
      <c r="H286" s="2">
        <f>VLOOKUP($A286,'[2]App C Total'!$A$4:$I$917,8,FALSE)</f>
        <v>1578</v>
      </c>
      <c r="I286" s="2">
        <f>VLOOKUP($A286,'[2]App C Total'!$A$4:$I$917,9,FALSE)</f>
        <v>0</v>
      </c>
      <c r="J286" s="2"/>
      <c r="K286" s="2">
        <f>VLOOKUP($A286,'[2]App C Exp'!$A$4:$I$917,5,FALSE)</f>
        <v>1663</v>
      </c>
      <c r="L286" s="2">
        <f>VLOOKUP($A286,'[2]App C Exp'!$A$4:$I$917,6,FALSE)</f>
        <v>1564</v>
      </c>
      <c r="M286" s="2">
        <f>VLOOKUP($A286,'[2]App C Exp'!$A$4:$I$917,7,FALSE)</f>
        <v>1402</v>
      </c>
      <c r="N286" s="2">
        <f>VLOOKUP($A286,'[2]App C Exp'!$A$4:$I$917,8,FALSE)</f>
        <v>561</v>
      </c>
      <c r="O286" s="2">
        <f>VLOOKUP($A286,'[2]App C Exp'!$A$4:$I$917,9,FALSE)</f>
        <v>0</v>
      </c>
      <c r="P286" s="2"/>
      <c r="Q286" s="2">
        <f>VLOOKUP($A286,'[2]App C Inv'!$A$4:$I$917,5,FALSE)</f>
        <v>1765</v>
      </c>
      <c r="R286" s="2">
        <f>VLOOKUP($A286,'[2]App C Inv'!$A$4:$I$917,6,FALSE)</f>
        <v>-1519</v>
      </c>
      <c r="S286" s="2">
        <f>VLOOKUP($A286,'[2]App C Inv'!$A$4:$I$917,7,FALSE)</f>
        <v>214</v>
      </c>
      <c r="T286" s="2">
        <f>VLOOKUP($A286,'[2]App C Inv'!$A$4:$I$917,8,FALSE)</f>
        <v>279</v>
      </c>
      <c r="U286" s="2">
        <f>VLOOKUP($A286,'[2]App C Inv'!$A$4:$I$917,9,FALSE)</f>
        <v>0</v>
      </c>
      <c r="V286" s="2"/>
      <c r="W286" s="2">
        <f>VLOOKUP($A286,'[2]App C Assum'!$A$4:$I$917,5,FALSE)</f>
        <v>1989</v>
      </c>
      <c r="X286" s="2">
        <f>VLOOKUP($A286,'[2]App C Assum'!$A$4:$I$917,6,FALSE)</f>
        <v>1629</v>
      </c>
      <c r="Y286" s="2">
        <f>VLOOKUP($A286,'[2]App C Assum'!$A$4:$I$917,7,FALSE)</f>
        <v>1323</v>
      </c>
      <c r="Z286" s="2">
        <f>VLOOKUP($A286,'[2]App C Assum'!$A$4:$I$917,8,FALSE)</f>
        <v>0</v>
      </c>
      <c r="AA286" s="2">
        <f>VLOOKUP($A286,'[2]App C Assum'!$A$4:$I$917,9,FALSE)</f>
        <v>0</v>
      </c>
      <c r="AB286" s="2"/>
      <c r="AC286" s="2">
        <f>VLOOKUP($A286,'[2]App C Share Outflows'!$A$4:$I$917,5,FALSE)</f>
        <v>1360</v>
      </c>
      <c r="AD286" s="2">
        <f>VLOOKUP($A286,'[2]App C Share Outflows'!$A$4:$I$917,6,FALSE)</f>
        <v>1285</v>
      </c>
      <c r="AE286" s="2">
        <f>VLOOKUP($A286,'[2]App C Share Outflows'!$A$4:$I$917,7,FALSE)</f>
        <v>1094</v>
      </c>
      <c r="AF286" s="2">
        <f>VLOOKUP($A286,'[2]App C Share Outflows'!$A$4:$I$917,8,FALSE)</f>
        <v>738</v>
      </c>
      <c r="AG286" s="2">
        <f>VLOOKUP($A286,'[2]App C Share Outflows'!$A$4:$I$917,9,FALSE)</f>
        <v>0</v>
      </c>
      <c r="AH286" s="2"/>
      <c r="AI286" s="2">
        <f>VLOOKUP($A286,'[2]App C Share Inflows'!$A$4:$I$917,5,FALSE)</f>
        <v>0</v>
      </c>
      <c r="AJ286" s="2">
        <f>VLOOKUP($A286,'[2]App C Share Inflows'!$A$4:$I$917,6,FALSE)</f>
        <v>0</v>
      </c>
      <c r="AK286" s="2">
        <f>VLOOKUP($A286,'[2]App C Share Inflows'!$A$4:$I$917,7,FALSE)</f>
        <v>0</v>
      </c>
      <c r="AL286" s="2">
        <f>VLOOKUP($A286,'[2]App C Share Inflows'!$A$4:$I$917,8,FALSE)</f>
        <v>0</v>
      </c>
      <c r="AM286" s="2">
        <f>VLOOKUP($A286,'[2]App C Share Inflows'!$A$4:$I$917,6,FALSE)</f>
        <v>0</v>
      </c>
    </row>
    <row r="287" spans="1:39">
      <c r="A287" s="351">
        <v>92651</v>
      </c>
      <c r="B287" s="344" t="s">
        <v>979</v>
      </c>
      <c r="C287" s="235" t="e">
        <f>VLOOKUP(A287,#REF!,10,FALSE)</f>
        <v>#REF!</v>
      </c>
      <c r="E287" s="2">
        <f>VLOOKUP($A287,'[2]App C Total'!$A$4:$I$917,5,FALSE)</f>
        <v>3268</v>
      </c>
      <c r="F287" s="2">
        <f>VLOOKUP($A287,'[2]App C Total'!$A$4:$I$917,6,FALSE)</f>
        <v>1507</v>
      </c>
      <c r="G287" s="2">
        <f>VLOOKUP($A287,'[2]App C Total'!$A$4:$I$917,7,FALSE)</f>
        <v>1605</v>
      </c>
      <c r="H287" s="2">
        <f>VLOOKUP($A287,'[2]App C Total'!$A$4:$I$917,8,FALSE)</f>
        <v>390</v>
      </c>
      <c r="I287" s="2">
        <f>VLOOKUP($A287,'[2]App C Total'!$A$4:$I$917,9,FALSE)</f>
        <v>0</v>
      </c>
      <c r="J287" s="2"/>
      <c r="K287" s="2">
        <f>VLOOKUP($A287,'[2]App C Exp'!$A$4:$I$917,5,FALSE)</f>
        <v>644</v>
      </c>
      <c r="L287" s="2">
        <f>VLOOKUP($A287,'[2]App C Exp'!$A$4:$I$917,6,FALSE)</f>
        <v>606</v>
      </c>
      <c r="M287" s="2">
        <f>VLOOKUP($A287,'[2]App C Exp'!$A$4:$I$917,7,FALSE)</f>
        <v>543</v>
      </c>
      <c r="N287" s="2">
        <f>VLOOKUP($A287,'[2]App C Exp'!$A$4:$I$917,8,FALSE)</f>
        <v>217</v>
      </c>
      <c r="O287" s="2">
        <f>VLOOKUP($A287,'[2]App C Exp'!$A$4:$I$917,9,FALSE)</f>
        <v>0</v>
      </c>
      <c r="P287" s="2"/>
      <c r="Q287" s="2">
        <f>VLOOKUP($A287,'[2]App C Inv'!$A$4:$I$917,5,FALSE)</f>
        <v>684</v>
      </c>
      <c r="R287" s="2">
        <f>VLOOKUP($A287,'[2]App C Inv'!$A$4:$I$917,6,FALSE)</f>
        <v>-588</v>
      </c>
      <c r="S287" s="2">
        <f>VLOOKUP($A287,'[2]App C Inv'!$A$4:$I$917,7,FALSE)</f>
        <v>83</v>
      </c>
      <c r="T287" s="2">
        <f>VLOOKUP($A287,'[2]App C Inv'!$A$4:$I$917,8,FALSE)</f>
        <v>108</v>
      </c>
      <c r="U287" s="2">
        <f>VLOOKUP($A287,'[2]App C Inv'!$A$4:$I$917,9,FALSE)</f>
        <v>0</v>
      </c>
      <c r="V287" s="2"/>
      <c r="W287" s="2">
        <f>VLOOKUP($A287,'[2]App C Assum'!$A$4:$I$917,5,FALSE)</f>
        <v>770</v>
      </c>
      <c r="X287" s="2">
        <f>VLOOKUP($A287,'[2]App C Assum'!$A$4:$I$917,6,FALSE)</f>
        <v>631</v>
      </c>
      <c r="Y287" s="2">
        <f>VLOOKUP($A287,'[2]App C Assum'!$A$4:$I$917,7,FALSE)</f>
        <v>512</v>
      </c>
      <c r="Z287" s="2">
        <f>VLOOKUP($A287,'[2]App C Assum'!$A$4:$I$917,8,FALSE)</f>
        <v>0</v>
      </c>
      <c r="AA287" s="2">
        <f>VLOOKUP($A287,'[2]App C Assum'!$A$4:$I$917,9,FALSE)</f>
        <v>0</v>
      </c>
      <c r="AB287" s="2"/>
      <c r="AC287" s="2">
        <f>VLOOKUP($A287,'[2]App C Share Outflows'!$A$4:$I$917,5,FALSE)</f>
        <v>1170</v>
      </c>
      <c r="AD287" s="2">
        <f>VLOOKUP($A287,'[2]App C Share Outflows'!$A$4:$I$917,6,FALSE)</f>
        <v>858</v>
      </c>
      <c r="AE287" s="2">
        <f>VLOOKUP($A287,'[2]App C Share Outflows'!$A$4:$I$917,7,FALSE)</f>
        <v>467</v>
      </c>
      <c r="AF287" s="2">
        <f>VLOOKUP($A287,'[2]App C Share Outflows'!$A$4:$I$917,8,FALSE)</f>
        <v>65</v>
      </c>
      <c r="AG287" s="2">
        <f>VLOOKUP($A287,'[2]App C Share Outflows'!$A$4:$I$917,9,FALSE)</f>
        <v>0</v>
      </c>
      <c r="AH287" s="2"/>
      <c r="AI287" s="2">
        <f>VLOOKUP($A287,'[2]App C Share Inflows'!$A$4:$I$917,5,FALSE)</f>
        <v>0</v>
      </c>
      <c r="AJ287" s="2">
        <f>VLOOKUP($A287,'[2]App C Share Inflows'!$A$4:$I$917,6,FALSE)</f>
        <v>0</v>
      </c>
      <c r="AK287" s="2">
        <f>VLOOKUP($A287,'[2]App C Share Inflows'!$A$4:$I$917,7,FALSE)</f>
        <v>0</v>
      </c>
      <c r="AL287" s="2">
        <f>VLOOKUP($A287,'[2]App C Share Inflows'!$A$4:$I$917,8,FALSE)</f>
        <v>0</v>
      </c>
      <c r="AM287" s="2">
        <f>VLOOKUP($A287,'[2]App C Share Inflows'!$A$4:$I$917,6,FALSE)</f>
        <v>0</v>
      </c>
    </row>
    <row r="288" spans="1:39">
      <c r="A288" s="351">
        <v>92661</v>
      </c>
      <c r="B288" s="344" t="s">
        <v>980</v>
      </c>
      <c r="C288" s="235" t="e">
        <f>VLOOKUP(A288,#REF!,10,FALSE)</f>
        <v>#REF!</v>
      </c>
      <c r="E288" s="2">
        <f>VLOOKUP($A288,'[2]App C Total'!$A$4:$I$917,5,FALSE)</f>
        <v>486220</v>
      </c>
      <c r="F288" s="2">
        <f>VLOOKUP($A288,'[2]App C Total'!$A$4:$I$917,6,FALSE)</f>
        <v>236178</v>
      </c>
      <c r="G288" s="2">
        <f>VLOOKUP($A288,'[2]App C Total'!$A$4:$I$917,7,FALSE)</f>
        <v>247185</v>
      </c>
      <c r="H288" s="2">
        <f>VLOOKUP($A288,'[2]App C Total'!$A$4:$I$917,8,FALSE)</f>
        <v>93587</v>
      </c>
      <c r="I288" s="2">
        <f>VLOOKUP($A288,'[2]App C Total'!$A$4:$I$917,9,FALSE)</f>
        <v>0</v>
      </c>
      <c r="J288" s="2"/>
      <c r="K288" s="2">
        <f>VLOOKUP($A288,'[2]App C Exp'!$A$4:$I$917,5,FALSE)</f>
        <v>93644</v>
      </c>
      <c r="L288" s="2">
        <f>VLOOKUP($A288,'[2]App C Exp'!$A$4:$I$917,6,FALSE)</f>
        <v>88089</v>
      </c>
      <c r="M288" s="2">
        <f>VLOOKUP($A288,'[2]App C Exp'!$A$4:$I$917,7,FALSE)</f>
        <v>78953</v>
      </c>
      <c r="N288" s="2">
        <f>VLOOKUP($A288,'[2]App C Exp'!$A$4:$I$917,8,FALSE)</f>
        <v>31612</v>
      </c>
      <c r="O288" s="2">
        <f>VLOOKUP($A288,'[2]App C Exp'!$A$4:$I$917,9,FALSE)</f>
        <v>0</v>
      </c>
      <c r="P288" s="2"/>
      <c r="Q288" s="2">
        <f>VLOOKUP($A288,'[2]App C Inv'!$A$4:$I$917,5,FALSE)</f>
        <v>99417</v>
      </c>
      <c r="R288" s="2">
        <f>VLOOKUP($A288,'[2]App C Inv'!$A$4:$I$917,6,FALSE)</f>
        <v>-85517</v>
      </c>
      <c r="S288" s="2">
        <f>VLOOKUP($A288,'[2]App C Inv'!$A$4:$I$917,7,FALSE)</f>
        <v>12053</v>
      </c>
      <c r="T288" s="2">
        <f>VLOOKUP($A288,'[2]App C Inv'!$A$4:$I$917,8,FALSE)</f>
        <v>15686</v>
      </c>
      <c r="U288" s="2">
        <f>VLOOKUP($A288,'[2]App C Inv'!$A$4:$I$917,9,FALSE)</f>
        <v>0</v>
      </c>
      <c r="V288" s="2"/>
      <c r="W288" s="2">
        <f>VLOOKUP($A288,'[2]App C Assum'!$A$4:$I$917,5,FALSE)</f>
        <v>111994</v>
      </c>
      <c r="X288" s="2">
        <f>VLOOKUP($A288,'[2]App C Assum'!$A$4:$I$917,6,FALSE)</f>
        <v>91750</v>
      </c>
      <c r="Y288" s="2">
        <f>VLOOKUP($A288,'[2]App C Assum'!$A$4:$I$917,7,FALSE)</f>
        <v>74485</v>
      </c>
      <c r="Z288" s="2">
        <f>VLOOKUP($A288,'[2]App C Assum'!$A$4:$I$917,8,FALSE)</f>
        <v>0</v>
      </c>
      <c r="AA288" s="2">
        <f>VLOOKUP($A288,'[2]App C Assum'!$A$4:$I$917,9,FALSE)</f>
        <v>0</v>
      </c>
      <c r="AB288" s="2"/>
      <c r="AC288" s="2">
        <f>VLOOKUP($A288,'[2]App C Share Outflows'!$A$4:$I$917,5,FALSE)</f>
        <v>181165</v>
      </c>
      <c r="AD288" s="2">
        <f>VLOOKUP($A288,'[2]App C Share Outflows'!$A$4:$I$917,6,FALSE)</f>
        <v>141856</v>
      </c>
      <c r="AE288" s="2">
        <f>VLOOKUP($A288,'[2]App C Share Outflows'!$A$4:$I$917,7,FALSE)</f>
        <v>81694</v>
      </c>
      <c r="AF288" s="2">
        <f>VLOOKUP($A288,'[2]App C Share Outflows'!$A$4:$I$917,8,FALSE)</f>
        <v>46289</v>
      </c>
      <c r="AG288" s="2">
        <f>VLOOKUP($A288,'[2]App C Share Outflows'!$A$4:$I$917,9,FALSE)</f>
        <v>0</v>
      </c>
      <c r="AH288" s="2"/>
      <c r="AI288" s="2">
        <f>VLOOKUP($A288,'[2]App C Share Inflows'!$A$4:$I$917,5,FALSE)</f>
        <v>0</v>
      </c>
      <c r="AJ288" s="2">
        <f>VLOOKUP($A288,'[2]App C Share Inflows'!$A$4:$I$917,6,FALSE)</f>
        <v>0</v>
      </c>
      <c r="AK288" s="2">
        <f>VLOOKUP($A288,'[2]App C Share Inflows'!$A$4:$I$917,7,FALSE)</f>
        <v>0</v>
      </c>
      <c r="AL288" s="2">
        <f>VLOOKUP($A288,'[2]App C Share Inflows'!$A$4:$I$917,8,FALSE)</f>
        <v>0</v>
      </c>
      <c r="AM288" s="2">
        <f>VLOOKUP($A288,'[2]App C Share Inflows'!$A$4:$I$917,6,FALSE)</f>
        <v>0</v>
      </c>
    </row>
    <row r="289" spans="1:39">
      <c r="A289" s="351">
        <v>92671</v>
      </c>
      <c r="B289" s="344" t="s">
        <v>981</v>
      </c>
      <c r="C289" s="235" t="e">
        <f>VLOOKUP(A289,#REF!,10,FALSE)</f>
        <v>#REF!</v>
      </c>
      <c r="E289" s="2">
        <f>VLOOKUP($A289,'[2]App C Total'!$A$4:$I$917,5,FALSE)</f>
        <v>3993</v>
      </c>
      <c r="F289" s="2">
        <f>VLOOKUP($A289,'[2]App C Total'!$A$4:$I$917,6,FALSE)</f>
        <v>2724</v>
      </c>
      <c r="G289" s="2">
        <f>VLOOKUP($A289,'[2]App C Total'!$A$4:$I$917,7,FALSE)</f>
        <v>2195</v>
      </c>
      <c r="H289" s="2">
        <f>VLOOKUP($A289,'[2]App C Total'!$A$4:$I$917,8,FALSE)</f>
        <v>985</v>
      </c>
      <c r="I289" s="2">
        <f>VLOOKUP($A289,'[2]App C Total'!$A$4:$I$917,9,FALSE)</f>
        <v>0</v>
      </c>
      <c r="J289" s="2"/>
      <c r="K289" s="2">
        <f>VLOOKUP($A289,'[2]App C Exp'!$A$4:$I$917,5,FALSE)</f>
        <v>315</v>
      </c>
      <c r="L289" s="2">
        <f>VLOOKUP($A289,'[2]App C Exp'!$A$4:$I$917,6,FALSE)</f>
        <v>296</v>
      </c>
      <c r="M289" s="2">
        <f>VLOOKUP($A289,'[2]App C Exp'!$A$4:$I$917,7,FALSE)</f>
        <v>265</v>
      </c>
      <c r="N289" s="2">
        <f>VLOOKUP($A289,'[2]App C Exp'!$A$4:$I$917,8,FALSE)</f>
        <v>106</v>
      </c>
      <c r="O289" s="2">
        <f>VLOOKUP($A289,'[2]App C Exp'!$A$4:$I$917,9,FALSE)</f>
        <v>0</v>
      </c>
      <c r="P289" s="2"/>
      <c r="Q289" s="2">
        <f>VLOOKUP($A289,'[2]App C Inv'!$A$4:$I$917,5,FALSE)</f>
        <v>334</v>
      </c>
      <c r="R289" s="2">
        <f>VLOOKUP($A289,'[2]App C Inv'!$A$4:$I$917,6,FALSE)</f>
        <v>-287</v>
      </c>
      <c r="S289" s="2">
        <f>VLOOKUP($A289,'[2]App C Inv'!$A$4:$I$917,7,FALSE)</f>
        <v>40</v>
      </c>
      <c r="T289" s="2">
        <f>VLOOKUP($A289,'[2]App C Inv'!$A$4:$I$917,8,FALSE)</f>
        <v>53</v>
      </c>
      <c r="U289" s="2">
        <f>VLOOKUP($A289,'[2]App C Inv'!$A$4:$I$917,9,FALSE)</f>
        <v>0</v>
      </c>
      <c r="V289" s="2"/>
      <c r="W289" s="2">
        <f>VLOOKUP($A289,'[2]App C Assum'!$A$4:$I$917,5,FALSE)</f>
        <v>376</v>
      </c>
      <c r="X289" s="2">
        <f>VLOOKUP($A289,'[2]App C Assum'!$A$4:$I$917,6,FALSE)</f>
        <v>308</v>
      </c>
      <c r="Y289" s="2">
        <f>VLOOKUP($A289,'[2]App C Assum'!$A$4:$I$917,7,FALSE)</f>
        <v>250</v>
      </c>
      <c r="Z289" s="2">
        <f>VLOOKUP($A289,'[2]App C Assum'!$A$4:$I$917,8,FALSE)</f>
        <v>0</v>
      </c>
      <c r="AA289" s="2">
        <f>VLOOKUP($A289,'[2]App C Assum'!$A$4:$I$917,9,FALSE)</f>
        <v>0</v>
      </c>
      <c r="AB289" s="2"/>
      <c r="AC289" s="2">
        <f>VLOOKUP($A289,'[2]App C Share Outflows'!$A$4:$I$917,5,FALSE)</f>
        <v>2968</v>
      </c>
      <c r="AD289" s="2">
        <f>VLOOKUP($A289,'[2]App C Share Outflows'!$A$4:$I$917,6,FALSE)</f>
        <v>2407</v>
      </c>
      <c r="AE289" s="2">
        <f>VLOOKUP($A289,'[2]App C Share Outflows'!$A$4:$I$917,7,FALSE)</f>
        <v>1640</v>
      </c>
      <c r="AF289" s="2">
        <f>VLOOKUP($A289,'[2]App C Share Outflows'!$A$4:$I$917,8,FALSE)</f>
        <v>826</v>
      </c>
      <c r="AG289" s="2">
        <f>VLOOKUP($A289,'[2]App C Share Outflows'!$A$4:$I$917,9,FALSE)</f>
        <v>0</v>
      </c>
      <c r="AH289" s="2"/>
      <c r="AI289" s="2">
        <f>VLOOKUP($A289,'[2]App C Share Inflows'!$A$4:$I$917,5,FALSE)</f>
        <v>0</v>
      </c>
      <c r="AJ289" s="2">
        <f>VLOOKUP($A289,'[2]App C Share Inflows'!$A$4:$I$917,6,FALSE)</f>
        <v>0</v>
      </c>
      <c r="AK289" s="2">
        <f>VLOOKUP($A289,'[2]App C Share Inflows'!$A$4:$I$917,7,FALSE)</f>
        <v>0</v>
      </c>
      <c r="AL289" s="2">
        <f>VLOOKUP($A289,'[2]App C Share Inflows'!$A$4:$I$917,8,FALSE)</f>
        <v>0</v>
      </c>
      <c r="AM289" s="2">
        <f>VLOOKUP($A289,'[2]App C Share Inflows'!$A$4:$I$917,6,FALSE)</f>
        <v>0</v>
      </c>
    </row>
    <row r="290" spans="1:39">
      <c r="A290" s="351">
        <v>92681</v>
      </c>
      <c r="B290" s="344" t="s">
        <v>982</v>
      </c>
      <c r="C290" s="235" t="e">
        <f>VLOOKUP(A290,#REF!,10,FALSE)</f>
        <v>#REF!</v>
      </c>
      <c r="E290" s="2">
        <f>VLOOKUP($A290,'[2]App C Total'!$A$4:$I$917,5,FALSE)</f>
        <v>10659</v>
      </c>
      <c r="F290" s="2">
        <f>VLOOKUP($A290,'[2]App C Total'!$A$4:$I$917,6,FALSE)</f>
        <v>5149</v>
      </c>
      <c r="G290" s="2">
        <f>VLOOKUP($A290,'[2]App C Total'!$A$4:$I$917,7,FALSE)</f>
        <v>4980</v>
      </c>
      <c r="H290" s="2">
        <f>VLOOKUP($A290,'[2]App C Total'!$A$4:$I$917,8,FALSE)</f>
        <v>1456</v>
      </c>
      <c r="I290" s="2">
        <f>VLOOKUP($A290,'[2]App C Total'!$A$4:$I$917,9,FALSE)</f>
        <v>0</v>
      </c>
      <c r="J290" s="2"/>
      <c r="K290" s="2">
        <f>VLOOKUP($A290,'[2]App C Exp'!$A$4:$I$917,5,FALSE)</f>
        <v>1768</v>
      </c>
      <c r="L290" s="2">
        <f>VLOOKUP($A290,'[2]App C Exp'!$A$4:$I$917,6,FALSE)</f>
        <v>1663</v>
      </c>
      <c r="M290" s="2">
        <f>VLOOKUP($A290,'[2]App C Exp'!$A$4:$I$917,7,FALSE)</f>
        <v>1490</v>
      </c>
      <c r="N290" s="2">
        <f>VLOOKUP($A290,'[2]App C Exp'!$A$4:$I$917,8,FALSE)</f>
        <v>597</v>
      </c>
      <c r="O290" s="2">
        <f>VLOOKUP($A290,'[2]App C Exp'!$A$4:$I$917,9,FALSE)</f>
        <v>0</v>
      </c>
      <c r="P290" s="2"/>
      <c r="Q290" s="2">
        <f>VLOOKUP($A290,'[2]App C Inv'!$A$4:$I$917,5,FALSE)</f>
        <v>1877</v>
      </c>
      <c r="R290" s="2">
        <f>VLOOKUP($A290,'[2]App C Inv'!$A$4:$I$917,6,FALSE)</f>
        <v>-1614</v>
      </c>
      <c r="S290" s="2">
        <f>VLOOKUP($A290,'[2]App C Inv'!$A$4:$I$917,7,FALSE)</f>
        <v>228</v>
      </c>
      <c r="T290" s="2">
        <f>VLOOKUP($A290,'[2]App C Inv'!$A$4:$I$917,8,FALSE)</f>
        <v>296</v>
      </c>
      <c r="U290" s="2">
        <f>VLOOKUP($A290,'[2]App C Inv'!$A$4:$I$917,9,FALSE)</f>
        <v>0</v>
      </c>
      <c r="V290" s="2"/>
      <c r="W290" s="2">
        <f>VLOOKUP($A290,'[2]App C Assum'!$A$4:$I$917,5,FALSE)</f>
        <v>2114</v>
      </c>
      <c r="X290" s="2">
        <f>VLOOKUP($A290,'[2]App C Assum'!$A$4:$I$917,6,FALSE)</f>
        <v>1732</v>
      </c>
      <c r="Y290" s="2">
        <f>VLOOKUP($A290,'[2]App C Assum'!$A$4:$I$917,7,FALSE)</f>
        <v>1406</v>
      </c>
      <c r="Z290" s="2">
        <f>VLOOKUP($A290,'[2]App C Assum'!$A$4:$I$917,8,FALSE)</f>
        <v>0</v>
      </c>
      <c r="AA290" s="2">
        <f>VLOOKUP($A290,'[2]App C Assum'!$A$4:$I$917,9,FALSE)</f>
        <v>0</v>
      </c>
      <c r="AB290" s="2"/>
      <c r="AC290" s="2">
        <f>VLOOKUP($A290,'[2]App C Share Outflows'!$A$4:$I$917,5,FALSE)</f>
        <v>4900</v>
      </c>
      <c r="AD290" s="2">
        <f>VLOOKUP($A290,'[2]App C Share Outflows'!$A$4:$I$917,6,FALSE)</f>
        <v>3368</v>
      </c>
      <c r="AE290" s="2">
        <f>VLOOKUP($A290,'[2]App C Share Outflows'!$A$4:$I$917,7,FALSE)</f>
        <v>1856</v>
      </c>
      <c r="AF290" s="2">
        <f>VLOOKUP($A290,'[2]App C Share Outflows'!$A$4:$I$917,8,FALSE)</f>
        <v>563</v>
      </c>
      <c r="AG290" s="2">
        <f>VLOOKUP($A290,'[2]App C Share Outflows'!$A$4:$I$917,9,FALSE)</f>
        <v>0</v>
      </c>
      <c r="AH290" s="2"/>
      <c r="AI290" s="2">
        <f>VLOOKUP($A290,'[2]App C Share Inflows'!$A$4:$I$917,5,FALSE)</f>
        <v>0</v>
      </c>
      <c r="AJ290" s="2">
        <f>VLOOKUP($A290,'[2]App C Share Inflows'!$A$4:$I$917,6,FALSE)</f>
        <v>0</v>
      </c>
      <c r="AK290" s="2">
        <f>VLOOKUP($A290,'[2]App C Share Inflows'!$A$4:$I$917,7,FALSE)</f>
        <v>0</v>
      </c>
      <c r="AL290" s="2">
        <f>VLOOKUP($A290,'[2]App C Share Inflows'!$A$4:$I$917,8,FALSE)</f>
        <v>0</v>
      </c>
      <c r="AM290" s="2">
        <f>VLOOKUP($A290,'[2]App C Share Inflows'!$A$4:$I$917,6,FALSE)</f>
        <v>0</v>
      </c>
    </row>
    <row r="291" spans="1:39">
      <c r="A291" s="351">
        <v>92701</v>
      </c>
      <c r="B291" s="344" t="s">
        <v>983</v>
      </c>
      <c r="C291" s="235" t="e">
        <f>VLOOKUP(A291,#REF!,10,FALSE)</f>
        <v>#REF!</v>
      </c>
      <c r="E291" s="2">
        <f>VLOOKUP($A291,'[2]App C Total'!$A$4:$I$917,5,FALSE)</f>
        <v>1498148</v>
      </c>
      <c r="F291" s="2">
        <f>VLOOKUP($A291,'[2]App C Total'!$A$4:$I$917,6,FALSE)</f>
        <v>459736</v>
      </c>
      <c r="G291" s="2">
        <f>VLOOKUP($A291,'[2]App C Total'!$A$4:$I$917,7,FALSE)</f>
        <v>800073</v>
      </c>
      <c r="H291" s="2">
        <f>VLOOKUP($A291,'[2]App C Total'!$A$4:$I$917,8,FALSE)</f>
        <v>257479</v>
      </c>
      <c r="I291" s="2">
        <f>VLOOKUP($A291,'[2]App C Total'!$A$4:$I$917,9,FALSE)</f>
        <v>0</v>
      </c>
      <c r="J291" s="2"/>
      <c r="K291" s="2">
        <f>VLOOKUP($A291,'[2]App C Exp'!$A$4:$I$917,5,FALSE)</f>
        <v>459743</v>
      </c>
      <c r="L291" s="2">
        <f>VLOOKUP($A291,'[2]App C Exp'!$A$4:$I$917,6,FALSE)</f>
        <v>432469</v>
      </c>
      <c r="M291" s="2">
        <f>VLOOKUP($A291,'[2]App C Exp'!$A$4:$I$917,7,FALSE)</f>
        <v>387617</v>
      </c>
      <c r="N291" s="2">
        <f>VLOOKUP($A291,'[2]App C Exp'!$A$4:$I$917,8,FALSE)</f>
        <v>155197</v>
      </c>
      <c r="O291" s="2">
        <f>VLOOKUP($A291,'[2]App C Exp'!$A$4:$I$917,9,FALSE)</f>
        <v>0</v>
      </c>
      <c r="P291" s="2"/>
      <c r="Q291" s="2">
        <f>VLOOKUP($A291,'[2]App C Inv'!$A$4:$I$917,5,FALSE)</f>
        <v>488081</v>
      </c>
      <c r="R291" s="2">
        <f>VLOOKUP($A291,'[2]App C Inv'!$A$4:$I$917,6,FALSE)</f>
        <v>-419841</v>
      </c>
      <c r="S291" s="2">
        <f>VLOOKUP($A291,'[2]App C Inv'!$A$4:$I$917,7,FALSE)</f>
        <v>59171</v>
      </c>
      <c r="T291" s="2">
        <f>VLOOKUP($A291,'[2]App C Inv'!$A$4:$I$917,8,FALSE)</f>
        <v>77011</v>
      </c>
      <c r="U291" s="2">
        <f>VLOOKUP($A291,'[2]App C Inv'!$A$4:$I$917,9,FALSE)</f>
        <v>0</v>
      </c>
      <c r="V291" s="2"/>
      <c r="W291" s="2">
        <f>VLOOKUP($A291,'[2]App C Assum'!$A$4:$I$917,5,FALSE)</f>
        <v>549830</v>
      </c>
      <c r="X291" s="2">
        <f>VLOOKUP($A291,'[2]App C Assum'!$A$4:$I$917,6,FALSE)</f>
        <v>450441</v>
      </c>
      <c r="Y291" s="2">
        <f>VLOOKUP($A291,'[2]App C Assum'!$A$4:$I$917,7,FALSE)</f>
        <v>365681</v>
      </c>
      <c r="Z291" s="2">
        <f>VLOOKUP($A291,'[2]App C Assum'!$A$4:$I$917,8,FALSE)</f>
        <v>0</v>
      </c>
      <c r="AA291" s="2">
        <f>VLOOKUP($A291,'[2]App C Assum'!$A$4:$I$917,9,FALSE)</f>
        <v>0</v>
      </c>
      <c r="AB291" s="2"/>
      <c r="AC291" s="2">
        <f>VLOOKUP($A291,'[2]App C Share Outflows'!$A$4:$I$917,5,FALSE)</f>
        <v>38161</v>
      </c>
      <c r="AD291" s="2">
        <f>VLOOKUP($A291,'[2]App C Share Outflows'!$A$4:$I$917,6,FALSE)</f>
        <v>34334</v>
      </c>
      <c r="AE291" s="2">
        <f>VLOOKUP($A291,'[2]App C Share Outflows'!$A$4:$I$917,7,FALSE)</f>
        <v>25269</v>
      </c>
      <c r="AF291" s="2">
        <f>VLOOKUP($A291,'[2]App C Share Outflows'!$A$4:$I$917,8,FALSE)</f>
        <v>25271</v>
      </c>
      <c r="AG291" s="2">
        <f>VLOOKUP($A291,'[2]App C Share Outflows'!$A$4:$I$917,9,FALSE)</f>
        <v>0</v>
      </c>
      <c r="AH291" s="2"/>
      <c r="AI291" s="2">
        <f>VLOOKUP($A291,'[2]App C Share Inflows'!$A$4:$I$917,5,FALSE)</f>
        <v>-37667</v>
      </c>
      <c r="AJ291" s="2">
        <f>VLOOKUP($A291,'[2]App C Share Inflows'!$A$4:$I$917,6,FALSE)</f>
        <v>-37667</v>
      </c>
      <c r="AK291" s="2">
        <f>VLOOKUP($A291,'[2]App C Share Inflows'!$A$4:$I$917,7,FALSE)</f>
        <v>-37665</v>
      </c>
      <c r="AL291" s="2">
        <f>VLOOKUP($A291,'[2]App C Share Inflows'!$A$4:$I$917,8,FALSE)</f>
        <v>0</v>
      </c>
      <c r="AM291" s="2">
        <f>VLOOKUP($A291,'[2]App C Share Inflows'!$A$4:$I$917,6,FALSE)</f>
        <v>-37667</v>
      </c>
    </row>
    <row r="292" spans="1:39">
      <c r="A292" s="351">
        <v>92704</v>
      </c>
      <c r="B292" s="344" t="s">
        <v>3669</v>
      </c>
      <c r="C292" s="235" t="e">
        <f>VLOOKUP(A292,#REF!,10,FALSE)</f>
        <v>#REF!</v>
      </c>
      <c r="E292" s="2">
        <f>VLOOKUP($A292,'[2]App C Total'!$A$4:$I$917,5,FALSE)</f>
        <v>15807</v>
      </c>
      <c r="F292" s="2">
        <f>VLOOKUP($A292,'[2]App C Total'!$A$4:$I$917,6,FALSE)</f>
        <v>3791</v>
      </c>
      <c r="G292" s="2">
        <f>VLOOKUP($A292,'[2]App C Total'!$A$4:$I$917,7,FALSE)</f>
        <v>9056</v>
      </c>
      <c r="H292" s="2">
        <f>VLOOKUP($A292,'[2]App C Total'!$A$4:$I$917,8,FALSE)</f>
        <v>2408</v>
      </c>
      <c r="I292" s="2">
        <f>VLOOKUP($A292,'[2]App C Total'!$A$4:$I$917,9,FALSE)</f>
        <v>0</v>
      </c>
      <c r="J292" s="2"/>
      <c r="K292" s="2">
        <f>VLOOKUP($A292,'[2]App C Exp'!$A$4:$I$917,5,FALSE)</f>
        <v>5528</v>
      </c>
      <c r="L292" s="2">
        <f>VLOOKUP($A292,'[2]App C Exp'!$A$4:$I$917,6,FALSE)</f>
        <v>5200</v>
      </c>
      <c r="M292" s="2">
        <f>VLOOKUP($A292,'[2]App C Exp'!$A$4:$I$917,7,FALSE)</f>
        <v>4661</v>
      </c>
      <c r="N292" s="2">
        <f>VLOOKUP($A292,'[2]App C Exp'!$A$4:$I$917,8,FALSE)</f>
        <v>1866</v>
      </c>
      <c r="O292" s="2">
        <f>VLOOKUP($A292,'[2]App C Exp'!$A$4:$I$917,9,FALSE)</f>
        <v>0</v>
      </c>
      <c r="P292" s="2"/>
      <c r="Q292" s="2">
        <f>VLOOKUP($A292,'[2]App C Inv'!$A$4:$I$917,5,FALSE)</f>
        <v>5869</v>
      </c>
      <c r="R292" s="2">
        <f>VLOOKUP($A292,'[2]App C Inv'!$A$4:$I$917,6,FALSE)</f>
        <v>-5048</v>
      </c>
      <c r="S292" s="2">
        <f>VLOOKUP($A292,'[2]App C Inv'!$A$4:$I$917,7,FALSE)</f>
        <v>711</v>
      </c>
      <c r="T292" s="2">
        <f>VLOOKUP($A292,'[2]App C Inv'!$A$4:$I$917,8,FALSE)</f>
        <v>926</v>
      </c>
      <c r="U292" s="2">
        <f>VLOOKUP($A292,'[2]App C Inv'!$A$4:$I$917,9,FALSE)</f>
        <v>0</v>
      </c>
      <c r="V292" s="2"/>
      <c r="W292" s="2">
        <f>VLOOKUP($A292,'[2]App C Assum'!$A$4:$I$917,5,FALSE)</f>
        <v>6611</v>
      </c>
      <c r="X292" s="2">
        <f>VLOOKUP($A292,'[2]App C Assum'!$A$4:$I$917,6,FALSE)</f>
        <v>5416</v>
      </c>
      <c r="Y292" s="2">
        <f>VLOOKUP($A292,'[2]App C Assum'!$A$4:$I$917,7,FALSE)</f>
        <v>4397</v>
      </c>
      <c r="Z292" s="2">
        <f>VLOOKUP($A292,'[2]App C Assum'!$A$4:$I$917,8,FALSE)</f>
        <v>0</v>
      </c>
      <c r="AA292" s="2">
        <f>VLOOKUP($A292,'[2]App C Assum'!$A$4:$I$917,9,FALSE)</f>
        <v>0</v>
      </c>
      <c r="AB292" s="2"/>
      <c r="AC292" s="2">
        <f>VLOOKUP($A292,'[2]App C Share Outflows'!$A$4:$I$917,5,FALSE)</f>
        <v>0</v>
      </c>
      <c r="AD292" s="2">
        <f>VLOOKUP($A292,'[2]App C Share Outflows'!$A$4:$I$917,6,FALSE)</f>
        <v>0</v>
      </c>
      <c r="AE292" s="2">
        <f>VLOOKUP($A292,'[2]App C Share Outflows'!$A$4:$I$917,7,FALSE)</f>
        <v>0</v>
      </c>
      <c r="AF292" s="2">
        <f>VLOOKUP($A292,'[2]App C Share Outflows'!$A$4:$I$917,8,FALSE)</f>
        <v>0</v>
      </c>
      <c r="AG292" s="2">
        <f>VLOOKUP($A292,'[2]App C Share Outflows'!$A$4:$I$917,9,FALSE)</f>
        <v>0</v>
      </c>
      <c r="AH292" s="2"/>
      <c r="AI292" s="2">
        <f>VLOOKUP($A292,'[2]App C Share Inflows'!$A$4:$I$917,5,FALSE)</f>
        <v>-2201</v>
      </c>
      <c r="AJ292" s="2">
        <f>VLOOKUP($A292,'[2]App C Share Inflows'!$A$4:$I$917,6,FALSE)</f>
        <v>-1777</v>
      </c>
      <c r="AK292" s="2">
        <f>VLOOKUP($A292,'[2]App C Share Inflows'!$A$4:$I$917,7,FALSE)</f>
        <v>-713</v>
      </c>
      <c r="AL292" s="2">
        <f>VLOOKUP($A292,'[2]App C Share Inflows'!$A$4:$I$917,8,FALSE)</f>
        <v>-384</v>
      </c>
      <c r="AM292" s="2">
        <f>VLOOKUP($A292,'[2]App C Share Inflows'!$A$4:$I$917,6,FALSE)</f>
        <v>-1777</v>
      </c>
    </row>
    <row r="293" spans="1:39">
      <c r="A293" s="351">
        <v>92801</v>
      </c>
      <c r="B293" s="344" t="s">
        <v>985</v>
      </c>
      <c r="C293" s="235" t="e">
        <f>VLOOKUP(A293,#REF!,10,FALSE)</f>
        <v>#REF!</v>
      </c>
      <c r="E293" s="2">
        <f>VLOOKUP($A293,'[2]App C Total'!$A$4:$I$917,5,FALSE)</f>
        <v>2764256</v>
      </c>
      <c r="F293" s="2">
        <f>VLOOKUP($A293,'[2]App C Total'!$A$4:$I$917,6,FALSE)</f>
        <v>922817</v>
      </c>
      <c r="G293" s="2">
        <f>VLOOKUP($A293,'[2]App C Total'!$A$4:$I$917,7,FALSE)</f>
        <v>1538619</v>
      </c>
      <c r="H293" s="2">
        <f>VLOOKUP($A293,'[2]App C Total'!$A$4:$I$917,8,FALSE)</f>
        <v>469350</v>
      </c>
      <c r="I293" s="2">
        <f>VLOOKUP($A293,'[2]App C Total'!$A$4:$I$917,9,FALSE)</f>
        <v>0</v>
      </c>
      <c r="J293" s="2"/>
      <c r="K293" s="2">
        <f>VLOOKUP($A293,'[2]App C Exp'!$A$4:$I$917,5,FALSE)</f>
        <v>814246</v>
      </c>
      <c r="L293" s="2">
        <f>VLOOKUP($A293,'[2]App C Exp'!$A$4:$I$917,6,FALSE)</f>
        <v>765942</v>
      </c>
      <c r="M293" s="2">
        <f>VLOOKUP($A293,'[2]App C Exp'!$A$4:$I$917,7,FALSE)</f>
        <v>686506</v>
      </c>
      <c r="N293" s="2">
        <f>VLOOKUP($A293,'[2]App C Exp'!$A$4:$I$917,8,FALSE)</f>
        <v>274869</v>
      </c>
      <c r="O293" s="2">
        <f>VLOOKUP($A293,'[2]App C Exp'!$A$4:$I$917,9,FALSE)</f>
        <v>0</v>
      </c>
      <c r="P293" s="2"/>
      <c r="Q293" s="2">
        <f>VLOOKUP($A293,'[2]App C Inv'!$A$4:$I$917,5,FALSE)</f>
        <v>864436</v>
      </c>
      <c r="R293" s="2">
        <f>VLOOKUP($A293,'[2]App C Inv'!$A$4:$I$917,6,FALSE)</f>
        <v>-743576</v>
      </c>
      <c r="S293" s="2">
        <f>VLOOKUP($A293,'[2]App C Inv'!$A$4:$I$917,7,FALSE)</f>
        <v>104798</v>
      </c>
      <c r="T293" s="2">
        <f>VLOOKUP($A293,'[2]App C Inv'!$A$4:$I$917,8,FALSE)</f>
        <v>136393</v>
      </c>
      <c r="U293" s="2">
        <f>VLOOKUP($A293,'[2]App C Inv'!$A$4:$I$917,9,FALSE)</f>
        <v>0</v>
      </c>
      <c r="V293" s="2"/>
      <c r="W293" s="2">
        <f>VLOOKUP($A293,'[2]App C Assum'!$A$4:$I$917,5,FALSE)</f>
        <v>973799</v>
      </c>
      <c r="X293" s="2">
        <f>VLOOKUP($A293,'[2]App C Assum'!$A$4:$I$917,6,FALSE)</f>
        <v>797772</v>
      </c>
      <c r="Y293" s="2">
        <f>VLOOKUP($A293,'[2]App C Assum'!$A$4:$I$917,7,FALSE)</f>
        <v>647654</v>
      </c>
      <c r="Z293" s="2">
        <f>VLOOKUP($A293,'[2]App C Assum'!$A$4:$I$917,8,FALSE)</f>
        <v>0</v>
      </c>
      <c r="AA293" s="2">
        <f>VLOOKUP($A293,'[2]App C Assum'!$A$4:$I$917,9,FALSE)</f>
        <v>0</v>
      </c>
      <c r="AB293" s="2"/>
      <c r="AC293" s="2">
        <f>VLOOKUP($A293,'[2]App C Share Outflows'!$A$4:$I$917,5,FALSE)</f>
        <v>111775</v>
      </c>
      <c r="AD293" s="2">
        <f>VLOOKUP($A293,'[2]App C Share Outflows'!$A$4:$I$917,6,FALSE)</f>
        <v>102679</v>
      </c>
      <c r="AE293" s="2">
        <f>VLOOKUP($A293,'[2]App C Share Outflows'!$A$4:$I$917,7,FALSE)</f>
        <v>99661</v>
      </c>
      <c r="AF293" s="2">
        <f>VLOOKUP($A293,'[2]App C Share Outflows'!$A$4:$I$917,8,FALSE)</f>
        <v>58088</v>
      </c>
      <c r="AG293" s="2">
        <f>VLOOKUP($A293,'[2]App C Share Outflows'!$A$4:$I$917,9,FALSE)</f>
        <v>0</v>
      </c>
      <c r="AH293" s="2"/>
      <c r="AI293" s="2">
        <f>VLOOKUP($A293,'[2]App C Share Inflows'!$A$4:$I$917,5,FALSE)</f>
        <v>0</v>
      </c>
      <c r="AJ293" s="2">
        <f>VLOOKUP($A293,'[2]App C Share Inflows'!$A$4:$I$917,6,FALSE)</f>
        <v>0</v>
      </c>
      <c r="AK293" s="2">
        <f>VLOOKUP($A293,'[2]App C Share Inflows'!$A$4:$I$917,7,FALSE)</f>
        <v>0</v>
      </c>
      <c r="AL293" s="2">
        <f>VLOOKUP($A293,'[2]App C Share Inflows'!$A$4:$I$917,8,FALSE)</f>
        <v>0</v>
      </c>
      <c r="AM293" s="2">
        <f>VLOOKUP($A293,'[2]App C Share Inflows'!$A$4:$I$917,6,FALSE)</f>
        <v>0</v>
      </c>
    </row>
    <row r="294" spans="1:39">
      <c r="A294" s="351">
        <v>92802</v>
      </c>
      <c r="B294" s="344" t="s">
        <v>986</v>
      </c>
      <c r="C294" s="235" t="e">
        <f>VLOOKUP(A294,#REF!,10,FALSE)</f>
        <v>#REF!</v>
      </c>
      <c r="E294" s="2">
        <f>VLOOKUP($A294,'[2]App C Total'!$A$4:$I$917,5,FALSE)</f>
        <v>51047</v>
      </c>
      <c r="F294" s="2">
        <f>VLOOKUP($A294,'[2]App C Total'!$A$4:$I$917,6,FALSE)</f>
        <v>12855</v>
      </c>
      <c r="G294" s="2">
        <f>VLOOKUP($A294,'[2]App C Total'!$A$4:$I$917,7,FALSE)</f>
        <v>27975</v>
      </c>
      <c r="H294" s="2">
        <f>VLOOKUP($A294,'[2]App C Total'!$A$4:$I$917,8,FALSE)</f>
        <v>6612</v>
      </c>
      <c r="I294" s="2">
        <f>VLOOKUP($A294,'[2]App C Total'!$A$4:$I$917,9,FALSE)</f>
        <v>0</v>
      </c>
      <c r="J294" s="2"/>
      <c r="K294" s="2">
        <f>VLOOKUP($A294,'[2]App C Exp'!$A$4:$I$917,5,FALSE)</f>
        <v>17947</v>
      </c>
      <c r="L294" s="2">
        <f>VLOOKUP($A294,'[2]App C Exp'!$A$4:$I$917,6,FALSE)</f>
        <v>16882</v>
      </c>
      <c r="M294" s="2">
        <f>VLOOKUP($A294,'[2]App C Exp'!$A$4:$I$917,7,FALSE)</f>
        <v>15131</v>
      </c>
      <c r="N294" s="2">
        <f>VLOOKUP($A294,'[2]App C Exp'!$A$4:$I$917,8,FALSE)</f>
        <v>6058</v>
      </c>
      <c r="O294" s="2">
        <f>VLOOKUP($A294,'[2]App C Exp'!$A$4:$I$917,9,FALSE)</f>
        <v>0</v>
      </c>
      <c r="P294" s="2"/>
      <c r="Q294" s="2">
        <f>VLOOKUP($A294,'[2]App C Inv'!$A$4:$I$917,5,FALSE)</f>
        <v>19053</v>
      </c>
      <c r="R294" s="2">
        <f>VLOOKUP($A294,'[2]App C Inv'!$A$4:$I$917,6,FALSE)</f>
        <v>-16389</v>
      </c>
      <c r="S294" s="2">
        <f>VLOOKUP($A294,'[2]App C Inv'!$A$4:$I$917,7,FALSE)</f>
        <v>2310</v>
      </c>
      <c r="T294" s="2">
        <f>VLOOKUP($A294,'[2]App C Inv'!$A$4:$I$917,8,FALSE)</f>
        <v>3006</v>
      </c>
      <c r="U294" s="2">
        <f>VLOOKUP($A294,'[2]App C Inv'!$A$4:$I$917,9,FALSE)</f>
        <v>0</v>
      </c>
      <c r="V294" s="2"/>
      <c r="W294" s="2">
        <f>VLOOKUP($A294,'[2]App C Assum'!$A$4:$I$917,5,FALSE)</f>
        <v>21464</v>
      </c>
      <c r="X294" s="2">
        <f>VLOOKUP($A294,'[2]App C Assum'!$A$4:$I$917,6,FALSE)</f>
        <v>17584</v>
      </c>
      <c r="Y294" s="2">
        <f>VLOOKUP($A294,'[2]App C Assum'!$A$4:$I$917,7,FALSE)</f>
        <v>14275</v>
      </c>
      <c r="Z294" s="2">
        <f>VLOOKUP($A294,'[2]App C Assum'!$A$4:$I$917,8,FALSE)</f>
        <v>0</v>
      </c>
      <c r="AA294" s="2">
        <f>VLOOKUP($A294,'[2]App C Assum'!$A$4:$I$917,9,FALSE)</f>
        <v>0</v>
      </c>
      <c r="AB294" s="2"/>
      <c r="AC294" s="2">
        <f>VLOOKUP($A294,'[2]App C Share Outflows'!$A$4:$I$917,5,FALSE)</f>
        <v>0</v>
      </c>
      <c r="AD294" s="2">
        <f>VLOOKUP($A294,'[2]App C Share Outflows'!$A$4:$I$917,6,FALSE)</f>
        <v>0</v>
      </c>
      <c r="AE294" s="2">
        <f>VLOOKUP($A294,'[2]App C Share Outflows'!$A$4:$I$917,7,FALSE)</f>
        <v>0</v>
      </c>
      <c r="AF294" s="2">
        <f>VLOOKUP($A294,'[2]App C Share Outflows'!$A$4:$I$917,8,FALSE)</f>
        <v>0</v>
      </c>
      <c r="AG294" s="2">
        <f>VLOOKUP($A294,'[2]App C Share Outflows'!$A$4:$I$917,9,FALSE)</f>
        <v>0</v>
      </c>
      <c r="AH294" s="2"/>
      <c r="AI294" s="2">
        <f>VLOOKUP($A294,'[2]App C Share Inflows'!$A$4:$I$917,5,FALSE)</f>
        <v>-7417</v>
      </c>
      <c r="AJ294" s="2">
        <f>VLOOKUP($A294,'[2]App C Share Inflows'!$A$4:$I$917,6,FALSE)</f>
        <v>-5222</v>
      </c>
      <c r="AK294" s="2">
        <f>VLOOKUP($A294,'[2]App C Share Inflows'!$A$4:$I$917,7,FALSE)</f>
        <v>-3741</v>
      </c>
      <c r="AL294" s="2">
        <f>VLOOKUP($A294,'[2]App C Share Inflows'!$A$4:$I$917,8,FALSE)</f>
        <v>-2452</v>
      </c>
      <c r="AM294" s="2">
        <f>VLOOKUP($A294,'[2]App C Share Inflows'!$A$4:$I$917,6,FALSE)</f>
        <v>-5222</v>
      </c>
    </row>
    <row r="295" spans="1:39">
      <c r="A295" s="351">
        <v>92804</v>
      </c>
      <c r="B295" s="344" t="s">
        <v>987</v>
      </c>
      <c r="C295" s="235" t="e">
        <f>VLOOKUP(A295,#REF!,10,FALSE)</f>
        <v>#REF!</v>
      </c>
      <c r="E295" s="2">
        <f>VLOOKUP($A295,'[2]App C Total'!$A$4:$I$917,5,FALSE)</f>
        <v>66853</v>
      </c>
      <c r="F295" s="2">
        <f>VLOOKUP($A295,'[2]App C Total'!$A$4:$I$917,6,FALSE)</f>
        <v>17458</v>
      </c>
      <c r="G295" s="2">
        <f>VLOOKUP($A295,'[2]App C Total'!$A$4:$I$917,7,FALSE)</f>
        <v>36483</v>
      </c>
      <c r="H295" s="2">
        <f>VLOOKUP($A295,'[2]App C Total'!$A$4:$I$917,8,FALSE)</f>
        <v>8376</v>
      </c>
      <c r="I295" s="2">
        <f>VLOOKUP($A295,'[2]App C Total'!$A$4:$I$917,9,FALSE)</f>
        <v>0</v>
      </c>
      <c r="J295" s="2"/>
      <c r="K295" s="2">
        <f>VLOOKUP($A295,'[2]App C Exp'!$A$4:$I$917,5,FALSE)</f>
        <v>21377</v>
      </c>
      <c r="L295" s="2">
        <f>VLOOKUP($A295,'[2]App C Exp'!$A$4:$I$917,6,FALSE)</f>
        <v>20109</v>
      </c>
      <c r="M295" s="2">
        <f>VLOOKUP($A295,'[2]App C Exp'!$A$4:$I$917,7,FALSE)</f>
        <v>18024</v>
      </c>
      <c r="N295" s="2">
        <f>VLOOKUP($A295,'[2]App C Exp'!$A$4:$I$917,8,FALSE)</f>
        <v>7216</v>
      </c>
      <c r="O295" s="2">
        <f>VLOOKUP($A295,'[2]App C Exp'!$A$4:$I$917,9,FALSE)</f>
        <v>0</v>
      </c>
      <c r="P295" s="2"/>
      <c r="Q295" s="2">
        <f>VLOOKUP($A295,'[2]App C Inv'!$A$4:$I$917,5,FALSE)</f>
        <v>22695</v>
      </c>
      <c r="R295" s="2">
        <f>VLOOKUP($A295,'[2]App C Inv'!$A$4:$I$917,6,FALSE)</f>
        <v>-19522</v>
      </c>
      <c r="S295" s="2">
        <f>VLOOKUP($A295,'[2]App C Inv'!$A$4:$I$917,7,FALSE)</f>
        <v>2751</v>
      </c>
      <c r="T295" s="2">
        <f>VLOOKUP($A295,'[2]App C Inv'!$A$4:$I$917,8,FALSE)</f>
        <v>3581</v>
      </c>
      <c r="U295" s="2">
        <f>VLOOKUP($A295,'[2]App C Inv'!$A$4:$I$917,9,FALSE)</f>
        <v>0</v>
      </c>
      <c r="V295" s="2"/>
      <c r="W295" s="2">
        <f>VLOOKUP($A295,'[2]App C Assum'!$A$4:$I$917,5,FALSE)</f>
        <v>25566</v>
      </c>
      <c r="X295" s="2">
        <f>VLOOKUP($A295,'[2]App C Assum'!$A$4:$I$917,6,FALSE)</f>
        <v>20945</v>
      </c>
      <c r="Y295" s="2">
        <f>VLOOKUP($A295,'[2]App C Assum'!$A$4:$I$917,7,FALSE)</f>
        <v>17004</v>
      </c>
      <c r="Z295" s="2">
        <f>VLOOKUP($A295,'[2]App C Assum'!$A$4:$I$917,8,FALSE)</f>
        <v>0</v>
      </c>
      <c r="AA295" s="2">
        <f>VLOOKUP($A295,'[2]App C Assum'!$A$4:$I$917,9,FALSE)</f>
        <v>0</v>
      </c>
      <c r="AB295" s="2"/>
      <c r="AC295" s="2">
        <f>VLOOKUP($A295,'[2]App C Share Outflows'!$A$4:$I$917,5,FALSE)</f>
        <v>2412</v>
      </c>
      <c r="AD295" s="2">
        <f>VLOOKUP($A295,'[2]App C Share Outflows'!$A$4:$I$917,6,FALSE)</f>
        <v>1125</v>
      </c>
      <c r="AE295" s="2">
        <f>VLOOKUP($A295,'[2]App C Share Outflows'!$A$4:$I$917,7,FALSE)</f>
        <v>1126</v>
      </c>
      <c r="AF295" s="2">
        <f>VLOOKUP($A295,'[2]App C Share Outflows'!$A$4:$I$917,8,FALSE)</f>
        <v>0</v>
      </c>
      <c r="AG295" s="2">
        <f>VLOOKUP($A295,'[2]App C Share Outflows'!$A$4:$I$917,9,FALSE)</f>
        <v>0</v>
      </c>
      <c r="AH295" s="2"/>
      <c r="AI295" s="2">
        <f>VLOOKUP($A295,'[2]App C Share Inflows'!$A$4:$I$917,5,FALSE)</f>
        <v>-5197</v>
      </c>
      <c r="AJ295" s="2">
        <f>VLOOKUP($A295,'[2]App C Share Inflows'!$A$4:$I$917,6,FALSE)</f>
        <v>-5199</v>
      </c>
      <c r="AK295" s="2">
        <f>VLOOKUP($A295,'[2]App C Share Inflows'!$A$4:$I$917,7,FALSE)</f>
        <v>-2422</v>
      </c>
      <c r="AL295" s="2">
        <f>VLOOKUP($A295,'[2]App C Share Inflows'!$A$4:$I$917,8,FALSE)</f>
        <v>-2421</v>
      </c>
      <c r="AM295" s="2">
        <f>VLOOKUP($A295,'[2]App C Share Inflows'!$A$4:$I$917,6,FALSE)</f>
        <v>-5199</v>
      </c>
    </row>
    <row r="296" spans="1:39">
      <c r="A296" s="351">
        <v>92811</v>
      </c>
      <c r="B296" s="344" t="s">
        <v>988</v>
      </c>
      <c r="C296" s="235" t="e">
        <f>VLOOKUP(A296,#REF!,10,FALSE)</f>
        <v>#REF!</v>
      </c>
      <c r="E296" s="2">
        <f>VLOOKUP($A296,'[2]App C Total'!$A$4:$I$917,5,FALSE)</f>
        <v>409780</v>
      </c>
      <c r="F296" s="2">
        <f>VLOOKUP($A296,'[2]App C Total'!$A$4:$I$917,6,FALSE)</f>
        <v>123693</v>
      </c>
      <c r="G296" s="2">
        <f>VLOOKUP($A296,'[2]App C Total'!$A$4:$I$917,7,FALSE)</f>
        <v>228098</v>
      </c>
      <c r="H296" s="2">
        <f>VLOOKUP($A296,'[2]App C Total'!$A$4:$I$917,8,FALSE)</f>
        <v>60837</v>
      </c>
      <c r="I296" s="2">
        <f>VLOOKUP($A296,'[2]App C Total'!$A$4:$I$917,9,FALSE)</f>
        <v>0</v>
      </c>
      <c r="J296" s="2"/>
      <c r="K296" s="2">
        <f>VLOOKUP($A296,'[2]App C Exp'!$A$4:$I$917,5,FALSE)</f>
        <v>136564</v>
      </c>
      <c r="L296" s="2">
        <f>VLOOKUP($A296,'[2]App C Exp'!$A$4:$I$917,6,FALSE)</f>
        <v>128463</v>
      </c>
      <c r="M296" s="2">
        <f>VLOOKUP($A296,'[2]App C Exp'!$A$4:$I$917,7,FALSE)</f>
        <v>115140</v>
      </c>
      <c r="N296" s="2">
        <f>VLOOKUP($A296,'[2]App C Exp'!$A$4:$I$917,8,FALSE)</f>
        <v>46101</v>
      </c>
      <c r="O296" s="2">
        <f>VLOOKUP($A296,'[2]App C Exp'!$A$4:$I$917,9,FALSE)</f>
        <v>0</v>
      </c>
      <c r="P296" s="2"/>
      <c r="Q296" s="2">
        <f>VLOOKUP($A296,'[2]App C Inv'!$A$4:$I$917,5,FALSE)</f>
        <v>144982</v>
      </c>
      <c r="R296" s="2">
        <f>VLOOKUP($A296,'[2]App C Inv'!$A$4:$I$917,6,FALSE)</f>
        <v>-124711</v>
      </c>
      <c r="S296" s="2">
        <f>VLOOKUP($A296,'[2]App C Inv'!$A$4:$I$917,7,FALSE)</f>
        <v>17577</v>
      </c>
      <c r="T296" s="2">
        <f>VLOOKUP($A296,'[2]App C Inv'!$A$4:$I$917,8,FALSE)</f>
        <v>22876</v>
      </c>
      <c r="U296" s="2">
        <f>VLOOKUP($A296,'[2]App C Inv'!$A$4:$I$917,9,FALSE)</f>
        <v>0</v>
      </c>
      <c r="V296" s="2"/>
      <c r="W296" s="2">
        <f>VLOOKUP($A296,'[2]App C Assum'!$A$4:$I$917,5,FALSE)</f>
        <v>163324</v>
      </c>
      <c r="X296" s="2">
        <f>VLOOKUP($A296,'[2]App C Assum'!$A$4:$I$917,6,FALSE)</f>
        <v>133801</v>
      </c>
      <c r="Y296" s="2">
        <f>VLOOKUP($A296,'[2]App C Assum'!$A$4:$I$917,7,FALSE)</f>
        <v>108624</v>
      </c>
      <c r="Z296" s="2">
        <f>VLOOKUP($A296,'[2]App C Assum'!$A$4:$I$917,8,FALSE)</f>
        <v>0</v>
      </c>
      <c r="AA296" s="2">
        <f>VLOOKUP($A296,'[2]App C Assum'!$A$4:$I$917,9,FALSE)</f>
        <v>0</v>
      </c>
      <c r="AB296" s="2"/>
      <c r="AC296" s="2">
        <f>VLOOKUP($A296,'[2]App C Share Outflows'!$A$4:$I$917,5,FALSE)</f>
        <v>0</v>
      </c>
      <c r="AD296" s="2">
        <f>VLOOKUP($A296,'[2]App C Share Outflows'!$A$4:$I$917,6,FALSE)</f>
        <v>0</v>
      </c>
      <c r="AE296" s="2">
        <f>VLOOKUP($A296,'[2]App C Share Outflows'!$A$4:$I$917,7,FALSE)</f>
        <v>0</v>
      </c>
      <c r="AF296" s="2">
        <f>VLOOKUP($A296,'[2]App C Share Outflows'!$A$4:$I$917,8,FALSE)</f>
        <v>0</v>
      </c>
      <c r="AG296" s="2">
        <f>VLOOKUP($A296,'[2]App C Share Outflows'!$A$4:$I$917,9,FALSE)</f>
        <v>0</v>
      </c>
      <c r="AH296" s="2"/>
      <c r="AI296" s="2">
        <f>VLOOKUP($A296,'[2]App C Share Inflows'!$A$4:$I$917,5,FALSE)</f>
        <v>-35090</v>
      </c>
      <c r="AJ296" s="2">
        <f>VLOOKUP($A296,'[2]App C Share Inflows'!$A$4:$I$917,6,FALSE)</f>
        <v>-13860</v>
      </c>
      <c r="AK296" s="2">
        <f>VLOOKUP($A296,'[2]App C Share Inflows'!$A$4:$I$917,7,FALSE)</f>
        <v>-13243</v>
      </c>
      <c r="AL296" s="2">
        <f>VLOOKUP($A296,'[2]App C Share Inflows'!$A$4:$I$917,8,FALSE)</f>
        <v>-8140</v>
      </c>
      <c r="AM296" s="2">
        <f>VLOOKUP($A296,'[2]App C Share Inflows'!$A$4:$I$917,6,FALSE)</f>
        <v>-13860</v>
      </c>
    </row>
    <row r="297" spans="1:39">
      <c r="A297" s="351">
        <v>92821</v>
      </c>
      <c r="B297" s="344" t="s">
        <v>989</v>
      </c>
      <c r="C297" s="235" t="e">
        <f>VLOOKUP(A297,#REF!,10,FALSE)</f>
        <v>#REF!</v>
      </c>
      <c r="E297" s="2">
        <f>VLOOKUP($A297,'[2]App C Total'!$A$4:$I$917,5,FALSE)</f>
        <v>489676</v>
      </c>
      <c r="F297" s="2">
        <f>VLOOKUP($A297,'[2]App C Total'!$A$4:$I$917,6,FALSE)</f>
        <v>154727</v>
      </c>
      <c r="G297" s="2">
        <f>VLOOKUP($A297,'[2]App C Total'!$A$4:$I$917,7,FALSE)</f>
        <v>265177</v>
      </c>
      <c r="H297" s="2">
        <f>VLOOKUP($A297,'[2]App C Total'!$A$4:$I$917,8,FALSE)</f>
        <v>75534</v>
      </c>
      <c r="I297" s="2">
        <f>VLOOKUP($A297,'[2]App C Total'!$A$4:$I$917,9,FALSE)</f>
        <v>0</v>
      </c>
      <c r="J297" s="2"/>
      <c r="K297" s="2">
        <f>VLOOKUP($A297,'[2]App C Exp'!$A$4:$I$917,5,FALSE)</f>
        <v>147425</v>
      </c>
      <c r="L297" s="2">
        <f>VLOOKUP($A297,'[2]App C Exp'!$A$4:$I$917,6,FALSE)</f>
        <v>138679</v>
      </c>
      <c r="M297" s="2">
        <f>VLOOKUP($A297,'[2]App C Exp'!$A$4:$I$917,7,FALSE)</f>
        <v>124297</v>
      </c>
      <c r="N297" s="2">
        <f>VLOOKUP($A297,'[2]App C Exp'!$A$4:$I$917,8,FALSE)</f>
        <v>49767</v>
      </c>
      <c r="O297" s="2">
        <f>VLOOKUP($A297,'[2]App C Exp'!$A$4:$I$917,9,FALSE)</f>
        <v>0</v>
      </c>
      <c r="P297" s="2"/>
      <c r="Q297" s="2">
        <f>VLOOKUP($A297,'[2]App C Inv'!$A$4:$I$917,5,FALSE)</f>
        <v>156512</v>
      </c>
      <c r="R297" s="2">
        <f>VLOOKUP($A297,'[2]App C Inv'!$A$4:$I$917,6,FALSE)</f>
        <v>-134630</v>
      </c>
      <c r="S297" s="2">
        <f>VLOOKUP($A297,'[2]App C Inv'!$A$4:$I$917,7,FALSE)</f>
        <v>18974</v>
      </c>
      <c r="T297" s="2">
        <f>VLOOKUP($A297,'[2]App C Inv'!$A$4:$I$917,8,FALSE)</f>
        <v>24695</v>
      </c>
      <c r="U297" s="2">
        <f>VLOOKUP($A297,'[2]App C Inv'!$A$4:$I$917,9,FALSE)</f>
        <v>0</v>
      </c>
      <c r="V297" s="2"/>
      <c r="W297" s="2">
        <f>VLOOKUP($A297,'[2]App C Assum'!$A$4:$I$917,5,FALSE)</f>
        <v>176313</v>
      </c>
      <c r="X297" s="2">
        <f>VLOOKUP($A297,'[2]App C Assum'!$A$4:$I$917,6,FALSE)</f>
        <v>144442</v>
      </c>
      <c r="Y297" s="2">
        <f>VLOOKUP($A297,'[2]App C Assum'!$A$4:$I$917,7,FALSE)</f>
        <v>117262</v>
      </c>
      <c r="Z297" s="2">
        <f>VLOOKUP($A297,'[2]App C Assum'!$A$4:$I$917,8,FALSE)</f>
        <v>0</v>
      </c>
      <c r="AA297" s="2">
        <f>VLOOKUP($A297,'[2]App C Assum'!$A$4:$I$917,9,FALSE)</f>
        <v>0</v>
      </c>
      <c r="AB297" s="2"/>
      <c r="AC297" s="2">
        <f>VLOOKUP($A297,'[2]App C Share Outflows'!$A$4:$I$917,5,FALSE)</f>
        <v>9426</v>
      </c>
      <c r="AD297" s="2">
        <f>VLOOKUP($A297,'[2]App C Share Outflows'!$A$4:$I$917,6,FALSE)</f>
        <v>6236</v>
      </c>
      <c r="AE297" s="2">
        <f>VLOOKUP($A297,'[2]App C Share Outflows'!$A$4:$I$917,7,FALSE)</f>
        <v>4644</v>
      </c>
      <c r="AF297" s="2">
        <f>VLOOKUP($A297,'[2]App C Share Outflows'!$A$4:$I$917,8,FALSE)</f>
        <v>1072</v>
      </c>
      <c r="AG297" s="2">
        <f>VLOOKUP($A297,'[2]App C Share Outflows'!$A$4:$I$917,9,FALSE)</f>
        <v>0</v>
      </c>
      <c r="AH297" s="2"/>
      <c r="AI297" s="2">
        <f>VLOOKUP($A297,'[2]App C Share Inflows'!$A$4:$I$917,5,FALSE)</f>
        <v>0</v>
      </c>
      <c r="AJ297" s="2">
        <f>VLOOKUP($A297,'[2]App C Share Inflows'!$A$4:$I$917,6,FALSE)</f>
        <v>0</v>
      </c>
      <c r="AK297" s="2">
        <f>VLOOKUP($A297,'[2]App C Share Inflows'!$A$4:$I$917,7,FALSE)</f>
        <v>0</v>
      </c>
      <c r="AL297" s="2">
        <f>VLOOKUP($A297,'[2]App C Share Inflows'!$A$4:$I$917,8,FALSE)</f>
        <v>0</v>
      </c>
      <c r="AM297" s="2">
        <f>VLOOKUP($A297,'[2]App C Share Inflows'!$A$4:$I$917,6,FALSE)</f>
        <v>0</v>
      </c>
    </row>
    <row r="298" spans="1:39">
      <c r="A298" s="351">
        <v>92831</v>
      </c>
      <c r="B298" s="344" t="s">
        <v>990</v>
      </c>
      <c r="C298" s="235" t="e">
        <f>VLOOKUP(A298,#REF!,10,FALSE)</f>
        <v>#REF!</v>
      </c>
      <c r="E298" s="2">
        <f>VLOOKUP($A298,'[2]App C Total'!$A$4:$I$917,5,FALSE)</f>
        <v>139242</v>
      </c>
      <c r="F298" s="2">
        <f>VLOOKUP($A298,'[2]App C Total'!$A$4:$I$917,6,FALSE)</f>
        <v>50633</v>
      </c>
      <c r="G298" s="2">
        <f>VLOOKUP($A298,'[2]App C Total'!$A$4:$I$917,7,FALSE)</f>
        <v>79898</v>
      </c>
      <c r="H298" s="2">
        <f>VLOOKUP($A298,'[2]App C Total'!$A$4:$I$917,8,FALSE)</f>
        <v>25322</v>
      </c>
      <c r="I298" s="2">
        <f>VLOOKUP($A298,'[2]App C Total'!$A$4:$I$917,9,FALSE)</f>
        <v>0</v>
      </c>
      <c r="J298" s="2"/>
      <c r="K298" s="2">
        <f>VLOOKUP($A298,'[2]App C Exp'!$A$4:$I$917,5,FALSE)</f>
        <v>37796</v>
      </c>
      <c r="L298" s="2">
        <f>VLOOKUP($A298,'[2]App C Exp'!$A$4:$I$917,6,FALSE)</f>
        <v>35554</v>
      </c>
      <c r="M298" s="2">
        <f>VLOOKUP($A298,'[2]App C Exp'!$A$4:$I$917,7,FALSE)</f>
        <v>31867</v>
      </c>
      <c r="N298" s="2">
        <f>VLOOKUP($A298,'[2]App C Exp'!$A$4:$I$917,8,FALSE)</f>
        <v>12759</v>
      </c>
      <c r="O298" s="2">
        <f>VLOOKUP($A298,'[2]App C Exp'!$A$4:$I$917,9,FALSE)</f>
        <v>0</v>
      </c>
      <c r="P298" s="2"/>
      <c r="Q298" s="2">
        <f>VLOOKUP($A298,'[2]App C Inv'!$A$4:$I$917,5,FALSE)</f>
        <v>40126</v>
      </c>
      <c r="R298" s="2">
        <f>VLOOKUP($A298,'[2]App C Inv'!$A$4:$I$917,6,FALSE)</f>
        <v>-34516</v>
      </c>
      <c r="S298" s="2">
        <f>VLOOKUP($A298,'[2]App C Inv'!$A$4:$I$917,7,FALSE)</f>
        <v>4865</v>
      </c>
      <c r="T298" s="2">
        <f>VLOOKUP($A298,'[2]App C Inv'!$A$4:$I$917,8,FALSE)</f>
        <v>6331</v>
      </c>
      <c r="U298" s="2">
        <f>VLOOKUP($A298,'[2]App C Inv'!$A$4:$I$917,9,FALSE)</f>
        <v>0</v>
      </c>
      <c r="V298" s="2"/>
      <c r="W298" s="2">
        <f>VLOOKUP($A298,'[2]App C Assum'!$A$4:$I$917,5,FALSE)</f>
        <v>45203</v>
      </c>
      <c r="X298" s="2">
        <f>VLOOKUP($A298,'[2]App C Assum'!$A$4:$I$917,6,FALSE)</f>
        <v>37032</v>
      </c>
      <c r="Y298" s="2">
        <f>VLOOKUP($A298,'[2]App C Assum'!$A$4:$I$917,7,FALSE)</f>
        <v>30063</v>
      </c>
      <c r="Z298" s="2">
        <f>VLOOKUP($A298,'[2]App C Assum'!$A$4:$I$917,8,FALSE)</f>
        <v>0</v>
      </c>
      <c r="AA298" s="2">
        <f>VLOOKUP($A298,'[2]App C Assum'!$A$4:$I$917,9,FALSE)</f>
        <v>0</v>
      </c>
      <c r="AB298" s="2"/>
      <c r="AC298" s="2">
        <f>VLOOKUP($A298,'[2]App C Share Outflows'!$A$4:$I$917,5,FALSE)</f>
        <v>16657</v>
      </c>
      <c r="AD298" s="2">
        <f>VLOOKUP($A298,'[2]App C Share Outflows'!$A$4:$I$917,6,FALSE)</f>
        <v>13101</v>
      </c>
      <c r="AE298" s="2">
        <f>VLOOKUP($A298,'[2]App C Share Outflows'!$A$4:$I$917,7,FALSE)</f>
        <v>13103</v>
      </c>
      <c r="AF298" s="2">
        <f>VLOOKUP($A298,'[2]App C Share Outflows'!$A$4:$I$917,8,FALSE)</f>
        <v>6232</v>
      </c>
      <c r="AG298" s="2">
        <f>VLOOKUP($A298,'[2]App C Share Outflows'!$A$4:$I$917,9,FALSE)</f>
        <v>0</v>
      </c>
      <c r="AH298" s="2"/>
      <c r="AI298" s="2">
        <f>VLOOKUP($A298,'[2]App C Share Inflows'!$A$4:$I$917,5,FALSE)</f>
        <v>-540</v>
      </c>
      <c r="AJ298" s="2">
        <f>VLOOKUP($A298,'[2]App C Share Inflows'!$A$4:$I$917,6,FALSE)</f>
        <v>-538</v>
      </c>
      <c r="AK298" s="2">
        <f>VLOOKUP($A298,'[2]App C Share Inflows'!$A$4:$I$917,7,FALSE)</f>
        <v>0</v>
      </c>
      <c r="AL298" s="2">
        <f>VLOOKUP($A298,'[2]App C Share Inflows'!$A$4:$I$917,8,FALSE)</f>
        <v>0</v>
      </c>
      <c r="AM298" s="2">
        <f>VLOOKUP($A298,'[2]App C Share Inflows'!$A$4:$I$917,6,FALSE)</f>
        <v>-538</v>
      </c>
    </row>
    <row r="299" spans="1:39">
      <c r="A299" s="351">
        <v>92841</v>
      </c>
      <c r="B299" s="344" t="s">
        <v>991</v>
      </c>
      <c r="C299" s="235" t="e">
        <f>VLOOKUP(A299,#REF!,10,FALSE)</f>
        <v>#REF!</v>
      </c>
      <c r="E299" s="2">
        <f>VLOOKUP($A299,'[2]App C Total'!$A$4:$I$917,5,FALSE)</f>
        <v>109687</v>
      </c>
      <c r="F299" s="2">
        <f>VLOOKUP($A299,'[2]App C Total'!$A$4:$I$917,6,FALSE)</f>
        <v>28188</v>
      </c>
      <c r="G299" s="2">
        <f>VLOOKUP($A299,'[2]App C Total'!$A$4:$I$917,7,FALSE)</f>
        <v>58627</v>
      </c>
      <c r="H299" s="2">
        <f>VLOOKUP($A299,'[2]App C Total'!$A$4:$I$917,8,FALSE)</f>
        <v>16459</v>
      </c>
      <c r="I299" s="2">
        <f>VLOOKUP($A299,'[2]App C Total'!$A$4:$I$917,9,FALSE)</f>
        <v>0</v>
      </c>
      <c r="J299" s="2"/>
      <c r="K299" s="2">
        <f>VLOOKUP($A299,'[2]App C Exp'!$A$4:$I$917,5,FALSE)</f>
        <v>36463</v>
      </c>
      <c r="L299" s="2">
        <f>VLOOKUP($A299,'[2]App C Exp'!$A$4:$I$917,6,FALSE)</f>
        <v>34300</v>
      </c>
      <c r="M299" s="2">
        <f>VLOOKUP($A299,'[2]App C Exp'!$A$4:$I$917,7,FALSE)</f>
        <v>30743</v>
      </c>
      <c r="N299" s="2">
        <f>VLOOKUP($A299,'[2]App C Exp'!$A$4:$I$917,8,FALSE)</f>
        <v>12309</v>
      </c>
      <c r="O299" s="2">
        <f>VLOOKUP($A299,'[2]App C Exp'!$A$4:$I$917,9,FALSE)</f>
        <v>0</v>
      </c>
      <c r="P299" s="2"/>
      <c r="Q299" s="2">
        <f>VLOOKUP($A299,'[2]App C Inv'!$A$4:$I$917,5,FALSE)</f>
        <v>38711</v>
      </c>
      <c r="R299" s="2">
        <f>VLOOKUP($A299,'[2]App C Inv'!$A$4:$I$917,6,FALSE)</f>
        <v>-33298</v>
      </c>
      <c r="S299" s="2">
        <f>VLOOKUP($A299,'[2]App C Inv'!$A$4:$I$917,7,FALSE)</f>
        <v>4693</v>
      </c>
      <c r="T299" s="2">
        <f>VLOOKUP($A299,'[2]App C Inv'!$A$4:$I$917,8,FALSE)</f>
        <v>6108</v>
      </c>
      <c r="U299" s="2">
        <f>VLOOKUP($A299,'[2]App C Inv'!$A$4:$I$917,9,FALSE)</f>
        <v>0</v>
      </c>
      <c r="V299" s="2"/>
      <c r="W299" s="2">
        <f>VLOOKUP($A299,'[2]App C Assum'!$A$4:$I$917,5,FALSE)</f>
        <v>43608</v>
      </c>
      <c r="X299" s="2">
        <f>VLOOKUP($A299,'[2]App C Assum'!$A$4:$I$917,6,FALSE)</f>
        <v>35725</v>
      </c>
      <c r="Y299" s="2">
        <f>VLOOKUP($A299,'[2]App C Assum'!$A$4:$I$917,7,FALSE)</f>
        <v>29003</v>
      </c>
      <c r="Z299" s="2">
        <f>VLOOKUP($A299,'[2]App C Assum'!$A$4:$I$917,8,FALSE)</f>
        <v>0</v>
      </c>
      <c r="AA299" s="2">
        <f>VLOOKUP($A299,'[2]App C Assum'!$A$4:$I$917,9,FALSE)</f>
        <v>0</v>
      </c>
      <c r="AB299" s="2"/>
      <c r="AC299" s="2">
        <f>VLOOKUP($A299,'[2]App C Share Outflows'!$A$4:$I$917,5,FALSE)</f>
        <v>0</v>
      </c>
      <c r="AD299" s="2">
        <f>VLOOKUP($A299,'[2]App C Share Outflows'!$A$4:$I$917,6,FALSE)</f>
        <v>0</v>
      </c>
      <c r="AE299" s="2">
        <f>VLOOKUP($A299,'[2]App C Share Outflows'!$A$4:$I$917,7,FALSE)</f>
        <v>0</v>
      </c>
      <c r="AF299" s="2">
        <f>VLOOKUP($A299,'[2]App C Share Outflows'!$A$4:$I$917,8,FALSE)</f>
        <v>0</v>
      </c>
      <c r="AG299" s="2">
        <f>VLOOKUP($A299,'[2]App C Share Outflows'!$A$4:$I$917,9,FALSE)</f>
        <v>0</v>
      </c>
      <c r="AH299" s="2"/>
      <c r="AI299" s="2">
        <f>VLOOKUP($A299,'[2]App C Share Inflows'!$A$4:$I$917,5,FALSE)</f>
        <v>-9095</v>
      </c>
      <c r="AJ299" s="2">
        <f>VLOOKUP($A299,'[2]App C Share Inflows'!$A$4:$I$917,6,FALSE)</f>
        <v>-8539</v>
      </c>
      <c r="AK299" s="2">
        <f>VLOOKUP($A299,'[2]App C Share Inflows'!$A$4:$I$917,7,FALSE)</f>
        <v>-5812</v>
      </c>
      <c r="AL299" s="2">
        <f>VLOOKUP($A299,'[2]App C Share Inflows'!$A$4:$I$917,8,FALSE)</f>
        <v>-1958</v>
      </c>
      <c r="AM299" s="2">
        <f>VLOOKUP($A299,'[2]App C Share Inflows'!$A$4:$I$917,6,FALSE)</f>
        <v>-8539</v>
      </c>
    </row>
    <row r="300" spans="1:39">
      <c r="A300" s="351">
        <v>92851</v>
      </c>
      <c r="B300" s="344" t="s">
        <v>992</v>
      </c>
      <c r="C300" s="235" t="e">
        <f>VLOOKUP(A300,#REF!,10,FALSE)</f>
        <v>#REF!</v>
      </c>
      <c r="E300" s="2">
        <f>VLOOKUP($A300,'[2]App C Total'!$A$4:$I$917,5,FALSE)</f>
        <v>184767</v>
      </c>
      <c r="F300" s="2">
        <f>VLOOKUP($A300,'[2]App C Total'!$A$4:$I$917,6,FALSE)</f>
        <v>47734</v>
      </c>
      <c r="G300" s="2">
        <f>VLOOKUP($A300,'[2]App C Total'!$A$4:$I$917,7,FALSE)</f>
        <v>97762</v>
      </c>
      <c r="H300" s="2">
        <f>VLOOKUP($A300,'[2]App C Total'!$A$4:$I$917,8,FALSE)</f>
        <v>25177</v>
      </c>
      <c r="I300" s="2">
        <f>VLOOKUP($A300,'[2]App C Total'!$A$4:$I$917,9,FALSE)</f>
        <v>0</v>
      </c>
      <c r="J300" s="2"/>
      <c r="K300" s="2">
        <f>VLOOKUP($A300,'[2]App C Exp'!$A$4:$I$917,5,FALSE)</f>
        <v>64192</v>
      </c>
      <c r="L300" s="2">
        <f>VLOOKUP($A300,'[2]App C Exp'!$A$4:$I$917,6,FALSE)</f>
        <v>60384</v>
      </c>
      <c r="M300" s="2">
        <f>VLOOKUP($A300,'[2]App C Exp'!$A$4:$I$917,7,FALSE)</f>
        <v>54122</v>
      </c>
      <c r="N300" s="2">
        <f>VLOOKUP($A300,'[2]App C Exp'!$A$4:$I$917,8,FALSE)</f>
        <v>21670</v>
      </c>
      <c r="O300" s="2">
        <f>VLOOKUP($A300,'[2]App C Exp'!$A$4:$I$917,9,FALSE)</f>
        <v>0</v>
      </c>
      <c r="P300" s="2"/>
      <c r="Q300" s="2">
        <f>VLOOKUP($A300,'[2]App C Inv'!$A$4:$I$917,5,FALSE)</f>
        <v>68149</v>
      </c>
      <c r="R300" s="2">
        <f>VLOOKUP($A300,'[2]App C Inv'!$A$4:$I$917,6,FALSE)</f>
        <v>-58621</v>
      </c>
      <c r="S300" s="2">
        <f>VLOOKUP($A300,'[2]App C Inv'!$A$4:$I$917,7,FALSE)</f>
        <v>8262</v>
      </c>
      <c r="T300" s="2">
        <f>VLOOKUP($A300,'[2]App C Inv'!$A$4:$I$917,8,FALSE)</f>
        <v>10753</v>
      </c>
      <c r="U300" s="2">
        <f>VLOOKUP($A300,'[2]App C Inv'!$A$4:$I$917,9,FALSE)</f>
        <v>0</v>
      </c>
      <c r="V300" s="2"/>
      <c r="W300" s="2">
        <f>VLOOKUP($A300,'[2]App C Assum'!$A$4:$I$917,5,FALSE)</f>
        <v>76771</v>
      </c>
      <c r="X300" s="2">
        <f>VLOOKUP($A300,'[2]App C Assum'!$A$4:$I$917,6,FALSE)</f>
        <v>62894</v>
      </c>
      <c r="Y300" s="2">
        <f>VLOOKUP($A300,'[2]App C Assum'!$A$4:$I$917,7,FALSE)</f>
        <v>51059</v>
      </c>
      <c r="Z300" s="2">
        <f>VLOOKUP($A300,'[2]App C Assum'!$A$4:$I$917,8,FALSE)</f>
        <v>0</v>
      </c>
      <c r="AA300" s="2">
        <f>VLOOKUP($A300,'[2]App C Assum'!$A$4:$I$917,9,FALSE)</f>
        <v>0</v>
      </c>
      <c r="AB300" s="2"/>
      <c r="AC300" s="2">
        <f>VLOOKUP($A300,'[2]App C Share Outflows'!$A$4:$I$917,5,FALSE)</f>
        <v>0</v>
      </c>
      <c r="AD300" s="2">
        <f>VLOOKUP($A300,'[2]App C Share Outflows'!$A$4:$I$917,6,FALSE)</f>
        <v>0</v>
      </c>
      <c r="AE300" s="2">
        <f>VLOOKUP($A300,'[2]App C Share Outflows'!$A$4:$I$917,7,FALSE)</f>
        <v>0</v>
      </c>
      <c r="AF300" s="2">
        <f>VLOOKUP($A300,'[2]App C Share Outflows'!$A$4:$I$917,8,FALSE)</f>
        <v>0</v>
      </c>
      <c r="AG300" s="2">
        <f>VLOOKUP($A300,'[2]App C Share Outflows'!$A$4:$I$917,9,FALSE)</f>
        <v>0</v>
      </c>
      <c r="AH300" s="2"/>
      <c r="AI300" s="2">
        <f>VLOOKUP($A300,'[2]App C Share Inflows'!$A$4:$I$917,5,FALSE)</f>
        <v>-24345</v>
      </c>
      <c r="AJ300" s="2">
        <f>VLOOKUP($A300,'[2]App C Share Inflows'!$A$4:$I$917,6,FALSE)</f>
        <v>-16923</v>
      </c>
      <c r="AK300" s="2">
        <f>VLOOKUP($A300,'[2]App C Share Inflows'!$A$4:$I$917,7,FALSE)</f>
        <v>-15681</v>
      </c>
      <c r="AL300" s="2">
        <f>VLOOKUP($A300,'[2]App C Share Inflows'!$A$4:$I$917,8,FALSE)</f>
        <v>-7246</v>
      </c>
      <c r="AM300" s="2">
        <f>VLOOKUP($A300,'[2]App C Share Inflows'!$A$4:$I$917,6,FALSE)</f>
        <v>-16923</v>
      </c>
    </row>
    <row r="301" spans="1:39">
      <c r="A301" s="351">
        <v>92861</v>
      </c>
      <c r="B301" s="344" t="s">
        <v>993</v>
      </c>
      <c r="C301" s="235" t="e">
        <f>VLOOKUP(A301,#REF!,10,FALSE)</f>
        <v>#REF!</v>
      </c>
      <c r="E301" s="2">
        <f>VLOOKUP($A301,'[2]App C Total'!$A$4:$I$917,5,FALSE)</f>
        <v>145778</v>
      </c>
      <c r="F301" s="2">
        <f>VLOOKUP($A301,'[2]App C Total'!$A$4:$I$917,6,FALSE)</f>
        <v>34819</v>
      </c>
      <c r="G301" s="2">
        <f>VLOOKUP($A301,'[2]App C Total'!$A$4:$I$917,7,FALSE)</f>
        <v>80842</v>
      </c>
      <c r="H301" s="2">
        <f>VLOOKUP($A301,'[2]App C Total'!$A$4:$I$917,8,FALSE)</f>
        <v>18969</v>
      </c>
      <c r="I301" s="2">
        <f>VLOOKUP($A301,'[2]App C Total'!$A$4:$I$917,9,FALSE)</f>
        <v>0</v>
      </c>
      <c r="J301" s="2"/>
      <c r="K301" s="2">
        <f>VLOOKUP($A301,'[2]App C Exp'!$A$4:$I$917,5,FALSE)</f>
        <v>54395</v>
      </c>
      <c r="L301" s="2">
        <f>VLOOKUP($A301,'[2]App C Exp'!$A$4:$I$917,6,FALSE)</f>
        <v>51168</v>
      </c>
      <c r="M301" s="2">
        <f>VLOOKUP($A301,'[2]App C Exp'!$A$4:$I$917,7,FALSE)</f>
        <v>45861</v>
      </c>
      <c r="N301" s="2">
        <f>VLOOKUP($A301,'[2]App C Exp'!$A$4:$I$917,8,FALSE)</f>
        <v>18362</v>
      </c>
      <c r="O301" s="2">
        <f>VLOOKUP($A301,'[2]App C Exp'!$A$4:$I$917,9,FALSE)</f>
        <v>0</v>
      </c>
      <c r="P301" s="2"/>
      <c r="Q301" s="2">
        <f>VLOOKUP($A301,'[2]App C Inv'!$A$4:$I$917,5,FALSE)</f>
        <v>57748</v>
      </c>
      <c r="R301" s="2">
        <f>VLOOKUP($A301,'[2]App C Inv'!$A$4:$I$917,6,FALSE)</f>
        <v>-49674</v>
      </c>
      <c r="S301" s="2">
        <f>VLOOKUP($A301,'[2]App C Inv'!$A$4:$I$917,7,FALSE)</f>
        <v>7001</v>
      </c>
      <c r="T301" s="2">
        <f>VLOOKUP($A301,'[2]App C Inv'!$A$4:$I$917,8,FALSE)</f>
        <v>9112</v>
      </c>
      <c r="U301" s="2">
        <f>VLOOKUP($A301,'[2]App C Inv'!$A$4:$I$917,9,FALSE)</f>
        <v>0</v>
      </c>
      <c r="V301" s="2"/>
      <c r="W301" s="2">
        <f>VLOOKUP($A301,'[2]App C Assum'!$A$4:$I$917,5,FALSE)</f>
        <v>65054</v>
      </c>
      <c r="X301" s="2">
        <f>VLOOKUP($A301,'[2]App C Assum'!$A$4:$I$917,6,FALSE)</f>
        <v>53294</v>
      </c>
      <c r="Y301" s="2">
        <f>VLOOKUP($A301,'[2]App C Assum'!$A$4:$I$917,7,FALSE)</f>
        <v>43266</v>
      </c>
      <c r="Z301" s="2">
        <f>VLOOKUP($A301,'[2]App C Assum'!$A$4:$I$917,8,FALSE)</f>
        <v>0</v>
      </c>
      <c r="AA301" s="2">
        <f>VLOOKUP($A301,'[2]App C Assum'!$A$4:$I$917,9,FALSE)</f>
        <v>0</v>
      </c>
      <c r="AB301" s="2"/>
      <c r="AC301" s="2">
        <f>VLOOKUP($A301,'[2]App C Share Outflows'!$A$4:$I$917,5,FALSE)</f>
        <v>0</v>
      </c>
      <c r="AD301" s="2">
        <f>VLOOKUP($A301,'[2]App C Share Outflows'!$A$4:$I$917,6,FALSE)</f>
        <v>0</v>
      </c>
      <c r="AE301" s="2">
        <f>VLOOKUP($A301,'[2]App C Share Outflows'!$A$4:$I$917,7,FALSE)</f>
        <v>0</v>
      </c>
      <c r="AF301" s="2">
        <f>VLOOKUP($A301,'[2]App C Share Outflows'!$A$4:$I$917,8,FALSE)</f>
        <v>0</v>
      </c>
      <c r="AG301" s="2">
        <f>VLOOKUP($A301,'[2]App C Share Outflows'!$A$4:$I$917,9,FALSE)</f>
        <v>0</v>
      </c>
      <c r="AH301" s="2"/>
      <c r="AI301" s="2">
        <f>VLOOKUP($A301,'[2]App C Share Inflows'!$A$4:$I$917,5,FALSE)</f>
        <v>-31419</v>
      </c>
      <c r="AJ301" s="2">
        <f>VLOOKUP($A301,'[2]App C Share Inflows'!$A$4:$I$917,6,FALSE)</f>
        <v>-19969</v>
      </c>
      <c r="AK301" s="2">
        <f>VLOOKUP($A301,'[2]App C Share Inflows'!$A$4:$I$917,7,FALSE)</f>
        <v>-15286</v>
      </c>
      <c r="AL301" s="2">
        <f>VLOOKUP($A301,'[2]App C Share Inflows'!$A$4:$I$917,8,FALSE)</f>
        <v>-8505</v>
      </c>
      <c r="AM301" s="2">
        <f>VLOOKUP($A301,'[2]App C Share Inflows'!$A$4:$I$917,6,FALSE)</f>
        <v>-19969</v>
      </c>
    </row>
    <row r="302" spans="1:39">
      <c r="A302" s="351">
        <v>92901</v>
      </c>
      <c r="B302" s="344" t="s">
        <v>994</v>
      </c>
      <c r="C302" s="235" t="e">
        <f>VLOOKUP(A302,#REF!,10,FALSE)</f>
        <v>#REF!</v>
      </c>
      <c r="E302" s="2">
        <f>VLOOKUP($A302,'[2]App C Total'!$A$4:$I$917,5,FALSE)</f>
        <v>2626324</v>
      </c>
      <c r="F302" s="2">
        <f>VLOOKUP($A302,'[2]App C Total'!$A$4:$I$917,6,FALSE)</f>
        <v>810290</v>
      </c>
      <c r="G302" s="2">
        <f>VLOOKUP($A302,'[2]App C Total'!$A$4:$I$917,7,FALSE)</f>
        <v>1447236</v>
      </c>
      <c r="H302" s="2">
        <f>VLOOKUP($A302,'[2]App C Total'!$A$4:$I$917,8,FALSE)</f>
        <v>420798</v>
      </c>
      <c r="I302" s="2">
        <f>VLOOKUP($A302,'[2]App C Total'!$A$4:$I$917,9,FALSE)</f>
        <v>0</v>
      </c>
      <c r="J302" s="2"/>
      <c r="K302" s="2">
        <f>VLOOKUP($A302,'[2]App C Exp'!$A$4:$I$917,5,FALSE)</f>
        <v>813842</v>
      </c>
      <c r="L302" s="2">
        <f>VLOOKUP($A302,'[2]App C Exp'!$A$4:$I$917,6,FALSE)</f>
        <v>765562</v>
      </c>
      <c r="M302" s="2">
        <f>VLOOKUP($A302,'[2]App C Exp'!$A$4:$I$917,7,FALSE)</f>
        <v>686165</v>
      </c>
      <c r="N302" s="2">
        <f>VLOOKUP($A302,'[2]App C Exp'!$A$4:$I$917,8,FALSE)</f>
        <v>274732</v>
      </c>
      <c r="O302" s="2">
        <f>VLOOKUP($A302,'[2]App C Exp'!$A$4:$I$917,9,FALSE)</f>
        <v>0</v>
      </c>
      <c r="P302" s="2"/>
      <c r="Q302" s="2">
        <f>VLOOKUP($A302,'[2]App C Inv'!$A$4:$I$917,5,FALSE)</f>
        <v>864006</v>
      </c>
      <c r="R302" s="2">
        <f>VLOOKUP($A302,'[2]App C Inv'!$A$4:$I$917,6,FALSE)</f>
        <v>-743207</v>
      </c>
      <c r="S302" s="2">
        <f>VLOOKUP($A302,'[2]App C Inv'!$A$4:$I$917,7,FALSE)</f>
        <v>104746</v>
      </c>
      <c r="T302" s="2">
        <f>VLOOKUP($A302,'[2]App C Inv'!$A$4:$I$917,8,FALSE)</f>
        <v>136326</v>
      </c>
      <c r="U302" s="2">
        <f>VLOOKUP($A302,'[2]App C Inv'!$A$4:$I$917,9,FALSE)</f>
        <v>0</v>
      </c>
      <c r="V302" s="2"/>
      <c r="W302" s="2">
        <f>VLOOKUP($A302,'[2]App C Assum'!$A$4:$I$917,5,FALSE)</f>
        <v>973315</v>
      </c>
      <c r="X302" s="2">
        <f>VLOOKUP($A302,'[2]App C Assum'!$A$4:$I$917,6,FALSE)</f>
        <v>797375</v>
      </c>
      <c r="Y302" s="2">
        <f>VLOOKUP($A302,'[2]App C Assum'!$A$4:$I$917,7,FALSE)</f>
        <v>647332</v>
      </c>
      <c r="Z302" s="2">
        <f>VLOOKUP($A302,'[2]App C Assum'!$A$4:$I$917,8,FALSE)</f>
        <v>0</v>
      </c>
      <c r="AA302" s="2">
        <f>VLOOKUP($A302,'[2]App C Assum'!$A$4:$I$917,9,FALSE)</f>
        <v>0</v>
      </c>
      <c r="AB302" s="2"/>
      <c r="AC302" s="2">
        <f>VLOOKUP($A302,'[2]App C Share Outflows'!$A$4:$I$917,5,FALSE)</f>
        <v>9740</v>
      </c>
      <c r="AD302" s="2">
        <f>VLOOKUP($A302,'[2]App C Share Outflows'!$A$4:$I$917,6,FALSE)</f>
        <v>9740</v>
      </c>
      <c r="AE302" s="2">
        <f>VLOOKUP($A302,'[2]App C Share Outflows'!$A$4:$I$917,7,FALSE)</f>
        <v>9740</v>
      </c>
      <c r="AF302" s="2">
        <f>VLOOKUP($A302,'[2]App C Share Outflows'!$A$4:$I$917,8,FALSE)</f>
        <v>9740</v>
      </c>
      <c r="AG302" s="2">
        <f>VLOOKUP($A302,'[2]App C Share Outflows'!$A$4:$I$917,9,FALSE)</f>
        <v>0</v>
      </c>
      <c r="AH302" s="2"/>
      <c r="AI302" s="2">
        <f>VLOOKUP($A302,'[2]App C Share Inflows'!$A$4:$I$917,5,FALSE)</f>
        <v>-34579</v>
      </c>
      <c r="AJ302" s="2">
        <f>VLOOKUP($A302,'[2]App C Share Inflows'!$A$4:$I$917,6,FALSE)</f>
        <v>-19180</v>
      </c>
      <c r="AK302" s="2">
        <f>VLOOKUP($A302,'[2]App C Share Inflows'!$A$4:$I$917,7,FALSE)</f>
        <v>-747</v>
      </c>
      <c r="AL302" s="2">
        <f>VLOOKUP($A302,'[2]App C Share Inflows'!$A$4:$I$917,8,FALSE)</f>
        <v>0</v>
      </c>
      <c r="AM302" s="2">
        <f>VLOOKUP($A302,'[2]App C Share Inflows'!$A$4:$I$917,6,FALSE)</f>
        <v>-19180</v>
      </c>
    </row>
    <row r="303" spans="1:39">
      <c r="A303" s="351">
        <v>92911</v>
      </c>
      <c r="B303" s="344" t="s">
        <v>995</v>
      </c>
      <c r="C303" s="235" t="e">
        <f>VLOOKUP(A303,#REF!,10,FALSE)</f>
        <v>#REF!</v>
      </c>
      <c r="E303" s="2">
        <f>VLOOKUP($A303,'[2]App C Total'!$A$4:$I$917,5,FALSE)</f>
        <v>941970</v>
      </c>
      <c r="F303" s="2">
        <f>VLOOKUP($A303,'[2]App C Total'!$A$4:$I$917,6,FALSE)</f>
        <v>308616</v>
      </c>
      <c r="G303" s="2">
        <f>VLOOKUP($A303,'[2]App C Total'!$A$4:$I$917,7,FALSE)</f>
        <v>519658</v>
      </c>
      <c r="H303" s="2">
        <f>VLOOKUP($A303,'[2]App C Total'!$A$4:$I$917,8,FALSE)</f>
        <v>152923</v>
      </c>
      <c r="I303" s="2">
        <f>VLOOKUP($A303,'[2]App C Total'!$A$4:$I$917,9,FALSE)</f>
        <v>0</v>
      </c>
      <c r="J303" s="2"/>
      <c r="K303" s="2">
        <f>VLOOKUP($A303,'[2]App C Exp'!$A$4:$I$917,5,FALSE)</f>
        <v>287045</v>
      </c>
      <c r="L303" s="2">
        <f>VLOOKUP($A303,'[2]App C Exp'!$A$4:$I$917,6,FALSE)</f>
        <v>270017</v>
      </c>
      <c r="M303" s="2">
        <f>VLOOKUP($A303,'[2]App C Exp'!$A$4:$I$917,7,FALSE)</f>
        <v>242013</v>
      </c>
      <c r="N303" s="2">
        <f>VLOOKUP($A303,'[2]App C Exp'!$A$4:$I$917,8,FALSE)</f>
        <v>96899</v>
      </c>
      <c r="O303" s="2">
        <f>VLOOKUP($A303,'[2]App C Exp'!$A$4:$I$917,9,FALSE)</f>
        <v>0</v>
      </c>
      <c r="P303" s="2"/>
      <c r="Q303" s="2">
        <f>VLOOKUP($A303,'[2]App C Inv'!$A$4:$I$917,5,FALSE)</f>
        <v>304738</v>
      </c>
      <c r="R303" s="2">
        <f>VLOOKUP($A303,'[2]App C Inv'!$A$4:$I$917,6,FALSE)</f>
        <v>-262132</v>
      </c>
      <c r="S303" s="2">
        <f>VLOOKUP($A303,'[2]App C Inv'!$A$4:$I$917,7,FALSE)</f>
        <v>36944</v>
      </c>
      <c r="T303" s="2">
        <f>VLOOKUP($A303,'[2]App C Inv'!$A$4:$I$917,8,FALSE)</f>
        <v>48083</v>
      </c>
      <c r="U303" s="2">
        <f>VLOOKUP($A303,'[2]App C Inv'!$A$4:$I$917,9,FALSE)</f>
        <v>0</v>
      </c>
      <c r="V303" s="2"/>
      <c r="W303" s="2">
        <f>VLOOKUP($A303,'[2]App C Assum'!$A$4:$I$917,5,FALSE)</f>
        <v>343292</v>
      </c>
      <c r="X303" s="2">
        <f>VLOOKUP($A303,'[2]App C Assum'!$A$4:$I$917,6,FALSE)</f>
        <v>281237</v>
      </c>
      <c r="Y303" s="2">
        <f>VLOOKUP($A303,'[2]App C Assum'!$A$4:$I$917,7,FALSE)</f>
        <v>228317</v>
      </c>
      <c r="Z303" s="2">
        <f>VLOOKUP($A303,'[2]App C Assum'!$A$4:$I$917,8,FALSE)</f>
        <v>0</v>
      </c>
      <c r="AA303" s="2">
        <f>VLOOKUP($A303,'[2]App C Assum'!$A$4:$I$917,9,FALSE)</f>
        <v>0</v>
      </c>
      <c r="AB303" s="2"/>
      <c r="AC303" s="2">
        <f>VLOOKUP($A303,'[2]App C Share Outflows'!$A$4:$I$917,5,FALSE)</f>
        <v>19496</v>
      </c>
      <c r="AD303" s="2">
        <f>VLOOKUP($A303,'[2]App C Share Outflows'!$A$4:$I$917,6,FALSE)</f>
        <v>19494</v>
      </c>
      <c r="AE303" s="2">
        <f>VLOOKUP($A303,'[2]App C Share Outflows'!$A$4:$I$917,7,FALSE)</f>
        <v>12384</v>
      </c>
      <c r="AF303" s="2">
        <f>VLOOKUP($A303,'[2]App C Share Outflows'!$A$4:$I$917,8,FALSE)</f>
        <v>7941</v>
      </c>
      <c r="AG303" s="2">
        <f>VLOOKUP($A303,'[2]App C Share Outflows'!$A$4:$I$917,9,FALSE)</f>
        <v>0</v>
      </c>
      <c r="AH303" s="2"/>
      <c r="AI303" s="2">
        <f>VLOOKUP($A303,'[2]App C Share Inflows'!$A$4:$I$917,5,FALSE)</f>
        <v>-12601</v>
      </c>
      <c r="AJ303" s="2">
        <f>VLOOKUP($A303,'[2]App C Share Inflows'!$A$4:$I$917,6,FALSE)</f>
        <v>0</v>
      </c>
      <c r="AK303" s="2">
        <f>VLOOKUP($A303,'[2]App C Share Inflows'!$A$4:$I$917,7,FALSE)</f>
        <v>0</v>
      </c>
      <c r="AL303" s="2">
        <f>VLOOKUP($A303,'[2]App C Share Inflows'!$A$4:$I$917,8,FALSE)</f>
        <v>0</v>
      </c>
      <c r="AM303" s="2">
        <f>VLOOKUP($A303,'[2]App C Share Inflows'!$A$4:$I$917,6,FALSE)</f>
        <v>0</v>
      </c>
    </row>
    <row r="304" spans="1:39">
      <c r="A304" s="351">
        <v>92913</v>
      </c>
      <c r="B304" s="344" t="s">
        <v>996</v>
      </c>
      <c r="C304" s="235" t="e">
        <f>VLOOKUP(A304,#REF!,10,FALSE)</f>
        <v>#REF!</v>
      </c>
      <c r="E304" s="2">
        <f>VLOOKUP($A304,'[2]App C Total'!$A$4:$I$917,5,FALSE)</f>
        <v>46393</v>
      </c>
      <c r="F304" s="2">
        <f>VLOOKUP($A304,'[2]App C Total'!$A$4:$I$917,6,FALSE)</f>
        <v>32002</v>
      </c>
      <c r="G304" s="2">
        <f>VLOOKUP($A304,'[2]App C Total'!$A$4:$I$917,7,FALSE)</f>
        <v>25080</v>
      </c>
      <c r="H304" s="2">
        <f>VLOOKUP($A304,'[2]App C Total'!$A$4:$I$917,8,FALSE)</f>
        <v>12018</v>
      </c>
      <c r="I304" s="2">
        <f>VLOOKUP($A304,'[2]App C Total'!$A$4:$I$917,9,FALSE)</f>
        <v>0</v>
      </c>
      <c r="J304" s="2"/>
      <c r="K304" s="2">
        <f>VLOOKUP($A304,'[2]App C Exp'!$A$4:$I$917,5,FALSE)</f>
        <v>3056</v>
      </c>
      <c r="L304" s="2">
        <f>VLOOKUP($A304,'[2]App C Exp'!$A$4:$I$917,6,FALSE)</f>
        <v>2875</v>
      </c>
      <c r="M304" s="2">
        <f>VLOOKUP($A304,'[2]App C Exp'!$A$4:$I$917,7,FALSE)</f>
        <v>2577</v>
      </c>
      <c r="N304" s="2">
        <f>VLOOKUP($A304,'[2]App C Exp'!$A$4:$I$917,8,FALSE)</f>
        <v>1032</v>
      </c>
      <c r="O304" s="2">
        <f>VLOOKUP($A304,'[2]App C Exp'!$A$4:$I$917,9,FALSE)</f>
        <v>0</v>
      </c>
      <c r="P304" s="2"/>
      <c r="Q304" s="2">
        <f>VLOOKUP($A304,'[2]App C Inv'!$A$4:$I$917,5,FALSE)</f>
        <v>3244</v>
      </c>
      <c r="R304" s="2">
        <f>VLOOKUP($A304,'[2]App C Inv'!$A$4:$I$917,6,FALSE)</f>
        <v>-2791</v>
      </c>
      <c r="S304" s="2">
        <f>VLOOKUP($A304,'[2]App C Inv'!$A$4:$I$917,7,FALSE)</f>
        <v>393</v>
      </c>
      <c r="T304" s="2">
        <f>VLOOKUP($A304,'[2]App C Inv'!$A$4:$I$917,8,FALSE)</f>
        <v>512</v>
      </c>
      <c r="U304" s="2">
        <f>VLOOKUP($A304,'[2]App C Inv'!$A$4:$I$917,9,FALSE)</f>
        <v>0</v>
      </c>
      <c r="V304" s="2"/>
      <c r="W304" s="2">
        <f>VLOOKUP($A304,'[2]App C Assum'!$A$4:$I$917,5,FALSE)</f>
        <v>3655</v>
      </c>
      <c r="X304" s="2">
        <f>VLOOKUP($A304,'[2]App C Assum'!$A$4:$I$917,6,FALSE)</f>
        <v>2994</v>
      </c>
      <c r="Y304" s="2">
        <f>VLOOKUP($A304,'[2]App C Assum'!$A$4:$I$917,7,FALSE)</f>
        <v>2431</v>
      </c>
      <c r="Z304" s="2">
        <f>VLOOKUP($A304,'[2]App C Assum'!$A$4:$I$917,8,FALSE)</f>
        <v>0</v>
      </c>
      <c r="AA304" s="2">
        <f>VLOOKUP($A304,'[2]App C Assum'!$A$4:$I$917,9,FALSE)</f>
        <v>0</v>
      </c>
      <c r="AB304" s="2"/>
      <c r="AC304" s="2">
        <f>VLOOKUP($A304,'[2]App C Share Outflows'!$A$4:$I$917,5,FALSE)</f>
        <v>36438</v>
      </c>
      <c r="AD304" s="2">
        <f>VLOOKUP($A304,'[2]App C Share Outflows'!$A$4:$I$917,6,FALSE)</f>
        <v>28924</v>
      </c>
      <c r="AE304" s="2">
        <f>VLOOKUP($A304,'[2]App C Share Outflows'!$A$4:$I$917,7,FALSE)</f>
        <v>19679</v>
      </c>
      <c r="AF304" s="2">
        <f>VLOOKUP($A304,'[2]App C Share Outflows'!$A$4:$I$917,8,FALSE)</f>
        <v>10474</v>
      </c>
      <c r="AG304" s="2">
        <f>VLOOKUP($A304,'[2]App C Share Outflows'!$A$4:$I$917,9,FALSE)</f>
        <v>0</v>
      </c>
      <c r="AH304" s="2"/>
      <c r="AI304" s="2">
        <f>VLOOKUP($A304,'[2]App C Share Inflows'!$A$4:$I$917,5,FALSE)</f>
        <v>0</v>
      </c>
      <c r="AJ304" s="2">
        <f>VLOOKUP($A304,'[2]App C Share Inflows'!$A$4:$I$917,6,FALSE)</f>
        <v>0</v>
      </c>
      <c r="AK304" s="2">
        <f>VLOOKUP($A304,'[2]App C Share Inflows'!$A$4:$I$917,7,FALSE)</f>
        <v>0</v>
      </c>
      <c r="AL304" s="2">
        <f>VLOOKUP($A304,'[2]App C Share Inflows'!$A$4:$I$917,8,FALSE)</f>
        <v>0</v>
      </c>
      <c r="AM304" s="2">
        <f>VLOOKUP($A304,'[2]App C Share Inflows'!$A$4:$I$917,6,FALSE)</f>
        <v>0</v>
      </c>
    </row>
    <row r="305" spans="1:39">
      <c r="A305" s="351">
        <v>92914</v>
      </c>
      <c r="B305" s="344" t="s">
        <v>997</v>
      </c>
      <c r="C305" s="235" t="e">
        <f>VLOOKUP(A305,#REF!,10,FALSE)</f>
        <v>#REF!</v>
      </c>
      <c r="E305" s="2">
        <f>VLOOKUP($A305,'[2]App C Total'!$A$4:$I$917,5,FALSE)</f>
        <v>16832</v>
      </c>
      <c r="F305" s="2">
        <f>VLOOKUP($A305,'[2]App C Total'!$A$4:$I$917,6,FALSE)</f>
        <v>8235</v>
      </c>
      <c r="G305" s="2">
        <f>VLOOKUP($A305,'[2]App C Total'!$A$4:$I$917,7,FALSE)</f>
        <v>6848</v>
      </c>
      <c r="H305" s="2">
        <f>VLOOKUP($A305,'[2]App C Total'!$A$4:$I$917,8,FALSE)</f>
        <v>2336</v>
      </c>
      <c r="I305" s="2">
        <f>VLOOKUP($A305,'[2]App C Total'!$A$4:$I$917,9,FALSE)</f>
        <v>0</v>
      </c>
      <c r="J305" s="2"/>
      <c r="K305" s="2">
        <f>VLOOKUP($A305,'[2]App C Exp'!$A$4:$I$917,5,FALSE)</f>
        <v>3820</v>
      </c>
      <c r="L305" s="2">
        <f>VLOOKUP($A305,'[2]App C Exp'!$A$4:$I$917,6,FALSE)</f>
        <v>3593</v>
      </c>
      <c r="M305" s="2">
        <f>VLOOKUP($A305,'[2]App C Exp'!$A$4:$I$917,7,FALSE)</f>
        <v>3221</v>
      </c>
      <c r="N305" s="2">
        <f>VLOOKUP($A305,'[2]App C Exp'!$A$4:$I$917,8,FALSE)</f>
        <v>1290</v>
      </c>
      <c r="O305" s="2">
        <f>VLOOKUP($A305,'[2]App C Exp'!$A$4:$I$917,9,FALSE)</f>
        <v>0</v>
      </c>
      <c r="P305" s="2"/>
      <c r="Q305" s="2">
        <f>VLOOKUP($A305,'[2]App C Inv'!$A$4:$I$917,5,FALSE)</f>
        <v>4056</v>
      </c>
      <c r="R305" s="2">
        <f>VLOOKUP($A305,'[2]App C Inv'!$A$4:$I$917,6,FALSE)</f>
        <v>-3489</v>
      </c>
      <c r="S305" s="2">
        <f>VLOOKUP($A305,'[2]App C Inv'!$A$4:$I$917,7,FALSE)</f>
        <v>492</v>
      </c>
      <c r="T305" s="2">
        <f>VLOOKUP($A305,'[2]App C Inv'!$A$4:$I$917,8,FALSE)</f>
        <v>640</v>
      </c>
      <c r="U305" s="2">
        <f>VLOOKUP($A305,'[2]App C Inv'!$A$4:$I$917,9,FALSE)</f>
        <v>0</v>
      </c>
      <c r="V305" s="2"/>
      <c r="W305" s="2">
        <f>VLOOKUP($A305,'[2]App C Assum'!$A$4:$I$917,5,FALSE)</f>
        <v>4569</v>
      </c>
      <c r="X305" s="2">
        <f>VLOOKUP($A305,'[2]App C Assum'!$A$4:$I$917,6,FALSE)</f>
        <v>3743</v>
      </c>
      <c r="Y305" s="2">
        <f>VLOOKUP($A305,'[2]App C Assum'!$A$4:$I$917,7,FALSE)</f>
        <v>3039</v>
      </c>
      <c r="Z305" s="2">
        <f>VLOOKUP($A305,'[2]App C Assum'!$A$4:$I$917,8,FALSE)</f>
        <v>0</v>
      </c>
      <c r="AA305" s="2">
        <f>VLOOKUP($A305,'[2]App C Assum'!$A$4:$I$917,9,FALSE)</f>
        <v>0</v>
      </c>
      <c r="AB305" s="2"/>
      <c r="AC305" s="2">
        <f>VLOOKUP($A305,'[2]App C Share Outflows'!$A$4:$I$917,5,FALSE)</f>
        <v>4699</v>
      </c>
      <c r="AD305" s="2">
        <f>VLOOKUP($A305,'[2]App C Share Outflows'!$A$4:$I$917,6,FALSE)</f>
        <v>4700</v>
      </c>
      <c r="AE305" s="2">
        <f>VLOOKUP($A305,'[2]App C Share Outflows'!$A$4:$I$917,7,FALSE)</f>
        <v>406</v>
      </c>
      <c r="AF305" s="2">
        <f>VLOOKUP($A305,'[2]App C Share Outflows'!$A$4:$I$917,8,FALSE)</f>
        <v>406</v>
      </c>
      <c r="AG305" s="2">
        <f>VLOOKUP($A305,'[2]App C Share Outflows'!$A$4:$I$917,9,FALSE)</f>
        <v>0</v>
      </c>
      <c r="AH305" s="2"/>
      <c r="AI305" s="2">
        <f>VLOOKUP($A305,'[2]App C Share Inflows'!$A$4:$I$917,5,FALSE)</f>
        <v>-312</v>
      </c>
      <c r="AJ305" s="2">
        <f>VLOOKUP($A305,'[2]App C Share Inflows'!$A$4:$I$917,6,FALSE)</f>
        <v>-312</v>
      </c>
      <c r="AK305" s="2">
        <f>VLOOKUP($A305,'[2]App C Share Inflows'!$A$4:$I$917,7,FALSE)</f>
        <v>-310</v>
      </c>
      <c r="AL305" s="2">
        <f>VLOOKUP($A305,'[2]App C Share Inflows'!$A$4:$I$917,8,FALSE)</f>
        <v>0</v>
      </c>
      <c r="AM305" s="2">
        <f>VLOOKUP($A305,'[2]App C Share Inflows'!$A$4:$I$917,6,FALSE)</f>
        <v>-312</v>
      </c>
    </row>
    <row r="306" spans="1:39">
      <c r="A306" s="351">
        <v>92917</v>
      </c>
      <c r="B306" s="344" t="s">
        <v>998</v>
      </c>
      <c r="C306" s="235" t="e">
        <f>VLOOKUP(A306,#REF!,10,FALSE)</f>
        <v>#REF!</v>
      </c>
      <c r="E306" s="2">
        <f>VLOOKUP($A306,'[2]App C Total'!$A$4:$I$917,5,FALSE)</f>
        <v>15431</v>
      </c>
      <c r="F306" s="2">
        <f>VLOOKUP($A306,'[2]App C Total'!$A$4:$I$917,6,FALSE)</f>
        <v>7580</v>
      </c>
      <c r="G306" s="2">
        <f>VLOOKUP($A306,'[2]App C Total'!$A$4:$I$917,7,FALSE)</f>
        <v>8782</v>
      </c>
      <c r="H306" s="2">
        <f>VLOOKUP($A306,'[2]App C Total'!$A$4:$I$917,8,FALSE)</f>
        <v>3276</v>
      </c>
      <c r="I306" s="2">
        <f>VLOOKUP($A306,'[2]App C Total'!$A$4:$I$917,9,FALSE)</f>
        <v>0</v>
      </c>
      <c r="J306" s="2"/>
      <c r="K306" s="2">
        <f>VLOOKUP($A306,'[2]App C Exp'!$A$4:$I$917,5,FALSE)</f>
        <v>2876</v>
      </c>
      <c r="L306" s="2">
        <f>VLOOKUP($A306,'[2]App C Exp'!$A$4:$I$917,6,FALSE)</f>
        <v>2706</v>
      </c>
      <c r="M306" s="2">
        <f>VLOOKUP($A306,'[2]App C Exp'!$A$4:$I$917,7,FALSE)</f>
        <v>2425</v>
      </c>
      <c r="N306" s="2">
        <f>VLOOKUP($A306,'[2]App C Exp'!$A$4:$I$917,8,FALSE)</f>
        <v>971</v>
      </c>
      <c r="O306" s="2">
        <f>VLOOKUP($A306,'[2]App C Exp'!$A$4:$I$917,9,FALSE)</f>
        <v>0</v>
      </c>
      <c r="P306" s="2"/>
      <c r="Q306" s="2">
        <f>VLOOKUP($A306,'[2]App C Inv'!$A$4:$I$917,5,FALSE)</f>
        <v>3054</v>
      </c>
      <c r="R306" s="2">
        <f>VLOOKUP($A306,'[2]App C Inv'!$A$4:$I$917,6,FALSE)</f>
        <v>-2627</v>
      </c>
      <c r="S306" s="2">
        <f>VLOOKUP($A306,'[2]App C Inv'!$A$4:$I$917,7,FALSE)</f>
        <v>370</v>
      </c>
      <c r="T306" s="2">
        <f>VLOOKUP($A306,'[2]App C Inv'!$A$4:$I$917,8,FALSE)</f>
        <v>482</v>
      </c>
      <c r="U306" s="2">
        <f>VLOOKUP($A306,'[2]App C Inv'!$A$4:$I$917,9,FALSE)</f>
        <v>0</v>
      </c>
      <c r="V306" s="2"/>
      <c r="W306" s="2">
        <f>VLOOKUP($A306,'[2]App C Assum'!$A$4:$I$917,5,FALSE)</f>
        <v>3440</v>
      </c>
      <c r="X306" s="2">
        <f>VLOOKUP($A306,'[2]App C Assum'!$A$4:$I$917,6,FALSE)</f>
        <v>2818</v>
      </c>
      <c r="Y306" s="2">
        <f>VLOOKUP($A306,'[2]App C Assum'!$A$4:$I$917,7,FALSE)</f>
        <v>2288</v>
      </c>
      <c r="Z306" s="2">
        <f>VLOOKUP($A306,'[2]App C Assum'!$A$4:$I$917,8,FALSE)</f>
        <v>0</v>
      </c>
      <c r="AA306" s="2">
        <f>VLOOKUP($A306,'[2]App C Assum'!$A$4:$I$917,9,FALSE)</f>
        <v>0</v>
      </c>
      <c r="AB306" s="2"/>
      <c r="AC306" s="2">
        <f>VLOOKUP($A306,'[2]App C Share Outflows'!$A$4:$I$917,5,FALSE)</f>
        <v>6061</v>
      </c>
      <c r="AD306" s="2">
        <f>VLOOKUP($A306,'[2]App C Share Outflows'!$A$4:$I$917,6,FALSE)</f>
        <v>4683</v>
      </c>
      <c r="AE306" s="2">
        <f>VLOOKUP($A306,'[2]App C Share Outflows'!$A$4:$I$917,7,FALSE)</f>
        <v>3699</v>
      </c>
      <c r="AF306" s="2">
        <f>VLOOKUP($A306,'[2]App C Share Outflows'!$A$4:$I$917,8,FALSE)</f>
        <v>1823</v>
      </c>
      <c r="AG306" s="2">
        <f>VLOOKUP($A306,'[2]App C Share Outflows'!$A$4:$I$917,9,FALSE)</f>
        <v>0</v>
      </c>
      <c r="AH306" s="2"/>
      <c r="AI306" s="2">
        <f>VLOOKUP($A306,'[2]App C Share Inflows'!$A$4:$I$917,5,FALSE)</f>
        <v>0</v>
      </c>
      <c r="AJ306" s="2">
        <f>VLOOKUP($A306,'[2]App C Share Inflows'!$A$4:$I$917,6,FALSE)</f>
        <v>0</v>
      </c>
      <c r="AK306" s="2">
        <f>VLOOKUP($A306,'[2]App C Share Inflows'!$A$4:$I$917,7,FALSE)</f>
        <v>0</v>
      </c>
      <c r="AL306" s="2">
        <f>VLOOKUP($A306,'[2]App C Share Inflows'!$A$4:$I$917,8,FALSE)</f>
        <v>0</v>
      </c>
      <c r="AM306" s="2">
        <f>VLOOKUP($A306,'[2]App C Share Inflows'!$A$4:$I$917,6,FALSE)</f>
        <v>0</v>
      </c>
    </row>
    <row r="307" spans="1:39">
      <c r="A307" s="351">
        <v>92921</v>
      </c>
      <c r="B307" s="344" t="s">
        <v>999</v>
      </c>
      <c r="C307" s="235" t="e">
        <f>VLOOKUP(A307,#REF!,10,FALSE)</f>
        <v>#REF!</v>
      </c>
      <c r="E307" s="2">
        <f>VLOOKUP($A307,'[2]App C Total'!$A$4:$I$917,5,FALSE)</f>
        <v>55769</v>
      </c>
      <c r="F307" s="2">
        <f>VLOOKUP($A307,'[2]App C Total'!$A$4:$I$917,6,FALSE)</f>
        <v>23971</v>
      </c>
      <c r="G307" s="2">
        <f>VLOOKUP($A307,'[2]App C Total'!$A$4:$I$917,7,FALSE)</f>
        <v>31656</v>
      </c>
      <c r="H307" s="2">
        <f>VLOOKUP($A307,'[2]App C Total'!$A$4:$I$917,8,FALSE)</f>
        <v>9714</v>
      </c>
      <c r="I307" s="2">
        <f>VLOOKUP($A307,'[2]App C Total'!$A$4:$I$917,9,FALSE)</f>
        <v>0</v>
      </c>
      <c r="J307" s="2"/>
      <c r="K307" s="2">
        <f>VLOOKUP($A307,'[2]App C Exp'!$A$4:$I$917,5,FALSE)</f>
        <v>14471</v>
      </c>
      <c r="L307" s="2">
        <f>VLOOKUP($A307,'[2]App C Exp'!$A$4:$I$917,6,FALSE)</f>
        <v>13613</v>
      </c>
      <c r="M307" s="2">
        <f>VLOOKUP($A307,'[2]App C Exp'!$A$4:$I$917,7,FALSE)</f>
        <v>12201</v>
      </c>
      <c r="N307" s="2">
        <f>VLOOKUP($A307,'[2]App C Exp'!$A$4:$I$917,8,FALSE)</f>
        <v>4885</v>
      </c>
      <c r="O307" s="2">
        <f>VLOOKUP($A307,'[2]App C Exp'!$A$4:$I$917,9,FALSE)</f>
        <v>0</v>
      </c>
      <c r="P307" s="2"/>
      <c r="Q307" s="2">
        <f>VLOOKUP($A307,'[2]App C Inv'!$A$4:$I$917,5,FALSE)</f>
        <v>15363</v>
      </c>
      <c r="R307" s="2">
        <f>VLOOKUP($A307,'[2]App C Inv'!$A$4:$I$917,6,FALSE)</f>
        <v>-13215</v>
      </c>
      <c r="S307" s="2">
        <f>VLOOKUP($A307,'[2]App C Inv'!$A$4:$I$917,7,FALSE)</f>
        <v>1863</v>
      </c>
      <c r="T307" s="2">
        <f>VLOOKUP($A307,'[2]App C Inv'!$A$4:$I$917,8,FALSE)</f>
        <v>2424</v>
      </c>
      <c r="U307" s="2">
        <f>VLOOKUP($A307,'[2]App C Inv'!$A$4:$I$917,9,FALSE)</f>
        <v>0</v>
      </c>
      <c r="V307" s="2"/>
      <c r="W307" s="2">
        <f>VLOOKUP($A307,'[2]App C Assum'!$A$4:$I$917,5,FALSE)</f>
        <v>17307</v>
      </c>
      <c r="X307" s="2">
        <f>VLOOKUP($A307,'[2]App C Assum'!$A$4:$I$917,6,FALSE)</f>
        <v>14179</v>
      </c>
      <c r="Y307" s="2">
        <f>VLOOKUP($A307,'[2]App C Assum'!$A$4:$I$917,7,FALSE)</f>
        <v>11511</v>
      </c>
      <c r="Z307" s="2">
        <f>VLOOKUP($A307,'[2]App C Assum'!$A$4:$I$917,8,FALSE)</f>
        <v>0</v>
      </c>
      <c r="AA307" s="2">
        <f>VLOOKUP($A307,'[2]App C Assum'!$A$4:$I$917,9,FALSE)</f>
        <v>0</v>
      </c>
      <c r="AB307" s="2"/>
      <c r="AC307" s="2">
        <f>VLOOKUP($A307,'[2]App C Share Outflows'!$A$4:$I$917,5,FALSE)</f>
        <v>9394</v>
      </c>
      <c r="AD307" s="2">
        <f>VLOOKUP($A307,'[2]App C Share Outflows'!$A$4:$I$917,6,FALSE)</f>
        <v>9394</v>
      </c>
      <c r="AE307" s="2">
        <f>VLOOKUP($A307,'[2]App C Share Outflows'!$A$4:$I$917,7,FALSE)</f>
        <v>6081</v>
      </c>
      <c r="AF307" s="2">
        <f>VLOOKUP($A307,'[2]App C Share Outflows'!$A$4:$I$917,8,FALSE)</f>
        <v>2405</v>
      </c>
      <c r="AG307" s="2">
        <f>VLOOKUP($A307,'[2]App C Share Outflows'!$A$4:$I$917,9,FALSE)</f>
        <v>0</v>
      </c>
      <c r="AH307" s="2"/>
      <c r="AI307" s="2">
        <f>VLOOKUP($A307,'[2]App C Share Inflows'!$A$4:$I$917,5,FALSE)</f>
        <v>-766</v>
      </c>
      <c r="AJ307" s="2">
        <f>VLOOKUP($A307,'[2]App C Share Inflows'!$A$4:$I$917,6,FALSE)</f>
        <v>0</v>
      </c>
      <c r="AK307" s="2">
        <f>VLOOKUP($A307,'[2]App C Share Inflows'!$A$4:$I$917,7,FALSE)</f>
        <v>0</v>
      </c>
      <c r="AL307" s="2">
        <f>VLOOKUP($A307,'[2]App C Share Inflows'!$A$4:$I$917,8,FALSE)</f>
        <v>0</v>
      </c>
      <c r="AM307" s="2">
        <f>VLOOKUP($A307,'[2]App C Share Inflows'!$A$4:$I$917,6,FALSE)</f>
        <v>0</v>
      </c>
    </row>
    <row r="308" spans="1:39">
      <c r="A308" s="351">
        <v>92931</v>
      </c>
      <c r="B308" s="344" t="s">
        <v>1000</v>
      </c>
      <c r="C308" s="235" t="e">
        <f>VLOOKUP(A308,#REF!,10,FALSE)</f>
        <v>#REF!</v>
      </c>
      <c r="E308" s="2">
        <f>VLOOKUP($A308,'[2]App C Total'!$A$4:$I$917,5,FALSE)</f>
        <v>1022051</v>
      </c>
      <c r="F308" s="2">
        <f>VLOOKUP($A308,'[2]App C Total'!$A$4:$I$917,6,FALSE)</f>
        <v>282763</v>
      </c>
      <c r="G308" s="2">
        <f>VLOOKUP($A308,'[2]App C Total'!$A$4:$I$917,7,FALSE)</f>
        <v>555078</v>
      </c>
      <c r="H308" s="2">
        <f>VLOOKUP($A308,'[2]App C Total'!$A$4:$I$917,8,FALSE)</f>
        <v>122507</v>
      </c>
      <c r="I308" s="2">
        <f>VLOOKUP($A308,'[2]App C Total'!$A$4:$I$917,9,FALSE)</f>
        <v>0</v>
      </c>
      <c r="J308" s="2"/>
      <c r="K308" s="2">
        <f>VLOOKUP($A308,'[2]App C Exp'!$A$4:$I$917,5,FALSE)</f>
        <v>337141</v>
      </c>
      <c r="L308" s="2">
        <f>VLOOKUP($A308,'[2]App C Exp'!$A$4:$I$917,6,FALSE)</f>
        <v>317140</v>
      </c>
      <c r="M308" s="2">
        <f>VLOOKUP($A308,'[2]App C Exp'!$A$4:$I$917,7,FALSE)</f>
        <v>284249</v>
      </c>
      <c r="N308" s="2">
        <f>VLOOKUP($A308,'[2]App C Exp'!$A$4:$I$917,8,FALSE)</f>
        <v>113810</v>
      </c>
      <c r="O308" s="2">
        <f>VLOOKUP($A308,'[2]App C Exp'!$A$4:$I$917,9,FALSE)</f>
        <v>0</v>
      </c>
      <c r="P308" s="2"/>
      <c r="Q308" s="2">
        <f>VLOOKUP($A308,'[2]App C Inv'!$A$4:$I$917,5,FALSE)</f>
        <v>357922</v>
      </c>
      <c r="R308" s="2">
        <f>VLOOKUP($A308,'[2]App C Inv'!$A$4:$I$917,6,FALSE)</f>
        <v>-307880</v>
      </c>
      <c r="S308" s="2">
        <f>VLOOKUP($A308,'[2]App C Inv'!$A$4:$I$917,7,FALSE)</f>
        <v>43392</v>
      </c>
      <c r="T308" s="2">
        <f>VLOOKUP($A308,'[2]App C Inv'!$A$4:$I$917,8,FALSE)</f>
        <v>56474</v>
      </c>
      <c r="U308" s="2">
        <f>VLOOKUP($A308,'[2]App C Inv'!$A$4:$I$917,9,FALSE)</f>
        <v>0</v>
      </c>
      <c r="V308" s="2"/>
      <c r="W308" s="2">
        <f>VLOOKUP($A308,'[2]App C Assum'!$A$4:$I$917,5,FALSE)</f>
        <v>403204</v>
      </c>
      <c r="X308" s="2">
        <f>VLOOKUP($A308,'[2]App C Assum'!$A$4:$I$917,6,FALSE)</f>
        <v>330319</v>
      </c>
      <c r="Y308" s="2">
        <f>VLOOKUP($A308,'[2]App C Assum'!$A$4:$I$917,7,FALSE)</f>
        <v>268163</v>
      </c>
      <c r="Z308" s="2">
        <f>VLOOKUP($A308,'[2]App C Assum'!$A$4:$I$917,8,FALSE)</f>
        <v>0</v>
      </c>
      <c r="AA308" s="2">
        <f>VLOOKUP($A308,'[2]App C Assum'!$A$4:$I$917,9,FALSE)</f>
        <v>0</v>
      </c>
      <c r="AB308" s="2"/>
      <c r="AC308" s="2">
        <f>VLOOKUP($A308,'[2]App C Share Outflows'!$A$4:$I$917,5,FALSE)</f>
        <v>7052</v>
      </c>
      <c r="AD308" s="2">
        <f>VLOOKUP($A308,'[2]App C Share Outflows'!$A$4:$I$917,6,FALSE)</f>
        <v>7052</v>
      </c>
      <c r="AE308" s="2">
        <f>VLOOKUP($A308,'[2]App C Share Outflows'!$A$4:$I$917,7,FALSE)</f>
        <v>7050</v>
      </c>
      <c r="AF308" s="2">
        <f>VLOOKUP($A308,'[2]App C Share Outflows'!$A$4:$I$917,8,FALSE)</f>
        <v>0</v>
      </c>
      <c r="AG308" s="2">
        <f>VLOOKUP($A308,'[2]App C Share Outflows'!$A$4:$I$917,9,FALSE)</f>
        <v>0</v>
      </c>
      <c r="AH308" s="2"/>
      <c r="AI308" s="2">
        <f>VLOOKUP($A308,'[2]App C Share Inflows'!$A$4:$I$917,5,FALSE)</f>
        <v>-83268</v>
      </c>
      <c r="AJ308" s="2">
        <f>VLOOKUP($A308,'[2]App C Share Inflows'!$A$4:$I$917,6,FALSE)</f>
        <v>-63868</v>
      </c>
      <c r="AK308" s="2">
        <f>VLOOKUP($A308,'[2]App C Share Inflows'!$A$4:$I$917,7,FALSE)</f>
        <v>-47776</v>
      </c>
      <c r="AL308" s="2">
        <f>VLOOKUP($A308,'[2]App C Share Inflows'!$A$4:$I$917,8,FALSE)</f>
        <v>-47777</v>
      </c>
      <c r="AM308" s="2">
        <f>VLOOKUP($A308,'[2]App C Share Inflows'!$A$4:$I$917,6,FALSE)</f>
        <v>-63868</v>
      </c>
    </row>
    <row r="309" spans="1:39">
      <c r="A309" s="351">
        <v>92941</v>
      </c>
      <c r="B309" s="344" t="s">
        <v>81</v>
      </c>
      <c r="C309" s="235" t="e">
        <f>VLOOKUP(A309,#REF!,10,FALSE)</f>
        <v>#REF!</v>
      </c>
      <c r="E309" s="2">
        <f>VLOOKUP($A309,'[2]App C Total'!$A$4:$I$917,5,FALSE)</f>
        <v>1409</v>
      </c>
      <c r="F309" s="2">
        <f>VLOOKUP($A309,'[2]App C Total'!$A$4:$I$917,6,FALSE)</f>
        <v>-233</v>
      </c>
      <c r="G309" s="2">
        <f>VLOOKUP($A309,'[2]App C Total'!$A$4:$I$917,7,FALSE)</f>
        <v>689</v>
      </c>
      <c r="H309" s="2">
        <f>VLOOKUP($A309,'[2]App C Total'!$A$4:$I$917,8,FALSE)</f>
        <v>585</v>
      </c>
      <c r="I309" s="2">
        <f>VLOOKUP($A309,'[2]App C Total'!$A$4:$I$917,9,FALSE)</f>
        <v>0</v>
      </c>
      <c r="J309" s="2"/>
      <c r="K309" s="2">
        <f>VLOOKUP($A309,'[2]App C Exp'!$A$4:$I$917,5,FALSE)</f>
        <v>629</v>
      </c>
      <c r="L309" s="2">
        <f>VLOOKUP($A309,'[2]App C Exp'!$A$4:$I$917,6,FALSE)</f>
        <v>592</v>
      </c>
      <c r="M309" s="2">
        <f>VLOOKUP($A309,'[2]App C Exp'!$A$4:$I$917,7,FALSE)</f>
        <v>530</v>
      </c>
      <c r="N309" s="2">
        <f>VLOOKUP($A309,'[2]App C Exp'!$A$4:$I$917,8,FALSE)</f>
        <v>212</v>
      </c>
      <c r="O309" s="2">
        <f>VLOOKUP($A309,'[2]App C Exp'!$A$4:$I$917,9,FALSE)</f>
        <v>0</v>
      </c>
      <c r="P309" s="2"/>
      <c r="Q309" s="2">
        <f>VLOOKUP($A309,'[2]App C Inv'!$A$4:$I$917,5,FALSE)</f>
        <v>668</v>
      </c>
      <c r="R309" s="2">
        <f>VLOOKUP($A309,'[2]App C Inv'!$A$4:$I$917,6,FALSE)</f>
        <v>-575</v>
      </c>
      <c r="S309" s="2">
        <f>VLOOKUP($A309,'[2]App C Inv'!$A$4:$I$917,7,FALSE)</f>
        <v>81</v>
      </c>
      <c r="T309" s="2">
        <f>VLOOKUP($A309,'[2]App C Inv'!$A$4:$I$917,8,FALSE)</f>
        <v>105</v>
      </c>
      <c r="U309" s="2">
        <f>VLOOKUP($A309,'[2]App C Inv'!$A$4:$I$917,9,FALSE)</f>
        <v>0</v>
      </c>
      <c r="V309" s="2"/>
      <c r="W309" s="2">
        <f>VLOOKUP($A309,'[2]App C Assum'!$A$4:$I$917,5,FALSE)</f>
        <v>752</v>
      </c>
      <c r="X309" s="2">
        <f>VLOOKUP($A309,'[2]App C Assum'!$A$4:$I$917,6,FALSE)</f>
        <v>616</v>
      </c>
      <c r="Y309" s="2">
        <f>VLOOKUP($A309,'[2]App C Assum'!$A$4:$I$917,7,FALSE)</f>
        <v>500</v>
      </c>
      <c r="Z309" s="2">
        <f>VLOOKUP($A309,'[2]App C Assum'!$A$4:$I$917,8,FALSE)</f>
        <v>0</v>
      </c>
      <c r="AA309" s="2">
        <f>VLOOKUP($A309,'[2]App C Assum'!$A$4:$I$917,9,FALSE)</f>
        <v>0</v>
      </c>
      <c r="AB309" s="2"/>
      <c r="AC309" s="2">
        <f>VLOOKUP($A309,'[2]App C Share Outflows'!$A$4:$I$917,5,FALSE)</f>
        <v>493</v>
      </c>
      <c r="AD309" s="2">
        <f>VLOOKUP($A309,'[2]App C Share Outflows'!$A$4:$I$917,6,FALSE)</f>
        <v>269</v>
      </c>
      <c r="AE309" s="2">
        <f>VLOOKUP($A309,'[2]App C Share Outflows'!$A$4:$I$917,7,FALSE)</f>
        <v>269</v>
      </c>
      <c r="AF309" s="2">
        <f>VLOOKUP($A309,'[2]App C Share Outflows'!$A$4:$I$917,8,FALSE)</f>
        <v>268</v>
      </c>
      <c r="AG309" s="2">
        <f>VLOOKUP($A309,'[2]App C Share Outflows'!$A$4:$I$917,9,FALSE)</f>
        <v>0</v>
      </c>
      <c r="AH309" s="2"/>
      <c r="AI309" s="2">
        <f>VLOOKUP($A309,'[2]App C Share Inflows'!$A$4:$I$917,5,FALSE)</f>
        <v>-1133</v>
      </c>
      <c r="AJ309" s="2">
        <f>VLOOKUP($A309,'[2]App C Share Inflows'!$A$4:$I$917,6,FALSE)</f>
        <v>-1135</v>
      </c>
      <c r="AK309" s="2">
        <f>VLOOKUP($A309,'[2]App C Share Inflows'!$A$4:$I$917,7,FALSE)</f>
        <v>-691</v>
      </c>
      <c r="AL309" s="2">
        <f>VLOOKUP($A309,'[2]App C Share Inflows'!$A$4:$I$917,8,FALSE)</f>
        <v>0</v>
      </c>
      <c r="AM309" s="2">
        <f>VLOOKUP($A309,'[2]App C Share Inflows'!$A$4:$I$917,6,FALSE)</f>
        <v>-1135</v>
      </c>
    </row>
    <row r="310" spans="1:39">
      <c r="A310" s="351">
        <v>93001</v>
      </c>
      <c r="B310" s="344" t="s">
        <v>1001</v>
      </c>
      <c r="C310" s="235" t="e">
        <f>VLOOKUP(A310,#REF!,10,FALSE)</f>
        <v>#REF!</v>
      </c>
      <c r="E310" s="2">
        <f>VLOOKUP($A310,'[2]App C Total'!$A$4:$I$917,5,FALSE)</f>
        <v>1068457</v>
      </c>
      <c r="F310" s="2">
        <f>VLOOKUP($A310,'[2]App C Total'!$A$4:$I$917,6,FALSE)</f>
        <v>314558</v>
      </c>
      <c r="G310" s="2">
        <f>VLOOKUP($A310,'[2]App C Total'!$A$4:$I$917,7,FALSE)</f>
        <v>587586</v>
      </c>
      <c r="H310" s="2">
        <f>VLOOKUP($A310,'[2]App C Total'!$A$4:$I$917,8,FALSE)</f>
        <v>158789</v>
      </c>
      <c r="I310" s="2">
        <f>VLOOKUP($A310,'[2]App C Total'!$A$4:$I$917,9,FALSE)</f>
        <v>0</v>
      </c>
      <c r="J310" s="2"/>
      <c r="K310" s="2">
        <f>VLOOKUP($A310,'[2]App C Exp'!$A$4:$I$917,5,FALSE)</f>
        <v>337605</v>
      </c>
      <c r="L310" s="2">
        <f>VLOOKUP($A310,'[2]App C Exp'!$A$4:$I$917,6,FALSE)</f>
        <v>317577</v>
      </c>
      <c r="M310" s="2">
        <f>VLOOKUP($A310,'[2]App C Exp'!$A$4:$I$917,7,FALSE)</f>
        <v>284641</v>
      </c>
      <c r="N310" s="2">
        <f>VLOOKUP($A310,'[2]App C Exp'!$A$4:$I$917,8,FALSE)</f>
        <v>113967</v>
      </c>
      <c r="O310" s="2">
        <f>VLOOKUP($A310,'[2]App C Exp'!$A$4:$I$917,9,FALSE)</f>
        <v>0</v>
      </c>
      <c r="P310" s="2"/>
      <c r="Q310" s="2">
        <f>VLOOKUP($A310,'[2]App C Inv'!$A$4:$I$917,5,FALSE)</f>
        <v>358415</v>
      </c>
      <c r="R310" s="2">
        <f>VLOOKUP($A310,'[2]App C Inv'!$A$4:$I$917,6,FALSE)</f>
        <v>-308304</v>
      </c>
      <c r="S310" s="2">
        <f>VLOOKUP($A310,'[2]App C Inv'!$A$4:$I$917,7,FALSE)</f>
        <v>43452</v>
      </c>
      <c r="T310" s="2">
        <f>VLOOKUP($A310,'[2]App C Inv'!$A$4:$I$917,8,FALSE)</f>
        <v>56552</v>
      </c>
      <c r="U310" s="2">
        <f>VLOOKUP($A310,'[2]App C Inv'!$A$4:$I$917,9,FALSE)</f>
        <v>0</v>
      </c>
      <c r="V310" s="2"/>
      <c r="W310" s="2">
        <f>VLOOKUP($A310,'[2]App C Assum'!$A$4:$I$917,5,FALSE)</f>
        <v>403759</v>
      </c>
      <c r="X310" s="2">
        <f>VLOOKUP($A310,'[2]App C Assum'!$A$4:$I$917,6,FALSE)</f>
        <v>330774</v>
      </c>
      <c r="Y310" s="2">
        <f>VLOOKUP($A310,'[2]App C Assum'!$A$4:$I$917,7,FALSE)</f>
        <v>268532</v>
      </c>
      <c r="Z310" s="2">
        <f>VLOOKUP($A310,'[2]App C Assum'!$A$4:$I$917,8,FALSE)</f>
        <v>0</v>
      </c>
      <c r="AA310" s="2">
        <f>VLOOKUP($A310,'[2]App C Assum'!$A$4:$I$917,9,FALSE)</f>
        <v>0</v>
      </c>
      <c r="AB310" s="2"/>
      <c r="AC310" s="2">
        <f>VLOOKUP($A310,'[2]App C Share Outflows'!$A$4:$I$917,5,FALSE)</f>
        <v>2689</v>
      </c>
      <c r="AD310" s="2">
        <f>VLOOKUP($A310,'[2]App C Share Outflows'!$A$4:$I$917,6,FALSE)</f>
        <v>2689</v>
      </c>
      <c r="AE310" s="2">
        <f>VLOOKUP($A310,'[2]App C Share Outflows'!$A$4:$I$917,7,FALSE)</f>
        <v>2690</v>
      </c>
      <c r="AF310" s="2">
        <f>VLOOKUP($A310,'[2]App C Share Outflows'!$A$4:$I$917,8,FALSE)</f>
        <v>0</v>
      </c>
      <c r="AG310" s="2">
        <f>VLOOKUP($A310,'[2]App C Share Outflows'!$A$4:$I$917,9,FALSE)</f>
        <v>0</v>
      </c>
      <c r="AH310" s="2"/>
      <c r="AI310" s="2">
        <f>VLOOKUP($A310,'[2]App C Share Inflows'!$A$4:$I$917,5,FALSE)</f>
        <v>-34011</v>
      </c>
      <c r="AJ310" s="2">
        <f>VLOOKUP($A310,'[2]App C Share Inflows'!$A$4:$I$917,6,FALSE)</f>
        <v>-28178</v>
      </c>
      <c r="AK310" s="2">
        <f>VLOOKUP($A310,'[2]App C Share Inflows'!$A$4:$I$917,7,FALSE)</f>
        <v>-11729</v>
      </c>
      <c r="AL310" s="2">
        <f>VLOOKUP($A310,'[2]App C Share Inflows'!$A$4:$I$917,8,FALSE)</f>
        <v>-11730</v>
      </c>
      <c r="AM310" s="2">
        <f>VLOOKUP($A310,'[2]App C Share Inflows'!$A$4:$I$917,6,FALSE)</f>
        <v>-28178</v>
      </c>
    </row>
    <row r="311" spans="1:39">
      <c r="A311" s="351">
        <v>93009</v>
      </c>
      <c r="B311" s="344" t="s">
        <v>3670</v>
      </c>
      <c r="C311" s="235" t="e">
        <f>VLOOKUP(A311,#REF!,10,FALSE)</f>
        <v>#REF!</v>
      </c>
      <c r="E311" s="2">
        <f>VLOOKUP($A311,'[2]App C Total'!$A$4:$I$917,5,FALSE)</f>
        <v>4642</v>
      </c>
      <c r="F311" s="2">
        <f>VLOOKUP($A311,'[2]App C Total'!$A$4:$I$917,6,FALSE)</f>
        <v>711</v>
      </c>
      <c r="G311" s="2">
        <f>VLOOKUP($A311,'[2]App C Total'!$A$4:$I$917,7,FALSE)</f>
        <v>2562</v>
      </c>
      <c r="H311" s="2">
        <f>VLOOKUP($A311,'[2]App C Total'!$A$4:$I$917,8,FALSE)</f>
        <v>500</v>
      </c>
      <c r="I311" s="2">
        <f>VLOOKUP($A311,'[2]App C Total'!$A$4:$I$917,9,FALSE)</f>
        <v>0</v>
      </c>
      <c r="J311" s="2"/>
      <c r="K311" s="2">
        <f>VLOOKUP($A311,'[2]App C Exp'!$A$4:$I$917,5,FALSE)</f>
        <v>1918</v>
      </c>
      <c r="L311" s="2">
        <f>VLOOKUP($A311,'[2]App C Exp'!$A$4:$I$917,6,FALSE)</f>
        <v>1804</v>
      </c>
      <c r="M311" s="2">
        <f>VLOOKUP($A311,'[2]App C Exp'!$A$4:$I$917,7,FALSE)</f>
        <v>1617</v>
      </c>
      <c r="N311" s="2">
        <f>VLOOKUP($A311,'[2]App C Exp'!$A$4:$I$917,8,FALSE)</f>
        <v>647</v>
      </c>
      <c r="O311" s="2">
        <f>VLOOKUP($A311,'[2]App C Exp'!$A$4:$I$917,9,FALSE)</f>
        <v>0</v>
      </c>
      <c r="P311" s="2"/>
      <c r="Q311" s="2">
        <f>VLOOKUP($A311,'[2]App C Inv'!$A$4:$I$917,5,FALSE)</f>
        <v>2036</v>
      </c>
      <c r="R311" s="2">
        <f>VLOOKUP($A311,'[2]App C Inv'!$A$4:$I$917,6,FALSE)</f>
        <v>-1751</v>
      </c>
      <c r="S311" s="2">
        <f>VLOOKUP($A311,'[2]App C Inv'!$A$4:$I$917,7,FALSE)</f>
        <v>247</v>
      </c>
      <c r="T311" s="2">
        <f>VLOOKUP($A311,'[2]App C Inv'!$A$4:$I$917,8,FALSE)</f>
        <v>321</v>
      </c>
      <c r="U311" s="2">
        <f>VLOOKUP($A311,'[2]App C Inv'!$A$4:$I$917,9,FALSE)</f>
        <v>0</v>
      </c>
      <c r="V311" s="2"/>
      <c r="W311" s="2">
        <f>VLOOKUP($A311,'[2]App C Assum'!$A$4:$I$917,5,FALSE)</f>
        <v>2293</v>
      </c>
      <c r="X311" s="2">
        <f>VLOOKUP($A311,'[2]App C Assum'!$A$4:$I$917,6,FALSE)</f>
        <v>1879</v>
      </c>
      <c r="Y311" s="2">
        <f>VLOOKUP($A311,'[2]App C Assum'!$A$4:$I$917,7,FALSE)</f>
        <v>1525</v>
      </c>
      <c r="Z311" s="2">
        <f>VLOOKUP($A311,'[2]App C Assum'!$A$4:$I$917,8,FALSE)</f>
        <v>0</v>
      </c>
      <c r="AA311" s="2">
        <f>VLOOKUP($A311,'[2]App C Assum'!$A$4:$I$917,9,FALSE)</f>
        <v>0</v>
      </c>
      <c r="AB311" s="2"/>
      <c r="AC311" s="2">
        <f>VLOOKUP($A311,'[2]App C Share Outflows'!$A$4:$I$917,5,FALSE)</f>
        <v>0</v>
      </c>
      <c r="AD311" s="2">
        <f>VLOOKUP($A311,'[2]App C Share Outflows'!$A$4:$I$917,6,FALSE)</f>
        <v>0</v>
      </c>
      <c r="AE311" s="2">
        <f>VLOOKUP($A311,'[2]App C Share Outflows'!$A$4:$I$917,7,FALSE)</f>
        <v>0</v>
      </c>
      <c r="AF311" s="2">
        <f>VLOOKUP($A311,'[2]App C Share Outflows'!$A$4:$I$917,8,FALSE)</f>
        <v>0</v>
      </c>
      <c r="AG311" s="2">
        <f>VLOOKUP($A311,'[2]App C Share Outflows'!$A$4:$I$917,9,FALSE)</f>
        <v>0</v>
      </c>
      <c r="AH311" s="2"/>
      <c r="AI311" s="2">
        <f>VLOOKUP($A311,'[2]App C Share Inflows'!$A$4:$I$917,5,FALSE)</f>
        <v>-1605</v>
      </c>
      <c r="AJ311" s="2">
        <f>VLOOKUP($A311,'[2]App C Share Inflows'!$A$4:$I$917,6,FALSE)</f>
        <v>-1221</v>
      </c>
      <c r="AK311" s="2">
        <f>VLOOKUP($A311,'[2]App C Share Inflows'!$A$4:$I$917,7,FALSE)</f>
        <v>-827</v>
      </c>
      <c r="AL311" s="2">
        <f>VLOOKUP($A311,'[2]App C Share Inflows'!$A$4:$I$917,8,FALSE)</f>
        <v>-468</v>
      </c>
      <c r="AM311" s="2">
        <f>VLOOKUP($A311,'[2]App C Share Inflows'!$A$4:$I$917,6,FALSE)</f>
        <v>-1221</v>
      </c>
    </row>
    <row r="312" spans="1:39">
      <c r="A312" s="351">
        <v>93011</v>
      </c>
      <c r="B312" s="344" t="s">
        <v>1003</v>
      </c>
      <c r="C312" s="235" t="e">
        <f>VLOOKUP(A312,#REF!,10,FALSE)</f>
        <v>#REF!</v>
      </c>
      <c r="E312" s="2">
        <f>VLOOKUP($A312,'[2]App C Total'!$A$4:$I$917,5,FALSE)</f>
        <v>166605</v>
      </c>
      <c r="F312" s="2">
        <f>VLOOKUP($A312,'[2]App C Total'!$A$4:$I$917,6,FALSE)</f>
        <v>63096</v>
      </c>
      <c r="G312" s="2">
        <f>VLOOKUP($A312,'[2]App C Total'!$A$4:$I$917,7,FALSE)</f>
        <v>101227</v>
      </c>
      <c r="H312" s="2">
        <f>VLOOKUP($A312,'[2]App C Total'!$A$4:$I$917,8,FALSE)</f>
        <v>30043</v>
      </c>
      <c r="I312" s="2">
        <f>VLOOKUP($A312,'[2]App C Total'!$A$4:$I$917,9,FALSE)</f>
        <v>0</v>
      </c>
      <c r="J312" s="2"/>
      <c r="K312" s="2">
        <f>VLOOKUP($A312,'[2]App C Exp'!$A$4:$I$917,5,FALSE)</f>
        <v>46305</v>
      </c>
      <c r="L312" s="2">
        <f>VLOOKUP($A312,'[2]App C Exp'!$A$4:$I$917,6,FALSE)</f>
        <v>43558</v>
      </c>
      <c r="M312" s="2">
        <f>VLOOKUP($A312,'[2]App C Exp'!$A$4:$I$917,7,FALSE)</f>
        <v>39041</v>
      </c>
      <c r="N312" s="2">
        <f>VLOOKUP($A312,'[2]App C Exp'!$A$4:$I$917,8,FALSE)</f>
        <v>15631</v>
      </c>
      <c r="O312" s="2">
        <f>VLOOKUP($A312,'[2]App C Exp'!$A$4:$I$917,9,FALSE)</f>
        <v>0</v>
      </c>
      <c r="P312" s="2"/>
      <c r="Q312" s="2">
        <f>VLOOKUP($A312,'[2]App C Inv'!$A$4:$I$917,5,FALSE)</f>
        <v>49160</v>
      </c>
      <c r="R312" s="2">
        <f>VLOOKUP($A312,'[2]App C Inv'!$A$4:$I$917,6,FALSE)</f>
        <v>-42286</v>
      </c>
      <c r="S312" s="2">
        <f>VLOOKUP($A312,'[2]App C Inv'!$A$4:$I$917,7,FALSE)</f>
        <v>5960</v>
      </c>
      <c r="T312" s="2">
        <f>VLOOKUP($A312,'[2]App C Inv'!$A$4:$I$917,8,FALSE)</f>
        <v>7757</v>
      </c>
      <c r="U312" s="2">
        <f>VLOOKUP($A312,'[2]App C Inv'!$A$4:$I$917,9,FALSE)</f>
        <v>0</v>
      </c>
      <c r="V312" s="2"/>
      <c r="W312" s="2">
        <f>VLOOKUP($A312,'[2]App C Assum'!$A$4:$I$917,5,FALSE)</f>
        <v>55379</v>
      </c>
      <c r="X312" s="2">
        <f>VLOOKUP($A312,'[2]App C Assum'!$A$4:$I$917,6,FALSE)</f>
        <v>45368</v>
      </c>
      <c r="Y312" s="2">
        <f>VLOOKUP($A312,'[2]App C Assum'!$A$4:$I$917,7,FALSE)</f>
        <v>36831</v>
      </c>
      <c r="Z312" s="2">
        <f>VLOOKUP($A312,'[2]App C Assum'!$A$4:$I$917,8,FALSE)</f>
        <v>0</v>
      </c>
      <c r="AA312" s="2">
        <f>VLOOKUP($A312,'[2]App C Assum'!$A$4:$I$917,9,FALSE)</f>
        <v>0</v>
      </c>
      <c r="AB312" s="2"/>
      <c r="AC312" s="2">
        <f>VLOOKUP($A312,'[2]App C Share Outflows'!$A$4:$I$917,5,FALSE)</f>
        <v>19395</v>
      </c>
      <c r="AD312" s="2">
        <f>VLOOKUP($A312,'[2]App C Share Outflows'!$A$4:$I$917,6,FALSE)</f>
        <v>19395</v>
      </c>
      <c r="AE312" s="2">
        <f>VLOOKUP($A312,'[2]App C Share Outflows'!$A$4:$I$917,7,FALSE)</f>
        <v>19395</v>
      </c>
      <c r="AF312" s="2">
        <f>VLOOKUP($A312,'[2]App C Share Outflows'!$A$4:$I$917,8,FALSE)</f>
        <v>6655</v>
      </c>
      <c r="AG312" s="2">
        <f>VLOOKUP($A312,'[2]App C Share Outflows'!$A$4:$I$917,9,FALSE)</f>
        <v>0</v>
      </c>
      <c r="AH312" s="2"/>
      <c r="AI312" s="2">
        <f>VLOOKUP($A312,'[2]App C Share Inflows'!$A$4:$I$917,5,FALSE)</f>
        <v>-3634</v>
      </c>
      <c r="AJ312" s="2">
        <f>VLOOKUP($A312,'[2]App C Share Inflows'!$A$4:$I$917,6,FALSE)</f>
        <v>-2939</v>
      </c>
      <c r="AK312" s="2">
        <f>VLOOKUP($A312,'[2]App C Share Inflows'!$A$4:$I$917,7,FALSE)</f>
        <v>0</v>
      </c>
      <c r="AL312" s="2">
        <f>VLOOKUP($A312,'[2]App C Share Inflows'!$A$4:$I$917,8,FALSE)</f>
        <v>0</v>
      </c>
      <c r="AM312" s="2">
        <f>VLOOKUP($A312,'[2]App C Share Inflows'!$A$4:$I$917,6,FALSE)</f>
        <v>-2939</v>
      </c>
    </row>
    <row r="313" spans="1:39">
      <c r="A313" s="351">
        <v>93021</v>
      </c>
      <c r="B313" s="344" t="s">
        <v>1004</v>
      </c>
      <c r="C313" s="235" t="e">
        <f>VLOOKUP(A313,#REF!,10,FALSE)</f>
        <v>#REF!</v>
      </c>
      <c r="E313" s="2">
        <f>VLOOKUP($A313,'[2]App C Total'!$A$4:$I$917,5,FALSE)</f>
        <v>12273</v>
      </c>
      <c r="F313" s="2">
        <f>VLOOKUP($A313,'[2]App C Total'!$A$4:$I$917,6,FALSE)</f>
        <v>3487</v>
      </c>
      <c r="G313" s="2">
        <f>VLOOKUP($A313,'[2]App C Total'!$A$4:$I$917,7,FALSE)</f>
        <v>6610</v>
      </c>
      <c r="H313" s="2">
        <f>VLOOKUP($A313,'[2]App C Total'!$A$4:$I$917,8,FALSE)</f>
        <v>1462</v>
      </c>
      <c r="I313" s="2">
        <f>VLOOKUP($A313,'[2]App C Total'!$A$4:$I$917,9,FALSE)</f>
        <v>0</v>
      </c>
      <c r="J313" s="2"/>
      <c r="K313" s="2">
        <f>VLOOKUP($A313,'[2]App C Exp'!$A$4:$I$917,5,FALSE)</f>
        <v>4569</v>
      </c>
      <c r="L313" s="2">
        <f>VLOOKUP($A313,'[2]App C Exp'!$A$4:$I$917,6,FALSE)</f>
        <v>4298</v>
      </c>
      <c r="M313" s="2">
        <f>VLOOKUP($A313,'[2]App C Exp'!$A$4:$I$917,7,FALSE)</f>
        <v>3852</v>
      </c>
      <c r="N313" s="2">
        <f>VLOOKUP($A313,'[2]App C Exp'!$A$4:$I$917,8,FALSE)</f>
        <v>1542</v>
      </c>
      <c r="O313" s="2">
        <f>VLOOKUP($A313,'[2]App C Exp'!$A$4:$I$917,9,FALSE)</f>
        <v>0</v>
      </c>
      <c r="P313" s="2"/>
      <c r="Q313" s="2">
        <f>VLOOKUP($A313,'[2]App C Inv'!$A$4:$I$917,5,FALSE)</f>
        <v>4851</v>
      </c>
      <c r="R313" s="2">
        <f>VLOOKUP($A313,'[2]App C Inv'!$A$4:$I$917,6,FALSE)</f>
        <v>-4173</v>
      </c>
      <c r="S313" s="2">
        <f>VLOOKUP($A313,'[2]App C Inv'!$A$4:$I$917,7,FALSE)</f>
        <v>588</v>
      </c>
      <c r="T313" s="2">
        <f>VLOOKUP($A313,'[2]App C Inv'!$A$4:$I$917,8,FALSE)</f>
        <v>765</v>
      </c>
      <c r="U313" s="2">
        <f>VLOOKUP($A313,'[2]App C Inv'!$A$4:$I$917,9,FALSE)</f>
        <v>0</v>
      </c>
      <c r="V313" s="2"/>
      <c r="W313" s="2">
        <f>VLOOKUP($A313,'[2]App C Assum'!$A$4:$I$917,5,FALSE)</f>
        <v>5464</v>
      </c>
      <c r="X313" s="2">
        <f>VLOOKUP($A313,'[2]App C Assum'!$A$4:$I$917,6,FALSE)</f>
        <v>4477</v>
      </c>
      <c r="Y313" s="2">
        <f>VLOOKUP($A313,'[2]App C Assum'!$A$4:$I$917,7,FALSE)</f>
        <v>3634</v>
      </c>
      <c r="Z313" s="2">
        <f>VLOOKUP($A313,'[2]App C Assum'!$A$4:$I$917,8,FALSE)</f>
        <v>0</v>
      </c>
      <c r="AA313" s="2">
        <f>VLOOKUP($A313,'[2]App C Assum'!$A$4:$I$917,9,FALSE)</f>
        <v>0</v>
      </c>
      <c r="AB313" s="2"/>
      <c r="AC313" s="2">
        <f>VLOOKUP($A313,'[2]App C Share Outflows'!$A$4:$I$917,5,FALSE)</f>
        <v>347</v>
      </c>
      <c r="AD313" s="2">
        <f>VLOOKUP($A313,'[2]App C Share Outflows'!$A$4:$I$917,6,FALSE)</f>
        <v>347</v>
      </c>
      <c r="AE313" s="2">
        <f>VLOOKUP($A313,'[2]App C Share Outflows'!$A$4:$I$917,7,FALSE)</f>
        <v>0</v>
      </c>
      <c r="AF313" s="2">
        <f>VLOOKUP($A313,'[2]App C Share Outflows'!$A$4:$I$917,8,FALSE)</f>
        <v>0</v>
      </c>
      <c r="AG313" s="2">
        <f>VLOOKUP($A313,'[2]App C Share Outflows'!$A$4:$I$917,9,FALSE)</f>
        <v>0</v>
      </c>
      <c r="AH313" s="2"/>
      <c r="AI313" s="2">
        <f>VLOOKUP($A313,'[2]App C Share Inflows'!$A$4:$I$917,5,FALSE)</f>
        <v>-2958</v>
      </c>
      <c r="AJ313" s="2">
        <f>VLOOKUP($A313,'[2]App C Share Inflows'!$A$4:$I$917,6,FALSE)</f>
        <v>-1462</v>
      </c>
      <c r="AK313" s="2">
        <f>VLOOKUP($A313,'[2]App C Share Inflows'!$A$4:$I$917,7,FALSE)</f>
        <v>-1464</v>
      </c>
      <c r="AL313" s="2">
        <f>VLOOKUP($A313,'[2]App C Share Inflows'!$A$4:$I$917,8,FALSE)</f>
        <v>-845</v>
      </c>
      <c r="AM313" s="2">
        <f>VLOOKUP($A313,'[2]App C Share Inflows'!$A$4:$I$917,6,FALSE)</f>
        <v>-1462</v>
      </c>
    </row>
    <row r="314" spans="1:39">
      <c r="A314" s="351">
        <v>93031</v>
      </c>
      <c r="B314" s="344" t="s">
        <v>1006</v>
      </c>
      <c r="C314" s="235" t="e">
        <f>VLOOKUP(A314,#REF!,10,FALSE)</f>
        <v>#REF!</v>
      </c>
      <c r="E314" s="2">
        <f>VLOOKUP($A314,'[2]App C Total'!$A$4:$I$917,5,FALSE)</f>
        <v>10853</v>
      </c>
      <c r="F314" s="2">
        <f>VLOOKUP($A314,'[2]App C Total'!$A$4:$I$917,6,FALSE)</f>
        <v>5353</v>
      </c>
      <c r="G314" s="2">
        <f>VLOOKUP($A314,'[2]App C Total'!$A$4:$I$917,7,FALSE)</f>
        <v>4261</v>
      </c>
      <c r="H314" s="2">
        <f>VLOOKUP($A314,'[2]App C Total'!$A$4:$I$917,8,FALSE)</f>
        <v>921</v>
      </c>
      <c r="I314" s="2">
        <f>VLOOKUP($A314,'[2]App C Total'!$A$4:$I$917,9,FALSE)</f>
        <v>0</v>
      </c>
      <c r="J314" s="2"/>
      <c r="K314" s="2">
        <f>VLOOKUP($A314,'[2]App C Exp'!$A$4:$I$917,5,FALSE)</f>
        <v>1154</v>
      </c>
      <c r="L314" s="2">
        <f>VLOOKUP($A314,'[2]App C Exp'!$A$4:$I$917,6,FALSE)</f>
        <v>1085</v>
      </c>
      <c r="M314" s="2">
        <f>VLOOKUP($A314,'[2]App C Exp'!$A$4:$I$917,7,FALSE)</f>
        <v>973</v>
      </c>
      <c r="N314" s="2">
        <f>VLOOKUP($A314,'[2]App C Exp'!$A$4:$I$917,8,FALSE)</f>
        <v>389</v>
      </c>
      <c r="O314" s="2">
        <f>VLOOKUP($A314,'[2]App C Exp'!$A$4:$I$917,9,FALSE)</f>
        <v>0</v>
      </c>
      <c r="P314" s="2"/>
      <c r="Q314" s="2">
        <f>VLOOKUP($A314,'[2]App C Inv'!$A$4:$I$917,5,FALSE)</f>
        <v>1225</v>
      </c>
      <c r="R314" s="2">
        <f>VLOOKUP($A314,'[2]App C Inv'!$A$4:$I$917,6,FALSE)</f>
        <v>-1053</v>
      </c>
      <c r="S314" s="2">
        <f>VLOOKUP($A314,'[2]App C Inv'!$A$4:$I$917,7,FALSE)</f>
        <v>148</v>
      </c>
      <c r="T314" s="2">
        <f>VLOOKUP($A314,'[2]App C Inv'!$A$4:$I$917,8,FALSE)</f>
        <v>193</v>
      </c>
      <c r="U314" s="2">
        <f>VLOOKUP($A314,'[2]App C Inv'!$A$4:$I$917,9,FALSE)</f>
        <v>0</v>
      </c>
      <c r="V314" s="2"/>
      <c r="W314" s="2">
        <f>VLOOKUP($A314,'[2]App C Assum'!$A$4:$I$917,5,FALSE)</f>
        <v>1380</v>
      </c>
      <c r="X314" s="2">
        <f>VLOOKUP($A314,'[2]App C Assum'!$A$4:$I$917,6,FALSE)</f>
        <v>1130</v>
      </c>
      <c r="Y314" s="2">
        <f>VLOOKUP($A314,'[2]App C Assum'!$A$4:$I$917,7,FALSE)</f>
        <v>918</v>
      </c>
      <c r="Z314" s="2">
        <f>VLOOKUP($A314,'[2]App C Assum'!$A$4:$I$917,8,FALSE)</f>
        <v>0</v>
      </c>
      <c r="AA314" s="2">
        <f>VLOOKUP($A314,'[2]App C Assum'!$A$4:$I$917,9,FALSE)</f>
        <v>0</v>
      </c>
      <c r="AB314" s="2"/>
      <c r="AC314" s="2">
        <f>VLOOKUP($A314,'[2]App C Share Outflows'!$A$4:$I$917,5,FALSE)</f>
        <v>7094</v>
      </c>
      <c r="AD314" s="2">
        <f>VLOOKUP($A314,'[2]App C Share Outflows'!$A$4:$I$917,6,FALSE)</f>
        <v>4191</v>
      </c>
      <c r="AE314" s="2">
        <f>VLOOKUP($A314,'[2]App C Share Outflows'!$A$4:$I$917,7,FALSE)</f>
        <v>2222</v>
      </c>
      <c r="AF314" s="2">
        <f>VLOOKUP($A314,'[2]App C Share Outflows'!$A$4:$I$917,8,FALSE)</f>
        <v>339</v>
      </c>
      <c r="AG314" s="2">
        <f>VLOOKUP($A314,'[2]App C Share Outflows'!$A$4:$I$917,9,FALSE)</f>
        <v>0</v>
      </c>
      <c r="AH314" s="2"/>
      <c r="AI314" s="2">
        <f>VLOOKUP($A314,'[2]App C Share Inflows'!$A$4:$I$917,5,FALSE)</f>
        <v>0</v>
      </c>
      <c r="AJ314" s="2">
        <f>VLOOKUP($A314,'[2]App C Share Inflows'!$A$4:$I$917,6,FALSE)</f>
        <v>0</v>
      </c>
      <c r="AK314" s="2">
        <f>VLOOKUP($A314,'[2]App C Share Inflows'!$A$4:$I$917,7,FALSE)</f>
        <v>0</v>
      </c>
      <c r="AL314" s="2">
        <f>VLOOKUP($A314,'[2]App C Share Inflows'!$A$4:$I$917,8,FALSE)</f>
        <v>0</v>
      </c>
      <c r="AM314" s="2">
        <f>VLOOKUP($A314,'[2]App C Share Inflows'!$A$4:$I$917,6,FALSE)</f>
        <v>0</v>
      </c>
    </row>
    <row r="315" spans="1:39">
      <c r="A315" s="351">
        <v>93101</v>
      </c>
      <c r="B315" s="344" t="s">
        <v>1007</v>
      </c>
      <c r="C315" s="235" t="e">
        <f>VLOOKUP(A315,#REF!,10,FALSE)</f>
        <v>#REF!</v>
      </c>
      <c r="E315" s="2">
        <f>VLOOKUP($A315,'[2]App C Total'!$A$4:$I$917,5,FALSE)</f>
        <v>1457211</v>
      </c>
      <c r="F315" s="2">
        <f>VLOOKUP($A315,'[2]App C Total'!$A$4:$I$917,6,FALSE)</f>
        <v>371997</v>
      </c>
      <c r="G315" s="2">
        <f>VLOOKUP($A315,'[2]App C Total'!$A$4:$I$917,7,FALSE)</f>
        <v>764189</v>
      </c>
      <c r="H315" s="2">
        <f>VLOOKUP($A315,'[2]App C Total'!$A$4:$I$917,8,FALSE)</f>
        <v>215660</v>
      </c>
      <c r="I315" s="2">
        <f>VLOOKUP($A315,'[2]App C Total'!$A$4:$I$917,9,FALSE)</f>
        <v>0</v>
      </c>
      <c r="J315" s="2"/>
      <c r="K315" s="2">
        <f>VLOOKUP($A315,'[2]App C Exp'!$A$4:$I$917,5,FALSE)</f>
        <v>478109</v>
      </c>
      <c r="L315" s="2">
        <f>VLOOKUP($A315,'[2]App C Exp'!$A$4:$I$917,6,FALSE)</f>
        <v>449746</v>
      </c>
      <c r="M315" s="2">
        <f>VLOOKUP($A315,'[2]App C Exp'!$A$4:$I$917,7,FALSE)</f>
        <v>403102</v>
      </c>
      <c r="N315" s="2">
        <f>VLOOKUP($A315,'[2]App C Exp'!$A$4:$I$917,8,FALSE)</f>
        <v>161397</v>
      </c>
      <c r="O315" s="2">
        <f>VLOOKUP($A315,'[2]App C Exp'!$A$4:$I$917,9,FALSE)</f>
        <v>0</v>
      </c>
      <c r="P315" s="2"/>
      <c r="Q315" s="2">
        <f>VLOOKUP($A315,'[2]App C Inv'!$A$4:$I$917,5,FALSE)</f>
        <v>507579</v>
      </c>
      <c r="R315" s="2">
        <f>VLOOKUP($A315,'[2]App C Inv'!$A$4:$I$917,6,FALSE)</f>
        <v>-436613</v>
      </c>
      <c r="S315" s="2">
        <f>VLOOKUP($A315,'[2]App C Inv'!$A$4:$I$917,7,FALSE)</f>
        <v>61535</v>
      </c>
      <c r="T315" s="2">
        <f>VLOOKUP($A315,'[2]App C Inv'!$A$4:$I$917,8,FALSE)</f>
        <v>80088</v>
      </c>
      <c r="U315" s="2">
        <f>VLOOKUP($A315,'[2]App C Inv'!$A$4:$I$917,9,FALSE)</f>
        <v>0</v>
      </c>
      <c r="V315" s="2"/>
      <c r="W315" s="2">
        <f>VLOOKUP($A315,'[2]App C Assum'!$A$4:$I$917,5,FALSE)</f>
        <v>571796</v>
      </c>
      <c r="X315" s="2">
        <f>VLOOKUP($A315,'[2]App C Assum'!$A$4:$I$917,6,FALSE)</f>
        <v>468436</v>
      </c>
      <c r="Y315" s="2">
        <f>VLOOKUP($A315,'[2]App C Assum'!$A$4:$I$917,7,FALSE)</f>
        <v>380290</v>
      </c>
      <c r="Z315" s="2">
        <f>VLOOKUP($A315,'[2]App C Assum'!$A$4:$I$917,8,FALSE)</f>
        <v>0</v>
      </c>
      <c r="AA315" s="2">
        <f>VLOOKUP($A315,'[2]App C Assum'!$A$4:$I$917,9,FALSE)</f>
        <v>0</v>
      </c>
      <c r="AB315" s="2"/>
      <c r="AC315" s="2">
        <f>VLOOKUP($A315,'[2]App C Share Outflows'!$A$4:$I$917,5,FALSE)</f>
        <v>9298</v>
      </c>
      <c r="AD315" s="2">
        <f>VLOOKUP($A315,'[2]App C Share Outflows'!$A$4:$I$917,6,FALSE)</f>
        <v>0</v>
      </c>
      <c r="AE315" s="2">
        <f>VLOOKUP($A315,'[2]App C Share Outflows'!$A$4:$I$917,7,FALSE)</f>
        <v>0</v>
      </c>
      <c r="AF315" s="2">
        <f>VLOOKUP($A315,'[2]App C Share Outflows'!$A$4:$I$917,8,FALSE)</f>
        <v>0</v>
      </c>
      <c r="AG315" s="2">
        <f>VLOOKUP($A315,'[2]App C Share Outflows'!$A$4:$I$917,9,FALSE)</f>
        <v>0</v>
      </c>
      <c r="AH315" s="2"/>
      <c r="AI315" s="2">
        <f>VLOOKUP($A315,'[2]App C Share Inflows'!$A$4:$I$917,5,FALSE)</f>
        <v>-109571</v>
      </c>
      <c r="AJ315" s="2">
        <f>VLOOKUP($A315,'[2]App C Share Inflows'!$A$4:$I$917,6,FALSE)</f>
        <v>-109572</v>
      </c>
      <c r="AK315" s="2">
        <f>VLOOKUP($A315,'[2]App C Share Inflows'!$A$4:$I$917,7,FALSE)</f>
        <v>-80738</v>
      </c>
      <c r="AL315" s="2">
        <f>VLOOKUP($A315,'[2]App C Share Inflows'!$A$4:$I$917,8,FALSE)</f>
        <v>-25825</v>
      </c>
      <c r="AM315" s="2">
        <f>VLOOKUP($A315,'[2]App C Share Inflows'!$A$4:$I$917,6,FALSE)</f>
        <v>-109572</v>
      </c>
    </row>
    <row r="316" spans="1:39">
      <c r="A316" s="351">
        <v>93103</v>
      </c>
      <c r="B316" s="344" t="s">
        <v>260</v>
      </c>
      <c r="C316" s="235" t="e">
        <f>VLOOKUP(A316,#REF!,10,FALSE)</f>
        <v>#REF!</v>
      </c>
      <c r="E316" s="2">
        <f>VLOOKUP($A316,'[2]App C Total'!$A$4:$I$917,5,FALSE)</f>
        <v>7772</v>
      </c>
      <c r="F316" s="2">
        <f>VLOOKUP($A316,'[2]App C Total'!$A$4:$I$917,6,FALSE)</f>
        <v>774</v>
      </c>
      <c r="G316" s="2">
        <f>VLOOKUP($A316,'[2]App C Total'!$A$4:$I$917,7,FALSE)</f>
        <v>3000</v>
      </c>
      <c r="H316" s="2">
        <f>VLOOKUP($A316,'[2]App C Total'!$A$4:$I$917,8,FALSE)</f>
        <v>553</v>
      </c>
      <c r="I316" s="2">
        <f>VLOOKUP($A316,'[2]App C Total'!$A$4:$I$917,9,FALSE)</f>
        <v>0</v>
      </c>
      <c r="J316" s="2"/>
      <c r="K316" s="2">
        <f>VLOOKUP($A316,'[2]App C Exp'!$A$4:$I$917,5,FALSE)</f>
        <v>2337</v>
      </c>
      <c r="L316" s="2">
        <f>VLOOKUP($A316,'[2]App C Exp'!$A$4:$I$917,6,FALSE)</f>
        <v>2198</v>
      </c>
      <c r="M316" s="2">
        <f>VLOOKUP($A316,'[2]App C Exp'!$A$4:$I$917,7,FALSE)</f>
        <v>1970</v>
      </c>
      <c r="N316" s="2">
        <f>VLOOKUP($A316,'[2]App C Exp'!$A$4:$I$917,8,FALSE)</f>
        <v>789</v>
      </c>
      <c r="O316" s="2">
        <f>VLOOKUP($A316,'[2]App C Exp'!$A$4:$I$917,9,FALSE)</f>
        <v>0</v>
      </c>
      <c r="P316" s="2"/>
      <c r="Q316" s="2">
        <f>VLOOKUP($A316,'[2]App C Inv'!$A$4:$I$917,5,FALSE)</f>
        <v>2481</v>
      </c>
      <c r="R316" s="2">
        <f>VLOOKUP($A316,'[2]App C Inv'!$A$4:$I$917,6,FALSE)</f>
        <v>-2134</v>
      </c>
      <c r="S316" s="2">
        <f>VLOOKUP($A316,'[2]App C Inv'!$A$4:$I$917,7,FALSE)</f>
        <v>301</v>
      </c>
      <c r="T316" s="2">
        <f>VLOOKUP($A316,'[2]App C Inv'!$A$4:$I$917,8,FALSE)</f>
        <v>391</v>
      </c>
      <c r="U316" s="2">
        <f>VLOOKUP($A316,'[2]App C Inv'!$A$4:$I$917,9,FALSE)</f>
        <v>0</v>
      </c>
      <c r="V316" s="2"/>
      <c r="W316" s="2">
        <f>VLOOKUP($A316,'[2]App C Assum'!$A$4:$I$917,5,FALSE)</f>
        <v>2795</v>
      </c>
      <c r="X316" s="2">
        <f>VLOOKUP($A316,'[2]App C Assum'!$A$4:$I$917,6,FALSE)</f>
        <v>2290</v>
      </c>
      <c r="Y316" s="2">
        <f>VLOOKUP($A316,'[2]App C Assum'!$A$4:$I$917,7,FALSE)</f>
        <v>1859</v>
      </c>
      <c r="Z316" s="2">
        <f>VLOOKUP($A316,'[2]App C Assum'!$A$4:$I$917,8,FALSE)</f>
        <v>0</v>
      </c>
      <c r="AA316" s="2">
        <f>VLOOKUP($A316,'[2]App C Assum'!$A$4:$I$917,9,FALSE)</f>
        <v>0</v>
      </c>
      <c r="AB316" s="2"/>
      <c r="AC316" s="2">
        <f>VLOOKUP($A316,'[2]App C Share Outflows'!$A$4:$I$917,5,FALSE)</f>
        <v>1741</v>
      </c>
      <c r="AD316" s="2">
        <f>VLOOKUP($A316,'[2]App C Share Outflows'!$A$4:$I$917,6,FALSE)</f>
        <v>0</v>
      </c>
      <c r="AE316" s="2">
        <f>VLOOKUP($A316,'[2]App C Share Outflows'!$A$4:$I$917,7,FALSE)</f>
        <v>0</v>
      </c>
      <c r="AF316" s="2">
        <f>VLOOKUP($A316,'[2]App C Share Outflows'!$A$4:$I$917,8,FALSE)</f>
        <v>0</v>
      </c>
      <c r="AG316" s="2">
        <f>VLOOKUP($A316,'[2]App C Share Outflows'!$A$4:$I$917,9,FALSE)</f>
        <v>0</v>
      </c>
      <c r="AH316" s="2"/>
      <c r="AI316" s="2">
        <f>VLOOKUP($A316,'[2]App C Share Inflows'!$A$4:$I$917,5,FALSE)</f>
        <v>-1582</v>
      </c>
      <c r="AJ316" s="2">
        <f>VLOOKUP($A316,'[2]App C Share Inflows'!$A$4:$I$917,6,FALSE)</f>
        <v>-1580</v>
      </c>
      <c r="AK316" s="2">
        <f>VLOOKUP($A316,'[2]App C Share Inflows'!$A$4:$I$917,7,FALSE)</f>
        <v>-1130</v>
      </c>
      <c r="AL316" s="2">
        <f>VLOOKUP($A316,'[2]App C Share Inflows'!$A$4:$I$917,8,FALSE)</f>
        <v>-627</v>
      </c>
      <c r="AM316" s="2">
        <f>VLOOKUP($A316,'[2]App C Share Inflows'!$A$4:$I$917,6,FALSE)</f>
        <v>-1580</v>
      </c>
    </row>
    <row r="317" spans="1:39">
      <c r="A317" s="351">
        <v>93108</v>
      </c>
      <c r="B317" s="344" t="s">
        <v>1008</v>
      </c>
      <c r="C317" s="235" t="e">
        <f>VLOOKUP(A317,#REF!,10,FALSE)</f>
        <v>#REF!</v>
      </c>
      <c r="E317" s="2">
        <f>VLOOKUP($A317,'[2]App C Total'!$A$4:$I$917,5,FALSE)</f>
        <v>1059459</v>
      </c>
      <c r="F317" s="2">
        <f>VLOOKUP($A317,'[2]App C Total'!$A$4:$I$917,6,FALSE)</f>
        <v>279939</v>
      </c>
      <c r="G317" s="2">
        <f>VLOOKUP($A317,'[2]App C Total'!$A$4:$I$917,7,FALSE)</f>
        <v>528798</v>
      </c>
      <c r="H317" s="2">
        <f>VLOOKUP($A317,'[2]App C Total'!$A$4:$I$917,8,FALSE)</f>
        <v>145112</v>
      </c>
      <c r="I317" s="2">
        <f>VLOOKUP($A317,'[2]App C Total'!$A$4:$I$917,9,FALSE)</f>
        <v>0</v>
      </c>
      <c r="J317" s="2"/>
      <c r="K317" s="2">
        <f>VLOOKUP($A317,'[2]App C Exp'!$A$4:$I$917,5,FALSE)</f>
        <v>339972</v>
      </c>
      <c r="L317" s="2">
        <f>VLOOKUP($A317,'[2]App C Exp'!$A$4:$I$917,6,FALSE)</f>
        <v>319804</v>
      </c>
      <c r="M317" s="2">
        <f>VLOOKUP($A317,'[2]App C Exp'!$A$4:$I$917,7,FALSE)</f>
        <v>286637</v>
      </c>
      <c r="N317" s="2">
        <f>VLOOKUP($A317,'[2]App C Exp'!$A$4:$I$917,8,FALSE)</f>
        <v>114766</v>
      </c>
      <c r="O317" s="2">
        <f>VLOOKUP($A317,'[2]App C Exp'!$A$4:$I$917,9,FALSE)</f>
        <v>0</v>
      </c>
      <c r="P317" s="2"/>
      <c r="Q317" s="2">
        <f>VLOOKUP($A317,'[2]App C Inv'!$A$4:$I$917,5,FALSE)</f>
        <v>360928</v>
      </c>
      <c r="R317" s="2">
        <f>VLOOKUP($A317,'[2]App C Inv'!$A$4:$I$917,6,FALSE)</f>
        <v>-310465</v>
      </c>
      <c r="S317" s="2">
        <f>VLOOKUP($A317,'[2]App C Inv'!$A$4:$I$917,7,FALSE)</f>
        <v>43756</v>
      </c>
      <c r="T317" s="2">
        <f>VLOOKUP($A317,'[2]App C Inv'!$A$4:$I$917,8,FALSE)</f>
        <v>56948</v>
      </c>
      <c r="U317" s="2">
        <f>VLOOKUP($A317,'[2]App C Inv'!$A$4:$I$917,9,FALSE)</f>
        <v>0</v>
      </c>
      <c r="V317" s="2"/>
      <c r="W317" s="2">
        <f>VLOOKUP($A317,'[2]App C Assum'!$A$4:$I$917,5,FALSE)</f>
        <v>406590</v>
      </c>
      <c r="X317" s="2">
        <f>VLOOKUP($A317,'[2]App C Assum'!$A$4:$I$917,6,FALSE)</f>
        <v>333093</v>
      </c>
      <c r="Y317" s="2">
        <f>VLOOKUP($A317,'[2]App C Assum'!$A$4:$I$917,7,FALSE)</f>
        <v>270415</v>
      </c>
      <c r="Z317" s="2">
        <f>VLOOKUP($A317,'[2]App C Assum'!$A$4:$I$917,8,FALSE)</f>
        <v>0</v>
      </c>
      <c r="AA317" s="2">
        <f>VLOOKUP($A317,'[2]App C Assum'!$A$4:$I$917,9,FALSE)</f>
        <v>0</v>
      </c>
      <c r="AB317" s="2"/>
      <c r="AC317" s="2">
        <f>VLOOKUP($A317,'[2]App C Share Outflows'!$A$4:$I$917,5,FALSE)</f>
        <v>23980</v>
      </c>
      <c r="AD317" s="2">
        <f>VLOOKUP($A317,'[2]App C Share Outflows'!$A$4:$I$917,6,FALSE)</f>
        <v>9518</v>
      </c>
      <c r="AE317" s="2">
        <f>VLOOKUP($A317,'[2]App C Share Outflows'!$A$4:$I$917,7,FALSE)</f>
        <v>0</v>
      </c>
      <c r="AF317" s="2">
        <f>VLOOKUP($A317,'[2]App C Share Outflows'!$A$4:$I$917,8,FALSE)</f>
        <v>0</v>
      </c>
      <c r="AG317" s="2">
        <f>VLOOKUP($A317,'[2]App C Share Outflows'!$A$4:$I$917,9,FALSE)</f>
        <v>0</v>
      </c>
      <c r="AH317" s="2"/>
      <c r="AI317" s="2">
        <f>VLOOKUP($A317,'[2]App C Share Inflows'!$A$4:$I$917,5,FALSE)</f>
        <v>-72011</v>
      </c>
      <c r="AJ317" s="2">
        <f>VLOOKUP($A317,'[2]App C Share Inflows'!$A$4:$I$917,6,FALSE)</f>
        <v>-72011</v>
      </c>
      <c r="AK317" s="2">
        <f>VLOOKUP($A317,'[2]App C Share Inflows'!$A$4:$I$917,7,FALSE)</f>
        <v>-72010</v>
      </c>
      <c r="AL317" s="2">
        <f>VLOOKUP($A317,'[2]App C Share Inflows'!$A$4:$I$917,8,FALSE)</f>
        <v>-26602</v>
      </c>
      <c r="AM317" s="2">
        <f>VLOOKUP($A317,'[2]App C Share Inflows'!$A$4:$I$917,6,FALSE)</f>
        <v>-72011</v>
      </c>
    </row>
    <row r="318" spans="1:39">
      <c r="A318" s="351">
        <v>93111</v>
      </c>
      <c r="B318" s="344" t="s">
        <v>1009</v>
      </c>
      <c r="C318" s="235" t="e">
        <f>VLOOKUP(A318,#REF!,10,FALSE)</f>
        <v>#REF!</v>
      </c>
      <c r="E318" s="2">
        <f>VLOOKUP($A318,'[2]App C Total'!$A$4:$I$917,5,FALSE)</f>
        <v>24461</v>
      </c>
      <c r="F318" s="2">
        <f>VLOOKUP($A318,'[2]App C Total'!$A$4:$I$917,6,FALSE)</f>
        <v>5975</v>
      </c>
      <c r="G318" s="2">
        <f>VLOOKUP($A318,'[2]App C Total'!$A$4:$I$917,7,FALSE)</f>
        <v>14607</v>
      </c>
      <c r="H318" s="2">
        <f>VLOOKUP($A318,'[2]App C Total'!$A$4:$I$917,8,FALSE)</f>
        <v>3450</v>
      </c>
      <c r="I318" s="2">
        <f>VLOOKUP($A318,'[2]App C Total'!$A$4:$I$917,9,FALSE)</f>
        <v>0</v>
      </c>
      <c r="J318" s="2"/>
      <c r="K318" s="2">
        <f>VLOOKUP($A318,'[2]App C Exp'!$A$4:$I$917,5,FALSE)</f>
        <v>8719</v>
      </c>
      <c r="L318" s="2">
        <f>VLOOKUP($A318,'[2]App C Exp'!$A$4:$I$917,6,FALSE)</f>
        <v>8202</v>
      </c>
      <c r="M318" s="2">
        <f>VLOOKUP($A318,'[2]App C Exp'!$A$4:$I$917,7,FALSE)</f>
        <v>7351</v>
      </c>
      <c r="N318" s="2">
        <f>VLOOKUP($A318,'[2]App C Exp'!$A$4:$I$917,8,FALSE)</f>
        <v>2943</v>
      </c>
      <c r="O318" s="2">
        <f>VLOOKUP($A318,'[2]App C Exp'!$A$4:$I$917,9,FALSE)</f>
        <v>0</v>
      </c>
      <c r="P318" s="2"/>
      <c r="Q318" s="2">
        <f>VLOOKUP($A318,'[2]App C Inv'!$A$4:$I$917,5,FALSE)</f>
        <v>9256</v>
      </c>
      <c r="R318" s="2">
        <f>VLOOKUP($A318,'[2]App C Inv'!$A$4:$I$917,6,FALSE)</f>
        <v>-7962</v>
      </c>
      <c r="S318" s="2">
        <f>VLOOKUP($A318,'[2]App C Inv'!$A$4:$I$917,7,FALSE)</f>
        <v>1122</v>
      </c>
      <c r="T318" s="2">
        <f>VLOOKUP($A318,'[2]App C Inv'!$A$4:$I$917,8,FALSE)</f>
        <v>1460</v>
      </c>
      <c r="U318" s="2">
        <f>VLOOKUP($A318,'[2]App C Inv'!$A$4:$I$917,9,FALSE)</f>
        <v>0</v>
      </c>
      <c r="V318" s="2"/>
      <c r="W318" s="2">
        <f>VLOOKUP($A318,'[2]App C Assum'!$A$4:$I$917,5,FALSE)</f>
        <v>10427</v>
      </c>
      <c r="X318" s="2">
        <f>VLOOKUP($A318,'[2]App C Assum'!$A$4:$I$917,6,FALSE)</f>
        <v>8542</v>
      </c>
      <c r="Y318" s="2">
        <f>VLOOKUP($A318,'[2]App C Assum'!$A$4:$I$917,7,FALSE)</f>
        <v>6935</v>
      </c>
      <c r="Z318" s="2">
        <f>VLOOKUP($A318,'[2]App C Assum'!$A$4:$I$917,8,FALSE)</f>
        <v>0</v>
      </c>
      <c r="AA318" s="2">
        <f>VLOOKUP($A318,'[2]App C Assum'!$A$4:$I$917,9,FALSE)</f>
        <v>0</v>
      </c>
      <c r="AB318" s="2"/>
      <c r="AC318" s="2">
        <f>VLOOKUP($A318,'[2]App C Share Outflows'!$A$4:$I$917,5,FALSE)</f>
        <v>152</v>
      </c>
      <c r="AD318" s="2">
        <f>VLOOKUP($A318,'[2]App C Share Outflows'!$A$4:$I$917,6,FALSE)</f>
        <v>152</v>
      </c>
      <c r="AE318" s="2">
        <f>VLOOKUP($A318,'[2]App C Share Outflows'!$A$4:$I$917,7,FALSE)</f>
        <v>153</v>
      </c>
      <c r="AF318" s="2">
        <f>VLOOKUP($A318,'[2]App C Share Outflows'!$A$4:$I$917,8,FALSE)</f>
        <v>0</v>
      </c>
      <c r="AG318" s="2">
        <f>VLOOKUP($A318,'[2]App C Share Outflows'!$A$4:$I$917,9,FALSE)</f>
        <v>0</v>
      </c>
      <c r="AH318" s="2"/>
      <c r="AI318" s="2">
        <f>VLOOKUP($A318,'[2]App C Share Inflows'!$A$4:$I$917,5,FALSE)</f>
        <v>-4093</v>
      </c>
      <c r="AJ318" s="2">
        <f>VLOOKUP($A318,'[2]App C Share Inflows'!$A$4:$I$917,6,FALSE)</f>
        <v>-2959</v>
      </c>
      <c r="AK318" s="2">
        <f>VLOOKUP($A318,'[2]App C Share Inflows'!$A$4:$I$917,7,FALSE)</f>
        <v>-954</v>
      </c>
      <c r="AL318" s="2">
        <f>VLOOKUP($A318,'[2]App C Share Inflows'!$A$4:$I$917,8,FALSE)</f>
        <v>-953</v>
      </c>
      <c r="AM318" s="2">
        <f>VLOOKUP($A318,'[2]App C Share Inflows'!$A$4:$I$917,6,FALSE)</f>
        <v>-2959</v>
      </c>
    </row>
    <row r="319" spans="1:39">
      <c r="A319" s="351">
        <v>93121</v>
      </c>
      <c r="B319" s="344" t="s">
        <v>1010</v>
      </c>
      <c r="C319" s="235" t="e">
        <f>VLOOKUP(A319,#REF!,10,FALSE)</f>
        <v>#REF!</v>
      </c>
      <c r="E319" s="2">
        <f>VLOOKUP($A319,'[2]App C Total'!$A$4:$I$917,5,FALSE)</f>
        <v>30138</v>
      </c>
      <c r="F319" s="2">
        <f>VLOOKUP($A319,'[2]App C Total'!$A$4:$I$917,6,FALSE)</f>
        <v>11472</v>
      </c>
      <c r="G319" s="2">
        <f>VLOOKUP($A319,'[2]App C Total'!$A$4:$I$917,7,FALSE)</f>
        <v>18044</v>
      </c>
      <c r="H319" s="2">
        <f>VLOOKUP($A319,'[2]App C Total'!$A$4:$I$917,8,FALSE)</f>
        <v>6902</v>
      </c>
      <c r="I319" s="2">
        <f>VLOOKUP($A319,'[2]App C Total'!$A$4:$I$917,9,FALSE)</f>
        <v>0</v>
      </c>
      <c r="J319" s="2"/>
      <c r="K319" s="2">
        <f>VLOOKUP($A319,'[2]App C Exp'!$A$4:$I$917,5,FALSE)</f>
        <v>9318</v>
      </c>
      <c r="L319" s="2">
        <f>VLOOKUP($A319,'[2]App C Exp'!$A$4:$I$917,6,FALSE)</f>
        <v>8765</v>
      </c>
      <c r="M319" s="2">
        <f>VLOOKUP($A319,'[2]App C Exp'!$A$4:$I$917,7,FALSE)</f>
        <v>7856</v>
      </c>
      <c r="N319" s="2">
        <f>VLOOKUP($A319,'[2]App C Exp'!$A$4:$I$917,8,FALSE)</f>
        <v>3146</v>
      </c>
      <c r="O319" s="2">
        <f>VLOOKUP($A319,'[2]App C Exp'!$A$4:$I$917,9,FALSE)</f>
        <v>0</v>
      </c>
      <c r="P319" s="2"/>
      <c r="Q319" s="2">
        <f>VLOOKUP($A319,'[2]App C Inv'!$A$4:$I$917,5,FALSE)</f>
        <v>9892</v>
      </c>
      <c r="R319" s="2">
        <f>VLOOKUP($A319,'[2]App C Inv'!$A$4:$I$917,6,FALSE)</f>
        <v>-8509</v>
      </c>
      <c r="S319" s="2">
        <f>VLOOKUP($A319,'[2]App C Inv'!$A$4:$I$917,7,FALSE)</f>
        <v>1199</v>
      </c>
      <c r="T319" s="2">
        <f>VLOOKUP($A319,'[2]App C Inv'!$A$4:$I$917,8,FALSE)</f>
        <v>1561</v>
      </c>
      <c r="U319" s="2">
        <f>VLOOKUP($A319,'[2]App C Inv'!$A$4:$I$917,9,FALSE)</f>
        <v>0</v>
      </c>
      <c r="V319" s="2"/>
      <c r="W319" s="2">
        <f>VLOOKUP($A319,'[2]App C Assum'!$A$4:$I$917,5,FALSE)</f>
        <v>11144</v>
      </c>
      <c r="X319" s="2">
        <f>VLOOKUP($A319,'[2]App C Assum'!$A$4:$I$917,6,FALSE)</f>
        <v>9129</v>
      </c>
      <c r="Y319" s="2">
        <f>VLOOKUP($A319,'[2]App C Assum'!$A$4:$I$917,7,FALSE)</f>
        <v>7412</v>
      </c>
      <c r="Z319" s="2">
        <f>VLOOKUP($A319,'[2]App C Assum'!$A$4:$I$917,8,FALSE)</f>
        <v>0</v>
      </c>
      <c r="AA319" s="2">
        <f>VLOOKUP($A319,'[2]App C Assum'!$A$4:$I$917,9,FALSE)</f>
        <v>0</v>
      </c>
      <c r="AB319" s="2"/>
      <c r="AC319" s="2">
        <f>VLOOKUP($A319,'[2]App C Share Outflows'!$A$4:$I$917,5,FALSE)</f>
        <v>2707</v>
      </c>
      <c r="AD319" s="2">
        <f>VLOOKUP($A319,'[2]App C Share Outflows'!$A$4:$I$917,6,FALSE)</f>
        <v>2706</v>
      </c>
      <c r="AE319" s="2">
        <f>VLOOKUP($A319,'[2]App C Share Outflows'!$A$4:$I$917,7,FALSE)</f>
        <v>2196</v>
      </c>
      <c r="AF319" s="2">
        <f>VLOOKUP($A319,'[2]App C Share Outflows'!$A$4:$I$917,8,FALSE)</f>
        <v>2195</v>
      </c>
      <c r="AG319" s="2">
        <f>VLOOKUP($A319,'[2]App C Share Outflows'!$A$4:$I$917,9,FALSE)</f>
        <v>0</v>
      </c>
      <c r="AH319" s="2"/>
      <c r="AI319" s="2">
        <f>VLOOKUP($A319,'[2]App C Share Inflows'!$A$4:$I$917,5,FALSE)</f>
        <v>-2923</v>
      </c>
      <c r="AJ319" s="2">
        <f>VLOOKUP($A319,'[2]App C Share Inflows'!$A$4:$I$917,6,FALSE)</f>
        <v>-619</v>
      </c>
      <c r="AK319" s="2">
        <f>VLOOKUP($A319,'[2]App C Share Inflows'!$A$4:$I$917,7,FALSE)</f>
        <v>-619</v>
      </c>
      <c r="AL319" s="2">
        <f>VLOOKUP($A319,'[2]App C Share Inflows'!$A$4:$I$917,8,FALSE)</f>
        <v>0</v>
      </c>
      <c r="AM319" s="2">
        <f>VLOOKUP($A319,'[2]App C Share Inflows'!$A$4:$I$917,6,FALSE)</f>
        <v>-619</v>
      </c>
    </row>
    <row r="320" spans="1:39">
      <c r="A320" s="351">
        <v>93127</v>
      </c>
      <c r="B320" s="344" t="s">
        <v>1011</v>
      </c>
      <c r="C320" s="235" t="e">
        <f>VLOOKUP(A320,#REF!,10,FALSE)</f>
        <v>#REF!</v>
      </c>
      <c r="E320" s="2">
        <f>VLOOKUP($A320,'[2]App C Total'!$A$4:$I$917,5,FALSE)</f>
        <v>2555</v>
      </c>
      <c r="F320" s="2">
        <f>VLOOKUP($A320,'[2]App C Total'!$A$4:$I$917,6,FALSE)</f>
        <v>682</v>
      </c>
      <c r="G320" s="2">
        <f>VLOOKUP($A320,'[2]App C Total'!$A$4:$I$917,7,FALSE)</f>
        <v>1321</v>
      </c>
      <c r="H320" s="2">
        <f>VLOOKUP($A320,'[2]App C Total'!$A$4:$I$917,8,FALSE)</f>
        <v>244</v>
      </c>
      <c r="I320" s="2">
        <f>VLOOKUP($A320,'[2]App C Total'!$A$4:$I$917,9,FALSE)</f>
        <v>0</v>
      </c>
      <c r="J320" s="2"/>
      <c r="K320" s="2">
        <f>VLOOKUP($A320,'[2]App C Exp'!$A$4:$I$917,5,FALSE)</f>
        <v>884</v>
      </c>
      <c r="L320" s="2">
        <f>VLOOKUP($A320,'[2]App C Exp'!$A$4:$I$917,6,FALSE)</f>
        <v>831</v>
      </c>
      <c r="M320" s="2">
        <f>VLOOKUP($A320,'[2]App C Exp'!$A$4:$I$917,7,FALSE)</f>
        <v>745</v>
      </c>
      <c r="N320" s="2">
        <f>VLOOKUP($A320,'[2]App C Exp'!$A$4:$I$917,8,FALSE)</f>
        <v>298</v>
      </c>
      <c r="O320" s="2">
        <f>VLOOKUP($A320,'[2]App C Exp'!$A$4:$I$917,9,FALSE)</f>
        <v>0</v>
      </c>
      <c r="P320" s="2"/>
      <c r="Q320" s="2">
        <f>VLOOKUP($A320,'[2]App C Inv'!$A$4:$I$917,5,FALSE)</f>
        <v>938</v>
      </c>
      <c r="R320" s="2">
        <f>VLOOKUP($A320,'[2]App C Inv'!$A$4:$I$917,6,FALSE)</f>
        <v>-807</v>
      </c>
      <c r="S320" s="2">
        <f>VLOOKUP($A320,'[2]App C Inv'!$A$4:$I$917,7,FALSE)</f>
        <v>114</v>
      </c>
      <c r="T320" s="2">
        <f>VLOOKUP($A320,'[2]App C Inv'!$A$4:$I$917,8,FALSE)</f>
        <v>148</v>
      </c>
      <c r="U320" s="2">
        <f>VLOOKUP($A320,'[2]App C Inv'!$A$4:$I$917,9,FALSE)</f>
        <v>0</v>
      </c>
      <c r="V320" s="2"/>
      <c r="W320" s="2">
        <f>VLOOKUP($A320,'[2]App C Assum'!$A$4:$I$917,5,FALSE)</f>
        <v>1057</v>
      </c>
      <c r="X320" s="2">
        <f>VLOOKUP($A320,'[2]App C Assum'!$A$4:$I$917,6,FALSE)</f>
        <v>866</v>
      </c>
      <c r="Y320" s="2">
        <f>VLOOKUP($A320,'[2]App C Assum'!$A$4:$I$917,7,FALSE)</f>
        <v>703</v>
      </c>
      <c r="Z320" s="2">
        <f>VLOOKUP($A320,'[2]App C Assum'!$A$4:$I$917,8,FALSE)</f>
        <v>0</v>
      </c>
      <c r="AA320" s="2">
        <f>VLOOKUP($A320,'[2]App C Assum'!$A$4:$I$917,9,FALSE)</f>
        <v>0</v>
      </c>
      <c r="AB320" s="2"/>
      <c r="AC320" s="2">
        <f>VLOOKUP($A320,'[2]App C Share Outflows'!$A$4:$I$917,5,FALSE)</f>
        <v>31</v>
      </c>
      <c r="AD320" s="2">
        <f>VLOOKUP($A320,'[2]App C Share Outflows'!$A$4:$I$917,6,FALSE)</f>
        <v>31</v>
      </c>
      <c r="AE320" s="2">
        <f>VLOOKUP($A320,'[2]App C Share Outflows'!$A$4:$I$917,7,FALSE)</f>
        <v>0</v>
      </c>
      <c r="AF320" s="2">
        <f>VLOOKUP($A320,'[2]App C Share Outflows'!$A$4:$I$917,8,FALSE)</f>
        <v>0</v>
      </c>
      <c r="AG320" s="2">
        <f>VLOOKUP($A320,'[2]App C Share Outflows'!$A$4:$I$917,9,FALSE)</f>
        <v>0</v>
      </c>
      <c r="AH320" s="2"/>
      <c r="AI320" s="2">
        <f>VLOOKUP($A320,'[2]App C Share Inflows'!$A$4:$I$917,5,FALSE)</f>
        <v>-355</v>
      </c>
      <c r="AJ320" s="2">
        <f>VLOOKUP($A320,'[2]App C Share Inflows'!$A$4:$I$917,6,FALSE)</f>
        <v>-239</v>
      </c>
      <c r="AK320" s="2">
        <f>VLOOKUP($A320,'[2]App C Share Inflows'!$A$4:$I$917,7,FALSE)</f>
        <v>-241</v>
      </c>
      <c r="AL320" s="2">
        <f>VLOOKUP($A320,'[2]App C Share Inflows'!$A$4:$I$917,8,FALSE)</f>
        <v>-202</v>
      </c>
      <c r="AM320" s="2">
        <f>VLOOKUP($A320,'[2]App C Share Inflows'!$A$4:$I$917,6,FALSE)</f>
        <v>-239</v>
      </c>
    </row>
    <row r="321" spans="1:39">
      <c r="A321" s="351">
        <v>93131</v>
      </c>
      <c r="B321" s="344" t="s">
        <v>1012</v>
      </c>
      <c r="C321" s="235" t="e">
        <f>VLOOKUP(A321,#REF!,10,FALSE)</f>
        <v>#REF!</v>
      </c>
      <c r="E321" s="2">
        <f>VLOOKUP($A321,'[2]App C Total'!$A$4:$I$917,5,FALSE)</f>
        <v>72654</v>
      </c>
      <c r="F321" s="2">
        <f>VLOOKUP($A321,'[2]App C Total'!$A$4:$I$917,6,FALSE)</f>
        <v>14067</v>
      </c>
      <c r="G321" s="2">
        <f>VLOOKUP($A321,'[2]App C Total'!$A$4:$I$917,7,FALSE)</f>
        <v>38626</v>
      </c>
      <c r="H321" s="2">
        <f>VLOOKUP($A321,'[2]App C Total'!$A$4:$I$917,8,FALSE)</f>
        <v>9575</v>
      </c>
      <c r="I321" s="2">
        <f>VLOOKUP($A321,'[2]App C Total'!$A$4:$I$917,9,FALSE)</f>
        <v>0</v>
      </c>
      <c r="J321" s="2"/>
      <c r="K321" s="2">
        <f>VLOOKUP($A321,'[2]App C Exp'!$A$4:$I$917,5,FALSE)</f>
        <v>26666</v>
      </c>
      <c r="L321" s="2">
        <f>VLOOKUP($A321,'[2]App C Exp'!$A$4:$I$917,6,FALSE)</f>
        <v>25084</v>
      </c>
      <c r="M321" s="2">
        <f>VLOOKUP($A321,'[2]App C Exp'!$A$4:$I$917,7,FALSE)</f>
        <v>22482</v>
      </c>
      <c r="N321" s="2">
        <f>VLOOKUP($A321,'[2]App C Exp'!$A$4:$I$917,8,FALSE)</f>
        <v>9002</v>
      </c>
      <c r="O321" s="2">
        <f>VLOOKUP($A321,'[2]App C Exp'!$A$4:$I$917,9,FALSE)</f>
        <v>0</v>
      </c>
      <c r="P321" s="2"/>
      <c r="Q321" s="2">
        <f>VLOOKUP($A321,'[2]App C Inv'!$A$4:$I$917,5,FALSE)</f>
        <v>28309</v>
      </c>
      <c r="R321" s="2">
        <f>VLOOKUP($A321,'[2]App C Inv'!$A$4:$I$917,6,FALSE)</f>
        <v>-24351</v>
      </c>
      <c r="S321" s="2">
        <f>VLOOKUP($A321,'[2]App C Inv'!$A$4:$I$917,7,FALSE)</f>
        <v>3432</v>
      </c>
      <c r="T321" s="2">
        <f>VLOOKUP($A321,'[2]App C Inv'!$A$4:$I$917,8,FALSE)</f>
        <v>4467</v>
      </c>
      <c r="U321" s="2">
        <f>VLOOKUP($A321,'[2]App C Inv'!$A$4:$I$917,9,FALSE)</f>
        <v>0</v>
      </c>
      <c r="V321" s="2"/>
      <c r="W321" s="2">
        <f>VLOOKUP($A321,'[2]App C Assum'!$A$4:$I$917,5,FALSE)</f>
        <v>31891</v>
      </c>
      <c r="X321" s="2">
        <f>VLOOKUP($A321,'[2]App C Assum'!$A$4:$I$917,6,FALSE)</f>
        <v>26126</v>
      </c>
      <c r="Y321" s="2">
        <f>VLOOKUP($A321,'[2]App C Assum'!$A$4:$I$917,7,FALSE)</f>
        <v>21210</v>
      </c>
      <c r="Z321" s="2">
        <f>VLOOKUP($A321,'[2]App C Assum'!$A$4:$I$917,8,FALSE)</f>
        <v>0</v>
      </c>
      <c r="AA321" s="2">
        <f>VLOOKUP($A321,'[2]App C Assum'!$A$4:$I$917,9,FALSE)</f>
        <v>0</v>
      </c>
      <c r="AB321" s="2"/>
      <c r="AC321" s="2">
        <f>VLOOKUP($A321,'[2]App C Share Outflows'!$A$4:$I$917,5,FALSE)</f>
        <v>0</v>
      </c>
      <c r="AD321" s="2">
        <f>VLOOKUP($A321,'[2]App C Share Outflows'!$A$4:$I$917,6,FALSE)</f>
        <v>0</v>
      </c>
      <c r="AE321" s="2">
        <f>VLOOKUP($A321,'[2]App C Share Outflows'!$A$4:$I$917,7,FALSE)</f>
        <v>0</v>
      </c>
      <c r="AF321" s="2">
        <f>VLOOKUP($A321,'[2]App C Share Outflows'!$A$4:$I$917,8,FALSE)</f>
        <v>0</v>
      </c>
      <c r="AG321" s="2">
        <f>VLOOKUP($A321,'[2]App C Share Outflows'!$A$4:$I$917,9,FALSE)</f>
        <v>0</v>
      </c>
      <c r="AH321" s="2"/>
      <c r="AI321" s="2">
        <f>VLOOKUP($A321,'[2]App C Share Inflows'!$A$4:$I$917,5,FALSE)</f>
        <v>-14212</v>
      </c>
      <c r="AJ321" s="2">
        <f>VLOOKUP($A321,'[2]App C Share Inflows'!$A$4:$I$917,6,FALSE)</f>
        <v>-12792</v>
      </c>
      <c r="AK321" s="2">
        <f>VLOOKUP($A321,'[2]App C Share Inflows'!$A$4:$I$917,7,FALSE)</f>
        <v>-8498</v>
      </c>
      <c r="AL321" s="2">
        <f>VLOOKUP($A321,'[2]App C Share Inflows'!$A$4:$I$917,8,FALSE)</f>
        <v>-3894</v>
      </c>
      <c r="AM321" s="2">
        <f>VLOOKUP($A321,'[2]App C Share Inflows'!$A$4:$I$917,6,FALSE)</f>
        <v>-12792</v>
      </c>
    </row>
    <row r="322" spans="1:39">
      <c r="A322" s="351">
        <v>93137</v>
      </c>
      <c r="B322" s="344" t="s">
        <v>1013</v>
      </c>
      <c r="C322" s="235" t="e">
        <f>VLOOKUP(A322,#REF!,10,FALSE)</f>
        <v>#REF!</v>
      </c>
      <c r="E322" s="2">
        <f>VLOOKUP($A322,'[2]App C Total'!$A$4:$I$917,5,FALSE)</f>
        <v>3495</v>
      </c>
      <c r="F322" s="2">
        <f>VLOOKUP($A322,'[2]App C Total'!$A$4:$I$917,6,FALSE)</f>
        <v>1685</v>
      </c>
      <c r="G322" s="2">
        <f>VLOOKUP($A322,'[2]App C Total'!$A$4:$I$917,7,FALSE)</f>
        <v>1796</v>
      </c>
      <c r="H322" s="2">
        <f>VLOOKUP($A322,'[2]App C Total'!$A$4:$I$917,8,FALSE)</f>
        <v>498</v>
      </c>
      <c r="I322" s="2">
        <f>VLOOKUP($A322,'[2]App C Total'!$A$4:$I$917,9,FALSE)</f>
        <v>0</v>
      </c>
      <c r="J322" s="2"/>
      <c r="K322" s="2">
        <f>VLOOKUP($A322,'[2]App C Exp'!$A$4:$I$917,5,FALSE)</f>
        <v>719</v>
      </c>
      <c r="L322" s="2">
        <f>VLOOKUP($A322,'[2]App C Exp'!$A$4:$I$917,6,FALSE)</f>
        <v>676</v>
      </c>
      <c r="M322" s="2">
        <f>VLOOKUP($A322,'[2]App C Exp'!$A$4:$I$917,7,FALSE)</f>
        <v>606</v>
      </c>
      <c r="N322" s="2">
        <f>VLOOKUP($A322,'[2]App C Exp'!$A$4:$I$917,8,FALSE)</f>
        <v>243</v>
      </c>
      <c r="O322" s="2">
        <f>VLOOKUP($A322,'[2]App C Exp'!$A$4:$I$917,9,FALSE)</f>
        <v>0</v>
      </c>
      <c r="P322" s="2"/>
      <c r="Q322" s="2">
        <f>VLOOKUP($A322,'[2]App C Inv'!$A$4:$I$917,5,FALSE)</f>
        <v>763</v>
      </c>
      <c r="R322" s="2">
        <f>VLOOKUP($A322,'[2]App C Inv'!$A$4:$I$917,6,FALSE)</f>
        <v>-657</v>
      </c>
      <c r="S322" s="2">
        <f>VLOOKUP($A322,'[2]App C Inv'!$A$4:$I$917,7,FALSE)</f>
        <v>93</v>
      </c>
      <c r="T322" s="2">
        <f>VLOOKUP($A322,'[2]App C Inv'!$A$4:$I$917,8,FALSE)</f>
        <v>120</v>
      </c>
      <c r="U322" s="2">
        <f>VLOOKUP($A322,'[2]App C Inv'!$A$4:$I$917,9,FALSE)</f>
        <v>0</v>
      </c>
      <c r="V322" s="2"/>
      <c r="W322" s="2">
        <f>VLOOKUP($A322,'[2]App C Assum'!$A$4:$I$917,5,FALSE)</f>
        <v>860</v>
      </c>
      <c r="X322" s="2">
        <f>VLOOKUP($A322,'[2]App C Assum'!$A$4:$I$917,6,FALSE)</f>
        <v>705</v>
      </c>
      <c r="Y322" s="2">
        <f>VLOOKUP($A322,'[2]App C Assum'!$A$4:$I$917,7,FALSE)</f>
        <v>572</v>
      </c>
      <c r="Z322" s="2">
        <f>VLOOKUP($A322,'[2]App C Assum'!$A$4:$I$917,8,FALSE)</f>
        <v>0</v>
      </c>
      <c r="AA322" s="2">
        <f>VLOOKUP($A322,'[2]App C Assum'!$A$4:$I$917,9,FALSE)</f>
        <v>0</v>
      </c>
      <c r="AB322" s="2"/>
      <c r="AC322" s="2">
        <f>VLOOKUP($A322,'[2]App C Share Outflows'!$A$4:$I$917,5,FALSE)</f>
        <v>1153</v>
      </c>
      <c r="AD322" s="2">
        <f>VLOOKUP($A322,'[2]App C Share Outflows'!$A$4:$I$917,6,FALSE)</f>
        <v>961</v>
      </c>
      <c r="AE322" s="2">
        <f>VLOOKUP($A322,'[2]App C Share Outflows'!$A$4:$I$917,7,FALSE)</f>
        <v>525</v>
      </c>
      <c r="AF322" s="2">
        <f>VLOOKUP($A322,'[2]App C Share Outflows'!$A$4:$I$917,8,FALSE)</f>
        <v>135</v>
      </c>
      <c r="AG322" s="2">
        <f>VLOOKUP($A322,'[2]App C Share Outflows'!$A$4:$I$917,9,FALSE)</f>
        <v>0</v>
      </c>
      <c r="AH322" s="2"/>
      <c r="AI322" s="2">
        <f>VLOOKUP($A322,'[2]App C Share Inflows'!$A$4:$I$917,5,FALSE)</f>
        <v>0</v>
      </c>
      <c r="AJ322" s="2">
        <f>VLOOKUP($A322,'[2]App C Share Inflows'!$A$4:$I$917,6,FALSE)</f>
        <v>0</v>
      </c>
      <c r="AK322" s="2">
        <f>VLOOKUP($A322,'[2]App C Share Inflows'!$A$4:$I$917,7,FALSE)</f>
        <v>0</v>
      </c>
      <c r="AL322" s="2">
        <f>VLOOKUP($A322,'[2]App C Share Inflows'!$A$4:$I$917,8,FALSE)</f>
        <v>0</v>
      </c>
      <c r="AM322" s="2">
        <f>VLOOKUP($A322,'[2]App C Share Inflows'!$A$4:$I$917,6,FALSE)</f>
        <v>0</v>
      </c>
    </row>
    <row r="323" spans="1:39">
      <c r="A323" s="351">
        <v>93141</v>
      </c>
      <c r="B323" s="344" t="s">
        <v>1014</v>
      </c>
      <c r="C323" s="235" t="e">
        <f>VLOOKUP(A323,#REF!,10,FALSE)</f>
        <v>#REF!</v>
      </c>
      <c r="E323" s="2">
        <f>VLOOKUP($A323,'[2]App C Total'!$A$4:$I$917,5,FALSE)</f>
        <v>13277</v>
      </c>
      <c r="F323" s="2">
        <f>VLOOKUP($A323,'[2]App C Total'!$A$4:$I$917,6,FALSE)</f>
        <v>2456</v>
      </c>
      <c r="G323" s="2">
        <f>VLOOKUP($A323,'[2]App C Total'!$A$4:$I$917,7,FALSE)</f>
        <v>7430</v>
      </c>
      <c r="H323" s="2">
        <f>VLOOKUP($A323,'[2]App C Total'!$A$4:$I$917,8,FALSE)</f>
        <v>2800</v>
      </c>
      <c r="I323" s="2">
        <f>VLOOKUP($A323,'[2]App C Total'!$A$4:$I$917,9,FALSE)</f>
        <v>0</v>
      </c>
      <c r="J323" s="2"/>
      <c r="K323" s="2">
        <f>VLOOKUP($A323,'[2]App C Exp'!$A$4:$I$917,5,FALSE)</f>
        <v>4869</v>
      </c>
      <c r="L323" s="2">
        <f>VLOOKUP($A323,'[2]App C Exp'!$A$4:$I$917,6,FALSE)</f>
        <v>4580</v>
      </c>
      <c r="M323" s="2">
        <f>VLOOKUP($A323,'[2]App C Exp'!$A$4:$I$917,7,FALSE)</f>
        <v>4105</v>
      </c>
      <c r="N323" s="2">
        <f>VLOOKUP($A323,'[2]App C Exp'!$A$4:$I$917,8,FALSE)</f>
        <v>1644</v>
      </c>
      <c r="O323" s="2">
        <f>VLOOKUP($A323,'[2]App C Exp'!$A$4:$I$917,9,FALSE)</f>
        <v>0</v>
      </c>
      <c r="P323" s="2"/>
      <c r="Q323" s="2">
        <f>VLOOKUP($A323,'[2]App C Inv'!$A$4:$I$917,5,FALSE)</f>
        <v>5169</v>
      </c>
      <c r="R323" s="2">
        <f>VLOOKUP($A323,'[2]App C Inv'!$A$4:$I$917,6,FALSE)</f>
        <v>-4446</v>
      </c>
      <c r="S323" s="2">
        <f>VLOOKUP($A323,'[2]App C Inv'!$A$4:$I$917,7,FALSE)</f>
        <v>627</v>
      </c>
      <c r="T323" s="2">
        <f>VLOOKUP($A323,'[2]App C Inv'!$A$4:$I$917,8,FALSE)</f>
        <v>816</v>
      </c>
      <c r="U323" s="2">
        <f>VLOOKUP($A323,'[2]App C Inv'!$A$4:$I$917,9,FALSE)</f>
        <v>0</v>
      </c>
      <c r="V323" s="2"/>
      <c r="W323" s="2">
        <f>VLOOKUP($A323,'[2]App C Assum'!$A$4:$I$917,5,FALSE)</f>
        <v>5823</v>
      </c>
      <c r="X323" s="2">
        <f>VLOOKUP($A323,'[2]App C Assum'!$A$4:$I$917,6,FALSE)</f>
        <v>4770</v>
      </c>
      <c r="Y323" s="2">
        <f>VLOOKUP($A323,'[2]App C Assum'!$A$4:$I$917,7,FALSE)</f>
        <v>3873</v>
      </c>
      <c r="Z323" s="2">
        <f>VLOOKUP($A323,'[2]App C Assum'!$A$4:$I$917,8,FALSE)</f>
        <v>0</v>
      </c>
      <c r="AA323" s="2">
        <f>VLOOKUP($A323,'[2]App C Assum'!$A$4:$I$917,9,FALSE)</f>
        <v>0</v>
      </c>
      <c r="AB323" s="2"/>
      <c r="AC323" s="2">
        <f>VLOOKUP($A323,'[2]App C Share Outflows'!$A$4:$I$917,5,FALSE)</f>
        <v>342</v>
      </c>
      <c r="AD323" s="2">
        <f>VLOOKUP($A323,'[2]App C Share Outflows'!$A$4:$I$917,6,FALSE)</f>
        <v>342</v>
      </c>
      <c r="AE323" s="2">
        <f>VLOOKUP($A323,'[2]App C Share Outflows'!$A$4:$I$917,7,FALSE)</f>
        <v>342</v>
      </c>
      <c r="AF323" s="2">
        <f>VLOOKUP($A323,'[2]App C Share Outflows'!$A$4:$I$917,8,FALSE)</f>
        <v>340</v>
      </c>
      <c r="AG323" s="2">
        <f>VLOOKUP($A323,'[2]App C Share Outflows'!$A$4:$I$917,9,FALSE)</f>
        <v>0</v>
      </c>
      <c r="AH323" s="2"/>
      <c r="AI323" s="2">
        <f>VLOOKUP($A323,'[2]App C Share Inflows'!$A$4:$I$917,5,FALSE)</f>
        <v>-2926</v>
      </c>
      <c r="AJ323" s="2">
        <f>VLOOKUP($A323,'[2]App C Share Inflows'!$A$4:$I$917,6,FALSE)</f>
        <v>-2790</v>
      </c>
      <c r="AK323" s="2">
        <f>VLOOKUP($A323,'[2]App C Share Inflows'!$A$4:$I$917,7,FALSE)</f>
        <v>-1517</v>
      </c>
      <c r="AL323" s="2">
        <f>VLOOKUP($A323,'[2]App C Share Inflows'!$A$4:$I$917,8,FALSE)</f>
        <v>0</v>
      </c>
      <c r="AM323" s="2">
        <f>VLOOKUP($A323,'[2]App C Share Inflows'!$A$4:$I$917,6,FALSE)</f>
        <v>-2790</v>
      </c>
    </row>
    <row r="324" spans="1:39">
      <c r="A324" s="351">
        <v>93151</v>
      </c>
      <c r="B324" s="344" t="s">
        <v>1015</v>
      </c>
      <c r="C324" s="235" t="e">
        <f>VLOOKUP(A324,#REF!,10,FALSE)</f>
        <v>#REF!</v>
      </c>
      <c r="E324" s="2">
        <f>VLOOKUP($A324,'[2]App C Total'!$A$4:$I$917,5,FALSE)</f>
        <v>177934</v>
      </c>
      <c r="F324" s="2">
        <f>VLOOKUP($A324,'[2]App C Total'!$A$4:$I$917,6,FALSE)</f>
        <v>53551</v>
      </c>
      <c r="G324" s="2">
        <f>VLOOKUP($A324,'[2]App C Total'!$A$4:$I$917,7,FALSE)</f>
        <v>99816</v>
      </c>
      <c r="H324" s="2">
        <f>VLOOKUP($A324,'[2]App C Total'!$A$4:$I$917,8,FALSE)</f>
        <v>32579</v>
      </c>
      <c r="I324" s="2">
        <f>VLOOKUP($A324,'[2]App C Total'!$A$4:$I$917,9,FALSE)</f>
        <v>0</v>
      </c>
      <c r="J324" s="2"/>
      <c r="K324" s="2">
        <f>VLOOKUP($A324,'[2]App C Exp'!$A$4:$I$917,5,FALSE)</f>
        <v>55578</v>
      </c>
      <c r="L324" s="2">
        <f>VLOOKUP($A324,'[2]App C Exp'!$A$4:$I$917,6,FALSE)</f>
        <v>52281</v>
      </c>
      <c r="M324" s="2">
        <f>VLOOKUP($A324,'[2]App C Exp'!$A$4:$I$917,7,FALSE)</f>
        <v>46859</v>
      </c>
      <c r="N324" s="2">
        <f>VLOOKUP($A324,'[2]App C Exp'!$A$4:$I$917,8,FALSE)</f>
        <v>18762</v>
      </c>
      <c r="O324" s="2">
        <f>VLOOKUP($A324,'[2]App C Exp'!$A$4:$I$917,9,FALSE)</f>
        <v>0</v>
      </c>
      <c r="P324" s="2"/>
      <c r="Q324" s="2">
        <f>VLOOKUP($A324,'[2]App C Inv'!$A$4:$I$917,5,FALSE)</f>
        <v>59004</v>
      </c>
      <c r="R324" s="2">
        <f>VLOOKUP($A324,'[2]App C Inv'!$A$4:$I$917,6,FALSE)</f>
        <v>-50755</v>
      </c>
      <c r="S324" s="2">
        <f>VLOOKUP($A324,'[2]App C Inv'!$A$4:$I$917,7,FALSE)</f>
        <v>7153</v>
      </c>
      <c r="T324" s="2">
        <f>VLOOKUP($A324,'[2]App C Inv'!$A$4:$I$917,8,FALSE)</f>
        <v>9310</v>
      </c>
      <c r="U324" s="2">
        <f>VLOOKUP($A324,'[2]App C Inv'!$A$4:$I$917,9,FALSE)</f>
        <v>0</v>
      </c>
      <c r="V324" s="2"/>
      <c r="W324" s="2">
        <f>VLOOKUP($A324,'[2]App C Assum'!$A$4:$I$917,5,FALSE)</f>
        <v>66469</v>
      </c>
      <c r="X324" s="2">
        <f>VLOOKUP($A324,'[2]App C Assum'!$A$4:$I$917,6,FALSE)</f>
        <v>54454</v>
      </c>
      <c r="Y324" s="2">
        <f>VLOOKUP($A324,'[2]App C Assum'!$A$4:$I$917,7,FALSE)</f>
        <v>44207</v>
      </c>
      <c r="Z324" s="2">
        <f>VLOOKUP($A324,'[2]App C Assum'!$A$4:$I$917,8,FALSE)</f>
        <v>0</v>
      </c>
      <c r="AA324" s="2">
        <f>VLOOKUP($A324,'[2]App C Assum'!$A$4:$I$917,9,FALSE)</f>
        <v>0</v>
      </c>
      <c r="AB324" s="2"/>
      <c r="AC324" s="2">
        <f>VLOOKUP($A324,'[2]App C Share Outflows'!$A$4:$I$917,5,FALSE)</f>
        <v>4505</v>
      </c>
      <c r="AD324" s="2">
        <f>VLOOKUP($A324,'[2]App C Share Outflows'!$A$4:$I$917,6,FALSE)</f>
        <v>4505</v>
      </c>
      <c r="AE324" s="2">
        <f>VLOOKUP($A324,'[2]App C Share Outflows'!$A$4:$I$917,7,FALSE)</f>
        <v>4505</v>
      </c>
      <c r="AF324" s="2">
        <f>VLOOKUP($A324,'[2]App C Share Outflows'!$A$4:$I$917,8,FALSE)</f>
        <v>4507</v>
      </c>
      <c r="AG324" s="2">
        <f>VLOOKUP($A324,'[2]App C Share Outflows'!$A$4:$I$917,9,FALSE)</f>
        <v>0</v>
      </c>
      <c r="AH324" s="2"/>
      <c r="AI324" s="2">
        <f>VLOOKUP($A324,'[2]App C Share Inflows'!$A$4:$I$917,5,FALSE)</f>
        <v>-7622</v>
      </c>
      <c r="AJ324" s="2">
        <f>VLOOKUP($A324,'[2]App C Share Inflows'!$A$4:$I$917,6,FALSE)</f>
        <v>-6934</v>
      </c>
      <c r="AK324" s="2">
        <f>VLOOKUP($A324,'[2]App C Share Inflows'!$A$4:$I$917,7,FALSE)</f>
        <v>-2908</v>
      </c>
      <c r="AL324" s="2">
        <f>VLOOKUP($A324,'[2]App C Share Inflows'!$A$4:$I$917,8,FALSE)</f>
        <v>0</v>
      </c>
      <c r="AM324" s="2">
        <f>VLOOKUP($A324,'[2]App C Share Inflows'!$A$4:$I$917,6,FALSE)</f>
        <v>-6934</v>
      </c>
    </row>
    <row r="325" spans="1:39">
      <c r="A325" s="351">
        <v>93157</v>
      </c>
      <c r="B325" s="344" t="s">
        <v>3671</v>
      </c>
      <c r="C325" s="235" t="e">
        <f>VLOOKUP(A325,#REF!,10,FALSE)</f>
        <v>#REF!</v>
      </c>
      <c r="E325" s="2">
        <f>VLOOKUP($A325,'[2]App C Total'!$A$4:$I$917,5,FALSE)</f>
        <v>7840</v>
      </c>
      <c r="F325" s="2">
        <f>VLOOKUP($A325,'[2]App C Total'!$A$4:$I$917,6,FALSE)</f>
        <v>4512</v>
      </c>
      <c r="G325" s="2">
        <f>VLOOKUP($A325,'[2]App C Total'!$A$4:$I$917,7,FALSE)</f>
        <v>4568</v>
      </c>
      <c r="H325" s="2">
        <f>VLOOKUP($A325,'[2]App C Total'!$A$4:$I$917,8,FALSE)</f>
        <v>2071</v>
      </c>
      <c r="I325" s="2">
        <f>VLOOKUP($A325,'[2]App C Total'!$A$4:$I$917,9,FALSE)</f>
        <v>0</v>
      </c>
      <c r="J325" s="2"/>
      <c r="K325" s="2">
        <f>VLOOKUP($A325,'[2]App C Exp'!$A$4:$I$917,5,FALSE)</f>
        <v>1183</v>
      </c>
      <c r="L325" s="2">
        <f>VLOOKUP($A325,'[2]App C Exp'!$A$4:$I$917,6,FALSE)</f>
        <v>1113</v>
      </c>
      <c r="M325" s="2">
        <f>VLOOKUP($A325,'[2]App C Exp'!$A$4:$I$917,7,FALSE)</f>
        <v>998</v>
      </c>
      <c r="N325" s="2">
        <f>VLOOKUP($A325,'[2]App C Exp'!$A$4:$I$917,8,FALSE)</f>
        <v>400</v>
      </c>
      <c r="O325" s="2">
        <f>VLOOKUP($A325,'[2]App C Exp'!$A$4:$I$917,9,FALSE)</f>
        <v>0</v>
      </c>
      <c r="P325" s="2"/>
      <c r="Q325" s="2">
        <f>VLOOKUP($A325,'[2]App C Inv'!$A$4:$I$917,5,FALSE)</f>
        <v>1256</v>
      </c>
      <c r="R325" s="2">
        <f>VLOOKUP($A325,'[2]App C Inv'!$A$4:$I$917,6,FALSE)</f>
        <v>-1081</v>
      </c>
      <c r="S325" s="2">
        <f>VLOOKUP($A325,'[2]App C Inv'!$A$4:$I$917,7,FALSE)</f>
        <v>152</v>
      </c>
      <c r="T325" s="2">
        <f>VLOOKUP($A325,'[2]App C Inv'!$A$4:$I$917,8,FALSE)</f>
        <v>198</v>
      </c>
      <c r="U325" s="2">
        <f>VLOOKUP($A325,'[2]App C Inv'!$A$4:$I$917,9,FALSE)</f>
        <v>0</v>
      </c>
      <c r="V325" s="2"/>
      <c r="W325" s="2">
        <f>VLOOKUP($A325,'[2]App C Assum'!$A$4:$I$917,5,FALSE)</f>
        <v>1415</v>
      </c>
      <c r="X325" s="2">
        <f>VLOOKUP($A325,'[2]App C Assum'!$A$4:$I$917,6,FALSE)</f>
        <v>1160</v>
      </c>
      <c r="Y325" s="2">
        <f>VLOOKUP($A325,'[2]App C Assum'!$A$4:$I$917,7,FALSE)</f>
        <v>941</v>
      </c>
      <c r="Z325" s="2">
        <f>VLOOKUP($A325,'[2]App C Assum'!$A$4:$I$917,8,FALSE)</f>
        <v>0</v>
      </c>
      <c r="AA325" s="2">
        <f>VLOOKUP($A325,'[2]App C Assum'!$A$4:$I$917,9,FALSE)</f>
        <v>0</v>
      </c>
      <c r="AB325" s="2"/>
      <c r="AC325" s="2">
        <f>VLOOKUP($A325,'[2]App C Share Outflows'!$A$4:$I$917,5,FALSE)</f>
        <v>3986</v>
      </c>
      <c r="AD325" s="2">
        <f>VLOOKUP($A325,'[2]App C Share Outflows'!$A$4:$I$917,6,FALSE)</f>
        <v>3320</v>
      </c>
      <c r="AE325" s="2">
        <f>VLOOKUP($A325,'[2]App C Share Outflows'!$A$4:$I$917,7,FALSE)</f>
        <v>2477</v>
      </c>
      <c r="AF325" s="2">
        <f>VLOOKUP($A325,'[2]App C Share Outflows'!$A$4:$I$917,8,FALSE)</f>
        <v>1473</v>
      </c>
      <c r="AG325" s="2">
        <f>VLOOKUP($A325,'[2]App C Share Outflows'!$A$4:$I$917,9,FALSE)</f>
        <v>0</v>
      </c>
      <c r="AH325" s="2"/>
      <c r="AI325" s="2">
        <f>VLOOKUP($A325,'[2]App C Share Inflows'!$A$4:$I$917,5,FALSE)</f>
        <v>0</v>
      </c>
      <c r="AJ325" s="2">
        <f>VLOOKUP($A325,'[2]App C Share Inflows'!$A$4:$I$917,6,FALSE)</f>
        <v>0</v>
      </c>
      <c r="AK325" s="2">
        <f>VLOOKUP($A325,'[2]App C Share Inflows'!$A$4:$I$917,7,FALSE)</f>
        <v>0</v>
      </c>
      <c r="AL325" s="2">
        <f>VLOOKUP($A325,'[2]App C Share Inflows'!$A$4:$I$917,8,FALSE)</f>
        <v>0</v>
      </c>
      <c r="AM325" s="2">
        <f>VLOOKUP($A325,'[2]App C Share Inflows'!$A$4:$I$917,6,FALSE)</f>
        <v>0</v>
      </c>
    </row>
    <row r="326" spans="1:39">
      <c r="A326" s="351">
        <v>93161</v>
      </c>
      <c r="B326" s="344" t="s">
        <v>1017</v>
      </c>
      <c r="C326" s="235" t="e">
        <f>VLOOKUP(A326,#REF!,10,FALSE)</f>
        <v>#REF!</v>
      </c>
      <c r="E326" s="2">
        <f>VLOOKUP($A326,'[2]App C Total'!$A$4:$I$917,5,FALSE)</f>
        <v>68879</v>
      </c>
      <c r="F326" s="2">
        <f>VLOOKUP($A326,'[2]App C Total'!$A$4:$I$917,6,FALSE)</f>
        <v>27107</v>
      </c>
      <c r="G326" s="2">
        <f>VLOOKUP($A326,'[2]App C Total'!$A$4:$I$917,7,FALSE)</f>
        <v>33992</v>
      </c>
      <c r="H326" s="2">
        <f>VLOOKUP($A326,'[2]App C Total'!$A$4:$I$917,8,FALSE)</f>
        <v>10226</v>
      </c>
      <c r="I326" s="2">
        <f>VLOOKUP($A326,'[2]App C Total'!$A$4:$I$917,9,FALSE)</f>
        <v>0</v>
      </c>
      <c r="J326" s="2"/>
      <c r="K326" s="2">
        <f>VLOOKUP($A326,'[2]App C Exp'!$A$4:$I$917,5,FALSE)</f>
        <v>18246</v>
      </c>
      <c r="L326" s="2">
        <f>VLOOKUP($A326,'[2]App C Exp'!$A$4:$I$917,6,FALSE)</f>
        <v>17164</v>
      </c>
      <c r="M326" s="2">
        <f>VLOOKUP($A326,'[2]App C Exp'!$A$4:$I$917,7,FALSE)</f>
        <v>15384</v>
      </c>
      <c r="N326" s="2">
        <f>VLOOKUP($A326,'[2]App C Exp'!$A$4:$I$917,8,FALSE)</f>
        <v>6160</v>
      </c>
      <c r="O326" s="2">
        <f>VLOOKUP($A326,'[2]App C Exp'!$A$4:$I$917,9,FALSE)</f>
        <v>0</v>
      </c>
      <c r="P326" s="2"/>
      <c r="Q326" s="2">
        <f>VLOOKUP($A326,'[2]App C Inv'!$A$4:$I$917,5,FALSE)</f>
        <v>19371</v>
      </c>
      <c r="R326" s="2">
        <f>VLOOKUP($A326,'[2]App C Inv'!$A$4:$I$917,6,FALSE)</f>
        <v>-16663</v>
      </c>
      <c r="S326" s="2">
        <f>VLOOKUP($A326,'[2]App C Inv'!$A$4:$I$917,7,FALSE)</f>
        <v>2348</v>
      </c>
      <c r="T326" s="2">
        <f>VLOOKUP($A326,'[2]App C Inv'!$A$4:$I$917,8,FALSE)</f>
        <v>3056</v>
      </c>
      <c r="U326" s="2">
        <f>VLOOKUP($A326,'[2]App C Inv'!$A$4:$I$917,9,FALSE)</f>
        <v>0</v>
      </c>
      <c r="V326" s="2"/>
      <c r="W326" s="2">
        <f>VLOOKUP($A326,'[2]App C Assum'!$A$4:$I$917,5,FALSE)</f>
        <v>21822</v>
      </c>
      <c r="X326" s="2">
        <f>VLOOKUP($A326,'[2]App C Assum'!$A$4:$I$917,6,FALSE)</f>
        <v>17877</v>
      </c>
      <c r="Y326" s="2">
        <f>VLOOKUP($A326,'[2]App C Assum'!$A$4:$I$917,7,FALSE)</f>
        <v>14513</v>
      </c>
      <c r="Z326" s="2">
        <f>VLOOKUP($A326,'[2]App C Assum'!$A$4:$I$917,8,FALSE)</f>
        <v>0</v>
      </c>
      <c r="AA326" s="2">
        <f>VLOOKUP($A326,'[2]App C Assum'!$A$4:$I$917,9,FALSE)</f>
        <v>0</v>
      </c>
      <c r="AB326" s="2"/>
      <c r="AC326" s="2">
        <f>VLOOKUP($A326,'[2]App C Share Outflows'!$A$4:$I$917,5,FALSE)</f>
        <v>9440</v>
      </c>
      <c r="AD326" s="2">
        <f>VLOOKUP($A326,'[2]App C Share Outflows'!$A$4:$I$917,6,FALSE)</f>
        <v>8729</v>
      </c>
      <c r="AE326" s="2">
        <f>VLOOKUP($A326,'[2]App C Share Outflows'!$A$4:$I$917,7,FALSE)</f>
        <v>1747</v>
      </c>
      <c r="AF326" s="2">
        <f>VLOOKUP($A326,'[2]App C Share Outflows'!$A$4:$I$917,8,FALSE)</f>
        <v>1010</v>
      </c>
      <c r="AG326" s="2">
        <f>VLOOKUP($A326,'[2]App C Share Outflows'!$A$4:$I$917,9,FALSE)</f>
        <v>0</v>
      </c>
      <c r="AH326" s="2"/>
      <c r="AI326" s="2">
        <f>VLOOKUP($A326,'[2]App C Share Inflows'!$A$4:$I$917,5,FALSE)</f>
        <v>0</v>
      </c>
      <c r="AJ326" s="2">
        <f>VLOOKUP($A326,'[2]App C Share Inflows'!$A$4:$I$917,6,FALSE)</f>
        <v>0</v>
      </c>
      <c r="AK326" s="2">
        <f>VLOOKUP($A326,'[2]App C Share Inflows'!$A$4:$I$917,7,FALSE)</f>
        <v>0</v>
      </c>
      <c r="AL326" s="2">
        <f>VLOOKUP($A326,'[2]App C Share Inflows'!$A$4:$I$917,8,FALSE)</f>
        <v>0</v>
      </c>
      <c r="AM326" s="2">
        <f>VLOOKUP($A326,'[2]App C Share Inflows'!$A$4:$I$917,6,FALSE)</f>
        <v>0</v>
      </c>
    </row>
    <row r="327" spans="1:39">
      <c r="A327" s="351">
        <v>93171</v>
      </c>
      <c r="B327" s="344" t="s">
        <v>1018</v>
      </c>
      <c r="C327" s="235" t="e">
        <f>VLOOKUP(A327,#REF!,10,FALSE)</f>
        <v>#REF!</v>
      </c>
      <c r="E327" s="2">
        <f>VLOOKUP($A327,'[2]App C Total'!$A$4:$I$917,5,FALSE)</f>
        <v>3749</v>
      </c>
      <c r="F327" s="2">
        <f>VLOOKUP($A327,'[2]App C Total'!$A$4:$I$917,6,FALSE)</f>
        <v>1755</v>
      </c>
      <c r="G327" s="2">
        <f>VLOOKUP($A327,'[2]App C Total'!$A$4:$I$917,7,FALSE)</f>
        <v>2160</v>
      </c>
      <c r="H327" s="2">
        <f>VLOOKUP($A327,'[2]App C Total'!$A$4:$I$917,8,FALSE)</f>
        <v>1404</v>
      </c>
      <c r="I327" s="2">
        <f>VLOOKUP($A327,'[2]App C Total'!$A$4:$I$917,9,FALSE)</f>
        <v>0</v>
      </c>
      <c r="J327" s="2"/>
      <c r="K327" s="2">
        <f>VLOOKUP($A327,'[2]App C Exp'!$A$4:$I$917,5,FALSE)</f>
        <v>794</v>
      </c>
      <c r="L327" s="2">
        <f>VLOOKUP($A327,'[2]App C Exp'!$A$4:$I$917,6,FALSE)</f>
        <v>747</v>
      </c>
      <c r="M327" s="2">
        <f>VLOOKUP($A327,'[2]App C Exp'!$A$4:$I$917,7,FALSE)</f>
        <v>669</v>
      </c>
      <c r="N327" s="2">
        <f>VLOOKUP($A327,'[2]App C Exp'!$A$4:$I$917,8,FALSE)</f>
        <v>268</v>
      </c>
      <c r="O327" s="2">
        <f>VLOOKUP($A327,'[2]App C Exp'!$A$4:$I$917,9,FALSE)</f>
        <v>0</v>
      </c>
      <c r="P327" s="2"/>
      <c r="Q327" s="2">
        <f>VLOOKUP($A327,'[2]App C Inv'!$A$4:$I$917,5,FALSE)</f>
        <v>843</v>
      </c>
      <c r="R327" s="2">
        <f>VLOOKUP($A327,'[2]App C Inv'!$A$4:$I$917,6,FALSE)</f>
        <v>-725</v>
      </c>
      <c r="S327" s="2">
        <f>VLOOKUP($A327,'[2]App C Inv'!$A$4:$I$917,7,FALSE)</f>
        <v>102</v>
      </c>
      <c r="T327" s="2">
        <f>VLOOKUP($A327,'[2]App C Inv'!$A$4:$I$917,8,FALSE)</f>
        <v>133</v>
      </c>
      <c r="U327" s="2">
        <f>VLOOKUP($A327,'[2]App C Inv'!$A$4:$I$917,9,FALSE)</f>
        <v>0</v>
      </c>
      <c r="V327" s="2"/>
      <c r="W327" s="2">
        <f>VLOOKUP($A327,'[2]App C Assum'!$A$4:$I$917,5,FALSE)</f>
        <v>950</v>
      </c>
      <c r="X327" s="2">
        <f>VLOOKUP($A327,'[2]App C Assum'!$A$4:$I$917,6,FALSE)</f>
        <v>778</v>
      </c>
      <c r="Y327" s="2">
        <f>VLOOKUP($A327,'[2]App C Assum'!$A$4:$I$917,7,FALSE)</f>
        <v>632</v>
      </c>
      <c r="Z327" s="2">
        <f>VLOOKUP($A327,'[2]App C Assum'!$A$4:$I$917,8,FALSE)</f>
        <v>0</v>
      </c>
      <c r="AA327" s="2">
        <f>VLOOKUP($A327,'[2]App C Assum'!$A$4:$I$917,9,FALSE)</f>
        <v>0</v>
      </c>
      <c r="AB327" s="2"/>
      <c r="AC327" s="2">
        <f>VLOOKUP($A327,'[2]App C Share Outflows'!$A$4:$I$917,5,FALSE)</f>
        <v>1409</v>
      </c>
      <c r="AD327" s="2">
        <f>VLOOKUP($A327,'[2]App C Share Outflows'!$A$4:$I$917,6,FALSE)</f>
        <v>1202</v>
      </c>
      <c r="AE327" s="2">
        <f>VLOOKUP($A327,'[2]App C Share Outflows'!$A$4:$I$917,7,FALSE)</f>
        <v>1003</v>
      </c>
      <c r="AF327" s="2">
        <f>VLOOKUP($A327,'[2]App C Share Outflows'!$A$4:$I$917,8,FALSE)</f>
        <v>1003</v>
      </c>
      <c r="AG327" s="2">
        <f>VLOOKUP($A327,'[2]App C Share Outflows'!$A$4:$I$917,9,FALSE)</f>
        <v>0</v>
      </c>
      <c r="AH327" s="2"/>
      <c r="AI327" s="2">
        <f>VLOOKUP($A327,'[2]App C Share Inflows'!$A$4:$I$917,5,FALSE)</f>
        <v>-247</v>
      </c>
      <c r="AJ327" s="2">
        <f>VLOOKUP($A327,'[2]App C Share Inflows'!$A$4:$I$917,6,FALSE)</f>
        <v>-247</v>
      </c>
      <c r="AK327" s="2">
        <f>VLOOKUP($A327,'[2]App C Share Inflows'!$A$4:$I$917,7,FALSE)</f>
        <v>-246</v>
      </c>
      <c r="AL327" s="2">
        <f>VLOOKUP($A327,'[2]App C Share Inflows'!$A$4:$I$917,8,FALSE)</f>
        <v>0</v>
      </c>
      <c r="AM327" s="2">
        <f>VLOOKUP($A327,'[2]App C Share Inflows'!$A$4:$I$917,6,FALSE)</f>
        <v>-247</v>
      </c>
    </row>
    <row r="328" spans="1:39">
      <c r="A328" s="351">
        <v>93181</v>
      </c>
      <c r="B328" s="344" t="s">
        <v>1019</v>
      </c>
      <c r="C328" s="235" t="e">
        <f>VLOOKUP(A328,#REF!,10,FALSE)</f>
        <v>#REF!</v>
      </c>
      <c r="E328" s="2">
        <f>VLOOKUP($A328,'[2]App C Total'!$A$4:$I$917,5,FALSE)</f>
        <v>5258</v>
      </c>
      <c r="F328" s="2">
        <f>VLOOKUP($A328,'[2]App C Total'!$A$4:$I$917,6,FALSE)</f>
        <v>1718</v>
      </c>
      <c r="G328" s="2">
        <f>VLOOKUP($A328,'[2]App C Total'!$A$4:$I$917,7,FALSE)</f>
        <v>2812</v>
      </c>
      <c r="H328" s="2">
        <f>VLOOKUP($A328,'[2]App C Total'!$A$4:$I$917,8,FALSE)</f>
        <v>819</v>
      </c>
      <c r="I328" s="2">
        <f>VLOOKUP($A328,'[2]App C Total'!$A$4:$I$917,9,FALSE)</f>
        <v>0</v>
      </c>
      <c r="J328" s="2"/>
      <c r="K328" s="2">
        <f>VLOOKUP($A328,'[2]App C Exp'!$A$4:$I$917,5,FALSE)</f>
        <v>1558</v>
      </c>
      <c r="L328" s="2">
        <f>VLOOKUP($A328,'[2]App C Exp'!$A$4:$I$917,6,FALSE)</f>
        <v>1466</v>
      </c>
      <c r="M328" s="2">
        <f>VLOOKUP($A328,'[2]App C Exp'!$A$4:$I$917,7,FALSE)</f>
        <v>1314</v>
      </c>
      <c r="N328" s="2">
        <f>VLOOKUP($A328,'[2]App C Exp'!$A$4:$I$917,8,FALSE)</f>
        <v>526</v>
      </c>
      <c r="O328" s="2">
        <f>VLOOKUP($A328,'[2]App C Exp'!$A$4:$I$917,9,FALSE)</f>
        <v>0</v>
      </c>
      <c r="P328" s="2"/>
      <c r="Q328" s="2">
        <f>VLOOKUP($A328,'[2]App C Inv'!$A$4:$I$917,5,FALSE)</f>
        <v>1654</v>
      </c>
      <c r="R328" s="2">
        <f>VLOOKUP($A328,'[2]App C Inv'!$A$4:$I$917,6,FALSE)</f>
        <v>-1423</v>
      </c>
      <c r="S328" s="2">
        <f>VLOOKUP($A328,'[2]App C Inv'!$A$4:$I$917,7,FALSE)</f>
        <v>201</v>
      </c>
      <c r="T328" s="2">
        <f>VLOOKUP($A328,'[2]App C Inv'!$A$4:$I$917,8,FALSE)</f>
        <v>261</v>
      </c>
      <c r="U328" s="2">
        <f>VLOOKUP($A328,'[2]App C Inv'!$A$4:$I$917,9,FALSE)</f>
        <v>0</v>
      </c>
      <c r="V328" s="2"/>
      <c r="W328" s="2">
        <f>VLOOKUP($A328,'[2]App C Assum'!$A$4:$I$917,5,FALSE)</f>
        <v>1863</v>
      </c>
      <c r="X328" s="2">
        <f>VLOOKUP($A328,'[2]App C Assum'!$A$4:$I$917,6,FALSE)</f>
        <v>1526</v>
      </c>
      <c r="Y328" s="2">
        <f>VLOOKUP($A328,'[2]App C Assum'!$A$4:$I$917,7,FALSE)</f>
        <v>1239</v>
      </c>
      <c r="Z328" s="2">
        <f>VLOOKUP($A328,'[2]App C Assum'!$A$4:$I$917,8,FALSE)</f>
        <v>0</v>
      </c>
      <c r="AA328" s="2">
        <f>VLOOKUP($A328,'[2]App C Assum'!$A$4:$I$917,9,FALSE)</f>
        <v>0</v>
      </c>
      <c r="AB328" s="2"/>
      <c r="AC328" s="2">
        <f>VLOOKUP($A328,'[2]App C Share Outflows'!$A$4:$I$917,5,FALSE)</f>
        <v>183</v>
      </c>
      <c r="AD328" s="2">
        <f>VLOOKUP($A328,'[2]App C Share Outflows'!$A$4:$I$917,6,FALSE)</f>
        <v>149</v>
      </c>
      <c r="AE328" s="2">
        <f>VLOOKUP($A328,'[2]App C Share Outflows'!$A$4:$I$917,7,FALSE)</f>
        <v>58</v>
      </c>
      <c r="AF328" s="2">
        <f>VLOOKUP($A328,'[2]App C Share Outflows'!$A$4:$I$917,8,FALSE)</f>
        <v>32</v>
      </c>
      <c r="AG328" s="2">
        <f>VLOOKUP($A328,'[2]App C Share Outflows'!$A$4:$I$917,9,FALSE)</f>
        <v>0</v>
      </c>
      <c r="AH328" s="2"/>
      <c r="AI328" s="2">
        <f>VLOOKUP($A328,'[2]App C Share Inflows'!$A$4:$I$917,5,FALSE)</f>
        <v>0</v>
      </c>
      <c r="AJ328" s="2">
        <f>VLOOKUP($A328,'[2]App C Share Inflows'!$A$4:$I$917,6,FALSE)</f>
        <v>0</v>
      </c>
      <c r="AK328" s="2">
        <f>VLOOKUP($A328,'[2]App C Share Inflows'!$A$4:$I$917,7,FALSE)</f>
        <v>0</v>
      </c>
      <c r="AL328" s="2">
        <f>VLOOKUP($A328,'[2]App C Share Inflows'!$A$4:$I$917,8,FALSE)</f>
        <v>0</v>
      </c>
      <c r="AM328" s="2">
        <f>VLOOKUP($A328,'[2]App C Share Inflows'!$A$4:$I$917,6,FALSE)</f>
        <v>0</v>
      </c>
    </row>
    <row r="329" spans="1:39">
      <c r="A329" s="351">
        <v>93191</v>
      </c>
      <c r="B329" s="344" t="s">
        <v>1020</v>
      </c>
      <c r="C329" s="235" t="e">
        <f>VLOOKUP(A329,#REF!,10,FALSE)</f>
        <v>#REF!</v>
      </c>
      <c r="E329" s="2">
        <f>VLOOKUP($A329,'[2]App C Total'!$A$4:$I$917,5,FALSE)</f>
        <v>13034</v>
      </c>
      <c r="F329" s="2">
        <f>VLOOKUP($A329,'[2]App C Total'!$A$4:$I$917,6,FALSE)</f>
        <v>5138</v>
      </c>
      <c r="G329" s="2">
        <f>VLOOKUP($A329,'[2]App C Total'!$A$4:$I$917,7,FALSE)</f>
        <v>8251</v>
      </c>
      <c r="H329" s="2">
        <f>VLOOKUP($A329,'[2]App C Total'!$A$4:$I$917,8,FALSE)</f>
        <v>3086</v>
      </c>
      <c r="I329" s="2">
        <f>VLOOKUP($A329,'[2]App C Total'!$A$4:$I$917,9,FALSE)</f>
        <v>0</v>
      </c>
      <c r="J329" s="2"/>
      <c r="K329" s="2">
        <f>VLOOKUP($A329,'[2]App C Exp'!$A$4:$I$917,5,FALSE)</f>
        <v>3505</v>
      </c>
      <c r="L329" s="2">
        <f>VLOOKUP($A329,'[2]App C Exp'!$A$4:$I$917,6,FALSE)</f>
        <v>3298</v>
      </c>
      <c r="M329" s="2">
        <f>VLOOKUP($A329,'[2]App C Exp'!$A$4:$I$917,7,FALSE)</f>
        <v>2956</v>
      </c>
      <c r="N329" s="2">
        <f>VLOOKUP($A329,'[2]App C Exp'!$A$4:$I$917,8,FALSE)</f>
        <v>1183</v>
      </c>
      <c r="O329" s="2">
        <f>VLOOKUP($A329,'[2]App C Exp'!$A$4:$I$917,9,FALSE)</f>
        <v>0</v>
      </c>
      <c r="P329" s="2"/>
      <c r="Q329" s="2">
        <f>VLOOKUP($A329,'[2]App C Inv'!$A$4:$I$917,5,FALSE)</f>
        <v>3722</v>
      </c>
      <c r="R329" s="2">
        <f>VLOOKUP($A329,'[2]App C Inv'!$A$4:$I$917,6,FALSE)</f>
        <v>-3201</v>
      </c>
      <c r="S329" s="2">
        <f>VLOOKUP($A329,'[2]App C Inv'!$A$4:$I$917,7,FALSE)</f>
        <v>451</v>
      </c>
      <c r="T329" s="2">
        <f>VLOOKUP($A329,'[2]App C Inv'!$A$4:$I$917,8,FALSE)</f>
        <v>587</v>
      </c>
      <c r="U329" s="2">
        <f>VLOOKUP($A329,'[2]App C Inv'!$A$4:$I$917,9,FALSE)</f>
        <v>0</v>
      </c>
      <c r="V329" s="2"/>
      <c r="W329" s="2">
        <f>VLOOKUP($A329,'[2]App C Assum'!$A$4:$I$917,5,FALSE)</f>
        <v>4192</v>
      </c>
      <c r="X329" s="2">
        <f>VLOOKUP($A329,'[2]App C Assum'!$A$4:$I$917,6,FALSE)</f>
        <v>3435</v>
      </c>
      <c r="Y329" s="2">
        <f>VLOOKUP($A329,'[2]App C Assum'!$A$4:$I$917,7,FALSE)</f>
        <v>2788</v>
      </c>
      <c r="Z329" s="2">
        <f>VLOOKUP($A329,'[2]App C Assum'!$A$4:$I$917,8,FALSE)</f>
        <v>0</v>
      </c>
      <c r="AA329" s="2">
        <f>VLOOKUP($A329,'[2]App C Assum'!$A$4:$I$917,9,FALSE)</f>
        <v>0</v>
      </c>
      <c r="AB329" s="2"/>
      <c r="AC329" s="2">
        <f>VLOOKUP($A329,'[2]App C Share Outflows'!$A$4:$I$917,5,FALSE)</f>
        <v>2064</v>
      </c>
      <c r="AD329" s="2">
        <f>VLOOKUP($A329,'[2]App C Share Outflows'!$A$4:$I$917,6,FALSE)</f>
        <v>2054</v>
      </c>
      <c r="AE329" s="2">
        <f>VLOOKUP($A329,'[2]App C Share Outflows'!$A$4:$I$917,7,FALSE)</f>
        <v>2056</v>
      </c>
      <c r="AF329" s="2">
        <f>VLOOKUP($A329,'[2]App C Share Outflows'!$A$4:$I$917,8,FALSE)</f>
        <v>1316</v>
      </c>
      <c r="AG329" s="2">
        <f>VLOOKUP($A329,'[2]App C Share Outflows'!$A$4:$I$917,9,FALSE)</f>
        <v>0</v>
      </c>
      <c r="AH329" s="2"/>
      <c r="AI329" s="2">
        <f>VLOOKUP($A329,'[2]App C Share Inflows'!$A$4:$I$917,5,FALSE)</f>
        <v>-449</v>
      </c>
      <c r="AJ329" s="2">
        <f>VLOOKUP($A329,'[2]App C Share Inflows'!$A$4:$I$917,6,FALSE)</f>
        <v>-448</v>
      </c>
      <c r="AK329" s="2">
        <f>VLOOKUP($A329,'[2]App C Share Inflows'!$A$4:$I$917,7,FALSE)</f>
        <v>0</v>
      </c>
      <c r="AL329" s="2">
        <f>VLOOKUP($A329,'[2]App C Share Inflows'!$A$4:$I$917,8,FALSE)</f>
        <v>0</v>
      </c>
      <c r="AM329" s="2">
        <f>VLOOKUP($A329,'[2]App C Share Inflows'!$A$4:$I$917,6,FALSE)</f>
        <v>-448</v>
      </c>
    </row>
    <row r="330" spans="1:39">
      <c r="A330" s="351">
        <v>93201</v>
      </c>
      <c r="B330" s="344" t="s">
        <v>1021</v>
      </c>
      <c r="C330" s="235" t="e">
        <f>VLOOKUP(A330,#REF!,10,FALSE)</f>
        <v>#REF!</v>
      </c>
      <c r="E330" s="2">
        <f>VLOOKUP($A330,'[2]App C Total'!$A$4:$I$917,5,FALSE)</f>
        <v>7434917</v>
      </c>
      <c r="F330" s="2">
        <f>VLOOKUP($A330,'[2]App C Total'!$A$4:$I$917,6,FALSE)</f>
        <v>2213405</v>
      </c>
      <c r="G330" s="2">
        <f>VLOOKUP($A330,'[2]App C Total'!$A$4:$I$917,7,FALSE)</f>
        <v>3995309</v>
      </c>
      <c r="H330" s="2">
        <f>VLOOKUP($A330,'[2]App C Total'!$A$4:$I$917,8,FALSE)</f>
        <v>1062807</v>
      </c>
      <c r="I330" s="2">
        <f>VLOOKUP($A330,'[2]App C Total'!$A$4:$I$917,9,FALSE)</f>
        <v>0</v>
      </c>
      <c r="J330" s="2"/>
      <c r="K330" s="2">
        <f>VLOOKUP($A330,'[2]App C Exp'!$A$4:$I$917,5,FALSE)</f>
        <v>2276737</v>
      </c>
      <c r="L330" s="2">
        <f>VLOOKUP($A330,'[2]App C Exp'!$A$4:$I$917,6,FALSE)</f>
        <v>2141674</v>
      </c>
      <c r="M330" s="2">
        <f>VLOOKUP($A330,'[2]App C Exp'!$A$4:$I$917,7,FALSE)</f>
        <v>1919558</v>
      </c>
      <c r="N330" s="2">
        <f>VLOOKUP($A330,'[2]App C Exp'!$A$4:$I$917,8,FALSE)</f>
        <v>768568</v>
      </c>
      <c r="O330" s="2">
        <f>VLOOKUP($A330,'[2]App C Exp'!$A$4:$I$917,9,FALSE)</f>
        <v>0</v>
      </c>
      <c r="P330" s="2"/>
      <c r="Q330" s="2">
        <f>VLOOKUP($A330,'[2]App C Inv'!$A$4:$I$917,5,FALSE)</f>
        <v>2417073</v>
      </c>
      <c r="R330" s="2">
        <f>VLOOKUP($A330,'[2]App C Inv'!$A$4:$I$917,6,FALSE)</f>
        <v>-2079135</v>
      </c>
      <c r="S330" s="2">
        <f>VLOOKUP($A330,'[2]App C Inv'!$A$4:$I$917,7,FALSE)</f>
        <v>293029</v>
      </c>
      <c r="T330" s="2">
        <f>VLOOKUP($A330,'[2]App C Inv'!$A$4:$I$917,8,FALSE)</f>
        <v>381374</v>
      </c>
      <c r="U330" s="2">
        <f>VLOOKUP($A330,'[2]App C Inv'!$A$4:$I$917,9,FALSE)</f>
        <v>0</v>
      </c>
      <c r="V330" s="2"/>
      <c r="W330" s="2">
        <f>VLOOKUP($A330,'[2]App C Assum'!$A$4:$I$917,5,FALSE)</f>
        <v>2722868</v>
      </c>
      <c r="X330" s="2">
        <f>VLOOKUP($A330,'[2]App C Assum'!$A$4:$I$917,6,FALSE)</f>
        <v>2230672</v>
      </c>
      <c r="Y330" s="2">
        <f>VLOOKUP($A330,'[2]App C Assum'!$A$4:$I$917,7,FALSE)</f>
        <v>1810924</v>
      </c>
      <c r="Z330" s="2">
        <f>VLOOKUP($A330,'[2]App C Assum'!$A$4:$I$917,8,FALSE)</f>
        <v>0</v>
      </c>
      <c r="AA330" s="2">
        <f>VLOOKUP($A330,'[2]App C Assum'!$A$4:$I$917,9,FALSE)</f>
        <v>0</v>
      </c>
      <c r="AB330" s="2"/>
      <c r="AC330" s="2">
        <f>VLOOKUP($A330,'[2]App C Share Outflows'!$A$4:$I$917,5,FALSE)</f>
        <v>156979</v>
      </c>
      <c r="AD330" s="2">
        <f>VLOOKUP($A330,'[2]App C Share Outflows'!$A$4:$I$917,6,FALSE)</f>
        <v>58933</v>
      </c>
      <c r="AE330" s="2">
        <f>VLOOKUP($A330,'[2]App C Share Outflows'!$A$4:$I$917,7,FALSE)</f>
        <v>58934</v>
      </c>
      <c r="AF330" s="2">
        <f>VLOOKUP($A330,'[2]App C Share Outflows'!$A$4:$I$917,8,FALSE)</f>
        <v>0</v>
      </c>
      <c r="AG330" s="2">
        <f>VLOOKUP($A330,'[2]App C Share Outflows'!$A$4:$I$917,9,FALSE)</f>
        <v>0</v>
      </c>
      <c r="AH330" s="2"/>
      <c r="AI330" s="2">
        <f>VLOOKUP($A330,'[2]App C Share Inflows'!$A$4:$I$917,5,FALSE)</f>
        <v>-138740</v>
      </c>
      <c r="AJ330" s="2">
        <f>VLOOKUP($A330,'[2]App C Share Inflows'!$A$4:$I$917,6,FALSE)</f>
        <v>-138739</v>
      </c>
      <c r="AK330" s="2">
        <f>VLOOKUP($A330,'[2]App C Share Inflows'!$A$4:$I$917,7,FALSE)</f>
        <v>-87136</v>
      </c>
      <c r="AL330" s="2">
        <f>VLOOKUP($A330,'[2]App C Share Inflows'!$A$4:$I$917,8,FALSE)</f>
        <v>-87135</v>
      </c>
      <c r="AM330" s="2">
        <f>VLOOKUP($A330,'[2]App C Share Inflows'!$A$4:$I$917,6,FALSE)</f>
        <v>-138739</v>
      </c>
    </row>
    <row r="331" spans="1:39">
      <c r="A331" s="351">
        <v>93204</v>
      </c>
      <c r="B331" s="344" t="s">
        <v>1023</v>
      </c>
      <c r="C331" s="235" t="e">
        <f>VLOOKUP(A331,#REF!,10,FALSE)</f>
        <v>#REF!</v>
      </c>
      <c r="E331" s="2">
        <f>VLOOKUP($A331,'[2]App C Total'!$A$4:$I$917,5,FALSE)</f>
        <v>152816</v>
      </c>
      <c r="F331" s="2">
        <f>VLOOKUP($A331,'[2]App C Total'!$A$4:$I$917,6,FALSE)</f>
        <v>54068</v>
      </c>
      <c r="G331" s="2">
        <f>VLOOKUP($A331,'[2]App C Total'!$A$4:$I$917,7,FALSE)</f>
        <v>82847</v>
      </c>
      <c r="H331" s="2">
        <f>VLOOKUP($A331,'[2]App C Total'!$A$4:$I$917,8,FALSE)</f>
        <v>20307</v>
      </c>
      <c r="I331" s="2">
        <f>VLOOKUP($A331,'[2]App C Total'!$A$4:$I$917,9,FALSE)</f>
        <v>0</v>
      </c>
      <c r="J331" s="2"/>
      <c r="K331" s="2">
        <f>VLOOKUP($A331,'[2]App C Exp'!$A$4:$I$917,5,FALSE)</f>
        <v>44508</v>
      </c>
      <c r="L331" s="2">
        <f>VLOOKUP($A331,'[2]App C Exp'!$A$4:$I$917,6,FALSE)</f>
        <v>41867</v>
      </c>
      <c r="M331" s="2">
        <f>VLOOKUP($A331,'[2]App C Exp'!$A$4:$I$917,7,FALSE)</f>
        <v>37525</v>
      </c>
      <c r="N331" s="2">
        <f>VLOOKUP($A331,'[2]App C Exp'!$A$4:$I$917,8,FALSE)</f>
        <v>15025</v>
      </c>
      <c r="O331" s="2">
        <f>VLOOKUP($A331,'[2]App C Exp'!$A$4:$I$917,9,FALSE)</f>
        <v>0</v>
      </c>
      <c r="P331" s="2"/>
      <c r="Q331" s="2">
        <f>VLOOKUP($A331,'[2]App C Inv'!$A$4:$I$917,5,FALSE)</f>
        <v>47251</v>
      </c>
      <c r="R331" s="2">
        <f>VLOOKUP($A331,'[2]App C Inv'!$A$4:$I$917,6,FALSE)</f>
        <v>-40645</v>
      </c>
      <c r="S331" s="2">
        <f>VLOOKUP($A331,'[2]App C Inv'!$A$4:$I$917,7,FALSE)</f>
        <v>5728</v>
      </c>
      <c r="T331" s="2">
        <f>VLOOKUP($A331,'[2]App C Inv'!$A$4:$I$917,8,FALSE)</f>
        <v>7455</v>
      </c>
      <c r="U331" s="2">
        <f>VLOOKUP($A331,'[2]App C Inv'!$A$4:$I$917,9,FALSE)</f>
        <v>0</v>
      </c>
      <c r="V331" s="2"/>
      <c r="W331" s="2">
        <f>VLOOKUP($A331,'[2]App C Assum'!$A$4:$I$917,5,FALSE)</f>
        <v>53229</v>
      </c>
      <c r="X331" s="2">
        <f>VLOOKUP($A331,'[2]App C Assum'!$A$4:$I$917,6,FALSE)</f>
        <v>43607</v>
      </c>
      <c r="Y331" s="2">
        <f>VLOOKUP($A331,'[2]App C Assum'!$A$4:$I$917,7,FALSE)</f>
        <v>35402</v>
      </c>
      <c r="Z331" s="2">
        <f>VLOOKUP($A331,'[2]App C Assum'!$A$4:$I$917,8,FALSE)</f>
        <v>0</v>
      </c>
      <c r="AA331" s="2">
        <f>VLOOKUP($A331,'[2]App C Assum'!$A$4:$I$917,9,FALSE)</f>
        <v>0</v>
      </c>
      <c r="AB331" s="2"/>
      <c r="AC331" s="2">
        <f>VLOOKUP($A331,'[2]App C Share Outflows'!$A$4:$I$917,5,FALSE)</f>
        <v>11411</v>
      </c>
      <c r="AD331" s="2">
        <f>VLOOKUP($A331,'[2]App C Share Outflows'!$A$4:$I$917,6,FALSE)</f>
        <v>11411</v>
      </c>
      <c r="AE331" s="2">
        <f>VLOOKUP($A331,'[2]App C Share Outflows'!$A$4:$I$917,7,FALSE)</f>
        <v>6364</v>
      </c>
      <c r="AF331" s="2">
        <f>VLOOKUP($A331,'[2]App C Share Outflows'!$A$4:$I$917,8,FALSE)</f>
        <v>0</v>
      </c>
      <c r="AG331" s="2">
        <f>VLOOKUP($A331,'[2]App C Share Outflows'!$A$4:$I$917,9,FALSE)</f>
        <v>0</v>
      </c>
      <c r="AH331" s="2"/>
      <c r="AI331" s="2">
        <f>VLOOKUP($A331,'[2]App C Share Inflows'!$A$4:$I$917,5,FALSE)</f>
        <v>-3583</v>
      </c>
      <c r="AJ331" s="2">
        <f>VLOOKUP($A331,'[2]App C Share Inflows'!$A$4:$I$917,6,FALSE)</f>
        <v>-2172</v>
      </c>
      <c r="AK331" s="2">
        <f>VLOOKUP($A331,'[2]App C Share Inflows'!$A$4:$I$917,7,FALSE)</f>
        <v>-2172</v>
      </c>
      <c r="AL331" s="2">
        <f>VLOOKUP($A331,'[2]App C Share Inflows'!$A$4:$I$917,8,FALSE)</f>
        <v>-2173</v>
      </c>
      <c r="AM331" s="2">
        <f>VLOOKUP($A331,'[2]App C Share Inflows'!$A$4:$I$917,6,FALSE)</f>
        <v>-2172</v>
      </c>
    </row>
    <row r="332" spans="1:39">
      <c r="A332" s="351">
        <v>93209</v>
      </c>
      <c r="B332" s="344" t="s">
        <v>1024</v>
      </c>
      <c r="C332" s="235" t="e">
        <f>VLOOKUP(A332,#REF!,10,FALSE)</f>
        <v>#REF!</v>
      </c>
      <c r="E332" s="2">
        <f>VLOOKUP($A332,'[2]App C Total'!$A$4:$I$917,5,FALSE)</f>
        <v>2905290</v>
      </c>
      <c r="F332" s="2">
        <f>VLOOKUP($A332,'[2]App C Total'!$A$4:$I$917,6,FALSE)</f>
        <v>933074</v>
      </c>
      <c r="G332" s="2">
        <f>VLOOKUP($A332,'[2]App C Total'!$A$4:$I$917,7,FALSE)</f>
        <v>1553278</v>
      </c>
      <c r="H332" s="2">
        <f>VLOOKUP($A332,'[2]App C Total'!$A$4:$I$917,8,FALSE)</f>
        <v>447345</v>
      </c>
      <c r="I332" s="2">
        <f>VLOOKUP($A332,'[2]App C Total'!$A$4:$I$917,9,FALSE)</f>
        <v>0</v>
      </c>
      <c r="J332" s="2"/>
      <c r="K332" s="2">
        <f>VLOOKUP($A332,'[2]App C Exp'!$A$4:$I$917,5,FALSE)</f>
        <v>837990</v>
      </c>
      <c r="L332" s="2">
        <f>VLOOKUP($A332,'[2]App C Exp'!$A$4:$I$917,6,FALSE)</f>
        <v>788278</v>
      </c>
      <c r="M332" s="2">
        <f>VLOOKUP($A332,'[2]App C Exp'!$A$4:$I$917,7,FALSE)</f>
        <v>706525</v>
      </c>
      <c r="N332" s="2">
        <f>VLOOKUP($A332,'[2]App C Exp'!$A$4:$I$917,8,FALSE)</f>
        <v>282884</v>
      </c>
      <c r="O332" s="2">
        <f>VLOOKUP($A332,'[2]App C Exp'!$A$4:$I$917,9,FALSE)</f>
        <v>0</v>
      </c>
      <c r="P332" s="2"/>
      <c r="Q332" s="2">
        <f>VLOOKUP($A332,'[2]App C Inv'!$A$4:$I$917,5,FALSE)</f>
        <v>889644</v>
      </c>
      <c r="R332" s="2">
        <f>VLOOKUP($A332,'[2]App C Inv'!$A$4:$I$917,6,FALSE)</f>
        <v>-765260</v>
      </c>
      <c r="S332" s="2">
        <f>VLOOKUP($A332,'[2]App C Inv'!$A$4:$I$917,7,FALSE)</f>
        <v>107854</v>
      </c>
      <c r="T332" s="2">
        <f>VLOOKUP($A332,'[2]App C Inv'!$A$4:$I$917,8,FALSE)</f>
        <v>140371</v>
      </c>
      <c r="U332" s="2">
        <f>VLOOKUP($A332,'[2]App C Inv'!$A$4:$I$917,9,FALSE)</f>
        <v>0</v>
      </c>
      <c r="V332" s="2"/>
      <c r="W332" s="2">
        <f>VLOOKUP($A332,'[2]App C Assum'!$A$4:$I$917,5,FALSE)</f>
        <v>1002196</v>
      </c>
      <c r="X332" s="2">
        <f>VLOOKUP($A332,'[2]App C Assum'!$A$4:$I$917,6,FALSE)</f>
        <v>821036</v>
      </c>
      <c r="Y332" s="2">
        <f>VLOOKUP($A332,'[2]App C Assum'!$A$4:$I$917,7,FALSE)</f>
        <v>666540</v>
      </c>
      <c r="Z332" s="2">
        <f>VLOOKUP($A332,'[2]App C Assum'!$A$4:$I$917,8,FALSE)</f>
        <v>0</v>
      </c>
      <c r="AA332" s="2">
        <f>VLOOKUP($A332,'[2]App C Assum'!$A$4:$I$917,9,FALSE)</f>
        <v>0</v>
      </c>
      <c r="AB332" s="2"/>
      <c r="AC332" s="2">
        <f>VLOOKUP($A332,'[2]App C Share Outflows'!$A$4:$I$917,5,FALSE)</f>
        <v>175460</v>
      </c>
      <c r="AD332" s="2">
        <f>VLOOKUP($A332,'[2]App C Share Outflows'!$A$4:$I$917,6,FALSE)</f>
        <v>89020</v>
      </c>
      <c r="AE332" s="2">
        <f>VLOOKUP($A332,'[2]App C Share Outflows'!$A$4:$I$917,7,FALSE)</f>
        <v>72359</v>
      </c>
      <c r="AF332" s="2">
        <f>VLOOKUP($A332,'[2]App C Share Outflows'!$A$4:$I$917,8,FALSE)</f>
        <v>24090</v>
      </c>
      <c r="AG332" s="2">
        <f>VLOOKUP($A332,'[2]App C Share Outflows'!$A$4:$I$917,9,FALSE)</f>
        <v>0</v>
      </c>
      <c r="AH332" s="2"/>
      <c r="AI332" s="2">
        <f>VLOOKUP($A332,'[2]App C Share Inflows'!$A$4:$I$917,5,FALSE)</f>
        <v>0</v>
      </c>
      <c r="AJ332" s="2">
        <f>VLOOKUP($A332,'[2]App C Share Inflows'!$A$4:$I$917,6,FALSE)</f>
        <v>0</v>
      </c>
      <c r="AK332" s="2">
        <f>VLOOKUP($A332,'[2]App C Share Inflows'!$A$4:$I$917,7,FALSE)</f>
        <v>0</v>
      </c>
      <c r="AL332" s="2">
        <f>VLOOKUP($A332,'[2]App C Share Inflows'!$A$4:$I$917,8,FALSE)</f>
        <v>0</v>
      </c>
      <c r="AM332" s="2">
        <f>VLOOKUP($A332,'[2]App C Share Inflows'!$A$4:$I$917,6,FALSE)</f>
        <v>0</v>
      </c>
    </row>
    <row r="333" spans="1:39">
      <c r="A333" s="351">
        <v>93211</v>
      </c>
      <c r="B333" s="344" t="s">
        <v>1025</v>
      </c>
      <c r="C333" s="235" t="e">
        <f>VLOOKUP(A333,#REF!,10,FALSE)</f>
        <v>#REF!</v>
      </c>
      <c r="E333" s="2">
        <f>VLOOKUP($A333,'[2]App C Total'!$A$4:$I$917,5,FALSE)</f>
        <v>10595715</v>
      </c>
      <c r="F333" s="2">
        <f>VLOOKUP($A333,'[2]App C Total'!$A$4:$I$917,6,FALSE)</f>
        <v>3464907</v>
      </c>
      <c r="G333" s="2">
        <f>VLOOKUP($A333,'[2]App C Total'!$A$4:$I$917,7,FALSE)</f>
        <v>5944520</v>
      </c>
      <c r="H333" s="2">
        <f>VLOOKUP($A333,'[2]App C Total'!$A$4:$I$917,8,FALSE)</f>
        <v>1752590</v>
      </c>
      <c r="I333" s="2">
        <f>VLOOKUP($A333,'[2]App C Total'!$A$4:$I$917,9,FALSE)</f>
        <v>0</v>
      </c>
      <c r="J333" s="2"/>
      <c r="K333" s="2">
        <f>VLOOKUP($A333,'[2]App C Exp'!$A$4:$I$917,5,FALSE)</f>
        <v>3238303</v>
      </c>
      <c r="L333" s="2">
        <f>VLOOKUP($A333,'[2]App C Exp'!$A$4:$I$917,6,FALSE)</f>
        <v>3046197</v>
      </c>
      <c r="M333" s="2">
        <f>VLOOKUP($A333,'[2]App C Exp'!$A$4:$I$917,7,FALSE)</f>
        <v>2730272</v>
      </c>
      <c r="N333" s="2">
        <f>VLOOKUP($A333,'[2]App C Exp'!$A$4:$I$917,8,FALSE)</f>
        <v>1093168</v>
      </c>
      <c r="O333" s="2">
        <f>VLOOKUP($A333,'[2]App C Exp'!$A$4:$I$917,9,FALSE)</f>
        <v>0</v>
      </c>
      <c r="P333" s="2"/>
      <c r="Q333" s="2">
        <f>VLOOKUP($A333,'[2]App C Inv'!$A$4:$I$917,5,FALSE)</f>
        <v>3437910</v>
      </c>
      <c r="R333" s="2">
        <f>VLOOKUP($A333,'[2]App C Inv'!$A$4:$I$917,6,FALSE)</f>
        <v>-2957245</v>
      </c>
      <c r="S333" s="2">
        <f>VLOOKUP($A333,'[2]App C Inv'!$A$4:$I$917,7,FALSE)</f>
        <v>416788</v>
      </c>
      <c r="T333" s="2">
        <f>VLOOKUP($A333,'[2]App C Inv'!$A$4:$I$917,8,FALSE)</f>
        <v>542444</v>
      </c>
      <c r="U333" s="2">
        <f>VLOOKUP($A333,'[2]App C Inv'!$A$4:$I$917,9,FALSE)</f>
        <v>0</v>
      </c>
      <c r="V333" s="2"/>
      <c r="W333" s="2">
        <f>VLOOKUP($A333,'[2]App C Assum'!$A$4:$I$917,5,FALSE)</f>
        <v>3872855</v>
      </c>
      <c r="X333" s="2">
        <f>VLOOKUP($A333,'[2]App C Assum'!$A$4:$I$917,6,FALSE)</f>
        <v>3172783</v>
      </c>
      <c r="Y333" s="2">
        <f>VLOOKUP($A333,'[2]App C Assum'!$A$4:$I$917,7,FALSE)</f>
        <v>2575757</v>
      </c>
      <c r="Z333" s="2">
        <f>VLOOKUP($A333,'[2]App C Assum'!$A$4:$I$917,8,FALSE)</f>
        <v>0</v>
      </c>
      <c r="AA333" s="2">
        <f>VLOOKUP($A333,'[2]App C Assum'!$A$4:$I$917,9,FALSE)</f>
        <v>0</v>
      </c>
      <c r="AB333" s="2"/>
      <c r="AC333" s="2">
        <f>VLOOKUP($A333,'[2]App C Share Outflows'!$A$4:$I$917,5,FALSE)</f>
        <v>221702</v>
      </c>
      <c r="AD333" s="2">
        <f>VLOOKUP($A333,'[2]App C Share Outflows'!$A$4:$I$917,6,FALSE)</f>
        <v>221702</v>
      </c>
      <c r="AE333" s="2">
        <f>VLOOKUP($A333,'[2]App C Share Outflows'!$A$4:$I$917,7,FALSE)</f>
        <v>221703</v>
      </c>
      <c r="AF333" s="2">
        <f>VLOOKUP($A333,'[2]App C Share Outflows'!$A$4:$I$917,8,FALSE)</f>
        <v>116978</v>
      </c>
      <c r="AG333" s="2">
        <f>VLOOKUP($A333,'[2]App C Share Outflows'!$A$4:$I$917,9,FALSE)</f>
        <v>0</v>
      </c>
      <c r="AH333" s="2"/>
      <c r="AI333" s="2">
        <f>VLOOKUP($A333,'[2]App C Share Inflows'!$A$4:$I$917,5,FALSE)</f>
        <v>-175055</v>
      </c>
      <c r="AJ333" s="2">
        <f>VLOOKUP($A333,'[2]App C Share Inflows'!$A$4:$I$917,6,FALSE)</f>
        <v>-18530</v>
      </c>
      <c r="AK333" s="2">
        <f>VLOOKUP($A333,'[2]App C Share Inflows'!$A$4:$I$917,7,FALSE)</f>
        <v>0</v>
      </c>
      <c r="AL333" s="2">
        <f>VLOOKUP($A333,'[2]App C Share Inflows'!$A$4:$I$917,8,FALSE)</f>
        <v>0</v>
      </c>
      <c r="AM333" s="2">
        <f>VLOOKUP($A333,'[2]App C Share Inflows'!$A$4:$I$917,6,FALSE)</f>
        <v>-18530</v>
      </c>
    </row>
    <row r="334" spans="1:39">
      <c r="A334" s="351">
        <v>93212</v>
      </c>
      <c r="B334" s="344" t="s">
        <v>3672</v>
      </c>
      <c r="C334" s="235" t="e">
        <f>VLOOKUP(A334,#REF!,10,FALSE)</f>
        <v>#REF!</v>
      </c>
      <c r="E334" s="2">
        <f>VLOOKUP($A334,'[2]App C Total'!$A$4:$I$917,5,FALSE)</f>
        <v>198517</v>
      </c>
      <c r="F334" s="2">
        <f>VLOOKUP($A334,'[2]App C Total'!$A$4:$I$917,6,FALSE)</f>
        <v>103822</v>
      </c>
      <c r="G334" s="2">
        <f>VLOOKUP($A334,'[2]App C Total'!$A$4:$I$917,7,FALSE)</f>
        <v>109948</v>
      </c>
      <c r="H334" s="2">
        <f>VLOOKUP($A334,'[2]App C Total'!$A$4:$I$917,8,FALSE)</f>
        <v>33047</v>
      </c>
      <c r="I334" s="2">
        <f>VLOOKUP($A334,'[2]App C Total'!$A$4:$I$917,9,FALSE)</f>
        <v>0</v>
      </c>
      <c r="J334" s="2"/>
      <c r="K334" s="2">
        <f>VLOOKUP($A334,'[2]App C Exp'!$A$4:$I$917,5,FALSE)</f>
        <v>35819</v>
      </c>
      <c r="L334" s="2">
        <f>VLOOKUP($A334,'[2]App C Exp'!$A$4:$I$917,6,FALSE)</f>
        <v>33694</v>
      </c>
      <c r="M334" s="2">
        <f>VLOOKUP($A334,'[2]App C Exp'!$A$4:$I$917,7,FALSE)</f>
        <v>30200</v>
      </c>
      <c r="N334" s="2">
        <f>VLOOKUP($A334,'[2]App C Exp'!$A$4:$I$917,8,FALSE)</f>
        <v>12092</v>
      </c>
      <c r="O334" s="2">
        <f>VLOOKUP($A334,'[2]App C Exp'!$A$4:$I$917,9,FALSE)</f>
        <v>0</v>
      </c>
      <c r="P334" s="2"/>
      <c r="Q334" s="2">
        <f>VLOOKUP($A334,'[2]App C Inv'!$A$4:$I$917,5,FALSE)</f>
        <v>38027</v>
      </c>
      <c r="R334" s="2">
        <f>VLOOKUP($A334,'[2]App C Inv'!$A$4:$I$917,6,FALSE)</f>
        <v>-32710</v>
      </c>
      <c r="S334" s="2">
        <f>VLOOKUP($A334,'[2]App C Inv'!$A$4:$I$917,7,FALSE)</f>
        <v>4610</v>
      </c>
      <c r="T334" s="2">
        <f>VLOOKUP($A334,'[2]App C Inv'!$A$4:$I$917,8,FALSE)</f>
        <v>6000</v>
      </c>
      <c r="U334" s="2">
        <f>VLOOKUP($A334,'[2]App C Inv'!$A$4:$I$917,9,FALSE)</f>
        <v>0</v>
      </c>
      <c r="V334" s="2"/>
      <c r="W334" s="2">
        <f>VLOOKUP($A334,'[2]App C Assum'!$A$4:$I$917,5,FALSE)</f>
        <v>42838</v>
      </c>
      <c r="X334" s="2">
        <f>VLOOKUP($A334,'[2]App C Assum'!$A$4:$I$917,6,FALSE)</f>
        <v>35094</v>
      </c>
      <c r="Y334" s="2">
        <f>VLOOKUP($A334,'[2]App C Assum'!$A$4:$I$917,7,FALSE)</f>
        <v>28490</v>
      </c>
      <c r="Z334" s="2">
        <f>VLOOKUP($A334,'[2]App C Assum'!$A$4:$I$917,8,FALSE)</f>
        <v>0</v>
      </c>
      <c r="AA334" s="2">
        <f>VLOOKUP($A334,'[2]App C Assum'!$A$4:$I$917,9,FALSE)</f>
        <v>0</v>
      </c>
      <c r="AB334" s="2"/>
      <c r="AC334" s="2">
        <f>VLOOKUP($A334,'[2]App C Share Outflows'!$A$4:$I$917,5,FALSE)</f>
        <v>81833</v>
      </c>
      <c r="AD334" s="2">
        <f>VLOOKUP($A334,'[2]App C Share Outflows'!$A$4:$I$917,6,FALSE)</f>
        <v>67744</v>
      </c>
      <c r="AE334" s="2">
        <f>VLOOKUP($A334,'[2]App C Share Outflows'!$A$4:$I$917,7,FALSE)</f>
        <v>46648</v>
      </c>
      <c r="AF334" s="2">
        <f>VLOOKUP($A334,'[2]App C Share Outflows'!$A$4:$I$917,8,FALSE)</f>
        <v>14955</v>
      </c>
      <c r="AG334" s="2">
        <f>VLOOKUP($A334,'[2]App C Share Outflows'!$A$4:$I$917,9,FALSE)</f>
        <v>0</v>
      </c>
      <c r="AH334" s="2"/>
      <c r="AI334" s="2">
        <f>VLOOKUP($A334,'[2]App C Share Inflows'!$A$4:$I$917,5,FALSE)</f>
        <v>0</v>
      </c>
      <c r="AJ334" s="2">
        <f>VLOOKUP($A334,'[2]App C Share Inflows'!$A$4:$I$917,6,FALSE)</f>
        <v>0</v>
      </c>
      <c r="AK334" s="2">
        <f>VLOOKUP($A334,'[2]App C Share Inflows'!$A$4:$I$917,7,FALSE)</f>
        <v>0</v>
      </c>
      <c r="AL334" s="2">
        <f>VLOOKUP($A334,'[2]App C Share Inflows'!$A$4:$I$917,8,FALSE)</f>
        <v>0</v>
      </c>
      <c r="AM334" s="2">
        <f>VLOOKUP($A334,'[2]App C Share Inflows'!$A$4:$I$917,6,FALSE)</f>
        <v>0</v>
      </c>
    </row>
    <row r="335" spans="1:39">
      <c r="A335" s="351">
        <v>93219</v>
      </c>
      <c r="B335" s="344" t="s">
        <v>1027</v>
      </c>
      <c r="C335" s="235" t="e">
        <f>VLOOKUP(A335,#REF!,10,FALSE)</f>
        <v>#REF!</v>
      </c>
      <c r="E335" s="2">
        <f>VLOOKUP($A335,'[2]App C Total'!$A$4:$I$917,5,FALSE)</f>
        <v>135835</v>
      </c>
      <c r="F335" s="2">
        <f>VLOOKUP($A335,'[2]App C Total'!$A$4:$I$917,6,FALSE)</f>
        <v>48441</v>
      </c>
      <c r="G335" s="2">
        <f>VLOOKUP($A335,'[2]App C Total'!$A$4:$I$917,7,FALSE)</f>
        <v>72655</v>
      </c>
      <c r="H335" s="2">
        <f>VLOOKUP($A335,'[2]App C Total'!$A$4:$I$917,8,FALSE)</f>
        <v>23673</v>
      </c>
      <c r="I335" s="2">
        <f>VLOOKUP($A335,'[2]App C Total'!$A$4:$I$917,9,FALSE)</f>
        <v>0</v>
      </c>
      <c r="J335" s="2"/>
      <c r="K335" s="2">
        <f>VLOOKUP($A335,'[2]App C Exp'!$A$4:$I$917,5,FALSE)</f>
        <v>39294</v>
      </c>
      <c r="L335" s="2">
        <f>VLOOKUP($A335,'[2]App C Exp'!$A$4:$I$917,6,FALSE)</f>
        <v>36963</v>
      </c>
      <c r="M335" s="2">
        <f>VLOOKUP($A335,'[2]App C Exp'!$A$4:$I$917,7,FALSE)</f>
        <v>33130</v>
      </c>
      <c r="N335" s="2">
        <f>VLOOKUP($A335,'[2]App C Exp'!$A$4:$I$917,8,FALSE)</f>
        <v>13265</v>
      </c>
      <c r="O335" s="2">
        <f>VLOOKUP($A335,'[2]App C Exp'!$A$4:$I$917,9,FALSE)</f>
        <v>0</v>
      </c>
      <c r="P335" s="2"/>
      <c r="Q335" s="2">
        <f>VLOOKUP($A335,'[2]App C Inv'!$A$4:$I$917,5,FALSE)</f>
        <v>41716</v>
      </c>
      <c r="R335" s="2">
        <f>VLOOKUP($A335,'[2]App C Inv'!$A$4:$I$917,6,FALSE)</f>
        <v>-35884</v>
      </c>
      <c r="S335" s="2">
        <f>VLOOKUP($A335,'[2]App C Inv'!$A$4:$I$917,7,FALSE)</f>
        <v>5057</v>
      </c>
      <c r="T335" s="2">
        <f>VLOOKUP($A335,'[2]App C Inv'!$A$4:$I$917,8,FALSE)</f>
        <v>6582</v>
      </c>
      <c r="U335" s="2">
        <f>VLOOKUP($A335,'[2]App C Inv'!$A$4:$I$917,9,FALSE)</f>
        <v>0</v>
      </c>
      <c r="V335" s="2"/>
      <c r="W335" s="2">
        <f>VLOOKUP($A335,'[2]App C Assum'!$A$4:$I$917,5,FALSE)</f>
        <v>46994</v>
      </c>
      <c r="X335" s="2">
        <f>VLOOKUP($A335,'[2]App C Assum'!$A$4:$I$917,6,FALSE)</f>
        <v>38499</v>
      </c>
      <c r="Y335" s="2">
        <f>VLOOKUP($A335,'[2]App C Assum'!$A$4:$I$917,7,FALSE)</f>
        <v>31255</v>
      </c>
      <c r="Z335" s="2">
        <f>VLOOKUP($A335,'[2]App C Assum'!$A$4:$I$917,8,FALSE)</f>
        <v>0</v>
      </c>
      <c r="AA335" s="2">
        <f>VLOOKUP($A335,'[2]App C Assum'!$A$4:$I$917,9,FALSE)</f>
        <v>0</v>
      </c>
      <c r="AB335" s="2"/>
      <c r="AC335" s="2">
        <f>VLOOKUP($A335,'[2]App C Share Outflows'!$A$4:$I$917,5,FALSE)</f>
        <v>9474</v>
      </c>
      <c r="AD335" s="2">
        <f>VLOOKUP($A335,'[2]App C Share Outflows'!$A$4:$I$917,6,FALSE)</f>
        <v>9476</v>
      </c>
      <c r="AE335" s="2">
        <f>VLOOKUP($A335,'[2]App C Share Outflows'!$A$4:$I$917,7,FALSE)</f>
        <v>3828</v>
      </c>
      <c r="AF335" s="2">
        <f>VLOOKUP($A335,'[2]App C Share Outflows'!$A$4:$I$917,8,FALSE)</f>
        <v>3826</v>
      </c>
      <c r="AG335" s="2">
        <f>VLOOKUP($A335,'[2]App C Share Outflows'!$A$4:$I$917,9,FALSE)</f>
        <v>0</v>
      </c>
      <c r="AH335" s="2"/>
      <c r="AI335" s="2">
        <f>VLOOKUP($A335,'[2]App C Share Inflows'!$A$4:$I$917,5,FALSE)</f>
        <v>-1643</v>
      </c>
      <c r="AJ335" s="2">
        <f>VLOOKUP($A335,'[2]App C Share Inflows'!$A$4:$I$917,6,FALSE)</f>
        <v>-613</v>
      </c>
      <c r="AK335" s="2">
        <f>VLOOKUP($A335,'[2]App C Share Inflows'!$A$4:$I$917,7,FALSE)</f>
        <v>-615</v>
      </c>
      <c r="AL335" s="2">
        <f>VLOOKUP($A335,'[2]App C Share Inflows'!$A$4:$I$917,8,FALSE)</f>
        <v>0</v>
      </c>
      <c r="AM335" s="2">
        <f>VLOOKUP($A335,'[2]App C Share Inflows'!$A$4:$I$917,6,FALSE)</f>
        <v>-613</v>
      </c>
    </row>
    <row r="336" spans="1:39">
      <c r="A336" s="351">
        <v>93301</v>
      </c>
      <c r="B336" s="344" t="s">
        <v>1028</v>
      </c>
      <c r="C336" s="235" t="e">
        <f>VLOOKUP(A336,#REF!,10,FALSE)</f>
        <v>#REF!</v>
      </c>
      <c r="E336" s="2">
        <f>VLOOKUP($A336,'[2]App C Total'!$A$4:$I$917,5,FALSE)</f>
        <v>1029015</v>
      </c>
      <c r="F336" s="2">
        <f>VLOOKUP($A336,'[2]App C Total'!$A$4:$I$917,6,FALSE)</f>
        <v>271155</v>
      </c>
      <c r="G336" s="2">
        <f>VLOOKUP($A336,'[2]App C Total'!$A$4:$I$917,7,FALSE)</f>
        <v>524790</v>
      </c>
      <c r="H336" s="2">
        <f>VLOOKUP($A336,'[2]App C Total'!$A$4:$I$917,8,FALSE)</f>
        <v>150996</v>
      </c>
      <c r="I336" s="2">
        <f>VLOOKUP($A336,'[2]App C Total'!$A$4:$I$917,9,FALSE)</f>
        <v>0</v>
      </c>
      <c r="J336" s="2"/>
      <c r="K336" s="2">
        <f>VLOOKUP($A336,'[2]App C Exp'!$A$4:$I$917,5,FALSE)</f>
        <v>330444</v>
      </c>
      <c r="L336" s="2">
        <f>VLOOKUP($A336,'[2]App C Exp'!$A$4:$I$917,6,FALSE)</f>
        <v>310841</v>
      </c>
      <c r="M336" s="2">
        <f>VLOOKUP($A336,'[2]App C Exp'!$A$4:$I$917,7,FALSE)</f>
        <v>278604</v>
      </c>
      <c r="N336" s="2">
        <f>VLOOKUP($A336,'[2]App C Exp'!$A$4:$I$917,8,FALSE)</f>
        <v>111550</v>
      </c>
      <c r="O336" s="2">
        <f>VLOOKUP($A336,'[2]App C Exp'!$A$4:$I$917,9,FALSE)</f>
        <v>0</v>
      </c>
      <c r="P336" s="2"/>
      <c r="Q336" s="2">
        <f>VLOOKUP($A336,'[2]App C Inv'!$A$4:$I$917,5,FALSE)</f>
        <v>350813</v>
      </c>
      <c r="R336" s="2">
        <f>VLOOKUP($A336,'[2]App C Inv'!$A$4:$I$917,6,FALSE)</f>
        <v>-301764</v>
      </c>
      <c r="S336" s="2">
        <f>VLOOKUP($A336,'[2]App C Inv'!$A$4:$I$917,7,FALSE)</f>
        <v>42530</v>
      </c>
      <c r="T336" s="2">
        <f>VLOOKUP($A336,'[2]App C Inv'!$A$4:$I$917,8,FALSE)</f>
        <v>55352</v>
      </c>
      <c r="U336" s="2">
        <f>VLOOKUP($A336,'[2]App C Inv'!$A$4:$I$917,9,FALSE)</f>
        <v>0</v>
      </c>
      <c r="V336" s="2"/>
      <c r="W336" s="2">
        <f>VLOOKUP($A336,'[2]App C Assum'!$A$4:$I$917,5,FALSE)</f>
        <v>395196</v>
      </c>
      <c r="X336" s="2">
        <f>VLOOKUP($A336,'[2]App C Assum'!$A$4:$I$917,6,FALSE)</f>
        <v>323759</v>
      </c>
      <c r="Y336" s="2">
        <f>VLOOKUP($A336,'[2]App C Assum'!$A$4:$I$917,7,FALSE)</f>
        <v>262837</v>
      </c>
      <c r="Z336" s="2">
        <f>VLOOKUP($A336,'[2]App C Assum'!$A$4:$I$917,8,FALSE)</f>
        <v>0</v>
      </c>
      <c r="AA336" s="2">
        <f>VLOOKUP($A336,'[2]App C Assum'!$A$4:$I$917,9,FALSE)</f>
        <v>0</v>
      </c>
      <c r="AB336" s="2"/>
      <c r="AC336" s="2">
        <f>VLOOKUP($A336,'[2]App C Share Outflows'!$A$4:$I$917,5,FALSE)</f>
        <v>14244</v>
      </c>
      <c r="AD336" s="2">
        <f>VLOOKUP($A336,'[2]App C Share Outflows'!$A$4:$I$917,6,FALSE)</f>
        <v>0</v>
      </c>
      <c r="AE336" s="2">
        <f>VLOOKUP($A336,'[2]App C Share Outflows'!$A$4:$I$917,7,FALSE)</f>
        <v>0</v>
      </c>
      <c r="AF336" s="2">
        <f>VLOOKUP($A336,'[2]App C Share Outflows'!$A$4:$I$917,8,FALSE)</f>
        <v>0</v>
      </c>
      <c r="AG336" s="2">
        <f>VLOOKUP($A336,'[2]App C Share Outflows'!$A$4:$I$917,9,FALSE)</f>
        <v>0</v>
      </c>
      <c r="AH336" s="2"/>
      <c r="AI336" s="2">
        <f>VLOOKUP($A336,'[2]App C Share Inflows'!$A$4:$I$917,5,FALSE)</f>
        <v>-61682</v>
      </c>
      <c r="AJ336" s="2">
        <f>VLOOKUP($A336,'[2]App C Share Inflows'!$A$4:$I$917,6,FALSE)</f>
        <v>-61681</v>
      </c>
      <c r="AK336" s="2">
        <f>VLOOKUP($A336,'[2]App C Share Inflows'!$A$4:$I$917,7,FALSE)</f>
        <v>-59181</v>
      </c>
      <c r="AL336" s="2">
        <f>VLOOKUP($A336,'[2]App C Share Inflows'!$A$4:$I$917,8,FALSE)</f>
        <v>-15906</v>
      </c>
      <c r="AM336" s="2">
        <f>VLOOKUP($A336,'[2]App C Share Inflows'!$A$4:$I$917,6,FALSE)</f>
        <v>-61681</v>
      </c>
    </row>
    <row r="337" spans="1:39">
      <c r="A337" s="351">
        <v>93304</v>
      </c>
      <c r="B337" s="344" t="s">
        <v>1029</v>
      </c>
      <c r="C337" s="235" t="e">
        <f>VLOOKUP(A337,#REF!,10,FALSE)</f>
        <v>#REF!</v>
      </c>
      <c r="E337" s="2">
        <f>VLOOKUP($A337,'[2]App C Total'!$A$4:$I$917,5,FALSE)</f>
        <v>23213</v>
      </c>
      <c r="F337" s="2">
        <f>VLOOKUP($A337,'[2]App C Total'!$A$4:$I$917,6,FALSE)</f>
        <v>9419</v>
      </c>
      <c r="G337" s="2">
        <f>VLOOKUP($A337,'[2]App C Total'!$A$4:$I$917,7,FALSE)</f>
        <v>13720</v>
      </c>
      <c r="H337" s="2">
        <f>VLOOKUP($A337,'[2]App C Total'!$A$4:$I$917,8,FALSE)</f>
        <v>4809</v>
      </c>
      <c r="I337" s="2">
        <f>VLOOKUP($A337,'[2]App C Total'!$A$4:$I$917,9,FALSE)</f>
        <v>0</v>
      </c>
      <c r="J337" s="2"/>
      <c r="K337" s="2">
        <f>VLOOKUP($A337,'[2]App C Exp'!$A$4:$I$917,5,FALSE)</f>
        <v>5902</v>
      </c>
      <c r="L337" s="2">
        <f>VLOOKUP($A337,'[2]App C Exp'!$A$4:$I$917,6,FALSE)</f>
        <v>5552</v>
      </c>
      <c r="M337" s="2">
        <f>VLOOKUP($A337,'[2]App C Exp'!$A$4:$I$917,7,FALSE)</f>
        <v>4976</v>
      </c>
      <c r="N337" s="2">
        <f>VLOOKUP($A337,'[2]App C Exp'!$A$4:$I$917,8,FALSE)</f>
        <v>1992</v>
      </c>
      <c r="O337" s="2">
        <f>VLOOKUP($A337,'[2]App C Exp'!$A$4:$I$917,9,FALSE)</f>
        <v>0</v>
      </c>
      <c r="P337" s="2"/>
      <c r="Q337" s="2">
        <f>VLOOKUP($A337,'[2]App C Inv'!$A$4:$I$917,5,FALSE)</f>
        <v>6266</v>
      </c>
      <c r="R337" s="2">
        <f>VLOOKUP($A337,'[2]App C Inv'!$A$4:$I$917,6,FALSE)</f>
        <v>-5390</v>
      </c>
      <c r="S337" s="2">
        <f>VLOOKUP($A337,'[2]App C Inv'!$A$4:$I$917,7,FALSE)</f>
        <v>760</v>
      </c>
      <c r="T337" s="2">
        <f>VLOOKUP($A337,'[2]App C Inv'!$A$4:$I$917,8,FALSE)</f>
        <v>989</v>
      </c>
      <c r="U337" s="2">
        <f>VLOOKUP($A337,'[2]App C Inv'!$A$4:$I$917,9,FALSE)</f>
        <v>0</v>
      </c>
      <c r="V337" s="2"/>
      <c r="W337" s="2">
        <f>VLOOKUP($A337,'[2]App C Assum'!$A$4:$I$917,5,FALSE)</f>
        <v>7059</v>
      </c>
      <c r="X337" s="2">
        <f>VLOOKUP($A337,'[2]App C Assum'!$A$4:$I$917,6,FALSE)</f>
        <v>5783</v>
      </c>
      <c r="Y337" s="2">
        <f>VLOOKUP($A337,'[2]App C Assum'!$A$4:$I$917,7,FALSE)</f>
        <v>4695</v>
      </c>
      <c r="Z337" s="2">
        <f>VLOOKUP($A337,'[2]App C Assum'!$A$4:$I$917,8,FALSE)</f>
        <v>0</v>
      </c>
      <c r="AA337" s="2">
        <f>VLOOKUP($A337,'[2]App C Assum'!$A$4:$I$917,9,FALSE)</f>
        <v>0</v>
      </c>
      <c r="AB337" s="2"/>
      <c r="AC337" s="2">
        <f>VLOOKUP($A337,'[2]App C Share Outflows'!$A$4:$I$917,5,FALSE)</f>
        <v>3986</v>
      </c>
      <c r="AD337" s="2">
        <f>VLOOKUP($A337,'[2]App C Share Outflows'!$A$4:$I$917,6,FALSE)</f>
        <v>3474</v>
      </c>
      <c r="AE337" s="2">
        <f>VLOOKUP($A337,'[2]App C Share Outflows'!$A$4:$I$917,7,FALSE)</f>
        <v>3289</v>
      </c>
      <c r="AF337" s="2">
        <f>VLOOKUP($A337,'[2]App C Share Outflows'!$A$4:$I$917,8,FALSE)</f>
        <v>1828</v>
      </c>
      <c r="AG337" s="2">
        <f>VLOOKUP($A337,'[2]App C Share Outflows'!$A$4:$I$917,9,FALSE)</f>
        <v>0</v>
      </c>
      <c r="AH337" s="2"/>
      <c r="AI337" s="2">
        <f>VLOOKUP($A337,'[2]App C Share Inflows'!$A$4:$I$917,5,FALSE)</f>
        <v>0</v>
      </c>
      <c r="AJ337" s="2">
        <f>VLOOKUP($A337,'[2]App C Share Inflows'!$A$4:$I$917,6,FALSE)</f>
        <v>0</v>
      </c>
      <c r="AK337" s="2">
        <f>VLOOKUP($A337,'[2]App C Share Inflows'!$A$4:$I$917,7,FALSE)</f>
        <v>0</v>
      </c>
      <c r="AL337" s="2">
        <f>VLOOKUP($A337,'[2]App C Share Inflows'!$A$4:$I$917,8,FALSE)</f>
        <v>0</v>
      </c>
      <c r="AM337" s="2">
        <f>VLOOKUP($A337,'[2]App C Share Inflows'!$A$4:$I$917,6,FALSE)</f>
        <v>0</v>
      </c>
    </row>
    <row r="338" spans="1:39">
      <c r="A338" s="351">
        <v>93305</v>
      </c>
      <c r="B338" s="344" t="s">
        <v>1030</v>
      </c>
      <c r="C338" s="235" t="e">
        <f>VLOOKUP(A338,#REF!,10,FALSE)</f>
        <v>#REF!</v>
      </c>
      <c r="E338" s="2">
        <f>VLOOKUP($A338,'[2]App C Total'!$A$4:$I$917,5,FALSE)</f>
        <v>16736</v>
      </c>
      <c r="F338" s="2">
        <f>VLOOKUP($A338,'[2]App C Total'!$A$4:$I$917,6,FALSE)</f>
        <v>3706</v>
      </c>
      <c r="G338" s="2">
        <f>VLOOKUP($A338,'[2]App C Total'!$A$4:$I$917,7,FALSE)</f>
        <v>9095</v>
      </c>
      <c r="H338" s="2">
        <f>VLOOKUP($A338,'[2]App C Total'!$A$4:$I$917,8,FALSE)</f>
        <v>2064</v>
      </c>
      <c r="I338" s="2">
        <f>VLOOKUP($A338,'[2]App C Total'!$A$4:$I$917,9,FALSE)</f>
        <v>0</v>
      </c>
      <c r="J338" s="2"/>
      <c r="K338" s="2">
        <f>VLOOKUP($A338,'[2]App C Exp'!$A$4:$I$917,5,FALSE)</f>
        <v>6037</v>
      </c>
      <c r="L338" s="2">
        <f>VLOOKUP($A338,'[2]App C Exp'!$A$4:$I$917,6,FALSE)</f>
        <v>5679</v>
      </c>
      <c r="M338" s="2">
        <f>VLOOKUP($A338,'[2]App C Exp'!$A$4:$I$917,7,FALSE)</f>
        <v>5090</v>
      </c>
      <c r="N338" s="2">
        <f>VLOOKUP($A338,'[2]App C Exp'!$A$4:$I$917,8,FALSE)</f>
        <v>2038</v>
      </c>
      <c r="O338" s="2">
        <f>VLOOKUP($A338,'[2]App C Exp'!$A$4:$I$917,9,FALSE)</f>
        <v>0</v>
      </c>
      <c r="P338" s="2"/>
      <c r="Q338" s="2">
        <f>VLOOKUP($A338,'[2]App C Inv'!$A$4:$I$917,5,FALSE)</f>
        <v>6409</v>
      </c>
      <c r="R338" s="2">
        <f>VLOOKUP($A338,'[2]App C Inv'!$A$4:$I$917,6,FALSE)</f>
        <v>-5513</v>
      </c>
      <c r="S338" s="2">
        <f>VLOOKUP($A338,'[2]App C Inv'!$A$4:$I$917,7,FALSE)</f>
        <v>777</v>
      </c>
      <c r="T338" s="2">
        <f>VLOOKUP($A338,'[2]App C Inv'!$A$4:$I$917,8,FALSE)</f>
        <v>1011</v>
      </c>
      <c r="U338" s="2">
        <f>VLOOKUP($A338,'[2]App C Inv'!$A$4:$I$917,9,FALSE)</f>
        <v>0</v>
      </c>
      <c r="V338" s="2"/>
      <c r="W338" s="2">
        <f>VLOOKUP($A338,'[2]App C Assum'!$A$4:$I$917,5,FALSE)</f>
        <v>7220</v>
      </c>
      <c r="X338" s="2">
        <f>VLOOKUP($A338,'[2]App C Assum'!$A$4:$I$917,6,FALSE)</f>
        <v>5915</v>
      </c>
      <c r="Y338" s="2">
        <f>VLOOKUP($A338,'[2]App C Assum'!$A$4:$I$917,7,FALSE)</f>
        <v>4802</v>
      </c>
      <c r="Z338" s="2">
        <f>VLOOKUP($A338,'[2]App C Assum'!$A$4:$I$917,8,FALSE)</f>
        <v>0</v>
      </c>
      <c r="AA338" s="2">
        <f>VLOOKUP($A338,'[2]App C Assum'!$A$4:$I$917,9,FALSE)</f>
        <v>0</v>
      </c>
      <c r="AB338" s="2"/>
      <c r="AC338" s="2">
        <f>VLOOKUP($A338,'[2]App C Share Outflows'!$A$4:$I$917,5,FALSE)</f>
        <v>0</v>
      </c>
      <c r="AD338" s="2">
        <f>VLOOKUP($A338,'[2]App C Share Outflows'!$A$4:$I$917,6,FALSE)</f>
        <v>0</v>
      </c>
      <c r="AE338" s="2">
        <f>VLOOKUP($A338,'[2]App C Share Outflows'!$A$4:$I$917,7,FALSE)</f>
        <v>0</v>
      </c>
      <c r="AF338" s="2">
        <f>VLOOKUP($A338,'[2]App C Share Outflows'!$A$4:$I$917,8,FALSE)</f>
        <v>0</v>
      </c>
      <c r="AG338" s="2">
        <f>VLOOKUP($A338,'[2]App C Share Outflows'!$A$4:$I$917,9,FALSE)</f>
        <v>0</v>
      </c>
      <c r="AH338" s="2"/>
      <c r="AI338" s="2">
        <f>VLOOKUP($A338,'[2]App C Share Inflows'!$A$4:$I$917,5,FALSE)</f>
        <v>-2930</v>
      </c>
      <c r="AJ338" s="2">
        <f>VLOOKUP($A338,'[2]App C Share Inflows'!$A$4:$I$917,6,FALSE)</f>
        <v>-2375</v>
      </c>
      <c r="AK338" s="2">
        <f>VLOOKUP($A338,'[2]App C Share Inflows'!$A$4:$I$917,7,FALSE)</f>
        <v>-1574</v>
      </c>
      <c r="AL338" s="2">
        <f>VLOOKUP($A338,'[2]App C Share Inflows'!$A$4:$I$917,8,FALSE)</f>
        <v>-985</v>
      </c>
      <c r="AM338" s="2">
        <f>VLOOKUP($A338,'[2]App C Share Inflows'!$A$4:$I$917,6,FALSE)</f>
        <v>-2375</v>
      </c>
    </row>
    <row r="339" spans="1:39">
      <c r="A339" s="351">
        <v>93309</v>
      </c>
      <c r="B339" s="344" t="s">
        <v>1031</v>
      </c>
      <c r="C339" s="235" t="e">
        <f>VLOOKUP(A339,#REF!,10,FALSE)</f>
        <v>#REF!</v>
      </c>
      <c r="E339" s="2">
        <f>VLOOKUP($A339,'[2]App C Total'!$A$4:$I$917,5,FALSE)</f>
        <v>91409</v>
      </c>
      <c r="F339" s="2">
        <f>VLOOKUP($A339,'[2]App C Total'!$A$4:$I$917,6,FALSE)</f>
        <v>32867</v>
      </c>
      <c r="G339" s="2">
        <f>VLOOKUP($A339,'[2]App C Total'!$A$4:$I$917,7,FALSE)</f>
        <v>49955</v>
      </c>
      <c r="H339" s="2">
        <f>VLOOKUP($A339,'[2]App C Total'!$A$4:$I$917,8,FALSE)</f>
        <v>15189</v>
      </c>
      <c r="I339" s="2">
        <f>VLOOKUP($A339,'[2]App C Total'!$A$4:$I$917,9,FALSE)</f>
        <v>0</v>
      </c>
      <c r="J339" s="2"/>
      <c r="K339" s="2">
        <f>VLOOKUP($A339,'[2]App C Exp'!$A$4:$I$917,5,FALSE)</f>
        <v>24329</v>
      </c>
      <c r="L339" s="2">
        <f>VLOOKUP($A339,'[2]App C Exp'!$A$4:$I$917,6,FALSE)</f>
        <v>22885</v>
      </c>
      <c r="M339" s="2">
        <f>VLOOKUP($A339,'[2]App C Exp'!$A$4:$I$917,7,FALSE)</f>
        <v>20512</v>
      </c>
      <c r="N339" s="2">
        <f>VLOOKUP($A339,'[2]App C Exp'!$A$4:$I$917,8,FALSE)</f>
        <v>8213</v>
      </c>
      <c r="O339" s="2">
        <f>VLOOKUP($A339,'[2]App C Exp'!$A$4:$I$917,9,FALSE)</f>
        <v>0</v>
      </c>
      <c r="P339" s="2"/>
      <c r="Q339" s="2">
        <f>VLOOKUP($A339,'[2]App C Inv'!$A$4:$I$917,5,FALSE)</f>
        <v>25828</v>
      </c>
      <c r="R339" s="2">
        <f>VLOOKUP($A339,'[2]App C Inv'!$A$4:$I$917,6,FALSE)</f>
        <v>-22217</v>
      </c>
      <c r="S339" s="2">
        <f>VLOOKUP($A339,'[2]App C Inv'!$A$4:$I$917,7,FALSE)</f>
        <v>3131</v>
      </c>
      <c r="T339" s="2">
        <f>VLOOKUP($A339,'[2]App C Inv'!$A$4:$I$917,8,FALSE)</f>
        <v>4075</v>
      </c>
      <c r="U339" s="2">
        <f>VLOOKUP($A339,'[2]App C Inv'!$A$4:$I$917,9,FALSE)</f>
        <v>0</v>
      </c>
      <c r="V339" s="2"/>
      <c r="W339" s="2">
        <f>VLOOKUP($A339,'[2]App C Assum'!$A$4:$I$917,5,FALSE)</f>
        <v>29096</v>
      </c>
      <c r="X339" s="2">
        <f>VLOOKUP($A339,'[2]App C Assum'!$A$4:$I$917,6,FALSE)</f>
        <v>23836</v>
      </c>
      <c r="Y339" s="2">
        <f>VLOOKUP($A339,'[2]App C Assum'!$A$4:$I$917,7,FALSE)</f>
        <v>19351</v>
      </c>
      <c r="Z339" s="2">
        <f>VLOOKUP($A339,'[2]App C Assum'!$A$4:$I$917,8,FALSE)</f>
        <v>0</v>
      </c>
      <c r="AA339" s="2">
        <f>VLOOKUP($A339,'[2]App C Assum'!$A$4:$I$917,9,FALSE)</f>
        <v>0</v>
      </c>
      <c r="AB339" s="2"/>
      <c r="AC339" s="2">
        <f>VLOOKUP($A339,'[2]App C Share Outflows'!$A$4:$I$917,5,FALSE)</f>
        <v>12156</v>
      </c>
      <c r="AD339" s="2">
        <f>VLOOKUP($A339,'[2]App C Share Outflows'!$A$4:$I$917,6,FALSE)</f>
        <v>8363</v>
      </c>
      <c r="AE339" s="2">
        <f>VLOOKUP($A339,'[2]App C Share Outflows'!$A$4:$I$917,7,FALSE)</f>
        <v>6961</v>
      </c>
      <c r="AF339" s="2">
        <f>VLOOKUP($A339,'[2]App C Share Outflows'!$A$4:$I$917,8,FALSE)</f>
        <v>2901</v>
      </c>
      <c r="AG339" s="2">
        <f>VLOOKUP($A339,'[2]App C Share Outflows'!$A$4:$I$917,9,FALSE)</f>
        <v>0</v>
      </c>
      <c r="AH339" s="2"/>
      <c r="AI339" s="2">
        <f>VLOOKUP($A339,'[2]App C Share Inflows'!$A$4:$I$917,5,FALSE)</f>
        <v>0</v>
      </c>
      <c r="AJ339" s="2">
        <f>VLOOKUP($A339,'[2]App C Share Inflows'!$A$4:$I$917,6,FALSE)</f>
        <v>0</v>
      </c>
      <c r="AK339" s="2">
        <f>VLOOKUP($A339,'[2]App C Share Inflows'!$A$4:$I$917,7,FALSE)</f>
        <v>0</v>
      </c>
      <c r="AL339" s="2">
        <f>VLOOKUP($A339,'[2]App C Share Inflows'!$A$4:$I$917,8,FALSE)</f>
        <v>0</v>
      </c>
      <c r="AM339" s="2">
        <f>VLOOKUP($A339,'[2]App C Share Inflows'!$A$4:$I$917,6,FALSE)</f>
        <v>0</v>
      </c>
    </row>
    <row r="340" spans="1:39">
      <c r="A340" s="351">
        <v>93311</v>
      </c>
      <c r="B340" s="344" t="s">
        <v>1032</v>
      </c>
      <c r="C340" s="235" t="e">
        <f>VLOOKUP(A340,#REF!,10,FALSE)</f>
        <v>#REF!</v>
      </c>
      <c r="E340" s="2">
        <f>VLOOKUP($A340,'[2]App C Total'!$A$4:$I$917,5,FALSE)</f>
        <v>579270</v>
      </c>
      <c r="F340" s="2">
        <f>VLOOKUP($A340,'[2]App C Total'!$A$4:$I$917,6,FALSE)</f>
        <v>178810</v>
      </c>
      <c r="G340" s="2">
        <f>VLOOKUP($A340,'[2]App C Total'!$A$4:$I$917,7,FALSE)</f>
        <v>319720</v>
      </c>
      <c r="H340" s="2">
        <f>VLOOKUP($A340,'[2]App C Total'!$A$4:$I$917,8,FALSE)</f>
        <v>79626</v>
      </c>
      <c r="I340" s="2">
        <f>VLOOKUP($A340,'[2]App C Total'!$A$4:$I$917,9,FALSE)</f>
        <v>0</v>
      </c>
      <c r="J340" s="2"/>
      <c r="K340" s="2">
        <f>VLOOKUP($A340,'[2]App C Exp'!$A$4:$I$917,5,FALSE)</f>
        <v>185970</v>
      </c>
      <c r="L340" s="2">
        <f>VLOOKUP($A340,'[2]App C Exp'!$A$4:$I$917,6,FALSE)</f>
        <v>174938</v>
      </c>
      <c r="M340" s="2">
        <f>VLOOKUP($A340,'[2]App C Exp'!$A$4:$I$917,7,FALSE)</f>
        <v>156795</v>
      </c>
      <c r="N340" s="2">
        <f>VLOOKUP($A340,'[2]App C Exp'!$A$4:$I$917,8,FALSE)</f>
        <v>62779</v>
      </c>
      <c r="O340" s="2">
        <f>VLOOKUP($A340,'[2]App C Exp'!$A$4:$I$917,9,FALSE)</f>
        <v>0</v>
      </c>
      <c r="P340" s="2"/>
      <c r="Q340" s="2">
        <f>VLOOKUP($A340,'[2]App C Inv'!$A$4:$I$917,5,FALSE)</f>
        <v>197433</v>
      </c>
      <c r="R340" s="2">
        <f>VLOOKUP($A340,'[2]App C Inv'!$A$4:$I$917,6,FALSE)</f>
        <v>-169830</v>
      </c>
      <c r="S340" s="2">
        <f>VLOOKUP($A340,'[2]App C Inv'!$A$4:$I$917,7,FALSE)</f>
        <v>23935</v>
      </c>
      <c r="T340" s="2">
        <f>VLOOKUP($A340,'[2]App C Inv'!$A$4:$I$917,8,FALSE)</f>
        <v>31152</v>
      </c>
      <c r="U340" s="2">
        <f>VLOOKUP($A340,'[2]App C Inv'!$A$4:$I$917,9,FALSE)</f>
        <v>0</v>
      </c>
      <c r="V340" s="2"/>
      <c r="W340" s="2">
        <f>VLOOKUP($A340,'[2]App C Assum'!$A$4:$I$917,5,FALSE)</f>
        <v>222412</v>
      </c>
      <c r="X340" s="2">
        <f>VLOOKUP($A340,'[2]App C Assum'!$A$4:$I$917,6,FALSE)</f>
        <v>182208</v>
      </c>
      <c r="Y340" s="2">
        <f>VLOOKUP($A340,'[2]App C Assum'!$A$4:$I$917,7,FALSE)</f>
        <v>147921</v>
      </c>
      <c r="Z340" s="2">
        <f>VLOOKUP($A340,'[2]App C Assum'!$A$4:$I$917,8,FALSE)</f>
        <v>0</v>
      </c>
      <c r="AA340" s="2">
        <f>VLOOKUP($A340,'[2]App C Assum'!$A$4:$I$917,9,FALSE)</f>
        <v>0</v>
      </c>
      <c r="AB340" s="2"/>
      <c r="AC340" s="2">
        <f>VLOOKUP($A340,'[2]App C Share Outflows'!$A$4:$I$917,5,FALSE)</f>
        <v>5800</v>
      </c>
      <c r="AD340" s="2">
        <f>VLOOKUP($A340,'[2]App C Share Outflows'!$A$4:$I$917,6,FALSE)</f>
        <v>5799</v>
      </c>
      <c r="AE340" s="2">
        <f>VLOOKUP($A340,'[2]App C Share Outflows'!$A$4:$I$917,7,FALSE)</f>
        <v>5374</v>
      </c>
      <c r="AF340" s="2">
        <f>VLOOKUP($A340,'[2]App C Share Outflows'!$A$4:$I$917,8,FALSE)</f>
        <v>0</v>
      </c>
      <c r="AG340" s="2">
        <f>VLOOKUP($A340,'[2]App C Share Outflows'!$A$4:$I$917,9,FALSE)</f>
        <v>0</v>
      </c>
      <c r="AH340" s="2"/>
      <c r="AI340" s="2">
        <f>VLOOKUP($A340,'[2]App C Share Inflows'!$A$4:$I$917,5,FALSE)</f>
        <v>-32345</v>
      </c>
      <c r="AJ340" s="2">
        <f>VLOOKUP($A340,'[2]App C Share Inflows'!$A$4:$I$917,6,FALSE)</f>
        <v>-14305</v>
      </c>
      <c r="AK340" s="2">
        <f>VLOOKUP($A340,'[2]App C Share Inflows'!$A$4:$I$917,7,FALSE)</f>
        <v>-14305</v>
      </c>
      <c r="AL340" s="2">
        <f>VLOOKUP($A340,'[2]App C Share Inflows'!$A$4:$I$917,8,FALSE)</f>
        <v>-14305</v>
      </c>
      <c r="AM340" s="2">
        <f>VLOOKUP($A340,'[2]App C Share Inflows'!$A$4:$I$917,6,FALSE)</f>
        <v>-14305</v>
      </c>
    </row>
    <row r="341" spans="1:39">
      <c r="A341" s="351">
        <v>93317</v>
      </c>
      <c r="B341" s="344" t="s">
        <v>1033</v>
      </c>
      <c r="C341" s="235" t="e">
        <f>VLOOKUP(A341,#REF!,10,FALSE)</f>
        <v>#REF!</v>
      </c>
      <c r="E341" s="2">
        <f>VLOOKUP($A341,'[2]App C Total'!$A$4:$I$917,5,FALSE)</f>
        <v>18589</v>
      </c>
      <c r="F341" s="2">
        <f>VLOOKUP($A341,'[2]App C Total'!$A$4:$I$917,6,FALSE)</f>
        <v>4585</v>
      </c>
      <c r="G341" s="2">
        <f>VLOOKUP($A341,'[2]App C Total'!$A$4:$I$917,7,FALSE)</f>
        <v>9186</v>
      </c>
      <c r="H341" s="2">
        <f>VLOOKUP($A341,'[2]App C Total'!$A$4:$I$917,8,FALSE)</f>
        <v>2085</v>
      </c>
      <c r="I341" s="2">
        <f>VLOOKUP($A341,'[2]App C Total'!$A$4:$I$917,9,FALSE)</f>
        <v>0</v>
      </c>
      <c r="J341" s="2"/>
      <c r="K341" s="2">
        <f>VLOOKUP($A341,'[2]App C Exp'!$A$4:$I$917,5,FALSE)</f>
        <v>6172</v>
      </c>
      <c r="L341" s="2">
        <f>VLOOKUP($A341,'[2]App C Exp'!$A$4:$I$917,6,FALSE)</f>
        <v>5806</v>
      </c>
      <c r="M341" s="2">
        <f>VLOOKUP($A341,'[2]App C Exp'!$A$4:$I$917,7,FALSE)</f>
        <v>5204</v>
      </c>
      <c r="N341" s="2">
        <f>VLOOKUP($A341,'[2]App C Exp'!$A$4:$I$917,8,FALSE)</f>
        <v>2084</v>
      </c>
      <c r="O341" s="2">
        <f>VLOOKUP($A341,'[2]App C Exp'!$A$4:$I$917,9,FALSE)</f>
        <v>0</v>
      </c>
      <c r="P341" s="2"/>
      <c r="Q341" s="2">
        <f>VLOOKUP($A341,'[2]App C Inv'!$A$4:$I$917,5,FALSE)</f>
        <v>6552</v>
      </c>
      <c r="R341" s="2">
        <f>VLOOKUP($A341,'[2]App C Inv'!$A$4:$I$917,6,FALSE)</f>
        <v>-5636</v>
      </c>
      <c r="S341" s="2">
        <f>VLOOKUP($A341,'[2]App C Inv'!$A$4:$I$917,7,FALSE)</f>
        <v>794</v>
      </c>
      <c r="T341" s="2">
        <f>VLOOKUP($A341,'[2]App C Inv'!$A$4:$I$917,8,FALSE)</f>
        <v>1034</v>
      </c>
      <c r="U341" s="2">
        <f>VLOOKUP($A341,'[2]App C Inv'!$A$4:$I$917,9,FALSE)</f>
        <v>0</v>
      </c>
      <c r="V341" s="2"/>
      <c r="W341" s="2">
        <f>VLOOKUP($A341,'[2]App C Assum'!$A$4:$I$917,5,FALSE)</f>
        <v>7381</v>
      </c>
      <c r="X341" s="2">
        <f>VLOOKUP($A341,'[2]App C Assum'!$A$4:$I$917,6,FALSE)</f>
        <v>6047</v>
      </c>
      <c r="Y341" s="2">
        <f>VLOOKUP($A341,'[2]App C Assum'!$A$4:$I$917,7,FALSE)</f>
        <v>4909</v>
      </c>
      <c r="Z341" s="2">
        <f>VLOOKUP($A341,'[2]App C Assum'!$A$4:$I$917,8,FALSE)</f>
        <v>0</v>
      </c>
      <c r="AA341" s="2">
        <f>VLOOKUP($A341,'[2]App C Assum'!$A$4:$I$917,9,FALSE)</f>
        <v>0</v>
      </c>
      <c r="AB341" s="2"/>
      <c r="AC341" s="2">
        <f>VLOOKUP($A341,'[2]App C Share Outflows'!$A$4:$I$917,5,FALSE)</f>
        <v>207</v>
      </c>
      <c r="AD341" s="2">
        <f>VLOOKUP($A341,'[2]App C Share Outflows'!$A$4:$I$917,6,FALSE)</f>
        <v>91</v>
      </c>
      <c r="AE341" s="2">
        <f>VLOOKUP($A341,'[2]App C Share Outflows'!$A$4:$I$917,7,FALSE)</f>
        <v>0</v>
      </c>
      <c r="AF341" s="2">
        <f>VLOOKUP($A341,'[2]App C Share Outflows'!$A$4:$I$917,8,FALSE)</f>
        <v>0</v>
      </c>
      <c r="AG341" s="2">
        <f>VLOOKUP($A341,'[2]App C Share Outflows'!$A$4:$I$917,9,FALSE)</f>
        <v>0</v>
      </c>
      <c r="AH341" s="2"/>
      <c r="AI341" s="2">
        <f>VLOOKUP($A341,'[2]App C Share Inflows'!$A$4:$I$917,5,FALSE)</f>
        <v>-1723</v>
      </c>
      <c r="AJ341" s="2">
        <f>VLOOKUP($A341,'[2]App C Share Inflows'!$A$4:$I$917,6,FALSE)</f>
        <v>-1723</v>
      </c>
      <c r="AK341" s="2">
        <f>VLOOKUP($A341,'[2]App C Share Inflows'!$A$4:$I$917,7,FALSE)</f>
        <v>-1721</v>
      </c>
      <c r="AL341" s="2">
        <f>VLOOKUP($A341,'[2]App C Share Inflows'!$A$4:$I$917,8,FALSE)</f>
        <v>-1033</v>
      </c>
      <c r="AM341" s="2">
        <f>VLOOKUP($A341,'[2]App C Share Inflows'!$A$4:$I$917,6,FALSE)</f>
        <v>-1723</v>
      </c>
    </row>
    <row r="342" spans="1:39">
      <c r="A342" s="351">
        <v>93321</v>
      </c>
      <c r="B342" s="344" t="s">
        <v>1034</v>
      </c>
      <c r="C342" s="235" t="e">
        <f>VLOOKUP(A342,#REF!,10,FALSE)</f>
        <v>#REF!</v>
      </c>
      <c r="E342" s="2">
        <f>VLOOKUP($A342,'[2]App C Total'!$A$4:$I$917,5,FALSE)</f>
        <v>3061527</v>
      </c>
      <c r="F342" s="2">
        <f>VLOOKUP($A342,'[2]App C Total'!$A$4:$I$917,6,FALSE)</f>
        <v>839671</v>
      </c>
      <c r="G342" s="2">
        <f>VLOOKUP($A342,'[2]App C Total'!$A$4:$I$917,7,FALSE)</f>
        <v>1666677</v>
      </c>
      <c r="H342" s="2">
        <f>VLOOKUP($A342,'[2]App C Total'!$A$4:$I$917,8,FALSE)</f>
        <v>449150</v>
      </c>
      <c r="I342" s="2">
        <f>VLOOKUP($A342,'[2]App C Total'!$A$4:$I$917,9,FALSE)</f>
        <v>0</v>
      </c>
      <c r="J342" s="2"/>
      <c r="K342" s="2">
        <f>VLOOKUP($A342,'[2]App C Exp'!$A$4:$I$917,5,FALSE)</f>
        <v>1018268</v>
      </c>
      <c r="L342" s="2">
        <f>VLOOKUP($A342,'[2]App C Exp'!$A$4:$I$917,6,FALSE)</f>
        <v>957861</v>
      </c>
      <c r="M342" s="2">
        <f>VLOOKUP($A342,'[2]App C Exp'!$A$4:$I$917,7,FALSE)</f>
        <v>858520</v>
      </c>
      <c r="N342" s="2">
        <f>VLOOKUP($A342,'[2]App C Exp'!$A$4:$I$917,8,FALSE)</f>
        <v>343741</v>
      </c>
      <c r="O342" s="2">
        <f>VLOOKUP($A342,'[2]App C Exp'!$A$4:$I$917,9,FALSE)</f>
        <v>0</v>
      </c>
      <c r="P342" s="2"/>
      <c r="Q342" s="2">
        <f>VLOOKUP($A342,'[2]App C Inv'!$A$4:$I$917,5,FALSE)</f>
        <v>1081033</v>
      </c>
      <c r="R342" s="2">
        <f>VLOOKUP($A342,'[2]App C Inv'!$A$4:$I$917,6,FALSE)</f>
        <v>-929891</v>
      </c>
      <c r="S342" s="2">
        <f>VLOOKUP($A342,'[2]App C Inv'!$A$4:$I$917,7,FALSE)</f>
        <v>131057</v>
      </c>
      <c r="T342" s="2">
        <f>VLOOKUP($A342,'[2]App C Inv'!$A$4:$I$917,8,FALSE)</f>
        <v>170569</v>
      </c>
      <c r="U342" s="2">
        <f>VLOOKUP($A342,'[2]App C Inv'!$A$4:$I$917,9,FALSE)</f>
        <v>0</v>
      </c>
      <c r="V342" s="2"/>
      <c r="W342" s="2">
        <f>VLOOKUP($A342,'[2]App C Assum'!$A$4:$I$917,5,FALSE)</f>
        <v>1217800</v>
      </c>
      <c r="X342" s="2">
        <f>VLOOKUP($A342,'[2]App C Assum'!$A$4:$I$917,6,FALSE)</f>
        <v>997666</v>
      </c>
      <c r="Y342" s="2">
        <f>VLOOKUP($A342,'[2]App C Assum'!$A$4:$I$917,7,FALSE)</f>
        <v>809934</v>
      </c>
      <c r="Z342" s="2">
        <f>VLOOKUP($A342,'[2]App C Assum'!$A$4:$I$917,8,FALSE)</f>
        <v>0</v>
      </c>
      <c r="AA342" s="2">
        <f>VLOOKUP($A342,'[2]App C Assum'!$A$4:$I$917,9,FALSE)</f>
        <v>0</v>
      </c>
      <c r="AB342" s="2"/>
      <c r="AC342" s="2">
        <f>VLOOKUP($A342,'[2]App C Share Outflows'!$A$4:$I$917,5,FALSE)</f>
        <v>0</v>
      </c>
      <c r="AD342" s="2">
        <f>VLOOKUP($A342,'[2]App C Share Outflows'!$A$4:$I$917,6,FALSE)</f>
        <v>0</v>
      </c>
      <c r="AE342" s="2">
        <f>VLOOKUP($A342,'[2]App C Share Outflows'!$A$4:$I$917,7,FALSE)</f>
        <v>0</v>
      </c>
      <c r="AF342" s="2">
        <f>VLOOKUP($A342,'[2]App C Share Outflows'!$A$4:$I$917,8,FALSE)</f>
        <v>0</v>
      </c>
      <c r="AG342" s="2">
        <f>VLOOKUP($A342,'[2]App C Share Outflows'!$A$4:$I$917,9,FALSE)</f>
        <v>0</v>
      </c>
      <c r="AH342" s="2"/>
      <c r="AI342" s="2">
        <f>VLOOKUP($A342,'[2]App C Share Inflows'!$A$4:$I$917,5,FALSE)</f>
        <v>-255574</v>
      </c>
      <c r="AJ342" s="2">
        <f>VLOOKUP($A342,'[2]App C Share Inflows'!$A$4:$I$917,6,FALSE)</f>
        <v>-185965</v>
      </c>
      <c r="AK342" s="2">
        <f>VLOOKUP($A342,'[2]App C Share Inflows'!$A$4:$I$917,7,FALSE)</f>
        <v>-132834</v>
      </c>
      <c r="AL342" s="2">
        <f>VLOOKUP($A342,'[2]App C Share Inflows'!$A$4:$I$917,8,FALSE)</f>
        <v>-65160</v>
      </c>
      <c r="AM342" s="2">
        <f>VLOOKUP($A342,'[2]App C Share Inflows'!$A$4:$I$917,6,FALSE)</f>
        <v>-185965</v>
      </c>
    </row>
    <row r="343" spans="1:39">
      <c r="A343" s="351">
        <v>93323</v>
      </c>
      <c r="B343" s="344" t="s">
        <v>1035</v>
      </c>
      <c r="C343" s="235" t="e">
        <f>VLOOKUP(A343,#REF!,10,FALSE)</f>
        <v>#REF!</v>
      </c>
      <c r="E343" s="2">
        <f>VLOOKUP($A343,'[2]App C Total'!$A$4:$I$917,5,FALSE)</f>
        <v>10580</v>
      </c>
      <c r="F343" s="2">
        <f>VLOOKUP($A343,'[2]App C Total'!$A$4:$I$917,6,FALSE)</f>
        <v>4134</v>
      </c>
      <c r="G343" s="2">
        <f>VLOOKUP($A343,'[2]App C Total'!$A$4:$I$917,7,FALSE)</f>
        <v>4690</v>
      </c>
      <c r="H343" s="2">
        <f>VLOOKUP($A343,'[2]App C Total'!$A$4:$I$917,8,FALSE)</f>
        <v>1355</v>
      </c>
      <c r="I343" s="2">
        <f>VLOOKUP($A343,'[2]App C Total'!$A$4:$I$917,9,FALSE)</f>
        <v>0</v>
      </c>
      <c r="J343" s="2"/>
      <c r="K343" s="2">
        <f>VLOOKUP($A343,'[2]App C Exp'!$A$4:$I$917,5,FALSE)</f>
        <v>3011</v>
      </c>
      <c r="L343" s="2">
        <f>VLOOKUP($A343,'[2]App C Exp'!$A$4:$I$917,6,FALSE)</f>
        <v>2832</v>
      </c>
      <c r="M343" s="2">
        <f>VLOOKUP($A343,'[2]App C Exp'!$A$4:$I$917,7,FALSE)</f>
        <v>2539</v>
      </c>
      <c r="N343" s="2">
        <f>VLOOKUP($A343,'[2]App C Exp'!$A$4:$I$917,8,FALSE)</f>
        <v>1016</v>
      </c>
      <c r="O343" s="2">
        <f>VLOOKUP($A343,'[2]App C Exp'!$A$4:$I$917,9,FALSE)</f>
        <v>0</v>
      </c>
      <c r="P343" s="2"/>
      <c r="Q343" s="2">
        <f>VLOOKUP($A343,'[2]App C Inv'!$A$4:$I$917,5,FALSE)</f>
        <v>3197</v>
      </c>
      <c r="R343" s="2">
        <f>VLOOKUP($A343,'[2]App C Inv'!$A$4:$I$917,6,FALSE)</f>
        <v>-2750</v>
      </c>
      <c r="S343" s="2">
        <f>VLOOKUP($A343,'[2]App C Inv'!$A$4:$I$917,7,FALSE)</f>
        <v>388</v>
      </c>
      <c r="T343" s="2">
        <f>VLOOKUP($A343,'[2]App C Inv'!$A$4:$I$917,8,FALSE)</f>
        <v>504</v>
      </c>
      <c r="U343" s="2">
        <f>VLOOKUP($A343,'[2]App C Inv'!$A$4:$I$917,9,FALSE)</f>
        <v>0</v>
      </c>
      <c r="V343" s="2"/>
      <c r="W343" s="2">
        <f>VLOOKUP($A343,'[2]App C Assum'!$A$4:$I$917,5,FALSE)</f>
        <v>3601</v>
      </c>
      <c r="X343" s="2">
        <f>VLOOKUP($A343,'[2]App C Assum'!$A$4:$I$917,6,FALSE)</f>
        <v>2950</v>
      </c>
      <c r="Y343" s="2">
        <f>VLOOKUP($A343,'[2]App C Assum'!$A$4:$I$917,7,FALSE)</f>
        <v>2395</v>
      </c>
      <c r="Z343" s="2">
        <f>VLOOKUP($A343,'[2]App C Assum'!$A$4:$I$917,8,FALSE)</f>
        <v>0</v>
      </c>
      <c r="AA343" s="2">
        <f>VLOOKUP($A343,'[2]App C Assum'!$A$4:$I$917,9,FALSE)</f>
        <v>0</v>
      </c>
      <c r="AB343" s="2"/>
      <c r="AC343" s="2">
        <f>VLOOKUP($A343,'[2]App C Share Outflows'!$A$4:$I$917,5,FALSE)</f>
        <v>1735</v>
      </c>
      <c r="AD343" s="2">
        <f>VLOOKUP($A343,'[2]App C Share Outflows'!$A$4:$I$917,6,FALSE)</f>
        <v>1735</v>
      </c>
      <c r="AE343" s="2">
        <f>VLOOKUP($A343,'[2]App C Share Outflows'!$A$4:$I$917,7,FALSE)</f>
        <v>0</v>
      </c>
      <c r="AF343" s="2">
        <f>VLOOKUP($A343,'[2]App C Share Outflows'!$A$4:$I$917,8,FALSE)</f>
        <v>0</v>
      </c>
      <c r="AG343" s="2">
        <f>VLOOKUP($A343,'[2]App C Share Outflows'!$A$4:$I$917,9,FALSE)</f>
        <v>0</v>
      </c>
      <c r="AH343" s="2"/>
      <c r="AI343" s="2">
        <f>VLOOKUP($A343,'[2]App C Share Inflows'!$A$4:$I$917,5,FALSE)</f>
        <v>-964</v>
      </c>
      <c r="AJ343" s="2">
        <f>VLOOKUP($A343,'[2]App C Share Inflows'!$A$4:$I$917,6,FALSE)</f>
        <v>-633</v>
      </c>
      <c r="AK343" s="2">
        <f>VLOOKUP($A343,'[2]App C Share Inflows'!$A$4:$I$917,7,FALSE)</f>
        <v>-632</v>
      </c>
      <c r="AL343" s="2">
        <f>VLOOKUP($A343,'[2]App C Share Inflows'!$A$4:$I$917,8,FALSE)</f>
        <v>-165</v>
      </c>
      <c r="AM343" s="2">
        <f>VLOOKUP($A343,'[2]App C Share Inflows'!$A$4:$I$917,6,FALSE)</f>
        <v>-633</v>
      </c>
    </row>
    <row r="344" spans="1:39">
      <c r="A344" s="351">
        <v>93331</v>
      </c>
      <c r="B344" s="344" t="s">
        <v>1036</v>
      </c>
      <c r="C344" s="235" t="e">
        <f>VLOOKUP(A344,#REF!,10,FALSE)</f>
        <v>#REF!</v>
      </c>
      <c r="E344" s="2">
        <f>VLOOKUP($A344,'[2]App C Total'!$A$4:$I$917,5,FALSE)</f>
        <v>55134</v>
      </c>
      <c r="F344" s="2">
        <f>VLOOKUP($A344,'[2]App C Total'!$A$4:$I$917,6,FALSE)</f>
        <v>15821</v>
      </c>
      <c r="G344" s="2">
        <f>VLOOKUP($A344,'[2]App C Total'!$A$4:$I$917,7,FALSE)</f>
        <v>30438</v>
      </c>
      <c r="H344" s="2">
        <f>VLOOKUP($A344,'[2]App C Total'!$A$4:$I$917,8,FALSE)</f>
        <v>7158</v>
      </c>
      <c r="I344" s="2">
        <f>VLOOKUP($A344,'[2]App C Total'!$A$4:$I$917,9,FALSE)</f>
        <v>0</v>
      </c>
      <c r="J344" s="2"/>
      <c r="K344" s="2">
        <f>VLOOKUP($A344,'[2]App C Exp'!$A$4:$I$917,5,FALSE)</f>
        <v>17393</v>
      </c>
      <c r="L344" s="2">
        <f>VLOOKUP($A344,'[2]App C Exp'!$A$4:$I$917,6,FALSE)</f>
        <v>16361</v>
      </c>
      <c r="M344" s="2">
        <f>VLOOKUP($A344,'[2]App C Exp'!$A$4:$I$917,7,FALSE)</f>
        <v>14664</v>
      </c>
      <c r="N344" s="2">
        <f>VLOOKUP($A344,'[2]App C Exp'!$A$4:$I$917,8,FALSE)</f>
        <v>5871</v>
      </c>
      <c r="O344" s="2">
        <f>VLOOKUP($A344,'[2]App C Exp'!$A$4:$I$917,9,FALSE)</f>
        <v>0</v>
      </c>
      <c r="P344" s="2"/>
      <c r="Q344" s="2">
        <f>VLOOKUP($A344,'[2]App C Inv'!$A$4:$I$917,5,FALSE)</f>
        <v>18465</v>
      </c>
      <c r="R344" s="2">
        <f>VLOOKUP($A344,'[2]App C Inv'!$A$4:$I$917,6,FALSE)</f>
        <v>-15883</v>
      </c>
      <c r="S344" s="2">
        <f>VLOOKUP($A344,'[2]App C Inv'!$A$4:$I$917,7,FALSE)</f>
        <v>2239</v>
      </c>
      <c r="T344" s="2">
        <f>VLOOKUP($A344,'[2]App C Inv'!$A$4:$I$917,8,FALSE)</f>
        <v>2913</v>
      </c>
      <c r="U344" s="2">
        <f>VLOOKUP($A344,'[2]App C Inv'!$A$4:$I$917,9,FALSE)</f>
        <v>0</v>
      </c>
      <c r="V344" s="2"/>
      <c r="W344" s="2">
        <f>VLOOKUP($A344,'[2]App C Assum'!$A$4:$I$917,5,FALSE)</f>
        <v>20801</v>
      </c>
      <c r="X344" s="2">
        <f>VLOOKUP($A344,'[2]App C Assum'!$A$4:$I$917,6,FALSE)</f>
        <v>17041</v>
      </c>
      <c r="Y344" s="2">
        <f>VLOOKUP($A344,'[2]App C Assum'!$A$4:$I$917,7,FALSE)</f>
        <v>13834</v>
      </c>
      <c r="Z344" s="2">
        <f>VLOOKUP($A344,'[2]App C Assum'!$A$4:$I$917,8,FALSE)</f>
        <v>0</v>
      </c>
      <c r="AA344" s="2">
        <f>VLOOKUP($A344,'[2]App C Assum'!$A$4:$I$917,9,FALSE)</f>
        <v>0</v>
      </c>
      <c r="AB344" s="2"/>
      <c r="AC344" s="2">
        <f>VLOOKUP($A344,'[2]App C Share Outflows'!$A$4:$I$917,5,FALSE)</f>
        <v>1496</v>
      </c>
      <c r="AD344" s="2">
        <f>VLOOKUP($A344,'[2]App C Share Outflows'!$A$4:$I$917,6,FALSE)</f>
        <v>1324</v>
      </c>
      <c r="AE344" s="2">
        <f>VLOOKUP($A344,'[2]App C Share Outflows'!$A$4:$I$917,7,FALSE)</f>
        <v>1325</v>
      </c>
      <c r="AF344" s="2">
        <f>VLOOKUP($A344,'[2]App C Share Outflows'!$A$4:$I$917,8,FALSE)</f>
        <v>0</v>
      </c>
      <c r="AG344" s="2">
        <f>VLOOKUP($A344,'[2]App C Share Outflows'!$A$4:$I$917,9,FALSE)</f>
        <v>0</v>
      </c>
      <c r="AH344" s="2"/>
      <c r="AI344" s="2">
        <f>VLOOKUP($A344,'[2]App C Share Inflows'!$A$4:$I$917,5,FALSE)</f>
        <v>-3021</v>
      </c>
      <c r="AJ344" s="2">
        <f>VLOOKUP($A344,'[2]App C Share Inflows'!$A$4:$I$917,6,FALSE)</f>
        <v>-3022</v>
      </c>
      <c r="AK344" s="2">
        <f>VLOOKUP($A344,'[2]App C Share Inflows'!$A$4:$I$917,7,FALSE)</f>
        <v>-1624</v>
      </c>
      <c r="AL344" s="2">
        <f>VLOOKUP($A344,'[2]App C Share Inflows'!$A$4:$I$917,8,FALSE)</f>
        <v>-1626</v>
      </c>
      <c r="AM344" s="2">
        <f>VLOOKUP($A344,'[2]App C Share Inflows'!$A$4:$I$917,6,FALSE)</f>
        <v>-3022</v>
      </c>
    </row>
    <row r="345" spans="1:39">
      <c r="A345" s="351">
        <v>93333</v>
      </c>
      <c r="B345" s="344" t="s">
        <v>3673</v>
      </c>
      <c r="C345" s="235" t="e">
        <f>VLOOKUP(A345,#REF!,10,FALSE)</f>
        <v>#REF!</v>
      </c>
      <c r="E345" s="2">
        <f>VLOOKUP($A345,'[2]App C Total'!$A$4:$I$917,5,FALSE)</f>
        <v>128526</v>
      </c>
      <c r="F345" s="2">
        <f>VLOOKUP($A345,'[2]App C Total'!$A$4:$I$917,6,FALSE)</f>
        <v>53088</v>
      </c>
      <c r="G345" s="2">
        <f>VLOOKUP($A345,'[2]App C Total'!$A$4:$I$917,7,FALSE)</f>
        <v>53842</v>
      </c>
      <c r="H345" s="2">
        <f>VLOOKUP($A345,'[2]App C Total'!$A$4:$I$917,8,FALSE)</f>
        <v>20247</v>
      </c>
      <c r="I345" s="2">
        <f>VLOOKUP($A345,'[2]App C Total'!$A$4:$I$917,9,FALSE)</f>
        <v>0</v>
      </c>
      <c r="J345" s="2"/>
      <c r="K345" s="2">
        <f>VLOOKUP($A345,'[2]App C Exp'!$A$4:$I$917,5,FALSE)</f>
        <v>24958</v>
      </c>
      <c r="L345" s="2">
        <f>VLOOKUP($A345,'[2]App C Exp'!$A$4:$I$917,6,FALSE)</f>
        <v>23477</v>
      </c>
      <c r="M345" s="2">
        <f>VLOOKUP($A345,'[2]App C Exp'!$A$4:$I$917,7,FALSE)</f>
        <v>21042</v>
      </c>
      <c r="N345" s="2">
        <f>VLOOKUP($A345,'[2]App C Exp'!$A$4:$I$917,8,FALSE)</f>
        <v>8425</v>
      </c>
      <c r="O345" s="2">
        <f>VLOOKUP($A345,'[2]App C Exp'!$A$4:$I$917,9,FALSE)</f>
        <v>0</v>
      </c>
      <c r="P345" s="2"/>
      <c r="Q345" s="2">
        <f>VLOOKUP($A345,'[2]App C Inv'!$A$4:$I$917,5,FALSE)</f>
        <v>26496</v>
      </c>
      <c r="R345" s="2">
        <f>VLOOKUP($A345,'[2]App C Inv'!$A$4:$I$917,6,FALSE)</f>
        <v>-22792</v>
      </c>
      <c r="S345" s="2">
        <f>VLOOKUP($A345,'[2]App C Inv'!$A$4:$I$917,7,FALSE)</f>
        <v>3212</v>
      </c>
      <c r="T345" s="2">
        <f>VLOOKUP($A345,'[2]App C Inv'!$A$4:$I$917,8,FALSE)</f>
        <v>4181</v>
      </c>
      <c r="U345" s="2">
        <f>VLOOKUP($A345,'[2]App C Inv'!$A$4:$I$917,9,FALSE)</f>
        <v>0</v>
      </c>
      <c r="V345" s="2"/>
      <c r="W345" s="2">
        <f>VLOOKUP($A345,'[2]App C Assum'!$A$4:$I$917,5,FALSE)</f>
        <v>29848</v>
      </c>
      <c r="X345" s="2">
        <f>VLOOKUP($A345,'[2]App C Assum'!$A$4:$I$917,6,FALSE)</f>
        <v>24453</v>
      </c>
      <c r="Y345" s="2">
        <f>VLOOKUP($A345,'[2]App C Assum'!$A$4:$I$917,7,FALSE)</f>
        <v>19852</v>
      </c>
      <c r="Z345" s="2">
        <f>VLOOKUP($A345,'[2]App C Assum'!$A$4:$I$917,8,FALSE)</f>
        <v>0</v>
      </c>
      <c r="AA345" s="2">
        <f>VLOOKUP($A345,'[2]App C Assum'!$A$4:$I$917,9,FALSE)</f>
        <v>0</v>
      </c>
      <c r="AB345" s="2"/>
      <c r="AC345" s="2">
        <f>VLOOKUP($A345,'[2]App C Share Outflows'!$A$4:$I$917,5,FALSE)</f>
        <v>47224</v>
      </c>
      <c r="AD345" s="2">
        <f>VLOOKUP($A345,'[2]App C Share Outflows'!$A$4:$I$917,6,FALSE)</f>
        <v>27950</v>
      </c>
      <c r="AE345" s="2">
        <f>VLOOKUP($A345,'[2]App C Share Outflows'!$A$4:$I$917,7,FALSE)</f>
        <v>9736</v>
      </c>
      <c r="AF345" s="2">
        <f>VLOOKUP($A345,'[2]App C Share Outflows'!$A$4:$I$917,8,FALSE)</f>
        <v>7641</v>
      </c>
      <c r="AG345" s="2">
        <f>VLOOKUP($A345,'[2]App C Share Outflows'!$A$4:$I$917,9,FALSE)</f>
        <v>0</v>
      </c>
      <c r="AH345" s="2"/>
      <c r="AI345" s="2">
        <f>VLOOKUP($A345,'[2]App C Share Inflows'!$A$4:$I$917,5,FALSE)</f>
        <v>0</v>
      </c>
      <c r="AJ345" s="2">
        <f>VLOOKUP($A345,'[2]App C Share Inflows'!$A$4:$I$917,6,FALSE)</f>
        <v>0</v>
      </c>
      <c r="AK345" s="2">
        <f>VLOOKUP($A345,'[2]App C Share Inflows'!$A$4:$I$917,7,FALSE)</f>
        <v>0</v>
      </c>
      <c r="AL345" s="2">
        <f>VLOOKUP($A345,'[2]App C Share Inflows'!$A$4:$I$917,8,FALSE)</f>
        <v>0</v>
      </c>
      <c r="AM345" s="2">
        <f>VLOOKUP($A345,'[2]App C Share Inflows'!$A$4:$I$917,6,FALSE)</f>
        <v>0</v>
      </c>
    </row>
    <row r="346" spans="1:39">
      <c r="A346" s="351">
        <v>93341</v>
      </c>
      <c r="B346" s="344" t="s">
        <v>1038</v>
      </c>
      <c r="C346" s="235" t="e">
        <f>VLOOKUP(A346,#REF!,10,FALSE)</f>
        <v>#REF!</v>
      </c>
      <c r="E346" s="2">
        <f>VLOOKUP($A346,'[2]App C Total'!$A$4:$I$917,5,FALSE)</f>
        <v>15839</v>
      </c>
      <c r="F346" s="2">
        <f>VLOOKUP($A346,'[2]App C Total'!$A$4:$I$917,6,FALSE)</f>
        <v>5600</v>
      </c>
      <c r="G346" s="2">
        <f>VLOOKUP($A346,'[2]App C Total'!$A$4:$I$917,7,FALSE)</f>
        <v>9148</v>
      </c>
      <c r="H346" s="2">
        <f>VLOOKUP($A346,'[2]App C Total'!$A$4:$I$917,8,FALSE)</f>
        <v>2719</v>
      </c>
      <c r="I346" s="2">
        <f>VLOOKUP($A346,'[2]App C Total'!$A$4:$I$917,9,FALSE)</f>
        <v>0</v>
      </c>
      <c r="J346" s="2"/>
      <c r="K346" s="2">
        <f>VLOOKUP($A346,'[2]App C Exp'!$A$4:$I$917,5,FALSE)</f>
        <v>4389</v>
      </c>
      <c r="L346" s="2">
        <f>VLOOKUP($A346,'[2]App C Exp'!$A$4:$I$917,6,FALSE)</f>
        <v>4129</v>
      </c>
      <c r="M346" s="2">
        <f>VLOOKUP($A346,'[2]App C Exp'!$A$4:$I$917,7,FALSE)</f>
        <v>3701</v>
      </c>
      <c r="N346" s="2">
        <f>VLOOKUP($A346,'[2]App C Exp'!$A$4:$I$917,8,FALSE)</f>
        <v>1482</v>
      </c>
      <c r="O346" s="2">
        <f>VLOOKUP($A346,'[2]App C Exp'!$A$4:$I$917,9,FALSE)</f>
        <v>0</v>
      </c>
      <c r="P346" s="2"/>
      <c r="Q346" s="2">
        <f>VLOOKUP($A346,'[2]App C Inv'!$A$4:$I$917,5,FALSE)</f>
        <v>4660</v>
      </c>
      <c r="R346" s="2">
        <f>VLOOKUP($A346,'[2]App C Inv'!$A$4:$I$917,6,FALSE)</f>
        <v>-4008</v>
      </c>
      <c r="S346" s="2">
        <f>VLOOKUP($A346,'[2]App C Inv'!$A$4:$I$917,7,FALSE)</f>
        <v>565</v>
      </c>
      <c r="T346" s="2">
        <f>VLOOKUP($A346,'[2]App C Inv'!$A$4:$I$917,8,FALSE)</f>
        <v>735</v>
      </c>
      <c r="U346" s="2">
        <f>VLOOKUP($A346,'[2]App C Inv'!$A$4:$I$917,9,FALSE)</f>
        <v>0</v>
      </c>
      <c r="V346" s="2"/>
      <c r="W346" s="2">
        <f>VLOOKUP($A346,'[2]App C Assum'!$A$4:$I$917,5,FALSE)</f>
        <v>5249</v>
      </c>
      <c r="X346" s="2">
        <f>VLOOKUP($A346,'[2]App C Assum'!$A$4:$I$917,6,FALSE)</f>
        <v>4301</v>
      </c>
      <c r="Y346" s="2">
        <f>VLOOKUP($A346,'[2]App C Assum'!$A$4:$I$917,7,FALSE)</f>
        <v>3491</v>
      </c>
      <c r="Z346" s="2">
        <f>VLOOKUP($A346,'[2]App C Assum'!$A$4:$I$917,8,FALSE)</f>
        <v>0</v>
      </c>
      <c r="AA346" s="2">
        <f>VLOOKUP($A346,'[2]App C Assum'!$A$4:$I$917,9,FALSE)</f>
        <v>0</v>
      </c>
      <c r="AB346" s="2"/>
      <c r="AC346" s="2">
        <f>VLOOKUP($A346,'[2]App C Share Outflows'!$A$4:$I$917,5,FALSE)</f>
        <v>1757</v>
      </c>
      <c r="AD346" s="2">
        <f>VLOOKUP($A346,'[2]App C Share Outflows'!$A$4:$I$917,6,FALSE)</f>
        <v>1393</v>
      </c>
      <c r="AE346" s="2">
        <f>VLOOKUP($A346,'[2]App C Share Outflows'!$A$4:$I$917,7,FALSE)</f>
        <v>1391</v>
      </c>
      <c r="AF346" s="2">
        <f>VLOOKUP($A346,'[2]App C Share Outflows'!$A$4:$I$917,8,FALSE)</f>
        <v>502</v>
      </c>
      <c r="AG346" s="2">
        <f>VLOOKUP($A346,'[2]App C Share Outflows'!$A$4:$I$917,9,FALSE)</f>
        <v>0</v>
      </c>
      <c r="AH346" s="2"/>
      <c r="AI346" s="2">
        <f>VLOOKUP($A346,'[2]App C Share Inflows'!$A$4:$I$917,5,FALSE)</f>
        <v>-216</v>
      </c>
      <c r="AJ346" s="2">
        <f>VLOOKUP($A346,'[2]App C Share Inflows'!$A$4:$I$917,6,FALSE)</f>
        <v>-215</v>
      </c>
      <c r="AK346" s="2">
        <f>VLOOKUP($A346,'[2]App C Share Inflows'!$A$4:$I$917,7,FALSE)</f>
        <v>0</v>
      </c>
      <c r="AL346" s="2">
        <f>VLOOKUP($A346,'[2]App C Share Inflows'!$A$4:$I$917,8,FALSE)</f>
        <v>0</v>
      </c>
      <c r="AM346" s="2">
        <f>VLOOKUP($A346,'[2]App C Share Inflows'!$A$4:$I$917,6,FALSE)</f>
        <v>-215</v>
      </c>
    </row>
    <row r="347" spans="1:39">
      <c r="A347" s="351">
        <v>93351</v>
      </c>
      <c r="B347" s="344" t="s">
        <v>1039</v>
      </c>
      <c r="C347" s="235" t="e">
        <f>VLOOKUP(A347,#REF!,10,FALSE)</f>
        <v>#REF!</v>
      </c>
      <c r="E347" s="2">
        <f>VLOOKUP($A347,'[2]App C Total'!$A$4:$I$917,5,FALSE)</f>
        <v>19385</v>
      </c>
      <c r="F347" s="2">
        <f>VLOOKUP($A347,'[2]App C Total'!$A$4:$I$917,6,FALSE)</f>
        <v>6857</v>
      </c>
      <c r="G347" s="2">
        <f>VLOOKUP($A347,'[2]App C Total'!$A$4:$I$917,7,FALSE)</f>
        <v>7294</v>
      </c>
      <c r="H347" s="2">
        <f>VLOOKUP($A347,'[2]App C Total'!$A$4:$I$917,8,FALSE)</f>
        <v>4000</v>
      </c>
      <c r="I347" s="2">
        <f>VLOOKUP($A347,'[2]App C Total'!$A$4:$I$917,9,FALSE)</f>
        <v>0</v>
      </c>
      <c r="J347" s="2"/>
      <c r="K347" s="2">
        <f>VLOOKUP($A347,'[2]App C Exp'!$A$4:$I$917,5,FALSE)</f>
        <v>4734</v>
      </c>
      <c r="L347" s="2">
        <f>VLOOKUP($A347,'[2]App C Exp'!$A$4:$I$917,6,FALSE)</f>
        <v>4453</v>
      </c>
      <c r="M347" s="2">
        <f>VLOOKUP($A347,'[2]App C Exp'!$A$4:$I$917,7,FALSE)</f>
        <v>3991</v>
      </c>
      <c r="N347" s="2">
        <f>VLOOKUP($A347,'[2]App C Exp'!$A$4:$I$917,8,FALSE)</f>
        <v>1598</v>
      </c>
      <c r="O347" s="2">
        <f>VLOOKUP($A347,'[2]App C Exp'!$A$4:$I$917,9,FALSE)</f>
        <v>0</v>
      </c>
      <c r="P347" s="2"/>
      <c r="Q347" s="2">
        <f>VLOOKUP($A347,'[2]App C Inv'!$A$4:$I$917,5,FALSE)</f>
        <v>5026</v>
      </c>
      <c r="R347" s="2">
        <f>VLOOKUP($A347,'[2]App C Inv'!$A$4:$I$917,6,FALSE)</f>
        <v>-4323</v>
      </c>
      <c r="S347" s="2">
        <f>VLOOKUP($A347,'[2]App C Inv'!$A$4:$I$917,7,FALSE)</f>
        <v>609</v>
      </c>
      <c r="T347" s="2">
        <f>VLOOKUP($A347,'[2]App C Inv'!$A$4:$I$917,8,FALSE)</f>
        <v>793</v>
      </c>
      <c r="U347" s="2">
        <f>VLOOKUP($A347,'[2]App C Inv'!$A$4:$I$917,9,FALSE)</f>
        <v>0</v>
      </c>
      <c r="V347" s="2"/>
      <c r="W347" s="2">
        <f>VLOOKUP($A347,'[2]App C Assum'!$A$4:$I$917,5,FALSE)</f>
        <v>5662</v>
      </c>
      <c r="X347" s="2">
        <f>VLOOKUP($A347,'[2]App C Assum'!$A$4:$I$917,6,FALSE)</f>
        <v>4638</v>
      </c>
      <c r="Y347" s="2">
        <f>VLOOKUP($A347,'[2]App C Assum'!$A$4:$I$917,7,FALSE)</f>
        <v>3765</v>
      </c>
      <c r="Z347" s="2">
        <f>VLOOKUP($A347,'[2]App C Assum'!$A$4:$I$917,8,FALSE)</f>
        <v>0</v>
      </c>
      <c r="AA347" s="2">
        <f>VLOOKUP($A347,'[2]App C Assum'!$A$4:$I$917,9,FALSE)</f>
        <v>0</v>
      </c>
      <c r="AB347" s="2"/>
      <c r="AC347" s="2">
        <f>VLOOKUP($A347,'[2]App C Share Outflows'!$A$4:$I$917,5,FALSE)</f>
        <v>6643</v>
      </c>
      <c r="AD347" s="2">
        <f>VLOOKUP($A347,'[2]App C Share Outflows'!$A$4:$I$917,6,FALSE)</f>
        <v>4769</v>
      </c>
      <c r="AE347" s="2">
        <f>VLOOKUP($A347,'[2]App C Share Outflows'!$A$4:$I$917,7,FALSE)</f>
        <v>1609</v>
      </c>
      <c r="AF347" s="2">
        <f>VLOOKUP($A347,'[2]App C Share Outflows'!$A$4:$I$917,8,FALSE)</f>
        <v>1609</v>
      </c>
      <c r="AG347" s="2">
        <f>VLOOKUP($A347,'[2]App C Share Outflows'!$A$4:$I$917,9,FALSE)</f>
        <v>0</v>
      </c>
      <c r="AH347" s="2"/>
      <c r="AI347" s="2">
        <f>VLOOKUP($A347,'[2]App C Share Inflows'!$A$4:$I$917,5,FALSE)</f>
        <v>-2680</v>
      </c>
      <c r="AJ347" s="2">
        <f>VLOOKUP($A347,'[2]App C Share Inflows'!$A$4:$I$917,6,FALSE)</f>
        <v>-2680</v>
      </c>
      <c r="AK347" s="2">
        <f>VLOOKUP($A347,'[2]App C Share Inflows'!$A$4:$I$917,7,FALSE)</f>
        <v>-2680</v>
      </c>
      <c r="AL347" s="2">
        <f>VLOOKUP($A347,'[2]App C Share Inflows'!$A$4:$I$917,8,FALSE)</f>
        <v>0</v>
      </c>
      <c r="AM347" s="2">
        <f>VLOOKUP($A347,'[2]App C Share Inflows'!$A$4:$I$917,6,FALSE)</f>
        <v>-2680</v>
      </c>
    </row>
    <row r="348" spans="1:39">
      <c r="A348" s="351">
        <v>93401</v>
      </c>
      <c r="B348" s="344" t="s">
        <v>1040</v>
      </c>
      <c r="C348" s="235" t="e">
        <f>VLOOKUP(A348,#REF!,10,FALSE)</f>
        <v>#REF!</v>
      </c>
      <c r="E348" s="2">
        <f>VLOOKUP($A348,'[2]App C Total'!$A$4:$I$917,5,FALSE)</f>
        <v>6622459</v>
      </c>
      <c r="F348" s="2">
        <f>VLOOKUP($A348,'[2]App C Total'!$A$4:$I$917,6,FALSE)</f>
        <v>2036507</v>
      </c>
      <c r="G348" s="2">
        <f>VLOOKUP($A348,'[2]App C Total'!$A$4:$I$917,7,FALSE)</f>
        <v>3588235</v>
      </c>
      <c r="H348" s="2">
        <f>VLOOKUP($A348,'[2]App C Total'!$A$4:$I$917,8,FALSE)</f>
        <v>968118</v>
      </c>
      <c r="I348" s="2">
        <f>VLOOKUP($A348,'[2]App C Total'!$A$4:$I$917,9,FALSE)</f>
        <v>0</v>
      </c>
      <c r="J348" s="2"/>
      <c r="K348" s="2">
        <f>VLOOKUP($A348,'[2]App C Exp'!$A$4:$I$917,5,FALSE)</f>
        <v>2050978</v>
      </c>
      <c r="L348" s="2">
        <f>VLOOKUP($A348,'[2]App C Exp'!$A$4:$I$917,6,FALSE)</f>
        <v>1929308</v>
      </c>
      <c r="M348" s="2">
        <f>VLOOKUP($A348,'[2]App C Exp'!$A$4:$I$917,7,FALSE)</f>
        <v>1729216</v>
      </c>
      <c r="N348" s="2">
        <f>VLOOKUP($A348,'[2]App C Exp'!$A$4:$I$917,8,FALSE)</f>
        <v>692357</v>
      </c>
      <c r="O348" s="2">
        <f>VLOOKUP($A348,'[2]App C Exp'!$A$4:$I$917,9,FALSE)</f>
        <v>0</v>
      </c>
      <c r="P348" s="2"/>
      <c r="Q348" s="2">
        <f>VLOOKUP($A348,'[2]App C Inv'!$A$4:$I$917,5,FALSE)</f>
        <v>2177399</v>
      </c>
      <c r="R348" s="2">
        <f>VLOOKUP($A348,'[2]App C Inv'!$A$4:$I$917,6,FALSE)</f>
        <v>-1872970</v>
      </c>
      <c r="S348" s="2">
        <f>VLOOKUP($A348,'[2]App C Inv'!$A$4:$I$917,7,FALSE)</f>
        <v>263972</v>
      </c>
      <c r="T348" s="2">
        <f>VLOOKUP($A348,'[2]App C Inv'!$A$4:$I$917,8,FALSE)</f>
        <v>343557</v>
      </c>
      <c r="U348" s="2">
        <f>VLOOKUP($A348,'[2]App C Inv'!$A$4:$I$917,9,FALSE)</f>
        <v>0</v>
      </c>
      <c r="V348" s="2"/>
      <c r="W348" s="2">
        <f>VLOOKUP($A348,'[2]App C Assum'!$A$4:$I$917,5,FALSE)</f>
        <v>2452871</v>
      </c>
      <c r="X348" s="2">
        <f>VLOOKUP($A348,'[2]App C Assum'!$A$4:$I$917,6,FALSE)</f>
        <v>2009481</v>
      </c>
      <c r="Y348" s="2">
        <f>VLOOKUP($A348,'[2]App C Assum'!$A$4:$I$917,7,FALSE)</f>
        <v>1631355</v>
      </c>
      <c r="Z348" s="2">
        <f>VLOOKUP($A348,'[2]App C Assum'!$A$4:$I$917,8,FALSE)</f>
        <v>0</v>
      </c>
      <c r="AA348" s="2">
        <f>VLOOKUP($A348,'[2]App C Assum'!$A$4:$I$917,9,FALSE)</f>
        <v>0</v>
      </c>
      <c r="AB348" s="2"/>
      <c r="AC348" s="2">
        <f>VLOOKUP($A348,'[2]App C Share Outflows'!$A$4:$I$917,5,FALSE)</f>
        <v>38484</v>
      </c>
      <c r="AD348" s="2">
        <f>VLOOKUP($A348,'[2]App C Share Outflows'!$A$4:$I$917,6,FALSE)</f>
        <v>38485</v>
      </c>
      <c r="AE348" s="2">
        <f>VLOOKUP($A348,'[2]App C Share Outflows'!$A$4:$I$917,7,FALSE)</f>
        <v>31489</v>
      </c>
      <c r="AF348" s="2">
        <f>VLOOKUP($A348,'[2]App C Share Outflows'!$A$4:$I$917,8,FALSE)</f>
        <v>0</v>
      </c>
      <c r="AG348" s="2">
        <f>VLOOKUP($A348,'[2]App C Share Outflows'!$A$4:$I$917,9,FALSE)</f>
        <v>0</v>
      </c>
      <c r="AH348" s="2"/>
      <c r="AI348" s="2">
        <f>VLOOKUP($A348,'[2]App C Share Inflows'!$A$4:$I$917,5,FALSE)</f>
        <v>-97273</v>
      </c>
      <c r="AJ348" s="2">
        <f>VLOOKUP($A348,'[2]App C Share Inflows'!$A$4:$I$917,6,FALSE)</f>
        <v>-67797</v>
      </c>
      <c r="AK348" s="2">
        <f>VLOOKUP($A348,'[2]App C Share Inflows'!$A$4:$I$917,7,FALSE)</f>
        <v>-67797</v>
      </c>
      <c r="AL348" s="2">
        <f>VLOOKUP($A348,'[2]App C Share Inflows'!$A$4:$I$917,8,FALSE)</f>
        <v>-67796</v>
      </c>
      <c r="AM348" s="2">
        <f>VLOOKUP($A348,'[2]App C Share Inflows'!$A$4:$I$917,6,FALSE)</f>
        <v>-67797</v>
      </c>
    </row>
    <row r="349" spans="1:39">
      <c r="A349" s="351">
        <v>93406</v>
      </c>
      <c r="B349" s="344" t="s">
        <v>1042</v>
      </c>
      <c r="C349" s="235" t="e">
        <f>VLOOKUP(A349,#REF!,10,FALSE)</f>
        <v>#REF!</v>
      </c>
      <c r="E349" s="2">
        <f>VLOOKUP($A349,'[2]App C Total'!$A$4:$I$917,5,FALSE)</f>
        <v>207741</v>
      </c>
      <c r="F349" s="2">
        <f>VLOOKUP($A349,'[2]App C Total'!$A$4:$I$917,6,FALSE)</f>
        <v>39879</v>
      </c>
      <c r="G349" s="2">
        <f>VLOOKUP($A349,'[2]App C Total'!$A$4:$I$917,7,FALSE)</f>
        <v>108102</v>
      </c>
      <c r="H349" s="2">
        <f>VLOOKUP($A349,'[2]App C Total'!$A$4:$I$917,8,FALSE)</f>
        <v>38226</v>
      </c>
      <c r="I349" s="2">
        <f>VLOOKUP($A349,'[2]App C Total'!$A$4:$I$917,9,FALSE)</f>
        <v>0</v>
      </c>
      <c r="J349" s="2"/>
      <c r="K349" s="2">
        <f>VLOOKUP($A349,'[2]App C Exp'!$A$4:$I$917,5,FALSE)</f>
        <v>73930</v>
      </c>
      <c r="L349" s="2">
        <f>VLOOKUP($A349,'[2]App C Exp'!$A$4:$I$917,6,FALSE)</f>
        <v>69544</v>
      </c>
      <c r="M349" s="2">
        <f>VLOOKUP($A349,'[2]App C Exp'!$A$4:$I$917,7,FALSE)</f>
        <v>62332</v>
      </c>
      <c r="N349" s="2">
        <f>VLOOKUP($A349,'[2]App C Exp'!$A$4:$I$917,8,FALSE)</f>
        <v>24957</v>
      </c>
      <c r="O349" s="2">
        <f>VLOOKUP($A349,'[2]App C Exp'!$A$4:$I$917,9,FALSE)</f>
        <v>0</v>
      </c>
      <c r="P349" s="2"/>
      <c r="Q349" s="2">
        <f>VLOOKUP($A349,'[2]App C Inv'!$A$4:$I$917,5,FALSE)</f>
        <v>78487</v>
      </c>
      <c r="R349" s="2">
        <f>VLOOKUP($A349,'[2]App C Inv'!$A$4:$I$917,6,FALSE)</f>
        <v>-67513</v>
      </c>
      <c r="S349" s="2">
        <f>VLOOKUP($A349,'[2]App C Inv'!$A$4:$I$917,7,FALSE)</f>
        <v>9515</v>
      </c>
      <c r="T349" s="2">
        <f>VLOOKUP($A349,'[2]App C Inv'!$A$4:$I$917,8,FALSE)</f>
        <v>12384</v>
      </c>
      <c r="U349" s="2">
        <f>VLOOKUP($A349,'[2]App C Inv'!$A$4:$I$917,9,FALSE)</f>
        <v>0</v>
      </c>
      <c r="V349" s="2"/>
      <c r="W349" s="2">
        <f>VLOOKUP($A349,'[2]App C Assum'!$A$4:$I$917,5,FALSE)</f>
        <v>88416</v>
      </c>
      <c r="X349" s="2">
        <f>VLOOKUP($A349,'[2]App C Assum'!$A$4:$I$917,6,FALSE)</f>
        <v>72434</v>
      </c>
      <c r="Y349" s="2">
        <f>VLOOKUP($A349,'[2]App C Assum'!$A$4:$I$917,7,FALSE)</f>
        <v>58804</v>
      </c>
      <c r="Z349" s="2">
        <f>VLOOKUP($A349,'[2]App C Assum'!$A$4:$I$917,8,FALSE)</f>
        <v>0</v>
      </c>
      <c r="AA349" s="2">
        <f>VLOOKUP($A349,'[2]App C Assum'!$A$4:$I$917,9,FALSE)</f>
        <v>0</v>
      </c>
      <c r="AB349" s="2"/>
      <c r="AC349" s="2">
        <f>VLOOKUP($A349,'[2]App C Share Outflows'!$A$4:$I$917,5,FALSE)</f>
        <v>2375</v>
      </c>
      <c r="AD349" s="2">
        <f>VLOOKUP($A349,'[2]App C Share Outflows'!$A$4:$I$917,6,FALSE)</f>
        <v>883</v>
      </c>
      <c r="AE349" s="2">
        <f>VLOOKUP($A349,'[2]App C Share Outflows'!$A$4:$I$917,7,FALSE)</f>
        <v>883</v>
      </c>
      <c r="AF349" s="2">
        <f>VLOOKUP($A349,'[2]App C Share Outflows'!$A$4:$I$917,8,FALSE)</f>
        <v>885</v>
      </c>
      <c r="AG349" s="2">
        <f>VLOOKUP($A349,'[2]App C Share Outflows'!$A$4:$I$917,9,FALSE)</f>
        <v>0</v>
      </c>
      <c r="AH349" s="2"/>
      <c r="AI349" s="2">
        <f>VLOOKUP($A349,'[2]App C Share Inflows'!$A$4:$I$917,5,FALSE)</f>
        <v>-35467</v>
      </c>
      <c r="AJ349" s="2">
        <f>VLOOKUP($A349,'[2]App C Share Inflows'!$A$4:$I$917,6,FALSE)</f>
        <v>-35469</v>
      </c>
      <c r="AK349" s="2">
        <f>VLOOKUP($A349,'[2]App C Share Inflows'!$A$4:$I$917,7,FALSE)</f>
        <v>-23432</v>
      </c>
      <c r="AL349" s="2">
        <f>VLOOKUP($A349,'[2]App C Share Inflows'!$A$4:$I$917,8,FALSE)</f>
        <v>0</v>
      </c>
      <c r="AM349" s="2">
        <f>VLOOKUP($A349,'[2]App C Share Inflows'!$A$4:$I$917,6,FALSE)</f>
        <v>-35469</v>
      </c>
    </row>
    <row r="350" spans="1:39">
      <c r="A350" s="351">
        <v>93411</v>
      </c>
      <c r="B350" s="344" t="s">
        <v>1044</v>
      </c>
      <c r="C350" s="235" t="e">
        <f>VLOOKUP(A350,#REF!,10,FALSE)</f>
        <v>#REF!</v>
      </c>
      <c r="E350" s="2">
        <f>VLOOKUP($A350,'[2]App C Total'!$A$4:$I$917,5,FALSE)</f>
        <v>8697729</v>
      </c>
      <c r="F350" s="2">
        <f>VLOOKUP($A350,'[2]App C Total'!$A$4:$I$917,6,FALSE)</f>
        <v>2810941</v>
      </c>
      <c r="G350" s="2">
        <f>VLOOKUP($A350,'[2]App C Total'!$A$4:$I$917,7,FALSE)</f>
        <v>4767372</v>
      </c>
      <c r="H350" s="2">
        <f>VLOOKUP($A350,'[2]App C Total'!$A$4:$I$917,8,FALSE)</f>
        <v>1276263</v>
      </c>
      <c r="I350" s="2">
        <f>VLOOKUP($A350,'[2]App C Total'!$A$4:$I$917,9,FALSE)</f>
        <v>0</v>
      </c>
      <c r="J350" s="2"/>
      <c r="K350" s="2">
        <f>VLOOKUP($A350,'[2]App C Exp'!$A$4:$I$917,5,FALSE)</f>
        <v>2656752</v>
      </c>
      <c r="L350" s="2">
        <f>VLOOKUP($A350,'[2]App C Exp'!$A$4:$I$917,6,FALSE)</f>
        <v>2499146</v>
      </c>
      <c r="M350" s="2">
        <f>VLOOKUP($A350,'[2]App C Exp'!$A$4:$I$917,7,FALSE)</f>
        <v>2239956</v>
      </c>
      <c r="N350" s="2">
        <f>VLOOKUP($A350,'[2]App C Exp'!$A$4:$I$917,8,FALSE)</f>
        <v>896851</v>
      </c>
      <c r="O350" s="2">
        <f>VLOOKUP($A350,'[2]App C Exp'!$A$4:$I$917,9,FALSE)</f>
        <v>0</v>
      </c>
      <c r="P350" s="2"/>
      <c r="Q350" s="2">
        <f>VLOOKUP($A350,'[2]App C Inv'!$A$4:$I$917,5,FALSE)</f>
        <v>2820513</v>
      </c>
      <c r="R350" s="2">
        <f>VLOOKUP($A350,'[2]App C Inv'!$A$4:$I$917,6,FALSE)</f>
        <v>-2426168</v>
      </c>
      <c r="S350" s="2">
        <f>VLOOKUP($A350,'[2]App C Inv'!$A$4:$I$917,7,FALSE)</f>
        <v>341939</v>
      </c>
      <c r="T350" s="2">
        <f>VLOOKUP($A350,'[2]App C Inv'!$A$4:$I$917,8,FALSE)</f>
        <v>445030</v>
      </c>
      <c r="U350" s="2">
        <f>VLOOKUP($A350,'[2]App C Inv'!$A$4:$I$917,9,FALSE)</f>
        <v>0</v>
      </c>
      <c r="V350" s="2"/>
      <c r="W350" s="2">
        <f>VLOOKUP($A350,'[2]App C Assum'!$A$4:$I$917,5,FALSE)</f>
        <v>3177348</v>
      </c>
      <c r="X350" s="2">
        <f>VLOOKUP($A350,'[2]App C Assum'!$A$4:$I$917,6,FALSE)</f>
        <v>2602999</v>
      </c>
      <c r="Y350" s="2">
        <f>VLOOKUP($A350,'[2]App C Assum'!$A$4:$I$917,7,FALSE)</f>
        <v>2113190</v>
      </c>
      <c r="Z350" s="2">
        <f>VLOOKUP($A350,'[2]App C Assum'!$A$4:$I$917,8,FALSE)</f>
        <v>0</v>
      </c>
      <c r="AA350" s="2">
        <f>VLOOKUP($A350,'[2]App C Assum'!$A$4:$I$917,9,FALSE)</f>
        <v>0</v>
      </c>
      <c r="AB350" s="2"/>
      <c r="AC350" s="2">
        <f>VLOOKUP($A350,'[2]App C Share Outflows'!$A$4:$I$917,5,FALSE)</f>
        <v>200585</v>
      </c>
      <c r="AD350" s="2">
        <f>VLOOKUP($A350,'[2]App C Share Outflows'!$A$4:$I$917,6,FALSE)</f>
        <v>200584</v>
      </c>
      <c r="AE350" s="2">
        <f>VLOOKUP($A350,'[2]App C Share Outflows'!$A$4:$I$917,7,FALSE)</f>
        <v>137907</v>
      </c>
      <c r="AF350" s="2">
        <f>VLOOKUP($A350,'[2]App C Share Outflows'!$A$4:$I$917,8,FALSE)</f>
        <v>0</v>
      </c>
      <c r="AG350" s="2">
        <f>VLOOKUP($A350,'[2]App C Share Outflows'!$A$4:$I$917,9,FALSE)</f>
        <v>0</v>
      </c>
      <c r="AH350" s="2"/>
      <c r="AI350" s="2">
        <f>VLOOKUP($A350,'[2]App C Share Inflows'!$A$4:$I$917,5,FALSE)</f>
        <v>-157469</v>
      </c>
      <c r="AJ350" s="2">
        <f>VLOOKUP($A350,'[2]App C Share Inflows'!$A$4:$I$917,6,FALSE)</f>
        <v>-65620</v>
      </c>
      <c r="AK350" s="2">
        <f>VLOOKUP($A350,'[2]App C Share Inflows'!$A$4:$I$917,7,FALSE)</f>
        <v>-65620</v>
      </c>
      <c r="AL350" s="2">
        <f>VLOOKUP($A350,'[2]App C Share Inflows'!$A$4:$I$917,8,FALSE)</f>
        <v>-65618</v>
      </c>
      <c r="AM350" s="2">
        <f>VLOOKUP($A350,'[2]App C Share Inflows'!$A$4:$I$917,6,FALSE)</f>
        <v>-65620</v>
      </c>
    </row>
    <row r="351" spans="1:39">
      <c r="A351" s="351">
        <v>93413</v>
      </c>
      <c r="B351" s="344" t="s">
        <v>1045</v>
      </c>
      <c r="C351" s="235" t="e">
        <f>VLOOKUP(A351,#REF!,10,FALSE)</f>
        <v>#REF!</v>
      </c>
      <c r="E351" s="2">
        <f>VLOOKUP($A351,'[2]App C Total'!$A$4:$I$917,5,FALSE)</f>
        <v>331569</v>
      </c>
      <c r="F351" s="2">
        <f>VLOOKUP($A351,'[2]App C Total'!$A$4:$I$917,6,FALSE)</f>
        <v>101623</v>
      </c>
      <c r="G351" s="2">
        <f>VLOOKUP($A351,'[2]App C Total'!$A$4:$I$917,7,FALSE)</f>
        <v>180955</v>
      </c>
      <c r="H351" s="2">
        <f>VLOOKUP($A351,'[2]App C Total'!$A$4:$I$917,8,FALSE)</f>
        <v>53026</v>
      </c>
      <c r="I351" s="2">
        <f>VLOOKUP($A351,'[2]App C Total'!$A$4:$I$917,9,FALSE)</f>
        <v>0</v>
      </c>
      <c r="J351" s="2"/>
      <c r="K351" s="2">
        <f>VLOOKUP($A351,'[2]App C Exp'!$A$4:$I$917,5,FALSE)</f>
        <v>104206</v>
      </c>
      <c r="L351" s="2">
        <f>VLOOKUP($A351,'[2]App C Exp'!$A$4:$I$917,6,FALSE)</f>
        <v>98024</v>
      </c>
      <c r="M351" s="2">
        <f>VLOOKUP($A351,'[2]App C Exp'!$A$4:$I$917,7,FALSE)</f>
        <v>87858</v>
      </c>
      <c r="N351" s="2">
        <f>VLOOKUP($A351,'[2]App C Exp'!$A$4:$I$917,8,FALSE)</f>
        <v>35177</v>
      </c>
      <c r="O351" s="2">
        <f>VLOOKUP($A351,'[2]App C Exp'!$A$4:$I$917,9,FALSE)</f>
        <v>0</v>
      </c>
      <c r="P351" s="2"/>
      <c r="Q351" s="2">
        <f>VLOOKUP($A351,'[2]App C Inv'!$A$4:$I$917,5,FALSE)</f>
        <v>110629</v>
      </c>
      <c r="R351" s="2">
        <f>VLOOKUP($A351,'[2]App C Inv'!$A$4:$I$917,6,FALSE)</f>
        <v>-95162</v>
      </c>
      <c r="S351" s="2">
        <f>VLOOKUP($A351,'[2]App C Inv'!$A$4:$I$917,7,FALSE)</f>
        <v>13412</v>
      </c>
      <c r="T351" s="2">
        <f>VLOOKUP($A351,'[2]App C Inv'!$A$4:$I$917,8,FALSE)</f>
        <v>17455</v>
      </c>
      <c r="U351" s="2">
        <f>VLOOKUP($A351,'[2]App C Inv'!$A$4:$I$917,9,FALSE)</f>
        <v>0</v>
      </c>
      <c r="V351" s="2"/>
      <c r="W351" s="2">
        <f>VLOOKUP($A351,'[2]App C Assum'!$A$4:$I$917,5,FALSE)</f>
        <v>124625</v>
      </c>
      <c r="X351" s="2">
        <f>VLOOKUP($A351,'[2]App C Assum'!$A$4:$I$917,6,FALSE)</f>
        <v>102097</v>
      </c>
      <c r="Y351" s="2">
        <f>VLOOKUP($A351,'[2]App C Assum'!$A$4:$I$917,7,FALSE)</f>
        <v>82886</v>
      </c>
      <c r="Z351" s="2">
        <f>VLOOKUP($A351,'[2]App C Assum'!$A$4:$I$917,8,FALSE)</f>
        <v>0</v>
      </c>
      <c r="AA351" s="2">
        <f>VLOOKUP($A351,'[2]App C Assum'!$A$4:$I$917,9,FALSE)</f>
        <v>0</v>
      </c>
      <c r="AB351" s="2"/>
      <c r="AC351" s="2">
        <f>VLOOKUP($A351,'[2]App C Share Outflows'!$A$4:$I$917,5,FALSE)</f>
        <v>396</v>
      </c>
      <c r="AD351" s="2">
        <f>VLOOKUP($A351,'[2]App C Share Outflows'!$A$4:$I$917,6,FALSE)</f>
        <v>396</v>
      </c>
      <c r="AE351" s="2">
        <f>VLOOKUP($A351,'[2]App C Share Outflows'!$A$4:$I$917,7,FALSE)</f>
        <v>396</v>
      </c>
      <c r="AF351" s="2">
        <f>VLOOKUP($A351,'[2]App C Share Outflows'!$A$4:$I$917,8,FALSE)</f>
        <v>394</v>
      </c>
      <c r="AG351" s="2">
        <f>VLOOKUP($A351,'[2]App C Share Outflows'!$A$4:$I$917,9,FALSE)</f>
        <v>0</v>
      </c>
      <c r="AH351" s="2"/>
      <c r="AI351" s="2">
        <f>VLOOKUP($A351,'[2]App C Share Inflows'!$A$4:$I$917,5,FALSE)</f>
        <v>-8287</v>
      </c>
      <c r="AJ351" s="2">
        <f>VLOOKUP($A351,'[2]App C Share Inflows'!$A$4:$I$917,6,FALSE)</f>
        <v>-3732</v>
      </c>
      <c r="AK351" s="2">
        <f>VLOOKUP($A351,'[2]App C Share Inflows'!$A$4:$I$917,7,FALSE)</f>
        <v>-3597</v>
      </c>
      <c r="AL351" s="2">
        <f>VLOOKUP($A351,'[2]App C Share Inflows'!$A$4:$I$917,8,FALSE)</f>
        <v>0</v>
      </c>
      <c r="AM351" s="2">
        <f>VLOOKUP($A351,'[2]App C Share Inflows'!$A$4:$I$917,6,FALSE)</f>
        <v>-3732</v>
      </c>
    </row>
    <row r="352" spans="1:39">
      <c r="A352" s="351">
        <v>93417</v>
      </c>
      <c r="B352" s="344" t="s">
        <v>1046</v>
      </c>
      <c r="C352" s="235" t="e">
        <f>VLOOKUP(A352,#REF!,10,FALSE)</f>
        <v>#REF!</v>
      </c>
      <c r="E352" s="2">
        <f>VLOOKUP($A352,'[2]App C Total'!$A$4:$I$917,5,FALSE)</f>
        <v>133628</v>
      </c>
      <c r="F352" s="2">
        <f>VLOOKUP($A352,'[2]App C Total'!$A$4:$I$917,6,FALSE)</f>
        <v>36581</v>
      </c>
      <c r="G352" s="2">
        <f>VLOOKUP($A352,'[2]App C Total'!$A$4:$I$917,7,FALSE)</f>
        <v>77477</v>
      </c>
      <c r="H352" s="2">
        <f>VLOOKUP($A352,'[2]App C Total'!$A$4:$I$917,8,FALSE)</f>
        <v>20921</v>
      </c>
      <c r="I352" s="2">
        <f>VLOOKUP($A352,'[2]App C Total'!$A$4:$I$917,9,FALSE)</f>
        <v>0</v>
      </c>
      <c r="J352" s="2"/>
      <c r="K352" s="2">
        <f>VLOOKUP($A352,'[2]App C Exp'!$A$4:$I$917,5,FALSE)</f>
        <v>42935</v>
      </c>
      <c r="L352" s="2">
        <f>VLOOKUP($A352,'[2]App C Exp'!$A$4:$I$917,6,FALSE)</f>
        <v>40388</v>
      </c>
      <c r="M352" s="2">
        <f>VLOOKUP($A352,'[2]App C Exp'!$A$4:$I$917,7,FALSE)</f>
        <v>36199</v>
      </c>
      <c r="N352" s="2">
        <f>VLOOKUP($A352,'[2]App C Exp'!$A$4:$I$917,8,FALSE)</f>
        <v>14494</v>
      </c>
      <c r="O352" s="2">
        <f>VLOOKUP($A352,'[2]App C Exp'!$A$4:$I$917,9,FALSE)</f>
        <v>0</v>
      </c>
      <c r="P352" s="2"/>
      <c r="Q352" s="2">
        <f>VLOOKUP($A352,'[2]App C Inv'!$A$4:$I$917,5,FALSE)</f>
        <v>45581</v>
      </c>
      <c r="R352" s="2">
        <f>VLOOKUP($A352,'[2]App C Inv'!$A$4:$I$917,6,FALSE)</f>
        <v>-39208</v>
      </c>
      <c r="S352" s="2">
        <f>VLOOKUP($A352,'[2]App C Inv'!$A$4:$I$917,7,FALSE)</f>
        <v>5526</v>
      </c>
      <c r="T352" s="2">
        <f>VLOOKUP($A352,'[2]App C Inv'!$A$4:$I$917,8,FALSE)</f>
        <v>7192</v>
      </c>
      <c r="U352" s="2">
        <f>VLOOKUP($A352,'[2]App C Inv'!$A$4:$I$917,9,FALSE)</f>
        <v>0</v>
      </c>
      <c r="V352" s="2"/>
      <c r="W352" s="2">
        <f>VLOOKUP($A352,'[2]App C Assum'!$A$4:$I$917,5,FALSE)</f>
        <v>51348</v>
      </c>
      <c r="X352" s="2">
        <f>VLOOKUP($A352,'[2]App C Assum'!$A$4:$I$917,6,FALSE)</f>
        <v>42066</v>
      </c>
      <c r="Y352" s="2">
        <f>VLOOKUP($A352,'[2]App C Assum'!$A$4:$I$917,7,FALSE)</f>
        <v>34150</v>
      </c>
      <c r="Z352" s="2">
        <f>VLOOKUP($A352,'[2]App C Assum'!$A$4:$I$917,8,FALSE)</f>
        <v>0</v>
      </c>
      <c r="AA352" s="2">
        <f>VLOOKUP($A352,'[2]App C Assum'!$A$4:$I$917,9,FALSE)</f>
        <v>0</v>
      </c>
      <c r="AB352" s="2"/>
      <c r="AC352" s="2">
        <f>VLOOKUP($A352,'[2]App C Share Outflows'!$A$4:$I$917,5,FALSE)</f>
        <v>2796</v>
      </c>
      <c r="AD352" s="2">
        <f>VLOOKUP($A352,'[2]App C Share Outflows'!$A$4:$I$917,6,FALSE)</f>
        <v>2369</v>
      </c>
      <c r="AE352" s="2">
        <f>VLOOKUP($A352,'[2]App C Share Outflows'!$A$4:$I$917,7,FALSE)</f>
        <v>2367</v>
      </c>
      <c r="AF352" s="2">
        <f>VLOOKUP($A352,'[2]App C Share Outflows'!$A$4:$I$917,8,FALSE)</f>
        <v>0</v>
      </c>
      <c r="AG352" s="2">
        <f>VLOOKUP($A352,'[2]App C Share Outflows'!$A$4:$I$917,9,FALSE)</f>
        <v>0</v>
      </c>
      <c r="AH352" s="2"/>
      <c r="AI352" s="2">
        <f>VLOOKUP($A352,'[2]App C Share Inflows'!$A$4:$I$917,5,FALSE)</f>
        <v>-9032</v>
      </c>
      <c r="AJ352" s="2">
        <f>VLOOKUP($A352,'[2]App C Share Inflows'!$A$4:$I$917,6,FALSE)</f>
        <v>-9034</v>
      </c>
      <c r="AK352" s="2">
        <f>VLOOKUP($A352,'[2]App C Share Inflows'!$A$4:$I$917,7,FALSE)</f>
        <v>-765</v>
      </c>
      <c r="AL352" s="2">
        <f>VLOOKUP($A352,'[2]App C Share Inflows'!$A$4:$I$917,8,FALSE)</f>
        <v>-765</v>
      </c>
      <c r="AM352" s="2">
        <f>VLOOKUP($A352,'[2]App C Share Inflows'!$A$4:$I$917,6,FALSE)</f>
        <v>-9034</v>
      </c>
    </row>
    <row r="353" spans="1:39">
      <c r="A353" s="351">
        <v>93421</v>
      </c>
      <c r="B353" s="344" t="s">
        <v>1047</v>
      </c>
      <c r="C353" s="235" t="e">
        <f>VLOOKUP(A353,#REF!,10,FALSE)</f>
        <v>#REF!</v>
      </c>
      <c r="E353" s="2">
        <f>VLOOKUP($A353,'[2]App C Total'!$A$4:$I$917,5,FALSE)</f>
        <v>905391</v>
      </c>
      <c r="F353" s="2">
        <f>VLOOKUP($A353,'[2]App C Total'!$A$4:$I$917,6,FALSE)</f>
        <v>238630</v>
      </c>
      <c r="G353" s="2">
        <f>VLOOKUP($A353,'[2]App C Total'!$A$4:$I$917,7,FALSE)</f>
        <v>495545</v>
      </c>
      <c r="H353" s="2">
        <f>VLOOKUP($A353,'[2]App C Total'!$A$4:$I$917,8,FALSE)</f>
        <v>123744</v>
      </c>
      <c r="I353" s="2">
        <f>VLOOKUP($A353,'[2]App C Total'!$A$4:$I$917,9,FALSE)</f>
        <v>0</v>
      </c>
      <c r="J353" s="2"/>
      <c r="K353" s="2">
        <f>VLOOKUP($A353,'[2]App C Exp'!$A$4:$I$917,5,FALSE)</f>
        <v>308138</v>
      </c>
      <c r="L353" s="2">
        <f>VLOOKUP($A353,'[2]App C Exp'!$A$4:$I$917,6,FALSE)</f>
        <v>289858</v>
      </c>
      <c r="M353" s="2">
        <f>VLOOKUP($A353,'[2]App C Exp'!$A$4:$I$917,7,FALSE)</f>
        <v>259797</v>
      </c>
      <c r="N353" s="2">
        <f>VLOOKUP($A353,'[2]App C Exp'!$A$4:$I$917,8,FALSE)</f>
        <v>104019</v>
      </c>
      <c r="O353" s="2">
        <f>VLOOKUP($A353,'[2]App C Exp'!$A$4:$I$917,9,FALSE)</f>
        <v>0</v>
      </c>
      <c r="P353" s="2"/>
      <c r="Q353" s="2">
        <f>VLOOKUP($A353,'[2]App C Inv'!$A$4:$I$917,5,FALSE)</f>
        <v>327131</v>
      </c>
      <c r="R353" s="2">
        <f>VLOOKUP($A353,'[2]App C Inv'!$A$4:$I$917,6,FALSE)</f>
        <v>-281394</v>
      </c>
      <c r="S353" s="2">
        <f>VLOOKUP($A353,'[2]App C Inv'!$A$4:$I$917,7,FALSE)</f>
        <v>39659</v>
      </c>
      <c r="T353" s="2">
        <f>VLOOKUP($A353,'[2]App C Inv'!$A$4:$I$917,8,FALSE)</f>
        <v>51616</v>
      </c>
      <c r="U353" s="2">
        <f>VLOOKUP($A353,'[2]App C Inv'!$A$4:$I$917,9,FALSE)</f>
        <v>0</v>
      </c>
      <c r="V353" s="2"/>
      <c r="W353" s="2">
        <f>VLOOKUP($A353,'[2]App C Assum'!$A$4:$I$917,5,FALSE)</f>
        <v>368518</v>
      </c>
      <c r="X353" s="2">
        <f>VLOOKUP($A353,'[2]App C Assum'!$A$4:$I$917,6,FALSE)</f>
        <v>301904</v>
      </c>
      <c r="Y353" s="2">
        <f>VLOOKUP($A353,'[2]App C Assum'!$A$4:$I$917,7,FALSE)</f>
        <v>245094</v>
      </c>
      <c r="Z353" s="2">
        <f>VLOOKUP($A353,'[2]App C Assum'!$A$4:$I$917,8,FALSE)</f>
        <v>0</v>
      </c>
      <c r="AA353" s="2">
        <f>VLOOKUP($A353,'[2]App C Assum'!$A$4:$I$917,9,FALSE)</f>
        <v>0</v>
      </c>
      <c r="AB353" s="2"/>
      <c r="AC353" s="2">
        <f>VLOOKUP($A353,'[2]App C Share Outflows'!$A$4:$I$917,5,FALSE)</f>
        <v>0</v>
      </c>
      <c r="AD353" s="2">
        <f>VLOOKUP($A353,'[2]App C Share Outflows'!$A$4:$I$917,6,FALSE)</f>
        <v>0</v>
      </c>
      <c r="AE353" s="2">
        <f>VLOOKUP($A353,'[2]App C Share Outflows'!$A$4:$I$917,7,FALSE)</f>
        <v>0</v>
      </c>
      <c r="AF353" s="2">
        <f>VLOOKUP($A353,'[2]App C Share Outflows'!$A$4:$I$917,8,FALSE)</f>
        <v>0</v>
      </c>
      <c r="AG353" s="2">
        <f>VLOOKUP($A353,'[2]App C Share Outflows'!$A$4:$I$917,9,FALSE)</f>
        <v>0</v>
      </c>
      <c r="AH353" s="2"/>
      <c r="AI353" s="2">
        <f>VLOOKUP($A353,'[2]App C Share Inflows'!$A$4:$I$917,5,FALSE)</f>
        <v>-98396</v>
      </c>
      <c r="AJ353" s="2">
        <f>VLOOKUP($A353,'[2]App C Share Inflows'!$A$4:$I$917,6,FALSE)</f>
        <v>-71738</v>
      </c>
      <c r="AK353" s="2">
        <f>VLOOKUP($A353,'[2]App C Share Inflows'!$A$4:$I$917,7,FALSE)</f>
        <v>-49005</v>
      </c>
      <c r="AL353" s="2">
        <f>VLOOKUP($A353,'[2]App C Share Inflows'!$A$4:$I$917,8,FALSE)</f>
        <v>-31891</v>
      </c>
      <c r="AM353" s="2">
        <f>VLOOKUP($A353,'[2]App C Share Inflows'!$A$4:$I$917,6,FALSE)</f>
        <v>-71738</v>
      </c>
    </row>
    <row r="354" spans="1:39">
      <c r="A354" s="351">
        <v>93431</v>
      </c>
      <c r="B354" s="344" t="s">
        <v>1048</v>
      </c>
      <c r="C354" s="235" t="e">
        <f>VLOOKUP(A354,#REF!,10,FALSE)</f>
        <v>#REF!</v>
      </c>
      <c r="E354" s="2">
        <f>VLOOKUP($A354,'[2]App C Total'!$A$4:$I$917,5,FALSE)</f>
        <v>71030</v>
      </c>
      <c r="F354" s="2">
        <f>VLOOKUP($A354,'[2]App C Total'!$A$4:$I$917,6,FALSE)</f>
        <v>25845</v>
      </c>
      <c r="G354" s="2">
        <f>VLOOKUP($A354,'[2]App C Total'!$A$4:$I$917,7,FALSE)</f>
        <v>38628</v>
      </c>
      <c r="H354" s="2">
        <f>VLOOKUP($A354,'[2]App C Total'!$A$4:$I$917,8,FALSE)</f>
        <v>10307</v>
      </c>
      <c r="I354" s="2">
        <f>VLOOKUP($A354,'[2]App C Total'!$A$4:$I$917,9,FALSE)</f>
        <v>0</v>
      </c>
      <c r="J354" s="2"/>
      <c r="K354" s="2">
        <f>VLOOKUP($A354,'[2]App C Exp'!$A$4:$I$917,5,FALSE)</f>
        <v>20688</v>
      </c>
      <c r="L354" s="2">
        <f>VLOOKUP($A354,'[2]App C Exp'!$A$4:$I$917,6,FALSE)</f>
        <v>19461</v>
      </c>
      <c r="M354" s="2">
        <f>VLOOKUP($A354,'[2]App C Exp'!$A$4:$I$917,7,FALSE)</f>
        <v>17443</v>
      </c>
      <c r="N354" s="2">
        <f>VLOOKUP($A354,'[2]App C Exp'!$A$4:$I$917,8,FALSE)</f>
        <v>6984</v>
      </c>
      <c r="O354" s="2">
        <f>VLOOKUP($A354,'[2]App C Exp'!$A$4:$I$917,9,FALSE)</f>
        <v>0</v>
      </c>
      <c r="P354" s="2"/>
      <c r="Q354" s="2">
        <f>VLOOKUP($A354,'[2]App C Inv'!$A$4:$I$917,5,FALSE)</f>
        <v>21964</v>
      </c>
      <c r="R354" s="2">
        <f>VLOOKUP($A354,'[2]App C Inv'!$A$4:$I$917,6,FALSE)</f>
        <v>-18893</v>
      </c>
      <c r="S354" s="2">
        <f>VLOOKUP($A354,'[2]App C Inv'!$A$4:$I$917,7,FALSE)</f>
        <v>2663</v>
      </c>
      <c r="T354" s="2">
        <f>VLOOKUP($A354,'[2]App C Inv'!$A$4:$I$917,8,FALSE)</f>
        <v>3465</v>
      </c>
      <c r="U354" s="2">
        <f>VLOOKUP($A354,'[2]App C Inv'!$A$4:$I$917,9,FALSE)</f>
        <v>0</v>
      </c>
      <c r="V354" s="2"/>
      <c r="W354" s="2">
        <f>VLOOKUP($A354,'[2]App C Assum'!$A$4:$I$917,5,FALSE)</f>
        <v>24742</v>
      </c>
      <c r="X354" s="2">
        <f>VLOOKUP($A354,'[2]App C Assum'!$A$4:$I$917,6,FALSE)</f>
        <v>20270</v>
      </c>
      <c r="Y354" s="2">
        <f>VLOOKUP($A354,'[2]App C Assum'!$A$4:$I$917,7,FALSE)</f>
        <v>16456</v>
      </c>
      <c r="Z354" s="2">
        <f>VLOOKUP($A354,'[2]App C Assum'!$A$4:$I$917,8,FALSE)</f>
        <v>0</v>
      </c>
      <c r="AA354" s="2">
        <f>VLOOKUP($A354,'[2]App C Assum'!$A$4:$I$917,9,FALSE)</f>
        <v>0</v>
      </c>
      <c r="AB354" s="2"/>
      <c r="AC354" s="2">
        <f>VLOOKUP($A354,'[2]App C Share Outflows'!$A$4:$I$917,5,FALSE)</f>
        <v>5149</v>
      </c>
      <c r="AD354" s="2">
        <f>VLOOKUP($A354,'[2]App C Share Outflows'!$A$4:$I$917,6,FALSE)</f>
        <v>5147</v>
      </c>
      <c r="AE354" s="2">
        <f>VLOOKUP($A354,'[2]App C Share Outflows'!$A$4:$I$917,7,FALSE)</f>
        <v>2206</v>
      </c>
      <c r="AF354" s="2">
        <f>VLOOKUP($A354,'[2]App C Share Outflows'!$A$4:$I$917,8,FALSE)</f>
        <v>0</v>
      </c>
      <c r="AG354" s="2">
        <f>VLOOKUP($A354,'[2]App C Share Outflows'!$A$4:$I$917,9,FALSE)</f>
        <v>0</v>
      </c>
      <c r="AH354" s="2"/>
      <c r="AI354" s="2">
        <f>VLOOKUP($A354,'[2]App C Share Inflows'!$A$4:$I$917,5,FALSE)</f>
        <v>-1513</v>
      </c>
      <c r="AJ354" s="2">
        <f>VLOOKUP($A354,'[2]App C Share Inflows'!$A$4:$I$917,6,FALSE)</f>
        <v>-140</v>
      </c>
      <c r="AK354" s="2">
        <f>VLOOKUP($A354,'[2]App C Share Inflows'!$A$4:$I$917,7,FALSE)</f>
        <v>-140</v>
      </c>
      <c r="AL354" s="2">
        <f>VLOOKUP($A354,'[2]App C Share Inflows'!$A$4:$I$917,8,FALSE)</f>
        <v>-142</v>
      </c>
      <c r="AM354" s="2">
        <f>VLOOKUP($A354,'[2]App C Share Inflows'!$A$4:$I$917,6,FALSE)</f>
        <v>-140</v>
      </c>
    </row>
    <row r="355" spans="1:39">
      <c r="A355" s="351">
        <v>93441</v>
      </c>
      <c r="B355" s="344" t="s">
        <v>1049</v>
      </c>
      <c r="C355" s="235" t="e">
        <f>VLOOKUP(A355,#REF!,10,FALSE)</f>
        <v>#REF!</v>
      </c>
      <c r="E355" s="2">
        <f>VLOOKUP($A355,'[2]App C Total'!$A$4:$I$917,5,FALSE)</f>
        <v>87318</v>
      </c>
      <c r="F355" s="2">
        <f>VLOOKUP($A355,'[2]App C Total'!$A$4:$I$917,6,FALSE)</f>
        <v>27615</v>
      </c>
      <c r="G355" s="2">
        <f>VLOOKUP($A355,'[2]App C Total'!$A$4:$I$917,7,FALSE)</f>
        <v>44301</v>
      </c>
      <c r="H355" s="2">
        <f>VLOOKUP($A355,'[2]App C Total'!$A$4:$I$917,8,FALSE)</f>
        <v>11509</v>
      </c>
      <c r="I355" s="2">
        <f>VLOOKUP($A355,'[2]App C Total'!$A$4:$I$917,9,FALSE)</f>
        <v>0</v>
      </c>
      <c r="J355" s="2"/>
      <c r="K355" s="2">
        <f>VLOOKUP($A355,'[2]App C Exp'!$A$4:$I$917,5,FALSE)</f>
        <v>24808</v>
      </c>
      <c r="L355" s="2">
        <f>VLOOKUP($A355,'[2]App C Exp'!$A$4:$I$917,6,FALSE)</f>
        <v>23336</v>
      </c>
      <c r="M355" s="2">
        <f>VLOOKUP($A355,'[2]App C Exp'!$A$4:$I$917,7,FALSE)</f>
        <v>20916</v>
      </c>
      <c r="N355" s="2">
        <f>VLOOKUP($A355,'[2]App C Exp'!$A$4:$I$917,8,FALSE)</f>
        <v>8375</v>
      </c>
      <c r="O355" s="2">
        <f>VLOOKUP($A355,'[2]App C Exp'!$A$4:$I$917,9,FALSE)</f>
        <v>0</v>
      </c>
      <c r="P355" s="2"/>
      <c r="Q355" s="2">
        <f>VLOOKUP($A355,'[2]App C Inv'!$A$4:$I$917,5,FALSE)</f>
        <v>26337</v>
      </c>
      <c r="R355" s="2">
        <f>VLOOKUP($A355,'[2]App C Inv'!$A$4:$I$917,6,FALSE)</f>
        <v>-22655</v>
      </c>
      <c r="S355" s="2">
        <f>VLOOKUP($A355,'[2]App C Inv'!$A$4:$I$917,7,FALSE)</f>
        <v>3193</v>
      </c>
      <c r="T355" s="2">
        <f>VLOOKUP($A355,'[2]App C Inv'!$A$4:$I$917,8,FALSE)</f>
        <v>4156</v>
      </c>
      <c r="U355" s="2">
        <f>VLOOKUP($A355,'[2]App C Inv'!$A$4:$I$917,9,FALSE)</f>
        <v>0</v>
      </c>
      <c r="V355" s="2"/>
      <c r="W355" s="2">
        <f>VLOOKUP($A355,'[2]App C Assum'!$A$4:$I$917,5,FALSE)</f>
        <v>29669</v>
      </c>
      <c r="X355" s="2">
        <f>VLOOKUP($A355,'[2]App C Assum'!$A$4:$I$917,6,FALSE)</f>
        <v>24306</v>
      </c>
      <c r="Y355" s="2">
        <f>VLOOKUP($A355,'[2]App C Assum'!$A$4:$I$917,7,FALSE)</f>
        <v>19732</v>
      </c>
      <c r="Z355" s="2">
        <f>VLOOKUP($A355,'[2]App C Assum'!$A$4:$I$917,8,FALSE)</f>
        <v>0</v>
      </c>
      <c r="AA355" s="2">
        <f>VLOOKUP($A355,'[2]App C Assum'!$A$4:$I$917,9,FALSE)</f>
        <v>0</v>
      </c>
      <c r="AB355" s="2"/>
      <c r="AC355" s="2">
        <f>VLOOKUP($A355,'[2]App C Share Outflows'!$A$4:$I$917,5,FALSE)</f>
        <v>7525</v>
      </c>
      <c r="AD355" s="2">
        <f>VLOOKUP($A355,'[2]App C Share Outflows'!$A$4:$I$917,6,FALSE)</f>
        <v>3649</v>
      </c>
      <c r="AE355" s="2">
        <f>VLOOKUP($A355,'[2]App C Share Outflows'!$A$4:$I$917,7,FALSE)</f>
        <v>1481</v>
      </c>
      <c r="AF355" s="2">
        <f>VLOOKUP($A355,'[2]App C Share Outflows'!$A$4:$I$917,8,FALSE)</f>
        <v>0</v>
      </c>
      <c r="AG355" s="2">
        <f>VLOOKUP($A355,'[2]App C Share Outflows'!$A$4:$I$917,9,FALSE)</f>
        <v>0</v>
      </c>
      <c r="AH355" s="2"/>
      <c r="AI355" s="2">
        <f>VLOOKUP($A355,'[2]App C Share Inflows'!$A$4:$I$917,5,FALSE)</f>
        <v>-1021</v>
      </c>
      <c r="AJ355" s="2">
        <f>VLOOKUP($A355,'[2]App C Share Inflows'!$A$4:$I$917,6,FALSE)</f>
        <v>-1021</v>
      </c>
      <c r="AK355" s="2">
        <f>VLOOKUP($A355,'[2]App C Share Inflows'!$A$4:$I$917,7,FALSE)</f>
        <v>-1021</v>
      </c>
      <c r="AL355" s="2">
        <f>VLOOKUP($A355,'[2]App C Share Inflows'!$A$4:$I$917,8,FALSE)</f>
        <v>-1022</v>
      </c>
      <c r="AM355" s="2">
        <f>VLOOKUP($A355,'[2]App C Share Inflows'!$A$4:$I$917,6,FALSE)</f>
        <v>-1021</v>
      </c>
    </row>
    <row r="356" spans="1:39">
      <c r="A356" s="351">
        <v>93442</v>
      </c>
      <c r="B356" s="344" t="s">
        <v>1050</v>
      </c>
      <c r="C356" s="235" t="e">
        <f>VLOOKUP(A356,#REF!,10,FALSE)</f>
        <v>#REF!</v>
      </c>
      <c r="E356" s="2">
        <f>VLOOKUP($A356,'[2]App C Total'!$A$4:$I$917,5,FALSE)</f>
        <v>67874</v>
      </c>
      <c r="F356" s="2">
        <f>VLOOKUP($A356,'[2]App C Total'!$A$4:$I$917,6,FALSE)</f>
        <v>20830</v>
      </c>
      <c r="G356" s="2">
        <f>VLOOKUP($A356,'[2]App C Total'!$A$4:$I$917,7,FALSE)</f>
        <v>38389</v>
      </c>
      <c r="H356" s="2">
        <f>VLOOKUP($A356,'[2]App C Total'!$A$4:$I$917,8,FALSE)</f>
        <v>10396</v>
      </c>
      <c r="I356" s="2">
        <f>VLOOKUP($A356,'[2]App C Total'!$A$4:$I$917,9,FALSE)</f>
        <v>0</v>
      </c>
      <c r="J356" s="2"/>
      <c r="K356" s="2">
        <f>VLOOKUP($A356,'[2]App C Exp'!$A$4:$I$917,5,FALSE)</f>
        <v>23385</v>
      </c>
      <c r="L356" s="2">
        <f>VLOOKUP($A356,'[2]App C Exp'!$A$4:$I$917,6,FALSE)</f>
        <v>21998</v>
      </c>
      <c r="M356" s="2">
        <f>VLOOKUP($A356,'[2]App C Exp'!$A$4:$I$917,7,FALSE)</f>
        <v>19716</v>
      </c>
      <c r="N356" s="2">
        <f>VLOOKUP($A356,'[2]App C Exp'!$A$4:$I$917,8,FALSE)</f>
        <v>7894</v>
      </c>
      <c r="O356" s="2">
        <f>VLOOKUP($A356,'[2]App C Exp'!$A$4:$I$917,9,FALSE)</f>
        <v>0</v>
      </c>
      <c r="P356" s="2"/>
      <c r="Q356" s="2">
        <f>VLOOKUP($A356,'[2]App C Inv'!$A$4:$I$917,5,FALSE)</f>
        <v>24826</v>
      </c>
      <c r="R356" s="2">
        <f>VLOOKUP($A356,'[2]App C Inv'!$A$4:$I$917,6,FALSE)</f>
        <v>-21355</v>
      </c>
      <c r="S356" s="2">
        <f>VLOOKUP($A356,'[2]App C Inv'!$A$4:$I$917,7,FALSE)</f>
        <v>3010</v>
      </c>
      <c r="T356" s="2">
        <f>VLOOKUP($A356,'[2]App C Inv'!$A$4:$I$917,8,FALSE)</f>
        <v>3917</v>
      </c>
      <c r="U356" s="2">
        <f>VLOOKUP($A356,'[2]App C Inv'!$A$4:$I$917,9,FALSE)</f>
        <v>0</v>
      </c>
      <c r="V356" s="2"/>
      <c r="W356" s="2">
        <f>VLOOKUP($A356,'[2]App C Assum'!$A$4:$I$917,5,FALSE)</f>
        <v>27967</v>
      </c>
      <c r="X356" s="2">
        <f>VLOOKUP($A356,'[2]App C Assum'!$A$4:$I$917,6,FALSE)</f>
        <v>22912</v>
      </c>
      <c r="Y356" s="2">
        <f>VLOOKUP($A356,'[2]App C Assum'!$A$4:$I$917,7,FALSE)</f>
        <v>18600</v>
      </c>
      <c r="Z356" s="2">
        <f>VLOOKUP($A356,'[2]App C Assum'!$A$4:$I$917,8,FALSE)</f>
        <v>0</v>
      </c>
      <c r="AA356" s="2">
        <f>VLOOKUP($A356,'[2]App C Assum'!$A$4:$I$917,9,FALSE)</f>
        <v>0</v>
      </c>
      <c r="AB356" s="2"/>
      <c r="AC356" s="2">
        <f>VLOOKUP($A356,'[2]App C Share Outflows'!$A$4:$I$917,5,FALSE)</f>
        <v>214</v>
      </c>
      <c r="AD356" s="2">
        <f>VLOOKUP($A356,'[2]App C Share Outflows'!$A$4:$I$917,6,FALSE)</f>
        <v>214</v>
      </c>
      <c r="AE356" s="2">
        <f>VLOOKUP($A356,'[2]App C Share Outflows'!$A$4:$I$917,7,FALSE)</f>
        <v>0</v>
      </c>
      <c r="AF356" s="2">
        <f>VLOOKUP($A356,'[2]App C Share Outflows'!$A$4:$I$917,8,FALSE)</f>
        <v>0</v>
      </c>
      <c r="AG356" s="2">
        <f>VLOOKUP($A356,'[2]App C Share Outflows'!$A$4:$I$917,9,FALSE)</f>
        <v>0</v>
      </c>
      <c r="AH356" s="2"/>
      <c r="AI356" s="2">
        <f>VLOOKUP($A356,'[2]App C Share Inflows'!$A$4:$I$917,5,FALSE)</f>
        <v>-8518</v>
      </c>
      <c r="AJ356" s="2">
        <f>VLOOKUP($A356,'[2]App C Share Inflows'!$A$4:$I$917,6,FALSE)</f>
        <v>-2939</v>
      </c>
      <c r="AK356" s="2">
        <f>VLOOKUP($A356,'[2]App C Share Inflows'!$A$4:$I$917,7,FALSE)</f>
        <v>-2937</v>
      </c>
      <c r="AL356" s="2">
        <f>VLOOKUP($A356,'[2]App C Share Inflows'!$A$4:$I$917,8,FALSE)</f>
        <v>-1415</v>
      </c>
      <c r="AM356" s="2">
        <f>VLOOKUP($A356,'[2]App C Share Inflows'!$A$4:$I$917,6,FALSE)</f>
        <v>-2939</v>
      </c>
    </row>
    <row r="357" spans="1:39">
      <c r="A357" s="351">
        <v>93451</v>
      </c>
      <c r="B357" s="344" t="s">
        <v>1051</v>
      </c>
      <c r="C357" s="235" t="e">
        <f>VLOOKUP(A357,#REF!,10,FALSE)</f>
        <v>#REF!</v>
      </c>
      <c r="E357" s="2">
        <f>VLOOKUP($A357,'[2]App C Total'!$A$4:$I$917,5,FALSE)</f>
        <v>37851</v>
      </c>
      <c r="F357" s="2">
        <f>VLOOKUP($A357,'[2]App C Total'!$A$4:$I$917,6,FALSE)</f>
        <v>13550</v>
      </c>
      <c r="G357" s="2">
        <f>VLOOKUP($A357,'[2]App C Total'!$A$4:$I$917,7,FALSE)</f>
        <v>20290</v>
      </c>
      <c r="H357" s="2">
        <f>VLOOKUP($A357,'[2]App C Total'!$A$4:$I$917,8,FALSE)</f>
        <v>4791</v>
      </c>
      <c r="I357" s="2">
        <f>VLOOKUP($A357,'[2]App C Total'!$A$4:$I$917,9,FALSE)</f>
        <v>0</v>
      </c>
      <c r="J357" s="2"/>
      <c r="K357" s="2">
        <f>VLOOKUP($A357,'[2]App C Exp'!$A$4:$I$917,5,FALSE)</f>
        <v>9977</v>
      </c>
      <c r="L357" s="2">
        <f>VLOOKUP($A357,'[2]App C Exp'!$A$4:$I$917,6,FALSE)</f>
        <v>9385</v>
      </c>
      <c r="M357" s="2">
        <f>VLOOKUP($A357,'[2]App C Exp'!$A$4:$I$917,7,FALSE)</f>
        <v>8412</v>
      </c>
      <c r="N357" s="2">
        <f>VLOOKUP($A357,'[2]App C Exp'!$A$4:$I$917,8,FALSE)</f>
        <v>3368</v>
      </c>
      <c r="O357" s="2">
        <f>VLOOKUP($A357,'[2]App C Exp'!$A$4:$I$917,9,FALSE)</f>
        <v>0</v>
      </c>
      <c r="P357" s="2"/>
      <c r="Q357" s="2">
        <f>VLOOKUP($A357,'[2]App C Inv'!$A$4:$I$917,5,FALSE)</f>
        <v>10592</v>
      </c>
      <c r="R357" s="2">
        <f>VLOOKUP($A357,'[2]App C Inv'!$A$4:$I$917,6,FALSE)</f>
        <v>-9111</v>
      </c>
      <c r="S357" s="2">
        <f>VLOOKUP($A357,'[2]App C Inv'!$A$4:$I$917,7,FALSE)</f>
        <v>1284</v>
      </c>
      <c r="T357" s="2">
        <f>VLOOKUP($A357,'[2]App C Inv'!$A$4:$I$917,8,FALSE)</f>
        <v>1671</v>
      </c>
      <c r="U357" s="2">
        <f>VLOOKUP($A357,'[2]App C Inv'!$A$4:$I$917,9,FALSE)</f>
        <v>0</v>
      </c>
      <c r="V357" s="2"/>
      <c r="W357" s="2">
        <f>VLOOKUP($A357,'[2]App C Assum'!$A$4:$I$917,5,FALSE)</f>
        <v>11932</v>
      </c>
      <c r="X357" s="2">
        <f>VLOOKUP($A357,'[2]App C Assum'!$A$4:$I$917,6,FALSE)</f>
        <v>9775</v>
      </c>
      <c r="Y357" s="2">
        <f>VLOOKUP($A357,'[2]App C Assum'!$A$4:$I$917,7,FALSE)</f>
        <v>7936</v>
      </c>
      <c r="Z357" s="2">
        <f>VLOOKUP($A357,'[2]App C Assum'!$A$4:$I$917,8,FALSE)</f>
        <v>0</v>
      </c>
      <c r="AA357" s="2">
        <f>VLOOKUP($A357,'[2]App C Assum'!$A$4:$I$917,9,FALSE)</f>
        <v>0</v>
      </c>
      <c r="AB357" s="2"/>
      <c r="AC357" s="2">
        <f>VLOOKUP($A357,'[2]App C Share Outflows'!$A$4:$I$917,5,FALSE)</f>
        <v>5598</v>
      </c>
      <c r="AD357" s="2">
        <f>VLOOKUP($A357,'[2]App C Share Outflows'!$A$4:$I$917,6,FALSE)</f>
        <v>3749</v>
      </c>
      <c r="AE357" s="2">
        <f>VLOOKUP($A357,'[2]App C Share Outflows'!$A$4:$I$917,7,FALSE)</f>
        <v>2906</v>
      </c>
      <c r="AF357" s="2">
        <f>VLOOKUP($A357,'[2]App C Share Outflows'!$A$4:$I$917,8,FALSE)</f>
        <v>0</v>
      </c>
      <c r="AG357" s="2">
        <f>VLOOKUP($A357,'[2]App C Share Outflows'!$A$4:$I$917,9,FALSE)</f>
        <v>0</v>
      </c>
      <c r="AH357" s="2"/>
      <c r="AI357" s="2">
        <f>VLOOKUP($A357,'[2]App C Share Inflows'!$A$4:$I$917,5,FALSE)</f>
        <v>-248</v>
      </c>
      <c r="AJ357" s="2">
        <f>VLOOKUP($A357,'[2]App C Share Inflows'!$A$4:$I$917,6,FALSE)</f>
        <v>-248</v>
      </c>
      <c r="AK357" s="2">
        <f>VLOOKUP($A357,'[2]App C Share Inflows'!$A$4:$I$917,7,FALSE)</f>
        <v>-248</v>
      </c>
      <c r="AL357" s="2">
        <f>VLOOKUP($A357,'[2]App C Share Inflows'!$A$4:$I$917,8,FALSE)</f>
        <v>-248</v>
      </c>
      <c r="AM357" s="2">
        <f>VLOOKUP($A357,'[2]App C Share Inflows'!$A$4:$I$917,6,FALSE)</f>
        <v>-248</v>
      </c>
    </row>
    <row r="358" spans="1:39">
      <c r="A358" s="351">
        <v>93461</v>
      </c>
      <c r="B358" s="344" t="s">
        <v>1052</v>
      </c>
      <c r="C358" s="235" t="e">
        <f>VLOOKUP(A358,#REF!,10,FALSE)</f>
        <v>#REF!</v>
      </c>
      <c r="E358" s="2">
        <f>VLOOKUP($A358,'[2]App C Total'!$A$4:$I$917,5,FALSE)</f>
        <v>7684</v>
      </c>
      <c r="F358" s="2">
        <f>VLOOKUP($A358,'[2]App C Total'!$A$4:$I$917,6,FALSE)</f>
        <v>2389</v>
      </c>
      <c r="G358" s="2">
        <f>VLOOKUP($A358,'[2]App C Total'!$A$4:$I$917,7,FALSE)</f>
        <v>4124</v>
      </c>
      <c r="H358" s="2">
        <f>VLOOKUP($A358,'[2]App C Total'!$A$4:$I$917,8,FALSE)</f>
        <v>1097</v>
      </c>
      <c r="I358" s="2">
        <f>VLOOKUP($A358,'[2]App C Total'!$A$4:$I$917,9,FALSE)</f>
        <v>0</v>
      </c>
      <c r="J358" s="2"/>
      <c r="K358" s="2">
        <f>VLOOKUP($A358,'[2]App C Exp'!$A$4:$I$917,5,FALSE)</f>
        <v>2322</v>
      </c>
      <c r="L358" s="2">
        <f>VLOOKUP($A358,'[2]App C Exp'!$A$4:$I$917,6,FALSE)</f>
        <v>2184</v>
      </c>
      <c r="M358" s="2">
        <f>VLOOKUP($A358,'[2]App C Exp'!$A$4:$I$917,7,FALSE)</f>
        <v>1958</v>
      </c>
      <c r="N358" s="2">
        <f>VLOOKUP($A358,'[2]App C Exp'!$A$4:$I$917,8,FALSE)</f>
        <v>784</v>
      </c>
      <c r="O358" s="2">
        <f>VLOOKUP($A358,'[2]App C Exp'!$A$4:$I$917,9,FALSE)</f>
        <v>0</v>
      </c>
      <c r="P358" s="2"/>
      <c r="Q358" s="2">
        <f>VLOOKUP($A358,'[2]App C Inv'!$A$4:$I$917,5,FALSE)</f>
        <v>2465</v>
      </c>
      <c r="R358" s="2">
        <f>VLOOKUP($A358,'[2]App C Inv'!$A$4:$I$917,6,FALSE)</f>
        <v>-2120</v>
      </c>
      <c r="S358" s="2">
        <f>VLOOKUP($A358,'[2]App C Inv'!$A$4:$I$917,7,FALSE)</f>
        <v>299</v>
      </c>
      <c r="T358" s="2">
        <f>VLOOKUP($A358,'[2]App C Inv'!$A$4:$I$917,8,FALSE)</f>
        <v>389</v>
      </c>
      <c r="U358" s="2">
        <f>VLOOKUP($A358,'[2]App C Inv'!$A$4:$I$917,9,FALSE)</f>
        <v>0</v>
      </c>
      <c r="V358" s="2"/>
      <c r="W358" s="2">
        <f>VLOOKUP($A358,'[2]App C Assum'!$A$4:$I$917,5,FALSE)</f>
        <v>2777</v>
      </c>
      <c r="X358" s="2">
        <f>VLOOKUP($A358,'[2]App C Assum'!$A$4:$I$917,6,FALSE)</f>
        <v>2275</v>
      </c>
      <c r="Y358" s="2">
        <f>VLOOKUP($A358,'[2]App C Assum'!$A$4:$I$917,7,FALSE)</f>
        <v>1847</v>
      </c>
      <c r="Z358" s="2">
        <f>VLOOKUP($A358,'[2]App C Assum'!$A$4:$I$917,8,FALSE)</f>
        <v>0</v>
      </c>
      <c r="AA358" s="2">
        <f>VLOOKUP($A358,'[2]App C Assum'!$A$4:$I$917,9,FALSE)</f>
        <v>0</v>
      </c>
      <c r="AB358" s="2"/>
      <c r="AC358" s="2">
        <f>VLOOKUP($A358,'[2]App C Share Outflows'!$A$4:$I$917,5,FALSE)</f>
        <v>194</v>
      </c>
      <c r="AD358" s="2">
        <f>VLOOKUP($A358,'[2]App C Share Outflows'!$A$4:$I$917,6,FALSE)</f>
        <v>124</v>
      </c>
      <c r="AE358" s="2">
        <f>VLOOKUP($A358,'[2]App C Share Outflows'!$A$4:$I$917,7,FALSE)</f>
        <v>94</v>
      </c>
      <c r="AF358" s="2">
        <f>VLOOKUP($A358,'[2]App C Share Outflows'!$A$4:$I$917,8,FALSE)</f>
        <v>0</v>
      </c>
      <c r="AG358" s="2">
        <f>VLOOKUP($A358,'[2]App C Share Outflows'!$A$4:$I$917,9,FALSE)</f>
        <v>0</v>
      </c>
      <c r="AH358" s="2"/>
      <c r="AI358" s="2">
        <f>VLOOKUP($A358,'[2]App C Share Inflows'!$A$4:$I$917,5,FALSE)</f>
        <v>-74</v>
      </c>
      <c r="AJ358" s="2">
        <f>VLOOKUP($A358,'[2]App C Share Inflows'!$A$4:$I$917,6,FALSE)</f>
        <v>-74</v>
      </c>
      <c r="AK358" s="2">
        <f>VLOOKUP($A358,'[2]App C Share Inflows'!$A$4:$I$917,7,FALSE)</f>
        <v>-74</v>
      </c>
      <c r="AL358" s="2">
        <f>VLOOKUP($A358,'[2]App C Share Inflows'!$A$4:$I$917,8,FALSE)</f>
        <v>-76</v>
      </c>
      <c r="AM358" s="2">
        <f>VLOOKUP($A358,'[2]App C Share Inflows'!$A$4:$I$917,6,FALSE)</f>
        <v>-74</v>
      </c>
    </row>
    <row r="359" spans="1:39">
      <c r="A359" s="351">
        <v>93471</v>
      </c>
      <c r="B359" s="344" t="s">
        <v>1053</v>
      </c>
      <c r="C359" s="235" t="e">
        <f>VLOOKUP(A359,#REF!,10,FALSE)</f>
        <v>#REF!</v>
      </c>
      <c r="E359" s="2">
        <f>VLOOKUP($A359,'[2]App C Total'!$A$4:$I$917,5,FALSE)</f>
        <v>7559</v>
      </c>
      <c r="F359" s="2">
        <f>VLOOKUP($A359,'[2]App C Total'!$A$4:$I$917,6,FALSE)</f>
        <v>3367</v>
      </c>
      <c r="G359" s="2">
        <f>VLOOKUP($A359,'[2]App C Total'!$A$4:$I$917,7,FALSE)</f>
        <v>3985</v>
      </c>
      <c r="H359" s="2">
        <f>VLOOKUP($A359,'[2]App C Total'!$A$4:$I$917,8,FALSE)</f>
        <v>1462</v>
      </c>
      <c r="I359" s="2">
        <f>VLOOKUP($A359,'[2]App C Total'!$A$4:$I$917,9,FALSE)</f>
        <v>0</v>
      </c>
      <c r="J359" s="2"/>
      <c r="K359" s="2">
        <f>VLOOKUP($A359,'[2]App C Exp'!$A$4:$I$917,5,FALSE)</f>
        <v>1708</v>
      </c>
      <c r="L359" s="2">
        <f>VLOOKUP($A359,'[2]App C Exp'!$A$4:$I$917,6,FALSE)</f>
        <v>1606</v>
      </c>
      <c r="M359" s="2">
        <f>VLOOKUP($A359,'[2]App C Exp'!$A$4:$I$917,7,FALSE)</f>
        <v>1440</v>
      </c>
      <c r="N359" s="2">
        <f>VLOOKUP($A359,'[2]App C Exp'!$A$4:$I$917,8,FALSE)</f>
        <v>577</v>
      </c>
      <c r="O359" s="2">
        <f>VLOOKUP($A359,'[2]App C Exp'!$A$4:$I$917,9,FALSE)</f>
        <v>0</v>
      </c>
      <c r="P359" s="2"/>
      <c r="Q359" s="2">
        <f>VLOOKUP($A359,'[2]App C Inv'!$A$4:$I$917,5,FALSE)</f>
        <v>1813</v>
      </c>
      <c r="R359" s="2">
        <f>VLOOKUP($A359,'[2]App C Inv'!$A$4:$I$917,6,FALSE)</f>
        <v>-1560</v>
      </c>
      <c r="S359" s="2">
        <f>VLOOKUP($A359,'[2]App C Inv'!$A$4:$I$917,7,FALSE)</f>
        <v>220</v>
      </c>
      <c r="T359" s="2">
        <f>VLOOKUP($A359,'[2]App C Inv'!$A$4:$I$917,8,FALSE)</f>
        <v>286</v>
      </c>
      <c r="U359" s="2">
        <f>VLOOKUP($A359,'[2]App C Inv'!$A$4:$I$917,9,FALSE)</f>
        <v>0</v>
      </c>
      <c r="V359" s="2"/>
      <c r="W359" s="2">
        <f>VLOOKUP($A359,'[2]App C Assum'!$A$4:$I$917,5,FALSE)</f>
        <v>2042</v>
      </c>
      <c r="X359" s="2">
        <f>VLOOKUP($A359,'[2]App C Assum'!$A$4:$I$917,6,FALSE)</f>
        <v>1673</v>
      </c>
      <c r="Y359" s="2">
        <f>VLOOKUP($A359,'[2]App C Assum'!$A$4:$I$917,7,FALSE)</f>
        <v>1358</v>
      </c>
      <c r="Z359" s="2">
        <f>VLOOKUP($A359,'[2]App C Assum'!$A$4:$I$917,8,FALSE)</f>
        <v>0</v>
      </c>
      <c r="AA359" s="2">
        <f>VLOOKUP($A359,'[2]App C Assum'!$A$4:$I$917,9,FALSE)</f>
        <v>0</v>
      </c>
      <c r="AB359" s="2"/>
      <c r="AC359" s="2">
        <f>VLOOKUP($A359,'[2]App C Share Outflows'!$A$4:$I$917,5,FALSE)</f>
        <v>1996</v>
      </c>
      <c r="AD359" s="2">
        <f>VLOOKUP($A359,'[2]App C Share Outflows'!$A$4:$I$917,6,FALSE)</f>
        <v>1648</v>
      </c>
      <c r="AE359" s="2">
        <f>VLOOKUP($A359,'[2]App C Share Outflows'!$A$4:$I$917,7,FALSE)</f>
        <v>967</v>
      </c>
      <c r="AF359" s="2">
        <f>VLOOKUP($A359,'[2]App C Share Outflows'!$A$4:$I$917,8,FALSE)</f>
        <v>599</v>
      </c>
      <c r="AG359" s="2">
        <f>VLOOKUP($A359,'[2]App C Share Outflows'!$A$4:$I$917,9,FALSE)</f>
        <v>0</v>
      </c>
      <c r="AH359" s="2"/>
      <c r="AI359" s="2">
        <f>VLOOKUP($A359,'[2]App C Share Inflows'!$A$4:$I$917,5,FALSE)</f>
        <v>0</v>
      </c>
      <c r="AJ359" s="2">
        <f>VLOOKUP($A359,'[2]App C Share Inflows'!$A$4:$I$917,6,FALSE)</f>
        <v>0</v>
      </c>
      <c r="AK359" s="2">
        <f>VLOOKUP($A359,'[2]App C Share Inflows'!$A$4:$I$917,7,FALSE)</f>
        <v>0</v>
      </c>
      <c r="AL359" s="2">
        <f>VLOOKUP($A359,'[2]App C Share Inflows'!$A$4:$I$917,8,FALSE)</f>
        <v>0</v>
      </c>
      <c r="AM359" s="2">
        <f>VLOOKUP($A359,'[2]App C Share Inflows'!$A$4:$I$917,6,FALSE)</f>
        <v>0</v>
      </c>
    </row>
    <row r="360" spans="1:39">
      <c r="A360" s="351">
        <v>93501</v>
      </c>
      <c r="B360" s="344" t="s">
        <v>1054</v>
      </c>
      <c r="C360" s="235" t="e">
        <f>VLOOKUP(A360,#REF!,10,FALSE)</f>
        <v>#REF!</v>
      </c>
      <c r="E360" s="2">
        <f>VLOOKUP($A360,'[2]App C Total'!$A$4:$I$917,5,FALSE)</f>
        <v>1929368</v>
      </c>
      <c r="F360" s="2">
        <f>VLOOKUP($A360,'[2]App C Total'!$A$4:$I$917,6,FALSE)</f>
        <v>649991</v>
      </c>
      <c r="G360" s="2">
        <f>VLOOKUP($A360,'[2]App C Total'!$A$4:$I$917,7,FALSE)</f>
        <v>1052511</v>
      </c>
      <c r="H360" s="2">
        <f>VLOOKUP($A360,'[2]App C Total'!$A$4:$I$917,8,FALSE)</f>
        <v>312306</v>
      </c>
      <c r="I360" s="2">
        <f>VLOOKUP($A360,'[2]App C Total'!$A$4:$I$917,9,FALSE)</f>
        <v>0</v>
      </c>
      <c r="J360" s="2"/>
      <c r="K360" s="2">
        <f>VLOOKUP($A360,'[2]App C Exp'!$A$4:$I$917,5,FALSE)</f>
        <v>576218</v>
      </c>
      <c r="L360" s="2">
        <f>VLOOKUP($A360,'[2]App C Exp'!$A$4:$I$917,6,FALSE)</f>
        <v>542035</v>
      </c>
      <c r="M360" s="2">
        <f>VLOOKUP($A360,'[2]App C Exp'!$A$4:$I$917,7,FALSE)</f>
        <v>485820</v>
      </c>
      <c r="N360" s="2">
        <f>VLOOKUP($A360,'[2]App C Exp'!$A$4:$I$917,8,FALSE)</f>
        <v>194516</v>
      </c>
      <c r="O360" s="2">
        <f>VLOOKUP($A360,'[2]App C Exp'!$A$4:$I$917,9,FALSE)</f>
        <v>0</v>
      </c>
      <c r="P360" s="2"/>
      <c r="Q360" s="2">
        <f>VLOOKUP($A360,'[2]App C Inv'!$A$4:$I$917,5,FALSE)</f>
        <v>611735</v>
      </c>
      <c r="R360" s="2">
        <f>VLOOKUP($A360,'[2]App C Inv'!$A$4:$I$917,6,FALSE)</f>
        <v>-526207</v>
      </c>
      <c r="S360" s="2">
        <f>VLOOKUP($A360,'[2]App C Inv'!$A$4:$I$917,7,FALSE)</f>
        <v>74162</v>
      </c>
      <c r="T360" s="2">
        <f>VLOOKUP($A360,'[2]App C Inv'!$A$4:$I$917,8,FALSE)</f>
        <v>96522</v>
      </c>
      <c r="U360" s="2">
        <f>VLOOKUP($A360,'[2]App C Inv'!$A$4:$I$917,9,FALSE)</f>
        <v>0</v>
      </c>
      <c r="V360" s="2"/>
      <c r="W360" s="2">
        <f>VLOOKUP($A360,'[2]App C Assum'!$A$4:$I$917,5,FALSE)</f>
        <v>689129</v>
      </c>
      <c r="X360" s="2">
        <f>VLOOKUP($A360,'[2]App C Assum'!$A$4:$I$917,6,FALSE)</f>
        <v>564559</v>
      </c>
      <c r="Y360" s="2">
        <f>VLOOKUP($A360,'[2]App C Assum'!$A$4:$I$917,7,FALSE)</f>
        <v>458325</v>
      </c>
      <c r="Z360" s="2">
        <f>VLOOKUP($A360,'[2]App C Assum'!$A$4:$I$917,8,FALSE)</f>
        <v>0</v>
      </c>
      <c r="AA360" s="2">
        <f>VLOOKUP($A360,'[2]App C Assum'!$A$4:$I$917,9,FALSE)</f>
        <v>0</v>
      </c>
      <c r="AB360" s="2"/>
      <c r="AC360" s="2">
        <f>VLOOKUP($A360,'[2]App C Share Outflows'!$A$4:$I$917,5,FALSE)</f>
        <v>69604</v>
      </c>
      <c r="AD360" s="2">
        <f>VLOOKUP($A360,'[2]App C Share Outflows'!$A$4:$I$917,6,FALSE)</f>
        <v>69604</v>
      </c>
      <c r="AE360" s="2">
        <f>VLOOKUP($A360,'[2]App C Share Outflows'!$A$4:$I$917,7,FALSE)</f>
        <v>34204</v>
      </c>
      <c r="AF360" s="2">
        <f>VLOOKUP($A360,'[2]App C Share Outflows'!$A$4:$I$917,8,FALSE)</f>
        <v>21268</v>
      </c>
      <c r="AG360" s="2">
        <f>VLOOKUP($A360,'[2]App C Share Outflows'!$A$4:$I$917,9,FALSE)</f>
        <v>0</v>
      </c>
      <c r="AH360" s="2"/>
      <c r="AI360" s="2">
        <f>VLOOKUP($A360,'[2]App C Share Inflows'!$A$4:$I$917,5,FALSE)</f>
        <v>-17318</v>
      </c>
      <c r="AJ360" s="2">
        <f>VLOOKUP($A360,'[2]App C Share Inflows'!$A$4:$I$917,6,FALSE)</f>
        <v>0</v>
      </c>
      <c r="AK360" s="2">
        <f>VLOOKUP($A360,'[2]App C Share Inflows'!$A$4:$I$917,7,FALSE)</f>
        <v>0</v>
      </c>
      <c r="AL360" s="2">
        <f>VLOOKUP($A360,'[2]App C Share Inflows'!$A$4:$I$917,8,FALSE)</f>
        <v>0</v>
      </c>
      <c r="AM360" s="2">
        <f>VLOOKUP($A360,'[2]App C Share Inflows'!$A$4:$I$917,6,FALSE)</f>
        <v>0</v>
      </c>
    </row>
    <row r="361" spans="1:39">
      <c r="A361" s="351">
        <v>93511</v>
      </c>
      <c r="B361" s="344" t="s">
        <v>1055</v>
      </c>
      <c r="C361" s="235" t="e">
        <f>VLOOKUP(A361,#REF!,10,FALSE)</f>
        <v>#REF!</v>
      </c>
      <c r="E361" s="2">
        <f>VLOOKUP($A361,'[2]App C Total'!$A$4:$I$917,5,FALSE)</f>
        <v>43040</v>
      </c>
      <c r="F361" s="2">
        <f>VLOOKUP($A361,'[2]App C Total'!$A$4:$I$917,6,FALSE)</f>
        <v>15241</v>
      </c>
      <c r="G361" s="2">
        <f>VLOOKUP($A361,'[2]App C Total'!$A$4:$I$917,7,FALSE)</f>
        <v>26139</v>
      </c>
      <c r="H361" s="2">
        <f>VLOOKUP($A361,'[2]App C Total'!$A$4:$I$917,8,FALSE)</f>
        <v>8116</v>
      </c>
      <c r="I361" s="2">
        <f>VLOOKUP($A361,'[2]App C Total'!$A$4:$I$917,9,FALSE)</f>
        <v>0</v>
      </c>
      <c r="J361" s="2"/>
      <c r="K361" s="2">
        <f>VLOOKUP($A361,'[2]App C Exp'!$A$4:$I$917,5,FALSE)</f>
        <v>13168</v>
      </c>
      <c r="L361" s="2">
        <f>VLOOKUP($A361,'[2]App C Exp'!$A$4:$I$917,6,FALSE)</f>
        <v>12387</v>
      </c>
      <c r="M361" s="2">
        <f>VLOOKUP($A361,'[2]App C Exp'!$A$4:$I$917,7,FALSE)</f>
        <v>11102</v>
      </c>
      <c r="N361" s="2">
        <f>VLOOKUP($A361,'[2]App C Exp'!$A$4:$I$917,8,FALSE)</f>
        <v>4445</v>
      </c>
      <c r="O361" s="2">
        <f>VLOOKUP($A361,'[2]App C Exp'!$A$4:$I$917,9,FALSE)</f>
        <v>0</v>
      </c>
      <c r="P361" s="2"/>
      <c r="Q361" s="2">
        <f>VLOOKUP($A361,'[2]App C Inv'!$A$4:$I$917,5,FALSE)</f>
        <v>13980</v>
      </c>
      <c r="R361" s="2">
        <f>VLOOKUP($A361,'[2]App C Inv'!$A$4:$I$917,6,FALSE)</f>
        <v>-12025</v>
      </c>
      <c r="S361" s="2">
        <f>VLOOKUP($A361,'[2]App C Inv'!$A$4:$I$917,7,FALSE)</f>
        <v>1695</v>
      </c>
      <c r="T361" s="2">
        <f>VLOOKUP($A361,'[2]App C Inv'!$A$4:$I$917,8,FALSE)</f>
        <v>2206</v>
      </c>
      <c r="U361" s="2">
        <f>VLOOKUP($A361,'[2]App C Inv'!$A$4:$I$917,9,FALSE)</f>
        <v>0</v>
      </c>
      <c r="V361" s="2"/>
      <c r="W361" s="2">
        <f>VLOOKUP($A361,'[2]App C Assum'!$A$4:$I$917,5,FALSE)</f>
        <v>15748</v>
      </c>
      <c r="X361" s="2">
        <f>VLOOKUP($A361,'[2]App C Assum'!$A$4:$I$917,6,FALSE)</f>
        <v>12902</v>
      </c>
      <c r="Y361" s="2">
        <f>VLOOKUP($A361,'[2]App C Assum'!$A$4:$I$917,7,FALSE)</f>
        <v>10474</v>
      </c>
      <c r="Z361" s="2">
        <f>VLOOKUP($A361,'[2]App C Assum'!$A$4:$I$917,8,FALSE)</f>
        <v>0</v>
      </c>
      <c r="AA361" s="2">
        <f>VLOOKUP($A361,'[2]App C Assum'!$A$4:$I$917,9,FALSE)</f>
        <v>0</v>
      </c>
      <c r="AB361" s="2"/>
      <c r="AC361" s="2">
        <f>VLOOKUP($A361,'[2]App C Share Outflows'!$A$4:$I$917,5,FALSE)</f>
        <v>2867</v>
      </c>
      <c r="AD361" s="2">
        <f>VLOOKUP($A361,'[2]App C Share Outflows'!$A$4:$I$917,6,FALSE)</f>
        <v>2867</v>
      </c>
      <c r="AE361" s="2">
        <f>VLOOKUP($A361,'[2]App C Share Outflows'!$A$4:$I$917,7,FALSE)</f>
        <v>2868</v>
      </c>
      <c r="AF361" s="2">
        <f>VLOOKUP($A361,'[2]App C Share Outflows'!$A$4:$I$917,8,FALSE)</f>
        <v>1465</v>
      </c>
      <c r="AG361" s="2">
        <f>VLOOKUP($A361,'[2]App C Share Outflows'!$A$4:$I$917,9,FALSE)</f>
        <v>0</v>
      </c>
      <c r="AH361" s="2"/>
      <c r="AI361" s="2">
        <f>VLOOKUP($A361,'[2]App C Share Inflows'!$A$4:$I$917,5,FALSE)</f>
        <v>-2723</v>
      </c>
      <c r="AJ361" s="2">
        <f>VLOOKUP($A361,'[2]App C Share Inflows'!$A$4:$I$917,6,FALSE)</f>
        <v>-890</v>
      </c>
      <c r="AK361" s="2">
        <f>VLOOKUP($A361,'[2]App C Share Inflows'!$A$4:$I$917,7,FALSE)</f>
        <v>0</v>
      </c>
      <c r="AL361" s="2">
        <f>VLOOKUP($A361,'[2]App C Share Inflows'!$A$4:$I$917,8,FALSE)</f>
        <v>0</v>
      </c>
      <c r="AM361" s="2">
        <f>VLOOKUP($A361,'[2]App C Share Inflows'!$A$4:$I$917,6,FALSE)</f>
        <v>-890</v>
      </c>
    </row>
    <row r="362" spans="1:39">
      <c r="A362" s="351">
        <v>93517</v>
      </c>
      <c r="B362" s="344" t="s">
        <v>1056</v>
      </c>
      <c r="C362" s="235" t="e">
        <f>VLOOKUP(A362,#REF!,10,FALSE)</f>
        <v>#REF!</v>
      </c>
      <c r="E362" s="2">
        <f>VLOOKUP($A362,'[2]App C Total'!$A$4:$I$917,5,FALSE)</f>
        <v>3191</v>
      </c>
      <c r="F362" s="2">
        <f>VLOOKUP($A362,'[2]App C Total'!$A$4:$I$917,6,FALSE)</f>
        <v>1512</v>
      </c>
      <c r="G362" s="2">
        <f>VLOOKUP($A362,'[2]App C Total'!$A$4:$I$917,7,FALSE)</f>
        <v>1758</v>
      </c>
      <c r="H362" s="2">
        <f>VLOOKUP($A362,'[2]App C Total'!$A$4:$I$917,8,FALSE)</f>
        <v>706</v>
      </c>
      <c r="I362" s="2">
        <f>VLOOKUP($A362,'[2]App C Total'!$A$4:$I$917,9,FALSE)</f>
        <v>0</v>
      </c>
      <c r="J362" s="2"/>
      <c r="K362" s="2">
        <f>VLOOKUP($A362,'[2]App C Exp'!$A$4:$I$917,5,FALSE)</f>
        <v>644</v>
      </c>
      <c r="L362" s="2">
        <f>VLOOKUP($A362,'[2]App C Exp'!$A$4:$I$917,6,FALSE)</f>
        <v>606</v>
      </c>
      <c r="M362" s="2">
        <f>VLOOKUP($A362,'[2]App C Exp'!$A$4:$I$917,7,FALSE)</f>
        <v>543</v>
      </c>
      <c r="N362" s="2">
        <f>VLOOKUP($A362,'[2]App C Exp'!$A$4:$I$917,8,FALSE)</f>
        <v>217</v>
      </c>
      <c r="O362" s="2">
        <f>VLOOKUP($A362,'[2]App C Exp'!$A$4:$I$917,9,FALSE)</f>
        <v>0</v>
      </c>
      <c r="P362" s="2"/>
      <c r="Q362" s="2">
        <f>VLOOKUP($A362,'[2]App C Inv'!$A$4:$I$917,5,FALSE)</f>
        <v>684</v>
      </c>
      <c r="R362" s="2">
        <f>VLOOKUP($A362,'[2]App C Inv'!$A$4:$I$917,6,FALSE)</f>
        <v>-588</v>
      </c>
      <c r="S362" s="2">
        <f>VLOOKUP($A362,'[2]App C Inv'!$A$4:$I$917,7,FALSE)</f>
        <v>83</v>
      </c>
      <c r="T362" s="2">
        <f>VLOOKUP($A362,'[2]App C Inv'!$A$4:$I$917,8,FALSE)</f>
        <v>108</v>
      </c>
      <c r="U362" s="2">
        <f>VLOOKUP($A362,'[2]App C Inv'!$A$4:$I$917,9,FALSE)</f>
        <v>0</v>
      </c>
      <c r="V362" s="2"/>
      <c r="W362" s="2">
        <f>VLOOKUP($A362,'[2]App C Assum'!$A$4:$I$917,5,FALSE)</f>
        <v>770</v>
      </c>
      <c r="X362" s="2">
        <f>VLOOKUP($A362,'[2]App C Assum'!$A$4:$I$917,6,FALSE)</f>
        <v>631</v>
      </c>
      <c r="Y362" s="2">
        <f>VLOOKUP($A362,'[2]App C Assum'!$A$4:$I$917,7,FALSE)</f>
        <v>512</v>
      </c>
      <c r="Z362" s="2">
        <f>VLOOKUP($A362,'[2]App C Assum'!$A$4:$I$917,8,FALSE)</f>
        <v>0</v>
      </c>
      <c r="AA362" s="2">
        <f>VLOOKUP($A362,'[2]App C Assum'!$A$4:$I$917,9,FALSE)</f>
        <v>0</v>
      </c>
      <c r="AB362" s="2"/>
      <c r="AC362" s="2">
        <f>VLOOKUP($A362,'[2]App C Share Outflows'!$A$4:$I$917,5,FALSE)</f>
        <v>1093</v>
      </c>
      <c r="AD362" s="2">
        <f>VLOOKUP($A362,'[2]App C Share Outflows'!$A$4:$I$917,6,FALSE)</f>
        <v>863</v>
      </c>
      <c r="AE362" s="2">
        <f>VLOOKUP($A362,'[2]App C Share Outflows'!$A$4:$I$917,7,FALSE)</f>
        <v>620</v>
      </c>
      <c r="AF362" s="2">
        <f>VLOOKUP($A362,'[2]App C Share Outflows'!$A$4:$I$917,8,FALSE)</f>
        <v>381</v>
      </c>
      <c r="AG362" s="2">
        <f>VLOOKUP($A362,'[2]App C Share Outflows'!$A$4:$I$917,9,FALSE)</f>
        <v>0</v>
      </c>
      <c r="AH362" s="2"/>
      <c r="AI362" s="2">
        <f>VLOOKUP($A362,'[2]App C Share Inflows'!$A$4:$I$917,5,FALSE)</f>
        <v>0</v>
      </c>
      <c r="AJ362" s="2">
        <f>VLOOKUP($A362,'[2]App C Share Inflows'!$A$4:$I$917,6,FALSE)</f>
        <v>0</v>
      </c>
      <c r="AK362" s="2">
        <f>VLOOKUP($A362,'[2]App C Share Inflows'!$A$4:$I$917,7,FALSE)</f>
        <v>0</v>
      </c>
      <c r="AL362" s="2">
        <f>VLOOKUP($A362,'[2]App C Share Inflows'!$A$4:$I$917,8,FALSE)</f>
        <v>0</v>
      </c>
      <c r="AM362" s="2">
        <f>VLOOKUP($A362,'[2]App C Share Inflows'!$A$4:$I$917,6,FALSE)</f>
        <v>0</v>
      </c>
    </row>
    <row r="363" spans="1:39">
      <c r="A363" s="351">
        <v>93521</v>
      </c>
      <c r="B363" s="344" t="s">
        <v>1057</v>
      </c>
      <c r="C363" s="235" t="e">
        <f>VLOOKUP(A363,#REF!,10,FALSE)</f>
        <v>#REF!</v>
      </c>
      <c r="E363" s="2">
        <f>VLOOKUP($A363,'[2]App C Total'!$A$4:$I$917,5,FALSE)</f>
        <v>219467</v>
      </c>
      <c r="F363" s="2">
        <f>VLOOKUP($A363,'[2]App C Total'!$A$4:$I$917,6,FALSE)</f>
        <v>57720</v>
      </c>
      <c r="G363" s="2">
        <f>VLOOKUP($A363,'[2]App C Total'!$A$4:$I$917,7,FALSE)</f>
        <v>128876</v>
      </c>
      <c r="H363" s="2">
        <f>VLOOKUP($A363,'[2]App C Total'!$A$4:$I$917,8,FALSE)</f>
        <v>38795</v>
      </c>
      <c r="I363" s="2">
        <f>VLOOKUP($A363,'[2]App C Total'!$A$4:$I$917,9,FALSE)</f>
        <v>0</v>
      </c>
      <c r="J363" s="2"/>
      <c r="K363" s="2">
        <f>VLOOKUP($A363,'[2]App C Exp'!$A$4:$I$917,5,FALSE)</f>
        <v>70919</v>
      </c>
      <c r="L363" s="2">
        <f>VLOOKUP($A363,'[2]App C Exp'!$A$4:$I$917,6,FALSE)</f>
        <v>66712</v>
      </c>
      <c r="M363" s="2">
        <f>VLOOKUP($A363,'[2]App C Exp'!$A$4:$I$917,7,FALSE)</f>
        <v>59793</v>
      </c>
      <c r="N363" s="2">
        <f>VLOOKUP($A363,'[2]App C Exp'!$A$4:$I$917,8,FALSE)</f>
        <v>23940</v>
      </c>
      <c r="O363" s="2">
        <f>VLOOKUP($A363,'[2]App C Exp'!$A$4:$I$917,9,FALSE)</f>
        <v>0</v>
      </c>
      <c r="P363" s="2"/>
      <c r="Q363" s="2">
        <f>VLOOKUP($A363,'[2]App C Inv'!$A$4:$I$917,5,FALSE)</f>
        <v>75290</v>
      </c>
      <c r="R363" s="2">
        <f>VLOOKUP($A363,'[2]App C Inv'!$A$4:$I$917,6,FALSE)</f>
        <v>-64763</v>
      </c>
      <c r="S363" s="2">
        <f>VLOOKUP($A363,'[2]App C Inv'!$A$4:$I$917,7,FALSE)</f>
        <v>9128</v>
      </c>
      <c r="T363" s="2">
        <f>VLOOKUP($A363,'[2]App C Inv'!$A$4:$I$917,8,FALSE)</f>
        <v>11879</v>
      </c>
      <c r="U363" s="2">
        <f>VLOOKUP($A363,'[2]App C Inv'!$A$4:$I$917,9,FALSE)</f>
        <v>0</v>
      </c>
      <c r="V363" s="2"/>
      <c r="W363" s="2">
        <f>VLOOKUP($A363,'[2]App C Assum'!$A$4:$I$917,5,FALSE)</f>
        <v>84815</v>
      </c>
      <c r="X363" s="2">
        <f>VLOOKUP($A363,'[2]App C Assum'!$A$4:$I$917,6,FALSE)</f>
        <v>69484</v>
      </c>
      <c r="Y363" s="2">
        <f>VLOOKUP($A363,'[2]App C Assum'!$A$4:$I$917,7,FALSE)</f>
        <v>56409</v>
      </c>
      <c r="Z363" s="2">
        <f>VLOOKUP($A363,'[2]App C Assum'!$A$4:$I$917,8,FALSE)</f>
        <v>0</v>
      </c>
      <c r="AA363" s="2">
        <f>VLOOKUP($A363,'[2]App C Assum'!$A$4:$I$917,9,FALSE)</f>
        <v>0</v>
      </c>
      <c r="AB363" s="2"/>
      <c r="AC363" s="2">
        <f>VLOOKUP($A363,'[2]App C Share Outflows'!$A$4:$I$917,5,FALSE)</f>
        <v>5698</v>
      </c>
      <c r="AD363" s="2">
        <f>VLOOKUP($A363,'[2]App C Share Outflows'!$A$4:$I$917,6,FALSE)</f>
        <v>3544</v>
      </c>
      <c r="AE363" s="2">
        <f>VLOOKUP($A363,'[2]App C Share Outflows'!$A$4:$I$917,7,FALSE)</f>
        <v>3546</v>
      </c>
      <c r="AF363" s="2">
        <f>VLOOKUP($A363,'[2]App C Share Outflows'!$A$4:$I$917,8,FALSE)</f>
        <v>2976</v>
      </c>
      <c r="AG363" s="2">
        <f>VLOOKUP($A363,'[2]App C Share Outflows'!$A$4:$I$917,9,FALSE)</f>
        <v>0</v>
      </c>
      <c r="AH363" s="2"/>
      <c r="AI363" s="2">
        <f>VLOOKUP($A363,'[2]App C Share Inflows'!$A$4:$I$917,5,FALSE)</f>
        <v>-17255</v>
      </c>
      <c r="AJ363" s="2">
        <f>VLOOKUP($A363,'[2]App C Share Inflows'!$A$4:$I$917,6,FALSE)</f>
        <v>-17257</v>
      </c>
      <c r="AK363" s="2">
        <f>VLOOKUP($A363,'[2]App C Share Inflows'!$A$4:$I$917,7,FALSE)</f>
        <v>0</v>
      </c>
      <c r="AL363" s="2">
        <f>VLOOKUP($A363,'[2]App C Share Inflows'!$A$4:$I$917,8,FALSE)</f>
        <v>0</v>
      </c>
      <c r="AM363" s="2">
        <f>VLOOKUP($A363,'[2]App C Share Inflows'!$A$4:$I$917,6,FALSE)</f>
        <v>-17257</v>
      </c>
    </row>
    <row r="364" spans="1:39">
      <c r="A364" s="351">
        <v>93527</v>
      </c>
      <c r="B364" s="344" t="s">
        <v>1058</v>
      </c>
      <c r="C364" s="235" t="e">
        <f>VLOOKUP(A364,#REF!,10,FALSE)</f>
        <v>#REF!</v>
      </c>
      <c r="E364" s="2">
        <f>VLOOKUP($A364,'[2]App C Total'!$A$4:$I$917,5,FALSE)</f>
        <v>9050</v>
      </c>
      <c r="F364" s="2">
        <f>VLOOKUP($A364,'[2]App C Total'!$A$4:$I$917,6,FALSE)</f>
        <v>4739</v>
      </c>
      <c r="G364" s="2">
        <f>VLOOKUP($A364,'[2]App C Total'!$A$4:$I$917,7,FALSE)</f>
        <v>3899</v>
      </c>
      <c r="H364" s="2">
        <f>VLOOKUP($A364,'[2]App C Total'!$A$4:$I$917,8,FALSE)</f>
        <v>1007</v>
      </c>
      <c r="I364" s="2">
        <f>VLOOKUP($A364,'[2]App C Total'!$A$4:$I$917,9,FALSE)</f>
        <v>0</v>
      </c>
      <c r="J364" s="2"/>
      <c r="K364" s="2">
        <f>VLOOKUP($A364,'[2]App C Exp'!$A$4:$I$917,5,FALSE)</f>
        <v>1438</v>
      </c>
      <c r="L364" s="2">
        <f>VLOOKUP($A364,'[2]App C Exp'!$A$4:$I$917,6,FALSE)</f>
        <v>1353</v>
      </c>
      <c r="M364" s="2">
        <f>VLOOKUP($A364,'[2]App C Exp'!$A$4:$I$917,7,FALSE)</f>
        <v>1213</v>
      </c>
      <c r="N364" s="2">
        <f>VLOOKUP($A364,'[2]App C Exp'!$A$4:$I$917,8,FALSE)</f>
        <v>485</v>
      </c>
      <c r="O364" s="2">
        <f>VLOOKUP($A364,'[2]App C Exp'!$A$4:$I$917,9,FALSE)</f>
        <v>0</v>
      </c>
      <c r="P364" s="2"/>
      <c r="Q364" s="2">
        <f>VLOOKUP($A364,'[2]App C Inv'!$A$4:$I$917,5,FALSE)</f>
        <v>1527</v>
      </c>
      <c r="R364" s="2">
        <f>VLOOKUP($A364,'[2]App C Inv'!$A$4:$I$917,6,FALSE)</f>
        <v>-1313</v>
      </c>
      <c r="S364" s="2">
        <f>VLOOKUP($A364,'[2]App C Inv'!$A$4:$I$917,7,FALSE)</f>
        <v>185</v>
      </c>
      <c r="T364" s="2">
        <f>VLOOKUP($A364,'[2]App C Inv'!$A$4:$I$917,8,FALSE)</f>
        <v>241</v>
      </c>
      <c r="U364" s="2">
        <f>VLOOKUP($A364,'[2]App C Inv'!$A$4:$I$917,9,FALSE)</f>
        <v>0</v>
      </c>
      <c r="V364" s="2"/>
      <c r="W364" s="2">
        <f>VLOOKUP($A364,'[2]App C Assum'!$A$4:$I$917,5,FALSE)</f>
        <v>1720</v>
      </c>
      <c r="X364" s="2">
        <f>VLOOKUP($A364,'[2]App C Assum'!$A$4:$I$917,6,FALSE)</f>
        <v>1409</v>
      </c>
      <c r="Y364" s="2">
        <f>VLOOKUP($A364,'[2]App C Assum'!$A$4:$I$917,7,FALSE)</f>
        <v>1144</v>
      </c>
      <c r="Z364" s="2">
        <f>VLOOKUP($A364,'[2]App C Assum'!$A$4:$I$917,8,FALSE)</f>
        <v>0</v>
      </c>
      <c r="AA364" s="2">
        <f>VLOOKUP($A364,'[2]App C Assum'!$A$4:$I$917,9,FALSE)</f>
        <v>0</v>
      </c>
      <c r="AB364" s="2"/>
      <c r="AC364" s="2">
        <f>VLOOKUP($A364,'[2]App C Share Outflows'!$A$4:$I$917,5,FALSE)</f>
        <v>4365</v>
      </c>
      <c r="AD364" s="2">
        <f>VLOOKUP($A364,'[2]App C Share Outflows'!$A$4:$I$917,6,FALSE)</f>
        <v>3290</v>
      </c>
      <c r="AE364" s="2">
        <f>VLOOKUP($A364,'[2]App C Share Outflows'!$A$4:$I$917,7,FALSE)</f>
        <v>1357</v>
      </c>
      <c r="AF364" s="2">
        <f>VLOOKUP($A364,'[2]App C Share Outflows'!$A$4:$I$917,8,FALSE)</f>
        <v>281</v>
      </c>
      <c r="AG364" s="2">
        <f>VLOOKUP($A364,'[2]App C Share Outflows'!$A$4:$I$917,9,FALSE)</f>
        <v>0</v>
      </c>
      <c r="AH364" s="2"/>
      <c r="AI364" s="2">
        <f>VLOOKUP($A364,'[2]App C Share Inflows'!$A$4:$I$917,5,FALSE)</f>
        <v>0</v>
      </c>
      <c r="AJ364" s="2">
        <f>VLOOKUP($A364,'[2]App C Share Inflows'!$A$4:$I$917,6,FALSE)</f>
        <v>0</v>
      </c>
      <c r="AK364" s="2">
        <f>VLOOKUP($A364,'[2]App C Share Inflows'!$A$4:$I$917,7,FALSE)</f>
        <v>0</v>
      </c>
      <c r="AL364" s="2">
        <f>VLOOKUP($A364,'[2]App C Share Inflows'!$A$4:$I$917,8,FALSE)</f>
        <v>0</v>
      </c>
      <c r="AM364" s="2">
        <f>VLOOKUP($A364,'[2]App C Share Inflows'!$A$4:$I$917,6,FALSE)</f>
        <v>0</v>
      </c>
    </row>
    <row r="365" spans="1:39">
      <c r="A365" s="351">
        <v>93531</v>
      </c>
      <c r="B365" s="344" t="s">
        <v>1059</v>
      </c>
      <c r="C365" s="235" t="e">
        <f>VLOOKUP(A365,#REF!,10,FALSE)</f>
        <v>#REF!</v>
      </c>
      <c r="E365" s="2">
        <f>VLOOKUP($A365,'[2]App C Total'!$A$4:$I$917,5,FALSE)</f>
        <v>10983</v>
      </c>
      <c r="F365" s="2">
        <f>VLOOKUP($A365,'[2]App C Total'!$A$4:$I$917,6,FALSE)</f>
        <v>3230</v>
      </c>
      <c r="G365" s="2">
        <f>VLOOKUP($A365,'[2]App C Total'!$A$4:$I$917,7,FALSE)</f>
        <v>6177</v>
      </c>
      <c r="H365" s="2">
        <f>VLOOKUP($A365,'[2]App C Total'!$A$4:$I$917,8,FALSE)</f>
        <v>157</v>
      </c>
      <c r="I365" s="2">
        <f>VLOOKUP($A365,'[2]App C Total'!$A$4:$I$917,9,FALSE)</f>
        <v>0</v>
      </c>
      <c r="J365" s="2"/>
      <c r="K365" s="2">
        <f>VLOOKUP($A365,'[2]App C Exp'!$A$4:$I$917,5,FALSE)</f>
        <v>3341</v>
      </c>
      <c r="L365" s="2">
        <f>VLOOKUP($A365,'[2]App C Exp'!$A$4:$I$917,6,FALSE)</f>
        <v>3143</v>
      </c>
      <c r="M365" s="2">
        <f>VLOOKUP($A365,'[2]App C Exp'!$A$4:$I$917,7,FALSE)</f>
        <v>2817</v>
      </c>
      <c r="N365" s="2">
        <f>VLOOKUP($A365,'[2]App C Exp'!$A$4:$I$917,8,FALSE)</f>
        <v>1128</v>
      </c>
      <c r="O365" s="2">
        <f>VLOOKUP($A365,'[2]App C Exp'!$A$4:$I$917,9,FALSE)</f>
        <v>0</v>
      </c>
      <c r="P365" s="2"/>
      <c r="Q365" s="2">
        <f>VLOOKUP($A365,'[2]App C Inv'!$A$4:$I$917,5,FALSE)</f>
        <v>3547</v>
      </c>
      <c r="R365" s="2">
        <f>VLOOKUP($A365,'[2]App C Inv'!$A$4:$I$917,6,FALSE)</f>
        <v>-3051</v>
      </c>
      <c r="S365" s="2">
        <f>VLOOKUP($A365,'[2]App C Inv'!$A$4:$I$917,7,FALSE)</f>
        <v>430</v>
      </c>
      <c r="T365" s="2">
        <f>VLOOKUP($A365,'[2]App C Inv'!$A$4:$I$917,8,FALSE)</f>
        <v>560</v>
      </c>
      <c r="U365" s="2">
        <f>VLOOKUP($A365,'[2]App C Inv'!$A$4:$I$917,9,FALSE)</f>
        <v>0</v>
      </c>
      <c r="V365" s="2"/>
      <c r="W365" s="2">
        <f>VLOOKUP($A365,'[2]App C Assum'!$A$4:$I$917,5,FALSE)</f>
        <v>3995</v>
      </c>
      <c r="X365" s="2">
        <f>VLOOKUP($A365,'[2]App C Assum'!$A$4:$I$917,6,FALSE)</f>
        <v>3273</v>
      </c>
      <c r="Y365" s="2">
        <f>VLOOKUP($A365,'[2]App C Assum'!$A$4:$I$917,7,FALSE)</f>
        <v>2657</v>
      </c>
      <c r="Z365" s="2">
        <f>VLOOKUP($A365,'[2]App C Assum'!$A$4:$I$917,8,FALSE)</f>
        <v>0</v>
      </c>
      <c r="AA365" s="2">
        <f>VLOOKUP($A365,'[2]App C Assum'!$A$4:$I$917,9,FALSE)</f>
        <v>0</v>
      </c>
      <c r="AB365" s="2"/>
      <c r="AC365" s="2">
        <f>VLOOKUP($A365,'[2]App C Share Outflows'!$A$4:$I$917,5,FALSE)</f>
        <v>2039</v>
      </c>
      <c r="AD365" s="2">
        <f>VLOOKUP($A365,'[2]App C Share Outflows'!$A$4:$I$917,6,FALSE)</f>
        <v>1802</v>
      </c>
      <c r="AE365" s="2">
        <f>VLOOKUP($A365,'[2]App C Share Outflows'!$A$4:$I$917,7,FALSE)</f>
        <v>1802</v>
      </c>
      <c r="AF365" s="2">
        <f>VLOOKUP($A365,'[2]App C Share Outflows'!$A$4:$I$917,8,FALSE)</f>
        <v>0</v>
      </c>
      <c r="AG365" s="2">
        <f>VLOOKUP($A365,'[2]App C Share Outflows'!$A$4:$I$917,9,FALSE)</f>
        <v>0</v>
      </c>
      <c r="AH365" s="2"/>
      <c r="AI365" s="2">
        <f>VLOOKUP($A365,'[2]App C Share Inflows'!$A$4:$I$917,5,FALSE)</f>
        <v>-1939</v>
      </c>
      <c r="AJ365" s="2">
        <f>VLOOKUP($A365,'[2]App C Share Inflows'!$A$4:$I$917,6,FALSE)</f>
        <v>-1937</v>
      </c>
      <c r="AK365" s="2">
        <f>VLOOKUP($A365,'[2]App C Share Inflows'!$A$4:$I$917,7,FALSE)</f>
        <v>-1529</v>
      </c>
      <c r="AL365" s="2">
        <f>VLOOKUP($A365,'[2]App C Share Inflows'!$A$4:$I$917,8,FALSE)</f>
        <v>-1531</v>
      </c>
      <c r="AM365" s="2">
        <f>VLOOKUP($A365,'[2]App C Share Inflows'!$A$4:$I$917,6,FALSE)</f>
        <v>-1937</v>
      </c>
    </row>
    <row r="366" spans="1:39">
      <c r="A366" s="351">
        <v>93537</v>
      </c>
      <c r="B366" s="344" t="s">
        <v>1060</v>
      </c>
      <c r="C366" s="235" t="e">
        <f>VLOOKUP(A366,#REF!,10,FALSE)</f>
        <v>#REF!</v>
      </c>
      <c r="E366" s="2">
        <f>VLOOKUP($A366,'[2]App C Total'!$A$4:$I$917,5,FALSE)</f>
        <v>4255</v>
      </c>
      <c r="F366" s="2">
        <f>VLOOKUP($A366,'[2]App C Total'!$A$4:$I$917,6,FALSE)</f>
        <v>788</v>
      </c>
      <c r="G366" s="2">
        <f>VLOOKUP($A366,'[2]App C Total'!$A$4:$I$917,7,FALSE)</f>
        <v>2318</v>
      </c>
      <c r="H366" s="2">
        <f>VLOOKUP($A366,'[2]App C Total'!$A$4:$I$917,8,FALSE)</f>
        <v>539</v>
      </c>
      <c r="I366" s="2">
        <f>VLOOKUP($A366,'[2]App C Total'!$A$4:$I$917,9,FALSE)</f>
        <v>0</v>
      </c>
      <c r="J366" s="2"/>
      <c r="K366" s="2">
        <f>VLOOKUP($A366,'[2]App C Exp'!$A$4:$I$917,5,FALSE)</f>
        <v>1618</v>
      </c>
      <c r="L366" s="2">
        <f>VLOOKUP($A366,'[2]App C Exp'!$A$4:$I$917,6,FALSE)</f>
        <v>1522</v>
      </c>
      <c r="M366" s="2">
        <f>VLOOKUP($A366,'[2]App C Exp'!$A$4:$I$917,7,FALSE)</f>
        <v>1364</v>
      </c>
      <c r="N366" s="2">
        <f>VLOOKUP($A366,'[2]App C Exp'!$A$4:$I$917,8,FALSE)</f>
        <v>546</v>
      </c>
      <c r="O366" s="2">
        <f>VLOOKUP($A366,'[2]App C Exp'!$A$4:$I$917,9,FALSE)</f>
        <v>0</v>
      </c>
      <c r="P366" s="2"/>
      <c r="Q366" s="2">
        <f>VLOOKUP($A366,'[2]App C Inv'!$A$4:$I$917,5,FALSE)</f>
        <v>1718</v>
      </c>
      <c r="R366" s="2">
        <f>VLOOKUP($A366,'[2]App C Inv'!$A$4:$I$917,6,FALSE)</f>
        <v>-1477</v>
      </c>
      <c r="S366" s="2">
        <f>VLOOKUP($A366,'[2]App C Inv'!$A$4:$I$917,7,FALSE)</f>
        <v>208</v>
      </c>
      <c r="T366" s="2">
        <f>VLOOKUP($A366,'[2]App C Inv'!$A$4:$I$917,8,FALSE)</f>
        <v>271</v>
      </c>
      <c r="U366" s="2">
        <f>VLOOKUP($A366,'[2]App C Inv'!$A$4:$I$917,9,FALSE)</f>
        <v>0</v>
      </c>
      <c r="V366" s="2"/>
      <c r="W366" s="2">
        <f>VLOOKUP($A366,'[2]App C Assum'!$A$4:$I$917,5,FALSE)</f>
        <v>1935</v>
      </c>
      <c r="X366" s="2">
        <f>VLOOKUP($A366,'[2]App C Assum'!$A$4:$I$917,6,FALSE)</f>
        <v>1585</v>
      </c>
      <c r="Y366" s="2">
        <f>VLOOKUP($A366,'[2]App C Assum'!$A$4:$I$917,7,FALSE)</f>
        <v>1287</v>
      </c>
      <c r="Z366" s="2">
        <f>VLOOKUP($A366,'[2]App C Assum'!$A$4:$I$917,8,FALSE)</f>
        <v>0</v>
      </c>
      <c r="AA366" s="2">
        <f>VLOOKUP($A366,'[2]App C Assum'!$A$4:$I$917,9,FALSE)</f>
        <v>0</v>
      </c>
      <c r="AB366" s="2"/>
      <c r="AC366" s="2">
        <f>VLOOKUP($A366,'[2]App C Share Outflows'!$A$4:$I$917,5,FALSE)</f>
        <v>0</v>
      </c>
      <c r="AD366" s="2">
        <f>VLOOKUP($A366,'[2]App C Share Outflows'!$A$4:$I$917,6,FALSE)</f>
        <v>0</v>
      </c>
      <c r="AE366" s="2">
        <f>VLOOKUP($A366,'[2]App C Share Outflows'!$A$4:$I$917,7,FALSE)</f>
        <v>0</v>
      </c>
      <c r="AF366" s="2">
        <f>VLOOKUP($A366,'[2]App C Share Outflows'!$A$4:$I$917,8,FALSE)</f>
        <v>0</v>
      </c>
      <c r="AG366" s="2">
        <f>VLOOKUP($A366,'[2]App C Share Outflows'!$A$4:$I$917,9,FALSE)</f>
        <v>0</v>
      </c>
      <c r="AH366" s="2"/>
      <c r="AI366" s="2">
        <f>VLOOKUP($A366,'[2]App C Share Inflows'!$A$4:$I$917,5,FALSE)</f>
        <v>-1016</v>
      </c>
      <c r="AJ366" s="2">
        <f>VLOOKUP($A366,'[2]App C Share Inflows'!$A$4:$I$917,6,FALSE)</f>
        <v>-842</v>
      </c>
      <c r="AK366" s="2">
        <f>VLOOKUP($A366,'[2]App C Share Inflows'!$A$4:$I$917,7,FALSE)</f>
        <v>-541</v>
      </c>
      <c r="AL366" s="2">
        <f>VLOOKUP($A366,'[2]App C Share Inflows'!$A$4:$I$917,8,FALSE)</f>
        <v>-278</v>
      </c>
      <c r="AM366" s="2">
        <f>VLOOKUP($A366,'[2]App C Share Inflows'!$A$4:$I$917,6,FALSE)</f>
        <v>-842</v>
      </c>
    </row>
    <row r="367" spans="1:39">
      <c r="A367" s="351">
        <v>93541</v>
      </c>
      <c r="B367" s="344" t="s">
        <v>1061</v>
      </c>
      <c r="C367" s="235" t="e">
        <f>VLOOKUP(A367,#REF!,10,FALSE)</f>
        <v>#REF!</v>
      </c>
      <c r="E367" s="2">
        <f>VLOOKUP($A367,'[2]App C Total'!$A$4:$I$917,5,FALSE)</f>
        <v>49825</v>
      </c>
      <c r="F367" s="2">
        <f>VLOOKUP($A367,'[2]App C Total'!$A$4:$I$917,6,FALSE)</f>
        <v>16299</v>
      </c>
      <c r="G367" s="2">
        <f>VLOOKUP($A367,'[2]App C Total'!$A$4:$I$917,7,FALSE)</f>
        <v>27573</v>
      </c>
      <c r="H367" s="2">
        <f>VLOOKUP($A367,'[2]App C Total'!$A$4:$I$917,8,FALSE)</f>
        <v>9908</v>
      </c>
      <c r="I367" s="2">
        <f>VLOOKUP($A367,'[2]App C Total'!$A$4:$I$917,9,FALSE)</f>
        <v>0</v>
      </c>
      <c r="J367" s="2"/>
      <c r="K367" s="2">
        <f>VLOOKUP($A367,'[2]App C Exp'!$A$4:$I$917,5,FALSE)</f>
        <v>14936</v>
      </c>
      <c r="L367" s="2">
        <f>VLOOKUP($A367,'[2]App C Exp'!$A$4:$I$917,6,FALSE)</f>
        <v>14050</v>
      </c>
      <c r="M367" s="2">
        <f>VLOOKUP($A367,'[2]App C Exp'!$A$4:$I$917,7,FALSE)</f>
        <v>12593</v>
      </c>
      <c r="N367" s="2">
        <f>VLOOKUP($A367,'[2]App C Exp'!$A$4:$I$917,8,FALSE)</f>
        <v>5042</v>
      </c>
      <c r="O367" s="2">
        <f>VLOOKUP($A367,'[2]App C Exp'!$A$4:$I$917,9,FALSE)</f>
        <v>0</v>
      </c>
      <c r="P367" s="2"/>
      <c r="Q367" s="2">
        <f>VLOOKUP($A367,'[2]App C Inv'!$A$4:$I$917,5,FALSE)</f>
        <v>15856</v>
      </c>
      <c r="R367" s="2">
        <f>VLOOKUP($A367,'[2]App C Inv'!$A$4:$I$917,6,FALSE)</f>
        <v>-13639</v>
      </c>
      <c r="S367" s="2">
        <f>VLOOKUP($A367,'[2]App C Inv'!$A$4:$I$917,7,FALSE)</f>
        <v>1922</v>
      </c>
      <c r="T367" s="2">
        <f>VLOOKUP($A367,'[2]App C Inv'!$A$4:$I$917,8,FALSE)</f>
        <v>2502</v>
      </c>
      <c r="U367" s="2">
        <f>VLOOKUP($A367,'[2]App C Inv'!$A$4:$I$917,9,FALSE)</f>
        <v>0</v>
      </c>
      <c r="V367" s="2"/>
      <c r="W367" s="2">
        <f>VLOOKUP($A367,'[2]App C Assum'!$A$4:$I$917,5,FALSE)</f>
        <v>17862</v>
      </c>
      <c r="X367" s="2">
        <f>VLOOKUP($A367,'[2]App C Assum'!$A$4:$I$917,6,FALSE)</f>
        <v>14634</v>
      </c>
      <c r="Y367" s="2">
        <f>VLOOKUP($A367,'[2]App C Assum'!$A$4:$I$917,7,FALSE)</f>
        <v>11880</v>
      </c>
      <c r="Z367" s="2">
        <f>VLOOKUP($A367,'[2]App C Assum'!$A$4:$I$917,8,FALSE)</f>
        <v>0</v>
      </c>
      <c r="AA367" s="2">
        <f>VLOOKUP($A367,'[2]App C Assum'!$A$4:$I$917,9,FALSE)</f>
        <v>0</v>
      </c>
      <c r="AB367" s="2"/>
      <c r="AC367" s="2">
        <f>VLOOKUP($A367,'[2]App C Share Outflows'!$A$4:$I$917,5,FALSE)</f>
        <v>2440</v>
      </c>
      <c r="AD367" s="2">
        <f>VLOOKUP($A367,'[2]App C Share Outflows'!$A$4:$I$917,6,FALSE)</f>
        <v>2438</v>
      </c>
      <c r="AE367" s="2">
        <f>VLOOKUP($A367,'[2]App C Share Outflows'!$A$4:$I$917,7,FALSE)</f>
        <v>2364</v>
      </c>
      <c r="AF367" s="2">
        <f>VLOOKUP($A367,'[2]App C Share Outflows'!$A$4:$I$917,8,FALSE)</f>
        <v>2364</v>
      </c>
      <c r="AG367" s="2">
        <f>VLOOKUP($A367,'[2]App C Share Outflows'!$A$4:$I$917,9,FALSE)</f>
        <v>0</v>
      </c>
      <c r="AH367" s="2"/>
      <c r="AI367" s="2">
        <f>VLOOKUP($A367,'[2]App C Share Inflows'!$A$4:$I$917,5,FALSE)</f>
        <v>-1269</v>
      </c>
      <c r="AJ367" s="2">
        <f>VLOOKUP($A367,'[2]App C Share Inflows'!$A$4:$I$917,6,FALSE)</f>
        <v>-1184</v>
      </c>
      <c r="AK367" s="2">
        <f>VLOOKUP($A367,'[2]App C Share Inflows'!$A$4:$I$917,7,FALSE)</f>
        <v>-1186</v>
      </c>
      <c r="AL367" s="2">
        <f>VLOOKUP($A367,'[2]App C Share Inflows'!$A$4:$I$917,8,FALSE)</f>
        <v>0</v>
      </c>
      <c r="AM367" s="2">
        <f>VLOOKUP($A367,'[2]App C Share Inflows'!$A$4:$I$917,6,FALSE)</f>
        <v>-1184</v>
      </c>
    </row>
    <row r="368" spans="1:39">
      <c r="A368" s="351">
        <v>93601</v>
      </c>
      <c r="B368" s="344" t="s">
        <v>1062</v>
      </c>
      <c r="C368" s="235" t="e">
        <f>VLOOKUP(A368,#REF!,10,FALSE)</f>
        <v>#REF!</v>
      </c>
      <c r="E368" s="2">
        <f>VLOOKUP($A368,'[2]App C Total'!$A$4:$I$917,5,FALSE)</f>
        <v>5573431</v>
      </c>
      <c r="F368" s="2">
        <f>VLOOKUP($A368,'[2]App C Total'!$A$4:$I$917,6,FALSE)</f>
        <v>1771092</v>
      </c>
      <c r="G368" s="2">
        <f>VLOOKUP($A368,'[2]App C Total'!$A$4:$I$917,7,FALSE)</f>
        <v>3095446</v>
      </c>
      <c r="H368" s="2">
        <f>VLOOKUP($A368,'[2]App C Total'!$A$4:$I$917,8,FALSE)</f>
        <v>876967</v>
      </c>
      <c r="I368" s="2">
        <f>VLOOKUP($A368,'[2]App C Total'!$A$4:$I$917,9,FALSE)</f>
        <v>0</v>
      </c>
      <c r="J368" s="2"/>
      <c r="K368" s="2">
        <f>VLOOKUP($A368,'[2]App C Exp'!$A$4:$I$917,5,FALSE)</f>
        <v>1680879</v>
      </c>
      <c r="L368" s="2">
        <f>VLOOKUP($A368,'[2]App C Exp'!$A$4:$I$917,6,FALSE)</f>
        <v>1581165</v>
      </c>
      <c r="M368" s="2">
        <f>VLOOKUP($A368,'[2]App C Exp'!$A$4:$I$917,7,FALSE)</f>
        <v>1417180</v>
      </c>
      <c r="N368" s="2">
        <f>VLOOKUP($A368,'[2]App C Exp'!$A$4:$I$917,8,FALSE)</f>
        <v>567422</v>
      </c>
      <c r="O368" s="2">
        <f>VLOOKUP($A368,'[2]App C Exp'!$A$4:$I$917,9,FALSE)</f>
        <v>0</v>
      </c>
      <c r="P368" s="2"/>
      <c r="Q368" s="2">
        <f>VLOOKUP($A368,'[2]App C Inv'!$A$4:$I$917,5,FALSE)</f>
        <v>1784488</v>
      </c>
      <c r="R368" s="2">
        <f>VLOOKUP($A368,'[2]App C Inv'!$A$4:$I$917,6,FALSE)</f>
        <v>-1534993</v>
      </c>
      <c r="S368" s="2">
        <f>VLOOKUP($A368,'[2]App C Inv'!$A$4:$I$917,7,FALSE)</f>
        <v>216339</v>
      </c>
      <c r="T368" s="2">
        <f>VLOOKUP($A368,'[2]App C Inv'!$A$4:$I$917,8,FALSE)</f>
        <v>281562</v>
      </c>
      <c r="U368" s="2">
        <f>VLOOKUP($A368,'[2]App C Inv'!$A$4:$I$917,9,FALSE)</f>
        <v>0</v>
      </c>
      <c r="V368" s="2"/>
      <c r="W368" s="2">
        <f>VLOOKUP($A368,'[2]App C Assum'!$A$4:$I$917,5,FALSE)</f>
        <v>2010251</v>
      </c>
      <c r="X368" s="2">
        <f>VLOOKUP($A368,'[2]App C Assum'!$A$4:$I$917,6,FALSE)</f>
        <v>1646871</v>
      </c>
      <c r="Y368" s="2">
        <f>VLOOKUP($A368,'[2]App C Assum'!$A$4:$I$917,7,FALSE)</f>
        <v>1336977</v>
      </c>
      <c r="Z368" s="2">
        <f>VLOOKUP($A368,'[2]App C Assum'!$A$4:$I$917,8,FALSE)</f>
        <v>0</v>
      </c>
      <c r="AA368" s="2">
        <f>VLOOKUP($A368,'[2]App C Assum'!$A$4:$I$917,9,FALSE)</f>
        <v>0</v>
      </c>
      <c r="AB368" s="2"/>
      <c r="AC368" s="2">
        <f>VLOOKUP($A368,'[2]App C Share Outflows'!$A$4:$I$917,5,FALSE)</f>
        <v>144717</v>
      </c>
      <c r="AD368" s="2">
        <f>VLOOKUP($A368,'[2]App C Share Outflows'!$A$4:$I$917,6,FALSE)</f>
        <v>124951</v>
      </c>
      <c r="AE368" s="2">
        <f>VLOOKUP($A368,'[2]App C Share Outflows'!$A$4:$I$917,7,FALSE)</f>
        <v>124950</v>
      </c>
      <c r="AF368" s="2">
        <f>VLOOKUP($A368,'[2]App C Share Outflows'!$A$4:$I$917,8,FALSE)</f>
        <v>27983</v>
      </c>
      <c r="AG368" s="2">
        <f>VLOOKUP($A368,'[2]App C Share Outflows'!$A$4:$I$917,9,FALSE)</f>
        <v>0</v>
      </c>
      <c r="AH368" s="2"/>
      <c r="AI368" s="2">
        <f>VLOOKUP($A368,'[2]App C Share Inflows'!$A$4:$I$917,5,FALSE)</f>
        <v>-46904</v>
      </c>
      <c r="AJ368" s="2">
        <f>VLOOKUP($A368,'[2]App C Share Inflows'!$A$4:$I$917,6,FALSE)</f>
        <v>-46902</v>
      </c>
      <c r="AK368" s="2">
        <f>VLOOKUP($A368,'[2]App C Share Inflows'!$A$4:$I$917,7,FALSE)</f>
        <v>0</v>
      </c>
      <c r="AL368" s="2">
        <f>VLOOKUP($A368,'[2]App C Share Inflows'!$A$4:$I$917,8,FALSE)</f>
        <v>0</v>
      </c>
      <c r="AM368" s="2">
        <f>VLOOKUP($A368,'[2]App C Share Inflows'!$A$4:$I$917,6,FALSE)</f>
        <v>-46902</v>
      </c>
    </row>
    <row r="369" spans="1:39">
      <c r="A369" s="351">
        <v>93602</v>
      </c>
      <c r="B369" s="344" t="s">
        <v>1063</v>
      </c>
      <c r="C369" s="235" t="e">
        <f>VLOOKUP(A369,#REF!,10,FALSE)</f>
        <v>#REF!</v>
      </c>
      <c r="E369" s="2">
        <f>VLOOKUP($A369,'[2]App C Total'!$A$4:$I$917,5,FALSE)</f>
        <v>96745</v>
      </c>
      <c r="F369" s="2">
        <f>VLOOKUP($A369,'[2]App C Total'!$A$4:$I$917,6,FALSE)</f>
        <v>34895</v>
      </c>
      <c r="G369" s="2">
        <f>VLOOKUP($A369,'[2]App C Total'!$A$4:$I$917,7,FALSE)</f>
        <v>55829</v>
      </c>
      <c r="H369" s="2">
        <f>VLOOKUP($A369,'[2]App C Total'!$A$4:$I$917,8,FALSE)</f>
        <v>17792</v>
      </c>
      <c r="I369" s="2">
        <f>VLOOKUP($A369,'[2]App C Total'!$A$4:$I$917,9,FALSE)</f>
        <v>0</v>
      </c>
      <c r="J369" s="2"/>
      <c r="K369" s="2">
        <f>VLOOKUP($A369,'[2]App C Exp'!$A$4:$I$917,5,FALSE)</f>
        <v>28733</v>
      </c>
      <c r="L369" s="2">
        <f>VLOOKUP($A369,'[2]App C Exp'!$A$4:$I$917,6,FALSE)</f>
        <v>27028</v>
      </c>
      <c r="M369" s="2">
        <f>VLOOKUP($A369,'[2]App C Exp'!$A$4:$I$917,7,FALSE)</f>
        <v>24225</v>
      </c>
      <c r="N369" s="2">
        <f>VLOOKUP($A369,'[2]App C Exp'!$A$4:$I$917,8,FALSE)</f>
        <v>9700</v>
      </c>
      <c r="O369" s="2">
        <f>VLOOKUP($A369,'[2]App C Exp'!$A$4:$I$917,9,FALSE)</f>
        <v>0</v>
      </c>
      <c r="P369" s="2"/>
      <c r="Q369" s="2">
        <f>VLOOKUP($A369,'[2]App C Inv'!$A$4:$I$917,5,FALSE)</f>
        <v>30504</v>
      </c>
      <c r="R369" s="2">
        <f>VLOOKUP($A369,'[2]App C Inv'!$A$4:$I$917,6,FALSE)</f>
        <v>-26239</v>
      </c>
      <c r="S369" s="2">
        <f>VLOOKUP($A369,'[2]App C Inv'!$A$4:$I$917,7,FALSE)</f>
        <v>3698</v>
      </c>
      <c r="T369" s="2">
        <f>VLOOKUP($A369,'[2]App C Inv'!$A$4:$I$917,8,FALSE)</f>
        <v>4813</v>
      </c>
      <c r="U369" s="2">
        <f>VLOOKUP($A369,'[2]App C Inv'!$A$4:$I$917,9,FALSE)</f>
        <v>0</v>
      </c>
      <c r="V369" s="2"/>
      <c r="W369" s="2">
        <f>VLOOKUP($A369,'[2]App C Assum'!$A$4:$I$917,5,FALSE)</f>
        <v>34363</v>
      </c>
      <c r="X369" s="2">
        <f>VLOOKUP($A369,'[2]App C Assum'!$A$4:$I$917,6,FALSE)</f>
        <v>28152</v>
      </c>
      <c r="Y369" s="2">
        <f>VLOOKUP($A369,'[2]App C Assum'!$A$4:$I$917,7,FALSE)</f>
        <v>22854</v>
      </c>
      <c r="Z369" s="2">
        <f>VLOOKUP($A369,'[2]App C Assum'!$A$4:$I$917,8,FALSE)</f>
        <v>0</v>
      </c>
      <c r="AA369" s="2">
        <f>VLOOKUP($A369,'[2]App C Assum'!$A$4:$I$917,9,FALSE)</f>
        <v>0</v>
      </c>
      <c r="AB369" s="2"/>
      <c r="AC369" s="2">
        <f>VLOOKUP($A369,'[2]App C Share Outflows'!$A$4:$I$917,5,FALSE)</f>
        <v>5955</v>
      </c>
      <c r="AD369" s="2">
        <f>VLOOKUP($A369,'[2]App C Share Outflows'!$A$4:$I$917,6,FALSE)</f>
        <v>5954</v>
      </c>
      <c r="AE369" s="2">
        <f>VLOOKUP($A369,'[2]App C Share Outflows'!$A$4:$I$917,7,FALSE)</f>
        <v>5052</v>
      </c>
      <c r="AF369" s="2">
        <f>VLOOKUP($A369,'[2]App C Share Outflows'!$A$4:$I$917,8,FALSE)</f>
        <v>3279</v>
      </c>
      <c r="AG369" s="2">
        <f>VLOOKUP($A369,'[2]App C Share Outflows'!$A$4:$I$917,9,FALSE)</f>
        <v>0</v>
      </c>
      <c r="AH369" s="2"/>
      <c r="AI369" s="2">
        <f>VLOOKUP($A369,'[2]App C Share Inflows'!$A$4:$I$917,5,FALSE)</f>
        <v>-2810</v>
      </c>
      <c r="AJ369" s="2">
        <f>VLOOKUP($A369,'[2]App C Share Inflows'!$A$4:$I$917,6,FALSE)</f>
        <v>0</v>
      </c>
      <c r="AK369" s="2">
        <f>VLOOKUP($A369,'[2]App C Share Inflows'!$A$4:$I$917,7,FALSE)</f>
        <v>0</v>
      </c>
      <c r="AL369" s="2">
        <f>VLOOKUP($A369,'[2]App C Share Inflows'!$A$4:$I$917,8,FALSE)</f>
        <v>0</v>
      </c>
      <c r="AM369" s="2">
        <f>VLOOKUP($A369,'[2]App C Share Inflows'!$A$4:$I$917,6,FALSE)</f>
        <v>0</v>
      </c>
    </row>
    <row r="370" spans="1:39">
      <c r="A370" s="351">
        <v>93604</v>
      </c>
      <c r="B370" s="344" t="s">
        <v>1932</v>
      </c>
      <c r="C370" s="235" t="e">
        <f>VLOOKUP(A370,#REF!,10,FALSE)</f>
        <v>#REF!</v>
      </c>
      <c r="E370" s="2">
        <f>VLOOKUP($A370,'[2]App C Total'!$A$4:$I$917,5,FALSE)</f>
        <v>19602</v>
      </c>
      <c r="F370" s="2">
        <f>VLOOKUP($A370,'[2]App C Total'!$A$4:$I$917,6,FALSE)</f>
        <v>10701</v>
      </c>
      <c r="G370" s="2">
        <f>VLOOKUP($A370,'[2]App C Total'!$A$4:$I$917,7,FALSE)</f>
        <v>13709</v>
      </c>
      <c r="H370" s="2">
        <f>VLOOKUP($A370,'[2]App C Total'!$A$4:$I$917,8,FALSE)</f>
        <v>3816</v>
      </c>
      <c r="I370" s="2">
        <f>VLOOKUP($A370,'[2]App C Total'!$A$4:$I$917,9,FALSE)</f>
        <v>0</v>
      </c>
      <c r="J370" s="2"/>
      <c r="K370" s="2">
        <f>VLOOKUP($A370,'[2]App C Exp'!$A$4:$I$917,5,FALSE)</f>
        <v>3955</v>
      </c>
      <c r="L370" s="2">
        <f>VLOOKUP($A370,'[2]App C Exp'!$A$4:$I$917,6,FALSE)</f>
        <v>3720</v>
      </c>
      <c r="M370" s="2">
        <f>VLOOKUP($A370,'[2]App C Exp'!$A$4:$I$917,7,FALSE)</f>
        <v>3334</v>
      </c>
      <c r="N370" s="2">
        <f>VLOOKUP($A370,'[2]App C Exp'!$A$4:$I$917,8,FALSE)</f>
        <v>1335</v>
      </c>
      <c r="O370" s="2">
        <f>VLOOKUP($A370,'[2]App C Exp'!$A$4:$I$917,9,FALSE)</f>
        <v>0</v>
      </c>
      <c r="P370" s="2"/>
      <c r="Q370" s="2">
        <f>VLOOKUP($A370,'[2]App C Inv'!$A$4:$I$917,5,FALSE)</f>
        <v>4199</v>
      </c>
      <c r="R370" s="2">
        <f>VLOOKUP($A370,'[2]App C Inv'!$A$4:$I$917,6,FALSE)</f>
        <v>-3612</v>
      </c>
      <c r="S370" s="2">
        <f>VLOOKUP($A370,'[2]App C Inv'!$A$4:$I$917,7,FALSE)</f>
        <v>509</v>
      </c>
      <c r="T370" s="2">
        <f>VLOOKUP($A370,'[2]App C Inv'!$A$4:$I$917,8,FALSE)</f>
        <v>662</v>
      </c>
      <c r="U370" s="2">
        <f>VLOOKUP($A370,'[2]App C Inv'!$A$4:$I$917,9,FALSE)</f>
        <v>0</v>
      </c>
      <c r="V370" s="2"/>
      <c r="W370" s="2">
        <f>VLOOKUP($A370,'[2]App C Assum'!$A$4:$I$917,5,FALSE)</f>
        <v>4730</v>
      </c>
      <c r="X370" s="2">
        <f>VLOOKUP($A370,'[2]App C Assum'!$A$4:$I$917,6,FALSE)</f>
        <v>3875</v>
      </c>
      <c r="Y370" s="2">
        <f>VLOOKUP($A370,'[2]App C Assum'!$A$4:$I$917,7,FALSE)</f>
        <v>3146</v>
      </c>
      <c r="Z370" s="2">
        <f>VLOOKUP($A370,'[2]App C Assum'!$A$4:$I$917,8,FALSE)</f>
        <v>0</v>
      </c>
      <c r="AA370" s="2">
        <f>VLOOKUP($A370,'[2]App C Assum'!$A$4:$I$917,9,FALSE)</f>
        <v>0</v>
      </c>
      <c r="AB370" s="2"/>
      <c r="AC370" s="2">
        <f>VLOOKUP($A370,'[2]App C Share Outflows'!$A$4:$I$917,5,FALSE)</f>
        <v>6718</v>
      </c>
      <c r="AD370" s="2">
        <f>VLOOKUP($A370,'[2]App C Share Outflows'!$A$4:$I$917,6,FALSE)</f>
        <v>6718</v>
      </c>
      <c r="AE370" s="2">
        <f>VLOOKUP($A370,'[2]App C Share Outflows'!$A$4:$I$917,7,FALSE)</f>
        <v>6720</v>
      </c>
      <c r="AF370" s="2">
        <f>VLOOKUP($A370,'[2]App C Share Outflows'!$A$4:$I$917,8,FALSE)</f>
        <v>1819</v>
      </c>
      <c r="AG370" s="2">
        <f>VLOOKUP($A370,'[2]App C Share Outflows'!$A$4:$I$917,9,FALSE)</f>
        <v>0</v>
      </c>
      <c r="AH370" s="2"/>
      <c r="AI370" s="2">
        <f>VLOOKUP($A370,'[2]App C Share Inflows'!$A$4:$I$917,5,FALSE)</f>
        <v>0</v>
      </c>
      <c r="AJ370" s="2">
        <f>VLOOKUP($A370,'[2]App C Share Inflows'!$A$4:$I$917,6,FALSE)</f>
        <v>0</v>
      </c>
      <c r="AK370" s="2">
        <f>VLOOKUP($A370,'[2]App C Share Inflows'!$A$4:$I$917,7,FALSE)</f>
        <v>0</v>
      </c>
      <c r="AL370" s="2">
        <f>VLOOKUP($A370,'[2]App C Share Inflows'!$A$4:$I$917,8,FALSE)</f>
        <v>0</v>
      </c>
      <c r="AM370" s="2">
        <f>VLOOKUP($A370,'[2]App C Share Inflows'!$A$4:$I$917,6,FALSE)</f>
        <v>0</v>
      </c>
    </row>
    <row r="371" spans="1:39">
      <c r="A371" s="351">
        <v>93609</v>
      </c>
      <c r="B371" s="344" t="s">
        <v>1064</v>
      </c>
      <c r="C371" s="235" t="e">
        <f>VLOOKUP(A371,#REF!,10,FALSE)</f>
        <v>#REF!</v>
      </c>
      <c r="E371" s="2">
        <f>VLOOKUP($A371,'[2]App C Total'!$A$4:$I$917,5,FALSE)</f>
        <v>1981974</v>
      </c>
      <c r="F371" s="2">
        <f>VLOOKUP($A371,'[2]App C Total'!$A$4:$I$917,6,FALSE)</f>
        <v>670999</v>
      </c>
      <c r="G371" s="2">
        <f>VLOOKUP($A371,'[2]App C Total'!$A$4:$I$917,7,FALSE)</f>
        <v>981081</v>
      </c>
      <c r="H371" s="2">
        <f>VLOOKUP($A371,'[2]App C Total'!$A$4:$I$917,8,FALSE)</f>
        <v>254812</v>
      </c>
      <c r="I371" s="2">
        <f>VLOOKUP($A371,'[2]App C Total'!$A$4:$I$917,9,FALSE)</f>
        <v>0</v>
      </c>
      <c r="J371" s="2"/>
      <c r="K371" s="2">
        <f>VLOOKUP($A371,'[2]App C Exp'!$A$4:$I$917,5,FALSE)</f>
        <v>568053</v>
      </c>
      <c r="L371" s="2">
        <f>VLOOKUP($A371,'[2]App C Exp'!$A$4:$I$917,6,FALSE)</f>
        <v>534355</v>
      </c>
      <c r="M371" s="2">
        <f>VLOOKUP($A371,'[2]App C Exp'!$A$4:$I$917,7,FALSE)</f>
        <v>478936</v>
      </c>
      <c r="N371" s="2">
        <f>VLOOKUP($A371,'[2]App C Exp'!$A$4:$I$917,8,FALSE)</f>
        <v>191760</v>
      </c>
      <c r="O371" s="2">
        <f>VLOOKUP($A371,'[2]App C Exp'!$A$4:$I$917,9,FALSE)</f>
        <v>0</v>
      </c>
      <c r="P371" s="2"/>
      <c r="Q371" s="2">
        <f>VLOOKUP($A371,'[2]App C Inv'!$A$4:$I$917,5,FALSE)</f>
        <v>603068</v>
      </c>
      <c r="R371" s="2">
        <f>VLOOKUP($A371,'[2]App C Inv'!$A$4:$I$917,6,FALSE)</f>
        <v>-518751</v>
      </c>
      <c r="S371" s="2">
        <f>VLOOKUP($A371,'[2]App C Inv'!$A$4:$I$917,7,FALSE)</f>
        <v>73112</v>
      </c>
      <c r="T371" s="2">
        <f>VLOOKUP($A371,'[2]App C Inv'!$A$4:$I$917,8,FALSE)</f>
        <v>95154</v>
      </c>
      <c r="U371" s="2">
        <f>VLOOKUP($A371,'[2]App C Inv'!$A$4:$I$917,9,FALSE)</f>
        <v>0</v>
      </c>
      <c r="V371" s="2"/>
      <c r="W371" s="2">
        <f>VLOOKUP($A371,'[2]App C Assum'!$A$4:$I$917,5,FALSE)</f>
        <v>679364</v>
      </c>
      <c r="X371" s="2">
        <f>VLOOKUP($A371,'[2]App C Assum'!$A$4:$I$917,6,FALSE)</f>
        <v>556560</v>
      </c>
      <c r="Y371" s="2">
        <f>VLOOKUP($A371,'[2]App C Assum'!$A$4:$I$917,7,FALSE)</f>
        <v>451831</v>
      </c>
      <c r="Z371" s="2">
        <f>VLOOKUP($A371,'[2]App C Assum'!$A$4:$I$917,8,FALSE)</f>
        <v>0</v>
      </c>
      <c r="AA371" s="2">
        <f>VLOOKUP($A371,'[2]App C Assum'!$A$4:$I$917,9,FALSE)</f>
        <v>0</v>
      </c>
      <c r="AB371" s="2"/>
      <c r="AC371" s="2">
        <f>VLOOKUP($A371,'[2]App C Share Outflows'!$A$4:$I$917,5,FALSE)</f>
        <v>163590</v>
      </c>
      <c r="AD371" s="2">
        <f>VLOOKUP($A371,'[2]App C Share Outflows'!$A$4:$I$917,6,FALSE)</f>
        <v>130936</v>
      </c>
      <c r="AE371" s="2">
        <f>VLOOKUP($A371,'[2]App C Share Outflows'!$A$4:$I$917,7,FALSE)</f>
        <v>9303</v>
      </c>
      <c r="AF371" s="2">
        <f>VLOOKUP($A371,'[2]App C Share Outflows'!$A$4:$I$917,8,FALSE)</f>
        <v>0</v>
      </c>
      <c r="AG371" s="2">
        <f>VLOOKUP($A371,'[2]App C Share Outflows'!$A$4:$I$917,9,FALSE)</f>
        <v>0</v>
      </c>
      <c r="AH371" s="2"/>
      <c r="AI371" s="2">
        <f>VLOOKUP($A371,'[2]App C Share Inflows'!$A$4:$I$917,5,FALSE)</f>
        <v>-32101</v>
      </c>
      <c r="AJ371" s="2">
        <f>VLOOKUP($A371,'[2]App C Share Inflows'!$A$4:$I$917,6,FALSE)</f>
        <v>-32101</v>
      </c>
      <c r="AK371" s="2">
        <f>VLOOKUP($A371,'[2]App C Share Inflows'!$A$4:$I$917,7,FALSE)</f>
        <v>-32101</v>
      </c>
      <c r="AL371" s="2">
        <f>VLOOKUP($A371,'[2]App C Share Inflows'!$A$4:$I$917,8,FALSE)</f>
        <v>-32102</v>
      </c>
      <c r="AM371" s="2">
        <f>VLOOKUP($A371,'[2]App C Share Inflows'!$A$4:$I$917,6,FALSE)</f>
        <v>-32101</v>
      </c>
    </row>
    <row r="372" spans="1:39">
      <c r="A372" s="351">
        <v>93610</v>
      </c>
      <c r="B372" s="344" t="s">
        <v>1065</v>
      </c>
      <c r="C372" s="235" t="e">
        <f>VLOOKUP(A372,#REF!,10,FALSE)</f>
        <v>#REF!</v>
      </c>
      <c r="E372" s="2">
        <f>VLOOKUP($A372,'[2]App C Total'!$A$4:$I$917,5,FALSE)</f>
        <v>8075</v>
      </c>
      <c r="F372" s="2">
        <f>VLOOKUP($A372,'[2]App C Total'!$A$4:$I$917,6,FALSE)</f>
        <v>3592</v>
      </c>
      <c r="G372" s="2">
        <f>VLOOKUP($A372,'[2]App C Total'!$A$4:$I$917,7,FALSE)</f>
        <v>4361</v>
      </c>
      <c r="H372" s="2">
        <f>VLOOKUP($A372,'[2]App C Total'!$A$4:$I$917,8,FALSE)</f>
        <v>1112</v>
      </c>
      <c r="I372" s="2">
        <f>VLOOKUP($A372,'[2]App C Total'!$A$4:$I$917,9,FALSE)</f>
        <v>0</v>
      </c>
      <c r="J372" s="2"/>
      <c r="K372" s="2">
        <f>VLOOKUP($A372,'[2]App C Exp'!$A$4:$I$917,5,FALSE)</f>
        <v>2442</v>
      </c>
      <c r="L372" s="2">
        <f>VLOOKUP($A372,'[2]App C Exp'!$A$4:$I$917,6,FALSE)</f>
        <v>2297</v>
      </c>
      <c r="M372" s="2">
        <f>VLOOKUP($A372,'[2]App C Exp'!$A$4:$I$917,7,FALSE)</f>
        <v>2059</v>
      </c>
      <c r="N372" s="2">
        <f>VLOOKUP($A372,'[2]App C Exp'!$A$4:$I$917,8,FALSE)</f>
        <v>824</v>
      </c>
      <c r="O372" s="2">
        <f>VLOOKUP($A372,'[2]App C Exp'!$A$4:$I$917,9,FALSE)</f>
        <v>0</v>
      </c>
      <c r="P372" s="2"/>
      <c r="Q372" s="2">
        <f>VLOOKUP($A372,'[2]App C Inv'!$A$4:$I$917,5,FALSE)</f>
        <v>2592</v>
      </c>
      <c r="R372" s="2">
        <f>VLOOKUP($A372,'[2]App C Inv'!$A$4:$I$917,6,FALSE)</f>
        <v>-2230</v>
      </c>
      <c r="S372" s="2">
        <f>VLOOKUP($A372,'[2]App C Inv'!$A$4:$I$917,7,FALSE)</f>
        <v>314</v>
      </c>
      <c r="T372" s="2">
        <f>VLOOKUP($A372,'[2]App C Inv'!$A$4:$I$917,8,FALSE)</f>
        <v>409</v>
      </c>
      <c r="U372" s="2">
        <f>VLOOKUP($A372,'[2]App C Inv'!$A$4:$I$917,9,FALSE)</f>
        <v>0</v>
      </c>
      <c r="V372" s="2"/>
      <c r="W372" s="2">
        <f>VLOOKUP($A372,'[2]App C Assum'!$A$4:$I$917,5,FALSE)</f>
        <v>2920</v>
      </c>
      <c r="X372" s="2">
        <f>VLOOKUP($A372,'[2]App C Assum'!$A$4:$I$917,6,FALSE)</f>
        <v>2392</v>
      </c>
      <c r="Y372" s="2">
        <f>VLOOKUP($A372,'[2]App C Assum'!$A$4:$I$917,7,FALSE)</f>
        <v>1942</v>
      </c>
      <c r="Z372" s="2">
        <f>VLOOKUP($A372,'[2]App C Assum'!$A$4:$I$917,8,FALSE)</f>
        <v>0</v>
      </c>
      <c r="AA372" s="2">
        <f>VLOOKUP($A372,'[2]App C Assum'!$A$4:$I$917,9,FALSE)</f>
        <v>0</v>
      </c>
      <c r="AB372" s="2"/>
      <c r="AC372" s="2">
        <f>VLOOKUP($A372,'[2]App C Share Outflows'!$A$4:$I$917,5,FALSE)</f>
        <v>1256</v>
      </c>
      <c r="AD372" s="2">
        <f>VLOOKUP($A372,'[2]App C Share Outflows'!$A$4:$I$917,6,FALSE)</f>
        <v>1255</v>
      </c>
      <c r="AE372" s="2">
        <f>VLOOKUP($A372,'[2]App C Share Outflows'!$A$4:$I$917,7,FALSE)</f>
        <v>168</v>
      </c>
      <c r="AF372" s="2">
        <f>VLOOKUP($A372,'[2]App C Share Outflows'!$A$4:$I$917,8,FALSE)</f>
        <v>0</v>
      </c>
      <c r="AG372" s="2">
        <f>VLOOKUP($A372,'[2]App C Share Outflows'!$A$4:$I$917,9,FALSE)</f>
        <v>0</v>
      </c>
      <c r="AH372" s="2"/>
      <c r="AI372" s="2">
        <f>VLOOKUP($A372,'[2]App C Share Inflows'!$A$4:$I$917,5,FALSE)</f>
        <v>-1135</v>
      </c>
      <c r="AJ372" s="2">
        <f>VLOOKUP($A372,'[2]App C Share Inflows'!$A$4:$I$917,6,FALSE)</f>
        <v>-122</v>
      </c>
      <c r="AK372" s="2">
        <f>VLOOKUP($A372,'[2]App C Share Inflows'!$A$4:$I$917,7,FALSE)</f>
        <v>-122</v>
      </c>
      <c r="AL372" s="2">
        <f>VLOOKUP($A372,'[2]App C Share Inflows'!$A$4:$I$917,8,FALSE)</f>
        <v>-121</v>
      </c>
      <c r="AM372" s="2">
        <f>VLOOKUP($A372,'[2]App C Share Inflows'!$A$4:$I$917,6,FALSE)</f>
        <v>-122</v>
      </c>
    </row>
    <row r="373" spans="1:39">
      <c r="A373" s="351">
        <v>93611</v>
      </c>
      <c r="B373" s="344" t="s">
        <v>1066</v>
      </c>
      <c r="C373" s="235" t="e">
        <f>VLOOKUP(A373,#REF!,10,FALSE)</f>
        <v>#REF!</v>
      </c>
      <c r="E373" s="2">
        <f>VLOOKUP($A373,'[2]App C Total'!$A$4:$I$917,5,FALSE)</f>
        <v>3374854</v>
      </c>
      <c r="F373" s="2">
        <f>VLOOKUP($A373,'[2]App C Total'!$A$4:$I$917,6,FALSE)</f>
        <v>1048737</v>
      </c>
      <c r="G373" s="2">
        <f>VLOOKUP($A373,'[2]App C Total'!$A$4:$I$917,7,FALSE)</f>
        <v>1821156</v>
      </c>
      <c r="H373" s="2">
        <f>VLOOKUP($A373,'[2]App C Total'!$A$4:$I$917,8,FALSE)</f>
        <v>521563</v>
      </c>
      <c r="I373" s="2">
        <f>VLOOKUP($A373,'[2]App C Total'!$A$4:$I$917,9,FALSE)</f>
        <v>0</v>
      </c>
      <c r="J373" s="2"/>
      <c r="K373" s="2">
        <f>VLOOKUP($A373,'[2]App C Exp'!$A$4:$I$917,5,FALSE)</f>
        <v>1036470</v>
      </c>
      <c r="L373" s="2">
        <f>VLOOKUP($A373,'[2]App C Exp'!$A$4:$I$917,6,FALSE)</f>
        <v>974983</v>
      </c>
      <c r="M373" s="2">
        <f>VLOOKUP($A373,'[2]App C Exp'!$A$4:$I$917,7,FALSE)</f>
        <v>873866</v>
      </c>
      <c r="N373" s="2">
        <f>VLOOKUP($A373,'[2]App C Exp'!$A$4:$I$917,8,FALSE)</f>
        <v>349886</v>
      </c>
      <c r="O373" s="2">
        <f>VLOOKUP($A373,'[2]App C Exp'!$A$4:$I$917,9,FALSE)</f>
        <v>0</v>
      </c>
      <c r="P373" s="2"/>
      <c r="Q373" s="2">
        <f>VLOOKUP($A373,'[2]App C Inv'!$A$4:$I$917,5,FALSE)</f>
        <v>1100357</v>
      </c>
      <c r="R373" s="2">
        <f>VLOOKUP($A373,'[2]App C Inv'!$A$4:$I$917,6,FALSE)</f>
        <v>-946513</v>
      </c>
      <c r="S373" s="2">
        <f>VLOOKUP($A373,'[2]App C Inv'!$A$4:$I$917,7,FALSE)</f>
        <v>133399</v>
      </c>
      <c r="T373" s="2">
        <f>VLOOKUP($A373,'[2]App C Inv'!$A$4:$I$917,8,FALSE)</f>
        <v>173618</v>
      </c>
      <c r="U373" s="2">
        <f>VLOOKUP($A373,'[2]App C Inv'!$A$4:$I$917,9,FALSE)</f>
        <v>0</v>
      </c>
      <c r="V373" s="2"/>
      <c r="W373" s="2">
        <f>VLOOKUP($A373,'[2]App C Assum'!$A$4:$I$917,5,FALSE)</f>
        <v>1239568</v>
      </c>
      <c r="X373" s="2">
        <f>VLOOKUP($A373,'[2]App C Assum'!$A$4:$I$917,6,FALSE)</f>
        <v>1015499</v>
      </c>
      <c r="Y373" s="2">
        <f>VLOOKUP($A373,'[2]App C Assum'!$A$4:$I$917,7,FALSE)</f>
        <v>824412</v>
      </c>
      <c r="Z373" s="2">
        <f>VLOOKUP($A373,'[2]App C Assum'!$A$4:$I$917,8,FALSE)</f>
        <v>0</v>
      </c>
      <c r="AA373" s="2">
        <f>VLOOKUP($A373,'[2]App C Assum'!$A$4:$I$917,9,FALSE)</f>
        <v>0</v>
      </c>
      <c r="AB373" s="2"/>
      <c r="AC373" s="2">
        <f>VLOOKUP($A373,'[2]App C Share Outflows'!$A$4:$I$917,5,FALSE)</f>
        <v>15287</v>
      </c>
      <c r="AD373" s="2">
        <f>VLOOKUP($A373,'[2]App C Share Outflows'!$A$4:$I$917,6,FALSE)</f>
        <v>15287</v>
      </c>
      <c r="AE373" s="2">
        <f>VLOOKUP($A373,'[2]App C Share Outflows'!$A$4:$I$917,7,FALSE)</f>
        <v>0</v>
      </c>
      <c r="AF373" s="2">
        <f>VLOOKUP($A373,'[2]App C Share Outflows'!$A$4:$I$917,8,FALSE)</f>
        <v>0</v>
      </c>
      <c r="AG373" s="2">
        <f>VLOOKUP($A373,'[2]App C Share Outflows'!$A$4:$I$917,9,FALSE)</f>
        <v>0</v>
      </c>
      <c r="AH373" s="2"/>
      <c r="AI373" s="2">
        <f>VLOOKUP($A373,'[2]App C Share Inflows'!$A$4:$I$917,5,FALSE)</f>
        <v>-16828</v>
      </c>
      <c r="AJ373" s="2">
        <f>VLOOKUP($A373,'[2]App C Share Inflows'!$A$4:$I$917,6,FALSE)</f>
        <v>-10519</v>
      </c>
      <c r="AK373" s="2">
        <f>VLOOKUP($A373,'[2]App C Share Inflows'!$A$4:$I$917,7,FALSE)</f>
        <v>-10521</v>
      </c>
      <c r="AL373" s="2">
        <f>VLOOKUP($A373,'[2]App C Share Inflows'!$A$4:$I$917,8,FALSE)</f>
        <v>-1941</v>
      </c>
      <c r="AM373" s="2">
        <f>VLOOKUP($A373,'[2]App C Share Inflows'!$A$4:$I$917,6,FALSE)</f>
        <v>-10519</v>
      </c>
    </row>
    <row r="374" spans="1:39">
      <c r="A374" s="351">
        <v>93617</v>
      </c>
      <c r="B374" s="344" t="s">
        <v>1067</v>
      </c>
      <c r="C374" s="235" t="e">
        <f>VLOOKUP(A374,#REF!,10,FALSE)</f>
        <v>#REF!</v>
      </c>
      <c r="E374" s="2">
        <f>VLOOKUP($A374,'[2]App C Total'!$A$4:$I$917,5,FALSE)</f>
        <v>46273</v>
      </c>
      <c r="F374" s="2">
        <f>VLOOKUP($A374,'[2]App C Total'!$A$4:$I$917,6,FALSE)</f>
        <v>16528</v>
      </c>
      <c r="G374" s="2">
        <f>VLOOKUP($A374,'[2]App C Total'!$A$4:$I$917,7,FALSE)</f>
        <v>25337</v>
      </c>
      <c r="H374" s="2">
        <f>VLOOKUP($A374,'[2]App C Total'!$A$4:$I$917,8,FALSE)</f>
        <v>7361</v>
      </c>
      <c r="I374" s="2">
        <f>VLOOKUP($A374,'[2]App C Total'!$A$4:$I$917,9,FALSE)</f>
        <v>0</v>
      </c>
      <c r="J374" s="2"/>
      <c r="K374" s="2">
        <f>VLOOKUP($A374,'[2]App C Exp'!$A$4:$I$917,5,FALSE)</f>
        <v>11820</v>
      </c>
      <c r="L374" s="2">
        <f>VLOOKUP($A374,'[2]App C Exp'!$A$4:$I$917,6,FALSE)</f>
        <v>11119</v>
      </c>
      <c r="M374" s="2">
        <f>VLOOKUP($A374,'[2]App C Exp'!$A$4:$I$917,7,FALSE)</f>
        <v>9965</v>
      </c>
      <c r="N374" s="2">
        <f>VLOOKUP($A374,'[2]App C Exp'!$A$4:$I$917,8,FALSE)</f>
        <v>3990</v>
      </c>
      <c r="O374" s="2">
        <f>VLOOKUP($A374,'[2]App C Exp'!$A$4:$I$917,9,FALSE)</f>
        <v>0</v>
      </c>
      <c r="P374" s="2"/>
      <c r="Q374" s="2">
        <f>VLOOKUP($A374,'[2]App C Inv'!$A$4:$I$917,5,FALSE)</f>
        <v>12548</v>
      </c>
      <c r="R374" s="2">
        <f>VLOOKUP($A374,'[2]App C Inv'!$A$4:$I$917,6,FALSE)</f>
        <v>-10794</v>
      </c>
      <c r="S374" s="2">
        <f>VLOOKUP($A374,'[2]App C Inv'!$A$4:$I$917,7,FALSE)</f>
        <v>1521</v>
      </c>
      <c r="T374" s="2">
        <f>VLOOKUP($A374,'[2]App C Inv'!$A$4:$I$917,8,FALSE)</f>
        <v>1980</v>
      </c>
      <c r="U374" s="2">
        <f>VLOOKUP($A374,'[2]App C Inv'!$A$4:$I$917,9,FALSE)</f>
        <v>0</v>
      </c>
      <c r="V374" s="2"/>
      <c r="W374" s="2">
        <f>VLOOKUP($A374,'[2]App C Assum'!$A$4:$I$917,5,FALSE)</f>
        <v>14136</v>
      </c>
      <c r="X374" s="2">
        <f>VLOOKUP($A374,'[2]App C Assum'!$A$4:$I$917,6,FALSE)</f>
        <v>11581</v>
      </c>
      <c r="Y374" s="2">
        <f>VLOOKUP($A374,'[2]App C Assum'!$A$4:$I$917,7,FALSE)</f>
        <v>9401</v>
      </c>
      <c r="Z374" s="2">
        <f>VLOOKUP($A374,'[2]App C Assum'!$A$4:$I$917,8,FALSE)</f>
        <v>0</v>
      </c>
      <c r="AA374" s="2">
        <f>VLOOKUP($A374,'[2]App C Assum'!$A$4:$I$917,9,FALSE)</f>
        <v>0</v>
      </c>
      <c r="AB374" s="2"/>
      <c r="AC374" s="2">
        <f>VLOOKUP($A374,'[2]App C Share Outflows'!$A$4:$I$917,5,FALSE)</f>
        <v>7769</v>
      </c>
      <c r="AD374" s="2">
        <f>VLOOKUP($A374,'[2]App C Share Outflows'!$A$4:$I$917,6,FALSE)</f>
        <v>4622</v>
      </c>
      <c r="AE374" s="2">
        <f>VLOOKUP($A374,'[2]App C Share Outflows'!$A$4:$I$917,7,FALSE)</f>
        <v>4450</v>
      </c>
      <c r="AF374" s="2">
        <f>VLOOKUP($A374,'[2]App C Share Outflows'!$A$4:$I$917,8,FALSE)</f>
        <v>1391</v>
      </c>
      <c r="AG374" s="2">
        <f>VLOOKUP($A374,'[2]App C Share Outflows'!$A$4:$I$917,9,FALSE)</f>
        <v>0</v>
      </c>
      <c r="AH374" s="2"/>
      <c r="AI374" s="2">
        <f>VLOOKUP($A374,'[2]App C Share Inflows'!$A$4:$I$917,5,FALSE)</f>
        <v>0</v>
      </c>
      <c r="AJ374" s="2">
        <f>VLOOKUP($A374,'[2]App C Share Inflows'!$A$4:$I$917,6,FALSE)</f>
        <v>0</v>
      </c>
      <c r="AK374" s="2">
        <f>VLOOKUP($A374,'[2]App C Share Inflows'!$A$4:$I$917,7,FALSE)</f>
        <v>0</v>
      </c>
      <c r="AL374" s="2">
        <f>VLOOKUP($A374,'[2]App C Share Inflows'!$A$4:$I$917,8,FALSE)</f>
        <v>0</v>
      </c>
      <c r="AM374" s="2">
        <f>VLOOKUP($A374,'[2]App C Share Inflows'!$A$4:$I$917,6,FALSE)</f>
        <v>0</v>
      </c>
    </row>
    <row r="375" spans="1:39">
      <c r="A375" s="351">
        <v>93618</v>
      </c>
      <c r="B375" s="344" t="s">
        <v>3674</v>
      </c>
      <c r="C375" s="235" t="e">
        <f>VLOOKUP(A375,#REF!,10,FALSE)</f>
        <v>#REF!</v>
      </c>
      <c r="E375" s="2">
        <f>VLOOKUP($A375,'[2]App C Total'!$A$4:$I$917,5,FALSE)</f>
        <v>19622</v>
      </c>
      <c r="F375" s="2">
        <f>VLOOKUP($A375,'[2]App C Total'!$A$4:$I$917,6,FALSE)</f>
        <v>13084</v>
      </c>
      <c r="G375" s="2">
        <f>VLOOKUP($A375,'[2]App C Total'!$A$4:$I$917,7,FALSE)</f>
        <v>10491</v>
      </c>
      <c r="H375" s="2">
        <f>VLOOKUP($A375,'[2]App C Total'!$A$4:$I$917,8,FALSE)</f>
        <v>4837</v>
      </c>
      <c r="I375" s="2">
        <f>VLOOKUP($A375,'[2]App C Total'!$A$4:$I$917,9,FALSE)</f>
        <v>0</v>
      </c>
      <c r="J375" s="2"/>
      <c r="K375" s="2">
        <f>VLOOKUP($A375,'[2]App C Exp'!$A$4:$I$917,5,FALSE)</f>
        <v>1423</v>
      </c>
      <c r="L375" s="2">
        <f>VLOOKUP($A375,'[2]App C Exp'!$A$4:$I$917,6,FALSE)</f>
        <v>1339</v>
      </c>
      <c r="M375" s="2">
        <f>VLOOKUP($A375,'[2]App C Exp'!$A$4:$I$917,7,FALSE)</f>
        <v>1200</v>
      </c>
      <c r="N375" s="2">
        <f>VLOOKUP($A375,'[2]App C Exp'!$A$4:$I$917,8,FALSE)</f>
        <v>480</v>
      </c>
      <c r="O375" s="2">
        <f>VLOOKUP($A375,'[2]App C Exp'!$A$4:$I$917,9,FALSE)</f>
        <v>0</v>
      </c>
      <c r="P375" s="2"/>
      <c r="Q375" s="2">
        <f>VLOOKUP($A375,'[2]App C Inv'!$A$4:$I$917,5,FALSE)</f>
        <v>1511</v>
      </c>
      <c r="R375" s="2">
        <f>VLOOKUP($A375,'[2]App C Inv'!$A$4:$I$917,6,FALSE)</f>
        <v>-1300</v>
      </c>
      <c r="S375" s="2">
        <f>VLOOKUP($A375,'[2]App C Inv'!$A$4:$I$917,7,FALSE)</f>
        <v>183</v>
      </c>
      <c r="T375" s="2">
        <f>VLOOKUP($A375,'[2]App C Inv'!$A$4:$I$917,8,FALSE)</f>
        <v>238</v>
      </c>
      <c r="U375" s="2">
        <f>VLOOKUP($A375,'[2]App C Inv'!$A$4:$I$917,9,FALSE)</f>
        <v>0</v>
      </c>
      <c r="V375" s="2"/>
      <c r="W375" s="2">
        <f>VLOOKUP($A375,'[2]App C Assum'!$A$4:$I$917,5,FALSE)</f>
        <v>1702</v>
      </c>
      <c r="X375" s="2">
        <f>VLOOKUP($A375,'[2]App C Assum'!$A$4:$I$917,6,FALSE)</f>
        <v>1394</v>
      </c>
      <c r="Y375" s="2">
        <f>VLOOKUP($A375,'[2]App C Assum'!$A$4:$I$917,7,FALSE)</f>
        <v>1132</v>
      </c>
      <c r="Z375" s="2">
        <f>VLOOKUP($A375,'[2]App C Assum'!$A$4:$I$917,8,FALSE)</f>
        <v>0</v>
      </c>
      <c r="AA375" s="2">
        <f>VLOOKUP($A375,'[2]App C Assum'!$A$4:$I$917,9,FALSE)</f>
        <v>0</v>
      </c>
      <c r="AB375" s="2"/>
      <c r="AC375" s="2">
        <f>VLOOKUP($A375,'[2]App C Share Outflows'!$A$4:$I$917,5,FALSE)</f>
        <v>14986</v>
      </c>
      <c r="AD375" s="2">
        <f>VLOOKUP($A375,'[2]App C Share Outflows'!$A$4:$I$917,6,FALSE)</f>
        <v>11651</v>
      </c>
      <c r="AE375" s="2">
        <f>VLOOKUP($A375,'[2]App C Share Outflows'!$A$4:$I$917,7,FALSE)</f>
        <v>7976</v>
      </c>
      <c r="AF375" s="2">
        <f>VLOOKUP($A375,'[2]App C Share Outflows'!$A$4:$I$917,8,FALSE)</f>
        <v>4119</v>
      </c>
      <c r="AG375" s="2">
        <f>VLOOKUP($A375,'[2]App C Share Outflows'!$A$4:$I$917,9,FALSE)</f>
        <v>0</v>
      </c>
      <c r="AH375" s="2"/>
      <c r="AI375" s="2">
        <f>VLOOKUP($A375,'[2]App C Share Inflows'!$A$4:$I$917,5,FALSE)</f>
        <v>0</v>
      </c>
      <c r="AJ375" s="2">
        <f>VLOOKUP($A375,'[2]App C Share Inflows'!$A$4:$I$917,6,FALSE)</f>
        <v>0</v>
      </c>
      <c r="AK375" s="2">
        <f>VLOOKUP($A375,'[2]App C Share Inflows'!$A$4:$I$917,7,FALSE)</f>
        <v>0</v>
      </c>
      <c r="AL375" s="2">
        <f>VLOOKUP($A375,'[2]App C Share Inflows'!$A$4:$I$917,8,FALSE)</f>
        <v>0</v>
      </c>
      <c r="AM375" s="2">
        <f>VLOOKUP($A375,'[2]App C Share Inflows'!$A$4:$I$917,6,FALSE)</f>
        <v>0</v>
      </c>
    </row>
    <row r="376" spans="1:39">
      <c r="A376" s="351">
        <v>93621</v>
      </c>
      <c r="B376" s="344" t="s">
        <v>1069</v>
      </c>
      <c r="C376" s="235" t="e">
        <f>VLOOKUP(A376,#REF!,10,FALSE)</f>
        <v>#REF!</v>
      </c>
      <c r="E376" s="2">
        <f>VLOOKUP($A376,'[2]App C Total'!$A$4:$I$917,5,FALSE)</f>
        <v>513114</v>
      </c>
      <c r="F376" s="2">
        <f>VLOOKUP($A376,'[2]App C Total'!$A$4:$I$917,6,FALSE)</f>
        <v>173501</v>
      </c>
      <c r="G376" s="2">
        <f>VLOOKUP($A376,'[2]App C Total'!$A$4:$I$917,7,FALSE)</f>
        <v>281690</v>
      </c>
      <c r="H376" s="2">
        <f>VLOOKUP($A376,'[2]App C Total'!$A$4:$I$917,8,FALSE)</f>
        <v>78249</v>
      </c>
      <c r="I376" s="2">
        <f>VLOOKUP($A376,'[2]App C Total'!$A$4:$I$917,9,FALSE)</f>
        <v>0</v>
      </c>
      <c r="J376" s="2"/>
      <c r="K376" s="2">
        <f>VLOOKUP($A376,'[2]App C Exp'!$A$4:$I$917,5,FALSE)</f>
        <v>158241</v>
      </c>
      <c r="L376" s="2">
        <f>VLOOKUP($A376,'[2]App C Exp'!$A$4:$I$917,6,FALSE)</f>
        <v>148854</v>
      </c>
      <c r="M376" s="2">
        <f>VLOOKUP($A376,'[2]App C Exp'!$A$4:$I$917,7,FALSE)</f>
        <v>133416</v>
      </c>
      <c r="N376" s="2">
        <f>VLOOKUP($A376,'[2]App C Exp'!$A$4:$I$917,8,FALSE)</f>
        <v>53418</v>
      </c>
      <c r="O376" s="2">
        <f>VLOOKUP($A376,'[2]App C Exp'!$A$4:$I$917,9,FALSE)</f>
        <v>0</v>
      </c>
      <c r="P376" s="2"/>
      <c r="Q376" s="2">
        <f>VLOOKUP($A376,'[2]App C Inv'!$A$4:$I$917,5,FALSE)</f>
        <v>167995</v>
      </c>
      <c r="R376" s="2">
        <f>VLOOKUP($A376,'[2]App C Inv'!$A$4:$I$917,6,FALSE)</f>
        <v>-144507</v>
      </c>
      <c r="S376" s="2">
        <f>VLOOKUP($A376,'[2]App C Inv'!$A$4:$I$917,7,FALSE)</f>
        <v>20367</v>
      </c>
      <c r="T376" s="2">
        <f>VLOOKUP($A376,'[2]App C Inv'!$A$4:$I$917,8,FALSE)</f>
        <v>26507</v>
      </c>
      <c r="U376" s="2">
        <f>VLOOKUP($A376,'[2]App C Inv'!$A$4:$I$917,9,FALSE)</f>
        <v>0</v>
      </c>
      <c r="V376" s="2"/>
      <c r="W376" s="2">
        <f>VLOOKUP($A376,'[2]App C Assum'!$A$4:$I$917,5,FALSE)</f>
        <v>189249</v>
      </c>
      <c r="X376" s="2">
        <f>VLOOKUP($A376,'[2]App C Assum'!$A$4:$I$917,6,FALSE)</f>
        <v>155039</v>
      </c>
      <c r="Y376" s="2">
        <f>VLOOKUP($A376,'[2]App C Assum'!$A$4:$I$917,7,FALSE)</f>
        <v>125866</v>
      </c>
      <c r="Z376" s="2">
        <f>VLOOKUP($A376,'[2]App C Assum'!$A$4:$I$917,8,FALSE)</f>
        <v>0</v>
      </c>
      <c r="AA376" s="2">
        <f>VLOOKUP($A376,'[2]App C Assum'!$A$4:$I$917,9,FALSE)</f>
        <v>0</v>
      </c>
      <c r="AB376" s="2"/>
      <c r="AC376" s="2">
        <f>VLOOKUP($A376,'[2]App C Share Outflows'!$A$4:$I$917,5,FALSE)</f>
        <v>15789</v>
      </c>
      <c r="AD376" s="2">
        <f>VLOOKUP($A376,'[2]App C Share Outflows'!$A$4:$I$917,6,FALSE)</f>
        <v>15789</v>
      </c>
      <c r="AE376" s="2">
        <f>VLOOKUP($A376,'[2]App C Share Outflows'!$A$4:$I$917,7,FALSE)</f>
        <v>3715</v>
      </c>
      <c r="AF376" s="2">
        <f>VLOOKUP($A376,'[2]App C Share Outflows'!$A$4:$I$917,8,FALSE)</f>
        <v>0</v>
      </c>
      <c r="AG376" s="2">
        <f>VLOOKUP($A376,'[2]App C Share Outflows'!$A$4:$I$917,9,FALSE)</f>
        <v>0</v>
      </c>
      <c r="AH376" s="2"/>
      <c r="AI376" s="2">
        <f>VLOOKUP($A376,'[2]App C Share Inflows'!$A$4:$I$917,5,FALSE)</f>
        <v>-18160</v>
      </c>
      <c r="AJ376" s="2">
        <f>VLOOKUP($A376,'[2]App C Share Inflows'!$A$4:$I$917,6,FALSE)</f>
        <v>-1674</v>
      </c>
      <c r="AK376" s="2">
        <f>VLOOKUP($A376,'[2]App C Share Inflows'!$A$4:$I$917,7,FALSE)</f>
        <v>-1674</v>
      </c>
      <c r="AL376" s="2">
        <f>VLOOKUP($A376,'[2]App C Share Inflows'!$A$4:$I$917,8,FALSE)</f>
        <v>-1676</v>
      </c>
      <c r="AM376" s="2">
        <f>VLOOKUP($A376,'[2]App C Share Inflows'!$A$4:$I$917,6,FALSE)</f>
        <v>-1674</v>
      </c>
    </row>
    <row r="377" spans="1:39">
      <c r="A377" s="351">
        <v>93623</v>
      </c>
      <c r="B377" s="344" t="s">
        <v>1070</v>
      </c>
      <c r="C377" s="235" t="e">
        <f>VLOOKUP(A377,#REF!,10,FALSE)</f>
        <v>#REF!</v>
      </c>
      <c r="E377" s="2">
        <f>VLOOKUP($A377,'[2]App C Total'!$A$4:$I$917,5,FALSE)</f>
        <v>6911</v>
      </c>
      <c r="F377" s="2">
        <f>VLOOKUP($A377,'[2]App C Total'!$A$4:$I$917,6,FALSE)</f>
        <v>2643</v>
      </c>
      <c r="G377" s="2">
        <f>VLOOKUP($A377,'[2]App C Total'!$A$4:$I$917,7,FALSE)</f>
        <v>3275</v>
      </c>
      <c r="H377" s="2">
        <f>VLOOKUP($A377,'[2]App C Total'!$A$4:$I$917,8,FALSE)</f>
        <v>839</v>
      </c>
      <c r="I377" s="2">
        <f>VLOOKUP($A377,'[2]App C Total'!$A$4:$I$917,9,FALSE)</f>
        <v>0</v>
      </c>
      <c r="J377" s="2"/>
      <c r="K377" s="2">
        <f>VLOOKUP($A377,'[2]App C Exp'!$A$4:$I$917,5,FALSE)</f>
        <v>1648</v>
      </c>
      <c r="L377" s="2">
        <f>VLOOKUP($A377,'[2]App C Exp'!$A$4:$I$917,6,FALSE)</f>
        <v>1550</v>
      </c>
      <c r="M377" s="2">
        <f>VLOOKUP($A377,'[2]App C Exp'!$A$4:$I$917,7,FALSE)</f>
        <v>1389</v>
      </c>
      <c r="N377" s="2">
        <f>VLOOKUP($A377,'[2]App C Exp'!$A$4:$I$917,8,FALSE)</f>
        <v>556</v>
      </c>
      <c r="O377" s="2">
        <f>VLOOKUP($A377,'[2]App C Exp'!$A$4:$I$917,9,FALSE)</f>
        <v>0</v>
      </c>
      <c r="P377" s="2"/>
      <c r="Q377" s="2">
        <f>VLOOKUP($A377,'[2]App C Inv'!$A$4:$I$917,5,FALSE)</f>
        <v>1749</v>
      </c>
      <c r="R377" s="2">
        <f>VLOOKUP($A377,'[2]App C Inv'!$A$4:$I$917,6,FALSE)</f>
        <v>-1505</v>
      </c>
      <c r="S377" s="2">
        <f>VLOOKUP($A377,'[2]App C Inv'!$A$4:$I$917,7,FALSE)</f>
        <v>212</v>
      </c>
      <c r="T377" s="2">
        <f>VLOOKUP($A377,'[2]App C Inv'!$A$4:$I$917,8,FALSE)</f>
        <v>276</v>
      </c>
      <c r="U377" s="2">
        <f>VLOOKUP($A377,'[2]App C Inv'!$A$4:$I$917,9,FALSE)</f>
        <v>0</v>
      </c>
      <c r="V377" s="2"/>
      <c r="W377" s="2">
        <f>VLOOKUP($A377,'[2]App C Assum'!$A$4:$I$917,5,FALSE)</f>
        <v>1971</v>
      </c>
      <c r="X377" s="2">
        <f>VLOOKUP($A377,'[2]App C Assum'!$A$4:$I$917,6,FALSE)</f>
        <v>1615</v>
      </c>
      <c r="Y377" s="2">
        <f>VLOOKUP($A377,'[2]App C Assum'!$A$4:$I$917,7,FALSE)</f>
        <v>1311</v>
      </c>
      <c r="Z377" s="2">
        <f>VLOOKUP($A377,'[2]App C Assum'!$A$4:$I$917,8,FALSE)</f>
        <v>0</v>
      </c>
      <c r="AA377" s="2">
        <f>VLOOKUP($A377,'[2]App C Assum'!$A$4:$I$917,9,FALSE)</f>
        <v>0</v>
      </c>
      <c r="AB377" s="2"/>
      <c r="AC377" s="2">
        <f>VLOOKUP($A377,'[2]App C Share Outflows'!$A$4:$I$917,5,FALSE)</f>
        <v>1543</v>
      </c>
      <c r="AD377" s="2">
        <f>VLOOKUP($A377,'[2]App C Share Outflows'!$A$4:$I$917,6,FALSE)</f>
        <v>983</v>
      </c>
      <c r="AE377" s="2">
        <f>VLOOKUP($A377,'[2]App C Share Outflows'!$A$4:$I$917,7,FALSE)</f>
        <v>363</v>
      </c>
      <c r="AF377" s="2">
        <f>VLOOKUP($A377,'[2]App C Share Outflows'!$A$4:$I$917,8,FALSE)</f>
        <v>7</v>
      </c>
      <c r="AG377" s="2">
        <f>VLOOKUP($A377,'[2]App C Share Outflows'!$A$4:$I$917,9,FALSE)</f>
        <v>0</v>
      </c>
      <c r="AH377" s="2"/>
      <c r="AI377" s="2">
        <f>VLOOKUP($A377,'[2]App C Share Inflows'!$A$4:$I$917,5,FALSE)</f>
        <v>0</v>
      </c>
      <c r="AJ377" s="2">
        <f>VLOOKUP($A377,'[2]App C Share Inflows'!$A$4:$I$917,6,FALSE)</f>
        <v>0</v>
      </c>
      <c r="AK377" s="2">
        <f>VLOOKUP($A377,'[2]App C Share Inflows'!$A$4:$I$917,7,FALSE)</f>
        <v>0</v>
      </c>
      <c r="AL377" s="2">
        <f>VLOOKUP($A377,'[2]App C Share Inflows'!$A$4:$I$917,8,FALSE)</f>
        <v>0</v>
      </c>
      <c r="AM377" s="2">
        <f>VLOOKUP($A377,'[2]App C Share Inflows'!$A$4:$I$917,6,FALSE)</f>
        <v>0</v>
      </c>
    </row>
    <row r="378" spans="1:39">
      <c r="A378" s="351">
        <v>93631</v>
      </c>
      <c r="B378" s="344" t="s">
        <v>1071</v>
      </c>
      <c r="C378" s="235" t="e">
        <f>VLOOKUP(A378,#REF!,10,FALSE)</f>
        <v>#REF!</v>
      </c>
      <c r="E378" s="2">
        <f>VLOOKUP($A378,'[2]App C Total'!$A$4:$I$917,5,FALSE)</f>
        <v>114284</v>
      </c>
      <c r="F378" s="2">
        <f>VLOOKUP($A378,'[2]App C Total'!$A$4:$I$917,6,FALSE)</f>
        <v>34840</v>
      </c>
      <c r="G378" s="2">
        <f>VLOOKUP($A378,'[2]App C Total'!$A$4:$I$917,7,FALSE)</f>
        <v>64434</v>
      </c>
      <c r="H378" s="2">
        <f>VLOOKUP($A378,'[2]App C Total'!$A$4:$I$917,8,FALSE)</f>
        <v>19859</v>
      </c>
      <c r="I378" s="2">
        <f>VLOOKUP($A378,'[2]App C Total'!$A$4:$I$917,9,FALSE)</f>
        <v>0</v>
      </c>
      <c r="J378" s="2"/>
      <c r="K378" s="2">
        <f>VLOOKUP($A378,'[2]App C Exp'!$A$4:$I$917,5,FALSE)</f>
        <v>36148</v>
      </c>
      <c r="L378" s="2">
        <f>VLOOKUP($A378,'[2]App C Exp'!$A$4:$I$917,6,FALSE)</f>
        <v>34004</v>
      </c>
      <c r="M378" s="2">
        <f>VLOOKUP($A378,'[2]App C Exp'!$A$4:$I$917,7,FALSE)</f>
        <v>30477</v>
      </c>
      <c r="N378" s="2">
        <f>VLOOKUP($A378,'[2]App C Exp'!$A$4:$I$917,8,FALSE)</f>
        <v>12203</v>
      </c>
      <c r="O378" s="2">
        <f>VLOOKUP($A378,'[2]App C Exp'!$A$4:$I$917,9,FALSE)</f>
        <v>0</v>
      </c>
      <c r="P378" s="2"/>
      <c r="Q378" s="2">
        <f>VLOOKUP($A378,'[2]App C Inv'!$A$4:$I$917,5,FALSE)</f>
        <v>38377</v>
      </c>
      <c r="R378" s="2">
        <f>VLOOKUP($A378,'[2]App C Inv'!$A$4:$I$917,6,FALSE)</f>
        <v>-33011</v>
      </c>
      <c r="S378" s="2">
        <f>VLOOKUP($A378,'[2]App C Inv'!$A$4:$I$917,7,FALSE)</f>
        <v>4653</v>
      </c>
      <c r="T378" s="2">
        <f>VLOOKUP($A378,'[2]App C Inv'!$A$4:$I$917,8,FALSE)</f>
        <v>6055</v>
      </c>
      <c r="U378" s="2">
        <f>VLOOKUP($A378,'[2]App C Inv'!$A$4:$I$917,9,FALSE)</f>
        <v>0</v>
      </c>
      <c r="V378" s="2"/>
      <c r="W378" s="2">
        <f>VLOOKUP($A378,'[2]App C Assum'!$A$4:$I$917,5,FALSE)</f>
        <v>43232</v>
      </c>
      <c r="X378" s="2">
        <f>VLOOKUP($A378,'[2]App C Assum'!$A$4:$I$917,6,FALSE)</f>
        <v>35417</v>
      </c>
      <c r="Y378" s="2">
        <f>VLOOKUP($A378,'[2]App C Assum'!$A$4:$I$917,7,FALSE)</f>
        <v>28753</v>
      </c>
      <c r="Z378" s="2">
        <f>VLOOKUP($A378,'[2]App C Assum'!$A$4:$I$917,8,FALSE)</f>
        <v>0</v>
      </c>
      <c r="AA378" s="2">
        <f>VLOOKUP($A378,'[2]App C Assum'!$A$4:$I$917,9,FALSE)</f>
        <v>0</v>
      </c>
      <c r="AB378" s="2"/>
      <c r="AC378" s="2">
        <f>VLOOKUP($A378,'[2]App C Share Outflows'!$A$4:$I$917,5,FALSE)</f>
        <v>1601</v>
      </c>
      <c r="AD378" s="2">
        <f>VLOOKUP($A378,'[2]App C Share Outflows'!$A$4:$I$917,6,FALSE)</f>
        <v>1601</v>
      </c>
      <c r="AE378" s="2">
        <f>VLOOKUP($A378,'[2]App C Share Outflows'!$A$4:$I$917,7,FALSE)</f>
        <v>1601</v>
      </c>
      <c r="AF378" s="2">
        <f>VLOOKUP($A378,'[2]App C Share Outflows'!$A$4:$I$917,8,FALSE)</f>
        <v>1601</v>
      </c>
      <c r="AG378" s="2">
        <f>VLOOKUP($A378,'[2]App C Share Outflows'!$A$4:$I$917,9,FALSE)</f>
        <v>0</v>
      </c>
      <c r="AH378" s="2"/>
      <c r="AI378" s="2">
        <f>VLOOKUP($A378,'[2]App C Share Inflows'!$A$4:$I$917,5,FALSE)</f>
        <v>-5074</v>
      </c>
      <c r="AJ378" s="2">
        <f>VLOOKUP($A378,'[2]App C Share Inflows'!$A$4:$I$917,6,FALSE)</f>
        <v>-3171</v>
      </c>
      <c r="AK378" s="2">
        <f>VLOOKUP($A378,'[2]App C Share Inflows'!$A$4:$I$917,7,FALSE)</f>
        <v>-1050</v>
      </c>
      <c r="AL378" s="2">
        <f>VLOOKUP($A378,'[2]App C Share Inflows'!$A$4:$I$917,8,FALSE)</f>
        <v>0</v>
      </c>
      <c r="AM378" s="2">
        <f>VLOOKUP($A378,'[2]App C Share Inflows'!$A$4:$I$917,6,FALSE)</f>
        <v>-3171</v>
      </c>
    </row>
    <row r="379" spans="1:39">
      <c r="A379" s="351">
        <v>93641</v>
      </c>
      <c r="B379" s="344" t="s">
        <v>1072</v>
      </c>
      <c r="C379" s="235" t="e">
        <f>VLOOKUP(A379,#REF!,10,FALSE)</f>
        <v>#REF!</v>
      </c>
      <c r="E379" s="2">
        <f>VLOOKUP($A379,'[2]App C Total'!$A$4:$I$917,5,FALSE)</f>
        <v>186117</v>
      </c>
      <c r="F379" s="2">
        <f>VLOOKUP($A379,'[2]App C Total'!$A$4:$I$917,6,FALSE)</f>
        <v>59159</v>
      </c>
      <c r="G379" s="2">
        <f>VLOOKUP($A379,'[2]App C Total'!$A$4:$I$917,7,FALSE)</f>
        <v>104389</v>
      </c>
      <c r="H379" s="2">
        <f>VLOOKUP($A379,'[2]App C Total'!$A$4:$I$917,8,FALSE)</f>
        <v>34409</v>
      </c>
      <c r="I379" s="2">
        <f>VLOOKUP($A379,'[2]App C Total'!$A$4:$I$917,9,FALSE)</f>
        <v>0</v>
      </c>
      <c r="J379" s="2"/>
      <c r="K379" s="2">
        <f>VLOOKUP($A379,'[2]App C Exp'!$A$4:$I$917,5,FALSE)</f>
        <v>55878</v>
      </c>
      <c r="L379" s="2">
        <f>VLOOKUP($A379,'[2]App C Exp'!$A$4:$I$917,6,FALSE)</f>
        <v>52563</v>
      </c>
      <c r="M379" s="2">
        <f>VLOOKUP($A379,'[2]App C Exp'!$A$4:$I$917,7,FALSE)</f>
        <v>47112</v>
      </c>
      <c r="N379" s="2">
        <f>VLOOKUP($A379,'[2]App C Exp'!$A$4:$I$917,8,FALSE)</f>
        <v>18863</v>
      </c>
      <c r="O379" s="2">
        <f>VLOOKUP($A379,'[2]App C Exp'!$A$4:$I$917,9,FALSE)</f>
        <v>0</v>
      </c>
      <c r="P379" s="2"/>
      <c r="Q379" s="2">
        <f>VLOOKUP($A379,'[2]App C Inv'!$A$4:$I$917,5,FALSE)</f>
        <v>59322</v>
      </c>
      <c r="R379" s="2">
        <f>VLOOKUP($A379,'[2]App C Inv'!$A$4:$I$917,6,FALSE)</f>
        <v>-51028</v>
      </c>
      <c r="S379" s="2">
        <f>VLOOKUP($A379,'[2]App C Inv'!$A$4:$I$917,7,FALSE)</f>
        <v>7192</v>
      </c>
      <c r="T379" s="2">
        <f>VLOOKUP($A379,'[2]App C Inv'!$A$4:$I$917,8,FALSE)</f>
        <v>9360</v>
      </c>
      <c r="U379" s="2">
        <f>VLOOKUP($A379,'[2]App C Inv'!$A$4:$I$917,9,FALSE)</f>
        <v>0</v>
      </c>
      <c r="V379" s="2"/>
      <c r="W379" s="2">
        <f>VLOOKUP($A379,'[2]App C Assum'!$A$4:$I$917,5,FALSE)</f>
        <v>66827</v>
      </c>
      <c r="X379" s="2">
        <f>VLOOKUP($A379,'[2]App C Assum'!$A$4:$I$917,6,FALSE)</f>
        <v>54747</v>
      </c>
      <c r="Y379" s="2">
        <f>VLOOKUP($A379,'[2]App C Assum'!$A$4:$I$917,7,FALSE)</f>
        <v>44446</v>
      </c>
      <c r="Z379" s="2">
        <f>VLOOKUP($A379,'[2]App C Assum'!$A$4:$I$917,8,FALSE)</f>
        <v>0</v>
      </c>
      <c r="AA379" s="2">
        <f>VLOOKUP($A379,'[2]App C Assum'!$A$4:$I$917,9,FALSE)</f>
        <v>0</v>
      </c>
      <c r="AB379" s="2"/>
      <c r="AC379" s="2">
        <f>VLOOKUP($A379,'[2]App C Share Outflows'!$A$4:$I$917,5,FALSE)</f>
        <v>7399</v>
      </c>
      <c r="AD379" s="2">
        <f>VLOOKUP($A379,'[2]App C Share Outflows'!$A$4:$I$917,6,FALSE)</f>
        <v>6184</v>
      </c>
      <c r="AE379" s="2">
        <f>VLOOKUP($A379,'[2]App C Share Outflows'!$A$4:$I$917,7,FALSE)</f>
        <v>6184</v>
      </c>
      <c r="AF379" s="2">
        <f>VLOOKUP($A379,'[2]App C Share Outflows'!$A$4:$I$917,8,FALSE)</f>
        <v>6186</v>
      </c>
      <c r="AG379" s="2">
        <f>VLOOKUP($A379,'[2]App C Share Outflows'!$A$4:$I$917,9,FALSE)</f>
        <v>0</v>
      </c>
      <c r="AH379" s="2"/>
      <c r="AI379" s="2">
        <f>VLOOKUP($A379,'[2]App C Share Inflows'!$A$4:$I$917,5,FALSE)</f>
        <v>-3309</v>
      </c>
      <c r="AJ379" s="2">
        <f>VLOOKUP($A379,'[2]App C Share Inflows'!$A$4:$I$917,6,FALSE)</f>
        <v>-3307</v>
      </c>
      <c r="AK379" s="2">
        <f>VLOOKUP($A379,'[2]App C Share Inflows'!$A$4:$I$917,7,FALSE)</f>
        <v>-545</v>
      </c>
      <c r="AL379" s="2">
        <f>VLOOKUP($A379,'[2]App C Share Inflows'!$A$4:$I$917,8,FALSE)</f>
        <v>0</v>
      </c>
      <c r="AM379" s="2">
        <f>VLOOKUP($A379,'[2]App C Share Inflows'!$A$4:$I$917,6,FALSE)</f>
        <v>-3307</v>
      </c>
    </row>
    <row r="380" spans="1:39">
      <c r="A380" s="351">
        <v>93647</v>
      </c>
      <c r="B380" s="344" t="s">
        <v>1073</v>
      </c>
      <c r="C380" s="235" t="e">
        <f>VLOOKUP(A380,#REF!,10,FALSE)</f>
        <v>#REF!</v>
      </c>
      <c r="E380" s="2">
        <f>VLOOKUP($A380,'[2]App C Total'!$A$4:$I$917,5,FALSE)</f>
        <v>7413</v>
      </c>
      <c r="F380" s="2">
        <f>VLOOKUP($A380,'[2]App C Total'!$A$4:$I$917,6,FALSE)</f>
        <v>4712</v>
      </c>
      <c r="G380" s="2">
        <f>VLOOKUP($A380,'[2]App C Total'!$A$4:$I$917,7,FALSE)</f>
        <v>4062</v>
      </c>
      <c r="H380" s="2">
        <f>VLOOKUP($A380,'[2]App C Total'!$A$4:$I$917,8,FALSE)</f>
        <v>1692</v>
      </c>
      <c r="I380" s="2">
        <f>VLOOKUP($A380,'[2]App C Total'!$A$4:$I$917,9,FALSE)</f>
        <v>0</v>
      </c>
      <c r="J380" s="2"/>
      <c r="K380" s="2">
        <f>VLOOKUP($A380,'[2]App C Exp'!$A$4:$I$917,5,FALSE)</f>
        <v>779</v>
      </c>
      <c r="L380" s="2">
        <f>VLOOKUP($A380,'[2]App C Exp'!$A$4:$I$917,6,FALSE)</f>
        <v>733</v>
      </c>
      <c r="M380" s="2">
        <f>VLOOKUP($A380,'[2]App C Exp'!$A$4:$I$917,7,FALSE)</f>
        <v>657</v>
      </c>
      <c r="N380" s="2">
        <f>VLOOKUP($A380,'[2]App C Exp'!$A$4:$I$917,8,FALSE)</f>
        <v>263</v>
      </c>
      <c r="O380" s="2">
        <f>VLOOKUP($A380,'[2]App C Exp'!$A$4:$I$917,9,FALSE)</f>
        <v>0</v>
      </c>
      <c r="P380" s="2"/>
      <c r="Q380" s="2">
        <f>VLOOKUP($A380,'[2]App C Inv'!$A$4:$I$917,5,FALSE)</f>
        <v>827</v>
      </c>
      <c r="R380" s="2">
        <f>VLOOKUP($A380,'[2]App C Inv'!$A$4:$I$917,6,FALSE)</f>
        <v>-711</v>
      </c>
      <c r="S380" s="2">
        <f>VLOOKUP($A380,'[2]App C Inv'!$A$4:$I$917,7,FALSE)</f>
        <v>100</v>
      </c>
      <c r="T380" s="2">
        <f>VLOOKUP($A380,'[2]App C Inv'!$A$4:$I$917,8,FALSE)</f>
        <v>130</v>
      </c>
      <c r="U380" s="2">
        <f>VLOOKUP($A380,'[2]App C Inv'!$A$4:$I$917,9,FALSE)</f>
        <v>0</v>
      </c>
      <c r="V380" s="2"/>
      <c r="W380" s="2">
        <f>VLOOKUP($A380,'[2]App C Assum'!$A$4:$I$917,5,FALSE)</f>
        <v>932</v>
      </c>
      <c r="X380" s="2">
        <f>VLOOKUP($A380,'[2]App C Assum'!$A$4:$I$917,6,FALSE)</f>
        <v>763</v>
      </c>
      <c r="Y380" s="2">
        <f>VLOOKUP($A380,'[2]App C Assum'!$A$4:$I$917,7,FALSE)</f>
        <v>620</v>
      </c>
      <c r="Z380" s="2">
        <f>VLOOKUP($A380,'[2]App C Assum'!$A$4:$I$917,8,FALSE)</f>
        <v>0</v>
      </c>
      <c r="AA380" s="2">
        <f>VLOOKUP($A380,'[2]App C Assum'!$A$4:$I$917,9,FALSE)</f>
        <v>0</v>
      </c>
      <c r="AB380" s="2"/>
      <c r="AC380" s="2">
        <f>VLOOKUP($A380,'[2]App C Share Outflows'!$A$4:$I$917,5,FALSE)</f>
        <v>4875</v>
      </c>
      <c r="AD380" s="2">
        <f>VLOOKUP($A380,'[2]App C Share Outflows'!$A$4:$I$917,6,FALSE)</f>
        <v>3927</v>
      </c>
      <c r="AE380" s="2">
        <f>VLOOKUP($A380,'[2]App C Share Outflows'!$A$4:$I$917,7,FALSE)</f>
        <v>2685</v>
      </c>
      <c r="AF380" s="2">
        <f>VLOOKUP($A380,'[2]App C Share Outflows'!$A$4:$I$917,8,FALSE)</f>
        <v>1299</v>
      </c>
      <c r="AG380" s="2">
        <f>VLOOKUP($A380,'[2]App C Share Outflows'!$A$4:$I$917,9,FALSE)</f>
        <v>0</v>
      </c>
      <c r="AH380" s="2"/>
      <c r="AI380" s="2">
        <f>VLOOKUP($A380,'[2]App C Share Inflows'!$A$4:$I$917,5,FALSE)</f>
        <v>0</v>
      </c>
      <c r="AJ380" s="2">
        <f>VLOOKUP($A380,'[2]App C Share Inflows'!$A$4:$I$917,6,FALSE)</f>
        <v>0</v>
      </c>
      <c r="AK380" s="2">
        <f>VLOOKUP($A380,'[2]App C Share Inflows'!$A$4:$I$917,7,FALSE)</f>
        <v>0</v>
      </c>
      <c r="AL380" s="2">
        <f>VLOOKUP($A380,'[2]App C Share Inflows'!$A$4:$I$917,8,FALSE)</f>
        <v>0</v>
      </c>
      <c r="AM380" s="2">
        <f>VLOOKUP($A380,'[2]App C Share Inflows'!$A$4:$I$917,6,FALSE)</f>
        <v>0</v>
      </c>
    </row>
    <row r="381" spans="1:39">
      <c r="A381" s="351">
        <v>93651</v>
      </c>
      <c r="B381" s="344" t="s">
        <v>1074</v>
      </c>
      <c r="C381" s="235" t="e">
        <f>VLOOKUP(A381,#REF!,10,FALSE)</f>
        <v>#REF!</v>
      </c>
      <c r="E381" s="2">
        <f>VLOOKUP($A381,'[2]App C Total'!$A$4:$I$917,5,FALSE)</f>
        <v>203330</v>
      </c>
      <c r="F381" s="2">
        <f>VLOOKUP($A381,'[2]App C Total'!$A$4:$I$917,6,FALSE)</f>
        <v>58039</v>
      </c>
      <c r="G381" s="2">
        <f>VLOOKUP($A381,'[2]App C Total'!$A$4:$I$917,7,FALSE)</f>
        <v>109276</v>
      </c>
      <c r="H381" s="2">
        <f>VLOOKUP($A381,'[2]App C Total'!$A$4:$I$917,8,FALSE)</f>
        <v>27524</v>
      </c>
      <c r="I381" s="2">
        <f>VLOOKUP($A381,'[2]App C Total'!$A$4:$I$917,9,FALSE)</f>
        <v>0</v>
      </c>
      <c r="J381" s="2"/>
      <c r="K381" s="2">
        <f>VLOOKUP($A381,'[2]App C Exp'!$A$4:$I$917,5,FALSE)</f>
        <v>65600</v>
      </c>
      <c r="L381" s="2">
        <f>VLOOKUP($A381,'[2]App C Exp'!$A$4:$I$917,6,FALSE)</f>
        <v>61709</v>
      </c>
      <c r="M381" s="2">
        <f>VLOOKUP($A381,'[2]App C Exp'!$A$4:$I$917,7,FALSE)</f>
        <v>55309</v>
      </c>
      <c r="N381" s="2">
        <f>VLOOKUP($A381,'[2]App C Exp'!$A$4:$I$917,8,FALSE)</f>
        <v>22145</v>
      </c>
      <c r="O381" s="2">
        <f>VLOOKUP($A381,'[2]App C Exp'!$A$4:$I$917,9,FALSE)</f>
        <v>0</v>
      </c>
      <c r="P381" s="2"/>
      <c r="Q381" s="2">
        <f>VLOOKUP($A381,'[2]App C Inv'!$A$4:$I$917,5,FALSE)</f>
        <v>69644</v>
      </c>
      <c r="R381" s="2">
        <f>VLOOKUP($A381,'[2]App C Inv'!$A$4:$I$917,6,FALSE)</f>
        <v>-59907</v>
      </c>
      <c r="S381" s="2">
        <f>VLOOKUP($A381,'[2]App C Inv'!$A$4:$I$917,7,FALSE)</f>
        <v>8443</v>
      </c>
      <c r="T381" s="2">
        <f>VLOOKUP($A381,'[2]App C Inv'!$A$4:$I$917,8,FALSE)</f>
        <v>10989</v>
      </c>
      <c r="U381" s="2">
        <f>VLOOKUP($A381,'[2]App C Inv'!$A$4:$I$917,9,FALSE)</f>
        <v>0</v>
      </c>
      <c r="V381" s="2"/>
      <c r="W381" s="2">
        <f>VLOOKUP($A381,'[2]App C Assum'!$A$4:$I$917,5,FALSE)</f>
        <v>78455</v>
      </c>
      <c r="X381" s="2">
        <f>VLOOKUP($A381,'[2]App C Assum'!$A$4:$I$917,6,FALSE)</f>
        <v>64273</v>
      </c>
      <c r="Y381" s="2">
        <f>VLOOKUP($A381,'[2]App C Assum'!$A$4:$I$917,7,FALSE)</f>
        <v>52179</v>
      </c>
      <c r="Z381" s="2">
        <f>VLOOKUP($A381,'[2]App C Assum'!$A$4:$I$917,8,FALSE)</f>
        <v>0</v>
      </c>
      <c r="AA381" s="2">
        <f>VLOOKUP($A381,'[2]App C Assum'!$A$4:$I$917,9,FALSE)</f>
        <v>0</v>
      </c>
      <c r="AB381" s="2"/>
      <c r="AC381" s="2">
        <f>VLOOKUP($A381,'[2]App C Share Outflows'!$A$4:$I$917,5,FALSE)</f>
        <v>0</v>
      </c>
      <c r="AD381" s="2">
        <f>VLOOKUP($A381,'[2]App C Share Outflows'!$A$4:$I$917,6,FALSE)</f>
        <v>0</v>
      </c>
      <c r="AE381" s="2">
        <f>VLOOKUP($A381,'[2]App C Share Outflows'!$A$4:$I$917,7,FALSE)</f>
        <v>0</v>
      </c>
      <c r="AF381" s="2">
        <f>VLOOKUP($A381,'[2]App C Share Outflows'!$A$4:$I$917,8,FALSE)</f>
        <v>0</v>
      </c>
      <c r="AG381" s="2">
        <f>VLOOKUP($A381,'[2]App C Share Outflows'!$A$4:$I$917,9,FALSE)</f>
        <v>0</v>
      </c>
      <c r="AH381" s="2"/>
      <c r="AI381" s="2">
        <f>VLOOKUP($A381,'[2]App C Share Inflows'!$A$4:$I$917,5,FALSE)</f>
        <v>-10369</v>
      </c>
      <c r="AJ381" s="2">
        <f>VLOOKUP($A381,'[2]App C Share Inflows'!$A$4:$I$917,6,FALSE)</f>
        <v>-8036</v>
      </c>
      <c r="AK381" s="2">
        <f>VLOOKUP($A381,'[2]App C Share Inflows'!$A$4:$I$917,7,FALSE)</f>
        <v>-6655</v>
      </c>
      <c r="AL381" s="2">
        <f>VLOOKUP($A381,'[2]App C Share Inflows'!$A$4:$I$917,8,FALSE)</f>
        <v>-5610</v>
      </c>
      <c r="AM381" s="2">
        <f>VLOOKUP($A381,'[2]App C Share Inflows'!$A$4:$I$917,6,FALSE)</f>
        <v>-8036</v>
      </c>
    </row>
    <row r="382" spans="1:39">
      <c r="A382" s="351">
        <v>93661</v>
      </c>
      <c r="B382" s="344" t="s">
        <v>1075</v>
      </c>
      <c r="C382" s="235" t="e">
        <f>VLOOKUP(A382,#REF!,10,FALSE)</f>
        <v>#REF!</v>
      </c>
      <c r="E382" s="2">
        <f>VLOOKUP($A382,'[2]App C Total'!$A$4:$I$917,5,FALSE)</f>
        <v>64044</v>
      </c>
      <c r="F382" s="2">
        <f>VLOOKUP($A382,'[2]App C Total'!$A$4:$I$917,6,FALSE)</f>
        <v>19017</v>
      </c>
      <c r="G382" s="2">
        <f>VLOOKUP($A382,'[2]App C Total'!$A$4:$I$917,7,FALSE)</f>
        <v>32758</v>
      </c>
      <c r="H382" s="2">
        <f>VLOOKUP($A382,'[2]App C Total'!$A$4:$I$917,8,FALSE)</f>
        <v>7355</v>
      </c>
      <c r="I382" s="2">
        <f>VLOOKUP($A382,'[2]App C Total'!$A$4:$I$917,9,FALSE)</f>
        <v>0</v>
      </c>
      <c r="J382" s="2"/>
      <c r="K382" s="2">
        <f>VLOOKUP($A382,'[2]App C Exp'!$A$4:$I$917,5,FALSE)</f>
        <v>19250</v>
      </c>
      <c r="L382" s="2">
        <f>VLOOKUP($A382,'[2]App C Exp'!$A$4:$I$917,6,FALSE)</f>
        <v>18108</v>
      </c>
      <c r="M382" s="2">
        <f>VLOOKUP($A382,'[2]App C Exp'!$A$4:$I$917,7,FALSE)</f>
        <v>16230</v>
      </c>
      <c r="N382" s="2">
        <f>VLOOKUP($A382,'[2]App C Exp'!$A$4:$I$917,8,FALSE)</f>
        <v>6498</v>
      </c>
      <c r="O382" s="2">
        <f>VLOOKUP($A382,'[2]App C Exp'!$A$4:$I$917,9,FALSE)</f>
        <v>0</v>
      </c>
      <c r="P382" s="2"/>
      <c r="Q382" s="2">
        <f>VLOOKUP($A382,'[2]App C Inv'!$A$4:$I$917,5,FALSE)</f>
        <v>20437</v>
      </c>
      <c r="R382" s="2">
        <f>VLOOKUP($A382,'[2]App C Inv'!$A$4:$I$917,6,FALSE)</f>
        <v>-17579</v>
      </c>
      <c r="S382" s="2">
        <f>VLOOKUP($A382,'[2]App C Inv'!$A$4:$I$917,7,FALSE)</f>
        <v>2478</v>
      </c>
      <c r="T382" s="2">
        <f>VLOOKUP($A382,'[2]App C Inv'!$A$4:$I$917,8,FALSE)</f>
        <v>3225</v>
      </c>
      <c r="U382" s="2">
        <f>VLOOKUP($A382,'[2]App C Inv'!$A$4:$I$917,9,FALSE)</f>
        <v>0</v>
      </c>
      <c r="V382" s="2"/>
      <c r="W382" s="2">
        <f>VLOOKUP($A382,'[2]App C Assum'!$A$4:$I$917,5,FALSE)</f>
        <v>23022</v>
      </c>
      <c r="X382" s="2">
        <f>VLOOKUP($A382,'[2]App C Assum'!$A$4:$I$917,6,FALSE)</f>
        <v>18861</v>
      </c>
      <c r="Y382" s="2">
        <f>VLOOKUP($A382,'[2]App C Assum'!$A$4:$I$917,7,FALSE)</f>
        <v>15312</v>
      </c>
      <c r="Z382" s="2">
        <f>VLOOKUP($A382,'[2]App C Assum'!$A$4:$I$917,8,FALSE)</f>
        <v>0</v>
      </c>
      <c r="AA382" s="2">
        <f>VLOOKUP($A382,'[2]App C Assum'!$A$4:$I$917,9,FALSE)</f>
        <v>0</v>
      </c>
      <c r="AB382" s="2"/>
      <c r="AC382" s="2">
        <f>VLOOKUP($A382,'[2]App C Share Outflows'!$A$4:$I$917,5,FALSE)</f>
        <v>3703</v>
      </c>
      <c r="AD382" s="2">
        <f>VLOOKUP($A382,'[2]App C Share Outflows'!$A$4:$I$917,6,FALSE)</f>
        <v>1995</v>
      </c>
      <c r="AE382" s="2">
        <f>VLOOKUP($A382,'[2]App C Share Outflows'!$A$4:$I$917,7,FALSE)</f>
        <v>1106</v>
      </c>
      <c r="AF382" s="2">
        <f>VLOOKUP($A382,'[2]App C Share Outflows'!$A$4:$I$917,8,FALSE)</f>
        <v>0</v>
      </c>
      <c r="AG382" s="2">
        <f>VLOOKUP($A382,'[2]App C Share Outflows'!$A$4:$I$917,9,FALSE)</f>
        <v>0</v>
      </c>
      <c r="AH382" s="2"/>
      <c r="AI382" s="2">
        <f>VLOOKUP($A382,'[2]App C Share Inflows'!$A$4:$I$917,5,FALSE)</f>
        <v>-2368</v>
      </c>
      <c r="AJ382" s="2">
        <f>VLOOKUP($A382,'[2]App C Share Inflows'!$A$4:$I$917,6,FALSE)</f>
        <v>-2368</v>
      </c>
      <c r="AK382" s="2">
        <f>VLOOKUP($A382,'[2]App C Share Inflows'!$A$4:$I$917,7,FALSE)</f>
        <v>-2368</v>
      </c>
      <c r="AL382" s="2">
        <f>VLOOKUP($A382,'[2]App C Share Inflows'!$A$4:$I$917,8,FALSE)</f>
        <v>-2368</v>
      </c>
      <c r="AM382" s="2">
        <f>VLOOKUP($A382,'[2]App C Share Inflows'!$A$4:$I$917,6,FALSE)</f>
        <v>-2368</v>
      </c>
    </row>
    <row r="383" spans="1:39">
      <c r="A383" s="351">
        <v>93671</v>
      </c>
      <c r="B383" s="344" t="s">
        <v>1076</v>
      </c>
      <c r="C383" s="235" t="e">
        <f>VLOOKUP(A383,#REF!,10,FALSE)</f>
        <v>#REF!</v>
      </c>
      <c r="E383" s="2">
        <f>VLOOKUP($A383,'[2]App C Total'!$A$4:$I$917,5,FALSE)</f>
        <v>175706</v>
      </c>
      <c r="F383" s="2">
        <f>VLOOKUP($A383,'[2]App C Total'!$A$4:$I$917,6,FALSE)</f>
        <v>58665</v>
      </c>
      <c r="G383" s="2">
        <f>VLOOKUP($A383,'[2]App C Total'!$A$4:$I$917,7,FALSE)</f>
        <v>98713</v>
      </c>
      <c r="H383" s="2">
        <f>VLOOKUP($A383,'[2]App C Total'!$A$4:$I$917,8,FALSE)</f>
        <v>31324</v>
      </c>
      <c r="I383" s="2">
        <f>VLOOKUP($A383,'[2]App C Total'!$A$4:$I$917,9,FALSE)</f>
        <v>0</v>
      </c>
      <c r="J383" s="2"/>
      <c r="K383" s="2">
        <f>VLOOKUP($A383,'[2]App C Exp'!$A$4:$I$917,5,FALSE)</f>
        <v>52193</v>
      </c>
      <c r="L383" s="2">
        <f>VLOOKUP($A383,'[2]App C Exp'!$A$4:$I$917,6,FALSE)</f>
        <v>49097</v>
      </c>
      <c r="M383" s="2">
        <f>VLOOKUP($A383,'[2]App C Exp'!$A$4:$I$917,7,FALSE)</f>
        <v>44005</v>
      </c>
      <c r="N383" s="2">
        <f>VLOOKUP($A383,'[2]App C Exp'!$A$4:$I$917,8,FALSE)</f>
        <v>17619</v>
      </c>
      <c r="O383" s="2">
        <f>VLOOKUP($A383,'[2]App C Exp'!$A$4:$I$917,9,FALSE)</f>
        <v>0</v>
      </c>
      <c r="P383" s="2"/>
      <c r="Q383" s="2">
        <f>VLOOKUP($A383,'[2]App C Inv'!$A$4:$I$917,5,FALSE)</f>
        <v>55410</v>
      </c>
      <c r="R383" s="2">
        <f>VLOOKUP($A383,'[2]App C Inv'!$A$4:$I$917,6,FALSE)</f>
        <v>-47663</v>
      </c>
      <c r="S383" s="2">
        <f>VLOOKUP($A383,'[2]App C Inv'!$A$4:$I$917,7,FALSE)</f>
        <v>6718</v>
      </c>
      <c r="T383" s="2">
        <f>VLOOKUP($A383,'[2]App C Inv'!$A$4:$I$917,8,FALSE)</f>
        <v>8743</v>
      </c>
      <c r="U383" s="2">
        <f>VLOOKUP($A383,'[2]App C Inv'!$A$4:$I$917,9,FALSE)</f>
        <v>0</v>
      </c>
      <c r="V383" s="2"/>
      <c r="W383" s="2">
        <f>VLOOKUP($A383,'[2]App C Assum'!$A$4:$I$917,5,FALSE)</f>
        <v>62420</v>
      </c>
      <c r="X383" s="2">
        <f>VLOOKUP($A383,'[2]App C Assum'!$A$4:$I$917,6,FALSE)</f>
        <v>51137</v>
      </c>
      <c r="Y383" s="2">
        <f>VLOOKUP($A383,'[2]App C Assum'!$A$4:$I$917,7,FALSE)</f>
        <v>41514</v>
      </c>
      <c r="Z383" s="2">
        <f>VLOOKUP($A383,'[2]App C Assum'!$A$4:$I$917,8,FALSE)</f>
        <v>0</v>
      </c>
      <c r="AA383" s="2">
        <f>VLOOKUP($A383,'[2]App C Assum'!$A$4:$I$917,9,FALSE)</f>
        <v>0</v>
      </c>
      <c r="AB383" s="2"/>
      <c r="AC383" s="2">
        <f>VLOOKUP($A383,'[2]App C Share Outflows'!$A$4:$I$917,5,FALSE)</f>
        <v>6477</v>
      </c>
      <c r="AD383" s="2">
        <f>VLOOKUP($A383,'[2]App C Share Outflows'!$A$4:$I$917,6,FALSE)</f>
        <v>6477</v>
      </c>
      <c r="AE383" s="2">
        <f>VLOOKUP($A383,'[2]App C Share Outflows'!$A$4:$I$917,7,FALSE)</f>
        <v>6476</v>
      </c>
      <c r="AF383" s="2">
        <f>VLOOKUP($A383,'[2]App C Share Outflows'!$A$4:$I$917,8,FALSE)</f>
        <v>4962</v>
      </c>
      <c r="AG383" s="2">
        <f>VLOOKUP($A383,'[2]App C Share Outflows'!$A$4:$I$917,9,FALSE)</f>
        <v>0</v>
      </c>
      <c r="AH383" s="2"/>
      <c r="AI383" s="2">
        <f>VLOOKUP($A383,'[2]App C Share Inflows'!$A$4:$I$917,5,FALSE)</f>
        <v>-794</v>
      </c>
      <c r="AJ383" s="2">
        <f>VLOOKUP($A383,'[2]App C Share Inflows'!$A$4:$I$917,6,FALSE)</f>
        <v>-383</v>
      </c>
      <c r="AK383" s="2">
        <f>VLOOKUP($A383,'[2]App C Share Inflows'!$A$4:$I$917,7,FALSE)</f>
        <v>0</v>
      </c>
      <c r="AL383" s="2">
        <f>VLOOKUP($A383,'[2]App C Share Inflows'!$A$4:$I$917,8,FALSE)</f>
        <v>0</v>
      </c>
      <c r="AM383" s="2">
        <f>VLOOKUP($A383,'[2]App C Share Inflows'!$A$4:$I$917,6,FALSE)</f>
        <v>-383</v>
      </c>
    </row>
    <row r="384" spans="1:39">
      <c r="A384" s="351">
        <v>93681</v>
      </c>
      <c r="B384" s="344" t="s">
        <v>1077</v>
      </c>
      <c r="C384" s="235" t="e">
        <f>VLOOKUP(A384,#REF!,10,FALSE)</f>
        <v>#REF!</v>
      </c>
      <c r="E384" s="2">
        <f>VLOOKUP($A384,'[2]App C Total'!$A$4:$I$917,5,FALSE)</f>
        <v>62124</v>
      </c>
      <c r="F384" s="2">
        <f>VLOOKUP($A384,'[2]App C Total'!$A$4:$I$917,6,FALSE)</f>
        <v>21127</v>
      </c>
      <c r="G384" s="2">
        <f>VLOOKUP($A384,'[2]App C Total'!$A$4:$I$917,7,FALSE)</f>
        <v>36106</v>
      </c>
      <c r="H384" s="2">
        <f>VLOOKUP($A384,'[2]App C Total'!$A$4:$I$917,8,FALSE)</f>
        <v>10208</v>
      </c>
      <c r="I384" s="2">
        <f>VLOOKUP($A384,'[2]App C Total'!$A$4:$I$917,9,FALSE)</f>
        <v>0</v>
      </c>
      <c r="J384" s="2"/>
      <c r="K384" s="2">
        <f>VLOOKUP($A384,'[2]App C Exp'!$A$4:$I$917,5,FALSE)</f>
        <v>19235</v>
      </c>
      <c r="L384" s="2">
        <f>VLOOKUP($A384,'[2]App C Exp'!$A$4:$I$917,6,FALSE)</f>
        <v>18094</v>
      </c>
      <c r="M384" s="2">
        <f>VLOOKUP($A384,'[2]App C Exp'!$A$4:$I$917,7,FALSE)</f>
        <v>16218</v>
      </c>
      <c r="N384" s="2">
        <f>VLOOKUP($A384,'[2]App C Exp'!$A$4:$I$917,8,FALSE)</f>
        <v>6493</v>
      </c>
      <c r="O384" s="2">
        <f>VLOOKUP($A384,'[2]App C Exp'!$A$4:$I$917,9,FALSE)</f>
        <v>0</v>
      </c>
      <c r="P384" s="2"/>
      <c r="Q384" s="2">
        <f>VLOOKUP($A384,'[2]App C Inv'!$A$4:$I$917,5,FALSE)</f>
        <v>20421</v>
      </c>
      <c r="R384" s="2">
        <f>VLOOKUP($A384,'[2]App C Inv'!$A$4:$I$917,6,FALSE)</f>
        <v>-17566</v>
      </c>
      <c r="S384" s="2">
        <f>VLOOKUP($A384,'[2]App C Inv'!$A$4:$I$917,7,FALSE)</f>
        <v>2476</v>
      </c>
      <c r="T384" s="2">
        <f>VLOOKUP($A384,'[2]App C Inv'!$A$4:$I$917,8,FALSE)</f>
        <v>3222</v>
      </c>
      <c r="U384" s="2">
        <f>VLOOKUP($A384,'[2]App C Inv'!$A$4:$I$917,9,FALSE)</f>
        <v>0</v>
      </c>
      <c r="V384" s="2"/>
      <c r="W384" s="2">
        <f>VLOOKUP($A384,'[2]App C Assum'!$A$4:$I$917,5,FALSE)</f>
        <v>23004</v>
      </c>
      <c r="X384" s="2">
        <f>VLOOKUP($A384,'[2]App C Assum'!$A$4:$I$917,6,FALSE)</f>
        <v>18846</v>
      </c>
      <c r="Y384" s="2">
        <f>VLOOKUP($A384,'[2]App C Assum'!$A$4:$I$917,7,FALSE)</f>
        <v>15300</v>
      </c>
      <c r="Z384" s="2">
        <f>VLOOKUP($A384,'[2]App C Assum'!$A$4:$I$917,8,FALSE)</f>
        <v>0</v>
      </c>
      <c r="AA384" s="2">
        <f>VLOOKUP($A384,'[2]App C Assum'!$A$4:$I$917,9,FALSE)</f>
        <v>0</v>
      </c>
      <c r="AB384" s="2"/>
      <c r="AC384" s="2">
        <f>VLOOKUP($A384,'[2]App C Share Outflows'!$A$4:$I$917,5,FALSE)</f>
        <v>2111</v>
      </c>
      <c r="AD384" s="2">
        <f>VLOOKUP($A384,'[2]App C Share Outflows'!$A$4:$I$917,6,FALSE)</f>
        <v>2111</v>
      </c>
      <c r="AE384" s="2">
        <f>VLOOKUP($A384,'[2]App C Share Outflows'!$A$4:$I$917,7,FALSE)</f>
        <v>2112</v>
      </c>
      <c r="AF384" s="2">
        <f>VLOOKUP($A384,'[2]App C Share Outflows'!$A$4:$I$917,8,FALSE)</f>
        <v>493</v>
      </c>
      <c r="AG384" s="2">
        <f>VLOOKUP($A384,'[2]App C Share Outflows'!$A$4:$I$917,9,FALSE)</f>
        <v>0</v>
      </c>
      <c r="AH384" s="2"/>
      <c r="AI384" s="2">
        <f>VLOOKUP($A384,'[2]App C Share Inflows'!$A$4:$I$917,5,FALSE)</f>
        <v>-2647</v>
      </c>
      <c r="AJ384" s="2">
        <f>VLOOKUP($A384,'[2]App C Share Inflows'!$A$4:$I$917,6,FALSE)</f>
        <v>-358</v>
      </c>
      <c r="AK384" s="2">
        <f>VLOOKUP($A384,'[2]App C Share Inflows'!$A$4:$I$917,7,FALSE)</f>
        <v>0</v>
      </c>
      <c r="AL384" s="2">
        <f>VLOOKUP($A384,'[2]App C Share Inflows'!$A$4:$I$917,8,FALSE)</f>
        <v>0</v>
      </c>
      <c r="AM384" s="2">
        <f>VLOOKUP($A384,'[2]App C Share Inflows'!$A$4:$I$917,6,FALSE)</f>
        <v>-358</v>
      </c>
    </row>
    <row r="385" spans="1:39">
      <c r="A385" s="351">
        <v>93691</v>
      </c>
      <c r="B385" s="344" t="s">
        <v>1078</v>
      </c>
      <c r="C385" s="235" t="e">
        <f>VLOOKUP(A385,#REF!,10,FALSE)</f>
        <v>#REF!</v>
      </c>
      <c r="E385" s="2">
        <f>VLOOKUP($A385,'[2]App C Total'!$A$4:$I$917,5,FALSE)</f>
        <v>502501</v>
      </c>
      <c r="F385" s="2">
        <f>VLOOKUP($A385,'[2]App C Total'!$A$4:$I$917,6,FALSE)</f>
        <v>145987</v>
      </c>
      <c r="G385" s="2">
        <f>VLOOKUP($A385,'[2]App C Total'!$A$4:$I$917,7,FALSE)</f>
        <v>283415</v>
      </c>
      <c r="H385" s="2">
        <f>VLOOKUP($A385,'[2]App C Total'!$A$4:$I$917,8,FALSE)</f>
        <v>88050</v>
      </c>
      <c r="I385" s="2">
        <f>VLOOKUP($A385,'[2]App C Total'!$A$4:$I$917,9,FALSE)</f>
        <v>0</v>
      </c>
      <c r="J385" s="2"/>
      <c r="K385" s="2">
        <f>VLOOKUP($A385,'[2]App C Exp'!$A$4:$I$917,5,FALSE)</f>
        <v>163140</v>
      </c>
      <c r="L385" s="2">
        <f>VLOOKUP($A385,'[2]App C Exp'!$A$4:$I$917,6,FALSE)</f>
        <v>153462</v>
      </c>
      <c r="M385" s="2">
        <f>VLOOKUP($A385,'[2]App C Exp'!$A$4:$I$917,7,FALSE)</f>
        <v>137546</v>
      </c>
      <c r="N385" s="2">
        <f>VLOOKUP($A385,'[2]App C Exp'!$A$4:$I$917,8,FALSE)</f>
        <v>55072</v>
      </c>
      <c r="O385" s="2">
        <f>VLOOKUP($A385,'[2]App C Exp'!$A$4:$I$917,9,FALSE)</f>
        <v>0</v>
      </c>
      <c r="P385" s="2"/>
      <c r="Q385" s="2">
        <f>VLOOKUP($A385,'[2]App C Inv'!$A$4:$I$917,5,FALSE)</f>
        <v>173196</v>
      </c>
      <c r="R385" s="2">
        <f>VLOOKUP($A385,'[2]App C Inv'!$A$4:$I$917,6,FALSE)</f>
        <v>-148981</v>
      </c>
      <c r="S385" s="2">
        <f>VLOOKUP($A385,'[2]App C Inv'!$A$4:$I$917,7,FALSE)</f>
        <v>20997</v>
      </c>
      <c r="T385" s="2">
        <f>VLOOKUP($A385,'[2]App C Inv'!$A$4:$I$917,8,FALSE)</f>
        <v>27327</v>
      </c>
      <c r="U385" s="2">
        <f>VLOOKUP($A385,'[2]App C Inv'!$A$4:$I$917,9,FALSE)</f>
        <v>0</v>
      </c>
      <c r="V385" s="2"/>
      <c r="W385" s="2">
        <f>VLOOKUP($A385,'[2]App C Assum'!$A$4:$I$917,5,FALSE)</f>
        <v>195107</v>
      </c>
      <c r="X385" s="2">
        <f>VLOOKUP($A385,'[2]App C Assum'!$A$4:$I$917,6,FALSE)</f>
        <v>159839</v>
      </c>
      <c r="Y385" s="2">
        <f>VLOOKUP($A385,'[2]App C Assum'!$A$4:$I$917,7,FALSE)</f>
        <v>129762</v>
      </c>
      <c r="Z385" s="2">
        <f>VLOOKUP($A385,'[2]App C Assum'!$A$4:$I$917,8,FALSE)</f>
        <v>0</v>
      </c>
      <c r="AA385" s="2">
        <f>VLOOKUP($A385,'[2]App C Assum'!$A$4:$I$917,9,FALSE)</f>
        <v>0</v>
      </c>
      <c r="AB385" s="2"/>
      <c r="AC385" s="2">
        <f>VLOOKUP($A385,'[2]App C Share Outflows'!$A$4:$I$917,5,FALSE)</f>
        <v>5653</v>
      </c>
      <c r="AD385" s="2">
        <f>VLOOKUP($A385,'[2]App C Share Outflows'!$A$4:$I$917,6,FALSE)</f>
        <v>5653</v>
      </c>
      <c r="AE385" s="2">
        <f>VLOOKUP($A385,'[2]App C Share Outflows'!$A$4:$I$917,7,FALSE)</f>
        <v>5653</v>
      </c>
      <c r="AF385" s="2">
        <f>VLOOKUP($A385,'[2]App C Share Outflows'!$A$4:$I$917,8,FALSE)</f>
        <v>5651</v>
      </c>
      <c r="AG385" s="2">
        <f>VLOOKUP($A385,'[2]App C Share Outflows'!$A$4:$I$917,9,FALSE)</f>
        <v>0</v>
      </c>
      <c r="AH385" s="2"/>
      <c r="AI385" s="2">
        <f>VLOOKUP($A385,'[2]App C Share Inflows'!$A$4:$I$917,5,FALSE)</f>
        <v>-34595</v>
      </c>
      <c r="AJ385" s="2">
        <f>VLOOKUP($A385,'[2]App C Share Inflows'!$A$4:$I$917,6,FALSE)</f>
        <v>-23986</v>
      </c>
      <c r="AK385" s="2">
        <f>VLOOKUP($A385,'[2]App C Share Inflows'!$A$4:$I$917,7,FALSE)</f>
        <v>-10543</v>
      </c>
      <c r="AL385" s="2">
        <f>VLOOKUP($A385,'[2]App C Share Inflows'!$A$4:$I$917,8,FALSE)</f>
        <v>0</v>
      </c>
      <c r="AM385" s="2">
        <f>VLOOKUP($A385,'[2]App C Share Inflows'!$A$4:$I$917,6,FALSE)</f>
        <v>-23986</v>
      </c>
    </row>
    <row r="386" spans="1:39">
      <c r="A386" s="351">
        <v>93701</v>
      </c>
      <c r="B386" s="344" t="s">
        <v>1079</v>
      </c>
      <c r="C386" s="235" t="e">
        <f>VLOOKUP(A386,#REF!,10,FALSE)</f>
        <v>#REF!</v>
      </c>
      <c r="E386" s="2">
        <f>VLOOKUP($A386,'[2]App C Total'!$A$4:$I$917,5,FALSE)</f>
        <v>200918</v>
      </c>
      <c r="F386" s="2">
        <f>VLOOKUP($A386,'[2]App C Total'!$A$4:$I$917,6,FALSE)</f>
        <v>56395</v>
      </c>
      <c r="G386" s="2">
        <f>VLOOKUP($A386,'[2]App C Total'!$A$4:$I$917,7,FALSE)</f>
        <v>108394</v>
      </c>
      <c r="H386" s="2">
        <f>VLOOKUP($A386,'[2]App C Total'!$A$4:$I$917,8,FALSE)</f>
        <v>26187</v>
      </c>
      <c r="I386" s="2">
        <f>VLOOKUP($A386,'[2]App C Total'!$A$4:$I$917,9,FALSE)</f>
        <v>0</v>
      </c>
      <c r="J386" s="2"/>
      <c r="K386" s="2">
        <f>VLOOKUP($A386,'[2]App C Exp'!$A$4:$I$917,5,FALSE)</f>
        <v>65316</v>
      </c>
      <c r="L386" s="2">
        <f>VLOOKUP($A386,'[2]App C Exp'!$A$4:$I$917,6,FALSE)</f>
        <v>61441</v>
      </c>
      <c r="M386" s="2">
        <f>VLOOKUP($A386,'[2]App C Exp'!$A$4:$I$917,7,FALSE)</f>
        <v>55069</v>
      </c>
      <c r="N386" s="2">
        <f>VLOOKUP($A386,'[2]App C Exp'!$A$4:$I$917,8,FALSE)</f>
        <v>22049</v>
      </c>
      <c r="O386" s="2">
        <f>VLOOKUP($A386,'[2]App C Exp'!$A$4:$I$917,9,FALSE)</f>
        <v>0</v>
      </c>
      <c r="P386" s="2"/>
      <c r="Q386" s="2">
        <f>VLOOKUP($A386,'[2]App C Inv'!$A$4:$I$917,5,FALSE)</f>
        <v>69342</v>
      </c>
      <c r="R386" s="2">
        <f>VLOOKUP($A386,'[2]App C Inv'!$A$4:$I$917,6,FALSE)</f>
        <v>-59647</v>
      </c>
      <c r="S386" s="2">
        <f>VLOOKUP($A386,'[2]App C Inv'!$A$4:$I$917,7,FALSE)</f>
        <v>8407</v>
      </c>
      <c r="T386" s="2">
        <f>VLOOKUP($A386,'[2]App C Inv'!$A$4:$I$917,8,FALSE)</f>
        <v>10941</v>
      </c>
      <c r="U386" s="2">
        <f>VLOOKUP($A386,'[2]App C Inv'!$A$4:$I$917,9,FALSE)</f>
        <v>0</v>
      </c>
      <c r="V386" s="2"/>
      <c r="W386" s="2">
        <f>VLOOKUP($A386,'[2]App C Assum'!$A$4:$I$917,5,FALSE)</f>
        <v>78115</v>
      </c>
      <c r="X386" s="2">
        <f>VLOOKUP($A386,'[2]App C Assum'!$A$4:$I$917,6,FALSE)</f>
        <v>63994</v>
      </c>
      <c r="Y386" s="2">
        <f>VLOOKUP($A386,'[2]App C Assum'!$A$4:$I$917,7,FALSE)</f>
        <v>51952</v>
      </c>
      <c r="Z386" s="2">
        <f>VLOOKUP($A386,'[2]App C Assum'!$A$4:$I$917,8,FALSE)</f>
        <v>0</v>
      </c>
      <c r="AA386" s="2">
        <f>VLOOKUP($A386,'[2]App C Assum'!$A$4:$I$917,9,FALSE)</f>
        <v>0</v>
      </c>
      <c r="AB386" s="2"/>
      <c r="AC386" s="2">
        <f>VLOOKUP($A386,'[2]App C Share Outflows'!$A$4:$I$917,5,FALSE)</f>
        <v>0</v>
      </c>
      <c r="AD386" s="2">
        <f>VLOOKUP($A386,'[2]App C Share Outflows'!$A$4:$I$917,6,FALSE)</f>
        <v>0</v>
      </c>
      <c r="AE386" s="2">
        <f>VLOOKUP($A386,'[2]App C Share Outflows'!$A$4:$I$917,7,FALSE)</f>
        <v>0</v>
      </c>
      <c r="AF386" s="2">
        <f>VLOOKUP($A386,'[2]App C Share Outflows'!$A$4:$I$917,8,FALSE)</f>
        <v>0</v>
      </c>
      <c r="AG386" s="2">
        <f>VLOOKUP($A386,'[2]App C Share Outflows'!$A$4:$I$917,9,FALSE)</f>
        <v>0</v>
      </c>
      <c r="AH386" s="2"/>
      <c r="AI386" s="2">
        <f>VLOOKUP($A386,'[2]App C Share Inflows'!$A$4:$I$917,5,FALSE)</f>
        <v>-11855</v>
      </c>
      <c r="AJ386" s="2">
        <f>VLOOKUP($A386,'[2]App C Share Inflows'!$A$4:$I$917,6,FALSE)</f>
        <v>-9393</v>
      </c>
      <c r="AK386" s="2">
        <f>VLOOKUP($A386,'[2]App C Share Inflows'!$A$4:$I$917,7,FALSE)</f>
        <v>-7034</v>
      </c>
      <c r="AL386" s="2">
        <f>VLOOKUP($A386,'[2]App C Share Inflows'!$A$4:$I$917,8,FALSE)</f>
        <v>-6803</v>
      </c>
      <c r="AM386" s="2">
        <f>VLOOKUP($A386,'[2]App C Share Inflows'!$A$4:$I$917,6,FALSE)</f>
        <v>-9393</v>
      </c>
    </row>
    <row r="387" spans="1:39">
      <c r="A387" s="351">
        <v>93704</v>
      </c>
      <c r="B387" s="344" t="s">
        <v>1080</v>
      </c>
      <c r="C387" s="235" t="e">
        <f>VLOOKUP(A387,#REF!,10,FALSE)</f>
        <v>#REF!</v>
      </c>
      <c r="E387" s="2">
        <f>VLOOKUP($A387,'[2]App C Total'!$A$4:$I$917,5,FALSE)</f>
        <v>1390</v>
      </c>
      <c r="F387" s="2">
        <f>VLOOKUP($A387,'[2]App C Total'!$A$4:$I$917,6,FALSE)</f>
        <v>567</v>
      </c>
      <c r="G387" s="2">
        <f>VLOOKUP($A387,'[2]App C Total'!$A$4:$I$917,7,FALSE)</f>
        <v>752</v>
      </c>
      <c r="H387" s="2">
        <f>VLOOKUP($A387,'[2]App C Total'!$A$4:$I$917,8,FALSE)</f>
        <v>246</v>
      </c>
      <c r="I387" s="2">
        <f>VLOOKUP($A387,'[2]App C Total'!$A$4:$I$917,9,FALSE)</f>
        <v>0</v>
      </c>
      <c r="J387" s="2"/>
      <c r="K387" s="2">
        <f>VLOOKUP($A387,'[2]App C Exp'!$A$4:$I$917,5,FALSE)</f>
        <v>330</v>
      </c>
      <c r="L387" s="2">
        <f>VLOOKUP($A387,'[2]App C Exp'!$A$4:$I$917,6,FALSE)</f>
        <v>310</v>
      </c>
      <c r="M387" s="2">
        <f>VLOOKUP($A387,'[2]App C Exp'!$A$4:$I$917,7,FALSE)</f>
        <v>278</v>
      </c>
      <c r="N387" s="2">
        <f>VLOOKUP($A387,'[2]App C Exp'!$A$4:$I$917,8,FALSE)</f>
        <v>111</v>
      </c>
      <c r="O387" s="2">
        <f>VLOOKUP($A387,'[2]App C Exp'!$A$4:$I$917,9,FALSE)</f>
        <v>0</v>
      </c>
      <c r="P387" s="2"/>
      <c r="Q387" s="2">
        <f>VLOOKUP($A387,'[2]App C Inv'!$A$4:$I$917,5,FALSE)</f>
        <v>350</v>
      </c>
      <c r="R387" s="2">
        <f>VLOOKUP($A387,'[2]App C Inv'!$A$4:$I$917,6,FALSE)</f>
        <v>-301</v>
      </c>
      <c r="S387" s="2">
        <f>VLOOKUP($A387,'[2]App C Inv'!$A$4:$I$917,7,FALSE)</f>
        <v>42</v>
      </c>
      <c r="T387" s="2">
        <f>VLOOKUP($A387,'[2]App C Inv'!$A$4:$I$917,8,FALSE)</f>
        <v>55</v>
      </c>
      <c r="U387" s="2">
        <f>VLOOKUP($A387,'[2]App C Inv'!$A$4:$I$917,9,FALSE)</f>
        <v>0</v>
      </c>
      <c r="V387" s="2"/>
      <c r="W387" s="2">
        <f>VLOOKUP($A387,'[2]App C Assum'!$A$4:$I$917,5,FALSE)</f>
        <v>394</v>
      </c>
      <c r="X387" s="2">
        <f>VLOOKUP($A387,'[2]App C Assum'!$A$4:$I$917,6,FALSE)</f>
        <v>323</v>
      </c>
      <c r="Y387" s="2">
        <f>VLOOKUP($A387,'[2]App C Assum'!$A$4:$I$917,7,FALSE)</f>
        <v>262</v>
      </c>
      <c r="Z387" s="2">
        <f>VLOOKUP($A387,'[2]App C Assum'!$A$4:$I$917,8,FALSE)</f>
        <v>0</v>
      </c>
      <c r="AA387" s="2">
        <f>VLOOKUP($A387,'[2]App C Assum'!$A$4:$I$917,9,FALSE)</f>
        <v>0</v>
      </c>
      <c r="AB387" s="2"/>
      <c r="AC387" s="2">
        <f>VLOOKUP($A387,'[2]App C Share Outflows'!$A$4:$I$917,5,FALSE)</f>
        <v>316</v>
      </c>
      <c r="AD387" s="2">
        <f>VLOOKUP($A387,'[2]App C Share Outflows'!$A$4:$I$917,6,FALSE)</f>
        <v>235</v>
      </c>
      <c r="AE387" s="2">
        <f>VLOOKUP($A387,'[2]App C Share Outflows'!$A$4:$I$917,7,FALSE)</f>
        <v>170</v>
      </c>
      <c r="AF387" s="2">
        <f>VLOOKUP($A387,'[2]App C Share Outflows'!$A$4:$I$917,8,FALSE)</f>
        <v>80</v>
      </c>
      <c r="AG387" s="2">
        <f>VLOOKUP($A387,'[2]App C Share Outflows'!$A$4:$I$917,9,FALSE)</f>
        <v>0</v>
      </c>
      <c r="AH387" s="2"/>
      <c r="AI387" s="2">
        <f>VLOOKUP($A387,'[2]App C Share Inflows'!$A$4:$I$917,5,FALSE)</f>
        <v>0</v>
      </c>
      <c r="AJ387" s="2">
        <f>VLOOKUP($A387,'[2]App C Share Inflows'!$A$4:$I$917,6,FALSE)</f>
        <v>0</v>
      </c>
      <c r="AK387" s="2">
        <f>VLOOKUP($A387,'[2]App C Share Inflows'!$A$4:$I$917,7,FALSE)</f>
        <v>0</v>
      </c>
      <c r="AL387" s="2">
        <f>VLOOKUP($A387,'[2]App C Share Inflows'!$A$4:$I$917,8,FALSE)</f>
        <v>0</v>
      </c>
      <c r="AM387" s="2">
        <f>VLOOKUP($A387,'[2]App C Share Inflows'!$A$4:$I$917,6,FALSE)</f>
        <v>0</v>
      </c>
    </row>
    <row r="388" spans="1:39">
      <c r="A388" s="351">
        <v>93801</v>
      </c>
      <c r="B388" s="344" t="s">
        <v>1081</v>
      </c>
      <c r="C388" s="235" t="e">
        <f>VLOOKUP(A388,#REF!,10,FALSE)</f>
        <v>#REF!</v>
      </c>
      <c r="E388" s="2">
        <f>VLOOKUP($A388,'[2]App C Total'!$A$4:$I$917,5,FALSE)</f>
        <v>209782</v>
      </c>
      <c r="F388" s="2">
        <f>VLOOKUP($A388,'[2]App C Total'!$A$4:$I$917,6,FALSE)</f>
        <v>39019</v>
      </c>
      <c r="G388" s="2">
        <f>VLOOKUP($A388,'[2]App C Total'!$A$4:$I$917,7,FALSE)</f>
        <v>100051</v>
      </c>
      <c r="H388" s="2">
        <f>VLOOKUP($A388,'[2]App C Total'!$A$4:$I$917,8,FALSE)</f>
        <v>30037</v>
      </c>
      <c r="I388" s="2">
        <f>VLOOKUP($A388,'[2]App C Total'!$A$4:$I$917,9,FALSE)</f>
        <v>0</v>
      </c>
      <c r="J388" s="2"/>
      <c r="K388" s="2">
        <f>VLOOKUP($A388,'[2]App C Exp'!$A$4:$I$917,5,FALSE)</f>
        <v>62784</v>
      </c>
      <c r="L388" s="2">
        <f>VLOOKUP($A388,'[2]App C Exp'!$A$4:$I$917,6,FALSE)</f>
        <v>59060</v>
      </c>
      <c r="M388" s="2">
        <f>VLOOKUP($A388,'[2]App C Exp'!$A$4:$I$917,7,FALSE)</f>
        <v>52934</v>
      </c>
      <c r="N388" s="2">
        <f>VLOOKUP($A388,'[2]App C Exp'!$A$4:$I$917,8,FALSE)</f>
        <v>21194</v>
      </c>
      <c r="O388" s="2">
        <f>VLOOKUP($A388,'[2]App C Exp'!$A$4:$I$917,9,FALSE)</f>
        <v>0</v>
      </c>
      <c r="P388" s="2"/>
      <c r="Q388" s="2">
        <f>VLOOKUP($A388,'[2]App C Inv'!$A$4:$I$917,5,FALSE)</f>
        <v>66654</v>
      </c>
      <c r="R388" s="2">
        <f>VLOOKUP($A388,'[2]App C Inv'!$A$4:$I$917,6,FALSE)</f>
        <v>-57335</v>
      </c>
      <c r="S388" s="2">
        <f>VLOOKUP($A388,'[2]App C Inv'!$A$4:$I$917,7,FALSE)</f>
        <v>8081</v>
      </c>
      <c r="T388" s="2">
        <f>VLOOKUP($A388,'[2]App C Inv'!$A$4:$I$917,8,FALSE)</f>
        <v>10517</v>
      </c>
      <c r="U388" s="2">
        <f>VLOOKUP($A388,'[2]App C Inv'!$A$4:$I$917,9,FALSE)</f>
        <v>0</v>
      </c>
      <c r="V388" s="2"/>
      <c r="W388" s="2">
        <f>VLOOKUP($A388,'[2]App C Assum'!$A$4:$I$917,5,FALSE)</f>
        <v>75087</v>
      </c>
      <c r="X388" s="2">
        <f>VLOOKUP($A388,'[2]App C Assum'!$A$4:$I$917,6,FALSE)</f>
        <v>61514</v>
      </c>
      <c r="Y388" s="2">
        <f>VLOOKUP($A388,'[2]App C Assum'!$A$4:$I$917,7,FALSE)</f>
        <v>49939</v>
      </c>
      <c r="Z388" s="2">
        <f>VLOOKUP($A388,'[2]App C Assum'!$A$4:$I$917,8,FALSE)</f>
        <v>0</v>
      </c>
      <c r="AA388" s="2">
        <f>VLOOKUP($A388,'[2]App C Assum'!$A$4:$I$917,9,FALSE)</f>
        <v>0</v>
      </c>
      <c r="AB388" s="2"/>
      <c r="AC388" s="2">
        <f>VLOOKUP($A388,'[2]App C Share Outflows'!$A$4:$I$917,5,FALSE)</f>
        <v>29475</v>
      </c>
      <c r="AD388" s="2">
        <f>VLOOKUP($A388,'[2]App C Share Outflows'!$A$4:$I$917,6,FALSE)</f>
        <v>0</v>
      </c>
      <c r="AE388" s="2">
        <f>VLOOKUP($A388,'[2]App C Share Outflows'!$A$4:$I$917,7,FALSE)</f>
        <v>0</v>
      </c>
      <c r="AF388" s="2">
        <f>VLOOKUP($A388,'[2]App C Share Outflows'!$A$4:$I$917,8,FALSE)</f>
        <v>0</v>
      </c>
      <c r="AG388" s="2">
        <f>VLOOKUP($A388,'[2]App C Share Outflows'!$A$4:$I$917,9,FALSE)</f>
        <v>0</v>
      </c>
      <c r="AH388" s="2"/>
      <c r="AI388" s="2">
        <f>VLOOKUP($A388,'[2]App C Share Inflows'!$A$4:$I$917,5,FALSE)</f>
        <v>-24218</v>
      </c>
      <c r="AJ388" s="2">
        <f>VLOOKUP($A388,'[2]App C Share Inflows'!$A$4:$I$917,6,FALSE)</f>
        <v>-24220</v>
      </c>
      <c r="AK388" s="2">
        <f>VLOOKUP($A388,'[2]App C Share Inflows'!$A$4:$I$917,7,FALSE)</f>
        <v>-10903</v>
      </c>
      <c r="AL388" s="2">
        <f>VLOOKUP($A388,'[2]App C Share Inflows'!$A$4:$I$917,8,FALSE)</f>
        <v>-1674</v>
      </c>
      <c r="AM388" s="2">
        <f>VLOOKUP($A388,'[2]App C Share Inflows'!$A$4:$I$917,6,FALSE)</f>
        <v>-24220</v>
      </c>
    </row>
    <row r="389" spans="1:39">
      <c r="A389" s="351">
        <v>93803</v>
      </c>
      <c r="B389" s="344" t="s">
        <v>3675</v>
      </c>
      <c r="C389" s="235" t="e">
        <f>VLOOKUP(A389,#REF!,10,FALSE)</f>
        <v>#REF!</v>
      </c>
      <c r="E389" s="2">
        <f>VLOOKUP($A389,'[2]App C Total'!$A$4:$I$917,5,FALSE)</f>
        <v>28859</v>
      </c>
      <c r="F389" s="2">
        <f>VLOOKUP($A389,'[2]App C Total'!$A$4:$I$917,6,FALSE)</f>
        <v>1600</v>
      </c>
      <c r="G389" s="2">
        <f>VLOOKUP($A389,'[2]App C Total'!$A$4:$I$917,7,FALSE)</f>
        <v>17060</v>
      </c>
      <c r="H389" s="2">
        <f>VLOOKUP($A389,'[2]App C Total'!$A$4:$I$917,8,FALSE)</f>
        <v>2396</v>
      </c>
      <c r="I389" s="2">
        <f>VLOOKUP($A389,'[2]App C Total'!$A$4:$I$917,9,FALSE)</f>
        <v>0</v>
      </c>
      <c r="J389" s="2"/>
      <c r="K389" s="2">
        <f>VLOOKUP($A389,'[2]App C Exp'!$A$4:$I$917,5,FALSE)</f>
        <v>13602</v>
      </c>
      <c r="L389" s="2">
        <f>VLOOKUP($A389,'[2]App C Exp'!$A$4:$I$917,6,FALSE)</f>
        <v>12796</v>
      </c>
      <c r="M389" s="2">
        <f>VLOOKUP($A389,'[2]App C Exp'!$A$4:$I$917,7,FALSE)</f>
        <v>11468</v>
      </c>
      <c r="N389" s="2">
        <f>VLOOKUP($A389,'[2]App C Exp'!$A$4:$I$917,8,FALSE)</f>
        <v>4592</v>
      </c>
      <c r="O389" s="2">
        <f>VLOOKUP($A389,'[2]App C Exp'!$A$4:$I$917,9,FALSE)</f>
        <v>0</v>
      </c>
      <c r="P389" s="2"/>
      <c r="Q389" s="2">
        <f>VLOOKUP($A389,'[2]App C Inv'!$A$4:$I$917,5,FALSE)</f>
        <v>14441</v>
      </c>
      <c r="R389" s="2">
        <f>VLOOKUP($A389,'[2]App C Inv'!$A$4:$I$917,6,FALSE)</f>
        <v>-12422</v>
      </c>
      <c r="S389" s="2">
        <f>VLOOKUP($A389,'[2]App C Inv'!$A$4:$I$917,7,FALSE)</f>
        <v>1751</v>
      </c>
      <c r="T389" s="2">
        <f>VLOOKUP($A389,'[2]App C Inv'!$A$4:$I$917,8,FALSE)</f>
        <v>2279</v>
      </c>
      <c r="U389" s="2">
        <f>VLOOKUP($A389,'[2]App C Inv'!$A$4:$I$917,9,FALSE)</f>
        <v>0</v>
      </c>
      <c r="V389" s="2"/>
      <c r="W389" s="2">
        <f>VLOOKUP($A389,'[2]App C Assum'!$A$4:$I$917,5,FALSE)</f>
        <v>16268</v>
      </c>
      <c r="X389" s="2">
        <f>VLOOKUP($A389,'[2]App C Assum'!$A$4:$I$917,6,FALSE)</f>
        <v>13327</v>
      </c>
      <c r="Y389" s="2">
        <f>VLOOKUP($A389,'[2]App C Assum'!$A$4:$I$917,7,FALSE)</f>
        <v>10819</v>
      </c>
      <c r="Z389" s="2">
        <f>VLOOKUP($A389,'[2]App C Assum'!$A$4:$I$917,8,FALSE)</f>
        <v>0</v>
      </c>
      <c r="AA389" s="2">
        <f>VLOOKUP($A389,'[2]App C Assum'!$A$4:$I$917,9,FALSE)</f>
        <v>0</v>
      </c>
      <c r="AB389" s="2"/>
      <c r="AC389" s="2">
        <f>VLOOKUP($A389,'[2]App C Share Outflows'!$A$4:$I$917,5,FALSE)</f>
        <v>0</v>
      </c>
      <c r="AD389" s="2">
        <f>VLOOKUP($A389,'[2]App C Share Outflows'!$A$4:$I$917,6,FALSE)</f>
        <v>0</v>
      </c>
      <c r="AE389" s="2">
        <f>VLOOKUP($A389,'[2]App C Share Outflows'!$A$4:$I$917,7,FALSE)</f>
        <v>0</v>
      </c>
      <c r="AF389" s="2">
        <f>VLOOKUP($A389,'[2]App C Share Outflows'!$A$4:$I$917,8,FALSE)</f>
        <v>0</v>
      </c>
      <c r="AG389" s="2">
        <f>VLOOKUP($A389,'[2]App C Share Outflows'!$A$4:$I$917,9,FALSE)</f>
        <v>0</v>
      </c>
      <c r="AH389" s="2"/>
      <c r="AI389" s="2">
        <f>VLOOKUP($A389,'[2]App C Share Inflows'!$A$4:$I$917,5,FALSE)</f>
        <v>-15452</v>
      </c>
      <c r="AJ389" s="2">
        <f>VLOOKUP($A389,'[2]App C Share Inflows'!$A$4:$I$917,6,FALSE)</f>
        <v>-12101</v>
      </c>
      <c r="AK389" s="2">
        <f>VLOOKUP($A389,'[2]App C Share Inflows'!$A$4:$I$917,7,FALSE)</f>
        <v>-6978</v>
      </c>
      <c r="AL389" s="2">
        <f>VLOOKUP($A389,'[2]App C Share Inflows'!$A$4:$I$917,8,FALSE)</f>
        <v>-4475</v>
      </c>
      <c r="AM389" s="2">
        <f>VLOOKUP($A389,'[2]App C Share Inflows'!$A$4:$I$917,6,FALSE)</f>
        <v>-12101</v>
      </c>
    </row>
    <row r="390" spans="1:39">
      <c r="A390" s="351">
        <v>93806</v>
      </c>
      <c r="B390" s="344" t="s">
        <v>3676</v>
      </c>
      <c r="C390" s="235" t="e">
        <f>VLOOKUP(A390,#REF!,10,FALSE)</f>
        <v>#REF!</v>
      </c>
      <c r="E390" s="2">
        <f>VLOOKUP($A390,'[2]App C Total'!$A$4:$I$917,5,FALSE)</f>
        <v>40009</v>
      </c>
      <c r="F390" s="2">
        <f>VLOOKUP($A390,'[2]App C Total'!$A$4:$I$917,6,FALSE)</f>
        <v>13339</v>
      </c>
      <c r="G390" s="2">
        <f>VLOOKUP($A390,'[2]App C Total'!$A$4:$I$917,7,FALSE)</f>
        <v>19371</v>
      </c>
      <c r="H390" s="2">
        <f>VLOOKUP($A390,'[2]App C Total'!$A$4:$I$917,8,FALSE)</f>
        <v>6439</v>
      </c>
      <c r="I390" s="2">
        <f>VLOOKUP($A390,'[2]App C Total'!$A$4:$I$917,9,FALSE)</f>
        <v>0</v>
      </c>
      <c r="J390" s="2"/>
      <c r="K390" s="2">
        <f>VLOOKUP($A390,'[2]App C Exp'!$A$4:$I$917,5,FALSE)</f>
        <v>11925</v>
      </c>
      <c r="L390" s="2">
        <f>VLOOKUP($A390,'[2]App C Exp'!$A$4:$I$917,6,FALSE)</f>
        <v>11217</v>
      </c>
      <c r="M390" s="2">
        <f>VLOOKUP($A390,'[2]App C Exp'!$A$4:$I$917,7,FALSE)</f>
        <v>10054</v>
      </c>
      <c r="N390" s="2">
        <f>VLOOKUP($A390,'[2]App C Exp'!$A$4:$I$917,8,FALSE)</f>
        <v>4025</v>
      </c>
      <c r="O390" s="2">
        <f>VLOOKUP($A390,'[2]App C Exp'!$A$4:$I$917,9,FALSE)</f>
        <v>0</v>
      </c>
      <c r="P390" s="2"/>
      <c r="Q390" s="2">
        <f>VLOOKUP($A390,'[2]App C Inv'!$A$4:$I$917,5,FALSE)</f>
        <v>12660</v>
      </c>
      <c r="R390" s="2">
        <f>VLOOKUP($A390,'[2]App C Inv'!$A$4:$I$917,6,FALSE)</f>
        <v>-10890</v>
      </c>
      <c r="S390" s="2">
        <f>VLOOKUP($A390,'[2]App C Inv'!$A$4:$I$917,7,FALSE)</f>
        <v>1535</v>
      </c>
      <c r="T390" s="2">
        <f>VLOOKUP($A390,'[2]App C Inv'!$A$4:$I$917,8,FALSE)</f>
        <v>1997</v>
      </c>
      <c r="U390" s="2">
        <f>VLOOKUP($A390,'[2]App C Inv'!$A$4:$I$917,9,FALSE)</f>
        <v>0</v>
      </c>
      <c r="V390" s="2"/>
      <c r="W390" s="2">
        <f>VLOOKUP($A390,'[2]App C Assum'!$A$4:$I$917,5,FALSE)</f>
        <v>14261</v>
      </c>
      <c r="X390" s="2">
        <f>VLOOKUP($A390,'[2]App C Assum'!$A$4:$I$917,6,FALSE)</f>
        <v>11683</v>
      </c>
      <c r="Y390" s="2">
        <f>VLOOKUP($A390,'[2]App C Assum'!$A$4:$I$917,7,FALSE)</f>
        <v>9485</v>
      </c>
      <c r="Z390" s="2">
        <f>VLOOKUP($A390,'[2]App C Assum'!$A$4:$I$917,8,FALSE)</f>
        <v>0</v>
      </c>
      <c r="AA390" s="2">
        <f>VLOOKUP($A390,'[2]App C Assum'!$A$4:$I$917,9,FALSE)</f>
        <v>0</v>
      </c>
      <c r="AB390" s="2"/>
      <c r="AC390" s="2">
        <f>VLOOKUP($A390,'[2]App C Share Outflows'!$A$4:$I$917,5,FALSE)</f>
        <v>3447</v>
      </c>
      <c r="AD390" s="2">
        <f>VLOOKUP($A390,'[2]App C Share Outflows'!$A$4:$I$917,6,FALSE)</f>
        <v>3449</v>
      </c>
      <c r="AE390" s="2">
        <f>VLOOKUP($A390,'[2]App C Share Outflows'!$A$4:$I$917,7,FALSE)</f>
        <v>416</v>
      </c>
      <c r="AF390" s="2">
        <f>VLOOKUP($A390,'[2]App C Share Outflows'!$A$4:$I$917,8,FALSE)</f>
        <v>417</v>
      </c>
      <c r="AG390" s="2">
        <f>VLOOKUP($A390,'[2]App C Share Outflows'!$A$4:$I$917,9,FALSE)</f>
        <v>0</v>
      </c>
      <c r="AH390" s="2"/>
      <c r="AI390" s="2">
        <f>VLOOKUP($A390,'[2]App C Share Inflows'!$A$4:$I$917,5,FALSE)</f>
        <v>-2284</v>
      </c>
      <c r="AJ390" s="2">
        <f>VLOOKUP($A390,'[2]App C Share Inflows'!$A$4:$I$917,6,FALSE)</f>
        <v>-2120</v>
      </c>
      <c r="AK390" s="2">
        <f>VLOOKUP($A390,'[2]App C Share Inflows'!$A$4:$I$917,7,FALSE)</f>
        <v>-2119</v>
      </c>
      <c r="AL390" s="2">
        <f>VLOOKUP($A390,'[2]App C Share Inflows'!$A$4:$I$917,8,FALSE)</f>
        <v>0</v>
      </c>
      <c r="AM390" s="2">
        <f>VLOOKUP($A390,'[2]App C Share Inflows'!$A$4:$I$917,6,FALSE)</f>
        <v>-2120</v>
      </c>
    </row>
    <row r="391" spans="1:39">
      <c r="A391" s="351">
        <v>93821</v>
      </c>
      <c r="B391" s="344" t="s">
        <v>1084</v>
      </c>
      <c r="C391" s="235" t="e">
        <f>VLOOKUP(A391,#REF!,10,FALSE)</f>
        <v>#REF!</v>
      </c>
      <c r="E391" s="2">
        <f>VLOOKUP($A391,'[2]App C Total'!$A$4:$I$917,5,FALSE)</f>
        <v>50432</v>
      </c>
      <c r="F391" s="2">
        <f>VLOOKUP($A391,'[2]App C Total'!$A$4:$I$917,6,FALSE)</f>
        <v>22721</v>
      </c>
      <c r="G391" s="2">
        <f>VLOOKUP($A391,'[2]App C Total'!$A$4:$I$917,7,FALSE)</f>
        <v>30683</v>
      </c>
      <c r="H391" s="2">
        <f>VLOOKUP($A391,'[2]App C Total'!$A$4:$I$917,8,FALSE)</f>
        <v>7417</v>
      </c>
      <c r="I391" s="2">
        <f>VLOOKUP($A391,'[2]App C Total'!$A$4:$I$917,9,FALSE)</f>
        <v>0</v>
      </c>
      <c r="J391" s="2"/>
      <c r="K391" s="2">
        <f>VLOOKUP($A391,'[2]App C Exp'!$A$4:$I$917,5,FALSE)</f>
        <v>10367</v>
      </c>
      <c r="L391" s="2">
        <f>VLOOKUP($A391,'[2]App C Exp'!$A$4:$I$917,6,FALSE)</f>
        <v>9752</v>
      </c>
      <c r="M391" s="2">
        <f>VLOOKUP($A391,'[2]App C Exp'!$A$4:$I$917,7,FALSE)</f>
        <v>8740</v>
      </c>
      <c r="N391" s="2">
        <f>VLOOKUP($A391,'[2]App C Exp'!$A$4:$I$917,8,FALSE)</f>
        <v>3500</v>
      </c>
      <c r="O391" s="2">
        <f>VLOOKUP($A391,'[2]App C Exp'!$A$4:$I$917,9,FALSE)</f>
        <v>0</v>
      </c>
      <c r="P391" s="2"/>
      <c r="Q391" s="2">
        <f>VLOOKUP($A391,'[2]App C Inv'!$A$4:$I$917,5,FALSE)</f>
        <v>11006</v>
      </c>
      <c r="R391" s="2">
        <f>VLOOKUP($A391,'[2]App C Inv'!$A$4:$I$917,6,FALSE)</f>
        <v>-9467</v>
      </c>
      <c r="S391" s="2">
        <f>VLOOKUP($A391,'[2]App C Inv'!$A$4:$I$917,7,FALSE)</f>
        <v>1334</v>
      </c>
      <c r="T391" s="2">
        <f>VLOOKUP($A391,'[2]App C Inv'!$A$4:$I$917,8,FALSE)</f>
        <v>1737</v>
      </c>
      <c r="U391" s="2">
        <f>VLOOKUP($A391,'[2]App C Inv'!$A$4:$I$917,9,FALSE)</f>
        <v>0</v>
      </c>
      <c r="V391" s="2"/>
      <c r="W391" s="2">
        <f>VLOOKUP($A391,'[2]App C Assum'!$A$4:$I$917,5,FALSE)</f>
        <v>12398</v>
      </c>
      <c r="X391" s="2">
        <f>VLOOKUP($A391,'[2]App C Assum'!$A$4:$I$917,6,FALSE)</f>
        <v>10157</v>
      </c>
      <c r="Y391" s="2">
        <f>VLOOKUP($A391,'[2]App C Assum'!$A$4:$I$917,7,FALSE)</f>
        <v>8246</v>
      </c>
      <c r="Z391" s="2">
        <f>VLOOKUP($A391,'[2]App C Assum'!$A$4:$I$917,8,FALSE)</f>
        <v>0</v>
      </c>
      <c r="AA391" s="2">
        <f>VLOOKUP($A391,'[2]App C Assum'!$A$4:$I$917,9,FALSE)</f>
        <v>0</v>
      </c>
      <c r="AB391" s="2"/>
      <c r="AC391" s="2">
        <f>VLOOKUP($A391,'[2]App C Share Outflows'!$A$4:$I$917,5,FALSE)</f>
        <v>16747</v>
      </c>
      <c r="AD391" s="2">
        <f>VLOOKUP($A391,'[2]App C Share Outflows'!$A$4:$I$917,6,FALSE)</f>
        <v>12365</v>
      </c>
      <c r="AE391" s="2">
        <f>VLOOKUP($A391,'[2]App C Share Outflows'!$A$4:$I$917,7,FALSE)</f>
        <v>12363</v>
      </c>
      <c r="AF391" s="2">
        <f>VLOOKUP($A391,'[2]App C Share Outflows'!$A$4:$I$917,8,FALSE)</f>
        <v>2180</v>
      </c>
      <c r="AG391" s="2">
        <f>VLOOKUP($A391,'[2]App C Share Outflows'!$A$4:$I$917,9,FALSE)</f>
        <v>0</v>
      </c>
      <c r="AH391" s="2"/>
      <c r="AI391" s="2">
        <f>VLOOKUP($A391,'[2]App C Share Inflows'!$A$4:$I$917,5,FALSE)</f>
        <v>-86</v>
      </c>
      <c r="AJ391" s="2">
        <f>VLOOKUP($A391,'[2]App C Share Inflows'!$A$4:$I$917,6,FALSE)</f>
        <v>-86</v>
      </c>
      <c r="AK391" s="2">
        <f>VLOOKUP($A391,'[2]App C Share Inflows'!$A$4:$I$917,7,FALSE)</f>
        <v>0</v>
      </c>
      <c r="AL391" s="2">
        <f>VLOOKUP($A391,'[2]App C Share Inflows'!$A$4:$I$917,8,FALSE)</f>
        <v>0</v>
      </c>
      <c r="AM391" s="2">
        <f>VLOOKUP($A391,'[2]App C Share Inflows'!$A$4:$I$917,6,FALSE)</f>
        <v>-86</v>
      </c>
    </row>
    <row r="392" spans="1:39">
      <c r="A392" s="351">
        <v>93901</v>
      </c>
      <c r="B392" s="344" t="s">
        <v>1085</v>
      </c>
      <c r="C392" s="235" t="e">
        <f>VLOOKUP(A392,#REF!,10,FALSE)</f>
        <v>#REF!</v>
      </c>
      <c r="E392" s="2">
        <f>VLOOKUP($A392,'[2]App C Total'!$A$4:$I$917,5,FALSE)</f>
        <v>931763</v>
      </c>
      <c r="F392" s="2">
        <f>VLOOKUP($A392,'[2]App C Total'!$A$4:$I$917,6,FALSE)</f>
        <v>321180</v>
      </c>
      <c r="G392" s="2">
        <f>VLOOKUP($A392,'[2]App C Total'!$A$4:$I$917,7,FALSE)</f>
        <v>513827</v>
      </c>
      <c r="H392" s="2">
        <f>VLOOKUP($A392,'[2]App C Total'!$A$4:$I$917,8,FALSE)</f>
        <v>161772</v>
      </c>
      <c r="I392" s="2">
        <f>VLOOKUP($A392,'[2]App C Total'!$A$4:$I$917,9,FALSE)</f>
        <v>0</v>
      </c>
      <c r="J392" s="2"/>
      <c r="K392" s="2">
        <f>VLOOKUP($A392,'[2]App C Exp'!$A$4:$I$917,5,FALSE)</f>
        <v>267930</v>
      </c>
      <c r="L392" s="2">
        <f>VLOOKUP($A392,'[2]App C Exp'!$A$4:$I$917,6,FALSE)</f>
        <v>252035</v>
      </c>
      <c r="M392" s="2">
        <f>VLOOKUP($A392,'[2]App C Exp'!$A$4:$I$917,7,FALSE)</f>
        <v>225896</v>
      </c>
      <c r="N392" s="2">
        <f>VLOOKUP($A392,'[2]App C Exp'!$A$4:$I$917,8,FALSE)</f>
        <v>90446</v>
      </c>
      <c r="O392" s="2">
        <f>VLOOKUP($A392,'[2]App C Exp'!$A$4:$I$917,9,FALSE)</f>
        <v>0</v>
      </c>
      <c r="P392" s="2"/>
      <c r="Q392" s="2">
        <f>VLOOKUP($A392,'[2]App C Inv'!$A$4:$I$917,5,FALSE)</f>
        <v>284445</v>
      </c>
      <c r="R392" s="2">
        <f>VLOOKUP($A392,'[2]App C Inv'!$A$4:$I$917,6,FALSE)</f>
        <v>-244676</v>
      </c>
      <c r="S392" s="2">
        <f>VLOOKUP($A392,'[2]App C Inv'!$A$4:$I$917,7,FALSE)</f>
        <v>34484</v>
      </c>
      <c r="T392" s="2">
        <f>VLOOKUP($A392,'[2]App C Inv'!$A$4:$I$917,8,FALSE)</f>
        <v>44881</v>
      </c>
      <c r="U392" s="2">
        <f>VLOOKUP($A392,'[2]App C Inv'!$A$4:$I$917,9,FALSE)</f>
        <v>0</v>
      </c>
      <c r="V392" s="2"/>
      <c r="W392" s="2">
        <f>VLOOKUP($A392,'[2]App C Assum'!$A$4:$I$917,5,FALSE)</f>
        <v>320431</v>
      </c>
      <c r="X392" s="2">
        <f>VLOOKUP($A392,'[2]App C Assum'!$A$4:$I$917,6,FALSE)</f>
        <v>262509</v>
      </c>
      <c r="Y392" s="2">
        <f>VLOOKUP($A392,'[2]App C Assum'!$A$4:$I$917,7,FALSE)</f>
        <v>213112</v>
      </c>
      <c r="Z392" s="2">
        <f>VLOOKUP($A392,'[2]App C Assum'!$A$4:$I$917,8,FALSE)</f>
        <v>0</v>
      </c>
      <c r="AA392" s="2">
        <f>VLOOKUP($A392,'[2]App C Assum'!$A$4:$I$917,9,FALSE)</f>
        <v>0</v>
      </c>
      <c r="AB392" s="2"/>
      <c r="AC392" s="2">
        <f>VLOOKUP($A392,'[2]App C Share Outflows'!$A$4:$I$917,5,FALSE)</f>
        <v>58957</v>
      </c>
      <c r="AD392" s="2">
        <f>VLOOKUP($A392,'[2]App C Share Outflows'!$A$4:$I$917,6,FALSE)</f>
        <v>51312</v>
      </c>
      <c r="AE392" s="2">
        <f>VLOOKUP($A392,'[2]App C Share Outflows'!$A$4:$I$917,7,FALSE)</f>
        <v>40335</v>
      </c>
      <c r="AF392" s="2">
        <f>VLOOKUP($A392,'[2]App C Share Outflows'!$A$4:$I$917,8,FALSE)</f>
        <v>26445</v>
      </c>
      <c r="AG392" s="2">
        <f>VLOOKUP($A392,'[2]App C Share Outflows'!$A$4:$I$917,9,FALSE)</f>
        <v>0</v>
      </c>
      <c r="AH392" s="2"/>
      <c r="AI392" s="2">
        <f>VLOOKUP($A392,'[2]App C Share Inflows'!$A$4:$I$917,5,FALSE)</f>
        <v>0</v>
      </c>
      <c r="AJ392" s="2">
        <f>VLOOKUP($A392,'[2]App C Share Inflows'!$A$4:$I$917,6,FALSE)</f>
        <v>0</v>
      </c>
      <c r="AK392" s="2">
        <f>VLOOKUP($A392,'[2]App C Share Inflows'!$A$4:$I$917,7,FALSE)</f>
        <v>0</v>
      </c>
      <c r="AL392" s="2">
        <f>VLOOKUP($A392,'[2]App C Share Inflows'!$A$4:$I$917,8,FALSE)</f>
        <v>0</v>
      </c>
      <c r="AM392" s="2">
        <f>VLOOKUP($A392,'[2]App C Share Inflows'!$A$4:$I$917,6,FALSE)</f>
        <v>0</v>
      </c>
    </row>
    <row r="393" spans="1:39">
      <c r="A393" s="351">
        <v>93904</v>
      </c>
      <c r="B393" s="344" t="s">
        <v>3677</v>
      </c>
      <c r="C393" s="235" t="e">
        <f>VLOOKUP(A393,#REF!,10,FALSE)</f>
        <v>#REF!</v>
      </c>
      <c r="E393" s="2">
        <f>VLOOKUP($A393,'[2]App C Total'!$A$4:$I$917,5,FALSE)</f>
        <v>20033</v>
      </c>
      <c r="F393" s="2">
        <f>VLOOKUP($A393,'[2]App C Total'!$A$4:$I$917,6,FALSE)</f>
        <v>8932</v>
      </c>
      <c r="G393" s="2">
        <f>VLOOKUP($A393,'[2]App C Total'!$A$4:$I$917,7,FALSE)</f>
        <v>10959</v>
      </c>
      <c r="H393" s="2">
        <f>VLOOKUP($A393,'[2]App C Total'!$A$4:$I$917,8,FALSE)</f>
        <v>3501</v>
      </c>
      <c r="I393" s="2">
        <f>VLOOKUP($A393,'[2]App C Total'!$A$4:$I$917,9,FALSE)</f>
        <v>0</v>
      </c>
      <c r="J393" s="2"/>
      <c r="K393" s="2">
        <f>VLOOKUP($A393,'[2]App C Exp'!$A$4:$I$917,5,FALSE)</f>
        <v>4764</v>
      </c>
      <c r="L393" s="2">
        <f>VLOOKUP($A393,'[2]App C Exp'!$A$4:$I$917,6,FALSE)</f>
        <v>4481</v>
      </c>
      <c r="M393" s="2">
        <f>VLOOKUP($A393,'[2]App C Exp'!$A$4:$I$917,7,FALSE)</f>
        <v>4016</v>
      </c>
      <c r="N393" s="2">
        <f>VLOOKUP($A393,'[2]App C Exp'!$A$4:$I$917,8,FALSE)</f>
        <v>1608</v>
      </c>
      <c r="O393" s="2">
        <f>VLOOKUP($A393,'[2]App C Exp'!$A$4:$I$917,9,FALSE)</f>
        <v>0</v>
      </c>
      <c r="P393" s="2"/>
      <c r="Q393" s="2">
        <f>VLOOKUP($A393,'[2]App C Inv'!$A$4:$I$917,5,FALSE)</f>
        <v>5058</v>
      </c>
      <c r="R393" s="2">
        <f>VLOOKUP($A393,'[2]App C Inv'!$A$4:$I$917,6,FALSE)</f>
        <v>-4350</v>
      </c>
      <c r="S393" s="2">
        <f>VLOOKUP($A393,'[2]App C Inv'!$A$4:$I$917,7,FALSE)</f>
        <v>613</v>
      </c>
      <c r="T393" s="2">
        <f>VLOOKUP($A393,'[2]App C Inv'!$A$4:$I$917,8,FALSE)</f>
        <v>798</v>
      </c>
      <c r="U393" s="2">
        <f>VLOOKUP($A393,'[2]App C Inv'!$A$4:$I$917,9,FALSE)</f>
        <v>0</v>
      </c>
      <c r="V393" s="2"/>
      <c r="W393" s="2">
        <f>VLOOKUP($A393,'[2]App C Assum'!$A$4:$I$917,5,FALSE)</f>
        <v>5697</v>
      </c>
      <c r="X393" s="2">
        <f>VLOOKUP($A393,'[2]App C Assum'!$A$4:$I$917,6,FALSE)</f>
        <v>4667</v>
      </c>
      <c r="Y393" s="2">
        <f>VLOOKUP($A393,'[2]App C Assum'!$A$4:$I$917,7,FALSE)</f>
        <v>3789</v>
      </c>
      <c r="Z393" s="2">
        <f>VLOOKUP($A393,'[2]App C Assum'!$A$4:$I$917,8,FALSE)</f>
        <v>0</v>
      </c>
      <c r="AA393" s="2">
        <f>VLOOKUP($A393,'[2]App C Assum'!$A$4:$I$917,9,FALSE)</f>
        <v>0</v>
      </c>
      <c r="AB393" s="2"/>
      <c r="AC393" s="2">
        <f>VLOOKUP($A393,'[2]App C Share Outflows'!$A$4:$I$917,5,FALSE)</f>
        <v>4514</v>
      </c>
      <c r="AD393" s="2">
        <f>VLOOKUP($A393,'[2]App C Share Outflows'!$A$4:$I$917,6,FALSE)</f>
        <v>4134</v>
      </c>
      <c r="AE393" s="2">
        <f>VLOOKUP($A393,'[2]App C Share Outflows'!$A$4:$I$917,7,FALSE)</f>
        <v>2541</v>
      </c>
      <c r="AF393" s="2">
        <f>VLOOKUP($A393,'[2]App C Share Outflows'!$A$4:$I$917,8,FALSE)</f>
        <v>1095</v>
      </c>
      <c r="AG393" s="2">
        <f>VLOOKUP($A393,'[2]App C Share Outflows'!$A$4:$I$917,9,FALSE)</f>
        <v>0</v>
      </c>
      <c r="AH393" s="2"/>
      <c r="AI393" s="2">
        <f>VLOOKUP($A393,'[2]App C Share Inflows'!$A$4:$I$917,5,FALSE)</f>
        <v>0</v>
      </c>
      <c r="AJ393" s="2">
        <f>VLOOKUP($A393,'[2]App C Share Inflows'!$A$4:$I$917,6,FALSE)</f>
        <v>0</v>
      </c>
      <c r="AK393" s="2">
        <f>VLOOKUP($A393,'[2]App C Share Inflows'!$A$4:$I$917,7,FALSE)</f>
        <v>0</v>
      </c>
      <c r="AL393" s="2">
        <f>VLOOKUP($A393,'[2]App C Share Inflows'!$A$4:$I$917,8,FALSE)</f>
        <v>0</v>
      </c>
      <c r="AM393" s="2">
        <f>VLOOKUP($A393,'[2]App C Share Inflows'!$A$4:$I$917,6,FALSE)</f>
        <v>0</v>
      </c>
    </row>
    <row r="394" spans="1:39">
      <c r="A394" s="351">
        <v>93906</v>
      </c>
      <c r="B394" s="344" t="s">
        <v>1087</v>
      </c>
      <c r="C394" s="235" t="e">
        <f>VLOOKUP(A394,#REF!,10,FALSE)</f>
        <v>#REF!</v>
      </c>
      <c r="E394" s="2">
        <f>VLOOKUP($A394,'[2]App C Total'!$A$4:$I$917,5,FALSE)</f>
        <v>1430277</v>
      </c>
      <c r="F394" s="2">
        <f>VLOOKUP($A394,'[2]App C Total'!$A$4:$I$917,6,FALSE)</f>
        <v>385658</v>
      </c>
      <c r="G394" s="2">
        <f>VLOOKUP($A394,'[2]App C Total'!$A$4:$I$917,7,FALSE)</f>
        <v>766564</v>
      </c>
      <c r="H394" s="2">
        <f>VLOOKUP($A394,'[2]App C Total'!$A$4:$I$917,8,FALSE)</f>
        <v>217730</v>
      </c>
      <c r="I394" s="2">
        <f>VLOOKUP($A394,'[2]App C Total'!$A$4:$I$917,9,FALSE)</f>
        <v>0</v>
      </c>
      <c r="J394" s="2"/>
      <c r="K394" s="2">
        <f>VLOOKUP($A394,'[2]App C Exp'!$A$4:$I$917,5,FALSE)</f>
        <v>469016</v>
      </c>
      <c r="L394" s="2">
        <f>VLOOKUP($A394,'[2]App C Exp'!$A$4:$I$917,6,FALSE)</f>
        <v>441192</v>
      </c>
      <c r="M394" s="2">
        <f>VLOOKUP($A394,'[2]App C Exp'!$A$4:$I$917,7,FALSE)</f>
        <v>395436</v>
      </c>
      <c r="N394" s="2">
        <f>VLOOKUP($A394,'[2]App C Exp'!$A$4:$I$917,8,FALSE)</f>
        <v>158328</v>
      </c>
      <c r="O394" s="2">
        <f>VLOOKUP($A394,'[2]App C Exp'!$A$4:$I$917,9,FALSE)</f>
        <v>0</v>
      </c>
      <c r="P394" s="2"/>
      <c r="Q394" s="2">
        <f>VLOOKUP($A394,'[2]App C Inv'!$A$4:$I$917,5,FALSE)</f>
        <v>497926</v>
      </c>
      <c r="R394" s="2">
        <f>VLOOKUP($A394,'[2]App C Inv'!$A$4:$I$917,6,FALSE)</f>
        <v>-428309</v>
      </c>
      <c r="S394" s="2">
        <f>VLOOKUP($A394,'[2]App C Inv'!$A$4:$I$917,7,FALSE)</f>
        <v>60365</v>
      </c>
      <c r="T394" s="2">
        <f>VLOOKUP($A394,'[2]App C Inv'!$A$4:$I$917,8,FALSE)</f>
        <v>78564</v>
      </c>
      <c r="U394" s="2">
        <f>VLOOKUP($A394,'[2]App C Inv'!$A$4:$I$917,9,FALSE)</f>
        <v>0</v>
      </c>
      <c r="V394" s="2"/>
      <c r="W394" s="2">
        <f>VLOOKUP($A394,'[2]App C Assum'!$A$4:$I$917,5,FALSE)</f>
        <v>560920</v>
      </c>
      <c r="X394" s="2">
        <f>VLOOKUP($A394,'[2]App C Assum'!$A$4:$I$917,6,FALSE)</f>
        <v>459526</v>
      </c>
      <c r="Y394" s="2">
        <f>VLOOKUP($A394,'[2]App C Assum'!$A$4:$I$917,7,FALSE)</f>
        <v>373057</v>
      </c>
      <c r="Z394" s="2">
        <f>VLOOKUP($A394,'[2]App C Assum'!$A$4:$I$917,8,FALSE)</f>
        <v>0</v>
      </c>
      <c r="AA394" s="2">
        <f>VLOOKUP($A394,'[2]App C Assum'!$A$4:$I$917,9,FALSE)</f>
        <v>0</v>
      </c>
      <c r="AB394" s="2"/>
      <c r="AC394" s="2">
        <f>VLOOKUP($A394,'[2]App C Share Outflows'!$A$4:$I$917,5,FALSE)</f>
        <v>0</v>
      </c>
      <c r="AD394" s="2">
        <f>VLOOKUP($A394,'[2]App C Share Outflows'!$A$4:$I$917,6,FALSE)</f>
        <v>0</v>
      </c>
      <c r="AE394" s="2">
        <f>VLOOKUP($A394,'[2]App C Share Outflows'!$A$4:$I$917,7,FALSE)</f>
        <v>0</v>
      </c>
      <c r="AF394" s="2">
        <f>VLOOKUP($A394,'[2]App C Share Outflows'!$A$4:$I$917,8,FALSE)</f>
        <v>0</v>
      </c>
      <c r="AG394" s="2">
        <f>VLOOKUP($A394,'[2]App C Share Outflows'!$A$4:$I$917,9,FALSE)</f>
        <v>0</v>
      </c>
      <c r="AH394" s="2"/>
      <c r="AI394" s="2">
        <f>VLOOKUP($A394,'[2]App C Share Inflows'!$A$4:$I$917,5,FALSE)</f>
        <v>-97585</v>
      </c>
      <c r="AJ394" s="2">
        <f>VLOOKUP($A394,'[2]App C Share Inflows'!$A$4:$I$917,6,FALSE)</f>
        <v>-86751</v>
      </c>
      <c r="AK394" s="2">
        <f>VLOOKUP($A394,'[2]App C Share Inflows'!$A$4:$I$917,7,FALSE)</f>
        <v>-62294</v>
      </c>
      <c r="AL394" s="2">
        <f>VLOOKUP($A394,'[2]App C Share Inflows'!$A$4:$I$917,8,FALSE)</f>
        <v>-19162</v>
      </c>
      <c r="AM394" s="2">
        <f>VLOOKUP($A394,'[2]App C Share Inflows'!$A$4:$I$917,6,FALSE)</f>
        <v>-86751</v>
      </c>
    </row>
    <row r="395" spans="1:39">
      <c r="A395" s="351">
        <v>93908</v>
      </c>
      <c r="B395" s="344" t="s">
        <v>1088</v>
      </c>
      <c r="C395" s="235" t="e">
        <f>VLOOKUP(A395,#REF!,10,FALSE)</f>
        <v>#REF!</v>
      </c>
      <c r="E395" s="2">
        <f>VLOOKUP($A395,'[2]App C Total'!$A$4:$I$917,5,FALSE)</f>
        <v>242576</v>
      </c>
      <c r="F395" s="2">
        <f>VLOOKUP($A395,'[2]App C Total'!$A$4:$I$917,6,FALSE)</f>
        <v>76290</v>
      </c>
      <c r="G395" s="2">
        <f>VLOOKUP($A395,'[2]App C Total'!$A$4:$I$917,7,FALSE)</f>
        <v>130656</v>
      </c>
      <c r="H395" s="2">
        <f>VLOOKUP($A395,'[2]App C Total'!$A$4:$I$917,8,FALSE)</f>
        <v>41862</v>
      </c>
      <c r="I395" s="2">
        <f>VLOOKUP($A395,'[2]App C Total'!$A$4:$I$917,9,FALSE)</f>
        <v>0</v>
      </c>
      <c r="J395" s="2"/>
      <c r="K395" s="2">
        <f>VLOOKUP($A395,'[2]App C Exp'!$A$4:$I$917,5,FALSE)</f>
        <v>74214</v>
      </c>
      <c r="L395" s="2">
        <f>VLOOKUP($A395,'[2]App C Exp'!$A$4:$I$917,6,FALSE)</f>
        <v>69812</v>
      </c>
      <c r="M395" s="2">
        <f>VLOOKUP($A395,'[2]App C Exp'!$A$4:$I$917,7,FALSE)</f>
        <v>62571</v>
      </c>
      <c r="N395" s="2">
        <f>VLOOKUP($A395,'[2]App C Exp'!$A$4:$I$917,8,FALSE)</f>
        <v>25053</v>
      </c>
      <c r="O395" s="2">
        <f>VLOOKUP($A395,'[2]App C Exp'!$A$4:$I$917,9,FALSE)</f>
        <v>0</v>
      </c>
      <c r="P395" s="2"/>
      <c r="Q395" s="2">
        <f>VLOOKUP($A395,'[2]App C Inv'!$A$4:$I$917,5,FALSE)</f>
        <v>78789</v>
      </c>
      <c r="R395" s="2">
        <f>VLOOKUP($A395,'[2]App C Inv'!$A$4:$I$917,6,FALSE)</f>
        <v>-67773</v>
      </c>
      <c r="S395" s="2">
        <f>VLOOKUP($A395,'[2]App C Inv'!$A$4:$I$917,7,FALSE)</f>
        <v>9552</v>
      </c>
      <c r="T395" s="2">
        <f>VLOOKUP($A395,'[2]App C Inv'!$A$4:$I$917,8,FALSE)</f>
        <v>12432</v>
      </c>
      <c r="U395" s="2">
        <f>VLOOKUP($A395,'[2]App C Inv'!$A$4:$I$917,9,FALSE)</f>
        <v>0</v>
      </c>
      <c r="V395" s="2"/>
      <c r="W395" s="2">
        <f>VLOOKUP($A395,'[2]App C Assum'!$A$4:$I$917,5,FALSE)</f>
        <v>88757</v>
      </c>
      <c r="X395" s="2">
        <f>VLOOKUP($A395,'[2]App C Assum'!$A$4:$I$917,6,FALSE)</f>
        <v>72713</v>
      </c>
      <c r="Y395" s="2">
        <f>VLOOKUP($A395,'[2]App C Assum'!$A$4:$I$917,7,FALSE)</f>
        <v>59030</v>
      </c>
      <c r="Z395" s="2">
        <f>VLOOKUP($A395,'[2]App C Assum'!$A$4:$I$917,8,FALSE)</f>
        <v>0</v>
      </c>
      <c r="AA395" s="2">
        <f>VLOOKUP($A395,'[2]App C Assum'!$A$4:$I$917,9,FALSE)</f>
        <v>0</v>
      </c>
      <c r="AB395" s="2"/>
      <c r="AC395" s="2">
        <f>VLOOKUP($A395,'[2]App C Share Outflows'!$A$4:$I$917,5,FALSE)</f>
        <v>6412</v>
      </c>
      <c r="AD395" s="2">
        <f>VLOOKUP($A395,'[2]App C Share Outflows'!$A$4:$I$917,6,FALSE)</f>
        <v>6411</v>
      </c>
      <c r="AE395" s="2">
        <f>VLOOKUP($A395,'[2]App C Share Outflows'!$A$4:$I$917,7,FALSE)</f>
        <v>4375</v>
      </c>
      <c r="AF395" s="2">
        <f>VLOOKUP($A395,'[2]App C Share Outflows'!$A$4:$I$917,8,FALSE)</f>
        <v>4377</v>
      </c>
      <c r="AG395" s="2">
        <f>VLOOKUP($A395,'[2]App C Share Outflows'!$A$4:$I$917,9,FALSE)</f>
        <v>0</v>
      </c>
      <c r="AH395" s="2"/>
      <c r="AI395" s="2">
        <f>VLOOKUP($A395,'[2]App C Share Inflows'!$A$4:$I$917,5,FALSE)</f>
        <v>-5596</v>
      </c>
      <c r="AJ395" s="2">
        <f>VLOOKUP($A395,'[2]App C Share Inflows'!$A$4:$I$917,6,FALSE)</f>
        <v>-4873</v>
      </c>
      <c r="AK395" s="2">
        <f>VLOOKUP($A395,'[2]App C Share Inflows'!$A$4:$I$917,7,FALSE)</f>
        <v>-4872</v>
      </c>
      <c r="AL395" s="2">
        <f>VLOOKUP($A395,'[2]App C Share Inflows'!$A$4:$I$917,8,FALSE)</f>
        <v>0</v>
      </c>
      <c r="AM395" s="2">
        <f>VLOOKUP($A395,'[2]App C Share Inflows'!$A$4:$I$917,6,FALSE)</f>
        <v>-4873</v>
      </c>
    </row>
    <row r="396" spans="1:39">
      <c r="A396" s="351">
        <v>93910</v>
      </c>
      <c r="B396" s="344" t="s">
        <v>1089</v>
      </c>
      <c r="C396" s="235" t="e">
        <f>VLOOKUP(A396,#REF!,10,FALSE)</f>
        <v>#REF!</v>
      </c>
      <c r="E396" s="2">
        <f>VLOOKUP($A396,'[2]App C Total'!$A$4:$I$917,5,FALSE)</f>
        <v>96489</v>
      </c>
      <c r="F396" s="2">
        <f>VLOOKUP($A396,'[2]App C Total'!$A$4:$I$917,6,FALSE)</f>
        <v>21708</v>
      </c>
      <c r="G396" s="2">
        <f>VLOOKUP($A396,'[2]App C Total'!$A$4:$I$917,7,FALSE)</f>
        <v>51921</v>
      </c>
      <c r="H396" s="2">
        <f>VLOOKUP($A396,'[2]App C Total'!$A$4:$I$917,8,FALSE)</f>
        <v>12686</v>
      </c>
      <c r="I396" s="2">
        <f>VLOOKUP($A396,'[2]App C Total'!$A$4:$I$917,9,FALSE)</f>
        <v>0</v>
      </c>
      <c r="J396" s="2"/>
      <c r="K396" s="2">
        <f>VLOOKUP($A396,'[2]App C Exp'!$A$4:$I$917,5,FALSE)</f>
        <v>34231</v>
      </c>
      <c r="L396" s="2">
        <f>VLOOKUP($A396,'[2]App C Exp'!$A$4:$I$917,6,FALSE)</f>
        <v>32200</v>
      </c>
      <c r="M396" s="2">
        <f>VLOOKUP($A396,'[2]App C Exp'!$A$4:$I$917,7,FALSE)</f>
        <v>28861</v>
      </c>
      <c r="N396" s="2">
        <f>VLOOKUP($A396,'[2]App C Exp'!$A$4:$I$917,8,FALSE)</f>
        <v>11555</v>
      </c>
      <c r="O396" s="2">
        <f>VLOOKUP($A396,'[2]App C Exp'!$A$4:$I$917,9,FALSE)</f>
        <v>0</v>
      </c>
      <c r="P396" s="2"/>
      <c r="Q396" s="2">
        <f>VLOOKUP($A396,'[2]App C Inv'!$A$4:$I$917,5,FALSE)</f>
        <v>36341</v>
      </c>
      <c r="R396" s="2">
        <f>VLOOKUP($A396,'[2]App C Inv'!$A$4:$I$917,6,FALSE)</f>
        <v>-31260</v>
      </c>
      <c r="S396" s="2">
        <f>VLOOKUP($A396,'[2]App C Inv'!$A$4:$I$917,7,FALSE)</f>
        <v>4406</v>
      </c>
      <c r="T396" s="2">
        <f>VLOOKUP($A396,'[2]App C Inv'!$A$4:$I$917,8,FALSE)</f>
        <v>5734</v>
      </c>
      <c r="U396" s="2">
        <f>VLOOKUP($A396,'[2]App C Inv'!$A$4:$I$917,9,FALSE)</f>
        <v>0</v>
      </c>
      <c r="V396" s="2"/>
      <c r="W396" s="2">
        <f>VLOOKUP($A396,'[2]App C Assum'!$A$4:$I$917,5,FALSE)</f>
        <v>40939</v>
      </c>
      <c r="X396" s="2">
        <f>VLOOKUP($A396,'[2]App C Assum'!$A$4:$I$917,6,FALSE)</f>
        <v>33538</v>
      </c>
      <c r="Y396" s="2">
        <f>VLOOKUP($A396,'[2]App C Assum'!$A$4:$I$917,7,FALSE)</f>
        <v>27227</v>
      </c>
      <c r="Z396" s="2">
        <f>VLOOKUP($A396,'[2]App C Assum'!$A$4:$I$917,8,FALSE)</f>
        <v>0</v>
      </c>
      <c r="AA396" s="2">
        <f>VLOOKUP($A396,'[2]App C Assum'!$A$4:$I$917,9,FALSE)</f>
        <v>0</v>
      </c>
      <c r="AB396" s="2"/>
      <c r="AC396" s="2">
        <f>VLOOKUP($A396,'[2]App C Share Outflows'!$A$4:$I$917,5,FALSE)</f>
        <v>0</v>
      </c>
      <c r="AD396" s="2">
        <f>VLOOKUP($A396,'[2]App C Share Outflows'!$A$4:$I$917,6,FALSE)</f>
        <v>0</v>
      </c>
      <c r="AE396" s="2">
        <f>VLOOKUP($A396,'[2]App C Share Outflows'!$A$4:$I$917,7,FALSE)</f>
        <v>0</v>
      </c>
      <c r="AF396" s="2">
        <f>VLOOKUP($A396,'[2]App C Share Outflows'!$A$4:$I$917,8,FALSE)</f>
        <v>0</v>
      </c>
      <c r="AG396" s="2">
        <f>VLOOKUP($A396,'[2]App C Share Outflows'!$A$4:$I$917,9,FALSE)</f>
        <v>0</v>
      </c>
      <c r="AH396" s="2"/>
      <c r="AI396" s="2">
        <f>VLOOKUP($A396,'[2]App C Share Inflows'!$A$4:$I$917,5,FALSE)</f>
        <v>-15022</v>
      </c>
      <c r="AJ396" s="2">
        <f>VLOOKUP($A396,'[2]App C Share Inflows'!$A$4:$I$917,6,FALSE)</f>
        <v>-12770</v>
      </c>
      <c r="AK396" s="2">
        <f>VLOOKUP($A396,'[2]App C Share Inflows'!$A$4:$I$917,7,FALSE)</f>
        <v>-8573</v>
      </c>
      <c r="AL396" s="2">
        <f>VLOOKUP($A396,'[2]App C Share Inflows'!$A$4:$I$917,8,FALSE)</f>
        <v>-4603</v>
      </c>
      <c r="AM396" s="2">
        <f>VLOOKUP($A396,'[2]App C Share Inflows'!$A$4:$I$917,6,FALSE)</f>
        <v>-12770</v>
      </c>
    </row>
    <row r="397" spans="1:39">
      <c r="A397" s="351">
        <v>93911</v>
      </c>
      <c r="B397" s="344" t="s">
        <v>1090</v>
      </c>
      <c r="C397" s="235" t="e">
        <f>VLOOKUP(A397,#REF!,10,FALSE)</f>
        <v>#REF!</v>
      </c>
      <c r="E397" s="2">
        <f>VLOOKUP($A397,'[2]App C Total'!$A$4:$I$917,5,FALSE)</f>
        <v>302275</v>
      </c>
      <c r="F397" s="2">
        <f>VLOOKUP($A397,'[2]App C Total'!$A$4:$I$917,6,FALSE)</f>
        <v>91359</v>
      </c>
      <c r="G397" s="2">
        <f>VLOOKUP($A397,'[2]App C Total'!$A$4:$I$917,7,FALSE)</f>
        <v>173259</v>
      </c>
      <c r="H397" s="2">
        <f>VLOOKUP($A397,'[2]App C Total'!$A$4:$I$917,8,FALSE)</f>
        <v>48076</v>
      </c>
      <c r="I397" s="2">
        <f>VLOOKUP($A397,'[2]App C Total'!$A$4:$I$917,9,FALSE)</f>
        <v>0</v>
      </c>
      <c r="J397" s="2"/>
      <c r="K397" s="2">
        <f>VLOOKUP($A397,'[2]App C Exp'!$A$4:$I$917,5,FALSE)</f>
        <v>96356</v>
      </c>
      <c r="L397" s="2">
        <f>VLOOKUP($A397,'[2]App C Exp'!$A$4:$I$917,6,FALSE)</f>
        <v>90640</v>
      </c>
      <c r="M397" s="2">
        <f>VLOOKUP($A397,'[2]App C Exp'!$A$4:$I$917,7,FALSE)</f>
        <v>81239</v>
      </c>
      <c r="N397" s="2">
        <f>VLOOKUP($A397,'[2]App C Exp'!$A$4:$I$917,8,FALSE)</f>
        <v>32527</v>
      </c>
      <c r="O397" s="2">
        <f>VLOOKUP($A397,'[2]App C Exp'!$A$4:$I$917,9,FALSE)</f>
        <v>0</v>
      </c>
      <c r="P397" s="2"/>
      <c r="Q397" s="2">
        <f>VLOOKUP($A397,'[2]App C Inv'!$A$4:$I$917,5,FALSE)</f>
        <v>102295</v>
      </c>
      <c r="R397" s="2">
        <f>VLOOKUP($A397,'[2]App C Inv'!$A$4:$I$917,6,FALSE)</f>
        <v>-87993</v>
      </c>
      <c r="S397" s="2">
        <f>VLOOKUP($A397,'[2]App C Inv'!$A$4:$I$917,7,FALSE)</f>
        <v>12402</v>
      </c>
      <c r="T397" s="2">
        <f>VLOOKUP($A397,'[2]App C Inv'!$A$4:$I$917,8,FALSE)</f>
        <v>16140</v>
      </c>
      <c r="U397" s="2">
        <f>VLOOKUP($A397,'[2]App C Inv'!$A$4:$I$917,9,FALSE)</f>
        <v>0</v>
      </c>
      <c r="V397" s="2"/>
      <c r="W397" s="2">
        <f>VLOOKUP($A397,'[2]App C Assum'!$A$4:$I$917,5,FALSE)</f>
        <v>115237</v>
      </c>
      <c r="X397" s="2">
        <f>VLOOKUP($A397,'[2]App C Assum'!$A$4:$I$917,6,FALSE)</f>
        <v>94406</v>
      </c>
      <c r="Y397" s="2">
        <f>VLOOKUP($A397,'[2]App C Assum'!$A$4:$I$917,7,FALSE)</f>
        <v>76642</v>
      </c>
      <c r="Z397" s="2">
        <f>VLOOKUP($A397,'[2]App C Assum'!$A$4:$I$917,8,FALSE)</f>
        <v>0</v>
      </c>
      <c r="AA397" s="2">
        <f>VLOOKUP($A397,'[2]App C Assum'!$A$4:$I$917,9,FALSE)</f>
        <v>0</v>
      </c>
      <c r="AB397" s="2"/>
      <c r="AC397" s="2">
        <f>VLOOKUP($A397,'[2]App C Share Outflows'!$A$4:$I$917,5,FALSE)</f>
        <v>3567</v>
      </c>
      <c r="AD397" s="2">
        <f>VLOOKUP($A397,'[2]App C Share Outflows'!$A$4:$I$917,6,FALSE)</f>
        <v>3567</v>
      </c>
      <c r="AE397" s="2">
        <f>VLOOKUP($A397,'[2]App C Share Outflows'!$A$4:$I$917,7,FALSE)</f>
        <v>3569</v>
      </c>
      <c r="AF397" s="2">
        <f>VLOOKUP($A397,'[2]App C Share Outflows'!$A$4:$I$917,8,FALSE)</f>
        <v>0</v>
      </c>
      <c r="AG397" s="2">
        <f>VLOOKUP($A397,'[2]App C Share Outflows'!$A$4:$I$917,9,FALSE)</f>
        <v>0</v>
      </c>
      <c r="AH397" s="2"/>
      <c r="AI397" s="2">
        <f>VLOOKUP($A397,'[2]App C Share Inflows'!$A$4:$I$917,5,FALSE)</f>
        <v>-15180</v>
      </c>
      <c r="AJ397" s="2">
        <f>VLOOKUP($A397,'[2]App C Share Inflows'!$A$4:$I$917,6,FALSE)</f>
        <v>-9261</v>
      </c>
      <c r="AK397" s="2">
        <f>VLOOKUP($A397,'[2]App C Share Inflows'!$A$4:$I$917,7,FALSE)</f>
        <v>-593</v>
      </c>
      <c r="AL397" s="2">
        <f>VLOOKUP($A397,'[2]App C Share Inflows'!$A$4:$I$917,8,FALSE)</f>
        <v>-591</v>
      </c>
      <c r="AM397" s="2">
        <f>VLOOKUP($A397,'[2]App C Share Inflows'!$A$4:$I$917,6,FALSE)</f>
        <v>-9261</v>
      </c>
    </row>
    <row r="398" spans="1:39">
      <c r="A398" s="351">
        <v>93913</v>
      </c>
      <c r="B398" s="344" t="s">
        <v>1091</v>
      </c>
      <c r="C398" s="235" t="e">
        <f>VLOOKUP(A398,#REF!,10,FALSE)</f>
        <v>#REF!</v>
      </c>
      <c r="E398" s="2">
        <f>VLOOKUP($A398,'[2]App C Total'!$A$4:$I$917,5,FALSE)</f>
        <v>25317</v>
      </c>
      <c r="F398" s="2">
        <f>VLOOKUP($A398,'[2]App C Total'!$A$4:$I$917,6,FALSE)</f>
        <v>7658</v>
      </c>
      <c r="G398" s="2">
        <f>VLOOKUP($A398,'[2]App C Total'!$A$4:$I$917,7,FALSE)</f>
        <v>13379</v>
      </c>
      <c r="H398" s="2">
        <f>VLOOKUP($A398,'[2]App C Total'!$A$4:$I$917,8,FALSE)</f>
        <v>3233</v>
      </c>
      <c r="I398" s="2">
        <f>VLOOKUP($A398,'[2]App C Total'!$A$4:$I$917,9,FALSE)</f>
        <v>0</v>
      </c>
      <c r="J398" s="2"/>
      <c r="K398" s="2">
        <f>VLOOKUP($A398,'[2]App C Exp'!$A$4:$I$917,5,FALSE)</f>
        <v>7460</v>
      </c>
      <c r="L398" s="2">
        <f>VLOOKUP($A398,'[2]App C Exp'!$A$4:$I$917,6,FALSE)</f>
        <v>7018</v>
      </c>
      <c r="M398" s="2">
        <f>VLOOKUP($A398,'[2]App C Exp'!$A$4:$I$917,7,FALSE)</f>
        <v>6290</v>
      </c>
      <c r="N398" s="2">
        <f>VLOOKUP($A398,'[2]App C Exp'!$A$4:$I$917,8,FALSE)</f>
        <v>2518</v>
      </c>
      <c r="O398" s="2">
        <f>VLOOKUP($A398,'[2]App C Exp'!$A$4:$I$917,9,FALSE)</f>
        <v>0</v>
      </c>
      <c r="P398" s="2"/>
      <c r="Q398" s="2">
        <f>VLOOKUP($A398,'[2]App C Inv'!$A$4:$I$917,5,FALSE)</f>
        <v>7920</v>
      </c>
      <c r="R398" s="2">
        <f>VLOOKUP($A398,'[2]App C Inv'!$A$4:$I$917,6,FALSE)</f>
        <v>-6813</v>
      </c>
      <c r="S398" s="2">
        <f>VLOOKUP($A398,'[2]App C Inv'!$A$4:$I$917,7,FALSE)</f>
        <v>960</v>
      </c>
      <c r="T398" s="2">
        <f>VLOOKUP($A398,'[2]App C Inv'!$A$4:$I$917,8,FALSE)</f>
        <v>1250</v>
      </c>
      <c r="U398" s="2">
        <f>VLOOKUP($A398,'[2]App C Inv'!$A$4:$I$917,9,FALSE)</f>
        <v>0</v>
      </c>
      <c r="V398" s="2"/>
      <c r="W398" s="2">
        <f>VLOOKUP($A398,'[2]App C Assum'!$A$4:$I$917,5,FALSE)</f>
        <v>8922</v>
      </c>
      <c r="X398" s="2">
        <f>VLOOKUP($A398,'[2]App C Assum'!$A$4:$I$917,6,FALSE)</f>
        <v>7309</v>
      </c>
      <c r="Y398" s="2">
        <f>VLOOKUP($A398,'[2]App C Assum'!$A$4:$I$917,7,FALSE)</f>
        <v>5934</v>
      </c>
      <c r="Z398" s="2">
        <f>VLOOKUP($A398,'[2]App C Assum'!$A$4:$I$917,8,FALSE)</f>
        <v>0</v>
      </c>
      <c r="AA398" s="2">
        <f>VLOOKUP($A398,'[2]App C Assum'!$A$4:$I$917,9,FALSE)</f>
        <v>0</v>
      </c>
      <c r="AB398" s="2"/>
      <c r="AC398" s="2">
        <f>VLOOKUP($A398,'[2]App C Share Outflows'!$A$4:$I$917,5,FALSE)</f>
        <v>1603</v>
      </c>
      <c r="AD398" s="2">
        <f>VLOOKUP($A398,'[2]App C Share Outflows'!$A$4:$I$917,6,FALSE)</f>
        <v>731</v>
      </c>
      <c r="AE398" s="2">
        <f>VLOOKUP($A398,'[2]App C Share Outflows'!$A$4:$I$917,7,FALSE)</f>
        <v>729</v>
      </c>
      <c r="AF398" s="2">
        <f>VLOOKUP($A398,'[2]App C Share Outflows'!$A$4:$I$917,8,FALSE)</f>
        <v>0</v>
      </c>
      <c r="AG398" s="2">
        <f>VLOOKUP($A398,'[2]App C Share Outflows'!$A$4:$I$917,9,FALSE)</f>
        <v>0</v>
      </c>
      <c r="AH398" s="2"/>
      <c r="AI398" s="2">
        <f>VLOOKUP($A398,'[2]App C Share Inflows'!$A$4:$I$917,5,FALSE)</f>
        <v>-588</v>
      </c>
      <c r="AJ398" s="2">
        <f>VLOOKUP($A398,'[2]App C Share Inflows'!$A$4:$I$917,6,FALSE)</f>
        <v>-587</v>
      </c>
      <c r="AK398" s="2">
        <f>VLOOKUP($A398,'[2]App C Share Inflows'!$A$4:$I$917,7,FALSE)</f>
        <v>-534</v>
      </c>
      <c r="AL398" s="2">
        <f>VLOOKUP($A398,'[2]App C Share Inflows'!$A$4:$I$917,8,FALSE)</f>
        <v>-535</v>
      </c>
      <c r="AM398" s="2">
        <f>VLOOKUP($A398,'[2]App C Share Inflows'!$A$4:$I$917,6,FALSE)</f>
        <v>-587</v>
      </c>
    </row>
    <row r="399" spans="1:39">
      <c r="A399" s="351">
        <v>93914</v>
      </c>
      <c r="B399" s="344" t="s">
        <v>1092</v>
      </c>
      <c r="C399" s="235" t="e">
        <f>VLOOKUP(A399,#REF!,10,FALSE)</f>
        <v>#REF!</v>
      </c>
      <c r="E399" s="2">
        <f>VLOOKUP($A399,'[2]App C Total'!$A$4:$I$917,5,FALSE)</f>
        <v>4593</v>
      </c>
      <c r="F399" s="2">
        <f>VLOOKUP($A399,'[2]App C Total'!$A$4:$I$917,6,FALSE)</f>
        <v>2273</v>
      </c>
      <c r="G399" s="2">
        <f>VLOOKUP($A399,'[2]App C Total'!$A$4:$I$917,7,FALSE)</f>
        <v>2573</v>
      </c>
      <c r="H399" s="2">
        <f>VLOOKUP($A399,'[2]App C Total'!$A$4:$I$917,8,FALSE)</f>
        <v>931</v>
      </c>
      <c r="I399" s="2">
        <f>VLOOKUP($A399,'[2]App C Total'!$A$4:$I$917,9,FALSE)</f>
        <v>0</v>
      </c>
      <c r="J399" s="2"/>
      <c r="K399" s="2">
        <f>VLOOKUP($A399,'[2]App C Exp'!$A$4:$I$917,5,FALSE)</f>
        <v>914</v>
      </c>
      <c r="L399" s="2">
        <f>VLOOKUP($A399,'[2]App C Exp'!$A$4:$I$917,6,FALSE)</f>
        <v>860</v>
      </c>
      <c r="M399" s="2">
        <f>VLOOKUP($A399,'[2]App C Exp'!$A$4:$I$917,7,FALSE)</f>
        <v>770</v>
      </c>
      <c r="N399" s="2">
        <f>VLOOKUP($A399,'[2]App C Exp'!$A$4:$I$917,8,FALSE)</f>
        <v>308</v>
      </c>
      <c r="O399" s="2">
        <f>VLOOKUP($A399,'[2]App C Exp'!$A$4:$I$917,9,FALSE)</f>
        <v>0</v>
      </c>
      <c r="P399" s="2"/>
      <c r="Q399" s="2">
        <f>VLOOKUP($A399,'[2]App C Inv'!$A$4:$I$917,5,FALSE)</f>
        <v>970</v>
      </c>
      <c r="R399" s="2">
        <f>VLOOKUP($A399,'[2]App C Inv'!$A$4:$I$917,6,FALSE)</f>
        <v>-835</v>
      </c>
      <c r="S399" s="2">
        <f>VLOOKUP($A399,'[2]App C Inv'!$A$4:$I$917,7,FALSE)</f>
        <v>118</v>
      </c>
      <c r="T399" s="2">
        <f>VLOOKUP($A399,'[2]App C Inv'!$A$4:$I$917,8,FALSE)</f>
        <v>153</v>
      </c>
      <c r="U399" s="2">
        <f>VLOOKUP($A399,'[2]App C Inv'!$A$4:$I$917,9,FALSE)</f>
        <v>0</v>
      </c>
      <c r="V399" s="2"/>
      <c r="W399" s="2">
        <f>VLOOKUP($A399,'[2]App C Assum'!$A$4:$I$917,5,FALSE)</f>
        <v>1093</v>
      </c>
      <c r="X399" s="2">
        <f>VLOOKUP($A399,'[2]App C Assum'!$A$4:$I$917,6,FALSE)</f>
        <v>895</v>
      </c>
      <c r="Y399" s="2">
        <f>VLOOKUP($A399,'[2]App C Assum'!$A$4:$I$917,7,FALSE)</f>
        <v>727</v>
      </c>
      <c r="Z399" s="2">
        <f>VLOOKUP($A399,'[2]App C Assum'!$A$4:$I$917,8,FALSE)</f>
        <v>0</v>
      </c>
      <c r="AA399" s="2">
        <f>VLOOKUP($A399,'[2]App C Assum'!$A$4:$I$917,9,FALSE)</f>
        <v>0</v>
      </c>
      <c r="AB399" s="2"/>
      <c r="AC399" s="2">
        <f>VLOOKUP($A399,'[2]App C Share Outflows'!$A$4:$I$917,5,FALSE)</f>
        <v>1616</v>
      </c>
      <c r="AD399" s="2">
        <f>VLOOKUP($A399,'[2]App C Share Outflows'!$A$4:$I$917,6,FALSE)</f>
        <v>1353</v>
      </c>
      <c r="AE399" s="2">
        <f>VLOOKUP($A399,'[2]App C Share Outflows'!$A$4:$I$917,7,FALSE)</f>
        <v>958</v>
      </c>
      <c r="AF399" s="2">
        <f>VLOOKUP($A399,'[2]App C Share Outflows'!$A$4:$I$917,8,FALSE)</f>
        <v>470</v>
      </c>
      <c r="AG399" s="2">
        <f>VLOOKUP($A399,'[2]App C Share Outflows'!$A$4:$I$917,9,FALSE)</f>
        <v>0</v>
      </c>
      <c r="AH399" s="2"/>
      <c r="AI399" s="2">
        <f>VLOOKUP($A399,'[2]App C Share Inflows'!$A$4:$I$917,5,FALSE)</f>
        <v>0</v>
      </c>
      <c r="AJ399" s="2">
        <f>VLOOKUP($A399,'[2]App C Share Inflows'!$A$4:$I$917,6,FALSE)</f>
        <v>0</v>
      </c>
      <c r="AK399" s="2">
        <f>VLOOKUP($A399,'[2]App C Share Inflows'!$A$4:$I$917,7,FALSE)</f>
        <v>0</v>
      </c>
      <c r="AL399" s="2">
        <f>VLOOKUP($A399,'[2]App C Share Inflows'!$A$4:$I$917,8,FALSE)</f>
        <v>0</v>
      </c>
      <c r="AM399" s="2">
        <f>VLOOKUP($A399,'[2]App C Share Inflows'!$A$4:$I$917,6,FALSE)</f>
        <v>0</v>
      </c>
    </row>
    <row r="400" spans="1:39">
      <c r="A400" s="351">
        <v>93921</v>
      </c>
      <c r="B400" s="344" t="s">
        <v>1093</v>
      </c>
      <c r="C400" s="235" t="e">
        <f>VLOOKUP(A400,#REF!,10,FALSE)</f>
        <v>#REF!</v>
      </c>
      <c r="E400" s="2">
        <f>VLOOKUP($A400,'[2]App C Total'!$A$4:$I$917,5,FALSE)</f>
        <v>99498</v>
      </c>
      <c r="F400" s="2">
        <f>VLOOKUP($A400,'[2]App C Total'!$A$4:$I$917,6,FALSE)</f>
        <v>25125</v>
      </c>
      <c r="G400" s="2">
        <f>VLOOKUP($A400,'[2]App C Total'!$A$4:$I$917,7,FALSE)</f>
        <v>48870</v>
      </c>
      <c r="H400" s="2">
        <f>VLOOKUP($A400,'[2]App C Total'!$A$4:$I$917,8,FALSE)</f>
        <v>7818</v>
      </c>
      <c r="I400" s="2">
        <f>VLOOKUP($A400,'[2]App C Total'!$A$4:$I$917,9,FALSE)</f>
        <v>0</v>
      </c>
      <c r="J400" s="2"/>
      <c r="K400" s="2">
        <f>VLOOKUP($A400,'[2]App C Exp'!$A$4:$I$917,5,FALSE)</f>
        <v>33722</v>
      </c>
      <c r="L400" s="2">
        <f>VLOOKUP($A400,'[2]App C Exp'!$A$4:$I$917,6,FALSE)</f>
        <v>31721</v>
      </c>
      <c r="M400" s="2">
        <f>VLOOKUP($A400,'[2]App C Exp'!$A$4:$I$917,7,FALSE)</f>
        <v>28431</v>
      </c>
      <c r="N400" s="2">
        <f>VLOOKUP($A400,'[2]App C Exp'!$A$4:$I$917,8,FALSE)</f>
        <v>11384</v>
      </c>
      <c r="O400" s="2">
        <f>VLOOKUP($A400,'[2]App C Exp'!$A$4:$I$917,9,FALSE)</f>
        <v>0</v>
      </c>
      <c r="P400" s="2"/>
      <c r="Q400" s="2">
        <f>VLOOKUP($A400,'[2]App C Inv'!$A$4:$I$917,5,FALSE)</f>
        <v>35800</v>
      </c>
      <c r="R400" s="2">
        <f>VLOOKUP($A400,'[2]App C Inv'!$A$4:$I$917,6,FALSE)</f>
        <v>-30795</v>
      </c>
      <c r="S400" s="2">
        <f>VLOOKUP($A400,'[2]App C Inv'!$A$4:$I$917,7,FALSE)</f>
        <v>4340</v>
      </c>
      <c r="T400" s="2">
        <f>VLOOKUP($A400,'[2]App C Inv'!$A$4:$I$917,8,FALSE)</f>
        <v>5649</v>
      </c>
      <c r="U400" s="2">
        <f>VLOOKUP($A400,'[2]App C Inv'!$A$4:$I$917,9,FALSE)</f>
        <v>0</v>
      </c>
      <c r="V400" s="2"/>
      <c r="W400" s="2">
        <f>VLOOKUP($A400,'[2]App C Assum'!$A$4:$I$917,5,FALSE)</f>
        <v>40329</v>
      </c>
      <c r="X400" s="2">
        <f>VLOOKUP($A400,'[2]App C Assum'!$A$4:$I$917,6,FALSE)</f>
        <v>33039</v>
      </c>
      <c r="Y400" s="2">
        <f>VLOOKUP($A400,'[2]App C Assum'!$A$4:$I$917,7,FALSE)</f>
        <v>26822</v>
      </c>
      <c r="Z400" s="2">
        <f>VLOOKUP($A400,'[2]App C Assum'!$A$4:$I$917,8,FALSE)</f>
        <v>0</v>
      </c>
      <c r="AA400" s="2">
        <f>VLOOKUP($A400,'[2]App C Assum'!$A$4:$I$917,9,FALSE)</f>
        <v>0</v>
      </c>
      <c r="AB400" s="2"/>
      <c r="AC400" s="2">
        <f>VLOOKUP($A400,'[2]App C Share Outflows'!$A$4:$I$917,5,FALSE)</f>
        <v>1883</v>
      </c>
      <c r="AD400" s="2">
        <f>VLOOKUP($A400,'[2]App C Share Outflows'!$A$4:$I$917,6,FALSE)</f>
        <v>1882</v>
      </c>
      <c r="AE400" s="2">
        <f>VLOOKUP($A400,'[2]App C Share Outflows'!$A$4:$I$917,7,FALSE)</f>
        <v>0</v>
      </c>
      <c r="AF400" s="2">
        <f>VLOOKUP($A400,'[2]App C Share Outflows'!$A$4:$I$917,8,FALSE)</f>
        <v>0</v>
      </c>
      <c r="AG400" s="2">
        <f>VLOOKUP($A400,'[2]App C Share Outflows'!$A$4:$I$917,9,FALSE)</f>
        <v>0</v>
      </c>
      <c r="AH400" s="2"/>
      <c r="AI400" s="2">
        <f>VLOOKUP($A400,'[2]App C Share Inflows'!$A$4:$I$917,5,FALSE)</f>
        <v>-12236</v>
      </c>
      <c r="AJ400" s="2">
        <f>VLOOKUP($A400,'[2]App C Share Inflows'!$A$4:$I$917,6,FALSE)</f>
        <v>-10722</v>
      </c>
      <c r="AK400" s="2">
        <f>VLOOKUP($A400,'[2]App C Share Inflows'!$A$4:$I$917,7,FALSE)</f>
        <v>-10723</v>
      </c>
      <c r="AL400" s="2">
        <f>VLOOKUP($A400,'[2]App C Share Inflows'!$A$4:$I$917,8,FALSE)</f>
        <v>-9215</v>
      </c>
      <c r="AM400" s="2">
        <f>VLOOKUP($A400,'[2]App C Share Inflows'!$A$4:$I$917,6,FALSE)</f>
        <v>-10722</v>
      </c>
    </row>
    <row r="401" spans="1:39">
      <c r="A401" s="351">
        <v>93931</v>
      </c>
      <c r="B401" s="344" t="s">
        <v>1094</v>
      </c>
      <c r="C401" s="235" t="e">
        <f>VLOOKUP(A401,#REF!,10,FALSE)</f>
        <v>#REF!</v>
      </c>
      <c r="E401" s="2">
        <f>VLOOKUP($A401,'[2]App C Total'!$A$4:$I$917,5,FALSE)</f>
        <v>233550</v>
      </c>
      <c r="F401" s="2">
        <f>VLOOKUP($A401,'[2]App C Total'!$A$4:$I$917,6,FALSE)</f>
        <v>62764</v>
      </c>
      <c r="G401" s="2">
        <f>VLOOKUP($A401,'[2]App C Total'!$A$4:$I$917,7,FALSE)</f>
        <v>128648</v>
      </c>
      <c r="H401" s="2">
        <f>VLOOKUP($A401,'[2]App C Total'!$A$4:$I$917,8,FALSE)</f>
        <v>28788</v>
      </c>
      <c r="I401" s="2">
        <f>VLOOKUP($A401,'[2]App C Total'!$A$4:$I$917,9,FALSE)</f>
        <v>0</v>
      </c>
      <c r="J401" s="2"/>
      <c r="K401" s="2">
        <f>VLOOKUP($A401,'[2]App C Exp'!$A$4:$I$917,5,FALSE)</f>
        <v>77285</v>
      </c>
      <c r="L401" s="2">
        <f>VLOOKUP($A401,'[2]App C Exp'!$A$4:$I$917,6,FALSE)</f>
        <v>72701</v>
      </c>
      <c r="M401" s="2">
        <f>VLOOKUP($A401,'[2]App C Exp'!$A$4:$I$917,7,FALSE)</f>
        <v>65161</v>
      </c>
      <c r="N401" s="2">
        <f>VLOOKUP($A401,'[2]App C Exp'!$A$4:$I$917,8,FALSE)</f>
        <v>26090</v>
      </c>
      <c r="O401" s="2">
        <f>VLOOKUP($A401,'[2]App C Exp'!$A$4:$I$917,9,FALSE)</f>
        <v>0</v>
      </c>
      <c r="P401" s="2"/>
      <c r="Q401" s="2">
        <f>VLOOKUP($A401,'[2]App C Inv'!$A$4:$I$917,5,FALSE)</f>
        <v>82049</v>
      </c>
      <c r="R401" s="2">
        <f>VLOOKUP($A401,'[2]App C Inv'!$A$4:$I$917,6,FALSE)</f>
        <v>-70578</v>
      </c>
      <c r="S401" s="2">
        <f>VLOOKUP($A401,'[2]App C Inv'!$A$4:$I$917,7,FALSE)</f>
        <v>9947</v>
      </c>
      <c r="T401" s="2">
        <f>VLOOKUP($A401,'[2]App C Inv'!$A$4:$I$917,8,FALSE)</f>
        <v>12946</v>
      </c>
      <c r="U401" s="2">
        <f>VLOOKUP($A401,'[2]App C Inv'!$A$4:$I$917,9,FALSE)</f>
        <v>0</v>
      </c>
      <c r="V401" s="2"/>
      <c r="W401" s="2">
        <f>VLOOKUP($A401,'[2]App C Assum'!$A$4:$I$917,5,FALSE)</f>
        <v>92430</v>
      </c>
      <c r="X401" s="2">
        <f>VLOOKUP($A401,'[2]App C Assum'!$A$4:$I$917,6,FALSE)</f>
        <v>75722</v>
      </c>
      <c r="Y401" s="2">
        <f>VLOOKUP($A401,'[2]App C Assum'!$A$4:$I$917,7,FALSE)</f>
        <v>61473</v>
      </c>
      <c r="Z401" s="2">
        <f>VLOOKUP($A401,'[2]App C Assum'!$A$4:$I$917,8,FALSE)</f>
        <v>0</v>
      </c>
      <c r="AA401" s="2">
        <f>VLOOKUP($A401,'[2]App C Assum'!$A$4:$I$917,9,FALSE)</f>
        <v>0</v>
      </c>
      <c r="AB401" s="2"/>
      <c r="AC401" s="2">
        <f>VLOOKUP($A401,'[2]App C Share Outflows'!$A$4:$I$917,5,FALSE)</f>
        <v>2318</v>
      </c>
      <c r="AD401" s="2">
        <f>VLOOKUP($A401,'[2]App C Share Outflows'!$A$4:$I$917,6,FALSE)</f>
        <v>2318</v>
      </c>
      <c r="AE401" s="2">
        <f>VLOOKUP($A401,'[2]App C Share Outflows'!$A$4:$I$917,7,FALSE)</f>
        <v>2316</v>
      </c>
      <c r="AF401" s="2">
        <f>VLOOKUP($A401,'[2]App C Share Outflows'!$A$4:$I$917,8,FALSE)</f>
        <v>0</v>
      </c>
      <c r="AG401" s="2">
        <f>VLOOKUP($A401,'[2]App C Share Outflows'!$A$4:$I$917,9,FALSE)</f>
        <v>0</v>
      </c>
      <c r="AH401" s="2"/>
      <c r="AI401" s="2">
        <f>VLOOKUP($A401,'[2]App C Share Inflows'!$A$4:$I$917,5,FALSE)</f>
        <v>-20532</v>
      </c>
      <c r="AJ401" s="2">
        <f>VLOOKUP($A401,'[2]App C Share Inflows'!$A$4:$I$917,6,FALSE)</f>
        <v>-17399</v>
      </c>
      <c r="AK401" s="2">
        <f>VLOOKUP($A401,'[2]App C Share Inflows'!$A$4:$I$917,7,FALSE)</f>
        <v>-10249</v>
      </c>
      <c r="AL401" s="2">
        <f>VLOOKUP($A401,'[2]App C Share Inflows'!$A$4:$I$917,8,FALSE)</f>
        <v>-10248</v>
      </c>
      <c r="AM401" s="2">
        <f>VLOOKUP($A401,'[2]App C Share Inflows'!$A$4:$I$917,6,FALSE)</f>
        <v>-17399</v>
      </c>
    </row>
    <row r="402" spans="1:39">
      <c r="A402" s="351">
        <v>94001</v>
      </c>
      <c r="B402" s="344" t="s">
        <v>1095</v>
      </c>
      <c r="C402" s="235" t="e">
        <f>VLOOKUP(A402,#REF!,10,FALSE)</f>
        <v>#REF!</v>
      </c>
      <c r="E402" s="2">
        <f>VLOOKUP($A402,'[2]App C Total'!$A$4:$I$917,5,FALSE)</f>
        <v>477231</v>
      </c>
      <c r="F402" s="2">
        <f>VLOOKUP($A402,'[2]App C Total'!$A$4:$I$917,6,FALSE)</f>
        <v>153178</v>
      </c>
      <c r="G402" s="2">
        <f>VLOOKUP($A402,'[2]App C Total'!$A$4:$I$917,7,FALSE)</f>
        <v>255234</v>
      </c>
      <c r="H402" s="2">
        <f>VLOOKUP($A402,'[2]App C Total'!$A$4:$I$917,8,FALSE)</f>
        <v>74631</v>
      </c>
      <c r="I402" s="2">
        <f>VLOOKUP($A402,'[2]App C Total'!$A$4:$I$917,9,FALSE)</f>
        <v>0</v>
      </c>
      <c r="J402" s="2"/>
      <c r="K402" s="2">
        <f>VLOOKUP($A402,'[2]App C Exp'!$A$4:$I$917,5,FALSE)</f>
        <v>140399</v>
      </c>
      <c r="L402" s="2">
        <f>VLOOKUP($A402,'[2]App C Exp'!$A$4:$I$917,6,FALSE)</f>
        <v>132070</v>
      </c>
      <c r="M402" s="2">
        <f>VLOOKUP($A402,'[2]App C Exp'!$A$4:$I$917,7,FALSE)</f>
        <v>118373</v>
      </c>
      <c r="N402" s="2">
        <f>VLOOKUP($A402,'[2]App C Exp'!$A$4:$I$917,8,FALSE)</f>
        <v>47395</v>
      </c>
      <c r="O402" s="2">
        <f>VLOOKUP($A402,'[2]App C Exp'!$A$4:$I$917,9,FALSE)</f>
        <v>0</v>
      </c>
      <c r="P402" s="2"/>
      <c r="Q402" s="2">
        <f>VLOOKUP($A402,'[2]App C Inv'!$A$4:$I$917,5,FALSE)</f>
        <v>149053</v>
      </c>
      <c r="R402" s="2">
        <f>VLOOKUP($A402,'[2]App C Inv'!$A$4:$I$917,6,FALSE)</f>
        <v>-128214</v>
      </c>
      <c r="S402" s="2">
        <f>VLOOKUP($A402,'[2]App C Inv'!$A$4:$I$917,7,FALSE)</f>
        <v>18070</v>
      </c>
      <c r="T402" s="2">
        <f>VLOOKUP($A402,'[2]App C Inv'!$A$4:$I$917,8,FALSE)</f>
        <v>23518</v>
      </c>
      <c r="U402" s="2">
        <f>VLOOKUP($A402,'[2]App C Inv'!$A$4:$I$917,9,FALSE)</f>
        <v>0</v>
      </c>
      <c r="V402" s="2"/>
      <c r="W402" s="2">
        <f>VLOOKUP($A402,'[2]App C Assum'!$A$4:$I$917,5,FALSE)</f>
        <v>167911</v>
      </c>
      <c r="X402" s="2">
        <f>VLOOKUP($A402,'[2]App C Assum'!$A$4:$I$917,6,FALSE)</f>
        <v>137558</v>
      </c>
      <c r="Y402" s="2">
        <f>VLOOKUP($A402,'[2]App C Assum'!$A$4:$I$917,7,FALSE)</f>
        <v>111674</v>
      </c>
      <c r="Z402" s="2">
        <f>VLOOKUP($A402,'[2]App C Assum'!$A$4:$I$917,8,FALSE)</f>
        <v>0</v>
      </c>
      <c r="AA402" s="2">
        <f>VLOOKUP($A402,'[2]App C Assum'!$A$4:$I$917,9,FALSE)</f>
        <v>0</v>
      </c>
      <c r="AB402" s="2"/>
      <c r="AC402" s="2">
        <f>VLOOKUP($A402,'[2]App C Share Outflows'!$A$4:$I$917,5,FALSE)</f>
        <v>19868</v>
      </c>
      <c r="AD402" s="2">
        <f>VLOOKUP($A402,'[2]App C Share Outflows'!$A$4:$I$917,6,FALSE)</f>
        <v>11764</v>
      </c>
      <c r="AE402" s="2">
        <f>VLOOKUP($A402,'[2]App C Share Outflows'!$A$4:$I$917,7,FALSE)</f>
        <v>7117</v>
      </c>
      <c r="AF402" s="2">
        <f>VLOOKUP($A402,'[2]App C Share Outflows'!$A$4:$I$917,8,FALSE)</f>
        <v>3718</v>
      </c>
      <c r="AG402" s="2">
        <f>VLOOKUP($A402,'[2]App C Share Outflows'!$A$4:$I$917,9,FALSE)</f>
        <v>0</v>
      </c>
      <c r="AH402" s="2"/>
      <c r="AI402" s="2">
        <f>VLOOKUP($A402,'[2]App C Share Inflows'!$A$4:$I$917,5,FALSE)</f>
        <v>0</v>
      </c>
      <c r="AJ402" s="2">
        <f>VLOOKUP($A402,'[2]App C Share Inflows'!$A$4:$I$917,6,FALSE)</f>
        <v>0</v>
      </c>
      <c r="AK402" s="2">
        <f>VLOOKUP($A402,'[2]App C Share Inflows'!$A$4:$I$917,7,FALSE)</f>
        <v>0</v>
      </c>
      <c r="AL402" s="2">
        <f>VLOOKUP($A402,'[2]App C Share Inflows'!$A$4:$I$917,8,FALSE)</f>
        <v>0</v>
      </c>
      <c r="AM402" s="2">
        <f>VLOOKUP($A402,'[2]App C Share Inflows'!$A$4:$I$917,6,FALSE)</f>
        <v>0</v>
      </c>
    </row>
    <row r="403" spans="1:39">
      <c r="A403" s="351">
        <v>94002</v>
      </c>
      <c r="B403" s="344" t="s">
        <v>1096</v>
      </c>
      <c r="C403" s="235" t="e">
        <f>VLOOKUP(A403,#REF!,10,FALSE)</f>
        <v>#REF!</v>
      </c>
      <c r="E403" s="2">
        <f>VLOOKUP($A403,'[2]App C Total'!$A$4:$I$917,5,FALSE)</f>
        <v>3356</v>
      </c>
      <c r="F403" s="2">
        <f>VLOOKUP($A403,'[2]App C Total'!$A$4:$I$917,6,FALSE)</f>
        <v>1469</v>
      </c>
      <c r="G403" s="2">
        <f>VLOOKUP($A403,'[2]App C Total'!$A$4:$I$917,7,FALSE)</f>
        <v>1859</v>
      </c>
      <c r="H403" s="2">
        <f>VLOOKUP($A403,'[2]App C Total'!$A$4:$I$917,8,FALSE)</f>
        <v>709</v>
      </c>
      <c r="I403" s="2">
        <f>VLOOKUP($A403,'[2]App C Total'!$A$4:$I$917,9,FALSE)</f>
        <v>0</v>
      </c>
      <c r="J403" s="2"/>
      <c r="K403" s="2">
        <f>VLOOKUP($A403,'[2]App C Exp'!$A$4:$I$917,5,FALSE)</f>
        <v>779</v>
      </c>
      <c r="L403" s="2">
        <f>VLOOKUP($A403,'[2]App C Exp'!$A$4:$I$917,6,FALSE)</f>
        <v>733</v>
      </c>
      <c r="M403" s="2">
        <f>VLOOKUP($A403,'[2]App C Exp'!$A$4:$I$917,7,FALSE)</f>
        <v>657</v>
      </c>
      <c r="N403" s="2">
        <f>VLOOKUP($A403,'[2]App C Exp'!$A$4:$I$917,8,FALSE)</f>
        <v>263</v>
      </c>
      <c r="O403" s="2">
        <f>VLOOKUP($A403,'[2]App C Exp'!$A$4:$I$917,9,FALSE)</f>
        <v>0</v>
      </c>
      <c r="P403" s="2"/>
      <c r="Q403" s="2">
        <f>VLOOKUP($A403,'[2]App C Inv'!$A$4:$I$917,5,FALSE)</f>
        <v>827</v>
      </c>
      <c r="R403" s="2">
        <f>VLOOKUP($A403,'[2]App C Inv'!$A$4:$I$917,6,FALSE)</f>
        <v>-711</v>
      </c>
      <c r="S403" s="2">
        <f>VLOOKUP($A403,'[2]App C Inv'!$A$4:$I$917,7,FALSE)</f>
        <v>100</v>
      </c>
      <c r="T403" s="2">
        <f>VLOOKUP($A403,'[2]App C Inv'!$A$4:$I$917,8,FALSE)</f>
        <v>130</v>
      </c>
      <c r="U403" s="2">
        <f>VLOOKUP($A403,'[2]App C Inv'!$A$4:$I$917,9,FALSE)</f>
        <v>0</v>
      </c>
      <c r="V403" s="2"/>
      <c r="W403" s="2">
        <f>VLOOKUP($A403,'[2]App C Assum'!$A$4:$I$917,5,FALSE)</f>
        <v>932</v>
      </c>
      <c r="X403" s="2">
        <f>VLOOKUP($A403,'[2]App C Assum'!$A$4:$I$917,6,FALSE)</f>
        <v>763</v>
      </c>
      <c r="Y403" s="2">
        <f>VLOOKUP($A403,'[2]App C Assum'!$A$4:$I$917,7,FALSE)</f>
        <v>620</v>
      </c>
      <c r="Z403" s="2">
        <f>VLOOKUP($A403,'[2]App C Assum'!$A$4:$I$917,8,FALSE)</f>
        <v>0</v>
      </c>
      <c r="AA403" s="2">
        <f>VLOOKUP($A403,'[2]App C Assum'!$A$4:$I$917,9,FALSE)</f>
        <v>0</v>
      </c>
      <c r="AB403" s="2"/>
      <c r="AC403" s="2">
        <f>VLOOKUP($A403,'[2]App C Share Outflows'!$A$4:$I$917,5,FALSE)</f>
        <v>818</v>
      </c>
      <c r="AD403" s="2">
        <f>VLOOKUP($A403,'[2]App C Share Outflows'!$A$4:$I$917,6,FALSE)</f>
        <v>684</v>
      </c>
      <c r="AE403" s="2">
        <f>VLOOKUP($A403,'[2]App C Share Outflows'!$A$4:$I$917,7,FALSE)</f>
        <v>482</v>
      </c>
      <c r="AF403" s="2">
        <f>VLOOKUP($A403,'[2]App C Share Outflows'!$A$4:$I$917,8,FALSE)</f>
        <v>316</v>
      </c>
      <c r="AG403" s="2">
        <f>VLOOKUP($A403,'[2]App C Share Outflows'!$A$4:$I$917,9,FALSE)</f>
        <v>0</v>
      </c>
      <c r="AH403" s="2"/>
      <c r="AI403" s="2">
        <f>VLOOKUP($A403,'[2]App C Share Inflows'!$A$4:$I$917,5,FALSE)</f>
        <v>0</v>
      </c>
      <c r="AJ403" s="2">
        <f>VLOOKUP($A403,'[2]App C Share Inflows'!$A$4:$I$917,6,FALSE)</f>
        <v>0</v>
      </c>
      <c r="AK403" s="2">
        <f>VLOOKUP($A403,'[2]App C Share Inflows'!$A$4:$I$917,7,FALSE)</f>
        <v>0</v>
      </c>
      <c r="AL403" s="2">
        <f>VLOOKUP($A403,'[2]App C Share Inflows'!$A$4:$I$917,8,FALSE)</f>
        <v>0</v>
      </c>
      <c r="AM403" s="2">
        <f>VLOOKUP($A403,'[2]App C Share Inflows'!$A$4:$I$917,6,FALSE)</f>
        <v>0</v>
      </c>
    </row>
    <row r="404" spans="1:39">
      <c r="A404" s="351">
        <v>94004</v>
      </c>
      <c r="B404" s="344" t="s">
        <v>1097</v>
      </c>
      <c r="C404" s="235" t="e">
        <f>VLOOKUP(A404,#REF!,10,FALSE)</f>
        <v>#REF!</v>
      </c>
      <c r="E404" s="2">
        <f>VLOOKUP($A404,'[2]App C Total'!$A$4:$I$917,5,FALSE)</f>
        <v>5300</v>
      </c>
      <c r="F404" s="2">
        <f>VLOOKUP($A404,'[2]App C Total'!$A$4:$I$917,6,FALSE)</f>
        <v>2468</v>
      </c>
      <c r="G404" s="2">
        <f>VLOOKUP($A404,'[2]App C Total'!$A$4:$I$917,7,FALSE)</f>
        <v>2397</v>
      </c>
      <c r="H404" s="2">
        <f>VLOOKUP($A404,'[2]App C Total'!$A$4:$I$917,8,FALSE)</f>
        <v>790</v>
      </c>
      <c r="I404" s="2">
        <f>VLOOKUP($A404,'[2]App C Total'!$A$4:$I$917,9,FALSE)</f>
        <v>0</v>
      </c>
      <c r="J404" s="2"/>
      <c r="K404" s="2">
        <f>VLOOKUP($A404,'[2]App C Exp'!$A$4:$I$917,5,FALSE)</f>
        <v>1109</v>
      </c>
      <c r="L404" s="2">
        <f>VLOOKUP($A404,'[2]App C Exp'!$A$4:$I$917,6,FALSE)</f>
        <v>1043</v>
      </c>
      <c r="M404" s="2">
        <f>VLOOKUP($A404,'[2]App C Exp'!$A$4:$I$917,7,FALSE)</f>
        <v>935</v>
      </c>
      <c r="N404" s="2">
        <f>VLOOKUP($A404,'[2]App C Exp'!$A$4:$I$917,8,FALSE)</f>
        <v>374</v>
      </c>
      <c r="O404" s="2">
        <f>VLOOKUP($A404,'[2]App C Exp'!$A$4:$I$917,9,FALSE)</f>
        <v>0</v>
      </c>
      <c r="P404" s="2"/>
      <c r="Q404" s="2">
        <f>VLOOKUP($A404,'[2]App C Inv'!$A$4:$I$917,5,FALSE)</f>
        <v>1177</v>
      </c>
      <c r="R404" s="2">
        <f>VLOOKUP($A404,'[2]App C Inv'!$A$4:$I$917,6,FALSE)</f>
        <v>-1012</v>
      </c>
      <c r="S404" s="2">
        <f>VLOOKUP($A404,'[2]App C Inv'!$A$4:$I$917,7,FALSE)</f>
        <v>143</v>
      </c>
      <c r="T404" s="2">
        <f>VLOOKUP($A404,'[2]App C Inv'!$A$4:$I$917,8,FALSE)</f>
        <v>186</v>
      </c>
      <c r="U404" s="2">
        <f>VLOOKUP($A404,'[2]App C Inv'!$A$4:$I$917,9,FALSE)</f>
        <v>0</v>
      </c>
      <c r="V404" s="2"/>
      <c r="W404" s="2">
        <f>VLOOKUP($A404,'[2]App C Assum'!$A$4:$I$917,5,FALSE)</f>
        <v>1326</v>
      </c>
      <c r="X404" s="2">
        <f>VLOOKUP($A404,'[2]App C Assum'!$A$4:$I$917,6,FALSE)</f>
        <v>1086</v>
      </c>
      <c r="Y404" s="2">
        <f>VLOOKUP($A404,'[2]App C Assum'!$A$4:$I$917,7,FALSE)</f>
        <v>882</v>
      </c>
      <c r="Z404" s="2">
        <f>VLOOKUP($A404,'[2]App C Assum'!$A$4:$I$917,8,FALSE)</f>
        <v>0</v>
      </c>
      <c r="AA404" s="2">
        <f>VLOOKUP($A404,'[2]App C Assum'!$A$4:$I$917,9,FALSE)</f>
        <v>0</v>
      </c>
      <c r="AB404" s="2"/>
      <c r="AC404" s="2">
        <f>VLOOKUP($A404,'[2]App C Share Outflows'!$A$4:$I$917,5,FALSE)</f>
        <v>1688</v>
      </c>
      <c r="AD404" s="2">
        <f>VLOOKUP($A404,'[2]App C Share Outflows'!$A$4:$I$917,6,FALSE)</f>
        <v>1351</v>
      </c>
      <c r="AE404" s="2">
        <f>VLOOKUP($A404,'[2]App C Share Outflows'!$A$4:$I$917,7,FALSE)</f>
        <v>437</v>
      </c>
      <c r="AF404" s="2">
        <f>VLOOKUP($A404,'[2]App C Share Outflows'!$A$4:$I$917,8,FALSE)</f>
        <v>230</v>
      </c>
      <c r="AG404" s="2">
        <f>VLOOKUP($A404,'[2]App C Share Outflows'!$A$4:$I$917,9,FALSE)</f>
        <v>0</v>
      </c>
      <c r="AH404" s="2"/>
      <c r="AI404" s="2">
        <f>VLOOKUP($A404,'[2]App C Share Inflows'!$A$4:$I$917,5,FALSE)</f>
        <v>0</v>
      </c>
      <c r="AJ404" s="2">
        <f>VLOOKUP($A404,'[2]App C Share Inflows'!$A$4:$I$917,6,FALSE)</f>
        <v>0</v>
      </c>
      <c r="AK404" s="2">
        <f>VLOOKUP($A404,'[2]App C Share Inflows'!$A$4:$I$917,7,FALSE)</f>
        <v>0</v>
      </c>
      <c r="AL404" s="2">
        <f>VLOOKUP($A404,'[2]App C Share Inflows'!$A$4:$I$917,8,FALSE)</f>
        <v>0</v>
      </c>
      <c r="AM404" s="2">
        <f>VLOOKUP($A404,'[2]App C Share Inflows'!$A$4:$I$917,6,FALSE)</f>
        <v>0</v>
      </c>
    </row>
    <row r="405" spans="1:39">
      <c r="A405" s="351">
        <v>94005</v>
      </c>
      <c r="B405" s="344" t="s">
        <v>1098</v>
      </c>
      <c r="C405" s="235" t="e">
        <f>VLOOKUP(A405,#REF!,10,FALSE)</f>
        <v>#REF!</v>
      </c>
      <c r="E405" s="2">
        <f>VLOOKUP($A405,'[2]App C Total'!$A$4:$I$917,5,FALSE)</f>
        <v>149</v>
      </c>
      <c r="F405" s="2">
        <f>VLOOKUP($A405,'[2]App C Total'!$A$4:$I$917,6,FALSE)</f>
        <v>7</v>
      </c>
      <c r="G405" s="2">
        <f>VLOOKUP($A405,'[2]App C Total'!$A$4:$I$917,7,FALSE)</f>
        <v>1031</v>
      </c>
      <c r="H405" s="2">
        <f>VLOOKUP($A405,'[2]App C Total'!$A$4:$I$917,8,FALSE)</f>
        <v>-197</v>
      </c>
      <c r="I405" s="2">
        <f>VLOOKUP($A405,'[2]App C Total'!$A$4:$I$917,9,FALSE)</f>
        <v>0</v>
      </c>
      <c r="J405" s="2"/>
      <c r="K405" s="2">
        <f>VLOOKUP($A405,'[2]App C Exp'!$A$4:$I$917,5,FALSE)</f>
        <v>285</v>
      </c>
      <c r="L405" s="2">
        <f>VLOOKUP($A405,'[2]App C Exp'!$A$4:$I$917,6,FALSE)</f>
        <v>268</v>
      </c>
      <c r="M405" s="2">
        <f>VLOOKUP($A405,'[2]App C Exp'!$A$4:$I$917,7,FALSE)</f>
        <v>240</v>
      </c>
      <c r="N405" s="2">
        <f>VLOOKUP($A405,'[2]App C Exp'!$A$4:$I$917,8,FALSE)</f>
        <v>96</v>
      </c>
      <c r="O405" s="2">
        <f>VLOOKUP($A405,'[2]App C Exp'!$A$4:$I$917,9,FALSE)</f>
        <v>0</v>
      </c>
      <c r="P405" s="2"/>
      <c r="Q405" s="2">
        <f>VLOOKUP($A405,'[2]App C Inv'!$A$4:$I$917,5,FALSE)</f>
        <v>302</v>
      </c>
      <c r="R405" s="2">
        <f>VLOOKUP($A405,'[2]App C Inv'!$A$4:$I$917,6,FALSE)</f>
        <v>-260</v>
      </c>
      <c r="S405" s="2">
        <f>VLOOKUP($A405,'[2]App C Inv'!$A$4:$I$917,7,FALSE)</f>
        <v>37</v>
      </c>
      <c r="T405" s="2">
        <f>VLOOKUP($A405,'[2]App C Inv'!$A$4:$I$917,8,FALSE)</f>
        <v>48</v>
      </c>
      <c r="U405" s="2">
        <f>VLOOKUP($A405,'[2]App C Inv'!$A$4:$I$917,9,FALSE)</f>
        <v>0</v>
      </c>
      <c r="V405" s="2"/>
      <c r="W405" s="2">
        <f>VLOOKUP($A405,'[2]App C Assum'!$A$4:$I$917,5,FALSE)</f>
        <v>340</v>
      </c>
      <c r="X405" s="2">
        <f>VLOOKUP($A405,'[2]App C Assum'!$A$4:$I$917,6,FALSE)</f>
        <v>279</v>
      </c>
      <c r="Y405" s="2">
        <f>VLOOKUP($A405,'[2]App C Assum'!$A$4:$I$917,7,FALSE)</f>
        <v>226</v>
      </c>
      <c r="Z405" s="2">
        <f>VLOOKUP($A405,'[2]App C Assum'!$A$4:$I$917,8,FALSE)</f>
        <v>0</v>
      </c>
      <c r="AA405" s="2">
        <f>VLOOKUP($A405,'[2]App C Assum'!$A$4:$I$917,9,FALSE)</f>
        <v>0</v>
      </c>
      <c r="AB405" s="2"/>
      <c r="AC405" s="2">
        <f>VLOOKUP($A405,'[2]App C Share Outflows'!$A$4:$I$917,5,FALSE)</f>
        <v>871</v>
      </c>
      <c r="AD405" s="2">
        <f>VLOOKUP($A405,'[2]App C Share Outflows'!$A$4:$I$917,6,FALSE)</f>
        <v>871</v>
      </c>
      <c r="AE405" s="2">
        <f>VLOOKUP($A405,'[2]App C Share Outflows'!$A$4:$I$917,7,FALSE)</f>
        <v>870</v>
      </c>
      <c r="AF405" s="2">
        <f>VLOOKUP($A405,'[2]App C Share Outflows'!$A$4:$I$917,8,FALSE)</f>
        <v>0</v>
      </c>
      <c r="AG405" s="2">
        <f>VLOOKUP($A405,'[2]App C Share Outflows'!$A$4:$I$917,9,FALSE)</f>
        <v>0</v>
      </c>
      <c r="AH405" s="2"/>
      <c r="AI405" s="2">
        <f>VLOOKUP($A405,'[2]App C Share Inflows'!$A$4:$I$917,5,FALSE)</f>
        <v>-1649</v>
      </c>
      <c r="AJ405" s="2">
        <f>VLOOKUP($A405,'[2]App C Share Inflows'!$A$4:$I$917,6,FALSE)</f>
        <v>-1151</v>
      </c>
      <c r="AK405" s="2">
        <f>VLOOKUP($A405,'[2]App C Share Inflows'!$A$4:$I$917,7,FALSE)</f>
        <v>-342</v>
      </c>
      <c r="AL405" s="2">
        <f>VLOOKUP($A405,'[2]App C Share Inflows'!$A$4:$I$917,8,FALSE)</f>
        <v>-341</v>
      </c>
      <c r="AM405" s="2">
        <f>VLOOKUP($A405,'[2]App C Share Inflows'!$A$4:$I$917,6,FALSE)</f>
        <v>-1151</v>
      </c>
    </row>
    <row r="406" spans="1:39">
      <c r="A406" s="351">
        <v>94011</v>
      </c>
      <c r="B406" s="344" t="s">
        <v>1099</v>
      </c>
      <c r="C406" s="235" t="e">
        <f>VLOOKUP(A406,#REF!,10,FALSE)</f>
        <v>#REF!</v>
      </c>
      <c r="E406" s="2">
        <f>VLOOKUP($A406,'[2]App C Total'!$A$4:$I$917,5,FALSE)</f>
        <v>13167</v>
      </c>
      <c r="F406" s="2">
        <f>VLOOKUP($A406,'[2]App C Total'!$A$4:$I$917,6,FALSE)</f>
        <v>3196</v>
      </c>
      <c r="G406" s="2">
        <f>VLOOKUP($A406,'[2]App C Total'!$A$4:$I$917,7,FALSE)</f>
        <v>6892</v>
      </c>
      <c r="H406" s="2">
        <f>VLOOKUP($A406,'[2]App C Total'!$A$4:$I$917,8,FALSE)</f>
        <v>1396</v>
      </c>
      <c r="I406" s="2">
        <f>VLOOKUP($A406,'[2]App C Total'!$A$4:$I$917,9,FALSE)</f>
        <v>0</v>
      </c>
      <c r="J406" s="2"/>
      <c r="K406" s="2">
        <f>VLOOKUP($A406,'[2]App C Exp'!$A$4:$I$917,5,FALSE)</f>
        <v>4000</v>
      </c>
      <c r="L406" s="2">
        <f>VLOOKUP($A406,'[2]App C Exp'!$A$4:$I$917,6,FALSE)</f>
        <v>3763</v>
      </c>
      <c r="M406" s="2">
        <f>VLOOKUP($A406,'[2]App C Exp'!$A$4:$I$917,7,FALSE)</f>
        <v>3372</v>
      </c>
      <c r="N406" s="2">
        <f>VLOOKUP($A406,'[2]App C Exp'!$A$4:$I$917,8,FALSE)</f>
        <v>1350</v>
      </c>
      <c r="O406" s="2">
        <f>VLOOKUP($A406,'[2]App C Exp'!$A$4:$I$917,9,FALSE)</f>
        <v>0</v>
      </c>
      <c r="P406" s="2"/>
      <c r="Q406" s="2">
        <f>VLOOKUP($A406,'[2]App C Inv'!$A$4:$I$917,5,FALSE)</f>
        <v>4246</v>
      </c>
      <c r="R406" s="2">
        <f>VLOOKUP($A406,'[2]App C Inv'!$A$4:$I$917,6,FALSE)</f>
        <v>-3653</v>
      </c>
      <c r="S406" s="2">
        <f>VLOOKUP($A406,'[2]App C Inv'!$A$4:$I$917,7,FALSE)</f>
        <v>515</v>
      </c>
      <c r="T406" s="2">
        <f>VLOOKUP($A406,'[2]App C Inv'!$A$4:$I$917,8,FALSE)</f>
        <v>670</v>
      </c>
      <c r="U406" s="2">
        <f>VLOOKUP($A406,'[2]App C Inv'!$A$4:$I$917,9,FALSE)</f>
        <v>0</v>
      </c>
      <c r="V406" s="2"/>
      <c r="W406" s="2">
        <f>VLOOKUP($A406,'[2]App C Assum'!$A$4:$I$917,5,FALSE)</f>
        <v>4784</v>
      </c>
      <c r="X406" s="2">
        <f>VLOOKUP($A406,'[2]App C Assum'!$A$4:$I$917,6,FALSE)</f>
        <v>3919</v>
      </c>
      <c r="Y406" s="2">
        <f>VLOOKUP($A406,'[2]App C Assum'!$A$4:$I$917,7,FALSE)</f>
        <v>3181</v>
      </c>
      <c r="Z406" s="2">
        <f>VLOOKUP($A406,'[2]App C Assum'!$A$4:$I$917,8,FALSE)</f>
        <v>0</v>
      </c>
      <c r="AA406" s="2">
        <f>VLOOKUP($A406,'[2]App C Assum'!$A$4:$I$917,9,FALSE)</f>
        <v>0</v>
      </c>
      <c r="AB406" s="2"/>
      <c r="AC406" s="2">
        <f>VLOOKUP($A406,'[2]App C Share Outflows'!$A$4:$I$917,5,FALSE)</f>
        <v>1418</v>
      </c>
      <c r="AD406" s="2">
        <f>VLOOKUP($A406,'[2]App C Share Outflows'!$A$4:$I$917,6,FALSE)</f>
        <v>450</v>
      </c>
      <c r="AE406" s="2">
        <f>VLOOKUP($A406,'[2]App C Share Outflows'!$A$4:$I$917,7,FALSE)</f>
        <v>450</v>
      </c>
      <c r="AF406" s="2">
        <f>VLOOKUP($A406,'[2]App C Share Outflows'!$A$4:$I$917,8,FALSE)</f>
        <v>0</v>
      </c>
      <c r="AG406" s="2">
        <f>VLOOKUP($A406,'[2]App C Share Outflows'!$A$4:$I$917,9,FALSE)</f>
        <v>0</v>
      </c>
      <c r="AH406" s="2"/>
      <c r="AI406" s="2">
        <f>VLOOKUP($A406,'[2]App C Share Inflows'!$A$4:$I$917,5,FALSE)</f>
        <v>-1281</v>
      </c>
      <c r="AJ406" s="2">
        <f>VLOOKUP($A406,'[2]App C Share Inflows'!$A$4:$I$917,6,FALSE)</f>
        <v>-1283</v>
      </c>
      <c r="AK406" s="2">
        <f>VLOOKUP($A406,'[2]App C Share Inflows'!$A$4:$I$917,7,FALSE)</f>
        <v>-626</v>
      </c>
      <c r="AL406" s="2">
        <f>VLOOKUP($A406,'[2]App C Share Inflows'!$A$4:$I$917,8,FALSE)</f>
        <v>-624</v>
      </c>
      <c r="AM406" s="2">
        <f>VLOOKUP($A406,'[2]App C Share Inflows'!$A$4:$I$917,6,FALSE)</f>
        <v>-1283</v>
      </c>
    </row>
    <row r="407" spans="1:39">
      <c r="A407" s="351">
        <v>94021</v>
      </c>
      <c r="B407" s="344" t="s">
        <v>1100</v>
      </c>
      <c r="C407" s="235" t="e">
        <f>VLOOKUP(A407,#REF!,10,FALSE)</f>
        <v>#REF!</v>
      </c>
      <c r="E407" s="2">
        <f>VLOOKUP($A407,'[2]App C Total'!$A$4:$I$917,5,FALSE)</f>
        <v>45471</v>
      </c>
      <c r="F407" s="2">
        <f>VLOOKUP($A407,'[2]App C Total'!$A$4:$I$917,6,FALSE)</f>
        <v>16579</v>
      </c>
      <c r="G407" s="2">
        <f>VLOOKUP($A407,'[2]App C Total'!$A$4:$I$917,7,FALSE)</f>
        <v>23211</v>
      </c>
      <c r="H407" s="2">
        <f>VLOOKUP($A407,'[2]App C Total'!$A$4:$I$917,8,FALSE)</f>
        <v>7355</v>
      </c>
      <c r="I407" s="2">
        <f>VLOOKUP($A407,'[2]App C Total'!$A$4:$I$917,9,FALSE)</f>
        <v>0</v>
      </c>
      <c r="J407" s="2"/>
      <c r="K407" s="2">
        <f>VLOOKUP($A407,'[2]App C Exp'!$A$4:$I$917,5,FALSE)</f>
        <v>12479</v>
      </c>
      <c r="L407" s="2">
        <f>VLOOKUP($A407,'[2]App C Exp'!$A$4:$I$917,6,FALSE)</f>
        <v>11739</v>
      </c>
      <c r="M407" s="2">
        <f>VLOOKUP($A407,'[2]App C Exp'!$A$4:$I$917,7,FALSE)</f>
        <v>10521</v>
      </c>
      <c r="N407" s="2">
        <f>VLOOKUP($A407,'[2]App C Exp'!$A$4:$I$917,8,FALSE)</f>
        <v>4213</v>
      </c>
      <c r="O407" s="2">
        <f>VLOOKUP($A407,'[2]App C Exp'!$A$4:$I$917,9,FALSE)</f>
        <v>0</v>
      </c>
      <c r="P407" s="2"/>
      <c r="Q407" s="2">
        <f>VLOOKUP($A407,'[2]App C Inv'!$A$4:$I$917,5,FALSE)</f>
        <v>13248</v>
      </c>
      <c r="R407" s="2">
        <f>VLOOKUP($A407,'[2]App C Inv'!$A$4:$I$917,6,FALSE)</f>
        <v>-11396</v>
      </c>
      <c r="S407" s="2">
        <f>VLOOKUP($A407,'[2]App C Inv'!$A$4:$I$917,7,FALSE)</f>
        <v>1606</v>
      </c>
      <c r="T407" s="2">
        <f>VLOOKUP($A407,'[2]App C Inv'!$A$4:$I$917,8,FALSE)</f>
        <v>2090</v>
      </c>
      <c r="U407" s="2">
        <f>VLOOKUP($A407,'[2]App C Inv'!$A$4:$I$917,9,FALSE)</f>
        <v>0</v>
      </c>
      <c r="V407" s="2"/>
      <c r="W407" s="2">
        <f>VLOOKUP($A407,'[2]App C Assum'!$A$4:$I$917,5,FALSE)</f>
        <v>14924</v>
      </c>
      <c r="X407" s="2">
        <f>VLOOKUP($A407,'[2]App C Assum'!$A$4:$I$917,6,FALSE)</f>
        <v>12226</v>
      </c>
      <c r="Y407" s="2">
        <f>VLOOKUP($A407,'[2]App C Assum'!$A$4:$I$917,7,FALSE)</f>
        <v>9926</v>
      </c>
      <c r="Z407" s="2">
        <f>VLOOKUP($A407,'[2]App C Assum'!$A$4:$I$917,8,FALSE)</f>
        <v>0</v>
      </c>
      <c r="AA407" s="2">
        <f>VLOOKUP($A407,'[2]App C Assum'!$A$4:$I$917,9,FALSE)</f>
        <v>0</v>
      </c>
      <c r="AB407" s="2"/>
      <c r="AC407" s="2">
        <f>VLOOKUP($A407,'[2]App C Share Outflows'!$A$4:$I$917,5,FALSE)</f>
        <v>4820</v>
      </c>
      <c r="AD407" s="2">
        <f>VLOOKUP($A407,'[2]App C Share Outflows'!$A$4:$I$917,6,FALSE)</f>
        <v>4010</v>
      </c>
      <c r="AE407" s="2">
        <f>VLOOKUP($A407,'[2]App C Share Outflows'!$A$4:$I$917,7,FALSE)</f>
        <v>1158</v>
      </c>
      <c r="AF407" s="2">
        <f>VLOOKUP($A407,'[2]App C Share Outflows'!$A$4:$I$917,8,FALSE)</f>
        <v>1052</v>
      </c>
      <c r="AG407" s="2">
        <f>VLOOKUP($A407,'[2]App C Share Outflows'!$A$4:$I$917,9,FALSE)</f>
        <v>0</v>
      </c>
      <c r="AH407" s="2"/>
      <c r="AI407" s="2">
        <f>VLOOKUP($A407,'[2]App C Share Inflows'!$A$4:$I$917,5,FALSE)</f>
        <v>0</v>
      </c>
      <c r="AJ407" s="2">
        <f>VLOOKUP($A407,'[2]App C Share Inflows'!$A$4:$I$917,6,FALSE)</f>
        <v>0</v>
      </c>
      <c r="AK407" s="2">
        <f>VLOOKUP($A407,'[2]App C Share Inflows'!$A$4:$I$917,7,FALSE)</f>
        <v>0</v>
      </c>
      <c r="AL407" s="2">
        <f>VLOOKUP($A407,'[2]App C Share Inflows'!$A$4:$I$917,8,FALSE)</f>
        <v>0</v>
      </c>
      <c r="AM407" s="2">
        <f>VLOOKUP($A407,'[2]App C Share Inflows'!$A$4:$I$917,6,FALSE)</f>
        <v>0</v>
      </c>
    </row>
    <row r="408" spans="1:39">
      <c r="A408" s="351">
        <v>94031</v>
      </c>
      <c r="B408" s="344" t="s">
        <v>1101</v>
      </c>
      <c r="C408" s="235" t="e">
        <f>VLOOKUP(A408,#REF!,10,FALSE)</f>
        <v>#REF!</v>
      </c>
      <c r="E408" s="2">
        <f>VLOOKUP($A408,'[2]App C Total'!$A$4:$I$917,5,FALSE)</f>
        <v>5432</v>
      </c>
      <c r="F408" s="2">
        <f>VLOOKUP($A408,'[2]App C Total'!$A$4:$I$917,6,FALSE)</f>
        <v>2961</v>
      </c>
      <c r="G408" s="2">
        <f>VLOOKUP($A408,'[2]App C Total'!$A$4:$I$917,7,FALSE)</f>
        <v>3077</v>
      </c>
      <c r="H408" s="2">
        <f>VLOOKUP($A408,'[2]App C Total'!$A$4:$I$917,8,FALSE)</f>
        <v>1355</v>
      </c>
      <c r="I408" s="2">
        <f>VLOOKUP($A408,'[2]App C Total'!$A$4:$I$917,9,FALSE)</f>
        <v>0</v>
      </c>
      <c r="J408" s="2"/>
      <c r="K408" s="2">
        <f>VLOOKUP($A408,'[2]App C Exp'!$A$4:$I$917,5,FALSE)</f>
        <v>689</v>
      </c>
      <c r="L408" s="2">
        <f>VLOOKUP($A408,'[2]App C Exp'!$A$4:$I$917,6,FALSE)</f>
        <v>648</v>
      </c>
      <c r="M408" s="2">
        <f>VLOOKUP($A408,'[2]App C Exp'!$A$4:$I$917,7,FALSE)</f>
        <v>581</v>
      </c>
      <c r="N408" s="2">
        <f>VLOOKUP($A408,'[2]App C Exp'!$A$4:$I$917,8,FALSE)</f>
        <v>233</v>
      </c>
      <c r="O408" s="2">
        <f>VLOOKUP($A408,'[2]App C Exp'!$A$4:$I$917,9,FALSE)</f>
        <v>0</v>
      </c>
      <c r="P408" s="2"/>
      <c r="Q408" s="2">
        <f>VLOOKUP($A408,'[2]App C Inv'!$A$4:$I$917,5,FALSE)</f>
        <v>732</v>
      </c>
      <c r="R408" s="2">
        <f>VLOOKUP($A408,'[2]App C Inv'!$A$4:$I$917,6,FALSE)</f>
        <v>-629</v>
      </c>
      <c r="S408" s="2">
        <f>VLOOKUP($A408,'[2]App C Inv'!$A$4:$I$917,7,FALSE)</f>
        <v>89</v>
      </c>
      <c r="T408" s="2">
        <f>VLOOKUP($A408,'[2]App C Inv'!$A$4:$I$917,8,FALSE)</f>
        <v>115</v>
      </c>
      <c r="U408" s="2">
        <f>VLOOKUP($A408,'[2]App C Inv'!$A$4:$I$917,9,FALSE)</f>
        <v>0</v>
      </c>
      <c r="V408" s="2"/>
      <c r="W408" s="2">
        <f>VLOOKUP($A408,'[2]App C Assum'!$A$4:$I$917,5,FALSE)</f>
        <v>824</v>
      </c>
      <c r="X408" s="2">
        <f>VLOOKUP($A408,'[2]App C Assum'!$A$4:$I$917,6,FALSE)</f>
        <v>675</v>
      </c>
      <c r="Y408" s="2">
        <f>VLOOKUP($A408,'[2]App C Assum'!$A$4:$I$917,7,FALSE)</f>
        <v>548</v>
      </c>
      <c r="Z408" s="2">
        <f>VLOOKUP($A408,'[2]App C Assum'!$A$4:$I$917,8,FALSE)</f>
        <v>0</v>
      </c>
      <c r="AA408" s="2">
        <f>VLOOKUP($A408,'[2]App C Assum'!$A$4:$I$917,9,FALSE)</f>
        <v>0</v>
      </c>
      <c r="AB408" s="2"/>
      <c r="AC408" s="2">
        <f>VLOOKUP($A408,'[2]App C Share Outflows'!$A$4:$I$917,5,FALSE)</f>
        <v>3187</v>
      </c>
      <c r="AD408" s="2">
        <f>VLOOKUP($A408,'[2]App C Share Outflows'!$A$4:$I$917,6,FALSE)</f>
        <v>2267</v>
      </c>
      <c r="AE408" s="2">
        <f>VLOOKUP($A408,'[2]App C Share Outflows'!$A$4:$I$917,7,FALSE)</f>
        <v>1859</v>
      </c>
      <c r="AF408" s="2">
        <f>VLOOKUP($A408,'[2]App C Share Outflows'!$A$4:$I$917,8,FALSE)</f>
        <v>1007</v>
      </c>
      <c r="AG408" s="2">
        <f>VLOOKUP($A408,'[2]App C Share Outflows'!$A$4:$I$917,9,FALSE)</f>
        <v>0</v>
      </c>
      <c r="AH408" s="2"/>
      <c r="AI408" s="2">
        <f>VLOOKUP($A408,'[2]App C Share Inflows'!$A$4:$I$917,5,FALSE)</f>
        <v>0</v>
      </c>
      <c r="AJ408" s="2">
        <f>VLOOKUP($A408,'[2]App C Share Inflows'!$A$4:$I$917,6,FALSE)</f>
        <v>0</v>
      </c>
      <c r="AK408" s="2">
        <f>VLOOKUP($A408,'[2]App C Share Inflows'!$A$4:$I$917,7,FALSE)</f>
        <v>0</v>
      </c>
      <c r="AL408" s="2">
        <f>VLOOKUP($A408,'[2]App C Share Inflows'!$A$4:$I$917,8,FALSE)</f>
        <v>0</v>
      </c>
      <c r="AM408" s="2">
        <f>VLOOKUP($A408,'[2]App C Share Inflows'!$A$4:$I$917,6,FALSE)</f>
        <v>0</v>
      </c>
    </row>
    <row r="409" spans="1:39">
      <c r="A409" s="351">
        <v>94101</v>
      </c>
      <c r="B409" s="344" t="s">
        <v>1102</v>
      </c>
      <c r="C409" s="235" t="e">
        <f>VLOOKUP(A409,#REF!,10,FALSE)</f>
        <v>#REF!</v>
      </c>
      <c r="E409" s="2">
        <f>VLOOKUP($A409,'[2]App C Total'!$A$4:$I$917,5,FALSE)</f>
        <v>8495628</v>
      </c>
      <c r="F409" s="2">
        <f>VLOOKUP($A409,'[2]App C Total'!$A$4:$I$917,6,FALSE)</f>
        <v>2639351</v>
      </c>
      <c r="G409" s="2">
        <f>VLOOKUP($A409,'[2]App C Total'!$A$4:$I$917,7,FALSE)</f>
        <v>4669716</v>
      </c>
      <c r="H409" s="2">
        <f>VLOOKUP($A409,'[2]App C Total'!$A$4:$I$917,8,FALSE)</f>
        <v>1305037</v>
      </c>
      <c r="I409" s="2">
        <f>VLOOKUP($A409,'[2]App C Total'!$A$4:$I$917,9,FALSE)</f>
        <v>0</v>
      </c>
      <c r="J409" s="2"/>
      <c r="K409" s="2">
        <f>VLOOKUP($A409,'[2]App C Exp'!$A$4:$I$917,5,FALSE)</f>
        <v>2659179</v>
      </c>
      <c r="L409" s="2">
        <f>VLOOKUP($A409,'[2]App C Exp'!$A$4:$I$917,6,FALSE)</f>
        <v>2501429</v>
      </c>
      <c r="M409" s="2">
        <f>VLOOKUP($A409,'[2]App C Exp'!$A$4:$I$917,7,FALSE)</f>
        <v>2242002</v>
      </c>
      <c r="N409" s="2">
        <f>VLOOKUP($A409,'[2]App C Exp'!$A$4:$I$917,8,FALSE)</f>
        <v>897671</v>
      </c>
      <c r="O409" s="2">
        <f>VLOOKUP($A409,'[2]App C Exp'!$A$4:$I$917,9,FALSE)</f>
        <v>0</v>
      </c>
      <c r="P409" s="2"/>
      <c r="Q409" s="2">
        <f>VLOOKUP($A409,'[2]App C Inv'!$A$4:$I$917,5,FALSE)</f>
        <v>2823089</v>
      </c>
      <c r="R409" s="2">
        <f>VLOOKUP($A409,'[2]App C Inv'!$A$4:$I$917,6,FALSE)</f>
        <v>-2428385</v>
      </c>
      <c r="S409" s="2">
        <f>VLOOKUP($A409,'[2]App C Inv'!$A$4:$I$917,7,FALSE)</f>
        <v>342251</v>
      </c>
      <c r="T409" s="2">
        <f>VLOOKUP($A409,'[2]App C Inv'!$A$4:$I$917,8,FALSE)</f>
        <v>445436</v>
      </c>
      <c r="U409" s="2">
        <f>VLOOKUP($A409,'[2]App C Inv'!$A$4:$I$917,9,FALSE)</f>
        <v>0</v>
      </c>
      <c r="V409" s="2"/>
      <c r="W409" s="2">
        <f>VLOOKUP($A409,'[2]App C Assum'!$A$4:$I$917,5,FALSE)</f>
        <v>3180251</v>
      </c>
      <c r="X409" s="2">
        <f>VLOOKUP($A409,'[2]App C Assum'!$A$4:$I$917,6,FALSE)</f>
        <v>2605377</v>
      </c>
      <c r="Y409" s="2">
        <f>VLOOKUP($A409,'[2]App C Assum'!$A$4:$I$917,7,FALSE)</f>
        <v>2115120</v>
      </c>
      <c r="Z409" s="2">
        <f>VLOOKUP($A409,'[2]App C Assum'!$A$4:$I$917,8,FALSE)</f>
        <v>0</v>
      </c>
      <c r="AA409" s="2">
        <f>VLOOKUP($A409,'[2]App C Assum'!$A$4:$I$917,9,FALSE)</f>
        <v>0</v>
      </c>
      <c r="AB409" s="2"/>
      <c r="AC409" s="2">
        <f>VLOOKUP($A409,'[2]App C Share Outflows'!$A$4:$I$917,5,FALSE)</f>
        <v>8414</v>
      </c>
      <c r="AD409" s="2">
        <f>VLOOKUP($A409,'[2]App C Share Outflows'!$A$4:$I$917,6,FALSE)</f>
        <v>8414</v>
      </c>
      <c r="AE409" s="2">
        <f>VLOOKUP($A409,'[2]App C Share Outflows'!$A$4:$I$917,7,FALSE)</f>
        <v>8414</v>
      </c>
      <c r="AF409" s="2">
        <f>VLOOKUP($A409,'[2]App C Share Outflows'!$A$4:$I$917,8,FALSE)</f>
        <v>0</v>
      </c>
      <c r="AG409" s="2">
        <f>VLOOKUP($A409,'[2]App C Share Outflows'!$A$4:$I$917,9,FALSE)</f>
        <v>0</v>
      </c>
      <c r="AH409" s="2"/>
      <c r="AI409" s="2">
        <f>VLOOKUP($A409,'[2]App C Share Inflows'!$A$4:$I$917,5,FALSE)</f>
        <v>-175305</v>
      </c>
      <c r="AJ409" s="2">
        <f>VLOOKUP($A409,'[2]App C Share Inflows'!$A$4:$I$917,6,FALSE)</f>
        <v>-47484</v>
      </c>
      <c r="AK409" s="2">
        <f>VLOOKUP($A409,'[2]App C Share Inflows'!$A$4:$I$917,7,FALSE)</f>
        <v>-38071</v>
      </c>
      <c r="AL409" s="2">
        <f>VLOOKUP($A409,'[2]App C Share Inflows'!$A$4:$I$917,8,FALSE)</f>
        <v>-38070</v>
      </c>
      <c r="AM409" s="2">
        <f>VLOOKUP($A409,'[2]App C Share Inflows'!$A$4:$I$917,6,FALSE)</f>
        <v>-47484</v>
      </c>
    </row>
    <row r="410" spans="1:39">
      <c r="A410" s="351">
        <v>94102</v>
      </c>
      <c r="B410" s="344" t="s">
        <v>1103</v>
      </c>
      <c r="C410" s="235" t="e">
        <f>VLOOKUP(A410,#REF!,10,FALSE)</f>
        <v>#REF!</v>
      </c>
      <c r="E410" s="2">
        <f>VLOOKUP($A410,'[2]App C Total'!$A$4:$I$917,5,FALSE)</f>
        <v>152404</v>
      </c>
      <c r="F410" s="2">
        <f>VLOOKUP($A410,'[2]App C Total'!$A$4:$I$917,6,FALSE)</f>
        <v>42746</v>
      </c>
      <c r="G410" s="2">
        <f>VLOOKUP($A410,'[2]App C Total'!$A$4:$I$917,7,FALSE)</f>
        <v>84110</v>
      </c>
      <c r="H410" s="2">
        <f>VLOOKUP($A410,'[2]App C Total'!$A$4:$I$917,8,FALSE)</f>
        <v>27759</v>
      </c>
      <c r="I410" s="2">
        <f>VLOOKUP($A410,'[2]App C Total'!$A$4:$I$917,9,FALSE)</f>
        <v>0</v>
      </c>
      <c r="J410" s="2"/>
      <c r="K410" s="2">
        <f>VLOOKUP($A410,'[2]App C Exp'!$A$4:$I$917,5,FALSE)</f>
        <v>50710</v>
      </c>
      <c r="L410" s="2">
        <f>VLOOKUP($A410,'[2]App C Exp'!$A$4:$I$917,6,FALSE)</f>
        <v>47701</v>
      </c>
      <c r="M410" s="2">
        <f>VLOOKUP($A410,'[2]App C Exp'!$A$4:$I$917,7,FALSE)</f>
        <v>42754</v>
      </c>
      <c r="N410" s="2">
        <f>VLOOKUP($A410,'[2]App C Exp'!$A$4:$I$917,8,FALSE)</f>
        <v>17118</v>
      </c>
      <c r="O410" s="2">
        <f>VLOOKUP($A410,'[2]App C Exp'!$A$4:$I$917,9,FALSE)</f>
        <v>0</v>
      </c>
      <c r="P410" s="2"/>
      <c r="Q410" s="2">
        <f>VLOOKUP($A410,'[2]App C Inv'!$A$4:$I$917,5,FALSE)</f>
        <v>53835</v>
      </c>
      <c r="R410" s="2">
        <f>VLOOKUP($A410,'[2]App C Inv'!$A$4:$I$917,6,FALSE)</f>
        <v>-46308</v>
      </c>
      <c r="S410" s="2">
        <f>VLOOKUP($A410,'[2]App C Inv'!$A$4:$I$917,7,FALSE)</f>
        <v>6527</v>
      </c>
      <c r="T410" s="2">
        <f>VLOOKUP($A410,'[2]App C Inv'!$A$4:$I$917,8,FALSE)</f>
        <v>8494</v>
      </c>
      <c r="U410" s="2">
        <f>VLOOKUP($A410,'[2]App C Inv'!$A$4:$I$917,9,FALSE)</f>
        <v>0</v>
      </c>
      <c r="V410" s="2"/>
      <c r="W410" s="2">
        <f>VLOOKUP($A410,'[2]App C Assum'!$A$4:$I$917,5,FALSE)</f>
        <v>60646</v>
      </c>
      <c r="X410" s="2">
        <f>VLOOKUP($A410,'[2]App C Assum'!$A$4:$I$917,6,FALSE)</f>
        <v>49684</v>
      </c>
      <c r="Y410" s="2">
        <f>VLOOKUP($A410,'[2]App C Assum'!$A$4:$I$917,7,FALSE)</f>
        <v>40335</v>
      </c>
      <c r="Z410" s="2">
        <f>VLOOKUP($A410,'[2]App C Assum'!$A$4:$I$917,8,FALSE)</f>
        <v>0</v>
      </c>
      <c r="AA410" s="2">
        <f>VLOOKUP($A410,'[2]App C Assum'!$A$4:$I$917,9,FALSE)</f>
        <v>0</v>
      </c>
      <c r="AB410" s="2"/>
      <c r="AC410" s="2">
        <f>VLOOKUP($A410,'[2]App C Share Outflows'!$A$4:$I$917,5,FALSE)</f>
        <v>2146</v>
      </c>
      <c r="AD410" s="2">
        <f>VLOOKUP($A410,'[2]App C Share Outflows'!$A$4:$I$917,6,FALSE)</f>
        <v>2146</v>
      </c>
      <c r="AE410" s="2">
        <f>VLOOKUP($A410,'[2]App C Share Outflows'!$A$4:$I$917,7,FALSE)</f>
        <v>2146</v>
      </c>
      <c r="AF410" s="2">
        <f>VLOOKUP($A410,'[2]App C Share Outflows'!$A$4:$I$917,8,FALSE)</f>
        <v>2147</v>
      </c>
      <c r="AG410" s="2">
        <f>VLOOKUP($A410,'[2]App C Share Outflows'!$A$4:$I$917,9,FALSE)</f>
        <v>0</v>
      </c>
      <c r="AH410" s="2"/>
      <c r="AI410" s="2">
        <f>VLOOKUP($A410,'[2]App C Share Inflows'!$A$4:$I$917,5,FALSE)</f>
        <v>-14933</v>
      </c>
      <c r="AJ410" s="2">
        <f>VLOOKUP($A410,'[2]App C Share Inflows'!$A$4:$I$917,6,FALSE)</f>
        <v>-10477</v>
      </c>
      <c r="AK410" s="2">
        <f>VLOOKUP($A410,'[2]App C Share Inflows'!$A$4:$I$917,7,FALSE)</f>
        <v>-7652</v>
      </c>
      <c r="AL410" s="2">
        <f>VLOOKUP($A410,'[2]App C Share Inflows'!$A$4:$I$917,8,FALSE)</f>
        <v>0</v>
      </c>
      <c r="AM410" s="2">
        <f>VLOOKUP($A410,'[2]App C Share Inflows'!$A$4:$I$917,6,FALSE)</f>
        <v>-10477</v>
      </c>
    </row>
    <row r="411" spans="1:39">
      <c r="A411" s="351">
        <v>94108</v>
      </c>
      <c r="B411" s="344" t="s">
        <v>3678</v>
      </c>
      <c r="C411" s="235" t="e">
        <f>VLOOKUP(A411,#REF!,10,FALSE)</f>
        <v>#REF!</v>
      </c>
      <c r="E411" s="2">
        <f>VLOOKUP($A411,'[2]App C Total'!$A$4:$I$917,5,FALSE)</f>
        <v>157519</v>
      </c>
      <c r="F411" s="2">
        <f>VLOOKUP($A411,'[2]App C Total'!$A$4:$I$917,6,FALSE)</f>
        <v>43499</v>
      </c>
      <c r="G411" s="2">
        <f>VLOOKUP($A411,'[2]App C Total'!$A$4:$I$917,7,FALSE)</f>
        <v>94033</v>
      </c>
      <c r="H411" s="2">
        <f>VLOOKUP($A411,'[2]App C Total'!$A$4:$I$917,8,FALSE)</f>
        <v>18236</v>
      </c>
      <c r="I411" s="2">
        <f>VLOOKUP($A411,'[2]App C Total'!$A$4:$I$917,9,FALSE)</f>
        <v>0</v>
      </c>
      <c r="J411" s="2"/>
      <c r="K411" s="2">
        <f>VLOOKUP($A411,'[2]App C Exp'!$A$4:$I$917,5,FALSE)</f>
        <v>57361</v>
      </c>
      <c r="L411" s="2">
        <f>VLOOKUP($A411,'[2]App C Exp'!$A$4:$I$917,6,FALSE)</f>
        <v>53958</v>
      </c>
      <c r="M411" s="2">
        <f>VLOOKUP($A411,'[2]App C Exp'!$A$4:$I$917,7,FALSE)</f>
        <v>48362</v>
      </c>
      <c r="N411" s="2">
        <f>VLOOKUP($A411,'[2]App C Exp'!$A$4:$I$917,8,FALSE)</f>
        <v>19364</v>
      </c>
      <c r="O411" s="2">
        <f>VLOOKUP($A411,'[2]App C Exp'!$A$4:$I$917,9,FALSE)</f>
        <v>0</v>
      </c>
      <c r="P411" s="2"/>
      <c r="Q411" s="2">
        <f>VLOOKUP($A411,'[2]App C Inv'!$A$4:$I$917,5,FALSE)</f>
        <v>60897</v>
      </c>
      <c r="R411" s="2">
        <f>VLOOKUP($A411,'[2]App C Inv'!$A$4:$I$917,6,FALSE)</f>
        <v>-52383</v>
      </c>
      <c r="S411" s="2">
        <f>VLOOKUP($A411,'[2]App C Inv'!$A$4:$I$917,7,FALSE)</f>
        <v>7383</v>
      </c>
      <c r="T411" s="2">
        <f>VLOOKUP($A411,'[2]App C Inv'!$A$4:$I$917,8,FALSE)</f>
        <v>9608</v>
      </c>
      <c r="U411" s="2">
        <f>VLOOKUP($A411,'[2]App C Inv'!$A$4:$I$917,9,FALSE)</f>
        <v>0</v>
      </c>
      <c r="V411" s="2"/>
      <c r="W411" s="2">
        <f>VLOOKUP($A411,'[2]App C Assum'!$A$4:$I$917,5,FALSE)</f>
        <v>68601</v>
      </c>
      <c r="X411" s="2">
        <f>VLOOKUP($A411,'[2]App C Assum'!$A$4:$I$917,6,FALSE)</f>
        <v>56201</v>
      </c>
      <c r="Y411" s="2">
        <f>VLOOKUP($A411,'[2]App C Assum'!$A$4:$I$917,7,FALSE)</f>
        <v>45625</v>
      </c>
      <c r="Z411" s="2">
        <f>VLOOKUP($A411,'[2]App C Assum'!$A$4:$I$917,8,FALSE)</f>
        <v>0</v>
      </c>
      <c r="AA411" s="2">
        <f>VLOOKUP($A411,'[2]App C Assum'!$A$4:$I$917,9,FALSE)</f>
        <v>0</v>
      </c>
      <c r="AB411" s="2"/>
      <c r="AC411" s="2">
        <f>VLOOKUP($A411,'[2]App C Share Outflows'!$A$4:$I$917,5,FALSE)</f>
        <v>3396</v>
      </c>
      <c r="AD411" s="2">
        <f>VLOOKUP($A411,'[2]App C Share Outflows'!$A$4:$I$917,6,FALSE)</f>
        <v>3396</v>
      </c>
      <c r="AE411" s="2">
        <f>VLOOKUP($A411,'[2]App C Share Outflows'!$A$4:$I$917,7,FALSE)</f>
        <v>3398</v>
      </c>
      <c r="AF411" s="2">
        <f>VLOOKUP($A411,'[2]App C Share Outflows'!$A$4:$I$917,8,FALSE)</f>
        <v>0</v>
      </c>
      <c r="AG411" s="2">
        <f>VLOOKUP($A411,'[2]App C Share Outflows'!$A$4:$I$917,9,FALSE)</f>
        <v>0</v>
      </c>
      <c r="AH411" s="2"/>
      <c r="AI411" s="2">
        <f>VLOOKUP($A411,'[2]App C Share Inflows'!$A$4:$I$917,5,FALSE)</f>
        <v>-32736</v>
      </c>
      <c r="AJ411" s="2">
        <f>VLOOKUP($A411,'[2]App C Share Inflows'!$A$4:$I$917,6,FALSE)</f>
        <v>-17673</v>
      </c>
      <c r="AK411" s="2">
        <f>VLOOKUP($A411,'[2]App C Share Inflows'!$A$4:$I$917,7,FALSE)</f>
        <v>-10735</v>
      </c>
      <c r="AL411" s="2">
        <f>VLOOKUP($A411,'[2]App C Share Inflows'!$A$4:$I$917,8,FALSE)</f>
        <v>-10736</v>
      </c>
      <c r="AM411" s="2">
        <f>VLOOKUP($A411,'[2]App C Share Inflows'!$A$4:$I$917,6,FALSE)</f>
        <v>-17673</v>
      </c>
    </row>
    <row r="412" spans="1:39">
      <c r="A412" s="351">
        <v>94109</v>
      </c>
      <c r="B412" s="344" t="s">
        <v>3679</v>
      </c>
      <c r="C412" s="235" t="e">
        <f>VLOOKUP(A412,#REF!,10,FALSE)</f>
        <v>#REF!</v>
      </c>
      <c r="E412" s="2">
        <f>VLOOKUP($A412,'[2]App C Total'!$A$4:$I$917,5,FALSE)</f>
        <v>37902</v>
      </c>
      <c r="F412" s="2">
        <f>VLOOKUP($A412,'[2]App C Total'!$A$4:$I$917,6,FALSE)</f>
        <v>8539</v>
      </c>
      <c r="G412" s="2">
        <f>VLOOKUP($A412,'[2]App C Total'!$A$4:$I$917,7,FALSE)</f>
        <v>24670</v>
      </c>
      <c r="H412" s="2">
        <f>VLOOKUP($A412,'[2]App C Total'!$A$4:$I$917,8,FALSE)</f>
        <v>6299</v>
      </c>
      <c r="I412" s="2">
        <f>VLOOKUP($A412,'[2]App C Total'!$A$4:$I$917,9,FALSE)</f>
        <v>0</v>
      </c>
      <c r="J412" s="2"/>
      <c r="K412" s="2">
        <f>VLOOKUP($A412,'[2]App C Exp'!$A$4:$I$917,5,FALSE)</f>
        <v>15700</v>
      </c>
      <c r="L412" s="2">
        <f>VLOOKUP($A412,'[2]App C Exp'!$A$4:$I$917,6,FALSE)</f>
        <v>14768</v>
      </c>
      <c r="M412" s="2">
        <f>VLOOKUP($A412,'[2]App C Exp'!$A$4:$I$917,7,FALSE)</f>
        <v>13237</v>
      </c>
      <c r="N412" s="2">
        <f>VLOOKUP($A412,'[2]App C Exp'!$A$4:$I$917,8,FALSE)</f>
        <v>5300</v>
      </c>
      <c r="O412" s="2">
        <f>VLOOKUP($A412,'[2]App C Exp'!$A$4:$I$917,9,FALSE)</f>
        <v>0</v>
      </c>
      <c r="P412" s="2"/>
      <c r="Q412" s="2">
        <f>VLOOKUP($A412,'[2]App C Inv'!$A$4:$I$917,5,FALSE)</f>
        <v>16667</v>
      </c>
      <c r="R412" s="2">
        <f>VLOOKUP($A412,'[2]App C Inv'!$A$4:$I$917,6,FALSE)</f>
        <v>-14337</v>
      </c>
      <c r="S412" s="2">
        <f>VLOOKUP($A412,'[2]App C Inv'!$A$4:$I$917,7,FALSE)</f>
        <v>2021</v>
      </c>
      <c r="T412" s="2">
        <f>VLOOKUP($A412,'[2]App C Inv'!$A$4:$I$917,8,FALSE)</f>
        <v>2630</v>
      </c>
      <c r="U412" s="2">
        <f>VLOOKUP($A412,'[2]App C Inv'!$A$4:$I$917,9,FALSE)</f>
        <v>0</v>
      </c>
      <c r="V412" s="2"/>
      <c r="W412" s="2">
        <f>VLOOKUP($A412,'[2]App C Assum'!$A$4:$I$917,5,FALSE)</f>
        <v>18776</v>
      </c>
      <c r="X412" s="2">
        <f>VLOOKUP($A412,'[2]App C Assum'!$A$4:$I$917,6,FALSE)</f>
        <v>15382</v>
      </c>
      <c r="Y412" s="2">
        <f>VLOOKUP($A412,'[2]App C Assum'!$A$4:$I$917,7,FALSE)</f>
        <v>12488</v>
      </c>
      <c r="Z412" s="2">
        <f>VLOOKUP($A412,'[2]App C Assum'!$A$4:$I$917,8,FALSE)</f>
        <v>0</v>
      </c>
      <c r="AA412" s="2">
        <f>VLOOKUP($A412,'[2]App C Assum'!$A$4:$I$917,9,FALSE)</f>
        <v>0</v>
      </c>
      <c r="AB412" s="2"/>
      <c r="AC412" s="2">
        <f>VLOOKUP($A412,'[2]App C Share Outflows'!$A$4:$I$917,5,FALSE)</f>
        <v>0</v>
      </c>
      <c r="AD412" s="2">
        <f>VLOOKUP($A412,'[2]App C Share Outflows'!$A$4:$I$917,6,FALSE)</f>
        <v>0</v>
      </c>
      <c r="AE412" s="2">
        <f>VLOOKUP($A412,'[2]App C Share Outflows'!$A$4:$I$917,7,FALSE)</f>
        <v>0</v>
      </c>
      <c r="AF412" s="2">
        <f>VLOOKUP($A412,'[2]App C Share Outflows'!$A$4:$I$917,8,FALSE)</f>
        <v>0</v>
      </c>
      <c r="AG412" s="2">
        <f>VLOOKUP($A412,'[2]App C Share Outflows'!$A$4:$I$917,9,FALSE)</f>
        <v>0</v>
      </c>
      <c r="AH412" s="2"/>
      <c r="AI412" s="2">
        <f>VLOOKUP($A412,'[2]App C Share Inflows'!$A$4:$I$917,5,FALSE)</f>
        <v>-13241</v>
      </c>
      <c r="AJ412" s="2">
        <f>VLOOKUP($A412,'[2]App C Share Inflows'!$A$4:$I$917,6,FALSE)</f>
        <v>-7274</v>
      </c>
      <c r="AK412" s="2">
        <f>VLOOKUP($A412,'[2]App C Share Inflows'!$A$4:$I$917,7,FALSE)</f>
        <v>-3076</v>
      </c>
      <c r="AL412" s="2">
        <f>VLOOKUP($A412,'[2]App C Share Inflows'!$A$4:$I$917,8,FALSE)</f>
        <v>-1631</v>
      </c>
      <c r="AM412" s="2">
        <f>VLOOKUP($A412,'[2]App C Share Inflows'!$A$4:$I$917,6,FALSE)</f>
        <v>-7274</v>
      </c>
    </row>
    <row r="413" spans="1:39">
      <c r="A413" s="351">
        <v>94111</v>
      </c>
      <c r="B413" s="344" t="s">
        <v>1106</v>
      </c>
      <c r="C413" s="235" t="e">
        <f>VLOOKUP(A413,#REF!,10,FALSE)</f>
        <v>#REF!</v>
      </c>
      <c r="E413" s="2">
        <f>VLOOKUP($A413,'[2]App C Total'!$A$4:$I$917,5,FALSE)</f>
        <v>11660647</v>
      </c>
      <c r="F413" s="2">
        <f>VLOOKUP($A413,'[2]App C Total'!$A$4:$I$917,6,FALSE)</f>
        <v>3492228</v>
      </c>
      <c r="G413" s="2">
        <f>VLOOKUP($A413,'[2]App C Total'!$A$4:$I$917,7,FALSE)</f>
        <v>6433776</v>
      </c>
      <c r="H413" s="2">
        <f>VLOOKUP($A413,'[2]App C Total'!$A$4:$I$917,8,FALSE)</f>
        <v>1872282</v>
      </c>
      <c r="I413" s="2">
        <f>VLOOKUP($A413,'[2]App C Total'!$A$4:$I$917,9,FALSE)</f>
        <v>0</v>
      </c>
      <c r="J413" s="2"/>
      <c r="K413" s="2">
        <f>VLOOKUP($A413,'[2]App C Exp'!$A$4:$I$917,5,FALSE)</f>
        <v>3746598</v>
      </c>
      <c r="L413" s="2">
        <f>VLOOKUP($A413,'[2]App C Exp'!$A$4:$I$917,6,FALSE)</f>
        <v>3524339</v>
      </c>
      <c r="M413" s="2">
        <f>VLOOKUP($A413,'[2]App C Exp'!$A$4:$I$917,7,FALSE)</f>
        <v>3158825</v>
      </c>
      <c r="N413" s="2">
        <f>VLOOKUP($A413,'[2]App C Exp'!$A$4:$I$917,8,FALSE)</f>
        <v>1264755</v>
      </c>
      <c r="O413" s="2">
        <f>VLOOKUP($A413,'[2]App C Exp'!$A$4:$I$917,9,FALSE)</f>
        <v>0</v>
      </c>
      <c r="P413" s="2"/>
      <c r="Q413" s="2">
        <f>VLOOKUP($A413,'[2]App C Inv'!$A$4:$I$917,5,FALSE)</f>
        <v>3977536</v>
      </c>
      <c r="R413" s="2">
        <f>VLOOKUP($A413,'[2]App C Inv'!$A$4:$I$917,6,FALSE)</f>
        <v>-3421425</v>
      </c>
      <c r="S413" s="2">
        <f>VLOOKUP($A413,'[2]App C Inv'!$A$4:$I$917,7,FALSE)</f>
        <v>482208</v>
      </c>
      <c r="T413" s="2">
        <f>VLOOKUP($A413,'[2]App C Inv'!$A$4:$I$917,8,FALSE)</f>
        <v>627588</v>
      </c>
      <c r="U413" s="2">
        <f>VLOOKUP($A413,'[2]App C Inv'!$A$4:$I$917,9,FALSE)</f>
        <v>0</v>
      </c>
      <c r="V413" s="2"/>
      <c r="W413" s="2">
        <f>VLOOKUP($A413,'[2]App C Assum'!$A$4:$I$917,5,FALSE)</f>
        <v>4480752</v>
      </c>
      <c r="X413" s="2">
        <f>VLOOKUP($A413,'[2]App C Assum'!$A$4:$I$917,6,FALSE)</f>
        <v>3670794</v>
      </c>
      <c r="Y413" s="2">
        <f>VLOOKUP($A413,'[2]App C Assum'!$A$4:$I$917,7,FALSE)</f>
        <v>2980057</v>
      </c>
      <c r="Z413" s="2">
        <f>VLOOKUP($A413,'[2]App C Assum'!$A$4:$I$917,8,FALSE)</f>
        <v>0</v>
      </c>
      <c r="AA413" s="2">
        <f>VLOOKUP($A413,'[2]App C Assum'!$A$4:$I$917,9,FALSE)</f>
        <v>0</v>
      </c>
      <c r="AB413" s="2"/>
      <c r="AC413" s="2">
        <f>VLOOKUP($A413,'[2]App C Share Outflows'!$A$4:$I$917,5,FALSE)</f>
        <v>0</v>
      </c>
      <c r="AD413" s="2">
        <f>VLOOKUP($A413,'[2]App C Share Outflows'!$A$4:$I$917,6,FALSE)</f>
        <v>0</v>
      </c>
      <c r="AE413" s="2">
        <f>VLOOKUP($A413,'[2]App C Share Outflows'!$A$4:$I$917,7,FALSE)</f>
        <v>0</v>
      </c>
      <c r="AF413" s="2">
        <f>VLOOKUP($A413,'[2]App C Share Outflows'!$A$4:$I$917,8,FALSE)</f>
        <v>0</v>
      </c>
      <c r="AG413" s="2">
        <f>VLOOKUP($A413,'[2]App C Share Outflows'!$A$4:$I$917,9,FALSE)</f>
        <v>0</v>
      </c>
      <c r="AH413" s="2"/>
      <c r="AI413" s="2">
        <f>VLOOKUP($A413,'[2]App C Share Inflows'!$A$4:$I$917,5,FALSE)</f>
        <v>-544239</v>
      </c>
      <c r="AJ413" s="2">
        <f>VLOOKUP($A413,'[2]App C Share Inflows'!$A$4:$I$917,6,FALSE)</f>
        <v>-281480</v>
      </c>
      <c r="AK413" s="2">
        <f>VLOOKUP($A413,'[2]App C Share Inflows'!$A$4:$I$917,7,FALSE)</f>
        <v>-187314</v>
      </c>
      <c r="AL413" s="2">
        <f>VLOOKUP($A413,'[2]App C Share Inflows'!$A$4:$I$917,8,FALSE)</f>
        <v>-20061</v>
      </c>
      <c r="AM413" s="2">
        <f>VLOOKUP($A413,'[2]App C Share Inflows'!$A$4:$I$917,6,FALSE)</f>
        <v>-281480</v>
      </c>
    </row>
    <row r="414" spans="1:39">
      <c r="A414" s="351">
        <v>94112</v>
      </c>
      <c r="B414" s="344" t="s">
        <v>3680</v>
      </c>
      <c r="C414" s="235" t="e">
        <f>VLOOKUP(A414,#REF!,10,FALSE)</f>
        <v>#REF!</v>
      </c>
      <c r="E414" s="2">
        <f>VLOOKUP($A414,'[2]App C Total'!$A$4:$I$917,5,FALSE)</f>
        <v>76805</v>
      </c>
      <c r="F414" s="2">
        <f>VLOOKUP($A414,'[2]App C Total'!$A$4:$I$917,6,FALSE)</f>
        <v>22036</v>
      </c>
      <c r="G414" s="2">
        <f>VLOOKUP($A414,'[2]App C Total'!$A$4:$I$917,7,FALSE)</f>
        <v>42564</v>
      </c>
      <c r="H414" s="2">
        <f>VLOOKUP($A414,'[2]App C Total'!$A$4:$I$917,8,FALSE)</f>
        <v>11554</v>
      </c>
      <c r="I414" s="2">
        <f>VLOOKUP($A414,'[2]App C Total'!$A$4:$I$917,9,FALSE)</f>
        <v>0</v>
      </c>
      <c r="J414" s="2"/>
      <c r="K414" s="2">
        <f>VLOOKUP($A414,'[2]App C Exp'!$A$4:$I$917,5,FALSE)</f>
        <v>25272</v>
      </c>
      <c r="L414" s="2">
        <f>VLOOKUP($A414,'[2]App C Exp'!$A$4:$I$917,6,FALSE)</f>
        <v>23773</v>
      </c>
      <c r="M414" s="2">
        <f>VLOOKUP($A414,'[2]App C Exp'!$A$4:$I$917,7,FALSE)</f>
        <v>21308</v>
      </c>
      <c r="N414" s="2">
        <f>VLOOKUP($A414,'[2]App C Exp'!$A$4:$I$917,8,FALSE)</f>
        <v>8531</v>
      </c>
      <c r="O414" s="2">
        <f>VLOOKUP($A414,'[2]App C Exp'!$A$4:$I$917,9,FALSE)</f>
        <v>0</v>
      </c>
      <c r="P414" s="2"/>
      <c r="Q414" s="2">
        <f>VLOOKUP($A414,'[2]App C Inv'!$A$4:$I$917,5,FALSE)</f>
        <v>26830</v>
      </c>
      <c r="R414" s="2">
        <f>VLOOKUP($A414,'[2]App C Inv'!$A$4:$I$917,6,FALSE)</f>
        <v>-23079</v>
      </c>
      <c r="S414" s="2">
        <f>VLOOKUP($A414,'[2]App C Inv'!$A$4:$I$917,7,FALSE)</f>
        <v>3253</v>
      </c>
      <c r="T414" s="2">
        <f>VLOOKUP($A414,'[2]App C Inv'!$A$4:$I$917,8,FALSE)</f>
        <v>4233</v>
      </c>
      <c r="U414" s="2">
        <f>VLOOKUP($A414,'[2]App C Inv'!$A$4:$I$917,9,FALSE)</f>
        <v>0</v>
      </c>
      <c r="V414" s="2"/>
      <c r="W414" s="2">
        <f>VLOOKUP($A414,'[2]App C Assum'!$A$4:$I$917,5,FALSE)</f>
        <v>30225</v>
      </c>
      <c r="X414" s="2">
        <f>VLOOKUP($A414,'[2]App C Assum'!$A$4:$I$917,6,FALSE)</f>
        <v>24761</v>
      </c>
      <c r="Y414" s="2">
        <f>VLOOKUP($A414,'[2]App C Assum'!$A$4:$I$917,7,FALSE)</f>
        <v>20102</v>
      </c>
      <c r="Z414" s="2">
        <f>VLOOKUP($A414,'[2]App C Assum'!$A$4:$I$917,8,FALSE)</f>
        <v>0</v>
      </c>
      <c r="AA414" s="2">
        <f>VLOOKUP($A414,'[2]App C Assum'!$A$4:$I$917,9,FALSE)</f>
        <v>0</v>
      </c>
      <c r="AB414" s="2"/>
      <c r="AC414" s="2">
        <f>VLOOKUP($A414,'[2]App C Share Outflows'!$A$4:$I$917,5,FALSE)</f>
        <v>0</v>
      </c>
      <c r="AD414" s="2">
        <f>VLOOKUP($A414,'[2]App C Share Outflows'!$A$4:$I$917,6,FALSE)</f>
        <v>0</v>
      </c>
      <c r="AE414" s="2">
        <f>VLOOKUP($A414,'[2]App C Share Outflows'!$A$4:$I$917,7,FALSE)</f>
        <v>0</v>
      </c>
      <c r="AF414" s="2">
        <f>VLOOKUP($A414,'[2]App C Share Outflows'!$A$4:$I$917,8,FALSE)</f>
        <v>0</v>
      </c>
      <c r="AG414" s="2">
        <f>VLOOKUP($A414,'[2]App C Share Outflows'!$A$4:$I$917,9,FALSE)</f>
        <v>0</v>
      </c>
      <c r="AH414" s="2"/>
      <c r="AI414" s="2">
        <f>VLOOKUP($A414,'[2]App C Share Inflows'!$A$4:$I$917,5,FALSE)</f>
        <v>-5522</v>
      </c>
      <c r="AJ414" s="2">
        <f>VLOOKUP($A414,'[2]App C Share Inflows'!$A$4:$I$917,6,FALSE)</f>
        <v>-3419</v>
      </c>
      <c r="AK414" s="2">
        <f>VLOOKUP($A414,'[2]App C Share Inflows'!$A$4:$I$917,7,FALSE)</f>
        <v>-2099</v>
      </c>
      <c r="AL414" s="2">
        <f>VLOOKUP($A414,'[2]App C Share Inflows'!$A$4:$I$917,8,FALSE)</f>
        <v>-1210</v>
      </c>
      <c r="AM414" s="2">
        <f>VLOOKUP($A414,'[2]App C Share Inflows'!$A$4:$I$917,6,FALSE)</f>
        <v>-3419</v>
      </c>
    </row>
    <row r="415" spans="1:39">
      <c r="A415" s="351">
        <v>94117</v>
      </c>
      <c r="B415" s="344" t="s">
        <v>2814</v>
      </c>
      <c r="C415" s="235" t="e">
        <f>VLOOKUP(A415,#REF!,10,FALSE)</f>
        <v>#REF!</v>
      </c>
      <c r="E415" s="2">
        <f>VLOOKUP($A415,'[2]App C Total'!$A$4:$I$917,5,FALSE)</f>
        <v>145623</v>
      </c>
      <c r="F415" s="2">
        <f>VLOOKUP($A415,'[2]App C Total'!$A$4:$I$917,6,FALSE)</f>
        <v>38813</v>
      </c>
      <c r="G415" s="2">
        <f>VLOOKUP($A415,'[2]App C Total'!$A$4:$I$917,7,FALSE)</f>
        <v>77721</v>
      </c>
      <c r="H415" s="2">
        <f>VLOOKUP($A415,'[2]App C Total'!$A$4:$I$917,8,FALSE)</f>
        <v>22564</v>
      </c>
      <c r="I415" s="2">
        <f>VLOOKUP($A415,'[2]App C Total'!$A$4:$I$917,9,FALSE)</f>
        <v>0</v>
      </c>
      <c r="J415" s="2"/>
      <c r="K415" s="2">
        <f>VLOOKUP($A415,'[2]App C Exp'!$A$4:$I$917,5,FALSE)</f>
        <v>48418</v>
      </c>
      <c r="L415" s="2">
        <f>VLOOKUP($A415,'[2]App C Exp'!$A$4:$I$917,6,FALSE)</f>
        <v>45545</v>
      </c>
      <c r="M415" s="2">
        <f>VLOOKUP($A415,'[2]App C Exp'!$A$4:$I$917,7,FALSE)</f>
        <v>40822</v>
      </c>
      <c r="N415" s="2">
        <f>VLOOKUP($A415,'[2]App C Exp'!$A$4:$I$917,8,FALSE)</f>
        <v>16345</v>
      </c>
      <c r="O415" s="2">
        <f>VLOOKUP($A415,'[2]App C Exp'!$A$4:$I$917,9,FALSE)</f>
        <v>0</v>
      </c>
      <c r="P415" s="2"/>
      <c r="Q415" s="2">
        <f>VLOOKUP($A415,'[2]App C Inv'!$A$4:$I$917,5,FALSE)</f>
        <v>51402</v>
      </c>
      <c r="R415" s="2">
        <f>VLOOKUP($A415,'[2]App C Inv'!$A$4:$I$917,6,FALSE)</f>
        <v>-44215</v>
      </c>
      <c r="S415" s="2">
        <f>VLOOKUP($A415,'[2]App C Inv'!$A$4:$I$917,7,FALSE)</f>
        <v>6232</v>
      </c>
      <c r="T415" s="2">
        <f>VLOOKUP($A415,'[2]App C Inv'!$A$4:$I$917,8,FALSE)</f>
        <v>8110</v>
      </c>
      <c r="U415" s="2">
        <f>VLOOKUP($A415,'[2]App C Inv'!$A$4:$I$917,9,FALSE)</f>
        <v>0</v>
      </c>
      <c r="V415" s="2"/>
      <c r="W415" s="2">
        <f>VLOOKUP($A415,'[2]App C Assum'!$A$4:$I$917,5,FALSE)</f>
        <v>57905</v>
      </c>
      <c r="X415" s="2">
        <f>VLOOKUP($A415,'[2]App C Assum'!$A$4:$I$917,6,FALSE)</f>
        <v>47438</v>
      </c>
      <c r="Y415" s="2">
        <f>VLOOKUP($A415,'[2]App C Assum'!$A$4:$I$917,7,FALSE)</f>
        <v>38512</v>
      </c>
      <c r="Z415" s="2">
        <f>VLOOKUP($A415,'[2]App C Assum'!$A$4:$I$917,8,FALSE)</f>
        <v>0</v>
      </c>
      <c r="AA415" s="2">
        <f>VLOOKUP($A415,'[2]App C Assum'!$A$4:$I$917,9,FALSE)</f>
        <v>0</v>
      </c>
      <c r="AB415" s="2"/>
      <c r="AC415" s="2">
        <f>VLOOKUP($A415,'[2]App C Share Outflows'!$A$4:$I$917,5,FALSE)</f>
        <v>0</v>
      </c>
      <c r="AD415" s="2">
        <f>VLOOKUP($A415,'[2]App C Share Outflows'!$A$4:$I$917,6,FALSE)</f>
        <v>0</v>
      </c>
      <c r="AE415" s="2">
        <f>VLOOKUP($A415,'[2]App C Share Outflows'!$A$4:$I$917,7,FALSE)</f>
        <v>0</v>
      </c>
      <c r="AF415" s="2">
        <f>VLOOKUP($A415,'[2]App C Share Outflows'!$A$4:$I$917,8,FALSE)</f>
        <v>0</v>
      </c>
      <c r="AG415" s="2">
        <f>VLOOKUP($A415,'[2]App C Share Outflows'!$A$4:$I$917,9,FALSE)</f>
        <v>0</v>
      </c>
      <c r="AH415" s="2"/>
      <c r="AI415" s="2">
        <f>VLOOKUP($A415,'[2]App C Share Inflows'!$A$4:$I$917,5,FALSE)</f>
        <v>-12102</v>
      </c>
      <c r="AJ415" s="2">
        <f>VLOOKUP($A415,'[2]App C Share Inflows'!$A$4:$I$917,6,FALSE)</f>
        <v>-9955</v>
      </c>
      <c r="AK415" s="2">
        <f>VLOOKUP($A415,'[2]App C Share Inflows'!$A$4:$I$917,7,FALSE)</f>
        <v>-7845</v>
      </c>
      <c r="AL415" s="2">
        <f>VLOOKUP($A415,'[2]App C Share Inflows'!$A$4:$I$917,8,FALSE)</f>
        <v>-1891</v>
      </c>
      <c r="AM415" s="2">
        <f>VLOOKUP($A415,'[2]App C Share Inflows'!$A$4:$I$917,6,FALSE)</f>
        <v>-9955</v>
      </c>
    </row>
    <row r="416" spans="1:39">
      <c r="A416" s="351">
        <v>94118</v>
      </c>
      <c r="B416" s="344" t="s">
        <v>1109</v>
      </c>
      <c r="C416" s="235" t="e">
        <f>VLOOKUP(A416,#REF!,10,FALSE)</f>
        <v>#REF!</v>
      </c>
      <c r="E416" s="2">
        <f>VLOOKUP($A416,'[2]App C Total'!$A$4:$I$917,5,FALSE)</f>
        <v>63479</v>
      </c>
      <c r="F416" s="2">
        <f>VLOOKUP($A416,'[2]App C Total'!$A$4:$I$917,6,FALSE)</f>
        <v>15452</v>
      </c>
      <c r="G416" s="2">
        <f>VLOOKUP($A416,'[2]App C Total'!$A$4:$I$917,7,FALSE)</f>
        <v>38230</v>
      </c>
      <c r="H416" s="2">
        <f>VLOOKUP($A416,'[2]App C Total'!$A$4:$I$917,8,FALSE)</f>
        <v>8807</v>
      </c>
      <c r="I416" s="2">
        <f>VLOOKUP($A416,'[2]App C Total'!$A$4:$I$917,9,FALSE)</f>
        <v>0</v>
      </c>
      <c r="J416" s="2"/>
      <c r="K416" s="2">
        <f>VLOOKUP($A416,'[2]App C Exp'!$A$4:$I$917,5,FALSE)</f>
        <v>23984</v>
      </c>
      <c r="L416" s="2">
        <f>VLOOKUP($A416,'[2]App C Exp'!$A$4:$I$917,6,FALSE)</f>
        <v>22561</v>
      </c>
      <c r="M416" s="2">
        <f>VLOOKUP($A416,'[2]App C Exp'!$A$4:$I$917,7,FALSE)</f>
        <v>20221</v>
      </c>
      <c r="N416" s="2">
        <f>VLOOKUP($A416,'[2]App C Exp'!$A$4:$I$917,8,FALSE)</f>
        <v>8096</v>
      </c>
      <c r="O416" s="2">
        <f>VLOOKUP($A416,'[2]App C Exp'!$A$4:$I$917,9,FALSE)</f>
        <v>0</v>
      </c>
      <c r="P416" s="2"/>
      <c r="Q416" s="2">
        <f>VLOOKUP($A416,'[2]App C Inv'!$A$4:$I$917,5,FALSE)</f>
        <v>25462</v>
      </c>
      <c r="R416" s="2">
        <f>VLOOKUP($A416,'[2]App C Inv'!$A$4:$I$917,6,FALSE)</f>
        <v>-21902</v>
      </c>
      <c r="S416" s="2">
        <f>VLOOKUP($A416,'[2]App C Inv'!$A$4:$I$917,7,FALSE)</f>
        <v>3087</v>
      </c>
      <c r="T416" s="2">
        <f>VLOOKUP($A416,'[2]App C Inv'!$A$4:$I$917,8,FALSE)</f>
        <v>4018</v>
      </c>
      <c r="U416" s="2">
        <f>VLOOKUP($A416,'[2]App C Inv'!$A$4:$I$917,9,FALSE)</f>
        <v>0</v>
      </c>
      <c r="V416" s="2"/>
      <c r="W416" s="2">
        <f>VLOOKUP($A416,'[2]App C Assum'!$A$4:$I$917,5,FALSE)</f>
        <v>28684</v>
      </c>
      <c r="X416" s="2">
        <f>VLOOKUP($A416,'[2]App C Assum'!$A$4:$I$917,6,FALSE)</f>
        <v>23499</v>
      </c>
      <c r="Y416" s="2">
        <f>VLOOKUP($A416,'[2]App C Assum'!$A$4:$I$917,7,FALSE)</f>
        <v>19077</v>
      </c>
      <c r="Z416" s="2">
        <f>VLOOKUP($A416,'[2]App C Assum'!$A$4:$I$917,8,FALSE)</f>
        <v>0</v>
      </c>
      <c r="AA416" s="2">
        <f>VLOOKUP($A416,'[2]App C Assum'!$A$4:$I$917,9,FALSE)</f>
        <v>0</v>
      </c>
      <c r="AB416" s="2"/>
      <c r="AC416" s="2">
        <f>VLOOKUP($A416,'[2]App C Share Outflows'!$A$4:$I$917,5,FALSE)</f>
        <v>0</v>
      </c>
      <c r="AD416" s="2">
        <f>VLOOKUP($A416,'[2]App C Share Outflows'!$A$4:$I$917,6,FALSE)</f>
        <v>0</v>
      </c>
      <c r="AE416" s="2">
        <f>VLOOKUP($A416,'[2]App C Share Outflows'!$A$4:$I$917,7,FALSE)</f>
        <v>0</v>
      </c>
      <c r="AF416" s="2">
        <f>VLOOKUP($A416,'[2]App C Share Outflows'!$A$4:$I$917,8,FALSE)</f>
        <v>0</v>
      </c>
      <c r="AG416" s="2">
        <f>VLOOKUP($A416,'[2]App C Share Outflows'!$A$4:$I$917,9,FALSE)</f>
        <v>0</v>
      </c>
      <c r="AH416" s="2"/>
      <c r="AI416" s="2">
        <f>VLOOKUP($A416,'[2]App C Share Inflows'!$A$4:$I$917,5,FALSE)</f>
        <v>-14651</v>
      </c>
      <c r="AJ416" s="2">
        <f>VLOOKUP($A416,'[2]App C Share Inflows'!$A$4:$I$917,6,FALSE)</f>
        <v>-8706</v>
      </c>
      <c r="AK416" s="2">
        <f>VLOOKUP($A416,'[2]App C Share Inflows'!$A$4:$I$917,7,FALSE)</f>
        <v>-4155</v>
      </c>
      <c r="AL416" s="2">
        <f>VLOOKUP($A416,'[2]App C Share Inflows'!$A$4:$I$917,8,FALSE)</f>
        <v>-3307</v>
      </c>
      <c r="AM416" s="2">
        <f>VLOOKUP($A416,'[2]App C Share Inflows'!$A$4:$I$917,6,FALSE)</f>
        <v>-8706</v>
      </c>
    </row>
    <row r="417" spans="1:39">
      <c r="A417" s="351">
        <v>94121</v>
      </c>
      <c r="B417" s="344" t="s">
        <v>1110</v>
      </c>
      <c r="C417" s="235" t="e">
        <f>VLOOKUP(A417,#REF!,10,FALSE)</f>
        <v>#REF!</v>
      </c>
      <c r="E417" s="2">
        <f>VLOOKUP($A417,'[2]App C Total'!$A$4:$I$917,5,FALSE)</f>
        <v>5411522</v>
      </c>
      <c r="F417" s="2">
        <f>VLOOKUP($A417,'[2]App C Total'!$A$4:$I$917,6,FALSE)</f>
        <v>1722881</v>
      </c>
      <c r="G417" s="2">
        <f>VLOOKUP($A417,'[2]App C Total'!$A$4:$I$917,7,FALSE)</f>
        <v>2978643</v>
      </c>
      <c r="H417" s="2">
        <f>VLOOKUP($A417,'[2]App C Total'!$A$4:$I$917,8,FALSE)</f>
        <v>842943</v>
      </c>
      <c r="I417" s="2">
        <f>VLOOKUP($A417,'[2]App C Total'!$A$4:$I$917,9,FALSE)</f>
        <v>0</v>
      </c>
      <c r="J417" s="2"/>
      <c r="K417" s="2">
        <f>VLOOKUP($A417,'[2]App C Exp'!$A$4:$I$917,5,FALSE)</f>
        <v>1664805</v>
      </c>
      <c r="L417" s="2">
        <f>VLOOKUP($A417,'[2]App C Exp'!$A$4:$I$917,6,FALSE)</f>
        <v>1566044</v>
      </c>
      <c r="M417" s="2">
        <f>VLOOKUP($A417,'[2]App C Exp'!$A$4:$I$917,7,FALSE)</f>
        <v>1403627</v>
      </c>
      <c r="N417" s="2">
        <f>VLOOKUP($A417,'[2]App C Exp'!$A$4:$I$917,8,FALSE)</f>
        <v>561996</v>
      </c>
      <c r="O417" s="2">
        <f>VLOOKUP($A417,'[2]App C Exp'!$A$4:$I$917,9,FALSE)</f>
        <v>0</v>
      </c>
      <c r="P417" s="2"/>
      <c r="Q417" s="2">
        <f>VLOOKUP($A417,'[2]App C Inv'!$A$4:$I$917,5,FALSE)</f>
        <v>1767423</v>
      </c>
      <c r="R417" s="2">
        <f>VLOOKUP($A417,'[2]App C Inv'!$A$4:$I$917,6,FALSE)</f>
        <v>-1520314</v>
      </c>
      <c r="S417" s="2">
        <f>VLOOKUP($A417,'[2]App C Inv'!$A$4:$I$917,7,FALSE)</f>
        <v>214270</v>
      </c>
      <c r="T417" s="2">
        <f>VLOOKUP($A417,'[2]App C Inv'!$A$4:$I$917,8,FALSE)</f>
        <v>278870</v>
      </c>
      <c r="U417" s="2">
        <f>VLOOKUP($A417,'[2]App C Inv'!$A$4:$I$917,9,FALSE)</f>
        <v>0</v>
      </c>
      <c r="V417" s="2"/>
      <c r="W417" s="2">
        <f>VLOOKUP($A417,'[2]App C Assum'!$A$4:$I$917,5,FALSE)</f>
        <v>1991027</v>
      </c>
      <c r="X417" s="2">
        <f>VLOOKUP($A417,'[2]App C Assum'!$A$4:$I$917,6,FALSE)</f>
        <v>1631122</v>
      </c>
      <c r="Y417" s="2">
        <f>VLOOKUP($A417,'[2]App C Assum'!$A$4:$I$917,7,FALSE)</f>
        <v>1324192</v>
      </c>
      <c r="Z417" s="2">
        <f>VLOOKUP($A417,'[2]App C Assum'!$A$4:$I$917,8,FALSE)</f>
        <v>0</v>
      </c>
      <c r="AA417" s="2">
        <f>VLOOKUP($A417,'[2]App C Assum'!$A$4:$I$917,9,FALSE)</f>
        <v>0</v>
      </c>
      <c r="AB417" s="2"/>
      <c r="AC417" s="2">
        <f>VLOOKUP($A417,'[2]App C Share Outflows'!$A$4:$I$917,5,FALSE)</f>
        <v>46027</v>
      </c>
      <c r="AD417" s="2">
        <f>VLOOKUP($A417,'[2]App C Share Outflows'!$A$4:$I$917,6,FALSE)</f>
        <v>46029</v>
      </c>
      <c r="AE417" s="2">
        <f>VLOOKUP($A417,'[2]App C Share Outflows'!$A$4:$I$917,7,FALSE)</f>
        <v>36554</v>
      </c>
      <c r="AF417" s="2">
        <f>VLOOKUP($A417,'[2]App C Share Outflows'!$A$4:$I$917,8,FALSE)</f>
        <v>2077</v>
      </c>
      <c r="AG417" s="2">
        <f>VLOOKUP($A417,'[2]App C Share Outflows'!$A$4:$I$917,9,FALSE)</f>
        <v>0</v>
      </c>
      <c r="AH417" s="2"/>
      <c r="AI417" s="2">
        <f>VLOOKUP($A417,'[2]App C Share Inflows'!$A$4:$I$917,5,FALSE)</f>
        <v>-57760</v>
      </c>
      <c r="AJ417" s="2">
        <f>VLOOKUP($A417,'[2]App C Share Inflows'!$A$4:$I$917,6,FALSE)</f>
        <v>0</v>
      </c>
      <c r="AK417" s="2">
        <f>VLOOKUP($A417,'[2]App C Share Inflows'!$A$4:$I$917,7,FALSE)</f>
        <v>0</v>
      </c>
      <c r="AL417" s="2">
        <f>VLOOKUP($A417,'[2]App C Share Inflows'!$A$4:$I$917,8,FALSE)</f>
        <v>0</v>
      </c>
      <c r="AM417" s="2">
        <f>VLOOKUP($A417,'[2]App C Share Inflows'!$A$4:$I$917,6,FALSE)</f>
        <v>0</v>
      </c>
    </row>
    <row r="418" spans="1:39">
      <c r="A418" s="351">
        <v>94127</v>
      </c>
      <c r="B418" s="344" t="s">
        <v>2812</v>
      </c>
      <c r="C418" s="235" t="e">
        <f>VLOOKUP(A418,#REF!,10,FALSE)</f>
        <v>#REF!</v>
      </c>
      <c r="E418" s="2">
        <f>VLOOKUP($A418,'[2]App C Total'!$A$4:$I$917,5,FALSE)</f>
        <v>67360</v>
      </c>
      <c r="F418" s="2">
        <f>VLOOKUP($A418,'[2]App C Total'!$A$4:$I$917,6,FALSE)</f>
        <v>18520</v>
      </c>
      <c r="G418" s="2">
        <f>VLOOKUP($A418,'[2]App C Total'!$A$4:$I$917,7,FALSE)</f>
        <v>33282</v>
      </c>
      <c r="H418" s="2">
        <f>VLOOKUP($A418,'[2]App C Total'!$A$4:$I$917,8,FALSE)</f>
        <v>9347</v>
      </c>
      <c r="I418" s="2">
        <f>VLOOKUP($A418,'[2]App C Total'!$A$4:$I$917,9,FALSE)</f>
        <v>0</v>
      </c>
      <c r="J418" s="2"/>
      <c r="K418" s="2">
        <f>VLOOKUP($A418,'[2]App C Exp'!$A$4:$I$917,5,FALSE)</f>
        <v>21437</v>
      </c>
      <c r="L418" s="2">
        <f>VLOOKUP($A418,'[2]App C Exp'!$A$4:$I$917,6,FALSE)</f>
        <v>20166</v>
      </c>
      <c r="M418" s="2">
        <f>VLOOKUP($A418,'[2]App C Exp'!$A$4:$I$917,7,FALSE)</f>
        <v>18074</v>
      </c>
      <c r="N418" s="2">
        <f>VLOOKUP($A418,'[2]App C Exp'!$A$4:$I$917,8,FALSE)</f>
        <v>7237</v>
      </c>
      <c r="O418" s="2">
        <f>VLOOKUP($A418,'[2]App C Exp'!$A$4:$I$917,9,FALSE)</f>
        <v>0</v>
      </c>
      <c r="P418" s="2"/>
      <c r="Q418" s="2">
        <f>VLOOKUP($A418,'[2]App C Inv'!$A$4:$I$917,5,FALSE)</f>
        <v>22759</v>
      </c>
      <c r="R418" s="2">
        <f>VLOOKUP($A418,'[2]App C Inv'!$A$4:$I$917,6,FALSE)</f>
        <v>-19577</v>
      </c>
      <c r="S418" s="2">
        <f>VLOOKUP($A418,'[2]App C Inv'!$A$4:$I$917,7,FALSE)</f>
        <v>2759</v>
      </c>
      <c r="T418" s="2">
        <f>VLOOKUP($A418,'[2]App C Inv'!$A$4:$I$917,8,FALSE)</f>
        <v>3591</v>
      </c>
      <c r="U418" s="2">
        <f>VLOOKUP($A418,'[2]App C Inv'!$A$4:$I$917,9,FALSE)</f>
        <v>0</v>
      </c>
      <c r="V418" s="2"/>
      <c r="W418" s="2">
        <f>VLOOKUP($A418,'[2]App C Assum'!$A$4:$I$917,5,FALSE)</f>
        <v>25638</v>
      </c>
      <c r="X418" s="2">
        <f>VLOOKUP($A418,'[2]App C Assum'!$A$4:$I$917,6,FALSE)</f>
        <v>21004</v>
      </c>
      <c r="Y418" s="2">
        <f>VLOOKUP($A418,'[2]App C Assum'!$A$4:$I$917,7,FALSE)</f>
        <v>17051</v>
      </c>
      <c r="Z418" s="2">
        <f>VLOOKUP($A418,'[2]App C Assum'!$A$4:$I$917,8,FALSE)</f>
        <v>0</v>
      </c>
      <c r="AA418" s="2">
        <f>VLOOKUP($A418,'[2]App C Assum'!$A$4:$I$917,9,FALSE)</f>
        <v>0</v>
      </c>
      <c r="AB418" s="2"/>
      <c r="AC418" s="2">
        <f>VLOOKUP($A418,'[2]App C Share Outflows'!$A$4:$I$917,5,FALSE)</f>
        <v>2126</v>
      </c>
      <c r="AD418" s="2">
        <f>VLOOKUP($A418,'[2]App C Share Outflows'!$A$4:$I$917,6,FALSE)</f>
        <v>1527</v>
      </c>
      <c r="AE418" s="2">
        <f>VLOOKUP($A418,'[2]App C Share Outflows'!$A$4:$I$917,7,FALSE)</f>
        <v>0</v>
      </c>
      <c r="AF418" s="2">
        <f>VLOOKUP($A418,'[2]App C Share Outflows'!$A$4:$I$917,8,FALSE)</f>
        <v>0</v>
      </c>
      <c r="AG418" s="2">
        <f>VLOOKUP($A418,'[2]App C Share Outflows'!$A$4:$I$917,9,FALSE)</f>
        <v>0</v>
      </c>
      <c r="AH418" s="2"/>
      <c r="AI418" s="2">
        <f>VLOOKUP($A418,'[2]App C Share Inflows'!$A$4:$I$917,5,FALSE)</f>
        <v>-4600</v>
      </c>
      <c r="AJ418" s="2">
        <f>VLOOKUP($A418,'[2]App C Share Inflows'!$A$4:$I$917,6,FALSE)</f>
        <v>-4600</v>
      </c>
      <c r="AK418" s="2">
        <f>VLOOKUP($A418,'[2]App C Share Inflows'!$A$4:$I$917,7,FALSE)</f>
        <v>-4602</v>
      </c>
      <c r="AL418" s="2">
        <f>VLOOKUP($A418,'[2]App C Share Inflows'!$A$4:$I$917,8,FALSE)</f>
        <v>-1481</v>
      </c>
      <c r="AM418" s="2">
        <f>VLOOKUP($A418,'[2]App C Share Inflows'!$A$4:$I$917,6,FALSE)</f>
        <v>-4600</v>
      </c>
    </row>
    <row r="419" spans="1:39">
      <c r="A419" s="351">
        <v>94131</v>
      </c>
      <c r="B419" s="344" t="s">
        <v>1112</v>
      </c>
      <c r="C419" s="235" t="e">
        <f>VLOOKUP(A419,#REF!,10,FALSE)</f>
        <v>#REF!</v>
      </c>
      <c r="E419" s="2">
        <f>VLOOKUP($A419,'[2]App C Total'!$A$4:$I$917,5,FALSE)</f>
        <v>108195</v>
      </c>
      <c r="F419" s="2">
        <f>VLOOKUP($A419,'[2]App C Total'!$A$4:$I$917,6,FALSE)</f>
        <v>37134</v>
      </c>
      <c r="G419" s="2">
        <f>VLOOKUP($A419,'[2]App C Total'!$A$4:$I$917,7,FALSE)</f>
        <v>63203</v>
      </c>
      <c r="H419" s="2">
        <f>VLOOKUP($A419,'[2]App C Total'!$A$4:$I$917,8,FALSE)</f>
        <v>17273</v>
      </c>
      <c r="I419" s="2">
        <f>VLOOKUP($A419,'[2]App C Total'!$A$4:$I$917,9,FALSE)</f>
        <v>0</v>
      </c>
      <c r="J419" s="2"/>
      <c r="K419" s="2">
        <f>VLOOKUP($A419,'[2]App C Exp'!$A$4:$I$917,5,FALSE)</f>
        <v>31504</v>
      </c>
      <c r="L419" s="2">
        <f>VLOOKUP($A419,'[2]App C Exp'!$A$4:$I$917,6,FALSE)</f>
        <v>29635</v>
      </c>
      <c r="M419" s="2">
        <f>VLOOKUP($A419,'[2]App C Exp'!$A$4:$I$917,7,FALSE)</f>
        <v>26562</v>
      </c>
      <c r="N419" s="2">
        <f>VLOOKUP($A419,'[2]App C Exp'!$A$4:$I$917,8,FALSE)</f>
        <v>10635</v>
      </c>
      <c r="O419" s="2">
        <f>VLOOKUP($A419,'[2]App C Exp'!$A$4:$I$917,9,FALSE)</f>
        <v>0</v>
      </c>
      <c r="P419" s="2"/>
      <c r="Q419" s="2">
        <f>VLOOKUP($A419,'[2]App C Inv'!$A$4:$I$917,5,FALSE)</f>
        <v>33446</v>
      </c>
      <c r="R419" s="2">
        <f>VLOOKUP($A419,'[2]App C Inv'!$A$4:$I$917,6,FALSE)</f>
        <v>-28770</v>
      </c>
      <c r="S419" s="2">
        <f>VLOOKUP($A419,'[2]App C Inv'!$A$4:$I$917,7,FALSE)</f>
        <v>4055</v>
      </c>
      <c r="T419" s="2">
        <f>VLOOKUP($A419,'[2]App C Inv'!$A$4:$I$917,8,FALSE)</f>
        <v>5277</v>
      </c>
      <c r="U419" s="2">
        <f>VLOOKUP($A419,'[2]App C Inv'!$A$4:$I$917,9,FALSE)</f>
        <v>0</v>
      </c>
      <c r="V419" s="2"/>
      <c r="W419" s="2">
        <f>VLOOKUP($A419,'[2]App C Assum'!$A$4:$I$917,5,FALSE)</f>
        <v>37678</v>
      </c>
      <c r="X419" s="2">
        <f>VLOOKUP($A419,'[2]App C Assum'!$A$4:$I$917,6,FALSE)</f>
        <v>30867</v>
      </c>
      <c r="Y419" s="2">
        <f>VLOOKUP($A419,'[2]App C Assum'!$A$4:$I$917,7,FALSE)</f>
        <v>25059</v>
      </c>
      <c r="Z419" s="2">
        <f>VLOOKUP($A419,'[2]App C Assum'!$A$4:$I$917,8,FALSE)</f>
        <v>0</v>
      </c>
      <c r="AA419" s="2">
        <f>VLOOKUP($A419,'[2]App C Assum'!$A$4:$I$917,9,FALSE)</f>
        <v>0</v>
      </c>
      <c r="AB419" s="2"/>
      <c r="AC419" s="2">
        <f>VLOOKUP($A419,'[2]App C Share Outflows'!$A$4:$I$917,5,FALSE)</f>
        <v>7693</v>
      </c>
      <c r="AD419" s="2">
        <f>VLOOKUP($A419,'[2]App C Share Outflows'!$A$4:$I$917,6,FALSE)</f>
        <v>7529</v>
      </c>
      <c r="AE419" s="2">
        <f>VLOOKUP($A419,'[2]App C Share Outflows'!$A$4:$I$917,7,FALSE)</f>
        <v>7527</v>
      </c>
      <c r="AF419" s="2">
        <f>VLOOKUP($A419,'[2]App C Share Outflows'!$A$4:$I$917,8,FALSE)</f>
        <v>1361</v>
      </c>
      <c r="AG419" s="2">
        <f>VLOOKUP($A419,'[2]App C Share Outflows'!$A$4:$I$917,9,FALSE)</f>
        <v>0</v>
      </c>
      <c r="AH419" s="2"/>
      <c r="AI419" s="2">
        <f>VLOOKUP($A419,'[2]App C Share Inflows'!$A$4:$I$917,5,FALSE)</f>
        <v>-2126</v>
      </c>
      <c r="AJ419" s="2">
        <f>VLOOKUP($A419,'[2]App C Share Inflows'!$A$4:$I$917,6,FALSE)</f>
        <v>-2127</v>
      </c>
      <c r="AK419" s="2">
        <f>VLOOKUP($A419,'[2]App C Share Inflows'!$A$4:$I$917,7,FALSE)</f>
        <v>0</v>
      </c>
      <c r="AL419" s="2">
        <f>VLOOKUP($A419,'[2]App C Share Inflows'!$A$4:$I$917,8,FALSE)</f>
        <v>0</v>
      </c>
      <c r="AM419" s="2">
        <f>VLOOKUP($A419,'[2]App C Share Inflows'!$A$4:$I$917,6,FALSE)</f>
        <v>-2127</v>
      </c>
    </row>
    <row r="420" spans="1:39">
      <c r="A420" s="351">
        <v>94151</v>
      </c>
      <c r="B420" s="344" t="s">
        <v>1113</v>
      </c>
      <c r="C420" s="235" t="e">
        <f>VLOOKUP(A420,#REF!,10,FALSE)</f>
        <v>#REF!</v>
      </c>
      <c r="E420" s="2">
        <f>VLOOKUP($A420,'[2]App C Total'!$A$4:$I$917,5,FALSE)</f>
        <v>218216</v>
      </c>
      <c r="F420" s="2">
        <f>VLOOKUP($A420,'[2]App C Total'!$A$4:$I$917,6,FALSE)</f>
        <v>62683</v>
      </c>
      <c r="G420" s="2">
        <f>VLOOKUP($A420,'[2]App C Total'!$A$4:$I$917,7,FALSE)</f>
        <v>121893</v>
      </c>
      <c r="H420" s="2">
        <f>VLOOKUP($A420,'[2]App C Total'!$A$4:$I$917,8,FALSE)</f>
        <v>30631</v>
      </c>
      <c r="I420" s="2">
        <f>VLOOKUP($A420,'[2]App C Total'!$A$4:$I$917,9,FALSE)</f>
        <v>0</v>
      </c>
      <c r="J420" s="2"/>
      <c r="K420" s="2">
        <f>VLOOKUP($A420,'[2]App C Exp'!$A$4:$I$917,5,FALSE)</f>
        <v>69900</v>
      </c>
      <c r="L420" s="2">
        <f>VLOOKUP($A420,'[2]App C Exp'!$A$4:$I$917,6,FALSE)</f>
        <v>65753</v>
      </c>
      <c r="M420" s="2">
        <f>VLOOKUP($A420,'[2]App C Exp'!$A$4:$I$917,7,FALSE)</f>
        <v>58934</v>
      </c>
      <c r="N420" s="2">
        <f>VLOOKUP($A420,'[2]App C Exp'!$A$4:$I$917,8,FALSE)</f>
        <v>23596</v>
      </c>
      <c r="O420" s="2">
        <f>VLOOKUP($A420,'[2]App C Exp'!$A$4:$I$917,9,FALSE)</f>
        <v>0</v>
      </c>
      <c r="P420" s="2"/>
      <c r="Q420" s="2">
        <f>VLOOKUP($A420,'[2]App C Inv'!$A$4:$I$917,5,FALSE)</f>
        <v>74209</v>
      </c>
      <c r="R420" s="2">
        <f>VLOOKUP($A420,'[2]App C Inv'!$A$4:$I$917,6,FALSE)</f>
        <v>-63833</v>
      </c>
      <c r="S420" s="2">
        <f>VLOOKUP($A420,'[2]App C Inv'!$A$4:$I$917,7,FALSE)</f>
        <v>8997</v>
      </c>
      <c r="T420" s="2">
        <f>VLOOKUP($A420,'[2]App C Inv'!$A$4:$I$917,8,FALSE)</f>
        <v>11709</v>
      </c>
      <c r="U420" s="2">
        <f>VLOOKUP($A420,'[2]App C Inv'!$A$4:$I$917,9,FALSE)</f>
        <v>0</v>
      </c>
      <c r="V420" s="2"/>
      <c r="W420" s="2">
        <f>VLOOKUP($A420,'[2]App C Assum'!$A$4:$I$917,5,FALSE)</f>
        <v>83597</v>
      </c>
      <c r="X420" s="2">
        <f>VLOOKUP($A420,'[2]App C Assum'!$A$4:$I$917,6,FALSE)</f>
        <v>68486</v>
      </c>
      <c r="Y420" s="2">
        <f>VLOOKUP($A420,'[2]App C Assum'!$A$4:$I$917,7,FALSE)</f>
        <v>55599</v>
      </c>
      <c r="Z420" s="2">
        <f>VLOOKUP($A420,'[2]App C Assum'!$A$4:$I$917,8,FALSE)</f>
        <v>0</v>
      </c>
      <c r="AA420" s="2">
        <f>VLOOKUP($A420,'[2]App C Assum'!$A$4:$I$917,9,FALSE)</f>
        <v>0</v>
      </c>
      <c r="AB420" s="2"/>
      <c r="AC420" s="2">
        <f>VLOOKUP($A420,'[2]App C Share Outflows'!$A$4:$I$917,5,FALSE)</f>
        <v>3034</v>
      </c>
      <c r="AD420" s="2">
        <f>VLOOKUP($A420,'[2]App C Share Outflows'!$A$4:$I$917,6,FALSE)</f>
        <v>3034</v>
      </c>
      <c r="AE420" s="2">
        <f>VLOOKUP($A420,'[2]App C Share Outflows'!$A$4:$I$917,7,FALSE)</f>
        <v>3036</v>
      </c>
      <c r="AF420" s="2">
        <f>VLOOKUP($A420,'[2]App C Share Outflows'!$A$4:$I$917,8,FALSE)</f>
        <v>0</v>
      </c>
      <c r="AG420" s="2">
        <f>VLOOKUP($A420,'[2]App C Share Outflows'!$A$4:$I$917,9,FALSE)</f>
        <v>0</v>
      </c>
      <c r="AH420" s="2"/>
      <c r="AI420" s="2">
        <f>VLOOKUP($A420,'[2]App C Share Inflows'!$A$4:$I$917,5,FALSE)</f>
        <v>-12524</v>
      </c>
      <c r="AJ420" s="2">
        <f>VLOOKUP($A420,'[2]App C Share Inflows'!$A$4:$I$917,6,FALSE)</f>
        <v>-10757</v>
      </c>
      <c r="AK420" s="2">
        <f>VLOOKUP($A420,'[2]App C Share Inflows'!$A$4:$I$917,7,FALSE)</f>
        <v>-4673</v>
      </c>
      <c r="AL420" s="2">
        <f>VLOOKUP($A420,'[2]App C Share Inflows'!$A$4:$I$917,8,FALSE)</f>
        <v>-4674</v>
      </c>
      <c r="AM420" s="2">
        <f>VLOOKUP($A420,'[2]App C Share Inflows'!$A$4:$I$917,6,FALSE)</f>
        <v>-10757</v>
      </c>
    </row>
    <row r="421" spans="1:39">
      <c r="A421" s="351">
        <v>94157</v>
      </c>
      <c r="B421" s="344" t="s">
        <v>1114</v>
      </c>
      <c r="C421" s="235" t="e">
        <f>VLOOKUP(A421,#REF!,10,FALSE)</f>
        <v>#REF!</v>
      </c>
      <c r="E421" s="2">
        <f>VLOOKUP($A421,'[2]App C Total'!$A$4:$I$917,5,FALSE)</f>
        <v>5151</v>
      </c>
      <c r="F421" s="2">
        <f>VLOOKUP($A421,'[2]App C Total'!$A$4:$I$917,6,FALSE)</f>
        <v>1911</v>
      </c>
      <c r="G421" s="2">
        <f>VLOOKUP($A421,'[2]App C Total'!$A$4:$I$917,7,FALSE)</f>
        <v>2755</v>
      </c>
      <c r="H421" s="2">
        <f>VLOOKUP($A421,'[2]App C Total'!$A$4:$I$917,8,FALSE)</f>
        <v>998</v>
      </c>
      <c r="I421" s="2">
        <f>VLOOKUP($A421,'[2]App C Total'!$A$4:$I$917,9,FALSE)</f>
        <v>0</v>
      </c>
      <c r="J421" s="2"/>
      <c r="K421" s="2">
        <f>VLOOKUP($A421,'[2]App C Exp'!$A$4:$I$917,5,FALSE)</f>
        <v>1288</v>
      </c>
      <c r="L421" s="2">
        <f>VLOOKUP($A421,'[2]App C Exp'!$A$4:$I$917,6,FALSE)</f>
        <v>1212</v>
      </c>
      <c r="M421" s="2">
        <f>VLOOKUP($A421,'[2]App C Exp'!$A$4:$I$917,7,FALSE)</f>
        <v>1086</v>
      </c>
      <c r="N421" s="2">
        <f>VLOOKUP($A421,'[2]App C Exp'!$A$4:$I$917,8,FALSE)</f>
        <v>435</v>
      </c>
      <c r="O421" s="2">
        <f>VLOOKUP($A421,'[2]App C Exp'!$A$4:$I$917,9,FALSE)</f>
        <v>0</v>
      </c>
      <c r="P421" s="2"/>
      <c r="Q421" s="2">
        <f>VLOOKUP($A421,'[2]App C Inv'!$A$4:$I$917,5,FALSE)</f>
        <v>1368</v>
      </c>
      <c r="R421" s="2">
        <f>VLOOKUP($A421,'[2]App C Inv'!$A$4:$I$917,6,FALSE)</f>
        <v>-1177</v>
      </c>
      <c r="S421" s="2">
        <f>VLOOKUP($A421,'[2]App C Inv'!$A$4:$I$917,7,FALSE)</f>
        <v>166</v>
      </c>
      <c r="T421" s="2">
        <f>VLOOKUP($A421,'[2]App C Inv'!$A$4:$I$917,8,FALSE)</f>
        <v>216</v>
      </c>
      <c r="U421" s="2">
        <f>VLOOKUP($A421,'[2]App C Inv'!$A$4:$I$917,9,FALSE)</f>
        <v>0</v>
      </c>
      <c r="V421" s="2"/>
      <c r="W421" s="2">
        <f>VLOOKUP($A421,'[2]App C Assum'!$A$4:$I$917,5,FALSE)</f>
        <v>1541</v>
      </c>
      <c r="X421" s="2">
        <f>VLOOKUP($A421,'[2]App C Assum'!$A$4:$I$917,6,FALSE)</f>
        <v>1262</v>
      </c>
      <c r="Y421" s="2">
        <f>VLOOKUP($A421,'[2]App C Assum'!$A$4:$I$917,7,FALSE)</f>
        <v>1025</v>
      </c>
      <c r="Z421" s="2">
        <f>VLOOKUP($A421,'[2]App C Assum'!$A$4:$I$917,8,FALSE)</f>
        <v>0</v>
      </c>
      <c r="AA421" s="2">
        <f>VLOOKUP($A421,'[2]App C Assum'!$A$4:$I$917,9,FALSE)</f>
        <v>0</v>
      </c>
      <c r="AB421" s="2"/>
      <c r="AC421" s="2">
        <f>VLOOKUP($A421,'[2]App C Share Outflows'!$A$4:$I$917,5,FALSE)</f>
        <v>954</v>
      </c>
      <c r="AD421" s="2">
        <f>VLOOKUP($A421,'[2]App C Share Outflows'!$A$4:$I$917,6,FALSE)</f>
        <v>614</v>
      </c>
      <c r="AE421" s="2">
        <f>VLOOKUP($A421,'[2]App C Share Outflows'!$A$4:$I$917,7,FALSE)</f>
        <v>478</v>
      </c>
      <c r="AF421" s="2">
        <f>VLOOKUP($A421,'[2]App C Share Outflows'!$A$4:$I$917,8,FALSE)</f>
        <v>347</v>
      </c>
      <c r="AG421" s="2">
        <f>VLOOKUP($A421,'[2]App C Share Outflows'!$A$4:$I$917,9,FALSE)</f>
        <v>0</v>
      </c>
      <c r="AH421" s="2"/>
      <c r="AI421" s="2">
        <f>VLOOKUP($A421,'[2]App C Share Inflows'!$A$4:$I$917,5,FALSE)</f>
        <v>0</v>
      </c>
      <c r="AJ421" s="2">
        <f>VLOOKUP($A421,'[2]App C Share Inflows'!$A$4:$I$917,6,FALSE)</f>
        <v>0</v>
      </c>
      <c r="AK421" s="2">
        <f>VLOOKUP($A421,'[2]App C Share Inflows'!$A$4:$I$917,7,FALSE)</f>
        <v>0</v>
      </c>
      <c r="AL421" s="2">
        <f>VLOOKUP($A421,'[2]App C Share Inflows'!$A$4:$I$917,8,FALSE)</f>
        <v>0</v>
      </c>
      <c r="AM421" s="2">
        <f>VLOOKUP($A421,'[2]App C Share Inflows'!$A$4:$I$917,6,FALSE)</f>
        <v>0</v>
      </c>
    </row>
    <row r="422" spans="1:39">
      <c r="A422" s="351">
        <v>94161</v>
      </c>
      <c r="B422" s="344" t="s">
        <v>1115</v>
      </c>
      <c r="C422" s="235" t="e">
        <f>VLOOKUP(A422,#REF!,10,FALSE)</f>
        <v>#REF!</v>
      </c>
      <c r="E422" s="2">
        <f>VLOOKUP($A422,'[2]App C Total'!$A$4:$I$917,5,FALSE)</f>
        <v>24551</v>
      </c>
      <c r="F422" s="2">
        <f>VLOOKUP($A422,'[2]App C Total'!$A$4:$I$917,6,FALSE)</f>
        <v>7915</v>
      </c>
      <c r="G422" s="2">
        <f>VLOOKUP($A422,'[2]App C Total'!$A$4:$I$917,7,FALSE)</f>
        <v>14233</v>
      </c>
      <c r="H422" s="2">
        <f>VLOOKUP($A422,'[2]App C Total'!$A$4:$I$917,8,FALSE)</f>
        <v>6909</v>
      </c>
      <c r="I422" s="2">
        <f>VLOOKUP($A422,'[2]App C Total'!$A$4:$I$917,9,FALSE)</f>
        <v>0</v>
      </c>
      <c r="J422" s="2"/>
      <c r="K422" s="2">
        <f>VLOOKUP($A422,'[2]App C Exp'!$A$4:$I$917,5,FALSE)</f>
        <v>7281</v>
      </c>
      <c r="L422" s="2">
        <f>VLOOKUP($A422,'[2]App C Exp'!$A$4:$I$917,6,FALSE)</f>
        <v>6849</v>
      </c>
      <c r="M422" s="2">
        <f>VLOOKUP($A422,'[2]App C Exp'!$A$4:$I$917,7,FALSE)</f>
        <v>6138</v>
      </c>
      <c r="N422" s="2">
        <f>VLOOKUP($A422,'[2]App C Exp'!$A$4:$I$917,8,FALSE)</f>
        <v>2458</v>
      </c>
      <c r="O422" s="2">
        <f>VLOOKUP($A422,'[2]App C Exp'!$A$4:$I$917,9,FALSE)</f>
        <v>0</v>
      </c>
      <c r="P422" s="2"/>
      <c r="Q422" s="2">
        <f>VLOOKUP($A422,'[2]App C Inv'!$A$4:$I$917,5,FALSE)</f>
        <v>7729</v>
      </c>
      <c r="R422" s="2">
        <f>VLOOKUP($A422,'[2]App C Inv'!$A$4:$I$917,6,FALSE)</f>
        <v>-6649</v>
      </c>
      <c r="S422" s="2">
        <f>VLOOKUP($A422,'[2]App C Inv'!$A$4:$I$917,7,FALSE)</f>
        <v>937</v>
      </c>
      <c r="T422" s="2">
        <f>VLOOKUP($A422,'[2]App C Inv'!$A$4:$I$917,8,FALSE)</f>
        <v>1220</v>
      </c>
      <c r="U422" s="2">
        <f>VLOOKUP($A422,'[2]App C Inv'!$A$4:$I$917,9,FALSE)</f>
        <v>0</v>
      </c>
      <c r="V422" s="2"/>
      <c r="W422" s="2">
        <f>VLOOKUP($A422,'[2]App C Assum'!$A$4:$I$917,5,FALSE)</f>
        <v>8707</v>
      </c>
      <c r="X422" s="2">
        <f>VLOOKUP($A422,'[2]App C Assum'!$A$4:$I$917,6,FALSE)</f>
        <v>7133</v>
      </c>
      <c r="Y422" s="2">
        <f>VLOOKUP($A422,'[2]App C Assum'!$A$4:$I$917,7,FALSE)</f>
        <v>5791</v>
      </c>
      <c r="Z422" s="2">
        <f>VLOOKUP($A422,'[2]App C Assum'!$A$4:$I$917,8,FALSE)</f>
        <v>0</v>
      </c>
      <c r="AA422" s="2">
        <f>VLOOKUP($A422,'[2]App C Assum'!$A$4:$I$917,9,FALSE)</f>
        <v>0</v>
      </c>
      <c r="AB422" s="2"/>
      <c r="AC422" s="2">
        <f>VLOOKUP($A422,'[2]App C Share Outflows'!$A$4:$I$917,5,FALSE)</f>
        <v>3484</v>
      </c>
      <c r="AD422" s="2">
        <f>VLOOKUP($A422,'[2]App C Share Outflows'!$A$4:$I$917,6,FALSE)</f>
        <v>3232</v>
      </c>
      <c r="AE422" s="2">
        <f>VLOOKUP($A422,'[2]App C Share Outflows'!$A$4:$I$917,7,FALSE)</f>
        <v>3232</v>
      </c>
      <c r="AF422" s="2">
        <f>VLOOKUP($A422,'[2]App C Share Outflows'!$A$4:$I$917,8,FALSE)</f>
        <v>3231</v>
      </c>
      <c r="AG422" s="2">
        <f>VLOOKUP($A422,'[2]App C Share Outflows'!$A$4:$I$917,9,FALSE)</f>
        <v>0</v>
      </c>
      <c r="AH422" s="2"/>
      <c r="AI422" s="2">
        <f>VLOOKUP($A422,'[2]App C Share Inflows'!$A$4:$I$917,5,FALSE)</f>
        <v>-2650</v>
      </c>
      <c r="AJ422" s="2">
        <f>VLOOKUP($A422,'[2]App C Share Inflows'!$A$4:$I$917,6,FALSE)</f>
        <v>-2650</v>
      </c>
      <c r="AK422" s="2">
        <f>VLOOKUP($A422,'[2]App C Share Inflows'!$A$4:$I$917,7,FALSE)</f>
        <v>-1865</v>
      </c>
      <c r="AL422" s="2">
        <f>VLOOKUP($A422,'[2]App C Share Inflows'!$A$4:$I$917,8,FALSE)</f>
        <v>0</v>
      </c>
      <c r="AM422" s="2">
        <f>VLOOKUP($A422,'[2]App C Share Inflows'!$A$4:$I$917,6,FALSE)</f>
        <v>-2650</v>
      </c>
    </row>
    <row r="423" spans="1:39">
      <c r="A423" s="351">
        <v>94168</v>
      </c>
      <c r="B423" s="344" t="s">
        <v>1116</v>
      </c>
      <c r="C423" s="235" t="e">
        <f>VLOOKUP(A423,#REF!,10,FALSE)</f>
        <v>#REF!</v>
      </c>
      <c r="E423" s="2">
        <f>VLOOKUP($A423,'[2]App C Total'!$A$4:$I$917,5,FALSE)</f>
        <v>29194</v>
      </c>
      <c r="F423" s="2">
        <f>VLOOKUP($A423,'[2]App C Total'!$A$4:$I$917,6,FALSE)</f>
        <v>11887</v>
      </c>
      <c r="G423" s="2">
        <f>VLOOKUP($A423,'[2]App C Total'!$A$4:$I$917,7,FALSE)</f>
        <v>18962</v>
      </c>
      <c r="H423" s="2">
        <f>VLOOKUP($A423,'[2]App C Total'!$A$4:$I$917,8,FALSE)</f>
        <v>4554</v>
      </c>
      <c r="I423" s="2">
        <f>VLOOKUP($A423,'[2]App C Total'!$A$4:$I$917,9,FALSE)</f>
        <v>0</v>
      </c>
      <c r="J423" s="2"/>
      <c r="K423" s="2">
        <f>VLOOKUP($A423,'[2]App C Exp'!$A$4:$I$917,5,FALSE)</f>
        <v>8254</v>
      </c>
      <c r="L423" s="2">
        <f>VLOOKUP($A423,'[2]App C Exp'!$A$4:$I$917,6,FALSE)</f>
        <v>7765</v>
      </c>
      <c r="M423" s="2">
        <f>VLOOKUP($A423,'[2]App C Exp'!$A$4:$I$917,7,FALSE)</f>
        <v>6959</v>
      </c>
      <c r="N423" s="2">
        <f>VLOOKUP($A423,'[2]App C Exp'!$A$4:$I$917,8,FALSE)</f>
        <v>2786</v>
      </c>
      <c r="O423" s="2">
        <f>VLOOKUP($A423,'[2]App C Exp'!$A$4:$I$917,9,FALSE)</f>
        <v>0</v>
      </c>
      <c r="P423" s="2"/>
      <c r="Q423" s="2">
        <f>VLOOKUP($A423,'[2]App C Inv'!$A$4:$I$917,5,FALSE)</f>
        <v>8763</v>
      </c>
      <c r="R423" s="2">
        <f>VLOOKUP($A423,'[2]App C Inv'!$A$4:$I$917,6,FALSE)</f>
        <v>-7538</v>
      </c>
      <c r="S423" s="2">
        <f>VLOOKUP($A423,'[2]App C Inv'!$A$4:$I$917,7,FALSE)</f>
        <v>1062</v>
      </c>
      <c r="T423" s="2">
        <f>VLOOKUP($A423,'[2]App C Inv'!$A$4:$I$917,8,FALSE)</f>
        <v>1383</v>
      </c>
      <c r="U423" s="2">
        <f>VLOOKUP($A423,'[2]App C Inv'!$A$4:$I$917,9,FALSE)</f>
        <v>0</v>
      </c>
      <c r="V423" s="2"/>
      <c r="W423" s="2">
        <f>VLOOKUP($A423,'[2]App C Assum'!$A$4:$I$917,5,FALSE)</f>
        <v>9872</v>
      </c>
      <c r="X423" s="2">
        <f>VLOOKUP($A423,'[2]App C Assum'!$A$4:$I$917,6,FALSE)</f>
        <v>8087</v>
      </c>
      <c r="Y423" s="2">
        <f>VLOOKUP($A423,'[2]App C Assum'!$A$4:$I$917,7,FALSE)</f>
        <v>6566</v>
      </c>
      <c r="Z423" s="2">
        <f>VLOOKUP($A423,'[2]App C Assum'!$A$4:$I$917,8,FALSE)</f>
        <v>0</v>
      </c>
      <c r="AA423" s="2">
        <f>VLOOKUP($A423,'[2]App C Assum'!$A$4:$I$917,9,FALSE)</f>
        <v>0</v>
      </c>
      <c r="AB423" s="2"/>
      <c r="AC423" s="2">
        <f>VLOOKUP($A423,'[2]App C Share Outflows'!$A$4:$I$917,5,FALSE)</f>
        <v>4373</v>
      </c>
      <c r="AD423" s="2">
        <f>VLOOKUP($A423,'[2]App C Share Outflows'!$A$4:$I$917,6,FALSE)</f>
        <v>4373</v>
      </c>
      <c r="AE423" s="2">
        <f>VLOOKUP($A423,'[2]App C Share Outflows'!$A$4:$I$917,7,FALSE)</f>
        <v>4375</v>
      </c>
      <c r="AF423" s="2">
        <f>VLOOKUP($A423,'[2]App C Share Outflows'!$A$4:$I$917,8,FALSE)</f>
        <v>385</v>
      </c>
      <c r="AG423" s="2">
        <f>VLOOKUP($A423,'[2]App C Share Outflows'!$A$4:$I$917,9,FALSE)</f>
        <v>0</v>
      </c>
      <c r="AH423" s="2"/>
      <c r="AI423" s="2">
        <f>VLOOKUP($A423,'[2]App C Share Inflows'!$A$4:$I$917,5,FALSE)</f>
        <v>-2068</v>
      </c>
      <c r="AJ423" s="2">
        <f>VLOOKUP($A423,'[2]App C Share Inflows'!$A$4:$I$917,6,FALSE)</f>
        <v>-800</v>
      </c>
      <c r="AK423" s="2">
        <f>VLOOKUP($A423,'[2]App C Share Inflows'!$A$4:$I$917,7,FALSE)</f>
        <v>0</v>
      </c>
      <c r="AL423" s="2">
        <f>VLOOKUP($A423,'[2]App C Share Inflows'!$A$4:$I$917,8,FALSE)</f>
        <v>0</v>
      </c>
      <c r="AM423" s="2">
        <f>VLOOKUP($A423,'[2]App C Share Inflows'!$A$4:$I$917,6,FALSE)</f>
        <v>-800</v>
      </c>
    </row>
    <row r="424" spans="1:39">
      <c r="A424" s="351">
        <v>94171</v>
      </c>
      <c r="B424" s="344" t="s">
        <v>1117</v>
      </c>
      <c r="C424" s="235" t="e">
        <f>VLOOKUP(A424,#REF!,10,FALSE)</f>
        <v>#REF!</v>
      </c>
      <c r="E424" s="2">
        <f>VLOOKUP($A424,'[2]App C Total'!$A$4:$I$917,5,FALSE)</f>
        <v>28108</v>
      </c>
      <c r="F424" s="2">
        <f>VLOOKUP($A424,'[2]App C Total'!$A$4:$I$917,6,FALSE)</f>
        <v>7068</v>
      </c>
      <c r="G424" s="2">
        <f>VLOOKUP($A424,'[2]App C Total'!$A$4:$I$917,7,FALSE)</f>
        <v>12671</v>
      </c>
      <c r="H424" s="2">
        <f>VLOOKUP($A424,'[2]App C Total'!$A$4:$I$917,8,FALSE)</f>
        <v>530</v>
      </c>
      <c r="I424" s="2">
        <f>VLOOKUP($A424,'[2]App C Total'!$A$4:$I$917,9,FALSE)</f>
        <v>0</v>
      </c>
      <c r="J424" s="2"/>
      <c r="K424" s="2">
        <f>VLOOKUP($A424,'[2]App C Exp'!$A$4:$I$917,5,FALSE)</f>
        <v>9258</v>
      </c>
      <c r="L424" s="2">
        <f>VLOOKUP($A424,'[2]App C Exp'!$A$4:$I$917,6,FALSE)</f>
        <v>8709</v>
      </c>
      <c r="M424" s="2">
        <f>VLOOKUP($A424,'[2]App C Exp'!$A$4:$I$917,7,FALSE)</f>
        <v>7806</v>
      </c>
      <c r="N424" s="2">
        <f>VLOOKUP($A424,'[2]App C Exp'!$A$4:$I$917,8,FALSE)</f>
        <v>3125</v>
      </c>
      <c r="O424" s="2">
        <f>VLOOKUP($A424,'[2]App C Exp'!$A$4:$I$917,9,FALSE)</f>
        <v>0</v>
      </c>
      <c r="P424" s="2"/>
      <c r="Q424" s="2">
        <f>VLOOKUP($A424,'[2]App C Inv'!$A$4:$I$917,5,FALSE)</f>
        <v>9829</v>
      </c>
      <c r="R424" s="2">
        <f>VLOOKUP($A424,'[2]App C Inv'!$A$4:$I$917,6,FALSE)</f>
        <v>-8455</v>
      </c>
      <c r="S424" s="2">
        <f>VLOOKUP($A424,'[2]App C Inv'!$A$4:$I$917,7,FALSE)</f>
        <v>1192</v>
      </c>
      <c r="T424" s="2">
        <f>VLOOKUP($A424,'[2]App C Inv'!$A$4:$I$917,8,FALSE)</f>
        <v>1551</v>
      </c>
      <c r="U424" s="2">
        <f>VLOOKUP($A424,'[2]App C Inv'!$A$4:$I$917,9,FALSE)</f>
        <v>0</v>
      </c>
      <c r="V424" s="2"/>
      <c r="W424" s="2">
        <f>VLOOKUP($A424,'[2]App C Assum'!$A$4:$I$917,5,FALSE)</f>
        <v>11072</v>
      </c>
      <c r="X424" s="2">
        <f>VLOOKUP($A424,'[2]App C Assum'!$A$4:$I$917,6,FALSE)</f>
        <v>9071</v>
      </c>
      <c r="Y424" s="2">
        <f>VLOOKUP($A424,'[2]App C Assum'!$A$4:$I$917,7,FALSE)</f>
        <v>7364</v>
      </c>
      <c r="Z424" s="2">
        <f>VLOOKUP($A424,'[2]App C Assum'!$A$4:$I$917,8,FALSE)</f>
        <v>0</v>
      </c>
      <c r="AA424" s="2">
        <f>VLOOKUP($A424,'[2]App C Assum'!$A$4:$I$917,9,FALSE)</f>
        <v>0</v>
      </c>
      <c r="AB424" s="2"/>
      <c r="AC424" s="2">
        <f>VLOOKUP($A424,'[2]App C Share Outflows'!$A$4:$I$917,5,FALSE)</f>
        <v>2096</v>
      </c>
      <c r="AD424" s="2">
        <f>VLOOKUP($A424,'[2]App C Share Outflows'!$A$4:$I$917,6,FALSE)</f>
        <v>1890</v>
      </c>
      <c r="AE424" s="2">
        <f>VLOOKUP($A424,'[2]App C Share Outflows'!$A$4:$I$917,7,FALSE)</f>
        <v>456</v>
      </c>
      <c r="AF424" s="2">
        <f>VLOOKUP($A424,'[2]App C Share Outflows'!$A$4:$I$917,8,FALSE)</f>
        <v>0</v>
      </c>
      <c r="AG424" s="2">
        <f>VLOOKUP($A424,'[2]App C Share Outflows'!$A$4:$I$917,9,FALSE)</f>
        <v>0</v>
      </c>
      <c r="AH424" s="2"/>
      <c r="AI424" s="2">
        <f>VLOOKUP($A424,'[2]App C Share Inflows'!$A$4:$I$917,5,FALSE)</f>
        <v>-4147</v>
      </c>
      <c r="AJ424" s="2">
        <f>VLOOKUP($A424,'[2]App C Share Inflows'!$A$4:$I$917,6,FALSE)</f>
        <v>-4147</v>
      </c>
      <c r="AK424" s="2">
        <f>VLOOKUP($A424,'[2]App C Share Inflows'!$A$4:$I$917,7,FALSE)</f>
        <v>-4147</v>
      </c>
      <c r="AL424" s="2">
        <f>VLOOKUP($A424,'[2]App C Share Inflows'!$A$4:$I$917,8,FALSE)</f>
        <v>-4146</v>
      </c>
      <c r="AM424" s="2">
        <f>VLOOKUP($A424,'[2]App C Share Inflows'!$A$4:$I$917,6,FALSE)</f>
        <v>-4147</v>
      </c>
    </row>
    <row r="425" spans="1:39">
      <c r="A425" s="351">
        <v>94172</v>
      </c>
      <c r="B425" s="344" t="s">
        <v>1118</v>
      </c>
      <c r="C425" s="235" t="e">
        <f>VLOOKUP(A425,#REF!,10,FALSE)</f>
        <v>#REF!</v>
      </c>
      <c r="E425" s="2">
        <f>VLOOKUP($A425,'[2]App C Total'!$A$4:$I$917,5,FALSE)</f>
        <v>110304</v>
      </c>
      <c r="F425" s="2">
        <f>VLOOKUP($A425,'[2]App C Total'!$A$4:$I$917,6,FALSE)</f>
        <v>25952</v>
      </c>
      <c r="G425" s="2">
        <f>VLOOKUP($A425,'[2]App C Total'!$A$4:$I$917,7,FALSE)</f>
        <v>64585</v>
      </c>
      <c r="H425" s="2">
        <f>VLOOKUP($A425,'[2]App C Total'!$A$4:$I$917,8,FALSE)</f>
        <v>14475</v>
      </c>
      <c r="I425" s="2">
        <f>VLOOKUP($A425,'[2]App C Total'!$A$4:$I$917,9,FALSE)</f>
        <v>0</v>
      </c>
      <c r="J425" s="2"/>
      <c r="K425" s="2">
        <f>VLOOKUP($A425,'[2]App C Exp'!$A$4:$I$917,5,FALSE)</f>
        <v>42261</v>
      </c>
      <c r="L425" s="2">
        <f>VLOOKUP($A425,'[2]App C Exp'!$A$4:$I$917,6,FALSE)</f>
        <v>39754</v>
      </c>
      <c r="M425" s="2">
        <f>VLOOKUP($A425,'[2]App C Exp'!$A$4:$I$917,7,FALSE)</f>
        <v>35631</v>
      </c>
      <c r="N425" s="2">
        <f>VLOOKUP($A425,'[2]App C Exp'!$A$4:$I$917,8,FALSE)</f>
        <v>14266</v>
      </c>
      <c r="O425" s="2">
        <f>VLOOKUP($A425,'[2]App C Exp'!$A$4:$I$917,9,FALSE)</f>
        <v>0</v>
      </c>
      <c r="P425" s="2"/>
      <c r="Q425" s="2">
        <f>VLOOKUP($A425,'[2]App C Inv'!$A$4:$I$917,5,FALSE)</f>
        <v>44865</v>
      </c>
      <c r="R425" s="2">
        <f>VLOOKUP($A425,'[2]App C Inv'!$A$4:$I$917,6,FALSE)</f>
        <v>-38593</v>
      </c>
      <c r="S425" s="2">
        <f>VLOOKUP($A425,'[2]App C Inv'!$A$4:$I$917,7,FALSE)</f>
        <v>5439</v>
      </c>
      <c r="T425" s="2">
        <f>VLOOKUP($A425,'[2]App C Inv'!$A$4:$I$917,8,FALSE)</f>
        <v>7079</v>
      </c>
      <c r="U425" s="2">
        <f>VLOOKUP($A425,'[2]App C Inv'!$A$4:$I$917,9,FALSE)</f>
        <v>0</v>
      </c>
      <c r="V425" s="2"/>
      <c r="W425" s="2">
        <f>VLOOKUP($A425,'[2]App C Assum'!$A$4:$I$917,5,FALSE)</f>
        <v>50542</v>
      </c>
      <c r="X425" s="2">
        <f>VLOOKUP($A425,'[2]App C Assum'!$A$4:$I$917,6,FALSE)</f>
        <v>41406</v>
      </c>
      <c r="Y425" s="2">
        <f>VLOOKUP($A425,'[2]App C Assum'!$A$4:$I$917,7,FALSE)</f>
        <v>33614</v>
      </c>
      <c r="Z425" s="2">
        <f>VLOOKUP($A425,'[2]App C Assum'!$A$4:$I$917,8,FALSE)</f>
        <v>0</v>
      </c>
      <c r="AA425" s="2">
        <f>VLOOKUP($A425,'[2]App C Assum'!$A$4:$I$917,9,FALSE)</f>
        <v>0</v>
      </c>
      <c r="AB425" s="2"/>
      <c r="AC425" s="2">
        <f>VLOOKUP($A425,'[2]App C Share Outflows'!$A$4:$I$917,5,FALSE)</f>
        <v>0</v>
      </c>
      <c r="AD425" s="2">
        <f>VLOOKUP($A425,'[2]App C Share Outflows'!$A$4:$I$917,6,FALSE)</f>
        <v>0</v>
      </c>
      <c r="AE425" s="2">
        <f>VLOOKUP($A425,'[2]App C Share Outflows'!$A$4:$I$917,7,FALSE)</f>
        <v>0</v>
      </c>
      <c r="AF425" s="2">
        <f>VLOOKUP($A425,'[2]App C Share Outflows'!$A$4:$I$917,8,FALSE)</f>
        <v>0</v>
      </c>
      <c r="AG425" s="2">
        <f>VLOOKUP($A425,'[2]App C Share Outflows'!$A$4:$I$917,9,FALSE)</f>
        <v>0</v>
      </c>
      <c r="AH425" s="2"/>
      <c r="AI425" s="2">
        <f>VLOOKUP($A425,'[2]App C Share Inflows'!$A$4:$I$917,5,FALSE)</f>
        <v>-27364</v>
      </c>
      <c r="AJ425" s="2">
        <f>VLOOKUP($A425,'[2]App C Share Inflows'!$A$4:$I$917,6,FALSE)</f>
        <v>-16615</v>
      </c>
      <c r="AK425" s="2">
        <f>VLOOKUP($A425,'[2]App C Share Inflows'!$A$4:$I$917,7,FALSE)</f>
        <v>-10099</v>
      </c>
      <c r="AL425" s="2">
        <f>VLOOKUP($A425,'[2]App C Share Inflows'!$A$4:$I$917,8,FALSE)</f>
        <v>-6870</v>
      </c>
      <c r="AM425" s="2">
        <f>VLOOKUP($A425,'[2]App C Share Inflows'!$A$4:$I$917,6,FALSE)</f>
        <v>-16615</v>
      </c>
    </row>
    <row r="426" spans="1:39">
      <c r="A426" s="351">
        <v>94201</v>
      </c>
      <c r="B426" s="344" t="s">
        <v>1119</v>
      </c>
      <c r="C426" s="235" t="e">
        <f>VLOOKUP(A426,#REF!,10,FALSE)</f>
        <v>#REF!</v>
      </c>
      <c r="E426" s="2">
        <f>VLOOKUP($A426,'[2]App C Total'!$A$4:$I$917,5,FALSE)</f>
        <v>1567527</v>
      </c>
      <c r="F426" s="2">
        <f>VLOOKUP($A426,'[2]App C Total'!$A$4:$I$917,6,FALSE)</f>
        <v>467560</v>
      </c>
      <c r="G426" s="2">
        <f>VLOOKUP($A426,'[2]App C Total'!$A$4:$I$917,7,FALSE)</f>
        <v>854804</v>
      </c>
      <c r="H426" s="2">
        <f>VLOOKUP($A426,'[2]App C Total'!$A$4:$I$917,8,FALSE)</f>
        <v>248563</v>
      </c>
      <c r="I426" s="2">
        <f>VLOOKUP($A426,'[2]App C Total'!$A$4:$I$917,9,FALSE)</f>
        <v>0</v>
      </c>
      <c r="J426" s="2"/>
      <c r="K426" s="2">
        <f>VLOOKUP($A426,'[2]App C Exp'!$A$4:$I$917,5,FALSE)</f>
        <v>486948</v>
      </c>
      <c r="L426" s="2">
        <f>VLOOKUP($A426,'[2]App C Exp'!$A$4:$I$917,6,FALSE)</f>
        <v>458060</v>
      </c>
      <c r="M426" s="2">
        <f>VLOOKUP($A426,'[2]App C Exp'!$A$4:$I$917,7,FALSE)</f>
        <v>410554</v>
      </c>
      <c r="N426" s="2">
        <f>VLOOKUP($A426,'[2]App C Exp'!$A$4:$I$917,8,FALSE)</f>
        <v>164381</v>
      </c>
      <c r="O426" s="2">
        <f>VLOOKUP($A426,'[2]App C Exp'!$A$4:$I$917,9,FALSE)</f>
        <v>0</v>
      </c>
      <c r="P426" s="2"/>
      <c r="Q426" s="2">
        <f>VLOOKUP($A426,'[2]App C Inv'!$A$4:$I$917,5,FALSE)</f>
        <v>516963</v>
      </c>
      <c r="R426" s="2">
        <f>VLOOKUP($A426,'[2]App C Inv'!$A$4:$I$917,6,FALSE)</f>
        <v>-444685</v>
      </c>
      <c r="S426" s="2">
        <f>VLOOKUP($A426,'[2]App C Inv'!$A$4:$I$917,7,FALSE)</f>
        <v>62673</v>
      </c>
      <c r="T426" s="2">
        <f>VLOOKUP($A426,'[2]App C Inv'!$A$4:$I$917,8,FALSE)</f>
        <v>81568</v>
      </c>
      <c r="U426" s="2">
        <f>VLOOKUP($A426,'[2]App C Inv'!$A$4:$I$917,9,FALSE)</f>
        <v>0</v>
      </c>
      <c r="V426" s="2"/>
      <c r="W426" s="2">
        <f>VLOOKUP($A426,'[2]App C Assum'!$A$4:$I$917,5,FALSE)</f>
        <v>582366</v>
      </c>
      <c r="X426" s="2">
        <f>VLOOKUP($A426,'[2]App C Assum'!$A$4:$I$917,6,FALSE)</f>
        <v>477095</v>
      </c>
      <c r="Y426" s="2">
        <f>VLOOKUP($A426,'[2]App C Assum'!$A$4:$I$917,7,FALSE)</f>
        <v>387320</v>
      </c>
      <c r="Z426" s="2">
        <f>VLOOKUP($A426,'[2]App C Assum'!$A$4:$I$917,8,FALSE)</f>
        <v>0</v>
      </c>
      <c r="AA426" s="2">
        <f>VLOOKUP($A426,'[2]App C Assum'!$A$4:$I$917,9,FALSE)</f>
        <v>0</v>
      </c>
      <c r="AB426" s="2"/>
      <c r="AC426" s="2">
        <f>VLOOKUP($A426,'[2]App C Share Outflows'!$A$4:$I$917,5,FALSE)</f>
        <v>6776</v>
      </c>
      <c r="AD426" s="2">
        <f>VLOOKUP($A426,'[2]App C Share Outflows'!$A$4:$I$917,6,FALSE)</f>
        <v>2616</v>
      </c>
      <c r="AE426" s="2">
        <f>VLOOKUP($A426,'[2]App C Share Outflows'!$A$4:$I$917,7,FALSE)</f>
        <v>2616</v>
      </c>
      <c r="AF426" s="2">
        <f>VLOOKUP($A426,'[2]App C Share Outflows'!$A$4:$I$917,8,FALSE)</f>
        <v>2614</v>
      </c>
      <c r="AG426" s="2">
        <f>VLOOKUP($A426,'[2]App C Share Outflows'!$A$4:$I$917,9,FALSE)</f>
        <v>0</v>
      </c>
      <c r="AH426" s="2"/>
      <c r="AI426" s="2">
        <f>VLOOKUP($A426,'[2]App C Share Inflows'!$A$4:$I$917,5,FALSE)</f>
        <v>-25526</v>
      </c>
      <c r="AJ426" s="2">
        <f>VLOOKUP($A426,'[2]App C Share Inflows'!$A$4:$I$917,6,FALSE)</f>
        <v>-25526</v>
      </c>
      <c r="AK426" s="2">
        <f>VLOOKUP($A426,'[2]App C Share Inflows'!$A$4:$I$917,7,FALSE)</f>
        <v>-8359</v>
      </c>
      <c r="AL426" s="2">
        <f>VLOOKUP($A426,'[2]App C Share Inflows'!$A$4:$I$917,8,FALSE)</f>
        <v>0</v>
      </c>
      <c r="AM426" s="2">
        <f>VLOOKUP($A426,'[2]App C Share Inflows'!$A$4:$I$917,6,FALSE)</f>
        <v>-25526</v>
      </c>
    </row>
    <row r="427" spans="1:39">
      <c r="A427" s="351">
        <v>94204</v>
      </c>
      <c r="B427" s="344" t="s">
        <v>1120</v>
      </c>
      <c r="C427" s="235" t="e">
        <f>VLOOKUP(A427,#REF!,10,FALSE)</f>
        <v>#REF!</v>
      </c>
      <c r="E427" s="2">
        <f>VLOOKUP($A427,'[2]App C Total'!$A$4:$I$917,5,FALSE)</f>
        <v>19118</v>
      </c>
      <c r="F427" s="2">
        <f>VLOOKUP($A427,'[2]App C Total'!$A$4:$I$917,6,FALSE)</f>
        <v>8089</v>
      </c>
      <c r="G427" s="2">
        <f>VLOOKUP($A427,'[2]App C Total'!$A$4:$I$917,7,FALSE)</f>
        <v>10197</v>
      </c>
      <c r="H427" s="2">
        <f>VLOOKUP($A427,'[2]App C Total'!$A$4:$I$917,8,FALSE)</f>
        <v>3308</v>
      </c>
      <c r="I427" s="2">
        <f>VLOOKUP($A427,'[2]App C Total'!$A$4:$I$917,9,FALSE)</f>
        <v>0</v>
      </c>
      <c r="J427" s="2"/>
      <c r="K427" s="2">
        <f>VLOOKUP($A427,'[2]App C Exp'!$A$4:$I$917,5,FALSE)</f>
        <v>4449</v>
      </c>
      <c r="L427" s="2">
        <f>VLOOKUP($A427,'[2]App C Exp'!$A$4:$I$917,6,FALSE)</f>
        <v>4185</v>
      </c>
      <c r="M427" s="2">
        <f>VLOOKUP($A427,'[2]App C Exp'!$A$4:$I$917,7,FALSE)</f>
        <v>3751</v>
      </c>
      <c r="N427" s="2">
        <f>VLOOKUP($A427,'[2]App C Exp'!$A$4:$I$917,8,FALSE)</f>
        <v>1502</v>
      </c>
      <c r="O427" s="2">
        <f>VLOOKUP($A427,'[2]App C Exp'!$A$4:$I$917,9,FALSE)</f>
        <v>0</v>
      </c>
      <c r="P427" s="2"/>
      <c r="Q427" s="2">
        <f>VLOOKUP($A427,'[2]App C Inv'!$A$4:$I$917,5,FALSE)</f>
        <v>4724</v>
      </c>
      <c r="R427" s="2">
        <f>VLOOKUP($A427,'[2]App C Inv'!$A$4:$I$917,6,FALSE)</f>
        <v>-4063</v>
      </c>
      <c r="S427" s="2">
        <f>VLOOKUP($A427,'[2]App C Inv'!$A$4:$I$917,7,FALSE)</f>
        <v>573</v>
      </c>
      <c r="T427" s="2">
        <f>VLOOKUP($A427,'[2]App C Inv'!$A$4:$I$917,8,FALSE)</f>
        <v>745</v>
      </c>
      <c r="U427" s="2">
        <f>VLOOKUP($A427,'[2]App C Inv'!$A$4:$I$917,9,FALSE)</f>
        <v>0</v>
      </c>
      <c r="V427" s="2"/>
      <c r="W427" s="2">
        <f>VLOOKUP($A427,'[2]App C Assum'!$A$4:$I$917,5,FALSE)</f>
        <v>5321</v>
      </c>
      <c r="X427" s="2">
        <f>VLOOKUP($A427,'[2]App C Assum'!$A$4:$I$917,6,FALSE)</f>
        <v>4359</v>
      </c>
      <c r="Y427" s="2">
        <f>VLOOKUP($A427,'[2]App C Assum'!$A$4:$I$917,7,FALSE)</f>
        <v>3539</v>
      </c>
      <c r="Z427" s="2">
        <f>VLOOKUP($A427,'[2]App C Assum'!$A$4:$I$917,8,FALSE)</f>
        <v>0</v>
      </c>
      <c r="AA427" s="2">
        <f>VLOOKUP($A427,'[2]App C Assum'!$A$4:$I$917,9,FALSE)</f>
        <v>0</v>
      </c>
      <c r="AB427" s="2"/>
      <c r="AC427" s="2">
        <f>VLOOKUP($A427,'[2]App C Share Outflows'!$A$4:$I$917,5,FALSE)</f>
        <v>4624</v>
      </c>
      <c r="AD427" s="2">
        <f>VLOOKUP($A427,'[2]App C Share Outflows'!$A$4:$I$917,6,FALSE)</f>
        <v>3608</v>
      </c>
      <c r="AE427" s="2">
        <f>VLOOKUP($A427,'[2]App C Share Outflows'!$A$4:$I$917,7,FALSE)</f>
        <v>2334</v>
      </c>
      <c r="AF427" s="2">
        <f>VLOOKUP($A427,'[2]App C Share Outflows'!$A$4:$I$917,8,FALSE)</f>
        <v>1061</v>
      </c>
      <c r="AG427" s="2">
        <f>VLOOKUP($A427,'[2]App C Share Outflows'!$A$4:$I$917,9,FALSE)</f>
        <v>0</v>
      </c>
      <c r="AH427" s="2"/>
      <c r="AI427" s="2">
        <f>VLOOKUP($A427,'[2]App C Share Inflows'!$A$4:$I$917,5,FALSE)</f>
        <v>0</v>
      </c>
      <c r="AJ427" s="2">
        <f>VLOOKUP($A427,'[2]App C Share Inflows'!$A$4:$I$917,6,FALSE)</f>
        <v>0</v>
      </c>
      <c r="AK427" s="2">
        <f>VLOOKUP($A427,'[2]App C Share Inflows'!$A$4:$I$917,7,FALSE)</f>
        <v>0</v>
      </c>
      <c r="AL427" s="2">
        <f>VLOOKUP($A427,'[2]App C Share Inflows'!$A$4:$I$917,8,FALSE)</f>
        <v>0</v>
      </c>
      <c r="AM427" s="2">
        <f>VLOOKUP($A427,'[2]App C Share Inflows'!$A$4:$I$917,6,FALSE)</f>
        <v>0</v>
      </c>
    </row>
    <row r="428" spans="1:39">
      <c r="A428" s="351">
        <v>94205</v>
      </c>
      <c r="B428" s="344" t="s">
        <v>1121</v>
      </c>
      <c r="C428" s="235" t="e">
        <f>VLOOKUP(A428,#REF!,10,FALSE)</f>
        <v>#REF!</v>
      </c>
      <c r="E428" s="2">
        <f>VLOOKUP($A428,'[2]App C Total'!$A$4:$I$917,5,FALSE)</f>
        <v>8091</v>
      </c>
      <c r="F428" s="2">
        <f>VLOOKUP($A428,'[2]App C Total'!$A$4:$I$917,6,FALSE)</f>
        <v>2436</v>
      </c>
      <c r="G428" s="2">
        <f>VLOOKUP($A428,'[2]App C Total'!$A$4:$I$917,7,FALSE)</f>
        <v>4706</v>
      </c>
      <c r="H428" s="2">
        <f>VLOOKUP($A428,'[2]App C Total'!$A$4:$I$917,8,FALSE)</f>
        <v>1511</v>
      </c>
      <c r="I428" s="2">
        <f>VLOOKUP($A428,'[2]App C Total'!$A$4:$I$917,9,FALSE)</f>
        <v>0</v>
      </c>
      <c r="J428" s="2"/>
      <c r="K428" s="2">
        <f>VLOOKUP($A428,'[2]App C Exp'!$A$4:$I$917,5,FALSE)</f>
        <v>2427</v>
      </c>
      <c r="L428" s="2">
        <f>VLOOKUP($A428,'[2]App C Exp'!$A$4:$I$917,6,FALSE)</f>
        <v>2283</v>
      </c>
      <c r="M428" s="2">
        <f>VLOOKUP($A428,'[2]App C Exp'!$A$4:$I$917,7,FALSE)</f>
        <v>2046</v>
      </c>
      <c r="N428" s="2">
        <f>VLOOKUP($A428,'[2]App C Exp'!$A$4:$I$917,8,FALSE)</f>
        <v>819</v>
      </c>
      <c r="O428" s="2">
        <f>VLOOKUP($A428,'[2]App C Exp'!$A$4:$I$917,9,FALSE)</f>
        <v>0</v>
      </c>
      <c r="P428" s="2"/>
      <c r="Q428" s="2">
        <f>VLOOKUP($A428,'[2]App C Inv'!$A$4:$I$917,5,FALSE)</f>
        <v>2576</v>
      </c>
      <c r="R428" s="2">
        <f>VLOOKUP($A428,'[2]App C Inv'!$A$4:$I$917,6,FALSE)</f>
        <v>-2216</v>
      </c>
      <c r="S428" s="2">
        <f>VLOOKUP($A428,'[2]App C Inv'!$A$4:$I$917,7,FALSE)</f>
        <v>312</v>
      </c>
      <c r="T428" s="2">
        <f>VLOOKUP($A428,'[2]App C Inv'!$A$4:$I$917,8,FALSE)</f>
        <v>407</v>
      </c>
      <c r="U428" s="2">
        <f>VLOOKUP($A428,'[2]App C Inv'!$A$4:$I$917,9,FALSE)</f>
        <v>0</v>
      </c>
      <c r="V428" s="2"/>
      <c r="W428" s="2">
        <f>VLOOKUP($A428,'[2]App C Assum'!$A$4:$I$917,5,FALSE)</f>
        <v>2902</v>
      </c>
      <c r="X428" s="2">
        <f>VLOOKUP($A428,'[2]App C Assum'!$A$4:$I$917,6,FALSE)</f>
        <v>2378</v>
      </c>
      <c r="Y428" s="2">
        <f>VLOOKUP($A428,'[2]App C Assum'!$A$4:$I$917,7,FALSE)</f>
        <v>1930</v>
      </c>
      <c r="Z428" s="2">
        <f>VLOOKUP($A428,'[2]App C Assum'!$A$4:$I$917,8,FALSE)</f>
        <v>0</v>
      </c>
      <c r="AA428" s="2">
        <f>VLOOKUP($A428,'[2]App C Assum'!$A$4:$I$917,9,FALSE)</f>
        <v>0</v>
      </c>
      <c r="AB428" s="2"/>
      <c r="AC428" s="2">
        <f>VLOOKUP($A428,'[2]App C Share Outflows'!$A$4:$I$917,5,FALSE)</f>
        <v>611</v>
      </c>
      <c r="AD428" s="2">
        <f>VLOOKUP($A428,'[2]App C Share Outflows'!$A$4:$I$917,6,FALSE)</f>
        <v>418</v>
      </c>
      <c r="AE428" s="2">
        <f>VLOOKUP($A428,'[2]App C Share Outflows'!$A$4:$I$917,7,FALSE)</f>
        <v>418</v>
      </c>
      <c r="AF428" s="2">
        <f>VLOOKUP($A428,'[2]App C Share Outflows'!$A$4:$I$917,8,FALSE)</f>
        <v>285</v>
      </c>
      <c r="AG428" s="2">
        <f>VLOOKUP($A428,'[2]App C Share Outflows'!$A$4:$I$917,9,FALSE)</f>
        <v>0</v>
      </c>
      <c r="AH428" s="2"/>
      <c r="AI428" s="2">
        <f>VLOOKUP($A428,'[2]App C Share Inflows'!$A$4:$I$917,5,FALSE)</f>
        <v>-425</v>
      </c>
      <c r="AJ428" s="2">
        <f>VLOOKUP($A428,'[2]App C Share Inflows'!$A$4:$I$917,6,FALSE)</f>
        <v>-427</v>
      </c>
      <c r="AK428" s="2">
        <f>VLOOKUP($A428,'[2]App C Share Inflows'!$A$4:$I$917,7,FALSE)</f>
        <v>0</v>
      </c>
      <c r="AL428" s="2">
        <f>VLOOKUP($A428,'[2]App C Share Inflows'!$A$4:$I$917,8,FALSE)</f>
        <v>0</v>
      </c>
      <c r="AM428" s="2">
        <f>VLOOKUP($A428,'[2]App C Share Inflows'!$A$4:$I$917,6,FALSE)</f>
        <v>-427</v>
      </c>
    </row>
    <row r="429" spans="1:39">
      <c r="A429" s="351">
        <v>94209</v>
      </c>
      <c r="B429" s="344" t="s">
        <v>1122</v>
      </c>
      <c r="C429" s="235" t="e">
        <f>VLOOKUP(A429,#REF!,10,FALSE)</f>
        <v>#REF!</v>
      </c>
      <c r="E429" s="2">
        <f>VLOOKUP($A429,'[2]App C Total'!$A$4:$I$917,5,FALSE)</f>
        <v>156203</v>
      </c>
      <c r="F429" s="2">
        <f>VLOOKUP($A429,'[2]App C Total'!$A$4:$I$917,6,FALSE)</f>
        <v>48736</v>
      </c>
      <c r="G429" s="2">
        <f>VLOOKUP($A429,'[2]App C Total'!$A$4:$I$917,7,FALSE)</f>
        <v>83606</v>
      </c>
      <c r="H429" s="2">
        <f>VLOOKUP($A429,'[2]App C Total'!$A$4:$I$917,8,FALSE)</f>
        <v>26388</v>
      </c>
      <c r="I429" s="2">
        <f>VLOOKUP($A429,'[2]App C Total'!$A$4:$I$917,9,FALSE)</f>
        <v>0</v>
      </c>
      <c r="J429" s="2"/>
      <c r="K429" s="2">
        <f>VLOOKUP($A429,'[2]App C Exp'!$A$4:$I$917,5,FALSE)</f>
        <v>48717</v>
      </c>
      <c r="L429" s="2">
        <f>VLOOKUP($A429,'[2]App C Exp'!$A$4:$I$917,6,FALSE)</f>
        <v>45827</v>
      </c>
      <c r="M429" s="2">
        <f>VLOOKUP($A429,'[2]App C Exp'!$A$4:$I$917,7,FALSE)</f>
        <v>41074</v>
      </c>
      <c r="N429" s="2">
        <f>VLOOKUP($A429,'[2]App C Exp'!$A$4:$I$917,8,FALSE)</f>
        <v>16446</v>
      </c>
      <c r="O429" s="2">
        <f>VLOOKUP($A429,'[2]App C Exp'!$A$4:$I$917,9,FALSE)</f>
        <v>0</v>
      </c>
      <c r="P429" s="2"/>
      <c r="Q429" s="2">
        <f>VLOOKUP($A429,'[2]App C Inv'!$A$4:$I$917,5,FALSE)</f>
        <v>51720</v>
      </c>
      <c r="R429" s="2">
        <f>VLOOKUP($A429,'[2]App C Inv'!$A$4:$I$917,6,FALSE)</f>
        <v>-44489</v>
      </c>
      <c r="S429" s="2">
        <f>VLOOKUP($A429,'[2]App C Inv'!$A$4:$I$917,7,FALSE)</f>
        <v>6270</v>
      </c>
      <c r="T429" s="2">
        <f>VLOOKUP($A429,'[2]App C Inv'!$A$4:$I$917,8,FALSE)</f>
        <v>8161</v>
      </c>
      <c r="U429" s="2">
        <f>VLOOKUP($A429,'[2]App C Inv'!$A$4:$I$917,9,FALSE)</f>
        <v>0</v>
      </c>
      <c r="V429" s="2"/>
      <c r="W429" s="2">
        <f>VLOOKUP($A429,'[2]App C Assum'!$A$4:$I$917,5,FALSE)</f>
        <v>58263</v>
      </c>
      <c r="X429" s="2">
        <f>VLOOKUP($A429,'[2]App C Assum'!$A$4:$I$917,6,FALSE)</f>
        <v>47732</v>
      </c>
      <c r="Y429" s="2">
        <f>VLOOKUP($A429,'[2]App C Assum'!$A$4:$I$917,7,FALSE)</f>
        <v>38750</v>
      </c>
      <c r="Z429" s="2">
        <f>VLOOKUP($A429,'[2]App C Assum'!$A$4:$I$917,8,FALSE)</f>
        <v>0</v>
      </c>
      <c r="AA429" s="2">
        <f>VLOOKUP($A429,'[2]App C Assum'!$A$4:$I$917,9,FALSE)</f>
        <v>0</v>
      </c>
      <c r="AB429" s="2"/>
      <c r="AC429" s="2">
        <f>VLOOKUP($A429,'[2]App C Share Outflows'!$A$4:$I$917,5,FALSE)</f>
        <v>3934</v>
      </c>
      <c r="AD429" s="2">
        <f>VLOOKUP($A429,'[2]App C Share Outflows'!$A$4:$I$917,6,FALSE)</f>
        <v>3933</v>
      </c>
      <c r="AE429" s="2">
        <f>VLOOKUP($A429,'[2]App C Share Outflows'!$A$4:$I$917,7,FALSE)</f>
        <v>1780</v>
      </c>
      <c r="AF429" s="2">
        <f>VLOOKUP($A429,'[2]App C Share Outflows'!$A$4:$I$917,8,FALSE)</f>
        <v>1781</v>
      </c>
      <c r="AG429" s="2">
        <f>VLOOKUP($A429,'[2]App C Share Outflows'!$A$4:$I$917,9,FALSE)</f>
        <v>0</v>
      </c>
      <c r="AH429" s="2"/>
      <c r="AI429" s="2">
        <f>VLOOKUP($A429,'[2]App C Share Inflows'!$A$4:$I$917,5,FALSE)</f>
        <v>-6431</v>
      </c>
      <c r="AJ429" s="2">
        <f>VLOOKUP($A429,'[2]App C Share Inflows'!$A$4:$I$917,6,FALSE)</f>
        <v>-4267</v>
      </c>
      <c r="AK429" s="2">
        <f>VLOOKUP($A429,'[2]App C Share Inflows'!$A$4:$I$917,7,FALSE)</f>
        <v>-4268</v>
      </c>
      <c r="AL429" s="2">
        <f>VLOOKUP($A429,'[2]App C Share Inflows'!$A$4:$I$917,8,FALSE)</f>
        <v>0</v>
      </c>
      <c r="AM429" s="2">
        <f>VLOOKUP($A429,'[2]App C Share Inflows'!$A$4:$I$917,6,FALSE)</f>
        <v>-4267</v>
      </c>
    </row>
    <row r="430" spans="1:39">
      <c r="A430" s="351">
        <v>94211</v>
      </c>
      <c r="B430" s="344" t="s">
        <v>1123</v>
      </c>
      <c r="C430" s="235" t="e">
        <f>VLOOKUP(A430,#REF!,10,FALSE)</f>
        <v>#REF!</v>
      </c>
      <c r="E430" s="2">
        <f>VLOOKUP($A430,'[2]App C Total'!$A$4:$I$917,5,FALSE)</f>
        <v>76576</v>
      </c>
      <c r="F430" s="2">
        <f>VLOOKUP($A430,'[2]App C Total'!$A$4:$I$917,6,FALSE)</f>
        <v>24722</v>
      </c>
      <c r="G430" s="2">
        <f>VLOOKUP($A430,'[2]App C Total'!$A$4:$I$917,7,FALSE)</f>
        <v>40304</v>
      </c>
      <c r="H430" s="2">
        <f>VLOOKUP($A430,'[2]App C Total'!$A$4:$I$917,8,FALSE)</f>
        <v>9828</v>
      </c>
      <c r="I430" s="2">
        <f>VLOOKUP($A430,'[2]App C Total'!$A$4:$I$917,9,FALSE)</f>
        <v>0</v>
      </c>
      <c r="J430" s="2"/>
      <c r="K430" s="2">
        <f>VLOOKUP($A430,'[2]App C Exp'!$A$4:$I$917,5,FALSE)</f>
        <v>23010</v>
      </c>
      <c r="L430" s="2">
        <f>VLOOKUP($A430,'[2]App C Exp'!$A$4:$I$917,6,FALSE)</f>
        <v>21645</v>
      </c>
      <c r="M430" s="2">
        <f>VLOOKUP($A430,'[2]App C Exp'!$A$4:$I$917,7,FALSE)</f>
        <v>19400</v>
      </c>
      <c r="N430" s="2">
        <f>VLOOKUP($A430,'[2]App C Exp'!$A$4:$I$917,8,FALSE)</f>
        <v>7768</v>
      </c>
      <c r="O430" s="2">
        <f>VLOOKUP($A430,'[2]App C Exp'!$A$4:$I$917,9,FALSE)</f>
        <v>0</v>
      </c>
      <c r="P430" s="2"/>
      <c r="Q430" s="2">
        <f>VLOOKUP($A430,'[2]App C Inv'!$A$4:$I$917,5,FALSE)</f>
        <v>24429</v>
      </c>
      <c r="R430" s="2">
        <f>VLOOKUP($A430,'[2]App C Inv'!$A$4:$I$917,6,FALSE)</f>
        <v>-21013</v>
      </c>
      <c r="S430" s="2">
        <f>VLOOKUP($A430,'[2]App C Inv'!$A$4:$I$917,7,FALSE)</f>
        <v>2962</v>
      </c>
      <c r="T430" s="2">
        <f>VLOOKUP($A430,'[2]App C Inv'!$A$4:$I$917,8,FALSE)</f>
        <v>3854</v>
      </c>
      <c r="U430" s="2">
        <f>VLOOKUP($A430,'[2]App C Inv'!$A$4:$I$917,9,FALSE)</f>
        <v>0</v>
      </c>
      <c r="V430" s="2"/>
      <c r="W430" s="2">
        <f>VLOOKUP($A430,'[2]App C Assum'!$A$4:$I$917,5,FALSE)</f>
        <v>27519</v>
      </c>
      <c r="X430" s="2">
        <f>VLOOKUP($A430,'[2]App C Assum'!$A$4:$I$917,6,FALSE)</f>
        <v>22545</v>
      </c>
      <c r="Y430" s="2">
        <f>VLOOKUP($A430,'[2]App C Assum'!$A$4:$I$917,7,FALSE)</f>
        <v>18303</v>
      </c>
      <c r="Z430" s="2">
        <f>VLOOKUP($A430,'[2]App C Assum'!$A$4:$I$917,8,FALSE)</f>
        <v>0</v>
      </c>
      <c r="AA430" s="2">
        <f>VLOOKUP($A430,'[2]App C Assum'!$A$4:$I$917,9,FALSE)</f>
        <v>0</v>
      </c>
      <c r="AB430" s="2"/>
      <c r="AC430" s="2">
        <f>VLOOKUP($A430,'[2]App C Share Outflows'!$A$4:$I$917,5,FALSE)</f>
        <v>3411</v>
      </c>
      <c r="AD430" s="2">
        <f>VLOOKUP($A430,'[2]App C Share Outflows'!$A$4:$I$917,6,FALSE)</f>
        <v>3338</v>
      </c>
      <c r="AE430" s="2">
        <f>VLOOKUP($A430,'[2]App C Share Outflows'!$A$4:$I$917,7,FALSE)</f>
        <v>1432</v>
      </c>
      <c r="AF430" s="2">
        <f>VLOOKUP($A430,'[2]App C Share Outflows'!$A$4:$I$917,8,FALSE)</f>
        <v>0</v>
      </c>
      <c r="AG430" s="2">
        <f>VLOOKUP($A430,'[2]App C Share Outflows'!$A$4:$I$917,9,FALSE)</f>
        <v>0</v>
      </c>
      <c r="AH430" s="2"/>
      <c r="AI430" s="2">
        <f>VLOOKUP($A430,'[2]App C Share Inflows'!$A$4:$I$917,5,FALSE)</f>
        <v>-1793</v>
      </c>
      <c r="AJ430" s="2">
        <f>VLOOKUP($A430,'[2]App C Share Inflows'!$A$4:$I$917,6,FALSE)</f>
        <v>-1793</v>
      </c>
      <c r="AK430" s="2">
        <f>VLOOKUP($A430,'[2]App C Share Inflows'!$A$4:$I$917,7,FALSE)</f>
        <v>-1793</v>
      </c>
      <c r="AL430" s="2">
        <f>VLOOKUP($A430,'[2]App C Share Inflows'!$A$4:$I$917,8,FALSE)</f>
        <v>-1794</v>
      </c>
      <c r="AM430" s="2">
        <f>VLOOKUP($A430,'[2]App C Share Inflows'!$A$4:$I$917,6,FALSE)</f>
        <v>-1793</v>
      </c>
    </row>
    <row r="431" spans="1:39">
      <c r="A431" s="351">
        <v>94221</v>
      </c>
      <c r="B431" s="344" t="s">
        <v>1124</v>
      </c>
      <c r="C431" s="235" t="e">
        <f>VLOOKUP(A431,#REF!,10,FALSE)</f>
        <v>#REF!</v>
      </c>
      <c r="E431" s="2">
        <f>VLOOKUP($A431,'[2]App C Total'!$A$4:$I$917,5,FALSE)</f>
        <v>433955</v>
      </c>
      <c r="F431" s="2">
        <f>VLOOKUP($A431,'[2]App C Total'!$A$4:$I$917,6,FALSE)</f>
        <v>119602</v>
      </c>
      <c r="G431" s="2">
        <f>VLOOKUP($A431,'[2]App C Total'!$A$4:$I$917,7,FALSE)</f>
        <v>239874</v>
      </c>
      <c r="H431" s="2">
        <f>VLOOKUP($A431,'[2]App C Total'!$A$4:$I$917,8,FALSE)</f>
        <v>60122</v>
      </c>
      <c r="I431" s="2">
        <f>VLOOKUP($A431,'[2]App C Total'!$A$4:$I$917,9,FALSE)</f>
        <v>0</v>
      </c>
      <c r="J431" s="2"/>
      <c r="K431" s="2">
        <f>VLOOKUP($A431,'[2]App C Exp'!$A$4:$I$917,5,FALSE)</f>
        <v>147095</v>
      </c>
      <c r="L431" s="2">
        <f>VLOOKUP($A431,'[2]App C Exp'!$A$4:$I$917,6,FALSE)</f>
        <v>138369</v>
      </c>
      <c r="M431" s="2">
        <f>VLOOKUP($A431,'[2]App C Exp'!$A$4:$I$917,7,FALSE)</f>
        <v>124019</v>
      </c>
      <c r="N431" s="2">
        <f>VLOOKUP($A431,'[2]App C Exp'!$A$4:$I$917,8,FALSE)</f>
        <v>49656</v>
      </c>
      <c r="O431" s="2">
        <f>VLOOKUP($A431,'[2]App C Exp'!$A$4:$I$917,9,FALSE)</f>
        <v>0</v>
      </c>
      <c r="P431" s="2"/>
      <c r="Q431" s="2">
        <f>VLOOKUP($A431,'[2]App C Inv'!$A$4:$I$917,5,FALSE)</f>
        <v>156162</v>
      </c>
      <c r="R431" s="2">
        <f>VLOOKUP($A431,'[2]App C Inv'!$A$4:$I$917,6,FALSE)</f>
        <v>-134329</v>
      </c>
      <c r="S431" s="2">
        <f>VLOOKUP($A431,'[2]App C Inv'!$A$4:$I$917,7,FALSE)</f>
        <v>18932</v>
      </c>
      <c r="T431" s="2">
        <f>VLOOKUP($A431,'[2]App C Inv'!$A$4:$I$917,8,FALSE)</f>
        <v>24640</v>
      </c>
      <c r="U431" s="2">
        <f>VLOOKUP($A431,'[2]App C Inv'!$A$4:$I$917,9,FALSE)</f>
        <v>0</v>
      </c>
      <c r="V431" s="2"/>
      <c r="W431" s="2">
        <f>VLOOKUP($A431,'[2]App C Assum'!$A$4:$I$917,5,FALSE)</f>
        <v>175919</v>
      </c>
      <c r="X431" s="2">
        <f>VLOOKUP($A431,'[2]App C Assum'!$A$4:$I$917,6,FALSE)</f>
        <v>144119</v>
      </c>
      <c r="Y431" s="2">
        <f>VLOOKUP($A431,'[2]App C Assum'!$A$4:$I$917,7,FALSE)</f>
        <v>117000</v>
      </c>
      <c r="Z431" s="2">
        <f>VLOOKUP($A431,'[2]App C Assum'!$A$4:$I$917,8,FALSE)</f>
        <v>0</v>
      </c>
      <c r="AA431" s="2">
        <f>VLOOKUP($A431,'[2]App C Assum'!$A$4:$I$917,9,FALSE)</f>
        <v>0</v>
      </c>
      <c r="AB431" s="2"/>
      <c r="AC431" s="2">
        <f>VLOOKUP($A431,'[2]App C Share Outflows'!$A$4:$I$917,5,FALSE)</f>
        <v>0</v>
      </c>
      <c r="AD431" s="2">
        <f>VLOOKUP($A431,'[2]App C Share Outflows'!$A$4:$I$917,6,FALSE)</f>
        <v>0</v>
      </c>
      <c r="AE431" s="2">
        <f>VLOOKUP($A431,'[2]App C Share Outflows'!$A$4:$I$917,7,FALSE)</f>
        <v>0</v>
      </c>
      <c r="AF431" s="2">
        <f>VLOOKUP($A431,'[2]App C Share Outflows'!$A$4:$I$917,8,FALSE)</f>
        <v>0</v>
      </c>
      <c r="AG431" s="2">
        <f>VLOOKUP($A431,'[2]App C Share Outflows'!$A$4:$I$917,9,FALSE)</f>
        <v>0</v>
      </c>
      <c r="AH431" s="2"/>
      <c r="AI431" s="2">
        <f>VLOOKUP($A431,'[2]App C Share Inflows'!$A$4:$I$917,5,FALSE)</f>
        <v>-45221</v>
      </c>
      <c r="AJ431" s="2">
        <f>VLOOKUP($A431,'[2]App C Share Inflows'!$A$4:$I$917,6,FALSE)</f>
        <v>-28557</v>
      </c>
      <c r="AK431" s="2">
        <f>VLOOKUP($A431,'[2]App C Share Inflows'!$A$4:$I$917,7,FALSE)</f>
        <v>-20077</v>
      </c>
      <c r="AL431" s="2">
        <f>VLOOKUP($A431,'[2]App C Share Inflows'!$A$4:$I$917,8,FALSE)</f>
        <v>-14174</v>
      </c>
      <c r="AM431" s="2">
        <f>VLOOKUP($A431,'[2]App C Share Inflows'!$A$4:$I$917,6,FALSE)</f>
        <v>-28557</v>
      </c>
    </row>
    <row r="432" spans="1:39">
      <c r="A432" s="351">
        <v>94231</v>
      </c>
      <c r="B432" s="344" t="s">
        <v>1125</v>
      </c>
      <c r="C432" s="235" t="e">
        <f>VLOOKUP(A432,#REF!,10,FALSE)</f>
        <v>#REF!</v>
      </c>
      <c r="E432" s="2">
        <f>VLOOKUP($A432,'[2]App C Total'!$A$4:$I$917,5,FALSE)</f>
        <v>58439</v>
      </c>
      <c r="F432" s="2">
        <f>VLOOKUP($A432,'[2]App C Total'!$A$4:$I$917,6,FALSE)</f>
        <v>7936</v>
      </c>
      <c r="G432" s="2">
        <f>VLOOKUP($A432,'[2]App C Total'!$A$4:$I$917,7,FALSE)</f>
        <v>23119</v>
      </c>
      <c r="H432" s="2">
        <f>VLOOKUP($A432,'[2]App C Total'!$A$4:$I$917,8,FALSE)</f>
        <v>1231</v>
      </c>
      <c r="I432" s="2">
        <f>VLOOKUP($A432,'[2]App C Total'!$A$4:$I$917,9,FALSE)</f>
        <v>0</v>
      </c>
      <c r="J432" s="2"/>
      <c r="K432" s="2">
        <f>VLOOKUP($A432,'[2]App C Exp'!$A$4:$I$917,5,FALSE)</f>
        <v>22246</v>
      </c>
      <c r="L432" s="2">
        <f>VLOOKUP($A432,'[2]App C Exp'!$A$4:$I$917,6,FALSE)</f>
        <v>20927</v>
      </c>
      <c r="M432" s="2">
        <f>VLOOKUP($A432,'[2]App C Exp'!$A$4:$I$917,7,FALSE)</f>
        <v>18756</v>
      </c>
      <c r="N432" s="2">
        <f>VLOOKUP($A432,'[2]App C Exp'!$A$4:$I$917,8,FALSE)</f>
        <v>7510</v>
      </c>
      <c r="O432" s="2">
        <f>VLOOKUP($A432,'[2]App C Exp'!$A$4:$I$917,9,FALSE)</f>
        <v>0</v>
      </c>
      <c r="P432" s="2"/>
      <c r="Q432" s="2">
        <f>VLOOKUP($A432,'[2]App C Inv'!$A$4:$I$917,5,FALSE)</f>
        <v>23618</v>
      </c>
      <c r="R432" s="2">
        <f>VLOOKUP($A432,'[2]App C Inv'!$A$4:$I$917,6,FALSE)</f>
        <v>-20316</v>
      </c>
      <c r="S432" s="2">
        <f>VLOOKUP($A432,'[2]App C Inv'!$A$4:$I$917,7,FALSE)</f>
        <v>2863</v>
      </c>
      <c r="T432" s="2">
        <f>VLOOKUP($A432,'[2]App C Inv'!$A$4:$I$917,8,FALSE)</f>
        <v>3726</v>
      </c>
      <c r="U432" s="2">
        <f>VLOOKUP($A432,'[2]App C Inv'!$A$4:$I$917,9,FALSE)</f>
        <v>0</v>
      </c>
      <c r="V432" s="2"/>
      <c r="W432" s="2">
        <f>VLOOKUP($A432,'[2]App C Assum'!$A$4:$I$917,5,FALSE)</f>
        <v>26606</v>
      </c>
      <c r="X432" s="2">
        <f>VLOOKUP($A432,'[2]App C Assum'!$A$4:$I$917,6,FALSE)</f>
        <v>21796</v>
      </c>
      <c r="Y432" s="2">
        <f>VLOOKUP($A432,'[2]App C Assum'!$A$4:$I$917,7,FALSE)</f>
        <v>17695</v>
      </c>
      <c r="Z432" s="2">
        <f>VLOOKUP($A432,'[2]App C Assum'!$A$4:$I$917,8,FALSE)</f>
        <v>0</v>
      </c>
      <c r="AA432" s="2">
        <f>VLOOKUP($A432,'[2]App C Assum'!$A$4:$I$917,9,FALSE)</f>
        <v>0</v>
      </c>
      <c r="AB432" s="2"/>
      <c r="AC432" s="2">
        <f>VLOOKUP($A432,'[2]App C Share Outflows'!$A$4:$I$917,5,FALSE)</f>
        <v>2162</v>
      </c>
      <c r="AD432" s="2">
        <f>VLOOKUP($A432,'[2]App C Share Outflows'!$A$4:$I$917,6,FALSE)</f>
        <v>1722</v>
      </c>
      <c r="AE432" s="2">
        <f>VLOOKUP($A432,'[2]App C Share Outflows'!$A$4:$I$917,7,FALSE)</f>
        <v>0</v>
      </c>
      <c r="AF432" s="2">
        <f>VLOOKUP($A432,'[2]App C Share Outflows'!$A$4:$I$917,8,FALSE)</f>
        <v>0</v>
      </c>
      <c r="AG432" s="2">
        <f>VLOOKUP($A432,'[2]App C Share Outflows'!$A$4:$I$917,9,FALSE)</f>
        <v>0</v>
      </c>
      <c r="AH432" s="2"/>
      <c r="AI432" s="2">
        <f>VLOOKUP($A432,'[2]App C Share Inflows'!$A$4:$I$917,5,FALSE)</f>
        <v>-16193</v>
      </c>
      <c r="AJ432" s="2">
        <f>VLOOKUP($A432,'[2]App C Share Inflows'!$A$4:$I$917,6,FALSE)</f>
        <v>-16193</v>
      </c>
      <c r="AK432" s="2">
        <f>VLOOKUP($A432,'[2]App C Share Inflows'!$A$4:$I$917,7,FALSE)</f>
        <v>-16195</v>
      </c>
      <c r="AL432" s="2">
        <f>VLOOKUP($A432,'[2]App C Share Inflows'!$A$4:$I$917,8,FALSE)</f>
        <v>-10005</v>
      </c>
      <c r="AM432" s="2">
        <f>VLOOKUP($A432,'[2]App C Share Inflows'!$A$4:$I$917,6,FALSE)</f>
        <v>-16193</v>
      </c>
    </row>
    <row r="433" spans="1:39">
      <c r="A433" s="351">
        <v>94241</v>
      </c>
      <c r="B433" s="344" t="s">
        <v>1126</v>
      </c>
      <c r="C433" s="235" t="e">
        <f>VLOOKUP(A433,#REF!,10,FALSE)</f>
        <v>#REF!</v>
      </c>
      <c r="E433" s="2">
        <f>VLOOKUP($A433,'[2]App C Total'!$A$4:$I$917,5,FALSE)</f>
        <v>56592</v>
      </c>
      <c r="F433" s="2">
        <f>VLOOKUP($A433,'[2]App C Total'!$A$4:$I$917,6,FALSE)</f>
        <v>18892</v>
      </c>
      <c r="G433" s="2">
        <f>VLOOKUP($A433,'[2]App C Total'!$A$4:$I$917,7,FALSE)</f>
        <v>25312</v>
      </c>
      <c r="H433" s="2">
        <f>VLOOKUP($A433,'[2]App C Total'!$A$4:$I$917,8,FALSE)</f>
        <v>6100</v>
      </c>
      <c r="I433" s="2">
        <f>VLOOKUP($A433,'[2]App C Total'!$A$4:$I$917,9,FALSE)</f>
        <v>0</v>
      </c>
      <c r="J433" s="2"/>
      <c r="K433" s="2">
        <f>VLOOKUP($A433,'[2]App C Exp'!$A$4:$I$917,5,FALSE)</f>
        <v>16569</v>
      </c>
      <c r="L433" s="2">
        <f>VLOOKUP($A433,'[2]App C Exp'!$A$4:$I$917,6,FALSE)</f>
        <v>15586</v>
      </c>
      <c r="M433" s="2">
        <f>VLOOKUP($A433,'[2]App C Exp'!$A$4:$I$917,7,FALSE)</f>
        <v>13969</v>
      </c>
      <c r="N433" s="2">
        <f>VLOOKUP($A433,'[2]App C Exp'!$A$4:$I$917,8,FALSE)</f>
        <v>5593</v>
      </c>
      <c r="O433" s="2">
        <f>VLOOKUP($A433,'[2]App C Exp'!$A$4:$I$917,9,FALSE)</f>
        <v>0</v>
      </c>
      <c r="P433" s="2"/>
      <c r="Q433" s="2">
        <f>VLOOKUP($A433,'[2]App C Inv'!$A$4:$I$917,5,FALSE)</f>
        <v>17590</v>
      </c>
      <c r="R433" s="2">
        <f>VLOOKUP($A433,'[2]App C Inv'!$A$4:$I$917,6,FALSE)</f>
        <v>-15131</v>
      </c>
      <c r="S433" s="2">
        <f>VLOOKUP($A433,'[2]App C Inv'!$A$4:$I$917,7,FALSE)</f>
        <v>2132</v>
      </c>
      <c r="T433" s="2">
        <f>VLOOKUP($A433,'[2]App C Inv'!$A$4:$I$917,8,FALSE)</f>
        <v>2775</v>
      </c>
      <c r="U433" s="2">
        <f>VLOOKUP($A433,'[2]App C Inv'!$A$4:$I$917,9,FALSE)</f>
        <v>0</v>
      </c>
      <c r="V433" s="2"/>
      <c r="W433" s="2">
        <f>VLOOKUP($A433,'[2]App C Assum'!$A$4:$I$917,5,FALSE)</f>
        <v>19815</v>
      </c>
      <c r="X433" s="2">
        <f>VLOOKUP($A433,'[2]App C Assum'!$A$4:$I$917,6,FALSE)</f>
        <v>16233</v>
      </c>
      <c r="Y433" s="2">
        <f>VLOOKUP($A433,'[2]App C Assum'!$A$4:$I$917,7,FALSE)</f>
        <v>13179</v>
      </c>
      <c r="Z433" s="2">
        <f>VLOOKUP($A433,'[2]App C Assum'!$A$4:$I$917,8,FALSE)</f>
        <v>0</v>
      </c>
      <c r="AA433" s="2">
        <f>VLOOKUP($A433,'[2]App C Assum'!$A$4:$I$917,9,FALSE)</f>
        <v>0</v>
      </c>
      <c r="AB433" s="2"/>
      <c r="AC433" s="2">
        <f>VLOOKUP($A433,'[2]App C Share Outflows'!$A$4:$I$917,5,FALSE)</f>
        <v>6586</v>
      </c>
      <c r="AD433" s="2">
        <f>VLOOKUP($A433,'[2]App C Share Outflows'!$A$4:$I$917,6,FALSE)</f>
        <v>6172</v>
      </c>
      <c r="AE433" s="2">
        <f>VLOOKUP($A433,'[2]App C Share Outflows'!$A$4:$I$917,7,FALSE)</f>
        <v>0</v>
      </c>
      <c r="AF433" s="2">
        <f>VLOOKUP($A433,'[2]App C Share Outflows'!$A$4:$I$917,8,FALSE)</f>
        <v>0</v>
      </c>
      <c r="AG433" s="2">
        <f>VLOOKUP($A433,'[2]App C Share Outflows'!$A$4:$I$917,9,FALSE)</f>
        <v>0</v>
      </c>
      <c r="AH433" s="2"/>
      <c r="AI433" s="2">
        <f>VLOOKUP($A433,'[2]App C Share Inflows'!$A$4:$I$917,5,FALSE)</f>
        <v>-3968</v>
      </c>
      <c r="AJ433" s="2">
        <f>VLOOKUP($A433,'[2]App C Share Inflows'!$A$4:$I$917,6,FALSE)</f>
        <v>-3968</v>
      </c>
      <c r="AK433" s="2">
        <f>VLOOKUP($A433,'[2]App C Share Inflows'!$A$4:$I$917,7,FALSE)</f>
        <v>-3968</v>
      </c>
      <c r="AL433" s="2">
        <f>VLOOKUP($A433,'[2]App C Share Inflows'!$A$4:$I$917,8,FALSE)</f>
        <v>-2268</v>
      </c>
      <c r="AM433" s="2">
        <f>VLOOKUP($A433,'[2]App C Share Inflows'!$A$4:$I$917,6,FALSE)</f>
        <v>-3968</v>
      </c>
    </row>
    <row r="434" spans="1:39">
      <c r="A434" s="351">
        <v>94251</v>
      </c>
      <c r="B434" s="344" t="s">
        <v>1127</v>
      </c>
      <c r="C434" s="235" t="e">
        <f>VLOOKUP(A434,#REF!,10,FALSE)</f>
        <v>#REF!</v>
      </c>
      <c r="E434" s="2">
        <f>VLOOKUP($A434,'[2]App C Total'!$A$4:$I$917,5,FALSE)</f>
        <v>8729</v>
      </c>
      <c r="F434" s="2">
        <f>VLOOKUP($A434,'[2]App C Total'!$A$4:$I$917,6,FALSE)</f>
        <v>3662</v>
      </c>
      <c r="G434" s="2">
        <f>VLOOKUP($A434,'[2]App C Total'!$A$4:$I$917,7,FALSE)</f>
        <v>4863</v>
      </c>
      <c r="H434" s="2">
        <f>VLOOKUP($A434,'[2]App C Total'!$A$4:$I$917,8,FALSE)</f>
        <v>1763</v>
      </c>
      <c r="I434" s="2">
        <f>VLOOKUP($A434,'[2]App C Total'!$A$4:$I$917,9,FALSE)</f>
        <v>0</v>
      </c>
      <c r="J434" s="2"/>
      <c r="K434" s="2">
        <f>VLOOKUP($A434,'[2]App C Exp'!$A$4:$I$917,5,FALSE)</f>
        <v>2667</v>
      </c>
      <c r="L434" s="2">
        <f>VLOOKUP($A434,'[2]App C Exp'!$A$4:$I$917,6,FALSE)</f>
        <v>2508</v>
      </c>
      <c r="M434" s="2">
        <f>VLOOKUP($A434,'[2]App C Exp'!$A$4:$I$917,7,FALSE)</f>
        <v>2248</v>
      </c>
      <c r="N434" s="2">
        <f>VLOOKUP($A434,'[2]App C Exp'!$A$4:$I$917,8,FALSE)</f>
        <v>900</v>
      </c>
      <c r="O434" s="2">
        <f>VLOOKUP($A434,'[2]App C Exp'!$A$4:$I$917,9,FALSE)</f>
        <v>0</v>
      </c>
      <c r="P434" s="2"/>
      <c r="Q434" s="2">
        <f>VLOOKUP($A434,'[2]App C Inv'!$A$4:$I$917,5,FALSE)</f>
        <v>2831</v>
      </c>
      <c r="R434" s="2">
        <f>VLOOKUP($A434,'[2]App C Inv'!$A$4:$I$917,6,FALSE)</f>
        <v>-2435</v>
      </c>
      <c r="S434" s="2">
        <f>VLOOKUP($A434,'[2]App C Inv'!$A$4:$I$917,7,FALSE)</f>
        <v>343</v>
      </c>
      <c r="T434" s="2">
        <f>VLOOKUP($A434,'[2]App C Inv'!$A$4:$I$917,8,FALSE)</f>
        <v>447</v>
      </c>
      <c r="U434" s="2">
        <f>VLOOKUP($A434,'[2]App C Inv'!$A$4:$I$917,9,FALSE)</f>
        <v>0</v>
      </c>
      <c r="V434" s="2"/>
      <c r="W434" s="2">
        <f>VLOOKUP($A434,'[2]App C Assum'!$A$4:$I$917,5,FALSE)</f>
        <v>3189</v>
      </c>
      <c r="X434" s="2">
        <f>VLOOKUP($A434,'[2]App C Assum'!$A$4:$I$917,6,FALSE)</f>
        <v>2613</v>
      </c>
      <c r="Y434" s="2">
        <f>VLOOKUP($A434,'[2]App C Assum'!$A$4:$I$917,7,FALSE)</f>
        <v>2121</v>
      </c>
      <c r="Z434" s="2">
        <f>VLOOKUP($A434,'[2]App C Assum'!$A$4:$I$917,8,FALSE)</f>
        <v>0</v>
      </c>
      <c r="AA434" s="2">
        <f>VLOOKUP($A434,'[2]App C Assum'!$A$4:$I$917,9,FALSE)</f>
        <v>0</v>
      </c>
      <c r="AB434" s="2"/>
      <c r="AC434" s="2">
        <f>VLOOKUP($A434,'[2]App C Share Outflows'!$A$4:$I$917,5,FALSE)</f>
        <v>1238</v>
      </c>
      <c r="AD434" s="2">
        <f>VLOOKUP($A434,'[2]App C Share Outflows'!$A$4:$I$917,6,FALSE)</f>
        <v>1240</v>
      </c>
      <c r="AE434" s="2">
        <f>VLOOKUP($A434,'[2]App C Share Outflows'!$A$4:$I$917,7,FALSE)</f>
        <v>416</v>
      </c>
      <c r="AF434" s="2">
        <f>VLOOKUP($A434,'[2]App C Share Outflows'!$A$4:$I$917,8,FALSE)</f>
        <v>416</v>
      </c>
      <c r="AG434" s="2">
        <f>VLOOKUP($A434,'[2]App C Share Outflows'!$A$4:$I$917,9,FALSE)</f>
        <v>0</v>
      </c>
      <c r="AH434" s="2"/>
      <c r="AI434" s="2">
        <f>VLOOKUP($A434,'[2]App C Share Inflows'!$A$4:$I$917,5,FALSE)</f>
        <v>-1196</v>
      </c>
      <c r="AJ434" s="2">
        <f>VLOOKUP($A434,'[2]App C Share Inflows'!$A$4:$I$917,6,FALSE)</f>
        <v>-264</v>
      </c>
      <c r="AK434" s="2">
        <f>VLOOKUP($A434,'[2]App C Share Inflows'!$A$4:$I$917,7,FALSE)</f>
        <v>-265</v>
      </c>
      <c r="AL434" s="2">
        <f>VLOOKUP($A434,'[2]App C Share Inflows'!$A$4:$I$917,8,FALSE)</f>
        <v>0</v>
      </c>
      <c r="AM434" s="2">
        <f>VLOOKUP($A434,'[2]App C Share Inflows'!$A$4:$I$917,6,FALSE)</f>
        <v>-264</v>
      </c>
    </row>
    <row r="435" spans="1:39">
      <c r="A435" s="351">
        <v>94261</v>
      </c>
      <c r="B435" s="344" t="s">
        <v>1128</v>
      </c>
      <c r="C435" s="235" t="e">
        <f>VLOOKUP(A435,#REF!,10,FALSE)</f>
        <v>#REF!</v>
      </c>
      <c r="E435" s="2">
        <f>VLOOKUP($A435,'[2]App C Total'!$A$4:$I$917,5,FALSE)</f>
        <v>27813</v>
      </c>
      <c r="F435" s="2">
        <f>VLOOKUP($A435,'[2]App C Total'!$A$4:$I$917,6,FALSE)</f>
        <v>10300</v>
      </c>
      <c r="G435" s="2">
        <f>VLOOKUP($A435,'[2]App C Total'!$A$4:$I$917,7,FALSE)</f>
        <v>13836</v>
      </c>
      <c r="H435" s="2">
        <f>VLOOKUP($A435,'[2]App C Total'!$A$4:$I$917,8,FALSE)</f>
        <v>5221</v>
      </c>
      <c r="I435" s="2">
        <f>VLOOKUP($A435,'[2]App C Total'!$A$4:$I$917,9,FALSE)</f>
        <v>0</v>
      </c>
      <c r="J435" s="2"/>
      <c r="K435" s="2">
        <f>VLOOKUP($A435,'[2]App C Exp'!$A$4:$I$917,5,FALSE)</f>
        <v>6981</v>
      </c>
      <c r="L435" s="2">
        <f>VLOOKUP($A435,'[2]App C Exp'!$A$4:$I$917,6,FALSE)</f>
        <v>6567</v>
      </c>
      <c r="M435" s="2">
        <f>VLOOKUP($A435,'[2]App C Exp'!$A$4:$I$917,7,FALSE)</f>
        <v>5886</v>
      </c>
      <c r="N435" s="2">
        <f>VLOOKUP($A435,'[2]App C Exp'!$A$4:$I$917,8,FALSE)</f>
        <v>2357</v>
      </c>
      <c r="O435" s="2">
        <f>VLOOKUP($A435,'[2]App C Exp'!$A$4:$I$917,9,FALSE)</f>
        <v>0</v>
      </c>
      <c r="P435" s="2"/>
      <c r="Q435" s="2">
        <f>VLOOKUP($A435,'[2]App C Inv'!$A$4:$I$917,5,FALSE)</f>
        <v>7411</v>
      </c>
      <c r="R435" s="2">
        <f>VLOOKUP($A435,'[2]App C Inv'!$A$4:$I$917,6,FALSE)</f>
        <v>-6375</v>
      </c>
      <c r="S435" s="2">
        <f>VLOOKUP($A435,'[2]App C Inv'!$A$4:$I$917,7,FALSE)</f>
        <v>898</v>
      </c>
      <c r="T435" s="2">
        <f>VLOOKUP($A435,'[2]App C Inv'!$A$4:$I$917,8,FALSE)</f>
        <v>1169</v>
      </c>
      <c r="U435" s="2">
        <f>VLOOKUP($A435,'[2]App C Inv'!$A$4:$I$917,9,FALSE)</f>
        <v>0</v>
      </c>
      <c r="V435" s="2"/>
      <c r="W435" s="2">
        <f>VLOOKUP($A435,'[2]App C Assum'!$A$4:$I$917,5,FALSE)</f>
        <v>8349</v>
      </c>
      <c r="X435" s="2">
        <f>VLOOKUP($A435,'[2]App C Assum'!$A$4:$I$917,6,FALSE)</f>
        <v>6840</v>
      </c>
      <c r="Y435" s="2">
        <f>VLOOKUP($A435,'[2]App C Assum'!$A$4:$I$917,7,FALSE)</f>
        <v>5553</v>
      </c>
      <c r="Z435" s="2">
        <f>VLOOKUP($A435,'[2]App C Assum'!$A$4:$I$917,8,FALSE)</f>
        <v>0</v>
      </c>
      <c r="AA435" s="2">
        <f>VLOOKUP($A435,'[2]App C Assum'!$A$4:$I$917,9,FALSE)</f>
        <v>0</v>
      </c>
      <c r="AB435" s="2"/>
      <c r="AC435" s="2">
        <f>VLOOKUP($A435,'[2]App C Share Outflows'!$A$4:$I$917,5,FALSE)</f>
        <v>5270</v>
      </c>
      <c r="AD435" s="2">
        <f>VLOOKUP($A435,'[2]App C Share Outflows'!$A$4:$I$917,6,FALSE)</f>
        <v>3466</v>
      </c>
      <c r="AE435" s="2">
        <f>VLOOKUP($A435,'[2]App C Share Outflows'!$A$4:$I$917,7,FALSE)</f>
        <v>1695</v>
      </c>
      <c r="AF435" s="2">
        <f>VLOOKUP($A435,'[2]App C Share Outflows'!$A$4:$I$917,8,FALSE)</f>
        <v>1695</v>
      </c>
      <c r="AG435" s="2">
        <f>VLOOKUP($A435,'[2]App C Share Outflows'!$A$4:$I$917,9,FALSE)</f>
        <v>0</v>
      </c>
      <c r="AH435" s="2"/>
      <c r="AI435" s="2">
        <f>VLOOKUP($A435,'[2]App C Share Inflows'!$A$4:$I$917,5,FALSE)</f>
        <v>-198</v>
      </c>
      <c r="AJ435" s="2">
        <f>VLOOKUP($A435,'[2]App C Share Inflows'!$A$4:$I$917,6,FALSE)</f>
        <v>-198</v>
      </c>
      <c r="AK435" s="2">
        <f>VLOOKUP($A435,'[2]App C Share Inflows'!$A$4:$I$917,7,FALSE)</f>
        <v>-196</v>
      </c>
      <c r="AL435" s="2">
        <f>VLOOKUP($A435,'[2]App C Share Inflows'!$A$4:$I$917,8,FALSE)</f>
        <v>0</v>
      </c>
      <c r="AM435" s="2">
        <f>VLOOKUP($A435,'[2]App C Share Inflows'!$A$4:$I$917,6,FALSE)</f>
        <v>-198</v>
      </c>
    </row>
    <row r="436" spans="1:39">
      <c r="A436" s="351">
        <v>94301</v>
      </c>
      <c r="B436" s="344" t="s">
        <v>1129</v>
      </c>
      <c r="C436" s="235" t="e">
        <f>VLOOKUP(A436,#REF!,10,FALSE)</f>
        <v>#REF!</v>
      </c>
      <c r="E436" s="2">
        <f>VLOOKUP($A436,'[2]App C Total'!$A$4:$I$917,5,FALSE)</f>
        <v>3050936</v>
      </c>
      <c r="F436" s="2">
        <f>VLOOKUP($A436,'[2]App C Total'!$A$4:$I$917,6,FALSE)</f>
        <v>944035</v>
      </c>
      <c r="G436" s="2">
        <f>VLOOKUP($A436,'[2]App C Total'!$A$4:$I$917,7,FALSE)</f>
        <v>1643282</v>
      </c>
      <c r="H436" s="2">
        <f>VLOOKUP($A436,'[2]App C Total'!$A$4:$I$917,8,FALSE)</f>
        <v>449028</v>
      </c>
      <c r="I436" s="2">
        <f>VLOOKUP($A436,'[2]App C Total'!$A$4:$I$917,9,FALSE)</f>
        <v>0</v>
      </c>
      <c r="J436" s="2"/>
      <c r="K436" s="2">
        <f>VLOOKUP($A436,'[2]App C Exp'!$A$4:$I$917,5,FALSE)</f>
        <v>945267</v>
      </c>
      <c r="L436" s="2">
        <f>VLOOKUP($A436,'[2]App C Exp'!$A$4:$I$917,6,FALSE)</f>
        <v>889191</v>
      </c>
      <c r="M436" s="2">
        <f>VLOOKUP($A436,'[2]App C Exp'!$A$4:$I$917,7,FALSE)</f>
        <v>796972</v>
      </c>
      <c r="N436" s="2">
        <f>VLOOKUP($A436,'[2]App C Exp'!$A$4:$I$917,8,FALSE)</f>
        <v>319098</v>
      </c>
      <c r="O436" s="2">
        <f>VLOOKUP($A436,'[2]App C Exp'!$A$4:$I$917,9,FALSE)</f>
        <v>0</v>
      </c>
      <c r="P436" s="2"/>
      <c r="Q436" s="2">
        <f>VLOOKUP($A436,'[2]App C Inv'!$A$4:$I$917,5,FALSE)</f>
        <v>1003533</v>
      </c>
      <c r="R436" s="2">
        <f>VLOOKUP($A436,'[2]App C Inv'!$A$4:$I$917,6,FALSE)</f>
        <v>-863226</v>
      </c>
      <c r="S436" s="2">
        <f>VLOOKUP($A436,'[2]App C Inv'!$A$4:$I$917,7,FALSE)</f>
        <v>121661</v>
      </c>
      <c r="T436" s="2">
        <f>VLOOKUP($A436,'[2]App C Inv'!$A$4:$I$917,8,FALSE)</f>
        <v>158341</v>
      </c>
      <c r="U436" s="2">
        <f>VLOOKUP($A436,'[2]App C Inv'!$A$4:$I$917,9,FALSE)</f>
        <v>0</v>
      </c>
      <c r="V436" s="2"/>
      <c r="W436" s="2">
        <f>VLOOKUP($A436,'[2]App C Assum'!$A$4:$I$917,5,FALSE)</f>
        <v>1130494</v>
      </c>
      <c r="X436" s="2">
        <f>VLOOKUP($A436,'[2]App C Assum'!$A$4:$I$917,6,FALSE)</f>
        <v>926142</v>
      </c>
      <c r="Y436" s="2">
        <f>VLOOKUP($A436,'[2]App C Assum'!$A$4:$I$917,7,FALSE)</f>
        <v>751869</v>
      </c>
      <c r="Z436" s="2">
        <f>VLOOKUP($A436,'[2]App C Assum'!$A$4:$I$917,8,FALSE)</f>
        <v>0</v>
      </c>
      <c r="AA436" s="2">
        <f>VLOOKUP($A436,'[2]App C Assum'!$A$4:$I$917,9,FALSE)</f>
        <v>0</v>
      </c>
      <c r="AB436" s="2"/>
      <c r="AC436" s="2">
        <f>VLOOKUP($A436,'[2]App C Share Outflows'!$A$4:$I$917,5,FALSE)</f>
        <v>20337</v>
      </c>
      <c r="AD436" s="2">
        <f>VLOOKUP($A436,'[2]App C Share Outflows'!$A$4:$I$917,6,FALSE)</f>
        <v>20338</v>
      </c>
      <c r="AE436" s="2">
        <f>VLOOKUP($A436,'[2]App C Share Outflows'!$A$4:$I$917,7,FALSE)</f>
        <v>1190</v>
      </c>
      <c r="AF436" s="2">
        <f>VLOOKUP($A436,'[2]App C Share Outflows'!$A$4:$I$917,8,FALSE)</f>
        <v>0</v>
      </c>
      <c r="AG436" s="2">
        <f>VLOOKUP($A436,'[2]App C Share Outflows'!$A$4:$I$917,9,FALSE)</f>
        <v>0</v>
      </c>
      <c r="AH436" s="2"/>
      <c r="AI436" s="2">
        <f>VLOOKUP($A436,'[2]App C Share Inflows'!$A$4:$I$917,5,FALSE)</f>
        <v>-48695</v>
      </c>
      <c r="AJ436" s="2">
        <f>VLOOKUP($A436,'[2]App C Share Inflows'!$A$4:$I$917,6,FALSE)</f>
        <v>-28410</v>
      </c>
      <c r="AK436" s="2">
        <f>VLOOKUP($A436,'[2]App C Share Inflows'!$A$4:$I$917,7,FALSE)</f>
        <v>-28410</v>
      </c>
      <c r="AL436" s="2">
        <f>VLOOKUP($A436,'[2]App C Share Inflows'!$A$4:$I$917,8,FALSE)</f>
        <v>-28411</v>
      </c>
      <c r="AM436" s="2">
        <f>VLOOKUP($A436,'[2]App C Share Inflows'!$A$4:$I$917,6,FALSE)</f>
        <v>-28410</v>
      </c>
    </row>
    <row r="437" spans="1:39">
      <c r="A437" s="351">
        <v>94311</v>
      </c>
      <c r="B437" s="344" t="s">
        <v>1130</v>
      </c>
      <c r="C437" s="235" t="e">
        <f>VLOOKUP(A437,#REF!,10,FALSE)</f>
        <v>#REF!</v>
      </c>
      <c r="E437" s="2">
        <f>VLOOKUP($A437,'[2]App C Total'!$A$4:$I$917,5,FALSE)</f>
        <v>378009</v>
      </c>
      <c r="F437" s="2">
        <f>VLOOKUP($A437,'[2]App C Total'!$A$4:$I$917,6,FALSE)</f>
        <v>126032</v>
      </c>
      <c r="G437" s="2">
        <f>VLOOKUP($A437,'[2]App C Total'!$A$4:$I$917,7,FALSE)</f>
        <v>208650</v>
      </c>
      <c r="H437" s="2">
        <f>VLOOKUP($A437,'[2]App C Total'!$A$4:$I$917,8,FALSE)</f>
        <v>67676</v>
      </c>
      <c r="I437" s="2">
        <f>VLOOKUP($A437,'[2]App C Total'!$A$4:$I$917,9,FALSE)</f>
        <v>0</v>
      </c>
      <c r="J437" s="2"/>
      <c r="K437" s="2">
        <f>VLOOKUP($A437,'[2]App C Exp'!$A$4:$I$917,5,FALSE)</f>
        <v>116400</v>
      </c>
      <c r="L437" s="2">
        <f>VLOOKUP($A437,'[2]App C Exp'!$A$4:$I$917,6,FALSE)</f>
        <v>109495</v>
      </c>
      <c r="M437" s="2">
        <f>VLOOKUP($A437,'[2]App C Exp'!$A$4:$I$917,7,FALSE)</f>
        <v>98139</v>
      </c>
      <c r="N437" s="2">
        <f>VLOOKUP($A437,'[2]App C Exp'!$A$4:$I$917,8,FALSE)</f>
        <v>39294</v>
      </c>
      <c r="O437" s="2">
        <f>VLOOKUP($A437,'[2]App C Exp'!$A$4:$I$917,9,FALSE)</f>
        <v>0</v>
      </c>
      <c r="P437" s="2"/>
      <c r="Q437" s="2">
        <f>VLOOKUP($A437,'[2]App C Inv'!$A$4:$I$917,5,FALSE)</f>
        <v>123575</v>
      </c>
      <c r="R437" s="2">
        <f>VLOOKUP($A437,'[2]App C Inv'!$A$4:$I$917,6,FALSE)</f>
        <v>-106297</v>
      </c>
      <c r="S437" s="2">
        <f>VLOOKUP($A437,'[2]App C Inv'!$A$4:$I$917,7,FALSE)</f>
        <v>14981</v>
      </c>
      <c r="T437" s="2">
        <f>VLOOKUP($A437,'[2]App C Inv'!$A$4:$I$917,8,FALSE)</f>
        <v>19498</v>
      </c>
      <c r="U437" s="2">
        <f>VLOOKUP($A437,'[2]App C Inv'!$A$4:$I$917,9,FALSE)</f>
        <v>0</v>
      </c>
      <c r="V437" s="2"/>
      <c r="W437" s="2">
        <f>VLOOKUP($A437,'[2]App C Assum'!$A$4:$I$917,5,FALSE)</f>
        <v>139209</v>
      </c>
      <c r="X437" s="2">
        <f>VLOOKUP($A437,'[2]App C Assum'!$A$4:$I$917,6,FALSE)</f>
        <v>114045</v>
      </c>
      <c r="Y437" s="2">
        <f>VLOOKUP($A437,'[2]App C Assum'!$A$4:$I$917,7,FALSE)</f>
        <v>92585</v>
      </c>
      <c r="Z437" s="2">
        <f>VLOOKUP($A437,'[2]App C Assum'!$A$4:$I$917,8,FALSE)</f>
        <v>0</v>
      </c>
      <c r="AA437" s="2">
        <f>VLOOKUP($A437,'[2]App C Assum'!$A$4:$I$917,9,FALSE)</f>
        <v>0</v>
      </c>
      <c r="AB437" s="2"/>
      <c r="AC437" s="2">
        <f>VLOOKUP($A437,'[2]App C Share Outflows'!$A$4:$I$917,5,FALSE)</f>
        <v>14726</v>
      </c>
      <c r="AD437" s="2">
        <f>VLOOKUP($A437,'[2]App C Share Outflows'!$A$4:$I$917,6,FALSE)</f>
        <v>14728</v>
      </c>
      <c r="AE437" s="2">
        <f>VLOOKUP($A437,'[2]App C Share Outflows'!$A$4:$I$917,7,FALSE)</f>
        <v>8884</v>
      </c>
      <c r="AF437" s="2">
        <f>VLOOKUP($A437,'[2]App C Share Outflows'!$A$4:$I$917,8,FALSE)</f>
        <v>8884</v>
      </c>
      <c r="AG437" s="2">
        <f>VLOOKUP($A437,'[2]App C Share Outflows'!$A$4:$I$917,9,FALSE)</f>
        <v>0</v>
      </c>
      <c r="AH437" s="2"/>
      <c r="AI437" s="2">
        <f>VLOOKUP($A437,'[2]App C Share Inflows'!$A$4:$I$917,5,FALSE)</f>
        <v>-15901</v>
      </c>
      <c r="AJ437" s="2">
        <f>VLOOKUP($A437,'[2]App C Share Inflows'!$A$4:$I$917,6,FALSE)</f>
        <v>-5939</v>
      </c>
      <c r="AK437" s="2">
        <f>VLOOKUP($A437,'[2]App C Share Inflows'!$A$4:$I$917,7,FALSE)</f>
        <v>-5939</v>
      </c>
      <c r="AL437" s="2">
        <f>VLOOKUP($A437,'[2]App C Share Inflows'!$A$4:$I$917,8,FALSE)</f>
        <v>0</v>
      </c>
      <c r="AM437" s="2">
        <f>VLOOKUP($A437,'[2]App C Share Inflows'!$A$4:$I$917,6,FALSE)</f>
        <v>-5939</v>
      </c>
    </row>
    <row r="438" spans="1:39">
      <c r="A438" s="351">
        <v>94313</v>
      </c>
      <c r="B438" s="344" t="s">
        <v>1131</v>
      </c>
      <c r="C438" s="235" t="e">
        <f>VLOOKUP(A438,#REF!,10,FALSE)</f>
        <v>#REF!</v>
      </c>
      <c r="E438" s="2">
        <f>VLOOKUP($A438,'[2]App C Total'!$A$4:$I$917,5,FALSE)</f>
        <v>9684</v>
      </c>
      <c r="F438" s="2">
        <f>VLOOKUP($A438,'[2]App C Total'!$A$4:$I$917,6,FALSE)</f>
        <v>3872</v>
      </c>
      <c r="G438" s="2">
        <f>VLOOKUP($A438,'[2]App C Total'!$A$4:$I$917,7,FALSE)</f>
        <v>4961</v>
      </c>
      <c r="H438" s="2">
        <f>VLOOKUP($A438,'[2]App C Total'!$A$4:$I$917,8,FALSE)</f>
        <v>988</v>
      </c>
      <c r="I438" s="2">
        <f>VLOOKUP($A438,'[2]App C Total'!$A$4:$I$917,9,FALSE)</f>
        <v>0</v>
      </c>
      <c r="J438" s="2"/>
      <c r="K438" s="2">
        <f>VLOOKUP($A438,'[2]App C Exp'!$A$4:$I$917,5,FALSE)</f>
        <v>2157</v>
      </c>
      <c r="L438" s="2">
        <f>VLOOKUP($A438,'[2]App C Exp'!$A$4:$I$917,6,FALSE)</f>
        <v>2029</v>
      </c>
      <c r="M438" s="2">
        <f>VLOOKUP($A438,'[2]App C Exp'!$A$4:$I$917,7,FALSE)</f>
        <v>1819</v>
      </c>
      <c r="N438" s="2">
        <f>VLOOKUP($A438,'[2]App C Exp'!$A$4:$I$917,8,FALSE)</f>
        <v>728</v>
      </c>
      <c r="O438" s="2">
        <f>VLOOKUP($A438,'[2]App C Exp'!$A$4:$I$917,9,FALSE)</f>
        <v>0</v>
      </c>
      <c r="P438" s="2"/>
      <c r="Q438" s="2">
        <f>VLOOKUP($A438,'[2]App C Inv'!$A$4:$I$917,5,FALSE)</f>
        <v>2290</v>
      </c>
      <c r="R438" s="2">
        <f>VLOOKUP($A438,'[2]App C Inv'!$A$4:$I$917,6,FALSE)</f>
        <v>-1970</v>
      </c>
      <c r="S438" s="2">
        <f>VLOOKUP($A438,'[2]App C Inv'!$A$4:$I$917,7,FALSE)</f>
        <v>278</v>
      </c>
      <c r="T438" s="2">
        <f>VLOOKUP($A438,'[2]App C Inv'!$A$4:$I$917,8,FALSE)</f>
        <v>361</v>
      </c>
      <c r="U438" s="2">
        <f>VLOOKUP($A438,'[2]App C Inv'!$A$4:$I$917,9,FALSE)</f>
        <v>0</v>
      </c>
      <c r="V438" s="2"/>
      <c r="W438" s="2">
        <f>VLOOKUP($A438,'[2]App C Assum'!$A$4:$I$917,5,FALSE)</f>
        <v>2580</v>
      </c>
      <c r="X438" s="2">
        <f>VLOOKUP($A438,'[2]App C Assum'!$A$4:$I$917,6,FALSE)</f>
        <v>2114</v>
      </c>
      <c r="Y438" s="2">
        <f>VLOOKUP($A438,'[2]App C Assum'!$A$4:$I$917,7,FALSE)</f>
        <v>1716</v>
      </c>
      <c r="Z438" s="2">
        <f>VLOOKUP($A438,'[2]App C Assum'!$A$4:$I$917,8,FALSE)</f>
        <v>0</v>
      </c>
      <c r="AA438" s="2">
        <f>VLOOKUP($A438,'[2]App C Assum'!$A$4:$I$917,9,FALSE)</f>
        <v>0</v>
      </c>
      <c r="AB438" s="2"/>
      <c r="AC438" s="2">
        <f>VLOOKUP($A438,'[2]App C Share Outflows'!$A$4:$I$917,5,FALSE)</f>
        <v>2759</v>
      </c>
      <c r="AD438" s="2">
        <f>VLOOKUP($A438,'[2]App C Share Outflows'!$A$4:$I$917,6,FALSE)</f>
        <v>1801</v>
      </c>
      <c r="AE438" s="2">
        <f>VLOOKUP($A438,'[2]App C Share Outflows'!$A$4:$I$917,7,FALSE)</f>
        <v>1250</v>
      </c>
      <c r="AF438" s="2">
        <f>VLOOKUP($A438,'[2]App C Share Outflows'!$A$4:$I$917,8,FALSE)</f>
        <v>0</v>
      </c>
      <c r="AG438" s="2">
        <f>VLOOKUP($A438,'[2]App C Share Outflows'!$A$4:$I$917,9,FALSE)</f>
        <v>0</v>
      </c>
      <c r="AH438" s="2"/>
      <c r="AI438" s="2">
        <f>VLOOKUP($A438,'[2]App C Share Inflows'!$A$4:$I$917,5,FALSE)</f>
        <v>-102</v>
      </c>
      <c r="AJ438" s="2">
        <f>VLOOKUP($A438,'[2]App C Share Inflows'!$A$4:$I$917,6,FALSE)</f>
        <v>-102</v>
      </c>
      <c r="AK438" s="2">
        <f>VLOOKUP($A438,'[2]App C Share Inflows'!$A$4:$I$917,7,FALSE)</f>
        <v>-102</v>
      </c>
      <c r="AL438" s="2">
        <f>VLOOKUP($A438,'[2]App C Share Inflows'!$A$4:$I$917,8,FALSE)</f>
        <v>-101</v>
      </c>
      <c r="AM438" s="2">
        <f>VLOOKUP($A438,'[2]App C Share Inflows'!$A$4:$I$917,6,FALSE)</f>
        <v>-102</v>
      </c>
    </row>
    <row r="439" spans="1:39">
      <c r="A439" s="351">
        <v>94317</v>
      </c>
      <c r="B439" s="344" t="s">
        <v>1132</v>
      </c>
      <c r="C439" s="235" t="e">
        <f>VLOOKUP(A439,#REF!,10,FALSE)</f>
        <v>#REF!</v>
      </c>
      <c r="E439" s="2">
        <f>VLOOKUP($A439,'[2]App C Total'!$A$4:$I$917,5,FALSE)</f>
        <v>8557</v>
      </c>
      <c r="F439" s="2">
        <f>VLOOKUP($A439,'[2]App C Total'!$A$4:$I$917,6,FALSE)</f>
        <v>4276</v>
      </c>
      <c r="G439" s="2">
        <f>VLOOKUP($A439,'[2]App C Total'!$A$4:$I$917,7,FALSE)</f>
        <v>4687</v>
      </c>
      <c r="H439" s="2">
        <f>VLOOKUP($A439,'[2]App C Total'!$A$4:$I$917,8,FALSE)</f>
        <v>1739</v>
      </c>
      <c r="I439" s="2">
        <f>VLOOKUP($A439,'[2]App C Total'!$A$4:$I$917,9,FALSE)</f>
        <v>0</v>
      </c>
      <c r="J439" s="2"/>
      <c r="K439" s="2">
        <f>VLOOKUP($A439,'[2]App C Exp'!$A$4:$I$917,5,FALSE)</f>
        <v>1603</v>
      </c>
      <c r="L439" s="2">
        <f>VLOOKUP($A439,'[2]App C Exp'!$A$4:$I$917,6,FALSE)</f>
        <v>1508</v>
      </c>
      <c r="M439" s="2">
        <f>VLOOKUP($A439,'[2]App C Exp'!$A$4:$I$917,7,FALSE)</f>
        <v>1351</v>
      </c>
      <c r="N439" s="2">
        <f>VLOOKUP($A439,'[2]App C Exp'!$A$4:$I$917,8,FALSE)</f>
        <v>541</v>
      </c>
      <c r="O439" s="2">
        <f>VLOOKUP($A439,'[2]App C Exp'!$A$4:$I$917,9,FALSE)</f>
        <v>0</v>
      </c>
      <c r="P439" s="2"/>
      <c r="Q439" s="2">
        <f>VLOOKUP($A439,'[2]App C Inv'!$A$4:$I$917,5,FALSE)</f>
        <v>1702</v>
      </c>
      <c r="R439" s="2">
        <f>VLOOKUP($A439,'[2]App C Inv'!$A$4:$I$917,6,FALSE)</f>
        <v>-1464</v>
      </c>
      <c r="S439" s="2">
        <f>VLOOKUP($A439,'[2]App C Inv'!$A$4:$I$917,7,FALSE)</f>
        <v>206</v>
      </c>
      <c r="T439" s="2">
        <f>VLOOKUP($A439,'[2]App C Inv'!$A$4:$I$917,8,FALSE)</f>
        <v>269</v>
      </c>
      <c r="U439" s="2">
        <f>VLOOKUP($A439,'[2]App C Inv'!$A$4:$I$917,9,FALSE)</f>
        <v>0</v>
      </c>
      <c r="V439" s="2"/>
      <c r="W439" s="2">
        <f>VLOOKUP($A439,'[2]App C Assum'!$A$4:$I$917,5,FALSE)</f>
        <v>1917</v>
      </c>
      <c r="X439" s="2">
        <f>VLOOKUP($A439,'[2]App C Assum'!$A$4:$I$917,6,FALSE)</f>
        <v>1571</v>
      </c>
      <c r="Y439" s="2">
        <f>VLOOKUP($A439,'[2]App C Assum'!$A$4:$I$917,7,FALSE)</f>
        <v>1275</v>
      </c>
      <c r="Z439" s="2">
        <f>VLOOKUP($A439,'[2]App C Assum'!$A$4:$I$917,8,FALSE)</f>
        <v>0</v>
      </c>
      <c r="AA439" s="2">
        <f>VLOOKUP($A439,'[2]App C Assum'!$A$4:$I$917,9,FALSE)</f>
        <v>0</v>
      </c>
      <c r="AB439" s="2"/>
      <c r="AC439" s="2">
        <f>VLOOKUP($A439,'[2]App C Share Outflows'!$A$4:$I$917,5,FALSE)</f>
        <v>3335</v>
      </c>
      <c r="AD439" s="2">
        <f>VLOOKUP($A439,'[2]App C Share Outflows'!$A$4:$I$917,6,FALSE)</f>
        <v>2661</v>
      </c>
      <c r="AE439" s="2">
        <f>VLOOKUP($A439,'[2]App C Share Outflows'!$A$4:$I$917,7,FALSE)</f>
        <v>1855</v>
      </c>
      <c r="AF439" s="2">
        <f>VLOOKUP($A439,'[2]App C Share Outflows'!$A$4:$I$917,8,FALSE)</f>
        <v>929</v>
      </c>
      <c r="AG439" s="2">
        <f>VLOOKUP($A439,'[2]App C Share Outflows'!$A$4:$I$917,9,FALSE)</f>
        <v>0</v>
      </c>
      <c r="AH439" s="2"/>
      <c r="AI439" s="2">
        <f>VLOOKUP($A439,'[2]App C Share Inflows'!$A$4:$I$917,5,FALSE)</f>
        <v>0</v>
      </c>
      <c r="AJ439" s="2">
        <f>VLOOKUP($A439,'[2]App C Share Inflows'!$A$4:$I$917,6,FALSE)</f>
        <v>0</v>
      </c>
      <c r="AK439" s="2">
        <f>VLOOKUP($A439,'[2]App C Share Inflows'!$A$4:$I$917,7,FALSE)</f>
        <v>0</v>
      </c>
      <c r="AL439" s="2">
        <f>VLOOKUP($A439,'[2]App C Share Inflows'!$A$4:$I$917,8,FALSE)</f>
        <v>0</v>
      </c>
      <c r="AM439" s="2">
        <f>VLOOKUP($A439,'[2]App C Share Inflows'!$A$4:$I$917,6,FALSE)</f>
        <v>0</v>
      </c>
    </row>
    <row r="440" spans="1:39">
      <c r="A440" s="351">
        <v>94321</v>
      </c>
      <c r="B440" s="344" t="s">
        <v>1133</v>
      </c>
      <c r="C440" s="235" t="e">
        <f>VLOOKUP(A440,#REF!,10,FALSE)</f>
        <v>#REF!</v>
      </c>
      <c r="E440" s="2">
        <f>VLOOKUP($A440,'[2]App C Total'!$A$4:$I$917,5,FALSE)</f>
        <v>129151</v>
      </c>
      <c r="F440" s="2">
        <f>VLOOKUP($A440,'[2]App C Total'!$A$4:$I$917,6,FALSE)</f>
        <v>37638</v>
      </c>
      <c r="G440" s="2">
        <f>VLOOKUP($A440,'[2]App C Total'!$A$4:$I$917,7,FALSE)</f>
        <v>70858</v>
      </c>
      <c r="H440" s="2">
        <f>VLOOKUP($A440,'[2]App C Total'!$A$4:$I$917,8,FALSE)</f>
        <v>20477</v>
      </c>
      <c r="I440" s="2">
        <f>VLOOKUP($A440,'[2]App C Total'!$A$4:$I$917,9,FALSE)</f>
        <v>0</v>
      </c>
      <c r="J440" s="2"/>
      <c r="K440" s="2">
        <f>VLOOKUP($A440,'[2]App C Exp'!$A$4:$I$917,5,FALSE)</f>
        <v>42066</v>
      </c>
      <c r="L440" s="2">
        <f>VLOOKUP($A440,'[2]App C Exp'!$A$4:$I$917,6,FALSE)</f>
        <v>39570</v>
      </c>
      <c r="M440" s="2">
        <f>VLOOKUP($A440,'[2]App C Exp'!$A$4:$I$917,7,FALSE)</f>
        <v>35466</v>
      </c>
      <c r="N440" s="2">
        <f>VLOOKUP($A440,'[2]App C Exp'!$A$4:$I$917,8,FALSE)</f>
        <v>14200</v>
      </c>
      <c r="O440" s="2">
        <f>VLOOKUP($A440,'[2]App C Exp'!$A$4:$I$917,9,FALSE)</f>
        <v>0</v>
      </c>
      <c r="P440" s="2"/>
      <c r="Q440" s="2">
        <f>VLOOKUP($A440,'[2]App C Inv'!$A$4:$I$917,5,FALSE)</f>
        <v>44659</v>
      </c>
      <c r="R440" s="2">
        <f>VLOOKUP($A440,'[2]App C Inv'!$A$4:$I$917,6,FALSE)</f>
        <v>-38415</v>
      </c>
      <c r="S440" s="2">
        <f>VLOOKUP($A440,'[2]App C Inv'!$A$4:$I$917,7,FALSE)</f>
        <v>5414</v>
      </c>
      <c r="T440" s="2">
        <f>VLOOKUP($A440,'[2]App C Inv'!$A$4:$I$917,8,FALSE)</f>
        <v>7046</v>
      </c>
      <c r="U440" s="2">
        <f>VLOOKUP($A440,'[2]App C Inv'!$A$4:$I$917,9,FALSE)</f>
        <v>0</v>
      </c>
      <c r="V440" s="2"/>
      <c r="W440" s="2">
        <f>VLOOKUP($A440,'[2]App C Assum'!$A$4:$I$917,5,FALSE)</f>
        <v>50309</v>
      </c>
      <c r="X440" s="2">
        <f>VLOOKUP($A440,'[2]App C Assum'!$A$4:$I$917,6,FALSE)</f>
        <v>41215</v>
      </c>
      <c r="Y440" s="2">
        <f>VLOOKUP($A440,'[2]App C Assum'!$A$4:$I$917,7,FALSE)</f>
        <v>33459</v>
      </c>
      <c r="Z440" s="2">
        <f>VLOOKUP($A440,'[2]App C Assum'!$A$4:$I$917,8,FALSE)</f>
        <v>0</v>
      </c>
      <c r="AA440" s="2">
        <f>VLOOKUP($A440,'[2]App C Assum'!$A$4:$I$917,9,FALSE)</f>
        <v>0</v>
      </c>
      <c r="AB440" s="2"/>
      <c r="AC440" s="2">
        <f>VLOOKUP($A440,'[2]App C Share Outflows'!$A$4:$I$917,5,FALSE)</f>
        <v>0</v>
      </c>
      <c r="AD440" s="2">
        <f>VLOOKUP($A440,'[2]App C Share Outflows'!$A$4:$I$917,6,FALSE)</f>
        <v>0</v>
      </c>
      <c r="AE440" s="2">
        <f>VLOOKUP($A440,'[2]App C Share Outflows'!$A$4:$I$917,7,FALSE)</f>
        <v>0</v>
      </c>
      <c r="AF440" s="2">
        <f>VLOOKUP($A440,'[2]App C Share Outflows'!$A$4:$I$917,8,FALSE)</f>
        <v>0</v>
      </c>
      <c r="AG440" s="2">
        <f>VLOOKUP($A440,'[2]App C Share Outflows'!$A$4:$I$917,9,FALSE)</f>
        <v>0</v>
      </c>
      <c r="AH440" s="2"/>
      <c r="AI440" s="2">
        <f>VLOOKUP($A440,'[2]App C Share Inflows'!$A$4:$I$917,5,FALSE)</f>
        <v>-7883</v>
      </c>
      <c r="AJ440" s="2">
        <f>VLOOKUP($A440,'[2]App C Share Inflows'!$A$4:$I$917,6,FALSE)</f>
        <v>-4732</v>
      </c>
      <c r="AK440" s="2">
        <f>VLOOKUP($A440,'[2]App C Share Inflows'!$A$4:$I$917,7,FALSE)</f>
        <v>-3481</v>
      </c>
      <c r="AL440" s="2">
        <f>VLOOKUP($A440,'[2]App C Share Inflows'!$A$4:$I$917,8,FALSE)</f>
        <v>-769</v>
      </c>
      <c r="AM440" s="2">
        <f>VLOOKUP($A440,'[2]App C Share Inflows'!$A$4:$I$917,6,FALSE)</f>
        <v>-4732</v>
      </c>
    </row>
    <row r="441" spans="1:39">
      <c r="A441" s="351">
        <v>94331</v>
      </c>
      <c r="B441" s="344" t="s">
        <v>1134</v>
      </c>
      <c r="C441" s="235" t="e">
        <f>VLOOKUP(A441,#REF!,10,FALSE)</f>
        <v>#REF!</v>
      </c>
      <c r="E441" s="2">
        <f>VLOOKUP($A441,'[2]App C Total'!$A$4:$I$917,5,FALSE)</f>
        <v>74019</v>
      </c>
      <c r="F441" s="2">
        <f>VLOOKUP($A441,'[2]App C Total'!$A$4:$I$917,6,FALSE)</f>
        <v>24201</v>
      </c>
      <c r="G441" s="2">
        <f>VLOOKUP($A441,'[2]App C Total'!$A$4:$I$917,7,FALSE)</f>
        <v>42981</v>
      </c>
      <c r="H441" s="2">
        <f>VLOOKUP($A441,'[2]App C Total'!$A$4:$I$917,8,FALSE)</f>
        <v>9663</v>
      </c>
      <c r="I441" s="2">
        <f>VLOOKUP($A441,'[2]App C Total'!$A$4:$I$917,9,FALSE)</f>
        <v>0</v>
      </c>
      <c r="J441" s="2"/>
      <c r="K441" s="2">
        <f>VLOOKUP($A441,'[2]App C Exp'!$A$4:$I$917,5,FALSE)</f>
        <v>22756</v>
      </c>
      <c r="L441" s="2">
        <f>VLOOKUP($A441,'[2]App C Exp'!$A$4:$I$917,6,FALSE)</f>
        <v>21406</v>
      </c>
      <c r="M441" s="2">
        <f>VLOOKUP($A441,'[2]App C Exp'!$A$4:$I$917,7,FALSE)</f>
        <v>19186</v>
      </c>
      <c r="N441" s="2">
        <f>VLOOKUP($A441,'[2]App C Exp'!$A$4:$I$917,8,FALSE)</f>
        <v>7682</v>
      </c>
      <c r="O441" s="2">
        <f>VLOOKUP($A441,'[2]App C Exp'!$A$4:$I$917,9,FALSE)</f>
        <v>0</v>
      </c>
      <c r="P441" s="2"/>
      <c r="Q441" s="2">
        <f>VLOOKUP($A441,'[2]App C Inv'!$A$4:$I$917,5,FALSE)</f>
        <v>24158</v>
      </c>
      <c r="R441" s="2">
        <f>VLOOKUP($A441,'[2]App C Inv'!$A$4:$I$917,6,FALSE)</f>
        <v>-20781</v>
      </c>
      <c r="S441" s="2">
        <f>VLOOKUP($A441,'[2]App C Inv'!$A$4:$I$917,7,FALSE)</f>
        <v>2929</v>
      </c>
      <c r="T441" s="2">
        <f>VLOOKUP($A441,'[2]App C Inv'!$A$4:$I$917,8,FALSE)</f>
        <v>3812</v>
      </c>
      <c r="U441" s="2">
        <f>VLOOKUP($A441,'[2]App C Inv'!$A$4:$I$917,9,FALSE)</f>
        <v>0</v>
      </c>
      <c r="V441" s="2"/>
      <c r="W441" s="2">
        <f>VLOOKUP($A441,'[2]App C Assum'!$A$4:$I$917,5,FALSE)</f>
        <v>27215</v>
      </c>
      <c r="X441" s="2">
        <f>VLOOKUP($A441,'[2]App C Assum'!$A$4:$I$917,6,FALSE)</f>
        <v>22295</v>
      </c>
      <c r="Y441" s="2">
        <f>VLOOKUP($A441,'[2]App C Assum'!$A$4:$I$917,7,FALSE)</f>
        <v>18100</v>
      </c>
      <c r="Z441" s="2">
        <f>VLOOKUP($A441,'[2]App C Assum'!$A$4:$I$917,8,FALSE)</f>
        <v>0</v>
      </c>
      <c r="AA441" s="2">
        <f>VLOOKUP($A441,'[2]App C Assum'!$A$4:$I$917,9,FALSE)</f>
        <v>0</v>
      </c>
      <c r="AB441" s="2"/>
      <c r="AC441" s="2">
        <f>VLOOKUP($A441,'[2]App C Share Outflows'!$A$4:$I$917,5,FALSE)</f>
        <v>4593</v>
      </c>
      <c r="AD441" s="2">
        <f>VLOOKUP($A441,'[2]App C Share Outflows'!$A$4:$I$917,6,FALSE)</f>
        <v>4593</v>
      </c>
      <c r="AE441" s="2">
        <f>VLOOKUP($A441,'[2]App C Share Outflows'!$A$4:$I$917,7,FALSE)</f>
        <v>4595</v>
      </c>
      <c r="AF441" s="2">
        <f>VLOOKUP($A441,'[2]App C Share Outflows'!$A$4:$I$917,8,FALSE)</f>
        <v>0</v>
      </c>
      <c r="AG441" s="2">
        <f>VLOOKUP($A441,'[2]App C Share Outflows'!$A$4:$I$917,9,FALSE)</f>
        <v>0</v>
      </c>
      <c r="AH441" s="2"/>
      <c r="AI441" s="2">
        <f>VLOOKUP($A441,'[2]App C Share Inflows'!$A$4:$I$917,5,FALSE)</f>
        <v>-4703</v>
      </c>
      <c r="AJ441" s="2">
        <f>VLOOKUP($A441,'[2]App C Share Inflows'!$A$4:$I$917,6,FALSE)</f>
        <v>-3312</v>
      </c>
      <c r="AK441" s="2">
        <f>VLOOKUP($A441,'[2]App C Share Inflows'!$A$4:$I$917,7,FALSE)</f>
        <v>-1829</v>
      </c>
      <c r="AL441" s="2">
        <f>VLOOKUP($A441,'[2]App C Share Inflows'!$A$4:$I$917,8,FALSE)</f>
        <v>-1831</v>
      </c>
      <c r="AM441" s="2">
        <f>VLOOKUP($A441,'[2]App C Share Inflows'!$A$4:$I$917,6,FALSE)</f>
        <v>-3312</v>
      </c>
    </row>
    <row r="442" spans="1:39">
      <c r="A442" s="351">
        <v>94341</v>
      </c>
      <c r="B442" s="344" t="s">
        <v>1135</v>
      </c>
      <c r="C442" s="235" t="e">
        <f>VLOOKUP(A442,#REF!,10,FALSE)</f>
        <v>#REF!</v>
      </c>
      <c r="E442" s="2">
        <f>VLOOKUP($A442,'[2]App C Total'!$A$4:$I$917,5,FALSE)</f>
        <v>47569</v>
      </c>
      <c r="F442" s="2">
        <f>VLOOKUP($A442,'[2]App C Total'!$A$4:$I$917,6,FALSE)</f>
        <v>15400</v>
      </c>
      <c r="G442" s="2">
        <f>VLOOKUP($A442,'[2]App C Total'!$A$4:$I$917,7,FALSE)</f>
        <v>25339</v>
      </c>
      <c r="H442" s="2">
        <f>VLOOKUP($A442,'[2]App C Total'!$A$4:$I$917,8,FALSE)</f>
        <v>9126</v>
      </c>
      <c r="I442" s="2">
        <f>VLOOKUP($A442,'[2]App C Total'!$A$4:$I$917,9,FALSE)</f>
        <v>0</v>
      </c>
      <c r="J442" s="2"/>
      <c r="K442" s="2">
        <f>VLOOKUP($A442,'[2]App C Exp'!$A$4:$I$917,5,FALSE)</f>
        <v>14801</v>
      </c>
      <c r="L442" s="2">
        <f>VLOOKUP($A442,'[2]App C Exp'!$A$4:$I$917,6,FALSE)</f>
        <v>13923</v>
      </c>
      <c r="M442" s="2">
        <f>VLOOKUP($A442,'[2]App C Exp'!$A$4:$I$917,7,FALSE)</f>
        <v>12479</v>
      </c>
      <c r="N442" s="2">
        <f>VLOOKUP($A442,'[2]App C Exp'!$A$4:$I$917,8,FALSE)</f>
        <v>4996</v>
      </c>
      <c r="O442" s="2">
        <f>VLOOKUP($A442,'[2]App C Exp'!$A$4:$I$917,9,FALSE)</f>
        <v>0</v>
      </c>
      <c r="P442" s="2"/>
      <c r="Q442" s="2">
        <f>VLOOKUP($A442,'[2]App C Inv'!$A$4:$I$917,5,FALSE)</f>
        <v>15713</v>
      </c>
      <c r="R442" s="2">
        <f>VLOOKUP($A442,'[2]App C Inv'!$A$4:$I$917,6,FALSE)</f>
        <v>-13516</v>
      </c>
      <c r="S442" s="2">
        <f>VLOOKUP($A442,'[2]App C Inv'!$A$4:$I$917,7,FALSE)</f>
        <v>1905</v>
      </c>
      <c r="T442" s="2">
        <f>VLOOKUP($A442,'[2]App C Inv'!$A$4:$I$917,8,FALSE)</f>
        <v>2479</v>
      </c>
      <c r="U442" s="2">
        <f>VLOOKUP($A442,'[2]App C Inv'!$A$4:$I$917,9,FALSE)</f>
        <v>0</v>
      </c>
      <c r="V442" s="2"/>
      <c r="W442" s="2">
        <f>VLOOKUP($A442,'[2]App C Assum'!$A$4:$I$917,5,FALSE)</f>
        <v>17701</v>
      </c>
      <c r="X442" s="2">
        <f>VLOOKUP($A442,'[2]App C Assum'!$A$4:$I$917,6,FALSE)</f>
        <v>14501</v>
      </c>
      <c r="Y442" s="2">
        <f>VLOOKUP($A442,'[2]App C Assum'!$A$4:$I$917,7,FALSE)</f>
        <v>11773</v>
      </c>
      <c r="Z442" s="2">
        <f>VLOOKUP($A442,'[2]App C Assum'!$A$4:$I$917,8,FALSE)</f>
        <v>0</v>
      </c>
      <c r="AA442" s="2">
        <f>VLOOKUP($A442,'[2]App C Assum'!$A$4:$I$917,9,FALSE)</f>
        <v>0</v>
      </c>
      <c r="AB442" s="2"/>
      <c r="AC442" s="2">
        <f>VLOOKUP($A442,'[2]App C Share Outflows'!$A$4:$I$917,5,FALSE)</f>
        <v>2957</v>
      </c>
      <c r="AD442" s="2">
        <f>VLOOKUP($A442,'[2]App C Share Outflows'!$A$4:$I$917,6,FALSE)</f>
        <v>2958</v>
      </c>
      <c r="AE442" s="2">
        <f>VLOOKUP($A442,'[2]App C Share Outflows'!$A$4:$I$917,7,FALSE)</f>
        <v>1649</v>
      </c>
      <c r="AF442" s="2">
        <f>VLOOKUP($A442,'[2]App C Share Outflows'!$A$4:$I$917,8,FALSE)</f>
        <v>1651</v>
      </c>
      <c r="AG442" s="2">
        <f>VLOOKUP($A442,'[2]App C Share Outflows'!$A$4:$I$917,9,FALSE)</f>
        <v>0</v>
      </c>
      <c r="AH442" s="2"/>
      <c r="AI442" s="2">
        <f>VLOOKUP($A442,'[2]App C Share Inflows'!$A$4:$I$917,5,FALSE)</f>
        <v>-3603</v>
      </c>
      <c r="AJ442" s="2">
        <f>VLOOKUP($A442,'[2]App C Share Inflows'!$A$4:$I$917,6,FALSE)</f>
        <v>-2466</v>
      </c>
      <c r="AK442" s="2">
        <f>VLOOKUP($A442,'[2]App C Share Inflows'!$A$4:$I$917,7,FALSE)</f>
        <v>-2467</v>
      </c>
      <c r="AL442" s="2">
        <f>VLOOKUP($A442,'[2]App C Share Inflows'!$A$4:$I$917,8,FALSE)</f>
        <v>0</v>
      </c>
      <c r="AM442" s="2">
        <f>VLOOKUP($A442,'[2]App C Share Inflows'!$A$4:$I$917,6,FALSE)</f>
        <v>-2466</v>
      </c>
    </row>
    <row r="443" spans="1:39">
      <c r="A443" s="351">
        <v>94347</v>
      </c>
      <c r="B443" s="344" t="s">
        <v>1136</v>
      </c>
      <c r="C443" s="235" t="e">
        <f>VLOOKUP(A443,#REF!,10,FALSE)</f>
        <v>#REF!</v>
      </c>
      <c r="E443" s="2">
        <f>VLOOKUP($A443,'[2]App C Total'!$A$4:$I$917,5,FALSE)</f>
        <v>7795</v>
      </c>
      <c r="F443" s="2">
        <f>VLOOKUP($A443,'[2]App C Total'!$A$4:$I$917,6,FALSE)</f>
        <v>3608</v>
      </c>
      <c r="G443" s="2">
        <f>VLOOKUP($A443,'[2]App C Total'!$A$4:$I$917,7,FALSE)</f>
        <v>4339</v>
      </c>
      <c r="H443" s="2">
        <f>VLOOKUP($A443,'[2]App C Total'!$A$4:$I$917,8,FALSE)</f>
        <v>2362</v>
      </c>
      <c r="I443" s="2">
        <f>VLOOKUP($A443,'[2]App C Total'!$A$4:$I$917,9,FALSE)</f>
        <v>0</v>
      </c>
      <c r="J443" s="2"/>
      <c r="K443" s="2">
        <f>VLOOKUP($A443,'[2]App C Exp'!$A$4:$I$917,5,FALSE)</f>
        <v>1753</v>
      </c>
      <c r="L443" s="2">
        <f>VLOOKUP($A443,'[2]App C Exp'!$A$4:$I$917,6,FALSE)</f>
        <v>1649</v>
      </c>
      <c r="M443" s="2">
        <f>VLOOKUP($A443,'[2]App C Exp'!$A$4:$I$917,7,FALSE)</f>
        <v>1478</v>
      </c>
      <c r="N443" s="2">
        <f>VLOOKUP($A443,'[2]App C Exp'!$A$4:$I$917,8,FALSE)</f>
        <v>592</v>
      </c>
      <c r="O443" s="2">
        <f>VLOOKUP($A443,'[2]App C Exp'!$A$4:$I$917,9,FALSE)</f>
        <v>0</v>
      </c>
      <c r="P443" s="2"/>
      <c r="Q443" s="2">
        <f>VLOOKUP($A443,'[2]App C Inv'!$A$4:$I$917,5,FALSE)</f>
        <v>1861</v>
      </c>
      <c r="R443" s="2">
        <f>VLOOKUP($A443,'[2]App C Inv'!$A$4:$I$917,6,FALSE)</f>
        <v>-1601</v>
      </c>
      <c r="S443" s="2">
        <f>VLOOKUP($A443,'[2]App C Inv'!$A$4:$I$917,7,FALSE)</f>
        <v>226</v>
      </c>
      <c r="T443" s="2">
        <f>VLOOKUP($A443,'[2]App C Inv'!$A$4:$I$917,8,FALSE)</f>
        <v>294</v>
      </c>
      <c r="U443" s="2">
        <f>VLOOKUP($A443,'[2]App C Inv'!$A$4:$I$917,9,FALSE)</f>
        <v>0</v>
      </c>
      <c r="V443" s="2"/>
      <c r="W443" s="2">
        <f>VLOOKUP($A443,'[2]App C Assum'!$A$4:$I$917,5,FALSE)</f>
        <v>2096</v>
      </c>
      <c r="X443" s="2">
        <f>VLOOKUP($A443,'[2]App C Assum'!$A$4:$I$917,6,FALSE)</f>
        <v>1717</v>
      </c>
      <c r="Y443" s="2">
        <f>VLOOKUP($A443,'[2]App C Assum'!$A$4:$I$917,7,FALSE)</f>
        <v>1394</v>
      </c>
      <c r="Z443" s="2">
        <f>VLOOKUP($A443,'[2]App C Assum'!$A$4:$I$917,8,FALSE)</f>
        <v>0</v>
      </c>
      <c r="AA443" s="2">
        <f>VLOOKUP($A443,'[2]App C Assum'!$A$4:$I$917,9,FALSE)</f>
        <v>0</v>
      </c>
      <c r="AB443" s="2"/>
      <c r="AC443" s="2">
        <f>VLOOKUP($A443,'[2]App C Share Outflows'!$A$4:$I$917,5,FALSE)</f>
        <v>2322</v>
      </c>
      <c r="AD443" s="2">
        <f>VLOOKUP($A443,'[2]App C Share Outflows'!$A$4:$I$917,6,FALSE)</f>
        <v>2080</v>
      </c>
      <c r="AE443" s="2">
        <f>VLOOKUP($A443,'[2]App C Share Outflows'!$A$4:$I$917,7,FALSE)</f>
        <v>1478</v>
      </c>
      <c r="AF443" s="2">
        <f>VLOOKUP($A443,'[2]App C Share Outflows'!$A$4:$I$917,8,FALSE)</f>
        <v>1476</v>
      </c>
      <c r="AG443" s="2">
        <f>VLOOKUP($A443,'[2]App C Share Outflows'!$A$4:$I$917,9,FALSE)</f>
        <v>0</v>
      </c>
      <c r="AH443" s="2"/>
      <c r="AI443" s="2">
        <f>VLOOKUP($A443,'[2]App C Share Inflows'!$A$4:$I$917,5,FALSE)</f>
        <v>-237</v>
      </c>
      <c r="AJ443" s="2">
        <f>VLOOKUP($A443,'[2]App C Share Inflows'!$A$4:$I$917,6,FALSE)</f>
        <v>-237</v>
      </c>
      <c r="AK443" s="2">
        <f>VLOOKUP($A443,'[2]App C Share Inflows'!$A$4:$I$917,7,FALSE)</f>
        <v>-237</v>
      </c>
      <c r="AL443" s="2">
        <f>VLOOKUP($A443,'[2]App C Share Inflows'!$A$4:$I$917,8,FALSE)</f>
        <v>0</v>
      </c>
      <c r="AM443" s="2">
        <f>VLOOKUP($A443,'[2]App C Share Inflows'!$A$4:$I$917,6,FALSE)</f>
        <v>-237</v>
      </c>
    </row>
    <row r="444" spans="1:39">
      <c r="A444" s="351">
        <v>94351</v>
      </c>
      <c r="B444" s="344" t="s">
        <v>1137</v>
      </c>
      <c r="C444" s="235" t="e">
        <f>VLOOKUP(A444,#REF!,10,FALSE)</f>
        <v>#REF!</v>
      </c>
      <c r="E444" s="2">
        <f>VLOOKUP($A444,'[2]App C Total'!$A$4:$I$917,5,FALSE)</f>
        <v>104589</v>
      </c>
      <c r="F444" s="2">
        <f>VLOOKUP($A444,'[2]App C Total'!$A$4:$I$917,6,FALSE)</f>
        <v>28487</v>
      </c>
      <c r="G444" s="2">
        <f>VLOOKUP($A444,'[2]App C Total'!$A$4:$I$917,7,FALSE)</f>
        <v>54780</v>
      </c>
      <c r="H444" s="2">
        <f>VLOOKUP($A444,'[2]App C Total'!$A$4:$I$917,8,FALSE)</f>
        <v>12996</v>
      </c>
      <c r="I444" s="2">
        <f>VLOOKUP($A444,'[2]App C Total'!$A$4:$I$917,9,FALSE)</f>
        <v>0</v>
      </c>
      <c r="J444" s="2"/>
      <c r="K444" s="2">
        <f>VLOOKUP($A444,'[2]App C Exp'!$A$4:$I$917,5,FALSE)</f>
        <v>33976</v>
      </c>
      <c r="L444" s="2">
        <f>VLOOKUP($A444,'[2]App C Exp'!$A$4:$I$917,6,FALSE)</f>
        <v>31961</v>
      </c>
      <c r="M444" s="2">
        <f>VLOOKUP($A444,'[2]App C Exp'!$A$4:$I$917,7,FALSE)</f>
        <v>28646</v>
      </c>
      <c r="N444" s="2">
        <f>VLOOKUP($A444,'[2]App C Exp'!$A$4:$I$917,8,FALSE)</f>
        <v>11470</v>
      </c>
      <c r="O444" s="2">
        <f>VLOOKUP($A444,'[2]App C Exp'!$A$4:$I$917,9,FALSE)</f>
        <v>0</v>
      </c>
      <c r="P444" s="2"/>
      <c r="Q444" s="2">
        <f>VLOOKUP($A444,'[2]App C Inv'!$A$4:$I$917,5,FALSE)</f>
        <v>36070</v>
      </c>
      <c r="R444" s="2">
        <f>VLOOKUP($A444,'[2]App C Inv'!$A$4:$I$917,6,FALSE)</f>
        <v>-31027</v>
      </c>
      <c r="S444" s="2">
        <f>VLOOKUP($A444,'[2]App C Inv'!$A$4:$I$917,7,FALSE)</f>
        <v>4373</v>
      </c>
      <c r="T444" s="2">
        <f>VLOOKUP($A444,'[2]App C Inv'!$A$4:$I$917,8,FALSE)</f>
        <v>5691</v>
      </c>
      <c r="U444" s="2">
        <f>VLOOKUP($A444,'[2]App C Inv'!$A$4:$I$917,9,FALSE)</f>
        <v>0</v>
      </c>
      <c r="V444" s="2"/>
      <c r="W444" s="2">
        <f>VLOOKUP($A444,'[2]App C Assum'!$A$4:$I$917,5,FALSE)</f>
        <v>40634</v>
      </c>
      <c r="X444" s="2">
        <f>VLOOKUP($A444,'[2]App C Assum'!$A$4:$I$917,6,FALSE)</f>
        <v>33289</v>
      </c>
      <c r="Y444" s="2">
        <f>VLOOKUP($A444,'[2]App C Assum'!$A$4:$I$917,7,FALSE)</f>
        <v>27025</v>
      </c>
      <c r="Z444" s="2">
        <f>VLOOKUP($A444,'[2]App C Assum'!$A$4:$I$917,8,FALSE)</f>
        <v>0</v>
      </c>
      <c r="AA444" s="2">
        <f>VLOOKUP($A444,'[2]App C Assum'!$A$4:$I$917,9,FALSE)</f>
        <v>0</v>
      </c>
      <c r="AB444" s="2"/>
      <c r="AC444" s="2">
        <f>VLOOKUP($A444,'[2]App C Share Outflows'!$A$4:$I$917,5,FALSE)</f>
        <v>0</v>
      </c>
      <c r="AD444" s="2">
        <f>VLOOKUP($A444,'[2]App C Share Outflows'!$A$4:$I$917,6,FALSE)</f>
        <v>0</v>
      </c>
      <c r="AE444" s="2">
        <f>VLOOKUP($A444,'[2]App C Share Outflows'!$A$4:$I$917,7,FALSE)</f>
        <v>0</v>
      </c>
      <c r="AF444" s="2">
        <f>VLOOKUP($A444,'[2]App C Share Outflows'!$A$4:$I$917,8,FALSE)</f>
        <v>0</v>
      </c>
      <c r="AG444" s="2">
        <f>VLOOKUP($A444,'[2]App C Share Outflows'!$A$4:$I$917,9,FALSE)</f>
        <v>0</v>
      </c>
      <c r="AH444" s="2"/>
      <c r="AI444" s="2">
        <f>VLOOKUP($A444,'[2]App C Share Inflows'!$A$4:$I$917,5,FALSE)</f>
        <v>-6091</v>
      </c>
      <c r="AJ444" s="2">
        <f>VLOOKUP($A444,'[2]App C Share Inflows'!$A$4:$I$917,6,FALSE)</f>
        <v>-5736</v>
      </c>
      <c r="AK444" s="2">
        <f>VLOOKUP($A444,'[2]App C Share Inflows'!$A$4:$I$917,7,FALSE)</f>
        <v>-5264</v>
      </c>
      <c r="AL444" s="2">
        <f>VLOOKUP($A444,'[2]App C Share Inflows'!$A$4:$I$917,8,FALSE)</f>
        <v>-4165</v>
      </c>
      <c r="AM444" s="2">
        <f>VLOOKUP($A444,'[2]App C Share Inflows'!$A$4:$I$917,6,FALSE)</f>
        <v>-5736</v>
      </c>
    </row>
    <row r="445" spans="1:39">
      <c r="A445" s="351">
        <v>94401</v>
      </c>
      <c r="B445" s="344" t="s">
        <v>1138</v>
      </c>
      <c r="C445" s="235" t="e">
        <f>VLOOKUP(A445,#REF!,10,FALSE)</f>
        <v>#REF!</v>
      </c>
      <c r="E445" s="2">
        <f>VLOOKUP($A445,'[2]App C Total'!$A$4:$I$917,5,FALSE)</f>
        <v>1687858</v>
      </c>
      <c r="F445" s="2">
        <f>VLOOKUP($A445,'[2]App C Total'!$A$4:$I$917,6,FALSE)</f>
        <v>524494</v>
      </c>
      <c r="G445" s="2">
        <f>VLOOKUP($A445,'[2]App C Total'!$A$4:$I$917,7,FALSE)</f>
        <v>937475</v>
      </c>
      <c r="H445" s="2">
        <f>VLOOKUP($A445,'[2]App C Total'!$A$4:$I$917,8,FALSE)</f>
        <v>284005</v>
      </c>
      <c r="I445" s="2">
        <f>VLOOKUP($A445,'[2]App C Total'!$A$4:$I$917,9,FALSE)</f>
        <v>0</v>
      </c>
      <c r="J445" s="2"/>
      <c r="K445" s="2">
        <f>VLOOKUP($A445,'[2]App C Exp'!$A$4:$I$917,5,FALSE)</f>
        <v>515950</v>
      </c>
      <c r="L445" s="2">
        <f>VLOOKUP($A445,'[2]App C Exp'!$A$4:$I$917,6,FALSE)</f>
        <v>485343</v>
      </c>
      <c r="M445" s="2">
        <f>VLOOKUP($A445,'[2]App C Exp'!$A$4:$I$917,7,FALSE)</f>
        <v>435007</v>
      </c>
      <c r="N445" s="2">
        <f>VLOOKUP($A445,'[2]App C Exp'!$A$4:$I$917,8,FALSE)</f>
        <v>174172</v>
      </c>
      <c r="O445" s="2">
        <f>VLOOKUP($A445,'[2]App C Exp'!$A$4:$I$917,9,FALSE)</f>
        <v>0</v>
      </c>
      <c r="P445" s="2"/>
      <c r="Q445" s="2">
        <f>VLOOKUP($A445,'[2]App C Inv'!$A$4:$I$917,5,FALSE)</f>
        <v>547753</v>
      </c>
      <c r="R445" s="2">
        <f>VLOOKUP($A445,'[2]App C Inv'!$A$4:$I$917,6,FALSE)</f>
        <v>-471170</v>
      </c>
      <c r="S445" s="2">
        <f>VLOOKUP($A445,'[2]App C Inv'!$A$4:$I$917,7,FALSE)</f>
        <v>66406</v>
      </c>
      <c r="T445" s="2">
        <f>VLOOKUP($A445,'[2]App C Inv'!$A$4:$I$917,8,FALSE)</f>
        <v>86426</v>
      </c>
      <c r="U445" s="2">
        <f>VLOOKUP($A445,'[2]App C Inv'!$A$4:$I$917,9,FALSE)</f>
        <v>0</v>
      </c>
      <c r="V445" s="2"/>
      <c r="W445" s="2">
        <f>VLOOKUP($A445,'[2]App C Assum'!$A$4:$I$917,5,FALSE)</f>
        <v>617052</v>
      </c>
      <c r="X445" s="2">
        <f>VLOOKUP($A445,'[2]App C Assum'!$A$4:$I$917,6,FALSE)</f>
        <v>505511</v>
      </c>
      <c r="Y445" s="2">
        <f>VLOOKUP($A445,'[2]App C Assum'!$A$4:$I$917,7,FALSE)</f>
        <v>410389</v>
      </c>
      <c r="Z445" s="2">
        <f>VLOOKUP($A445,'[2]App C Assum'!$A$4:$I$917,8,FALSE)</f>
        <v>0</v>
      </c>
      <c r="AA445" s="2">
        <f>VLOOKUP($A445,'[2]App C Assum'!$A$4:$I$917,9,FALSE)</f>
        <v>0</v>
      </c>
      <c r="AB445" s="2"/>
      <c r="AC445" s="2">
        <f>VLOOKUP($A445,'[2]App C Share Outflows'!$A$4:$I$917,5,FALSE)</f>
        <v>27968</v>
      </c>
      <c r="AD445" s="2">
        <f>VLOOKUP($A445,'[2]App C Share Outflows'!$A$4:$I$917,6,FALSE)</f>
        <v>25674</v>
      </c>
      <c r="AE445" s="2">
        <f>VLOOKUP($A445,'[2]App C Share Outflows'!$A$4:$I$917,7,FALSE)</f>
        <v>25673</v>
      </c>
      <c r="AF445" s="2">
        <f>VLOOKUP($A445,'[2]App C Share Outflows'!$A$4:$I$917,8,FALSE)</f>
        <v>23407</v>
      </c>
      <c r="AG445" s="2">
        <f>VLOOKUP($A445,'[2]App C Share Outflows'!$A$4:$I$917,9,FALSE)</f>
        <v>0</v>
      </c>
      <c r="AH445" s="2"/>
      <c r="AI445" s="2">
        <f>VLOOKUP($A445,'[2]App C Share Inflows'!$A$4:$I$917,5,FALSE)</f>
        <v>-20865</v>
      </c>
      <c r="AJ445" s="2">
        <f>VLOOKUP($A445,'[2]App C Share Inflows'!$A$4:$I$917,6,FALSE)</f>
        <v>-20864</v>
      </c>
      <c r="AK445" s="2">
        <f>VLOOKUP($A445,'[2]App C Share Inflows'!$A$4:$I$917,7,FALSE)</f>
        <v>0</v>
      </c>
      <c r="AL445" s="2">
        <f>VLOOKUP($A445,'[2]App C Share Inflows'!$A$4:$I$917,8,FALSE)</f>
        <v>0</v>
      </c>
      <c r="AM445" s="2">
        <f>VLOOKUP($A445,'[2]App C Share Inflows'!$A$4:$I$917,6,FALSE)</f>
        <v>-20864</v>
      </c>
    </row>
    <row r="446" spans="1:39">
      <c r="A446" s="351">
        <v>94403</v>
      </c>
      <c r="B446" s="344" t="s">
        <v>1140</v>
      </c>
      <c r="C446" s="235" t="e">
        <f>VLOOKUP(A446,#REF!,10,FALSE)</f>
        <v>#REF!</v>
      </c>
      <c r="E446" s="2">
        <f>VLOOKUP($A446,'[2]App C Total'!$A$4:$I$917,5,FALSE)</f>
        <v>24908</v>
      </c>
      <c r="F446" s="2">
        <f>VLOOKUP($A446,'[2]App C Total'!$A$4:$I$917,6,FALSE)</f>
        <v>12298</v>
      </c>
      <c r="G446" s="2">
        <f>VLOOKUP($A446,'[2]App C Total'!$A$4:$I$917,7,FALSE)</f>
        <v>12899</v>
      </c>
      <c r="H446" s="2">
        <f>VLOOKUP($A446,'[2]App C Total'!$A$4:$I$917,8,FALSE)</f>
        <v>3866</v>
      </c>
      <c r="I446" s="2">
        <f>VLOOKUP($A446,'[2]App C Total'!$A$4:$I$917,9,FALSE)</f>
        <v>0</v>
      </c>
      <c r="J446" s="2"/>
      <c r="K446" s="2">
        <f>VLOOKUP($A446,'[2]App C Exp'!$A$4:$I$917,5,FALSE)</f>
        <v>5603</v>
      </c>
      <c r="L446" s="2">
        <f>VLOOKUP($A446,'[2]App C Exp'!$A$4:$I$917,6,FALSE)</f>
        <v>5270</v>
      </c>
      <c r="M446" s="2">
        <f>VLOOKUP($A446,'[2]App C Exp'!$A$4:$I$917,7,FALSE)</f>
        <v>4724</v>
      </c>
      <c r="N446" s="2">
        <f>VLOOKUP($A446,'[2]App C Exp'!$A$4:$I$917,8,FALSE)</f>
        <v>1891</v>
      </c>
      <c r="O446" s="2">
        <f>VLOOKUP($A446,'[2]App C Exp'!$A$4:$I$917,9,FALSE)</f>
        <v>0</v>
      </c>
      <c r="P446" s="2"/>
      <c r="Q446" s="2">
        <f>VLOOKUP($A446,'[2]App C Inv'!$A$4:$I$917,5,FALSE)</f>
        <v>5948</v>
      </c>
      <c r="R446" s="2">
        <f>VLOOKUP($A446,'[2]App C Inv'!$A$4:$I$917,6,FALSE)</f>
        <v>-5117</v>
      </c>
      <c r="S446" s="2">
        <f>VLOOKUP($A446,'[2]App C Inv'!$A$4:$I$917,7,FALSE)</f>
        <v>721</v>
      </c>
      <c r="T446" s="2">
        <f>VLOOKUP($A446,'[2]App C Inv'!$A$4:$I$917,8,FALSE)</f>
        <v>939</v>
      </c>
      <c r="U446" s="2">
        <f>VLOOKUP($A446,'[2]App C Inv'!$A$4:$I$917,9,FALSE)</f>
        <v>0</v>
      </c>
      <c r="V446" s="2"/>
      <c r="W446" s="2">
        <f>VLOOKUP($A446,'[2]App C Assum'!$A$4:$I$917,5,FALSE)</f>
        <v>6701</v>
      </c>
      <c r="X446" s="2">
        <f>VLOOKUP($A446,'[2]App C Assum'!$A$4:$I$917,6,FALSE)</f>
        <v>5489</v>
      </c>
      <c r="Y446" s="2">
        <f>VLOOKUP($A446,'[2]App C Assum'!$A$4:$I$917,7,FALSE)</f>
        <v>4456</v>
      </c>
      <c r="Z446" s="2">
        <f>VLOOKUP($A446,'[2]App C Assum'!$A$4:$I$917,8,FALSE)</f>
        <v>0</v>
      </c>
      <c r="AA446" s="2">
        <f>VLOOKUP($A446,'[2]App C Assum'!$A$4:$I$917,9,FALSE)</f>
        <v>0</v>
      </c>
      <c r="AB446" s="2"/>
      <c r="AC446" s="2">
        <f>VLOOKUP($A446,'[2]App C Share Outflows'!$A$4:$I$917,5,FALSE)</f>
        <v>6656</v>
      </c>
      <c r="AD446" s="2">
        <f>VLOOKUP($A446,'[2]App C Share Outflows'!$A$4:$I$917,6,FALSE)</f>
        <v>6656</v>
      </c>
      <c r="AE446" s="2">
        <f>VLOOKUP($A446,'[2]App C Share Outflows'!$A$4:$I$917,7,FALSE)</f>
        <v>2998</v>
      </c>
      <c r="AF446" s="2">
        <f>VLOOKUP($A446,'[2]App C Share Outflows'!$A$4:$I$917,8,FALSE)</f>
        <v>1036</v>
      </c>
      <c r="AG446" s="2">
        <f>VLOOKUP($A446,'[2]App C Share Outflows'!$A$4:$I$917,9,FALSE)</f>
        <v>0</v>
      </c>
      <c r="AH446" s="2"/>
      <c r="AI446" s="2">
        <f>VLOOKUP($A446,'[2]App C Share Inflows'!$A$4:$I$917,5,FALSE)</f>
        <v>0</v>
      </c>
      <c r="AJ446" s="2">
        <f>VLOOKUP($A446,'[2]App C Share Inflows'!$A$4:$I$917,6,FALSE)</f>
        <v>0</v>
      </c>
      <c r="AK446" s="2">
        <f>VLOOKUP($A446,'[2]App C Share Inflows'!$A$4:$I$917,7,FALSE)</f>
        <v>0</v>
      </c>
      <c r="AL446" s="2">
        <f>VLOOKUP($A446,'[2]App C Share Inflows'!$A$4:$I$917,8,FALSE)</f>
        <v>0</v>
      </c>
      <c r="AM446" s="2">
        <f>VLOOKUP($A446,'[2]App C Share Inflows'!$A$4:$I$917,6,FALSE)</f>
        <v>0</v>
      </c>
    </row>
    <row r="447" spans="1:39">
      <c r="A447" s="351">
        <v>94408</v>
      </c>
      <c r="B447" s="344" t="s">
        <v>1141</v>
      </c>
      <c r="C447" s="235" t="e">
        <f>VLOOKUP(A447,#REF!,10,FALSE)</f>
        <v>#REF!</v>
      </c>
      <c r="E447" s="2">
        <f>VLOOKUP($A447,'[2]App C Total'!$A$4:$I$917,5,FALSE)</f>
        <v>33738</v>
      </c>
      <c r="F447" s="2">
        <f>VLOOKUP($A447,'[2]App C Total'!$A$4:$I$917,6,FALSE)</f>
        <v>10770</v>
      </c>
      <c r="G447" s="2">
        <f>VLOOKUP($A447,'[2]App C Total'!$A$4:$I$917,7,FALSE)</f>
        <v>18390</v>
      </c>
      <c r="H447" s="2">
        <f>VLOOKUP($A447,'[2]App C Total'!$A$4:$I$917,8,FALSE)</f>
        <v>6937</v>
      </c>
      <c r="I447" s="2">
        <f>VLOOKUP($A447,'[2]App C Total'!$A$4:$I$917,9,FALSE)</f>
        <v>0</v>
      </c>
      <c r="J447" s="2"/>
      <c r="K447" s="2">
        <f>VLOOKUP($A447,'[2]App C Exp'!$A$4:$I$917,5,FALSE)</f>
        <v>9288</v>
      </c>
      <c r="L447" s="2">
        <f>VLOOKUP($A447,'[2]App C Exp'!$A$4:$I$917,6,FALSE)</f>
        <v>8737</v>
      </c>
      <c r="M447" s="2">
        <f>VLOOKUP($A447,'[2]App C Exp'!$A$4:$I$917,7,FALSE)</f>
        <v>7831</v>
      </c>
      <c r="N447" s="2">
        <f>VLOOKUP($A447,'[2]App C Exp'!$A$4:$I$917,8,FALSE)</f>
        <v>3135</v>
      </c>
      <c r="O447" s="2">
        <f>VLOOKUP($A447,'[2]App C Exp'!$A$4:$I$917,9,FALSE)</f>
        <v>0</v>
      </c>
      <c r="P447" s="2"/>
      <c r="Q447" s="2">
        <f>VLOOKUP($A447,'[2]App C Inv'!$A$4:$I$917,5,FALSE)</f>
        <v>9861</v>
      </c>
      <c r="R447" s="2">
        <f>VLOOKUP($A447,'[2]App C Inv'!$A$4:$I$917,6,FALSE)</f>
        <v>-8482</v>
      </c>
      <c r="S447" s="2">
        <f>VLOOKUP($A447,'[2]App C Inv'!$A$4:$I$917,7,FALSE)</f>
        <v>1195</v>
      </c>
      <c r="T447" s="2">
        <f>VLOOKUP($A447,'[2]App C Inv'!$A$4:$I$917,8,FALSE)</f>
        <v>1556</v>
      </c>
      <c r="U447" s="2">
        <f>VLOOKUP($A447,'[2]App C Inv'!$A$4:$I$917,9,FALSE)</f>
        <v>0</v>
      </c>
      <c r="V447" s="2"/>
      <c r="W447" s="2">
        <f>VLOOKUP($A447,'[2]App C Assum'!$A$4:$I$917,5,FALSE)</f>
        <v>11108</v>
      </c>
      <c r="X447" s="2">
        <f>VLOOKUP($A447,'[2]App C Assum'!$A$4:$I$917,6,FALSE)</f>
        <v>9100</v>
      </c>
      <c r="Y447" s="2">
        <f>VLOOKUP($A447,'[2]App C Assum'!$A$4:$I$917,7,FALSE)</f>
        <v>7388</v>
      </c>
      <c r="Z447" s="2">
        <f>VLOOKUP($A447,'[2]App C Assum'!$A$4:$I$917,8,FALSE)</f>
        <v>0</v>
      </c>
      <c r="AA447" s="2">
        <f>VLOOKUP($A447,'[2]App C Assum'!$A$4:$I$917,9,FALSE)</f>
        <v>0</v>
      </c>
      <c r="AB447" s="2"/>
      <c r="AC447" s="2">
        <f>VLOOKUP($A447,'[2]App C Share Outflows'!$A$4:$I$917,5,FALSE)</f>
        <v>4310</v>
      </c>
      <c r="AD447" s="2">
        <f>VLOOKUP($A447,'[2]App C Share Outflows'!$A$4:$I$917,6,FALSE)</f>
        <v>2246</v>
      </c>
      <c r="AE447" s="2">
        <f>VLOOKUP($A447,'[2]App C Share Outflows'!$A$4:$I$917,7,FALSE)</f>
        <v>2246</v>
      </c>
      <c r="AF447" s="2">
        <f>VLOOKUP($A447,'[2]App C Share Outflows'!$A$4:$I$917,8,FALSE)</f>
        <v>2246</v>
      </c>
      <c r="AG447" s="2">
        <f>VLOOKUP($A447,'[2]App C Share Outflows'!$A$4:$I$917,9,FALSE)</f>
        <v>0</v>
      </c>
      <c r="AH447" s="2"/>
      <c r="AI447" s="2">
        <f>VLOOKUP($A447,'[2]App C Share Inflows'!$A$4:$I$917,5,FALSE)</f>
        <v>-829</v>
      </c>
      <c r="AJ447" s="2">
        <f>VLOOKUP($A447,'[2]App C Share Inflows'!$A$4:$I$917,6,FALSE)</f>
        <v>-831</v>
      </c>
      <c r="AK447" s="2">
        <f>VLOOKUP($A447,'[2]App C Share Inflows'!$A$4:$I$917,7,FALSE)</f>
        <v>-270</v>
      </c>
      <c r="AL447" s="2">
        <f>VLOOKUP($A447,'[2]App C Share Inflows'!$A$4:$I$917,8,FALSE)</f>
        <v>0</v>
      </c>
      <c r="AM447" s="2">
        <f>VLOOKUP($A447,'[2]App C Share Inflows'!$A$4:$I$917,6,FALSE)</f>
        <v>-831</v>
      </c>
    </row>
    <row r="448" spans="1:39">
      <c r="A448" s="351">
        <v>94411</v>
      </c>
      <c r="B448" s="344" t="s">
        <v>1142</v>
      </c>
      <c r="C448" s="235" t="e">
        <f>VLOOKUP(A448,#REF!,10,FALSE)</f>
        <v>#REF!</v>
      </c>
      <c r="E448" s="2">
        <f>VLOOKUP($A448,'[2]App C Total'!$A$4:$I$917,5,FALSE)</f>
        <v>604518</v>
      </c>
      <c r="F448" s="2">
        <f>VLOOKUP($A448,'[2]App C Total'!$A$4:$I$917,6,FALSE)</f>
        <v>185284</v>
      </c>
      <c r="G448" s="2">
        <f>VLOOKUP($A448,'[2]App C Total'!$A$4:$I$917,7,FALSE)</f>
        <v>314507</v>
      </c>
      <c r="H448" s="2">
        <f>VLOOKUP($A448,'[2]App C Total'!$A$4:$I$917,8,FALSE)</f>
        <v>85937</v>
      </c>
      <c r="I448" s="2">
        <f>VLOOKUP($A448,'[2]App C Total'!$A$4:$I$917,9,FALSE)</f>
        <v>0</v>
      </c>
      <c r="J448" s="2"/>
      <c r="K448" s="2">
        <f>VLOOKUP($A448,'[2]App C Exp'!$A$4:$I$917,5,FALSE)</f>
        <v>186839</v>
      </c>
      <c r="L448" s="2">
        <f>VLOOKUP($A448,'[2]App C Exp'!$A$4:$I$917,6,FALSE)</f>
        <v>175755</v>
      </c>
      <c r="M448" s="2">
        <f>VLOOKUP($A448,'[2]App C Exp'!$A$4:$I$917,7,FALSE)</f>
        <v>157528</v>
      </c>
      <c r="N448" s="2">
        <f>VLOOKUP($A448,'[2]App C Exp'!$A$4:$I$917,8,FALSE)</f>
        <v>63072</v>
      </c>
      <c r="O448" s="2">
        <f>VLOOKUP($A448,'[2]App C Exp'!$A$4:$I$917,9,FALSE)</f>
        <v>0</v>
      </c>
      <c r="P448" s="2"/>
      <c r="Q448" s="2">
        <f>VLOOKUP($A448,'[2]App C Inv'!$A$4:$I$917,5,FALSE)</f>
        <v>198356</v>
      </c>
      <c r="R448" s="2">
        <f>VLOOKUP($A448,'[2]App C Inv'!$A$4:$I$917,6,FALSE)</f>
        <v>-170623</v>
      </c>
      <c r="S448" s="2">
        <f>VLOOKUP($A448,'[2]App C Inv'!$A$4:$I$917,7,FALSE)</f>
        <v>24047</v>
      </c>
      <c r="T448" s="2">
        <f>VLOOKUP($A448,'[2]App C Inv'!$A$4:$I$917,8,FALSE)</f>
        <v>31297</v>
      </c>
      <c r="U448" s="2">
        <f>VLOOKUP($A448,'[2]App C Inv'!$A$4:$I$917,9,FALSE)</f>
        <v>0</v>
      </c>
      <c r="V448" s="2"/>
      <c r="W448" s="2">
        <f>VLOOKUP($A448,'[2]App C Assum'!$A$4:$I$917,5,FALSE)</f>
        <v>223451</v>
      </c>
      <c r="X448" s="2">
        <f>VLOOKUP($A448,'[2]App C Assum'!$A$4:$I$917,6,FALSE)</f>
        <v>183059</v>
      </c>
      <c r="Y448" s="2">
        <f>VLOOKUP($A448,'[2]App C Assum'!$A$4:$I$917,7,FALSE)</f>
        <v>148613</v>
      </c>
      <c r="Z448" s="2">
        <f>VLOOKUP($A448,'[2]App C Assum'!$A$4:$I$917,8,FALSE)</f>
        <v>0</v>
      </c>
      <c r="AA448" s="2">
        <f>VLOOKUP($A448,'[2]App C Assum'!$A$4:$I$917,9,FALSE)</f>
        <v>0</v>
      </c>
      <c r="AB448" s="2"/>
      <c r="AC448" s="2">
        <f>VLOOKUP($A448,'[2]App C Share Outflows'!$A$4:$I$917,5,FALSE)</f>
        <v>12774</v>
      </c>
      <c r="AD448" s="2">
        <f>VLOOKUP($A448,'[2]App C Share Outflows'!$A$4:$I$917,6,FALSE)</f>
        <v>12772</v>
      </c>
      <c r="AE448" s="2">
        <f>VLOOKUP($A448,'[2]App C Share Outflows'!$A$4:$I$917,7,FALSE)</f>
        <v>0</v>
      </c>
      <c r="AF448" s="2">
        <f>VLOOKUP($A448,'[2]App C Share Outflows'!$A$4:$I$917,8,FALSE)</f>
        <v>0</v>
      </c>
      <c r="AG448" s="2">
        <f>VLOOKUP($A448,'[2]App C Share Outflows'!$A$4:$I$917,9,FALSE)</f>
        <v>0</v>
      </c>
      <c r="AH448" s="2"/>
      <c r="AI448" s="2">
        <f>VLOOKUP($A448,'[2]App C Share Inflows'!$A$4:$I$917,5,FALSE)</f>
        <v>-16902</v>
      </c>
      <c r="AJ448" s="2">
        <f>VLOOKUP($A448,'[2]App C Share Inflows'!$A$4:$I$917,6,FALSE)</f>
        <v>-15679</v>
      </c>
      <c r="AK448" s="2">
        <f>VLOOKUP($A448,'[2]App C Share Inflows'!$A$4:$I$917,7,FALSE)</f>
        <v>-15681</v>
      </c>
      <c r="AL448" s="2">
        <f>VLOOKUP($A448,'[2]App C Share Inflows'!$A$4:$I$917,8,FALSE)</f>
        <v>-8432</v>
      </c>
      <c r="AM448" s="2">
        <f>VLOOKUP($A448,'[2]App C Share Inflows'!$A$4:$I$917,6,FALSE)</f>
        <v>-15679</v>
      </c>
    </row>
    <row r="449" spans="1:39">
      <c r="A449" s="351">
        <v>94412</v>
      </c>
      <c r="B449" s="344" t="s">
        <v>1143</v>
      </c>
      <c r="C449" s="235" t="e">
        <f>VLOOKUP(A449,#REF!,10,FALSE)</f>
        <v>#REF!</v>
      </c>
      <c r="E449" s="2">
        <f>VLOOKUP($A449,'[2]App C Total'!$A$4:$I$917,5,FALSE)</f>
        <v>13310</v>
      </c>
      <c r="F449" s="2">
        <f>VLOOKUP($A449,'[2]App C Total'!$A$4:$I$917,6,FALSE)</f>
        <v>6447</v>
      </c>
      <c r="G449" s="2">
        <f>VLOOKUP($A449,'[2]App C Total'!$A$4:$I$917,7,FALSE)</f>
        <v>7359</v>
      </c>
      <c r="H449" s="2">
        <f>VLOOKUP($A449,'[2]App C Total'!$A$4:$I$917,8,FALSE)</f>
        <v>2761</v>
      </c>
      <c r="I449" s="2">
        <f>VLOOKUP($A449,'[2]App C Total'!$A$4:$I$917,9,FALSE)</f>
        <v>0</v>
      </c>
      <c r="J449" s="2"/>
      <c r="K449" s="2">
        <f>VLOOKUP($A449,'[2]App C Exp'!$A$4:$I$917,5,FALSE)</f>
        <v>2547</v>
      </c>
      <c r="L449" s="2">
        <f>VLOOKUP($A449,'[2]App C Exp'!$A$4:$I$917,6,FALSE)</f>
        <v>2396</v>
      </c>
      <c r="M449" s="2">
        <f>VLOOKUP($A449,'[2]App C Exp'!$A$4:$I$917,7,FALSE)</f>
        <v>2147</v>
      </c>
      <c r="N449" s="2">
        <f>VLOOKUP($A449,'[2]App C Exp'!$A$4:$I$917,8,FALSE)</f>
        <v>860</v>
      </c>
      <c r="O449" s="2">
        <f>VLOOKUP($A449,'[2]App C Exp'!$A$4:$I$917,9,FALSE)</f>
        <v>0</v>
      </c>
      <c r="P449" s="2"/>
      <c r="Q449" s="2">
        <f>VLOOKUP($A449,'[2]App C Inv'!$A$4:$I$917,5,FALSE)</f>
        <v>2704</v>
      </c>
      <c r="R449" s="2">
        <f>VLOOKUP($A449,'[2]App C Inv'!$A$4:$I$917,6,FALSE)</f>
        <v>-2326</v>
      </c>
      <c r="S449" s="2">
        <f>VLOOKUP($A449,'[2]App C Inv'!$A$4:$I$917,7,FALSE)</f>
        <v>328</v>
      </c>
      <c r="T449" s="2">
        <f>VLOOKUP($A449,'[2]App C Inv'!$A$4:$I$917,8,FALSE)</f>
        <v>427</v>
      </c>
      <c r="U449" s="2">
        <f>VLOOKUP($A449,'[2]App C Inv'!$A$4:$I$917,9,FALSE)</f>
        <v>0</v>
      </c>
      <c r="V449" s="2"/>
      <c r="W449" s="2">
        <f>VLOOKUP($A449,'[2]App C Assum'!$A$4:$I$917,5,FALSE)</f>
        <v>3046</v>
      </c>
      <c r="X449" s="2">
        <f>VLOOKUP($A449,'[2]App C Assum'!$A$4:$I$917,6,FALSE)</f>
        <v>2495</v>
      </c>
      <c r="Y449" s="2">
        <f>VLOOKUP($A449,'[2]App C Assum'!$A$4:$I$917,7,FALSE)</f>
        <v>2026</v>
      </c>
      <c r="Z449" s="2">
        <f>VLOOKUP($A449,'[2]App C Assum'!$A$4:$I$917,8,FALSE)</f>
        <v>0</v>
      </c>
      <c r="AA449" s="2">
        <f>VLOOKUP($A449,'[2]App C Assum'!$A$4:$I$917,9,FALSE)</f>
        <v>0</v>
      </c>
      <c r="AB449" s="2"/>
      <c r="AC449" s="2">
        <f>VLOOKUP($A449,'[2]App C Share Outflows'!$A$4:$I$917,5,FALSE)</f>
        <v>5013</v>
      </c>
      <c r="AD449" s="2">
        <f>VLOOKUP($A449,'[2]App C Share Outflows'!$A$4:$I$917,6,FALSE)</f>
        <v>3882</v>
      </c>
      <c r="AE449" s="2">
        <f>VLOOKUP($A449,'[2]App C Share Outflows'!$A$4:$I$917,7,FALSE)</f>
        <v>2858</v>
      </c>
      <c r="AF449" s="2">
        <f>VLOOKUP($A449,'[2]App C Share Outflows'!$A$4:$I$917,8,FALSE)</f>
        <v>1474</v>
      </c>
      <c r="AG449" s="2">
        <f>VLOOKUP($A449,'[2]App C Share Outflows'!$A$4:$I$917,9,FALSE)</f>
        <v>0</v>
      </c>
      <c r="AH449" s="2"/>
      <c r="AI449" s="2">
        <f>VLOOKUP($A449,'[2]App C Share Inflows'!$A$4:$I$917,5,FALSE)</f>
        <v>0</v>
      </c>
      <c r="AJ449" s="2">
        <f>VLOOKUP($A449,'[2]App C Share Inflows'!$A$4:$I$917,6,FALSE)</f>
        <v>0</v>
      </c>
      <c r="AK449" s="2">
        <f>VLOOKUP($A449,'[2]App C Share Inflows'!$A$4:$I$917,7,FALSE)</f>
        <v>0</v>
      </c>
      <c r="AL449" s="2">
        <f>VLOOKUP($A449,'[2]App C Share Inflows'!$A$4:$I$917,8,FALSE)</f>
        <v>0</v>
      </c>
      <c r="AM449" s="2">
        <f>VLOOKUP($A449,'[2]App C Share Inflows'!$A$4:$I$917,6,FALSE)</f>
        <v>0</v>
      </c>
    </row>
    <row r="450" spans="1:39">
      <c r="A450" s="351">
        <v>94421</v>
      </c>
      <c r="B450" s="344" t="s">
        <v>1144</v>
      </c>
      <c r="C450" s="235" t="e">
        <f>VLOOKUP(A450,#REF!,10,FALSE)</f>
        <v>#REF!</v>
      </c>
      <c r="E450" s="2">
        <f>VLOOKUP($A450,'[2]App C Total'!$A$4:$I$917,5,FALSE)</f>
        <v>69922</v>
      </c>
      <c r="F450" s="2">
        <f>VLOOKUP($A450,'[2]App C Total'!$A$4:$I$917,6,FALSE)</f>
        <v>20322</v>
      </c>
      <c r="G450" s="2">
        <f>VLOOKUP($A450,'[2]App C Total'!$A$4:$I$917,7,FALSE)</f>
        <v>36797</v>
      </c>
      <c r="H450" s="2">
        <f>VLOOKUP($A450,'[2]App C Total'!$A$4:$I$917,8,FALSE)</f>
        <v>9928</v>
      </c>
      <c r="I450" s="2">
        <f>VLOOKUP($A450,'[2]App C Total'!$A$4:$I$917,9,FALSE)</f>
        <v>0</v>
      </c>
      <c r="J450" s="2"/>
      <c r="K450" s="2">
        <f>VLOOKUP($A450,'[2]App C Exp'!$A$4:$I$917,5,FALSE)</f>
        <v>22291</v>
      </c>
      <c r="L450" s="2">
        <f>VLOOKUP($A450,'[2]App C Exp'!$A$4:$I$917,6,FALSE)</f>
        <v>20969</v>
      </c>
      <c r="M450" s="2">
        <f>VLOOKUP($A450,'[2]App C Exp'!$A$4:$I$917,7,FALSE)</f>
        <v>18794</v>
      </c>
      <c r="N450" s="2">
        <f>VLOOKUP($A450,'[2]App C Exp'!$A$4:$I$917,8,FALSE)</f>
        <v>7525</v>
      </c>
      <c r="O450" s="2">
        <f>VLOOKUP($A450,'[2]App C Exp'!$A$4:$I$917,9,FALSE)</f>
        <v>0</v>
      </c>
      <c r="P450" s="2"/>
      <c r="Q450" s="2">
        <f>VLOOKUP($A450,'[2]App C Inv'!$A$4:$I$917,5,FALSE)</f>
        <v>23665</v>
      </c>
      <c r="R450" s="2">
        <f>VLOOKUP($A450,'[2]App C Inv'!$A$4:$I$917,6,FALSE)</f>
        <v>-20357</v>
      </c>
      <c r="S450" s="2">
        <f>VLOOKUP($A450,'[2]App C Inv'!$A$4:$I$917,7,FALSE)</f>
        <v>2869</v>
      </c>
      <c r="T450" s="2">
        <f>VLOOKUP($A450,'[2]App C Inv'!$A$4:$I$917,8,FALSE)</f>
        <v>3734</v>
      </c>
      <c r="U450" s="2">
        <f>VLOOKUP($A450,'[2]App C Inv'!$A$4:$I$917,9,FALSE)</f>
        <v>0</v>
      </c>
      <c r="V450" s="2"/>
      <c r="W450" s="2">
        <f>VLOOKUP($A450,'[2]App C Assum'!$A$4:$I$917,5,FALSE)</f>
        <v>26659</v>
      </c>
      <c r="X450" s="2">
        <f>VLOOKUP($A450,'[2]App C Assum'!$A$4:$I$917,6,FALSE)</f>
        <v>21840</v>
      </c>
      <c r="Y450" s="2">
        <f>VLOOKUP($A450,'[2]App C Assum'!$A$4:$I$917,7,FALSE)</f>
        <v>17731</v>
      </c>
      <c r="Z450" s="2">
        <f>VLOOKUP($A450,'[2]App C Assum'!$A$4:$I$917,8,FALSE)</f>
        <v>0</v>
      </c>
      <c r="AA450" s="2">
        <f>VLOOKUP($A450,'[2]App C Assum'!$A$4:$I$917,9,FALSE)</f>
        <v>0</v>
      </c>
      <c r="AB450" s="2"/>
      <c r="AC450" s="2">
        <f>VLOOKUP($A450,'[2]App C Share Outflows'!$A$4:$I$917,5,FALSE)</f>
        <v>470</v>
      </c>
      <c r="AD450" s="2">
        <f>VLOOKUP($A450,'[2]App C Share Outflows'!$A$4:$I$917,6,FALSE)</f>
        <v>469</v>
      </c>
      <c r="AE450" s="2">
        <f>VLOOKUP($A450,'[2]App C Share Outflows'!$A$4:$I$917,7,FALSE)</f>
        <v>0</v>
      </c>
      <c r="AF450" s="2">
        <f>VLOOKUP($A450,'[2]App C Share Outflows'!$A$4:$I$917,8,FALSE)</f>
        <v>0</v>
      </c>
      <c r="AG450" s="2">
        <f>VLOOKUP($A450,'[2]App C Share Outflows'!$A$4:$I$917,9,FALSE)</f>
        <v>0</v>
      </c>
      <c r="AH450" s="2"/>
      <c r="AI450" s="2">
        <f>VLOOKUP($A450,'[2]App C Share Inflows'!$A$4:$I$917,5,FALSE)</f>
        <v>-3163</v>
      </c>
      <c r="AJ450" s="2">
        <f>VLOOKUP($A450,'[2]App C Share Inflows'!$A$4:$I$917,6,FALSE)</f>
        <v>-2599</v>
      </c>
      <c r="AK450" s="2">
        <f>VLOOKUP($A450,'[2]App C Share Inflows'!$A$4:$I$917,7,FALSE)</f>
        <v>-2597</v>
      </c>
      <c r="AL450" s="2">
        <f>VLOOKUP($A450,'[2]App C Share Inflows'!$A$4:$I$917,8,FALSE)</f>
        <v>-1331</v>
      </c>
      <c r="AM450" s="2">
        <f>VLOOKUP($A450,'[2]App C Share Inflows'!$A$4:$I$917,6,FALSE)</f>
        <v>-2599</v>
      </c>
    </row>
    <row r="451" spans="1:39">
      <c r="A451" s="351">
        <v>94427</v>
      </c>
      <c r="B451" s="344" t="s">
        <v>1145</v>
      </c>
      <c r="C451" s="235" t="e">
        <f>VLOOKUP(A451,#REF!,10,FALSE)</f>
        <v>#REF!</v>
      </c>
      <c r="E451" s="2">
        <f>VLOOKUP($A451,'[2]App C Total'!$A$4:$I$917,5,FALSE)</f>
        <v>17690</v>
      </c>
      <c r="F451" s="2">
        <f>VLOOKUP($A451,'[2]App C Total'!$A$4:$I$917,6,FALSE)</f>
        <v>8530</v>
      </c>
      <c r="G451" s="2">
        <f>VLOOKUP($A451,'[2]App C Total'!$A$4:$I$917,7,FALSE)</f>
        <v>10768</v>
      </c>
      <c r="H451" s="2">
        <f>VLOOKUP($A451,'[2]App C Total'!$A$4:$I$917,8,FALSE)</f>
        <v>4905</v>
      </c>
      <c r="I451" s="2">
        <f>VLOOKUP($A451,'[2]App C Total'!$A$4:$I$917,9,FALSE)</f>
        <v>0</v>
      </c>
      <c r="J451" s="2"/>
      <c r="K451" s="2">
        <f>VLOOKUP($A451,'[2]App C Exp'!$A$4:$I$917,5,FALSE)</f>
        <v>4120</v>
      </c>
      <c r="L451" s="2">
        <f>VLOOKUP($A451,'[2]App C Exp'!$A$4:$I$917,6,FALSE)</f>
        <v>3875</v>
      </c>
      <c r="M451" s="2">
        <f>VLOOKUP($A451,'[2]App C Exp'!$A$4:$I$917,7,FALSE)</f>
        <v>3473</v>
      </c>
      <c r="N451" s="2">
        <f>VLOOKUP($A451,'[2]App C Exp'!$A$4:$I$917,8,FALSE)</f>
        <v>1391</v>
      </c>
      <c r="O451" s="2">
        <f>VLOOKUP($A451,'[2]App C Exp'!$A$4:$I$917,9,FALSE)</f>
        <v>0</v>
      </c>
      <c r="P451" s="2"/>
      <c r="Q451" s="2">
        <f>VLOOKUP($A451,'[2]App C Inv'!$A$4:$I$917,5,FALSE)</f>
        <v>4374</v>
      </c>
      <c r="R451" s="2">
        <f>VLOOKUP($A451,'[2]App C Inv'!$A$4:$I$917,6,FALSE)</f>
        <v>-3762</v>
      </c>
      <c r="S451" s="2">
        <f>VLOOKUP($A451,'[2]App C Inv'!$A$4:$I$917,7,FALSE)</f>
        <v>530</v>
      </c>
      <c r="T451" s="2">
        <f>VLOOKUP($A451,'[2]App C Inv'!$A$4:$I$917,8,FALSE)</f>
        <v>690</v>
      </c>
      <c r="U451" s="2">
        <f>VLOOKUP($A451,'[2]App C Inv'!$A$4:$I$917,9,FALSE)</f>
        <v>0</v>
      </c>
      <c r="V451" s="2"/>
      <c r="W451" s="2">
        <f>VLOOKUP($A451,'[2]App C Assum'!$A$4:$I$917,5,FALSE)</f>
        <v>4927</v>
      </c>
      <c r="X451" s="2">
        <f>VLOOKUP($A451,'[2]App C Assum'!$A$4:$I$917,6,FALSE)</f>
        <v>4036</v>
      </c>
      <c r="Y451" s="2">
        <f>VLOOKUP($A451,'[2]App C Assum'!$A$4:$I$917,7,FALSE)</f>
        <v>3277</v>
      </c>
      <c r="Z451" s="2">
        <f>VLOOKUP($A451,'[2]App C Assum'!$A$4:$I$917,8,FALSE)</f>
        <v>0</v>
      </c>
      <c r="AA451" s="2">
        <f>VLOOKUP($A451,'[2]App C Assum'!$A$4:$I$917,9,FALSE)</f>
        <v>0</v>
      </c>
      <c r="AB451" s="2"/>
      <c r="AC451" s="2">
        <f>VLOOKUP($A451,'[2]App C Share Outflows'!$A$4:$I$917,5,FALSE)</f>
        <v>4382</v>
      </c>
      <c r="AD451" s="2">
        <f>VLOOKUP($A451,'[2]App C Share Outflows'!$A$4:$I$917,6,FALSE)</f>
        <v>4381</v>
      </c>
      <c r="AE451" s="2">
        <f>VLOOKUP($A451,'[2]App C Share Outflows'!$A$4:$I$917,7,FALSE)</f>
        <v>3488</v>
      </c>
      <c r="AF451" s="2">
        <f>VLOOKUP($A451,'[2]App C Share Outflows'!$A$4:$I$917,8,FALSE)</f>
        <v>2824</v>
      </c>
      <c r="AG451" s="2">
        <f>VLOOKUP($A451,'[2]App C Share Outflows'!$A$4:$I$917,9,FALSE)</f>
        <v>0</v>
      </c>
      <c r="AH451" s="2"/>
      <c r="AI451" s="2">
        <f>VLOOKUP($A451,'[2]App C Share Inflows'!$A$4:$I$917,5,FALSE)</f>
        <v>-113</v>
      </c>
      <c r="AJ451" s="2">
        <f>VLOOKUP($A451,'[2]App C Share Inflows'!$A$4:$I$917,6,FALSE)</f>
        <v>0</v>
      </c>
      <c r="AK451" s="2">
        <f>VLOOKUP($A451,'[2]App C Share Inflows'!$A$4:$I$917,7,FALSE)</f>
        <v>0</v>
      </c>
      <c r="AL451" s="2">
        <f>VLOOKUP($A451,'[2]App C Share Inflows'!$A$4:$I$917,8,FALSE)</f>
        <v>0</v>
      </c>
      <c r="AM451" s="2">
        <f>VLOOKUP($A451,'[2]App C Share Inflows'!$A$4:$I$917,6,FALSE)</f>
        <v>0</v>
      </c>
    </row>
    <row r="452" spans="1:39">
      <c r="A452" s="351">
        <v>94428</v>
      </c>
      <c r="B452" s="344" t="s">
        <v>2803</v>
      </c>
      <c r="C452" s="235" t="e">
        <f>VLOOKUP(A452,#REF!,10,FALSE)</f>
        <v>#REF!</v>
      </c>
      <c r="E452" s="2">
        <f>VLOOKUP($A452,'[2]App C Total'!$A$4:$I$917,5,FALSE)</f>
        <v>36016</v>
      </c>
      <c r="F452" s="2">
        <f>VLOOKUP($A452,'[2]App C Total'!$A$4:$I$917,6,FALSE)</f>
        <v>11766</v>
      </c>
      <c r="G452" s="2">
        <f>VLOOKUP($A452,'[2]App C Total'!$A$4:$I$917,7,FALSE)</f>
        <v>20733</v>
      </c>
      <c r="H452" s="2">
        <f>VLOOKUP($A452,'[2]App C Total'!$A$4:$I$917,8,FALSE)</f>
        <v>5694</v>
      </c>
      <c r="I452" s="2">
        <f>VLOOKUP($A452,'[2]App C Total'!$A$4:$I$917,9,FALSE)</f>
        <v>0</v>
      </c>
      <c r="J452" s="2"/>
      <c r="K452" s="2">
        <f>VLOOKUP($A452,'[2]App C Exp'!$A$4:$I$917,5,FALSE)</f>
        <v>10696</v>
      </c>
      <c r="L452" s="2">
        <f>VLOOKUP($A452,'[2]App C Exp'!$A$4:$I$917,6,FALSE)</f>
        <v>10062</v>
      </c>
      <c r="M452" s="2">
        <f>VLOOKUP($A452,'[2]App C Exp'!$A$4:$I$917,7,FALSE)</f>
        <v>9018</v>
      </c>
      <c r="N452" s="2">
        <f>VLOOKUP($A452,'[2]App C Exp'!$A$4:$I$917,8,FALSE)</f>
        <v>3611</v>
      </c>
      <c r="O452" s="2">
        <f>VLOOKUP($A452,'[2]App C Exp'!$A$4:$I$917,9,FALSE)</f>
        <v>0</v>
      </c>
      <c r="P452" s="2"/>
      <c r="Q452" s="2">
        <f>VLOOKUP($A452,'[2]App C Inv'!$A$4:$I$917,5,FALSE)</f>
        <v>11356</v>
      </c>
      <c r="R452" s="2">
        <f>VLOOKUP($A452,'[2]App C Inv'!$A$4:$I$917,6,FALSE)</f>
        <v>-9768</v>
      </c>
      <c r="S452" s="2">
        <f>VLOOKUP($A452,'[2]App C Inv'!$A$4:$I$917,7,FALSE)</f>
        <v>1377</v>
      </c>
      <c r="T452" s="2">
        <f>VLOOKUP($A452,'[2]App C Inv'!$A$4:$I$917,8,FALSE)</f>
        <v>1792</v>
      </c>
      <c r="U452" s="2">
        <f>VLOOKUP($A452,'[2]App C Inv'!$A$4:$I$917,9,FALSE)</f>
        <v>0</v>
      </c>
      <c r="V452" s="2"/>
      <c r="W452" s="2">
        <f>VLOOKUP($A452,'[2]App C Assum'!$A$4:$I$917,5,FALSE)</f>
        <v>12792</v>
      </c>
      <c r="X452" s="2">
        <f>VLOOKUP($A452,'[2]App C Assum'!$A$4:$I$917,6,FALSE)</f>
        <v>10480</v>
      </c>
      <c r="Y452" s="2">
        <f>VLOOKUP($A452,'[2]App C Assum'!$A$4:$I$917,7,FALSE)</f>
        <v>8508</v>
      </c>
      <c r="Z452" s="2">
        <f>VLOOKUP($A452,'[2]App C Assum'!$A$4:$I$917,8,FALSE)</f>
        <v>0</v>
      </c>
      <c r="AA452" s="2">
        <f>VLOOKUP($A452,'[2]App C Assum'!$A$4:$I$917,9,FALSE)</f>
        <v>0</v>
      </c>
      <c r="AB452" s="2"/>
      <c r="AC452" s="2">
        <f>VLOOKUP($A452,'[2]App C Share Outflows'!$A$4:$I$917,5,FALSE)</f>
        <v>2008</v>
      </c>
      <c r="AD452" s="2">
        <f>VLOOKUP($A452,'[2]App C Share Outflows'!$A$4:$I$917,6,FALSE)</f>
        <v>1830</v>
      </c>
      <c r="AE452" s="2">
        <f>VLOOKUP($A452,'[2]App C Share Outflows'!$A$4:$I$917,7,FALSE)</f>
        <v>1830</v>
      </c>
      <c r="AF452" s="2">
        <f>VLOOKUP($A452,'[2]App C Share Outflows'!$A$4:$I$917,8,FALSE)</f>
        <v>291</v>
      </c>
      <c r="AG452" s="2">
        <f>VLOOKUP($A452,'[2]App C Share Outflows'!$A$4:$I$917,9,FALSE)</f>
        <v>0</v>
      </c>
      <c r="AH452" s="2"/>
      <c r="AI452" s="2">
        <f>VLOOKUP($A452,'[2]App C Share Inflows'!$A$4:$I$917,5,FALSE)</f>
        <v>-836</v>
      </c>
      <c r="AJ452" s="2">
        <f>VLOOKUP($A452,'[2]App C Share Inflows'!$A$4:$I$917,6,FALSE)</f>
        <v>-838</v>
      </c>
      <c r="AK452" s="2">
        <f>VLOOKUP($A452,'[2]App C Share Inflows'!$A$4:$I$917,7,FALSE)</f>
        <v>0</v>
      </c>
      <c r="AL452" s="2">
        <f>VLOOKUP($A452,'[2]App C Share Inflows'!$A$4:$I$917,8,FALSE)</f>
        <v>0</v>
      </c>
      <c r="AM452" s="2">
        <f>VLOOKUP($A452,'[2]App C Share Inflows'!$A$4:$I$917,6,FALSE)</f>
        <v>-838</v>
      </c>
    </row>
    <row r="453" spans="1:39">
      <c r="A453" s="351">
        <v>94431</v>
      </c>
      <c r="B453" s="344" t="s">
        <v>1147</v>
      </c>
      <c r="C453" s="235" t="e">
        <f>VLOOKUP(A453,#REF!,10,FALSE)</f>
        <v>#REF!</v>
      </c>
      <c r="E453" s="2">
        <f>VLOOKUP($A453,'[2]App C Total'!$A$4:$I$917,5,FALSE)</f>
        <v>296090</v>
      </c>
      <c r="F453" s="2">
        <f>VLOOKUP($A453,'[2]App C Total'!$A$4:$I$917,6,FALSE)</f>
        <v>134661</v>
      </c>
      <c r="G453" s="2">
        <f>VLOOKUP($A453,'[2]App C Total'!$A$4:$I$917,7,FALSE)</f>
        <v>154467</v>
      </c>
      <c r="H453" s="2">
        <f>VLOOKUP($A453,'[2]App C Total'!$A$4:$I$917,8,FALSE)</f>
        <v>59035</v>
      </c>
      <c r="I453" s="2">
        <f>VLOOKUP($A453,'[2]App C Total'!$A$4:$I$917,9,FALSE)</f>
        <v>0</v>
      </c>
      <c r="J453" s="2"/>
      <c r="K453" s="2">
        <f>VLOOKUP($A453,'[2]App C Exp'!$A$4:$I$917,5,FALSE)</f>
        <v>62664</v>
      </c>
      <c r="L453" s="2">
        <f>VLOOKUP($A453,'[2]App C Exp'!$A$4:$I$917,6,FALSE)</f>
        <v>58947</v>
      </c>
      <c r="M453" s="2">
        <f>VLOOKUP($A453,'[2]App C Exp'!$A$4:$I$917,7,FALSE)</f>
        <v>52833</v>
      </c>
      <c r="N453" s="2">
        <f>VLOOKUP($A453,'[2]App C Exp'!$A$4:$I$917,8,FALSE)</f>
        <v>21154</v>
      </c>
      <c r="O453" s="2">
        <f>VLOOKUP($A453,'[2]App C Exp'!$A$4:$I$917,9,FALSE)</f>
        <v>0</v>
      </c>
      <c r="P453" s="2"/>
      <c r="Q453" s="2">
        <f>VLOOKUP($A453,'[2]App C Inv'!$A$4:$I$917,5,FALSE)</f>
        <v>66527</v>
      </c>
      <c r="R453" s="2">
        <f>VLOOKUP($A453,'[2]App C Inv'!$A$4:$I$917,6,FALSE)</f>
        <v>-57226</v>
      </c>
      <c r="S453" s="2">
        <f>VLOOKUP($A453,'[2]App C Inv'!$A$4:$I$917,7,FALSE)</f>
        <v>8065</v>
      </c>
      <c r="T453" s="2">
        <f>VLOOKUP($A453,'[2]App C Inv'!$A$4:$I$917,8,FALSE)</f>
        <v>10497</v>
      </c>
      <c r="U453" s="2">
        <f>VLOOKUP($A453,'[2]App C Inv'!$A$4:$I$917,9,FALSE)</f>
        <v>0</v>
      </c>
      <c r="V453" s="2"/>
      <c r="W453" s="2">
        <f>VLOOKUP($A453,'[2]App C Assum'!$A$4:$I$917,5,FALSE)</f>
        <v>74943</v>
      </c>
      <c r="X453" s="2">
        <f>VLOOKUP($A453,'[2]App C Assum'!$A$4:$I$917,6,FALSE)</f>
        <v>61396</v>
      </c>
      <c r="Y453" s="2">
        <f>VLOOKUP($A453,'[2]App C Assum'!$A$4:$I$917,7,FALSE)</f>
        <v>49843</v>
      </c>
      <c r="Z453" s="2">
        <f>VLOOKUP($A453,'[2]App C Assum'!$A$4:$I$917,8,FALSE)</f>
        <v>0</v>
      </c>
      <c r="AA453" s="2">
        <f>VLOOKUP($A453,'[2]App C Assum'!$A$4:$I$917,9,FALSE)</f>
        <v>0</v>
      </c>
      <c r="AB453" s="2"/>
      <c r="AC453" s="2">
        <f>VLOOKUP($A453,'[2]App C Share Outflows'!$A$4:$I$917,5,FALSE)</f>
        <v>91956</v>
      </c>
      <c r="AD453" s="2">
        <f>VLOOKUP($A453,'[2]App C Share Outflows'!$A$4:$I$917,6,FALSE)</f>
        <v>71544</v>
      </c>
      <c r="AE453" s="2">
        <f>VLOOKUP($A453,'[2]App C Share Outflows'!$A$4:$I$917,7,FALSE)</f>
        <v>43726</v>
      </c>
      <c r="AF453" s="2">
        <f>VLOOKUP($A453,'[2]App C Share Outflows'!$A$4:$I$917,8,FALSE)</f>
        <v>27384</v>
      </c>
      <c r="AG453" s="2">
        <f>VLOOKUP($A453,'[2]App C Share Outflows'!$A$4:$I$917,9,FALSE)</f>
        <v>0</v>
      </c>
      <c r="AH453" s="2"/>
      <c r="AI453" s="2">
        <f>VLOOKUP($A453,'[2]App C Share Inflows'!$A$4:$I$917,5,FALSE)</f>
        <v>0</v>
      </c>
      <c r="AJ453" s="2">
        <f>VLOOKUP($A453,'[2]App C Share Inflows'!$A$4:$I$917,6,FALSE)</f>
        <v>0</v>
      </c>
      <c r="AK453" s="2">
        <f>VLOOKUP($A453,'[2]App C Share Inflows'!$A$4:$I$917,7,FALSE)</f>
        <v>0</v>
      </c>
      <c r="AL453" s="2">
        <f>VLOOKUP($A453,'[2]App C Share Inflows'!$A$4:$I$917,8,FALSE)</f>
        <v>0</v>
      </c>
      <c r="AM453" s="2">
        <f>VLOOKUP($A453,'[2]App C Share Inflows'!$A$4:$I$917,6,FALSE)</f>
        <v>0</v>
      </c>
    </row>
    <row r="454" spans="1:39">
      <c r="A454" s="351">
        <v>94437</v>
      </c>
      <c r="B454" s="344" t="s">
        <v>1148</v>
      </c>
      <c r="C454" s="235" t="e">
        <f>VLOOKUP(A454,#REF!,10,FALSE)</f>
        <v>#REF!</v>
      </c>
      <c r="E454" s="2">
        <f>VLOOKUP($A454,'[2]App C Total'!$A$4:$I$917,5,FALSE)</f>
        <v>12107</v>
      </c>
      <c r="F454" s="2">
        <f>VLOOKUP($A454,'[2]App C Total'!$A$4:$I$917,6,FALSE)</f>
        <v>5850</v>
      </c>
      <c r="G454" s="2">
        <f>VLOOKUP($A454,'[2]App C Total'!$A$4:$I$917,7,FALSE)</f>
        <v>6061</v>
      </c>
      <c r="H454" s="2">
        <f>VLOOKUP($A454,'[2]App C Total'!$A$4:$I$917,8,FALSE)</f>
        <v>1977</v>
      </c>
      <c r="I454" s="2">
        <f>VLOOKUP($A454,'[2]App C Total'!$A$4:$I$917,9,FALSE)</f>
        <v>0</v>
      </c>
      <c r="J454" s="2"/>
      <c r="K454" s="2">
        <f>VLOOKUP($A454,'[2]App C Exp'!$A$4:$I$917,5,FALSE)</f>
        <v>2232</v>
      </c>
      <c r="L454" s="2">
        <f>VLOOKUP($A454,'[2]App C Exp'!$A$4:$I$917,6,FALSE)</f>
        <v>2100</v>
      </c>
      <c r="M454" s="2">
        <f>VLOOKUP($A454,'[2]App C Exp'!$A$4:$I$917,7,FALSE)</f>
        <v>1882</v>
      </c>
      <c r="N454" s="2">
        <f>VLOOKUP($A454,'[2]App C Exp'!$A$4:$I$917,8,FALSE)</f>
        <v>754</v>
      </c>
      <c r="O454" s="2">
        <f>VLOOKUP($A454,'[2]App C Exp'!$A$4:$I$917,9,FALSE)</f>
        <v>0</v>
      </c>
      <c r="P454" s="2"/>
      <c r="Q454" s="2">
        <f>VLOOKUP($A454,'[2]App C Inv'!$A$4:$I$917,5,FALSE)</f>
        <v>2370</v>
      </c>
      <c r="R454" s="2">
        <f>VLOOKUP($A454,'[2]App C Inv'!$A$4:$I$917,6,FALSE)</f>
        <v>-2038</v>
      </c>
      <c r="S454" s="2">
        <f>VLOOKUP($A454,'[2]App C Inv'!$A$4:$I$917,7,FALSE)</f>
        <v>287</v>
      </c>
      <c r="T454" s="2">
        <f>VLOOKUP($A454,'[2]App C Inv'!$A$4:$I$917,8,FALSE)</f>
        <v>374</v>
      </c>
      <c r="U454" s="2">
        <f>VLOOKUP($A454,'[2]App C Inv'!$A$4:$I$917,9,FALSE)</f>
        <v>0</v>
      </c>
      <c r="V454" s="2"/>
      <c r="W454" s="2">
        <f>VLOOKUP($A454,'[2]App C Assum'!$A$4:$I$917,5,FALSE)</f>
        <v>2670</v>
      </c>
      <c r="X454" s="2">
        <f>VLOOKUP($A454,'[2]App C Assum'!$A$4:$I$917,6,FALSE)</f>
        <v>2187</v>
      </c>
      <c r="Y454" s="2">
        <f>VLOOKUP($A454,'[2]App C Assum'!$A$4:$I$917,7,FALSE)</f>
        <v>1775</v>
      </c>
      <c r="Z454" s="2">
        <f>VLOOKUP($A454,'[2]App C Assum'!$A$4:$I$917,8,FALSE)</f>
        <v>0</v>
      </c>
      <c r="AA454" s="2">
        <f>VLOOKUP($A454,'[2]App C Assum'!$A$4:$I$917,9,FALSE)</f>
        <v>0</v>
      </c>
      <c r="AB454" s="2"/>
      <c r="AC454" s="2">
        <f>VLOOKUP($A454,'[2]App C Share Outflows'!$A$4:$I$917,5,FALSE)</f>
        <v>4835</v>
      </c>
      <c r="AD454" s="2">
        <f>VLOOKUP($A454,'[2]App C Share Outflows'!$A$4:$I$917,6,FALSE)</f>
        <v>3601</v>
      </c>
      <c r="AE454" s="2">
        <f>VLOOKUP($A454,'[2]App C Share Outflows'!$A$4:$I$917,7,FALSE)</f>
        <v>2117</v>
      </c>
      <c r="AF454" s="2">
        <f>VLOOKUP($A454,'[2]App C Share Outflows'!$A$4:$I$917,8,FALSE)</f>
        <v>849</v>
      </c>
      <c r="AG454" s="2">
        <f>VLOOKUP($A454,'[2]App C Share Outflows'!$A$4:$I$917,9,FALSE)</f>
        <v>0</v>
      </c>
      <c r="AH454" s="2"/>
      <c r="AI454" s="2">
        <f>VLOOKUP($A454,'[2]App C Share Inflows'!$A$4:$I$917,5,FALSE)</f>
        <v>0</v>
      </c>
      <c r="AJ454" s="2">
        <f>VLOOKUP($A454,'[2]App C Share Inflows'!$A$4:$I$917,6,FALSE)</f>
        <v>0</v>
      </c>
      <c r="AK454" s="2">
        <f>VLOOKUP($A454,'[2]App C Share Inflows'!$A$4:$I$917,7,FALSE)</f>
        <v>0</v>
      </c>
      <c r="AL454" s="2">
        <f>VLOOKUP($A454,'[2]App C Share Inflows'!$A$4:$I$917,8,FALSE)</f>
        <v>0</v>
      </c>
      <c r="AM454" s="2">
        <f>VLOOKUP($A454,'[2]App C Share Inflows'!$A$4:$I$917,6,FALSE)</f>
        <v>0</v>
      </c>
    </row>
    <row r="455" spans="1:39">
      <c r="A455" s="351">
        <v>94501</v>
      </c>
      <c r="B455" s="344" t="s">
        <v>1149</v>
      </c>
      <c r="C455" s="235" t="e">
        <f>VLOOKUP(A455,#REF!,10,FALSE)</f>
        <v>#REF!</v>
      </c>
      <c r="E455" s="2">
        <f>VLOOKUP($A455,'[2]App C Total'!$A$4:$I$917,5,FALSE)</f>
        <v>2963503</v>
      </c>
      <c r="F455" s="2">
        <f>VLOOKUP($A455,'[2]App C Total'!$A$4:$I$917,6,FALSE)</f>
        <v>943059</v>
      </c>
      <c r="G455" s="2">
        <f>VLOOKUP($A455,'[2]App C Total'!$A$4:$I$917,7,FALSE)</f>
        <v>1626480</v>
      </c>
      <c r="H455" s="2">
        <f>VLOOKUP($A455,'[2]App C Total'!$A$4:$I$917,8,FALSE)</f>
        <v>469991</v>
      </c>
      <c r="I455" s="2">
        <f>VLOOKUP($A455,'[2]App C Total'!$A$4:$I$917,9,FALSE)</f>
        <v>0</v>
      </c>
      <c r="J455" s="2"/>
      <c r="K455" s="2">
        <f>VLOOKUP($A455,'[2]App C Exp'!$A$4:$I$917,5,FALSE)</f>
        <v>895441</v>
      </c>
      <c r="L455" s="2">
        <f>VLOOKUP($A455,'[2]App C Exp'!$A$4:$I$917,6,FALSE)</f>
        <v>842321</v>
      </c>
      <c r="M455" s="2">
        <f>VLOOKUP($A455,'[2]App C Exp'!$A$4:$I$917,7,FALSE)</f>
        <v>754963</v>
      </c>
      <c r="N455" s="2">
        <f>VLOOKUP($A455,'[2]App C Exp'!$A$4:$I$917,8,FALSE)</f>
        <v>302278</v>
      </c>
      <c r="O455" s="2">
        <f>VLOOKUP($A455,'[2]App C Exp'!$A$4:$I$917,9,FALSE)</f>
        <v>0</v>
      </c>
      <c r="P455" s="2"/>
      <c r="Q455" s="2">
        <f>VLOOKUP($A455,'[2]App C Inv'!$A$4:$I$917,5,FALSE)</f>
        <v>950636</v>
      </c>
      <c r="R455" s="2">
        <f>VLOOKUP($A455,'[2]App C Inv'!$A$4:$I$917,6,FALSE)</f>
        <v>-817725</v>
      </c>
      <c r="S455" s="2">
        <f>VLOOKUP($A455,'[2]App C Inv'!$A$4:$I$917,7,FALSE)</f>
        <v>115248</v>
      </c>
      <c r="T455" s="2">
        <f>VLOOKUP($A455,'[2]App C Inv'!$A$4:$I$917,8,FALSE)</f>
        <v>149994</v>
      </c>
      <c r="U455" s="2">
        <f>VLOOKUP($A455,'[2]App C Inv'!$A$4:$I$917,9,FALSE)</f>
        <v>0</v>
      </c>
      <c r="V455" s="2"/>
      <c r="W455" s="2">
        <f>VLOOKUP($A455,'[2]App C Assum'!$A$4:$I$917,5,FALSE)</f>
        <v>1070905</v>
      </c>
      <c r="X455" s="2">
        <f>VLOOKUP($A455,'[2]App C Assum'!$A$4:$I$917,6,FALSE)</f>
        <v>877324</v>
      </c>
      <c r="Y455" s="2">
        <f>VLOOKUP($A455,'[2]App C Assum'!$A$4:$I$917,7,FALSE)</f>
        <v>712237</v>
      </c>
      <c r="Z455" s="2">
        <f>VLOOKUP($A455,'[2]App C Assum'!$A$4:$I$917,8,FALSE)</f>
        <v>0</v>
      </c>
      <c r="AA455" s="2">
        <f>VLOOKUP($A455,'[2]App C Assum'!$A$4:$I$917,9,FALSE)</f>
        <v>0</v>
      </c>
      <c r="AB455" s="2"/>
      <c r="AC455" s="2">
        <f>VLOOKUP($A455,'[2]App C Share Outflows'!$A$4:$I$917,5,FALSE)</f>
        <v>49413</v>
      </c>
      <c r="AD455" s="2">
        <f>VLOOKUP($A455,'[2]App C Share Outflows'!$A$4:$I$917,6,FALSE)</f>
        <v>44031</v>
      </c>
      <c r="AE455" s="2">
        <f>VLOOKUP($A455,'[2]App C Share Outflows'!$A$4:$I$917,7,FALSE)</f>
        <v>44032</v>
      </c>
      <c r="AF455" s="2">
        <f>VLOOKUP($A455,'[2]App C Share Outflows'!$A$4:$I$917,8,FALSE)</f>
        <v>17719</v>
      </c>
      <c r="AG455" s="2">
        <f>VLOOKUP($A455,'[2]App C Share Outflows'!$A$4:$I$917,9,FALSE)</f>
        <v>0</v>
      </c>
      <c r="AH455" s="2"/>
      <c r="AI455" s="2">
        <f>VLOOKUP($A455,'[2]App C Share Inflows'!$A$4:$I$917,5,FALSE)</f>
        <v>-2892</v>
      </c>
      <c r="AJ455" s="2">
        <f>VLOOKUP($A455,'[2]App C Share Inflows'!$A$4:$I$917,6,FALSE)</f>
        <v>-2892</v>
      </c>
      <c r="AK455" s="2">
        <f>VLOOKUP($A455,'[2]App C Share Inflows'!$A$4:$I$917,7,FALSE)</f>
        <v>0</v>
      </c>
      <c r="AL455" s="2">
        <f>VLOOKUP($A455,'[2]App C Share Inflows'!$A$4:$I$917,8,FALSE)</f>
        <v>0</v>
      </c>
      <c r="AM455" s="2">
        <f>VLOOKUP($A455,'[2]App C Share Inflows'!$A$4:$I$917,6,FALSE)</f>
        <v>-2892</v>
      </c>
    </row>
    <row r="456" spans="1:39">
      <c r="A456" s="351">
        <v>94511</v>
      </c>
      <c r="B456" s="344" t="s">
        <v>1150</v>
      </c>
      <c r="C456" s="235" t="e">
        <f>VLOOKUP(A456,#REF!,10,FALSE)</f>
        <v>#REF!</v>
      </c>
      <c r="E456" s="2">
        <f>VLOOKUP($A456,'[2]App C Total'!$A$4:$I$917,5,FALSE)</f>
        <v>978768</v>
      </c>
      <c r="F456" s="2">
        <f>VLOOKUP($A456,'[2]App C Total'!$A$4:$I$917,6,FALSE)</f>
        <v>307871</v>
      </c>
      <c r="G456" s="2">
        <f>VLOOKUP($A456,'[2]App C Total'!$A$4:$I$917,7,FALSE)</f>
        <v>534719</v>
      </c>
      <c r="H456" s="2">
        <f>VLOOKUP($A456,'[2]App C Total'!$A$4:$I$917,8,FALSE)</f>
        <v>148315</v>
      </c>
      <c r="I456" s="2">
        <f>VLOOKUP($A456,'[2]App C Total'!$A$4:$I$917,9,FALSE)</f>
        <v>0</v>
      </c>
      <c r="J456" s="2"/>
      <c r="K456" s="2">
        <f>VLOOKUP($A456,'[2]App C Exp'!$A$4:$I$917,5,FALSE)</f>
        <v>302355</v>
      </c>
      <c r="L456" s="2">
        <f>VLOOKUP($A456,'[2]App C Exp'!$A$4:$I$917,6,FALSE)</f>
        <v>284419</v>
      </c>
      <c r="M456" s="2">
        <f>VLOOKUP($A456,'[2]App C Exp'!$A$4:$I$917,7,FALSE)</f>
        <v>254921</v>
      </c>
      <c r="N456" s="2">
        <f>VLOOKUP($A456,'[2]App C Exp'!$A$4:$I$917,8,FALSE)</f>
        <v>102067</v>
      </c>
      <c r="O456" s="2">
        <f>VLOOKUP($A456,'[2]App C Exp'!$A$4:$I$917,9,FALSE)</f>
        <v>0</v>
      </c>
      <c r="P456" s="2"/>
      <c r="Q456" s="2">
        <f>VLOOKUP($A456,'[2]App C Inv'!$A$4:$I$917,5,FALSE)</f>
        <v>320992</v>
      </c>
      <c r="R456" s="2">
        <f>VLOOKUP($A456,'[2]App C Inv'!$A$4:$I$917,6,FALSE)</f>
        <v>-276114</v>
      </c>
      <c r="S456" s="2">
        <f>VLOOKUP($A456,'[2]App C Inv'!$A$4:$I$917,7,FALSE)</f>
        <v>38915</v>
      </c>
      <c r="T456" s="2">
        <f>VLOOKUP($A456,'[2]App C Inv'!$A$4:$I$917,8,FALSE)</f>
        <v>50647</v>
      </c>
      <c r="U456" s="2">
        <f>VLOOKUP($A456,'[2]App C Inv'!$A$4:$I$917,9,FALSE)</f>
        <v>0</v>
      </c>
      <c r="V456" s="2"/>
      <c r="W456" s="2">
        <f>VLOOKUP($A456,'[2]App C Assum'!$A$4:$I$917,5,FALSE)</f>
        <v>361603</v>
      </c>
      <c r="X456" s="2">
        <f>VLOOKUP($A456,'[2]App C Assum'!$A$4:$I$917,6,FALSE)</f>
        <v>296238</v>
      </c>
      <c r="Y456" s="2">
        <f>VLOOKUP($A456,'[2]App C Assum'!$A$4:$I$917,7,FALSE)</f>
        <v>240495</v>
      </c>
      <c r="Z456" s="2">
        <f>VLOOKUP($A456,'[2]App C Assum'!$A$4:$I$917,8,FALSE)</f>
        <v>0</v>
      </c>
      <c r="AA456" s="2">
        <f>VLOOKUP($A456,'[2]App C Assum'!$A$4:$I$917,9,FALSE)</f>
        <v>0</v>
      </c>
      <c r="AB456" s="2"/>
      <c r="AC456" s="2">
        <f>VLOOKUP($A456,'[2]App C Share Outflows'!$A$4:$I$917,5,FALSE)</f>
        <v>7729</v>
      </c>
      <c r="AD456" s="2">
        <f>VLOOKUP($A456,'[2]App C Share Outflows'!$A$4:$I$917,6,FALSE)</f>
        <v>7728</v>
      </c>
      <c r="AE456" s="2">
        <f>VLOOKUP($A456,'[2]App C Share Outflows'!$A$4:$I$917,7,FALSE)</f>
        <v>4788</v>
      </c>
      <c r="AF456" s="2">
        <f>VLOOKUP($A456,'[2]App C Share Outflows'!$A$4:$I$917,8,FALSE)</f>
        <v>0</v>
      </c>
      <c r="AG456" s="2">
        <f>VLOOKUP($A456,'[2]App C Share Outflows'!$A$4:$I$917,9,FALSE)</f>
        <v>0</v>
      </c>
      <c r="AH456" s="2"/>
      <c r="AI456" s="2">
        <f>VLOOKUP($A456,'[2]App C Share Inflows'!$A$4:$I$917,5,FALSE)</f>
        <v>-13911</v>
      </c>
      <c r="AJ456" s="2">
        <f>VLOOKUP($A456,'[2]App C Share Inflows'!$A$4:$I$917,6,FALSE)</f>
        <v>-4400</v>
      </c>
      <c r="AK456" s="2">
        <f>VLOOKUP($A456,'[2]App C Share Inflows'!$A$4:$I$917,7,FALSE)</f>
        <v>-4400</v>
      </c>
      <c r="AL456" s="2">
        <f>VLOOKUP($A456,'[2]App C Share Inflows'!$A$4:$I$917,8,FALSE)</f>
        <v>-4399</v>
      </c>
      <c r="AM456" s="2">
        <f>VLOOKUP($A456,'[2]App C Share Inflows'!$A$4:$I$917,6,FALSE)</f>
        <v>-4400</v>
      </c>
    </row>
    <row r="457" spans="1:39">
      <c r="A457" s="351">
        <v>94517</v>
      </c>
      <c r="B457" s="344" t="s">
        <v>2813</v>
      </c>
      <c r="C457" s="235" t="e">
        <f>VLOOKUP(A457,#REF!,10,FALSE)</f>
        <v>#REF!</v>
      </c>
      <c r="E457" s="2">
        <f>VLOOKUP($A457,'[2]App C Total'!$A$4:$I$917,5,FALSE)</f>
        <v>36644</v>
      </c>
      <c r="F457" s="2">
        <f>VLOOKUP($A457,'[2]App C Total'!$A$4:$I$917,6,FALSE)</f>
        <v>16719</v>
      </c>
      <c r="G457" s="2">
        <f>VLOOKUP($A457,'[2]App C Total'!$A$4:$I$917,7,FALSE)</f>
        <v>21316</v>
      </c>
      <c r="H457" s="2">
        <f>VLOOKUP($A457,'[2]App C Total'!$A$4:$I$917,8,FALSE)</f>
        <v>10176</v>
      </c>
      <c r="I457" s="2">
        <f>VLOOKUP($A457,'[2]App C Total'!$A$4:$I$917,9,FALSE)</f>
        <v>0</v>
      </c>
      <c r="J457" s="2"/>
      <c r="K457" s="2">
        <f>VLOOKUP($A457,'[2]App C Exp'!$A$4:$I$917,5,FALSE)</f>
        <v>8209</v>
      </c>
      <c r="L457" s="2">
        <f>VLOOKUP($A457,'[2]App C Exp'!$A$4:$I$917,6,FALSE)</f>
        <v>7722</v>
      </c>
      <c r="M457" s="2">
        <f>VLOOKUP($A457,'[2]App C Exp'!$A$4:$I$917,7,FALSE)</f>
        <v>6922</v>
      </c>
      <c r="N457" s="2">
        <f>VLOOKUP($A457,'[2]App C Exp'!$A$4:$I$917,8,FALSE)</f>
        <v>2771</v>
      </c>
      <c r="O457" s="2">
        <f>VLOOKUP($A457,'[2]App C Exp'!$A$4:$I$917,9,FALSE)</f>
        <v>0</v>
      </c>
      <c r="P457" s="2"/>
      <c r="Q457" s="2">
        <f>VLOOKUP($A457,'[2]App C Inv'!$A$4:$I$917,5,FALSE)</f>
        <v>8715</v>
      </c>
      <c r="R457" s="2">
        <f>VLOOKUP($A457,'[2]App C Inv'!$A$4:$I$917,6,FALSE)</f>
        <v>-7497</v>
      </c>
      <c r="S457" s="2">
        <f>VLOOKUP($A457,'[2]App C Inv'!$A$4:$I$917,7,FALSE)</f>
        <v>1057</v>
      </c>
      <c r="T457" s="2">
        <f>VLOOKUP($A457,'[2]App C Inv'!$A$4:$I$917,8,FALSE)</f>
        <v>1375</v>
      </c>
      <c r="U457" s="2">
        <f>VLOOKUP($A457,'[2]App C Inv'!$A$4:$I$917,9,FALSE)</f>
        <v>0</v>
      </c>
      <c r="V457" s="2"/>
      <c r="W457" s="2">
        <f>VLOOKUP($A457,'[2]App C Assum'!$A$4:$I$917,5,FALSE)</f>
        <v>9818</v>
      </c>
      <c r="X457" s="2">
        <f>VLOOKUP($A457,'[2]App C Assum'!$A$4:$I$917,6,FALSE)</f>
        <v>8043</v>
      </c>
      <c r="Y457" s="2">
        <f>VLOOKUP($A457,'[2]App C Assum'!$A$4:$I$917,7,FALSE)</f>
        <v>6530</v>
      </c>
      <c r="Z457" s="2">
        <f>VLOOKUP($A457,'[2]App C Assum'!$A$4:$I$917,8,FALSE)</f>
        <v>0</v>
      </c>
      <c r="AA457" s="2">
        <f>VLOOKUP($A457,'[2]App C Assum'!$A$4:$I$917,9,FALSE)</f>
        <v>0</v>
      </c>
      <c r="AB457" s="2"/>
      <c r="AC457" s="2">
        <f>VLOOKUP($A457,'[2]App C Share Outflows'!$A$4:$I$917,5,FALSE)</f>
        <v>9902</v>
      </c>
      <c r="AD457" s="2">
        <f>VLOOKUP($A457,'[2]App C Share Outflows'!$A$4:$I$917,6,FALSE)</f>
        <v>8451</v>
      </c>
      <c r="AE457" s="2">
        <f>VLOOKUP($A457,'[2]App C Share Outflows'!$A$4:$I$917,7,FALSE)</f>
        <v>6807</v>
      </c>
      <c r="AF457" s="2">
        <f>VLOOKUP($A457,'[2]App C Share Outflows'!$A$4:$I$917,8,FALSE)</f>
        <v>6030</v>
      </c>
      <c r="AG457" s="2">
        <f>VLOOKUP($A457,'[2]App C Share Outflows'!$A$4:$I$917,9,FALSE)</f>
        <v>0</v>
      </c>
      <c r="AH457" s="2"/>
      <c r="AI457" s="2">
        <f>VLOOKUP($A457,'[2]App C Share Inflows'!$A$4:$I$917,5,FALSE)</f>
        <v>0</v>
      </c>
      <c r="AJ457" s="2">
        <f>VLOOKUP($A457,'[2]App C Share Inflows'!$A$4:$I$917,6,FALSE)</f>
        <v>0</v>
      </c>
      <c r="AK457" s="2">
        <f>VLOOKUP($A457,'[2]App C Share Inflows'!$A$4:$I$917,7,FALSE)</f>
        <v>0</v>
      </c>
      <c r="AL457" s="2">
        <f>VLOOKUP($A457,'[2]App C Share Inflows'!$A$4:$I$917,8,FALSE)</f>
        <v>0</v>
      </c>
      <c r="AM457" s="2">
        <f>VLOOKUP($A457,'[2]App C Share Inflows'!$A$4:$I$917,6,FALSE)</f>
        <v>0</v>
      </c>
    </row>
    <row r="458" spans="1:39">
      <c r="A458" s="351">
        <v>94521</v>
      </c>
      <c r="B458" s="344" t="s">
        <v>1153</v>
      </c>
      <c r="C458" s="235" t="e">
        <f>VLOOKUP(A458,#REF!,10,FALSE)</f>
        <v>#REF!</v>
      </c>
      <c r="E458" s="2">
        <f>VLOOKUP($A458,'[2]App C Total'!$A$4:$I$917,5,FALSE)</f>
        <v>65934</v>
      </c>
      <c r="F458" s="2">
        <f>VLOOKUP($A458,'[2]App C Total'!$A$4:$I$917,6,FALSE)</f>
        <v>19569</v>
      </c>
      <c r="G458" s="2">
        <f>VLOOKUP($A458,'[2]App C Total'!$A$4:$I$917,7,FALSE)</f>
        <v>33676</v>
      </c>
      <c r="H458" s="2">
        <f>VLOOKUP($A458,'[2]App C Total'!$A$4:$I$917,8,FALSE)</f>
        <v>6663</v>
      </c>
      <c r="I458" s="2">
        <f>VLOOKUP($A458,'[2]App C Total'!$A$4:$I$917,9,FALSE)</f>
        <v>0</v>
      </c>
      <c r="J458" s="2"/>
      <c r="K458" s="2">
        <f>VLOOKUP($A458,'[2]App C Exp'!$A$4:$I$917,5,FALSE)</f>
        <v>22456</v>
      </c>
      <c r="L458" s="2">
        <f>VLOOKUP($A458,'[2]App C Exp'!$A$4:$I$917,6,FALSE)</f>
        <v>21124</v>
      </c>
      <c r="M458" s="2">
        <f>VLOOKUP($A458,'[2]App C Exp'!$A$4:$I$917,7,FALSE)</f>
        <v>18933</v>
      </c>
      <c r="N458" s="2">
        <f>VLOOKUP($A458,'[2]App C Exp'!$A$4:$I$917,8,FALSE)</f>
        <v>7581</v>
      </c>
      <c r="O458" s="2">
        <f>VLOOKUP($A458,'[2]App C Exp'!$A$4:$I$917,9,FALSE)</f>
        <v>0</v>
      </c>
      <c r="P458" s="2"/>
      <c r="Q458" s="2">
        <f>VLOOKUP($A458,'[2]App C Inv'!$A$4:$I$917,5,FALSE)</f>
        <v>23840</v>
      </c>
      <c r="R458" s="2">
        <f>VLOOKUP($A458,'[2]App C Inv'!$A$4:$I$917,6,FALSE)</f>
        <v>-20507</v>
      </c>
      <c r="S458" s="2">
        <f>VLOOKUP($A458,'[2]App C Inv'!$A$4:$I$917,7,FALSE)</f>
        <v>2890</v>
      </c>
      <c r="T458" s="2">
        <f>VLOOKUP($A458,'[2]App C Inv'!$A$4:$I$917,8,FALSE)</f>
        <v>3762</v>
      </c>
      <c r="U458" s="2">
        <f>VLOOKUP($A458,'[2]App C Inv'!$A$4:$I$917,9,FALSE)</f>
        <v>0</v>
      </c>
      <c r="V458" s="2"/>
      <c r="W458" s="2">
        <f>VLOOKUP($A458,'[2]App C Assum'!$A$4:$I$917,5,FALSE)</f>
        <v>26856</v>
      </c>
      <c r="X458" s="2">
        <f>VLOOKUP($A458,'[2]App C Assum'!$A$4:$I$917,6,FALSE)</f>
        <v>22002</v>
      </c>
      <c r="Y458" s="2">
        <f>VLOOKUP($A458,'[2]App C Assum'!$A$4:$I$917,7,FALSE)</f>
        <v>17862</v>
      </c>
      <c r="Z458" s="2">
        <f>VLOOKUP($A458,'[2]App C Assum'!$A$4:$I$917,8,FALSE)</f>
        <v>0</v>
      </c>
      <c r="AA458" s="2">
        <f>VLOOKUP($A458,'[2]App C Assum'!$A$4:$I$917,9,FALSE)</f>
        <v>0</v>
      </c>
      <c r="AB458" s="2"/>
      <c r="AC458" s="2">
        <f>VLOOKUP($A458,'[2]App C Share Outflows'!$A$4:$I$917,5,FALSE)</f>
        <v>2955</v>
      </c>
      <c r="AD458" s="2">
        <f>VLOOKUP($A458,'[2]App C Share Outflows'!$A$4:$I$917,6,FALSE)</f>
        <v>2957</v>
      </c>
      <c r="AE458" s="2">
        <f>VLOOKUP($A458,'[2]App C Share Outflows'!$A$4:$I$917,7,FALSE)</f>
        <v>0</v>
      </c>
      <c r="AF458" s="2">
        <f>VLOOKUP($A458,'[2]App C Share Outflows'!$A$4:$I$917,8,FALSE)</f>
        <v>0</v>
      </c>
      <c r="AG458" s="2">
        <f>VLOOKUP($A458,'[2]App C Share Outflows'!$A$4:$I$917,9,FALSE)</f>
        <v>0</v>
      </c>
      <c r="AH458" s="2"/>
      <c r="AI458" s="2">
        <f>VLOOKUP($A458,'[2]App C Share Inflows'!$A$4:$I$917,5,FALSE)</f>
        <v>-10173</v>
      </c>
      <c r="AJ458" s="2">
        <f>VLOOKUP($A458,'[2]App C Share Inflows'!$A$4:$I$917,6,FALSE)</f>
        <v>-6007</v>
      </c>
      <c r="AK458" s="2">
        <f>VLOOKUP($A458,'[2]App C Share Inflows'!$A$4:$I$917,7,FALSE)</f>
        <v>-6009</v>
      </c>
      <c r="AL458" s="2">
        <f>VLOOKUP($A458,'[2]App C Share Inflows'!$A$4:$I$917,8,FALSE)</f>
        <v>-4680</v>
      </c>
      <c r="AM458" s="2">
        <f>VLOOKUP($A458,'[2]App C Share Inflows'!$A$4:$I$917,6,FALSE)</f>
        <v>-6007</v>
      </c>
    </row>
    <row r="459" spans="1:39">
      <c r="A459" s="351">
        <v>94527</v>
      </c>
      <c r="B459" s="344" t="s">
        <v>1154</v>
      </c>
      <c r="C459" s="235" t="e">
        <f>VLOOKUP(A459,#REF!,10,FALSE)</f>
        <v>#REF!</v>
      </c>
      <c r="E459" s="2">
        <f>VLOOKUP($A459,'[2]App C Total'!$A$4:$I$917,5,FALSE)</f>
        <v>2524</v>
      </c>
      <c r="F459" s="2">
        <f>VLOOKUP($A459,'[2]App C Total'!$A$4:$I$917,6,FALSE)</f>
        <v>1012</v>
      </c>
      <c r="G459" s="2">
        <f>VLOOKUP($A459,'[2]App C Total'!$A$4:$I$917,7,FALSE)</f>
        <v>1973</v>
      </c>
      <c r="H459" s="2">
        <f>VLOOKUP($A459,'[2]App C Total'!$A$4:$I$917,8,FALSE)</f>
        <v>522</v>
      </c>
      <c r="I459" s="2">
        <f>VLOOKUP($A459,'[2]App C Total'!$A$4:$I$917,9,FALSE)</f>
        <v>0</v>
      </c>
      <c r="J459" s="2"/>
      <c r="K459" s="2">
        <f>VLOOKUP($A459,'[2]App C Exp'!$A$4:$I$917,5,FALSE)</f>
        <v>1019</v>
      </c>
      <c r="L459" s="2">
        <f>VLOOKUP($A459,'[2]App C Exp'!$A$4:$I$917,6,FALSE)</f>
        <v>958</v>
      </c>
      <c r="M459" s="2">
        <f>VLOOKUP($A459,'[2]App C Exp'!$A$4:$I$917,7,FALSE)</f>
        <v>859</v>
      </c>
      <c r="N459" s="2">
        <f>VLOOKUP($A459,'[2]App C Exp'!$A$4:$I$917,8,FALSE)</f>
        <v>344</v>
      </c>
      <c r="O459" s="2">
        <f>VLOOKUP($A459,'[2]App C Exp'!$A$4:$I$917,9,FALSE)</f>
        <v>0</v>
      </c>
      <c r="P459" s="2"/>
      <c r="Q459" s="2">
        <f>VLOOKUP($A459,'[2]App C Inv'!$A$4:$I$917,5,FALSE)</f>
        <v>1081</v>
      </c>
      <c r="R459" s="2">
        <f>VLOOKUP($A459,'[2]App C Inv'!$A$4:$I$917,6,FALSE)</f>
        <v>-930</v>
      </c>
      <c r="S459" s="2">
        <f>VLOOKUP($A459,'[2]App C Inv'!$A$4:$I$917,7,FALSE)</f>
        <v>131</v>
      </c>
      <c r="T459" s="2">
        <f>VLOOKUP($A459,'[2]App C Inv'!$A$4:$I$917,8,FALSE)</f>
        <v>171</v>
      </c>
      <c r="U459" s="2">
        <f>VLOOKUP($A459,'[2]App C Inv'!$A$4:$I$917,9,FALSE)</f>
        <v>0</v>
      </c>
      <c r="V459" s="2"/>
      <c r="W459" s="2">
        <f>VLOOKUP($A459,'[2]App C Assum'!$A$4:$I$917,5,FALSE)</f>
        <v>1218</v>
      </c>
      <c r="X459" s="2">
        <f>VLOOKUP($A459,'[2]App C Assum'!$A$4:$I$917,6,FALSE)</f>
        <v>998</v>
      </c>
      <c r="Y459" s="2">
        <f>VLOOKUP($A459,'[2]App C Assum'!$A$4:$I$917,7,FALSE)</f>
        <v>810</v>
      </c>
      <c r="Z459" s="2">
        <f>VLOOKUP($A459,'[2]App C Assum'!$A$4:$I$917,8,FALSE)</f>
        <v>0</v>
      </c>
      <c r="AA459" s="2">
        <f>VLOOKUP($A459,'[2]App C Assum'!$A$4:$I$917,9,FALSE)</f>
        <v>0</v>
      </c>
      <c r="AB459" s="2"/>
      <c r="AC459" s="2">
        <f>VLOOKUP($A459,'[2]App C Share Outflows'!$A$4:$I$917,5,FALSE)</f>
        <v>173</v>
      </c>
      <c r="AD459" s="2">
        <f>VLOOKUP($A459,'[2]App C Share Outflows'!$A$4:$I$917,6,FALSE)</f>
        <v>173</v>
      </c>
      <c r="AE459" s="2">
        <f>VLOOKUP($A459,'[2]App C Share Outflows'!$A$4:$I$917,7,FALSE)</f>
        <v>173</v>
      </c>
      <c r="AF459" s="2">
        <f>VLOOKUP($A459,'[2]App C Share Outflows'!$A$4:$I$917,8,FALSE)</f>
        <v>7</v>
      </c>
      <c r="AG459" s="2">
        <f>VLOOKUP($A459,'[2]App C Share Outflows'!$A$4:$I$917,9,FALSE)</f>
        <v>0</v>
      </c>
      <c r="AH459" s="2"/>
      <c r="AI459" s="2">
        <f>VLOOKUP($A459,'[2]App C Share Inflows'!$A$4:$I$917,5,FALSE)</f>
        <v>-967</v>
      </c>
      <c r="AJ459" s="2">
        <f>VLOOKUP($A459,'[2]App C Share Inflows'!$A$4:$I$917,6,FALSE)</f>
        <v>-187</v>
      </c>
      <c r="AK459" s="2">
        <f>VLOOKUP($A459,'[2]App C Share Inflows'!$A$4:$I$917,7,FALSE)</f>
        <v>0</v>
      </c>
      <c r="AL459" s="2">
        <f>VLOOKUP($A459,'[2]App C Share Inflows'!$A$4:$I$917,8,FALSE)</f>
        <v>0</v>
      </c>
      <c r="AM459" s="2">
        <f>VLOOKUP($A459,'[2]App C Share Inflows'!$A$4:$I$917,6,FALSE)</f>
        <v>-187</v>
      </c>
    </row>
    <row r="460" spans="1:39">
      <c r="A460" s="351">
        <v>94531</v>
      </c>
      <c r="B460" s="344" t="s">
        <v>1155</v>
      </c>
      <c r="C460" s="235" t="e">
        <f>VLOOKUP(A460,#REF!,10,FALSE)</f>
        <v>#REF!</v>
      </c>
      <c r="E460" s="2">
        <f>VLOOKUP($A460,'[2]App C Total'!$A$4:$I$917,5,FALSE)</f>
        <v>16275</v>
      </c>
      <c r="F460" s="2">
        <f>VLOOKUP($A460,'[2]App C Total'!$A$4:$I$917,6,FALSE)</f>
        <v>7980</v>
      </c>
      <c r="G460" s="2">
        <f>VLOOKUP($A460,'[2]App C Total'!$A$4:$I$917,7,FALSE)</f>
        <v>9790</v>
      </c>
      <c r="H460" s="2">
        <f>VLOOKUP($A460,'[2]App C Total'!$A$4:$I$917,8,FALSE)</f>
        <v>4432</v>
      </c>
      <c r="I460" s="2">
        <f>VLOOKUP($A460,'[2]App C Total'!$A$4:$I$917,9,FALSE)</f>
        <v>0</v>
      </c>
      <c r="J460" s="2"/>
      <c r="K460" s="2">
        <f>VLOOKUP($A460,'[2]App C Exp'!$A$4:$I$917,5,FALSE)</f>
        <v>3461</v>
      </c>
      <c r="L460" s="2">
        <f>VLOOKUP($A460,'[2]App C Exp'!$A$4:$I$917,6,FALSE)</f>
        <v>3255</v>
      </c>
      <c r="M460" s="2">
        <f>VLOOKUP($A460,'[2]App C Exp'!$A$4:$I$917,7,FALSE)</f>
        <v>2918</v>
      </c>
      <c r="N460" s="2">
        <f>VLOOKUP($A460,'[2]App C Exp'!$A$4:$I$917,8,FALSE)</f>
        <v>1168</v>
      </c>
      <c r="O460" s="2">
        <f>VLOOKUP($A460,'[2]App C Exp'!$A$4:$I$917,9,FALSE)</f>
        <v>0</v>
      </c>
      <c r="P460" s="2"/>
      <c r="Q460" s="2">
        <f>VLOOKUP($A460,'[2]App C Inv'!$A$4:$I$917,5,FALSE)</f>
        <v>3674</v>
      </c>
      <c r="R460" s="2">
        <f>VLOOKUP($A460,'[2]App C Inv'!$A$4:$I$917,6,FALSE)</f>
        <v>-3160</v>
      </c>
      <c r="S460" s="2">
        <f>VLOOKUP($A460,'[2]App C Inv'!$A$4:$I$917,7,FALSE)</f>
        <v>445</v>
      </c>
      <c r="T460" s="2">
        <f>VLOOKUP($A460,'[2]App C Inv'!$A$4:$I$917,8,FALSE)</f>
        <v>580</v>
      </c>
      <c r="U460" s="2">
        <f>VLOOKUP($A460,'[2]App C Inv'!$A$4:$I$917,9,FALSE)</f>
        <v>0</v>
      </c>
      <c r="V460" s="2"/>
      <c r="W460" s="2">
        <f>VLOOKUP($A460,'[2]App C Assum'!$A$4:$I$917,5,FALSE)</f>
        <v>4139</v>
      </c>
      <c r="X460" s="2">
        <f>VLOOKUP($A460,'[2]App C Assum'!$A$4:$I$917,6,FALSE)</f>
        <v>3391</v>
      </c>
      <c r="Y460" s="2">
        <f>VLOOKUP($A460,'[2]App C Assum'!$A$4:$I$917,7,FALSE)</f>
        <v>2753</v>
      </c>
      <c r="Z460" s="2">
        <f>VLOOKUP($A460,'[2]App C Assum'!$A$4:$I$917,8,FALSE)</f>
        <v>0</v>
      </c>
      <c r="AA460" s="2">
        <f>VLOOKUP($A460,'[2]App C Assum'!$A$4:$I$917,9,FALSE)</f>
        <v>0</v>
      </c>
      <c r="AB460" s="2"/>
      <c r="AC460" s="2">
        <f>VLOOKUP($A460,'[2]App C Share Outflows'!$A$4:$I$917,5,FALSE)</f>
        <v>5001</v>
      </c>
      <c r="AD460" s="2">
        <f>VLOOKUP($A460,'[2]App C Share Outflows'!$A$4:$I$917,6,FALSE)</f>
        <v>4494</v>
      </c>
      <c r="AE460" s="2">
        <f>VLOOKUP($A460,'[2]App C Share Outflows'!$A$4:$I$917,7,FALSE)</f>
        <v>3674</v>
      </c>
      <c r="AF460" s="2">
        <f>VLOOKUP($A460,'[2]App C Share Outflows'!$A$4:$I$917,8,FALSE)</f>
        <v>2684</v>
      </c>
      <c r="AG460" s="2">
        <f>VLOOKUP($A460,'[2]App C Share Outflows'!$A$4:$I$917,9,FALSE)</f>
        <v>0</v>
      </c>
      <c r="AH460" s="2"/>
      <c r="AI460" s="2">
        <f>VLOOKUP($A460,'[2]App C Share Inflows'!$A$4:$I$917,5,FALSE)</f>
        <v>0</v>
      </c>
      <c r="AJ460" s="2">
        <f>VLOOKUP($A460,'[2]App C Share Inflows'!$A$4:$I$917,6,FALSE)</f>
        <v>0</v>
      </c>
      <c r="AK460" s="2">
        <f>VLOOKUP($A460,'[2]App C Share Inflows'!$A$4:$I$917,7,FALSE)</f>
        <v>0</v>
      </c>
      <c r="AL460" s="2">
        <f>VLOOKUP($A460,'[2]App C Share Inflows'!$A$4:$I$917,8,FALSE)</f>
        <v>0</v>
      </c>
      <c r="AM460" s="2">
        <f>VLOOKUP($A460,'[2]App C Share Inflows'!$A$4:$I$917,6,FALSE)</f>
        <v>0</v>
      </c>
    </row>
    <row r="461" spans="1:39">
      <c r="A461" s="351">
        <v>94532</v>
      </c>
      <c r="B461" s="344" t="s">
        <v>1156</v>
      </c>
      <c r="C461" s="235" t="e">
        <f>VLOOKUP(A461,#REF!,10,FALSE)</f>
        <v>#REF!</v>
      </c>
      <c r="E461" s="2">
        <f>VLOOKUP($A461,'[2]App C Total'!$A$4:$I$917,5,FALSE)</f>
        <v>49474</v>
      </c>
      <c r="F461" s="2">
        <f>VLOOKUP($A461,'[2]App C Total'!$A$4:$I$917,6,FALSE)</f>
        <v>17596</v>
      </c>
      <c r="G461" s="2">
        <f>VLOOKUP($A461,'[2]App C Total'!$A$4:$I$917,7,FALSE)</f>
        <v>29163</v>
      </c>
      <c r="H461" s="2">
        <f>VLOOKUP($A461,'[2]App C Total'!$A$4:$I$917,8,FALSE)</f>
        <v>7751</v>
      </c>
      <c r="I461" s="2">
        <f>VLOOKUP($A461,'[2]App C Total'!$A$4:$I$917,9,FALSE)</f>
        <v>0</v>
      </c>
      <c r="J461" s="2"/>
      <c r="K461" s="2">
        <f>VLOOKUP($A461,'[2]App C Exp'!$A$4:$I$917,5,FALSE)</f>
        <v>15071</v>
      </c>
      <c r="L461" s="2">
        <f>VLOOKUP($A461,'[2]App C Exp'!$A$4:$I$917,6,FALSE)</f>
        <v>14177</v>
      </c>
      <c r="M461" s="2">
        <f>VLOOKUP($A461,'[2]App C Exp'!$A$4:$I$917,7,FALSE)</f>
        <v>12706</v>
      </c>
      <c r="N461" s="2">
        <f>VLOOKUP($A461,'[2]App C Exp'!$A$4:$I$917,8,FALSE)</f>
        <v>5087</v>
      </c>
      <c r="O461" s="2">
        <f>VLOOKUP($A461,'[2]App C Exp'!$A$4:$I$917,9,FALSE)</f>
        <v>0</v>
      </c>
      <c r="P461" s="2"/>
      <c r="Q461" s="2">
        <f>VLOOKUP($A461,'[2]App C Inv'!$A$4:$I$917,5,FALSE)</f>
        <v>16000</v>
      </c>
      <c r="R461" s="2">
        <f>VLOOKUP($A461,'[2]App C Inv'!$A$4:$I$917,6,FALSE)</f>
        <v>-13763</v>
      </c>
      <c r="S461" s="2">
        <f>VLOOKUP($A461,'[2]App C Inv'!$A$4:$I$917,7,FALSE)</f>
        <v>1940</v>
      </c>
      <c r="T461" s="2">
        <f>VLOOKUP($A461,'[2]App C Inv'!$A$4:$I$917,8,FALSE)</f>
        <v>2524</v>
      </c>
      <c r="U461" s="2">
        <f>VLOOKUP($A461,'[2]App C Inv'!$A$4:$I$917,9,FALSE)</f>
        <v>0</v>
      </c>
      <c r="V461" s="2"/>
      <c r="W461" s="2">
        <f>VLOOKUP($A461,'[2]App C Assum'!$A$4:$I$917,5,FALSE)</f>
        <v>18024</v>
      </c>
      <c r="X461" s="2">
        <f>VLOOKUP($A461,'[2]App C Assum'!$A$4:$I$917,6,FALSE)</f>
        <v>14766</v>
      </c>
      <c r="Y461" s="2">
        <f>VLOOKUP($A461,'[2]App C Assum'!$A$4:$I$917,7,FALSE)</f>
        <v>11987</v>
      </c>
      <c r="Z461" s="2">
        <f>VLOOKUP($A461,'[2]App C Assum'!$A$4:$I$917,8,FALSE)</f>
        <v>0</v>
      </c>
      <c r="AA461" s="2">
        <f>VLOOKUP($A461,'[2]App C Assum'!$A$4:$I$917,9,FALSE)</f>
        <v>0</v>
      </c>
      <c r="AB461" s="2"/>
      <c r="AC461" s="2">
        <f>VLOOKUP($A461,'[2]App C Share Outflows'!$A$4:$I$917,5,FALSE)</f>
        <v>2530</v>
      </c>
      <c r="AD461" s="2">
        <f>VLOOKUP($A461,'[2]App C Share Outflows'!$A$4:$I$917,6,FALSE)</f>
        <v>2530</v>
      </c>
      <c r="AE461" s="2">
        <f>VLOOKUP($A461,'[2]App C Share Outflows'!$A$4:$I$917,7,FALSE)</f>
        <v>2530</v>
      </c>
      <c r="AF461" s="2">
        <f>VLOOKUP($A461,'[2]App C Share Outflows'!$A$4:$I$917,8,FALSE)</f>
        <v>140</v>
      </c>
      <c r="AG461" s="2">
        <f>VLOOKUP($A461,'[2]App C Share Outflows'!$A$4:$I$917,9,FALSE)</f>
        <v>0</v>
      </c>
      <c r="AH461" s="2"/>
      <c r="AI461" s="2">
        <f>VLOOKUP($A461,'[2]App C Share Inflows'!$A$4:$I$917,5,FALSE)</f>
        <v>-2151</v>
      </c>
      <c r="AJ461" s="2">
        <f>VLOOKUP($A461,'[2]App C Share Inflows'!$A$4:$I$917,6,FALSE)</f>
        <v>-114</v>
      </c>
      <c r="AK461" s="2">
        <f>VLOOKUP($A461,'[2]App C Share Inflows'!$A$4:$I$917,7,FALSE)</f>
        <v>0</v>
      </c>
      <c r="AL461" s="2">
        <f>VLOOKUP($A461,'[2]App C Share Inflows'!$A$4:$I$917,8,FALSE)</f>
        <v>0</v>
      </c>
      <c r="AM461" s="2">
        <f>VLOOKUP($A461,'[2]App C Share Inflows'!$A$4:$I$917,6,FALSE)</f>
        <v>-114</v>
      </c>
    </row>
    <row r="462" spans="1:39">
      <c r="A462" s="351">
        <v>94541</v>
      </c>
      <c r="B462" s="344" t="s">
        <v>1157</v>
      </c>
      <c r="C462" s="235" t="e">
        <f>VLOOKUP(A462,#REF!,10,FALSE)</f>
        <v>#REF!</v>
      </c>
      <c r="E462" s="2">
        <f>VLOOKUP($A462,'[2]App C Total'!$A$4:$I$917,5,FALSE)</f>
        <v>124624</v>
      </c>
      <c r="F462" s="2">
        <f>VLOOKUP($A462,'[2]App C Total'!$A$4:$I$917,6,FALSE)</f>
        <v>32883</v>
      </c>
      <c r="G462" s="2">
        <f>VLOOKUP($A462,'[2]App C Total'!$A$4:$I$917,7,FALSE)</f>
        <v>67409</v>
      </c>
      <c r="H462" s="2">
        <f>VLOOKUP($A462,'[2]App C Total'!$A$4:$I$917,8,FALSE)</f>
        <v>18611</v>
      </c>
      <c r="I462" s="2">
        <f>VLOOKUP($A462,'[2]App C Total'!$A$4:$I$917,9,FALSE)</f>
        <v>0</v>
      </c>
      <c r="J462" s="2"/>
      <c r="K462" s="2">
        <f>VLOOKUP($A462,'[2]App C Exp'!$A$4:$I$917,5,FALSE)</f>
        <v>41571</v>
      </c>
      <c r="L462" s="2">
        <f>VLOOKUP($A462,'[2]App C Exp'!$A$4:$I$917,6,FALSE)</f>
        <v>39105</v>
      </c>
      <c r="M462" s="2">
        <f>VLOOKUP($A462,'[2]App C Exp'!$A$4:$I$917,7,FALSE)</f>
        <v>35050</v>
      </c>
      <c r="N462" s="2">
        <f>VLOOKUP($A462,'[2]App C Exp'!$A$4:$I$917,8,FALSE)</f>
        <v>14033</v>
      </c>
      <c r="O462" s="2">
        <f>VLOOKUP($A462,'[2]App C Exp'!$A$4:$I$917,9,FALSE)</f>
        <v>0</v>
      </c>
      <c r="P462" s="2"/>
      <c r="Q462" s="2">
        <f>VLOOKUP($A462,'[2]App C Inv'!$A$4:$I$917,5,FALSE)</f>
        <v>44134</v>
      </c>
      <c r="R462" s="2">
        <f>VLOOKUP($A462,'[2]App C Inv'!$A$4:$I$917,6,FALSE)</f>
        <v>-37963</v>
      </c>
      <c r="S462" s="2">
        <f>VLOOKUP($A462,'[2]App C Inv'!$A$4:$I$917,7,FALSE)</f>
        <v>5350</v>
      </c>
      <c r="T462" s="2">
        <f>VLOOKUP($A462,'[2]App C Inv'!$A$4:$I$917,8,FALSE)</f>
        <v>6964</v>
      </c>
      <c r="U462" s="2">
        <f>VLOOKUP($A462,'[2]App C Inv'!$A$4:$I$917,9,FALSE)</f>
        <v>0</v>
      </c>
      <c r="V462" s="2"/>
      <c r="W462" s="2">
        <f>VLOOKUP($A462,'[2]App C Assum'!$A$4:$I$917,5,FALSE)</f>
        <v>49717</v>
      </c>
      <c r="X462" s="2">
        <f>VLOOKUP($A462,'[2]App C Assum'!$A$4:$I$917,6,FALSE)</f>
        <v>40730</v>
      </c>
      <c r="Y462" s="2">
        <f>VLOOKUP($A462,'[2]App C Assum'!$A$4:$I$917,7,FALSE)</f>
        <v>33066</v>
      </c>
      <c r="Z462" s="2">
        <f>VLOOKUP($A462,'[2]App C Assum'!$A$4:$I$917,8,FALSE)</f>
        <v>0</v>
      </c>
      <c r="AA462" s="2">
        <f>VLOOKUP($A462,'[2]App C Assum'!$A$4:$I$917,9,FALSE)</f>
        <v>0</v>
      </c>
      <c r="AB462" s="2"/>
      <c r="AC462" s="2">
        <f>VLOOKUP($A462,'[2]App C Share Outflows'!$A$4:$I$917,5,FALSE)</f>
        <v>0</v>
      </c>
      <c r="AD462" s="2">
        <f>VLOOKUP($A462,'[2]App C Share Outflows'!$A$4:$I$917,6,FALSE)</f>
        <v>0</v>
      </c>
      <c r="AE462" s="2">
        <f>VLOOKUP($A462,'[2]App C Share Outflows'!$A$4:$I$917,7,FALSE)</f>
        <v>0</v>
      </c>
      <c r="AF462" s="2">
        <f>VLOOKUP($A462,'[2]App C Share Outflows'!$A$4:$I$917,8,FALSE)</f>
        <v>0</v>
      </c>
      <c r="AG462" s="2">
        <f>VLOOKUP($A462,'[2]App C Share Outflows'!$A$4:$I$917,9,FALSE)</f>
        <v>0</v>
      </c>
      <c r="AH462" s="2"/>
      <c r="AI462" s="2">
        <f>VLOOKUP($A462,'[2]App C Share Inflows'!$A$4:$I$917,5,FALSE)</f>
        <v>-10798</v>
      </c>
      <c r="AJ462" s="2">
        <f>VLOOKUP($A462,'[2]App C Share Inflows'!$A$4:$I$917,6,FALSE)</f>
        <v>-8989</v>
      </c>
      <c r="AK462" s="2">
        <f>VLOOKUP($A462,'[2]App C Share Inflows'!$A$4:$I$917,7,FALSE)</f>
        <v>-6057</v>
      </c>
      <c r="AL462" s="2">
        <f>VLOOKUP($A462,'[2]App C Share Inflows'!$A$4:$I$917,8,FALSE)</f>
        <v>-2386</v>
      </c>
      <c r="AM462" s="2">
        <f>VLOOKUP($A462,'[2]App C Share Inflows'!$A$4:$I$917,6,FALSE)</f>
        <v>-8989</v>
      </c>
    </row>
    <row r="463" spans="1:39">
      <c r="A463" s="351">
        <v>94547</v>
      </c>
      <c r="B463" s="344" t="s">
        <v>1158</v>
      </c>
      <c r="C463" s="235" t="e">
        <f>VLOOKUP(A463,#REF!,10,FALSE)</f>
        <v>#REF!</v>
      </c>
      <c r="E463" s="2">
        <f>VLOOKUP($A463,'[2]App C Total'!$A$4:$I$917,5,FALSE)</f>
        <v>7931</v>
      </c>
      <c r="F463" s="2">
        <f>VLOOKUP($A463,'[2]App C Total'!$A$4:$I$917,6,FALSE)</f>
        <v>3955</v>
      </c>
      <c r="G463" s="2">
        <f>VLOOKUP($A463,'[2]App C Total'!$A$4:$I$917,7,FALSE)</f>
        <v>4864</v>
      </c>
      <c r="H463" s="2">
        <f>VLOOKUP($A463,'[2]App C Total'!$A$4:$I$917,8,FALSE)</f>
        <v>2077</v>
      </c>
      <c r="I463" s="2">
        <f>VLOOKUP($A463,'[2]App C Total'!$A$4:$I$917,9,FALSE)</f>
        <v>0</v>
      </c>
      <c r="J463" s="2"/>
      <c r="K463" s="2">
        <f>VLOOKUP($A463,'[2]App C Exp'!$A$4:$I$917,5,FALSE)</f>
        <v>1648</v>
      </c>
      <c r="L463" s="2">
        <f>VLOOKUP($A463,'[2]App C Exp'!$A$4:$I$917,6,FALSE)</f>
        <v>1550</v>
      </c>
      <c r="M463" s="2">
        <f>VLOOKUP($A463,'[2]App C Exp'!$A$4:$I$917,7,FALSE)</f>
        <v>1389</v>
      </c>
      <c r="N463" s="2">
        <f>VLOOKUP($A463,'[2]App C Exp'!$A$4:$I$917,8,FALSE)</f>
        <v>556</v>
      </c>
      <c r="O463" s="2">
        <f>VLOOKUP($A463,'[2]App C Exp'!$A$4:$I$917,9,FALSE)</f>
        <v>0</v>
      </c>
      <c r="P463" s="2"/>
      <c r="Q463" s="2">
        <f>VLOOKUP($A463,'[2]App C Inv'!$A$4:$I$917,5,FALSE)</f>
        <v>1749</v>
      </c>
      <c r="R463" s="2">
        <f>VLOOKUP($A463,'[2]App C Inv'!$A$4:$I$917,6,FALSE)</f>
        <v>-1505</v>
      </c>
      <c r="S463" s="2">
        <f>VLOOKUP($A463,'[2]App C Inv'!$A$4:$I$917,7,FALSE)</f>
        <v>212</v>
      </c>
      <c r="T463" s="2">
        <f>VLOOKUP($A463,'[2]App C Inv'!$A$4:$I$917,8,FALSE)</f>
        <v>276</v>
      </c>
      <c r="U463" s="2">
        <f>VLOOKUP($A463,'[2]App C Inv'!$A$4:$I$917,9,FALSE)</f>
        <v>0</v>
      </c>
      <c r="V463" s="2"/>
      <c r="W463" s="2">
        <f>VLOOKUP($A463,'[2]App C Assum'!$A$4:$I$917,5,FALSE)</f>
        <v>1971</v>
      </c>
      <c r="X463" s="2">
        <f>VLOOKUP($A463,'[2]App C Assum'!$A$4:$I$917,6,FALSE)</f>
        <v>1615</v>
      </c>
      <c r="Y463" s="2">
        <f>VLOOKUP($A463,'[2]App C Assum'!$A$4:$I$917,7,FALSE)</f>
        <v>1311</v>
      </c>
      <c r="Z463" s="2">
        <f>VLOOKUP($A463,'[2]App C Assum'!$A$4:$I$917,8,FALSE)</f>
        <v>0</v>
      </c>
      <c r="AA463" s="2">
        <f>VLOOKUP($A463,'[2]App C Assum'!$A$4:$I$917,9,FALSE)</f>
        <v>0</v>
      </c>
      <c r="AB463" s="2"/>
      <c r="AC463" s="2">
        <f>VLOOKUP($A463,'[2]App C Share Outflows'!$A$4:$I$917,5,FALSE)</f>
        <v>2563</v>
      </c>
      <c r="AD463" s="2">
        <f>VLOOKUP($A463,'[2]App C Share Outflows'!$A$4:$I$917,6,FALSE)</f>
        <v>2295</v>
      </c>
      <c r="AE463" s="2">
        <f>VLOOKUP($A463,'[2]App C Share Outflows'!$A$4:$I$917,7,FALSE)</f>
        <v>1952</v>
      </c>
      <c r="AF463" s="2">
        <f>VLOOKUP($A463,'[2]App C Share Outflows'!$A$4:$I$917,8,FALSE)</f>
        <v>1245</v>
      </c>
      <c r="AG463" s="2">
        <f>VLOOKUP($A463,'[2]App C Share Outflows'!$A$4:$I$917,9,FALSE)</f>
        <v>0</v>
      </c>
      <c r="AH463" s="2"/>
      <c r="AI463" s="2">
        <f>VLOOKUP($A463,'[2]App C Share Inflows'!$A$4:$I$917,5,FALSE)</f>
        <v>0</v>
      </c>
      <c r="AJ463" s="2">
        <f>VLOOKUP($A463,'[2]App C Share Inflows'!$A$4:$I$917,6,FALSE)</f>
        <v>0</v>
      </c>
      <c r="AK463" s="2">
        <f>VLOOKUP($A463,'[2]App C Share Inflows'!$A$4:$I$917,7,FALSE)</f>
        <v>0</v>
      </c>
      <c r="AL463" s="2">
        <f>VLOOKUP($A463,'[2]App C Share Inflows'!$A$4:$I$917,8,FALSE)</f>
        <v>0</v>
      </c>
      <c r="AM463" s="2">
        <f>VLOOKUP($A463,'[2]App C Share Inflows'!$A$4:$I$917,6,FALSE)</f>
        <v>0</v>
      </c>
    </row>
    <row r="464" spans="1:39">
      <c r="A464" s="351">
        <v>94551</v>
      </c>
      <c r="B464" s="344" t="s">
        <v>1159</v>
      </c>
      <c r="C464" s="235" t="e">
        <f>VLOOKUP(A464,#REF!,10,FALSE)</f>
        <v>#REF!</v>
      </c>
      <c r="E464" s="2">
        <f>VLOOKUP($A464,'[2]App C Total'!$A$4:$I$917,5,FALSE)</f>
        <v>31183</v>
      </c>
      <c r="F464" s="2">
        <f>VLOOKUP($A464,'[2]App C Total'!$A$4:$I$917,6,FALSE)</f>
        <v>10898</v>
      </c>
      <c r="G464" s="2">
        <f>VLOOKUP($A464,'[2]App C Total'!$A$4:$I$917,7,FALSE)</f>
        <v>16464</v>
      </c>
      <c r="H464" s="2">
        <f>VLOOKUP($A464,'[2]App C Total'!$A$4:$I$917,8,FALSE)</f>
        <v>4807</v>
      </c>
      <c r="I464" s="2">
        <f>VLOOKUP($A464,'[2]App C Total'!$A$4:$I$917,9,FALSE)</f>
        <v>0</v>
      </c>
      <c r="J464" s="2"/>
      <c r="K464" s="2">
        <f>VLOOKUP($A464,'[2]App C Exp'!$A$4:$I$917,5,FALSE)</f>
        <v>7940</v>
      </c>
      <c r="L464" s="2">
        <f>VLOOKUP($A464,'[2]App C Exp'!$A$4:$I$917,6,FALSE)</f>
        <v>7469</v>
      </c>
      <c r="M464" s="2">
        <f>VLOOKUP($A464,'[2]App C Exp'!$A$4:$I$917,7,FALSE)</f>
        <v>6694</v>
      </c>
      <c r="N464" s="2">
        <f>VLOOKUP($A464,'[2]App C Exp'!$A$4:$I$917,8,FALSE)</f>
        <v>2680</v>
      </c>
      <c r="O464" s="2">
        <f>VLOOKUP($A464,'[2]App C Exp'!$A$4:$I$917,9,FALSE)</f>
        <v>0</v>
      </c>
      <c r="P464" s="2"/>
      <c r="Q464" s="2">
        <f>VLOOKUP($A464,'[2]App C Inv'!$A$4:$I$917,5,FALSE)</f>
        <v>8429</v>
      </c>
      <c r="R464" s="2">
        <f>VLOOKUP($A464,'[2]App C Inv'!$A$4:$I$917,6,FALSE)</f>
        <v>-7251</v>
      </c>
      <c r="S464" s="2">
        <f>VLOOKUP($A464,'[2]App C Inv'!$A$4:$I$917,7,FALSE)</f>
        <v>1022</v>
      </c>
      <c r="T464" s="2">
        <f>VLOOKUP($A464,'[2]App C Inv'!$A$4:$I$917,8,FALSE)</f>
        <v>1330</v>
      </c>
      <c r="U464" s="2">
        <f>VLOOKUP($A464,'[2]App C Inv'!$A$4:$I$917,9,FALSE)</f>
        <v>0</v>
      </c>
      <c r="V464" s="2"/>
      <c r="W464" s="2">
        <f>VLOOKUP($A464,'[2]App C Assum'!$A$4:$I$917,5,FALSE)</f>
        <v>9496</v>
      </c>
      <c r="X464" s="2">
        <f>VLOOKUP($A464,'[2]App C Assum'!$A$4:$I$917,6,FALSE)</f>
        <v>7779</v>
      </c>
      <c r="Y464" s="2">
        <f>VLOOKUP($A464,'[2]App C Assum'!$A$4:$I$917,7,FALSE)</f>
        <v>6315</v>
      </c>
      <c r="Z464" s="2">
        <f>VLOOKUP($A464,'[2]App C Assum'!$A$4:$I$917,8,FALSE)</f>
        <v>0</v>
      </c>
      <c r="AA464" s="2">
        <f>VLOOKUP($A464,'[2]App C Assum'!$A$4:$I$917,9,FALSE)</f>
        <v>0</v>
      </c>
      <c r="AB464" s="2"/>
      <c r="AC464" s="2">
        <f>VLOOKUP($A464,'[2]App C Share Outflows'!$A$4:$I$917,5,FALSE)</f>
        <v>5318</v>
      </c>
      <c r="AD464" s="2">
        <f>VLOOKUP($A464,'[2]App C Share Outflows'!$A$4:$I$917,6,FALSE)</f>
        <v>2901</v>
      </c>
      <c r="AE464" s="2">
        <f>VLOOKUP($A464,'[2]App C Share Outflows'!$A$4:$I$917,7,FALSE)</f>
        <v>2433</v>
      </c>
      <c r="AF464" s="2">
        <f>VLOOKUP($A464,'[2]App C Share Outflows'!$A$4:$I$917,8,FALSE)</f>
        <v>797</v>
      </c>
      <c r="AG464" s="2">
        <f>VLOOKUP($A464,'[2]App C Share Outflows'!$A$4:$I$917,9,FALSE)</f>
        <v>0</v>
      </c>
      <c r="AH464" s="2"/>
      <c r="AI464" s="2">
        <f>VLOOKUP($A464,'[2]App C Share Inflows'!$A$4:$I$917,5,FALSE)</f>
        <v>0</v>
      </c>
      <c r="AJ464" s="2">
        <f>VLOOKUP($A464,'[2]App C Share Inflows'!$A$4:$I$917,6,FALSE)</f>
        <v>0</v>
      </c>
      <c r="AK464" s="2">
        <f>VLOOKUP($A464,'[2]App C Share Inflows'!$A$4:$I$917,7,FALSE)</f>
        <v>0</v>
      </c>
      <c r="AL464" s="2">
        <f>VLOOKUP($A464,'[2]App C Share Inflows'!$A$4:$I$917,8,FALSE)</f>
        <v>0</v>
      </c>
      <c r="AM464" s="2">
        <f>VLOOKUP($A464,'[2]App C Share Inflows'!$A$4:$I$917,6,FALSE)</f>
        <v>0</v>
      </c>
    </row>
    <row r="465" spans="1:39">
      <c r="A465" s="351">
        <v>94601</v>
      </c>
      <c r="B465" s="344" t="s">
        <v>1160</v>
      </c>
      <c r="C465" s="235" t="e">
        <f>VLOOKUP(A465,#REF!,10,FALSE)</f>
        <v>#REF!</v>
      </c>
      <c r="E465" s="2">
        <f>VLOOKUP($A465,'[2]App C Total'!$A$4:$I$917,5,FALSE)</f>
        <v>447091</v>
      </c>
      <c r="F465" s="2">
        <f>VLOOKUP($A465,'[2]App C Total'!$A$4:$I$917,6,FALSE)</f>
        <v>129974</v>
      </c>
      <c r="G465" s="2">
        <f>VLOOKUP($A465,'[2]App C Total'!$A$4:$I$917,7,FALSE)</f>
        <v>221707</v>
      </c>
      <c r="H465" s="2">
        <f>VLOOKUP($A465,'[2]App C Total'!$A$4:$I$917,8,FALSE)</f>
        <v>43514</v>
      </c>
      <c r="I465" s="2">
        <f>VLOOKUP($A465,'[2]App C Total'!$A$4:$I$917,9,FALSE)</f>
        <v>0</v>
      </c>
      <c r="J465" s="2"/>
      <c r="K465" s="2">
        <f>VLOOKUP($A465,'[2]App C Exp'!$A$4:$I$917,5,FALSE)</f>
        <v>137613</v>
      </c>
      <c r="L465" s="2">
        <f>VLOOKUP($A465,'[2]App C Exp'!$A$4:$I$917,6,FALSE)</f>
        <v>129449</v>
      </c>
      <c r="M465" s="2">
        <f>VLOOKUP($A465,'[2]App C Exp'!$A$4:$I$917,7,FALSE)</f>
        <v>116024</v>
      </c>
      <c r="N465" s="2">
        <f>VLOOKUP($A465,'[2]App C Exp'!$A$4:$I$917,8,FALSE)</f>
        <v>46455</v>
      </c>
      <c r="O465" s="2">
        <f>VLOOKUP($A465,'[2]App C Exp'!$A$4:$I$917,9,FALSE)</f>
        <v>0</v>
      </c>
      <c r="P465" s="2"/>
      <c r="Q465" s="2">
        <f>VLOOKUP($A465,'[2]App C Inv'!$A$4:$I$917,5,FALSE)</f>
        <v>146095</v>
      </c>
      <c r="R465" s="2">
        <f>VLOOKUP($A465,'[2]App C Inv'!$A$4:$I$917,6,FALSE)</f>
        <v>-125669</v>
      </c>
      <c r="S465" s="2">
        <f>VLOOKUP($A465,'[2]App C Inv'!$A$4:$I$917,7,FALSE)</f>
        <v>17712</v>
      </c>
      <c r="T465" s="2">
        <f>VLOOKUP($A465,'[2]App C Inv'!$A$4:$I$917,8,FALSE)</f>
        <v>23051</v>
      </c>
      <c r="U465" s="2">
        <f>VLOOKUP($A465,'[2]App C Inv'!$A$4:$I$917,9,FALSE)</f>
        <v>0</v>
      </c>
      <c r="V465" s="2"/>
      <c r="W465" s="2">
        <f>VLOOKUP($A465,'[2]App C Assum'!$A$4:$I$917,5,FALSE)</f>
        <v>164578</v>
      </c>
      <c r="X465" s="2">
        <f>VLOOKUP($A465,'[2]App C Assum'!$A$4:$I$917,6,FALSE)</f>
        <v>134828</v>
      </c>
      <c r="Y465" s="2">
        <f>VLOOKUP($A465,'[2]App C Assum'!$A$4:$I$917,7,FALSE)</f>
        <v>109458</v>
      </c>
      <c r="Z465" s="2">
        <f>VLOOKUP($A465,'[2]App C Assum'!$A$4:$I$917,8,FALSE)</f>
        <v>0</v>
      </c>
      <c r="AA465" s="2">
        <f>VLOOKUP($A465,'[2]App C Assum'!$A$4:$I$917,9,FALSE)</f>
        <v>0</v>
      </c>
      <c r="AB465" s="2"/>
      <c r="AC465" s="2">
        <f>VLOOKUP($A465,'[2]App C Share Outflows'!$A$4:$I$917,5,FALSE)</f>
        <v>24799</v>
      </c>
      <c r="AD465" s="2">
        <f>VLOOKUP($A465,'[2]App C Share Outflows'!$A$4:$I$917,6,FALSE)</f>
        <v>17360</v>
      </c>
      <c r="AE465" s="2">
        <f>VLOOKUP($A465,'[2]App C Share Outflows'!$A$4:$I$917,7,FALSE)</f>
        <v>4507</v>
      </c>
      <c r="AF465" s="2">
        <f>VLOOKUP($A465,'[2]App C Share Outflows'!$A$4:$I$917,8,FALSE)</f>
        <v>0</v>
      </c>
      <c r="AG465" s="2">
        <f>VLOOKUP($A465,'[2]App C Share Outflows'!$A$4:$I$917,9,FALSE)</f>
        <v>0</v>
      </c>
      <c r="AH465" s="2"/>
      <c r="AI465" s="2">
        <f>VLOOKUP($A465,'[2]App C Share Inflows'!$A$4:$I$917,5,FALSE)</f>
        <v>-25994</v>
      </c>
      <c r="AJ465" s="2">
        <f>VLOOKUP($A465,'[2]App C Share Inflows'!$A$4:$I$917,6,FALSE)</f>
        <v>-25994</v>
      </c>
      <c r="AK465" s="2">
        <f>VLOOKUP($A465,'[2]App C Share Inflows'!$A$4:$I$917,7,FALSE)</f>
        <v>-25994</v>
      </c>
      <c r="AL465" s="2">
        <f>VLOOKUP($A465,'[2]App C Share Inflows'!$A$4:$I$917,8,FALSE)</f>
        <v>-25992</v>
      </c>
      <c r="AM465" s="2">
        <f>VLOOKUP($A465,'[2]App C Share Inflows'!$A$4:$I$917,6,FALSE)</f>
        <v>-25994</v>
      </c>
    </row>
    <row r="466" spans="1:39">
      <c r="A466" s="351">
        <v>94604</v>
      </c>
      <c r="B466" s="344" t="s">
        <v>1161</v>
      </c>
      <c r="C466" s="235" t="e">
        <f>VLOOKUP(A466,#REF!,10,FALSE)</f>
        <v>#REF!</v>
      </c>
      <c r="E466" s="2">
        <f>VLOOKUP($A466,'[2]App C Total'!$A$4:$I$917,5,FALSE)</f>
        <v>13811</v>
      </c>
      <c r="F466" s="2">
        <f>VLOOKUP($A466,'[2]App C Total'!$A$4:$I$917,6,FALSE)</f>
        <v>4823</v>
      </c>
      <c r="G466" s="2">
        <f>VLOOKUP($A466,'[2]App C Total'!$A$4:$I$917,7,FALSE)</f>
        <v>7372</v>
      </c>
      <c r="H466" s="2">
        <f>VLOOKUP($A466,'[2]App C Total'!$A$4:$I$917,8,FALSE)</f>
        <v>1979</v>
      </c>
      <c r="I466" s="2">
        <f>VLOOKUP($A466,'[2]App C Total'!$A$4:$I$917,9,FALSE)</f>
        <v>0</v>
      </c>
      <c r="J466" s="2"/>
      <c r="K466" s="2">
        <f>VLOOKUP($A466,'[2]App C Exp'!$A$4:$I$917,5,FALSE)</f>
        <v>3910</v>
      </c>
      <c r="L466" s="2">
        <f>VLOOKUP($A466,'[2]App C Exp'!$A$4:$I$917,6,FALSE)</f>
        <v>3678</v>
      </c>
      <c r="M466" s="2">
        <f>VLOOKUP($A466,'[2]App C Exp'!$A$4:$I$917,7,FALSE)</f>
        <v>3297</v>
      </c>
      <c r="N466" s="2">
        <f>VLOOKUP($A466,'[2]App C Exp'!$A$4:$I$917,8,FALSE)</f>
        <v>1320</v>
      </c>
      <c r="O466" s="2">
        <f>VLOOKUP($A466,'[2]App C Exp'!$A$4:$I$917,9,FALSE)</f>
        <v>0</v>
      </c>
      <c r="P466" s="2"/>
      <c r="Q466" s="2">
        <f>VLOOKUP($A466,'[2]App C Inv'!$A$4:$I$917,5,FALSE)</f>
        <v>4151</v>
      </c>
      <c r="R466" s="2">
        <f>VLOOKUP($A466,'[2]App C Inv'!$A$4:$I$917,6,FALSE)</f>
        <v>-3571</v>
      </c>
      <c r="S466" s="2">
        <f>VLOOKUP($A466,'[2]App C Inv'!$A$4:$I$917,7,FALSE)</f>
        <v>503</v>
      </c>
      <c r="T466" s="2">
        <f>VLOOKUP($A466,'[2]App C Inv'!$A$4:$I$917,8,FALSE)</f>
        <v>655</v>
      </c>
      <c r="U466" s="2">
        <f>VLOOKUP($A466,'[2]App C Inv'!$A$4:$I$917,9,FALSE)</f>
        <v>0</v>
      </c>
      <c r="V466" s="2"/>
      <c r="W466" s="2">
        <f>VLOOKUP($A466,'[2]App C Assum'!$A$4:$I$917,5,FALSE)</f>
        <v>4676</v>
      </c>
      <c r="X466" s="2">
        <f>VLOOKUP($A466,'[2]App C Assum'!$A$4:$I$917,6,FALSE)</f>
        <v>3831</v>
      </c>
      <c r="Y466" s="2">
        <f>VLOOKUP($A466,'[2]App C Assum'!$A$4:$I$917,7,FALSE)</f>
        <v>3110</v>
      </c>
      <c r="Z466" s="2">
        <f>VLOOKUP($A466,'[2]App C Assum'!$A$4:$I$917,8,FALSE)</f>
        <v>0</v>
      </c>
      <c r="AA466" s="2">
        <f>VLOOKUP($A466,'[2]App C Assum'!$A$4:$I$917,9,FALSE)</f>
        <v>0</v>
      </c>
      <c r="AB466" s="2"/>
      <c r="AC466" s="2">
        <f>VLOOKUP($A466,'[2]App C Share Outflows'!$A$4:$I$917,5,FALSE)</f>
        <v>1074</v>
      </c>
      <c r="AD466" s="2">
        <f>VLOOKUP($A466,'[2]App C Share Outflows'!$A$4:$I$917,6,FALSE)</f>
        <v>885</v>
      </c>
      <c r="AE466" s="2">
        <f>VLOOKUP($A466,'[2]App C Share Outflows'!$A$4:$I$917,7,FALSE)</f>
        <v>462</v>
      </c>
      <c r="AF466" s="2">
        <f>VLOOKUP($A466,'[2]App C Share Outflows'!$A$4:$I$917,8,FALSE)</f>
        <v>4</v>
      </c>
      <c r="AG466" s="2">
        <f>VLOOKUP($A466,'[2]App C Share Outflows'!$A$4:$I$917,9,FALSE)</f>
        <v>0</v>
      </c>
      <c r="AH466" s="2"/>
      <c r="AI466" s="2">
        <f>VLOOKUP($A466,'[2]App C Share Inflows'!$A$4:$I$917,5,FALSE)</f>
        <v>0</v>
      </c>
      <c r="AJ466" s="2">
        <f>VLOOKUP($A466,'[2]App C Share Inflows'!$A$4:$I$917,6,FALSE)</f>
        <v>0</v>
      </c>
      <c r="AK466" s="2">
        <f>VLOOKUP($A466,'[2]App C Share Inflows'!$A$4:$I$917,7,FALSE)</f>
        <v>0</v>
      </c>
      <c r="AL466" s="2">
        <f>VLOOKUP($A466,'[2]App C Share Inflows'!$A$4:$I$917,8,FALSE)</f>
        <v>0</v>
      </c>
      <c r="AM466" s="2">
        <f>VLOOKUP($A466,'[2]App C Share Inflows'!$A$4:$I$917,6,FALSE)</f>
        <v>0</v>
      </c>
    </row>
    <row r="467" spans="1:39">
      <c r="A467" s="351">
        <v>94611</v>
      </c>
      <c r="B467" s="344" t="s">
        <v>1163</v>
      </c>
      <c r="C467" s="235" t="e">
        <f>VLOOKUP(A467,#REF!,10,FALSE)</f>
        <v>#REF!</v>
      </c>
      <c r="E467" s="2">
        <f>VLOOKUP($A467,'[2]App C Total'!$A$4:$I$917,5,FALSE)</f>
        <v>158455</v>
      </c>
      <c r="F467" s="2">
        <f>VLOOKUP($A467,'[2]App C Total'!$A$4:$I$917,6,FALSE)</f>
        <v>42258</v>
      </c>
      <c r="G467" s="2">
        <f>VLOOKUP($A467,'[2]App C Total'!$A$4:$I$917,7,FALSE)</f>
        <v>89739</v>
      </c>
      <c r="H467" s="2">
        <f>VLOOKUP($A467,'[2]App C Total'!$A$4:$I$917,8,FALSE)</f>
        <v>24593</v>
      </c>
      <c r="I467" s="2">
        <f>VLOOKUP($A467,'[2]App C Total'!$A$4:$I$917,9,FALSE)</f>
        <v>0</v>
      </c>
      <c r="J467" s="2"/>
      <c r="K467" s="2">
        <f>VLOOKUP($A467,'[2]App C Exp'!$A$4:$I$917,5,FALSE)</f>
        <v>51623</v>
      </c>
      <c r="L467" s="2">
        <f>VLOOKUP($A467,'[2]App C Exp'!$A$4:$I$917,6,FALSE)</f>
        <v>48561</v>
      </c>
      <c r="M467" s="2">
        <f>VLOOKUP($A467,'[2]App C Exp'!$A$4:$I$917,7,FALSE)</f>
        <v>43525</v>
      </c>
      <c r="N467" s="2">
        <f>VLOOKUP($A467,'[2]App C Exp'!$A$4:$I$917,8,FALSE)</f>
        <v>17427</v>
      </c>
      <c r="O467" s="2">
        <f>VLOOKUP($A467,'[2]App C Exp'!$A$4:$I$917,9,FALSE)</f>
        <v>0</v>
      </c>
      <c r="P467" s="2"/>
      <c r="Q467" s="2">
        <f>VLOOKUP($A467,'[2]App C Inv'!$A$4:$I$917,5,FALSE)</f>
        <v>54806</v>
      </c>
      <c r="R467" s="2">
        <f>VLOOKUP($A467,'[2]App C Inv'!$A$4:$I$917,6,FALSE)</f>
        <v>-47143</v>
      </c>
      <c r="S467" s="2">
        <f>VLOOKUP($A467,'[2]App C Inv'!$A$4:$I$917,7,FALSE)</f>
        <v>6644</v>
      </c>
      <c r="T467" s="2">
        <f>VLOOKUP($A467,'[2]App C Inv'!$A$4:$I$917,8,FALSE)</f>
        <v>8647</v>
      </c>
      <c r="U467" s="2">
        <f>VLOOKUP($A467,'[2]App C Inv'!$A$4:$I$917,9,FALSE)</f>
        <v>0</v>
      </c>
      <c r="V467" s="2"/>
      <c r="W467" s="2">
        <f>VLOOKUP($A467,'[2]App C Assum'!$A$4:$I$917,5,FALSE)</f>
        <v>61739</v>
      </c>
      <c r="X467" s="2">
        <f>VLOOKUP($A467,'[2]App C Assum'!$A$4:$I$917,6,FALSE)</f>
        <v>50579</v>
      </c>
      <c r="Y467" s="2">
        <f>VLOOKUP($A467,'[2]App C Assum'!$A$4:$I$917,7,FALSE)</f>
        <v>41062</v>
      </c>
      <c r="Z467" s="2">
        <f>VLOOKUP($A467,'[2]App C Assum'!$A$4:$I$917,8,FALSE)</f>
        <v>0</v>
      </c>
      <c r="AA467" s="2">
        <f>VLOOKUP($A467,'[2]App C Assum'!$A$4:$I$917,9,FALSE)</f>
        <v>0</v>
      </c>
      <c r="AB467" s="2"/>
      <c r="AC467" s="2">
        <f>VLOOKUP($A467,'[2]App C Share Outflows'!$A$4:$I$917,5,FALSE)</f>
        <v>26</v>
      </c>
      <c r="AD467" s="2">
        <f>VLOOKUP($A467,'[2]App C Share Outflows'!$A$4:$I$917,6,FALSE)</f>
        <v>0</v>
      </c>
      <c r="AE467" s="2">
        <f>VLOOKUP($A467,'[2]App C Share Outflows'!$A$4:$I$917,7,FALSE)</f>
        <v>0</v>
      </c>
      <c r="AF467" s="2">
        <f>VLOOKUP($A467,'[2]App C Share Outflows'!$A$4:$I$917,8,FALSE)</f>
        <v>0</v>
      </c>
      <c r="AG467" s="2">
        <f>VLOOKUP($A467,'[2]App C Share Outflows'!$A$4:$I$917,9,FALSE)</f>
        <v>0</v>
      </c>
      <c r="AH467" s="2"/>
      <c r="AI467" s="2">
        <f>VLOOKUP($A467,'[2]App C Share Inflows'!$A$4:$I$917,5,FALSE)</f>
        <v>-9739</v>
      </c>
      <c r="AJ467" s="2">
        <f>VLOOKUP($A467,'[2]App C Share Inflows'!$A$4:$I$917,6,FALSE)</f>
        <v>-9739</v>
      </c>
      <c r="AK467" s="2">
        <f>VLOOKUP($A467,'[2]App C Share Inflows'!$A$4:$I$917,7,FALSE)</f>
        <v>-1492</v>
      </c>
      <c r="AL467" s="2">
        <f>VLOOKUP($A467,'[2]App C Share Inflows'!$A$4:$I$917,8,FALSE)</f>
        <v>-1481</v>
      </c>
      <c r="AM467" s="2">
        <f>VLOOKUP($A467,'[2]App C Share Inflows'!$A$4:$I$917,6,FALSE)</f>
        <v>-9739</v>
      </c>
    </row>
    <row r="468" spans="1:39">
      <c r="A468" s="351">
        <v>94621</v>
      </c>
      <c r="B468" s="344" t="s">
        <v>1164</v>
      </c>
      <c r="C468" s="235" t="e">
        <f>VLOOKUP(A468,#REF!,10,FALSE)</f>
        <v>#REF!</v>
      </c>
      <c r="E468" s="2">
        <f>VLOOKUP($A468,'[2]App C Total'!$A$4:$I$917,5,FALSE)</f>
        <v>74506</v>
      </c>
      <c r="F468" s="2">
        <f>VLOOKUP($A468,'[2]App C Total'!$A$4:$I$917,6,FALSE)</f>
        <v>30265</v>
      </c>
      <c r="G468" s="2">
        <f>VLOOKUP($A468,'[2]App C Total'!$A$4:$I$917,7,FALSE)</f>
        <v>46715</v>
      </c>
      <c r="H468" s="2">
        <f>VLOOKUP($A468,'[2]App C Total'!$A$4:$I$917,8,FALSE)</f>
        <v>16600</v>
      </c>
      <c r="I468" s="2">
        <f>VLOOKUP($A468,'[2]App C Total'!$A$4:$I$917,9,FALSE)</f>
        <v>0</v>
      </c>
      <c r="J468" s="2"/>
      <c r="K468" s="2">
        <f>VLOOKUP($A468,'[2]App C Exp'!$A$4:$I$917,5,FALSE)</f>
        <v>19954</v>
      </c>
      <c r="L468" s="2">
        <f>VLOOKUP($A468,'[2]App C Exp'!$A$4:$I$917,6,FALSE)</f>
        <v>18771</v>
      </c>
      <c r="M468" s="2">
        <f>VLOOKUP($A468,'[2]App C Exp'!$A$4:$I$917,7,FALSE)</f>
        <v>16824</v>
      </c>
      <c r="N468" s="2">
        <f>VLOOKUP($A468,'[2]App C Exp'!$A$4:$I$917,8,FALSE)</f>
        <v>6736</v>
      </c>
      <c r="O468" s="2">
        <f>VLOOKUP($A468,'[2]App C Exp'!$A$4:$I$917,9,FALSE)</f>
        <v>0</v>
      </c>
      <c r="P468" s="2"/>
      <c r="Q468" s="2">
        <f>VLOOKUP($A468,'[2]App C Inv'!$A$4:$I$917,5,FALSE)</f>
        <v>21184</v>
      </c>
      <c r="R468" s="2">
        <f>VLOOKUP($A468,'[2]App C Inv'!$A$4:$I$917,6,FALSE)</f>
        <v>-18222</v>
      </c>
      <c r="S468" s="2">
        <f>VLOOKUP($A468,'[2]App C Inv'!$A$4:$I$917,7,FALSE)</f>
        <v>2568</v>
      </c>
      <c r="T468" s="2">
        <f>VLOOKUP($A468,'[2]App C Inv'!$A$4:$I$917,8,FALSE)</f>
        <v>3343</v>
      </c>
      <c r="U468" s="2">
        <f>VLOOKUP($A468,'[2]App C Inv'!$A$4:$I$917,9,FALSE)</f>
        <v>0</v>
      </c>
      <c r="V468" s="2"/>
      <c r="W468" s="2">
        <f>VLOOKUP($A468,'[2]App C Assum'!$A$4:$I$917,5,FALSE)</f>
        <v>23864</v>
      </c>
      <c r="X468" s="2">
        <f>VLOOKUP($A468,'[2]App C Assum'!$A$4:$I$917,6,FALSE)</f>
        <v>19551</v>
      </c>
      <c r="Y468" s="2">
        <f>VLOOKUP($A468,'[2]App C Assum'!$A$4:$I$917,7,FALSE)</f>
        <v>15872</v>
      </c>
      <c r="Z468" s="2">
        <f>VLOOKUP($A468,'[2]App C Assum'!$A$4:$I$917,8,FALSE)</f>
        <v>0</v>
      </c>
      <c r="AA468" s="2">
        <f>VLOOKUP($A468,'[2]App C Assum'!$A$4:$I$917,9,FALSE)</f>
        <v>0</v>
      </c>
      <c r="AB468" s="2"/>
      <c r="AC468" s="2">
        <f>VLOOKUP($A468,'[2]App C Share Outflows'!$A$4:$I$917,5,FALSE)</f>
        <v>11451</v>
      </c>
      <c r="AD468" s="2">
        <f>VLOOKUP($A468,'[2]App C Share Outflows'!$A$4:$I$917,6,FALSE)</f>
        <v>11451</v>
      </c>
      <c r="AE468" s="2">
        <f>VLOOKUP($A468,'[2]App C Share Outflows'!$A$4:$I$917,7,FALSE)</f>
        <v>11451</v>
      </c>
      <c r="AF468" s="2">
        <f>VLOOKUP($A468,'[2]App C Share Outflows'!$A$4:$I$917,8,FALSE)</f>
        <v>6521</v>
      </c>
      <c r="AG468" s="2">
        <f>VLOOKUP($A468,'[2]App C Share Outflows'!$A$4:$I$917,9,FALSE)</f>
        <v>0</v>
      </c>
      <c r="AH468" s="2"/>
      <c r="AI468" s="2">
        <f>VLOOKUP($A468,'[2]App C Share Inflows'!$A$4:$I$917,5,FALSE)</f>
        <v>-1947</v>
      </c>
      <c r="AJ468" s="2">
        <f>VLOOKUP($A468,'[2]App C Share Inflows'!$A$4:$I$917,6,FALSE)</f>
        <v>-1286</v>
      </c>
      <c r="AK468" s="2">
        <f>VLOOKUP($A468,'[2]App C Share Inflows'!$A$4:$I$917,7,FALSE)</f>
        <v>0</v>
      </c>
      <c r="AL468" s="2">
        <f>VLOOKUP($A468,'[2]App C Share Inflows'!$A$4:$I$917,8,FALSE)</f>
        <v>0</v>
      </c>
      <c r="AM468" s="2">
        <f>VLOOKUP($A468,'[2]App C Share Inflows'!$A$4:$I$917,6,FALSE)</f>
        <v>-1286</v>
      </c>
    </row>
    <row r="469" spans="1:39">
      <c r="A469" s="351">
        <v>94631</v>
      </c>
      <c r="B469" s="344" t="s">
        <v>1165</v>
      </c>
      <c r="C469" s="235" t="e">
        <f>VLOOKUP(A469,#REF!,10,FALSE)</f>
        <v>#REF!</v>
      </c>
      <c r="E469" s="2">
        <f>VLOOKUP($A469,'[2]App C Total'!$A$4:$I$917,5,FALSE)</f>
        <v>22359</v>
      </c>
      <c r="F469" s="2">
        <f>VLOOKUP($A469,'[2]App C Total'!$A$4:$I$917,6,FALSE)</f>
        <v>7437</v>
      </c>
      <c r="G469" s="2">
        <f>VLOOKUP($A469,'[2]App C Total'!$A$4:$I$917,7,FALSE)</f>
        <v>11504</v>
      </c>
      <c r="H469" s="2">
        <f>VLOOKUP($A469,'[2]App C Total'!$A$4:$I$917,8,FALSE)</f>
        <v>2705</v>
      </c>
      <c r="I469" s="2">
        <f>VLOOKUP($A469,'[2]App C Total'!$A$4:$I$917,9,FALSE)</f>
        <v>0</v>
      </c>
      <c r="J469" s="2"/>
      <c r="K469" s="2">
        <f>VLOOKUP($A469,'[2]App C Exp'!$A$4:$I$917,5,FALSE)</f>
        <v>6382</v>
      </c>
      <c r="L469" s="2">
        <f>VLOOKUP($A469,'[2]App C Exp'!$A$4:$I$917,6,FALSE)</f>
        <v>6003</v>
      </c>
      <c r="M469" s="2">
        <f>VLOOKUP($A469,'[2]App C Exp'!$A$4:$I$917,7,FALSE)</f>
        <v>5381</v>
      </c>
      <c r="N469" s="2">
        <f>VLOOKUP($A469,'[2]App C Exp'!$A$4:$I$917,8,FALSE)</f>
        <v>2154</v>
      </c>
      <c r="O469" s="2">
        <f>VLOOKUP($A469,'[2]App C Exp'!$A$4:$I$917,9,FALSE)</f>
        <v>0</v>
      </c>
      <c r="P469" s="2"/>
      <c r="Q469" s="2">
        <f>VLOOKUP($A469,'[2]App C Inv'!$A$4:$I$917,5,FALSE)</f>
        <v>6775</v>
      </c>
      <c r="R469" s="2">
        <f>VLOOKUP($A469,'[2]App C Inv'!$A$4:$I$917,6,FALSE)</f>
        <v>-5828</v>
      </c>
      <c r="S469" s="2">
        <f>VLOOKUP($A469,'[2]App C Inv'!$A$4:$I$917,7,FALSE)</f>
        <v>821</v>
      </c>
      <c r="T469" s="2">
        <f>VLOOKUP($A469,'[2]App C Inv'!$A$4:$I$917,8,FALSE)</f>
        <v>1069</v>
      </c>
      <c r="U469" s="2">
        <f>VLOOKUP($A469,'[2]App C Inv'!$A$4:$I$917,9,FALSE)</f>
        <v>0</v>
      </c>
      <c r="V469" s="2"/>
      <c r="W469" s="2">
        <f>VLOOKUP($A469,'[2]App C Assum'!$A$4:$I$917,5,FALSE)</f>
        <v>7632</v>
      </c>
      <c r="X469" s="2">
        <f>VLOOKUP($A469,'[2]App C Assum'!$A$4:$I$917,6,FALSE)</f>
        <v>6253</v>
      </c>
      <c r="Y469" s="2">
        <f>VLOOKUP($A469,'[2]App C Assum'!$A$4:$I$917,7,FALSE)</f>
        <v>5076</v>
      </c>
      <c r="Z469" s="2">
        <f>VLOOKUP($A469,'[2]App C Assum'!$A$4:$I$917,8,FALSE)</f>
        <v>0</v>
      </c>
      <c r="AA469" s="2">
        <f>VLOOKUP($A469,'[2]App C Assum'!$A$4:$I$917,9,FALSE)</f>
        <v>0</v>
      </c>
      <c r="AB469" s="2"/>
      <c r="AC469" s="2">
        <f>VLOOKUP($A469,'[2]App C Share Outflows'!$A$4:$I$917,5,FALSE)</f>
        <v>2089</v>
      </c>
      <c r="AD469" s="2">
        <f>VLOOKUP($A469,'[2]App C Share Outflows'!$A$4:$I$917,6,FALSE)</f>
        <v>1528</v>
      </c>
      <c r="AE469" s="2">
        <f>VLOOKUP($A469,'[2]App C Share Outflows'!$A$4:$I$917,7,FALSE)</f>
        <v>745</v>
      </c>
      <c r="AF469" s="2">
        <f>VLOOKUP($A469,'[2]App C Share Outflows'!$A$4:$I$917,8,FALSE)</f>
        <v>0</v>
      </c>
      <c r="AG469" s="2">
        <f>VLOOKUP($A469,'[2]App C Share Outflows'!$A$4:$I$917,9,FALSE)</f>
        <v>0</v>
      </c>
      <c r="AH469" s="2"/>
      <c r="AI469" s="2">
        <f>VLOOKUP($A469,'[2]App C Share Inflows'!$A$4:$I$917,5,FALSE)</f>
        <v>-519</v>
      </c>
      <c r="AJ469" s="2">
        <f>VLOOKUP($A469,'[2]App C Share Inflows'!$A$4:$I$917,6,FALSE)</f>
        <v>-519</v>
      </c>
      <c r="AK469" s="2">
        <f>VLOOKUP($A469,'[2]App C Share Inflows'!$A$4:$I$917,7,FALSE)</f>
        <v>-519</v>
      </c>
      <c r="AL469" s="2">
        <f>VLOOKUP($A469,'[2]App C Share Inflows'!$A$4:$I$917,8,FALSE)</f>
        <v>-518</v>
      </c>
      <c r="AM469" s="2">
        <f>VLOOKUP($A469,'[2]App C Share Inflows'!$A$4:$I$917,6,FALSE)</f>
        <v>-519</v>
      </c>
    </row>
    <row r="470" spans="1:39">
      <c r="A470" s="351">
        <v>94641</v>
      </c>
      <c r="B470" s="344" t="s">
        <v>1166</v>
      </c>
      <c r="C470" s="235" t="e">
        <f>VLOOKUP(A470,#REF!,10,FALSE)</f>
        <v>#REF!</v>
      </c>
      <c r="E470" s="2">
        <f>VLOOKUP($A470,'[2]App C Total'!$A$4:$I$917,5,FALSE)</f>
        <v>8541</v>
      </c>
      <c r="F470" s="2">
        <f>VLOOKUP($A470,'[2]App C Total'!$A$4:$I$917,6,FALSE)</f>
        <v>4575</v>
      </c>
      <c r="G470" s="2">
        <f>VLOOKUP($A470,'[2]App C Total'!$A$4:$I$917,7,FALSE)</f>
        <v>5250</v>
      </c>
      <c r="H470" s="2">
        <f>VLOOKUP($A470,'[2]App C Total'!$A$4:$I$917,8,FALSE)</f>
        <v>2740</v>
      </c>
      <c r="I470" s="2">
        <f>VLOOKUP($A470,'[2]App C Total'!$A$4:$I$917,9,FALSE)</f>
        <v>0</v>
      </c>
      <c r="J470" s="2"/>
      <c r="K470" s="2">
        <f>VLOOKUP($A470,'[2]App C Exp'!$A$4:$I$917,5,FALSE)</f>
        <v>1558</v>
      </c>
      <c r="L470" s="2">
        <f>VLOOKUP($A470,'[2]App C Exp'!$A$4:$I$917,6,FALSE)</f>
        <v>1466</v>
      </c>
      <c r="M470" s="2">
        <f>VLOOKUP($A470,'[2]App C Exp'!$A$4:$I$917,7,FALSE)</f>
        <v>1314</v>
      </c>
      <c r="N470" s="2">
        <f>VLOOKUP($A470,'[2]App C Exp'!$A$4:$I$917,8,FALSE)</f>
        <v>526</v>
      </c>
      <c r="O470" s="2">
        <f>VLOOKUP($A470,'[2]App C Exp'!$A$4:$I$917,9,FALSE)</f>
        <v>0</v>
      </c>
      <c r="P470" s="2"/>
      <c r="Q470" s="2">
        <f>VLOOKUP($A470,'[2]App C Inv'!$A$4:$I$917,5,FALSE)</f>
        <v>1654</v>
      </c>
      <c r="R470" s="2">
        <f>VLOOKUP($A470,'[2]App C Inv'!$A$4:$I$917,6,FALSE)</f>
        <v>-1423</v>
      </c>
      <c r="S470" s="2">
        <f>VLOOKUP($A470,'[2]App C Inv'!$A$4:$I$917,7,FALSE)</f>
        <v>201</v>
      </c>
      <c r="T470" s="2">
        <f>VLOOKUP($A470,'[2]App C Inv'!$A$4:$I$917,8,FALSE)</f>
        <v>261</v>
      </c>
      <c r="U470" s="2">
        <f>VLOOKUP($A470,'[2]App C Inv'!$A$4:$I$917,9,FALSE)</f>
        <v>0</v>
      </c>
      <c r="V470" s="2"/>
      <c r="W470" s="2">
        <f>VLOOKUP($A470,'[2]App C Assum'!$A$4:$I$917,5,FALSE)</f>
        <v>1863</v>
      </c>
      <c r="X470" s="2">
        <f>VLOOKUP($A470,'[2]App C Assum'!$A$4:$I$917,6,FALSE)</f>
        <v>1526</v>
      </c>
      <c r="Y470" s="2">
        <f>VLOOKUP($A470,'[2]App C Assum'!$A$4:$I$917,7,FALSE)</f>
        <v>1239</v>
      </c>
      <c r="Z470" s="2">
        <f>VLOOKUP($A470,'[2]App C Assum'!$A$4:$I$917,8,FALSE)</f>
        <v>0</v>
      </c>
      <c r="AA470" s="2">
        <f>VLOOKUP($A470,'[2]App C Assum'!$A$4:$I$917,9,FALSE)</f>
        <v>0</v>
      </c>
      <c r="AB470" s="2"/>
      <c r="AC470" s="2">
        <f>VLOOKUP($A470,'[2]App C Share Outflows'!$A$4:$I$917,5,FALSE)</f>
        <v>3466</v>
      </c>
      <c r="AD470" s="2">
        <f>VLOOKUP($A470,'[2]App C Share Outflows'!$A$4:$I$917,6,FALSE)</f>
        <v>3006</v>
      </c>
      <c r="AE470" s="2">
        <f>VLOOKUP($A470,'[2]App C Share Outflows'!$A$4:$I$917,7,FALSE)</f>
        <v>2496</v>
      </c>
      <c r="AF470" s="2">
        <f>VLOOKUP($A470,'[2]App C Share Outflows'!$A$4:$I$917,8,FALSE)</f>
        <v>1953</v>
      </c>
      <c r="AG470" s="2">
        <f>VLOOKUP($A470,'[2]App C Share Outflows'!$A$4:$I$917,9,FALSE)</f>
        <v>0</v>
      </c>
      <c r="AH470" s="2"/>
      <c r="AI470" s="2">
        <f>VLOOKUP($A470,'[2]App C Share Inflows'!$A$4:$I$917,5,FALSE)</f>
        <v>0</v>
      </c>
      <c r="AJ470" s="2">
        <f>VLOOKUP($A470,'[2]App C Share Inflows'!$A$4:$I$917,6,FALSE)</f>
        <v>0</v>
      </c>
      <c r="AK470" s="2">
        <f>VLOOKUP($A470,'[2]App C Share Inflows'!$A$4:$I$917,7,FALSE)</f>
        <v>0</v>
      </c>
      <c r="AL470" s="2">
        <f>VLOOKUP($A470,'[2]App C Share Inflows'!$A$4:$I$917,8,FALSE)</f>
        <v>0</v>
      </c>
      <c r="AM470" s="2">
        <f>VLOOKUP($A470,'[2]App C Share Inflows'!$A$4:$I$917,6,FALSE)</f>
        <v>0</v>
      </c>
    </row>
    <row r="471" spans="1:39">
      <c r="A471" s="351">
        <v>94701</v>
      </c>
      <c r="B471" s="344" t="s">
        <v>1167</v>
      </c>
      <c r="C471" s="235" t="e">
        <f>VLOOKUP(A471,#REF!,10,FALSE)</f>
        <v>#REF!</v>
      </c>
      <c r="E471" s="2">
        <f>VLOOKUP($A471,'[2]App C Total'!$A$4:$I$917,5,FALSE)</f>
        <v>1132383</v>
      </c>
      <c r="F471" s="2">
        <f>VLOOKUP($A471,'[2]App C Total'!$A$4:$I$917,6,FALSE)</f>
        <v>338941</v>
      </c>
      <c r="G471" s="2">
        <f>VLOOKUP($A471,'[2]App C Total'!$A$4:$I$917,7,FALSE)</f>
        <v>621599</v>
      </c>
      <c r="H471" s="2">
        <f>VLOOKUP($A471,'[2]App C Total'!$A$4:$I$917,8,FALSE)</f>
        <v>193588</v>
      </c>
      <c r="I471" s="2">
        <f>VLOOKUP($A471,'[2]App C Total'!$A$4:$I$917,9,FALSE)</f>
        <v>0</v>
      </c>
      <c r="J471" s="2"/>
      <c r="K471" s="2">
        <f>VLOOKUP($A471,'[2]App C Exp'!$A$4:$I$917,5,FALSE)</f>
        <v>362578</v>
      </c>
      <c r="L471" s="2">
        <f>VLOOKUP($A471,'[2]App C Exp'!$A$4:$I$917,6,FALSE)</f>
        <v>341069</v>
      </c>
      <c r="M471" s="2">
        <f>VLOOKUP($A471,'[2]App C Exp'!$A$4:$I$917,7,FALSE)</f>
        <v>305696</v>
      </c>
      <c r="N471" s="2">
        <f>VLOOKUP($A471,'[2]App C Exp'!$A$4:$I$917,8,FALSE)</f>
        <v>122397</v>
      </c>
      <c r="O471" s="2">
        <f>VLOOKUP($A471,'[2]App C Exp'!$A$4:$I$917,9,FALSE)</f>
        <v>0</v>
      </c>
      <c r="P471" s="2"/>
      <c r="Q471" s="2">
        <f>VLOOKUP($A471,'[2]App C Inv'!$A$4:$I$917,5,FALSE)</f>
        <v>384927</v>
      </c>
      <c r="R471" s="2">
        <f>VLOOKUP($A471,'[2]App C Inv'!$A$4:$I$917,6,FALSE)</f>
        <v>-331109</v>
      </c>
      <c r="S471" s="2">
        <f>VLOOKUP($A471,'[2]App C Inv'!$A$4:$I$917,7,FALSE)</f>
        <v>46666</v>
      </c>
      <c r="T471" s="2">
        <f>VLOOKUP($A471,'[2]App C Inv'!$A$4:$I$917,8,FALSE)</f>
        <v>60735</v>
      </c>
      <c r="U471" s="2">
        <f>VLOOKUP($A471,'[2]App C Inv'!$A$4:$I$917,9,FALSE)</f>
        <v>0</v>
      </c>
      <c r="V471" s="2"/>
      <c r="W471" s="2">
        <f>VLOOKUP($A471,'[2]App C Assum'!$A$4:$I$917,5,FALSE)</f>
        <v>433626</v>
      </c>
      <c r="X471" s="2">
        <f>VLOOKUP($A471,'[2]App C Assum'!$A$4:$I$917,6,FALSE)</f>
        <v>355242</v>
      </c>
      <c r="Y471" s="2">
        <f>VLOOKUP($A471,'[2]App C Assum'!$A$4:$I$917,7,FALSE)</f>
        <v>288396</v>
      </c>
      <c r="Z471" s="2">
        <f>VLOOKUP($A471,'[2]App C Assum'!$A$4:$I$917,8,FALSE)</f>
        <v>0</v>
      </c>
      <c r="AA471" s="2">
        <f>VLOOKUP($A471,'[2]App C Assum'!$A$4:$I$917,9,FALSE)</f>
        <v>0</v>
      </c>
      <c r="AB471" s="2"/>
      <c r="AC471" s="2">
        <f>VLOOKUP($A471,'[2]App C Share Outflows'!$A$4:$I$917,5,FALSE)</f>
        <v>10457</v>
      </c>
      <c r="AD471" s="2">
        <f>VLOOKUP($A471,'[2]App C Share Outflows'!$A$4:$I$917,6,FALSE)</f>
        <v>10457</v>
      </c>
      <c r="AE471" s="2">
        <f>VLOOKUP($A471,'[2]App C Share Outflows'!$A$4:$I$917,7,FALSE)</f>
        <v>10457</v>
      </c>
      <c r="AF471" s="2">
        <f>VLOOKUP($A471,'[2]App C Share Outflows'!$A$4:$I$917,8,FALSE)</f>
        <v>10456</v>
      </c>
      <c r="AG471" s="2">
        <f>VLOOKUP($A471,'[2]App C Share Outflows'!$A$4:$I$917,9,FALSE)</f>
        <v>0</v>
      </c>
      <c r="AH471" s="2"/>
      <c r="AI471" s="2">
        <f>VLOOKUP($A471,'[2]App C Share Inflows'!$A$4:$I$917,5,FALSE)</f>
        <v>-59205</v>
      </c>
      <c r="AJ471" s="2">
        <f>VLOOKUP($A471,'[2]App C Share Inflows'!$A$4:$I$917,6,FALSE)</f>
        <v>-36718</v>
      </c>
      <c r="AK471" s="2">
        <f>VLOOKUP($A471,'[2]App C Share Inflows'!$A$4:$I$917,7,FALSE)</f>
        <v>-29616</v>
      </c>
      <c r="AL471" s="2">
        <f>VLOOKUP($A471,'[2]App C Share Inflows'!$A$4:$I$917,8,FALSE)</f>
        <v>0</v>
      </c>
      <c r="AM471" s="2">
        <f>VLOOKUP($A471,'[2]App C Share Inflows'!$A$4:$I$917,6,FALSE)</f>
        <v>-36718</v>
      </c>
    </row>
    <row r="472" spans="1:39">
      <c r="A472" s="351">
        <v>94704</v>
      </c>
      <c r="B472" s="344" t="s">
        <v>1168</v>
      </c>
      <c r="C472" s="235" t="e">
        <f>VLOOKUP(A472,#REF!,10,FALSE)</f>
        <v>#REF!</v>
      </c>
      <c r="E472" s="2">
        <f>VLOOKUP($A472,'[2]App C Total'!$A$4:$I$917,5,FALSE)</f>
        <v>8659</v>
      </c>
      <c r="F472" s="2">
        <f>VLOOKUP($A472,'[2]App C Total'!$A$4:$I$917,6,FALSE)</f>
        <v>3522</v>
      </c>
      <c r="G472" s="2">
        <f>VLOOKUP($A472,'[2]App C Total'!$A$4:$I$917,7,FALSE)</f>
        <v>5271</v>
      </c>
      <c r="H472" s="2">
        <f>VLOOKUP($A472,'[2]App C Total'!$A$4:$I$917,8,FALSE)</f>
        <v>1147</v>
      </c>
      <c r="I472" s="2">
        <f>VLOOKUP($A472,'[2]App C Total'!$A$4:$I$917,9,FALSE)</f>
        <v>0</v>
      </c>
      <c r="J472" s="2"/>
      <c r="K472" s="2">
        <f>VLOOKUP($A472,'[2]App C Exp'!$A$4:$I$917,5,FALSE)</f>
        <v>2292</v>
      </c>
      <c r="L472" s="2">
        <f>VLOOKUP($A472,'[2]App C Exp'!$A$4:$I$917,6,FALSE)</f>
        <v>2156</v>
      </c>
      <c r="M472" s="2">
        <f>VLOOKUP($A472,'[2]App C Exp'!$A$4:$I$917,7,FALSE)</f>
        <v>1932</v>
      </c>
      <c r="N472" s="2">
        <f>VLOOKUP($A472,'[2]App C Exp'!$A$4:$I$917,8,FALSE)</f>
        <v>774</v>
      </c>
      <c r="O472" s="2">
        <f>VLOOKUP($A472,'[2]App C Exp'!$A$4:$I$917,9,FALSE)</f>
        <v>0</v>
      </c>
      <c r="P472" s="2"/>
      <c r="Q472" s="2">
        <f>VLOOKUP($A472,'[2]App C Inv'!$A$4:$I$917,5,FALSE)</f>
        <v>2433</v>
      </c>
      <c r="R472" s="2">
        <f>VLOOKUP($A472,'[2]App C Inv'!$A$4:$I$917,6,FALSE)</f>
        <v>-2093</v>
      </c>
      <c r="S472" s="2">
        <f>VLOOKUP($A472,'[2]App C Inv'!$A$4:$I$917,7,FALSE)</f>
        <v>295</v>
      </c>
      <c r="T472" s="2">
        <f>VLOOKUP($A472,'[2]App C Inv'!$A$4:$I$917,8,FALSE)</f>
        <v>384</v>
      </c>
      <c r="U472" s="2">
        <f>VLOOKUP($A472,'[2]App C Inv'!$A$4:$I$917,9,FALSE)</f>
        <v>0</v>
      </c>
      <c r="V472" s="2"/>
      <c r="W472" s="2">
        <f>VLOOKUP($A472,'[2]App C Assum'!$A$4:$I$917,5,FALSE)</f>
        <v>2741</v>
      </c>
      <c r="X472" s="2">
        <f>VLOOKUP($A472,'[2]App C Assum'!$A$4:$I$917,6,FALSE)</f>
        <v>2246</v>
      </c>
      <c r="Y472" s="2">
        <f>VLOOKUP($A472,'[2]App C Assum'!$A$4:$I$917,7,FALSE)</f>
        <v>1823</v>
      </c>
      <c r="Z472" s="2">
        <f>VLOOKUP($A472,'[2]App C Assum'!$A$4:$I$917,8,FALSE)</f>
        <v>0</v>
      </c>
      <c r="AA472" s="2">
        <f>VLOOKUP($A472,'[2]App C Assum'!$A$4:$I$917,9,FALSE)</f>
        <v>0</v>
      </c>
      <c r="AB472" s="2"/>
      <c r="AC472" s="2">
        <f>VLOOKUP($A472,'[2]App C Share Outflows'!$A$4:$I$917,5,FALSE)</f>
        <v>1232</v>
      </c>
      <c r="AD472" s="2">
        <f>VLOOKUP($A472,'[2]App C Share Outflows'!$A$4:$I$917,6,FALSE)</f>
        <v>1232</v>
      </c>
      <c r="AE472" s="2">
        <f>VLOOKUP($A472,'[2]App C Share Outflows'!$A$4:$I$917,7,FALSE)</f>
        <v>1231</v>
      </c>
      <c r="AF472" s="2">
        <f>VLOOKUP($A472,'[2]App C Share Outflows'!$A$4:$I$917,8,FALSE)</f>
        <v>0</v>
      </c>
      <c r="AG472" s="2">
        <f>VLOOKUP($A472,'[2]App C Share Outflows'!$A$4:$I$917,9,FALSE)</f>
        <v>0</v>
      </c>
      <c r="AH472" s="2"/>
      <c r="AI472" s="2">
        <f>VLOOKUP($A472,'[2]App C Share Inflows'!$A$4:$I$917,5,FALSE)</f>
        <v>-39</v>
      </c>
      <c r="AJ472" s="2">
        <f>VLOOKUP($A472,'[2]App C Share Inflows'!$A$4:$I$917,6,FALSE)</f>
        <v>-19</v>
      </c>
      <c r="AK472" s="2">
        <f>VLOOKUP($A472,'[2]App C Share Inflows'!$A$4:$I$917,7,FALSE)</f>
        <v>-10</v>
      </c>
      <c r="AL472" s="2">
        <f>VLOOKUP($A472,'[2]App C Share Inflows'!$A$4:$I$917,8,FALSE)</f>
        <v>-11</v>
      </c>
      <c r="AM472" s="2">
        <f>VLOOKUP($A472,'[2]App C Share Inflows'!$A$4:$I$917,6,FALSE)</f>
        <v>-19</v>
      </c>
    </row>
    <row r="473" spans="1:39">
      <c r="A473" s="351">
        <v>94711</v>
      </c>
      <c r="B473" s="344" t="s">
        <v>1169</v>
      </c>
      <c r="C473" s="235" t="e">
        <f>VLOOKUP(A473,#REF!,10,FALSE)</f>
        <v>#REF!</v>
      </c>
      <c r="E473" s="2">
        <f>VLOOKUP($A473,'[2]App C Total'!$A$4:$I$917,5,FALSE)</f>
        <v>166758</v>
      </c>
      <c r="F473" s="2">
        <f>VLOOKUP($A473,'[2]App C Total'!$A$4:$I$917,6,FALSE)</f>
        <v>53636</v>
      </c>
      <c r="G473" s="2">
        <f>VLOOKUP($A473,'[2]App C Total'!$A$4:$I$917,7,FALSE)</f>
        <v>92458</v>
      </c>
      <c r="H473" s="2">
        <f>VLOOKUP($A473,'[2]App C Total'!$A$4:$I$917,8,FALSE)</f>
        <v>27792</v>
      </c>
      <c r="I473" s="2">
        <f>VLOOKUP($A473,'[2]App C Total'!$A$4:$I$917,9,FALSE)</f>
        <v>0</v>
      </c>
      <c r="J473" s="2"/>
      <c r="K473" s="2">
        <f>VLOOKUP($A473,'[2]App C Exp'!$A$4:$I$917,5,FALSE)</f>
        <v>50665</v>
      </c>
      <c r="L473" s="2">
        <f>VLOOKUP($A473,'[2]App C Exp'!$A$4:$I$917,6,FALSE)</f>
        <v>47659</v>
      </c>
      <c r="M473" s="2">
        <f>VLOOKUP($A473,'[2]App C Exp'!$A$4:$I$917,7,FALSE)</f>
        <v>42716</v>
      </c>
      <c r="N473" s="2">
        <f>VLOOKUP($A473,'[2]App C Exp'!$A$4:$I$917,8,FALSE)</f>
        <v>17103</v>
      </c>
      <c r="O473" s="2">
        <f>VLOOKUP($A473,'[2]App C Exp'!$A$4:$I$917,9,FALSE)</f>
        <v>0</v>
      </c>
      <c r="P473" s="2"/>
      <c r="Q473" s="2">
        <f>VLOOKUP($A473,'[2]App C Inv'!$A$4:$I$917,5,FALSE)</f>
        <v>53788</v>
      </c>
      <c r="R473" s="2">
        <f>VLOOKUP($A473,'[2]App C Inv'!$A$4:$I$917,6,FALSE)</f>
        <v>-46267</v>
      </c>
      <c r="S473" s="2">
        <f>VLOOKUP($A473,'[2]App C Inv'!$A$4:$I$917,7,FALSE)</f>
        <v>6521</v>
      </c>
      <c r="T473" s="2">
        <f>VLOOKUP($A473,'[2]App C Inv'!$A$4:$I$917,8,FALSE)</f>
        <v>8487</v>
      </c>
      <c r="U473" s="2">
        <f>VLOOKUP($A473,'[2]App C Inv'!$A$4:$I$917,9,FALSE)</f>
        <v>0</v>
      </c>
      <c r="V473" s="2"/>
      <c r="W473" s="2">
        <f>VLOOKUP($A473,'[2]App C Assum'!$A$4:$I$917,5,FALSE)</f>
        <v>60593</v>
      </c>
      <c r="X473" s="2">
        <f>VLOOKUP($A473,'[2]App C Assum'!$A$4:$I$917,6,FALSE)</f>
        <v>49640</v>
      </c>
      <c r="Y473" s="2">
        <f>VLOOKUP($A473,'[2]App C Assum'!$A$4:$I$917,7,FALSE)</f>
        <v>40299</v>
      </c>
      <c r="Z473" s="2">
        <f>VLOOKUP($A473,'[2]App C Assum'!$A$4:$I$917,8,FALSE)</f>
        <v>0</v>
      </c>
      <c r="AA473" s="2">
        <f>VLOOKUP($A473,'[2]App C Assum'!$A$4:$I$917,9,FALSE)</f>
        <v>0</v>
      </c>
      <c r="AB473" s="2"/>
      <c r="AC473" s="2">
        <f>VLOOKUP($A473,'[2]App C Share Outflows'!$A$4:$I$917,5,FALSE)</f>
        <v>2920</v>
      </c>
      <c r="AD473" s="2">
        <f>VLOOKUP($A473,'[2]App C Share Outflows'!$A$4:$I$917,6,FALSE)</f>
        <v>2920</v>
      </c>
      <c r="AE473" s="2">
        <f>VLOOKUP($A473,'[2]App C Share Outflows'!$A$4:$I$917,7,FALSE)</f>
        <v>2922</v>
      </c>
      <c r="AF473" s="2">
        <f>VLOOKUP($A473,'[2]App C Share Outflows'!$A$4:$I$917,8,FALSE)</f>
        <v>2202</v>
      </c>
      <c r="AG473" s="2">
        <f>VLOOKUP($A473,'[2]App C Share Outflows'!$A$4:$I$917,9,FALSE)</f>
        <v>0</v>
      </c>
      <c r="AH473" s="2"/>
      <c r="AI473" s="2">
        <f>VLOOKUP($A473,'[2]App C Share Inflows'!$A$4:$I$917,5,FALSE)</f>
        <v>-1208</v>
      </c>
      <c r="AJ473" s="2">
        <f>VLOOKUP($A473,'[2]App C Share Inflows'!$A$4:$I$917,6,FALSE)</f>
        <v>-316</v>
      </c>
      <c r="AK473" s="2">
        <f>VLOOKUP($A473,'[2]App C Share Inflows'!$A$4:$I$917,7,FALSE)</f>
        <v>0</v>
      </c>
      <c r="AL473" s="2">
        <f>VLOOKUP($A473,'[2]App C Share Inflows'!$A$4:$I$917,8,FALSE)</f>
        <v>0</v>
      </c>
      <c r="AM473" s="2">
        <f>VLOOKUP($A473,'[2]App C Share Inflows'!$A$4:$I$917,6,FALSE)</f>
        <v>-316</v>
      </c>
    </row>
    <row r="474" spans="1:39">
      <c r="A474" s="351">
        <v>94801</v>
      </c>
      <c r="B474" s="344" t="s">
        <v>1170</v>
      </c>
      <c r="C474" s="235" t="e">
        <f>VLOOKUP(A474,#REF!,10,FALSE)</f>
        <v>#REF!</v>
      </c>
      <c r="E474" s="2">
        <f>VLOOKUP($A474,'[2]App C Total'!$A$4:$I$917,5,FALSE)</f>
        <v>328930</v>
      </c>
      <c r="F474" s="2">
        <f>VLOOKUP($A474,'[2]App C Total'!$A$4:$I$917,6,FALSE)</f>
        <v>95298</v>
      </c>
      <c r="G474" s="2">
        <f>VLOOKUP($A474,'[2]App C Total'!$A$4:$I$917,7,FALSE)</f>
        <v>178109</v>
      </c>
      <c r="H474" s="2">
        <f>VLOOKUP($A474,'[2]App C Total'!$A$4:$I$917,8,FALSE)</f>
        <v>54289</v>
      </c>
      <c r="I474" s="2">
        <f>VLOOKUP($A474,'[2]App C Total'!$A$4:$I$917,9,FALSE)</f>
        <v>0</v>
      </c>
      <c r="J474" s="2"/>
      <c r="K474" s="2">
        <f>VLOOKUP($A474,'[2]App C Exp'!$A$4:$I$917,5,FALSE)</f>
        <v>102513</v>
      </c>
      <c r="L474" s="2">
        <f>VLOOKUP($A474,'[2]App C Exp'!$A$4:$I$917,6,FALSE)</f>
        <v>96432</v>
      </c>
      <c r="M474" s="2">
        <f>VLOOKUP($A474,'[2]App C Exp'!$A$4:$I$917,7,FALSE)</f>
        <v>86431</v>
      </c>
      <c r="N474" s="2">
        <f>VLOOKUP($A474,'[2]App C Exp'!$A$4:$I$917,8,FALSE)</f>
        <v>34606</v>
      </c>
      <c r="O474" s="2">
        <f>VLOOKUP($A474,'[2]App C Exp'!$A$4:$I$917,9,FALSE)</f>
        <v>0</v>
      </c>
      <c r="P474" s="2"/>
      <c r="Q474" s="2">
        <f>VLOOKUP($A474,'[2]App C Inv'!$A$4:$I$917,5,FALSE)</f>
        <v>108832</v>
      </c>
      <c r="R474" s="2">
        <f>VLOOKUP($A474,'[2]App C Inv'!$A$4:$I$917,6,FALSE)</f>
        <v>-93616</v>
      </c>
      <c r="S474" s="2">
        <f>VLOOKUP($A474,'[2]App C Inv'!$A$4:$I$917,7,FALSE)</f>
        <v>13194</v>
      </c>
      <c r="T474" s="2">
        <f>VLOOKUP($A474,'[2]App C Inv'!$A$4:$I$917,8,FALSE)</f>
        <v>17172</v>
      </c>
      <c r="U474" s="2">
        <f>VLOOKUP($A474,'[2]App C Inv'!$A$4:$I$917,9,FALSE)</f>
        <v>0</v>
      </c>
      <c r="V474" s="2"/>
      <c r="W474" s="2">
        <f>VLOOKUP($A474,'[2]App C Assum'!$A$4:$I$917,5,FALSE)</f>
        <v>122601</v>
      </c>
      <c r="X474" s="2">
        <f>VLOOKUP($A474,'[2]App C Assum'!$A$4:$I$917,6,FALSE)</f>
        <v>100439</v>
      </c>
      <c r="Y474" s="2">
        <f>VLOOKUP($A474,'[2]App C Assum'!$A$4:$I$917,7,FALSE)</f>
        <v>81539</v>
      </c>
      <c r="Z474" s="2">
        <f>VLOOKUP($A474,'[2]App C Assum'!$A$4:$I$917,8,FALSE)</f>
        <v>0</v>
      </c>
      <c r="AA474" s="2">
        <f>VLOOKUP($A474,'[2]App C Assum'!$A$4:$I$917,9,FALSE)</f>
        <v>0</v>
      </c>
      <c r="AB474" s="2"/>
      <c r="AC474" s="2">
        <f>VLOOKUP($A474,'[2]App C Share Outflows'!$A$4:$I$917,5,FALSE)</f>
        <v>5451</v>
      </c>
      <c r="AD474" s="2">
        <f>VLOOKUP($A474,'[2]App C Share Outflows'!$A$4:$I$917,6,FALSE)</f>
        <v>2510</v>
      </c>
      <c r="AE474" s="2">
        <f>VLOOKUP($A474,'[2]App C Share Outflows'!$A$4:$I$917,7,FALSE)</f>
        <v>2510</v>
      </c>
      <c r="AF474" s="2">
        <f>VLOOKUP($A474,'[2]App C Share Outflows'!$A$4:$I$917,8,FALSE)</f>
        <v>2511</v>
      </c>
      <c r="AG474" s="2">
        <f>VLOOKUP($A474,'[2]App C Share Outflows'!$A$4:$I$917,9,FALSE)</f>
        <v>0</v>
      </c>
      <c r="AH474" s="2"/>
      <c r="AI474" s="2">
        <f>VLOOKUP($A474,'[2]App C Share Inflows'!$A$4:$I$917,5,FALSE)</f>
        <v>-10467</v>
      </c>
      <c r="AJ474" s="2">
        <f>VLOOKUP($A474,'[2]App C Share Inflows'!$A$4:$I$917,6,FALSE)</f>
        <v>-10467</v>
      </c>
      <c r="AK474" s="2">
        <f>VLOOKUP($A474,'[2]App C Share Inflows'!$A$4:$I$917,7,FALSE)</f>
        <v>-5565</v>
      </c>
      <c r="AL474" s="2">
        <f>VLOOKUP($A474,'[2]App C Share Inflows'!$A$4:$I$917,8,FALSE)</f>
        <v>0</v>
      </c>
      <c r="AM474" s="2">
        <f>VLOOKUP($A474,'[2]App C Share Inflows'!$A$4:$I$917,6,FALSE)</f>
        <v>-10467</v>
      </c>
    </row>
    <row r="475" spans="1:39">
      <c r="A475" s="351">
        <v>94804</v>
      </c>
      <c r="B475" s="344" t="s">
        <v>1171</v>
      </c>
      <c r="C475" s="235" t="e">
        <f>VLOOKUP(A475,#REF!,10,FALSE)</f>
        <v>#REF!</v>
      </c>
      <c r="E475" s="2">
        <f>VLOOKUP($A475,'[2]App C Total'!$A$4:$I$917,5,FALSE)</f>
        <v>1867</v>
      </c>
      <c r="F475" s="2">
        <f>VLOOKUP($A475,'[2]App C Total'!$A$4:$I$917,6,FALSE)</f>
        <v>990</v>
      </c>
      <c r="G475" s="2">
        <f>VLOOKUP($A475,'[2]App C Total'!$A$4:$I$917,7,FALSE)</f>
        <v>1112</v>
      </c>
      <c r="H475" s="2">
        <f>VLOOKUP($A475,'[2]App C Total'!$A$4:$I$917,8,FALSE)</f>
        <v>444</v>
      </c>
      <c r="I475" s="2">
        <f>VLOOKUP($A475,'[2]App C Total'!$A$4:$I$917,9,FALSE)</f>
        <v>0</v>
      </c>
      <c r="J475" s="2"/>
      <c r="K475" s="2">
        <f>VLOOKUP($A475,'[2]App C Exp'!$A$4:$I$917,5,FALSE)</f>
        <v>419</v>
      </c>
      <c r="L475" s="2">
        <f>VLOOKUP($A475,'[2]App C Exp'!$A$4:$I$917,6,FALSE)</f>
        <v>395</v>
      </c>
      <c r="M475" s="2">
        <f>VLOOKUP($A475,'[2]App C Exp'!$A$4:$I$917,7,FALSE)</f>
        <v>354</v>
      </c>
      <c r="N475" s="2">
        <f>VLOOKUP($A475,'[2]App C Exp'!$A$4:$I$917,8,FALSE)</f>
        <v>142</v>
      </c>
      <c r="O475" s="2">
        <f>VLOOKUP($A475,'[2]App C Exp'!$A$4:$I$917,9,FALSE)</f>
        <v>0</v>
      </c>
      <c r="P475" s="2"/>
      <c r="Q475" s="2">
        <f>VLOOKUP($A475,'[2]App C Inv'!$A$4:$I$917,5,FALSE)</f>
        <v>445</v>
      </c>
      <c r="R475" s="2">
        <f>VLOOKUP($A475,'[2]App C Inv'!$A$4:$I$917,6,FALSE)</f>
        <v>-383</v>
      </c>
      <c r="S475" s="2">
        <f>VLOOKUP($A475,'[2]App C Inv'!$A$4:$I$917,7,FALSE)</f>
        <v>54</v>
      </c>
      <c r="T475" s="2">
        <f>VLOOKUP($A475,'[2]App C Inv'!$A$4:$I$917,8,FALSE)</f>
        <v>70</v>
      </c>
      <c r="U475" s="2">
        <f>VLOOKUP($A475,'[2]App C Inv'!$A$4:$I$917,9,FALSE)</f>
        <v>0</v>
      </c>
      <c r="V475" s="2"/>
      <c r="W475" s="2">
        <f>VLOOKUP($A475,'[2]App C Assum'!$A$4:$I$917,5,FALSE)</f>
        <v>502</v>
      </c>
      <c r="X475" s="2">
        <f>VLOOKUP($A475,'[2]App C Assum'!$A$4:$I$917,6,FALSE)</f>
        <v>411</v>
      </c>
      <c r="Y475" s="2">
        <f>VLOOKUP($A475,'[2]App C Assum'!$A$4:$I$917,7,FALSE)</f>
        <v>334</v>
      </c>
      <c r="Z475" s="2">
        <f>VLOOKUP($A475,'[2]App C Assum'!$A$4:$I$917,8,FALSE)</f>
        <v>0</v>
      </c>
      <c r="AA475" s="2">
        <f>VLOOKUP($A475,'[2]App C Assum'!$A$4:$I$917,9,FALSE)</f>
        <v>0</v>
      </c>
      <c r="AB475" s="2"/>
      <c r="AC475" s="2">
        <f>VLOOKUP($A475,'[2]App C Share Outflows'!$A$4:$I$917,5,FALSE)</f>
        <v>567</v>
      </c>
      <c r="AD475" s="2">
        <f>VLOOKUP($A475,'[2]App C Share Outflows'!$A$4:$I$917,6,FALSE)</f>
        <v>567</v>
      </c>
      <c r="AE475" s="2">
        <f>VLOOKUP($A475,'[2]App C Share Outflows'!$A$4:$I$917,7,FALSE)</f>
        <v>370</v>
      </c>
      <c r="AF475" s="2">
        <f>VLOOKUP($A475,'[2]App C Share Outflows'!$A$4:$I$917,8,FALSE)</f>
        <v>232</v>
      </c>
      <c r="AG475" s="2">
        <f>VLOOKUP($A475,'[2]App C Share Outflows'!$A$4:$I$917,9,FALSE)</f>
        <v>0</v>
      </c>
      <c r="AH475" s="2"/>
      <c r="AI475" s="2">
        <f>VLOOKUP($A475,'[2]App C Share Inflows'!$A$4:$I$917,5,FALSE)</f>
        <v>-66</v>
      </c>
      <c r="AJ475" s="2">
        <f>VLOOKUP($A475,'[2]App C Share Inflows'!$A$4:$I$917,6,FALSE)</f>
        <v>0</v>
      </c>
      <c r="AK475" s="2">
        <f>VLOOKUP($A475,'[2]App C Share Inflows'!$A$4:$I$917,7,FALSE)</f>
        <v>0</v>
      </c>
      <c r="AL475" s="2">
        <f>VLOOKUP($A475,'[2]App C Share Inflows'!$A$4:$I$917,8,FALSE)</f>
        <v>0</v>
      </c>
      <c r="AM475" s="2">
        <f>VLOOKUP($A475,'[2]App C Share Inflows'!$A$4:$I$917,6,FALSE)</f>
        <v>0</v>
      </c>
    </row>
    <row r="476" spans="1:39">
      <c r="A476" s="351">
        <v>94812</v>
      </c>
      <c r="B476" s="344" t="s">
        <v>2797</v>
      </c>
      <c r="C476" s="235" t="e">
        <f>VLOOKUP(A476,#REF!,10,FALSE)</f>
        <v>#REF!</v>
      </c>
      <c r="E476" s="2">
        <f>VLOOKUP($A476,'[2]App C Total'!$A$4:$I$917,5,FALSE)</f>
        <v>18391</v>
      </c>
      <c r="F476" s="2">
        <f>VLOOKUP($A476,'[2]App C Total'!$A$4:$I$917,6,FALSE)</f>
        <v>6954</v>
      </c>
      <c r="G476" s="2">
        <f>VLOOKUP($A476,'[2]App C Total'!$A$4:$I$917,7,FALSE)</f>
        <v>9550</v>
      </c>
      <c r="H476" s="2">
        <f>VLOOKUP($A476,'[2]App C Total'!$A$4:$I$917,8,FALSE)</f>
        <v>3031</v>
      </c>
      <c r="I476" s="2">
        <f>VLOOKUP($A476,'[2]App C Total'!$A$4:$I$917,9,FALSE)</f>
        <v>0</v>
      </c>
      <c r="J476" s="2"/>
      <c r="K476" s="2">
        <f>VLOOKUP($A476,'[2]App C Exp'!$A$4:$I$917,5,FALSE)</f>
        <v>4494</v>
      </c>
      <c r="L476" s="2">
        <f>VLOOKUP($A476,'[2]App C Exp'!$A$4:$I$917,6,FALSE)</f>
        <v>4228</v>
      </c>
      <c r="M476" s="2">
        <f>VLOOKUP($A476,'[2]App C Exp'!$A$4:$I$917,7,FALSE)</f>
        <v>3789</v>
      </c>
      <c r="N476" s="2">
        <f>VLOOKUP($A476,'[2]App C Exp'!$A$4:$I$917,8,FALSE)</f>
        <v>1517</v>
      </c>
      <c r="O476" s="2">
        <f>VLOOKUP($A476,'[2]App C Exp'!$A$4:$I$917,9,FALSE)</f>
        <v>0</v>
      </c>
      <c r="P476" s="2"/>
      <c r="Q476" s="2">
        <f>VLOOKUP($A476,'[2]App C Inv'!$A$4:$I$917,5,FALSE)</f>
        <v>4771</v>
      </c>
      <c r="R476" s="2">
        <f>VLOOKUP($A476,'[2]App C Inv'!$A$4:$I$917,6,FALSE)</f>
        <v>-4104</v>
      </c>
      <c r="S476" s="2">
        <f>VLOOKUP($A476,'[2]App C Inv'!$A$4:$I$917,7,FALSE)</f>
        <v>578</v>
      </c>
      <c r="T476" s="2">
        <f>VLOOKUP($A476,'[2]App C Inv'!$A$4:$I$917,8,FALSE)</f>
        <v>753</v>
      </c>
      <c r="U476" s="2">
        <f>VLOOKUP($A476,'[2]App C Inv'!$A$4:$I$917,9,FALSE)</f>
        <v>0</v>
      </c>
      <c r="V476" s="2"/>
      <c r="W476" s="2">
        <f>VLOOKUP($A476,'[2]App C Assum'!$A$4:$I$917,5,FALSE)</f>
        <v>5375</v>
      </c>
      <c r="X476" s="2">
        <f>VLOOKUP($A476,'[2]App C Assum'!$A$4:$I$917,6,FALSE)</f>
        <v>4403</v>
      </c>
      <c r="Y476" s="2">
        <f>VLOOKUP($A476,'[2]App C Assum'!$A$4:$I$917,7,FALSE)</f>
        <v>3575</v>
      </c>
      <c r="Z476" s="2">
        <f>VLOOKUP($A476,'[2]App C Assum'!$A$4:$I$917,8,FALSE)</f>
        <v>0</v>
      </c>
      <c r="AA476" s="2">
        <f>VLOOKUP($A476,'[2]App C Assum'!$A$4:$I$917,9,FALSE)</f>
        <v>0</v>
      </c>
      <c r="AB476" s="2"/>
      <c r="AC476" s="2">
        <f>VLOOKUP($A476,'[2]App C Share Outflows'!$A$4:$I$917,5,FALSE)</f>
        <v>3751</v>
      </c>
      <c r="AD476" s="2">
        <f>VLOOKUP($A476,'[2]App C Share Outflows'!$A$4:$I$917,6,FALSE)</f>
        <v>2427</v>
      </c>
      <c r="AE476" s="2">
        <f>VLOOKUP($A476,'[2]App C Share Outflows'!$A$4:$I$917,7,FALSE)</f>
        <v>1608</v>
      </c>
      <c r="AF476" s="2">
        <f>VLOOKUP($A476,'[2]App C Share Outflows'!$A$4:$I$917,8,FALSE)</f>
        <v>761</v>
      </c>
      <c r="AG476" s="2">
        <f>VLOOKUP($A476,'[2]App C Share Outflows'!$A$4:$I$917,9,FALSE)</f>
        <v>0</v>
      </c>
      <c r="AH476" s="2"/>
      <c r="AI476" s="2">
        <f>VLOOKUP($A476,'[2]App C Share Inflows'!$A$4:$I$917,5,FALSE)</f>
        <v>0</v>
      </c>
      <c r="AJ476" s="2">
        <f>VLOOKUP($A476,'[2]App C Share Inflows'!$A$4:$I$917,6,FALSE)</f>
        <v>0</v>
      </c>
      <c r="AK476" s="2">
        <f>VLOOKUP($A476,'[2]App C Share Inflows'!$A$4:$I$917,7,FALSE)</f>
        <v>0</v>
      </c>
      <c r="AL476" s="2">
        <f>VLOOKUP($A476,'[2]App C Share Inflows'!$A$4:$I$917,8,FALSE)</f>
        <v>0</v>
      </c>
      <c r="AM476" s="2">
        <f>VLOOKUP($A476,'[2]App C Share Inflows'!$A$4:$I$917,6,FALSE)</f>
        <v>0</v>
      </c>
    </row>
    <row r="477" spans="1:39">
      <c r="A477" s="351">
        <v>94901</v>
      </c>
      <c r="B477" s="344" t="s">
        <v>1173</v>
      </c>
      <c r="C477" s="235" t="e">
        <f>VLOOKUP(A477,#REF!,10,FALSE)</f>
        <v>#REF!</v>
      </c>
      <c r="E477" s="2">
        <f>VLOOKUP($A477,'[2]App C Total'!$A$4:$I$917,5,FALSE)</f>
        <v>3585298</v>
      </c>
      <c r="F477" s="2">
        <f>VLOOKUP($A477,'[2]App C Total'!$A$4:$I$917,6,FALSE)</f>
        <v>1143226</v>
      </c>
      <c r="G477" s="2">
        <f>VLOOKUP($A477,'[2]App C Total'!$A$4:$I$917,7,FALSE)</f>
        <v>1986300</v>
      </c>
      <c r="H477" s="2">
        <f>VLOOKUP($A477,'[2]App C Total'!$A$4:$I$917,8,FALSE)</f>
        <v>562852</v>
      </c>
      <c r="I477" s="2">
        <f>VLOOKUP($A477,'[2]App C Total'!$A$4:$I$917,9,FALSE)</f>
        <v>0</v>
      </c>
      <c r="J477" s="2"/>
      <c r="K477" s="2">
        <f>VLOOKUP($A477,'[2]App C Exp'!$A$4:$I$917,5,FALSE)</f>
        <v>1084183</v>
      </c>
      <c r="L477" s="2">
        <f>VLOOKUP($A477,'[2]App C Exp'!$A$4:$I$917,6,FALSE)</f>
        <v>1019866</v>
      </c>
      <c r="M477" s="2">
        <f>VLOOKUP($A477,'[2]App C Exp'!$A$4:$I$917,7,FALSE)</f>
        <v>914095</v>
      </c>
      <c r="N477" s="2">
        <f>VLOOKUP($A477,'[2]App C Exp'!$A$4:$I$917,8,FALSE)</f>
        <v>365992</v>
      </c>
      <c r="O477" s="2">
        <f>VLOOKUP($A477,'[2]App C Exp'!$A$4:$I$917,9,FALSE)</f>
        <v>0</v>
      </c>
      <c r="P477" s="2"/>
      <c r="Q477" s="2">
        <f>VLOOKUP($A477,'[2]App C Inv'!$A$4:$I$917,5,FALSE)</f>
        <v>1151012</v>
      </c>
      <c r="R477" s="2">
        <f>VLOOKUP($A477,'[2]App C Inv'!$A$4:$I$917,6,FALSE)</f>
        <v>-990085</v>
      </c>
      <c r="S477" s="2">
        <f>VLOOKUP($A477,'[2]App C Inv'!$A$4:$I$917,7,FALSE)</f>
        <v>139540</v>
      </c>
      <c r="T477" s="2">
        <f>VLOOKUP($A477,'[2]App C Inv'!$A$4:$I$917,8,FALSE)</f>
        <v>181610</v>
      </c>
      <c r="U477" s="2">
        <f>VLOOKUP($A477,'[2]App C Inv'!$A$4:$I$917,9,FALSE)</f>
        <v>0</v>
      </c>
      <c r="V477" s="2"/>
      <c r="W477" s="2">
        <f>VLOOKUP($A477,'[2]App C Assum'!$A$4:$I$917,5,FALSE)</f>
        <v>1296631</v>
      </c>
      <c r="X477" s="2">
        <f>VLOOKUP($A477,'[2]App C Assum'!$A$4:$I$917,6,FALSE)</f>
        <v>1062247</v>
      </c>
      <c r="Y477" s="2">
        <f>VLOOKUP($A477,'[2]App C Assum'!$A$4:$I$917,7,FALSE)</f>
        <v>862363</v>
      </c>
      <c r="Z477" s="2">
        <f>VLOOKUP($A477,'[2]App C Assum'!$A$4:$I$917,8,FALSE)</f>
        <v>0</v>
      </c>
      <c r="AA477" s="2">
        <f>VLOOKUP($A477,'[2]App C Assum'!$A$4:$I$917,9,FALSE)</f>
        <v>0</v>
      </c>
      <c r="AB477" s="2"/>
      <c r="AC477" s="2">
        <f>VLOOKUP($A477,'[2]App C Share Outflows'!$A$4:$I$917,5,FALSE)</f>
        <v>72580</v>
      </c>
      <c r="AD477" s="2">
        <f>VLOOKUP($A477,'[2]App C Share Outflows'!$A$4:$I$917,6,FALSE)</f>
        <v>70304</v>
      </c>
      <c r="AE477" s="2">
        <f>VLOOKUP($A477,'[2]App C Share Outflows'!$A$4:$I$917,7,FALSE)</f>
        <v>70302</v>
      </c>
      <c r="AF477" s="2">
        <f>VLOOKUP($A477,'[2]App C Share Outflows'!$A$4:$I$917,8,FALSE)</f>
        <v>15250</v>
      </c>
      <c r="AG477" s="2">
        <f>VLOOKUP($A477,'[2]App C Share Outflows'!$A$4:$I$917,9,FALSE)</f>
        <v>0</v>
      </c>
      <c r="AH477" s="2"/>
      <c r="AI477" s="2">
        <f>VLOOKUP($A477,'[2]App C Share Inflows'!$A$4:$I$917,5,FALSE)</f>
        <v>-19108</v>
      </c>
      <c r="AJ477" s="2">
        <f>VLOOKUP($A477,'[2]App C Share Inflows'!$A$4:$I$917,6,FALSE)</f>
        <v>-19106</v>
      </c>
      <c r="AK477" s="2">
        <f>VLOOKUP($A477,'[2]App C Share Inflows'!$A$4:$I$917,7,FALSE)</f>
        <v>0</v>
      </c>
      <c r="AL477" s="2">
        <f>VLOOKUP($A477,'[2]App C Share Inflows'!$A$4:$I$917,8,FALSE)</f>
        <v>0</v>
      </c>
      <c r="AM477" s="2">
        <f>VLOOKUP($A477,'[2]App C Share Inflows'!$A$4:$I$917,6,FALSE)</f>
        <v>-19106</v>
      </c>
    </row>
    <row r="478" spans="1:39">
      <c r="A478" s="351">
        <v>94908</v>
      </c>
      <c r="B478" s="344" t="s">
        <v>3681</v>
      </c>
      <c r="C478" s="235" t="e">
        <f>VLOOKUP(A478,#REF!,10,FALSE)</f>
        <v>#REF!</v>
      </c>
      <c r="E478" s="2">
        <f>VLOOKUP($A478,'[2]App C Total'!$A$4:$I$917,5,FALSE)</f>
        <v>316</v>
      </c>
      <c r="F478" s="2">
        <f>VLOOKUP($A478,'[2]App C Total'!$A$4:$I$917,6,FALSE)</f>
        <v>-1312</v>
      </c>
      <c r="G478" s="2">
        <f>VLOOKUP($A478,'[2]App C Total'!$A$4:$I$917,7,FALSE)</f>
        <v>3875</v>
      </c>
      <c r="H478" s="2">
        <f>VLOOKUP($A478,'[2]App C Total'!$A$4:$I$917,8,FALSE)</f>
        <v>2858</v>
      </c>
      <c r="I478" s="2">
        <f>VLOOKUP($A478,'[2]App C Total'!$A$4:$I$917,9,FALSE)</f>
        <v>0</v>
      </c>
      <c r="J478" s="2"/>
      <c r="K478" s="2">
        <f>VLOOKUP($A478,'[2]App C Exp'!$A$4:$I$917,5,FALSE)</f>
        <v>884</v>
      </c>
      <c r="L478" s="2">
        <f>VLOOKUP($A478,'[2]App C Exp'!$A$4:$I$917,6,FALSE)</f>
        <v>831</v>
      </c>
      <c r="M478" s="2">
        <f>VLOOKUP($A478,'[2]App C Exp'!$A$4:$I$917,7,FALSE)</f>
        <v>745</v>
      </c>
      <c r="N478" s="2">
        <f>VLOOKUP($A478,'[2]App C Exp'!$A$4:$I$917,8,FALSE)</f>
        <v>298</v>
      </c>
      <c r="O478" s="2">
        <f>VLOOKUP($A478,'[2]App C Exp'!$A$4:$I$917,9,FALSE)</f>
        <v>0</v>
      </c>
      <c r="P478" s="2"/>
      <c r="Q478" s="2">
        <f>VLOOKUP($A478,'[2]App C Inv'!$A$4:$I$917,5,FALSE)</f>
        <v>938</v>
      </c>
      <c r="R478" s="2">
        <f>VLOOKUP($A478,'[2]App C Inv'!$A$4:$I$917,6,FALSE)</f>
        <v>-807</v>
      </c>
      <c r="S478" s="2">
        <f>VLOOKUP($A478,'[2]App C Inv'!$A$4:$I$917,7,FALSE)</f>
        <v>114</v>
      </c>
      <c r="T478" s="2">
        <f>VLOOKUP($A478,'[2]App C Inv'!$A$4:$I$917,8,FALSE)</f>
        <v>148</v>
      </c>
      <c r="U478" s="2">
        <f>VLOOKUP($A478,'[2]App C Inv'!$A$4:$I$917,9,FALSE)</f>
        <v>0</v>
      </c>
      <c r="V478" s="2"/>
      <c r="W478" s="2">
        <f>VLOOKUP($A478,'[2]App C Assum'!$A$4:$I$917,5,FALSE)</f>
        <v>1057</v>
      </c>
      <c r="X478" s="2">
        <f>VLOOKUP($A478,'[2]App C Assum'!$A$4:$I$917,6,FALSE)</f>
        <v>866</v>
      </c>
      <c r="Y478" s="2">
        <f>VLOOKUP($A478,'[2]App C Assum'!$A$4:$I$917,7,FALSE)</f>
        <v>703</v>
      </c>
      <c r="Z478" s="2">
        <f>VLOOKUP($A478,'[2]App C Assum'!$A$4:$I$917,8,FALSE)</f>
        <v>0</v>
      </c>
      <c r="AA478" s="2">
        <f>VLOOKUP($A478,'[2]App C Assum'!$A$4:$I$917,9,FALSE)</f>
        <v>0</v>
      </c>
      <c r="AB478" s="2"/>
      <c r="AC478" s="2">
        <f>VLOOKUP($A478,'[2]App C Share Outflows'!$A$4:$I$917,5,FALSE)</f>
        <v>2414</v>
      </c>
      <c r="AD478" s="2">
        <f>VLOOKUP($A478,'[2]App C Share Outflows'!$A$4:$I$917,6,FALSE)</f>
        <v>2414</v>
      </c>
      <c r="AE478" s="2">
        <f>VLOOKUP($A478,'[2]App C Share Outflows'!$A$4:$I$917,7,FALSE)</f>
        <v>2414</v>
      </c>
      <c r="AF478" s="2">
        <f>VLOOKUP($A478,'[2]App C Share Outflows'!$A$4:$I$917,8,FALSE)</f>
        <v>2412</v>
      </c>
      <c r="AG478" s="2">
        <f>VLOOKUP($A478,'[2]App C Share Outflows'!$A$4:$I$917,9,FALSE)</f>
        <v>0</v>
      </c>
      <c r="AH478" s="2"/>
      <c r="AI478" s="2">
        <f>VLOOKUP($A478,'[2]App C Share Inflows'!$A$4:$I$917,5,FALSE)</f>
        <v>-4977</v>
      </c>
      <c r="AJ478" s="2">
        <f>VLOOKUP($A478,'[2]App C Share Inflows'!$A$4:$I$917,6,FALSE)</f>
        <v>-4616</v>
      </c>
      <c r="AK478" s="2">
        <f>VLOOKUP($A478,'[2]App C Share Inflows'!$A$4:$I$917,7,FALSE)</f>
        <v>-101</v>
      </c>
      <c r="AL478" s="2">
        <f>VLOOKUP($A478,'[2]App C Share Inflows'!$A$4:$I$917,8,FALSE)</f>
        <v>0</v>
      </c>
      <c r="AM478" s="2">
        <f>VLOOKUP($A478,'[2]App C Share Inflows'!$A$4:$I$917,6,FALSE)</f>
        <v>-4616</v>
      </c>
    </row>
    <row r="479" spans="1:39">
      <c r="A479" s="351">
        <v>94911</v>
      </c>
      <c r="B479" s="344" t="s">
        <v>1175</v>
      </c>
      <c r="C479" s="235" t="e">
        <f>VLOOKUP(A479,#REF!,10,FALSE)</f>
        <v>#REF!</v>
      </c>
      <c r="E479" s="2">
        <f>VLOOKUP($A479,'[2]App C Total'!$A$4:$I$917,5,FALSE)</f>
        <v>1404620</v>
      </c>
      <c r="F479" s="2">
        <f>VLOOKUP($A479,'[2]App C Total'!$A$4:$I$917,6,FALSE)</f>
        <v>444205</v>
      </c>
      <c r="G479" s="2">
        <f>VLOOKUP($A479,'[2]App C Total'!$A$4:$I$917,7,FALSE)</f>
        <v>763168</v>
      </c>
      <c r="H479" s="2">
        <f>VLOOKUP($A479,'[2]App C Total'!$A$4:$I$917,8,FALSE)</f>
        <v>196181</v>
      </c>
      <c r="I479" s="2">
        <f>VLOOKUP($A479,'[2]App C Total'!$A$4:$I$917,9,FALSE)</f>
        <v>0</v>
      </c>
      <c r="J479" s="2"/>
      <c r="K479" s="2">
        <f>VLOOKUP($A479,'[2]App C Exp'!$A$4:$I$917,5,FALSE)</f>
        <v>431175</v>
      </c>
      <c r="L479" s="2">
        <f>VLOOKUP($A479,'[2]App C Exp'!$A$4:$I$917,6,FALSE)</f>
        <v>405596</v>
      </c>
      <c r="M479" s="2">
        <f>VLOOKUP($A479,'[2]App C Exp'!$A$4:$I$917,7,FALSE)</f>
        <v>363531</v>
      </c>
      <c r="N479" s="2">
        <f>VLOOKUP($A479,'[2]App C Exp'!$A$4:$I$917,8,FALSE)</f>
        <v>145553</v>
      </c>
      <c r="O479" s="2">
        <f>VLOOKUP($A479,'[2]App C Exp'!$A$4:$I$917,9,FALSE)</f>
        <v>0</v>
      </c>
      <c r="P479" s="2"/>
      <c r="Q479" s="2">
        <f>VLOOKUP($A479,'[2]App C Inv'!$A$4:$I$917,5,FALSE)</f>
        <v>457752</v>
      </c>
      <c r="R479" s="2">
        <f>VLOOKUP($A479,'[2]App C Inv'!$A$4:$I$917,6,FALSE)</f>
        <v>-393752</v>
      </c>
      <c r="S479" s="2">
        <f>VLOOKUP($A479,'[2]App C Inv'!$A$4:$I$917,7,FALSE)</f>
        <v>55495</v>
      </c>
      <c r="T479" s="2">
        <f>VLOOKUP($A479,'[2]App C Inv'!$A$4:$I$917,8,FALSE)</f>
        <v>72226</v>
      </c>
      <c r="U479" s="2">
        <f>VLOOKUP($A479,'[2]App C Inv'!$A$4:$I$917,9,FALSE)</f>
        <v>0</v>
      </c>
      <c r="V479" s="2"/>
      <c r="W479" s="2">
        <f>VLOOKUP($A479,'[2]App C Assum'!$A$4:$I$917,5,FALSE)</f>
        <v>515664</v>
      </c>
      <c r="X479" s="2">
        <f>VLOOKUP($A479,'[2]App C Assum'!$A$4:$I$917,6,FALSE)</f>
        <v>422451</v>
      </c>
      <c r="Y479" s="2">
        <f>VLOOKUP($A479,'[2]App C Assum'!$A$4:$I$917,7,FALSE)</f>
        <v>342958</v>
      </c>
      <c r="Z479" s="2">
        <f>VLOOKUP($A479,'[2]App C Assum'!$A$4:$I$917,8,FALSE)</f>
        <v>0</v>
      </c>
      <c r="AA479" s="2">
        <f>VLOOKUP($A479,'[2]App C Assum'!$A$4:$I$917,9,FALSE)</f>
        <v>0</v>
      </c>
      <c r="AB479" s="2"/>
      <c r="AC479" s="2">
        <f>VLOOKUP($A479,'[2]App C Share Outflows'!$A$4:$I$917,5,FALSE)</f>
        <v>31512</v>
      </c>
      <c r="AD479" s="2">
        <f>VLOOKUP($A479,'[2]App C Share Outflows'!$A$4:$I$917,6,FALSE)</f>
        <v>31510</v>
      </c>
      <c r="AE479" s="2">
        <f>VLOOKUP($A479,'[2]App C Share Outflows'!$A$4:$I$917,7,FALSE)</f>
        <v>22784</v>
      </c>
      <c r="AF479" s="2">
        <f>VLOOKUP($A479,'[2]App C Share Outflows'!$A$4:$I$917,8,FALSE)</f>
        <v>0</v>
      </c>
      <c r="AG479" s="2">
        <f>VLOOKUP($A479,'[2]App C Share Outflows'!$A$4:$I$917,9,FALSE)</f>
        <v>0</v>
      </c>
      <c r="AH479" s="2"/>
      <c r="AI479" s="2">
        <f>VLOOKUP($A479,'[2]App C Share Inflows'!$A$4:$I$917,5,FALSE)</f>
        <v>-31483</v>
      </c>
      <c r="AJ479" s="2">
        <f>VLOOKUP($A479,'[2]App C Share Inflows'!$A$4:$I$917,6,FALSE)</f>
        <v>-21600</v>
      </c>
      <c r="AK479" s="2">
        <f>VLOOKUP($A479,'[2]App C Share Inflows'!$A$4:$I$917,7,FALSE)</f>
        <v>-21600</v>
      </c>
      <c r="AL479" s="2">
        <f>VLOOKUP($A479,'[2]App C Share Inflows'!$A$4:$I$917,8,FALSE)</f>
        <v>-21598</v>
      </c>
      <c r="AM479" s="2">
        <f>VLOOKUP($A479,'[2]App C Share Inflows'!$A$4:$I$917,6,FALSE)</f>
        <v>-21600</v>
      </c>
    </row>
    <row r="480" spans="1:39">
      <c r="A480" s="351">
        <v>94917</v>
      </c>
      <c r="B480" s="344" t="s">
        <v>1176</v>
      </c>
      <c r="C480" s="235" t="e">
        <f>VLOOKUP(A480,#REF!,10,FALSE)</f>
        <v>#REF!</v>
      </c>
      <c r="E480" s="2">
        <f>VLOOKUP($A480,'[2]App C Total'!$A$4:$I$917,5,FALSE)</f>
        <v>22586</v>
      </c>
      <c r="F480" s="2">
        <f>VLOOKUP($A480,'[2]App C Total'!$A$4:$I$917,6,FALSE)</f>
        <v>11053</v>
      </c>
      <c r="G480" s="2">
        <f>VLOOKUP($A480,'[2]App C Total'!$A$4:$I$917,7,FALSE)</f>
        <v>12732</v>
      </c>
      <c r="H480" s="2">
        <f>VLOOKUP($A480,'[2]App C Total'!$A$4:$I$917,8,FALSE)</f>
        <v>5137</v>
      </c>
      <c r="I480" s="2">
        <f>VLOOKUP($A480,'[2]App C Total'!$A$4:$I$917,9,FALSE)</f>
        <v>0</v>
      </c>
      <c r="J480" s="2"/>
      <c r="K480" s="2">
        <f>VLOOKUP($A480,'[2]App C Exp'!$A$4:$I$917,5,FALSE)</f>
        <v>4599</v>
      </c>
      <c r="L480" s="2">
        <f>VLOOKUP($A480,'[2]App C Exp'!$A$4:$I$917,6,FALSE)</f>
        <v>4326</v>
      </c>
      <c r="M480" s="2">
        <f>VLOOKUP($A480,'[2]App C Exp'!$A$4:$I$917,7,FALSE)</f>
        <v>3878</v>
      </c>
      <c r="N480" s="2">
        <f>VLOOKUP($A480,'[2]App C Exp'!$A$4:$I$917,8,FALSE)</f>
        <v>1553</v>
      </c>
      <c r="O480" s="2">
        <f>VLOOKUP($A480,'[2]App C Exp'!$A$4:$I$917,9,FALSE)</f>
        <v>0</v>
      </c>
      <c r="P480" s="2"/>
      <c r="Q480" s="2">
        <f>VLOOKUP($A480,'[2]App C Inv'!$A$4:$I$917,5,FALSE)</f>
        <v>4883</v>
      </c>
      <c r="R480" s="2">
        <f>VLOOKUP($A480,'[2]App C Inv'!$A$4:$I$917,6,FALSE)</f>
        <v>-4200</v>
      </c>
      <c r="S480" s="2">
        <f>VLOOKUP($A480,'[2]App C Inv'!$A$4:$I$917,7,FALSE)</f>
        <v>592</v>
      </c>
      <c r="T480" s="2">
        <f>VLOOKUP($A480,'[2]App C Inv'!$A$4:$I$917,8,FALSE)</f>
        <v>770</v>
      </c>
      <c r="U480" s="2">
        <f>VLOOKUP($A480,'[2]App C Inv'!$A$4:$I$917,9,FALSE)</f>
        <v>0</v>
      </c>
      <c r="V480" s="2"/>
      <c r="W480" s="2">
        <f>VLOOKUP($A480,'[2]App C Assum'!$A$4:$I$917,5,FALSE)</f>
        <v>5500</v>
      </c>
      <c r="X480" s="2">
        <f>VLOOKUP($A480,'[2]App C Assum'!$A$4:$I$917,6,FALSE)</f>
        <v>4506</v>
      </c>
      <c r="Y480" s="2">
        <f>VLOOKUP($A480,'[2]App C Assum'!$A$4:$I$917,7,FALSE)</f>
        <v>3658</v>
      </c>
      <c r="Z480" s="2">
        <f>VLOOKUP($A480,'[2]App C Assum'!$A$4:$I$917,8,FALSE)</f>
        <v>0</v>
      </c>
      <c r="AA480" s="2">
        <f>VLOOKUP($A480,'[2]App C Assum'!$A$4:$I$917,9,FALSE)</f>
        <v>0</v>
      </c>
      <c r="AB480" s="2"/>
      <c r="AC480" s="2">
        <f>VLOOKUP($A480,'[2]App C Share Outflows'!$A$4:$I$917,5,FALSE)</f>
        <v>7604</v>
      </c>
      <c r="AD480" s="2">
        <f>VLOOKUP($A480,'[2]App C Share Outflows'!$A$4:$I$917,6,FALSE)</f>
        <v>6421</v>
      </c>
      <c r="AE480" s="2">
        <f>VLOOKUP($A480,'[2]App C Share Outflows'!$A$4:$I$917,7,FALSE)</f>
        <v>4604</v>
      </c>
      <c r="AF480" s="2">
        <f>VLOOKUP($A480,'[2]App C Share Outflows'!$A$4:$I$917,8,FALSE)</f>
        <v>2814</v>
      </c>
      <c r="AG480" s="2">
        <f>VLOOKUP($A480,'[2]App C Share Outflows'!$A$4:$I$917,9,FALSE)</f>
        <v>0</v>
      </c>
      <c r="AH480" s="2"/>
      <c r="AI480" s="2">
        <f>VLOOKUP($A480,'[2]App C Share Inflows'!$A$4:$I$917,5,FALSE)</f>
        <v>0</v>
      </c>
      <c r="AJ480" s="2">
        <f>VLOOKUP($A480,'[2]App C Share Inflows'!$A$4:$I$917,6,FALSE)</f>
        <v>0</v>
      </c>
      <c r="AK480" s="2">
        <f>VLOOKUP($A480,'[2]App C Share Inflows'!$A$4:$I$917,7,FALSE)</f>
        <v>0</v>
      </c>
      <c r="AL480" s="2">
        <f>VLOOKUP($A480,'[2]App C Share Inflows'!$A$4:$I$917,8,FALSE)</f>
        <v>0</v>
      </c>
      <c r="AM480" s="2">
        <f>VLOOKUP($A480,'[2]App C Share Inflows'!$A$4:$I$917,6,FALSE)</f>
        <v>0</v>
      </c>
    </row>
    <row r="481" spans="1:39">
      <c r="A481" s="351">
        <v>94921</v>
      </c>
      <c r="B481" s="344" t="s">
        <v>1177</v>
      </c>
      <c r="C481" s="235" t="e">
        <f>VLOOKUP(A481,#REF!,10,FALSE)</f>
        <v>#REF!</v>
      </c>
      <c r="E481" s="2">
        <f>VLOOKUP($A481,'[2]App C Total'!$A$4:$I$917,5,FALSE)</f>
        <v>1736853</v>
      </c>
      <c r="F481" s="2">
        <f>VLOOKUP($A481,'[2]App C Total'!$A$4:$I$917,6,FALSE)</f>
        <v>509981</v>
      </c>
      <c r="G481" s="2">
        <f>VLOOKUP($A481,'[2]App C Total'!$A$4:$I$917,7,FALSE)</f>
        <v>943385</v>
      </c>
      <c r="H481" s="2">
        <f>VLOOKUP($A481,'[2]App C Total'!$A$4:$I$917,8,FALSE)</f>
        <v>251636</v>
      </c>
      <c r="I481" s="2">
        <f>VLOOKUP($A481,'[2]App C Total'!$A$4:$I$917,9,FALSE)</f>
        <v>0</v>
      </c>
      <c r="J481" s="2"/>
      <c r="K481" s="2">
        <f>VLOOKUP($A481,'[2]App C Exp'!$A$4:$I$917,5,FALSE)</f>
        <v>576592</v>
      </c>
      <c r="L481" s="2">
        <f>VLOOKUP($A481,'[2]App C Exp'!$A$4:$I$917,6,FALSE)</f>
        <v>542387</v>
      </c>
      <c r="M481" s="2">
        <f>VLOOKUP($A481,'[2]App C Exp'!$A$4:$I$917,7,FALSE)</f>
        <v>486135</v>
      </c>
      <c r="N481" s="2">
        <f>VLOOKUP($A481,'[2]App C Exp'!$A$4:$I$917,8,FALSE)</f>
        <v>194643</v>
      </c>
      <c r="O481" s="2">
        <f>VLOOKUP($A481,'[2]App C Exp'!$A$4:$I$917,9,FALSE)</f>
        <v>0</v>
      </c>
      <c r="P481" s="2"/>
      <c r="Q481" s="2">
        <f>VLOOKUP($A481,'[2]App C Inv'!$A$4:$I$917,5,FALSE)</f>
        <v>612133</v>
      </c>
      <c r="R481" s="2">
        <f>VLOOKUP($A481,'[2]App C Inv'!$A$4:$I$917,6,FALSE)</f>
        <v>-526549</v>
      </c>
      <c r="S481" s="2">
        <f>VLOOKUP($A481,'[2]App C Inv'!$A$4:$I$917,7,FALSE)</f>
        <v>74211</v>
      </c>
      <c r="T481" s="2">
        <f>VLOOKUP($A481,'[2]App C Inv'!$A$4:$I$917,8,FALSE)</f>
        <v>96584</v>
      </c>
      <c r="U481" s="2">
        <f>VLOOKUP($A481,'[2]App C Inv'!$A$4:$I$917,9,FALSE)</f>
        <v>0</v>
      </c>
      <c r="V481" s="2"/>
      <c r="W481" s="2">
        <f>VLOOKUP($A481,'[2]App C Assum'!$A$4:$I$917,5,FALSE)</f>
        <v>689577</v>
      </c>
      <c r="X481" s="2">
        <f>VLOOKUP($A481,'[2]App C Assum'!$A$4:$I$917,6,FALSE)</f>
        <v>564926</v>
      </c>
      <c r="Y481" s="2">
        <f>VLOOKUP($A481,'[2]App C Assum'!$A$4:$I$917,7,FALSE)</f>
        <v>458623</v>
      </c>
      <c r="Z481" s="2">
        <f>VLOOKUP($A481,'[2]App C Assum'!$A$4:$I$917,8,FALSE)</f>
        <v>0</v>
      </c>
      <c r="AA481" s="2">
        <f>VLOOKUP($A481,'[2]App C Assum'!$A$4:$I$917,9,FALSE)</f>
        <v>0</v>
      </c>
      <c r="AB481" s="2"/>
      <c r="AC481" s="2">
        <f>VLOOKUP($A481,'[2]App C Share Outflows'!$A$4:$I$917,5,FALSE)</f>
        <v>4800</v>
      </c>
      <c r="AD481" s="2">
        <f>VLOOKUP($A481,'[2]App C Share Outflows'!$A$4:$I$917,6,FALSE)</f>
        <v>4801</v>
      </c>
      <c r="AE481" s="2">
        <f>VLOOKUP($A481,'[2]App C Share Outflows'!$A$4:$I$917,7,FALSE)</f>
        <v>0</v>
      </c>
      <c r="AF481" s="2">
        <f>VLOOKUP($A481,'[2]App C Share Outflows'!$A$4:$I$917,8,FALSE)</f>
        <v>0</v>
      </c>
      <c r="AG481" s="2">
        <f>VLOOKUP($A481,'[2]App C Share Outflows'!$A$4:$I$917,9,FALSE)</f>
        <v>0</v>
      </c>
      <c r="AH481" s="2"/>
      <c r="AI481" s="2">
        <f>VLOOKUP($A481,'[2]App C Share Inflows'!$A$4:$I$917,5,FALSE)</f>
        <v>-146249</v>
      </c>
      <c r="AJ481" s="2">
        <f>VLOOKUP($A481,'[2]App C Share Inflows'!$A$4:$I$917,6,FALSE)</f>
        <v>-75584</v>
      </c>
      <c r="AK481" s="2">
        <f>VLOOKUP($A481,'[2]App C Share Inflows'!$A$4:$I$917,7,FALSE)</f>
        <v>-75584</v>
      </c>
      <c r="AL481" s="2">
        <f>VLOOKUP($A481,'[2]App C Share Inflows'!$A$4:$I$917,8,FALSE)</f>
        <v>-39591</v>
      </c>
      <c r="AM481" s="2">
        <f>VLOOKUP($A481,'[2]App C Share Inflows'!$A$4:$I$917,6,FALSE)</f>
        <v>-75584</v>
      </c>
    </row>
    <row r="482" spans="1:39">
      <c r="A482" s="351">
        <v>94923</v>
      </c>
      <c r="B482" s="344" t="s">
        <v>1178</v>
      </c>
      <c r="C482" s="235" t="e">
        <f>VLOOKUP(A482,#REF!,10,FALSE)</f>
        <v>#REF!</v>
      </c>
      <c r="E482" s="2">
        <f>VLOOKUP($A482,'[2]App C Total'!$A$4:$I$917,5,FALSE)</f>
        <v>15195</v>
      </c>
      <c r="F482" s="2">
        <f>VLOOKUP($A482,'[2]App C Total'!$A$4:$I$917,6,FALSE)</f>
        <v>5692</v>
      </c>
      <c r="G482" s="2">
        <f>VLOOKUP($A482,'[2]App C Total'!$A$4:$I$917,7,FALSE)</f>
        <v>7673</v>
      </c>
      <c r="H482" s="2">
        <f>VLOOKUP($A482,'[2]App C Total'!$A$4:$I$917,8,FALSE)</f>
        <v>2358</v>
      </c>
      <c r="I482" s="2">
        <f>VLOOKUP($A482,'[2]App C Total'!$A$4:$I$917,9,FALSE)</f>
        <v>0</v>
      </c>
      <c r="J482" s="2"/>
      <c r="K482" s="2">
        <f>VLOOKUP($A482,'[2]App C Exp'!$A$4:$I$917,5,FALSE)</f>
        <v>4165</v>
      </c>
      <c r="L482" s="2">
        <f>VLOOKUP($A482,'[2]App C Exp'!$A$4:$I$917,6,FALSE)</f>
        <v>3918</v>
      </c>
      <c r="M482" s="2">
        <f>VLOOKUP($A482,'[2]App C Exp'!$A$4:$I$917,7,FALSE)</f>
        <v>3511</v>
      </c>
      <c r="N482" s="2">
        <f>VLOOKUP($A482,'[2]App C Exp'!$A$4:$I$917,8,FALSE)</f>
        <v>1406</v>
      </c>
      <c r="O482" s="2">
        <f>VLOOKUP($A482,'[2]App C Exp'!$A$4:$I$917,9,FALSE)</f>
        <v>0</v>
      </c>
      <c r="P482" s="2"/>
      <c r="Q482" s="2">
        <f>VLOOKUP($A482,'[2]App C Inv'!$A$4:$I$917,5,FALSE)</f>
        <v>4421</v>
      </c>
      <c r="R482" s="2">
        <f>VLOOKUP($A482,'[2]App C Inv'!$A$4:$I$917,6,FALSE)</f>
        <v>-3803</v>
      </c>
      <c r="S482" s="2">
        <f>VLOOKUP($A482,'[2]App C Inv'!$A$4:$I$917,7,FALSE)</f>
        <v>536</v>
      </c>
      <c r="T482" s="2">
        <f>VLOOKUP($A482,'[2]App C Inv'!$A$4:$I$917,8,FALSE)</f>
        <v>698</v>
      </c>
      <c r="U482" s="2">
        <f>VLOOKUP($A482,'[2]App C Inv'!$A$4:$I$917,9,FALSE)</f>
        <v>0</v>
      </c>
      <c r="V482" s="2"/>
      <c r="W482" s="2">
        <f>VLOOKUP($A482,'[2]App C Assum'!$A$4:$I$917,5,FALSE)</f>
        <v>4981</v>
      </c>
      <c r="X482" s="2">
        <f>VLOOKUP($A482,'[2]App C Assum'!$A$4:$I$917,6,FALSE)</f>
        <v>4080</v>
      </c>
      <c r="Y482" s="2">
        <f>VLOOKUP($A482,'[2]App C Assum'!$A$4:$I$917,7,FALSE)</f>
        <v>3313</v>
      </c>
      <c r="Z482" s="2">
        <f>VLOOKUP($A482,'[2]App C Assum'!$A$4:$I$917,8,FALSE)</f>
        <v>0</v>
      </c>
      <c r="AA482" s="2">
        <f>VLOOKUP($A482,'[2]App C Assum'!$A$4:$I$917,9,FALSE)</f>
        <v>0</v>
      </c>
      <c r="AB482" s="2"/>
      <c r="AC482" s="2">
        <f>VLOOKUP($A482,'[2]App C Share Outflows'!$A$4:$I$917,5,FALSE)</f>
        <v>1628</v>
      </c>
      <c r="AD482" s="2">
        <f>VLOOKUP($A482,'[2]App C Share Outflows'!$A$4:$I$917,6,FALSE)</f>
        <v>1497</v>
      </c>
      <c r="AE482" s="2">
        <f>VLOOKUP($A482,'[2]App C Share Outflows'!$A$4:$I$917,7,FALSE)</f>
        <v>313</v>
      </c>
      <c r="AF482" s="2">
        <f>VLOOKUP($A482,'[2]App C Share Outflows'!$A$4:$I$917,8,FALSE)</f>
        <v>254</v>
      </c>
      <c r="AG482" s="2">
        <f>VLOOKUP($A482,'[2]App C Share Outflows'!$A$4:$I$917,9,FALSE)</f>
        <v>0</v>
      </c>
      <c r="AH482" s="2"/>
      <c r="AI482" s="2">
        <f>VLOOKUP($A482,'[2]App C Share Inflows'!$A$4:$I$917,5,FALSE)</f>
        <v>0</v>
      </c>
      <c r="AJ482" s="2">
        <f>VLOOKUP($A482,'[2]App C Share Inflows'!$A$4:$I$917,6,FALSE)</f>
        <v>0</v>
      </c>
      <c r="AK482" s="2">
        <f>VLOOKUP($A482,'[2]App C Share Inflows'!$A$4:$I$917,7,FALSE)</f>
        <v>0</v>
      </c>
      <c r="AL482" s="2">
        <f>VLOOKUP($A482,'[2]App C Share Inflows'!$A$4:$I$917,8,FALSE)</f>
        <v>0</v>
      </c>
      <c r="AM482" s="2">
        <f>VLOOKUP($A482,'[2]App C Share Inflows'!$A$4:$I$917,6,FALSE)</f>
        <v>0</v>
      </c>
    </row>
    <row r="483" spans="1:39">
      <c r="A483" s="351">
        <v>94927</v>
      </c>
      <c r="B483" s="344" t="s">
        <v>1179</v>
      </c>
      <c r="C483" s="235" t="e">
        <f>VLOOKUP(A483,#REF!,10,FALSE)</f>
        <v>#REF!</v>
      </c>
      <c r="E483" s="2">
        <f>VLOOKUP($A483,'[2]App C Total'!$A$4:$I$917,5,FALSE)</f>
        <v>15101</v>
      </c>
      <c r="F483" s="2">
        <f>VLOOKUP($A483,'[2]App C Total'!$A$4:$I$917,6,FALSE)</f>
        <v>5956</v>
      </c>
      <c r="G483" s="2">
        <f>VLOOKUP($A483,'[2]App C Total'!$A$4:$I$917,7,FALSE)</f>
        <v>8733</v>
      </c>
      <c r="H483" s="2">
        <f>VLOOKUP($A483,'[2]App C Total'!$A$4:$I$917,8,FALSE)</f>
        <v>3172</v>
      </c>
      <c r="I483" s="2">
        <f>VLOOKUP($A483,'[2]App C Total'!$A$4:$I$917,9,FALSE)</f>
        <v>0</v>
      </c>
      <c r="J483" s="2"/>
      <c r="K483" s="2">
        <f>VLOOKUP($A483,'[2]App C Exp'!$A$4:$I$917,5,FALSE)</f>
        <v>3790</v>
      </c>
      <c r="L483" s="2">
        <f>VLOOKUP($A483,'[2]App C Exp'!$A$4:$I$917,6,FALSE)</f>
        <v>3565</v>
      </c>
      <c r="M483" s="2">
        <f>VLOOKUP($A483,'[2]App C Exp'!$A$4:$I$917,7,FALSE)</f>
        <v>3196</v>
      </c>
      <c r="N483" s="2">
        <f>VLOOKUP($A483,'[2]App C Exp'!$A$4:$I$917,8,FALSE)</f>
        <v>1279</v>
      </c>
      <c r="O483" s="2">
        <f>VLOOKUP($A483,'[2]App C Exp'!$A$4:$I$917,9,FALSE)</f>
        <v>0</v>
      </c>
      <c r="P483" s="2"/>
      <c r="Q483" s="2">
        <f>VLOOKUP($A483,'[2]App C Inv'!$A$4:$I$917,5,FALSE)</f>
        <v>4024</v>
      </c>
      <c r="R483" s="2">
        <f>VLOOKUP($A483,'[2]App C Inv'!$A$4:$I$917,6,FALSE)</f>
        <v>-3461</v>
      </c>
      <c r="S483" s="2">
        <f>VLOOKUP($A483,'[2]App C Inv'!$A$4:$I$917,7,FALSE)</f>
        <v>488</v>
      </c>
      <c r="T483" s="2">
        <f>VLOOKUP($A483,'[2]App C Inv'!$A$4:$I$917,8,FALSE)</f>
        <v>635</v>
      </c>
      <c r="U483" s="2">
        <f>VLOOKUP($A483,'[2]App C Inv'!$A$4:$I$917,9,FALSE)</f>
        <v>0</v>
      </c>
      <c r="V483" s="2"/>
      <c r="W483" s="2">
        <f>VLOOKUP($A483,'[2]App C Assum'!$A$4:$I$917,5,FALSE)</f>
        <v>4533</v>
      </c>
      <c r="X483" s="2">
        <f>VLOOKUP($A483,'[2]App C Assum'!$A$4:$I$917,6,FALSE)</f>
        <v>3713</v>
      </c>
      <c r="Y483" s="2">
        <f>VLOOKUP($A483,'[2]App C Assum'!$A$4:$I$917,7,FALSE)</f>
        <v>3015</v>
      </c>
      <c r="Z483" s="2">
        <f>VLOOKUP($A483,'[2]App C Assum'!$A$4:$I$917,8,FALSE)</f>
        <v>0</v>
      </c>
      <c r="AA483" s="2">
        <f>VLOOKUP($A483,'[2]App C Assum'!$A$4:$I$917,9,FALSE)</f>
        <v>0</v>
      </c>
      <c r="AB483" s="2"/>
      <c r="AC483" s="2">
        <f>VLOOKUP($A483,'[2]App C Share Outflows'!$A$4:$I$917,5,FALSE)</f>
        <v>2754</v>
      </c>
      <c r="AD483" s="2">
        <f>VLOOKUP($A483,'[2]App C Share Outflows'!$A$4:$I$917,6,FALSE)</f>
        <v>2139</v>
      </c>
      <c r="AE483" s="2">
        <f>VLOOKUP($A483,'[2]App C Share Outflows'!$A$4:$I$917,7,FALSE)</f>
        <v>2034</v>
      </c>
      <c r="AF483" s="2">
        <f>VLOOKUP($A483,'[2]App C Share Outflows'!$A$4:$I$917,8,FALSE)</f>
        <v>1258</v>
      </c>
      <c r="AG483" s="2">
        <f>VLOOKUP($A483,'[2]App C Share Outflows'!$A$4:$I$917,9,FALSE)</f>
        <v>0</v>
      </c>
      <c r="AH483" s="2"/>
      <c r="AI483" s="2">
        <f>VLOOKUP($A483,'[2]App C Share Inflows'!$A$4:$I$917,5,FALSE)</f>
        <v>0</v>
      </c>
      <c r="AJ483" s="2">
        <f>VLOOKUP($A483,'[2]App C Share Inflows'!$A$4:$I$917,6,FALSE)</f>
        <v>0</v>
      </c>
      <c r="AK483" s="2">
        <f>VLOOKUP($A483,'[2]App C Share Inflows'!$A$4:$I$917,7,FALSE)</f>
        <v>0</v>
      </c>
      <c r="AL483" s="2">
        <f>VLOOKUP($A483,'[2]App C Share Inflows'!$A$4:$I$917,8,FALSE)</f>
        <v>0</v>
      </c>
      <c r="AM483" s="2">
        <f>VLOOKUP($A483,'[2]App C Share Inflows'!$A$4:$I$917,6,FALSE)</f>
        <v>0</v>
      </c>
    </row>
    <row r="484" spans="1:39">
      <c r="A484" s="351">
        <v>94931</v>
      </c>
      <c r="B484" s="344" t="s">
        <v>1180</v>
      </c>
      <c r="C484" s="235" t="e">
        <f>VLOOKUP(A484,#REF!,10,FALSE)</f>
        <v>#REF!</v>
      </c>
      <c r="E484" s="2">
        <f>VLOOKUP($A484,'[2]App C Total'!$A$4:$I$917,5,FALSE)</f>
        <v>101971</v>
      </c>
      <c r="F484" s="2">
        <f>VLOOKUP($A484,'[2]App C Total'!$A$4:$I$917,6,FALSE)</f>
        <v>33019</v>
      </c>
      <c r="G484" s="2">
        <f>VLOOKUP($A484,'[2]App C Total'!$A$4:$I$917,7,FALSE)</f>
        <v>57167</v>
      </c>
      <c r="H484" s="2">
        <f>VLOOKUP($A484,'[2]App C Total'!$A$4:$I$917,8,FALSE)</f>
        <v>18663</v>
      </c>
      <c r="I484" s="2">
        <f>VLOOKUP($A484,'[2]App C Total'!$A$4:$I$917,9,FALSE)</f>
        <v>0</v>
      </c>
      <c r="J484" s="2"/>
      <c r="K484" s="2">
        <f>VLOOKUP($A484,'[2]App C Exp'!$A$4:$I$917,5,FALSE)</f>
        <v>32089</v>
      </c>
      <c r="L484" s="2">
        <f>VLOOKUP($A484,'[2]App C Exp'!$A$4:$I$917,6,FALSE)</f>
        <v>30185</v>
      </c>
      <c r="M484" s="2">
        <f>VLOOKUP($A484,'[2]App C Exp'!$A$4:$I$917,7,FALSE)</f>
        <v>27055</v>
      </c>
      <c r="N484" s="2">
        <f>VLOOKUP($A484,'[2]App C Exp'!$A$4:$I$917,8,FALSE)</f>
        <v>10832</v>
      </c>
      <c r="O484" s="2">
        <f>VLOOKUP($A484,'[2]App C Exp'!$A$4:$I$917,9,FALSE)</f>
        <v>0</v>
      </c>
      <c r="P484" s="2"/>
      <c r="Q484" s="2">
        <f>VLOOKUP($A484,'[2]App C Inv'!$A$4:$I$917,5,FALSE)</f>
        <v>34067</v>
      </c>
      <c r="R484" s="2">
        <f>VLOOKUP($A484,'[2]App C Inv'!$A$4:$I$917,6,FALSE)</f>
        <v>-29304</v>
      </c>
      <c r="S484" s="2">
        <f>VLOOKUP($A484,'[2]App C Inv'!$A$4:$I$917,7,FALSE)</f>
        <v>4130</v>
      </c>
      <c r="T484" s="2">
        <f>VLOOKUP($A484,'[2]App C Inv'!$A$4:$I$917,8,FALSE)</f>
        <v>5375</v>
      </c>
      <c r="U484" s="2">
        <f>VLOOKUP($A484,'[2]App C Inv'!$A$4:$I$917,9,FALSE)</f>
        <v>0</v>
      </c>
      <c r="V484" s="2"/>
      <c r="W484" s="2">
        <f>VLOOKUP($A484,'[2]App C Assum'!$A$4:$I$917,5,FALSE)</f>
        <v>38377</v>
      </c>
      <c r="X484" s="2">
        <f>VLOOKUP($A484,'[2]App C Assum'!$A$4:$I$917,6,FALSE)</f>
        <v>31439</v>
      </c>
      <c r="Y484" s="2">
        <f>VLOOKUP($A484,'[2]App C Assum'!$A$4:$I$917,7,FALSE)</f>
        <v>25523</v>
      </c>
      <c r="Z484" s="2">
        <f>VLOOKUP($A484,'[2]App C Assum'!$A$4:$I$917,8,FALSE)</f>
        <v>0</v>
      </c>
      <c r="AA484" s="2">
        <f>VLOOKUP($A484,'[2]App C Assum'!$A$4:$I$917,9,FALSE)</f>
        <v>0</v>
      </c>
      <c r="AB484" s="2"/>
      <c r="AC484" s="2">
        <f>VLOOKUP($A484,'[2]App C Share Outflows'!$A$4:$I$917,5,FALSE)</f>
        <v>2696</v>
      </c>
      <c r="AD484" s="2">
        <f>VLOOKUP($A484,'[2]App C Share Outflows'!$A$4:$I$917,6,FALSE)</f>
        <v>2698</v>
      </c>
      <c r="AE484" s="2">
        <f>VLOOKUP($A484,'[2]App C Share Outflows'!$A$4:$I$917,7,FALSE)</f>
        <v>2458</v>
      </c>
      <c r="AF484" s="2">
        <f>VLOOKUP($A484,'[2]App C Share Outflows'!$A$4:$I$917,8,FALSE)</f>
        <v>2456</v>
      </c>
      <c r="AG484" s="2">
        <f>VLOOKUP($A484,'[2]App C Share Outflows'!$A$4:$I$917,9,FALSE)</f>
        <v>0</v>
      </c>
      <c r="AH484" s="2"/>
      <c r="AI484" s="2">
        <f>VLOOKUP($A484,'[2]App C Share Inflows'!$A$4:$I$917,5,FALSE)</f>
        <v>-5258</v>
      </c>
      <c r="AJ484" s="2">
        <f>VLOOKUP($A484,'[2]App C Share Inflows'!$A$4:$I$917,6,FALSE)</f>
        <v>-1999</v>
      </c>
      <c r="AK484" s="2">
        <f>VLOOKUP($A484,'[2]App C Share Inflows'!$A$4:$I$917,7,FALSE)</f>
        <v>-1999</v>
      </c>
      <c r="AL484" s="2">
        <f>VLOOKUP($A484,'[2]App C Share Inflows'!$A$4:$I$917,8,FALSE)</f>
        <v>0</v>
      </c>
      <c r="AM484" s="2">
        <f>VLOOKUP($A484,'[2]App C Share Inflows'!$A$4:$I$917,6,FALSE)</f>
        <v>-1999</v>
      </c>
    </row>
    <row r="485" spans="1:39">
      <c r="A485" s="351">
        <v>94937</v>
      </c>
      <c r="B485" s="344" t="s">
        <v>1933</v>
      </c>
      <c r="C485" s="235" t="e">
        <f>VLOOKUP(A485,#REF!,10,FALSE)</f>
        <v>#REF!</v>
      </c>
      <c r="E485" s="2">
        <f>VLOOKUP($A485,'[2]App C Total'!$A$4:$I$917,5,FALSE)</f>
        <v>4851</v>
      </c>
      <c r="F485" s="2">
        <f>VLOOKUP($A485,'[2]App C Total'!$A$4:$I$917,6,FALSE)</f>
        <v>2525</v>
      </c>
      <c r="G485" s="2">
        <f>VLOOKUP($A485,'[2]App C Total'!$A$4:$I$917,7,FALSE)</f>
        <v>3311</v>
      </c>
      <c r="H485" s="2">
        <f>VLOOKUP($A485,'[2]App C Total'!$A$4:$I$917,8,FALSE)</f>
        <v>2006</v>
      </c>
      <c r="I485" s="2">
        <f>VLOOKUP($A485,'[2]App C Total'!$A$4:$I$917,9,FALSE)</f>
        <v>0</v>
      </c>
      <c r="J485" s="2"/>
      <c r="K485" s="2">
        <f>VLOOKUP($A485,'[2]App C Exp'!$A$4:$I$917,5,FALSE)</f>
        <v>1034</v>
      </c>
      <c r="L485" s="2">
        <f>VLOOKUP($A485,'[2]App C Exp'!$A$4:$I$917,6,FALSE)</f>
        <v>972</v>
      </c>
      <c r="M485" s="2">
        <f>VLOOKUP($A485,'[2]App C Exp'!$A$4:$I$917,7,FALSE)</f>
        <v>872</v>
      </c>
      <c r="N485" s="2">
        <f>VLOOKUP($A485,'[2]App C Exp'!$A$4:$I$917,8,FALSE)</f>
        <v>349</v>
      </c>
      <c r="O485" s="2">
        <f>VLOOKUP($A485,'[2]App C Exp'!$A$4:$I$917,9,FALSE)</f>
        <v>0</v>
      </c>
      <c r="P485" s="2"/>
      <c r="Q485" s="2">
        <f>VLOOKUP($A485,'[2]App C Inv'!$A$4:$I$917,5,FALSE)</f>
        <v>1097</v>
      </c>
      <c r="R485" s="2">
        <f>VLOOKUP($A485,'[2]App C Inv'!$A$4:$I$917,6,FALSE)</f>
        <v>-944</v>
      </c>
      <c r="S485" s="2">
        <f>VLOOKUP($A485,'[2]App C Inv'!$A$4:$I$917,7,FALSE)</f>
        <v>133</v>
      </c>
      <c r="T485" s="2">
        <f>VLOOKUP($A485,'[2]App C Inv'!$A$4:$I$917,8,FALSE)</f>
        <v>173</v>
      </c>
      <c r="U485" s="2">
        <f>VLOOKUP($A485,'[2]App C Inv'!$A$4:$I$917,9,FALSE)</f>
        <v>0</v>
      </c>
      <c r="V485" s="2"/>
      <c r="W485" s="2">
        <f>VLOOKUP($A485,'[2]App C Assum'!$A$4:$I$917,5,FALSE)</f>
        <v>1236</v>
      </c>
      <c r="X485" s="2">
        <f>VLOOKUP($A485,'[2]App C Assum'!$A$4:$I$917,6,FALSE)</f>
        <v>1013</v>
      </c>
      <c r="Y485" s="2">
        <f>VLOOKUP($A485,'[2]App C Assum'!$A$4:$I$917,7,FALSE)</f>
        <v>822</v>
      </c>
      <c r="Z485" s="2">
        <f>VLOOKUP($A485,'[2]App C Assum'!$A$4:$I$917,8,FALSE)</f>
        <v>0</v>
      </c>
      <c r="AA485" s="2">
        <f>VLOOKUP($A485,'[2]App C Assum'!$A$4:$I$917,9,FALSE)</f>
        <v>0</v>
      </c>
      <c r="AB485" s="2"/>
      <c r="AC485" s="2">
        <f>VLOOKUP($A485,'[2]App C Share Outflows'!$A$4:$I$917,5,FALSE)</f>
        <v>1484</v>
      </c>
      <c r="AD485" s="2">
        <f>VLOOKUP($A485,'[2]App C Share Outflows'!$A$4:$I$917,6,FALSE)</f>
        <v>1484</v>
      </c>
      <c r="AE485" s="2">
        <f>VLOOKUP($A485,'[2]App C Share Outflows'!$A$4:$I$917,7,FALSE)</f>
        <v>1484</v>
      </c>
      <c r="AF485" s="2">
        <f>VLOOKUP($A485,'[2]App C Share Outflows'!$A$4:$I$917,8,FALSE)</f>
        <v>1484</v>
      </c>
      <c r="AG485" s="2">
        <f>VLOOKUP($A485,'[2]App C Share Outflows'!$A$4:$I$917,9,FALSE)</f>
        <v>0</v>
      </c>
      <c r="AH485" s="2"/>
      <c r="AI485" s="2">
        <f>VLOOKUP($A485,'[2]App C Share Inflows'!$A$4:$I$917,5,FALSE)</f>
        <v>0</v>
      </c>
      <c r="AJ485" s="2">
        <f>VLOOKUP($A485,'[2]App C Share Inflows'!$A$4:$I$917,6,FALSE)</f>
        <v>0</v>
      </c>
      <c r="AK485" s="2">
        <f>VLOOKUP($A485,'[2]App C Share Inflows'!$A$4:$I$917,7,FALSE)</f>
        <v>0</v>
      </c>
      <c r="AL485" s="2">
        <f>VLOOKUP($A485,'[2]App C Share Inflows'!$A$4:$I$917,8,FALSE)</f>
        <v>0</v>
      </c>
      <c r="AM485" s="2">
        <f>VLOOKUP($A485,'[2]App C Share Inflows'!$A$4:$I$917,6,FALSE)</f>
        <v>0</v>
      </c>
    </row>
    <row r="486" spans="1:39">
      <c r="A486" s="351">
        <v>94941</v>
      </c>
      <c r="B486" s="344" t="s">
        <v>1181</v>
      </c>
      <c r="C486" s="235" t="e">
        <f>VLOOKUP(A486,#REF!,10,FALSE)</f>
        <v>#REF!</v>
      </c>
      <c r="E486" s="2">
        <f>VLOOKUP($A486,'[2]App C Total'!$A$4:$I$917,5,FALSE)</f>
        <v>283895</v>
      </c>
      <c r="F486" s="2">
        <f>VLOOKUP($A486,'[2]App C Total'!$A$4:$I$917,6,FALSE)</f>
        <v>86060</v>
      </c>
      <c r="G486" s="2">
        <f>VLOOKUP($A486,'[2]App C Total'!$A$4:$I$917,7,FALSE)</f>
        <v>149141</v>
      </c>
      <c r="H486" s="2">
        <f>VLOOKUP($A486,'[2]App C Total'!$A$4:$I$917,8,FALSE)</f>
        <v>48077</v>
      </c>
      <c r="I486" s="2">
        <f>VLOOKUP($A486,'[2]App C Total'!$A$4:$I$917,9,FALSE)</f>
        <v>0</v>
      </c>
      <c r="J486" s="2"/>
      <c r="K486" s="2">
        <f>VLOOKUP($A486,'[2]App C Exp'!$A$4:$I$917,5,FALSE)</f>
        <v>87862</v>
      </c>
      <c r="L486" s="2">
        <f>VLOOKUP($A486,'[2]App C Exp'!$A$4:$I$917,6,FALSE)</f>
        <v>82650</v>
      </c>
      <c r="M486" s="2">
        <f>VLOOKUP($A486,'[2]App C Exp'!$A$4:$I$917,7,FALSE)</f>
        <v>74078</v>
      </c>
      <c r="N486" s="2">
        <f>VLOOKUP($A486,'[2]App C Exp'!$A$4:$I$917,8,FALSE)</f>
        <v>29660</v>
      </c>
      <c r="O486" s="2">
        <f>VLOOKUP($A486,'[2]App C Exp'!$A$4:$I$917,9,FALSE)</f>
        <v>0</v>
      </c>
      <c r="P486" s="2"/>
      <c r="Q486" s="2">
        <f>VLOOKUP($A486,'[2]App C Inv'!$A$4:$I$917,5,FALSE)</f>
        <v>93278</v>
      </c>
      <c r="R486" s="2">
        <f>VLOOKUP($A486,'[2]App C Inv'!$A$4:$I$917,6,FALSE)</f>
        <v>-80236</v>
      </c>
      <c r="S486" s="2">
        <f>VLOOKUP($A486,'[2]App C Inv'!$A$4:$I$917,7,FALSE)</f>
        <v>11308</v>
      </c>
      <c r="T486" s="2">
        <f>VLOOKUP($A486,'[2]App C Inv'!$A$4:$I$917,8,FALSE)</f>
        <v>14718</v>
      </c>
      <c r="U486" s="2">
        <f>VLOOKUP($A486,'[2]App C Inv'!$A$4:$I$917,9,FALSE)</f>
        <v>0</v>
      </c>
      <c r="V486" s="2"/>
      <c r="W486" s="2">
        <f>VLOOKUP($A486,'[2]App C Assum'!$A$4:$I$917,5,FALSE)</f>
        <v>105079</v>
      </c>
      <c r="X486" s="2">
        <f>VLOOKUP($A486,'[2]App C Assum'!$A$4:$I$917,6,FALSE)</f>
        <v>86084</v>
      </c>
      <c r="Y486" s="2">
        <f>VLOOKUP($A486,'[2]App C Assum'!$A$4:$I$917,7,FALSE)</f>
        <v>69886</v>
      </c>
      <c r="Z486" s="2">
        <f>VLOOKUP($A486,'[2]App C Assum'!$A$4:$I$917,8,FALSE)</f>
        <v>0</v>
      </c>
      <c r="AA486" s="2">
        <f>VLOOKUP($A486,'[2]App C Assum'!$A$4:$I$917,9,FALSE)</f>
        <v>0</v>
      </c>
      <c r="AB486" s="2"/>
      <c r="AC486" s="2">
        <f>VLOOKUP($A486,'[2]App C Share Outflows'!$A$4:$I$917,5,FALSE)</f>
        <v>7508</v>
      </c>
      <c r="AD486" s="2">
        <f>VLOOKUP($A486,'[2]App C Share Outflows'!$A$4:$I$917,6,FALSE)</f>
        <v>7394</v>
      </c>
      <c r="AE486" s="2">
        <f>VLOOKUP($A486,'[2]App C Share Outflows'!$A$4:$I$917,7,FALSE)</f>
        <v>3700</v>
      </c>
      <c r="AF486" s="2">
        <f>VLOOKUP($A486,'[2]App C Share Outflows'!$A$4:$I$917,8,FALSE)</f>
        <v>3699</v>
      </c>
      <c r="AG486" s="2">
        <f>VLOOKUP($A486,'[2]App C Share Outflows'!$A$4:$I$917,9,FALSE)</f>
        <v>0</v>
      </c>
      <c r="AH486" s="2"/>
      <c r="AI486" s="2">
        <f>VLOOKUP($A486,'[2]App C Share Inflows'!$A$4:$I$917,5,FALSE)</f>
        <v>-9832</v>
      </c>
      <c r="AJ486" s="2">
        <f>VLOOKUP($A486,'[2]App C Share Inflows'!$A$4:$I$917,6,FALSE)</f>
        <v>-9832</v>
      </c>
      <c r="AK486" s="2">
        <f>VLOOKUP($A486,'[2]App C Share Inflows'!$A$4:$I$917,7,FALSE)</f>
        <v>-9831</v>
      </c>
      <c r="AL486" s="2">
        <f>VLOOKUP($A486,'[2]App C Share Inflows'!$A$4:$I$917,8,FALSE)</f>
        <v>0</v>
      </c>
      <c r="AM486" s="2">
        <f>VLOOKUP($A486,'[2]App C Share Inflows'!$A$4:$I$917,6,FALSE)</f>
        <v>-9832</v>
      </c>
    </row>
    <row r="487" spans="1:39">
      <c r="A487" s="351">
        <v>94947</v>
      </c>
      <c r="B487" s="344" t="s">
        <v>1934</v>
      </c>
      <c r="C487" s="235" t="e">
        <f>VLOOKUP(A487,#REF!,10,FALSE)</f>
        <v>#REF!</v>
      </c>
      <c r="E487" s="2">
        <f>VLOOKUP($A487,'[2]App C Total'!$A$4:$I$917,5,FALSE)</f>
        <v>4455</v>
      </c>
      <c r="F487" s="2">
        <f>VLOOKUP($A487,'[2]App C Total'!$A$4:$I$917,6,FALSE)</f>
        <v>2466</v>
      </c>
      <c r="G487" s="2">
        <f>VLOOKUP($A487,'[2]App C Total'!$A$4:$I$917,7,FALSE)</f>
        <v>3138</v>
      </c>
      <c r="H487" s="2">
        <f>VLOOKUP($A487,'[2]App C Total'!$A$4:$I$917,8,FALSE)</f>
        <v>2023</v>
      </c>
      <c r="I487" s="2">
        <f>VLOOKUP($A487,'[2]App C Total'!$A$4:$I$917,9,FALSE)</f>
        <v>0</v>
      </c>
      <c r="J487" s="2"/>
      <c r="K487" s="2">
        <f>VLOOKUP($A487,'[2]App C Exp'!$A$4:$I$917,5,FALSE)</f>
        <v>884</v>
      </c>
      <c r="L487" s="2">
        <f>VLOOKUP($A487,'[2]App C Exp'!$A$4:$I$917,6,FALSE)</f>
        <v>831</v>
      </c>
      <c r="M487" s="2">
        <f>VLOOKUP($A487,'[2]App C Exp'!$A$4:$I$917,7,FALSE)</f>
        <v>745</v>
      </c>
      <c r="N487" s="2">
        <f>VLOOKUP($A487,'[2]App C Exp'!$A$4:$I$917,8,FALSE)</f>
        <v>298</v>
      </c>
      <c r="O487" s="2">
        <f>VLOOKUP($A487,'[2]App C Exp'!$A$4:$I$917,9,FALSE)</f>
        <v>0</v>
      </c>
      <c r="P487" s="2"/>
      <c r="Q487" s="2">
        <f>VLOOKUP($A487,'[2]App C Inv'!$A$4:$I$917,5,FALSE)</f>
        <v>938</v>
      </c>
      <c r="R487" s="2">
        <f>VLOOKUP($A487,'[2]App C Inv'!$A$4:$I$917,6,FALSE)</f>
        <v>-807</v>
      </c>
      <c r="S487" s="2">
        <f>VLOOKUP($A487,'[2]App C Inv'!$A$4:$I$917,7,FALSE)</f>
        <v>114</v>
      </c>
      <c r="T487" s="2">
        <f>VLOOKUP($A487,'[2]App C Inv'!$A$4:$I$917,8,FALSE)</f>
        <v>148</v>
      </c>
      <c r="U487" s="2">
        <f>VLOOKUP($A487,'[2]App C Inv'!$A$4:$I$917,9,FALSE)</f>
        <v>0</v>
      </c>
      <c r="V487" s="2"/>
      <c r="W487" s="2">
        <f>VLOOKUP($A487,'[2]App C Assum'!$A$4:$I$917,5,FALSE)</f>
        <v>1057</v>
      </c>
      <c r="X487" s="2">
        <f>VLOOKUP($A487,'[2]App C Assum'!$A$4:$I$917,6,FALSE)</f>
        <v>866</v>
      </c>
      <c r="Y487" s="2">
        <f>VLOOKUP($A487,'[2]App C Assum'!$A$4:$I$917,7,FALSE)</f>
        <v>703</v>
      </c>
      <c r="Z487" s="2">
        <f>VLOOKUP($A487,'[2]App C Assum'!$A$4:$I$917,8,FALSE)</f>
        <v>0</v>
      </c>
      <c r="AA487" s="2">
        <f>VLOOKUP($A487,'[2]App C Assum'!$A$4:$I$917,9,FALSE)</f>
        <v>0</v>
      </c>
      <c r="AB487" s="2"/>
      <c r="AC487" s="2">
        <f>VLOOKUP($A487,'[2]App C Share Outflows'!$A$4:$I$917,5,FALSE)</f>
        <v>1576</v>
      </c>
      <c r="AD487" s="2">
        <f>VLOOKUP($A487,'[2]App C Share Outflows'!$A$4:$I$917,6,FALSE)</f>
        <v>1576</v>
      </c>
      <c r="AE487" s="2">
        <f>VLOOKUP($A487,'[2]App C Share Outflows'!$A$4:$I$917,7,FALSE)</f>
        <v>1576</v>
      </c>
      <c r="AF487" s="2">
        <f>VLOOKUP($A487,'[2]App C Share Outflows'!$A$4:$I$917,8,FALSE)</f>
        <v>1577</v>
      </c>
      <c r="AG487" s="2">
        <f>VLOOKUP($A487,'[2]App C Share Outflows'!$A$4:$I$917,9,FALSE)</f>
        <v>0</v>
      </c>
      <c r="AH487" s="2"/>
      <c r="AI487" s="2">
        <f>VLOOKUP($A487,'[2]App C Share Inflows'!$A$4:$I$917,5,FALSE)</f>
        <v>0</v>
      </c>
      <c r="AJ487" s="2">
        <f>VLOOKUP($A487,'[2]App C Share Inflows'!$A$4:$I$917,6,FALSE)</f>
        <v>0</v>
      </c>
      <c r="AK487" s="2">
        <f>VLOOKUP($A487,'[2]App C Share Inflows'!$A$4:$I$917,7,FALSE)</f>
        <v>0</v>
      </c>
      <c r="AL487" s="2">
        <f>VLOOKUP($A487,'[2]App C Share Inflows'!$A$4:$I$917,8,FALSE)</f>
        <v>0</v>
      </c>
      <c r="AM487" s="2">
        <f>VLOOKUP($A487,'[2]App C Share Inflows'!$A$4:$I$917,6,FALSE)</f>
        <v>0</v>
      </c>
    </row>
    <row r="488" spans="1:39">
      <c r="A488" s="351">
        <v>95001</v>
      </c>
      <c r="B488" s="344" t="s">
        <v>1182</v>
      </c>
      <c r="C488" s="235" t="e">
        <f>VLOOKUP(A488,#REF!,10,FALSE)</f>
        <v>#REF!</v>
      </c>
      <c r="E488" s="2">
        <f>VLOOKUP($A488,'[2]App C Total'!$A$4:$I$917,5,FALSE)</f>
        <v>1162075</v>
      </c>
      <c r="F488" s="2">
        <f>VLOOKUP($A488,'[2]App C Total'!$A$4:$I$917,6,FALSE)</f>
        <v>382868</v>
      </c>
      <c r="G488" s="2">
        <f>VLOOKUP($A488,'[2]App C Total'!$A$4:$I$917,7,FALSE)</f>
        <v>613522</v>
      </c>
      <c r="H488" s="2">
        <f>VLOOKUP($A488,'[2]App C Total'!$A$4:$I$917,8,FALSE)</f>
        <v>194431</v>
      </c>
      <c r="I488" s="2">
        <f>VLOOKUP($A488,'[2]App C Total'!$A$4:$I$917,9,FALSE)</f>
        <v>0</v>
      </c>
      <c r="J488" s="2"/>
      <c r="K488" s="2">
        <f>VLOOKUP($A488,'[2]App C Exp'!$A$4:$I$917,5,FALSE)</f>
        <v>341845</v>
      </c>
      <c r="L488" s="2">
        <f>VLOOKUP($A488,'[2]App C Exp'!$A$4:$I$917,6,FALSE)</f>
        <v>321565</v>
      </c>
      <c r="M488" s="2">
        <f>VLOOKUP($A488,'[2]App C Exp'!$A$4:$I$917,7,FALSE)</f>
        <v>288215</v>
      </c>
      <c r="N488" s="2">
        <f>VLOOKUP($A488,'[2]App C Exp'!$A$4:$I$917,8,FALSE)</f>
        <v>115398</v>
      </c>
      <c r="O488" s="2">
        <f>VLOOKUP($A488,'[2]App C Exp'!$A$4:$I$917,9,FALSE)</f>
        <v>0</v>
      </c>
      <c r="P488" s="2"/>
      <c r="Q488" s="2">
        <f>VLOOKUP($A488,'[2]App C Inv'!$A$4:$I$917,5,FALSE)</f>
        <v>362916</v>
      </c>
      <c r="R488" s="2">
        <f>VLOOKUP($A488,'[2]App C Inv'!$A$4:$I$917,6,FALSE)</f>
        <v>-312175</v>
      </c>
      <c r="S488" s="2">
        <f>VLOOKUP($A488,'[2]App C Inv'!$A$4:$I$917,7,FALSE)</f>
        <v>43997</v>
      </c>
      <c r="T488" s="2">
        <f>VLOOKUP($A488,'[2]App C Inv'!$A$4:$I$917,8,FALSE)</f>
        <v>57262</v>
      </c>
      <c r="U488" s="2">
        <f>VLOOKUP($A488,'[2]App C Inv'!$A$4:$I$917,9,FALSE)</f>
        <v>0</v>
      </c>
      <c r="V488" s="2"/>
      <c r="W488" s="2">
        <f>VLOOKUP($A488,'[2]App C Assum'!$A$4:$I$917,5,FALSE)</f>
        <v>408830</v>
      </c>
      <c r="X488" s="2">
        <f>VLOOKUP($A488,'[2]App C Assum'!$A$4:$I$917,6,FALSE)</f>
        <v>334928</v>
      </c>
      <c r="Y488" s="2">
        <f>VLOOKUP($A488,'[2]App C Assum'!$A$4:$I$917,7,FALSE)</f>
        <v>271904</v>
      </c>
      <c r="Z488" s="2">
        <f>VLOOKUP($A488,'[2]App C Assum'!$A$4:$I$917,8,FALSE)</f>
        <v>0</v>
      </c>
      <c r="AA488" s="2">
        <f>VLOOKUP($A488,'[2]App C Assum'!$A$4:$I$917,9,FALSE)</f>
        <v>0</v>
      </c>
      <c r="AB488" s="2"/>
      <c r="AC488" s="2">
        <f>VLOOKUP($A488,'[2]App C Share Outflows'!$A$4:$I$917,5,FALSE)</f>
        <v>60850</v>
      </c>
      <c r="AD488" s="2">
        <f>VLOOKUP($A488,'[2]App C Share Outflows'!$A$4:$I$917,6,FALSE)</f>
        <v>50916</v>
      </c>
      <c r="AE488" s="2">
        <f>VLOOKUP($A488,'[2]App C Share Outflows'!$A$4:$I$917,7,FALSE)</f>
        <v>21772</v>
      </c>
      <c r="AF488" s="2">
        <f>VLOOKUP($A488,'[2]App C Share Outflows'!$A$4:$I$917,8,FALSE)</f>
        <v>21771</v>
      </c>
      <c r="AG488" s="2">
        <f>VLOOKUP($A488,'[2]App C Share Outflows'!$A$4:$I$917,9,FALSE)</f>
        <v>0</v>
      </c>
      <c r="AH488" s="2"/>
      <c r="AI488" s="2">
        <f>VLOOKUP($A488,'[2]App C Share Inflows'!$A$4:$I$917,5,FALSE)</f>
        <v>-12366</v>
      </c>
      <c r="AJ488" s="2">
        <f>VLOOKUP($A488,'[2]App C Share Inflows'!$A$4:$I$917,6,FALSE)</f>
        <v>-12366</v>
      </c>
      <c r="AK488" s="2">
        <f>VLOOKUP($A488,'[2]App C Share Inflows'!$A$4:$I$917,7,FALSE)</f>
        <v>-12366</v>
      </c>
      <c r="AL488" s="2">
        <f>VLOOKUP($A488,'[2]App C Share Inflows'!$A$4:$I$917,8,FALSE)</f>
        <v>0</v>
      </c>
      <c r="AM488" s="2">
        <f>VLOOKUP($A488,'[2]App C Share Inflows'!$A$4:$I$917,6,FALSE)</f>
        <v>-12366</v>
      </c>
    </row>
    <row r="489" spans="1:39">
      <c r="A489" s="351">
        <v>95002</v>
      </c>
      <c r="B489" s="344" t="s">
        <v>1183</v>
      </c>
      <c r="C489" s="235" t="e">
        <f>VLOOKUP(A489,#REF!,10,FALSE)</f>
        <v>#REF!</v>
      </c>
      <c r="E489" s="2">
        <f>VLOOKUP($A489,'[2]App C Total'!$A$4:$I$917,5,FALSE)</f>
        <v>97745</v>
      </c>
      <c r="F489" s="2">
        <f>VLOOKUP($A489,'[2]App C Total'!$A$4:$I$917,6,FALSE)</f>
        <v>34180</v>
      </c>
      <c r="G489" s="2">
        <f>VLOOKUP($A489,'[2]App C Total'!$A$4:$I$917,7,FALSE)</f>
        <v>53827</v>
      </c>
      <c r="H489" s="2">
        <f>VLOOKUP($A489,'[2]App C Total'!$A$4:$I$917,8,FALSE)</f>
        <v>17361</v>
      </c>
      <c r="I489" s="2">
        <f>VLOOKUP($A489,'[2]App C Total'!$A$4:$I$917,9,FALSE)</f>
        <v>0</v>
      </c>
      <c r="J489" s="2"/>
      <c r="K489" s="2">
        <f>VLOOKUP($A489,'[2]App C Exp'!$A$4:$I$917,5,FALSE)</f>
        <v>27040</v>
      </c>
      <c r="L489" s="2">
        <f>VLOOKUP($A489,'[2]App C Exp'!$A$4:$I$917,6,FALSE)</f>
        <v>25436</v>
      </c>
      <c r="M489" s="2">
        <f>VLOOKUP($A489,'[2]App C Exp'!$A$4:$I$917,7,FALSE)</f>
        <v>22798</v>
      </c>
      <c r="N489" s="2">
        <f>VLOOKUP($A489,'[2]App C Exp'!$A$4:$I$917,8,FALSE)</f>
        <v>9128</v>
      </c>
      <c r="O489" s="2">
        <f>VLOOKUP($A489,'[2]App C Exp'!$A$4:$I$917,9,FALSE)</f>
        <v>0</v>
      </c>
      <c r="P489" s="2"/>
      <c r="Q489" s="2">
        <f>VLOOKUP($A489,'[2]App C Inv'!$A$4:$I$917,5,FALSE)</f>
        <v>28707</v>
      </c>
      <c r="R489" s="2">
        <f>VLOOKUP($A489,'[2]App C Inv'!$A$4:$I$917,6,FALSE)</f>
        <v>-24693</v>
      </c>
      <c r="S489" s="2">
        <f>VLOOKUP($A489,'[2]App C Inv'!$A$4:$I$917,7,FALSE)</f>
        <v>3480</v>
      </c>
      <c r="T489" s="2">
        <f>VLOOKUP($A489,'[2]App C Inv'!$A$4:$I$917,8,FALSE)</f>
        <v>4529</v>
      </c>
      <c r="U489" s="2">
        <f>VLOOKUP($A489,'[2]App C Inv'!$A$4:$I$917,9,FALSE)</f>
        <v>0</v>
      </c>
      <c r="V489" s="2"/>
      <c r="W489" s="2">
        <f>VLOOKUP($A489,'[2]App C Assum'!$A$4:$I$917,5,FALSE)</f>
        <v>32339</v>
      </c>
      <c r="X489" s="2">
        <f>VLOOKUP($A489,'[2]App C Assum'!$A$4:$I$917,6,FALSE)</f>
        <v>26493</v>
      </c>
      <c r="Y489" s="2">
        <f>VLOOKUP($A489,'[2]App C Assum'!$A$4:$I$917,7,FALSE)</f>
        <v>21508</v>
      </c>
      <c r="Z489" s="2">
        <f>VLOOKUP($A489,'[2]App C Assum'!$A$4:$I$917,8,FALSE)</f>
        <v>0</v>
      </c>
      <c r="AA489" s="2">
        <f>VLOOKUP($A489,'[2]App C Assum'!$A$4:$I$917,9,FALSE)</f>
        <v>0</v>
      </c>
      <c r="AB489" s="2"/>
      <c r="AC489" s="2">
        <f>VLOOKUP($A489,'[2]App C Share Outflows'!$A$4:$I$917,5,FALSE)</f>
        <v>9659</v>
      </c>
      <c r="AD489" s="2">
        <f>VLOOKUP($A489,'[2]App C Share Outflows'!$A$4:$I$917,6,FALSE)</f>
        <v>6944</v>
      </c>
      <c r="AE489" s="2">
        <f>VLOOKUP($A489,'[2]App C Share Outflows'!$A$4:$I$917,7,FALSE)</f>
        <v>6041</v>
      </c>
      <c r="AF489" s="2">
        <f>VLOOKUP($A489,'[2]App C Share Outflows'!$A$4:$I$917,8,FALSE)</f>
        <v>3704</v>
      </c>
      <c r="AG489" s="2">
        <f>VLOOKUP($A489,'[2]App C Share Outflows'!$A$4:$I$917,9,FALSE)</f>
        <v>0</v>
      </c>
      <c r="AH489" s="2"/>
      <c r="AI489" s="2">
        <f>VLOOKUP($A489,'[2]App C Share Inflows'!$A$4:$I$917,5,FALSE)</f>
        <v>0</v>
      </c>
      <c r="AJ489" s="2">
        <f>VLOOKUP($A489,'[2]App C Share Inflows'!$A$4:$I$917,6,FALSE)</f>
        <v>0</v>
      </c>
      <c r="AK489" s="2">
        <f>VLOOKUP($A489,'[2]App C Share Inflows'!$A$4:$I$917,7,FALSE)</f>
        <v>0</v>
      </c>
      <c r="AL489" s="2">
        <f>VLOOKUP($A489,'[2]App C Share Inflows'!$A$4:$I$917,8,FALSE)</f>
        <v>0</v>
      </c>
      <c r="AM489" s="2">
        <f>VLOOKUP($A489,'[2]App C Share Inflows'!$A$4:$I$917,6,FALSE)</f>
        <v>0</v>
      </c>
    </row>
    <row r="490" spans="1:39">
      <c r="A490" s="351">
        <v>95005</v>
      </c>
      <c r="B490" s="344" t="s">
        <v>1184</v>
      </c>
      <c r="C490" s="235" t="e">
        <f>VLOOKUP(A490,#REF!,10,FALSE)</f>
        <v>#REF!</v>
      </c>
      <c r="E490" s="2">
        <f>VLOOKUP($A490,'[2]App C Total'!$A$4:$I$917,5,FALSE)</f>
        <v>88812</v>
      </c>
      <c r="F490" s="2">
        <f>VLOOKUP($A490,'[2]App C Total'!$A$4:$I$917,6,FALSE)</f>
        <v>25456</v>
      </c>
      <c r="G490" s="2">
        <f>VLOOKUP($A490,'[2]App C Total'!$A$4:$I$917,7,FALSE)</f>
        <v>47218</v>
      </c>
      <c r="H490" s="2">
        <f>VLOOKUP($A490,'[2]App C Total'!$A$4:$I$917,8,FALSE)</f>
        <v>12339</v>
      </c>
      <c r="I490" s="2">
        <f>VLOOKUP($A490,'[2]App C Total'!$A$4:$I$917,9,FALSE)</f>
        <v>0</v>
      </c>
      <c r="J490" s="2"/>
      <c r="K490" s="2">
        <f>VLOOKUP($A490,'[2]App C Exp'!$A$4:$I$917,5,FALSE)</f>
        <v>28194</v>
      </c>
      <c r="L490" s="2">
        <f>VLOOKUP($A490,'[2]App C Exp'!$A$4:$I$917,6,FALSE)</f>
        <v>26521</v>
      </c>
      <c r="M490" s="2">
        <f>VLOOKUP($A490,'[2]App C Exp'!$A$4:$I$917,7,FALSE)</f>
        <v>23771</v>
      </c>
      <c r="N490" s="2">
        <f>VLOOKUP($A490,'[2]App C Exp'!$A$4:$I$917,8,FALSE)</f>
        <v>9517</v>
      </c>
      <c r="O490" s="2">
        <f>VLOOKUP($A490,'[2]App C Exp'!$A$4:$I$917,9,FALSE)</f>
        <v>0</v>
      </c>
      <c r="P490" s="2"/>
      <c r="Q490" s="2">
        <f>VLOOKUP($A490,'[2]App C Inv'!$A$4:$I$917,5,FALSE)</f>
        <v>29932</v>
      </c>
      <c r="R490" s="2">
        <f>VLOOKUP($A490,'[2]App C Inv'!$A$4:$I$917,6,FALSE)</f>
        <v>-25747</v>
      </c>
      <c r="S490" s="2">
        <f>VLOOKUP($A490,'[2]App C Inv'!$A$4:$I$917,7,FALSE)</f>
        <v>3629</v>
      </c>
      <c r="T490" s="2">
        <f>VLOOKUP($A490,'[2]App C Inv'!$A$4:$I$917,8,FALSE)</f>
        <v>4723</v>
      </c>
      <c r="U490" s="2">
        <f>VLOOKUP($A490,'[2]App C Inv'!$A$4:$I$917,9,FALSE)</f>
        <v>0</v>
      </c>
      <c r="V490" s="2"/>
      <c r="W490" s="2">
        <f>VLOOKUP($A490,'[2]App C Assum'!$A$4:$I$917,5,FALSE)</f>
        <v>33718</v>
      </c>
      <c r="X490" s="2">
        <f>VLOOKUP($A490,'[2]App C Assum'!$A$4:$I$917,6,FALSE)</f>
        <v>27623</v>
      </c>
      <c r="Y490" s="2">
        <f>VLOOKUP($A490,'[2]App C Assum'!$A$4:$I$917,7,FALSE)</f>
        <v>22425</v>
      </c>
      <c r="Z490" s="2">
        <f>VLOOKUP($A490,'[2]App C Assum'!$A$4:$I$917,8,FALSE)</f>
        <v>0</v>
      </c>
      <c r="AA490" s="2">
        <f>VLOOKUP($A490,'[2]App C Assum'!$A$4:$I$917,9,FALSE)</f>
        <v>0</v>
      </c>
      <c r="AB490" s="2"/>
      <c r="AC490" s="2">
        <f>VLOOKUP($A490,'[2]App C Share Outflows'!$A$4:$I$917,5,FALSE)</f>
        <v>0</v>
      </c>
      <c r="AD490" s="2">
        <f>VLOOKUP($A490,'[2]App C Share Outflows'!$A$4:$I$917,6,FALSE)</f>
        <v>0</v>
      </c>
      <c r="AE490" s="2">
        <f>VLOOKUP($A490,'[2]App C Share Outflows'!$A$4:$I$917,7,FALSE)</f>
        <v>0</v>
      </c>
      <c r="AF490" s="2">
        <f>VLOOKUP($A490,'[2]App C Share Outflows'!$A$4:$I$917,8,FALSE)</f>
        <v>0</v>
      </c>
      <c r="AG490" s="2">
        <f>VLOOKUP($A490,'[2]App C Share Outflows'!$A$4:$I$917,9,FALSE)</f>
        <v>0</v>
      </c>
      <c r="AH490" s="2"/>
      <c r="AI490" s="2">
        <f>VLOOKUP($A490,'[2]App C Share Inflows'!$A$4:$I$917,5,FALSE)</f>
        <v>-3032</v>
      </c>
      <c r="AJ490" s="2">
        <f>VLOOKUP($A490,'[2]App C Share Inflows'!$A$4:$I$917,6,FALSE)</f>
        <v>-2941</v>
      </c>
      <c r="AK490" s="2">
        <f>VLOOKUP($A490,'[2]App C Share Inflows'!$A$4:$I$917,7,FALSE)</f>
        <v>-2607</v>
      </c>
      <c r="AL490" s="2">
        <f>VLOOKUP($A490,'[2]App C Share Inflows'!$A$4:$I$917,8,FALSE)</f>
        <v>-1901</v>
      </c>
      <c r="AM490" s="2">
        <f>VLOOKUP($A490,'[2]App C Share Inflows'!$A$4:$I$917,6,FALSE)</f>
        <v>-2941</v>
      </c>
    </row>
    <row r="491" spans="1:39">
      <c r="A491" s="351">
        <v>95008</v>
      </c>
      <c r="B491" s="344" t="s">
        <v>3682</v>
      </c>
      <c r="C491" s="235" t="e">
        <f>VLOOKUP(A491,#REF!,10,FALSE)</f>
        <v>#REF!</v>
      </c>
      <c r="E491" s="2">
        <f>VLOOKUP($A491,'[2]App C Total'!$A$4:$I$917,5,FALSE)</f>
        <v>62682</v>
      </c>
      <c r="F491" s="2">
        <f>VLOOKUP($A491,'[2]App C Total'!$A$4:$I$917,6,FALSE)</f>
        <v>24338</v>
      </c>
      <c r="G491" s="2">
        <f>VLOOKUP($A491,'[2]App C Total'!$A$4:$I$917,7,FALSE)</f>
        <v>36219</v>
      </c>
      <c r="H491" s="2">
        <f>VLOOKUP($A491,'[2]App C Total'!$A$4:$I$917,8,FALSE)</f>
        <v>11025</v>
      </c>
      <c r="I491" s="2">
        <f>VLOOKUP($A491,'[2]App C Total'!$A$4:$I$917,9,FALSE)</f>
        <v>0</v>
      </c>
      <c r="J491" s="2"/>
      <c r="K491" s="2">
        <f>VLOOKUP($A491,'[2]App C Exp'!$A$4:$I$917,5,FALSE)</f>
        <v>17872</v>
      </c>
      <c r="L491" s="2">
        <f>VLOOKUP($A491,'[2]App C Exp'!$A$4:$I$917,6,FALSE)</f>
        <v>16812</v>
      </c>
      <c r="M491" s="2">
        <f>VLOOKUP($A491,'[2]App C Exp'!$A$4:$I$917,7,FALSE)</f>
        <v>15068</v>
      </c>
      <c r="N491" s="2">
        <f>VLOOKUP($A491,'[2]App C Exp'!$A$4:$I$917,8,FALSE)</f>
        <v>6033</v>
      </c>
      <c r="O491" s="2">
        <f>VLOOKUP($A491,'[2]App C Exp'!$A$4:$I$917,9,FALSE)</f>
        <v>0</v>
      </c>
      <c r="P491" s="2"/>
      <c r="Q491" s="2">
        <f>VLOOKUP($A491,'[2]App C Inv'!$A$4:$I$917,5,FALSE)</f>
        <v>18974</v>
      </c>
      <c r="R491" s="2">
        <f>VLOOKUP($A491,'[2]App C Inv'!$A$4:$I$917,6,FALSE)</f>
        <v>-16321</v>
      </c>
      <c r="S491" s="2">
        <f>VLOOKUP($A491,'[2]App C Inv'!$A$4:$I$917,7,FALSE)</f>
        <v>2300</v>
      </c>
      <c r="T491" s="2">
        <f>VLOOKUP($A491,'[2]App C Inv'!$A$4:$I$917,8,FALSE)</f>
        <v>2994</v>
      </c>
      <c r="U491" s="2">
        <f>VLOOKUP($A491,'[2]App C Inv'!$A$4:$I$917,9,FALSE)</f>
        <v>0</v>
      </c>
      <c r="V491" s="2"/>
      <c r="W491" s="2">
        <f>VLOOKUP($A491,'[2]App C Assum'!$A$4:$I$917,5,FALSE)</f>
        <v>21374</v>
      </c>
      <c r="X491" s="2">
        <f>VLOOKUP($A491,'[2]App C Assum'!$A$4:$I$917,6,FALSE)</f>
        <v>17510</v>
      </c>
      <c r="Y491" s="2">
        <f>VLOOKUP($A491,'[2]App C Assum'!$A$4:$I$917,7,FALSE)</f>
        <v>14215</v>
      </c>
      <c r="Z491" s="2">
        <f>VLOOKUP($A491,'[2]App C Assum'!$A$4:$I$917,8,FALSE)</f>
        <v>0</v>
      </c>
      <c r="AA491" s="2">
        <f>VLOOKUP($A491,'[2]App C Assum'!$A$4:$I$917,9,FALSE)</f>
        <v>0</v>
      </c>
      <c r="AB491" s="2"/>
      <c r="AC491" s="2">
        <f>VLOOKUP($A491,'[2]App C Share Outflows'!$A$4:$I$917,5,FALSE)</f>
        <v>6339</v>
      </c>
      <c r="AD491" s="2">
        <f>VLOOKUP($A491,'[2]App C Share Outflows'!$A$4:$I$917,6,FALSE)</f>
        <v>6337</v>
      </c>
      <c r="AE491" s="2">
        <f>VLOOKUP($A491,'[2]App C Share Outflows'!$A$4:$I$917,7,FALSE)</f>
        <v>4636</v>
      </c>
      <c r="AF491" s="2">
        <f>VLOOKUP($A491,'[2]App C Share Outflows'!$A$4:$I$917,8,FALSE)</f>
        <v>1998</v>
      </c>
      <c r="AG491" s="2">
        <f>VLOOKUP($A491,'[2]App C Share Outflows'!$A$4:$I$917,9,FALSE)</f>
        <v>0</v>
      </c>
      <c r="AH491" s="2"/>
      <c r="AI491" s="2">
        <f>VLOOKUP($A491,'[2]App C Share Inflows'!$A$4:$I$917,5,FALSE)</f>
        <v>-1877</v>
      </c>
      <c r="AJ491" s="2">
        <f>VLOOKUP($A491,'[2]App C Share Inflows'!$A$4:$I$917,6,FALSE)</f>
        <v>0</v>
      </c>
      <c r="AK491" s="2">
        <f>VLOOKUP($A491,'[2]App C Share Inflows'!$A$4:$I$917,7,FALSE)</f>
        <v>0</v>
      </c>
      <c r="AL491" s="2">
        <f>VLOOKUP($A491,'[2]App C Share Inflows'!$A$4:$I$917,8,FALSE)</f>
        <v>0</v>
      </c>
      <c r="AM491" s="2">
        <f>VLOOKUP($A491,'[2]App C Share Inflows'!$A$4:$I$917,6,FALSE)</f>
        <v>0</v>
      </c>
    </row>
    <row r="492" spans="1:39">
      <c r="A492" s="351">
        <v>95009</v>
      </c>
      <c r="B492" s="344" t="s">
        <v>1186</v>
      </c>
      <c r="C492" s="235" t="e">
        <f>VLOOKUP(A492,#REF!,10,FALSE)</f>
        <v>#REF!</v>
      </c>
      <c r="E492" s="2">
        <f>VLOOKUP($A492,'[2]App C Total'!$A$4:$I$917,5,FALSE)</f>
        <v>2026157</v>
      </c>
      <c r="F492" s="2">
        <f>VLOOKUP($A492,'[2]App C Total'!$A$4:$I$917,6,FALSE)</f>
        <v>606000</v>
      </c>
      <c r="G492" s="2">
        <f>VLOOKUP($A492,'[2]App C Total'!$A$4:$I$917,7,FALSE)</f>
        <v>1034947</v>
      </c>
      <c r="H492" s="2">
        <f>VLOOKUP($A492,'[2]App C Total'!$A$4:$I$917,8,FALSE)</f>
        <v>293245</v>
      </c>
      <c r="I492" s="2">
        <f>VLOOKUP($A492,'[2]App C Total'!$A$4:$I$917,9,FALSE)</f>
        <v>0</v>
      </c>
      <c r="J492" s="2"/>
      <c r="K492" s="2">
        <f>VLOOKUP($A492,'[2]App C Exp'!$A$4:$I$917,5,FALSE)</f>
        <v>610059</v>
      </c>
      <c r="L492" s="2">
        <f>VLOOKUP($A492,'[2]App C Exp'!$A$4:$I$917,6,FALSE)</f>
        <v>573869</v>
      </c>
      <c r="M492" s="2">
        <f>VLOOKUP($A492,'[2]App C Exp'!$A$4:$I$917,7,FALSE)</f>
        <v>514352</v>
      </c>
      <c r="N492" s="2">
        <f>VLOOKUP($A492,'[2]App C Exp'!$A$4:$I$917,8,FALSE)</f>
        <v>205940</v>
      </c>
      <c r="O492" s="2">
        <f>VLOOKUP($A492,'[2]App C Exp'!$A$4:$I$917,9,FALSE)</f>
        <v>0</v>
      </c>
      <c r="P492" s="2"/>
      <c r="Q492" s="2">
        <f>VLOOKUP($A492,'[2]App C Inv'!$A$4:$I$917,5,FALSE)</f>
        <v>647663</v>
      </c>
      <c r="R492" s="2">
        <f>VLOOKUP($A492,'[2]App C Inv'!$A$4:$I$917,6,FALSE)</f>
        <v>-557111</v>
      </c>
      <c r="S492" s="2">
        <f>VLOOKUP($A492,'[2]App C Inv'!$A$4:$I$917,7,FALSE)</f>
        <v>78518</v>
      </c>
      <c r="T492" s="2">
        <f>VLOOKUP($A492,'[2]App C Inv'!$A$4:$I$917,8,FALSE)</f>
        <v>102190</v>
      </c>
      <c r="U492" s="2">
        <f>VLOOKUP($A492,'[2]App C Inv'!$A$4:$I$917,9,FALSE)</f>
        <v>0</v>
      </c>
      <c r="V492" s="2"/>
      <c r="W492" s="2">
        <f>VLOOKUP($A492,'[2]App C Assum'!$A$4:$I$917,5,FALSE)</f>
        <v>729601</v>
      </c>
      <c r="X492" s="2">
        <f>VLOOKUP($A492,'[2]App C Assum'!$A$4:$I$917,6,FALSE)</f>
        <v>597716</v>
      </c>
      <c r="Y492" s="2">
        <f>VLOOKUP($A492,'[2]App C Assum'!$A$4:$I$917,7,FALSE)</f>
        <v>485243</v>
      </c>
      <c r="Z492" s="2">
        <f>VLOOKUP($A492,'[2]App C Assum'!$A$4:$I$917,8,FALSE)</f>
        <v>0</v>
      </c>
      <c r="AA492" s="2">
        <f>VLOOKUP($A492,'[2]App C Assum'!$A$4:$I$917,9,FALSE)</f>
        <v>0</v>
      </c>
      <c r="AB492" s="2"/>
      <c r="AC492" s="2">
        <f>VLOOKUP($A492,'[2]App C Share Outflows'!$A$4:$I$917,5,FALSE)</f>
        <v>82000</v>
      </c>
      <c r="AD492" s="2">
        <f>VLOOKUP($A492,'[2]App C Share Outflows'!$A$4:$I$917,6,FALSE)</f>
        <v>34692</v>
      </c>
      <c r="AE492" s="2">
        <f>VLOOKUP($A492,'[2]App C Share Outflows'!$A$4:$I$917,7,FALSE)</f>
        <v>0</v>
      </c>
      <c r="AF492" s="2">
        <f>VLOOKUP($A492,'[2]App C Share Outflows'!$A$4:$I$917,8,FALSE)</f>
        <v>0</v>
      </c>
      <c r="AG492" s="2">
        <f>VLOOKUP($A492,'[2]App C Share Outflows'!$A$4:$I$917,9,FALSE)</f>
        <v>0</v>
      </c>
      <c r="AH492" s="2"/>
      <c r="AI492" s="2">
        <f>VLOOKUP($A492,'[2]App C Share Inflows'!$A$4:$I$917,5,FALSE)</f>
        <v>-43166</v>
      </c>
      <c r="AJ492" s="2">
        <f>VLOOKUP($A492,'[2]App C Share Inflows'!$A$4:$I$917,6,FALSE)</f>
        <v>-43166</v>
      </c>
      <c r="AK492" s="2">
        <f>VLOOKUP($A492,'[2]App C Share Inflows'!$A$4:$I$917,7,FALSE)</f>
        <v>-43166</v>
      </c>
      <c r="AL492" s="2">
        <f>VLOOKUP($A492,'[2]App C Share Inflows'!$A$4:$I$917,8,FALSE)</f>
        <v>-14885</v>
      </c>
      <c r="AM492" s="2">
        <f>VLOOKUP($A492,'[2]App C Share Inflows'!$A$4:$I$917,6,FALSE)</f>
        <v>-43166</v>
      </c>
    </row>
    <row r="493" spans="1:39">
      <c r="A493" s="351">
        <v>95011</v>
      </c>
      <c r="B493" s="344" t="s">
        <v>1187</v>
      </c>
      <c r="C493" s="235" t="e">
        <f>VLOOKUP(A493,#REF!,10,FALSE)</f>
        <v>#REF!</v>
      </c>
      <c r="E493" s="2">
        <f>VLOOKUP($A493,'[2]App C Total'!$A$4:$I$917,5,FALSE)</f>
        <v>94012</v>
      </c>
      <c r="F493" s="2">
        <f>VLOOKUP($A493,'[2]App C Total'!$A$4:$I$917,6,FALSE)</f>
        <v>30911</v>
      </c>
      <c r="G493" s="2">
        <f>VLOOKUP($A493,'[2]App C Total'!$A$4:$I$917,7,FALSE)</f>
        <v>51988</v>
      </c>
      <c r="H493" s="2">
        <f>VLOOKUP($A493,'[2]App C Total'!$A$4:$I$917,8,FALSE)</f>
        <v>14815</v>
      </c>
      <c r="I493" s="2">
        <f>VLOOKUP($A493,'[2]App C Total'!$A$4:$I$917,9,FALSE)</f>
        <v>0</v>
      </c>
      <c r="J493" s="2"/>
      <c r="K493" s="2">
        <f>VLOOKUP($A493,'[2]App C Exp'!$A$4:$I$917,5,FALSE)</f>
        <v>28808</v>
      </c>
      <c r="L493" s="2">
        <f>VLOOKUP($A493,'[2]App C Exp'!$A$4:$I$917,6,FALSE)</f>
        <v>27099</v>
      </c>
      <c r="M493" s="2">
        <f>VLOOKUP($A493,'[2]App C Exp'!$A$4:$I$917,7,FALSE)</f>
        <v>24288</v>
      </c>
      <c r="N493" s="2">
        <f>VLOOKUP($A493,'[2]App C Exp'!$A$4:$I$917,8,FALSE)</f>
        <v>9725</v>
      </c>
      <c r="O493" s="2">
        <f>VLOOKUP($A493,'[2]App C Exp'!$A$4:$I$917,9,FALSE)</f>
        <v>0</v>
      </c>
      <c r="P493" s="2"/>
      <c r="Q493" s="2">
        <f>VLOOKUP($A493,'[2]App C Inv'!$A$4:$I$917,5,FALSE)</f>
        <v>30584</v>
      </c>
      <c r="R493" s="2">
        <f>VLOOKUP($A493,'[2]App C Inv'!$A$4:$I$917,6,FALSE)</f>
        <v>-26308</v>
      </c>
      <c r="S493" s="2">
        <f>VLOOKUP($A493,'[2]App C Inv'!$A$4:$I$917,7,FALSE)</f>
        <v>3708</v>
      </c>
      <c r="T493" s="2">
        <f>VLOOKUP($A493,'[2]App C Inv'!$A$4:$I$917,8,FALSE)</f>
        <v>4826</v>
      </c>
      <c r="U493" s="2">
        <f>VLOOKUP($A493,'[2]App C Inv'!$A$4:$I$917,9,FALSE)</f>
        <v>0</v>
      </c>
      <c r="V493" s="2"/>
      <c r="W493" s="2">
        <f>VLOOKUP($A493,'[2]App C Assum'!$A$4:$I$917,5,FALSE)</f>
        <v>34453</v>
      </c>
      <c r="X493" s="2">
        <f>VLOOKUP($A493,'[2]App C Assum'!$A$4:$I$917,6,FALSE)</f>
        <v>28225</v>
      </c>
      <c r="Y493" s="2">
        <f>VLOOKUP($A493,'[2]App C Assum'!$A$4:$I$917,7,FALSE)</f>
        <v>22914</v>
      </c>
      <c r="Z493" s="2">
        <f>VLOOKUP($A493,'[2]App C Assum'!$A$4:$I$917,8,FALSE)</f>
        <v>0</v>
      </c>
      <c r="AA493" s="2">
        <f>VLOOKUP($A493,'[2]App C Assum'!$A$4:$I$917,9,FALSE)</f>
        <v>0</v>
      </c>
      <c r="AB493" s="2"/>
      <c r="AC493" s="2">
        <f>VLOOKUP($A493,'[2]App C Share Outflows'!$A$4:$I$917,5,FALSE)</f>
        <v>1897</v>
      </c>
      <c r="AD493" s="2">
        <f>VLOOKUP($A493,'[2]App C Share Outflows'!$A$4:$I$917,6,FALSE)</f>
        <v>1895</v>
      </c>
      <c r="AE493" s="2">
        <f>VLOOKUP($A493,'[2]App C Share Outflows'!$A$4:$I$917,7,FALSE)</f>
        <v>1078</v>
      </c>
      <c r="AF493" s="2">
        <f>VLOOKUP($A493,'[2]App C Share Outflows'!$A$4:$I$917,8,FALSE)</f>
        <v>264</v>
      </c>
      <c r="AG493" s="2">
        <f>VLOOKUP($A493,'[2]App C Share Outflows'!$A$4:$I$917,9,FALSE)</f>
        <v>0</v>
      </c>
      <c r="AH493" s="2"/>
      <c r="AI493" s="2">
        <f>VLOOKUP($A493,'[2]App C Share Inflows'!$A$4:$I$917,5,FALSE)</f>
        <v>-1730</v>
      </c>
      <c r="AJ493" s="2">
        <f>VLOOKUP($A493,'[2]App C Share Inflows'!$A$4:$I$917,6,FALSE)</f>
        <v>0</v>
      </c>
      <c r="AK493" s="2">
        <f>VLOOKUP($A493,'[2]App C Share Inflows'!$A$4:$I$917,7,FALSE)</f>
        <v>0</v>
      </c>
      <c r="AL493" s="2">
        <f>VLOOKUP($A493,'[2]App C Share Inflows'!$A$4:$I$917,8,FALSE)</f>
        <v>0</v>
      </c>
      <c r="AM493" s="2">
        <f>VLOOKUP($A493,'[2]App C Share Inflows'!$A$4:$I$917,6,FALSE)</f>
        <v>0</v>
      </c>
    </row>
    <row r="494" spans="1:39">
      <c r="A494" s="351">
        <v>95017</v>
      </c>
      <c r="B494" s="344" t="s">
        <v>1188</v>
      </c>
      <c r="C494" s="235" t="e">
        <f>VLOOKUP(A494,#REF!,10,FALSE)</f>
        <v>#REF!</v>
      </c>
      <c r="E494" s="2">
        <f>VLOOKUP($A494,'[2]App C Total'!$A$4:$I$917,5,FALSE)</f>
        <v>25919</v>
      </c>
      <c r="F494" s="2">
        <f>VLOOKUP($A494,'[2]App C Total'!$A$4:$I$917,6,FALSE)</f>
        <v>7981</v>
      </c>
      <c r="G494" s="2">
        <f>VLOOKUP($A494,'[2]App C Total'!$A$4:$I$917,7,FALSE)</f>
        <v>13780</v>
      </c>
      <c r="H494" s="2">
        <f>VLOOKUP($A494,'[2]App C Total'!$A$4:$I$917,8,FALSE)</f>
        <v>3864</v>
      </c>
      <c r="I494" s="2">
        <f>VLOOKUP($A494,'[2]App C Total'!$A$4:$I$917,9,FALSE)</f>
        <v>0</v>
      </c>
      <c r="J494" s="2"/>
      <c r="K494" s="2">
        <f>VLOOKUP($A494,'[2]App C Exp'!$A$4:$I$917,5,FALSE)</f>
        <v>7640</v>
      </c>
      <c r="L494" s="2">
        <f>VLOOKUP($A494,'[2]App C Exp'!$A$4:$I$917,6,FALSE)</f>
        <v>7187</v>
      </c>
      <c r="M494" s="2">
        <f>VLOOKUP($A494,'[2]App C Exp'!$A$4:$I$917,7,FALSE)</f>
        <v>6442</v>
      </c>
      <c r="N494" s="2">
        <f>VLOOKUP($A494,'[2]App C Exp'!$A$4:$I$917,8,FALSE)</f>
        <v>2579</v>
      </c>
      <c r="O494" s="2">
        <f>VLOOKUP($A494,'[2]App C Exp'!$A$4:$I$917,9,FALSE)</f>
        <v>0</v>
      </c>
      <c r="P494" s="2"/>
      <c r="Q494" s="2">
        <f>VLOOKUP($A494,'[2]App C Inv'!$A$4:$I$917,5,FALSE)</f>
        <v>8111</v>
      </c>
      <c r="R494" s="2">
        <f>VLOOKUP($A494,'[2]App C Inv'!$A$4:$I$917,6,FALSE)</f>
        <v>-6977</v>
      </c>
      <c r="S494" s="2">
        <f>VLOOKUP($A494,'[2]App C Inv'!$A$4:$I$917,7,FALSE)</f>
        <v>983</v>
      </c>
      <c r="T494" s="2">
        <f>VLOOKUP($A494,'[2]App C Inv'!$A$4:$I$917,8,FALSE)</f>
        <v>1280</v>
      </c>
      <c r="U494" s="2">
        <f>VLOOKUP($A494,'[2]App C Inv'!$A$4:$I$917,9,FALSE)</f>
        <v>0</v>
      </c>
      <c r="V494" s="2"/>
      <c r="W494" s="2">
        <f>VLOOKUP($A494,'[2]App C Assum'!$A$4:$I$917,5,FALSE)</f>
        <v>9137</v>
      </c>
      <c r="X494" s="2">
        <f>VLOOKUP($A494,'[2]App C Assum'!$A$4:$I$917,6,FALSE)</f>
        <v>7486</v>
      </c>
      <c r="Y494" s="2">
        <f>VLOOKUP($A494,'[2]App C Assum'!$A$4:$I$917,7,FALSE)</f>
        <v>6077</v>
      </c>
      <c r="Z494" s="2">
        <f>VLOOKUP($A494,'[2]App C Assum'!$A$4:$I$917,8,FALSE)</f>
        <v>0</v>
      </c>
      <c r="AA494" s="2">
        <f>VLOOKUP($A494,'[2]App C Assum'!$A$4:$I$917,9,FALSE)</f>
        <v>0</v>
      </c>
      <c r="AB494" s="2"/>
      <c r="AC494" s="2">
        <f>VLOOKUP($A494,'[2]App C Share Outflows'!$A$4:$I$917,5,FALSE)</f>
        <v>1031</v>
      </c>
      <c r="AD494" s="2">
        <f>VLOOKUP($A494,'[2]App C Share Outflows'!$A$4:$I$917,6,FALSE)</f>
        <v>285</v>
      </c>
      <c r="AE494" s="2">
        <f>VLOOKUP($A494,'[2]App C Share Outflows'!$A$4:$I$917,7,FALSE)</f>
        <v>278</v>
      </c>
      <c r="AF494" s="2">
        <f>VLOOKUP($A494,'[2]App C Share Outflows'!$A$4:$I$917,8,FALSE)</f>
        <v>5</v>
      </c>
      <c r="AG494" s="2">
        <f>VLOOKUP($A494,'[2]App C Share Outflows'!$A$4:$I$917,9,FALSE)</f>
        <v>0</v>
      </c>
      <c r="AH494" s="2"/>
      <c r="AI494" s="2">
        <f>VLOOKUP($A494,'[2]App C Share Inflows'!$A$4:$I$917,5,FALSE)</f>
        <v>0</v>
      </c>
      <c r="AJ494" s="2">
        <f>VLOOKUP($A494,'[2]App C Share Inflows'!$A$4:$I$917,6,FALSE)</f>
        <v>0</v>
      </c>
      <c r="AK494" s="2">
        <f>VLOOKUP($A494,'[2]App C Share Inflows'!$A$4:$I$917,7,FALSE)</f>
        <v>0</v>
      </c>
      <c r="AL494" s="2">
        <f>VLOOKUP($A494,'[2]App C Share Inflows'!$A$4:$I$917,8,FALSE)</f>
        <v>0</v>
      </c>
      <c r="AM494" s="2">
        <f>VLOOKUP($A494,'[2]App C Share Inflows'!$A$4:$I$917,6,FALSE)</f>
        <v>0</v>
      </c>
    </row>
    <row r="495" spans="1:39">
      <c r="A495" s="351">
        <v>95101</v>
      </c>
      <c r="B495" s="344" t="s">
        <v>1189</v>
      </c>
      <c r="C495" s="235" t="e">
        <f>VLOOKUP(A495,#REF!,10,FALSE)</f>
        <v>#REF!</v>
      </c>
      <c r="E495" s="2">
        <f>VLOOKUP($A495,'[2]App C Total'!$A$4:$I$917,5,FALSE)</f>
        <v>4279680</v>
      </c>
      <c r="F495" s="2">
        <f>VLOOKUP($A495,'[2]App C Total'!$A$4:$I$917,6,FALSE)</f>
        <v>1316628</v>
      </c>
      <c r="G495" s="2">
        <f>VLOOKUP($A495,'[2]App C Total'!$A$4:$I$917,7,FALSE)</f>
        <v>2335496</v>
      </c>
      <c r="H495" s="2">
        <f>VLOOKUP($A495,'[2]App C Total'!$A$4:$I$917,8,FALSE)</f>
        <v>680428</v>
      </c>
      <c r="I495" s="2">
        <f>VLOOKUP($A495,'[2]App C Total'!$A$4:$I$917,9,FALSE)</f>
        <v>0</v>
      </c>
      <c r="J495" s="2"/>
      <c r="K495" s="2">
        <f>VLOOKUP($A495,'[2]App C Exp'!$A$4:$I$917,5,FALSE)</f>
        <v>1326017</v>
      </c>
      <c r="L495" s="2">
        <f>VLOOKUP($A495,'[2]App C Exp'!$A$4:$I$917,6,FALSE)</f>
        <v>1247353</v>
      </c>
      <c r="M495" s="2">
        <f>VLOOKUP($A495,'[2]App C Exp'!$A$4:$I$917,7,FALSE)</f>
        <v>1117989</v>
      </c>
      <c r="N495" s="2">
        <f>VLOOKUP($A495,'[2]App C Exp'!$A$4:$I$917,8,FALSE)</f>
        <v>447629</v>
      </c>
      <c r="O495" s="2">
        <f>VLOOKUP($A495,'[2]App C Exp'!$A$4:$I$917,9,FALSE)</f>
        <v>0</v>
      </c>
      <c r="P495" s="2"/>
      <c r="Q495" s="2">
        <f>VLOOKUP($A495,'[2]App C Inv'!$A$4:$I$917,5,FALSE)</f>
        <v>1407751</v>
      </c>
      <c r="R495" s="2">
        <f>VLOOKUP($A495,'[2]App C Inv'!$A$4:$I$917,6,FALSE)</f>
        <v>-1210929</v>
      </c>
      <c r="S495" s="2">
        <f>VLOOKUP($A495,'[2]App C Inv'!$A$4:$I$917,7,FALSE)</f>
        <v>170666</v>
      </c>
      <c r="T495" s="2">
        <f>VLOOKUP($A495,'[2]App C Inv'!$A$4:$I$917,8,FALSE)</f>
        <v>222120</v>
      </c>
      <c r="U495" s="2">
        <f>VLOOKUP($A495,'[2]App C Inv'!$A$4:$I$917,9,FALSE)</f>
        <v>0</v>
      </c>
      <c r="V495" s="2"/>
      <c r="W495" s="2">
        <f>VLOOKUP($A495,'[2]App C Assum'!$A$4:$I$917,5,FALSE)</f>
        <v>1585852</v>
      </c>
      <c r="X495" s="2">
        <f>VLOOKUP($A495,'[2]App C Assum'!$A$4:$I$917,6,FALSE)</f>
        <v>1299188</v>
      </c>
      <c r="Y495" s="2">
        <f>VLOOKUP($A495,'[2]App C Assum'!$A$4:$I$917,7,FALSE)</f>
        <v>1054718</v>
      </c>
      <c r="Z495" s="2">
        <f>VLOOKUP($A495,'[2]App C Assum'!$A$4:$I$917,8,FALSE)</f>
        <v>0</v>
      </c>
      <c r="AA495" s="2">
        <f>VLOOKUP($A495,'[2]App C Assum'!$A$4:$I$917,9,FALSE)</f>
        <v>0</v>
      </c>
      <c r="AB495" s="2"/>
      <c r="AC495" s="2">
        <f>VLOOKUP($A495,'[2]App C Share Outflows'!$A$4:$I$917,5,FALSE)</f>
        <v>10681</v>
      </c>
      <c r="AD495" s="2">
        <f>VLOOKUP($A495,'[2]App C Share Outflows'!$A$4:$I$917,6,FALSE)</f>
        <v>10681</v>
      </c>
      <c r="AE495" s="2">
        <f>VLOOKUP($A495,'[2]App C Share Outflows'!$A$4:$I$917,7,FALSE)</f>
        <v>10681</v>
      </c>
      <c r="AF495" s="2">
        <f>VLOOKUP($A495,'[2]App C Share Outflows'!$A$4:$I$917,8,FALSE)</f>
        <v>10679</v>
      </c>
      <c r="AG495" s="2">
        <f>VLOOKUP($A495,'[2]App C Share Outflows'!$A$4:$I$917,9,FALSE)</f>
        <v>0</v>
      </c>
      <c r="AH495" s="2"/>
      <c r="AI495" s="2">
        <f>VLOOKUP($A495,'[2]App C Share Inflows'!$A$4:$I$917,5,FALSE)</f>
        <v>-50621</v>
      </c>
      <c r="AJ495" s="2">
        <f>VLOOKUP($A495,'[2]App C Share Inflows'!$A$4:$I$917,6,FALSE)</f>
        <v>-29665</v>
      </c>
      <c r="AK495" s="2">
        <f>VLOOKUP($A495,'[2]App C Share Inflows'!$A$4:$I$917,7,FALSE)</f>
        <v>-18558</v>
      </c>
      <c r="AL495" s="2">
        <f>VLOOKUP($A495,'[2]App C Share Inflows'!$A$4:$I$917,8,FALSE)</f>
        <v>0</v>
      </c>
      <c r="AM495" s="2">
        <f>VLOOKUP($A495,'[2]App C Share Inflows'!$A$4:$I$917,6,FALSE)</f>
        <v>-29665</v>
      </c>
    </row>
    <row r="496" spans="1:39">
      <c r="A496" s="351">
        <v>95103</v>
      </c>
      <c r="B496" s="344" t="s">
        <v>1190</v>
      </c>
      <c r="C496" s="235" t="e">
        <f>VLOOKUP(A496,#REF!,10,FALSE)</f>
        <v>#REF!</v>
      </c>
      <c r="E496" s="2">
        <f>VLOOKUP($A496,'[2]App C Total'!$A$4:$I$917,5,FALSE)</f>
        <v>30661</v>
      </c>
      <c r="F496" s="2">
        <f>VLOOKUP($A496,'[2]App C Total'!$A$4:$I$917,6,FALSE)</f>
        <v>11824</v>
      </c>
      <c r="G496" s="2">
        <f>VLOOKUP($A496,'[2]App C Total'!$A$4:$I$917,7,FALSE)</f>
        <v>17346</v>
      </c>
      <c r="H496" s="2">
        <f>VLOOKUP($A496,'[2]App C Total'!$A$4:$I$917,8,FALSE)</f>
        <v>6923</v>
      </c>
      <c r="I496" s="2">
        <f>VLOOKUP($A496,'[2]App C Total'!$A$4:$I$917,9,FALSE)</f>
        <v>0</v>
      </c>
      <c r="J496" s="2"/>
      <c r="K496" s="2">
        <f>VLOOKUP($A496,'[2]App C Exp'!$A$4:$I$917,5,FALSE)</f>
        <v>7580</v>
      </c>
      <c r="L496" s="2">
        <f>VLOOKUP($A496,'[2]App C Exp'!$A$4:$I$917,6,FALSE)</f>
        <v>7131</v>
      </c>
      <c r="M496" s="2">
        <f>VLOOKUP($A496,'[2]App C Exp'!$A$4:$I$917,7,FALSE)</f>
        <v>6391</v>
      </c>
      <c r="N496" s="2">
        <f>VLOOKUP($A496,'[2]App C Exp'!$A$4:$I$917,8,FALSE)</f>
        <v>2559</v>
      </c>
      <c r="O496" s="2">
        <f>VLOOKUP($A496,'[2]App C Exp'!$A$4:$I$917,9,FALSE)</f>
        <v>0</v>
      </c>
      <c r="P496" s="2"/>
      <c r="Q496" s="2">
        <f>VLOOKUP($A496,'[2]App C Inv'!$A$4:$I$917,5,FALSE)</f>
        <v>8047</v>
      </c>
      <c r="R496" s="2">
        <f>VLOOKUP($A496,'[2]App C Inv'!$A$4:$I$917,6,FALSE)</f>
        <v>-6922</v>
      </c>
      <c r="S496" s="2">
        <f>VLOOKUP($A496,'[2]App C Inv'!$A$4:$I$917,7,FALSE)</f>
        <v>976</v>
      </c>
      <c r="T496" s="2">
        <f>VLOOKUP($A496,'[2]App C Inv'!$A$4:$I$917,8,FALSE)</f>
        <v>1270</v>
      </c>
      <c r="U496" s="2">
        <f>VLOOKUP($A496,'[2]App C Inv'!$A$4:$I$917,9,FALSE)</f>
        <v>0</v>
      </c>
      <c r="V496" s="2"/>
      <c r="W496" s="2">
        <f>VLOOKUP($A496,'[2]App C Assum'!$A$4:$I$917,5,FALSE)</f>
        <v>9066</v>
      </c>
      <c r="X496" s="2">
        <f>VLOOKUP($A496,'[2]App C Assum'!$A$4:$I$917,6,FALSE)</f>
        <v>7427</v>
      </c>
      <c r="Y496" s="2">
        <f>VLOOKUP($A496,'[2]App C Assum'!$A$4:$I$917,7,FALSE)</f>
        <v>6029</v>
      </c>
      <c r="Z496" s="2">
        <f>VLOOKUP($A496,'[2]App C Assum'!$A$4:$I$917,8,FALSE)</f>
        <v>0</v>
      </c>
      <c r="AA496" s="2">
        <f>VLOOKUP($A496,'[2]App C Assum'!$A$4:$I$917,9,FALSE)</f>
        <v>0</v>
      </c>
      <c r="AB496" s="2"/>
      <c r="AC496" s="2">
        <f>VLOOKUP($A496,'[2]App C Share Outflows'!$A$4:$I$917,5,FALSE)</f>
        <v>5968</v>
      </c>
      <c r="AD496" s="2">
        <f>VLOOKUP($A496,'[2]App C Share Outflows'!$A$4:$I$917,6,FALSE)</f>
        <v>4188</v>
      </c>
      <c r="AE496" s="2">
        <f>VLOOKUP($A496,'[2]App C Share Outflows'!$A$4:$I$917,7,FALSE)</f>
        <v>3950</v>
      </c>
      <c r="AF496" s="2">
        <f>VLOOKUP($A496,'[2]App C Share Outflows'!$A$4:$I$917,8,FALSE)</f>
        <v>3094</v>
      </c>
      <c r="AG496" s="2">
        <f>VLOOKUP($A496,'[2]App C Share Outflows'!$A$4:$I$917,9,FALSE)</f>
        <v>0</v>
      </c>
      <c r="AH496" s="2"/>
      <c r="AI496" s="2">
        <f>VLOOKUP($A496,'[2]App C Share Inflows'!$A$4:$I$917,5,FALSE)</f>
        <v>0</v>
      </c>
      <c r="AJ496" s="2">
        <f>VLOOKUP($A496,'[2]App C Share Inflows'!$A$4:$I$917,6,FALSE)</f>
        <v>0</v>
      </c>
      <c r="AK496" s="2">
        <f>VLOOKUP($A496,'[2]App C Share Inflows'!$A$4:$I$917,7,FALSE)</f>
        <v>0</v>
      </c>
      <c r="AL496" s="2">
        <f>VLOOKUP($A496,'[2]App C Share Inflows'!$A$4:$I$917,8,FALSE)</f>
        <v>0</v>
      </c>
      <c r="AM496" s="2">
        <f>VLOOKUP($A496,'[2]App C Share Inflows'!$A$4:$I$917,6,FALSE)</f>
        <v>0</v>
      </c>
    </row>
    <row r="497" spans="1:39">
      <c r="A497" s="351">
        <v>95104</v>
      </c>
      <c r="B497" s="344" t="s">
        <v>1191</v>
      </c>
      <c r="C497" s="235" t="e">
        <f>VLOOKUP(A497,#REF!,10,FALSE)</f>
        <v>#REF!</v>
      </c>
      <c r="E497" s="2">
        <f>VLOOKUP($A497,'[2]App C Total'!$A$4:$I$917,5,FALSE)</f>
        <v>68112</v>
      </c>
      <c r="F497" s="2">
        <f>VLOOKUP($A497,'[2]App C Total'!$A$4:$I$917,6,FALSE)</f>
        <v>28283</v>
      </c>
      <c r="G497" s="2">
        <f>VLOOKUP($A497,'[2]App C Total'!$A$4:$I$917,7,FALSE)</f>
        <v>39410</v>
      </c>
      <c r="H497" s="2">
        <f>VLOOKUP($A497,'[2]App C Total'!$A$4:$I$917,8,FALSE)</f>
        <v>15715</v>
      </c>
      <c r="I497" s="2">
        <f>VLOOKUP($A497,'[2]App C Total'!$A$4:$I$917,9,FALSE)</f>
        <v>0</v>
      </c>
      <c r="J497" s="2"/>
      <c r="K497" s="2">
        <f>VLOOKUP($A497,'[2]App C Exp'!$A$4:$I$917,5,FALSE)</f>
        <v>17213</v>
      </c>
      <c r="L497" s="2">
        <f>VLOOKUP($A497,'[2]App C Exp'!$A$4:$I$917,6,FALSE)</f>
        <v>16192</v>
      </c>
      <c r="M497" s="2">
        <f>VLOOKUP($A497,'[2]App C Exp'!$A$4:$I$917,7,FALSE)</f>
        <v>14512</v>
      </c>
      <c r="N497" s="2">
        <f>VLOOKUP($A497,'[2]App C Exp'!$A$4:$I$917,8,FALSE)</f>
        <v>5811</v>
      </c>
      <c r="O497" s="2">
        <f>VLOOKUP($A497,'[2]App C Exp'!$A$4:$I$917,9,FALSE)</f>
        <v>0</v>
      </c>
      <c r="P497" s="2"/>
      <c r="Q497" s="2">
        <f>VLOOKUP($A497,'[2]App C Inv'!$A$4:$I$917,5,FALSE)</f>
        <v>18274</v>
      </c>
      <c r="R497" s="2">
        <f>VLOOKUP($A497,'[2]App C Inv'!$A$4:$I$917,6,FALSE)</f>
        <v>-15719</v>
      </c>
      <c r="S497" s="2">
        <f>VLOOKUP($A497,'[2]App C Inv'!$A$4:$I$917,7,FALSE)</f>
        <v>2215</v>
      </c>
      <c r="T497" s="2">
        <f>VLOOKUP($A497,'[2]App C Inv'!$A$4:$I$917,8,FALSE)</f>
        <v>2883</v>
      </c>
      <c r="U497" s="2">
        <f>VLOOKUP($A497,'[2]App C Inv'!$A$4:$I$917,9,FALSE)</f>
        <v>0</v>
      </c>
      <c r="V497" s="2"/>
      <c r="W497" s="2">
        <f>VLOOKUP($A497,'[2]App C Assum'!$A$4:$I$917,5,FALSE)</f>
        <v>20586</v>
      </c>
      <c r="X497" s="2">
        <f>VLOOKUP($A497,'[2]App C Assum'!$A$4:$I$917,6,FALSE)</f>
        <v>16865</v>
      </c>
      <c r="Y497" s="2">
        <f>VLOOKUP($A497,'[2]App C Assum'!$A$4:$I$917,7,FALSE)</f>
        <v>13691</v>
      </c>
      <c r="Z497" s="2">
        <f>VLOOKUP($A497,'[2]App C Assum'!$A$4:$I$917,8,FALSE)</f>
        <v>0</v>
      </c>
      <c r="AA497" s="2">
        <f>VLOOKUP($A497,'[2]App C Assum'!$A$4:$I$917,9,FALSE)</f>
        <v>0</v>
      </c>
      <c r="AB497" s="2"/>
      <c r="AC497" s="2">
        <f>VLOOKUP($A497,'[2]App C Share Outflows'!$A$4:$I$917,5,FALSE)</f>
        <v>12039</v>
      </c>
      <c r="AD497" s="2">
        <f>VLOOKUP($A497,'[2]App C Share Outflows'!$A$4:$I$917,6,FALSE)</f>
        <v>10945</v>
      </c>
      <c r="AE497" s="2">
        <f>VLOOKUP($A497,'[2]App C Share Outflows'!$A$4:$I$917,7,FALSE)</f>
        <v>8992</v>
      </c>
      <c r="AF497" s="2">
        <f>VLOOKUP($A497,'[2]App C Share Outflows'!$A$4:$I$917,8,FALSE)</f>
        <v>7021</v>
      </c>
      <c r="AG497" s="2">
        <f>VLOOKUP($A497,'[2]App C Share Outflows'!$A$4:$I$917,9,FALSE)</f>
        <v>0</v>
      </c>
      <c r="AH497" s="2"/>
      <c r="AI497" s="2">
        <f>VLOOKUP($A497,'[2]App C Share Inflows'!$A$4:$I$917,5,FALSE)</f>
        <v>0</v>
      </c>
      <c r="AJ497" s="2">
        <f>VLOOKUP($A497,'[2]App C Share Inflows'!$A$4:$I$917,6,FALSE)</f>
        <v>0</v>
      </c>
      <c r="AK497" s="2">
        <f>VLOOKUP($A497,'[2]App C Share Inflows'!$A$4:$I$917,7,FALSE)</f>
        <v>0</v>
      </c>
      <c r="AL497" s="2">
        <f>VLOOKUP($A497,'[2]App C Share Inflows'!$A$4:$I$917,8,FALSE)</f>
        <v>0</v>
      </c>
      <c r="AM497" s="2">
        <f>VLOOKUP($A497,'[2]App C Share Inflows'!$A$4:$I$917,6,FALSE)</f>
        <v>0</v>
      </c>
    </row>
    <row r="498" spans="1:39">
      <c r="A498" s="351">
        <v>95105</v>
      </c>
      <c r="B498" s="344" t="s">
        <v>3683</v>
      </c>
      <c r="C498" s="235" t="e">
        <f>VLOOKUP(A498,#REF!,10,FALSE)</f>
        <v>#REF!</v>
      </c>
      <c r="E498" s="2">
        <f>VLOOKUP($A498,'[2]App C Total'!$A$4:$I$917,5,FALSE)</f>
        <v>39276</v>
      </c>
      <c r="F498" s="2">
        <f>VLOOKUP($A498,'[2]App C Total'!$A$4:$I$917,6,FALSE)</f>
        <v>14541</v>
      </c>
      <c r="G498" s="2">
        <f>VLOOKUP($A498,'[2]App C Total'!$A$4:$I$917,7,FALSE)</f>
        <v>22058</v>
      </c>
      <c r="H498" s="2">
        <f>VLOOKUP($A498,'[2]App C Total'!$A$4:$I$917,8,FALSE)</f>
        <v>6985</v>
      </c>
      <c r="I498" s="2">
        <f>VLOOKUP($A498,'[2]App C Total'!$A$4:$I$917,9,FALSE)</f>
        <v>0</v>
      </c>
      <c r="J498" s="2"/>
      <c r="K498" s="2">
        <f>VLOOKUP($A498,'[2]App C Exp'!$A$4:$I$917,5,FALSE)</f>
        <v>10711</v>
      </c>
      <c r="L498" s="2">
        <f>VLOOKUP($A498,'[2]App C Exp'!$A$4:$I$917,6,FALSE)</f>
        <v>10076</v>
      </c>
      <c r="M498" s="2">
        <f>VLOOKUP($A498,'[2]App C Exp'!$A$4:$I$917,7,FALSE)</f>
        <v>9031</v>
      </c>
      <c r="N498" s="2">
        <f>VLOOKUP($A498,'[2]App C Exp'!$A$4:$I$917,8,FALSE)</f>
        <v>3616</v>
      </c>
      <c r="O498" s="2">
        <f>VLOOKUP($A498,'[2]App C Exp'!$A$4:$I$917,9,FALSE)</f>
        <v>0</v>
      </c>
      <c r="P498" s="2"/>
      <c r="Q498" s="2">
        <f>VLOOKUP($A498,'[2]App C Inv'!$A$4:$I$917,5,FALSE)</f>
        <v>11371</v>
      </c>
      <c r="R498" s="2">
        <f>VLOOKUP($A498,'[2]App C Inv'!$A$4:$I$917,6,FALSE)</f>
        <v>-9782</v>
      </c>
      <c r="S498" s="2">
        <f>VLOOKUP($A498,'[2]App C Inv'!$A$4:$I$917,7,FALSE)</f>
        <v>1379</v>
      </c>
      <c r="T498" s="2">
        <f>VLOOKUP($A498,'[2]App C Inv'!$A$4:$I$917,8,FALSE)</f>
        <v>1794</v>
      </c>
      <c r="U498" s="2">
        <f>VLOOKUP($A498,'[2]App C Inv'!$A$4:$I$917,9,FALSE)</f>
        <v>0</v>
      </c>
      <c r="V498" s="2"/>
      <c r="W498" s="2">
        <f>VLOOKUP($A498,'[2]App C Assum'!$A$4:$I$917,5,FALSE)</f>
        <v>12810</v>
      </c>
      <c r="X498" s="2">
        <f>VLOOKUP($A498,'[2]App C Assum'!$A$4:$I$917,6,FALSE)</f>
        <v>10494</v>
      </c>
      <c r="Y498" s="2">
        <f>VLOOKUP($A498,'[2]App C Assum'!$A$4:$I$917,7,FALSE)</f>
        <v>8520</v>
      </c>
      <c r="Z498" s="2">
        <f>VLOOKUP($A498,'[2]App C Assum'!$A$4:$I$917,8,FALSE)</f>
        <v>0</v>
      </c>
      <c r="AA498" s="2">
        <f>VLOOKUP($A498,'[2]App C Assum'!$A$4:$I$917,9,FALSE)</f>
        <v>0</v>
      </c>
      <c r="AB498" s="2"/>
      <c r="AC498" s="2">
        <f>VLOOKUP($A498,'[2]App C Share Outflows'!$A$4:$I$917,5,FALSE)</f>
        <v>4384</v>
      </c>
      <c r="AD498" s="2">
        <f>VLOOKUP($A498,'[2]App C Share Outflows'!$A$4:$I$917,6,FALSE)</f>
        <v>3753</v>
      </c>
      <c r="AE498" s="2">
        <f>VLOOKUP($A498,'[2]App C Share Outflows'!$A$4:$I$917,7,FALSE)</f>
        <v>3128</v>
      </c>
      <c r="AF498" s="2">
        <f>VLOOKUP($A498,'[2]App C Share Outflows'!$A$4:$I$917,8,FALSE)</f>
        <v>1575</v>
      </c>
      <c r="AG498" s="2">
        <f>VLOOKUP($A498,'[2]App C Share Outflows'!$A$4:$I$917,9,FALSE)</f>
        <v>0</v>
      </c>
      <c r="AH498" s="2"/>
      <c r="AI498" s="2">
        <f>VLOOKUP($A498,'[2]App C Share Inflows'!$A$4:$I$917,5,FALSE)</f>
        <v>0</v>
      </c>
      <c r="AJ498" s="2">
        <f>VLOOKUP($A498,'[2]App C Share Inflows'!$A$4:$I$917,6,FALSE)</f>
        <v>0</v>
      </c>
      <c r="AK498" s="2">
        <f>VLOOKUP($A498,'[2]App C Share Inflows'!$A$4:$I$917,7,FALSE)</f>
        <v>0</v>
      </c>
      <c r="AL498" s="2">
        <f>VLOOKUP($A498,'[2]App C Share Inflows'!$A$4:$I$917,8,FALSE)</f>
        <v>0</v>
      </c>
      <c r="AM498" s="2">
        <f>VLOOKUP($A498,'[2]App C Share Inflows'!$A$4:$I$917,6,FALSE)</f>
        <v>0</v>
      </c>
    </row>
    <row r="499" spans="1:39">
      <c r="A499" s="351">
        <v>95106</v>
      </c>
      <c r="B499" s="344" t="s">
        <v>1193</v>
      </c>
      <c r="C499" s="235" t="e">
        <f>VLOOKUP(A499,#REF!,10,FALSE)</f>
        <v>#REF!</v>
      </c>
      <c r="E499" s="2">
        <f>VLOOKUP($A499,'[2]App C Total'!$A$4:$I$917,5,FALSE)</f>
        <v>7434</v>
      </c>
      <c r="F499" s="2">
        <f>VLOOKUP($A499,'[2]App C Total'!$A$4:$I$917,6,FALSE)</f>
        <v>2384</v>
      </c>
      <c r="G499" s="2">
        <f>VLOOKUP($A499,'[2]App C Total'!$A$4:$I$917,7,FALSE)</f>
        <v>4213</v>
      </c>
      <c r="H499" s="2">
        <f>VLOOKUP($A499,'[2]App C Total'!$A$4:$I$917,8,FALSE)</f>
        <v>1199</v>
      </c>
      <c r="I499" s="2">
        <f>VLOOKUP($A499,'[2]App C Total'!$A$4:$I$917,9,FALSE)</f>
        <v>0</v>
      </c>
      <c r="J499" s="2"/>
      <c r="K499" s="2">
        <f>VLOOKUP($A499,'[2]App C Exp'!$A$4:$I$917,5,FALSE)</f>
        <v>1933</v>
      </c>
      <c r="L499" s="2">
        <f>VLOOKUP($A499,'[2]App C Exp'!$A$4:$I$917,6,FALSE)</f>
        <v>1818</v>
      </c>
      <c r="M499" s="2">
        <f>VLOOKUP($A499,'[2]App C Exp'!$A$4:$I$917,7,FALSE)</f>
        <v>1629</v>
      </c>
      <c r="N499" s="2">
        <f>VLOOKUP($A499,'[2]App C Exp'!$A$4:$I$917,8,FALSE)</f>
        <v>652</v>
      </c>
      <c r="O499" s="2">
        <f>VLOOKUP($A499,'[2]App C Exp'!$A$4:$I$917,9,FALSE)</f>
        <v>0</v>
      </c>
      <c r="P499" s="2"/>
      <c r="Q499" s="2">
        <f>VLOOKUP($A499,'[2]App C Inv'!$A$4:$I$917,5,FALSE)</f>
        <v>2052</v>
      </c>
      <c r="R499" s="2">
        <f>VLOOKUP($A499,'[2]App C Inv'!$A$4:$I$917,6,FALSE)</f>
        <v>-1765</v>
      </c>
      <c r="S499" s="2">
        <f>VLOOKUP($A499,'[2]App C Inv'!$A$4:$I$917,7,FALSE)</f>
        <v>249</v>
      </c>
      <c r="T499" s="2">
        <f>VLOOKUP($A499,'[2]App C Inv'!$A$4:$I$917,8,FALSE)</f>
        <v>324</v>
      </c>
      <c r="U499" s="2">
        <f>VLOOKUP($A499,'[2]App C Inv'!$A$4:$I$917,9,FALSE)</f>
        <v>0</v>
      </c>
      <c r="V499" s="2"/>
      <c r="W499" s="2">
        <f>VLOOKUP($A499,'[2]App C Assum'!$A$4:$I$917,5,FALSE)</f>
        <v>2311</v>
      </c>
      <c r="X499" s="2">
        <f>VLOOKUP($A499,'[2]App C Assum'!$A$4:$I$917,6,FALSE)</f>
        <v>1893</v>
      </c>
      <c r="Y499" s="2">
        <f>VLOOKUP($A499,'[2]App C Assum'!$A$4:$I$917,7,FALSE)</f>
        <v>1537</v>
      </c>
      <c r="Z499" s="2">
        <f>VLOOKUP($A499,'[2]App C Assum'!$A$4:$I$917,8,FALSE)</f>
        <v>0</v>
      </c>
      <c r="AA499" s="2">
        <f>VLOOKUP($A499,'[2]App C Assum'!$A$4:$I$917,9,FALSE)</f>
        <v>0</v>
      </c>
      <c r="AB499" s="2"/>
      <c r="AC499" s="2">
        <f>VLOOKUP($A499,'[2]App C Share Outflows'!$A$4:$I$917,5,FALSE)</f>
        <v>1496</v>
      </c>
      <c r="AD499" s="2">
        <f>VLOOKUP($A499,'[2]App C Share Outflows'!$A$4:$I$917,6,FALSE)</f>
        <v>798</v>
      </c>
      <c r="AE499" s="2">
        <f>VLOOKUP($A499,'[2]App C Share Outflows'!$A$4:$I$917,7,FALSE)</f>
        <v>798</v>
      </c>
      <c r="AF499" s="2">
        <f>VLOOKUP($A499,'[2]App C Share Outflows'!$A$4:$I$917,8,FALSE)</f>
        <v>223</v>
      </c>
      <c r="AG499" s="2">
        <f>VLOOKUP($A499,'[2]App C Share Outflows'!$A$4:$I$917,9,FALSE)</f>
        <v>0</v>
      </c>
      <c r="AH499" s="2"/>
      <c r="AI499" s="2">
        <f>VLOOKUP($A499,'[2]App C Share Inflows'!$A$4:$I$917,5,FALSE)</f>
        <v>-358</v>
      </c>
      <c r="AJ499" s="2">
        <f>VLOOKUP($A499,'[2]App C Share Inflows'!$A$4:$I$917,6,FALSE)</f>
        <v>-360</v>
      </c>
      <c r="AK499" s="2">
        <f>VLOOKUP($A499,'[2]App C Share Inflows'!$A$4:$I$917,7,FALSE)</f>
        <v>0</v>
      </c>
      <c r="AL499" s="2">
        <f>VLOOKUP($A499,'[2]App C Share Inflows'!$A$4:$I$917,8,FALSE)</f>
        <v>0</v>
      </c>
      <c r="AM499" s="2">
        <f>VLOOKUP($A499,'[2]App C Share Inflows'!$A$4:$I$917,6,FALSE)</f>
        <v>-360</v>
      </c>
    </row>
    <row r="500" spans="1:39">
      <c r="A500" s="351">
        <v>95110</v>
      </c>
      <c r="B500" s="344" t="s">
        <v>1194</v>
      </c>
      <c r="C500" s="235" t="e">
        <f>VLOOKUP(A500,#REF!,10,FALSE)</f>
        <v>#REF!</v>
      </c>
      <c r="E500" s="2">
        <f>VLOOKUP($A500,'[2]App C Total'!$A$4:$I$917,5,FALSE)</f>
        <v>1247003</v>
      </c>
      <c r="F500" s="2">
        <f>VLOOKUP($A500,'[2]App C Total'!$A$4:$I$917,6,FALSE)</f>
        <v>305225</v>
      </c>
      <c r="G500" s="2">
        <f>VLOOKUP($A500,'[2]App C Total'!$A$4:$I$917,7,FALSE)</f>
        <v>693715</v>
      </c>
      <c r="H500" s="2">
        <f>VLOOKUP($A500,'[2]App C Total'!$A$4:$I$917,8,FALSE)</f>
        <v>184700</v>
      </c>
      <c r="I500" s="2">
        <f>VLOOKUP($A500,'[2]App C Total'!$A$4:$I$917,9,FALSE)</f>
        <v>0</v>
      </c>
      <c r="J500" s="2"/>
      <c r="K500" s="2">
        <f>VLOOKUP($A500,'[2]App C Exp'!$A$4:$I$917,5,FALSE)</f>
        <v>472461</v>
      </c>
      <c r="L500" s="2">
        <f>VLOOKUP($A500,'[2]App C Exp'!$A$4:$I$917,6,FALSE)</f>
        <v>444433</v>
      </c>
      <c r="M500" s="2">
        <f>VLOOKUP($A500,'[2]App C Exp'!$A$4:$I$917,7,FALSE)</f>
        <v>398341</v>
      </c>
      <c r="N500" s="2">
        <f>VLOOKUP($A500,'[2]App C Exp'!$A$4:$I$917,8,FALSE)</f>
        <v>159491</v>
      </c>
      <c r="O500" s="2">
        <f>VLOOKUP($A500,'[2]App C Exp'!$A$4:$I$917,9,FALSE)</f>
        <v>0</v>
      </c>
      <c r="P500" s="2"/>
      <c r="Q500" s="2">
        <f>VLOOKUP($A500,'[2]App C Inv'!$A$4:$I$917,5,FALSE)</f>
        <v>501584</v>
      </c>
      <c r="R500" s="2">
        <f>VLOOKUP($A500,'[2]App C Inv'!$A$4:$I$917,6,FALSE)</f>
        <v>-431456</v>
      </c>
      <c r="S500" s="2">
        <f>VLOOKUP($A500,'[2]App C Inv'!$A$4:$I$917,7,FALSE)</f>
        <v>60808</v>
      </c>
      <c r="T500" s="2">
        <f>VLOOKUP($A500,'[2]App C Inv'!$A$4:$I$917,8,FALSE)</f>
        <v>79141</v>
      </c>
      <c r="U500" s="2">
        <f>VLOOKUP($A500,'[2]App C Inv'!$A$4:$I$917,9,FALSE)</f>
        <v>0</v>
      </c>
      <c r="V500" s="2"/>
      <c r="W500" s="2">
        <f>VLOOKUP($A500,'[2]App C Assum'!$A$4:$I$917,5,FALSE)</f>
        <v>565041</v>
      </c>
      <c r="X500" s="2">
        <f>VLOOKUP($A500,'[2]App C Assum'!$A$4:$I$917,6,FALSE)</f>
        <v>462902</v>
      </c>
      <c r="Y500" s="2">
        <f>VLOOKUP($A500,'[2]App C Assum'!$A$4:$I$917,7,FALSE)</f>
        <v>375797</v>
      </c>
      <c r="Z500" s="2">
        <f>VLOOKUP($A500,'[2]App C Assum'!$A$4:$I$917,8,FALSE)</f>
        <v>0</v>
      </c>
      <c r="AA500" s="2">
        <f>VLOOKUP($A500,'[2]App C Assum'!$A$4:$I$917,9,FALSE)</f>
        <v>0</v>
      </c>
      <c r="AB500" s="2"/>
      <c r="AC500" s="2">
        <f>VLOOKUP($A500,'[2]App C Share Outflows'!$A$4:$I$917,5,FALSE)</f>
        <v>0</v>
      </c>
      <c r="AD500" s="2">
        <f>VLOOKUP($A500,'[2]App C Share Outflows'!$A$4:$I$917,6,FALSE)</f>
        <v>0</v>
      </c>
      <c r="AE500" s="2">
        <f>VLOOKUP($A500,'[2]App C Share Outflows'!$A$4:$I$917,7,FALSE)</f>
        <v>0</v>
      </c>
      <c r="AF500" s="2">
        <f>VLOOKUP($A500,'[2]App C Share Outflows'!$A$4:$I$917,8,FALSE)</f>
        <v>0</v>
      </c>
      <c r="AG500" s="2">
        <f>VLOOKUP($A500,'[2]App C Share Outflows'!$A$4:$I$917,9,FALSE)</f>
        <v>0</v>
      </c>
      <c r="AH500" s="2"/>
      <c r="AI500" s="2">
        <f>VLOOKUP($A500,'[2]App C Share Inflows'!$A$4:$I$917,5,FALSE)</f>
        <v>-292083</v>
      </c>
      <c r="AJ500" s="2">
        <f>VLOOKUP($A500,'[2]App C Share Inflows'!$A$4:$I$917,6,FALSE)</f>
        <v>-170654</v>
      </c>
      <c r="AK500" s="2">
        <f>VLOOKUP($A500,'[2]App C Share Inflows'!$A$4:$I$917,7,FALSE)</f>
        <v>-141231</v>
      </c>
      <c r="AL500" s="2">
        <f>VLOOKUP($A500,'[2]App C Share Inflows'!$A$4:$I$917,8,FALSE)</f>
        <v>-53932</v>
      </c>
      <c r="AM500" s="2">
        <f>VLOOKUP($A500,'[2]App C Share Inflows'!$A$4:$I$917,6,FALSE)</f>
        <v>-170654</v>
      </c>
    </row>
    <row r="501" spans="1:39">
      <c r="A501" s="351">
        <v>95111</v>
      </c>
      <c r="B501" s="344" t="s">
        <v>1195</v>
      </c>
      <c r="C501" s="235" t="e">
        <f>VLOOKUP(A501,#REF!,10,FALSE)</f>
        <v>#REF!</v>
      </c>
      <c r="E501" s="2">
        <f>VLOOKUP($A501,'[2]App C Total'!$A$4:$I$917,5,FALSE)</f>
        <v>470623</v>
      </c>
      <c r="F501" s="2">
        <f>VLOOKUP($A501,'[2]App C Total'!$A$4:$I$917,6,FALSE)</f>
        <v>132741</v>
      </c>
      <c r="G501" s="2">
        <f>VLOOKUP($A501,'[2]App C Total'!$A$4:$I$917,7,FALSE)</f>
        <v>256413</v>
      </c>
      <c r="H501" s="2">
        <f>VLOOKUP($A501,'[2]App C Total'!$A$4:$I$917,8,FALSE)</f>
        <v>60227</v>
      </c>
      <c r="I501" s="2">
        <f>VLOOKUP($A501,'[2]App C Total'!$A$4:$I$917,9,FALSE)</f>
        <v>0</v>
      </c>
      <c r="J501" s="2"/>
      <c r="K501" s="2">
        <f>VLOOKUP($A501,'[2]App C Exp'!$A$4:$I$917,5,FALSE)</f>
        <v>157732</v>
      </c>
      <c r="L501" s="2">
        <f>VLOOKUP($A501,'[2]App C Exp'!$A$4:$I$917,6,FALSE)</f>
        <v>148375</v>
      </c>
      <c r="M501" s="2">
        <f>VLOOKUP($A501,'[2]App C Exp'!$A$4:$I$917,7,FALSE)</f>
        <v>132987</v>
      </c>
      <c r="N501" s="2">
        <f>VLOOKUP($A501,'[2]App C Exp'!$A$4:$I$917,8,FALSE)</f>
        <v>53246</v>
      </c>
      <c r="O501" s="2">
        <f>VLOOKUP($A501,'[2]App C Exp'!$A$4:$I$917,9,FALSE)</f>
        <v>0</v>
      </c>
      <c r="P501" s="2"/>
      <c r="Q501" s="2">
        <f>VLOOKUP($A501,'[2]App C Inv'!$A$4:$I$917,5,FALSE)</f>
        <v>167454</v>
      </c>
      <c r="R501" s="2">
        <f>VLOOKUP($A501,'[2]App C Inv'!$A$4:$I$917,6,FALSE)</f>
        <v>-144042</v>
      </c>
      <c r="S501" s="2">
        <f>VLOOKUP($A501,'[2]App C Inv'!$A$4:$I$917,7,FALSE)</f>
        <v>20301</v>
      </c>
      <c r="T501" s="2">
        <f>VLOOKUP($A501,'[2]App C Inv'!$A$4:$I$917,8,FALSE)</f>
        <v>26421</v>
      </c>
      <c r="U501" s="2">
        <f>VLOOKUP($A501,'[2]App C Inv'!$A$4:$I$917,9,FALSE)</f>
        <v>0</v>
      </c>
      <c r="V501" s="2"/>
      <c r="W501" s="2">
        <f>VLOOKUP($A501,'[2]App C Assum'!$A$4:$I$917,5,FALSE)</f>
        <v>188640</v>
      </c>
      <c r="X501" s="2">
        <f>VLOOKUP($A501,'[2]App C Assum'!$A$4:$I$917,6,FALSE)</f>
        <v>154540</v>
      </c>
      <c r="Y501" s="2">
        <f>VLOOKUP($A501,'[2]App C Assum'!$A$4:$I$917,7,FALSE)</f>
        <v>125460</v>
      </c>
      <c r="Z501" s="2">
        <f>VLOOKUP($A501,'[2]App C Assum'!$A$4:$I$917,8,FALSE)</f>
        <v>0</v>
      </c>
      <c r="AA501" s="2">
        <f>VLOOKUP($A501,'[2]App C Assum'!$A$4:$I$917,9,FALSE)</f>
        <v>0</v>
      </c>
      <c r="AB501" s="2"/>
      <c r="AC501" s="2">
        <f>VLOOKUP($A501,'[2]App C Share Outflows'!$A$4:$I$917,5,FALSE)</f>
        <v>0</v>
      </c>
      <c r="AD501" s="2">
        <f>VLOOKUP($A501,'[2]App C Share Outflows'!$A$4:$I$917,6,FALSE)</f>
        <v>0</v>
      </c>
      <c r="AE501" s="2">
        <f>VLOOKUP($A501,'[2]App C Share Outflows'!$A$4:$I$917,7,FALSE)</f>
        <v>0</v>
      </c>
      <c r="AF501" s="2">
        <f>VLOOKUP($A501,'[2]App C Share Outflows'!$A$4:$I$917,8,FALSE)</f>
        <v>0</v>
      </c>
      <c r="AG501" s="2">
        <f>VLOOKUP($A501,'[2]App C Share Outflows'!$A$4:$I$917,9,FALSE)</f>
        <v>0</v>
      </c>
      <c r="AH501" s="2"/>
      <c r="AI501" s="2">
        <f>VLOOKUP($A501,'[2]App C Share Inflows'!$A$4:$I$917,5,FALSE)</f>
        <v>-43203</v>
      </c>
      <c r="AJ501" s="2">
        <f>VLOOKUP($A501,'[2]App C Share Inflows'!$A$4:$I$917,6,FALSE)</f>
        <v>-26132</v>
      </c>
      <c r="AK501" s="2">
        <f>VLOOKUP($A501,'[2]App C Share Inflows'!$A$4:$I$917,7,FALSE)</f>
        <v>-22335</v>
      </c>
      <c r="AL501" s="2">
        <f>VLOOKUP($A501,'[2]App C Share Inflows'!$A$4:$I$917,8,FALSE)</f>
        <v>-19440</v>
      </c>
      <c r="AM501" s="2">
        <f>VLOOKUP($A501,'[2]App C Share Inflows'!$A$4:$I$917,6,FALSE)</f>
        <v>-26132</v>
      </c>
    </row>
    <row r="502" spans="1:39">
      <c r="A502" s="351">
        <v>95113</v>
      </c>
      <c r="B502" s="344" t="s">
        <v>1196</v>
      </c>
      <c r="C502" s="235" t="e">
        <f>VLOOKUP(A502,#REF!,10,FALSE)</f>
        <v>#REF!</v>
      </c>
      <c r="E502" s="2">
        <f>VLOOKUP($A502,'[2]App C Total'!$A$4:$I$917,5,FALSE)</f>
        <v>60465</v>
      </c>
      <c r="F502" s="2">
        <f>VLOOKUP($A502,'[2]App C Total'!$A$4:$I$917,6,FALSE)</f>
        <v>37231</v>
      </c>
      <c r="G502" s="2">
        <f>VLOOKUP($A502,'[2]App C Total'!$A$4:$I$917,7,FALSE)</f>
        <v>33574</v>
      </c>
      <c r="H502" s="2">
        <f>VLOOKUP($A502,'[2]App C Total'!$A$4:$I$917,8,FALSE)</f>
        <v>14834</v>
      </c>
      <c r="I502" s="2">
        <f>VLOOKUP($A502,'[2]App C Total'!$A$4:$I$917,9,FALSE)</f>
        <v>0</v>
      </c>
      <c r="J502" s="2"/>
      <c r="K502" s="2">
        <f>VLOOKUP($A502,'[2]App C Exp'!$A$4:$I$917,5,FALSE)</f>
        <v>6786</v>
      </c>
      <c r="L502" s="2">
        <f>VLOOKUP($A502,'[2]App C Exp'!$A$4:$I$917,6,FALSE)</f>
        <v>6384</v>
      </c>
      <c r="M502" s="2">
        <f>VLOOKUP($A502,'[2]App C Exp'!$A$4:$I$917,7,FALSE)</f>
        <v>5722</v>
      </c>
      <c r="N502" s="2">
        <f>VLOOKUP($A502,'[2]App C Exp'!$A$4:$I$917,8,FALSE)</f>
        <v>2291</v>
      </c>
      <c r="O502" s="2">
        <f>VLOOKUP($A502,'[2]App C Exp'!$A$4:$I$917,9,FALSE)</f>
        <v>0</v>
      </c>
      <c r="P502" s="2"/>
      <c r="Q502" s="2">
        <f>VLOOKUP($A502,'[2]App C Inv'!$A$4:$I$917,5,FALSE)</f>
        <v>7205</v>
      </c>
      <c r="R502" s="2">
        <f>VLOOKUP($A502,'[2]App C Inv'!$A$4:$I$917,6,FALSE)</f>
        <v>-6197</v>
      </c>
      <c r="S502" s="2">
        <f>VLOOKUP($A502,'[2]App C Inv'!$A$4:$I$917,7,FALSE)</f>
        <v>873</v>
      </c>
      <c r="T502" s="2">
        <f>VLOOKUP($A502,'[2]App C Inv'!$A$4:$I$917,8,FALSE)</f>
        <v>1137</v>
      </c>
      <c r="U502" s="2">
        <f>VLOOKUP($A502,'[2]App C Inv'!$A$4:$I$917,9,FALSE)</f>
        <v>0</v>
      </c>
      <c r="V502" s="2"/>
      <c r="W502" s="2">
        <f>VLOOKUP($A502,'[2]App C Assum'!$A$4:$I$917,5,FALSE)</f>
        <v>8116</v>
      </c>
      <c r="X502" s="2">
        <f>VLOOKUP($A502,'[2]App C Assum'!$A$4:$I$917,6,FALSE)</f>
        <v>6649</v>
      </c>
      <c r="Y502" s="2">
        <f>VLOOKUP($A502,'[2]App C Assum'!$A$4:$I$917,7,FALSE)</f>
        <v>5398</v>
      </c>
      <c r="Z502" s="2">
        <f>VLOOKUP($A502,'[2]App C Assum'!$A$4:$I$917,8,FALSE)</f>
        <v>0</v>
      </c>
      <c r="AA502" s="2">
        <f>VLOOKUP($A502,'[2]App C Assum'!$A$4:$I$917,9,FALSE)</f>
        <v>0</v>
      </c>
      <c r="AB502" s="2"/>
      <c r="AC502" s="2">
        <f>VLOOKUP($A502,'[2]App C Share Outflows'!$A$4:$I$917,5,FALSE)</f>
        <v>38358</v>
      </c>
      <c r="AD502" s="2">
        <f>VLOOKUP($A502,'[2]App C Share Outflows'!$A$4:$I$917,6,FALSE)</f>
        <v>30395</v>
      </c>
      <c r="AE502" s="2">
        <f>VLOOKUP($A502,'[2]App C Share Outflows'!$A$4:$I$917,7,FALSE)</f>
        <v>21581</v>
      </c>
      <c r="AF502" s="2">
        <f>VLOOKUP($A502,'[2]App C Share Outflows'!$A$4:$I$917,8,FALSE)</f>
        <v>11406</v>
      </c>
      <c r="AG502" s="2">
        <f>VLOOKUP($A502,'[2]App C Share Outflows'!$A$4:$I$917,9,FALSE)</f>
        <v>0</v>
      </c>
      <c r="AH502" s="2"/>
      <c r="AI502" s="2">
        <f>VLOOKUP($A502,'[2]App C Share Inflows'!$A$4:$I$917,5,FALSE)</f>
        <v>0</v>
      </c>
      <c r="AJ502" s="2">
        <f>VLOOKUP($A502,'[2]App C Share Inflows'!$A$4:$I$917,6,FALSE)</f>
        <v>0</v>
      </c>
      <c r="AK502" s="2">
        <f>VLOOKUP($A502,'[2]App C Share Inflows'!$A$4:$I$917,7,FALSE)</f>
        <v>0</v>
      </c>
      <c r="AL502" s="2">
        <f>VLOOKUP($A502,'[2]App C Share Inflows'!$A$4:$I$917,8,FALSE)</f>
        <v>0</v>
      </c>
      <c r="AM502" s="2">
        <f>VLOOKUP($A502,'[2]App C Share Inflows'!$A$4:$I$917,6,FALSE)</f>
        <v>0</v>
      </c>
    </row>
    <row r="503" spans="1:39">
      <c r="A503" s="351">
        <v>95121</v>
      </c>
      <c r="B503" s="344" t="s">
        <v>1197</v>
      </c>
      <c r="C503" s="235" t="e">
        <f>VLOOKUP(A503,#REF!,10,FALSE)</f>
        <v>#REF!</v>
      </c>
      <c r="E503" s="2">
        <f>VLOOKUP($A503,'[2]App C Total'!$A$4:$I$917,5,FALSE)</f>
        <v>221157</v>
      </c>
      <c r="F503" s="2">
        <f>VLOOKUP($A503,'[2]App C Total'!$A$4:$I$917,6,FALSE)</f>
        <v>61441</v>
      </c>
      <c r="G503" s="2">
        <f>VLOOKUP($A503,'[2]App C Total'!$A$4:$I$917,7,FALSE)</f>
        <v>115118</v>
      </c>
      <c r="H503" s="2">
        <f>VLOOKUP($A503,'[2]App C Total'!$A$4:$I$917,8,FALSE)</f>
        <v>25086</v>
      </c>
      <c r="I503" s="2">
        <f>VLOOKUP($A503,'[2]App C Total'!$A$4:$I$917,9,FALSE)</f>
        <v>0</v>
      </c>
      <c r="J503" s="2"/>
      <c r="K503" s="2">
        <f>VLOOKUP($A503,'[2]App C Exp'!$A$4:$I$917,5,FALSE)</f>
        <v>70065</v>
      </c>
      <c r="L503" s="2">
        <f>VLOOKUP($A503,'[2]App C Exp'!$A$4:$I$917,6,FALSE)</f>
        <v>65908</v>
      </c>
      <c r="M503" s="2">
        <f>VLOOKUP($A503,'[2]App C Exp'!$A$4:$I$917,7,FALSE)</f>
        <v>59073</v>
      </c>
      <c r="N503" s="2">
        <f>VLOOKUP($A503,'[2]App C Exp'!$A$4:$I$917,8,FALSE)</f>
        <v>23652</v>
      </c>
      <c r="O503" s="2">
        <f>VLOOKUP($A503,'[2]App C Exp'!$A$4:$I$917,9,FALSE)</f>
        <v>0</v>
      </c>
      <c r="P503" s="2"/>
      <c r="Q503" s="2">
        <f>VLOOKUP($A503,'[2]App C Inv'!$A$4:$I$917,5,FALSE)</f>
        <v>74383</v>
      </c>
      <c r="R503" s="2">
        <f>VLOOKUP($A503,'[2]App C Inv'!$A$4:$I$917,6,FALSE)</f>
        <v>-63984</v>
      </c>
      <c r="S503" s="2">
        <f>VLOOKUP($A503,'[2]App C Inv'!$A$4:$I$917,7,FALSE)</f>
        <v>9018</v>
      </c>
      <c r="T503" s="2">
        <f>VLOOKUP($A503,'[2]App C Inv'!$A$4:$I$917,8,FALSE)</f>
        <v>11736</v>
      </c>
      <c r="U503" s="2">
        <f>VLOOKUP($A503,'[2]App C Inv'!$A$4:$I$917,9,FALSE)</f>
        <v>0</v>
      </c>
      <c r="V503" s="2"/>
      <c r="W503" s="2">
        <f>VLOOKUP($A503,'[2]App C Assum'!$A$4:$I$917,5,FALSE)</f>
        <v>83794</v>
      </c>
      <c r="X503" s="2">
        <f>VLOOKUP($A503,'[2]App C Assum'!$A$4:$I$917,6,FALSE)</f>
        <v>68647</v>
      </c>
      <c r="Y503" s="2">
        <f>VLOOKUP($A503,'[2]App C Assum'!$A$4:$I$917,7,FALSE)</f>
        <v>55730</v>
      </c>
      <c r="Z503" s="2">
        <f>VLOOKUP($A503,'[2]App C Assum'!$A$4:$I$917,8,FALSE)</f>
        <v>0</v>
      </c>
      <c r="AA503" s="2">
        <f>VLOOKUP($A503,'[2]App C Assum'!$A$4:$I$917,9,FALSE)</f>
        <v>0</v>
      </c>
      <c r="AB503" s="2"/>
      <c r="AC503" s="2">
        <f>VLOOKUP($A503,'[2]App C Share Outflows'!$A$4:$I$917,5,FALSE)</f>
        <v>3647</v>
      </c>
      <c r="AD503" s="2">
        <f>VLOOKUP($A503,'[2]App C Share Outflows'!$A$4:$I$917,6,FALSE)</f>
        <v>1603</v>
      </c>
      <c r="AE503" s="2">
        <f>VLOOKUP($A503,'[2]App C Share Outflows'!$A$4:$I$917,7,FALSE)</f>
        <v>1601</v>
      </c>
      <c r="AF503" s="2">
        <f>VLOOKUP($A503,'[2]App C Share Outflows'!$A$4:$I$917,8,FALSE)</f>
        <v>0</v>
      </c>
      <c r="AG503" s="2">
        <f>VLOOKUP($A503,'[2]App C Share Outflows'!$A$4:$I$917,9,FALSE)</f>
        <v>0</v>
      </c>
      <c r="AH503" s="2"/>
      <c r="AI503" s="2">
        <f>VLOOKUP($A503,'[2]App C Share Inflows'!$A$4:$I$917,5,FALSE)</f>
        <v>-10732</v>
      </c>
      <c r="AJ503" s="2">
        <f>VLOOKUP($A503,'[2]App C Share Inflows'!$A$4:$I$917,6,FALSE)</f>
        <v>-10733</v>
      </c>
      <c r="AK503" s="2">
        <f>VLOOKUP($A503,'[2]App C Share Inflows'!$A$4:$I$917,7,FALSE)</f>
        <v>-10304</v>
      </c>
      <c r="AL503" s="2">
        <f>VLOOKUP($A503,'[2]App C Share Inflows'!$A$4:$I$917,8,FALSE)</f>
        <v>-10302</v>
      </c>
      <c r="AM503" s="2">
        <f>VLOOKUP($A503,'[2]App C Share Inflows'!$A$4:$I$917,6,FALSE)</f>
        <v>-10733</v>
      </c>
    </row>
    <row r="504" spans="1:39">
      <c r="A504" s="351">
        <v>95122</v>
      </c>
      <c r="B504" s="344" t="s">
        <v>1198</v>
      </c>
      <c r="C504" s="235" t="e">
        <f>VLOOKUP(A504,#REF!,10,FALSE)</f>
        <v>#REF!</v>
      </c>
      <c r="E504" s="2">
        <f>VLOOKUP($A504,'[2]App C Total'!$A$4:$I$917,5,FALSE)</f>
        <v>10887</v>
      </c>
      <c r="F504" s="2">
        <f>VLOOKUP($A504,'[2]App C Total'!$A$4:$I$917,6,FALSE)</f>
        <v>5475</v>
      </c>
      <c r="G504" s="2">
        <f>VLOOKUP($A504,'[2]App C Total'!$A$4:$I$917,7,FALSE)</f>
        <v>6586</v>
      </c>
      <c r="H504" s="2">
        <f>VLOOKUP($A504,'[2]App C Total'!$A$4:$I$917,8,FALSE)</f>
        <v>3380</v>
      </c>
      <c r="I504" s="2">
        <f>VLOOKUP($A504,'[2]App C Total'!$A$4:$I$917,9,FALSE)</f>
        <v>0</v>
      </c>
      <c r="J504" s="2"/>
      <c r="K504" s="2">
        <f>VLOOKUP($A504,'[2]App C Exp'!$A$4:$I$917,5,FALSE)</f>
        <v>2307</v>
      </c>
      <c r="L504" s="2">
        <f>VLOOKUP($A504,'[2]App C Exp'!$A$4:$I$917,6,FALSE)</f>
        <v>2170</v>
      </c>
      <c r="M504" s="2">
        <f>VLOOKUP($A504,'[2]App C Exp'!$A$4:$I$917,7,FALSE)</f>
        <v>1945</v>
      </c>
      <c r="N504" s="2">
        <f>VLOOKUP($A504,'[2]App C Exp'!$A$4:$I$917,8,FALSE)</f>
        <v>779</v>
      </c>
      <c r="O504" s="2">
        <f>VLOOKUP($A504,'[2]App C Exp'!$A$4:$I$917,9,FALSE)</f>
        <v>0</v>
      </c>
      <c r="P504" s="2"/>
      <c r="Q504" s="2">
        <f>VLOOKUP($A504,'[2]App C Inv'!$A$4:$I$917,5,FALSE)</f>
        <v>2449</v>
      </c>
      <c r="R504" s="2">
        <f>VLOOKUP($A504,'[2]App C Inv'!$A$4:$I$917,6,FALSE)</f>
        <v>-2107</v>
      </c>
      <c r="S504" s="2">
        <f>VLOOKUP($A504,'[2]App C Inv'!$A$4:$I$917,7,FALSE)</f>
        <v>297</v>
      </c>
      <c r="T504" s="2">
        <f>VLOOKUP($A504,'[2]App C Inv'!$A$4:$I$917,8,FALSE)</f>
        <v>386</v>
      </c>
      <c r="U504" s="2">
        <f>VLOOKUP($A504,'[2]App C Inv'!$A$4:$I$917,9,FALSE)</f>
        <v>0</v>
      </c>
      <c r="V504" s="2"/>
      <c r="W504" s="2">
        <f>VLOOKUP($A504,'[2]App C Assum'!$A$4:$I$917,5,FALSE)</f>
        <v>2759</v>
      </c>
      <c r="X504" s="2">
        <f>VLOOKUP($A504,'[2]App C Assum'!$A$4:$I$917,6,FALSE)</f>
        <v>2260</v>
      </c>
      <c r="Y504" s="2">
        <f>VLOOKUP($A504,'[2]App C Assum'!$A$4:$I$917,7,FALSE)</f>
        <v>1835</v>
      </c>
      <c r="Z504" s="2">
        <f>VLOOKUP($A504,'[2]App C Assum'!$A$4:$I$917,8,FALSE)</f>
        <v>0</v>
      </c>
      <c r="AA504" s="2">
        <f>VLOOKUP($A504,'[2]App C Assum'!$A$4:$I$917,9,FALSE)</f>
        <v>0</v>
      </c>
      <c r="AB504" s="2"/>
      <c r="AC504" s="2">
        <f>VLOOKUP($A504,'[2]App C Share Outflows'!$A$4:$I$917,5,FALSE)</f>
        <v>3372</v>
      </c>
      <c r="AD504" s="2">
        <f>VLOOKUP($A504,'[2]App C Share Outflows'!$A$4:$I$917,6,FALSE)</f>
        <v>3152</v>
      </c>
      <c r="AE504" s="2">
        <f>VLOOKUP($A504,'[2]App C Share Outflows'!$A$4:$I$917,7,FALSE)</f>
        <v>2509</v>
      </c>
      <c r="AF504" s="2">
        <f>VLOOKUP($A504,'[2]App C Share Outflows'!$A$4:$I$917,8,FALSE)</f>
        <v>2215</v>
      </c>
      <c r="AG504" s="2">
        <f>VLOOKUP($A504,'[2]App C Share Outflows'!$A$4:$I$917,9,FALSE)</f>
        <v>0</v>
      </c>
      <c r="AH504" s="2"/>
      <c r="AI504" s="2">
        <f>VLOOKUP($A504,'[2]App C Share Inflows'!$A$4:$I$917,5,FALSE)</f>
        <v>0</v>
      </c>
      <c r="AJ504" s="2">
        <f>VLOOKUP($A504,'[2]App C Share Inflows'!$A$4:$I$917,6,FALSE)</f>
        <v>0</v>
      </c>
      <c r="AK504" s="2">
        <f>VLOOKUP($A504,'[2]App C Share Inflows'!$A$4:$I$917,7,FALSE)</f>
        <v>0</v>
      </c>
      <c r="AL504" s="2">
        <f>VLOOKUP($A504,'[2]App C Share Inflows'!$A$4:$I$917,8,FALSE)</f>
        <v>0</v>
      </c>
      <c r="AM504" s="2">
        <f>VLOOKUP($A504,'[2]App C Share Inflows'!$A$4:$I$917,6,FALSE)</f>
        <v>0</v>
      </c>
    </row>
    <row r="505" spans="1:39">
      <c r="A505" s="351">
        <v>95123</v>
      </c>
      <c r="B505" s="344" t="s">
        <v>1199</v>
      </c>
      <c r="C505" s="235" t="e">
        <f>VLOOKUP(A505,#REF!,10,FALSE)</f>
        <v>#REF!</v>
      </c>
      <c r="E505" s="2">
        <f>VLOOKUP($A505,'[2]App C Total'!$A$4:$I$917,5,FALSE)</f>
        <v>25302</v>
      </c>
      <c r="F505" s="2">
        <f>VLOOKUP($A505,'[2]App C Total'!$A$4:$I$917,6,FALSE)</f>
        <v>7705</v>
      </c>
      <c r="G505" s="2">
        <f>VLOOKUP($A505,'[2]App C Total'!$A$4:$I$917,7,FALSE)</f>
        <v>12598</v>
      </c>
      <c r="H505" s="2">
        <f>VLOOKUP($A505,'[2]App C Total'!$A$4:$I$917,8,FALSE)</f>
        <v>3296</v>
      </c>
      <c r="I505" s="2">
        <f>VLOOKUP($A505,'[2]App C Total'!$A$4:$I$917,9,FALSE)</f>
        <v>0</v>
      </c>
      <c r="J505" s="2"/>
      <c r="K505" s="2">
        <f>VLOOKUP($A505,'[2]App C Exp'!$A$4:$I$917,5,FALSE)</f>
        <v>7341</v>
      </c>
      <c r="L505" s="2">
        <f>VLOOKUP($A505,'[2]App C Exp'!$A$4:$I$917,6,FALSE)</f>
        <v>6905</v>
      </c>
      <c r="M505" s="2">
        <f>VLOOKUP($A505,'[2]App C Exp'!$A$4:$I$917,7,FALSE)</f>
        <v>6189</v>
      </c>
      <c r="N505" s="2">
        <f>VLOOKUP($A505,'[2]App C Exp'!$A$4:$I$917,8,FALSE)</f>
        <v>2478</v>
      </c>
      <c r="O505" s="2">
        <f>VLOOKUP($A505,'[2]App C Exp'!$A$4:$I$917,9,FALSE)</f>
        <v>0</v>
      </c>
      <c r="P505" s="2"/>
      <c r="Q505" s="2">
        <f>VLOOKUP($A505,'[2]App C Inv'!$A$4:$I$917,5,FALSE)</f>
        <v>7793</v>
      </c>
      <c r="R505" s="2">
        <f>VLOOKUP($A505,'[2]App C Inv'!$A$4:$I$917,6,FALSE)</f>
        <v>-6703</v>
      </c>
      <c r="S505" s="2">
        <f>VLOOKUP($A505,'[2]App C Inv'!$A$4:$I$917,7,FALSE)</f>
        <v>945</v>
      </c>
      <c r="T505" s="2">
        <f>VLOOKUP($A505,'[2]App C Inv'!$A$4:$I$917,8,FALSE)</f>
        <v>1230</v>
      </c>
      <c r="U505" s="2">
        <f>VLOOKUP($A505,'[2]App C Inv'!$A$4:$I$917,9,FALSE)</f>
        <v>0</v>
      </c>
      <c r="V505" s="2"/>
      <c r="W505" s="2">
        <f>VLOOKUP($A505,'[2]App C Assum'!$A$4:$I$917,5,FALSE)</f>
        <v>8779</v>
      </c>
      <c r="X505" s="2">
        <f>VLOOKUP($A505,'[2]App C Assum'!$A$4:$I$917,6,FALSE)</f>
        <v>7192</v>
      </c>
      <c r="Y505" s="2">
        <f>VLOOKUP($A505,'[2]App C Assum'!$A$4:$I$917,7,FALSE)</f>
        <v>5839</v>
      </c>
      <c r="Z505" s="2">
        <f>VLOOKUP($A505,'[2]App C Assum'!$A$4:$I$917,8,FALSE)</f>
        <v>0</v>
      </c>
      <c r="AA505" s="2">
        <f>VLOOKUP($A505,'[2]App C Assum'!$A$4:$I$917,9,FALSE)</f>
        <v>0</v>
      </c>
      <c r="AB505" s="2"/>
      <c r="AC505" s="2">
        <f>VLOOKUP($A505,'[2]App C Share Outflows'!$A$4:$I$917,5,FALSE)</f>
        <v>1802</v>
      </c>
      <c r="AD505" s="2">
        <f>VLOOKUP($A505,'[2]App C Share Outflows'!$A$4:$I$917,6,FALSE)</f>
        <v>724</v>
      </c>
      <c r="AE505" s="2">
        <f>VLOOKUP($A505,'[2]App C Share Outflows'!$A$4:$I$917,7,FALSE)</f>
        <v>38</v>
      </c>
      <c r="AF505" s="2">
        <f>VLOOKUP($A505,'[2]App C Share Outflows'!$A$4:$I$917,8,FALSE)</f>
        <v>0</v>
      </c>
      <c r="AG505" s="2">
        <f>VLOOKUP($A505,'[2]App C Share Outflows'!$A$4:$I$917,9,FALSE)</f>
        <v>0</v>
      </c>
      <c r="AH505" s="2"/>
      <c r="AI505" s="2">
        <f>VLOOKUP($A505,'[2]App C Share Inflows'!$A$4:$I$917,5,FALSE)</f>
        <v>-413</v>
      </c>
      <c r="AJ505" s="2">
        <f>VLOOKUP($A505,'[2]App C Share Inflows'!$A$4:$I$917,6,FALSE)</f>
        <v>-413</v>
      </c>
      <c r="AK505" s="2">
        <f>VLOOKUP($A505,'[2]App C Share Inflows'!$A$4:$I$917,7,FALSE)</f>
        <v>-413</v>
      </c>
      <c r="AL505" s="2">
        <f>VLOOKUP($A505,'[2]App C Share Inflows'!$A$4:$I$917,8,FALSE)</f>
        <v>-412</v>
      </c>
      <c r="AM505" s="2">
        <f>VLOOKUP($A505,'[2]App C Share Inflows'!$A$4:$I$917,6,FALSE)</f>
        <v>-413</v>
      </c>
    </row>
    <row r="506" spans="1:39">
      <c r="A506" s="351">
        <v>95131</v>
      </c>
      <c r="B506" s="344" t="s">
        <v>1200</v>
      </c>
      <c r="C506" s="235" t="e">
        <f>VLOOKUP(A506,#REF!,10,FALSE)</f>
        <v>#REF!</v>
      </c>
      <c r="E506" s="2">
        <f>VLOOKUP($A506,'[2]App C Total'!$A$4:$I$917,5,FALSE)</f>
        <v>903918</v>
      </c>
      <c r="F506" s="2">
        <f>VLOOKUP($A506,'[2]App C Total'!$A$4:$I$917,6,FALSE)</f>
        <v>296309</v>
      </c>
      <c r="G506" s="2">
        <f>VLOOKUP($A506,'[2]App C Total'!$A$4:$I$917,7,FALSE)</f>
        <v>482748</v>
      </c>
      <c r="H506" s="2">
        <f>VLOOKUP($A506,'[2]App C Total'!$A$4:$I$917,8,FALSE)</f>
        <v>138017</v>
      </c>
      <c r="I506" s="2">
        <f>VLOOKUP($A506,'[2]App C Total'!$A$4:$I$917,9,FALSE)</f>
        <v>0</v>
      </c>
      <c r="J506" s="2"/>
      <c r="K506" s="2">
        <f>VLOOKUP($A506,'[2]App C Exp'!$A$4:$I$917,5,FALSE)</f>
        <v>268229</v>
      </c>
      <c r="L506" s="2">
        <f>VLOOKUP($A506,'[2]App C Exp'!$A$4:$I$917,6,FALSE)</f>
        <v>252317</v>
      </c>
      <c r="M506" s="2">
        <f>VLOOKUP($A506,'[2]App C Exp'!$A$4:$I$917,7,FALSE)</f>
        <v>226149</v>
      </c>
      <c r="N506" s="2">
        <f>VLOOKUP($A506,'[2]App C Exp'!$A$4:$I$917,8,FALSE)</f>
        <v>90547</v>
      </c>
      <c r="O506" s="2">
        <f>VLOOKUP($A506,'[2]App C Exp'!$A$4:$I$917,9,FALSE)</f>
        <v>0</v>
      </c>
      <c r="P506" s="2"/>
      <c r="Q506" s="2">
        <f>VLOOKUP($A506,'[2]App C Inv'!$A$4:$I$917,5,FALSE)</f>
        <v>284763</v>
      </c>
      <c r="R506" s="2">
        <f>VLOOKUP($A506,'[2]App C Inv'!$A$4:$I$917,6,FALSE)</f>
        <v>-244949</v>
      </c>
      <c r="S506" s="2">
        <f>VLOOKUP($A506,'[2]App C Inv'!$A$4:$I$917,7,FALSE)</f>
        <v>34523</v>
      </c>
      <c r="T506" s="2">
        <f>VLOOKUP($A506,'[2]App C Inv'!$A$4:$I$917,8,FALSE)</f>
        <v>44931</v>
      </c>
      <c r="U506" s="2">
        <f>VLOOKUP($A506,'[2]App C Inv'!$A$4:$I$917,9,FALSE)</f>
        <v>0</v>
      </c>
      <c r="V506" s="2"/>
      <c r="W506" s="2">
        <f>VLOOKUP($A506,'[2]App C Assum'!$A$4:$I$917,5,FALSE)</f>
        <v>320790</v>
      </c>
      <c r="X506" s="2">
        <f>VLOOKUP($A506,'[2]App C Assum'!$A$4:$I$917,6,FALSE)</f>
        <v>262802</v>
      </c>
      <c r="Y506" s="2">
        <f>VLOOKUP($A506,'[2]App C Assum'!$A$4:$I$917,7,FALSE)</f>
        <v>213351</v>
      </c>
      <c r="Z506" s="2">
        <f>VLOOKUP($A506,'[2]App C Assum'!$A$4:$I$917,8,FALSE)</f>
        <v>0</v>
      </c>
      <c r="AA506" s="2">
        <f>VLOOKUP($A506,'[2]App C Assum'!$A$4:$I$917,9,FALSE)</f>
        <v>0</v>
      </c>
      <c r="AB506" s="2"/>
      <c r="AC506" s="2">
        <f>VLOOKUP($A506,'[2]App C Share Outflows'!$A$4:$I$917,5,FALSE)</f>
        <v>30136</v>
      </c>
      <c r="AD506" s="2">
        <f>VLOOKUP($A506,'[2]App C Share Outflows'!$A$4:$I$917,6,FALSE)</f>
        <v>26139</v>
      </c>
      <c r="AE506" s="2">
        <f>VLOOKUP($A506,'[2]App C Share Outflows'!$A$4:$I$917,7,FALSE)</f>
        <v>8725</v>
      </c>
      <c r="AF506" s="2">
        <f>VLOOKUP($A506,'[2]App C Share Outflows'!$A$4:$I$917,8,FALSE)</f>
        <v>2539</v>
      </c>
      <c r="AG506" s="2">
        <f>VLOOKUP($A506,'[2]App C Share Outflows'!$A$4:$I$917,9,FALSE)</f>
        <v>0</v>
      </c>
      <c r="AH506" s="2"/>
      <c r="AI506" s="2">
        <f>VLOOKUP($A506,'[2]App C Share Inflows'!$A$4:$I$917,5,FALSE)</f>
        <v>0</v>
      </c>
      <c r="AJ506" s="2">
        <f>VLOOKUP($A506,'[2]App C Share Inflows'!$A$4:$I$917,6,FALSE)</f>
        <v>0</v>
      </c>
      <c r="AK506" s="2">
        <f>VLOOKUP($A506,'[2]App C Share Inflows'!$A$4:$I$917,7,FALSE)</f>
        <v>0</v>
      </c>
      <c r="AL506" s="2">
        <f>VLOOKUP($A506,'[2]App C Share Inflows'!$A$4:$I$917,8,FALSE)</f>
        <v>0</v>
      </c>
      <c r="AM506" s="2">
        <f>VLOOKUP($A506,'[2]App C Share Inflows'!$A$4:$I$917,6,FALSE)</f>
        <v>0</v>
      </c>
    </row>
    <row r="507" spans="1:39">
      <c r="A507" s="351">
        <v>95141</v>
      </c>
      <c r="B507" s="344" t="s">
        <v>1201</v>
      </c>
      <c r="C507" s="235" t="e">
        <f>VLOOKUP(A507,#REF!,10,FALSE)</f>
        <v>#REF!</v>
      </c>
      <c r="E507" s="2">
        <f>VLOOKUP($A507,'[2]App C Total'!$A$4:$I$917,5,FALSE)</f>
        <v>176433</v>
      </c>
      <c r="F507" s="2">
        <f>VLOOKUP($A507,'[2]App C Total'!$A$4:$I$917,6,FALSE)</f>
        <v>55139</v>
      </c>
      <c r="G507" s="2">
        <f>VLOOKUP($A507,'[2]App C Total'!$A$4:$I$917,7,FALSE)</f>
        <v>98942</v>
      </c>
      <c r="H507" s="2">
        <f>VLOOKUP($A507,'[2]App C Total'!$A$4:$I$917,8,FALSE)</f>
        <v>32404</v>
      </c>
      <c r="I507" s="2">
        <f>VLOOKUP($A507,'[2]App C Total'!$A$4:$I$917,9,FALSE)</f>
        <v>0</v>
      </c>
      <c r="J507" s="2"/>
      <c r="K507" s="2">
        <f>VLOOKUP($A507,'[2]App C Exp'!$A$4:$I$917,5,FALSE)</f>
        <v>54080</v>
      </c>
      <c r="L507" s="2">
        <f>VLOOKUP($A507,'[2]App C Exp'!$A$4:$I$917,6,FALSE)</f>
        <v>50872</v>
      </c>
      <c r="M507" s="2">
        <f>VLOOKUP($A507,'[2]App C Exp'!$A$4:$I$917,7,FALSE)</f>
        <v>45596</v>
      </c>
      <c r="N507" s="2">
        <f>VLOOKUP($A507,'[2]App C Exp'!$A$4:$I$917,8,FALSE)</f>
        <v>18256</v>
      </c>
      <c r="O507" s="2">
        <f>VLOOKUP($A507,'[2]App C Exp'!$A$4:$I$917,9,FALSE)</f>
        <v>0</v>
      </c>
      <c r="P507" s="2"/>
      <c r="Q507" s="2">
        <f>VLOOKUP($A507,'[2]App C Inv'!$A$4:$I$917,5,FALSE)</f>
        <v>57414</v>
      </c>
      <c r="R507" s="2">
        <f>VLOOKUP($A507,'[2]App C Inv'!$A$4:$I$917,6,FALSE)</f>
        <v>-49387</v>
      </c>
      <c r="S507" s="2">
        <f>VLOOKUP($A507,'[2]App C Inv'!$A$4:$I$917,7,FALSE)</f>
        <v>6960</v>
      </c>
      <c r="T507" s="2">
        <f>VLOOKUP($A507,'[2]App C Inv'!$A$4:$I$917,8,FALSE)</f>
        <v>9059</v>
      </c>
      <c r="U507" s="2">
        <f>VLOOKUP($A507,'[2]App C Inv'!$A$4:$I$917,9,FALSE)</f>
        <v>0</v>
      </c>
      <c r="V507" s="2"/>
      <c r="W507" s="2">
        <f>VLOOKUP($A507,'[2]App C Assum'!$A$4:$I$917,5,FALSE)</f>
        <v>64677</v>
      </c>
      <c r="X507" s="2">
        <f>VLOOKUP($A507,'[2]App C Assum'!$A$4:$I$917,6,FALSE)</f>
        <v>52986</v>
      </c>
      <c r="Y507" s="2">
        <f>VLOOKUP($A507,'[2]App C Assum'!$A$4:$I$917,7,FALSE)</f>
        <v>43016</v>
      </c>
      <c r="Z507" s="2">
        <f>VLOOKUP($A507,'[2]App C Assum'!$A$4:$I$917,8,FALSE)</f>
        <v>0</v>
      </c>
      <c r="AA507" s="2">
        <f>VLOOKUP($A507,'[2]App C Assum'!$A$4:$I$917,9,FALSE)</f>
        <v>0</v>
      </c>
      <c r="AB507" s="2"/>
      <c r="AC507" s="2">
        <f>VLOOKUP($A507,'[2]App C Share Outflows'!$A$4:$I$917,5,FALSE)</f>
        <v>5089</v>
      </c>
      <c r="AD507" s="2">
        <f>VLOOKUP($A507,'[2]App C Share Outflows'!$A$4:$I$917,6,FALSE)</f>
        <v>5089</v>
      </c>
      <c r="AE507" s="2">
        <f>VLOOKUP($A507,'[2]App C Share Outflows'!$A$4:$I$917,7,FALSE)</f>
        <v>5089</v>
      </c>
      <c r="AF507" s="2">
        <f>VLOOKUP($A507,'[2]App C Share Outflows'!$A$4:$I$917,8,FALSE)</f>
        <v>5089</v>
      </c>
      <c r="AG507" s="2">
        <f>VLOOKUP($A507,'[2]App C Share Outflows'!$A$4:$I$917,9,FALSE)</f>
        <v>0</v>
      </c>
      <c r="AH507" s="2"/>
      <c r="AI507" s="2">
        <f>VLOOKUP($A507,'[2]App C Share Inflows'!$A$4:$I$917,5,FALSE)</f>
        <v>-4827</v>
      </c>
      <c r="AJ507" s="2">
        <f>VLOOKUP($A507,'[2]App C Share Inflows'!$A$4:$I$917,6,FALSE)</f>
        <v>-4421</v>
      </c>
      <c r="AK507" s="2">
        <f>VLOOKUP($A507,'[2]App C Share Inflows'!$A$4:$I$917,7,FALSE)</f>
        <v>-1719</v>
      </c>
      <c r="AL507" s="2">
        <f>VLOOKUP($A507,'[2]App C Share Inflows'!$A$4:$I$917,8,FALSE)</f>
        <v>0</v>
      </c>
      <c r="AM507" s="2">
        <f>VLOOKUP($A507,'[2]App C Share Inflows'!$A$4:$I$917,6,FALSE)</f>
        <v>-4421</v>
      </c>
    </row>
    <row r="508" spans="1:39">
      <c r="A508" s="351">
        <v>95151</v>
      </c>
      <c r="B508" s="344" t="s">
        <v>1202</v>
      </c>
      <c r="C508" s="235" t="e">
        <f>VLOOKUP(A508,#REF!,10,FALSE)</f>
        <v>#REF!</v>
      </c>
      <c r="E508" s="2">
        <f>VLOOKUP($A508,'[2]App C Total'!$A$4:$I$917,5,FALSE)</f>
        <v>50246</v>
      </c>
      <c r="F508" s="2">
        <f>VLOOKUP($A508,'[2]App C Total'!$A$4:$I$917,6,FALSE)</f>
        <v>13247</v>
      </c>
      <c r="G508" s="2">
        <f>VLOOKUP($A508,'[2]App C Total'!$A$4:$I$917,7,FALSE)</f>
        <v>27583</v>
      </c>
      <c r="H508" s="2">
        <f>VLOOKUP($A508,'[2]App C Total'!$A$4:$I$917,8,FALSE)</f>
        <v>6704</v>
      </c>
      <c r="I508" s="2">
        <f>VLOOKUP($A508,'[2]App C Total'!$A$4:$I$917,9,FALSE)</f>
        <v>0</v>
      </c>
      <c r="J508" s="2"/>
      <c r="K508" s="2">
        <f>VLOOKUP($A508,'[2]App C Exp'!$A$4:$I$917,5,FALSE)</f>
        <v>16494</v>
      </c>
      <c r="L508" s="2">
        <f>VLOOKUP($A508,'[2]App C Exp'!$A$4:$I$917,6,FALSE)</f>
        <v>15515</v>
      </c>
      <c r="M508" s="2">
        <f>VLOOKUP($A508,'[2]App C Exp'!$A$4:$I$917,7,FALSE)</f>
        <v>13906</v>
      </c>
      <c r="N508" s="2">
        <f>VLOOKUP($A508,'[2]App C Exp'!$A$4:$I$917,8,FALSE)</f>
        <v>5568</v>
      </c>
      <c r="O508" s="2">
        <f>VLOOKUP($A508,'[2]App C Exp'!$A$4:$I$917,9,FALSE)</f>
        <v>0</v>
      </c>
      <c r="P508" s="2"/>
      <c r="Q508" s="2">
        <f>VLOOKUP($A508,'[2]App C Inv'!$A$4:$I$917,5,FALSE)</f>
        <v>17510</v>
      </c>
      <c r="R508" s="2">
        <f>VLOOKUP($A508,'[2]App C Inv'!$A$4:$I$917,6,FALSE)</f>
        <v>-15062</v>
      </c>
      <c r="S508" s="2">
        <f>VLOOKUP($A508,'[2]App C Inv'!$A$4:$I$917,7,FALSE)</f>
        <v>2123</v>
      </c>
      <c r="T508" s="2">
        <f>VLOOKUP($A508,'[2]App C Inv'!$A$4:$I$917,8,FALSE)</f>
        <v>2763</v>
      </c>
      <c r="U508" s="2">
        <f>VLOOKUP($A508,'[2]App C Inv'!$A$4:$I$917,9,FALSE)</f>
        <v>0</v>
      </c>
      <c r="V508" s="2"/>
      <c r="W508" s="2">
        <f>VLOOKUP($A508,'[2]App C Assum'!$A$4:$I$917,5,FALSE)</f>
        <v>19726</v>
      </c>
      <c r="X508" s="2">
        <f>VLOOKUP($A508,'[2]App C Assum'!$A$4:$I$917,6,FALSE)</f>
        <v>16160</v>
      </c>
      <c r="Y508" s="2">
        <f>VLOOKUP($A508,'[2]App C Assum'!$A$4:$I$917,7,FALSE)</f>
        <v>13119</v>
      </c>
      <c r="Z508" s="2">
        <f>VLOOKUP($A508,'[2]App C Assum'!$A$4:$I$917,8,FALSE)</f>
        <v>0</v>
      </c>
      <c r="AA508" s="2">
        <f>VLOOKUP($A508,'[2]App C Assum'!$A$4:$I$917,9,FALSE)</f>
        <v>0</v>
      </c>
      <c r="AB508" s="2"/>
      <c r="AC508" s="2">
        <f>VLOOKUP($A508,'[2]App C Share Outflows'!$A$4:$I$917,5,FALSE)</f>
        <v>62</v>
      </c>
      <c r="AD508" s="2">
        <f>VLOOKUP($A508,'[2]App C Share Outflows'!$A$4:$I$917,6,FALSE)</f>
        <v>62</v>
      </c>
      <c r="AE508" s="2">
        <f>VLOOKUP($A508,'[2]App C Share Outflows'!$A$4:$I$917,7,FALSE)</f>
        <v>63</v>
      </c>
      <c r="AF508" s="2">
        <f>VLOOKUP($A508,'[2]App C Share Outflows'!$A$4:$I$917,8,FALSE)</f>
        <v>0</v>
      </c>
      <c r="AG508" s="2">
        <f>VLOOKUP($A508,'[2]App C Share Outflows'!$A$4:$I$917,9,FALSE)</f>
        <v>0</v>
      </c>
      <c r="AH508" s="2"/>
      <c r="AI508" s="2">
        <f>VLOOKUP($A508,'[2]App C Share Inflows'!$A$4:$I$917,5,FALSE)</f>
        <v>-3546</v>
      </c>
      <c r="AJ508" s="2">
        <f>VLOOKUP($A508,'[2]App C Share Inflows'!$A$4:$I$917,6,FALSE)</f>
        <v>-3428</v>
      </c>
      <c r="AK508" s="2">
        <f>VLOOKUP($A508,'[2]App C Share Inflows'!$A$4:$I$917,7,FALSE)</f>
        <v>-1628</v>
      </c>
      <c r="AL508" s="2">
        <f>VLOOKUP($A508,'[2]App C Share Inflows'!$A$4:$I$917,8,FALSE)</f>
        <v>-1627</v>
      </c>
      <c r="AM508" s="2">
        <f>VLOOKUP($A508,'[2]App C Share Inflows'!$A$4:$I$917,6,FALSE)</f>
        <v>-3428</v>
      </c>
    </row>
    <row r="509" spans="1:39">
      <c r="A509" s="351">
        <v>95161</v>
      </c>
      <c r="B509" s="344" t="s">
        <v>1203</v>
      </c>
      <c r="C509" s="235" t="e">
        <f>VLOOKUP(A509,#REF!,10,FALSE)</f>
        <v>#REF!</v>
      </c>
      <c r="E509" s="2">
        <f>VLOOKUP($A509,'[2]App C Total'!$A$4:$I$917,5,FALSE)</f>
        <v>39193</v>
      </c>
      <c r="F509" s="2">
        <f>VLOOKUP($A509,'[2]App C Total'!$A$4:$I$917,6,FALSE)</f>
        <v>13933</v>
      </c>
      <c r="G509" s="2">
        <f>VLOOKUP($A509,'[2]App C Total'!$A$4:$I$917,7,FALSE)</f>
        <v>21801</v>
      </c>
      <c r="H509" s="2">
        <f>VLOOKUP($A509,'[2]App C Total'!$A$4:$I$917,8,FALSE)</f>
        <v>6681</v>
      </c>
      <c r="I509" s="2">
        <f>VLOOKUP($A509,'[2]App C Total'!$A$4:$I$917,9,FALSE)</f>
        <v>0</v>
      </c>
      <c r="J509" s="2"/>
      <c r="K509" s="2">
        <f>VLOOKUP($A509,'[2]App C Exp'!$A$4:$I$917,5,FALSE)</f>
        <v>10666</v>
      </c>
      <c r="L509" s="2">
        <f>VLOOKUP($A509,'[2]App C Exp'!$A$4:$I$917,6,FALSE)</f>
        <v>10034</v>
      </c>
      <c r="M509" s="2">
        <f>VLOOKUP($A509,'[2]App C Exp'!$A$4:$I$917,7,FALSE)</f>
        <v>8993</v>
      </c>
      <c r="N509" s="2">
        <f>VLOOKUP($A509,'[2]App C Exp'!$A$4:$I$917,8,FALSE)</f>
        <v>3601</v>
      </c>
      <c r="O509" s="2">
        <f>VLOOKUP($A509,'[2]App C Exp'!$A$4:$I$917,9,FALSE)</f>
        <v>0</v>
      </c>
      <c r="P509" s="2"/>
      <c r="Q509" s="2">
        <f>VLOOKUP($A509,'[2]App C Inv'!$A$4:$I$917,5,FALSE)</f>
        <v>11324</v>
      </c>
      <c r="R509" s="2">
        <f>VLOOKUP($A509,'[2]App C Inv'!$A$4:$I$917,6,FALSE)</f>
        <v>-9741</v>
      </c>
      <c r="S509" s="2">
        <f>VLOOKUP($A509,'[2]App C Inv'!$A$4:$I$917,7,FALSE)</f>
        <v>1373</v>
      </c>
      <c r="T509" s="2">
        <f>VLOOKUP($A509,'[2]App C Inv'!$A$4:$I$917,8,FALSE)</f>
        <v>1787</v>
      </c>
      <c r="U509" s="2">
        <f>VLOOKUP($A509,'[2]App C Inv'!$A$4:$I$917,9,FALSE)</f>
        <v>0</v>
      </c>
      <c r="V509" s="2"/>
      <c r="W509" s="2">
        <f>VLOOKUP($A509,'[2]App C Assum'!$A$4:$I$917,5,FALSE)</f>
        <v>12756</v>
      </c>
      <c r="X509" s="2">
        <f>VLOOKUP($A509,'[2]App C Assum'!$A$4:$I$917,6,FALSE)</f>
        <v>10450</v>
      </c>
      <c r="Y509" s="2">
        <f>VLOOKUP($A509,'[2]App C Assum'!$A$4:$I$917,7,FALSE)</f>
        <v>8484</v>
      </c>
      <c r="Z509" s="2">
        <f>VLOOKUP($A509,'[2]App C Assum'!$A$4:$I$917,8,FALSE)</f>
        <v>0</v>
      </c>
      <c r="AA509" s="2">
        <f>VLOOKUP($A509,'[2]App C Assum'!$A$4:$I$917,9,FALSE)</f>
        <v>0</v>
      </c>
      <c r="AB509" s="2"/>
      <c r="AC509" s="2">
        <f>VLOOKUP($A509,'[2]App C Share Outflows'!$A$4:$I$917,5,FALSE)</f>
        <v>4447</v>
      </c>
      <c r="AD509" s="2">
        <f>VLOOKUP($A509,'[2]App C Share Outflows'!$A$4:$I$917,6,FALSE)</f>
        <v>3190</v>
      </c>
      <c r="AE509" s="2">
        <f>VLOOKUP($A509,'[2]App C Share Outflows'!$A$4:$I$917,7,FALSE)</f>
        <v>2951</v>
      </c>
      <c r="AF509" s="2">
        <f>VLOOKUP($A509,'[2]App C Share Outflows'!$A$4:$I$917,8,FALSE)</f>
        <v>1293</v>
      </c>
      <c r="AG509" s="2">
        <f>VLOOKUP($A509,'[2]App C Share Outflows'!$A$4:$I$917,9,FALSE)</f>
        <v>0</v>
      </c>
      <c r="AH509" s="2"/>
      <c r="AI509" s="2">
        <f>VLOOKUP($A509,'[2]App C Share Inflows'!$A$4:$I$917,5,FALSE)</f>
        <v>0</v>
      </c>
      <c r="AJ509" s="2">
        <f>VLOOKUP($A509,'[2]App C Share Inflows'!$A$4:$I$917,6,FALSE)</f>
        <v>0</v>
      </c>
      <c r="AK509" s="2">
        <f>VLOOKUP($A509,'[2]App C Share Inflows'!$A$4:$I$917,7,FALSE)</f>
        <v>0</v>
      </c>
      <c r="AL509" s="2">
        <f>VLOOKUP($A509,'[2]App C Share Inflows'!$A$4:$I$917,8,FALSE)</f>
        <v>0</v>
      </c>
      <c r="AM509" s="2">
        <f>VLOOKUP($A509,'[2]App C Share Inflows'!$A$4:$I$917,6,FALSE)</f>
        <v>0</v>
      </c>
    </row>
    <row r="510" spans="1:39">
      <c r="A510" s="351">
        <v>95171</v>
      </c>
      <c r="B510" s="344" t="s">
        <v>1204</v>
      </c>
      <c r="C510" s="235" t="e">
        <f>VLOOKUP(A510,#REF!,10,FALSE)</f>
        <v>#REF!</v>
      </c>
      <c r="E510" s="2">
        <f>VLOOKUP($A510,'[2]App C Total'!$A$4:$I$917,5,FALSE)</f>
        <v>53230</v>
      </c>
      <c r="F510" s="2">
        <f>VLOOKUP($A510,'[2]App C Total'!$A$4:$I$917,6,FALSE)</f>
        <v>17437</v>
      </c>
      <c r="G510" s="2">
        <f>VLOOKUP($A510,'[2]App C Total'!$A$4:$I$917,7,FALSE)</f>
        <v>31738</v>
      </c>
      <c r="H510" s="2">
        <f>VLOOKUP($A510,'[2]App C Total'!$A$4:$I$917,8,FALSE)</f>
        <v>13209</v>
      </c>
      <c r="I510" s="2">
        <f>VLOOKUP($A510,'[2]App C Total'!$A$4:$I$917,9,FALSE)</f>
        <v>0</v>
      </c>
      <c r="J510" s="2"/>
      <c r="K510" s="2">
        <f>VLOOKUP($A510,'[2]App C Exp'!$A$4:$I$917,5,FALSE)</f>
        <v>16314</v>
      </c>
      <c r="L510" s="2">
        <f>VLOOKUP($A510,'[2]App C Exp'!$A$4:$I$917,6,FALSE)</f>
        <v>15346</v>
      </c>
      <c r="M510" s="2">
        <f>VLOOKUP($A510,'[2]App C Exp'!$A$4:$I$917,7,FALSE)</f>
        <v>13755</v>
      </c>
      <c r="N510" s="2">
        <f>VLOOKUP($A510,'[2]App C Exp'!$A$4:$I$917,8,FALSE)</f>
        <v>5507</v>
      </c>
      <c r="O510" s="2">
        <f>VLOOKUP($A510,'[2]App C Exp'!$A$4:$I$917,9,FALSE)</f>
        <v>0</v>
      </c>
      <c r="P510" s="2"/>
      <c r="Q510" s="2">
        <f>VLOOKUP($A510,'[2]App C Inv'!$A$4:$I$917,5,FALSE)</f>
        <v>17320</v>
      </c>
      <c r="R510" s="2">
        <f>VLOOKUP($A510,'[2]App C Inv'!$A$4:$I$917,6,FALSE)</f>
        <v>-14898</v>
      </c>
      <c r="S510" s="2">
        <f>VLOOKUP($A510,'[2]App C Inv'!$A$4:$I$917,7,FALSE)</f>
        <v>2100</v>
      </c>
      <c r="T510" s="2">
        <f>VLOOKUP($A510,'[2]App C Inv'!$A$4:$I$917,8,FALSE)</f>
        <v>2733</v>
      </c>
      <c r="U510" s="2">
        <f>VLOOKUP($A510,'[2]App C Inv'!$A$4:$I$917,9,FALSE)</f>
        <v>0</v>
      </c>
      <c r="V510" s="2"/>
      <c r="W510" s="2">
        <f>VLOOKUP($A510,'[2]App C Assum'!$A$4:$I$917,5,FALSE)</f>
        <v>19511</v>
      </c>
      <c r="X510" s="2">
        <f>VLOOKUP($A510,'[2]App C Assum'!$A$4:$I$917,6,FALSE)</f>
        <v>15984</v>
      </c>
      <c r="Y510" s="2">
        <f>VLOOKUP($A510,'[2]App C Assum'!$A$4:$I$917,7,FALSE)</f>
        <v>12976</v>
      </c>
      <c r="Z510" s="2">
        <f>VLOOKUP($A510,'[2]App C Assum'!$A$4:$I$917,8,FALSE)</f>
        <v>0</v>
      </c>
      <c r="AA510" s="2">
        <f>VLOOKUP($A510,'[2]App C Assum'!$A$4:$I$917,9,FALSE)</f>
        <v>0</v>
      </c>
      <c r="AB510" s="2"/>
      <c r="AC510" s="2">
        <f>VLOOKUP($A510,'[2]App C Share Outflows'!$A$4:$I$917,5,FALSE)</f>
        <v>4970</v>
      </c>
      <c r="AD510" s="2">
        <f>VLOOKUP($A510,'[2]App C Share Outflows'!$A$4:$I$917,6,FALSE)</f>
        <v>4970</v>
      </c>
      <c r="AE510" s="2">
        <f>VLOOKUP($A510,'[2]App C Share Outflows'!$A$4:$I$917,7,FALSE)</f>
        <v>4970</v>
      </c>
      <c r="AF510" s="2">
        <f>VLOOKUP($A510,'[2]App C Share Outflows'!$A$4:$I$917,8,FALSE)</f>
        <v>4969</v>
      </c>
      <c r="AG510" s="2">
        <f>VLOOKUP($A510,'[2]App C Share Outflows'!$A$4:$I$917,9,FALSE)</f>
        <v>0</v>
      </c>
      <c r="AH510" s="2"/>
      <c r="AI510" s="2">
        <f>VLOOKUP($A510,'[2]App C Share Inflows'!$A$4:$I$917,5,FALSE)</f>
        <v>-4885</v>
      </c>
      <c r="AJ510" s="2">
        <f>VLOOKUP($A510,'[2]App C Share Inflows'!$A$4:$I$917,6,FALSE)</f>
        <v>-3965</v>
      </c>
      <c r="AK510" s="2">
        <f>VLOOKUP($A510,'[2]App C Share Inflows'!$A$4:$I$917,7,FALSE)</f>
        <v>-2063</v>
      </c>
      <c r="AL510" s="2">
        <f>VLOOKUP($A510,'[2]App C Share Inflows'!$A$4:$I$917,8,FALSE)</f>
        <v>0</v>
      </c>
      <c r="AM510" s="2">
        <f>VLOOKUP($A510,'[2]App C Share Inflows'!$A$4:$I$917,6,FALSE)</f>
        <v>-3965</v>
      </c>
    </row>
    <row r="511" spans="1:39">
      <c r="A511" s="351">
        <v>95181</v>
      </c>
      <c r="B511" s="344" t="s">
        <v>1205</v>
      </c>
      <c r="C511" s="235" t="e">
        <f>VLOOKUP(A511,#REF!,10,FALSE)</f>
        <v>#REF!</v>
      </c>
      <c r="E511" s="2">
        <f>VLOOKUP($A511,'[2]App C Total'!$A$4:$I$917,5,FALSE)</f>
        <v>22594</v>
      </c>
      <c r="F511" s="2">
        <f>VLOOKUP($A511,'[2]App C Total'!$A$4:$I$917,6,FALSE)</f>
        <v>3793</v>
      </c>
      <c r="G511" s="2">
        <f>VLOOKUP($A511,'[2]App C Total'!$A$4:$I$917,7,FALSE)</f>
        <v>11783</v>
      </c>
      <c r="H511" s="2">
        <f>VLOOKUP($A511,'[2]App C Total'!$A$4:$I$917,8,FALSE)</f>
        <v>1428</v>
      </c>
      <c r="I511" s="2">
        <f>VLOOKUP($A511,'[2]App C Total'!$A$4:$I$917,9,FALSE)</f>
        <v>0</v>
      </c>
      <c r="J511" s="2"/>
      <c r="K511" s="2">
        <f>VLOOKUP($A511,'[2]App C Exp'!$A$4:$I$917,5,FALSE)</f>
        <v>8943</v>
      </c>
      <c r="L511" s="2">
        <f>VLOOKUP($A511,'[2]App C Exp'!$A$4:$I$917,6,FALSE)</f>
        <v>8413</v>
      </c>
      <c r="M511" s="2">
        <f>VLOOKUP($A511,'[2]App C Exp'!$A$4:$I$917,7,FALSE)</f>
        <v>7540</v>
      </c>
      <c r="N511" s="2">
        <f>VLOOKUP($A511,'[2]App C Exp'!$A$4:$I$917,8,FALSE)</f>
        <v>3019</v>
      </c>
      <c r="O511" s="2">
        <f>VLOOKUP($A511,'[2]App C Exp'!$A$4:$I$917,9,FALSE)</f>
        <v>0</v>
      </c>
      <c r="P511" s="2"/>
      <c r="Q511" s="2">
        <f>VLOOKUP($A511,'[2]App C Inv'!$A$4:$I$917,5,FALSE)</f>
        <v>9495</v>
      </c>
      <c r="R511" s="2">
        <f>VLOOKUP($A511,'[2]App C Inv'!$A$4:$I$917,6,FALSE)</f>
        <v>-8167</v>
      </c>
      <c r="S511" s="2">
        <f>VLOOKUP($A511,'[2]App C Inv'!$A$4:$I$917,7,FALSE)</f>
        <v>1151</v>
      </c>
      <c r="T511" s="2">
        <f>VLOOKUP($A511,'[2]App C Inv'!$A$4:$I$917,8,FALSE)</f>
        <v>1498</v>
      </c>
      <c r="U511" s="2">
        <f>VLOOKUP($A511,'[2]App C Inv'!$A$4:$I$917,9,FALSE)</f>
        <v>0</v>
      </c>
      <c r="V511" s="2"/>
      <c r="W511" s="2">
        <f>VLOOKUP($A511,'[2]App C Assum'!$A$4:$I$917,5,FALSE)</f>
        <v>10696</v>
      </c>
      <c r="X511" s="2">
        <f>VLOOKUP($A511,'[2]App C Assum'!$A$4:$I$917,6,FALSE)</f>
        <v>8763</v>
      </c>
      <c r="Y511" s="2">
        <f>VLOOKUP($A511,'[2]App C Assum'!$A$4:$I$917,7,FALSE)</f>
        <v>7114</v>
      </c>
      <c r="Z511" s="2">
        <f>VLOOKUP($A511,'[2]App C Assum'!$A$4:$I$917,8,FALSE)</f>
        <v>0</v>
      </c>
      <c r="AA511" s="2">
        <f>VLOOKUP($A511,'[2]App C Assum'!$A$4:$I$917,9,FALSE)</f>
        <v>0</v>
      </c>
      <c r="AB511" s="2"/>
      <c r="AC511" s="2">
        <f>VLOOKUP($A511,'[2]App C Share Outflows'!$A$4:$I$917,5,FALSE)</f>
        <v>0</v>
      </c>
      <c r="AD511" s="2">
        <f>VLOOKUP($A511,'[2]App C Share Outflows'!$A$4:$I$917,6,FALSE)</f>
        <v>0</v>
      </c>
      <c r="AE511" s="2">
        <f>VLOOKUP($A511,'[2]App C Share Outflows'!$A$4:$I$917,7,FALSE)</f>
        <v>0</v>
      </c>
      <c r="AF511" s="2">
        <f>VLOOKUP($A511,'[2]App C Share Outflows'!$A$4:$I$917,8,FALSE)</f>
        <v>0</v>
      </c>
      <c r="AG511" s="2">
        <f>VLOOKUP($A511,'[2]App C Share Outflows'!$A$4:$I$917,9,FALSE)</f>
        <v>0</v>
      </c>
      <c r="AH511" s="2"/>
      <c r="AI511" s="2">
        <f>VLOOKUP($A511,'[2]App C Share Inflows'!$A$4:$I$917,5,FALSE)</f>
        <v>-6540</v>
      </c>
      <c r="AJ511" s="2">
        <f>VLOOKUP($A511,'[2]App C Share Inflows'!$A$4:$I$917,6,FALSE)</f>
        <v>-5216</v>
      </c>
      <c r="AK511" s="2">
        <f>VLOOKUP($A511,'[2]App C Share Inflows'!$A$4:$I$917,7,FALSE)</f>
        <v>-4022</v>
      </c>
      <c r="AL511" s="2">
        <f>VLOOKUP($A511,'[2]App C Share Inflows'!$A$4:$I$917,8,FALSE)</f>
        <v>-3089</v>
      </c>
      <c r="AM511" s="2">
        <f>VLOOKUP($A511,'[2]App C Share Inflows'!$A$4:$I$917,6,FALSE)</f>
        <v>-5216</v>
      </c>
    </row>
    <row r="512" spans="1:39">
      <c r="A512" s="351">
        <v>95191</v>
      </c>
      <c r="B512" s="344" t="s">
        <v>1206</v>
      </c>
      <c r="C512" s="235" t="e">
        <f>VLOOKUP(A512,#REF!,10,FALSE)</f>
        <v>#REF!</v>
      </c>
      <c r="E512" s="2">
        <f>VLOOKUP($A512,'[2]App C Total'!$A$4:$I$917,5,FALSE)</f>
        <v>44641</v>
      </c>
      <c r="F512" s="2">
        <f>VLOOKUP($A512,'[2]App C Total'!$A$4:$I$917,6,FALSE)</f>
        <v>21353</v>
      </c>
      <c r="G512" s="2">
        <f>VLOOKUP($A512,'[2]App C Total'!$A$4:$I$917,7,FALSE)</f>
        <v>28449</v>
      </c>
      <c r="H512" s="2">
        <f>VLOOKUP($A512,'[2]App C Total'!$A$4:$I$917,8,FALSE)</f>
        <v>13680</v>
      </c>
      <c r="I512" s="2">
        <f>VLOOKUP($A512,'[2]App C Total'!$A$4:$I$917,9,FALSE)</f>
        <v>0</v>
      </c>
      <c r="J512" s="2"/>
      <c r="K512" s="2">
        <f>VLOOKUP($A512,'[2]App C Exp'!$A$4:$I$917,5,FALSE)</f>
        <v>11056</v>
      </c>
      <c r="L512" s="2">
        <f>VLOOKUP($A512,'[2]App C Exp'!$A$4:$I$917,6,FALSE)</f>
        <v>10400</v>
      </c>
      <c r="M512" s="2">
        <f>VLOOKUP($A512,'[2]App C Exp'!$A$4:$I$917,7,FALSE)</f>
        <v>9321</v>
      </c>
      <c r="N512" s="2">
        <f>VLOOKUP($A512,'[2]App C Exp'!$A$4:$I$917,8,FALSE)</f>
        <v>3732</v>
      </c>
      <c r="O512" s="2">
        <f>VLOOKUP($A512,'[2]App C Exp'!$A$4:$I$917,9,FALSE)</f>
        <v>0</v>
      </c>
      <c r="P512" s="2"/>
      <c r="Q512" s="2">
        <f>VLOOKUP($A512,'[2]App C Inv'!$A$4:$I$917,5,FALSE)</f>
        <v>11737</v>
      </c>
      <c r="R512" s="2">
        <f>VLOOKUP($A512,'[2]App C Inv'!$A$4:$I$917,6,FALSE)</f>
        <v>-10096</v>
      </c>
      <c r="S512" s="2">
        <f>VLOOKUP($A512,'[2]App C Inv'!$A$4:$I$917,7,FALSE)</f>
        <v>1423</v>
      </c>
      <c r="T512" s="2">
        <f>VLOOKUP($A512,'[2]App C Inv'!$A$4:$I$917,8,FALSE)</f>
        <v>1852</v>
      </c>
      <c r="U512" s="2">
        <f>VLOOKUP($A512,'[2]App C Inv'!$A$4:$I$917,9,FALSE)</f>
        <v>0</v>
      </c>
      <c r="V512" s="2"/>
      <c r="W512" s="2">
        <f>VLOOKUP($A512,'[2]App C Assum'!$A$4:$I$917,5,FALSE)</f>
        <v>13222</v>
      </c>
      <c r="X512" s="2">
        <f>VLOOKUP($A512,'[2]App C Assum'!$A$4:$I$917,6,FALSE)</f>
        <v>10832</v>
      </c>
      <c r="Y512" s="2">
        <f>VLOOKUP($A512,'[2]App C Assum'!$A$4:$I$917,7,FALSE)</f>
        <v>8794</v>
      </c>
      <c r="Z512" s="2">
        <f>VLOOKUP($A512,'[2]App C Assum'!$A$4:$I$917,8,FALSE)</f>
        <v>0</v>
      </c>
      <c r="AA512" s="2">
        <f>VLOOKUP($A512,'[2]App C Assum'!$A$4:$I$917,9,FALSE)</f>
        <v>0</v>
      </c>
      <c r="AB512" s="2"/>
      <c r="AC512" s="2">
        <f>VLOOKUP($A512,'[2]App C Share Outflows'!$A$4:$I$917,5,FALSE)</f>
        <v>10217</v>
      </c>
      <c r="AD512" s="2">
        <f>VLOOKUP($A512,'[2]App C Share Outflows'!$A$4:$I$917,6,FALSE)</f>
        <v>10217</v>
      </c>
      <c r="AE512" s="2">
        <f>VLOOKUP($A512,'[2]App C Share Outflows'!$A$4:$I$917,7,FALSE)</f>
        <v>8911</v>
      </c>
      <c r="AF512" s="2">
        <f>VLOOKUP($A512,'[2]App C Share Outflows'!$A$4:$I$917,8,FALSE)</f>
        <v>8096</v>
      </c>
      <c r="AG512" s="2">
        <f>VLOOKUP($A512,'[2]App C Share Outflows'!$A$4:$I$917,9,FALSE)</f>
        <v>0</v>
      </c>
      <c r="AH512" s="2"/>
      <c r="AI512" s="2">
        <f>VLOOKUP($A512,'[2]App C Share Inflows'!$A$4:$I$917,5,FALSE)</f>
        <v>-1591</v>
      </c>
      <c r="AJ512" s="2">
        <f>VLOOKUP($A512,'[2]App C Share Inflows'!$A$4:$I$917,6,FALSE)</f>
        <v>0</v>
      </c>
      <c r="AK512" s="2">
        <f>VLOOKUP($A512,'[2]App C Share Inflows'!$A$4:$I$917,7,FALSE)</f>
        <v>0</v>
      </c>
      <c r="AL512" s="2">
        <f>VLOOKUP($A512,'[2]App C Share Inflows'!$A$4:$I$917,8,FALSE)</f>
        <v>0</v>
      </c>
      <c r="AM512" s="2">
        <f>VLOOKUP($A512,'[2]App C Share Inflows'!$A$4:$I$917,6,FALSE)</f>
        <v>0</v>
      </c>
    </row>
    <row r="513" spans="1:39">
      <c r="A513" s="351">
        <v>95201</v>
      </c>
      <c r="B513" s="344" t="s">
        <v>1207</v>
      </c>
      <c r="C513" s="235" t="e">
        <f>VLOOKUP(A513,#REF!,10,FALSE)</f>
        <v>#REF!</v>
      </c>
      <c r="E513" s="2">
        <f>VLOOKUP($A513,'[2]App C Total'!$A$4:$I$917,5,FALSE)</f>
        <v>303918</v>
      </c>
      <c r="F513" s="2">
        <f>VLOOKUP($A513,'[2]App C Total'!$A$4:$I$917,6,FALSE)</f>
        <v>82672</v>
      </c>
      <c r="G513" s="2">
        <f>VLOOKUP($A513,'[2]App C Total'!$A$4:$I$917,7,FALSE)</f>
        <v>156701</v>
      </c>
      <c r="H513" s="2">
        <f>VLOOKUP($A513,'[2]App C Total'!$A$4:$I$917,8,FALSE)</f>
        <v>38829</v>
      </c>
      <c r="I513" s="2">
        <f>VLOOKUP($A513,'[2]App C Total'!$A$4:$I$917,9,FALSE)</f>
        <v>0</v>
      </c>
      <c r="J513" s="2"/>
      <c r="K513" s="2">
        <f>VLOOKUP($A513,'[2]App C Exp'!$A$4:$I$917,5,FALSE)</f>
        <v>97479</v>
      </c>
      <c r="L513" s="2">
        <f>VLOOKUP($A513,'[2]App C Exp'!$A$4:$I$917,6,FALSE)</f>
        <v>91697</v>
      </c>
      <c r="M513" s="2">
        <f>VLOOKUP($A513,'[2]App C Exp'!$A$4:$I$917,7,FALSE)</f>
        <v>82187</v>
      </c>
      <c r="N513" s="2">
        <f>VLOOKUP($A513,'[2]App C Exp'!$A$4:$I$917,8,FALSE)</f>
        <v>32907</v>
      </c>
      <c r="O513" s="2">
        <f>VLOOKUP($A513,'[2]App C Exp'!$A$4:$I$917,9,FALSE)</f>
        <v>0</v>
      </c>
      <c r="P513" s="2"/>
      <c r="Q513" s="2">
        <f>VLOOKUP($A513,'[2]App C Inv'!$A$4:$I$917,5,FALSE)</f>
        <v>103488</v>
      </c>
      <c r="R513" s="2">
        <f>VLOOKUP($A513,'[2]App C Inv'!$A$4:$I$917,6,FALSE)</f>
        <v>-89019</v>
      </c>
      <c r="S513" s="2">
        <f>VLOOKUP($A513,'[2]App C Inv'!$A$4:$I$917,7,FALSE)</f>
        <v>12546</v>
      </c>
      <c r="T513" s="2">
        <f>VLOOKUP($A513,'[2]App C Inv'!$A$4:$I$917,8,FALSE)</f>
        <v>16329</v>
      </c>
      <c r="U513" s="2">
        <f>VLOOKUP($A513,'[2]App C Inv'!$A$4:$I$917,9,FALSE)</f>
        <v>0</v>
      </c>
      <c r="V513" s="2"/>
      <c r="W513" s="2">
        <f>VLOOKUP($A513,'[2]App C Assum'!$A$4:$I$917,5,FALSE)</f>
        <v>116581</v>
      </c>
      <c r="X513" s="2">
        <f>VLOOKUP($A513,'[2]App C Assum'!$A$4:$I$917,6,FALSE)</f>
        <v>95507</v>
      </c>
      <c r="Y513" s="2">
        <f>VLOOKUP($A513,'[2]App C Assum'!$A$4:$I$917,7,FALSE)</f>
        <v>77535</v>
      </c>
      <c r="Z513" s="2">
        <f>VLOOKUP($A513,'[2]App C Assum'!$A$4:$I$917,8,FALSE)</f>
        <v>0</v>
      </c>
      <c r="AA513" s="2">
        <f>VLOOKUP($A513,'[2]App C Assum'!$A$4:$I$917,9,FALSE)</f>
        <v>0</v>
      </c>
      <c r="AB513" s="2"/>
      <c r="AC513" s="2">
        <f>VLOOKUP($A513,'[2]App C Share Outflows'!$A$4:$I$917,5,FALSE)</f>
        <v>1937</v>
      </c>
      <c r="AD513" s="2">
        <f>VLOOKUP($A513,'[2]App C Share Outflows'!$A$4:$I$917,6,FALSE)</f>
        <v>54</v>
      </c>
      <c r="AE513" s="2">
        <f>VLOOKUP($A513,'[2]App C Share Outflows'!$A$4:$I$917,7,FALSE)</f>
        <v>0</v>
      </c>
      <c r="AF513" s="2">
        <f>VLOOKUP($A513,'[2]App C Share Outflows'!$A$4:$I$917,8,FALSE)</f>
        <v>0</v>
      </c>
      <c r="AG513" s="2">
        <f>VLOOKUP($A513,'[2]App C Share Outflows'!$A$4:$I$917,9,FALSE)</f>
        <v>0</v>
      </c>
      <c r="AH513" s="2"/>
      <c r="AI513" s="2">
        <f>VLOOKUP($A513,'[2]App C Share Inflows'!$A$4:$I$917,5,FALSE)</f>
        <v>-15567</v>
      </c>
      <c r="AJ513" s="2">
        <f>VLOOKUP($A513,'[2]App C Share Inflows'!$A$4:$I$917,6,FALSE)</f>
        <v>-15567</v>
      </c>
      <c r="AK513" s="2">
        <f>VLOOKUP($A513,'[2]App C Share Inflows'!$A$4:$I$917,7,FALSE)</f>
        <v>-15567</v>
      </c>
      <c r="AL513" s="2">
        <f>VLOOKUP($A513,'[2]App C Share Inflows'!$A$4:$I$917,8,FALSE)</f>
        <v>-10407</v>
      </c>
      <c r="AM513" s="2">
        <f>VLOOKUP($A513,'[2]App C Share Inflows'!$A$4:$I$917,6,FALSE)</f>
        <v>-15567</v>
      </c>
    </row>
    <row r="514" spans="1:39">
      <c r="A514" s="351">
        <v>95204</v>
      </c>
      <c r="B514" s="344" t="s">
        <v>1208</v>
      </c>
      <c r="C514" s="235" t="e">
        <f>VLOOKUP(A514,#REF!,10,FALSE)</f>
        <v>#REF!</v>
      </c>
      <c r="E514" s="2">
        <f>VLOOKUP($A514,'[2]App C Total'!$A$4:$I$917,5,FALSE)</f>
        <v>2523</v>
      </c>
      <c r="F514" s="2">
        <f>VLOOKUP($A514,'[2]App C Total'!$A$4:$I$917,6,FALSE)</f>
        <v>778</v>
      </c>
      <c r="G514" s="2">
        <f>VLOOKUP($A514,'[2]App C Total'!$A$4:$I$917,7,FALSE)</f>
        <v>973</v>
      </c>
      <c r="H514" s="2">
        <f>VLOOKUP($A514,'[2]App C Total'!$A$4:$I$917,8,FALSE)</f>
        <v>-35</v>
      </c>
      <c r="I514" s="2">
        <f>VLOOKUP($A514,'[2]App C Total'!$A$4:$I$917,9,FALSE)</f>
        <v>0</v>
      </c>
      <c r="J514" s="2"/>
      <c r="K514" s="2">
        <f>VLOOKUP($A514,'[2]App C Exp'!$A$4:$I$917,5,FALSE)</f>
        <v>854</v>
      </c>
      <c r="L514" s="2">
        <f>VLOOKUP($A514,'[2]App C Exp'!$A$4:$I$917,6,FALSE)</f>
        <v>803</v>
      </c>
      <c r="M514" s="2">
        <f>VLOOKUP($A514,'[2]App C Exp'!$A$4:$I$917,7,FALSE)</f>
        <v>720</v>
      </c>
      <c r="N514" s="2">
        <f>VLOOKUP($A514,'[2]App C Exp'!$A$4:$I$917,8,FALSE)</f>
        <v>288</v>
      </c>
      <c r="O514" s="2">
        <f>VLOOKUP($A514,'[2]App C Exp'!$A$4:$I$917,9,FALSE)</f>
        <v>0</v>
      </c>
      <c r="P514" s="2"/>
      <c r="Q514" s="2">
        <f>VLOOKUP($A514,'[2]App C Inv'!$A$4:$I$917,5,FALSE)</f>
        <v>907</v>
      </c>
      <c r="R514" s="2">
        <f>VLOOKUP($A514,'[2]App C Inv'!$A$4:$I$917,6,FALSE)</f>
        <v>-780</v>
      </c>
      <c r="S514" s="2">
        <f>VLOOKUP($A514,'[2]App C Inv'!$A$4:$I$917,7,FALSE)</f>
        <v>110</v>
      </c>
      <c r="T514" s="2">
        <f>VLOOKUP($A514,'[2]App C Inv'!$A$4:$I$917,8,FALSE)</f>
        <v>143</v>
      </c>
      <c r="U514" s="2">
        <f>VLOOKUP($A514,'[2]App C Inv'!$A$4:$I$917,9,FALSE)</f>
        <v>0</v>
      </c>
      <c r="V514" s="2"/>
      <c r="W514" s="2">
        <f>VLOOKUP($A514,'[2]App C Assum'!$A$4:$I$917,5,FALSE)</f>
        <v>1021</v>
      </c>
      <c r="X514" s="2">
        <f>VLOOKUP($A514,'[2]App C Assum'!$A$4:$I$917,6,FALSE)</f>
        <v>837</v>
      </c>
      <c r="Y514" s="2">
        <f>VLOOKUP($A514,'[2]App C Assum'!$A$4:$I$917,7,FALSE)</f>
        <v>679</v>
      </c>
      <c r="Z514" s="2">
        <f>VLOOKUP($A514,'[2]App C Assum'!$A$4:$I$917,8,FALSE)</f>
        <v>0</v>
      </c>
      <c r="AA514" s="2">
        <f>VLOOKUP($A514,'[2]App C Assum'!$A$4:$I$917,9,FALSE)</f>
        <v>0</v>
      </c>
      <c r="AB514" s="2"/>
      <c r="AC514" s="2">
        <f>VLOOKUP($A514,'[2]App C Share Outflows'!$A$4:$I$917,5,FALSE)</f>
        <v>456</v>
      </c>
      <c r="AD514" s="2">
        <f>VLOOKUP($A514,'[2]App C Share Outflows'!$A$4:$I$917,6,FALSE)</f>
        <v>456</v>
      </c>
      <c r="AE514" s="2">
        <f>VLOOKUP($A514,'[2]App C Share Outflows'!$A$4:$I$917,7,FALSE)</f>
        <v>0</v>
      </c>
      <c r="AF514" s="2">
        <f>VLOOKUP($A514,'[2]App C Share Outflows'!$A$4:$I$917,8,FALSE)</f>
        <v>0</v>
      </c>
      <c r="AG514" s="2">
        <f>VLOOKUP($A514,'[2]App C Share Outflows'!$A$4:$I$917,9,FALSE)</f>
        <v>0</v>
      </c>
      <c r="AH514" s="2"/>
      <c r="AI514" s="2">
        <f>VLOOKUP($A514,'[2]App C Share Inflows'!$A$4:$I$917,5,FALSE)</f>
        <v>-715</v>
      </c>
      <c r="AJ514" s="2">
        <f>VLOOKUP($A514,'[2]App C Share Inflows'!$A$4:$I$917,6,FALSE)</f>
        <v>-538</v>
      </c>
      <c r="AK514" s="2">
        <f>VLOOKUP($A514,'[2]App C Share Inflows'!$A$4:$I$917,7,FALSE)</f>
        <v>-536</v>
      </c>
      <c r="AL514" s="2">
        <f>VLOOKUP($A514,'[2]App C Share Inflows'!$A$4:$I$917,8,FALSE)</f>
        <v>-466</v>
      </c>
      <c r="AM514" s="2">
        <f>VLOOKUP($A514,'[2]App C Share Inflows'!$A$4:$I$917,6,FALSE)</f>
        <v>-538</v>
      </c>
    </row>
    <row r="515" spans="1:39">
      <c r="A515" s="351">
        <v>95205</v>
      </c>
      <c r="B515" s="344" t="s">
        <v>1209</v>
      </c>
      <c r="C515" s="235" t="e">
        <f>VLOOKUP(A515,#REF!,10,FALSE)</f>
        <v>#REF!</v>
      </c>
      <c r="E515" s="2">
        <f>VLOOKUP($A515,'[2]App C Total'!$A$4:$I$917,5,FALSE)</f>
        <v>1619</v>
      </c>
      <c r="F515" s="2">
        <f>VLOOKUP($A515,'[2]App C Total'!$A$4:$I$917,6,FALSE)</f>
        <v>648</v>
      </c>
      <c r="G515" s="2">
        <f>VLOOKUP($A515,'[2]App C Total'!$A$4:$I$917,7,FALSE)</f>
        <v>929</v>
      </c>
      <c r="H515" s="2">
        <f>VLOOKUP($A515,'[2]App C Total'!$A$4:$I$917,8,FALSE)</f>
        <v>658</v>
      </c>
      <c r="I515" s="2">
        <f>VLOOKUP($A515,'[2]App C Total'!$A$4:$I$917,9,FALSE)</f>
        <v>0</v>
      </c>
      <c r="J515" s="2"/>
      <c r="K515" s="2">
        <f>VLOOKUP($A515,'[2]App C Exp'!$A$4:$I$917,5,FALSE)</f>
        <v>404</v>
      </c>
      <c r="L515" s="2">
        <f>VLOOKUP($A515,'[2]App C Exp'!$A$4:$I$917,6,FALSE)</f>
        <v>380</v>
      </c>
      <c r="M515" s="2">
        <f>VLOOKUP($A515,'[2]App C Exp'!$A$4:$I$917,7,FALSE)</f>
        <v>341</v>
      </c>
      <c r="N515" s="2">
        <f>VLOOKUP($A515,'[2]App C Exp'!$A$4:$I$917,8,FALSE)</f>
        <v>137</v>
      </c>
      <c r="O515" s="2">
        <f>VLOOKUP($A515,'[2]App C Exp'!$A$4:$I$917,9,FALSE)</f>
        <v>0</v>
      </c>
      <c r="P515" s="2"/>
      <c r="Q515" s="2">
        <f>VLOOKUP($A515,'[2]App C Inv'!$A$4:$I$917,5,FALSE)</f>
        <v>429</v>
      </c>
      <c r="R515" s="2">
        <f>VLOOKUP($A515,'[2]App C Inv'!$A$4:$I$917,6,FALSE)</f>
        <v>-369</v>
      </c>
      <c r="S515" s="2">
        <f>VLOOKUP($A515,'[2]App C Inv'!$A$4:$I$917,7,FALSE)</f>
        <v>52</v>
      </c>
      <c r="T515" s="2">
        <f>VLOOKUP($A515,'[2]App C Inv'!$A$4:$I$917,8,FALSE)</f>
        <v>68</v>
      </c>
      <c r="U515" s="2">
        <f>VLOOKUP($A515,'[2]App C Inv'!$A$4:$I$917,9,FALSE)</f>
        <v>0</v>
      </c>
      <c r="V515" s="2"/>
      <c r="W515" s="2">
        <f>VLOOKUP($A515,'[2]App C Assum'!$A$4:$I$917,5,FALSE)</f>
        <v>484</v>
      </c>
      <c r="X515" s="2">
        <f>VLOOKUP($A515,'[2]App C Assum'!$A$4:$I$917,6,FALSE)</f>
        <v>396</v>
      </c>
      <c r="Y515" s="2">
        <f>VLOOKUP($A515,'[2]App C Assum'!$A$4:$I$917,7,FALSE)</f>
        <v>322</v>
      </c>
      <c r="Z515" s="2">
        <f>VLOOKUP($A515,'[2]App C Assum'!$A$4:$I$917,8,FALSE)</f>
        <v>0</v>
      </c>
      <c r="AA515" s="2">
        <f>VLOOKUP($A515,'[2]App C Assum'!$A$4:$I$917,9,FALSE)</f>
        <v>0</v>
      </c>
      <c r="AB515" s="2"/>
      <c r="AC515" s="2">
        <f>VLOOKUP($A515,'[2]App C Share Outflows'!$A$4:$I$917,5,FALSE)</f>
        <v>539</v>
      </c>
      <c r="AD515" s="2">
        <f>VLOOKUP($A515,'[2]App C Share Outflows'!$A$4:$I$917,6,FALSE)</f>
        <v>478</v>
      </c>
      <c r="AE515" s="2">
        <f>VLOOKUP($A515,'[2]App C Share Outflows'!$A$4:$I$917,7,FALSE)</f>
        <v>452</v>
      </c>
      <c r="AF515" s="2">
        <f>VLOOKUP($A515,'[2]App C Share Outflows'!$A$4:$I$917,8,FALSE)</f>
        <v>453</v>
      </c>
      <c r="AG515" s="2">
        <f>VLOOKUP($A515,'[2]App C Share Outflows'!$A$4:$I$917,9,FALSE)</f>
        <v>0</v>
      </c>
      <c r="AH515" s="2"/>
      <c r="AI515" s="2">
        <f>VLOOKUP($A515,'[2]App C Share Inflows'!$A$4:$I$917,5,FALSE)</f>
        <v>-237</v>
      </c>
      <c r="AJ515" s="2">
        <f>VLOOKUP($A515,'[2]App C Share Inflows'!$A$4:$I$917,6,FALSE)</f>
        <v>-237</v>
      </c>
      <c r="AK515" s="2">
        <f>VLOOKUP($A515,'[2]App C Share Inflows'!$A$4:$I$917,7,FALSE)</f>
        <v>-238</v>
      </c>
      <c r="AL515" s="2">
        <f>VLOOKUP($A515,'[2]App C Share Inflows'!$A$4:$I$917,8,FALSE)</f>
        <v>0</v>
      </c>
      <c r="AM515" s="2">
        <f>VLOOKUP($A515,'[2]App C Share Inflows'!$A$4:$I$917,6,FALSE)</f>
        <v>-237</v>
      </c>
    </row>
    <row r="516" spans="1:39">
      <c r="A516" s="351">
        <v>95211</v>
      </c>
      <c r="B516" s="344" t="s">
        <v>1210</v>
      </c>
      <c r="C516" s="235" t="e">
        <f>VLOOKUP(A516,#REF!,10,FALSE)</f>
        <v>#REF!</v>
      </c>
      <c r="E516" s="2">
        <f>VLOOKUP($A516,'[2]App C Total'!$A$4:$I$917,5,FALSE)</f>
        <v>2494</v>
      </c>
      <c r="F516" s="2">
        <f>VLOOKUP($A516,'[2]App C Total'!$A$4:$I$917,6,FALSE)</f>
        <v>339</v>
      </c>
      <c r="G516" s="2">
        <f>VLOOKUP($A516,'[2]App C Total'!$A$4:$I$917,7,FALSE)</f>
        <v>980</v>
      </c>
      <c r="H516" s="2">
        <f>VLOOKUP($A516,'[2]App C Total'!$A$4:$I$917,8,FALSE)</f>
        <v>404</v>
      </c>
      <c r="I516" s="2">
        <f>VLOOKUP($A516,'[2]App C Total'!$A$4:$I$917,9,FALSE)</f>
        <v>0</v>
      </c>
      <c r="J516" s="2"/>
      <c r="K516" s="2">
        <f>VLOOKUP($A516,'[2]App C Exp'!$A$4:$I$917,5,FALSE)</f>
        <v>764</v>
      </c>
      <c r="L516" s="2">
        <f>VLOOKUP($A516,'[2]App C Exp'!$A$4:$I$917,6,FALSE)</f>
        <v>719</v>
      </c>
      <c r="M516" s="2">
        <f>VLOOKUP($A516,'[2]App C Exp'!$A$4:$I$917,7,FALSE)</f>
        <v>644</v>
      </c>
      <c r="N516" s="2">
        <f>VLOOKUP($A516,'[2]App C Exp'!$A$4:$I$917,8,FALSE)</f>
        <v>258</v>
      </c>
      <c r="O516" s="2">
        <f>VLOOKUP($A516,'[2]App C Exp'!$A$4:$I$917,9,FALSE)</f>
        <v>0</v>
      </c>
      <c r="P516" s="2"/>
      <c r="Q516" s="2">
        <f>VLOOKUP($A516,'[2]App C Inv'!$A$4:$I$917,5,FALSE)</f>
        <v>811</v>
      </c>
      <c r="R516" s="2">
        <f>VLOOKUP($A516,'[2]App C Inv'!$A$4:$I$917,6,FALSE)</f>
        <v>-698</v>
      </c>
      <c r="S516" s="2">
        <f>VLOOKUP($A516,'[2]App C Inv'!$A$4:$I$917,7,FALSE)</f>
        <v>98</v>
      </c>
      <c r="T516" s="2">
        <f>VLOOKUP($A516,'[2]App C Inv'!$A$4:$I$917,8,FALSE)</f>
        <v>128</v>
      </c>
      <c r="U516" s="2">
        <f>VLOOKUP($A516,'[2]App C Inv'!$A$4:$I$917,9,FALSE)</f>
        <v>0</v>
      </c>
      <c r="V516" s="2"/>
      <c r="W516" s="2">
        <f>VLOOKUP($A516,'[2]App C Assum'!$A$4:$I$917,5,FALSE)</f>
        <v>914</v>
      </c>
      <c r="X516" s="2">
        <f>VLOOKUP($A516,'[2]App C Assum'!$A$4:$I$917,6,FALSE)</f>
        <v>749</v>
      </c>
      <c r="Y516" s="2">
        <f>VLOOKUP($A516,'[2]App C Assum'!$A$4:$I$917,7,FALSE)</f>
        <v>608</v>
      </c>
      <c r="Z516" s="2">
        <f>VLOOKUP($A516,'[2]App C Assum'!$A$4:$I$917,8,FALSE)</f>
        <v>0</v>
      </c>
      <c r="AA516" s="2">
        <f>VLOOKUP($A516,'[2]App C Assum'!$A$4:$I$917,9,FALSE)</f>
        <v>0</v>
      </c>
      <c r="AB516" s="2"/>
      <c r="AC516" s="2">
        <f>VLOOKUP($A516,'[2]App C Share Outflows'!$A$4:$I$917,5,FALSE)</f>
        <v>454</v>
      </c>
      <c r="AD516" s="2">
        <f>VLOOKUP($A516,'[2]App C Share Outflows'!$A$4:$I$917,6,FALSE)</f>
        <v>17</v>
      </c>
      <c r="AE516" s="2">
        <f>VLOOKUP($A516,'[2]App C Share Outflows'!$A$4:$I$917,7,FALSE)</f>
        <v>17</v>
      </c>
      <c r="AF516" s="2">
        <f>VLOOKUP($A516,'[2]App C Share Outflows'!$A$4:$I$917,8,FALSE)</f>
        <v>18</v>
      </c>
      <c r="AG516" s="2">
        <f>VLOOKUP($A516,'[2]App C Share Outflows'!$A$4:$I$917,9,FALSE)</f>
        <v>0</v>
      </c>
      <c r="AH516" s="2"/>
      <c r="AI516" s="2">
        <f>VLOOKUP($A516,'[2]App C Share Inflows'!$A$4:$I$917,5,FALSE)</f>
        <v>-449</v>
      </c>
      <c r="AJ516" s="2">
        <f>VLOOKUP($A516,'[2]App C Share Inflows'!$A$4:$I$917,6,FALSE)</f>
        <v>-448</v>
      </c>
      <c r="AK516" s="2">
        <f>VLOOKUP($A516,'[2]App C Share Inflows'!$A$4:$I$917,7,FALSE)</f>
        <v>-387</v>
      </c>
      <c r="AL516" s="2">
        <f>VLOOKUP($A516,'[2]App C Share Inflows'!$A$4:$I$917,8,FALSE)</f>
        <v>0</v>
      </c>
      <c r="AM516" s="2">
        <f>VLOOKUP($A516,'[2]App C Share Inflows'!$A$4:$I$917,6,FALSE)</f>
        <v>-448</v>
      </c>
    </row>
    <row r="517" spans="1:39">
      <c r="A517" s="351">
        <v>95221</v>
      </c>
      <c r="B517" s="344" t="s">
        <v>1211</v>
      </c>
      <c r="C517" s="235" t="e">
        <f>VLOOKUP(A517,#REF!,10,FALSE)</f>
        <v>#REF!</v>
      </c>
      <c r="E517" s="2">
        <f>VLOOKUP($A517,'[2]App C Total'!$A$4:$I$917,5,FALSE)</f>
        <v>28976</v>
      </c>
      <c r="F517" s="2">
        <f>VLOOKUP($A517,'[2]App C Total'!$A$4:$I$917,6,FALSE)</f>
        <v>12784</v>
      </c>
      <c r="G517" s="2">
        <f>VLOOKUP($A517,'[2]App C Total'!$A$4:$I$917,7,FALSE)</f>
        <v>14395</v>
      </c>
      <c r="H517" s="2">
        <f>VLOOKUP($A517,'[2]App C Total'!$A$4:$I$917,8,FALSE)</f>
        <v>2494</v>
      </c>
      <c r="I517" s="2">
        <f>VLOOKUP($A517,'[2]App C Total'!$A$4:$I$917,9,FALSE)</f>
        <v>0</v>
      </c>
      <c r="J517" s="2"/>
      <c r="K517" s="2">
        <f>VLOOKUP($A517,'[2]App C Exp'!$A$4:$I$917,5,FALSE)</f>
        <v>8150</v>
      </c>
      <c r="L517" s="2">
        <f>VLOOKUP($A517,'[2]App C Exp'!$A$4:$I$917,6,FALSE)</f>
        <v>7666</v>
      </c>
      <c r="M517" s="2">
        <f>VLOOKUP($A517,'[2]App C Exp'!$A$4:$I$917,7,FALSE)</f>
        <v>6871</v>
      </c>
      <c r="N517" s="2">
        <f>VLOOKUP($A517,'[2]App C Exp'!$A$4:$I$917,8,FALSE)</f>
        <v>2751</v>
      </c>
      <c r="O517" s="2">
        <f>VLOOKUP($A517,'[2]App C Exp'!$A$4:$I$917,9,FALSE)</f>
        <v>0</v>
      </c>
      <c r="P517" s="2"/>
      <c r="Q517" s="2">
        <f>VLOOKUP($A517,'[2]App C Inv'!$A$4:$I$917,5,FALSE)</f>
        <v>8652</v>
      </c>
      <c r="R517" s="2">
        <f>VLOOKUP($A517,'[2]App C Inv'!$A$4:$I$917,6,FALSE)</f>
        <v>-7442</v>
      </c>
      <c r="S517" s="2">
        <f>VLOOKUP($A517,'[2]App C Inv'!$A$4:$I$917,7,FALSE)</f>
        <v>1049</v>
      </c>
      <c r="T517" s="2">
        <f>VLOOKUP($A517,'[2]App C Inv'!$A$4:$I$917,8,FALSE)</f>
        <v>1365</v>
      </c>
      <c r="U517" s="2">
        <f>VLOOKUP($A517,'[2]App C Inv'!$A$4:$I$917,9,FALSE)</f>
        <v>0</v>
      </c>
      <c r="V517" s="2"/>
      <c r="W517" s="2">
        <f>VLOOKUP($A517,'[2]App C Assum'!$A$4:$I$917,5,FALSE)</f>
        <v>9746</v>
      </c>
      <c r="X517" s="2">
        <f>VLOOKUP($A517,'[2]App C Assum'!$A$4:$I$917,6,FALSE)</f>
        <v>7985</v>
      </c>
      <c r="Y517" s="2">
        <f>VLOOKUP($A517,'[2]App C Assum'!$A$4:$I$917,7,FALSE)</f>
        <v>6482</v>
      </c>
      <c r="Z517" s="2">
        <f>VLOOKUP($A517,'[2]App C Assum'!$A$4:$I$917,8,FALSE)</f>
        <v>0</v>
      </c>
      <c r="AA517" s="2">
        <f>VLOOKUP($A517,'[2]App C Assum'!$A$4:$I$917,9,FALSE)</f>
        <v>0</v>
      </c>
      <c r="AB517" s="2"/>
      <c r="AC517" s="2">
        <f>VLOOKUP($A517,'[2]App C Share Outflows'!$A$4:$I$917,5,FALSE)</f>
        <v>6196</v>
      </c>
      <c r="AD517" s="2">
        <f>VLOOKUP($A517,'[2]App C Share Outflows'!$A$4:$I$917,6,FALSE)</f>
        <v>6197</v>
      </c>
      <c r="AE517" s="2">
        <f>VLOOKUP($A517,'[2]App C Share Outflows'!$A$4:$I$917,7,FALSE)</f>
        <v>1615</v>
      </c>
      <c r="AF517" s="2">
        <f>VLOOKUP($A517,'[2]App C Share Outflows'!$A$4:$I$917,8,FALSE)</f>
        <v>0</v>
      </c>
      <c r="AG517" s="2">
        <f>VLOOKUP($A517,'[2]App C Share Outflows'!$A$4:$I$917,9,FALSE)</f>
        <v>0</v>
      </c>
      <c r="AH517" s="2"/>
      <c r="AI517" s="2">
        <f>VLOOKUP($A517,'[2]App C Share Inflows'!$A$4:$I$917,5,FALSE)</f>
        <v>-3768</v>
      </c>
      <c r="AJ517" s="2">
        <f>VLOOKUP($A517,'[2]App C Share Inflows'!$A$4:$I$917,6,FALSE)</f>
        <v>-1622</v>
      </c>
      <c r="AK517" s="2">
        <f>VLOOKUP($A517,'[2]App C Share Inflows'!$A$4:$I$917,7,FALSE)</f>
        <v>-1622</v>
      </c>
      <c r="AL517" s="2">
        <f>VLOOKUP($A517,'[2]App C Share Inflows'!$A$4:$I$917,8,FALSE)</f>
        <v>-1622</v>
      </c>
      <c r="AM517" s="2">
        <f>VLOOKUP($A517,'[2]App C Share Inflows'!$A$4:$I$917,6,FALSE)</f>
        <v>-1622</v>
      </c>
    </row>
    <row r="518" spans="1:39">
      <c r="A518" s="351">
        <v>95301</v>
      </c>
      <c r="B518" s="344" t="s">
        <v>1212</v>
      </c>
      <c r="C518" s="235" t="e">
        <f>VLOOKUP(A518,#REF!,10,FALSE)</f>
        <v>#REF!</v>
      </c>
      <c r="E518" s="2">
        <f>VLOOKUP($A518,'[2]App C Total'!$A$4:$I$917,5,FALSE)</f>
        <v>1034055</v>
      </c>
      <c r="F518" s="2">
        <f>VLOOKUP($A518,'[2]App C Total'!$A$4:$I$917,6,FALSE)</f>
        <v>303957</v>
      </c>
      <c r="G518" s="2">
        <f>VLOOKUP($A518,'[2]App C Total'!$A$4:$I$917,7,FALSE)</f>
        <v>543155</v>
      </c>
      <c r="H518" s="2">
        <f>VLOOKUP($A518,'[2]App C Total'!$A$4:$I$917,8,FALSE)</f>
        <v>141801</v>
      </c>
      <c r="I518" s="2">
        <f>VLOOKUP($A518,'[2]App C Total'!$A$4:$I$917,9,FALSE)</f>
        <v>0</v>
      </c>
      <c r="J518" s="2"/>
      <c r="K518" s="2">
        <f>VLOOKUP($A518,'[2]App C Exp'!$A$4:$I$917,5,FALSE)</f>
        <v>322999</v>
      </c>
      <c r="L518" s="2">
        <f>VLOOKUP($A518,'[2]App C Exp'!$A$4:$I$917,6,FALSE)</f>
        <v>303838</v>
      </c>
      <c r="M518" s="2">
        <f>VLOOKUP($A518,'[2]App C Exp'!$A$4:$I$917,7,FALSE)</f>
        <v>272326</v>
      </c>
      <c r="N518" s="2">
        <f>VLOOKUP($A518,'[2]App C Exp'!$A$4:$I$917,8,FALSE)</f>
        <v>109036</v>
      </c>
      <c r="O518" s="2">
        <f>VLOOKUP($A518,'[2]App C Exp'!$A$4:$I$917,9,FALSE)</f>
        <v>0</v>
      </c>
      <c r="P518" s="2"/>
      <c r="Q518" s="2">
        <f>VLOOKUP($A518,'[2]App C Inv'!$A$4:$I$917,5,FALSE)</f>
        <v>342908</v>
      </c>
      <c r="R518" s="2">
        <f>VLOOKUP($A518,'[2]App C Inv'!$A$4:$I$917,6,FALSE)</f>
        <v>-294965</v>
      </c>
      <c r="S518" s="2">
        <f>VLOOKUP($A518,'[2]App C Inv'!$A$4:$I$917,7,FALSE)</f>
        <v>41572</v>
      </c>
      <c r="T518" s="2">
        <f>VLOOKUP($A518,'[2]App C Inv'!$A$4:$I$917,8,FALSE)</f>
        <v>54105</v>
      </c>
      <c r="U518" s="2">
        <f>VLOOKUP($A518,'[2]App C Inv'!$A$4:$I$917,9,FALSE)</f>
        <v>0</v>
      </c>
      <c r="V518" s="2"/>
      <c r="W518" s="2">
        <f>VLOOKUP($A518,'[2]App C Assum'!$A$4:$I$917,5,FALSE)</f>
        <v>386291</v>
      </c>
      <c r="X518" s="2">
        <f>VLOOKUP($A518,'[2]App C Assum'!$A$4:$I$917,6,FALSE)</f>
        <v>316464</v>
      </c>
      <c r="Y518" s="2">
        <f>VLOOKUP($A518,'[2]App C Assum'!$A$4:$I$917,7,FALSE)</f>
        <v>256914</v>
      </c>
      <c r="Z518" s="2">
        <f>VLOOKUP($A518,'[2]App C Assum'!$A$4:$I$917,8,FALSE)</f>
        <v>0</v>
      </c>
      <c r="AA518" s="2">
        <f>VLOOKUP($A518,'[2]App C Assum'!$A$4:$I$917,9,FALSE)</f>
        <v>0</v>
      </c>
      <c r="AB518" s="2"/>
      <c r="AC518" s="2">
        <f>VLOOKUP($A518,'[2]App C Share Outflows'!$A$4:$I$917,5,FALSE)</f>
        <v>9514</v>
      </c>
      <c r="AD518" s="2">
        <f>VLOOKUP($A518,'[2]App C Share Outflows'!$A$4:$I$917,6,FALSE)</f>
        <v>6277</v>
      </c>
      <c r="AE518" s="2">
        <f>VLOOKUP($A518,'[2]App C Share Outflows'!$A$4:$I$917,7,FALSE)</f>
        <v>0</v>
      </c>
      <c r="AF518" s="2">
        <f>VLOOKUP($A518,'[2]App C Share Outflows'!$A$4:$I$917,8,FALSE)</f>
        <v>0</v>
      </c>
      <c r="AG518" s="2">
        <f>VLOOKUP($A518,'[2]App C Share Outflows'!$A$4:$I$917,9,FALSE)</f>
        <v>0</v>
      </c>
      <c r="AH518" s="2"/>
      <c r="AI518" s="2">
        <f>VLOOKUP($A518,'[2]App C Share Inflows'!$A$4:$I$917,5,FALSE)</f>
        <v>-27657</v>
      </c>
      <c r="AJ518" s="2">
        <f>VLOOKUP($A518,'[2]App C Share Inflows'!$A$4:$I$917,6,FALSE)</f>
        <v>-27657</v>
      </c>
      <c r="AK518" s="2">
        <f>VLOOKUP($A518,'[2]App C Share Inflows'!$A$4:$I$917,7,FALSE)</f>
        <v>-27657</v>
      </c>
      <c r="AL518" s="2">
        <f>VLOOKUP($A518,'[2]App C Share Inflows'!$A$4:$I$917,8,FALSE)</f>
        <v>-21340</v>
      </c>
      <c r="AM518" s="2">
        <f>VLOOKUP($A518,'[2]App C Share Inflows'!$A$4:$I$917,6,FALSE)</f>
        <v>-27657</v>
      </c>
    </row>
    <row r="519" spans="1:39">
      <c r="A519" s="351">
        <v>95311</v>
      </c>
      <c r="B519" s="344" t="s">
        <v>1213</v>
      </c>
      <c r="C519" s="235" t="e">
        <f>VLOOKUP(A519,#REF!,10,FALSE)</f>
        <v>#REF!</v>
      </c>
      <c r="E519" s="2">
        <f>VLOOKUP($A519,'[2]App C Total'!$A$4:$I$917,5,FALSE)</f>
        <v>1242896</v>
      </c>
      <c r="F519" s="2">
        <f>VLOOKUP($A519,'[2]App C Total'!$A$4:$I$917,6,FALSE)</f>
        <v>401010</v>
      </c>
      <c r="G519" s="2">
        <f>VLOOKUP($A519,'[2]App C Total'!$A$4:$I$917,7,FALSE)</f>
        <v>685602</v>
      </c>
      <c r="H519" s="2">
        <f>VLOOKUP($A519,'[2]App C Total'!$A$4:$I$917,8,FALSE)</f>
        <v>195082</v>
      </c>
      <c r="I519" s="2">
        <f>VLOOKUP($A519,'[2]App C Total'!$A$4:$I$917,9,FALSE)</f>
        <v>0</v>
      </c>
      <c r="J519" s="2"/>
      <c r="K519" s="2">
        <f>VLOOKUP($A519,'[2]App C Exp'!$A$4:$I$917,5,FALSE)</f>
        <v>386202</v>
      </c>
      <c r="L519" s="2">
        <f>VLOOKUP($A519,'[2]App C Exp'!$A$4:$I$917,6,FALSE)</f>
        <v>363292</v>
      </c>
      <c r="M519" s="2">
        <f>VLOOKUP($A519,'[2]App C Exp'!$A$4:$I$917,7,FALSE)</f>
        <v>325614</v>
      </c>
      <c r="N519" s="2">
        <f>VLOOKUP($A519,'[2]App C Exp'!$A$4:$I$917,8,FALSE)</f>
        <v>130372</v>
      </c>
      <c r="O519" s="2">
        <f>VLOOKUP($A519,'[2]App C Exp'!$A$4:$I$917,9,FALSE)</f>
        <v>0</v>
      </c>
      <c r="P519" s="2"/>
      <c r="Q519" s="2">
        <f>VLOOKUP($A519,'[2]App C Inv'!$A$4:$I$917,5,FALSE)</f>
        <v>410008</v>
      </c>
      <c r="R519" s="2">
        <f>VLOOKUP($A519,'[2]App C Inv'!$A$4:$I$917,6,FALSE)</f>
        <v>-352683</v>
      </c>
      <c r="S519" s="2">
        <f>VLOOKUP($A519,'[2]App C Inv'!$A$4:$I$917,7,FALSE)</f>
        <v>49706</v>
      </c>
      <c r="T519" s="2">
        <f>VLOOKUP($A519,'[2]App C Inv'!$A$4:$I$917,8,FALSE)</f>
        <v>64692</v>
      </c>
      <c r="U519" s="2">
        <f>VLOOKUP($A519,'[2]App C Inv'!$A$4:$I$917,9,FALSE)</f>
        <v>0</v>
      </c>
      <c r="V519" s="2"/>
      <c r="W519" s="2">
        <f>VLOOKUP($A519,'[2]App C Assum'!$A$4:$I$917,5,FALSE)</f>
        <v>461880</v>
      </c>
      <c r="X519" s="2">
        <f>VLOOKUP($A519,'[2]App C Assum'!$A$4:$I$917,6,FALSE)</f>
        <v>378389</v>
      </c>
      <c r="Y519" s="2">
        <f>VLOOKUP($A519,'[2]App C Assum'!$A$4:$I$917,7,FALSE)</f>
        <v>307187</v>
      </c>
      <c r="Z519" s="2">
        <f>VLOOKUP($A519,'[2]App C Assum'!$A$4:$I$917,8,FALSE)</f>
        <v>0</v>
      </c>
      <c r="AA519" s="2">
        <f>VLOOKUP($A519,'[2]App C Assum'!$A$4:$I$917,9,FALSE)</f>
        <v>0</v>
      </c>
      <c r="AB519" s="2"/>
      <c r="AC519" s="2">
        <f>VLOOKUP($A519,'[2]App C Share Outflows'!$A$4:$I$917,5,FALSE)</f>
        <v>12012</v>
      </c>
      <c r="AD519" s="2">
        <f>VLOOKUP($A519,'[2]App C Share Outflows'!$A$4:$I$917,6,FALSE)</f>
        <v>12012</v>
      </c>
      <c r="AE519" s="2">
        <f>VLOOKUP($A519,'[2]App C Share Outflows'!$A$4:$I$917,7,FALSE)</f>
        <v>3095</v>
      </c>
      <c r="AF519" s="2">
        <f>VLOOKUP($A519,'[2]App C Share Outflows'!$A$4:$I$917,8,FALSE)</f>
        <v>18</v>
      </c>
      <c r="AG519" s="2">
        <f>VLOOKUP($A519,'[2]App C Share Outflows'!$A$4:$I$917,9,FALSE)</f>
        <v>0</v>
      </c>
      <c r="AH519" s="2"/>
      <c r="AI519" s="2">
        <f>VLOOKUP($A519,'[2]App C Share Inflows'!$A$4:$I$917,5,FALSE)</f>
        <v>-27206</v>
      </c>
      <c r="AJ519" s="2">
        <f>VLOOKUP($A519,'[2]App C Share Inflows'!$A$4:$I$917,6,FALSE)</f>
        <v>0</v>
      </c>
      <c r="AK519" s="2">
        <f>VLOOKUP($A519,'[2]App C Share Inflows'!$A$4:$I$917,7,FALSE)</f>
        <v>0</v>
      </c>
      <c r="AL519" s="2">
        <f>VLOOKUP($A519,'[2]App C Share Inflows'!$A$4:$I$917,8,FALSE)</f>
        <v>0</v>
      </c>
      <c r="AM519" s="2">
        <f>VLOOKUP($A519,'[2]App C Share Inflows'!$A$4:$I$917,6,FALSE)</f>
        <v>0</v>
      </c>
    </row>
    <row r="520" spans="1:39">
      <c r="A520" s="351">
        <v>95317</v>
      </c>
      <c r="B520" s="344" t="s">
        <v>1214</v>
      </c>
      <c r="C520" s="235" t="e">
        <f>VLOOKUP(A520,#REF!,10,FALSE)</f>
        <v>#REF!</v>
      </c>
      <c r="E520" s="2">
        <f>VLOOKUP($A520,'[2]App C Total'!$A$4:$I$917,5,FALSE)</f>
        <v>23063</v>
      </c>
      <c r="F520" s="2">
        <f>VLOOKUP($A520,'[2]App C Total'!$A$4:$I$917,6,FALSE)</f>
        <v>8524</v>
      </c>
      <c r="G520" s="2">
        <f>VLOOKUP($A520,'[2]App C Total'!$A$4:$I$917,7,FALSE)</f>
        <v>12711</v>
      </c>
      <c r="H520" s="2">
        <f>VLOOKUP($A520,'[2]App C Total'!$A$4:$I$917,8,FALSE)</f>
        <v>4518</v>
      </c>
      <c r="I520" s="2">
        <f>VLOOKUP($A520,'[2]App C Total'!$A$4:$I$917,9,FALSE)</f>
        <v>0</v>
      </c>
      <c r="J520" s="2"/>
      <c r="K520" s="2">
        <f>VLOOKUP($A520,'[2]App C Exp'!$A$4:$I$917,5,FALSE)</f>
        <v>6292</v>
      </c>
      <c r="L520" s="2">
        <f>VLOOKUP($A520,'[2]App C Exp'!$A$4:$I$917,6,FALSE)</f>
        <v>5919</v>
      </c>
      <c r="M520" s="2">
        <f>VLOOKUP($A520,'[2]App C Exp'!$A$4:$I$917,7,FALSE)</f>
        <v>5305</v>
      </c>
      <c r="N520" s="2">
        <f>VLOOKUP($A520,'[2]App C Exp'!$A$4:$I$917,8,FALSE)</f>
        <v>2124</v>
      </c>
      <c r="O520" s="2">
        <f>VLOOKUP($A520,'[2]App C Exp'!$A$4:$I$917,9,FALSE)</f>
        <v>0</v>
      </c>
      <c r="P520" s="2"/>
      <c r="Q520" s="2">
        <f>VLOOKUP($A520,'[2]App C Inv'!$A$4:$I$917,5,FALSE)</f>
        <v>6680</v>
      </c>
      <c r="R520" s="2">
        <f>VLOOKUP($A520,'[2]App C Inv'!$A$4:$I$917,6,FALSE)</f>
        <v>-5746</v>
      </c>
      <c r="S520" s="2">
        <f>VLOOKUP($A520,'[2]App C Inv'!$A$4:$I$917,7,FALSE)</f>
        <v>810</v>
      </c>
      <c r="T520" s="2">
        <f>VLOOKUP($A520,'[2]App C Inv'!$A$4:$I$917,8,FALSE)</f>
        <v>1054</v>
      </c>
      <c r="U520" s="2">
        <f>VLOOKUP($A520,'[2]App C Inv'!$A$4:$I$917,9,FALSE)</f>
        <v>0</v>
      </c>
      <c r="V520" s="2"/>
      <c r="W520" s="2">
        <f>VLOOKUP($A520,'[2]App C Assum'!$A$4:$I$917,5,FALSE)</f>
        <v>7525</v>
      </c>
      <c r="X520" s="2">
        <f>VLOOKUP($A520,'[2]App C Assum'!$A$4:$I$917,6,FALSE)</f>
        <v>6165</v>
      </c>
      <c r="Y520" s="2">
        <f>VLOOKUP($A520,'[2]App C Assum'!$A$4:$I$917,7,FALSE)</f>
        <v>5005</v>
      </c>
      <c r="Z520" s="2">
        <f>VLOOKUP($A520,'[2]App C Assum'!$A$4:$I$917,8,FALSE)</f>
        <v>0</v>
      </c>
      <c r="AA520" s="2">
        <f>VLOOKUP($A520,'[2]App C Assum'!$A$4:$I$917,9,FALSE)</f>
        <v>0</v>
      </c>
      <c r="AB520" s="2"/>
      <c r="AC520" s="2">
        <f>VLOOKUP($A520,'[2]App C Share Outflows'!$A$4:$I$917,5,FALSE)</f>
        <v>2566</v>
      </c>
      <c r="AD520" s="2">
        <f>VLOOKUP($A520,'[2]App C Share Outflows'!$A$4:$I$917,6,FALSE)</f>
        <v>2186</v>
      </c>
      <c r="AE520" s="2">
        <f>VLOOKUP($A520,'[2]App C Share Outflows'!$A$4:$I$917,7,FALSE)</f>
        <v>1591</v>
      </c>
      <c r="AF520" s="2">
        <f>VLOOKUP($A520,'[2]App C Share Outflows'!$A$4:$I$917,8,FALSE)</f>
        <v>1340</v>
      </c>
      <c r="AG520" s="2">
        <f>VLOOKUP($A520,'[2]App C Share Outflows'!$A$4:$I$917,9,FALSE)</f>
        <v>0</v>
      </c>
      <c r="AH520" s="2"/>
      <c r="AI520" s="2">
        <f>VLOOKUP($A520,'[2]App C Share Inflows'!$A$4:$I$917,5,FALSE)</f>
        <v>0</v>
      </c>
      <c r="AJ520" s="2">
        <f>VLOOKUP($A520,'[2]App C Share Inflows'!$A$4:$I$917,6,FALSE)</f>
        <v>0</v>
      </c>
      <c r="AK520" s="2">
        <f>VLOOKUP($A520,'[2]App C Share Inflows'!$A$4:$I$917,7,FALSE)</f>
        <v>0</v>
      </c>
      <c r="AL520" s="2">
        <f>VLOOKUP($A520,'[2]App C Share Inflows'!$A$4:$I$917,8,FALSE)</f>
        <v>0</v>
      </c>
      <c r="AM520" s="2">
        <f>VLOOKUP($A520,'[2]App C Share Inflows'!$A$4:$I$917,6,FALSE)</f>
        <v>0</v>
      </c>
    </row>
    <row r="521" spans="1:39">
      <c r="A521" s="351">
        <v>95321</v>
      </c>
      <c r="B521" s="344" t="s">
        <v>1215</v>
      </c>
      <c r="C521" s="235" t="e">
        <f>VLOOKUP(A521,#REF!,10,FALSE)</f>
        <v>#REF!</v>
      </c>
      <c r="E521" s="2">
        <f>VLOOKUP($A521,'[2]App C Total'!$A$4:$I$917,5,FALSE)</f>
        <v>24833</v>
      </c>
      <c r="F521" s="2">
        <f>VLOOKUP($A521,'[2]App C Total'!$A$4:$I$917,6,FALSE)</f>
        <v>8275</v>
      </c>
      <c r="G521" s="2">
        <f>VLOOKUP($A521,'[2]App C Total'!$A$4:$I$917,7,FALSE)</f>
        <v>14333</v>
      </c>
      <c r="H521" s="2">
        <f>VLOOKUP($A521,'[2]App C Total'!$A$4:$I$917,8,FALSE)</f>
        <v>3884</v>
      </c>
      <c r="I521" s="2">
        <f>VLOOKUP($A521,'[2]App C Total'!$A$4:$I$917,9,FALSE)</f>
        <v>0</v>
      </c>
      <c r="J521" s="2"/>
      <c r="K521" s="2">
        <f>VLOOKUP($A521,'[2]App C Exp'!$A$4:$I$917,5,FALSE)</f>
        <v>7266</v>
      </c>
      <c r="L521" s="2">
        <f>VLOOKUP($A521,'[2]App C Exp'!$A$4:$I$917,6,FALSE)</f>
        <v>6835</v>
      </c>
      <c r="M521" s="2">
        <f>VLOOKUP($A521,'[2]App C Exp'!$A$4:$I$917,7,FALSE)</f>
        <v>6126</v>
      </c>
      <c r="N521" s="2">
        <f>VLOOKUP($A521,'[2]App C Exp'!$A$4:$I$917,8,FALSE)</f>
        <v>2453</v>
      </c>
      <c r="O521" s="2">
        <f>VLOOKUP($A521,'[2]App C Exp'!$A$4:$I$917,9,FALSE)</f>
        <v>0</v>
      </c>
      <c r="P521" s="2"/>
      <c r="Q521" s="2">
        <f>VLOOKUP($A521,'[2]App C Inv'!$A$4:$I$917,5,FALSE)</f>
        <v>7713</v>
      </c>
      <c r="R521" s="2">
        <f>VLOOKUP($A521,'[2]App C Inv'!$A$4:$I$917,6,FALSE)</f>
        <v>-6635</v>
      </c>
      <c r="S521" s="2">
        <f>VLOOKUP($A521,'[2]App C Inv'!$A$4:$I$917,7,FALSE)</f>
        <v>935</v>
      </c>
      <c r="T521" s="2">
        <f>VLOOKUP($A521,'[2]App C Inv'!$A$4:$I$917,8,FALSE)</f>
        <v>1217</v>
      </c>
      <c r="U521" s="2">
        <f>VLOOKUP($A521,'[2]App C Inv'!$A$4:$I$917,9,FALSE)</f>
        <v>0</v>
      </c>
      <c r="V521" s="2"/>
      <c r="W521" s="2">
        <f>VLOOKUP($A521,'[2]App C Assum'!$A$4:$I$917,5,FALSE)</f>
        <v>8689</v>
      </c>
      <c r="X521" s="2">
        <f>VLOOKUP($A521,'[2]App C Assum'!$A$4:$I$917,6,FALSE)</f>
        <v>7119</v>
      </c>
      <c r="Y521" s="2">
        <f>VLOOKUP($A521,'[2]App C Assum'!$A$4:$I$917,7,FALSE)</f>
        <v>5779</v>
      </c>
      <c r="Z521" s="2">
        <f>VLOOKUP($A521,'[2]App C Assum'!$A$4:$I$917,8,FALSE)</f>
        <v>0</v>
      </c>
      <c r="AA521" s="2">
        <f>VLOOKUP($A521,'[2]App C Assum'!$A$4:$I$917,9,FALSE)</f>
        <v>0</v>
      </c>
      <c r="AB521" s="2"/>
      <c r="AC521" s="2">
        <f>VLOOKUP($A521,'[2]App C Share Outflows'!$A$4:$I$917,5,FALSE)</f>
        <v>1705</v>
      </c>
      <c r="AD521" s="2">
        <f>VLOOKUP($A521,'[2]App C Share Outflows'!$A$4:$I$917,6,FALSE)</f>
        <v>1494</v>
      </c>
      <c r="AE521" s="2">
        <f>VLOOKUP($A521,'[2]App C Share Outflows'!$A$4:$I$917,7,FALSE)</f>
        <v>1493</v>
      </c>
      <c r="AF521" s="2">
        <f>VLOOKUP($A521,'[2]App C Share Outflows'!$A$4:$I$917,8,FALSE)</f>
        <v>214</v>
      </c>
      <c r="AG521" s="2">
        <f>VLOOKUP($A521,'[2]App C Share Outflows'!$A$4:$I$917,9,FALSE)</f>
        <v>0</v>
      </c>
      <c r="AH521" s="2"/>
      <c r="AI521" s="2">
        <f>VLOOKUP($A521,'[2]App C Share Inflows'!$A$4:$I$917,5,FALSE)</f>
        <v>-540</v>
      </c>
      <c r="AJ521" s="2">
        <f>VLOOKUP($A521,'[2]App C Share Inflows'!$A$4:$I$917,6,FALSE)</f>
        <v>-538</v>
      </c>
      <c r="AK521" s="2">
        <f>VLOOKUP($A521,'[2]App C Share Inflows'!$A$4:$I$917,7,FALSE)</f>
        <v>0</v>
      </c>
      <c r="AL521" s="2">
        <f>VLOOKUP($A521,'[2]App C Share Inflows'!$A$4:$I$917,8,FALSE)</f>
        <v>0</v>
      </c>
      <c r="AM521" s="2">
        <f>VLOOKUP($A521,'[2]App C Share Inflows'!$A$4:$I$917,6,FALSE)</f>
        <v>-538</v>
      </c>
    </row>
    <row r="522" spans="1:39">
      <c r="A522" s="351">
        <v>95401</v>
      </c>
      <c r="B522" s="344" t="s">
        <v>1216</v>
      </c>
      <c r="C522" s="235" t="e">
        <f>VLOOKUP(A522,#REF!,10,FALSE)</f>
        <v>#REF!</v>
      </c>
      <c r="E522" s="2">
        <f>VLOOKUP($A522,'[2]App C Total'!$A$4:$I$917,5,FALSE)</f>
        <v>1385510</v>
      </c>
      <c r="F522" s="2">
        <f>VLOOKUP($A522,'[2]App C Total'!$A$4:$I$917,6,FALSE)</f>
        <v>402303</v>
      </c>
      <c r="G522" s="2">
        <f>VLOOKUP($A522,'[2]App C Total'!$A$4:$I$917,7,FALSE)</f>
        <v>737712</v>
      </c>
      <c r="H522" s="2">
        <f>VLOOKUP($A522,'[2]App C Total'!$A$4:$I$917,8,FALSE)</f>
        <v>218397</v>
      </c>
      <c r="I522" s="2">
        <f>VLOOKUP($A522,'[2]App C Total'!$A$4:$I$917,9,FALSE)</f>
        <v>0</v>
      </c>
      <c r="J522" s="2"/>
      <c r="K522" s="2">
        <f>VLOOKUP($A522,'[2]App C Exp'!$A$4:$I$917,5,FALSE)</f>
        <v>434785</v>
      </c>
      <c r="L522" s="2">
        <f>VLOOKUP($A522,'[2]App C Exp'!$A$4:$I$917,6,FALSE)</f>
        <v>408992</v>
      </c>
      <c r="M522" s="2">
        <f>VLOOKUP($A522,'[2]App C Exp'!$A$4:$I$917,7,FALSE)</f>
        <v>366575</v>
      </c>
      <c r="N522" s="2">
        <f>VLOOKUP($A522,'[2]App C Exp'!$A$4:$I$917,8,FALSE)</f>
        <v>146772</v>
      </c>
      <c r="O522" s="2">
        <f>VLOOKUP($A522,'[2]App C Exp'!$A$4:$I$917,9,FALSE)</f>
        <v>0</v>
      </c>
      <c r="P522" s="2"/>
      <c r="Q522" s="2">
        <f>VLOOKUP($A522,'[2]App C Inv'!$A$4:$I$917,5,FALSE)</f>
        <v>461585</v>
      </c>
      <c r="R522" s="2">
        <f>VLOOKUP($A522,'[2]App C Inv'!$A$4:$I$917,6,FALSE)</f>
        <v>-397049</v>
      </c>
      <c r="S522" s="2">
        <f>VLOOKUP($A522,'[2]App C Inv'!$A$4:$I$917,7,FALSE)</f>
        <v>55959</v>
      </c>
      <c r="T522" s="2">
        <f>VLOOKUP($A522,'[2]App C Inv'!$A$4:$I$917,8,FALSE)</f>
        <v>72830</v>
      </c>
      <c r="U522" s="2">
        <f>VLOOKUP($A522,'[2]App C Inv'!$A$4:$I$917,9,FALSE)</f>
        <v>0</v>
      </c>
      <c r="V522" s="2"/>
      <c r="W522" s="2">
        <f>VLOOKUP($A522,'[2]App C Assum'!$A$4:$I$917,5,FALSE)</f>
        <v>519982</v>
      </c>
      <c r="X522" s="2">
        <f>VLOOKUP($A522,'[2]App C Assum'!$A$4:$I$917,6,FALSE)</f>
        <v>425988</v>
      </c>
      <c r="Y522" s="2">
        <f>VLOOKUP($A522,'[2]App C Assum'!$A$4:$I$917,7,FALSE)</f>
        <v>345829</v>
      </c>
      <c r="Z522" s="2">
        <f>VLOOKUP($A522,'[2]App C Assum'!$A$4:$I$917,8,FALSE)</f>
        <v>0</v>
      </c>
      <c r="AA522" s="2">
        <f>VLOOKUP($A522,'[2]App C Assum'!$A$4:$I$917,9,FALSE)</f>
        <v>0</v>
      </c>
      <c r="AB522" s="2"/>
      <c r="AC522" s="2">
        <f>VLOOKUP($A522,'[2]App C Share Outflows'!$A$4:$I$917,5,FALSE)</f>
        <v>4785</v>
      </c>
      <c r="AD522" s="2">
        <f>VLOOKUP($A522,'[2]App C Share Outflows'!$A$4:$I$917,6,FALSE)</f>
        <v>0</v>
      </c>
      <c r="AE522" s="2">
        <f>VLOOKUP($A522,'[2]App C Share Outflows'!$A$4:$I$917,7,FALSE)</f>
        <v>0</v>
      </c>
      <c r="AF522" s="2">
        <f>VLOOKUP($A522,'[2]App C Share Outflows'!$A$4:$I$917,8,FALSE)</f>
        <v>0</v>
      </c>
      <c r="AG522" s="2">
        <f>VLOOKUP($A522,'[2]App C Share Outflows'!$A$4:$I$917,9,FALSE)</f>
        <v>0</v>
      </c>
      <c r="AH522" s="2"/>
      <c r="AI522" s="2">
        <f>VLOOKUP($A522,'[2]App C Share Inflows'!$A$4:$I$917,5,FALSE)</f>
        <v>-35627</v>
      </c>
      <c r="AJ522" s="2">
        <f>VLOOKUP($A522,'[2]App C Share Inflows'!$A$4:$I$917,6,FALSE)</f>
        <v>-35628</v>
      </c>
      <c r="AK522" s="2">
        <f>VLOOKUP($A522,'[2]App C Share Inflows'!$A$4:$I$917,7,FALSE)</f>
        <v>-30651</v>
      </c>
      <c r="AL522" s="2">
        <f>VLOOKUP($A522,'[2]App C Share Inflows'!$A$4:$I$917,8,FALSE)</f>
        <v>-1205</v>
      </c>
      <c r="AM522" s="2">
        <f>VLOOKUP($A522,'[2]App C Share Inflows'!$A$4:$I$917,6,FALSE)</f>
        <v>-35628</v>
      </c>
    </row>
    <row r="523" spans="1:39">
      <c r="A523" s="351">
        <v>95404</v>
      </c>
      <c r="B523" s="344" t="s">
        <v>1217</v>
      </c>
      <c r="C523" s="235" t="e">
        <f>VLOOKUP(A523,#REF!,10,FALSE)</f>
        <v>#REF!</v>
      </c>
      <c r="E523" s="2">
        <f>VLOOKUP($A523,'[2]App C Total'!$A$4:$I$917,5,FALSE)</f>
        <v>21401</v>
      </c>
      <c r="F523" s="2">
        <f>VLOOKUP($A523,'[2]App C Total'!$A$4:$I$917,6,FALSE)</f>
        <v>5029</v>
      </c>
      <c r="G523" s="2">
        <f>VLOOKUP($A523,'[2]App C Total'!$A$4:$I$917,7,FALSE)</f>
        <v>10025</v>
      </c>
      <c r="H523" s="2">
        <f>VLOOKUP($A523,'[2]App C Total'!$A$4:$I$917,8,FALSE)</f>
        <v>2387</v>
      </c>
      <c r="I523" s="2">
        <f>VLOOKUP($A523,'[2]App C Total'!$A$4:$I$917,9,FALSE)</f>
        <v>0</v>
      </c>
      <c r="J523" s="2"/>
      <c r="K523" s="2">
        <f>VLOOKUP($A523,'[2]App C Exp'!$A$4:$I$917,5,FALSE)</f>
        <v>6711</v>
      </c>
      <c r="L523" s="2">
        <f>VLOOKUP($A523,'[2]App C Exp'!$A$4:$I$917,6,FALSE)</f>
        <v>6313</v>
      </c>
      <c r="M523" s="2">
        <f>VLOOKUP($A523,'[2]App C Exp'!$A$4:$I$917,7,FALSE)</f>
        <v>5658</v>
      </c>
      <c r="N523" s="2">
        <f>VLOOKUP($A523,'[2]App C Exp'!$A$4:$I$917,8,FALSE)</f>
        <v>2266</v>
      </c>
      <c r="O523" s="2">
        <f>VLOOKUP($A523,'[2]App C Exp'!$A$4:$I$917,9,FALSE)</f>
        <v>0</v>
      </c>
      <c r="P523" s="2"/>
      <c r="Q523" s="2">
        <f>VLOOKUP($A523,'[2]App C Inv'!$A$4:$I$917,5,FALSE)</f>
        <v>7125</v>
      </c>
      <c r="R523" s="2">
        <f>VLOOKUP($A523,'[2]App C Inv'!$A$4:$I$917,6,FALSE)</f>
        <v>-6129</v>
      </c>
      <c r="S523" s="2">
        <f>VLOOKUP($A523,'[2]App C Inv'!$A$4:$I$917,7,FALSE)</f>
        <v>864</v>
      </c>
      <c r="T523" s="2">
        <f>VLOOKUP($A523,'[2]App C Inv'!$A$4:$I$917,8,FALSE)</f>
        <v>1124</v>
      </c>
      <c r="U523" s="2">
        <f>VLOOKUP($A523,'[2]App C Inv'!$A$4:$I$917,9,FALSE)</f>
        <v>0</v>
      </c>
      <c r="V523" s="2"/>
      <c r="W523" s="2">
        <f>VLOOKUP($A523,'[2]App C Assum'!$A$4:$I$917,5,FALSE)</f>
        <v>8026</v>
      </c>
      <c r="X523" s="2">
        <f>VLOOKUP($A523,'[2]App C Assum'!$A$4:$I$917,6,FALSE)</f>
        <v>6576</v>
      </c>
      <c r="Y523" s="2">
        <f>VLOOKUP($A523,'[2]App C Assum'!$A$4:$I$917,7,FALSE)</f>
        <v>5338</v>
      </c>
      <c r="Z523" s="2">
        <f>VLOOKUP($A523,'[2]App C Assum'!$A$4:$I$917,8,FALSE)</f>
        <v>0</v>
      </c>
      <c r="AA523" s="2">
        <f>VLOOKUP($A523,'[2]App C Assum'!$A$4:$I$917,9,FALSE)</f>
        <v>0</v>
      </c>
      <c r="AB523" s="2"/>
      <c r="AC523" s="2">
        <f>VLOOKUP($A523,'[2]App C Share Outflows'!$A$4:$I$917,5,FALSE)</f>
        <v>1374</v>
      </c>
      <c r="AD523" s="2">
        <f>VLOOKUP($A523,'[2]App C Share Outflows'!$A$4:$I$917,6,FALSE)</f>
        <v>104</v>
      </c>
      <c r="AE523" s="2">
        <f>VLOOKUP($A523,'[2]App C Share Outflows'!$A$4:$I$917,7,FALSE)</f>
        <v>0</v>
      </c>
      <c r="AF523" s="2">
        <f>VLOOKUP($A523,'[2]App C Share Outflows'!$A$4:$I$917,8,FALSE)</f>
        <v>0</v>
      </c>
      <c r="AG523" s="2">
        <f>VLOOKUP($A523,'[2]App C Share Outflows'!$A$4:$I$917,9,FALSE)</f>
        <v>0</v>
      </c>
      <c r="AH523" s="2"/>
      <c r="AI523" s="2">
        <f>VLOOKUP($A523,'[2]App C Share Inflows'!$A$4:$I$917,5,FALSE)</f>
        <v>-1835</v>
      </c>
      <c r="AJ523" s="2">
        <f>VLOOKUP($A523,'[2]App C Share Inflows'!$A$4:$I$917,6,FALSE)</f>
        <v>-1835</v>
      </c>
      <c r="AK523" s="2">
        <f>VLOOKUP($A523,'[2]App C Share Inflows'!$A$4:$I$917,7,FALSE)</f>
        <v>-1835</v>
      </c>
      <c r="AL523" s="2">
        <f>VLOOKUP($A523,'[2]App C Share Inflows'!$A$4:$I$917,8,FALSE)</f>
        <v>-1003</v>
      </c>
      <c r="AM523" s="2">
        <f>VLOOKUP($A523,'[2]App C Share Inflows'!$A$4:$I$917,6,FALSE)</f>
        <v>-1835</v>
      </c>
    </row>
    <row r="524" spans="1:39">
      <c r="A524" s="351">
        <v>95405</v>
      </c>
      <c r="B524" s="344" t="s">
        <v>1218</v>
      </c>
      <c r="C524" s="235" t="e">
        <f>VLOOKUP(A524,#REF!,10,FALSE)</f>
        <v>#REF!</v>
      </c>
      <c r="E524" s="2">
        <f>VLOOKUP($A524,'[2]App C Total'!$A$4:$I$917,5,FALSE)</f>
        <v>25261</v>
      </c>
      <c r="F524" s="2">
        <f>VLOOKUP($A524,'[2]App C Total'!$A$4:$I$917,6,FALSE)</f>
        <v>12471</v>
      </c>
      <c r="G524" s="2">
        <f>VLOOKUP($A524,'[2]App C Total'!$A$4:$I$917,7,FALSE)</f>
        <v>14551</v>
      </c>
      <c r="H524" s="2">
        <f>VLOOKUP($A524,'[2]App C Total'!$A$4:$I$917,8,FALSE)</f>
        <v>6193</v>
      </c>
      <c r="I524" s="2">
        <f>VLOOKUP($A524,'[2]App C Total'!$A$4:$I$917,9,FALSE)</f>
        <v>0</v>
      </c>
      <c r="J524" s="2"/>
      <c r="K524" s="2">
        <f>VLOOKUP($A524,'[2]App C Exp'!$A$4:$I$917,5,FALSE)</f>
        <v>5004</v>
      </c>
      <c r="L524" s="2">
        <f>VLOOKUP($A524,'[2]App C Exp'!$A$4:$I$917,6,FALSE)</f>
        <v>4707</v>
      </c>
      <c r="M524" s="2">
        <f>VLOOKUP($A524,'[2]App C Exp'!$A$4:$I$917,7,FALSE)</f>
        <v>4219</v>
      </c>
      <c r="N524" s="2">
        <f>VLOOKUP($A524,'[2]App C Exp'!$A$4:$I$917,8,FALSE)</f>
        <v>1689</v>
      </c>
      <c r="O524" s="2">
        <f>VLOOKUP($A524,'[2]App C Exp'!$A$4:$I$917,9,FALSE)</f>
        <v>0</v>
      </c>
      <c r="P524" s="2"/>
      <c r="Q524" s="2">
        <f>VLOOKUP($A524,'[2]App C Inv'!$A$4:$I$917,5,FALSE)</f>
        <v>5312</v>
      </c>
      <c r="R524" s="2">
        <f>VLOOKUP($A524,'[2]App C Inv'!$A$4:$I$917,6,FALSE)</f>
        <v>-4569</v>
      </c>
      <c r="S524" s="2">
        <f>VLOOKUP($A524,'[2]App C Inv'!$A$4:$I$917,7,FALSE)</f>
        <v>644</v>
      </c>
      <c r="T524" s="2">
        <f>VLOOKUP($A524,'[2]App C Inv'!$A$4:$I$917,8,FALSE)</f>
        <v>838</v>
      </c>
      <c r="U524" s="2">
        <f>VLOOKUP($A524,'[2]App C Inv'!$A$4:$I$917,9,FALSE)</f>
        <v>0</v>
      </c>
      <c r="V524" s="2"/>
      <c r="W524" s="2">
        <f>VLOOKUP($A524,'[2]App C Assum'!$A$4:$I$917,5,FALSE)</f>
        <v>5984</v>
      </c>
      <c r="X524" s="2">
        <f>VLOOKUP($A524,'[2]App C Assum'!$A$4:$I$917,6,FALSE)</f>
        <v>4902</v>
      </c>
      <c r="Y524" s="2">
        <f>VLOOKUP($A524,'[2]App C Assum'!$A$4:$I$917,7,FALSE)</f>
        <v>3980</v>
      </c>
      <c r="Z524" s="2">
        <f>VLOOKUP($A524,'[2]App C Assum'!$A$4:$I$917,8,FALSE)</f>
        <v>0</v>
      </c>
      <c r="AA524" s="2">
        <f>VLOOKUP($A524,'[2]App C Assum'!$A$4:$I$917,9,FALSE)</f>
        <v>0</v>
      </c>
      <c r="AB524" s="2"/>
      <c r="AC524" s="2">
        <f>VLOOKUP($A524,'[2]App C Share Outflows'!$A$4:$I$917,5,FALSE)</f>
        <v>8961</v>
      </c>
      <c r="AD524" s="2">
        <f>VLOOKUP($A524,'[2]App C Share Outflows'!$A$4:$I$917,6,FALSE)</f>
        <v>7431</v>
      </c>
      <c r="AE524" s="2">
        <f>VLOOKUP($A524,'[2]App C Share Outflows'!$A$4:$I$917,7,FALSE)</f>
        <v>5708</v>
      </c>
      <c r="AF524" s="2">
        <f>VLOOKUP($A524,'[2]App C Share Outflows'!$A$4:$I$917,8,FALSE)</f>
        <v>3666</v>
      </c>
      <c r="AG524" s="2">
        <f>VLOOKUP($A524,'[2]App C Share Outflows'!$A$4:$I$917,9,FALSE)</f>
        <v>0</v>
      </c>
      <c r="AH524" s="2"/>
      <c r="AI524" s="2">
        <f>VLOOKUP($A524,'[2]App C Share Inflows'!$A$4:$I$917,5,FALSE)</f>
        <v>0</v>
      </c>
      <c r="AJ524" s="2">
        <f>VLOOKUP($A524,'[2]App C Share Inflows'!$A$4:$I$917,6,FALSE)</f>
        <v>0</v>
      </c>
      <c r="AK524" s="2">
        <f>VLOOKUP($A524,'[2]App C Share Inflows'!$A$4:$I$917,7,FALSE)</f>
        <v>0</v>
      </c>
      <c r="AL524" s="2">
        <f>VLOOKUP($A524,'[2]App C Share Inflows'!$A$4:$I$917,8,FALSE)</f>
        <v>0</v>
      </c>
      <c r="AM524" s="2">
        <f>VLOOKUP($A524,'[2]App C Share Inflows'!$A$4:$I$917,6,FALSE)</f>
        <v>0</v>
      </c>
    </row>
    <row r="525" spans="1:39">
      <c r="A525" s="351">
        <v>95411</v>
      </c>
      <c r="B525" s="344" t="s">
        <v>1219</v>
      </c>
      <c r="C525" s="235" t="e">
        <f>VLOOKUP(A525,#REF!,10,FALSE)</f>
        <v>#REF!</v>
      </c>
      <c r="E525" s="2">
        <f>VLOOKUP($A525,'[2]App C Total'!$A$4:$I$917,5,FALSE)</f>
        <v>971621</v>
      </c>
      <c r="F525" s="2">
        <f>VLOOKUP($A525,'[2]App C Total'!$A$4:$I$917,6,FALSE)</f>
        <v>281480</v>
      </c>
      <c r="G525" s="2">
        <f>VLOOKUP($A525,'[2]App C Total'!$A$4:$I$917,7,FALSE)</f>
        <v>523743</v>
      </c>
      <c r="H525" s="2">
        <f>VLOOKUP($A525,'[2]App C Total'!$A$4:$I$917,8,FALSE)</f>
        <v>140317</v>
      </c>
      <c r="I525" s="2">
        <f>VLOOKUP($A525,'[2]App C Total'!$A$4:$I$917,9,FALSE)</f>
        <v>0</v>
      </c>
      <c r="J525" s="2"/>
      <c r="K525" s="2">
        <f>VLOOKUP($A525,'[2]App C Exp'!$A$4:$I$917,5,FALSE)</f>
        <v>305082</v>
      </c>
      <c r="L525" s="2">
        <f>VLOOKUP($A525,'[2]App C Exp'!$A$4:$I$917,6,FALSE)</f>
        <v>286984</v>
      </c>
      <c r="M525" s="2">
        <f>VLOOKUP($A525,'[2]App C Exp'!$A$4:$I$917,7,FALSE)</f>
        <v>257220</v>
      </c>
      <c r="N525" s="2">
        <f>VLOOKUP($A525,'[2]App C Exp'!$A$4:$I$917,8,FALSE)</f>
        <v>102988</v>
      </c>
      <c r="O525" s="2">
        <f>VLOOKUP($A525,'[2]App C Exp'!$A$4:$I$917,9,FALSE)</f>
        <v>0</v>
      </c>
      <c r="P525" s="2"/>
      <c r="Q525" s="2">
        <f>VLOOKUP($A525,'[2]App C Inv'!$A$4:$I$917,5,FALSE)</f>
        <v>323887</v>
      </c>
      <c r="R525" s="2">
        <f>VLOOKUP($A525,'[2]App C Inv'!$A$4:$I$917,6,FALSE)</f>
        <v>-278603</v>
      </c>
      <c r="S525" s="2">
        <f>VLOOKUP($A525,'[2]App C Inv'!$A$4:$I$917,7,FALSE)</f>
        <v>39266</v>
      </c>
      <c r="T525" s="2">
        <f>VLOOKUP($A525,'[2]App C Inv'!$A$4:$I$917,8,FALSE)</f>
        <v>51104</v>
      </c>
      <c r="U525" s="2">
        <f>VLOOKUP($A525,'[2]App C Inv'!$A$4:$I$917,9,FALSE)</f>
        <v>0</v>
      </c>
      <c r="V525" s="2"/>
      <c r="W525" s="2">
        <f>VLOOKUP($A525,'[2]App C Assum'!$A$4:$I$917,5,FALSE)</f>
        <v>364863</v>
      </c>
      <c r="X525" s="2">
        <f>VLOOKUP($A525,'[2]App C Assum'!$A$4:$I$917,6,FALSE)</f>
        <v>298909</v>
      </c>
      <c r="Y525" s="2">
        <f>VLOOKUP($A525,'[2]App C Assum'!$A$4:$I$917,7,FALSE)</f>
        <v>242663</v>
      </c>
      <c r="Z525" s="2">
        <f>VLOOKUP($A525,'[2]App C Assum'!$A$4:$I$917,8,FALSE)</f>
        <v>0</v>
      </c>
      <c r="AA525" s="2">
        <f>VLOOKUP($A525,'[2]App C Assum'!$A$4:$I$917,9,FALSE)</f>
        <v>0</v>
      </c>
      <c r="AB525" s="2"/>
      <c r="AC525" s="2">
        <f>VLOOKUP($A525,'[2]App C Share Outflows'!$A$4:$I$917,5,FALSE)</f>
        <v>3600</v>
      </c>
      <c r="AD525" s="2">
        <f>VLOOKUP($A525,'[2]App C Share Outflows'!$A$4:$I$917,6,FALSE)</f>
        <v>0</v>
      </c>
      <c r="AE525" s="2">
        <f>VLOOKUP($A525,'[2]App C Share Outflows'!$A$4:$I$917,7,FALSE)</f>
        <v>0</v>
      </c>
      <c r="AF525" s="2">
        <f>VLOOKUP($A525,'[2]App C Share Outflows'!$A$4:$I$917,8,FALSE)</f>
        <v>0</v>
      </c>
      <c r="AG525" s="2">
        <f>VLOOKUP($A525,'[2]App C Share Outflows'!$A$4:$I$917,9,FALSE)</f>
        <v>0</v>
      </c>
      <c r="AH525" s="2"/>
      <c r="AI525" s="2">
        <f>VLOOKUP($A525,'[2]App C Share Inflows'!$A$4:$I$917,5,FALSE)</f>
        <v>-25811</v>
      </c>
      <c r="AJ525" s="2">
        <f>VLOOKUP($A525,'[2]App C Share Inflows'!$A$4:$I$917,6,FALSE)</f>
        <v>-25810</v>
      </c>
      <c r="AK525" s="2">
        <f>VLOOKUP($A525,'[2]App C Share Inflows'!$A$4:$I$917,7,FALSE)</f>
        <v>-15406</v>
      </c>
      <c r="AL525" s="2">
        <f>VLOOKUP($A525,'[2]App C Share Inflows'!$A$4:$I$917,8,FALSE)</f>
        <v>-13775</v>
      </c>
      <c r="AM525" s="2">
        <f>VLOOKUP($A525,'[2]App C Share Inflows'!$A$4:$I$917,6,FALSE)</f>
        <v>-25810</v>
      </c>
    </row>
    <row r="526" spans="1:39">
      <c r="A526" s="351">
        <v>95413</v>
      </c>
      <c r="B526" s="344" t="s">
        <v>3684</v>
      </c>
      <c r="C526" s="235" t="e">
        <f>VLOOKUP(A526,#REF!,10,FALSE)</f>
        <v>#REF!</v>
      </c>
      <c r="E526" s="2">
        <f>VLOOKUP($A526,'[2]App C Total'!$A$4:$I$917,5,FALSE)</f>
        <v>170653</v>
      </c>
      <c r="F526" s="2">
        <f>VLOOKUP($A526,'[2]App C Total'!$A$4:$I$917,6,FALSE)</f>
        <v>62743</v>
      </c>
      <c r="G526" s="2">
        <f>VLOOKUP($A526,'[2]App C Total'!$A$4:$I$917,7,FALSE)</f>
        <v>63484</v>
      </c>
      <c r="H526" s="2">
        <f>VLOOKUP($A526,'[2]App C Total'!$A$4:$I$917,8,FALSE)</f>
        <v>15195</v>
      </c>
      <c r="I526" s="2">
        <f>VLOOKUP($A526,'[2]App C Total'!$A$4:$I$917,9,FALSE)</f>
        <v>0</v>
      </c>
      <c r="J526" s="2"/>
      <c r="K526" s="2">
        <f>VLOOKUP($A526,'[2]App C Exp'!$A$4:$I$917,5,FALSE)</f>
        <v>36868</v>
      </c>
      <c r="L526" s="2">
        <f>VLOOKUP($A526,'[2]App C Exp'!$A$4:$I$917,6,FALSE)</f>
        <v>34680</v>
      </c>
      <c r="M526" s="2">
        <f>VLOOKUP($A526,'[2]App C Exp'!$A$4:$I$917,7,FALSE)</f>
        <v>31084</v>
      </c>
      <c r="N526" s="2">
        <f>VLOOKUP($A526,'[2]App C Exp'!$A$4:$I$917,8,FALSE)</f>
        <v>12446</v>
      </c>
      <c r="O526" s="2">
        <f>VLOOKUP($A526,'[2]App C Exp'!$A$4:$I$917,9,FALSE)</f>
        <v>0</v>
      </c>
      <c r="P526" s="2"/>
      <c r="Q526" s="2">
        <f>VLOOKUP($A526,'[2]App C Inv'!$A$4:$I$917,5,FALSE)</f>
        <v>39140</v>
      </c>
      <c r="R526" s="2">
        <f>VLOOKUP($A526,'[2]App C Inv'!$A$4:$I$917,6,FALSE)</f>
        <v>-33668</v>
      </c>
      <c r="S526" s="2">
        <f>VLOOKUP($A526,'[2]App C Inv'!$A$4:$I$917,7,FALSE)</f>
        <v>4745</v>
      </c>
      <c r="T526" s="2">
        <f>VLOOKUP($A526,'[2]App C Inv'!$A$4:$I$917,8,FALSE)</f>
        <v>6176</v>
      </c>
      <c r="U526" s="2">
        <f>VLOOKUP($A526,'[2]App C Inv'!$A$4:$I$917,9,FALSE)</f>
        <v>0</v>
      </c>
      <c r="V526" s="2"/>
      <c r="W526" s="2">
        <f>VLOOKUP($A526,'[2]App C Assum'!$A$4:$I$917,5,FALSE)</f>
        <v>44092</v>
      </c>
      <c r="X526" s="2">
        <f>VLOOKUP($A526,'[2]App C Assum'!$A$4:$I$917,6,FALSE)</f>
        <v>36122</v>
      </c>
      <c r="Y526" s="2">
        <f>VLOOKUP($A526,'[2]App C Assum'!$A$4:$I$917,7,FALSE)</f>
        <v>29325</v>
      </c>
      <c r="Z526" s="2">
        <f>VLOOKUP($A526,'[2]App C Assum'!$A$4:$I$917,8,FALSE)</f>
        <v>0</v>
      </c>
      <c r="AA526" s="2">
        <f>VLOOKUP($A526,'[2]App C Assum'!$A$4:$I$917,9,FALSE)</f>
        <v>0</v>
      </c>
      <c r="AB526" s="2"/>
      <c r="AC526" s="2">
        <f>VLOOKUP($A526,'[2]App C Share Outflows'!$A$4:$I$917,5,FALSE)</f>
        <v>53982</v>
      </c>
      <c r="AD526" s="2">
        <f>VLOOKUP($A526,'[2]App C Share Outflows'!$A$4:$I$917,6,FALSE)</f>
        <v>29038</v>
      </c>
      <c r="AE526" s="2">
        <f>VLOOKUP($A526,'[2]App C Share Outflows'!$A$4:$I$917,7,FALSE)</f>
        <v>1759</v>
      </c>
      <c r="AF526" s="2">
        <f>VLOOKUP($A526,'[2]App C Share Outflows'!$A$4:$I$917,8,FALSE)</f>
        <v>0</v>
      </c>
      <c r="AG526" s="2">
        <f>VLOOKUP($A526,'[2]App C Share Outflows'!$A$4:$I$917,9,FALSE)</f>
        <v>0</v>
      </c>
      <c r="AH526" s="2"/>
      <c r="AI526" s="2">
        <f>VLOOKUP($A526,'[2]App C Share Inflows'!$A$4:$I$917,5,FALSE)</f>
        <v>-3429</v>
      </c>
      <c r="AJ526" s="2">
        <f>VLOOKUP($A526,'[2]App C Share Inflows'!$A$4:$I$917,6,FALSE)</f>
        <v>-3429</v>
      </c>
      <c r="AK526" s="2">
        <f>VLOOKUP($A526,'[2]App C Share Inflows'!$A$4:$I$917,7,FALSE)</f>
        <v>-3429</v>
      </c>
      <c r="AL526" s="2">
        <f>VLOOKUP($A526,'[2]App C Share Inflows'!$A$4:$I$917,8,FALSE)</f>
        <v>-3427</v>
      </c>
      <c r="AM526" s="2">
        <f>VLOOKUP($A526,'[2]App C Share Inflows'!$A$4:$I$917,6,FALSE)</f>
        <v>-3429</v>
      </c>
    </row>
    <row r="527" spans="1:39">
      <c r="A527" s="351">
        <v>95415</v>
      </c>
      <c r="B527" s="344" t="s">
        <v>3685</v>
      </c>
      <c r="C527" s="235" t="e">
        <f>VLOOKUP(A527,#REF!,10,FALSE)</f>
        <v>#REF!</v>
      </c>
      <c r="E527" s="2">
        <f>VLOOKUP($A527,'[2]App C Total'!$A$4:$I$917,5,FALSE)</f>
        <v>23103</v>
      </c>
      <c r="F527" s="2">
        <f>VLOOKUP($A527,'[2]App C Total'!$A$4:$I$917,6,FALSE)</f>
        <v>4055</v>
      </c>
      <c r="G527" s="2">
        <f>VLOOKUP($A527,'[2]App C Total'!$A$4:$I$917,7,FALSE)</f>
        <v>13541</v>
      </c>
      <c r="H527" s="2">
        <f>VLOOKUP($A527,'[2]App C Total'!$A$4:$I$917,8,FALSE)</f>
        <v>1864</v>
      </c>
      <c r="I527" s="2">
        <f>VLOOKUP($A527,'[2]App C Total'!$A$4:$I$917,9,FALSE)</f>
        <v>0</v>
      </c>
      <c r="J527" s="2"/>
      <c r="K527" s="2">
        <f>VLOOKUP($A527,'[2]App C Exp'!$A$4:$I$917,5,FALSE)</f>
        <v>8629</v>
      </c>
      <c r="L527" s="2">
        <f>VLOOKUP($A527,'[2]App C Exp'!$A$4:$I$917,6,FALSE)</f>
        <v>8117</v>
      </c>
      <c r="M527" s="2">
        <f>VLOOKUP($A527,'[2]App C Exp'!$A$4:$I$917,7,FALSE)</f>
        <v>7275</v>
      </c>
      <c r="N527" s="2">
        <f>VLOOKUP($A527,'[2]App C Exp'!$A$4:$I$917,8,FALSE)</f>
        <v>2913</v>
      </c>
      <c r="O527" s="2">
        <f>VLOOKUP($A527,'[2]App C Exp'!$A$4:$I$917,9,FALSE)</f>
        <v>0</v>
      </c>
      <c r="P527" s="2"/>
      <c r="Q527" s="2">
        <f>VLOOKUP($A527,'[2]App C Inv'!$A$4:$I$917,5,FALSE)</f>
        <v>9161</v>
      </c>
      <c r="R527" s="2">
        <f>VLOOKUP($A527,'[2]App C Inv'!$A$4:$I$917,6,FALSE)</f>
        <v>-7880</v>
      </c>
      <c r="S527" s="2">
        <f>VLOOKUP($A527,'[2]App C Inv'!$A$4:$I$917,7,FALSE)</f>
        <v>1111</v>
      </c>
      <c r="T527" s="2">
        <f>VLOOKUP($A527,'[2]App C Inv'!$A$4:$I$917,8,FALSE)</f>
        <v>1445</v>
      </c>
      <c r="U527" s="2">
        <f>VLOOKUP($A527,'[2]App C Inv'!$A$4:$I$917,9,FALSE)</f>
        <v>0</v>
      </c>
      <c r="V527" s="2"/>
      <c r="W527" s="2">
        <f>VLOOKUP($A527,'[2]App C Assum'!$A$4:$I$917,5,FALSE)</f>
        <v>10320</v>
      </c>
      <c r="X527" s="2">
        <f>VLOOKUP($A527,'[2]App C Assum'!$A$4:$I$917,6,FALSE)</f>
        <v>8454</v>
      </c>
      <c r="Y527" s="2">
        <f>VLOOKUP($A527,'[2]App C Assum'!$A$4:$I$917,7,FALSE)</f>
        <v>6863</v>
      </c>
      <c r="Z527" s="2">
        <f>VLOOKUP($A527,'[2]App C Assum'!$A$4:$I$917,8,FALSE)</f>
        <v>0</v>
      </c>
      <c r="AA527" s="2">
        <f>VLOOKUP($A527,'[2]App C Assum'!$A$4:$I$917,9,FALSE)</f>
        <v>0</v>
      </c>
      <c r="AB527" s="2"/>
      <c r="AC527" s="2">
        <f>VLOOKUP($A527,'[2]App C Share Outflows'!$A$4:$I$917,5,FALSE)</f>
        <v>785</v>
      </c>
      <c r="AD527" s="2">
        <f>VLOOKUP($A527,'[2]App C Share Outflows'!$A$4:$I$917,6,FALSE)</f>
        <v>785</v>
      </c>
      <c r="AE527" s="2">
        <f>VLOOKUP($A527,'[2]App C Share Outflows'!$A$4:$I$917,7,FALSE)</f>
        <v>787</v>
      </c>
      <c r="AF527" s="2">
        <f>VLOOKUP($A527,'[2]App C Share Outflows'!$A$4:$I$917,8,FALSE)</f>
        <v>0</v>
      </c>
      <c r="AG527" s="2">
        <f>VLOOKUP($A527,'[2]App C Share Outflows'!$A$4:$I$917,9,FALSE)</f>
        <v>0</v>
      </c>
      <c r="AH527" s="2"/>
      <c r="AI527" s="2">
        <f>VLOOKUP($A527,'[2]App C Share Inflows'!$A$4:$I$917,5,FALSE)</f>
        <v>-5792</v>
      </c>
      <c r="AJ527" s="2">
        <f>VLOOKUP($A527,'[2]App C Share Inflows'!$A$4:$I$917,6,FALSE)</f>
        <v>-5421</v>
      </c>
      <c r="AK527" s="2">
        <f>VLOOKUP($A527,'[2]App C Share Inflows'!$A$4:$I$917,7,FALSE)</f>
        <v>-2495</v>
      </c>
      <c r="AL527" s="2">
        <f>VLOOKUP($A527,'[2]App C Share Inflows'!$A$4:$I$917,8,FALSE)</f>
        <v>-2494</v>
      </c>
      <c r="AM527" s="2">
        <f>VLOOKUP($A527,'[2]App C Share Inflows'!$A$4:$I$917,6,FALSE)</f>
        <v>-5421</v>
      </c>
    </row>
    <row r="528" spans="1:39">
      <c r="A528" s="351">
        <v>95421</v>
      </c>
      <c r="B528" s="344" t="s">
        <v>1223</v>
      </c>
      <c r="C528" s="235" t="e">
        <f>VLOOKUP(A528,#REF!,10,FALSE)</f>
        <v>#REF!</v>
      </c>
      <c r="E528" s="2">
        <f>VLOOKUP($A528,'[2]App C Total'!$A$4:$I$917,5,FALSE)</f>
        <v>16649</v>
      </c>
      <c r="F528" s="2">
        <f>VLOOKUP($A528,'[2]App C Total'!$A$4:$I$917,6,FALSE)</f>
        <v>5787</v>
      </c>
      <c r="G528" s="2">
        <f>VLOOKUP($A528,'[2]App C Total'!$A$4:$I$917,7,FALSE)</f>
        <v>9909</v>
      </c>
      <c r="H528" s="2">
        <f>VLOOKUP($A528,'[2]App C Total'!$A$4:$I$917,8,FALSE)</f>
        <v>2872</v>
      </c>
      <c r="I528" s="2">
        <f>VLOOKUP($A528,'[2]App C Total'!$A$4:$I$917,9,FALSE)</f>
        <v>0</v>
      </c>
      <c r="J528" s="2"/>
      <c r="K528" s="2">
        <f>VLOOKUP($A528,'[2]App C Exp'!$A$4:$I$917,5,FALSE)</f>
        <v>5498</v>
      </c>
      <c r="L528" s="2">
        <f>VLOOKUP($A528,'[2]App C Exp'!$A$4:$I$917,6,FALSE)</f>
        <v>5172</v>
      </c>
      <c r="M528" s="2">
        <f>VLOOKUP($A528,'[2]App C Exp'!$A$4:$I$917,7,FALSE)</f>
        <v>4635</v>
      </c>
      <c r="N528" s="2">
        <f>VLOOKUP($A528,'[2]App C Exp'!$A$4:$I$917,8,FALSE)</f>
        <v>1856</v>
      </c>
      <c r="O528" s="2">
        <f>VLOOKUP($A528,'[2]App C Exp'!$A$4:$I$917,9,FALSE)</f>
        <v>0</v>
      </c>
      <c r="P528" s="2"/>
      <c r="Q528" s="2">
        <f>VLOOKUP($A528,'[2]App C Inv'!$A$4:$I$917,5,FALSE)</f>
        <v>5837</v>
      </c>
      <c r="R528" s="2">
        <f>VLOOKUP($A528,'[2]App C Inv'!$A$4:$I$917,6,FALSE)</f>
        <v>-5021</v>
      </c>
      <c r="S528" s="2">
        <f>VLOOKUP($A528,'[2]App C Inv'!$A$4:$I$917,7,FALSE)</f>
        <v>708</v>
      </c>
      <c r="T528" s="2">
        <f>VLOOKUP($A528,'[2]App C Inv'!$A$4:$I$917,8,FALSE)</f>
        <v>921</v>
      </c>
      <c r="U528" s="2">
        <f>VLOOKUP($A528,'[2]App C Inv'!$A$4:$I$917,9,FALSE)</f>
        <v>0</v>
      </c>
      <c r="V528" s="2"/>
      <c r="W528" s="2">
        <f>VLOOKUP($A528,'[2]App C Assum'!$A$4:$I$917,5,FALSE)</f>
        <v>6575</v>
      </c>
      <c r="X528" s="2">
        <f>VLOOKUP($A528,'[2]App C Assum'!$A$4:$I$917,6,FALSE)</f>
        <v>5387</v>
      </c>
      <c r="Y528" s="2">
        <f>VLOOKUP($A528,'[2]App C Assum'!$A$4:$I$917,7,FALSE)</f>
        <v>4373</v>
      </c>
      <c r="Z528" s="2">
        <f>VLOOKUP($A528,'[2]App C Assum'!$A$4:$I$917,8,FALSE)</f>
        <v>0</v>
      </c>
      <c r="AA528" s="2">
        <f>VLOOKUP($A528,'[2]App C Assum'!$A$4:$I$917,9,FALSE)</f>
        <v>0</v>
      </c>
      <c r="AB528" s="2"/>
      <c r="AC528" s="2">
        <f>VLOOKUP($A528,'[2]App C Share Outflows'!$A$4:$I$917,5,FALSE)</f>
        <v>251</v>
      </c>
      <c r="AD528" s="2">
        <f>VLOOKUP($A528,'[2]App C Share Outflows'!$A$4:$I$917,6,FALSE)</f>
        <v>249</v>
      </c>
      <c r="AE528" s="2">
        <f>VLOOKUP($A528,'[2]App C Share Outflows'!$A$4:$I$917,7,FALSE)</f>
        <v>193</v>
      </c>
      <c r="AF528" s="2">
        <f>VLOOKUP($A528,'[2]App C Share Outflows'!$A$4:$I$917,8,FALSE)</f>
        <v>95</v>
      </c>
      <c r="AG528" s="2">
        <f>VLOOKUP($A528,'[2]App C Share Outflows'!$A$4:$I$917,9,FALSE)</f>
        <v>0</v>
      </c>
      <c r="AH528" s="2"/>
      <c r="AI528" s="2">
        <f>VLOOKUP($A528,'[2]App C Share Inflows'!$A$4:$I$917,5,FALSE)</f>
        <v>-1512</v>
      </c>
      <c r="AJ528" s="2">
        <f>VLOOKUP($A528,'[2]App C Share Inflows'!$A$4:$I$917,6,FALSE)</f>
        <v>0</v>
      </c>
      <c r="AK528" s="2">
        <f>VLOOKUP($A528,'[2]App C Share Inflows'!$A$4:$I$917,7,FALSE)</f>
        <v>0</v>
      </c>
      <c r="AL528" s="2">
        <f>VLOOKUP($A528,'[2]App C Share Inflows'!$A$4:$I$917,8,FALSE)</f>
        <v>0</v>
      </c>
      <c r="AM528" s="2">
        <f>VLOOKUP($A528,'[2]App C Share Inflows'!$A$4:$I$917,6,FALSE)</f>
        <v>0</v>
      </c>
    </row>
    <row r="529" spans="1:39">
      <c r="A529" s="351">
        <v>95431</v>
      </c>
      <c r="B529" s="344" t="s">
        <v>1224</v>
      </c>
      <c r="C529" s="235" t="e">
        <f>VLOOKUP(A529,#REF!,10,FALSE)</f>
        <v>#REF!</v>
      </c>
      <c r="E529" s="2">
        <f>VLOOKUP($A529,'[2]App C Total'!$A$4:$I$917,5,FALSE)</f>
        <v>53999</v>
      </c>
      <c r="F529" s="2">
        <f>VLOOKUP($A529,'[2]App C Total'!$A$4:$I$917,6,FALSE)</f>
        <v>9493</v>
      </c>
      <c r="G529" s="2">
        <f>VLOOKUP($A529,'[2]App C Total'!$A$4:$I$917,7,FALSE)</f>
        <v>31295</v>
      </c>
      <c r="H529" s="2">
        <f>VLOOKUP($A529,'[2]App C Total'!$A$4:$I$917,8,FALSE)</f>
        <v>7703</v>
      </c>
      <c r="I529" s="2">
        <f>VLOOKUP($A529,'[2]App C Total'!$A$4:$I$917,9,FALSE)</f>
        <v>0</v>
      </c>
      <c r="J529" s="2"/>
      <c r="K529" s="2">
        <f>VLOOKUP($A529,'[2]App C Exp'!$A$4:$I$917,5,FALSE)</f>
        <v>20509</v>
      </c>
      <c r="L529" s="2">
        <f>VLOOKUP($A529,'[2]App C Exp'!$A$4:$I$917,6,FALSE)</f>
        <v>19292</v>
      </c>
      <c r="M529" s="2">
        <f>VLOOKUP($A529,'[2]App C Exp'!$A$4:$I$917,7,FALSE)</f>
        <v>17291</v>
      </c>
      <c r="N529" s="2">
        <f>VLOOKUP($A529,'[2]App C Exp'!$A$4:$I$917,8,FALSE)</f>
        <v>6923</v>
      </c>
      <c r="O529" s="2">
        <f>VLOOKUP($A529,'[2]App C Exp'!$A$4:$I$917,9,FALSE)</f>
        <v>0</v>
      </c>
      <c r="P529" s="2"/>
      <c r="Q529" s="2">
        <f>VLOOKUP($A529,'[2]App C Inv'!$A$4:$I$917,5,FALSE)</f>
        <v>21773</v>
      </c>
      <c r="R529" s="2">
        <f>VLOOKUP($A529,'[2]App C Inv'!$A$4:$I$917,6,FALSE)</f>
        <v>-18729</v>
      </c>
      <c r="S529" s="2">
        <f>VLOOKUP($A529,'[2]App C Inv'!$A$4:$I$917,7,FALSE)</f>
        <v>2640</v>
      </c>
      <c r="T529" s="2">
        <f>VLOOKUP($A529,'[2]App C Inv'!$A$4:$I$917,8,FALSE)</f>
        <v>3435</v>
      </c>
      <c r="U529" s="2">
        <f>VLOOKUP($A529,'[2]App C Inv'!$A$4:$I$917,9,FALSE)</f>
        <v>0</v>
      </c>
      <c r="V529" s="2"/>
      <c r="W529" s="2">
        <f>VLOOKUP($A529,'[2]App C Assum'!$A$4:$I$917,5,FALSE)</f>
        <v>24527</v>
      </c>
      <c r="X529" s="2">
        <f>VLOOKUP($A529,'[2]App C Assum'!$A$4:$I$917,6,FALSE)</f>
        <v>20094</v>
      </c>
      <c r="Y529" s="2">
        <f>VLOOKUP($A529,'[2]App C Assum'!$A$4:$I$917,7,FALSE)</f>
        <v>16313</v>
      </c>
      <c r="Z529" s="2">
        <f>VLOOKUP($A529,'[2]App C Assum'!$A$4:$I$917,8,FALSE)</f>
        <v>0</v>
      </c>
      <c r="AA529" s="2">
        <f>VLOOKUP($A529,'[2]App C Assum'!$A$4:$I$917,9,FALSE)</f>
        <v>0</v>
      </c>
      <c r="AB529" s="2"/>
      <c r="AC529" s="2">
        <f>VLOOKUP($A529,'[2]App C Share Outflows'!$A$4:$I$917,5,FALSE)</f>
        <v>0</v>
      </c>
      <c r="AD529" s="2">
        <f>VLOOKUP($A529,'[2]App C Share Outflows'!$A$4:$I$917,6,FALSE)</f>
        <v>0</v>
      </c>
      <c r="AE529" s="2">
        <f>VLOOKUP($A529,'[2]App C Share Outflows'!$A$4:$I$917,7,FALSE)</f>
        <v>0</v>
      </c>
      <c r="AF529" s="2">
        <f>VLOOKUP($A529,'[2]App C Share Outflows'!$A$4:$I$917,8,FALSE)</f>
        <v>0</v>
      </c>
      <c r="AG529" s="2">
        <f>VLOOKUP($A529,'[2]App C Share Outflows'!$A$4:$I$917,9,FALSE)</f>
        <v>0</v>
      </c>
      <c r="AH529" s="2"/>
      <c r="AI529" s="2">
        <f>VLOOKUP($A529,'[2]App C Share Inflows'!$A$4:$I$917,5,FALSE)</f>
        <v>-12810</v>
      </c>
      <c r="AJ529" s="2">
        <f>VLOOKUP($A529,'[2]App C Share Inflows'!$A$4:$I$917,6,FALSE)</f>
        <v>-11164</v>
      </c>
      <c r="AK529" s="2">
        <f>VLOOKUP($A529,'[2]App C Share Inflows'!$A$4:$I$917,7,FALSE)</f>
        <v>-4949</v>
      </c>
      <c r="AL529" s="2">
        <f>VLOOKUP($A529,'[2]App C Share Inflows'!$A$4:$I$917,8,FALSE)</f>
        <v>-2655</v>
      </c>
      <c r="AM529" s="2">
        <f>VLOOKUP($A529,'[2]App C Share Inflows'!$A$4:$I$917,6,FALSE)</f>
        <v>-11164</v>
      </c>
    </row>
    <row r="530" spans="1:39">
      <c r="A530" s="351">
        <v>95501</v>
      </c>
      <c r="B530" s="344" t="s">
        <v>1225</v>
      </c>
      <c r="C530" s="235" t="e">
        <f>VLOOKUP(A530,#REF!,10,FALSE)</f>
        <v>#REF!</v>
      </c>
      <c r="E530" s="2">
        <f>VLOOKUP($A530,'[2]App C Total'!$A$4:$I$917,5,FALSE)</f>
        <v>2436870</v>
      </c>
      <c r="F530" s="2">
        <f>VLOOKUP($A530,'[2]App C Total'!$A$4:$I$917,6,FALSE)</f>
        <v>760863</v>
      </c>
      <c r="G530" s="2">
        <f>VLOOKUP($A530,'[2]App C Total'!$A$4:$I$917,7,FALSE)</f>
        <v>1345942</v>
      </c>
      <c r="H530" s="2">
        <f>VLOOKUP($A530,'[2]App C Total'!$A$4:$I$917,8,FALSE)</f>
        <v>409515</v>
      </c>
      <c r="I530" s="2">
        <f>VLOOKUP($A530,'[2]App C Total'!$A$4:$I$917,9,FALSE)</f>
        <v>0</v>
      </c>
      <c r="J530" s="2"/>
      <c r="K530" s="2">
        <f>VLOOKUP($A530,'[2]App C Exp'!$A$4:$I$917,5,FALSE)</f>
        <v>753290</v>
      </c>
      <c r="L530" s="2">
        <f>VLOOKUP($A530,'[2]App C Exp'!$A$4:$I$917,6,FALSE)</f>
        <v>708602</v>
      </c>
      <c r="M530" s="2">
        <f>VLOOKUP($A530,'[2]App C Exp'!$A$4:$I$917,7,FALSE)</f>
        <v>635112</v>
      </c>
      <c r="N530" s="2">
        <f>VLOOKUP($A530,'[2]App C Exp'!$A$4:$I$917,8,FALSE)</f>
        <v>254291</v>
      </c>
      <c r="O530" s="2">
        <f>VLOOKUP($A530,'[2]App C Exp'!$A$4:$I$917,9,FALSE)</f>
        <v>0</v>
      </c>
      <c r="P530" s="2"/>
      <c r="Q530" s="2">
        <f>VLOOKUP($A530,'[2]App C Inv'!$A$4:$I$917,5,FALSE)</f>
        <v>799722</v>
      </c>
      <c r="R530" s="2">
        <f>VLOOKUP($A530,'[2]App C Inv'!$A$4:$I$917,6,FALSE)</f>
        <v>-687910</v>
      </c>
      <c r="S530" s="2">
        <f>VLOOKUP($A530,'[2]App C Inv'!$A$4:$I$917,7,FALSE)</f>
        <v>96953</v>
      </c>
      <c r="T530" s="2">
        <f>VLOOKUP($A530,'[2]App C Inv'!$A$4:$I$917,8,FALSE)</f>
        <v>126183</v>
      </c>
      <c r="U530" s="2">
        <f>VLOOKUP($A530,'[2]App C Inv'!$A$4:$I$917,9,FALSE)</f>
        <v>0</v>
      </c>
      <c r="V530" s="2"/>
      <c r="W530" s="2">
        <f>VLOOKUP($A530,'[2]App C Assum'!$A$4:$I$917,5,FALSE)</f>
        <v>900898</v>
      </c>
      <c r="X530" s="2">
        <f>VLOOKUP($A530,'[2]App C Assum'!$A$4:$I$917,6,FALSE)</f>
        <v>738048</v>
      </c>
      <c r="Y530" s="2">
        <f>VLOOKUP($A530,'[2]App C Assum'!$A$4:$I$917,7,FALSE)</f>
        <v>599169</v>
      </c>
      <c r="Z530" s="2">
        <f>VLOOKUP($A530,'[2]App C Assum'!$A$4:$I$917,8,FALSE)</f>
        <v>0</v>
      </c>
      <c r="AA530" s="2">
        <f>VLOOKUP($A530,'[2]App C Assum'!$A$4:$I$917,9,FALSE)</f>
        <v>0</v>
      </c>
      <c r="AB530" s="2"/>
      <c r="AC530" s="2">
        <f>VLOOKUP($A530,'[2]App C Share Outflows'!$A$4:$I$917,5,FALSE)</f>
        <v>29039</v>
      </c>
      <c r="AD530" s="2">
        <f>VLOOKUP($A530,'[2]App C Share Outflows'!$A$4:$I$917,6,FALSE)</f>
        <v>29039</v>
      </c>
      <c r="AE530" s="2">
        <f>VLOOKUP($A530,'[2]App C Share Outflows'!$A$4:$I$917,7,FALSE)</f>
        <v>29039</v>
      </c>
      <c r="AF530" s="2">
        <f>VLOOKUP($A530,'[2]App C Share Outflows'!$A$4:$I$917,8,FALSE)</f>
        <v>29041</v>
      </c>
      <c r="AG530" s="2">
        <f>VLOOKUP($A530,'[2]App C Share Outflows'!$A$4:$I$917,9,FALSE)</f>
        <v>0</v>
      </c>
      <c r="AH530" s="2"/>
      <c r="AI530" s="2">
        <f>VLOOKUP($A530,'[2]App C Share Inflows'!$A$4:$I$917,5,FALSE)</f>
        <v>-46079</v>
      </c>
      <c r="AJ530" s="2">
        <f>VLOOKUP($A530,'[2]App C Share Inflows'!$A$4:$I$917,6,FALSE)</f>
        <v>-26916</v>
      </c>
      <c r="AK530" s="2">
        <f>VLOOKUP($A530,'[2]App C Share Inflows'!$A$4:$I$917,7,FALSE)</f>
        <v>-14331</v>
      </c>
      <c r="AL530" s="2">
        <f>VLOOKUP($A530,'[2]App C Share Inflows'!$A$4:$I$917,8,FALSE)</f>
        <v>0</v>
      </c>
      <c r="AM530" s="2">
        <f>VLOOKUP($A530,'[2]App C Share Inflows'!$A$4:$I$917,6,FALSE)</f>
        <v>-26916</v>
      </c>
    </row>
    <row r="531" spans="1:39">
      <c r="A531" s="351">
        <v>95504</v>
      </c>
      <c r="B531" s="344" t="s">
        <v>1226</v>
      </c>
      <c r="C531" s="235" t="e">
        <f>VLOOKUP(A531,#REF!,10,FALSE)</f>
        <v>#REF!</v>
      </c>
      <c r="E531" s="2">
        <f>VLOOKUP($A531,'[2]App C Total'!$A$4:$I$917,5,FALSE)</f>
        <v>12454</v>
      </c>
      <c r="F531" s="2">
        <f>VLOOKUP($A531,'[2]App C Total'!$A$4:$I$917,6,FALSE)</f>
        <v>7196</v>
      </c>
      <c r="G531" s="2">
        <f>VLOOKUP($A531,'[2]App C Total'!$A$4:$I$917,7,FALSE)</f>
        <v>7810</v>
      </c>
      <c r="H531" s="2">
        <f>VLOOKUP($A531,'[2]App C Total'!$A$4:$I$917,8,FALSE)</f>
        <v>3904</v>
      </c>
      <c r="I531" s="2">
        <f>VLOOKUP($A531,'[2]App C Total'!$A$4:$I$917,9,FALSE)</f>
        <v>0</v>
      </c>
      <c r="J531" s="2"/>
      <c r="K531" s="2">
        <f>VLOOKUP($A531,'[2]App C Exp'!$A$4:$I$917,5,FALSE)</f>
        <v>2232</v>
      </c>
      <c r="L531" s="2">
        <f>VLOOKUP($A531,'[2]App C Exp'!$A$4:$I$917,6,FALSE)</f>
        <v>2100</v>
      </c>
      <c r="M531" s="2">
        <f>VLOOKUP($A531,'[2]App C Exp'!$A$4:$I$917,7,FALSE)</f>
        <v>1882</v>
      </c>
      <c r="N531" s="2">
        <f>VLOOKUP($A531,'[2]App C Exp'!$A$4:$I$917,8,FALSE)</f>
        <v>754</v>
      </c>
      <c r="O531" s="2">
        <f>VLOOKUP($A531,'[2]App C Exp'!$A$4:$I$917,9,FALSE)</f>
        <v>0</v>
      </c>
      <c r="P531" s="2"/>
      <c r="Q531" s="2">
        <f>VLOOKUP($A531,'[2]App C Inv'!$A$4:$I$917,5,FALSE)</f>
        <v>2370</v>
      </c>
      <c r="R531" s="2">
        <f>VLOOKUP($A531,'[2]App C Inv'!$A$4:$I$917,6,FALSE)</f>
        <v>-2038</v>
      </c>
      <c r="S531" s="2">
        <f>VLOOKUP($A531,'[2]App C Inv'!$A$4:$I$917,7,FALSE)</f>
        <v>287</v>
      </c>
      <c r="T531" s="2">
        <f>VLOOKUP($A531,'[2]App C Inv'!$A$4:$I$917,8,FALSE)</f>
        <v>374</v>
      </c>
      <c r="U531" s="2">
        <f>VLOOKUP($A531,'[2]App C Inv'!$A$4:$I$917,9,FALSE)</f>
        <v>0</v>
      </c>
      <c r="V531" s="2"/>
      <c r="W531" s="2">
        <f>VLOOKUP($A531,'[2]App C Assum'!$A$4:$I$917,5,FALSE)</f>
        <v>2670</v>
      </c>
      <c r="X531" s="2">
        <f>VLOOKUP($A531,'[2]App C Assum'!$A$4:$I$917,6,FALSE)</f>
        <v>2187</v>
      </c>
      <c r="Y531" s="2">
        <f>VLOOKUP($A531,'[2]App C Assum'!$A$4:$I$917,7,FALSE)</f>
        <v>1775</v>
      </c>
      <c r="Z531" s="2">
        <f>VLOOKUP($A531,'[2]App C Assum'!$A$4:$I$917,8,FALSE)</f>
        <v>0</v>
      </c>
      <c r="AA531" s="2">
        <f>VLOOKUP($A531,'[2]App C Assum'!$A$4:$I$917,9,FALSE)</f>
        <v>0</v>
      </c>
      <c r="AB531" s="2"/>
      <c r="AC531" s="2">
        <f>VLOOKUP($A531,'[2]App C Share Outflows'!$A$4:$I$917,5,FALSE)</f>
        <v>5182</v>
      </c>
      <c r="AD531" s="2">
        <f>VLOOKUP($A531,'[2]App C Share Outflows'!$A$4:$I$917,6,FALSE)</f>
        <v>4947</v>
      </c>
      <c r="AE531" s="2">
        <f>VLOOKUP($A531,'[2]App C Share Outflows'!$A$4:$I$917,7,FALSE)</f>
        <v>3866</v>
      </c>
      <c r="AF531" s="2">
        <f>VLOOKUP($A531,'[2]App C Share Outflows'!$A$4:$I$917,8,FALSE)</f>
        <v>2776</v>
      </c>
      <c r="AG531" s="2">
        <f>VLOOKUP($A531,'[2]App C Share Outflows'!$A$4:$I$917,9,FALSE)</f>
        <v>0</v>
      </c>
      <c r="AH531" s="2"/>
      <c r="AI531" s="2">
        <f>VLOOKUP($A531,'[2]App C Share Inflows'!$A$4:$I$917,5,FALSE)</f>
        <v>0</v>
      </c>
      <c r="AJ531" s="2">
        <f>VLOOKUP($A531,'[2]App C Share Inflows'!$A$4:$I$917,6,FALSE)</f>
        <v>0</v>
      </c>
      <c r="AK531" s="2">
        <f>VLOOKUP($A531,'[2]App C Share Inflows'!$A$4:$I$917,7,FALSE)</f>
        <v>0</v>
      </c>
      <c r="AL531" s="2">
        <f>VLOOKUP($A531,'[2]App C Share Inflows'!$A$4:$I$917,8,FALSE)</f>
        <v>0</v>
      </c>
      <c r="AM531" s="2">
        <f>VLOOKUP($A531,'[2]App C Share Inflows'!$A$4:$I$917,6,FALSE)</f>
        <v>0</v>
      </c>
    </row>
    <row r="532" spans="1:39">
      <c r="A532" s="351">
        <v>95511</v>
      </c>
      <c r="B532" s="344" t="s">
        <v>1227</v>
      </c>
      <c r="C532" s="235" t="e">
        <f>VLOOKUP(A532,#REF!,10,FALSE)</f>
        <v>#REF!</v>
      </c>
      <c r="E532" s="2">
        <f>VLOOKUP($A532,'[2]App C Total'!$A$4:$I$917,5,FALSE)</f>
        <v>473130</v>
      </c>
      <c r="F532" s="2">
        <f>VLOOKUP($A532,'[2]App C Total'!$A$4:$I$917,6,FALSE)</f>
        <v>166568</v>
      </c>
      <c r="G532" s="2">
        <f>VLOOKUP($A532,'[2]App C Total'!$A$4:$I$917,7,FALSE)</f>
        <v>264909</v>
      </c>
      <c r="H532" s="2">
        <f>VLOOKUP($A532,'[2]App C Total'!$A$4:$I$917,8,FALSE)</f>
        <v>80689</v>
      </c>
      <c r="I532" s="2">
        <f>VLOOKUP($A532,'[2]App C Total'!$A$4:$I$917,9,FALSE)</f>
        <v>0</v>
      </c>
      <c r="J532" s="2"/>
      <c r="K532" s="2">
        <f>VLOOKUP($A532,'[2]App C Exp'!$A$4:$I$917,5,FALSE)</f>
        <v>142182</v>
      </c>
      <c r="L532" s="2">
        <f>VLOOKUP($A532,'[2]App C Exp'!$A$4:$I$917,6,FALSE)</f>
        <v>133747</v>
      </c>
      <c r="M532" s="2">
        <f>VLOOKUP($A532,'[2]App C Exp'!$A$4:$I$917,7,FALSE)</f>
        <v>119876</v>
      </c>
      <c r="N532" s="2">
        <f>VLOOKUP($A532,'[2]App C Exp'!$A$4:$I$917,8,FALSE)</f>
        <v>47997</v>
      </c>
      <c r="O532" s="2">
        <f>VLOOKUP($A532,'[2]App C Exp'!$A$4:$I$917,9,FALSE)</f>
        <v>0</v>
      </c>
      <c r="P532" s="2"/>
      <c r="Q532" s="2">
        <f>VLOOKUP($A532,'[2]App C Inv'!$A$4:$I$917,5,FALSE)</f>
        <v>150946</v>
      </c>
      <c r="R532" s="2">
        <f>VLOOKUP($A532,'[2]App C Inv'!$A$4:$I$917,6,FALSE)</f>
        <v>-129842</v>
      </c>
      <c r="S532" s="2">
        <f>VLOOKUP($A532,'[2]App C Inv'!$A$4:$I$917,7,FALSE)</f>
        <v>18300</v>
      </c>
      <c r="T532" s="2">
        <f>VLOOKUP($A532,'[2]App C Inv'!$A$4:$I$917,8,FALSE)</f>
        <v>23817</v>
      </c>
      <c r="U532" s="2">
        <f>VLOOKUP($A532,'[2]App C Inv'!$A$4:$I$917,9,FALSE)</f>
        <v>0</v>
      </c>
      <c r="V532" s="2"/>
      <c r="W532" s="2">
        <f>VLOOKUP($A532,'[2]App C Assum'!$A$4:$I$917,5,FALSE)</f>
        <v>170043</v>
      </c>
      <c r="X532" s="2">
        <f>VLOOKUP($A532,'[2]App C Assum'!$A$4:$I$917,6,FALSE)</f>
        <v>139305</v>
      </c>
      <c r="Y532" s="2">
        <f>VLOOKUP($A532,'[2]App C Assum'!$A$4:$I$917,7,FALSE)</f>
        <v>113092</v>
      </c>
      <c r="Z532" s="2">
        <f>VLOOKUP($A532,'[2]App C Assum'!$A$4:$I$917,8,FALSE)</f>
        <v>0</v>
      </c>
      <c r="AA532" s="2">
        <f>VLOOKUP($A532,'[2]App C Assum'!$A$4:$I$917,9,FALSE)</f>
        <v>0</v>
      </c>
      <c r="AB532" s="2"/>
      <c r="AC532" s="2">
        <f>VLOOKUP($A532,'[2]App C Share Outflows'!$A$4:$I$917,5,FALSE)</f>
        <v>23356</v>
      </c>
      <c r="AD532" s="2">
        <f>VLOOKUP($A532,'[2]App C Share Outflows'!$A$4:$I$917,6,FALSE)</f>
        <v>23358</v>
      </c>
      <c r="AE532" s="2">
        <f>VLOOKUP($A532,'[2]App C Share Outflows'!$A$4:$I$917,7,FALSE)</f>
        <v>13641</v>
      </c>
      <c r="AF532" s="2">
        <f>VLOOKUP($A532,'[2]App C Share Outflows'!$A$4:$I$917,8,FALSE)</f>
        <v>8875</v>
      </c>
      <c r="AG532" s="2">
        <f>VLOOKUP($A532,'[2]App C Share Outflows'!$A$4:$I$917,9,FALSE)</f>
        <v>0</v>
      </c>
      <c r="AH532" s="2"/>
      <c r="AI532" s="2">
        <f>VLOOKUP($A532,'[2]App C Share Inflows'!$A$4:$I$917,5,FALSE)</f>
        <v>-13397</v>
      </c>
      <c r="AJ532" s="2">
        <f>VLOOKUP($A532,'[2]App C Share Inflows'!$A$4:$I$917,6,FALSE)</f>
        <v>0</v>
      </c>
      <c r="AK532" s="2">
        <f>VLOOKUP($A532,'[2]App C Share Inflows'!$A$4:$I$917,7,FALSE)</f>
        <v>0</v>
      </c>
      <c r="AL532" s="2">
        <f>VLOOKUP($A532,'[2]App C Share Inflows'!$A$4:$I$917,8,FALSE)</f>
        <v>0</v>
      </c>
      <c r="AM532" s="2">
        <f>VLOOKUP($A532,'[2]App C Share Inflows'!$A$4:$I$917,6,FALSE)</f>
        <v>0</v>
      </c>
    </row>
    <row r="533" spans="1:39">
      <c r="A533" s="351">
        <v>95513</v>
      </c>
      <c r="B533" s="344" t="s">
        <v>1228</v>
      </c>
      <c r="C533" s="235" t="e">
        <f>VLOOKUP(A533,#REF!,10,FALSE)</f>
        <v>#REF!</v>
      </c>
      <c r="E533" s="2">
        <f>VLOOKUP($A533,'[2]App C Total'!$A$4:$I$917,5,FALSE)</f>
        <v>27252</v>
      </c>
      <c r="F533" s="2">
        <f>VLOOKUP($A533,'[2]App C Total'!$A$4:$I$917,6,FALSE)</f>
        <v>12057</v>
      </c>
      <c r="G533" s="2">
        <f>VLOOKUP($A533,'[2]App C Total'!$A$4:$I$917,7,FALSE)</f>
        <v>14305</v>
      </c>
      <c r="H533" s="2">
        <f>VLOOKUP($A533,'[2]App C Total'!$A$4:$I$917,8,FALSE)</f>
        <v>4600</v>
      </c>
      <c r="I533" s="2">
        <f>VLOOKUP($A533,'[2]App C Total'!$A$4:$I$917,9,FALSE)</f>
        <v>0</v>
      </c>
      <c r="J533" s="2"/>
      <c r="K533" s="2">
        <f>VLOOKUP($A533,'[2]App C Exp'!$A$4:$I$917,5,FALSE)</f>
        <v>5947</v>
      </c>
      <c r="L533" s="2">
        <f>VLOOKUP($A533,'[2]App C Exp'!$A$4:$I$917,6,FALSE)</f>
        <v>5595</v>
      </c>
      <c r="M533" s="2">
        <f>VLOOKUP($A533,'[2]App C Exp'!$A$4:$I$917,7,FALSE)</f>
        <v>5014</v>
      </c>
      <c r="N533" s="2">
        <f>VLOOKUP($A533,'[2]App C Exp'!$A$4:$I$917,8,FALSE)</f>
        <v>2008</v>
      </c>
      <c r="O533" s="2">
        <f>VLOOKUP($A533,'[2]App C Exp'!$A$4:$I$917,9,FALSE)</f>
        <v>0</v>
      </c>
      <c r="P533" s="2"/>
      <c r="Q533" s="2">
        <f>VLOOKUP($A533,'[2]App C Inv'!$A$4:$I$917,5,FALSE)</f>
        <v>6314</v>
      </c>
      <c r="R533" s="2">
        <f>VLOOKUP($A533,'[2]App C Inv'!$A$4:$I$917,6,FALSE)</f>
        <v>-5431</v>
      </c>
      <c r="S533" s="2">
        <f>VLOOKUP($A533,'[2]App C Inv'!$A$4:$I$917,7,FALSE)</f>
        <v>765</v>
      </c>
      <c r="T533" s="2">
        <f>VLOOKUP($A533,'[2]App C Inv'!$A$4:$I$917,8,FALSE)</f>
        <v>996</v>
      </c>
      <c r="U533" s="2">
        <f>VLOOKUP($A533,'[2]App C Inv'!$A$4:$I$917,9,FALSE)</f>
        <v>0</v>
      </c>
      <c r="V533" s="2"/>
      <c r="W533" s="2">
        <f>VLOOKUP($A533,'[2]App C Assum'!$A$4:$I$917,5,FALSE)</f>
        <v>7113</v>
      </c>
      <c r="X533" s="2">
        <f>VLOOKUP($A533,'[2]App C Assum'!$A$4:$I$917,6,FALSE)</f>
        <v>5827</v>
      </c>
      <c r="Y533" s="2">
        <f>VLOOKUP($A533,'[2]App C Assum'!$A$4:$I$917,7,FALSE)</f>
        <v>4731</v>
      </c>
      <c r="Z533" s="2">
        <f>VLOOKUP($A533,'[2]App C Assum'!$A$4:$I$917,8,FALSE)</f>
        <v>0</v>
      </c>
      <c r="AA533" s="2">
        <f>VLOOKUP($A533,'[2]App C Assum'!$A$4:$I$917,9,FALSE)</f>
        <v>0</v>
      </c>
      <c r="AB533" s="2"/>
      <c r="AC533" s="2">
        <f>VLOOKUP($A533,'[2]App C Share Outflows'!$A$4:$I$917,5,FALSE)</f>
        <v>7878</v>
      </c>
      <c r="AD533" s="2">
        <f>VLOOKUP($A533,'[2]App C Share Outflows'!$A$4:$I$917,6,FALSE)</f>
        <v>6066</v>
      </c>
      <c r="AE533" s="2">
        <f>VLOOKUP($A533,'[2]App C Share Outflows'!$A$4:$I$917,7,FALSE)</f>
        <v>3795</v>
      </c>
      <c r="AF533" s="2">
        <f>VLOOKUP($A533,'[2]App C Share Outflows'!$A$4:$I$917,8,FALSE)</f>
        <v>1596</v>
      </c>
      <c r="AG533" s="2">
        <f>VLOOKUP($A533,'[2]App C Share Outflows'!$A$4:$I$917,9,FALSE)</f>
        <v>0</v>
      </c>
      <c r="AH533" s="2"/>
      <c r="AI533" s="2">
        <f>VLOOKUP($A533,'[2]App C Share Inflows'!$A$4:$I$917,5,FALSE)</f>
        <v>0</v>
      </c>
      <c r="AJ533" s="2">
        <f>VLOOKUP($A533,'[2]App C Share Inflows'!$A$4:$I$917,6,FALSE)</f>
        <v>0</v>
      </c>
      <c r="AK533" s="2">
        <f>VLOOKUP($A533,'[2]App C Share Inflows'!$A$4:$I$917,7,FALSE)</f>
        <v>0</v>
      </c>
      <c r="AL533" s="2">
        <f>VLOOKUP($A533,'[2]App C Share Inflows'!$A$4:$I$917,8,FALSE)</f>
        <v>0</v>
      </c>
      <c r="AM533" s="2">
        <f>VLOOKUP($A533,'[2]App C Share Inflows'!$A$4:$I$917,6,FALSE)</f>
        <v>0</v>
      </c>
    </row>
    <row r="534" spans="1:39">
      <c r="A534" s="351">
        <v>95517</v>
      </c>
      <c r="B534" s="344" t="s">
        <v>1229</v>
      </c>
      <c r="C534" s="235" t="e">
        <f>VLOOKUP(A534,#REF!,10,FALSE)</f>
        <v>#REF!</v>
      </c>
      <c r="E534" s="2">
        <f>VLOOKUP($A534,'[2]App C Total'!$A$4:$I$917,5,FALSE)</f>
        <v>12302</v>
      </c>
      <c r="F534" s="2">
        <f>VLOOKUP($A534,'[2]App C Total'!$A$4:$I$917,6,FALSE)</f>
        <v>4347</v>
      </c>
      <c r="G534" s="2">
        <f>VLOOKUP($A534,'[2]App C Total'!$A$4:$I$917,7,FALSE)</f>
        <v>4229</v>
      </c>
      <c r="H534" s="2">
        <f>VLOOKUP($A534,'[2]App C Total'!$A$4:$I$917,8,FALSE)</f>
        <v>1388</v>
      </c>
      <c r="I534" s="2">
        <f>VLOOKUP($A534,'[2]App C Total'!$A$4:$I$917,9,FALSE)</f>
        <v>0</v>
      </c>
      <c r="J534" s="2"/>
      <c r="K534" s="2">
        <f>VLOOKUP($A534,'[2]App C Exp'!$A$4:$I$917,5,FALSE)</f>
        <v>2756</v>
      </c>
      <c r="L534" s="2">
        <f>VLOOKUP($A534,'[2]App C Exp'!$A$4:$I$917,6,FALSE)</f>
        <v>2593</v>
      </c>
      <c r="M534" s="2">
        <f>VLOOKUP($A534,'[2]App C Exp'!$A$4:$I$917,7,FALSE)</f>
        <v>2324</v>
      </c>
      <c r="N534" s="2">
        <f>VLOOKUP($A534,'[2]App C Exp'!$A$4:$I$917,8,FALSE)</f>
        <v>931</v>
      </c>
      <c r="O534" s="2">
        <f>VLOOKUP($A534,'[2]App C Exp'!$A$4:$I$917,9,FALSE)</f>
        <v>0</v>
      </c>
      <c r="P534" s="2"/>
      <c r="Q534" s="2">
        <f>VLOOKUP($A534,'[2]App C Inv'!$A$4:$I$917,5,FALSE)</f>
        <v>2926</v>
      </c>
      <c r="R534" s="2">
        <f>VLOOKUP($A534,'[2]App C Inv'!$A$4:$I$917,6,FALSE)</f>
        <v>-2517</v>
      </c>
      <c r="S534" s="2">
        <f>VLOOKUP($A534,'[2]App C Inv'!$A$4:$I$917,7,FALSE)</f>
        <v>355</v>
      </c>
      <c r="T534" s="2">
        <f>VLOOKUP($A534,'[2]App C Inv'!$A$4:$I$917,8,FALSE)</f>
        <v>462</v>
      </c>
      <c r="U534" s="2">
        <f>VLOOKUP($A534,'[2]App C Inv'!$A$4:$I$917,9,FALSE)</f>
        <v>0</v>
      </c>
      <c r="V534" s="2"/>
      <c r="W534" s="2">
        <f>VLOOKUP($A534,'[2]App C Assum'!$A$4:$I$917,5,FALSE)</f>
        <v>3297</v>
      </c>
      <c r="X534" s="2">
        <f>VLOOKUP($A534,'[2]App C Assum'!$A$4:$I$917,6,FALSE)</f>
        <v>2701</v>
      </c>
      <c r="Y534" s="2">
        <f>VLOOKUP($A534,'[2]App C Assum'!$A$4:$I$917,7,FALSE)</f>
        <v>2192</v>
      </c>
      <c r="Z534" s="2">
        <f>VLOOKUP($A534,'[2]App C Assum'!$A$4:$I$917,8,FALSE)</f>
        <v>0</v>
      </c>
      <c r="AA534" s="2">
        <f>VLOOKUP($A534,'[2]App C Assum'!$A$4:$I$917,9,FALSE)</f>
        <v>0</v>
      </c>
      <c r="AB534" s="2"/>
      <c r="AC534" s="2">
        <f>VLOOKUP($A534,'[2]App C Share Outflows'!$A$4:$I$917,5,FALSE)</f>
        <v>3965</v>
      </c>
      <c r="AD534" s="2">
        <f>VLOOKUP($A534,'[2]App C Share Outflows'!$A$4:$I$917,6,FALSE)</f>
        <v>2212</v>
      </c>
      <c r="AE534" s="2">
        <f>VLOOKUP($A534,'[2]App C Share Outflows'!$A$4:$I$917,7,FALSE)</f>
        <v>0</v>
      </c>
      <c r="AF534" s="2">
        <f>VLOOKUP($A534,'[2]App C Share Outflows'!$A$4:$I$917,8,FALSE)</f>
        <v>0</v>
      </c>
      <c r="AG534" s="2">
        <f>VLOOKUP($A534,'[2]App C Share Outflows'!$A$4:$I$917,9,FALSE)</f>
        <v>0</v>
      </c>
      <c r="AH534" s="2"/>
      <c r="AI534" s="2">
        <f>VLOOKUP($A534,'[2]App C Share Inflows'!$A$4:$I$917,5,FALSE)</f>
        <v>-642</v>
      </c>
      <c r="AJ534" s="2">
        <f>VLOOKUP($A534,'[2]App C Share Inflows'!$A$4:$I$917,6,FALSE)</f>
        <v>-642</v>
      </c>
      <c r="AK534" s="2">
        <f>VLOOKUP($A534,'[2]App C Share Inflows'!$A$4:$I$917,7,FALSE)</f>
        <v>-642</v>
      </c>
      <c r="AL534" s="2">
        <f>VLOOKUP($A534,'[2]App C Share Inflows'!$A$4:$I$917,8,FALSE)</f>
        <v>-5</v>
      </c>
      <c r="AM534" s="2">
        <f>VLOOKUP($A534,'[2]App C Share Inflows'!$A$4:$I$917,6,FALSE)</f>
        <v>-642</v>
      </c>
    </row>
    <row r="535" spans="1:39">
      <c r="A535" s="351">
        <v>95601</v>
      </c>
      <c r="B535" s="344" t="s">
        <v>1230</v>
      </c>
      <c r="C535" s="235" t="e">
        <f>VLOOKUP(A535,#REF!,10,FALSE)</f>
        <v>#REF!</v>
      </c>
      <c r="E535" s="2">
        <f>VLOOKUP($A535,'[2]App C Total'!$A$4:$I$917,5,FALSE)</f>
        <v>1157017</v>
      </c>
      <c r="F535" s="2">
        <f>VLOOKUP($A535,'[2]App C Total'!$A$4:$I$917,6,FALSE)</f>
        <v>322260</v>
      </c>
      <c r="G535" s="2">
        <f>VLOOKUP($A535,'[2]App C Total'!$A$4:$I$917,7,FALSE)</f>
        <v>605514</v>
      </c>
      <c r="H535" s="2">
        <f>VLOOKUP($A535,'[2]App C Total'!$A$4:$I$917,8,FALSE)</f>
        <v>147864</v>
      </c>
      <c r="I535" s="2">
        <f>VLOOKUP($A535,'[2]App C Total'!$A$4:$I$917,9,FALSE)</f>
        <v>0</v>
      </c>
      <c r="J535" s="2"/>
      <c r="K535" s="2">
        <f>VLOOKUP($A535,'[2]App C Exp'!$A$4:$I$917,5,FALSE)</f>
        <v>366428</v>
      </c>
      <c r="L535" s="2">
        <f>VLOOKUP($A535,'[2]App C Exp'!$A$4:$I$917,6,FALSE)</f>
        <v>344690</v>
      </c>
      <c r="M535" s="2">
        <f>VLOOKUP($A535,'[2]App C Exp'!$A$4:$I$917,7,FALSE)</f>
        <v>308942</v>
      </c>
      <c r="N535" s="2">
        <f>VLOOKUP($A535,'[2]App C Exp'!$A$4:$I$917,8,FALSE)</f>
        <v>123697</v>
      </c>
      <c r="O535" s="2">
        <f>VLOOKUP($A535,'[2]App C Exp'!$A$4:$I$917,9,FALSE)</f>
        <v>0</v>
      </c>
      <c r="P535" s="2"/>
      <c r="Q535" s="2">
        <f>VLOOKUP($A535,'[2]App C Inv'!$A$4:$I$917,5,FALSE)</f>
        <v>389014</v>
      </c>
      <c r="R535" s="2">
        <f>VLOOKUP($A535,'[2]App C Inv'!$A$4:$I$917,6,FALSE)</f>
        <v>-334625</v>
      </c>
      <c r="S535" s="2">
        <f>VLOOKUP($A535,'[2]App C Inv'!$A$4:$I$917,7,FALSE)</f>
        <v>47161</v>
      </c>
      <c r="T535" s="2">
        <f>VLOOKUP($A535,'[2]App C Inv'!$A$4:$I$917,8,FALSE)</f>
        <v>61380</v>
      </c>
      <c r="U535" s="2">
        <f>VLOOKUP($A535,'[2]App C Inv'!$A$4:$I$917,9,FALSE)</f>
        <v>0</v>
      </c>
      <c r="V535" s="2"/>
      <c r="W535" s="2">
        <f>VLOOKUP($A535,'[2]App C Assum'!$A$4:$I$917,5,FALSE)</f>
        <v>438230</v>
      </c>
      <c r="X535" s="2">
        <f>VLOOKUP($A535,'[2]App C Assum'!$A$4:$I$917,6,FALSE)</f>
        <v>359014</v>
      </c>
      <c r="Y535" s="2">
        <f>VLOOKUP($A535,'[2]App C Assum'!$A$4:$I$917,7,FALSE)</f>
        <v>291458</v>
      </c>
      <c r="Z535" s="2">
        <f>VLOOKUP($A535,'[2]App C Assum'!$A$4:$I$917,8,FALSE)</f>
        <v>0</v>
      </c>
      <c r="AA535" s="2">
        <f>VLOOKUP($A535,'[2]App C Assum'!$A$4:$I$917,9,FALSE)</f>
        <v>0</v>
      </c>
      <c r="AB535" s="2"/>
      <c r="AC535" s="2">
        <f>VLOOKUP($A535,'[2]App C Share Outflows'!$A$4:$I$917,5,FALSE)</f>
        <v>10163</v>
      </c>
      <c r="AD535" s="2">
        <f>VLOOKUP($A535,'[2]App C Share Outflows'!$A$4:$I$917,6,FALSE)</f>
        <v>0</v>
      </c>
      <c r="AE535" s="2">
        <f>VLOOKUP($A535,'[2]App C Share Outflows'!$A$4:$I$917,7,FALSE)</f>
        <v>0</v>
      </c>
      <c r="AF535" s="2">
        <f>VLOOKUP($A535,'[2]App C Share Outflows'!$A$4:$I$917,8,FALSE)</f>
        <v>0</v>
      </c>
      <c r="AG535" s="2">
        <f>VLOOKUP($A535,'[2]App C Share Outflows'!$A$4:$I$917,9,FALSE)</f>
        <v>0</v>
      </c>
      <c r="AH535" s="2"/>
      <c r="AI535" s="2">
        <f>VLOOKUP($A535,'[2]App C Share Inflows'!$A$4:$I$917,5,FALSE)</f>
        <v>-46818</v>
      </c>
      <c r="AJ535" s="2">
        <f>VLOOKUP($A535,'[2]App C Share Inflows'!$A$4:$I$917,6,FALSE)</f>
        <v>-46819</v>
      </c>
      <c r="AK535" s="2">
        <f>VLOOKUP($A535,'[2]App C Share Inflows'!$A$4:$I$917,7,FALSE)</f>
        <v>-42047</v>
      </c>
      <c r="AL535" s="2">
        <f>VLOOKUP($A535,'[2]App C Share Inflows'!$A$4:$I$917,8,FALSE)</f>
        <v>-37213</v>
      </c>
      <c r="AM535" s="2">
        <f>VLOOKUP($A535,'[2]App C Share Inflows'!$A$4:$I$917,6,FALSE)</f>
        <v>-46819</v>
      </c>
    </row>
    <row r="536" spans="1:39">
      <c r="A536" s="351">
        <v>95611</v>
      </c>
      <c r="B536" s="344" t="s">
        <v>1231</v>
      </c>
      <c r="C536" s="235" t="e">
        <f>VLOOKUP(A536,#REF!,10,FALSE)</f>
        <v>#REF!</v>
      </c>
      <c r="E536" s="2">
        <f>VLOOKUP($A536,'[2]App C Total'!$A$4:$I$917,5,FALSE)</f>
        <v>186875</v>
      </c>
      <c r="F536" s="2">
        <f>VLOOKUP($A536,'[2]App C Total'!$A$4:$I$917,6,FALSE)</f>
        <v>59163</v>
      </c>
      <c r="G536" s="2">
        <f>VLOOKUP($A536,'[2]App C Total'!$A$4:$I$917,7,FALSE)</f>
        <v>100481</v>
      </c>
      <c r="H536" s="2">
        <f>VLOOKUP($A536,'[2]App C Total'!$A$4:$I$917,8,FALSE)</f>
        <v>29502</v>
      </c>
      <c r="I536" s="2">
        <f>VLOOKUP($A536,'[2]App C Total'!$A$4:$I$917,9,FALSE)</f>
        <v>0</v>
      </c>
      <c r="J536" s="2"/>
      <c r="K536" s="2">
        <f>VLOOKUP($A536,'[2]App C Exp'!$A$4:$I$917,5,FALSE)</f>
        <v>56762</v>
      </c>
      <c r="L536" s="2">
        <f>VLOOKUP($A536,'[2]App C Exp'!$A$4:$I$917,6,FALSE)</f>
        <v>53395</v>
      </c>
      <c r="M536" s="2">
        <f>VLOOKUP($A536,'[2]App C Exp'!$A$4:$I$917,7,FALSE)</f>
        <v>47857</v>
      </c>
      <c r="N536" s="2">
        <f>VLOOKUP($A536,'[2]App C Exp'!$A$4:$I$917,8,FALSE)</f>
        <v>19161</v>
      </c>
      <c r="O536" s="2">
        <f>VLOOKUP($A536,'[2]App C Exp'!$A$4:$I$917,9,FALSE)</f>
        <v>0</v>
      </c>
      <c r="P536" s="2"/>
      <c r="Q536" s="2">
        <f>VLOOKUP($A536,'[2]App C Inv'!$A$4:$I$917,5,FALSE)</f>
        <v>60261</v>
      </c>
      <c r="R536" s="2">
        <f>VLOOKUP($A536,'[2]App C Inv'!$A$4:$I$917,6,FALSE)</f>
        <v>-51835</v>
      </c>
      <c r="S536" s="2">
        <f>VLOOKUP($A536,'[2]App C Inv'!$A$4:$I$917,7,FALSE)</f>
        <v>7306</v>
      </c>
      <c r="T536" s="2">
        <f>VLOOKUP($A536,'[2]App C Inv'!$A$4:$I$917,8,FALSE)</f>
        <v>9508</v>
      </c>
      <c r="U536" s="2">
        <f>VLOOKUP($A536,'[2]App C Inv'!$A$4:$I$917,9,FALSE)</f>
        <v>0</v>
      </c>
      <c r="V536" s="2"/>
      <c r="W536" s="2">
        <f>VLOOKUP($A536,'[2]App C Assum'!$A$4:$I$917,5,FALSE)</f>
        <v>67884</v>
      </c>
      <c r="X536" s="2">
        <f>VLOOKUP($A536,'[2]App C Assum'!$A$4:$I$917,6,FALSE)</f>
        <v>55613</v>
      </c>
      <c r="Y536" s="2">
        <f>VLOOKUP($A536,'[2]App C Assum'!$A$4:$I$917,7,FALSE)</f>
        <v>45149</v>
      </c>
      <c r="Z536" s="2">
        <f>VLOOKUP($A536,'[2]App C Assum'!$A$4:$I$917,8,FALSE)</f>
        <v>0</v>
      </c>
      <c r="AA536" s="2">
        <f>VLOOKUP($A536,'[2]App C Assum'!$A$4:$I$917,9,FALSE)</f>
        <v>0</v>
      </c>
      <c r="AB536" s="2"/>
      <c r="AC536" s="2">
        <f>VLOOKUP($A536,'[2]App C Share Outflows'!$A$4:$I$917,5,FALSE)</f>
        <v>2656</v>
      </c>
      <c r="AD536" s="2">
        <f>VLOOKUP($A536,'[2]App C Share Outflows'!$A$4:$I$917,6,FALSE)</f>
        <v>2658</v>
      </c>
      <c r="AE536" s="2">
        <f>VLOOKUP($A536,'[2]App C Share Outflows'!$A$4:$I$917,7,FALSE)</f>
        <v>835</v>
      </c>
      <c r="AF536" s="2">
        <f>VLOOKUP($A536,'[2]App C Share Outflows'!$A$4:$I$917,8,FALSE)</f>
        <v>833</v>
      </c>
      <c r="AG536" s="2">
        <f>VLOOKUP($A536,'[2]App C Share Outflows'!$A$4:$I$917,9,FALSE)</f>
        <v>0</v>
      </c>
      <c r="AH536" s="2"/>
      <c r="AI536" s="2">
        <f>VLOOKUP($A536,'[2]App C Share Inflows'!$A$4:$I$917,5,FALSE)</f>
        <v>-688</v>
      </c>
      <c r="AJ536" s="2">
        <f>VLOOKUP($A536,'[2]App C Share Inflows'!$A$4:$I$917,6,FALSE)</f>
        <v>-668</v>
      </c>
      <c r="AK536" s="2">
        <f>VLOOKUP($A536,'[2]App C Share Inflows'!$A$4:$I$917,7,FALSE)</f>
        <v>-666</v>
      </c>
      <c r="AL536" s="2">
        <f>VLOOKUP($A536,'[2]App C Share Inflows'!$A$4:$I$917,8,FALSE)</f>
        <v>0</v>
      </c>
      <c r="AM536" s="2">
        <f>VLOOKUP($A536,'[2]App C Share Inflows'!$A$4:$I$917,6,FALSE)</f>
        <v>-668</v>
      </c>
    </row>
    <row r="537" spans="1:39">
      <c r="A537" s="351">
        <v>95617</v>
      </c>
      <c r="B537" s="344" t="s">
        <v>1232</v>
      </c>
      <c r="C537" s="235" t="e">
        <f>VLOOKUP(A537,#REF!,10,FALSE)</f>
        <v>#REF!</v>
      </c>
      <c r="E537" s="2">
        <f>VLOOKUP($A537,'[2]App C Total'!$A$4:$I$917,5,FALSE)</f>
        <v>7658</v>
      </c>
      <c r="F537" s="2">
        <f>VLOOKUP($A537,'[2]App C Total'!$A$4:$I$917,6,FALSE)</f>
        <v>2559</v>
      </c>
      <c r="G537" s="2">
        <f>VLOOKUP($A537,'[2]App C Total'!$A$4:$I$917,7,FALSE)</f>
        <v>4140</v>
      </c>
      <c r="H537" s="2">
        <f>VLOOKUP($A537,'[2]App C Total'!$A$4:$I$917,8,FALSE)</f>
        <v>1222</v>
      </c>
      <c r="I537" s="2">
        <f>VLOOKUP($A537,'[2]App C Total'!$A$4:$I$917,9,FALSE)</f>
        <v>0</v>
      </c>
      <c r="J537" s="2"/>
      <c r="K537" s="2">
        <f>VLOOKUP($A537,'[2]App C Exp'!$A$4:$I$917,5,FALSE)</f>
        <v>2232</v>
      </c>
      <c r="L537" s="2">
        <f>VLOOKUP($A537,'[2]App C Exp'!$A$4:$I$917,6,FALSE)</f>
        <v>2100</v>
      </c>
      <c r="M537" s="2">
        <f>VLOOKUP($A537,'[2]App C Exp'!$A$4:$I$917,7,FALSE)</f>
        <v>1882</v>
      </c>
      <c r="N537" s="2">
        <f>VLOOKUP($A537,'[2]App C Exp'!$A$4:$I$917,8,FALSE)</f>
        <v>754</v>
      </c>
      <c r="O537" s="2">
        <f>VLOOKUP($A537,'[2]App C Exp'!$A$4:$I$917,9,FALSE)</f>
        <v>0</v>
      </c>
      <c r="P537" s="2"/>
      <c r="Q537" s="2">
        <f>VLOOKUP($A537,'[2]App C Inv'!$A$4:$I$917,5,FALSE)</f>
        <v>2370</v>
      </c>
      <c r="R537" s="2">
        <f>VLOOKUP($A537,'[2]App C Inv'!$A$4:$I$917,6,FALSE)</f>
        <v>-2038</v>
      </c>
      <c r="S537" s="2">
        <f>VLOOKUP($A537,'[2]App C Inv'!$A$4:$I$917,7,FALSE)</f>
        <v>287</v>
      </c>
      <c r="T537" s="2">
        <f>VLOOKUP($A537,'[2]App C Inv'!$A$4:$I$917,8,FALSE)</f>
        <v>374</v>
      </c>
      <c r="U537" s="2">
        <f>VLOOKUP($A537,'[2]App C Inv'!$A$4:$I$917,9,FALSE)</f>
        <v>0</v>
      </c>
      <c r="V537" s="2"/>
      <c r="W537" s="2">
        <f>VLOOKUP($A537,'[2]App C Assum'!$A$4:$I$917,5,FALSE)</f>
        <v>2670</v>
      </c>
      <c r="X537" s="2">
        <f>VLOOKUP($A537,'[2]App C Assum'!$A$4:$I$917,6,FALSE)</f>
        <v>2187</v>
      </c>
      <c r="Y537" s="2">
        <f>VLOOKUP($A537,'[2]App C Assum'!$A$4:$I$917,7,FALSE)</f>
        <v>1775</v>
      </c>
      <c r="Z537" s="2">
        <f>VLOOKUP($A537,'[2]App C Assum'!$A$4:$I$917,8,FALSE)</f>
        <v>0</v>
      </c>
      <c r="AA537" s="2">
        <f>VLOOKUP($A537,'[2]App C Assum'!$A$4:$I$917,9,FALSE)</f>
        <v>0</v>
      </c>
      <c r="AB537" s="2"/>
      <c r="AC537" s="2">
        <f>VLOOKUP($A537,'[2]App C Share Outflows'!$A$4:$I$917,5,FALSE)</f>
        <v>386</v>
      </c>
      <c r="AD537" s="2">
        <f>VLOOKUP($A537,'[2]App C Share Outflows'!$A$4:$I$917,6,FALSE)</f>
        <v>310</v>
      </c>
      <c r="AE537" s="2">
        <f>VLOOKUP($A537,'[2]App C Share Outflows'!$A$4:$I$917,7,FALSE)</f>
        <v>196</v>
      </c>
      <c r="AF537" s="2">
        <f>VLOOKUP($A537,'[2]App C Share Outflows'!$A$4:$I$917,8,FALSE)</f>
        <v>94</v>
      </c>
      <c r="AG537" s="2">
        <f>VLOOKUP($A537,'[2]App C Share Outflows'!$A$4:$I$917,9,FALSE)</f>
        <v>0</v>
      </c>
      <c r="AH537" s="2"/>
      <c r="AI537" s="2">
        <f>VLOOKUP($A537,'[2]App C Share Inflows'!$A$4:$I$917,5,FALSE)</f>
        <v>0</v>
      </c>
      <c r="AJ537" s="2">
        <f>VLOOKUP($A537,'[2]App C Share Inflows'!$A$4:$I$917,6,FALSE)</f>
        <v>0</v>
      </c>
      <c r="AK537" s="2">
        <f>VLOOKUP($A537,'[2]App C Share Inflows'!$A$4:$I$917,7,FALSE)</f>
        <v>0</v>
      </c>
      <c r="AL537" s="2">
        <f>VLOOKUP($A537,'[2]App C Share Inflows'!$A$4:$I$917,8,FALSE)</f>
        <v>0</v>
      </c>
      <c r="AM537" s="2">
        <f>VLOOKUP($A537,'[2]App C Share Inflows'!$A$4:$I$917,6,FALSE)</f>
        <v>0</v>
      </c>
    </row>
    <row r="538" spans="1:39">
      <c r="A538" s="351">
        <v>95621</v>
      </c>
      <c r="B538" s="344" t="s">
        <v>1233</v>
      </c>
      <c r="C538" s="235" t="e">
        <f>VLOOKUP(A538,#REF!,10,FALSE)</f>
        <v>#REF!</v>
      </c>
      <c r="E538" s="2">
        <f>VLOOKUP($A538,'[2]App C Total'!$A$4:$I$917,5,FALSE)</f>
        <v>227756</v>
      </c>
      <c r="F538" s="2">
        <f>VLOOKUP($A538,'[2]App C Total'!$A$4:$I$917,6,FALSE)</f>
        <v>73623</v>
      </c>
      <c r="G538" s="2">
        <f>VLOOKUP($A538,'[2]App C Total'!$A$4:$I$917,7,FALSE)</f>
        <v>126250</v>
      </c>
      <c r="H538" s="2">
        <f>VLOOKUP($A538,'[2]App C Total'!$A$4:$I$917,8,FALSE)</f>
        <v>29154</v>
      </c>
      <c r="I538" s="2">
        <f>VLOOKUP($A538,'[2]App C Total'!$A$4:$I$917,9,FALSE)</f>
        <v>0</v>
      </c>
      <c r="J538" s="2"/>
      <c r="K538" s="2">
        <f>VLOOKUP($A538,'[2]App C Exp'!$A$4:$I$917,5,FALSE)</f>
        <v>68537</v>
      </c>
      <c r="L538" s="2">
        <f>VLOOKUP($A538,'[2]App C Exp'!$A$4:$I$917,6,FALSE)</f>
        <v>64471</v>
      </c>
      <c r="M538" s="2">
        <f>VLOOKUP($A538,'[2]App C Exp'!$A$4:$I$917,7,FALSE)</f>
        <v>57785</v>
      </c>
      <c r="N538" s="2">
        <f>VLOOKUP($A538,'[2]App C Exp'!$A$4:$I$917,8,FALSE)</f>
        <v>23136</v>
      </c>
      <c r="O538" s="2">
        <f>VLOOKUP($A538,'[2]App C Exp'!$A$4:$I$917,9,FALSE)</f>
        <v>0</v>
      </c>
      <c r="P538" s="2"/>
      <c r="Q538" s="2">
        <f>VLOOKUP($A538,'[2]App C Inv'!$A$4:$I$917,5,FALSE)</f>
        <v>72761</v>
      </c>
      <c r="R538" s="2">
        <f>VLOOKUP($A538,'[2]App C Inv'!$A$4:$I$917,6,FALSE)</f>
        <v>-62588</v>
      </c>
      <c r="S538" s="2">
        <f>VLOOKUP($A538,'[2]App C Inv'!$A$4:$I$917,7,FALSE)</f>
        <v>8821</v>
      </c>
      <c r="T538" s="2">
        <f>VLOOKUP($A538,'[2]App C Inv'!$A$4:$I$917,8,FALSE)</f>
        <v>11481</v>
      </c>
      <c r="U538" s="2">
        <f>VLOOKUP($A538,'[2]App C Inv'!$A$4:$I$917,9,FALSE)</f>
        <v>0</v>
      </c>
      <c r="V538" s="2"/>
      <c r="W538" s="2">
        <f>VLOOKUP($A538,'[2]App C Assum'!$A$4:$I$917,5,FALSE)</f>
        <v>81967</v>
      </c>
      <c r="X538" s="2">
        <f>VLOOKUP($A538,'[2]App C Assum'!$A$4:$I$917,6,FALSE)</f>
        <v>67150</v>
      </c>
      <c r="Y538" s="2">
        <f>VLOOKUP($A538,'[2]App C Assum'!$A$4:$I$917,7,FALSE)</f>
        <v>54514</v>
      </c>
      <c r="Z538" s="2">
        <f>VLOOKUP($A538,'[2]App C Assum'!$A$4:$I$917,8,FALSE)</f>
        <v>0</v>
      </c>
      <c r="AA538" s="2">
        <f>VLOOKUP($A538,'[2]App C Assum'!$A$4:$I$917,9,FALSE)</f>
        <v>0</v>
      </c>
      <c r="AB538" s="2"/>
      <c r="AC538" s="2">
        <f>VLOOKUP($A538,'[2]App C Share Outflows'!$A$4:$I$917,5,FALSE)</f>
        <v>10593</v>
      </c>
      <c r="AD538" s="2">
        <f>VLOOKUP($A538,'[2]App C Share Outflows'!$A$4:$I$917,6,FALSE)</f>
        <v>10593</v>
      </c>
      <c r="AE538" s="2">
        <f>VLOOKUP($A538,'[2]App C Share Outflows'!$A$4:$I$917,7,FALSE)</f>
        <v>10592</v>
      </c>
      <c r="AF538" s="2">
        <f>VLOOKUP($A538,'[2]App C Share Outflows'!$A$4:$I$917,8,FALSE)</f>
        <v>0</v>
      </c>
      <c r="AG538" s="2">
        <f>VLOOKUP($A538,'[2]App C Share Outflows'!$A$4:$I$917,9,FALSE)</f>
        <v>0</v>
      </c>
      <c r="AH538" s="2"/>
      <c r="AI538" s="2">
        <f>VLOOKUP($A538,'[2]App C Share Inflows'!$A$4:$I$917,5,FALSE)</f>
        <v>-6102</v>
      </c>
      <c r="AJ538" s="2">
        <f>VLOOKUP($A538,'[2]App C Share Inflows'!$A$4:$I$917,6,FALSE)</f>
        <v>-6003</v>
      </c>
      <c r="AK538" s="2">
        <f>VLOOKUP($A538,'[2]App C Share Inflows'!$A$4:$I$917,7,FALSE)</f>
        <v>-5462</v>
      </c>
      <c r="AL538" s="2">
        <f>VLOOKUP($A538,'[2]App C Share Inflows'!$A$4:$I$917,8,FALSE)</f>
        <v>-5463</v>
      </c>
      <c r="AM538" s="2">
        <f>VLOOKUP($A538,'[2]App C Share Inflows'!$A$4:$I$917,6,FALSE)</f>
        <v>-6003</v>
      </c>
    </row>
    <row r="539" spans="1:39">
      <c r="A539" s="351">
        <v>95701</v>
      </c>
      <c r="B539" s="344" t="s">
        <v>1234</v>
      </c>
      <c r="C539" s="235" t="e">
        <f>VLOOKUP(A539,#REF!,10,FALSE)</f>
        <v>#REF!</v>
      </c>
      <c r="E539" s="2">
        <f>VLOOKUP($A539,'[2]App C Total'!$A$4:$I$917,5,FALSE)</f>
        <v>562220</v>
      </c>
      <c r="F539" s="2">
        <f>VLOOKUP($A539,'[2]App C Total'!$A$4:$I$917,6,FALSE)</f>
        <v>149084</v>
      </c>
      <c r="G539" s="2">
        <f>VLOOKUP($A539,'[2]App C Total'!$A$4:$I$917,7,FALSE)</f>
        <v>279552</v>
      </c>
      <c r="H539" s="2">
        <f>VLOOKUP($A539,'[2]App C Total'!$A$4:$I$917,8,FALSE)</f>
        <v>69021</v>
      </c>
      <c r="I539" s="2">
        <f>VLOOKUP($A539,'[2]App C Total'!$A$4:$I$917,9,FALSE)</f>
        <v>0</v>
      </c>
      <c r="J539" s="2"/>
      <c r="K539" s="2">
        <f>VLOOKUP($A539,'[2]App C Exp'!$A$4:$I$917,5,FALSE)</f>
        <v>182105</v>
      </c>
      <c r="L539" s="2">
        <f>VLOOKUP($A539,'[2]App C Exp'!$A$4:$I$917,6,FALSE)</f>
        <v>171302</v>
      </c>
      <c r="M539" s="2">
        <f>VLOOKUP($A539,'[2]App C Exp'!$A$4:$I$917,7,FALSE)</f>
        <v>153536</v>
      </c>
      <c r="N539" s="2">
        <f>VLOOKUP($A539,'[2]App C Exp'!$A$4:$I$917,8,FALSE)</f>
        <v>61474</v>
      </c>
      <c r="O539" s="2">
        <f>VLOOKUP($A539,'[2]App C Exp'!$A$4:$I$917,9,FALSE)</f>
        <v>0</v>
      </c>
      <c r="P539" s="2"/>
      <c r="Q539" s="2">
        <f>VLOOKUP($A539,'[2]App C Inv'!$A$4:$I$917,5,FALSE)</f>
        <v>193330</v>
      </c>
      <c r="R539" s="2">
        <f>VLOOKUP($A539,'[2]App C Inv'!$A$4:$I$917,6,FALSE)</f>
        <v>-166300</v>
      </c>
      <c r="S539" s="2">
        <f>VLOOKUP($A539,'[2]App C Inv'!$A$4:$I$917,7,FALSE)</f>
        <v>23438</v>
      </c>
      <c r="T539" s="2">
        <f>VLOOKUP($A539,'[2]App C Inv'!$A$4:$I$917,8,FALSE)</f>
        <v>30504</v>
      </c>
      <c r="U539" s="2">
        <f>VLOOKUP($A539,'[2]App C Inv'!$A$4:$I$917,9,FALSE)</f>
        <v>0</v>
      </c>
      <c r="V539" s="2"/>
      <c r="W539" s="2">
        <f>VLOOKUP($A539,'[2]App C Assum'!$A$4:$I$917,5,FALSE)</f>
        <v>217789</v>
      </c>
      <c r="X539" s="2">
        <f>VLOOKUP($A539,'[2]App C Assum'!$A$4:$I$917,6,FALSE)</f>
        <v>178421</v>
      </c>
      <c r="Y539" s="2">
        <f>VLOOKUP($A539,'[2]App C Assum'!$A$4:$I$917,7,FALSE)</f>
        <v>144847</v>
      </c>
      <c r="Z539" s="2">
        <f>VLOOKUP($A539,'[2]App C Assum'!$A$4:$I$917,8,FALSE)</f>
        <v>0</v>
      </c>
      <c r="AA539" s="2">
        <f>VLOOKUP($A539,'[2]App C Assum'!$A$4:$I$917,9,FALSE)</f>
        <v>0</v>
      </c>
      <c r="AB539" s="2"/>
      <c r="AC539" s="2">
        <f>VLOOKUP($A539,'[2]App C Share Outflows'!$A$4:$I$917,5,FALSE)</f>
        <v>11267</v>
      </c>
      <c r="AD539" s="2">
        <f>VLOOKUP($A539,'[2]App C Share Outflows'!$A$4:$I$917,6,FALSE)</f>
        <v>7932</v>
      </c>
      <c r="AE539" s="2">
        <f>VLOOKUP($A539,'[2]App C Share Outflows'!$A$4:$I$917,7,FALSE)</f>
        <v>0</v>
      </c>
      <c r="AF539" s="2">
        <f>VLOOKUP($A539,'[2]App C Share Outflows'!$A$4:$I$917,8,FALSE)</f>
        <v>0</v>
      </c>
      <c r="AG539" s="2">
        <f>VLOOKUP($A539,'[2]App C Share Outflows'!$A$4:$I$917,9,FALSE)</f>
        <v>0</v>
      </c>
      <c r="AH539" s="2"/>
      <c r="AI539" s="2">
        <f>VLOOKUP($A539,'[2]App C Share Inflows'!$A$4:$I$917,5,FALSE)</f>
        <v>-42271</v>
      </c>
      <c r="AJ539" s="2">
        <f>VLOOKUP($A539,'[2]App C Share Inflows'!$A$4:$I$917,6,FALSE)</f>
        <v>-42271</v>
      </c>
      <c r="AK539" s="2">
        <f>VLOOKUP($A539,'[2]App C Share Inflows'!$A$4:$I$917,7,FALSE)</f>
        <v>-42269</v>
      </c>
      <c r="AL539" s="2">
        <f>VLOOKUP($A539,'[2]App C Share Inflows'!$A$4:$I$917,8,FALSE)</f>
        <v>-22957</v>
      </c>
      <c r="AM539" s="2">
        <f>VLOOKUP($A539,'[2]App C Share Inflows'!$A$4:$I$917,6,FALSE)</f>
        <v>-42271</v>
      </c>
    </row>
    <row r="540" spans="1:39">
      <c r="A540" s="351">
        <v>95711</v>
      </c>
      <c r="B540" s="344" t="s">
        <v>1235</v>
      </c>
      <c r="C540" s="235" t="e">
        <f>VLOOKUP(A540,#REF!,10,FALSE)</f>
        <v>#REF!</v>
      </c>
      <c r="E540" s="2">
        <f>VLOOKUP($A540,'[2]App C Total'!$A$4:$I$917,5,FALSE)</f>
        <v>65721</v>
      </c>
      <c r="F540" s="2">
        <f>VLOOKUP($A540,'[2]App C Total'!$A$4:$I$917,6,FALSE)</f>
        <v>17219</v>
      </c>
      <c r="G540" s="2">
        <f>VLOOKUP($A540,'[2]App C Total'!$A$4:$I$917,7,FALSE)</f>
        <v>34964</v>
      </c>
      <c r="H540" s="2">
        <f>VLOOKUP($A540,'[2]App C Total'!$A$4:$I$917,8,FALSE)</f>
        <v>9083</v>
      </c>
      <c r="I540" s="2">
        <f>VLOOKUP($A540,'[2]App C Total'!$A$4:$I$917,9,FALSE)</f>
        <v>0</v>
      </c>
      <c r="J540" s="2"/>
      <c r="K540" s="2">
        <f>VLOOKUP($A540,'[2]App C Exp'!$A$4:$I$917,5,FALSE)</f>
        <v>21452</v>
      </c>
      <c r="L540" s="2">
        <f>VLOOKUP($A540,'[2]App C Exp'!$A$4:$I$917,6,FALSE)</f>
        <v>20180</v>
      </c>
      <c r="M540" s="2">
        <f>VLOOKUP($A540,'[2]App C Exp'!$A$4:$I$917,7,FALSE)</f>
        <v>18087</v>
      </c>
      <c r="N540" s="2">
        <f>VLOOKUP($A540,'[2]App C Exp'!$A$4:$I$917,8,FALSE)</f>
        <v>7242</v>
      </c>
      <c r="O540" s="2">
        <f>VLOOKUP($A540,'[2]App C Exp'!$A$4:$I$917,9,FALSE)</f>
        <v>0</v>
      </c>
      <c r="P540" s="2"/>
      <c r="Q540" s="2">
        <f>VLOOKUP($A540,'[2]App C Inv'!$A$4:$I$917,5,FALSE)</f>
        <v>22775</v>
      </c>
      <c r="R540" s="2">
        <f>VLOOKUP($A540,'[2]App C Inv'!$A$4:$I$917,6,FALSE)</f>
        <v>-19590</v>
      </c>
      <c r="S540" s="2">
        <f>VLOOKUP($A540,'[2]App C Inv'!$A$4:$I$917,7,FALSE)</f>
        <v>2761</v>
      </c>
      <c r="T540" s="2">
        <f>VLOOKUP($A540,'[2]App C Inv'!$A$4:$I$917,8,FALSE)</f>
        <v>3593</v>
      </c>
      <c r="U540" s="2">
        <f>VLOOKUP($A540,'[2]App C Inv'!$A$4:$I$917,9,FALSE)</f>
        <v>0</v>
      </c>
      <c r="V540" s="2"/>
      <c r="W540" s="2">
        <f>VLOOKUP($A540,'[2]App C Assum'!$A$4:$I$917,5,FALSE)</f>
        <v>25656</v>
      </c>
      <c r="X540" s="2">
        <f>VLOOKUP($A540,'[2]App C Assum'!$A$4:$I$917,6,FALSE)</f>
        <v>21018</v>
      </c>
      <c r="Y540" s="2">
        <f>VLOOKUP($A540,'[2]App C Assum'!$A$4:$I$917,7,FALSE)</f>
        <v>17063</v>
      </c>
      <c r="Z540" s="2">
        <f>VLOOKUP($A540,'[2]App C Assum'!$A$4:$I$917,8,FALSE)</f>
        <v>0</v>
      </c>
      <c r="AA540" s="2">
        <f>VLOOKUP($A540,'[2]App C Assum'!$A$4:$I$917,9,FALSE)</f>
        <v>0</v>
      </c>
      <c r="AB540" s="2"/>
      <c r="AC540" s="2">
        <f>VLOOKUP($A540,'[2]App C Share Outflows'!$A$4:$I$917,5,FALSE)</f>
        <v>227</v>
      </c>
      <c r="AD540" s="2">
        <f>VLOOKUP($A540,'[2]App C Share Outflows'!$A$4:$I$917,6,FALSE)</f>
        <v>0</v>
      </c>
      <c r="AE540" s="2">
        <f>VLOOKUP($A540,'[2]App C Share Outflows'!$A$4:$I$917,7,FALSE)</f>
        <v>0</v>
      </c>
      <c r="AF540" s="2">
        <f>VLOOKUP($A540,'[2]App C Share Outflows'!$A$4:$I$917,8,FALSE)</f>
        <v>0</v>
      </c>
      <c r="AG540" s="2">
        <f>VLOOKUP($A540,'[2]App C Share Outflows'!$A$4:$I$917,9,FALSE)</f>
        <v>0</v>
      </c>
      <c r="AH540" s="2"/>
      <c r="AI540" s="2">
        <f>VLOOKUP($A540,'[2]App C Share Inflows'!$A$4:$I$917,5,FALSE)</f>
        <v>-4389</v>
      </c>
      <c r="AJ540" s="2">
        <f>VLOOKUP($A540,'[2]App C Share Inflows'!$A$4:$I$917,6,FALSE)</f>
        <v>-4389</v>
      </c>
      <c r="AK540" s="2">
        <f>VLOOKUP($A540,'[2]App C Share Inflows'!$A$4:$I$917,7,FALSE)</f>
        <v>-2947</v>
      </c>
      <c r="AL540" s="2">
        <f>VLOOKUP($A540,'[2]App C Share Inflows'!$A$4:$I$917,8,FALSE)</f>
        <v>-1752</v>
      </c>
      <c r="AM540" s="2">
        <f>VLOOKUP($A540,'[2]App C Share Inflows'!$A$4:$I$917,6,FALSE)</f>
        <v>-4389</v>
      </c>
    </row>
    <row r="541" spans="1:39">
      <c r="A541" s="351">
        <v>95721</v>
      </c>
      <c r="B541" s="344" t="s">
        <v>1236</v>
      </c>
      <c r="C541" s="235" t="e">
        <f>VLOOKUP(A541,#REF!,10,FALSE)</f>
        <v>#REF!</v>
      </c>
      <c r="E541" s="2">
        <f>VLOOKUP($A541,'[2]App C Total'!$A$4:$I$917,5,FALSE)</f>
        <v>29023</v>
      </c>
      <c r="F541" s="2">
        <f>VLOOKUP($A541,'[2]App C Total'!$A$4:$I$917,6,FALSE)</f>
        <v>7800</v>
      </c>
      <c r="G541" s="2">
        <f>VLOOKUP($A541,'[2]App C Total'!$A$4:$I$917,7,FALSE)</f>
        <v>16242</v>
      </c>
      <c r="H541" s="2">
        <f>VLOOKUP($A541,'[2]App C Total'!$A$4:$I$917,8,FALSE)</f>
        <v>4193</v>
      </c>
      <c r="I541" s="2">
        <f>VLOOKUP($A541,'[2]App C Total'!$A$4:$I$917,9,FALSE)</f>
        <v>0</v>
      </c>
      <c r="J541" s="2"/>
      <c r="K541" s="2">
        <f>VLOOKUP($A541,'[2]App C Exp'!$A$4:$I$917,5,FALSE)</f>
        <v>9857</v>
      </c>
      <c r="L541" s="2">
        <f>VLOOKUP($A541,'[2]App C Exp'!$A$4:$I$917,6,FALSE)</f>
        <v>9273</v>
      </c>
      <c r="M541" s="2">
        <f>VLOOKUP($A541,'[2]App C Exp'!$A$4:$I$917,7,FALSE)</f>
        <v>8311</v>
      </c>
      <c r="N541" s="2">
        <f>VLOOKUP($A541,'[2]App C Exp'!$A$4:$I$917,8,FALSE)</f>
        <v>3328</v>
      </c>
      <c r="O541" s="2">
        <f>VLOOKUP($A541,'[2]App C Exp'!$A$4:$I$917,9,FALSE)</f>
        <v>0</v>
      </c>
      <c r="P541" s="2"/>
      <c r="Q541" s="2">
        <f>VLOOKUP($A541,'[2]App C Inv'!$A$4:$I$917,5,FALSE)</f>
        <v>10465</v>
      </c>
      <c r="R541" s="2">
        <f>VLOOKUP($A541,'[2]App C Inv'!$A$4:$I$917,6,FALSE)</f>
        <v>-9002</v>
      </c>
      <c r="S541" s="2">
        <f>VLOOKUP($A541,'[2]App C Inv'!$A$4:$I$917,7,FALSE)</f>
        <v>1269</v>
      </c>
      <c r="T541" s="2">
        <f>VLOOKUP($A541,'[2]App C Inv'!$A$4:$I$917,8,FALSE)</f>
        <v>1651</v>
      </c>
      <c r="U541" s="2">
        <f>VLOOKUP($A541,'[2]App C Inv'!$A$4:$I$917,9,FALSE)</f>
        <v>0</v>
      </c>
      <c r="V541" s="2"/>
      <c r="W541" s="2">
        <f>VLOOKUP($A541,'[2]App C Assum'!$A$4:$I$917,5,FALSE)</f>
        <v>11789</v>
      </c>
      <c r="X541" s="2">
        <f>VLOOKUP($A541,'[2]App C Assum'!$A$4:$I$917,6,FALSE)</f>
        <v>9658</v>
      </c>
      <c r="Y541" s="2">
        <f>VLOOKUP($A541,'[2]App C Assum'!$A$4:$I$917,7,FALSE)</f>
        <v>7841</v>
      </c>
      <c r="Z541" s="2">
        <f>VLOOKUP($A541,'[2]App C Assum'!$A$4:$I$917,8,FALSE)</f>
        <v>0</v>
      </c>
      <c r="AA541" s="2">
        <f>VLOOKUP($A541,'[2]App C Assum'!$A$4:$I$917,9,FALSE)</f>
        <v>0</v>
      </c>
      <c r="AB541" s="2"/>
      <c r="AC541" s="2">
        <f>VLOOKUP($A541,'[2]App C Share Outflows'!$A$4:$I$917,5,FALSE)</f>
        <v>0</v>
      </c>
      <c r="AD541" s="2">
        <f>VLOOKUP($A541,'[2]App C Share Outflows'!$A$4:$I$917,6,FALSE)</f>
        <v>0</v>
      </c>
      <c r="AE541" s="2">
        <f>VLOOKUP($A541,'[2]App C Share Outflows'!$A$4:$I$917,7,FALSE)</f>
        <v>0</v>
      </c>
      <c r="AF541" s="2">
        <f>VLOOKUP($A541,'[2]App C Share Outflows'!$A$4:$I$917,8,FALSE)</f>
        <v>0</v>
      </c>
      <c r="AG541" s="2">
        <f>VLOOKUP($A541,'[2]App C Share Outflows'!$A$4:$I$917,9,FALSE)</f>
        <v>0</v>
      </c>
      <c r="AH541" s="2"/>
      <c r="AI541" s="2">
        <f>VLOOKUP($A541,'[2]App C Share Inflows'!$A$4:$I$917,5,FALSE)</f>
        <v>-3088</v>
      </c>
      <c r="AJ541" s="2">
        <f>VLOOKUP($A541,'[2]App C Share Inflows'!$A$4:$I$917,6,FALSE)</f>
        <v>-2129</v>
      </c>
      <c r="AK541" s="2">
        <f>VLOOKUP($A541,'[2]App C Share Inflows'!$A$4:$I$917,7,FALSE)</f>
        <v>-1179</v>
      </c>
      <c r="AL541" s="2">
        <f>VLOOKUP($A541,'[2]App C Share Inflows'!$A$4:$I$917,8,FALSE)</f>
        <v>-786</v>
      </c>
      <c r="AM541" s="2">
        <f>VLOOKUP($A541,'[2]App C Share Inflows'!$A$4:$I$917,6,FALSE)</f>
        <v>-2129</v>
      </c>
    </row>
    <row r="542" spans="1:39">
      <c r="A542" s="351">
        <v>95733</v>
      </c>
      <c r="B542" s="344" t="s">
        <v>1237</v>
      </c>
      <c r="C542" s="235" t="e">
        <f>VLOOKUP(A542,#REF!,10,FALSE)</f>
        <v>#REF!</v>
      </c>
      <c r="E542" s="2">
        <f>VLOOKUP($A542,'[2]App C Total'!$A$4:$I$917,5,FALSE)</f>
        <v>6655</v>
      </c>
      <c r="F542" s="2">
        <f>VLOOKUP($A542,'[2]App C Total'!$A$4:$I$917,6,FALSE)</f>
        <v>1893</v>
      </c>
      <c r="G542" s="2">
        <f>VLOOKUP($A542,'[2]App C Total'!$A$4:$I$917,7,FALSE)</f>
        <v>3588</v>
      </c>
      <c r="H542" s="2">
        <f>VLOOKUP($A542,'[2]App C Total'!$A$4:$I$917,8,FALSE)</f>
        <v>872</v>
      </c>
      <c r="I542" s="2">
        <f>VLOOKUP($A542,'[2]App C Total'!$A$4:$I$917,9,FALSE)</f>
        <v>0</v>
      </c>
      <c r="J542" s="2"/>
      <c r="K542" s="2">
        <f>VLOOKUP($A542,'[2]App C Exp'!$A$4:$I$917,5,FALSE)</f>
        <v>2142</v>
      </c>
      <c r="L542" s="2">
        <f>VLOOKUP($A542,'[2]App C Exp'!$A$4:$I$917,6,FALSE)</f>
        <v>2015</v>
      </c>
      <c r="M542" s="2">
        <f>VLOOKUP($A542,'[2]App C Exp'!$A$4:$I$917,7,FALSE)</f>
        <v>1806</v>
      </c>
      <c r="N542" s="2">
        <f>VLOOKUP($A542,'[2]App C Exp'!$A$4:$I$917,8,FALSE)</f>
        <v>723</v>
      </c>
      <c r="O542" s="2">
        <f>VLOOKUP($A542,'[2]App C Exp'!$A$4:$I$917,9,FALSE)</f>
        <v>0</v>
      </c>
      <c r="P542" s="2"/>
      <c r="Q542" s="2">
        <f>VLOOKUP($A542,'[2]App C Inv'!$A$4:$I$917,5,FALSE)</f>
        <v>2274</v>
      </c>
      <c r="R542" s="2">
        <f>VLOOKUP($A542,'[2]App C Inv'!$A$4:$I$917,6,FALSE)</f>
        <v>-1956</v>
      </c>
      <c r="S542" s="2">
        <f>VLOOKUP($A542,'[2]App C Inv'!$A$4:$I$917,7,FALSE)</f>
        <v>276</v>
      </c>
      <c r="T542" s="2">
        <f>VLOOKUP($A542,'[2]App C Inv'!$A$4:$I$917,8,FALSE)</f>
        <v>359</v>
      </c>
      <c r="U542" s="2">
        <f>VLOOKUP($A542,'[2]App C Inv'!$A$4:$I$917,9,FALSE)</f>
        <v>0</v>
      </c>
      <c r="V542" s="2"/>
      <c r="W542" s="2">
        <f>VLOOKUP($A542,'[2]App C Assum'!$A$4:$I$917,5,FALSE)</f>
        <v>2562</v>
      </c>
      <c r="X542" s="2">
        <f>VLOOKUP($A542,'[2]App C Assum'!$A$4:$I$917,6,FALSE)</f>
        <v>2099</v>
      </c>
      <c r="Y542" s="2">
        <f>VLOOKUP($A542,'[2]App C Assum'!$A$4:$I$917,7,FALSE)</f>
        <v>1704</v>
      </c>
      <c r="Z542" s="2">
        <f>VLOOKUP($A542,'[2]App C Assum'!$A$4:$I$917,8,FALSE)</f>
        <v>0</v>
      </c>
      <c r="AA542" s="2">
        <f>VLOOKUP($A542,'[2]App C Assum'!$A$4:$I$917,9,FALSE)</f>
        <v>0</v>
      </c>
      <c r="AB542" s="2"/>
      <c r="AC542" s="2">
        <f>VLOOKUP($A542,'[2]App C Share Outflows'!$A$4:$I$917,5,FALSE)</f>
        <v>14</v>
      </c>
      <c r="AD542" s="2">
        <f>VLOOKUP($A542,'[2]App C Share Outflows'!$A$4:$I$917,6,FALSE)</f>
        <v>14</v>
      </c>
      <c r="AE542" s="2">
        <f>VLOOKUP($A542,'[2]App C Share Outflows'!$A$4:$I$917,7,FALSE)</f>
        <v>13</v>
      </c>
      <c r="AF542" s="2">
        <f>VLOOKUP($A542,'[2]App C Share Outflows'!$A$4:$I$917,8,FALSE)</f>
        <v>0</v>
      </c>
      <c r="AG542" s="2">
        <f>VLOOKUP($A542,'[2]App C Share Outflows'!$A$4:$I$917,9,FALSE)</f>
        <v>0</v>
      </c>
      <c r="AH542" s="2"/>
      <c r="AI542" s="2">
        <f>VLOOKUP($A542,'[2]App C Share Inflows'!$A$4:$I$917,5,FALSE)</f>
        <v>-337</v>
      </c>
      <c r="AJ542" s="2">
        <f>VLOOKUP($A542,'[2]App C Share Inflows'!$A$4:$I$917,6,FALSE)</f>
        <v>-279</v>
      </c>
      <c r="AK542" s="2">
        <f>VLOOKUP($A542,'[2]App C Share Inflows'!$A$4:$I$917,7,FALSE)</f>
        <v>-211</v>
      </c>
      <c r="AL542" s="2">
        <f>VLOOKUP($A542,'[2]App C Share Inflows'!$A$4:$I$917,8,FALSE)</f>
        <v>-210</v>
      </c>
      <c r="AM542" s="2">
        <f>VLOOKUP($A542,'[2]App C Share Inflows'!$A$4:$I$917,6,FALSE)</f>
        <v>-279</v>
      </c>
    </row>
    <row r="543" spans="1:39">
      <c r="A543" s="351">
        <v>95801</v>
      </c>
      <c r="B543" s="344" t="s">
        <v>1238</v>
      </c>
      <c r="C543" s="235" t="e">
        <f>VLOOKUP(A543,#REF!,10,FALSE)</f>
        <v>#REF!</v>
      </c>
      <c r="E543" s="2">
        <f>VLOOKUP($A543,'[2]App C Total'!$A$4:$I$917,5,FALSE)</f>
        <v>485009</v>
      </c>
      <c r="F543" s="2">
        <f>VLOOKUP($A543,'[2]App C Total'!$A$4:$I$917,6,FALSE)</f>
        <v>162329</v>
      </c>
      <c r="G543" s="2">
        <f>VLOOKUP($A543,'[2]App C Total'!$A$4:$I$917,7,FALSE)</f>
        <v>258138</v>
      </c>
      <c r="H543" s="2">
        <f>VLOOKUP($A543,'[2]App C Total'!$A$4:$I$917,8,FALSE)</f>
        <v>71482</v>
      </c>
      <c r="I543" s="2">
        <f>VLOOKUP($A543,'[2]App C Total'!$A$4:$I$917,9,FALSE)</f>
        <v>0</v>
      </c>
      <c r="J543" s="2"/>
      <c r="K543" s="2">
        <f>VLOOKUP($A543,'[2]App C Exp'!$A$4:$I$917,5,FALSE)</f>
        <v>143425</v>
      </c>
      <c r="L543" s="2">
        <f>VLOOKUP($A543,'[2]App C Exp'!$A$4:$I$917,6,FALSE)</f>
        <v>134917</v>
      </c>
      <c r="M543" s="2">
        <f>VLOOKUP($A543,'[2]App C Exp'!$A$4:$I$917,7,FALSE)</f>
        <v>120924</v>
      </c>
      <c r="N543" s="2">
        <f>VLOOKUP($A543,'[2]App C Exp'!$A$4:$I$917,8,FALSE)</f>
        <v>48417</v>
      </c>
      <c r="O543" s="2">
        <f>VLOOKUP($A543,'[2]App C Exp'!$A$4:$I$917,9,FALSE)</f>
        <v>0</v>
      </c>
      <c r="P543" s="2"/>
      <c r="Q543" s="2">
        <f>VLOOKUP($A543,'[2]App C Inv'!$A$4:$I$917,5,FALSE)</f>
        <v>152266</v>
      </c>
      <c r="R543" s="2">
        <f>VLOOKUP($A543,'[2]App C Inv'!$A$4:$I$917,6,FALSE)</f>
        <v>-130977</v>
      </c>
      <c r="S543" s="2">
        <f>VLOOKUP($A543,'[2]App C Inv'!$A$4:$I$917,7,FALSE)</f>
        <v>18460</v>
      </c>
      <c r="T543" s="2">
        <f>VLOOKUP($A543,'[2]App C Inv'!$A$4:$I$917,8,FALSE)</f>
        <v>24025</v>
      </c>
      <c r="U543" s="2">
        <f>VLOOKUP($A543,'[2]App C Inv'!$A$4:$I$917,9,FALSE)</f>
        <v>0</v>
      </c>
      <c r="V543" s="2"/>
      <c r="W543" s="2">
        <f>VLOOKUP($A543,'[2]App C Assum'!$A$4:$I$917,5,FALSE)</f>
        <v>171530</v>
      </c>
      <c r="X543" s="2">
        <f>VLOOKUP($A543,'[2]App C Assum'!$A$4:$I$917,6,FALSE)</f>
        <v>140523</v>
      </c>
      <c r="Y543" s="2">
        <f>VLOOKUP($A543,'[2]App C Assum'!$A$4:$I$917,7,FALSE)</f>
        <v>114081</v>
      </c>
      <c r="Z543" s="2">
        <f>VLOOKUP($A543,'[2]App C Assum'!$A$4:$I$917,8,FALSE)</f>
        <v>0</v>
      </c>
      <c r="AA543" s="2">
        <f>VLOOKUP($A543,'[2]App C Assum'!$A$4:$I$917,9,FALSE)</f>
        <v>0</v>
      </c>
      <c r="AB543" s="2"/>
      <c r="AC543" s="2">
        <f>VLOOKUP($A543,'[2]App C Share Outflows'!$A$4:$I$917,5,FALSE)</f>
        <v>18825</v>
      </c>
      <c r="AD543" s="2">
        <f>VLOOKUP($A543,'[2]App C Share Outflows'!$A$4:$I$917,6,FALSE)</f>
        <v>18827</v>
      </c>
      <c r="AE543" s="2">
        <f>VLOOKUP($A543,'[2]App C Share Outflows'!$A$4:$I$917,7,FALSE)</f>
        <v>5634</v>
      </c>
      <c r="AF543" s="2">
        <f>VLOOKUP($A543,'[2]App C Share Outflows'!$A$4:$I$917,8,FALSE)</f>
        <v>0</v>
      </c>
      <c r="AG543" s="2">
        <f>VLOOKUP($A543,'[2]App C Share Outflows'!$A$4:$I$917,9,FALSE)</f>
        <v>0</v>
      </c>
      <c r="AH543" s="2"/>
      <c r="AI543" s="2">
        <f>VLOOKUP($A543,'[2]App C Share Inflows'!$A$4:$I$917,5,FALSE)</f>
        <v>-1037</v>
      </c>
      <c r="AJ543" s="2">
        <f>VLOOKUP($A543,'[2]App C Share Inflows'!$A$4:$I$917,6,FALSE)</f>
        <v>-961</v>
      </c>
      <c r="AK543" s="2">
        <f>VLOOKUP($A543,'[2]App C Share Inflows'!$A$4:$I$917,7,FALSE)</f>
        <v>-961</v>
      </c>
      <c r="AL543" s="2">
        <f>VLOOKUP($A543,'[2]App C Share Inflows'!$A$4:$I$917,8,FALSE)</f>
        <v>-960</v>
      </c>
      <c r="AM543" s="2">
        <f>VLOOKUP($A543,'[2]App C Share Inflows'!$A$4:$I$917,6,FALSE)</f>
        <v>-961</v>
      </c>
    </row>
    <row r="544" spans="1:39">
      <c r="A544" s="351">
        <v>95802</v>
      </c>
      <c r="B544" s="344" t="s">
        <v>3686</v>
      </c>
      <c r="C544" s="235" t="e">
        <f>VLOOKUP(A544,#REF!,10,FALSE)</f>
        <v>#REF!</v>
      </c>
      <c r="E544" s="2">
        <f>VLOOKUP($A544,'[2]App C Total'!$A$4:$I$917,5,FALSE)</f>
        <v>3905</v>
      </c>
      <c r="F544" s="2">
        <f>VLOOKUP($A544,'[2]App C Total'!$A$4:$I$917,6,FALSE)</f>
        <v>2066</v>
      </c>
      <c r="G544" s="2">
        <f>VLOOKUP($A544,'[2]App C Total'!$A$4:$I$917,7,FALSE)</f>
        <v>2228</v>
      </c>
      <c r="H544" s="2">
        <f>VLOOKUP($A544,'[2]App C Total'!$A$4:$I$917,8,FALSE)</f>
        <v>876</v>
      </c>
      <c r="I544" s="2">
        <f>VLOOKUP($A544,'[2]App C Total'!$A$4:$I$917,9,FALSE)</f>
        <v>0</v>
      </c>
      <c r="J544" s="2"/>
      <c r="K544" s="2">
        <f>VLOOKUP($A544,'[2]App C Exp'!$A$4:$I$917,5,FALSE)</f>
        <v>674</v>
      </c>
      <c r="L544" s="2">
        <f>VLOOKUP($A544,'[2]App C Exp'!$A$4:$I$917,6,FALSE)</f>
        <v>634</v>
      </c>
      <c r="M544" s="2">
        <f>VLOOKUP($A544,'[2]App C Exp'!$A$4:$I$917,7,FALSE)</f>
        <v>568</v>
      </c>
      <c r="N544" s="2">
        <f>VLOOKUP($A544,'[2]App C Exp'!$A$4:$I$917,8,FALSE)</f>
        <v>228</v>
      </c>
      <c r="O544" s="2">
        <f>VLOOKUP($A544,'[2]App C Exp'!$A$4:$I$917,9,FALSE)</f>
        <v>0</v>
      </c>
      <c r="P544" s="2"/>
      <c r="Q544" s="2">
        <f>VLOOKUP($A544,'[2]App C Inv'!$A$4:$I$917,5,FALSE)</f>
        <v>716</v>
      </c>
      <c r="R544" s="2">
        <f>VLOOKUP($A544,'[2]App C Inv'!$A$4:$I$917,6,FALSE)</f>
        <v>-616</v>
      </c>
      <c r="S544" s="2">
        <f>VLOOKUP($A544,'[2]App C Inv'!$A$4:$I$917,7,FALSE)</f>
        <v>87</v>
      </c>
      <c r="T544" s="2">
        <f>VLOOKUP($A544,'[2]App C Inv'!$A$4:$I$917,8,FALSE)</f>
        <v>113</v>
      </c>
      <c r="U544" s="2">
        <f>VLOOKUP($A544,'[2]App C Inv'!$A$4:$I$917,9,FALSE)</f>
        <v>0</v>
      </c>
      <c r="V544" s="2"/>
      <c r="W544" s="2">
        <f>VLOOKUP($A544,'[2]App C Assum'!$A$4:$I$917,5,FALSE)</f>
        <v>806</v>
      </c>
      <c r="X544" s="2">
        <f>VLOOKUP($A544,'[2]App C Assum'!$A$4:$I$917,6,FALSE)</f>
        <v>660</v>
      </c>
      <c r="Y544" s="2">
        <f>VLOOKUP($A544,'[2]App C Assum'!$A$4:$I$917,7,FALSE)</f>
        <v>536</v>
      </c>
      <c r="Z544" s="2">
        <f>VLOOKUP($A544,'[2]App C Assum'!$A$4:$I$917,8,FALSE)</f>
        <v>0</v>
      </c>
      <c r="AA544" s="2">
        <f>VLOOKUP($A544,'[2]App C Assum'!$A$4:$I$917,9,FALSE)</f>
        <v>0</v>
      </c>
      <c r="AB544" s="2"/>
      <c r="AC544" s="2">
        <f>VLOOKUP($A544,'[2]App C Share Outflows'!$A$4:$I$917,5,FALSE)</f>
        <v>1709</v>
      </c>
      <c r="AD544" s="2">
        <f>VLOOKUP($A544,'[2]App C Share Outflows'!$A$4:$I$917,6,FALSE)</f>
        <v>1388</v>
      </c>
      <c r="AE544" s="2">
        <f>VLOOKUP($A544,'[2]App C Share Outflows'!$A$4:$I$917,7,FALSE)</f>
        <v>1037</v>
      </c>
      <c r="AF544" s="2">
        <f>VLOOKUP($A544,'[2]App C Share Outflows'!$A$4:$I$917,8,FALSE)</f>
        <v>535</v>
      </c>
      <c r="AG544" s="2">
        <f>VLOOKUP($A544,'[2]App C Share Outflows'!$A$4:$I$917,9,FALSE)</f>
        <v>0</v>
      </c>
      <c r="AH544" s="2"/>
      <c r="AI544" s="2">
        <f>VLOOKUP($A544,'[2]App C Share Inflows'!$A$4:$I$917,5,FALSE)</f>
        <v>0</v>
      </c>
      <c r="AJ544" s="2">
        <f>VLOOKUP($A544,'[2]App C Share Inflows'!$A$4:$I$917,6,FALSE)</f>
        <v>0</v>
      </c>
      <c r="AK544" s="2">
        <f>VLOOKUP($A544,'[2]App C Share Inflows'!$A$4:$I$917,7,FALSE)</f>
        <v>0</v>
      </c>
      <c r="AL544" s="2">
        <f>VLOOKUP($A544,'[2]App C Share Inflows'!$A$4:$I$917,8,FALSE)</f>
        <v>0</v>
      </c>
      <c r="AM544" s="2">
        <f>VLOOKUP($A544,'[2]App C Share Inflows'!$A$4:$I$917,6,FALSE)</f>
        <v>0</v>
      </c>
    </row>
    <row r="545" spans="1:39">
      <c r="A545" s="351">
        <v>95804</v>
      </c>
      <c r="B545" s="344" t="s">
        <v>1240</v>
      </c>
      <c r="C545" s="235" t="e">
        <f>VLOOKUP(A545,#REF!,10,FALSE)</f>
        <v>#REF!</v>
      </c>
      <c r="E545" s="2">
        <f>VLOOKUP($A545,'[2]App C Total'!$A$4:$I$917,5,FALSE)</f>
        <v>12862</v>
      </c>
      <c r="F545" s="2">
        <f>VLOOKUP($A545,'[2]App C Total'!$A$4:$I$917,6,FALSE)</f>
        <v>3988</v>
      </c>
      <c r="G545" s="2">
        <f>VLOOKUP($A545,'[2]App C Total'!$A$4:$I$917,7,FALSE)</f>
        <v>6506</v>
      </c>
      <c r="H545" s="2">
        <f>VLOOKUP($A545,'[2]App C Total'!$A$4:$I$917,8,FALSE)</f>
        <v>2181</v>
      </c>
      <c r="I545" s="2">
        <f>VLOOKUP($A545,'[2]App C Total'!$A$4:$I$917,9,FALSE)</f>
        <v>0</v>
      </c>
      <c r="J545" s="2"/>
      <c r="K545" s="2">
        <f>VLOOKUP($A545,'[2]App C Exp'!$A$4:$I$917,5,FALSE)</f>
        <v>3895</v>
      </c>
      <c r="L545" s="2">
        <f>VLOOKUP($A545,'[2]App C Exp'!$A$4:$I$917,6,FALSE)</f>
        <v>3664</v>
      </c>
      <c r="M545" s="2">
        <f>VLOOKUP($A545,'[2]App C Exp'!$A$4:$I$917,7,FALSE)</f>
        <v>3284</v>
      </c>
      <c r="N545" s="2">
        <f>VLOOKUP($A545,'[2]App C Exp'!$A$4:$I$917,8,FALSE)</f>
        <v>1315</v>
      </c>
      <c r="O545" s="2">
        <f>VLOOKUP($A545,'[2]App C Exp'!$A$4:$I$917,9,FALSE)</f>
        <v>0</v>
      </c>
      <c r="P545" s="2"/>
      <c r="Q545" s="2">
        <f>VLOOKUP($A545,'[2]App C Inv'!$A$4:$I$917,5,FALSE)</f>
        <v>4135</v>
      </c>
      <c r="R545" s="2">
        <f>VLOOKUP($A545,'[2]App C Inv'!$A$4:$I$917,6,FALSE)</f>
        <v>-3557</v>
      </c>
      <c r="S545" s="2">
        <f>VLOOKUP($A545,'[2]App C Inv'!$A$4:$I$917,7,FALSE)</f>
        <v>501</v>
      </c>
      <c r="T545" s="2">
        <f>VLOOKUP($A545,'[2]App C Inv'!$A$4:$I$917,8,FALSE)</f>
        <v>652</v>
      </c>
      <c r="U545" s="2">
        <f>VLOOKUP($A545,'[2]App C Inv'!$A$4:$I$917,9,FALSE)</f>
        <v>0</v>
      </c>
      <c r="V545" s="2"/>
      <c r="W545" s="2">
        <f>VLOOKUP($A545,'[2]App C Assum'!$A$4:$I$917,5,FALSE)</f>
        <v>4658</v>
      </c>
      <c r="X545" s="2">
        <f>VLOOKUP($A545,'[2]App C Assum'!$A$4:$I$917,6,FALSE)</f>
        <v>3816</v>
      </c>
      <c r="Y545" s="2">
        <f>VLOOKUP($A545,'[2]App C Assum'!$A$4:$I$917,7,FALSE)</f>
        <v>3098</v>
      </c>
      <c r="Z545" s="2">
        <f>VLOOKUP($A545,'[2]App C Assum'!$A$4:$I$917,8,FALSE)</f>
        <v>0</v>
      </c>
      <c r="AA545" s="2">
        <f>VLOOKUP($A545,'[2]App C Assum'!$A$4:$I$917,9,FALSE)</f>
        <v>0</v>
      </c>
      <c r="AB545" s="2"/>
      <c r="AC545" s="2">
        <f>VLOOKUP($A545,'[2]App C Share Outflows'!$A$4:$I$917,5,FALSE)</f>
        <v>762</v>
      </c>
      <c r="AD545" s="2">
        <f>VLOOKUP($A545,'[2]App C Share Outflows'!$A$4:$I$917,6,FALSE)</f>
        <v>653</v>
      </c>
      <c r="AE545" s="2">
        <f>VLOOKUP($A545,'[2]App C Share Outflows'!$A$4:$I$917,7,FALSE)</f>
        <v>212</v>
      </c>
      <c r="AF545" s="2">
        <f>VLOOKUP($A545,'[2]App C Share Outflows'!$A$4:$I$917,8,FALSE)</f>
        <v>214</v>
      </c>
      <c r="AG545" s="2">
        <f>VLOOKUP($A545,'[2]App C Share Outflows'!$A$4:$I$917,9,FALSE)</f>
        <v>0</v>
      </c>
      <c r="AH545" s="2"/>
      <c r="AI545" s="2">
        <f>VLOOKUP($A545,'[2]App C Share Inflows'!$A$4:$I$917,5,FALSE)</f>
        <v>-588</v>
      </c>
      <c r="AJ545" s="2">
        <f>VLOOKUP($A545,'[2]App C Share Inflows'!$A$4:$I$917,6,FALSE)</f>
        <v>-588</v>
      </c>
      <c r="AK545" s="2">
        <f>VLOOKUP($A545,'[2]App C Share Inflows'!$A$4:$I$917,7,FALSE)</f>
        <v>-589</v>
      </c>
      <c r="AL545" s="2">
        <f>VLOOKUP($A545,'[2]App C Share Inflows'!$A$4:$I$917,8,FALSE)</f>
        <v>0</v>
      </c>
      <c r="AM545" s="2">
        <f>VLOOKUP($A545,'[2]App C Share Inflows'!$A$4:$I$917,6,FALSE)</f>
        <v>-588</v>
      </c>
    </row>
    <row r="546" spans="1:39">
      <c r="A546" s="351">
        <v>95811</v>
      </c>
      <c r="B546" s="344" t="s">
        <v>1241</v>
      </c>
      <c r="C546" s="235" t="e">
        <f>VLOOKUP(A546,#REF!,10,FALSE)</f>
        <v>#REF!</v>
      </c>
      <c r="E546" s="2">
        <f>VLOOKUP($A546,'[2]App C Total'!$A$4:$I$917,5,FALSE)</f>
        <v>258580</v>
      </c>
      <c r="F546" s="2">
        <f>VLOOKUP($A546,'[2]App C Total'!$A$4:$I$917,6,FALSE)</f>
        <v>79967</v>
      </c>
      <c r="G546" s="2">
        <f>VLOOKUP($A546,'[2]App C Total'!$A$4:$I$917,7,FALSE)</f>
        <v>140632</v>
      </c>
      <c r="H546" s="2">
        <f>VLOOKUP($A546,'[2]App C Total'!$A$4:$I$917,8,FALSE)</f>
        <v>40467</v>
      </c>
      <c r="I546" s="2">
        <f>VLOOKUP($A546,'[2]App C Total'!$A$4:$I$917,9,FALSE)</f>
        <v>0</v>
      </c>
      <c r="J546" s="2"/>
      <c r="K546" s="2">
        <f>VLOOKUP($A546,'[2]App C Exp'!$A$4:$I$917,5,FALSE)</f>
        <v>79203</v>
      </c>
      <c r="L546" s="2">
        <f>VLOOKUP($A546,'[2]App C Exp'!$A$4:$I$917,6,FALSE)</f>
        <v>74504</v>
      </c>
      <c r="M546" s="2">
        <f>VLOOKUP($A546,'[2]App C Exp'!$A$4:$I$917,7,FALSE)</f>
        <v>66777</v>
      </c>
      <c r="N546" s="2">
        <f>VLOOKUP($A546,'[2]App C Exp'!$A$4:$I$917,8,FALSE)</f>
        <v>26737</v>
      </c>
      <c r="O546" s="2">
        <f>VLOOKUP($A546,'[2]App C Exp'!$A$4:$I$917,9,FALSE)</f>
        <v>0</v>
      </c>
      <c r="P546" s="2"/>
      <c r="Q546" s="2">
        <f>VLOOKUP($A546,'[2]App C Inv'!$A$4:$I$917,5,FALSE)</f>
        <v>84085</v>
      </c>
      <c r="R546" s="2">
        <f>VLOOKUP($A546,'[2]App C Inv'!$A$4:$I$917,6,FALSE)</f>
        <v>-72329</v>
      </c>
      <c r="S546" s="2">
        <f>VLOOKUP($A546,'[2]App C Inv'!$A$4:$I$917,7,FALSE)</f>
        <v>10194</v>
      </c>
      <c r="T546" s="2">
        <f>VLOOKUP($A546,'[2]App C Inv'!$A$4:$I$917,8,FALSE)</f>
        <v>13267</v>
      </c>
      <c r="U546" s="2">
        <f>VLOOKUP($A546,'[2]App C Inv'!$A$4:$I$917,9,FALSE)</f>
        <v>0</v>
      </c>
      <c r="V546" s="2"/>
      <c r="W546" s="2">
        <f>VLOOKUP($A546,'[2]App C Assum'!$A$4:$I$917,5,FALSE)</f>
        <v>94723</v>
      </c>
      <c r="X546" s="2">
        <f>VLOOKUP($A546,'[2]App C Assum'!$A$4:$I$917,6,FALSE)</f>
        <v>77600</v>
      </c>
      <c r="Y546" s="2">
        <f>VLOOKUP($A546,'[2]App C Assum'!$A$4:$I$917,7,FALSE)</f>
        <v>62998</v>
      </c>
      <c r="Z546" s="2">
        <f>VLOOKUP($A546,'[2]App C Assum'!$A$4:$I$917,8,FALSE)</f>
        <v>0</v>
      </c>
      <c r="AA546" s="2">
        <f>VLOOKUP($A546,'[2]App C Assum'!$A$4:$I$917,9,FALSE)</f>
        <v>0</v>
      </c>
      <c r="AB546" s="2"/>
      <c r="AC546" s="2">
        <f>VLOOKUP($A546,'[2]App C Share Outflows'!$A$4:$I$917,5,FALSE)</f>
        <v>1039</v>
      </c>
      <c r="AD546" s="2">
        <f>VLOOKUP($A546,'[2]App C Share Outflows'!$A$4:$I$917,6,FALSE)</f>
        <v>661</v>
      </c>
      <c r="AE546" s="2">
        <f>VLOOKUP($A546,'[2]App C Share Outflows'!$A$4:$I$917,7,FALSE)</f>
        <v>663</v>
      </c>
      <c r="AF546" s="2">
        <f>VLOOKUP($A546,'[2]App C Share Outflows'!$A$4:$I$917,8,FALSE)</f>
        <v>463</v>
      </c>
      <c r="AG546" s="2">
        <f>VLOOKUP($A546,'[2]App C Share Outflows'!$A$4:$I$917,9,FALSE)</f>
        <v>0</v>
      </c>
      <c r="AH546" s="2"/>
      <c r="AI546" s="2">
        <f>VLOOKUP($A546,'[2]App C Share Inflows'!$A$4:$I$917,5,FALSE)</f>
        <v>-470</v>
      </c>
      <c r="AJ546" s="2">
        <f>VLOOKUP($A546,'[2]App C Share Inflows'!$A$4:$I$917,6,FALSE)</f>
        <v>-469</v>
      </c>
      <c r="AK546" s="2">
        <f>VLOOKUP($A546,'[2]App C Share Inflows'!$A$4:$I$917,7,FALSE)</f>
        <v>0</v>
      </c>
      <c r="AL546" s="2">
        <f>VLOOKUP($A546,'[2]App C Share Inflows'!$A$4:$I$917,8,FALSE)</f>
        <v>0</v>
      </c>
      <c r="AM546" s="2">
        <f>VLOOKUP($A546,'[2]App C Share Inflows'!$A$4:$I$917,6,FALSE)</f>
        <v>-469</v>
      </c>
    </row>
    <row r="547" spans="1:39">
      <c r="A547" s="351">
        <v>95813</v>
      </c>
      <c r="B547" s="344" t="s">
        <v>1242</v>
      </c>
      <c r="C547" s="235" t="e">
        <f>VLOOKUP(A547,#REF!,10,FALSE)</f>
        <v>#REF!</v>
      </c>
      <c r="E547" s="2">
        <f>VLOOKUP($A547,'[2]App C Total'!$A$4:$I$917,5,FALSE)</f>
        <v>53483</v>
      </c>
      <c r="F547" s="2">
        <f>VLOOKUP($A547,'[2]App C Total'!$A$4:$I$917,6,FALSE)</f>
        <v>31717</v>
      </c>
      <c r="G547" s="2">
        <f>VLOOKUP($A547,'[2]App C Total'!$A$4:$I$917,7,FALSE)</f>
        <v>27822</v>
      </c>
      <c r="H547" s="2">
        <f>VLOOKUP($A547,'[2]App C Total'!$A$4:$I$917,8,FALSE)</f>
        <v>9822</v>
      </c>
      <c r="I547" s="2">
        <f>VLOOKUP($A547,'[2]App C Total'!$A$4:$I$917,9,FALSE)</f>
        <v>0</v>
      </c>
      <c r="J547" s="2"/>
      <c r="K547" s="2">
        <f>VLOOKUP($A547,'[2]App C Exp'!$A$4:$I$917,5,FALSE)</f>
        <v>6606</v>
      </c>
      <c r="L547" s="2">
        <f>VLOOKUP($A547,'[2]App C Exp'!$A$4:$I$917,6,FALSE)</f>
        <v>6215</v>
      </c>
      <c r="M547" s="2">
        <f>VLOOKUP($A547,'[2]App C Exp'!$A$4:$I$917,7,FALSE)</f>
        <v>5570</v>
      </c>
      <c r="N547" s="2">
        <f>VLOOKUP($A547,'[2]App C Exp'!$A$4:$I$917,8,FALSE)</f>
        <v>2230</v>
      </c>
      <c r="O547" s="2">
        <f>VLOOKUP($A547,'[2]App C Exp'!$A$4:$I$917,9,FALSE)</f>
        <v>0</v>
      </c>
      <c r="P547" s="2"/>
      <c r="Q547" s="2">
        <f>VLOOKUP($A547,'[2]App C Inv'!$A$4:$I$917,5,FALSE)</f>
        <v>7014</v>
      </c>
      <c r="R547" s="2">
        <f>VLOOKUP($A547,'[2]App C Inv'!$A$4:$I$917,6,FALSE)</f>
        <v>-6033</v>
      </c>
      <c r="S547" s="2">
        <f>VLOOKUP($A547,'[2]App C Inv'!$A$4:$I$917,7,FALSE)</f>
        <v>850</v>
      </c>
      <c r="T547" s="2">
        <f>VLOOKUP($A547,'[2]App C Inv'!$A$4:$I$917,8,FALSE)</f>
        <v>1107</v>
      </c>
      <c r="U547" s="2">
        <f>VLOOKUP($A547,'[2]App C Inv'!$A$4:$I$917,9,FALSE)</f>
        <v>0</v>
      </c>
      <c r="V547" s="2"/>
      <c r="W547" s="2">
        <f>VLOOKUP($A547,'[2]App C Assum'!$A$4:$I$917,5,FALSE)</f>
        <v>7901</v>
      </c>
      <c r="X547" s="2">
        <f>VLOOKUP($A547,'[2]App C Assum'!$A$4:$I$917,6,FALSE)</f>
        <v>6473</v>
      </c>
      <c r="Y547" s="2">
        <f>VLOOKUP($A547,'[2]App C Assum'!$A$4:$I$917,7,FALSE)</f>
        <v>5255</v>
      </c>
      <c r="Z547" s="2">
        <f>VLOOKUP($A547,'[2]App C Assum'!$A$4:$I$917,8,FALSE)</f>
        <v>0</v>
      </c>
      <c r="AA547" s="2">
        <f>VLOOKUP($A547,'[2]App C Assum'!$A$4:$I$917,9,FALSE)</f>
        <v>0</v>
      </c>
      <c r="AB547" s="2"/>
      <c r="AC547" s="2">
        <f>VLOOKUP($A547,'[2]App C Share Outflows'!$A$4:$I$917,5,FALSE)</f>
        <v>31962</v>
      </c>
      <c r="AD547" s="2">
        <f>VLOOKUP($A547,'[2]App C Share Outflows'!$A$4:$I$917,6,FALSE)</f>
        <v>25062</v>
      </c>
      <c r="AE547" s="2">
        <f>VLOOKUP($A547,'[2]App C Share Outflows'!$A$4:$I$917,7,FALSE)</f>
        <v>16147</v>
      </c>
      <c r="AF547" s="2">
        <f>VLOOKUP($A547,'[2]App C Share Outflows'!$A$4:$I$917,8,FALSE)</f>
        <v>6485</v>
      </c>
      <c r="AG547" s="2">
        <f>VLOOKUP($A547,'[2]App C Share Outflows'!$A$4:$I$917,9,FALSE)</f>
        <v>0</v>
      </c>
      <c r="AH547" s="2"/>
      <c r="AI547" s="2">
        <f>VLOOKUP($A547,'[2]App C Share Inflows'!$A$4:$I$917,5,FALSE)</f>
        <v>0</v>
      </c>
      <c r="AJ547" s="2">
        <f>VLOOKUP($A547,'[2]App C Share Inflows'!$A$4:$I$917,6,FALSE)</f>
        <v>0</v>
      </c>
      <c r="AK547" s="2">
        <f>VLOOKUP($A547,'[2]App C Share Inflows'!$A$4:$I$917,7,FALSE)</f>
        <v>0</v>
      </c>
      <c r="AL547" s="2">
        <f>VLOOKUP($A547,'[2]App C Share Inflows'!$A$4:$I$917,8,FALSE)</f>
        <v>0</v>
      </c>
      <c r="AM547" s="2">
        <f>VLOOKUP($A547,'[2]App C Share Inflows'!$A$4:$I$917,6,FALSE)</f>
        <v>0</v>
      </c>
    </row>
    <row r="548" spans="1:39">
      <c r="A548" s="351">
        <v>95821</v>
      </c>
      <c r="B548" s="344" t="s">
        <v>1243</v>
      </c>
      <c r="C548" s="235" t="e">
        <f>VLOOKUP(A548,#REF!,10,FALSE)</f>
        <v>#REF!</v>
      </c>
      <c r="E548" s="2">
        <f>VLOOKUP($A548,'[2]App C Total'!$A$4:$I$917,5,FALSE)</f>
        <v>4808</v>
      </c>
      <c r="F548" s="2">
        <f>VLOOKUP($A548,'[2]App C Total'!$A$4:$I$917,6,FALSE)</f>
        <v>2422</v>
      </c>
      <c r="G548" s="2">
        <f>VLOOKUP($A548,'[2]App C Total'!$A$4:$I$917,7,FALSE)</f>
        <v>3316</v>
      </c>
      <c r="H548" s="2">
        <f>VLOOKUP($A548,'[2]App C Total'!$A$4:$I$917,8,FALSE)</f>
        <v>1702</v>
      </c>
      <c r="I548" s="2">
        <f>VLOOKUP($A548,'[2]App C Total'!$A$4:$I$917,9,FALSE)</f>
        <v>0</v>
      </c>
      <c r="J548" s="2"/>
      <c r="K548" s="2">
        <f>VLOOKUP($A548,'[2]App C Exp'!$A$4:$I$917,5,FALSE)</f>
        <v>959</v>
      </c>
      <c r="L548" s="2">
        <f>VLOOKUP($A548,'[2]App C Exp'!$A$4:$I$917,6,FALSE)</f>
        <v>902</v>
      </c>
      <c r="M548" s="2">
        <f>VLOOKUP($A548,'[2]App C Exp'!$A$4:$I$917,7,FALSE)</f>
        <v>808</v>
      </c>
      <c r="N548" s="2">
        <f>VLOOKUP($A548,'[2]App C Exp'!$A$4:$I$917,8,FALSE)</f>
        <v>324</v>
      </c>
      <c r="O548" s="2">
        <f>VLOOKUP($A548,'[2]App C Exp'!$A$4:$I$917,9,FALSE)</f>
        <v>0</v>
      </c>
      <c r="P548" s="2"/>
      <c r="Q548" s="2">
        <f>VLOOKUP($A548,'[2]App C Inv'!$A$4:$I$917,5,FALSE)</f>
        <v>1018</v>
      </c>
      <c r="R548" s="2">
        <f>VLOOKUP($A548,'[2]App C Inv'!$A$4:$I$917,6,FALSE)</f>
        <v>-876</v>
      </c>
      <c r="S548" s="2">
        <f>VLOOKUP($A548,'[2]App C Inv'!$A$4:$I$917,7,FALSE)</f>
        <v>123</v>
      </c>
      <c r="T548" s="2">
        <f>VLOOKUP($A548,'[2]App C Inv'!$A$4:$I$917,8,FALSE)</f>
        <v>161</v>
      </c>
      <c r="U548" s="2">
        <f>VLOOKUP($A548,'[2]App C Inv'!$A$4:$I$917,9,FALSE)</f>
        <v>0</v>
      </c>
      <c r="V548" s="2"/>
      <c r="W548" s="2">
        <f>VLOOKUP($A548,'[2]App C Assum'!$A$4:$I$917,5,FALSE)</f>
        <v>1147</v>
      </c>
      <c r="X548" s="2">
        <f>VLOOKUP($A548,'[2]App C Assum'!$A$4:$I$917,6,FALSE)</f>
        <v>939</v>
      </c>
      <c r="Y548" s="2">
        <f>VLOOKUP($A548,'[2]App C Assum'!$A$4:$I$917,7,FALSE)</f>
        <v>763</v>
      </c>
      <c r="Z548" s="2">
        <f>VLOOKUP($A548,'[2]App C Assum'!$A$4:$I$917,8,FALSE)</f>
        <v>0</v>
      </c>
      <c r="AA548" s="2">
        <f>VLOOKUP($A548,'[2]App C Assum'!$A$4:$I$917,9,FALSE)</f>
        <v>0</v>
      </c>
      <c r="AB548" s="2"/>
      <c r="AC548" s="2">
        <f>VLOOKUP($A548,'[2]App C Share Outflows'!$A$4:$I$917,5,FALSE)</f>
        <v>1847</v>
      </c>
      <c r="AD548" s="2">
        <f>VLOOKUP($A548,'[2]App C Share Outflows'!$A$4:$I$917,6,FALSE)</f>
        <v>1620</v>
      </c>
      <c r="AE548" s="2">
        <f>VLOOKUP($A548,'[2]App C Share Outflows'!$A$4:$I$917,7,FALSE)</f>
        <v>1622</v>
      </c>
      <c r="AF548" s="2">
        <f>VLOOKUP($A548,'[2]App C Share Outflows'!$A$4:$I$917,8,FALSE)</f>
        <v>1217</v>
      </c>
      <c r="AG548" s="2">
        <f>VLOOKUP($A548,'[2]App C Share Outflows'!$A$4:$I$917,9,FALSE)</f>
        <v>0</v>
      </c>
      <c r="AH548" s="2"/>
      <c r="AI548" s="2">
        <f>VLOOKUP($A548,'[2]App C Share Inflows'!$A$4:$I$917,5,FALSE)</f>
        <v>-163</v>
      </c>
      <c r="AJ548" s="2">
        <f>VLOOKUP($A548,'[2]App C Share Inflows'!$A$4:$I$917,6,FALSE)</f>
        <v>-163</v>
      </c>
      <c r="AK548" s="2">
        <f>VLOOKUP($A548,'[2]App C Share Inflows'!$A$4:$I$917,7,FALSE)</f>
        <v>0</v>
      </c>
      <c r="AL548" s="2">
        <f>VLOOKUP($A548,'[2]App C Share Inflows'!$A$4:$I$917,8,FALSE)</f>
        <v>0</v>
      </c>
      <c r="AM548" s="2">
        <f>VLOOKUP($A548,'[2]App C Share Inflows'!$A$4:$I$917,6,FALSE)</f>
        <v>-163</v>
      </c>
    </row>
    <row r="549" spans="1:39">
      <c r="A549" s="351">
        <v>95831</v>
      </c>
      <c r="B549" s="344" t="s">
        <v>1244</v>
      </c>
      <c r="C549" s="235" t="e">
        <f>VLOOKUP(A549,#REF!,10,FALSE)</f>
        <v>#REF!</v>
      </c>
      <c r="E549" s="2">
        <f>VLOOKUP($A549,'[2]App C Total'!$A$4:$I$917,5,FALSE)</f>
        <v>18765</v>
      </c>
      <c r="F549" s="2">
        <f>VLOOKUP($A549,'[2]App C Total'!$A$4:$I$917,6,FALSE)</f>
        <v>10371</v>
      </c>
      <c r="G549" s="2">
        <f>VLOOKUP($A549,'[2]App C Total'!$A$4:$I$917,7,FALSE)</f>
        <v>9236</v>
      </c>
      <c r="H549" s="2">
        <f>VLOOKUP($A549,'[2]App C Total'!$A$4:$I$917,8,FALSE)</f>
        <v>2890</v>
      </c>
      <c r="I549" s="2">
        <f>VLOOKUP($A549,'[2]App C Total'!$A$4:$I$917,9,FALSE)</f>
        <v>0</v>
      </c>
      <c r="J549" s="2"/>
      <c r="K549" s="2">
        <f>VLOOKUP($A549,'[2]App C Exp'!$A$4:$I$917,5,FALSE)</f>
        <v>2981</v>
      </c>
      <c r="L549" s="2">
        <f>VLOOKUP($A549,'[2]App C Exp'!$A$4:$I$917,6,FALSE)</f>
        <v>2804</v>
      </c>
      <c r="M549" s="2">
        <f>VLOOKUP($A549,'[2]App C Exp'!$A$4:$I$917,7,FALSE)</f>
        <v>2513</v>
      </c>
      <c r="N549" s="2">
        <f>VLOOKUP($A549,'[2]App C Exp'!$A$4:$I$917,8,FALSE)</f>
        <v>1006</v>
      </c>
      <c r="O549" s="2">
        <f>VLOOKUP($A549,'[2]App C Exp'!$A$4:$I$917,9,FALSE)</f>
        <v>0</v>
      </c>
      <c r="P549" s="2"/>
      <c r="Q549" s="2">
        <f>VLOOKUP($A549,'[2]App C Inv'!$A$4:$I$917,5,FALSE)</f>
        <v>3165</v>
      </c>
      <c r="R549" s="2">
        <f>VLOOKUP($A549,'[2]App C Inv'!$A$4:$I$917,6,FALSE)</f>
        <v>-2722</v>
      </c>
      <c r="S549" s="2">
        <f>VLOOKUP($A549,'[2]App C Inv'!$A$4:$I$917,7,FALSE)</f>
        <v>384</v>
      </c>
      <c r="T549" s="2">
        <f>VLOOKUP($A549,'[2]App C Inv'!$A$4:$I$917,8,FALSE)</f>
        <v>499</v>
      </c>
      <c r="U549" s="2">
        <f>VLOOKUP($A549,'[2]App C Inv'!$A$4:$I$917,9,FALSE)</f>
        <v>0</v>
      </c>
      <c r="V549" s="2"/>
      <c r="W549" s="2">
        <f>VLOOKUP($A549,'[2]App C Assum'!$A$4:$I$917,5,FALSE)</f>
        <v>3565</v>
      </c>
      <c r="X549" s="2">
        <f>VLOOKUP($A549,'[2]App C Assum'!$A$4:$I$917,6,FALSE)</f>
        <v>2921</v>
      </c>
      <c r="Y549" s="2">
        <f>VLOOKUP($A549,'[2]App C Assum'!$A$4:$I$917,7,FALSE)</f>
        <v>2371</v>
      </c>
      <c r="Z549" s="2">
        <f>VLOOKUP($A549,'[2]App C Assum'!$A$4:$I$917,8,FALSE)</f>
        <v>0</v>
      </c>
      <c r="AA549" s="2">
        <f>VLOOKUP($A549,'[2]App C Assum'!$A$4:$I$917,9,FALSE)</f>
        <v>0</v>
      </c>
      <c r="AB549" s="2"/>
      <c r="AC549" s="2">
        <f>VLOOKUP($A549,'[2]App C Share Outflows'!$A$4:$I$917,5,FALSE)</f>
        <v>9054</v>
      </c>
      <c r="AD549" s="2">
        <f>VLOOKUP($A549,'[2]App C Share Outflows'!$A$4:$I$917,6,FALSE)</f>
        <v>7368</v>
      </c>
      <c r="AE549" s="2">
        <f>VLOOKUP($A549,'[2]App C Share Outflows'!$A$4:$I$917,7,FALSE)</f>
        <v>3968</v>
      </c>
      <c r="AF549" s="2">
        <f>VLOOKUP($A549,'[2]App C Share Outflows'!$A$4:$I$917,8,FALSE)</f>
        <v>1385</v>
      </c>
      <c r="AG549" s="2">
        <f>VLOOKUP($A549,'[2]App C Share Outflows'!$A$4:$I$917,9,FALSE)</f>
        <v>0</v>
      </c>
      <c r="AH549" s="2"/>
      <c r="AI549" s="2">
        <f>VLOOKUP($A549,'[2]App C Share Inflows'!$A$4:$I$917,5,FALSE)</f>
        <v>0</v>
      </c>
      <c r="AJ549" s="2">
        <f>VLOOKUP($A549,'[2]App C Share Inflows'!$A$4:$I$917,6,FALSE)</f>
        <v>0</v>
      </c>
      <c r="AK549" s="2">
        <f>VLOOKUP($A549,'[2]App C Share Inflows'!$A$4:$I$917,7,FALSE)</f>
        <v>0</v>
      </c>
      <c r="AL549" s="2">
        <f>VLOOKUP($A549,'[2]App C Share Inflows'!$A$4:$I$917,8,FALSE)</f>
        <v>0</v>
      </c>
      <c r="AM549" s="2">
        <f>VLOOKUP($A549,'[2]App C Share Inflows'!$A$4:$I$917,6,FALSE)</f>
        <v>0</v>
      </c>
    </row>
    <row r="550" spans="1:39">
      <c r="A550" s="351">
        <v>95841</v>
      </c>
      <c r="B550" s="344" t="s">
        <v>1245</v>
      </c>
      <c r="C550" s="235" t="e">
        <f>VLOOKUP(A550,#REF!,10,FALSE)</f>
        <v>#REF!</v>
      </c>
      <c r="E550" s="2">
        <f>VLOOKUP($A550,'[2]App C Total'!$A$4:$I$917,5,FALSE)</f>
        <v>14454</v>
      </c>
      <c r="F550" s="2">
        <f>VLOOKUP($A550,'[2]App C Total'!$A$4:$I$917,6,FALSE)</f>
        <v>5541</v>
      </c>
      <c r="G550" s="2">
        <f>VLOOKUP($A550,'[2]App C Total'!$A$4:$I$917,7,FALSE)</f>
        <v>8260</v>
      </c>
      <c r="H550" s="2">
        <f>VLOOKUP($A550,'[2]App C Total'!$A$4:$I$917,8,FALSE)</f>
        <v>2952</v>
      </c>
      <c r="I550" s="2">
        <f>VLOOKUP($A550,'[2]App C Total'!$A$4:$I$917,9,FALSE)</f>
        <v>0</v>
      </c>
      <c r="J550" s="2"/>
      <c r="K550" s="2">
        <f>VLOOKUP($A550,'[2]App C Exp'!$A$4:$I$917,5,FALSE)</f>
        <v>3865</v>
      </c>
      <c r="L550" s="2">
        <f>VLOOKUP($A550,'[2]App C Exp'!$A$4:$I$917,6,FALSE)</f>
        <v>3636</v>
      </c>
      <c r="M550" s="2">
        <f>VLOOKUP($A550,'[2]App C Exp'!$A$4:$I$917,7,FALSE)</f>
        <v>3259</v>
      </c>
      <c r="N550" s="2">
        <f>VLOOKUP($A550,'[2]App C Exp'!$A$4:$I$917,8,FALSE)</f>
        <v>1305</v>
      </c>
      <c r="O550" s="2">
        <f>VLOOKUP($A550,'[2]App C Exp'!$A$4:$I$917,9,FALSE)</f>
        <v>0</v>
      </c>
      <c r="P550" s="2"/>
      <c r="Q550" s="2">
        <f>VLOOKUP($A550,'[2]App C Inv'!$A$4:$I$917,5,FALSE)</f>
        <v>4103</v>
      </c>
      <c r="R550" s="2">
        <f>VLOOKUP($A550,'[2]App C Inv'!$A$4:$I$917,6,FALSE)</f>
        <v>-3530</v>
      </c>
      <c r="S550" s="2">
        <f>VLOOKUP($A550,'[2]App C Inv'!$A$4:$I$917,7,FALSE)</f>
        <v>497</v>
      </c>
      <c r="T550" s="2">
        <f>VLOOKUP($A550,'[2]App C Inv'!$A$4:$I$917,8,FALSE)</f>
        <v>647</v>
      </c>
      <c r="U550" s="2">
        <f>VLOOKUP($A550,'[2]App C Inv'!$A$4:$I$917,9,FALSE)</f>
        <v>0</v>
      </c>
      <c r="V550" s="2"/>
      <c r="W550" s="2">
        <f>VLOOKUP($A550,'[2]App C Assum'!$A$4:$I$917,5,FALSE)</f>
        <v>4622</v>
      </c>
      <c r="X550" s="2">
        <f>VLOOKUP($A550,'[2]App C Assum'!$A$4:$I$917,6,FALSE)</f>
        <v>3787</v>
      </c>
      <c r="Y550" s="2">
        <f>VLOOKUP($A550,'[2]App C Assum'!$A$4:$I$917,7,FALSE)</f>
        <v>3074</v>
      </c>
      <c r="Z550" s="2">
        <f>VLOOKUP($A550,'[2]App C Assum'!$A$4:$I$917,8,FALSE)</f>
        <v>0</v>
      </c>
      <c r="AA550" s="2">
        <f>VLOOKUP($A550,'[2]App C Assum'!$A$4:$I$917,9,FALSE)</f>
        <v>0</v>
      </c>
      <c r="AB550" s="2"/>
      <c r="AC550" s="2">
        <f>VLOOKUP($A550,'[2]App C Share Outflows'!$A$4:$I$917,5,FALSE)</f>
        <v>1864</v>
      </c>
      <c r="AD550" s="2">
        <f>VLOOKUP($A550,'[2]App C Share Outflows'!$A$4:$I$917,6,FALSE)</f>
        <v>1648</v>
      </c>
      <c r="AE550" s="2">
        <f>VLOOKUP($A550,'[2]App C Share Outflows'!$A$4:$I$917,7,FALSE)</f>
        <v>1430</v>
      </c>
      <c r="AF550" s="2">
        <f>VLOOKUP($A550,'[2]App C Share Outflows'!$A$4:$I$917,8,FALSE)</f>
        <v>1000</v>
      </c>
      <c r="AG550" s="2">
        <f>VLOOKUP($A550,'[2]App C Share Outflows'!$A$4:$I$917,9,FALSE)</f>
        <v>0</v>
      </c>
      <c r="AH550" s="2"/>
      <c r="AI550" s="2">
        <f>VLOOKUP($A550,'[2]App C Share Inflows'!$A$4:$I$917,5,FALSE)</f>
        <v>0</v>
      </c>
      <c r="AJ550" s="2">
        <f>VLOOKUP($A550,'[2]App C Share Inflows'!$A$4:$I$917,6,FALSE)</f>
        <v>0</v>
      </c>
      <c r="AK550" s="2">
        <f>VLOOKUP($A550,'[2]App C Share Inflows'!$A$4:$I$917,7,FALSE)</f>
        <v>0</v>
      </c>
      <c r="AL550" s="2">
        <f>VLOOKUP($A550,'[2]App C Share Inflows'!$A$4:$I$917,8,FALSE)</f>
        <v>0</v>
      </c>
      <c r="AM550" s="2">
        <f>VLOOKUP($A550,'[2]App C Share Inflows'!$A$4:$I$917,6,FALSE)</f>
        <v>0</v>
      </c>
    </row>
    <row r="551" spans="1:39">
      <c r="A551" s="351">
        <v>95851</v>
      </c>
      <c r="B551" s="344" t="s">
        <v>1246</v>
      </c>
      <c r="C551" s="235" t="e">
        <f>VLOOKUP(A551,#REF!,10,FALSE)</f>
        <v>#REF!</v>
      </c>
      <c r="E551" s="2">
        <f>VLOOKUP($A551,'[2]App C Total'!$A$4:$I$917,5,FALSE)</f>
        <v>117842</v>
      </c>
      <c r="F551" s="2">
        <f>VLOOKUP($A551,'[2]App C Total'!$A$4:$I$917,6,FALSE)</f>
        <v>63821</v>
      </c>
      <c r="G551" s="2">
        <f>VLOOKUP($A551,'[2]App C Total'!$A$4:$I$917,7,FALSE)</f>
        <v>61424</v>
      </c>
      <c r="H551" s="2">
        <f>VLOOKUP($A551,'[2]App C Total'!$A$4:$I$917,8,FALSE)</f>
        <v>21376</v>
      </c>
      <c r="I551" s="2">
        <f>VLOOKUP($A551,'[2]App C Total'!$A$4:$I$917,9,FALSE)</f>
        <v>0</v>
      </c>
      <c r="J551" s="2"/>
      <c r="K551" s="2">
        <f>VLOOKUP($A551,'[2]App C Exp'!$A$4:$I$917,5,FALSE)</f>
        <v>18876</v>
      </c>
      <c r="L551" s="2">
        <f>VLOOKUP($A551,'[2]App C Exp'!$A$4:$I$917,6,FALSE)</f>
        <v>17756</v>
      </c>
      <c r="M551" s="2">
        <f>VLOOKUP($A551,'[2]App C Exp'!$A$4:$I$917,7,FALSE)</f>
        <v>15914</v>
      </c>
      <c r="N551" s="2">
        <f>VLOOKUP($A551,'[2]App C Exp'!$A$4:$I$917,8,FALSE)</f>
        <v>6372</v>
      </c>
      <c r="O551" s="2">
        <f>VLOOKUP($A551,'[2]App C Exp'!$A$4:$I$917,9,FALSE)</f>
        <v>0</v>
      </c>
      <c r="P551" s="2"/>
      <c r="Q551" s="2">
        <f>VLOOKUP($A551,'[2]App C Inv'!$A$4:$I$917,5,FALSE)</f>
        <v>20039</v>
      </c>
      <c r="R551" s="2">
        <f>VLOOKUP($A551,'[2]App C Inv'!$A$4:$I$917,6,FALSE)</f>
        <v>-17237</v>
      </c>
      <c r="S551" s="2">
        <f>VLOOKUP($A551,'[2]App C Inv'!$A$4:$I$917,7,FALSE)</f>
        <v>2429</v>
      </c>
      <c r="T551" s="2">
        <f>VLOOKUP($A551,'[2]App C Inv'!$A$4:$I$917,8,FALSE)</f>
        <v>3162</v>
      </c>
      <c r="U551" s="2">
        <f>VLOOKUP($A551,'[2]App C Inv'!$A$4:$I$917,9,FALSE)</f>
        <v>0</v>
      </c>
      <c r="V551" s="2"/>
      <c r="W551" s="2">
        <f>VLOOKUP($A551,'[2]App C Assum'!$A$4:$I$917,5,FALSE)</f>
        <v>22574</v>
      </c>
      <c r="X551" s="2">
        <f>VLOOKUP($A551,'[2]App C Assum'!$A$4:$I$917,6,FALSE)</f>
        <v>18494</v>
      </c>
      <c r="Y551" s="2">
        <f>VLOOKUP($A551,'[2]App C Assum'!$A$4:$I$917,7,FALSE)</f>
        <v>15014</v>
      </c>
      <c r="Z551" s="2">
        <f>VLOOKUP($A551,'[2]App C Assum'!$A$4:$I$917,8,FALSE)</f>
        <v>0</v>
      </c>
      <c r="AA551" s="2">
        <f>VLOOKUP($A551,'[2]App C Assum'!$A$4:$I$917,9,FALSE)</f>
        <v>0</v>
      </c>
      <c r="AB551" s="2"/>
      <c r="AC551" s="2">
        <f>VLOOKUP($A551,'[2]App C Share Outflows'!$A$4:$I$917,5,FALSE)</f>
        <v>56353</v>
      </c>
      <c r="AD551" s="2">
        <f>VLOOKUP($A551,'[2]App C Share Outflows'!$A$4:$I$917,6,FALSE)</f>
        <v>44808</v>
      </c>
      <c r="AE551" s="2">
        <f>VLOOKUP($A551,'[2]App C Share Outflows'!$A$4:$I$917,7,FALSE)</f>
        <v>28067</v>
      </c>
      <c r="AF551" s="2">
        <f>VLOOKUP($A551,'[2]App C Share Outflows'!$A$4:$I$917,8,FALSE)</f>
        <v>11842</v>
      </c>
      <c r="AG551" s="2">
        <f>VLOOKUP($A551,'[2]App C Share Outflows'!$A$4:$I$917,9,FALSE)</f>
        <v>0</v>
      </c>
      <c r="AH551" s="2"/>
      <c r="AI551" s="2">
        <f>VLOOKUP($A551,'[2]App C Share Inflows'!$A$4:$I$917,5,FALSE)</f>
        <v>0</v>
      </c>
      <c r="AJ551" s="2">
        <f>VLOOKUP($A551,'[2]App C Share Inflows'!$A$4:$I$917,6,FALSE)</f>
        <v>0</v>
      </c>
      <c r="AK551" s="2">
        <f>VLOOKUP($A551,'[2]App C Share Inflows'!$A$4:$I$917,7,FALSE)</f>
        <v>0</v>
      </c>
      <c r="AL551" s="2">
        <f>VLOOKUP($A551,'[2]App C Share Inflows'!$A$4:$I$917,8,FALSE)</f>
        <v>0</v>
      </c>
      <c r="AM551" s="2">
        <f>VLOOKUP($A551,'[2]App C Share Inflows'!$A$4:$I$917,6,FALSE)</f>
        <v>0</v>
      </c>
    </row>
    <row r="552" spans="1:39">
      <c r="A552" s="351">
        <v>95853</v>
      </c>
      <c r="B552" s="344" t="s">
        <v>1247</v>
      </c>
      <c r="C552" s="235" t="e">
        <f>VLOOKUP(A552,#REF!,10,FALSE)</f>
        <v>#REF!</v>
      </c>
      <c r="E552" s="2">
        <f>VLOOKUP($A552,'[2]App C Total'!$A$4:$I$917,5,FALSE)</f>
        <v>17287</v>
      </c>
      <c r="F552" s="2">
        <f>VLOOKUP($A552,'[2]App C Total'!$A$4:$I$917,6,FALSE)</f>
        <v>6225</v>
      </c>
      <c r="G552" s="2">
        <f>VLOOKUP($A552,'[2]App C Total'!$A$4:$I$917,7,FALSE)</f>
        <v>8787</v>
      </c>
      <c r="H552" s="2">
        <f>VLOOKUP($A552,'[2]App C Total'!$A$4:$I$917,8,FALSE)</f>
        <v>2146</v>
      </c>
      <c r="I552" s="2">
        <f>VLOOKUP($A552,'[2]App C Total'!$A$4:$I$917,9,FALSE)</f>
        <v>0</v>
      </c>
      <c r="J552" s="2"/>
      <c r="K552" s="2">
        <f>VLOOKUP($A552,'[2]App C Exp'!$A$4:$I$917,5,FALSE)</f>
        <v>4539</v>
      </c>
      <c r="L552" s="2">
        <f>VLOOKUP($A552,'[2]App C Exp'!$A$4:$I$917,6,FALSE)</f>
        <v>4270</v>
      </c>
      <c r="M552" s="2">
        <f>VLOOKUP($A552,'[2]App C Exp'!$A$4:$I$917,7,FALSE)</f>
        <v>3827</v>
      </c>
      <c r="N552" s="2">
        <f>VLOOKUP($A552,'[2]App C Exp'!$A$4:$I$917,8,FALSE)</f>
        <v>1532</v>
      </c>
      <c r="O552" s="2">
        <f>VLOOKUP($A552,'[2]App C Exp'!$A$4:$I$917,9,FALSE)</f>
        <v>0</v>
      </c>
      <c r="P552" s="2"/>
      <c r="Q552" s="2">
        <f>VLOOKUP($A552,'[2]App C Inv'!$A$4:$I$917,5,FALSE)</f>
        <v>4819</v>
      </c>
      <c r="R552" s="2">
        <f>VLOOKUP($A552,'[2]App C Inv'!$A$4:$I$917,6,FALSE)</f>
        <v>-4145</v>
      </c>
      <c r="S552" s="2">
        <f>VLOOKUP($A552,'[2]App C Inv'!$A$4:$I$917,7,FALSE)</f>
        <v>584</v>
      </c>
      <c r="T552" s="2">
        <f>VLOOKUP($A552,'[2]App C Inv'!$A$4:$I$917,8,FALSE)</f>
        <v>760</v>
      </c>
      <c r="U552" s="2">
        <f>VLOOKUP($A552,'[2]App C Inv'!$A$4:$I$917,9,FALSE)</f>
        <v>0</v>
      </c>
      <c r="V552" s="2"/>
      <c r="W552" s="2">
        <f>VLOOKUP($A552,'[2]App C Assum'!$A$4:$I$917,5,FALSE)</f>
        <v>5429</v>
      </c>
      <c r="X552" s="2">
        <f>VLOOKUP($A552,'[2]App C Assum'!$A$4:$I$917,6,FALSE)</f>
        <v>4447</v>
      </c>
      <c r="Y552" s="2">
        <f>VLOOKUP($A552,'[2]App C Assum'!$A$4:$I$917,7,FALSE)</f>
        <v>3610</v>
      </c>
      <c r="Z552" s="2">
        <f>VLOOKUP($A552,'[2]App C Assum'!$A$4:$I$917,8,FALSE)</f>
        <v>0</v>
      </c>
      <c r="AA552" s="2">
        <f>VLOOKUP($A552,'[2]App C Assum'!$A$4:$I$917,9,FALSE)</f>
        <v>0</v>
      </c>
      <c r="AB552" s="2"/>
      <c r="AC552" s="2">
        <f>VLOOKUP($A552,'[2]App C Share Outflows'!$A$4:$I$917,5,FALSE)</f>
        <v>2647</v>
      </c>
      <c r="AD552" s="2">
        <f>VLOOKUP($A552,'[2]App C Share Outflows'!$A$4:$I$917,6,FALSE)</f>
        <v>1800</v>
      </c>
      <c r="AE552" s="2">
        <f>VLOOKUP($A552,'[2]App C Share Outflows'!$A$4:$I$917,7,FALSE)</f>
        <v>913</v>
      </c>
      <c r="AF552" s="2">
        <f>VLOOKUP($A552,'[2]App C Share Outflows'!$A$4:$I$917,8,FALSE)</f>
        <v>0</v>
      </c>
      <c r="AG552" s="2">
        <f>VLOOKUP($A552,'[2]App C Share Outflows'!$A$4:$I$917,9,FALSE)</f>
        <v>0</v>
      </c>
      <c r="AH552" s="2"/>
      <c r="AI552" s="2">
        <f>VLOOKUP($A552,'[2]App C Share Inflows'!$A$4:$I$917,5,FALSE)</f>
        <v>-147</v>
      </c>
      <c r="AJ552" s="2">
        <f>VLOOKUP($A552,'[2]App C Share Inflows'!$A$4:$I$917,6,FALSE)</f>
        <v>-147</v>
      </c>
      <c r="AK552" s="2">
        <f>VLOOKUP($A552,'[2]App C Share Inflows'!$A$4:$I$917,7,FALSE)</f>
        <v>-147</v>
      </c>
      <c r="AL552" s="2">
        <f>VLOOKUP($A552,'[2]App C Share Inflows'!$A$4:$I$917,8,FALSE)</f>
        <v>-146</v>
      </c>
      <c r="AM552" s="2">
        <f>VLOOKUP($A552,'[2]App C Share Inflows'!$A$4:$I$917,6,FALSE)</f>
        <v>-147</v>
      </c>
    </row>
    <row r="553" spans="1:39">
      <c r="A553" s="351">
        <v>95901</v>
      </c>
      <c r="B553" s="344" t="s">
        <v>1248</v>
      </c>
      <c r="C553" s="235" t="e">
        <f>VLOOKUP(A553,#REF!,10,FALSE)</f>
        <v>#REF!</v>
      </c>
      <c r="E553" s="2">
        <f>VLOOKUP($A553,'[2]App C Total'!$A$4:$I$917,5,FALSE)</f>
        <v>967879</v>
      </c>
      <c r="F553" s="2">
        <f>VLOOKUP($A553,'[2]App C Total'!$A$4:$I$917,6,FALSE)</f>
        <v>298372</v>
      </c>
      <c r="G553" s="2">
        <f>VLOOKUP($A553,'[2]App C Total'!$A$4:$I$917,7,FALSE)</f>
        <v>526525</v>
      </c>
      <c r="H553" s="2">
        <f>VLOOKUP($A553,'[2]App C Total'!$A$4:$I$917,8,FALSE)</f>
        <v>150227</v>
      </c>
      <c r="I553" s="2">
        <f>VLOOKUP($A553,'[2]App C Total'!$A$4:$I$917,9,FALSE)</f>
        <v>0</v>
      </c>
      <c r="J553" s="2"/>
      <c r="K553" s="2">
        <f>VLOOKUP($A553,'[2]App C Exp'!$A$4:$I$917,5,FALSE)</f>
        <v>298640</v>
      </c>
      <c r="L553" s="2">
        <f>VLOOKUP($A553,'[2]App C Exp'!$A$4:$I$917,6,FALSE)</f>
        <v>280924</v>
      </c>
      <c r="M553" s="2">
        <f>VLOOKUP($A553,'[2]App C Exp'!$A$4:$I$917,7,FALSE)</f>
        <v>251789</v>
      </c>
      <c r="N553" s="2">
        <f>VLOOKUP($A553,'[2]App C Exp'!$A$4:$I$917,8,FALSE)</f>
        <v>100813</v>
      </c>
      <c r="O553" s="2">
        <f>VLOOKUP($A553,'[2]App C Exp'!$A$4:$I$917,9,FALSE)</f>
        <v>0</v>
      </c>
      <c r="P553" s="2"/>
      <c r="Q553" s="2">
        <f>VLOOKUP($A553,'[2]App C Inv'!$A$4:$I$917,5,FALSE)</f>
        <v>317048</v>
      </c>
      <c r="R553" s="2">
        <f>VLOOKUP($A553,'[2]App C Inv'!$A$4:$I$917,6,FALSE)</f>
        <v>-272721</v>
      </c>
      <c r="S553" s="2">
        <f>VLOOKUP($A553,'[2]App C Inv'!$A$4:$I$917,7,FALSE)</f>
        <v>38437</v>
      </c>
      <c r="T553" s="2">
        <f>VLOOKUP($A553,'[2]App C Inv'!$A$4:$I$917,8,FALSE)</f>
        <v>50025</v>
      </c>
      <c r="U553" s="2">
        <f>VLOOKUP($A553,'[2]App C Inv'!$A$4:$I$917,9,FALSE)</f>
        <v>0</v>
      </c>
      <c r="V553" s="2"/>
      <c r="W553" s="2">
        <f>VLOOKUP($A553,'[2]App C Assum'!$A$4:$I$917,5,FALSE)</f>
        <v>357159</v>
      </c>
      <c r="X553" s="2">
        <f>VLOOKUP($A553,'[2]App C Assum'!$A$4:$I$917,6,FALSE)</f>
        <v>292598</v>
      </c>
      <c r="Y553" s="2">
        <f>VLOOKUP($A553,'[2]App C Assum'!$A$4:$I$917,7,FALSE)</f>
        <v>237539</v>
      </c>
      <c r="Z553" s="2">
        <f>VLOOKUP($A553,'[2]App C Assum'!$A$4:$I$917,8,FALSE)</f>
        <v>0</v>
      </c>
      <c r="AA553" s="2">
        <f>VLOOKUP($A553,'[2]App C Assum'!$A$4:$I$917,9,FALSE)</f>
        <v>0</v>
      </c>
      <c r="AB553" s="2"/>
      <c r="AC553" s="2">
        <f>VLOOKUP($A553,'[2]App C Share Outflows'!$A$4:$I$917,5,FALSE)</f>
        <v>0</v>
      </c>
      <c r="AD553" s="2">
        <f>VLOOKUP($A553,'[2]App C Share Outflows'!$A$4:$I$917,6,FALSE)</f>
        <v>0</v>
      </c>
      <c r="AE553" s="2">
        <f>VLOOKUP($A553,'[2]App C Share Outflows'!$A$4:$I$917,7,FALSE)</f>
        <v>0</v>
      </c>
      <c r="AF553" s="2">
        <f>VLOOKUP($A553,'[2]App C Share Outflows'!$A$4:$I$917,8,FALSE)</f>
        <v>0</v>
      </c>
      <c r="AG553" s="2">
        <f>VLOOKUP($A553,'[2]App C Share Outflows'!$A$4:$I$917,9,FALSE)</f>
        <v>0</v>
      </c>
      <c r="AH553" s="2"/>
      <c r="AI553" s="2">
        <f>VLOOKUP($A553,'[2]App C Share Inflows'!$A$4:$I$917,5,FALSE)</f>
        <v>-4968</v>
      </c>
      <c r="AJ553" s="2">
        <f>VLOOKUP($A553,'[2]App C Share Inflows'!$A$4:$I$917,6,FALSE)</f>
        <v>-2429</v>
      </c>
      <c r="AK553" s="2">
        <f>VLOOKUP($A553,'[2]App C Share Inflows'!$A$4:$I$917,7,FALSE)</f>
        <v>-1240</v>
      </c>
      <c r="AL553" s="2">
        <f>VLOOKUP($A553,'[2]App C Share Inflows'!$A$4:$I$917,8,FALSE)</f>
        <v>-611</v>
      </c>
      <c r="AM553" s="2">
        <f>VLOOKUP($A553,'[2]App C Share Inflows'!$A$4:$I$917,6,FALSE)</f>
        <v>-2429</v>
      </c>
    </row>
    <row r="554" spans="1:39">
      <c r="A554" s="351">
        <v>95908</v>
      </c>
      <c r="B554" s="344" t="s">
        <v>3687</v>
      </c>
      <c r="C554" s="235" t="e">
        <f>VLOOKUP(A554,#REF!,10,FALSE)</f>
        <v>#REF!</v>
      </c>
      <c r="E554" s="2">
        <f>VLOOKUP($A554,'[2]App C Total'!$A$4:$I$917,5,FALSE)</f>
        <v>30269</v>
      </c>
      <c r="F554" s="2">
        <f>VLOOKUP($A554,'[2]App C Total'!$A$4:$I$917,6,FALSE)</f>
        <v>7019</v>
      </c>
      <c r="G554" s="2">
        <f>VLOOKUP($A554,'[2]App C Total'!$A$4:$I$917,7,FALSE)</f>
        <v>16839</v>
      </c>
      <c r="H554" s="2">
        <f>VLOOKUP($A554,'[2]App C Total'!$A$4:$I$917,8,FALSE)</f>
        <v>5944</v>
      </c>
      <c r="I554" s="2">
        <f>VLOOKUP($A554,'[2]App C Total'!$A$4:$I$917,9,FALSE)</f>
        <v>0</v>
      </c>
      <c r="J554" s="2"/>
      <c r="K554" s="2">
        <f>VLOOKUP($A554,'[2]App C Exp'!$A$4:$I$917,5,FALSE)</f>
        <v>10711</v>
      </c>
      <c r="L554" s="2">
        <f>VLOOKUP($A554,'[2]App C Exp'!$A$4:$I$917,6,FALSE)</f>
        <v>10076</v>
      </c>
      <c r="M554" s="2">
        <f>VLOOKUP($A554,'[2]App C Exp'!$A$4:$I$917,7,FALSE)</f>
        <v>9031</v>
      </c>
      <c r="N554" s="2">
        <f>VLOOKUP($A554,'[2]App C Exp'!$A$4:$I$917,8,FALSE)</f>
        <v>3616</v>
      </c>
      <c r="O554" s="2">
        <f>VLOOKUP($A554,'[2]App C Exp'!$A$4:$I$917,9,FALSE)</f>
        <v>0</v>
      </c>
      <c r="P554" s="2"/>
      <c r="Q554" s="2">
        <f>VLOOKUP($A554,'[2]App C Inv'!$A$4:$I$917,5,FALSE)</f>
        <v>11371</v>
      </c>
      <c r="R554" s="2">
        <f>VLOOKUP($A554,'[2]App C Inv'!$A$4:$I$917,6,FALSE)</f>
        <v>-9782</v>
      </c>
      <c r="S554" s="2">
        <f>VLOOKUP($A554,'[2]App C Inv'!$A$4:$I$917,7,FALSE)</f>
        <v>1379</v>
      </c>
      <c r="T554" s="2">
        <f>VLOOKUP($A554,'[2]App C Inv'!$A$4:$I$917,8,FALSE)</f>
        <v>1794</v>
      </c>
      <c r="U554" s="2">
        <f>VLOOKUP($A554,'[2]App C Inv'!$A$4:$I$917,9,FALSE)</f>
        <v>0</v>
      </c>
      <c r="V554" s="2"/>
      <c r="W554" s="2">
        <f>VLOOKUP($A554,'[2]App C Assum'!$A$4:$I$917,5,FALSE)</f>
        <v>12810</v>
      </c>
      <c r="X554" s="2">
        <f>VLOOKUP($A554,'[2]App C Assum'!$A$4:$I$917,6,FALSE)</f>
        <v>10494</v>
      </c>
      <c r="Y554" s="2">
        <f>VLOOKUP($A554,'[2]App C Assum'!$A$4:$I$917,7,FALSE)</f>
        <v>8520</v>
      </c>
      <c r="Z554" s="2">
        <f>VLOOKUP($A554,'[2]App C Assum'!$A$4:$I$917,8,FALSE)</f>
        <v>0</v>
      </c>
      <c r="AA554" s="2">
        <f>VLOOKUP($A554,'[2]App C Assum'!$A$4:$I$917,9,FALSE)</f>
        <v>0</v>
      </c>
      <c r="AB554" s="2"/>
      <c r="AC554" s="2">
        <f>VLOOKUP($A554,'[2]App C Share Outflows'!$A$4:$I$917,5,FALSE)</f>
        <v>532</v>
      </c>
      <c r="AD554" s="2">
        <f>VLOOKUP($A554,'[2]App C Share Outflows'!$A$4:$I$917,6,FALSE)</f>
        <v>532</v>
      </c>
      <c r="AE554" s="2">
        <f>VLOOKUP($A554,'[2]App C Share Outflows'!$A$4:$I$917,7,FALSE)</f>
        <v>532</v>
      </c>
      <c r="AF554" s="2">
        <f>VLOOKUP($A554,'[2]App C Share Outflows'!$A$4:$I$917,8,FALSE)</f>
        <v>534</v>
      </c>
      <c r="AG554" s="2">
        <f>VLOOKUP($A554,'[2]App C Share Outflows'!$A$4:$I$917,9,FALSE)</f>
        <v>0</v>
      </c>
      <c r="AH554" s="2"/>
      <c r="AI554" s="2">
        <f>VLOOKUP($A554,'[2]App C Share Inflows'!$A$4:$I$917,5,FALSE)</f>
        <v>-5155</v>
      </c>
      <c r="AJ554" s="2">
        <f>VLOOKUP($A554,'[2]App C Share Inflows'!$A$4:$I$917,6,FALSE)</f>
        <v>-4301</v>
      </c>
      <c r="AK554" s="2">
        <f>VLOOKUP($A554,'[2]App C Share Inflows'!$A$4:$I$917,7,FALSE)</f>
        <v>-2623</v>
      </c>
      <c r="AL554" s="2">
        <f>VLOOKUP($A554,'[2]App C Share Inflows'!$A$4:$I$917,8,FALSE)</f>
        <v>0</v>
      </c>
      <c r="AM554" s="2">
        <f>VLOOKUP($A554,'[2]App C Share Inflows'!$A$4:$I$917,6,FALSE)</f>
        <v>-4301</v>
      </c>
    </row>
    <row r="555" spans="1:39">
      <c r="A555" s="351">
        <v>95911</v>
      </c>
      <c r="B555" s="344" t="s">
        <v>1250</v>
      </c>
      <c r="C555" s="235" t="e">
        <f>VLOOKUP(A555,#REF!,10,FALSE)</f>
        <v>#REF!</v>
      </c>
      <c r="E555" s="2">
        <f>VLOOKUP($A555,'[2]App C Total'!$A$4:$I$917,5,FALSE)</f>
        <v>259159</v>
      </c>
      <c r="F555" s="2">
        <f>VLOOKUP($A555,'[2]App C Total'!$A$4:$I$917,6,FALSE)</f>
        <v>75134</v>
      </c>
      <c r="G555" s="2">
        <f>VLOOKUP($A555,'[2]App C Total'!$A$4:$I$917,7,FALSE)</f>
        <v>142826</v>
      </c>
      <c r="H555" s="2">
        <f>VLOOKUP($A555,'[2]App C Total'!$A$4:$I$917,8,FALSE)</f>
        <v>41629</v>
      </c>
      <c r="I555" s="2">
        <f>VLOOKUP($A555,'[2]App C Total'!$A$4:$I$917,9,FALSE)</f>
        <v>0</v>
      </c>
      <c r="J555" s="2"/>
      <c r="K555" s="2">
        <f>VLOOKUP($A555,'[2]App C Exp'!$A$4:$I$917,5,FALSE)</f>
        <v>85135</v>
      </c>
      <c r="L555" s="2">
        <f>VLOOKUP($A555,'[2]App C Exp'!$A$4:$I$917,6,FALSE)</f>
        <v>80085</v>
      </c>
      <c r="M555" s="2">
        <f>VLOOKUP($A555,'[2]App C Exp'!$A$4:$I$917,7,FALSE)</f>
        <v>71779</v>
      </c>
      <c r="N555" s="2">
        <f>VLOOKUP($A555,'[2]App C Exp'!$A$4:$I$917,8,FALSE)</f>
        <v>28739</v>
      </c>
      <c r="O555" s="2">
        <f>VLOOKUP($A555,'[2]App C Exp'!$A$4:$I$917,9,FALSE)</f>
        <v>0</v>
      </c>
      <c r="P555" s="2"/>
      <c r="Q555" s="2">
        <f>VLOOKUP($A555,'[2]App C Inv'!$A$4:$I$917,5,FALSE)</f>
        <v>90383</v>
      </c>
      <c r="R555" s="2">
        <f>VLOOKUP($A555,'[2]App C Inv'!$A$4:$I$917,6,FALSE)</f>
        <v>-77746</v>
      </c>
      <c r="S555" s="2">
        <f>VLOOKUP($A555,'[2]App C Inv'!$A$4:$I$917,7,FALSE)</f>
        <v>10957</v>
      </c>
      <c r="T555" s="2">
        <f>VLOOKUP($A555,'[2]App C Inv'!$A$4:$I$917,8,FALSE)</f>
        <v>14261</v>
      </c>
      <c r="U555" s="2">
        <f>VLOOKUP($A555,'[2]App C Inv'!$A$4:$I$917,9,FALSE)</f>
        <v>0</v>
      </c>
      <c r="V555" s="2"/>
      <c r="W555" s="2">
        <f>VLOOKUP($A555,'[2]App C Assum'!$A$4:$I$917,5,FALSE)</f>
        <v>101818</v>
      </c>
      <c r="X555" s="2">
        <f>VLOOKUP($A555,'[2]App C Assum'!$A$4:$I$917,6,FALSE)</f>
        <v>83413</v>
      </c>
      <c r="Y555" s="2">
        <f>VLOOKUP($A555,'[2]App C Assum'!$A$4:$I$917,7,FALSE)</f>
        <v>67717</v>
      </c>
      <c r="Z555" s="2">
        <f>VLOOKUP($A555,'[2]App C Assum'!$A$4:$I$917,8,FALSE)</f>
        <v>0</v>
      </c>
      <c r="AA555" s="2">
        <f>VLOOKUP($A555,'[2]App C Assum'!$A$4:$I$917,9,FALSE)</f>
        <v>0</v>
      </c>
      <c r="AB555" s="2"/>
      <c r="AC555" s="2">
        <f>VLOOKUP($A555,'[2]App C Share Outflows'!$A$4:$I$917,5,FALSE)</f>
        <v>0</v>
      </c>
      <c r="AD555" s="2">
        <f>VLOOKUP($A555,'[2]App C Share Outflows'!$A$4:$I$917,6,FALSE)</f>
        <v>0</v>
      </c>
      <c r="AE555" s="2">
        <f>VLOOKUP($A555,'[2]App C Share Outflows'!$A$4:$I$917,7,FALSE)</f>
        <v>0</v>
      </c>
      <c r="AF555" s="2">
        <f>VLOOKUP($A555,'[2]App C Share Outflows'!$A$4:$I$917,8,FALSE)</f>
        <v>0</v>
      </c>
      <c r="AG555" s="2">
        <f>VLOOKUP($A555,'[2]App C Share Outflows'!$A$4:$I$917,9,FALSE)</f>
        <v>0</v>
      </c>
      <c r="AH555" s="2"/>
      <c r="AI555" s="2">
        <f>VLOOKUP($A555,'[2]App C Share Inflows'!$A$4:$I$917,5,FALSE)</f>
        <v>-18177</v>
      </c>
      <c r="AJ555" s="2">
        <f>VLOOKUP($A555,'[2]App C Share Inflows'!$A$4:$I$917,6,FALSE)</f>
        <v>-10618</v>
      </c>
      <c r="AK555" s="2">
        <f>VLOOKUP($A555,'[2]App C Share Inflows'!$A$4:$I$917,7,FALSE)</f>
        <v>-7627</v>
      </c>
      <c r="AL555" s="2">
        <f>VLOOKUP($A555,'[2]App C Share Inflows'!$A$4:$I$917,8,FALSE)</f>
        <v>-1371</v>
      </c>
      <c r="AM555" s="2">
        <f>VLOOKUP($A555,'[2]App C Share Inflows'!$A$4:$I$917,6,FALSE)</f>
        <v>-10618</v>
      </c>
    </row>
    <row r="556" spans="1:39">
      <c r="A556" s="351">
        <v>95917</v>
      </c>
      <c r="B556" s="344" t="s">
        <v>1251</v>
      </c>
      <c r="C556" s="235" t="e">
        <f>VLOOKUP(A556,#REF!,10,FALSE)</f>
        <v>#REF!</v>
      </c>
      <c r="E556" s="2">
        <f>VLOOKUP($A556,'[2]App C Total'!$A$4:$I$917,5,FALSE)</f>
        <v>8724</v>
      </c>
      <c r="F556" s="2">
        <f>VLOOKUP($A556,'[2]App C Total'!$A$4:$I$917,6,FALSE)</f>
        <v>2607</v>
      </c>
      <c r="G556" s="2">
        <f>VLOOKUP($A556,'[2]App C Total'!$A$4:$I$917,7,FALSE)</f>
        <v>4256</v>
      </c>
      <c r="H556" s="2">
        <f>VLOOKUP($A556,'[2]App C Total'!$A$4:$I$917,8,FALSE)</f>
        <v>1536</v>
      </c>
      <c r="I556" s="2">
        <f>VLOOKUP($A556,'[2]App C Total'!$A$4:$I$917,9,FALSE)</f>
        <v>0</v>
      </c>
      <c r="J556" s="2"/>
      <c r="K556" s="2">
        <f>VLOOKUP($A556,'[2]App C Exp'!$A$4:$I$917,5,FALSE)</f>
        <v>2786</v>
      </c>
      <c r="L556" s="2">
        <f>VLOOKUP($A556,'[2]App C Exp'!$A$4:$I$917,6,FALSE)</f>
        <v>2621</v>
      </c>
      <c r="M556" s="2">
        <f>VLOOKUP($A556,'[2]App C Exp'!$A$4:$I$917,7,FALSE)</f>
        <v>2349</v>
      </c>
      <c r="N556" s="2">
        <f>VLOOKUP($A556,'[2]App C Exp'!$A$4:$I$917,8,FALSE)</f>
        <v>941</v>
      </c>
      <c r="O556" s="2">
        <f>VLOOKUP($A556,'[2]App C Exp'!$A$4:$I$917,9,FALSE)</f>
        <v>0</v>
      </c>
      <c r="P556" s="2"/>
      <c r="Q556" s="2">
        <f>VLOOKUP($A556,'[2]App C Inv'!$A$4:$I$917,5,FALSE)</f>
        <v>2958</v>
      </c>
      <c r="R556" s="2">
        <f>VLOOKUP($A556,'[2]App C Inv'!$A$4:$I$917,6,FALSE)</f>
        <v>-2545</v>
      </c>
      <c r="S556" s="2">
        <f>VLOOKUP($A556,'[2]App C Inv'!$A$4:$I$917,7,FALSE)</f>
        <v>359</v>
      </c>
      <c r="T556" s="2">
        <f>VLOOKUP($A556,'[2]App C Inv'!$A$4:$I$917,8,FALSE)</f>
        <v>467</v>
      </c>
      <c r="U556" s="2">
        <f>VLOOKUP($A556,'[2]App C Inv'!$A$4:$I$917,9,FALSE)</f>
        <v>0</v>
      </c>
      <c r="V556" s="2"/>
      <c r="W556" s="2">
        <f>VLOOKUP($A556,'[2]App C Assum'!$A$4:$I$917,5,FALSE)</f>
        <v>3332</v>
      </c>
      <c r="X556" s="2">
        <f>VLOOKUP($A556,'[2]App C Assum'!$A$4:$I$917,6,FALSE)</f>
        <v>2730</v>
      </c>
      <c r="Y556" s="2">
        <f>VLOOKUP($A556,'[2]App C Assum'!$A$4:$I$917,7,FALSE)</f>
        <v>2216</v>
      </c>
      <c r="Z556" s="2">
        <f>VLOOKUP($A556,'[2]App C Assum'!$A$4:$I$917,8,FALSE)</f>
        <v>0</v>
      </c>
      <c r="AA556" s="2">
        <f>VLOOKUP($A556,'[2]App C Assum'!$A$4:$I$917,9,FALSE)</f>
        <v>0</v>
      </c>
      <c r="AB556" s="2"/>
      <c r="AC556" s="2">
        <f>VLOOKUP($A556,'[2]App C Share Outflows'!$A$4:$I$917,5,FALSE)</f>
        <v>596</v>
      </c>
      <c r="AD556" s="2">
        <f>VLOOKUP($A556,'[2]App C Share Outflows'!$A$4:$I$917,6,FALSE)</f>
        <v>598</v>
      </c>
      <c r="AE556" s="2">
        <f>VLOOKUP($A556,'[2]App C Share Outflows'!$A$4:$I$917,7,FALSE)</f>
        <v>127</v>
      </c>
      <c r="AF556" s="2">
        <f>VLOOKUP($A556,'[2]App C Share Outflows'!$A$4:$I$917,8,FALSE)</f>
        <v>128</v>
      </c>
      <c r="AG556" s="2">
        <f>VLOOKUP($A556,'[2]App C Share Outflows'!$A$4:$I$917,9,FALSE)</f>
        <v>0</v>
      </c>
      <c r="AH556" s="2"/>
      <c r="AI556" s="2">
        <f>VLOOKUP($A556,'[2]App C Share Inflows'!$A$4:$I$917,5,FALSE)</f>
        <v>-948</v>
      </c>
      <c r="AJ556" s="2">
        <f>VLOOKUP($A556,'[2]App C Share Inflows'!$A$4:$I$917,6,FALSE)</f>
        <v>-797</v>
      </c>
      <c r="AK556" s="2">
        <f>VLOOKUP($A556,'[2]App C Share Inflows'!$A$4:$I$917,7,FALSE)</f>
        <v>-795</v>
      </c>
      <c r="AL556" s="2">
        <f>VLOOKUP($A556,'[2]App C Share Inflows'!$A$4:$I$917,8,FALSE)</f>
        <v>0</v>
      </c>
      <c r="AM556" s="2">
        <f>VLOOKUP($A556,'[2]App C Share Inflows'!$A$4:$I$917,6,FALSE)</f>
        <v>-797</v>
      </c>
    </row>
    <row r="557" spans="1:39">
      <c r="A557" s="351">
        <v>95921</v>
      </c>
      <c r="B557" s="344" t="s">
        <v>1252</v>
      </c>
      <c r="C557" s="235" t="e">
        <f>VLOOKUP(A557,#REF!,10,FALSE)</f>
        <v>#REF!</v>
      </c>
      <c r="E557" s="2">
        <f>VLOOKUP($A557,'[2]App C Total'!$A$4:$I$917,5,FALSE)</f>
        <v>29133</v>
      </c>
      <c r="F557" s="2">
        <f>VLOOKUP($A557,'[2]App C Total'!$A$4:$I$917,6,FALSE)</f>
        <v>9959</v>
      </c>
      <c r="G557" s="2">
        <f>VLOOKUP($A557,'[2]App C Total'!$A$4:$I$917,7,FALSE)</f>
        <v>16067</v>
      </c>
      <c r="H557" s="2">
        <f>VLOOKUP($A557,'[2]App C Total'!$A$4:$I$917,8,FALSE)</f>
        <v>5283</v>
      </c>
      <c r="I557" s="2">
        <f>VLOOKUP($A557,'[2]App C Total'!$A$4:$I$917,9,FALSE)</f>
        <v>0</v>
      </c>
      <c r="J557" s="2"/>
      <c r="K557" s="2">
        <f>VLOOKUP($A557,'[2]App C Exp'!$A$4:$I$917,5,FALSE)</f>
        <v>8120</v>
      </c>
      <c r="L557" s="2">
        <f>VLOOKUP($A557,'[2]App C Exp'!$A$4:$I$917,6,FALSE)</f>
        <v>7638</v>
      </c>
      <c r="M557" s="2">
        <f>VLOOKUP($A557,'[2]App C Exp'!$A$4:$I$917,7,FALSE)</f>
        <v>6846</v>
      </c>
      <c r="N557" s="2">
        <f>VLOOKUP($A557,'[2]App C Exp'!$A$4:$I$917,8,FALSE)</f>
        <v>2741</v>
      </c>
      <c r="O557" s="2">
        <f>VLOOKUP($A557,'[2]App C Exp'!$A$4:$I$917,9,FALSE)</f>
        <v>0</v>
      </c>
      <c r="P557" s="2"/>
      <c r="Q557" s="2">
        <f>VLOOKUP($A557,'[2]App C Inv'!$A$4:$I$917,5,FALSE)</f>
        <v>8620</v>
      </c>
      <c r="R557" s="2">
        <f>VLOOKUP($A557,'[2]App C Inv'!$A$4:$I$917,6,FALSE)</f>
        <v>-7415</v>
      </c>
      <c r="S557" s="2">
        <f>VLOOKUP($A557,'[2]App C Inv'!$A$4:$I$917,7,FALSE)</f>
        <v>1045</v>
      </c>
      <c r="T557" s="2">
        <f>VLOOKUP($A557,'[2]App C Inv'!$A$4:$I$917,8,FALSE)</f>
        <v>1360</v>
      </c>
      <c r="U557" s="2">
        <f>VLOOKUP($A557,'[2]App C Inv'!$A$4:$I$917,9,FALSE)</f>
        <v>0</v>
      </c>
      <c r="V557" s="2"/>
      <c r="W557" s="2">
        <f>VLOOKUP($A557,'[2]App C Assum'!$A$4:$I$917,5,FALSE)</f>
        <v>9711</v>
      </c>
      <c r="X557" s="2">
        <f>VLOOKUP($A557,'[2]App C Assum'!$A$4:$I$917,6,FALSE)</f>
        <v>7955</v>
      </c>
      <c r="Y557" s="2">
        <f>VLOOKUP($A557,'[2]App C Assum'!$A$4:$I$917,7,FALSE)</f>
        <v>6458</v>
      </c>
      <c r="Z557" s="2">
        <f>VLOOKUP($A557,'[2]App C Assum'!$A$4:$I$917,8,FALSE)</f>
        <v>0</v>
      </c>
      <c r="AA557" s="2">
        <f>VLOOKUP($A557,'[2]App C Assum'!$A$4:$I$917,9,FALSE)</f>
        <v>0</v>
      </c>
      <c r="AB557" s="2"/>
      <c r="AC557" s="2">
        <f>VLOOKUP($A557,'[2]App C Share Outflows'!$A$4:$I$917,5,FALSE)</f>
        <v>2682</v>
      </c>
      <c r="AD557" s="2">
        <f>VLOOKUP($A557,'[2]App C Share Outflows'!$A$4:$I$917,6,FALSE)</f>
        <v>1781</v>
      </c>
      <c r="AE557" s="2">
        <f>VLOOKUP($A557,'[2]App C Share Outflows'!$A$4:$I$917,7,FALSE)</f>
        <v>1718</v>
      </c>
      <c r="AF557" s="2">
        <f>VLOOKUP($A557,'[2]App C Share Outflows'!$A$4:$I$917,8,FALSE)</f>
        <v>1182</v>
      </c>
      <c r="AG557" s="2">
        <f>VLOOKUP($A557,'[2]App C Share Outflows'!$A$4:$I$917,9,FALSE)</f>
        <v>0</v>
      </c>
      <c r="AH557" s="2"/>
      <c r="AI557" s="2">
        <f>VLOOKUP($A557,'[2]App C Share Inflows'!$A$4:$I$917,5,FALSE)</f>
        <v>0</v>
      </c>
      <c r="AJ557" s="2">
        <f>VLOOKUP($A557,'[2]App C Share Inflows'!$A$4:$I$917,6,FALSE)</f>
        <v>0</v>
      </c>
      <c r="AK557" s="2">
        <f>VLOOKUP($A557,'[2]App C Share Inflows'!$A$4:$I$917,7,FALSE)</f>
        <v>0</v>
      </c>
      <c r="AL557" s="2">
        <f>VLOOKUP($A557,'[2]App C Share Inflows'!$A$4:$I$917,8,FALSE)</f>
        <v>0</v>
      </c>
      <c r="AM557" s="2">
        <f>VLOOKUP($A557,'[2]App C Share Inflows'!$A$4:$I$917,6,FALSE)</f>
        <v>0</v>
      </c>
    </row>
    <row r="558" spans="1:39">
      <c r="A558" s="351">
        <v>96001</v>
      </c>
      <c r="B558" s="344" t="s">
        <v>1253</v>
      </c>
      <c r="C558" s="235" t="e">
        <f>VLOOKUP(A558,#REF!,10,FALSE)</f>
        <v>#REF!</v>
      </c>
      <c r="E558" s="2">
        <f>VLOOKUP($A558,'[2]App C Total'!$A$4:$I$917,5,FALSE)</f>
        <v>20892387</v>
      </c>
      <c r="F558" s="2">
        <f>VLOOKUP($A558,'[2]App C Total'!$A$4:$I$917,6,FALSE)</f>
        <v>6335363</v>
      </c>
      <c r="G558" s="2">
        <f>VLOOKUP($A558,'[2]App C Total'!$A$4:$I$917,7,FALSE)</f>
        <v>11339949</v>
      </c>
      <c r="H558" s="2">
        <f>VLOOKUP($A558,'[2]App C Total'!$A$4:$I$917,8,FALSE)</f>
        <v>3229760</v>
      </c>
      <c r="I558" s="2">
        <f>VLOOKUP($A558,'[2]App C Total'!$A$4:$I$917,9,FALSE)</f>
        <v>0</v>
      </c>
      <c r="J558" s="2"/>
      <c r="K558" s="2">
        <f>VLOOKUP($A558,'[2]App C Exp'!$A$4:$I$917,5,FALSE)</f>
        <v>6496755</v>
      </c>
      <c r="L558" s="2">
        <f>VLOOKUP($A558,'[2]App C Exp'!$A$4:$I$917,6,FALSE)</f>
        <v>6111348</v>
      </c>
      <c r="M558" s="2">
        <f>VLOOKUP($A558,'[2]App C Exp'!$A$4:$I$917,7,FALSE)</f>
        <v>5477532</v>
      </c>
      <c r="N558" s="2">
        <f>VLOOKUP($A558,'[2]App C Exp'!$A$4:$I$917,8,FALSE)</f>
        <v>2193138</v>
      </c>
      <c r="O558" s="2">
        <f>VLOOKUP($A558,'[2]App C Exp'!$A$4:$I$917,9,FALSE)</f>
        <v>0</v>
      </c>
      <c r="P558" s="2"/>
      <c r="Q558" s="2">
        <f>VLOOKUP($A558,'[2]App C Inv'!$A$4:$I$917,5,FALSE)</f>
        <v>6897211</v>
      </c>
      <c r="R558" s="2">
        <f>VLOOKUP($A558,'[2]App C Inv'!$A$4:$I$917,6,FALSE)</f>
        <v>-5932891</v>
      </c>
      <c r="S558" s="2">
        <f>VLOOKUP($A558,'[2]App C Inv'!$A$4:$I$917,7,FALSE)</f>
        <v>836169</v>
      </c>
      <c r="T558" s="2">
        <f>VLOOKUP($A558,'[2]App C Inv'!$A$4:$I$917,8,FALSE)</f>
        <v>1088264</v>
      </c>
      <c r="U558" s="2">
        <f>VLOOKUP($A558,'[2]App C Inv'!$A$4:$I$917,9,FALSE)</f>
        <v>0</v>
      </c>
      <c r="V558" s="2"/>
      <c r="W558" s="2">
        <f>VLOOKUP($A558,'[2]App C Assum'!$A$4:$I$917,5,FALSE)</f>
        <v>7769808</v>
      </c>
      <c r="X558" s="2">
        <f>VLOOKUP($A558,'[2]App C Assum'!$A$4:$I$917,6,FALSE)</f>
        <v>6365308</v>
      </c>
      <c r="Y558" s="2">
        <f>VLOOKUP($A558,'[2]App C Assum'!$A$4:$I$917,7,FALSE)</f>
        <v>5167541</v>
      </c>
      <c r="Z558" s="2">
        <f>VLOOKUP($A558,'[2]App C Assum'!$A$4:$I$917,8,FALSE)</f>
        <v>0</v>
      </c>
      <c r="AA558" s="2">
        <f>VLOOKUP($A558,'[2]App C Assum'!$A$4:$I$917,9,FALSE)</f>
        <v>0</v>
      </c>
      <c r="AB558" s="2"/>
      <c r="AC558" s="2">
        <f>VLOOKUP($A558,'[2]App C Share Outflows'!$A$4:$I$917,5,FALSE)</f>
        <v>0</v>
      </c>
      <c r="AD558" s="2">
        <f>VLOOKUP($A558,'[2]App C Share Outflows'!$A$4:$I$917,6,FALSE)</f>
        <v>0</v>
      </c>
      <c r="AE558" s="2">
        <f>VLOOKUP($A558,'[2]App C Share Outflows'!$A$4:$I$917,7,FALSE)</f>
        <v>0</v>
      </c>
      <c r="AF558" s="2">
        <f>VLOOKUP($A558,'[2]App C Share Outflows'!$A$4:$I$917,8,FALSE)</f>
        <v>0</v>
      </c>
      <c r="AG558" s="2">
        <f>VLOOKUP($A558,'[2]App C Share Outflows'!$A$4:$I$917,9,FALSE)</f>
        <v>0</v>
      </c>
      <c r="AH558" s="2"/>
      <c r="AI558" s="2">
        <f>VLOOKUP($A558,'[2]App C Share Inflows'!$A$4:$I$917,5,FALSE)</f>
        <v>-271387</v>
      </c>
      <c r="AJ558" s="2">
        <f>VLOOKUP($A558,'[2]App C Share Inflows'!$A$4:$I$917,6,FALSE)</f>
        <v>-208402</v>
      </c>
      <c r="AK558" s="2">
        <f>VLOOKUP($A558,'[2]App C Share Inflows'!$A$4:$I$917,7,FALSE)</f>
        <v>-141293</v>
      </c>
      <c r="AL558" s="2">
        <f>VLOOKUP($A558,'[2]App C Share Inflows'!$A$4:$I$917,8,FALSE)</f>
        <v>-51642</v>
      </c>
      <c r="AM558" s="2">
        <f>VLOOKUP($A558,'[2]App C Share Inflows'!$A$4:$I$917,6,FALSE)</f>
        <v>-208402</v>
      </c>
    </row>
    <row r="559" spans="1:39">
      <c r="A559" s="351">
        <v>96003</v>
      </c>
      <c r="B559" s="344" t="s">
        <v>1254</v>
      </c>
      <c r="C559" s="235" t="e">
        <f>VLOOKUP(A559,#REF!,10,FALSE)</f>
        <v>#REF!</v>
      </c>
      <c r="E559" s="2">
        <f>VLOOKUP($A559,'[2]App C Total'!$A$4:$I$917,5,FALSE)</f>
        <v>770456</v>
      </c>
      <c r="F559" s="2">
        <f>VLOOKUP($A559,'[2]App C Total'!$A$4:$I$917,6,FALSE)</f>
        <v>223982</v>
      </c>
      <c r="G559" s="2">
        <f>VLOOKUP($A559,'[2]App C Total'!$A$4:$I$917,7,FALSE)</f>
        <v>429412</v>
      </c>
      <c r="H559" s="2">
        <f>VLOOKUP($A559,'[2]App C Total'!$A$4:$I$917,8,FALSE)</f>
        <v>136046</v>
      </c>
      <c r="I559" s="2">
        <f>VLOOKUP($A559,'[2]App C Total'!$A$4:$I$917,9,FALSE)</f>
        <v>0</v>
      </c>
      <c r="J559" s="2"/>
      <c r="K559" s="2">
        <f>VLOOKUP($A559,'[2]App C Exp'!$A$4:$I$917,5,FALSE)</f>
        <v>248979</v>
      </c>
      <c r="L559" s="2">
        <f>VLOOKUP($A559,'[2]App C Exp'!$A$4:$I$917,6,FALSE)</f>
        <v>234209</v>
      </c>
      <c r="M559" s="2">
        <f>VLOOKUP($A559,'[2]App C Exp'!$A$4:$I$917,7,FALSE)</f>
        <v>209919</v>
      </c>
      <c r="N559" s="2">
        <f>VLOOKUP($A559,'[2]App C Exp'!$A$4:$I$917,8,FALSE)</f>
        <v>84049</v>
      </c>
      <c r="O559" s="2">
        <f>VLOOKUP($A559,'[2]App C Exp'!$A$4:$I$917,9,FALSE)</f>
        <v>0</v>
      </c>
      <c r="P559" s="2"/>
      <c r="Q559" s="2">
        <f>VLOOKUP($A559,'[2]App C Inv'!$A$4:$I$917,5,FALSE)</f>
        <v>264326</v>
      </c>
      <c r="R559" s="2">
        <f>VLOOKUP($A559,'[2]App C Inv'!$A$4:$I$917,6,FALSE)</f>
        <v>-227370</v>
      </c>
      <c r="S559" s="2">
        <f>VLOOKUP($A559,'[2]App C Inv'!$A$4:$I$917,7,FALSE)</f>
        <v>32045</v>
      </c>
      <c r="T559" s="2">
        <f>VLOOKUP($A559,'[2]App C Inv'!$A$4:$I$917,8,FALSE)</f>
        <v>41706</v>
      </c>
      <c r="U559" s="2">
        <f>VLOOKUP($A559,'[2]App C Inv'!$A$4:$I$917,9,FALSE)</f>
        <v>0</v>
      </c>
      <c r="V559" s="2"/>
      <c r="W559" s="2">
        <f>VLOOKUP($A559,'[2]App C Assum'!$A$4:$I$917,5,FALSE)</f>
        <v>297767</v>
      </c>
      <c r="X559" s="2">
        <f>VLOOKUP($A559,'[2]App C Assum'!$A$4:$I$917,6,FALSE)</f>
        <v>243942</v>
      </c>
      <c r="Y559" s="2">
        <f>VLOOKUP($A559,'[2]App C Assum'!$A$4:$I$917,7,FALSE)</f>
        <v>198039</v>
      </c>
      <c r="Z559" s="2">
        <f>VLOOKUP($A559,'[2]App C Assum'!$A$4:$I$917,8,FALSE)</f>
        <v>0</v>
      </c>
      <c r="AA559" s="2">
        <f>VLOOKUP($A559,'[2]App C Assum'!$A$4:$I$917,9,FALSE)</f>
        <v>0</v>
      </c>
      <c r="AB559" s="2"/>
      <c r="AC559" s="2">
        <f>VLOOKUP($A559,'[2]App C Share Outflows'!$A$4:$I$917,5,FALSE)</f>
        <v>10292</v>
      </c>
      <c r="AD559" s="2">
        <f>VLOOKUP($A559,'[2]App C Share Outflows'!$A$4:$I$917,6,FALSE)</f>
        <v>10292</v>
      </c>
      <c r="AE559" s="2">
        <f>VLOOKUP($A559,'[2]App C Share Outflows'!$A$4:$I$917,7,FALSE)</f>
        <v>10292</v>
      </c>
      <c r="AF559" s="2">
        <f>VLOOKUP($A559,'[2]App C Share Outflows'!$A$4:$I$917,8,FALSE)</f>
        <v>10291</v>
      </c>
      <c r="AG559" s="2">
        <f>VLOOKUP($A559,'[2]App C Share Outflows'!$A$4:$I$917,9,FALSE)</f>
        <v>0</v>
      </c>
      <c r="AH559" s="2"/>
      <c r="AI559" s="2">
        <f>VLOOKUP($A559,'[2]App C Share Inflows'!$A$4:$I$917,5,FALSE)</f>
        <v>-50908</v>
      </c>
      <c r="AJ559" s="2">
        <f>VLOOKUP($A559,'[2]App C Share Inflows'!$A$4:$I$917,6,FALSE)</f>
        <v>-37091</v>
      </c>
      <c r="AK559" s="2">
        <f>VLOOKUP($A559,'[2]App C Share Inflows'!$A$4:$I$917,7,FALSE)</f>
        <v>-20883</v>
      </c>
      <c r="AL559" s="2">
        <f>VLOOKUP($A559,'[2]App C Share Inflows'!$A$4:$I$917,8,FALSE)</f>
        <v>0</v>
      </c>
      <c r="AM559" s="2">
        <f>VLOOKUP($A559,'[2]App C Share Inflows'!$A$4:$I$917,6,FALSE)</f>
        <v>-37091</v>
      </c>
    </row>
    <row r="560" spans="1:39">
      <c r="A560" s="351">
        <v>96004</v>
      </c>
      <c r="B560" s="344" t="s">
        <v>1255</v>
      </c>
      <c r="C560" s="235" t="e">
        <f>VLOOKUP(A560,#REF!,10,FALSE)</f>
        <v>#REF!</v>
      </c>
      <c r="E560" s="2">
        <f>VLOOKUP($A560,'[2]App C Total'!$A$4:$I$917,5,FALSE)</f>
        <v>516712</v>
      </c>
      <c r="F560" s="2">
        <f>VLOOKUP($A560,'[2]App C Total'!$A$4:$I$917,6,FALSE)</f>
        <v>186136</v>
      </c>
      <c r="G560" s="2">
        <f>VLOOKUP($A560,'[2]App C Total'!$A$4:$I$917,7,FALSE)</f>
        <v>279842</v>
      </c>
      <c r="H560" s="2">
        <f>VLOOKUP($A560,'[2]App C Total'!$A$4:$I$917,8,FALSE)</f>
        <v>88864</v>
      </c>
      <c r="I560" s="2">
        <f>VLOOKUP($A560,'[2]App C Total'!$A$4:$I$917,9,FALSE)</f>
        <v>0</v>
      </c>
      <c r="J560" s="2"/>
      <c r="K560" s="2">
        <f>VLOOKUP($A560,'[2]App C Exp'!$A$4:$I$917,5,FALSE)</f>
        <v>140759</v>
      </c>
      <c r="L560" s="2">
        <f>VLOOKUP($A560,'[2]App C Exp'!$A$4:$I$917,6,FALSE)</f>
        <v>132408</v>
      </c>
      <c r="M560" s="2">
        <f>VLOOKUP($A560,'[2]App C Exp'!$A$4:$I$917,7,FALSE)</f>
        <v>118676</v>
      </c>
      <c r="N560" s="2">
        <f>VLOOKUP($A560,'[2]App C Exp'!$A$4:$I$917,8,FALSE)</f>
        <v>47517</v>
      </c>
      <c r="O560" s="2">
        <f>VLOOKUP($A560,'[2]App C Exp'!$A$4:$I$917,9,FALSE)</f>
        <v>0</v>
      </c>
      <c r="P560" s="2"/>
      <c r="Q560" s="2">
        <f>VLOOKUP($A560,'[2]App C Inv'!$A$4:$I$917,5,FALSE)</f>
        <v>149435</v>
      </c>
      <c r="R560" s="2">
        <f>VLOOKUP($A560,'[2]App C Inv'!$A$4:$I$917,6,FALSE)</f>
        <v>-128542</v>
      </c>
      <c r="S560" s="2">
        <f>VLOOKUP($A560,'[2]App C Inv'!$A$4:$I$917,7,FALSE)</f>
        <v>18116</v>
      </c>
      <c r="T560" s="2">
        <f>VLOOKUP($A560,'[2]App C Inv'!$A$4:$I$917,8,FALSE)</f>
        <v>23578</v>
      </c>
      <c r="U560" s="2">
        <f>VLOOKUP($A560,'[2]App C Inv'!$A$4:$I$917,9,FALSE)</f>
        <v>0</v>
      </c>
      <c r="V560" s="2"/>
      <c r="W560" s="2">
        <f>VLOOKUP($A560,'[2]App C Assum'!$A$4:$I$917,5,FALSE)</f>
        <v>168341</v>
      </c>
      <c r="X560" s="2">
        <f>VLOOKUP($A560,'[2]App C Assum'!$A$4:$I$917,6,FALSE)</f>
        <v>137911</v>
      </c>
      <c r="Y560" s="2">
        <f>VLOOKUP($A560,'[2]App C Assum'!$A$4:$I$917,7,FALSE)</f>
        <v>111960</v>
      </c>
      <c r="Z560" s="2">
        <f>VLOOKUP($A560,'[2]App C Assum'!$A$4:$I$917,8,FALSE)</f>
        <v>0</v>
      </c>
      <c r="AA560" s="2">
        <f>VLOOKUP($A560,'[2]App C Assum'!$A$4:$I$917,9,FALSE)</f>
        <v>0</v>
      </c>
      <c r="AB560" s="2"/>
      <c r="AC560" s="2">
        <f>VLOOKUP($A560,'[2]App C Share Outflows'!$A$4:$I$917,5,FALSE)</f>
        <v>58177</v>
      </c>
      <c r="AD560" s="2">
        <f>VLOOKUP($A560,'[2]App C Share Outflows'!$A$4:$I$917,6,FALSE)</f>
        <v>44359</v>
      </c>
      <c r="AE560" s="2">
        <f>VLOOKUP($A560,'[2]App C Share Outflows'!$A$4:$I$917,7,FALSE)</f>
        <v>31090</v>
      </c>
      <c r="AF560" s="2">
        <f>VLOOKUP($A560,'[2]App C Share Outflows'!$A$4:$I$917,8,FALSE)</f>
        <v>17769</v>
      </c>
      <c r="AG560" s="2">
        <f>VLOOKUP($A560,'[2]App C Share Outflows'!$A$4:$I$917,9,FALSE)</f>
        <v>0</v>
      </c>
      <c r="AH560" s="2"/>
      <c r="AI560" s="2">
        <f>VLOOKUP($A560,'[2]App C Share Inflows'!$A$4:$I$917,5,FALSE)</f>
        <v>0</v>
      </c>
      <c r="AJ560" s="2">
        <f>VLOOKUP($A560,'[2]App C Share Inflows'!$A$4:$I$917,6,FALSE)</f>
        <v>0</v>
      </c>
      <c r="AK560" s="2">
        <f>VLOOKUP($A560,'[2]App C Share Inflows'!$A$4:$I$917,7,FALSE)</f>
        <v>0</v>
      </c>
      <c r="AL560" s="2">
        <f>VLOOKUP($A560,'[2]App C Share Inflows'!$A$4:$I$917,8,FALSE)</f>
        <v>0</v>
      </c>
      <c r="AM560" s="2">
        <f>VLOOKUP($A560,'[2]App C Share Inflows'!$A$4:$I$917,6,FALSE)</f>
        <v>0</v>
      </c>
    </row>
    <row r="561" spans="1:39">
      <c r="A561" s="351">
        <v>96005</v>
      </c>
      <c r="B561" s="344" t="s">
        <v>1256</v>
      </c>
      <c r="C561" s="235" t="e">
        <f>VLOOKUP(A561,#REF!,10,FALSE)</f>
        <v>#REF!</v>
      </c>
      <c r="E561" s="2">
        <f>VLOOKUP($A561,'[2]App C Total'!$A$4:$I$917,5,FALSE)</f>
        <v>1177905</v>
      </c>
      <c r="F561" s="2">
        <f>VLOOKUP($A561,'[2]App C Total'!$A$4:$I$917,6,FALSE)</f>
        <v>350159</v>
      </c>
      <c r="G561" s="2">
        <f>VLOOKUP($A561,'[2]App C Total'!$A$4:$I$917,7,FALSE)</f>
        <v>621483</v>
      </c>
      <c r="H561" s="2">
        <f>VLOOKUP($A561,'[2]App C Total'!$A$4:$I$917,8,FALSE)</f>
        <v>161082</v>
      </c>
      <c r="I561" s="2">
        <f>VLOOKUP($A561,'[2]App C Total'!$A$4:$I$917,9,FALSE)</f>
        <v>0</v>
      </c>
      <c r="J561" s="2"/>
      <c r="K561" s="2">
        <f>VLOOKUP($A561,'[2]App C Exp'!$A$4:$I$917,5,FALSE)</f>
        <v>366533</v>
      </c>
      <c r="L561" s="2">
        <f>VLOOKUP($A561,'[2]App C Exp'!$A$4:$I$917,6,FALSE)</f>
        <v>344789</v>
      </c>
      <c r="M561" s="2">
        <f>VLOOKUP($A561,'[2]App C Exp'!$A$4:$I$917,7,FALSE)</f>
        <v>309030</v>
      </c>
      <c r="N561" s="2">
        <f>VLOOKUP($A561,'[2]App C Exp'!$A$4:$I$917,8,FALSE)</f>
        <v>123732</v>
      </c>
      <c r="O561" s="2">
        <f>VLOOKUP($A561,'[2]App C Exp'!$A$4:$I$917,9,FALSE)</f>
        <v>0</v>
      </c>
      <c r="P561" s="2"/>
      <c r="Q561" s="2">
        <f>VLOOKUP($A561,'[2]App C Inv'!$A$4:$I$917,5,FALSE)</f>
        <v>389126</v>
      </c>
      <c r="R561" s="2">
        <f>VLOOKUP($A561,'[2]App C Inv'!$A$4:$I$917,6,FALSE)</f>
        <v>-334721</v>
      </c>
      <c r="S561" s="2">
        <f>VLOOKUP($A561,'[2]App C Inv'!$A$4:$I$917,7,FALSE)</f>
        <v>47175</v>
      </c>
      <c r="T561" s="2">
        <f>VLOOKUP($A561,'[2]App C Inv'!$A$4:$I$917,8,FALSE)</f>
        <v>61397</v>
      </c>
      <c r="U561" s="2">
        <f>VLOOKUP($A561,'[2]App C Inv'!$A$4:$I$917,9,FALSE)</f>
        <v>0</v>
      </c>
      <c r="V561" s="2"/>
      <c r="W561" s="2">
        <f>VLOOKUP($A561,'[2]App C Assum'!$A$4:$I$917,5,FALSE)</f>
        <v>438356</v>
      </c>
      <c r="X561" s="2">
        <f>VLOOKUP($A561,'[2]App C Assum'!$A$4:$I$917,6,FALSE)</f>
        <v>359117</v>
      </c>
      <c r="Y561" s="2">
        <f>VLOOKUP($A561,'[2]App C Assum'!$A$4:$I$917,7,FALSE)</f>
        <v>291541</v>
      </c>
      <c r="Z561" s="2">
        <f>VLOOKUP($A561,'[2]App C Assum'!$A$4:$I$917,8,FALSE)</f>
        <v>0</v>
      </c>
      <c r="AA561" s="2">
        <f>VLOOKUP($A561,'[2]App C Assum'!$A$4:$I$917,9,FALSE)</f>
        <v>0</v>
      </c>
      <c r="AB561" s="2"/>
      <c r="AC561" s="2">
        <f>VLOOKUP($A561,'[2]App C Share Outflows'!$A$4:$I$917,5,FALSE)</f>
        <v>10155</v>
      </c>
      <c r="AD561" s="2">
        <f>VLOOKUP($A561,'[2]App C Share Outflows'!$A$4:$I$917,6,FALSE)</f>
        <v>7239</v>
      </c>
      <c r="AE561" s="2">
        <f>VLOOKUP($A561,'[2]App C Share Outflows'!$A$4:$I$917,7,FALSE)</f>
        <v>0</v>
      </c>
      <c r="AF561" s="2">
        <f>VLOOKUP($A561,'[2]App C Share Outflows'!$A$4:$I$917,8,FALSE)</f>
        <v>0</v>
      </c>
      <c r="AG561" s="2">
        <f>VLOOKUP($A561,'[2]App C Share Outflows'!$A$4:$I$917,9,FALSE)</f>
        <v>0</v>
      </c>
      <c r="AH561" s="2"/>
      <c r="AI561" s="2">
        <f>VLOOKUP($A561,'[2]App C Share Inflows'!$A$4:$I$917,5,FALSE)</f>
        <v>-26265</v>
      </c>
      <c r="AJ561" s="2">
        <f>VLOOKUP($A561,'[2]App C Share Inflows'!$A$4:$I$917,6,FALSE)</f>
        <v>-26265</v>
      </c>
      <c r="AK561" s="2">
        <f>VLOOKUP($A561,'[2]App C Share Inflows'!$A$4:$I$917,7,FALSE)</f>
        <v>-26263</v>
      </c>
      <c r="AL561" s="2">
        <f>VLOOKUP($A561,'[2]App C Share Inflows'!$A$4:$I$917,8,FALSE)</f>
        <v>-24047</v>
      </c>
      <c r="AM561" s="2">
        <f>VLOOKUP($A561,'[2]App C Share Inflows'!$A$4:$I$917,6,FALSE)</f>
        <v>-26265</v>
      </c>
    </row>
    <row r="562" spans="1:39">
      <c r="A562" s="351">
        <v>96008</v>
      </c>
      <c r="B562" s="344" t="s">
        <v>3688</v>
      </c>
      <c r="C562" s="235" t="e">
        <f>VLOOKUP(A562,#REF!,10,FALSE)</f>
        <v>#REF!</v>
      </c>
      <c r="E562" s="2">
        <f>VLOOKUP($A562,'[2]App C Total'!$A$4:$I$917,5,FALSE)</f>
        <v>2576125</v>
      </c>
      <c r="F562" s="2">
        <f>VLOOKUP($A562,'[2]App C Total'!$A$4:$I$917,6,FALSE)</f>
        <v>542618</v>
      </c>
      <c r="G562" s="2">
        <f>VLOOKUP($A562,'[2]App C Total'!$A$4:$I$917,7,FALSE)</f>
        <v>1371522</v>
      </c>
      <c r="H562" s="2">
        <f>VLOOKUP($A562,'[2]App C Total'!$A$4:$I$917,8,FALSE)</f>
        <v>311379</v>
      </c>
      <c r="I562" s="2">
        <f>VLOOKUP($A562,'[2]App C Total'!$A$4:$I$917,9,FALSE)</f>
        <v>0</v>
      </c>
      <c r="J562" s="2"/>
      <c r="K562" s="2">
        <f>VLOOKUP($A562,'[2]App C Exp'!$A$4:$I$917,5,FALSE)</f>
        <v>924923</v>
      </c>
      <c r="L562" s="2">
        <f>VLOOKUP($A562,'[2]App C Exp'!$A$4:$I$917,6,FALSE)</f>
        <v>870054</v>
      </c>
      <c r="M562" s="2">
        <f>VLOOKUP($A562,'[2]App C Exp'!$A$4:$I$917,7,FALSE)</f>
        <v>779820</v>
      </c>
      <c r="N562" s="2">
        <f>VLOOKUP($A562,'[2]App C Exp'!$A$4:$I$917,8,FALSE)</f>
        <v>312230</v>
      </c>
      <c r="O562" s="2">
        <f>VLOOKUP($A562,'[2]App C Exp'!$A$4:$I$917,9,FALSE)</f>
        <v>0</v>
      </c>
      <c r="P562" s="2"/>
      <c r="Q562" s="2">
        <f>VLOOKUP($A562,'[2]App C Inv'!$A$4:$I$917,5,FALSE)</f>
        <v>981935</v>
      </c>
      <c r="R562" s="2">
        <f>VLOOKUP($A562,'[2]App C Inv'!$A$4:$I$917,6,FALSE)</f>
        <v>-844648</v>
      </c>
      <c r="S562" s="2">
        <f>VLOOKUP($A562,'[2]App C Inv'!$A$4:$I$917,7,FALSE)</f>
        <v>119043</v>
      </c>
      <c r="T562" s="2">
        <f>VLOOKUP($A562,'[2]App C Inv'!$A$4:$I$917,8,FALSE)</f>
        <v>154933</v>
      </c>
      <c r="U562" s="2">
        <f>VLOOKUP($A562,'[2]App C Inv'!$A$4:$I$917,9,FALSE)</f>
        <v>0</v>
      </c>
      <c r="V562" s="2"/>
      <c r="W562" s="2">
        <f>VLOOKUP($A562,'[2]App C Assum'!$A$4:$I$917,5,FALSE)</f>
        <v>1106164</v>
      </c>
      <c r="X562" s="2">
        <f>VLOOKUP($A562,'[2]App C Assum'!$A$4:$I$917,6,FALSE)</f>
        <v>906210</v>
      </c>
      <c r="Y562" s="2">
        <f>VLOOKUP($A562,'[2]App C Assum'!$A$4:$I$917,7,FALSE)</f>
        <v>735687</v>
      </c>
      <c r="Z562" s="2">
        <f>VLOOKUP($A562,'[2]App C Assum'!$A$4:$I$917,8,FALSE)</f>
        <v>0</v>
      </c>
      <c r="AA562" s="2">
        <f>VLOOKUP($A562,'[2]App C Assum'!$A$4:$I$917,9,FALSE)</f>
        <v>0</v>
      </c>
      <c r="AB562" s="2"/>
      <c r="AC562" s="2">
        <f>VLOOKUP($A562,'[2]App C Share Outflows'!$A$4:$I$917,5,FALSE)</f>
        <v>0</v>
      </c>
      <c r="AD562" s="2">
        <f>VLOOKUP($A562,'[2]App C Share Outflows'!$A$4:$I$917,6,FALSE)</f>
        <v>0</v>
      </c>
      <c r="AE562" s="2">
        <f>VLOOKUP($A562,'[2]App C Share Outflows'!$A$4:$I$917,7,FALSE)</f>
        <v>0</v>
      </c>
      <c r="AF562" s="2">
        <f>VLOOKUP($A562,'[2]App C Share Outflows'!$A$4:$I$917,8,FALSE)</f>
        <v>0</v>
      </c>
      <c r="AG562" s="2">
        <f>VLOOKUP($A562,'[2]App C Share Outflows'!$A$4:$I$917,9,FALSE)</f>
        <v>0</v>
      </c>
      <c r="AH562" s="2"/>
      <c r="AI562" s="2">
        <f>VLOOKUP($A562,'[2]App C Share Inflows'!$A$4:$I$917,5,FALSE)</f>
        <v>-436897</v>
      </c>
      <c r="AJ562" s="2">
        <f>VLOOKUP($A562,'[2]App C Share Inflows'!$A$4:$I$917,6,FALSE)</f>
        <v>-388998</v>
      </c>
      <c r="AK562" s="2">
        <f>VLOOKUP($A562,'[2]App C Share Inflows'!$A$4:$I$917,7,FALSE)</f>
        <v>-263028</v>
      </c>
      <c r="AL562" s="2">
        <f>VLOOKUP($A562,'[2]App C Share Inflows'!$A$4:$I$917,8,FALSE)</f>
        <v>-155784</v>
      </c>
      <c r="AM562" s="2">
        <f>VLOOKUP($A562,'[2]App C Share Inflows'!$A$4:$I$917,6,FALSE)</f>
        <v>-388998</v>
      </c>
    </row>
    <row r="563" spans="1:39">
      <c r="A563" s="351">
        <v>96009</v>
      </c>
      <c r="B563" s="344" t="s">
        <v>1258</v>
      </c>
      <c r="C563" s="235" t="e">
        <f>VLOOKUP(A563,#REF!,10,FALSE)</f>
        <v>#REF!</v>
      </c>
      <c r="E563" s="2">
        <f>VLOOKUP($A563,'[2]App C Total'!$A$4:$I$917,5,FALSE)</f>
        <v>183800</v>
      </c>
      <c r="F563" s="2">
        <f>VLOOKUP($A563,'[2]App C Total'!$A$4:$I$917,6,FALSE)</f>
        <v>65204</v>
      </c>
      <c r="G563" s="2">
        <f>VLOOKUP($A563,'[2]App C Total'!$A$4:$I$917,7,FALSE)</f>
        <v>98910</v>
      </c>
      <c r="H563" s="2">
        <f>VLOOKUP($A563,'[2]App C Total'!$A$4:$I$917,8,FALSE)</f>
        <v>25440</v>
      </c>
      <c r="I563" s="2">
        <f>VLOOKUP($A563,'[2]App C Total'!$A$4:$I$917,9,FALSE)</f>
        <v>0</v>
      </c>
      <c r="J563" s="2"/>
      <c r="K563" s="2">
        <f>VLOOKUP($A563,'[2]App C Exp'!$A$4:$I$917,5,FALSE)</f>
        <v>53047</v>
      </c>
      <c r="L563" s="2">
        <f>VLOOKUP($A563,'[2]App C Exp'!$A$4:$I$917,6,FALSE)</f>
        <v>49900</v>
      </c>
      <c r="M563" s="2">
        <f>VLOOKUP($A563,'[2]App C Exp'!$A$4:$I$917,7,FALSE)</f>
        <v>44725</v>
      </c>
      <c r="N563" s="2">
        <f>VLOOKUP($A563,'[2]App C Exp'!$A$4:$I$917,8,FALSE)</f>
        <v>17907</v>
      </c>
      <c r="O563" s="2">
        <f>VLOOKUP($A563,'[2]App C Exp'!$A$4:$I$917,9,FALSE)</f>
        <v>0</v>
      </c>
      <c r="P563" s="2"/>
      <c r="Q563" s="2">
        <f>VLOOKUP($A563,'[2]App C Inv'!$A$4:$I$917,5,FALSE)</f>
        <v>56316</v>
      </c>
      <c r="R563" s="2">
        <f>VLOOKUP($A563,'[2]App C Inv'!$A$4:$I$917,6,FALSE)</f>
        <v>-48443</v>
      </c>
      <c r="S563" s="2">
        <f>VLOOKUP($A563,'[2]App C Inv'!$A$4:$I$917,7,FALSE)</f>
        <v>6827</v>
      </c>
      <c r="T563" s="2">
        <f>VLOOKUP($A563,'[2]App C Inv'!$A$4:$I$917,8,FALSE)</f>
        <v>8886</v>
      </c>
      <c r="U563" s="2">
        <f>VLOOKUP($A563,'[2]App C Inv'!$A$4:$I$917,9,FALSE)</f>
        <v>0</v>
      </c>
      <c r="V563" s="2"/>
      <c r="W563" s="2">
        <f>VLOOKUP($A563,'[2]App C Assum'!$A$4:$I$917,5,FALSE)</f>
        <v>63441</v>
      </c>
      <c r="X563" s="2">
        <f>VLOOKUP($A563,'[2]App C Assum'!$A$4:$I$917,6,FALSE)</f>
        <v>51973</v>
      </c>
      <c r="Y563" s="2">
        <f>VLOOKUP($A563,'[2]App C Assum'!$A$4:$I$917,7,FALSE)</f>
        <v>42193</v>
      </c>
      <c r="Z563" s="2">
        <f>VLOOKUP($A563,'[2]App C Assum'!$A$4:$I$917,8,FALSE)</f>
        <v>0</v>
      </c>
      <c r="AA563" s="2">
        <f>VLOOKUP($A563,'[2]App C Assum'!$A$4:$I$917,9,FALSE)</f>
        <v>0</v>
      </c>
      <c r="AB563" s="2"/>
      <c r="AC563" s="2">
        <f>VLOOKUP($A563,'[2]App C Share Outflows'!$A$4:$I$917,5,FALSE)</f>
        <v>13131</v>
      </c>
      <c r="AD563" s="2">
        <f>VLOOKUP($A563,'[2]App C Share Outflows'!$A$4:$I$917,6,FALSE)</f>
        <v>13129</v>
      </c>
      <c r="AE563" s="2">
        <f>VLOOKUP($A563,'[2]App C Share Outflows'!$A$4:$I$917,7,FALSE)</f>
        <v>6520</v>
      </c>
      <c r="AF563" s="2">
        <f>VLOOKUP($A563,'[2]App C Share Outflows'!$A$4:$I$917,8,FALSE)</f>
        <v>0</v>
      </c>
      <c r="AG563" s="2">
        <f>VLOOKUP($A563,'[2]App C Share Outflows'!$A$4:$I$917,9,FALSE)</f>
        <v>0</v>
      </c>
      <c r="AH563" s="2"/>
      <c r="AI563" s="2">
        <f>VLOOKUP($A563,'[2]App C Share Inflows'!$A$4:$I$917,5,FALSE)</f>
        <v>-2135</v>
      </c>
      <c r="AJ563" s="2">
        <f>VLOOKUP($A563,'[2]App C Share Inflows'!$A$4:$I$917,6,FALSE)</f>
        <v>-1355</v>
      </c>
      <c r="AK563" s="2">
        <f>VLOOKUP($A563,'[2]App C Share Inflows'!$A$4:$I$917,7,FALSE)</f>
        <v>-1355</v>
      </c>
      <c r="AL563" s="2">
        <f>VLOOKUP($A563,'[2]App C Share Inflows'!$A$4:$I$917,8,FALSE)</f>
        <v>-1353</v>
      </c>
      <c r="AM563" s="2">
        <f>VLOOKUP($A563,'[2]App C Share Inflows'!$A$4:$I$917,6,FALSE)</f>
        <v>-1355</v>
      </c>
    </row>
    <row r="564" spans="1:39">
      <c r="A564" s="351">
        <v>96011</v>
      </c>
      <c r="B564" s="344" t="s">
        <v>1259</v>
      </c>
      <c r="C564" s="235" t="e">
        <f>VLOOKUP(A564,#REF!,10,FALSE)</f>
        <v>#REF!</v>
      </c>
      <c r="E564" s="2">
        <f>VLOOKUP($A564,'[2]App C Total'!$A$4:$I$917,5,FALSE)</f>
        <v>31434252</v>
      </c>
      <c r="F564" s="2">
        <f>VLOOKUP($A564,'[2]App C Total'!$A$4:$I$917,6,FALSE)</f>
        <v>10141926</v>
      </c>
      <c r="G564" s="2">
        <f>VLOOKUP($A564,'[2]App C Total'!$A$4:$I$917,7,FALSE)</f>
        <v>17165799</v>
      </c>
      <c r="H564" s="2">
        <f>VLOOKUP($A564,'[2]App C Total'!$A$4:$I$917,8,FALSE)</f>
        <v>4990814</v>
      </c>
      <c r="I564" s="2">
        <f>VLOOKUP($A564,'[2]App C Total'!$A$4:$I$917,9,FALSE)</f>
        <v>0</v>
      </c>
      <c r="J564" s="2"/>
      <c r="K564" s="2">
        <f>VLOOKUP($A564,'[2]App C Exp'!$A$4:$I$917,5,FALSE)</f>
        <v>9468462</v>
      </c>
      <c r="L564" s="2">
        <f>VLOOKUP($A564,'[2]App C Exp'!$A$4:$I$917,6,FALSE)</f>
        <v>8906764</v>
      </c>
      <c r="M564" s="2">
        <f>VLOOKUP($A564,'[2]App C Exp'!$A$4:$I$917,7,FALSE)</f>
        <v>7983032</v>
      </c>
      <c r="N564" s="2">
        <f>VLOOKUP($A564,'[2]App C Exp'!$A$4:$I$917,8,FALSE)</f>
        <v>3196310</v>
      </c>
      <c r="O564" s="2">
        <f>VLOOKUP($A564,'[2]App C Exp'!$A$4:$I$917,9,FALSE)</f>
        <v>0</v>
      </c>
      <c r="P564" s="2"/>
      <c r="Q564" s="2">
        <f>VLOOKUP($A564,'[2]App C Inv'!$A$4:$I$917,5,FALSE)</f>
        <v>10052091</v>
      </c>
      <c r="R564" s="2">
        <f>VLOOKUP($A564,'[2]App C Inv'!$A$4:$I$917,6,FALSE)</f>
        <v>-8646678</v>
      </c>
      <c r="S564" s="2">
        <f>VLOOKUP($A564,'[2]App C Inv'!$A$4:$I$917,7,FALSE)</f>
        <v>1218644</v>
      </c>
      <c r="T564" s="2">
        <f>VLOOKUP($A564,'[2]App C Inv'!$A$4:$I$917,8,FALSE)</f>
        <v>1586051</v>
      </c>
      <c r="U564" s="2">
        <f>VLOOKUP($A564,'[2]App C Inv'!$A$4:$I$917,9,FALSE)</f>
        <v>0</v>
      </c>
      <c r="V564" s="2"/>
      <c r="W564" s="2">
        <f>VLOOKUP($A564,'[2]App C Assum'!$A$4:$I$917,5,FALSE)</f>
        <v>11323827</v>
      </c>
      <c r="X564" s="2">
        <f>VLOOKUP($A564,'[2]App C Assum'!$A$4:$I$917,6,FALSE)</f>
        <v>9276889</v>
      </c>
      <c r="Y564" s="2">
        <f>VLOOKUP($A564,'[2]App C Assum'!$A$4:$I$917,7,FALSE)</f>
        <v>7531247</v>
      </c>
      <c r="Z564" s="2">
        <f>VLOOKUP($A564,'[2]App C Assum'!$A$4:$I$917,8,FALSE)</f>
        <v>0</v>
      </c>
      <c r="AA564" s="2">
        <f>VLOOKUP($A564,'[2]App C Assum'!$A$4:$I$917,9,FALSE)</f>
        <v>0</v>
      </c>
      <c r="AB564" s="2"/>
      <c r="AC564" s="2">
        <f>VLOOKUP($A564,'[2]App C Share Outflows'!$A$4:$I$917,5,FALSE)</f>
        <v>604951</v>
      </c>
      <c r="AD564" s="2">
        <f>VLOOKUP($A564,'[2]App C Share Outflows'!$A$4:$I$917,6,FALSE)</f>
        <v>604951</v>
      </c>
      <c r="AE564" s="2">
        <f>VLOOKUP($A564,'[2]App C Share Outflows'!$A$4:$I$917,7,FALSE)</f>
        <v>432876</v>
      </c>
      <c r="AF564" s="2">
        <f>VLOOKUP($A564,'[2]App C Share Outflows'!$A$4:$I$917,8,FALSE)</f>
        <v>208453</v>
      </c>
      <c r="AG564" s="2">
        <f>VLOOKUP($A564,'[2]App C Share Outflows'!$A$4:$I$917,9,FALSE)</f>
        <v>0</v>
      </c>
      <c r="AH564" s="2"/>
      <c r="AI564" s="2">
        <f>VLOOKUP($A564,'[2]App C Share Inflows'!$A$4:$I$917,5,FALSE)</f>
        <v>-15079</v>
      </c>
      <c r="AJ564" s="2">
        <f>VLOOKUP($A564,'[2]App C Share Inflows'!$A$4:$I$917,6,FALSE)</f>
        <v>0</v>
      </c>
      <c r="AK564" s="2">
        <f>VLOOKUP($A564,'[2]App C Share Inflows'!$A$4:$I$917,7,FALSE)</f>
        <v>0</v>
      </c>
      <c r="AL564" s="2">
        <f>VLOOKUP($A564,'[2]App C Share Inflows'!$A$4:$I$917,8,FALSE)</f>
        <v>0</v>
      </c>
      <c r="AM564" s="2">
        <f>VLOOKUP($A564,'[2]App C Share Inflows'!$A$4:$I$917,6,FALSE)</f>
        <v>0</v>
      </c>
    </row>
    <row r="565" spans="1:39">
      <c r="A565" s="351">
        <v>96012</v>
      </c>
      <c r="B565" s="344" t="s">
        <v>1260</v>
      </c>
      <c r="C565" s="235" t="e">
        <f>VLOOKUP(A565,#REF!,10,FALSE)</f>
        <v>#REF!</v>
      </c>
      <c r="E565" s="2">
        <f>VLOOKUP($A565,'[2]App C Total'!$A$4:$I$917,5,FALSE)</f>
        <v>1277375</v>
      </c>
      <c r="F565" s="2">
        <f>VLOOKUP($A565,'[2]App C Total'!$A$4:$I$917,6,FALSE)</f>
        <v>398907</v>
      </c>
      <c r="G565" s="2">
        <f>VLOOKUP($A565,'[2]App C Total'!$A$4:$I$917,7,FALSE)</f>
        <v>690521</v>
      </c>
      <c r="H565" s="2">
        <f>VLOOKUP($A565,'[2]App C Total'!$A$4:$I$917,8,FALSE)</f>
        <v>192968</v>
      </c>
      <c r="I565" s="2">
        <f>VLOOKUP($A565,'[2]App C Total'!$A$4:$I$917,9,FALSE)</f>
        <v>0</v>
      </c>
      <c r="J565" s="2"/>
      <c r="K565" s="2">
        <f>VLOOKUP($A565,'[2]App C Exp'!$A$4:$I$917,5,FALSE)</f>
        <v>383401</v>
      </c>
      <c r="L565" s="2">
        <f>VLOOKUP($A565,'[2]App C Exp'!$A$4:$I$917,6,FALSE)</f>
        <v>360657</v>
      </c>
      <c r="M565" s="2">
        <f>VLOOKUP($A565,'[2]App C Exp'!$A$4:$I$917,7,FALSE)</f>
        <v>323252</v>
      </c>
      <c r="N565" s="2">
        <f>VLOOKUP($A565,'[2]App C Exp'!$A$4:$I$917,8,FALSE)</f>
        <v>129426</v>
      </c>
      <c r="O565" s="2">
        <f>VLOOKUP($A565,'[2]App C Exp'!$A$4:$I$917,9,FALSE)</f>
        <v>0</v>
      </c>
      <c r="P565" s="2"/>
      <c r="Q565" s="2">
        <f>VLOOKUP($A565,'[2]App C Inv'!$A$4:$I$917,5,FALSE)</f>
        <v>407034</v>
      </c>
      <c r="R565" s="2">
        <f>VLOOKUP($A565,'[2]App C Inv'!$A$4:$I$917,6,FALSE)</f>
        <v>-350125</v>
      </c>
      <c r="S565" s="2">
        <f>VLOOKUP($A565,'[2]App C Inv'!$A$4:$I$917,7,FALSE)</f>
        <v>49346</v>
      </c>
      <c r="T565" s="2">
        <f>VLOOKUP($A565,'[2]App C Inv'!$A$4:$I$917,8,FALSE)</f>
        <v>64223</v>
      </c>
      <c r="U565" s="2">
        <f>VLOOKUP($A565,'[2]App C Inv'!$A$4:$I$917,9,FALSE)</f>
        <v>0</v>
      </c>
      <c r="V565" s="2"/>
      <c r="W565" s="2">
        <f>VLOOKUP($A565,'[2]App C Assum'!$A$4:$I$917,5,FALSE)</f>
        <v>458529</v>
      </c>
      <c r="X565" s="2">
        <f>VLOOKUP($A565,'[2]App C Assum'!$A$4:$I$917,6,FALSE)</f>
        <v>375644</v>
      </c>
      <c r="Y565" s="2">
        <f>VLOOKUP($A565,'[2]App C Assum'!$A$4:$I$917,7,FALSE)</f>
        <v>304959</v>
      </c>
      <c r="Z565" s="2">
        <f>VLOOKUP($A565,'[2]App C Assum'!$A$4:$I$917,8,FALSE)</f>
        <v>0</v>
      </c>
      <c r="AA565" s="2">
        <f>VLOOKUP($A565,'[2]App C Assum'!$A$4:$I$917,9,FALSE)</f>
        <v>0</v>
      </c>
      <c r="AB565" s="2"/>
      <c r="AC565" s="2">
        <f>VLOOKUP($A565,'[2]App C Share Outflows'!$A$4:$I$917,5,FALSE)</f>
        <v>29325</v>
      </c>
      <c r="AD565" s="2">
        <f>VLOOKUP($A565,'[2]App C Share Outflows'!$A$4:$I$917,6,FALSE)</f>
        <v>13646</v>
      </c>
      <c r="AE565" s="2">
        <f>VLOOKUP($A565,'[2]App C Share Outflows'!$A$4:$I$917,7,FALSE)</f>
        <v>13644</v>
      </c>
      <c r="AF565" s="2">
        <f>VLOOKUP($A565,'[2]App C Share Outflows'!$A$4:$I$917,8,FALSE)</f>
        <v>0</v>
      </c>
      <c r="AG565" s="2">
        <f>VLOOKUP($A565,'[2]App C Share Outflows'!$A$4:$I$917,9,FALSE)</f>
        <v>0</v>
      </c>
      <c r="AH565" s="2"/>
      <c r="AI565" s="2">
        <f>VLOOKUP($A565,'[2]App C Share Inflows'!$A$4:$I$917,5,FALSE)</f>
        <v>-914</v>
      </c>
      <c r="AJ565" s="2">
        <f>VLOOKUP($A565,'[2]App C Share Inflows'!$A$4:$I$917,6,FALSE)</f>
        <v>-915</v>
      </c>
      <c r="AK565" s="2">
        <f>VLOOKUP($A565,'[2]App C Share Inflows'!$A$4:$I$917,7,FALSE)</f>
        <v>-680</v>
      </c>
      <c r="AL565" s="2">
        <f>VLOOKUP($A565,'[2]App C Share Inflows'!$A$4:$I$917,8,FALSE)</f>
        <v>-681</v>
      </c>
      <c r="AM565" s="2">
        <f>VLOOKUP($A565,'[2]App C Share Inflows'!$A$4:$I$917,6,FALSE)</f>
        <v>-915</v>
      </c>
    </row>
    <row r="566" spans="1:39">
      <c r="A566" s="351">
        <v>96018</v>
      </c>
      <c r="B566" s="344" t="s">
        <v>3689</v>
      </c>
      <c r="C566" s="235" t="e">
        <f>VLOOKUP(A566,#REF!,10,FALSE)</f>
        <v>#REF!</v>
      </c>
      <c r="E566" s="2">
        <f>VLOOKUP($A566,'[2]App C Total'!$A$4:$I$917,5,FALSE)</f>
        <v>15406</v>
      </c>
      <c r="F566" s="2">
        <f>VLOOKUP($A566,'[2]App C Total'!$A$4:$I$917,6,FALSE)</f>
        <v>3808</v>
      </c>
      <c r="G566" s="2">
        <f>VLOOKUP($A566,'[2]App C Total'!$A$4:$I$917,7,FALSE)</f>
        <v>6858</v>
      </c>
      <c r="H566" s="2">
        <f>VLOOKUP($A566,'[2]App C Total'!$A$4:$I$917,8,FALSE)</f>
        <v>382</v>
      </c>
      <c r="I566" s="2">
        <f>VLOOKUP($A566,'[2]App C Total'!$A$4:$I$917,9,FALSE)</f>
        <v>0</v>
      </c>
      <c r="J566" s="2"/>
      <c r="K566" s="2">
        <f>VLOOKUP($A566,'[2]App C Exp'!$A$4:$I$917,5,FALSE)</f>
        <v>5123</v>
      </c>
      <c r="L566" s="2">
        <f>VLOOKUP($A566,'[2]App C Exp'!$A$4:$I$917,6,FALSE)</f>
        <v>4819</v>
      </c>
      <c r="M566" s="2">
        <f>VLOOKUP($A566,'[2]App C Exp'!$A$4:$I$917,7,FALSE)</f>
        <v>4320</v>
      </c>
      <c r="N566" s="2">
        <f>VLOOKUP($A566,'[2]App C Exp'!$A$4:$I$917,8,FALSE)</f>
        <v>1730</v>
      </c>
      <c r="O566" s="2">
        <f>VLOOKUP($A566,'[2]App C Exp'!$A$4:$I$917,9,FALSE)</f>
        <v>0</v>
      </c>
      <c r="P566" s="2"/>
      <c r="Q566" s="2">
        <f>VLOOKUP($A566,'[2]App C Inv'!$A$4:$I$917,5,FALSE)</f>
        <v>5439</v>
      </c>
      <c r="R566" s="2">
        <f>VLOOKUP($A566,'[2]App C Inv'!$A$4:$I$917,6,FALSE)</f>
        <v>-4679</v>
      </c>
      <c r="S566" s="2">
        <f>VLOOKUP($A566,'[2]App C Inv'!$A$4:$I$917,7,FALSE)</f>
        <v>659</v>
      </c>
      <c r="T566" s="2">
        <f>VLOOKUP($A566,'[2]App C Inv'!$A$4:$I$917,8,FALSE)</f>
        <v>858</v>
      </c>
      <c r="U566" s="2">
        <f>VLOOKUP($A566,'[2]App C Inv'!$A$4:$I$917,9,FALSE)</f>
        <v>0</v>
      </c>
      <c r="V566" s="2"/>
      <c r="W566" s="2">
        <f>VLOOKUP($A566,'[2]App C Assum'!$A$4:$I$917,5,FALSE)</f>
        <v>6127</v>
      </c>
      <c r="X566" s="2">
        <f>VLOOKUP($A566,'[2]App C Assum'!$A$4:$I$917,6,FALSE)</f>
        <v>5020</v>
      </c>
      <c r="Y566" s="2">
        <f>VLOOKUP($A566,'[2]App C Assum'!$A$4:$I$917,7,FALSE)</f>
        <v>4075</v>
      </c>
      <c r="Z566" s="2">
        <f>VLOOKUP($A566,'[2]App C Assum'!$A$4:$I$917,8,FALSE)</f>
        <v>0</v>
      </c>
      <c r="AA566" s="2">
        <f>VLOOKUP($A566,'[2]App C Assum'!$A$4:$I$917,9,FALSE)</f>
        <v>0</v>
      </c>
      <c r="AB566" s="2"/>
      <c r="AC566" s="2">
        <f>VLOOKUP($A566,'[2]App C Share Outflows'!$A$4:$I$917,5,FALSE)</f>
        <v>922</v>
      </c>
      <c r="AD566" s="2">
        <f>VLOOKUP($A566,'[2]App C Share Outflows'!$A$4:$I$917,6,FALSE)</f>
        <v>853</v>
      </c>
      <c r="AE566" s="2">
        <f>VLOOKUP($A566,'[2]App C Share Outflows'!$A$4:$I$917,7,FALSE)</f>
        <v>9</v>
      </c>
      <c r="AF566" s="2">
        <f>VLOOKUP($A566,'[2]App C Share Outflows'!$A$4:$I$917,8,FALSE)</f>
        <v>0</v>
      </c>
      <c r="AG566" s="2">
        <f>VLOOKUP($A566,'[2]App C Share Outflows'!$A$4:$I$917,9,FALSE)</f>
        <v>0</v>
      </c>
      <c r="AH566" s="2"/>
      <c r="AI566" s="2">
        <f>VLOOKUP($A566,'[2]App C Share Inflows'!$A$4:$I$917,5,FALSE)</f>
        <v>-2205</v>
      </c>
      <c r="AJ566" s="2">
        <f>VLOOKUP($A566,'[2]App C Share Inflows'!$A$4:$I$917,6,FALSE)</f>
        <v>-2205</v>
      </c>
      <c r="AK566" s="2">
        <f>VLOOKUP($A566,'[2]App C Share Inflows'!$A$4:$I$917,7,FALSE)</f>
        <v>-2205</v>
      </c>
      <c r="AL566" s="2">
        <f>VLOOKUP($A566,'[2]App C Share Inflows'!$A$4:$I$917,8,FALSE)</f>
        <v>-2206</v>
      </c>
      <c r="AM566" s="2">
        <f>VLOOKUP($A566,'[2]App C Share Inflows'!$A$4:$I$917,6,FALSE)</f>
        <v>-2205</v>
      </c>
    </row>
    <row r="567" spans="1:39">
      <c r="A567" s="351">
        <v>96021</v>
      </c>
      <c r="B567" s="344" t="s">
        <v>1262</v>
      </c>
      <c r="C567" s="235" t="e">
        <f>VLOOKUP(A567,#REF!,10,FALSE)</f>
        <v>#REF!</v>
      </c>
      <c r="E567" s="2">
        <f>VLOOKUP($A567,'[2]App C Total'!$A$4:$I$917,5,FALSE)</f>
        <v>349511</v>
      </c>
      <c r="F567" s="2">
        <f>VLOOKUP($A567,'[2]App C Total'!$A$4:$I$917,6,FALSE)</f>
        <v>95668</v>
      </c>
      <c r="G567" s="2">
        <f>VLOOKUP($A567,'[2]App C Total'!$A$4:$I$917,7,FALSE)</f>
        <v>207576</v>
      </c>
      <c r="H567" s="2">
        <f>VLOOKUP($A567,'[2]App C Total'!$A$4:$I$917,8,FALSE)</f>
        <v>60652</v>
      </c>
      <c r="I567" s="2">
        <f>VLOOKUP($A567,'[2]App C Total'!$A$4:$I$917,9,FALSE)</f>
        <v>0</v>
      </c>
      <c r="J567" s="2"/>
      <c r="K567" s="2">
        <f>VLOOKUP($A567,'[2]App C Exp'!$A$4:$I$917,5,FALSE)</f>
        <v>116085</v>
      </c>
      <c r="L567" s="2">
        <f>VLOOKUP($A567,'[2]App C Exp'!$A$4:$I$917,6,FALSE)</f>
        <v>109199</v>
      </c>
      <c r="M567" s="2">
        <f>VLOOKUP($A567,'[2]App C Exp'!$A$4:$I$917,7,FALSE)</f>
        <v>97874</v>
      </c>
      <c r="N567" s="2">
        <f>VLOOKUP($A567,'[2]App C Exp'!$A$4:$I$917,8,FALSE)</f>
        <v>39187</v>
      </c>
      <c r="O567" s="2">
        <f>VLOOKUP($A567,'[2]App C Exp'!$A$4:$I$917,9,FALSE)</f>
        <v>0</v>
      </c>
      <c r="P567" s="2"/>
      <c r="Q567" s="2">
        <f>VLOOKUP($A567,'[2]App C Inv'!$A$4:$I$917,5,FALSE)</f>
        <v>123241</v>
      </c>
      <c r="R567" s="2">
        <f>VLOOKUP($A567,'[2]App C Inv'!$A$4:$I$917,6,FALSE)</f>
        <v>-106010</v>
      </c>
      <c r="S567" s="2">
        <f>VLOOKUP($A567,'[2]App C Inv'!$A$4:$I$917,7,FALSE)</f>
        <v>14941</v>
      </c>
      <c r="T567" s="2">
        <f>VLOOKUP($A567,'[2]App C Inv'!$A$4:$I$917,8,FALSE)</f>
        <v>19445</v>
      </c>
      <c r="U567" s="2">
        <f>VLOOKUP($A567,'[2]App C Inv'!$A$4:$I$917,9,FALSE)</f>
        <v>0</v>
      </c>
      <c r="V567" s="2"/>
      <c r="W567" s="2">
        <f>VLOOKUP($A567,'[2]App C Assum'!$A$4:$I$917,5,FALSE)</f>
        <v>138833</v>
      </c>
      <c r="X567" s="2">
        <f>VLOOKUP($A567,'[2]App C Assum'!$A$4:$I$917,6,FALSE)</f>
        <v>113737</v>
      </c>
      <c r="Y567" s="2">
        <f>VLOOKUP($A567,'[2]App C Assum'!$A$4:$I$917,7,FALSE)</f>
        <v>92335</v>
      </c>
      <c r="Z567" s="2">
        <f>VLOOKUP($A567,'[2]App C Assum'!$A$4:$I$917,8,FALSE)</f>
        <v>0</v>
      </c>
      <c r="AA567" s="2">
        <f>VLOOKUP($A567,'[2]App C Assum'!$A$4:$I$917,9,FALSE)</f>
        <v>0</v>
      </c>
      <c r="AB567" s="2"/>
      <c r="AC567" s="2">
        <f>VLOOKUP($A567,'[2]App C Share Outflows'!$A$4:$I$917,5,FALSE)</f>
        <v>2426</v>
      </c>
      <c r="AD567" s="2">
        <f>VLOOKUP($A567,'[2]App C Share Outflows'!$A$4:$I$917,6,FALSE)</f>
        <v>2426</v>
      </c>
      <c r="AE567" s="2">
        <f>VLOOKUP($A567,'[2]App C Share Outflows'!$A$4:$I$917,7,FALSE)</f>
        <v>2426</v>
      </c>
      <c r="AF567" s="2">
        <f>VLOOKUP($A567,'[2]App C Share Outflows'!$A$4:$I$917,8,FALSE)</f>
        <v>2020</v>
      </c>
      <c r="AG567" s="2">
        <f>VLOOKUP($A567,'[2]App C Share Outflows'!$A$4:$I$917,9,FALSE)</f>
        <v>0</v>
      </c>
      <c r="AH567" s="2"/>
      <c r="AI567" s="2">
        <f>VLOOKUP($A567,'[2]App C Share Inflows'!$A$4:$I$917,5,FALSE)</f>
        <v>-31074</v>
      </c>
      <c r="AJ567" s="2">
        <f>VLOOKUP($A567,'[2]App C Share Inflows'!$A$4:$I$917,6,FALSE)</f>
        <v>-23684</v>
      </c>
      <c r="AK567" s="2">
        <f>VLOOKUP($A567,'[2]App C Share Inflows'!$A$4:$I$917,7,FALSE)</f>
        <v>0</v>
      </c>
      <c r="AL567" s="2">
        <f>VLOOKUP($A567,'[2]App C Share Inflows'!$A$4:$I$917,8,FALSE)</f>
        <v>0</v>
      </c>
      <c r="AM567" s="2">
        <f>VLOOKUP($A567,'[2]App C Share Inflows'!$A$4:$I$917,6,FALSE)</f>
        <v>-23684</v>
      </c>
    </row>
    <row r="568" spans="1:39">
      <c r="A568" s="351">
        <v>96031</v>
      </c>
      <c r="B568" s="344" t="s">
        <v>1263</v>
      </c>
      <c r="C568" s="235" t="e">
        <f>VLOOKUP(A568,#REF!,10,FALSE)</f>
        <v>#REF!</v>
      </c>
      <c r="E568" s="2">
        <f>VLOOKUP($A568,'[2]App C Total'!$A$4:$I$917,5,FALSE)</f>
        <v>355523</v>
      </c>
      <c r="F568" s="2">
        <f>VLOOKUP($A568,'[2]App C Total'!$A$4:$I$917,6,FALSE)</f>
        <v>80196</v>
      </c>
      <c r="G568" s="2">
        <f>VLOOKUP($A568,'[2]App C Total'!$A$4:$I$917,7,FALSE)</f>
        <v>199073</v>
      </c>
      <c r="H568" s="2">
        <f>VLOOKUP($A568,'[2]App C Total'!$A$4:$I$917,8,FALSE)</f>
        <v>50760</v>
      </c>
      <c r="I568" s="2">
        <f>VLOOKUP($A568,'[2]App C Total'!$A$4:$I$917,9,FALSE)</f>
        <v>0</v>
      </c>
      <c r="J568" s="2"/>
      <c r="K568" s="2">
        <f>VLOOKUP($A568,'[2]App C Exp'!$A$4:$I$917,5,FALSE)</f>
        <v>125523</v>
      </c>
      <c r="L568" s="2">
        <f>VLOOKUP($A568,'[2]App C Exp'!$A$4:$I$917,6,FALSE)</f>
        <v>118077</v>
      </c>
      <c r="M568" s="2">
        <f>VLOOKUP($A568,'[2]App C Exp'!$A$4:$I$917,7,FALSE)</f>
        <v>105831</v>
      </c>
      <c r="N568" s="2">
        <f>VLOOKUP($A568,'[2]App C Exp'!$A$4:$I$917,8,FALSE)</f>
        <v>42373</v>
      </c>
      <c r="O568" s="2">
        <f>VLOOKUP($A568,'[2]App C Exp'!$A$4:$I$917,9,FALSE)</f>
        <v>0</v>
      </c>
      <c r="P568" s="2"/>
      <c r="Q568" s="2">
        <f>VLOOKUP($A568,'[2]App C Inv'!$A$4:$I$917,5,FALSE)</f>
        <v>133260</v>
      </c>
      <c r="R568" s="2">
        <f>VLOOKUP($A568,'[2]App C Inv'!$A$4:$I$917,6,FALSE)</f>
        <v>-114629</v>
      </c>
      <c r="S568" s="2">
        <f>VLOOKUP($A568,'[2]App C Inv'!$A$4:$I$917,7,FALSE)</f>
        <v>16156</v>
      </c>
      <c r="T568" s="2">
        <f>VLOOKUP($A568,'[2]App C Inv'!$A$4:$I$917,8,FALSE)</f>
        <v>21026</v>
      </c>
      <c r="U568" s="2">
        <f>VLOOKUP($A568,'[2]App C Inv'!$A$4:$I$917,9,FALSE)</f>
        <v>0</v>
      </c>
      <c r="V568" s="2"/>
      <c r="W568" s="2">
        <f>VLOOKUP($A568,'[2]App C Assum'!$A$4:$I$917,5,FALSE)</f>
        <v>150120</v>
      </c>
      <c r="X568" s="2">
        <f>VLOOKUP($A568,'[2]App C Assum'!$A$4:$I$917,6,FALSE)</f>
        <v>122984</v>
      </c>
      <c r="Y568" s="2">
        <f>VLOOKUP($A568,'[2]App C Assum'!$A$4:$I$917,7,FALSE)</f>
        <v>99842</v>
      </c>
      <c r="Z568" s="2">
        <f>VLOOKUP($A568,'[2]App C Assum'!$A$4:$I$917,8,FALSE)</f>
        <v>0</v>
      </c>
      <c r="AA568" s="2">
        <f>VLOOKUP($A568,'[2]App C Assum'!$A$4:$I$917,9,FALSE)</f>
        <v>0</v>
      </c>
      <c r="AB568" s="2"/>
      <c r="AC568" s="2">
        <f>VLOOKUP($A568,'[2]App C Share Outflows'!$A$4:$I$917,5,FALSE)</f>
        <v>0</v>
      </c>
      <c r="AD568" s="2">
        <f>VLOOKUP($A568,'[2]App C Share Outflows'!$A$4:$I$917,6,FALSE)</f>
        <v>0</v>
      </c>
      <c r="AE568" s="2">
        <f>VLOOKUP($A568,'[2]App C Share Outflows'!$A$4:$I$917,7,FALSE)</f>
        <v>0</v>
      </c>
      <c r="AF568" s="2">
        <f>VLOOKUP($A568,'[2]App C Share Outflows'!$A$4:$I$917,8,FALSE)</f>
        <v>0</v>
      </c>
      <c r="AG568" s="2">
        <f>VLOOKUP($A568,'[2]App C Share Outflows'!$A$4:$I$917,9,FALSE)</f>
        <v>0</v>
      </c>
      <c r="AH568" s="2"/>
      <c r="AI568" s="2">
        <f>VLOOKUP($A568,'[2]App C Share Inflows'!$A$4:$I$917,5,FALSE)</f>
        <v>-53380</v>
      </c>
      <c r="AJ568" s="2">
        <f>VLOOKUP($A568,'[2]App C Share Inflows'!$A$4:$I$917,6,FALSE)</f>
        <v>-46236</v>
      </c>
      <c r="AK568" s="2">
        <f>VLOOKUP($A568,'[2]App C Share Inflows'!$A$4:$I$917,7,FALSE)</f>
        <v>-22756</v>
      </c>
      <c r="AL568" s="2">
        <f>VLOOKUP($A568,'[2]App C Share Inflows'!$A$4:$I$917,8,FALSE)</f>
        <v>-12639</v>
      </c>
      <c r="AM568" s="2">
        <f>VLOOKUP($A568,'[2]App C Share Inflows'!$A$4:$I$917,6,FALSE)</f>
        <v>-46236</v>
      </c>
    </row>
    <row r="569" spans="1:39">
      <c r="A569" s="351">
        <v>96041</v>
      </c>
      <c r="B569" s="344" t="s">
        <v>1264</v>
      </c>
      <c r="C569" s="235" t="e">
        <f>VLOOKUP(A569,#REF!,10,FALSE)</f>
        <v>#REF!</v>
      </c>
      <c r="E569" s="2">
        <f>VLOOKUP($A569,'[2]App C Total'!$A$4:$I$917,5,FALSE)</f>
        <v>809555</v>
      </c>
      <c r="F569" s="2">
        <f>VLOOKUP($A569,'[2]App C Total'!$A$4:$I$917,6,FALSE)</f>
        <v>231251</v>
      </c>
      <c r="G569" s="2">
        <f>VLOOKUP($A569,'[2]App C Total'!$A$4:$I$917,7,FALSE)</f>
        <v>444564</v>
      </c>
      <c r="H569" s="2">
        <f>VLOOKUP($A569,'[2]App C Total'!$A$4:$I$917,8,FALSE)</f>
        <v>135061</v>
      </c>
      <c r="I569" s="2">
        <f>VLOOKUP($A569,'[2]App C Total'!$A$4:$I$917,9,FALSE)</f>
        <v>0</v>
      </c>
      <c r="J569" s="2"/>
      <c r="K569" s="2">
        <f>VLOOKUP($A569,'[2]App C Exp'!$A$4:$I$917,5,FALSE)</f>
        <v>261653</v>
      </c>
      <c r="L569" s="2">
        <f>VLOOKUP($A569,'[2]App C Exp'!$A$4:$I$917,6,FALSE)</f>
        <v>246131</v>
      </c>
      <c r="M569" s="2">
        <f>VLOOKUP($A569,'[2]App C Exp'!$A$4:$I$917,7,FALSE)</f>
        <v>220604</v>
      </c>
      <c r="N569" s="2">
        <f>VLOOKUP($A569,'[2]App C Exp'!$A$4:$I$917,8,FALSE)</f>
        <v>88327</v>
      </c>
      <c r="O569" s="2">
        <f>VLOOKUP($A569,'[2]App C Exp'!$A$4:$I$917,9,FALSE)</f>
        <v>0</v>
      </c>
      <c r="P569" s="2"/>
      <c r="Q569" s="2">
        <f>VLOOKUP($A569,'[2]App C Inv'!$A$4:$I$917,5,FALSE)</f>
        <v>277781</v>
      </c>
      <c r="R569" s="2">
        <f>VLOOKUP($A569,'[2]App C Inv'!$A$4:$I$917,6,FALSE)</f>
        <v>-238944</v>
      </c>
      <c r="S569" s="2">
        <f>VLOOKUP($A569,'[2]App C Inv'!$A$4:$I$917,7,FALSE)</f>
        <v>33676</v>
      </c>
      <c r="T569" s="2">
        <f>VLOOKUP($A569,'[2]App C Inv'!$A$4:$I$917,8,FALSE)</f>
        <v>43829</v>
      </c>
      <c r="U569" s="2">
        <f>VLOOKUP($A569,'[2]App C Inv'!$A$4:$I$917,9,FALSE)</f>
        <v>0</v>
      </c>
      <c r="V569" s="2"/>
      <c r="W569" s="2">
        <f>VLOOKUP($A569,'[2]App C Assum'!$A$4:$I$917,5,FALSE)</f>
        <v>312924</v>
      </c>
      <c r="X569" s="2">
        <f>VLOOKUP($A569,'[2]App C Assum'!$A$4:$I$917,6,FALSE)</f>
        <v>256359</v>
      </c>
      <c r="Y569" s="2">
        <f>VLOOKUP($A569,'[2]App C Assum'!$A$4:$I$917,7,FALSE)</f>
        <v>208120</v>
      </c>
      <c r="Z569" s="2">
        <f>VLOOKUP($A569,'[2]App C Assum'!$A$4:$I$917,8,FALSE)</f>
        <v>0</v>
      </c>
      <c r="AA569" s="2">
        <f>VLOOKUP($A569,'[2]App C Assum'!$A$4:$I$917,9,FALSE)</f>
        <v>0</v>
      </c>
      <c r="AB569" s="2"/>
      <c r="AC569" s="2">
        <f>VLOOKUP($A569,'[2]App C Share Outflows'!$A$4:$I$917,5,FALSE)</f>
        <v>2904</v>
      </c>
      <c r="AD569" s="2">
        <f>VLOOKUP($A569,'[2]App C Share Outflows'!$A$4:$I$917,6,FALSE)</f>
        <v>2904</v>
      </c>
      <c r="AE569" s="2">
        <f>VLOOKUP($A569,'[2]App C Share Outflows'!$A$4:$I$917,7,FALSE)</f>
        <v>2904</v>
      </c>
      <c r="AF569" s="2">
        <f>VLOOKUP($A569,'[2]App C Share Outflows'!$A$4:$I$917,8,FALSE)</f>
        <v>2905</v>
      </c>
      <c r="AG569" s="2">
        <f>VLOOKUP($A569,'[2]App C Share Outflows'!$A$4:$I$917,9,FALSE)</f>
        <v>0</v>
      </c>
      <c r="AH569" s="2"/>
      <c r="AI569" s="2">
        <f>VLOOKUP($A569,'[2]App C Share Inflows'!$A$4:$I$917,5,FALSE)</f>
        <v>-45707</v>
      </c>
      <c r="AJ569" s="2">
        <f>VLOOKUP($A569,'[2]App C Share Inflows'!$A$4:$I$917,6,FALSE)</f>
        <v>-35199</v>
      </c>
      <c r="AK569" s="2">
        <f>VLOOKUP($A569,'[2]App C Share Inflows'!$A$4:$I$917,7,FALSE)</f>
        <v>-20740</v>
      </c>
      <c r="AL569" s="2">
        <f>VLOOKUP($A569,'[2]App C Share Inflows'!$A$4:$I$917,8,FALSE)</f>
        <v>0</v>
      </c>
      <c r="AM569" s="2">
        <f>VLOOKUP($A569,'[2]App C Share Inflows'!$A$4:$I$917,6,FALSE)</f>
        <v>-35199</v>
      </c>
    </row>
    <row r="570" spans="1:39">
      <c r="A570" s="351">
        <v>96051</v>
      </c>
      <c r="B570" s="344" t="s">
        <v>1265</v>
      </c>
      <c r="C570" s="235" t="e">
        <f>VLOOKUP(A570,#REF!,10,FALSE)</f>
        <v>#REF!</v>
      </c>
      <c r="E570" s="2">
        <f>VLOOKUP($A570,'[2]App C Total'!$A$4:$I$917,5,FALSE)</f>
        <v>422130</v>
      </c>
      <c r="F570" s="2">
        <f>VLOOKUP($A570,'[2]App C Total'!$A$4:$I$917,6,FALSE)</f>
        <v>104742</v>
      </c>
      <c r="G570" s="2">
        <f>VLOOKUP($A570,'[2]App C Total'!$A$4:$I$917,7,FALSE)</f>
        <v>227075</v>
      </c>
      <c r="H570" s="2">
        <f>VLOOKUP($A570,'[2]App C Total'!$A$4:$I$917,8,FALSE)</f>
        <v>49927</v>
      </c>
      <c r="I570" s="2">
        <f>VLOOKUP($A570,'[2]App C Total'!$A$4:$I$917,9,FALSE)</f>
        <v>0</v>
      </c>
      <c r="J570" s="2"/>
      <c r="K570" s="2">
        <f>VLOOKUP($A570,'[2]App C Exp'!$A$4:$I$917,5,FALSE)</f>
        <v>145178</v>
      </c>
      <c r="L570" s="2">
        <f>VLOOKUP($A570,'[2]App C Exp'!$A$4:$I$917,6,FALSE)</f>
        <v>136566</v>
      </c>
      <c r="M570" s="2">
        <f>VLOOKUP($A570,'[2]App C Exp'!$A$4:$I$917,7,FALSE)</f>
        <v>122402</v>
      </c>
      <c r="N570" s="2">
        <f>VLOOKUP($A570,'[2]App C Exp'!$A$4:$I$917,8,FALSE)</f>
        <v>49008</v>
      </c>
      <c r="O570" s="2">
        <f>VLOOKUP($A570,'[2]App C Exp'!$A$4:$I$917,9,FALSE)</f>
        <v>0</v>
      </c>
      <c r="P570" s="2"/>
      <c r="Q570" s="2">
        <f>VLOOKUP($A570,'[2]App C Inv'!$A$4:$I$917,5,FALSE)</f>
        <v>154127</v>
      </c>
      <c r="R570" s="2">
        <f>VLOOKUP($A570,'[2]App C Inv'!$A$4:$I$917,6,FALSE)</f>
        <v>-132578</v>
      </c>
      <c r="S570" s="2">
        <f>VLOOKUP($A570,'[2]App C Inv'!$A$4:$I$917,7,FALSE)</f>
        <v>18685</v>
      </c>
      <c r="T570" s="2">
        <f>VLOOKUP($A570,'[2]App C Inv'!$A$4:$I$917,8,FALSE)</f>
        <v>24319</v>
      </c>
      <c r="U570" s="2">
        <f>VLOOKUP($A570,'[2]App C Inv'!$A$4:$I$917,9,FALSE)</f>
        <v>0</v>
      </c>
      <c r="V570" s="2"/>
      <c r="W570" s="2">
        <f>VLOOKUP($A570,'[2]App C Assum'!$A$4:$I$917,5,FALSE)</f>
        <v>173626</v>
      </c>
      <c r="X570" s="2">
        <f>VLOOKUP($A570,'[2]App C Assum'!$A$4:$I$917,6,FALSE)</f>
        <v>142241</v>
      </c>
      <c r="Y570" s="2">
        <f>VLOOKUP($A570,'[2]App C Assum'!$A$4:$I$917,7,FALSE)</f>
        <v>115475</v>
      </c>
      <c r="Z570" s="2">
        <f>VLOOKUP($A570,'[2]App C Assum'!$A$4:$I$917,8,FALSE)</f>
        <v>0</v>
      </c>
      <c r="AA570" s="2">
        <f>VLOOKUP($A570,'[2]App C Assum'!$A$4:$I$917,9,FALSE)</f>
        <v>0</v>
      </c>
      <c r="AB570" s="2"/>
      <c r="AC570" s="2">
        <f>VLOOKUP($A570,'[2]App C Share Outflows'!$A$4:$I$917,5,FALSE)</f>
        <v>0</v>
      </c>
      <c r="AD570" s="2">
        <f>VLOOKUP($A570,'[2]App C Share Outflows'!$A$4:$I$917,6,FALSE)</f>
        <v>0</v>
      </c>
      <c r="AE570" s="2">
        <f>VLOOKUP($A570,'[2]App C Share Outflows'!$A$4:$I$917,7,FALSE)</f>
        <v>0</v>
      </c>
      <c r="AF570" s="2">
        <f>VLOOKUP($A570,'[2]App C Share Outflows'!$A$4:$I$917,8,FALSE)</f>
        <v>0</v>
      </c>
      <c r="AG570" s="2">
        <f>VLOOKUP($A570,'[2]App C Share Outflows'!$A$4:$I$917,9,FALSE)</f>
        <v>0</v>
      </c>
      <c r="AH570" s="2"/>
      <c r="AI570" s="2">
        <f>VLOOKUP($A570,'[2]App C Share Inflows'!$A$4:$I$917,5,FALSE)</f>
        <v>-50801</v>
      </c>
      <c r="AJ570" s="2">
        <f>VLOOKUP($A570,'[2]App C Share Inflows'!$A$4:$I$917,6,FALSE)</f>
        <v>-41487</v>
      </c>
      <c r="AK570" s="2">
        <f>VLOOKUP($A570,'[2]App C Share Inflows'!$A$4:$I$917,7,FALSE)</f>
        <v>-29487</v>
      </c>
      <c r="AL570" s="2">
        <f>VLOOKUP($A570,'[2]App C Share Inflows'!$A$4:$I$917,8,FALSE)</f>
        <v>-23400</v>
      </c>
      <c r="AM570" s="2">
        <f>VLOOKUP($A570,'[2]App C Share Inflows'!$A$4:$I$917,6,FALSE)</f>
        <v>-41487</v>
      </c>
    </row>
    <row r="571" spans="1:39">
      <c r="A571" s="351">
        <v>96061</v>
      </c>
      <c r="B571" s="344" t="s">
        <v>1266</v>
      </c>
      <c r="C571" s="235" t="e">
        <f>VLOOKUP(A571,#REF!,10,FALSE)</f>
        <v>#REF!</v>
      </c>
      <c r="E571" s="2">
        <f>VLOOKUP($A571,'[2]App C Total'!$A$4:$I$917,5,FALSE)</f>
        <v>172811</v>
      </c>
      <c r="F571" s="2">
        <f>VLOOKUP($A571,'[2]App C Total'!$A$4:$I$917,6,FALSE)</f>
        <v>59207</v>
      </c>
      <c r="G571" s="2">
        <f>VLOOKUP($A571,'[2]App C Total'!$A$4:$I$917,7,FALSE)</f>
        <v>93065</v>
      </c>
      <c r="H571" s="2">
        <f>VLOOKUP($A571,'[2]App C Total'!$A$4:$I$917,8,FALSE)</f>
        <v>30863</v>
      </c>
      <c r="I571" s="2">
        <f>VLOOKUP($A571,'[2]App C Total'!$A$4:$I$917,9,FALSE)</f>
        <v>0</v>
      </c>
      <c r="J571" s="2"/>
      <c r="K571" s="2">
        <f>VLOOKUP($A571,'[2]App C Exp'!$A$4:$I$917,5,FALSE)</f>
        <v>51264</v>
      </c>
      <c r="L571" s="2">
        <f>VLOOKUP($A571,'[2]App C Exp'!$A$4:$I$917,6,FALSE)</f>
        <v>48223</v>
      </c>
      <c r="M571" s="2">
        <f>VLOOKUP($A571,'[2]App C Exp'!$A$4:$I$917,7,FALSE)</f>
        <v>43222</v>
      </c>
      <c r="N571" s="2">
        <f>VLOOKUP($A571,'[2]App C Exp'!$A$4:$I$917,8,FALSE)</f>
        <v>17305</v>
      </c>
      <c r="O571" s="2">
        <f>VLOOKUP($A571,'[2]App C Exp'!$A$4:$I$917,9,FALSE)</f>
        <v>0</v>
      </c>
      <c r="P571" s="2"/>
      <c r="Q571" s="2">
        <f>VLOOKUP($A571,'[2]App C Inv'!$A$4:$I$917,5,FALSE)</f>
        <v>54424</v>
      </c>
      <c r="R571" s="2">
        <f>VLOOKUP($A571,'[2]App C Inv'!$A$4:$I$917,6,FALSE)</f>
        <v>-46815</v>
      </c>
      <c r="S571" s="2">
        <f>VLOOKUP($A571,'[2]App C Inv'!$A$4:$I$917,7,FALSE)</f>
        <v>6598</v>
      </c>
      <c r="T571" s="2">
        <f>VLOOKUP($A571,'[2]App C Inv'!$A$4:$I$917,8,FALSE)</f>
        <v>8587</v>
      </c>
      <c r="U571" s="2">
        <f>VLOOKUP($A571,'[2]App C Inv'!$A$4:$I$917,9,FALSE)</f>
        <v>0</v>
      </c>
      <c r="V571" s="2"/>
      <c r="W571" s="2">
        <f>VLOOKUP($A571,'[2]App C Assum'!$A$4:$I$917,5,FALSE)</f>
        <v>61309</v>
      </c>
      <c r="X571" s="2">
        <f>VLOOKUP($A571,'[2]App C Assum'!$A$4:$I$917,6,FALSE)</f>
        <v>50227</v>
      </c>
      <c r="Y571" s="2">
        <f>VLOOKUP($A571,'[2]App C Assum'!$A$4:$I$917,7,FALSE)</f>
        <v>40776</v>
      </c>
      <c r="Z571" s="2">
        <f>VLOOKUP($A571,'[2]App C Assum'!$A$4:$I$917,8,FALSE)</f>
        <v>0</v>
      </c>
      <c r="AA571" s="2">
        <f>VLOOKUP($A571,'[2]App C Assum'!$A$4:$I$917,9,FALSE)</f>
        <v>0</v>
      </c>
      <c r="AB571" s="2"/>
      <c r="AC571" s="2">
        <f>VLOOKUP($A571,'[2]App C Share Outflows'!$A$4:$I$917,5,FALSE)</f>
        <v>10076</v>
      </c>
      <c r="AD571" s="2">
        <f>VLOOKUP($A571,'[2]App C Share Outflows'!$A$4:$I$917,6,FALSE)</f>
        <v>10075</v>
      </c>
      <c r="AE571" s="2">
        <f>VLOOKUP($A571,'[2]App C Share Outflows'!$A$4:$I$917,7,FALSE)</f>
        <v>4970</v>
      </c>
      <c r="AF571" s="2">
        <f>VLOOKUP($A571,'[2]App C Share Outflows'!$A$4:$I$917,8,FALSE)</f>
        <v>4971</v>
      </c>
      <c r="AG571" s="2">
        <f>VLOOKUP($A571,'[2]App C Share Outflows'!$A$4:$I$917,9,FALSE)</f>
        <v>0</v>
      </c>
      <c r="AH571" s="2"/>
      <c r="AI571" s="2">
        <f>VLOOKUP($A571,'[2]App C Share Inflows'!$A$4:$I$917,5,FALSE)</f>
        <v>-4262</v>
      </c>
      <c r="AJ571" s="2">
        <f>VLOOKUP($A571,'[2]App C Share Inflows'!$A$4:$I$917,6,FALSE)</f>
        <v>-2503</v>
      </c>
      <c r="AK571" s="2">
        <f>VLOOKUP($A571,'[2]App C Share Inflows'!$A$4:$I$917,7,FALSE)</f>
        <v>-2501</v>
      </c>
      <c r="AL571" s="2">
        <f>VLOOKUP($A571,'[2]App C Share Inflows'!$A$4:$I$917,8,FALSE)</f>
        <v>0</v>
      </c>
      <c r="AM571" s="2">
        <f>VLOOKUP($A571,'[2]App C Share Inflows'!$A$4:$I$917,6,FALSE)</f>
        <v>-2503</v>
      </c>
    </row>
    <row r="572" spans="1:39">
      <c r="A572" s="351">
        <v>96071</v>
      </c>
      <c r="B572" s="344" t="s">
        <v>1267</v>
      </c>
      <c r="C572" s="235" t="e">
        <f>VLOOKUP(A572,#REF!,10,FALSE)</f>
        <v>#REF!</v>
      </c>
      <c r="E572" s="2">
        <f>VLOOKUP($A572,'[2]App C Total'!$A$4:$I$917,5,FALSE)</f>
        <v>668968</v>
      </c>
      <c r="F572" s="2">
        <f>VLOOKUP($A572,'[2]App C Total'!$A$4:$I$917,6,FALSE)</f>
        <v>248608</v>
      </c>
      <c r="G572" s="2">
        <f>VLOOKUP($A572,'[2]App C Total'!$A$4:$I$917,7,FALSE)</f>
        <v>388919</v>
      </c>
      <c r="H572" s="2">
        <f>VLOOKUP($A572,'[2]App C Total'!$A$4:$I$917,8,FALSE)</f>
        <v>130724</v>
      </c>
      <c r="I572" s="2">
        <f>VLOOKUP($A572,'[2]App C Total'!$A$4:$I$917,9,FALSE)</f>
        <v>0</v>
      </c>
      <c r="J572" s="2"/>
      <c r="K572" s="2">
        <f>VLOOKUP($A572,'[2]App C Exp'!$A$4:$I$917,5,FALSE)</f>
        <v>194989</v>
      </c>
      <c r="L572" s="2">
        <f>VLOOKUP($A572,'[2]App C Exp'!$A$4:$I$917,6,FALSE)</f>
        <v>183421</v>
      </c>
      <c r="M572" s="2">
        <f>VLOOKUP($A572,'[2]App C Exp'!$A$4:$I$917,7,FALSE)</f>
        <v>164399</v>
      </c>
      <c r="N572" s="2">
        <f>VLOOKUP($A572,'[2]App C Exp'!$A$4:$I$917,8,FALSE)</f>
        <v>65823</v>
      </c>
      <c r="O572" s="2">
        <f>VLOOKUP($A572,'[2]App C Exp'!$A$4:$I$917,9,FALSE)</f>
        <v>0</v>
      </c>
      <c r="P572" s="2"/>
      <c r="Q572" s="2">
        <f>VLOOKUP($A572,'[2]App C Inv'!$A$4:$I$917,5,FALSE)</f>
        <v>207008</v>
      </c>
      <c r="R572" s="2">
        <f>VLOOKUP($A572,'[2]App C Inv'!$A$4:$I$917,6,FALSE)</f>
        <v>-178065</v>
      </c>
      <c r="S572" s="2">
        <f>VLOOKUP($A572,'[2]App C Inv'!$A$4:$I$917,7,FALSE)</f>
        <v>25096</v>
      </c>
      <c r="T572" s="2">
        <f>VLOOKUP($A572,'[2]App C Inv'!$A$4:$I$917,8,FALSE)</f>
        <v>32662</v>
      </c>
      <c r="U572" s="2">
        <f>VLOOKUP($A572,'[2]App C Inv'!$A$4:$I$917,9,FALSE)</f>
        <v>0</v>
      </c>
      <c r="V572" s="2"/>
      <c r="W572" s="2">
        <f>VLOOKUP($A572,'[2]App C Assum'!$A$4:$I$917,5,FALSE)</f>
        <v>233197</v>
      </c>
      <c r="X572" s="2">
        <f>VLOOKUP($A572,'[2]App C Assum'!$A$4:$I$917,6,FALSE)</f>
        <v>191044</v>
      </c>
      <c r="Y572" s="2">
        <f>VLOOKUP($A572,'[2]App C Assum'!$A$4:$I$917,7,FALSE)</f>
        <v>155095</v>
      </c>
      <c r="Z572" s="2">
        <f>VLOOKUP($A572,'[2]App C Assum'!$A$4:$I$917,8,FALSE)</f>
        <v>0</v>
      </c>
      <c r="AA572" s="2">
        <f>VLOOKUP($A572,'[2]App C Assum'!$A$4:$I$917,9,FALSE)</f>
        <v>0</v>
      </c>
      <c r="AB572" s="2"/>
      <c r="AC572" s="2">
        <f>VLOOKUP($A572,'[2]App C Share Outflows'!$A$4:$I$917,5,FALSE)</f>
        <v>52206</v>
      </c>
      <c r="AD572" s="2">
        <f>VLOOKUP($A572,'[2]App C Share Outflows'!$A$4:$I$917,6,FALSE)</f>
        <v>52208</v>
      </c>
      <c r="AE572" s="2">
        <f>VLOOKUP($A572,'[2]App C Share Outflows'!$A$4:$I$917,7,FALSE)</f>
        <v>44329</v>
      </c>
      <c r="AF572" s="2">
        <f>VLOOKUP($A572,'[2]App C Share Outflows'!$A$4:$I$917,8,FALSE)</f>
        <v>32239</v>
      </c>
      <c r="AG572" s="2">
        <f>VLOOKUP($A572,'[2]App C Share Outflows'!$A$4:$I$917,9,FALSE)</f>
        <v>0</v>
      </c>
      <c r="AH572" s="2"/>
      <c r="AI572" s="2">
        <f>VLOOKUP($A572,'[2]App C Share Inflows'!$A$4:$I$917,5,FALSE)</f>
        <v>-18432</v>
      </c>
      <c r="AJ572" s="2">
        <f>VLOOKUP($A572,'[2]App C Share Inflows'!$A$4:$I$917,6,FALSE)</f>
        <v>0</v>
      </c>
      <c r="AK572" s="2">
        <f>VLOOKUP($A572,'[2]App C Share Inflows'!$A$4:$I$917,7,FALSE)</f>
        <v>0</v>
      </c>
      <c r="AL572" s="2">
        <f>VLOOKUP($A572,'[2]App C Share Inflows'!$A$4:$I$917,8,FALSE)</f>
        <v>0</v>
      </c>
      <c r="AM572" s="2">
        <f>VLOOKUP($A572,'[2]App C Share Inflows'!$A$4:$I$917,6,FALSE)</f>
        <v>0</v>
      </c>
    </row>
    <row r="573" spans="1:39">
      <c r="A573" s="351">
        <v>96081</v>
      </c>
      <c r="B573" s="344" t="s">
        <v>1268</v>
      </c>
      <c r="C573" s="235" t="e">
        <f>VLOOKUP(A573,#REF!,10,FALSE)</f>
        <v>#REF!</v>
      </c>
      <c r="E573" s="2">
        <f>VLOOKUP($A573,'[2]App C Total'!$A$4:$I$917,5,FALSE)</f>
        <v>262601</v>
      </c>
      <c r="F573" s="2">
        <f>VLOOKUP($A573,'[2]App C Total'!$A$4:$I$917,6,FALSE)</f>
        <v>79404</v>
      </c>
      <c r="G573" s="2">
        <f>VLOOKUP($A573,'[2]App C Total'!$A$4:$I$917,7,FALSE)</f>
        <v>140367</v>
      </c>
      <c r="H573" s="2">
        <f>VLOOKUP($A573,'[2]App C Total'!$A$4:$I$917,8,FALSE)</f>
        <v>36214</v>
      </c>
      <c r="I573" s="2">
        <f>VLOOKUP($A573,'[2]App C Total'!$A$4:$I$917,9,FALSE)</f>
        <v>0</v>
      </c>
      <c r="J573" s="2"/>
      <c r="K573" s="2">
        <f>VLOOKUP($A573,'[2]App C Exp'!$A$4:$I$917,5,FALSE)</f>
        <v>81180</v>
      </c>
      <c r="L573" s="2">
        <f>VLOOKUP($A573,'[2]App C Exp'!$A$4:$I$917,6,FALSE)</f>
        <v>76365</v>
      </c>
      <c r="M573" s="2">
        <f>VLOOKUP($A573,'[2]App C Exp'!$A$4:$I$917,7,FALSE)</f>
        <v>68445</v>
      </c>
      <c r="N573" s="2">
        <f>VLOOKUP($A573,'[2]App C Exp'!$A$4:$I$917,8,FALSE)</f>
        <v>27404</v>
      </c>
      <c r="O573" s="2">
        <f>VLOOKUP($A573,'[2]App C Exp'!$A$4:$I$917,9,FALSE)</f>
        <v>0</v>
      </c>
      <c r="P573" s="2"/>
      <c r="Q573" s="2">
        <f>VLOOKUP($A573,'[2]App C Inv'!$A$4:$I$917,5,FALSE)</f>
        <v>86184</v>
      </c>
      <c r="R573" s="2">
        <f>VLOOKUP($A573,'[2]App C Inv'!$A$4:$I$917,6,FALSE)</f>
        <v>-74135</v>
      </c>
      <c r="S573" s="2">
        <f>VLOOKUP($A573,'[2]App C Inv'!$A$4:$I$917,7,FALSE)</f>
        <v>10448</v>
      </c>
      <c r="T573" s="2">
        <f>VLOOKUP($A573,'[2]App C Inv'!$A$4:$I$917,8,FALSE)</f>
        <v>13598</v>
      </c>
      <c r="U573" s="2">
        <f>VLOOKUP($A573,'[2]App C Inv'!$A$4:$I$917,9,FALSE)</f>
        <v>0</v>
      </c>
      <c r="V573" s="2"/>
      <c r="W573" s="2">
        <f>VLOOKUP($A573,'[2]App C Assum'!$A$4:$I$917,5,FALSE)</f>
        <v>97088</v>
      </c>
      <c r="X573" s="2">
        <f>VLOOKUP($A573,'[2]App C Assum'!$A$4:$I$917,6,FALSE)</f>
        <v>79538</v>
      </c>
      <c r="Y573" s="2">
        <f>VLOOKUP($A573,'[2]App C Assum'!$A$4:$I$917,7,FALSE)</f>
        <v>64571</v>
      </c>
      <c r="Z573" s="2">
        <f>VLOOKUP($A573,'[2]App C Assum'!$A$4:$I$917,8,FALSE)</f>
        <v>0</v>
      </c>
      <c r="AA573" s="2">
        <f>VLOOKUP($A573,'[2]App C Assum'!$A$4:$I$917,9,FALSE)</f>
        <v>0</v>
      </c>
      <c r="AB573" s="2"/>
      <c r="AC573" s="2">
        <f>VLOOKUP($A573,'[2]App C Share Outflows'!$A$4:$I$917,5,FALSE)</f>
        <v>2936</v>
      </c>
      <c r="AD573" s="2">
        <f>VLOOKUP($A573,'[2]App C Share Outflows'!$A$4:$I$917,6,FALSE)</f>
        <v>2423</v>
      </c>
      <c r="AE573" s="2">
        <f>VLOOKUP($A573,'[2]App C Share Outflows'!$A$4:$I$917,7,FALSE)</f>
        <v>1690</v>
      </c>
      <c r="AF573" s="2">
        <f>VLOOKUP($A573,'[2]App C Share Outflows'!$A$4:$I$917,8,FALSE)</f>
        <v>0</v>
      </c>
      <c r="AG573" s="2">
        <f>VLOOKUP($A573,'[2]App C Share Outflows'!$A$4:$I$917,9,FALSE)</f>
        <v>0</v>
      </c>
      <c r="AH573" s="2"/>
      <c r="AI573" s="2">
        <f>VLOOKUP($A573,'[2]App C Share Inflows'!$A$4:$I$917,5,FALSE)</f>
        <v>-4787</v>
      </c>
      <c r="AJ573" s="2">
        <f>VLOOKUP($A573,'[2]App C Share Inflows'!$A$4:$I$917,6,FALSE)</f>
        <v>-4787</v>
      </c>
      <c r="AK573" s="2">
        <f>VLOOKUP($A573,'[2]App C Share Inflows'!$A$4:$I$917,7,FALSE)</f>
        <v>-4787</v>
      </c>
      <c r="AL573" s="2">
        <f>VLOOKUP($A573,'[2]App C Share Inflows'!$A$4:$I$917,8,FALSE)</f>
        <v>-4788</v>
      </c>
      <c r="AM573" s="2">
        <f>VLOOKUP($A573,'[2]App C Share Inflows'!$A$4:$I$917,6,FALSE)</f>
        <v>-4787</v>
      </c>
    </row>
    <row r="574" spans="1:39">
      <c r="A574" s="351">
        <v>96101</v>
      </c>
      <c r="B574" s="344" t="s">
        <v>1269</v>
      </c>
      <c r="C574" s="235" t="e">
        <f>VLOOKUP(A574,#REF!,10,FALSE)</f>
        <v>#REF!</v>
      </c>
      <c r="E574" s="2">
        <f>VLOOKUP($A574,'[2]App C Total'!$A$4:$I$917,5,FALSE)</f>
        <v>304775</v>
      </c>
      <c r="F574" s="2">
        <f>VLOOKUP($A574,'[2]App C Total'!$A$4:$I$917,6,FALSE)</f>
        <v>87608</v>
      </c>
      <c r="G574" s="2">
        <f>VLOOKUP($A574,'[2]App C Total'!$A$4:$I$917,7,FALSE)</f>
        <v>155974</v>
      </c>
      <c r="H574" s="2">
        <f>VLOOKUP($A574,'[2]App C Total'!$A$4:$I$917,8,FALSE)</f>
        <v>25073</v>
      </c>
      <c r="I574" s="2">
        <f>VLOOKUP($A574,'[2]App C Total'!$A$4:$I$917,9,FALSE)</f>
        <v>0</v>
      </c>
      <c r="J574" s="2"/>
      <c r="K574" s="2">
        <f>VLOOKUP($A574,'[2]App C Exp'!$A$4:$I$917,5,FALSE)</f>
        <v>96970</v>
      </c>
      <c r="L574" s="2">
        <f>VLOOKUP($A574,'[2]App C Exp'!$A$4:$I$917,6,FALSE)</f>
        <v>91218</v>
      </c>
      <c r="M574" s="2">
        <f>VLOOKUP($A574,'[2]App C Exp'!$A$4:$I$917,7,FALSE)</f>
        <v>81757</v>
      </c>
      <c r="N574" s="2">
        <f>VLOOKUP($A574,'[2]App C Exp'!$A$4:$I$917,8,FALSE)</f>
        <v>32735</v>
      </c>
      <c r="O574" s="2">
        <f>VLOOKUP($A574,'[2]App C Exp'!$A$4:$I$917,9,FALSE)</f>
        <v>0</v>
      </c>
      <c r="P574" s="2"/>
      <c r="Q574" s="2">
        <f>VLOOKUP($A574,'[2]App C Inv'!$A$4:$I$917,5,FALSE)</f>
        <v>102947</v>
      </c>
      <c r="R574" s="2">
        <f>VLOOKUP($A574,'[2]App C Inv'!$A$4:$I$917,6,FALSE)</f>
        <v>-88554</v>
      </c>
      <c r="S574" s="2">
        <f>VLOOKUP($A574,'[2]App C Inv'!$A$4:$I$917,7,FALSE)</f>
        <v>12481</v>
      </c>
      <c r="T574" s="2">
        <f>VLOOKUP($A574,'[2]App C Inv'!$A$4:$I$917,8,FALSE)</f>
        <v>16243</v>
      </c>
      <c r="U574" s="2">
        <f>VLOOKUP($A574,'[2]App C Inv'!$A$4:$I$917,9,FALSE)</f>
        <v>0</v>
      </c>
      <c r="V574" s="2"/>
      <c r="W574" s="2">
        <f>VLOOKUP($A574,'[2]App C Assum'!$A$4:$I$917,5,FALSE)</f>
        <v>115972</v>
      </c>
      <c r="X574" s="2">
        <f>VLOOKUP($A574,'[2]App C Assum'!$A$4:$I$917,6,FALSE)</f>
        <v>95008</v>
      </c>
      <c r="Y574" s="2">
        <f>VLOOKUP($A574,'[2]App C Assum'!$A$4:$I$917,7,FALSE)</f>
        <v>77130</v>
      </c>
      <c r="Z574" s="2">
        <f>VLOOKUP($A574,'[2]App C Assum'!$A$4:$I$917,8,FALSE)</f>
        <v>0</v>
      </c>
      <c r="AA574" s="2">
        <f>VLOOKUP($A574,'[2]App C Assum'!$A$4:$I$917,9,FALSE)</f>
        <v>0</v>
      </c>
      <c r="AB574" s="2"/>
      <c r="AC574" s="2">
        <f>VLOOKUP($A574,'[2]App C Share Outflows'!$A$4:$I$917,5,FALSE)</f>
        <v>13844</v>
      </c>
      <c r="AD574" s="2">
        <f>VLOOKUP($A574,'[2]App C Share Outflows'!$A$4:$I$917,6,FALSE)</f>
        <v>13842</v>
      </c>
      <c r="AE574" s="2">
        <f>VLOOKUP($A574,'[2]App C Share Outflows'!$A$4:$I$917,7,FALSE)</f>
        <v>8512</v>
      </c>
      <c r="AF574" s="2">
        <f>VLOOKUP($A574,'[2]App C Share Outflows'!$A$4:$I$917,8,FALSE)</f>
        <v>0</v>
      </c>
      <c r="AG574" s="2">
        <f>VLOOKUP($A574,'[2]App C Share Outflows'!$A$4:$I$917,9,FALSE)</f>
        <v>0</v>
      </c>
      <c r="AH574" s="2"/>
      <c r="AI574" s="2">
        <f>VLOOKUP($A574,'[2]App C Share Inflows'!$A$4:$I$917,5,FALSE)</f>
        <v>-24958</v>
      </c>
      <c r="AJ574" s="2">
        <f>VLOOKUP($A574,'[2]App C Share Inflows'!$A$4:$I$917,6,FALSE)</f>
        <v>-23906</v>
      </c>
      <c r="AK574" s="2">
        <f>VLOOKUP($A574,'[2]App C Share Inflows'!$A$4:$I$917,7,FALSE)</f>
        <v>-23906</v>
      </c>
      <c r="AL574" s="2">
        <f>VLOOKUP($A574,'[2]App C Share Inflows'!$A$4:$I$917,8,FALSE)</f>
        <v>-23905</v>
      </c>
      <c r="AM574" s="2">
        <f>VLOOKUP($A574,'[2]App C Share Inflows'!$A$4:$I$917,6,FALSE)</f>
        <v>-23906</v>
      </c>
    </row>
    <row r="575" spans="1:39">
      <c r="A575" s="351">
        <v>96102</v>
      </c>
      <c r="B575" s="344" t="s">
        <v>2800</v>
      </c>
      <c r="C575" s="235" t="e">
        <f>VLOOKUP(A575,#REF!,10,FALSE)</f>
        <v>#REF!</v>
      </c>
      <c r="E575" s="2">
        <f>VLOOKUP($A575,'[2]App C Total'!$A$4:$I$917,5,FALSE)</f>
        <v>4217</v>
      </c>
      <c r="F575" s="2">
        <f>VLOOKUP($A575,'[2]App C Total'!$A$4:$I$917,6,FALSE)</f>
        <v>437</v>
      </c>
      <c r="G575" s="2">
        <f>VLOOKUP($A575,'[2]App C Total'!$A$4:$I$917,7,FALSE)</f>
        <v>2090</v>
      </c>
      <c r="H575" s="2">
        <f>VLOOKUP($A575,'[2]App C Total'!$A$4:$I$917,8,FALSE)</f>
        <v>436</v>
      </c>
      <c r="I575" s="2">
        <f>VLOOKUP($A575,'[2]App C Total'!$A$4:$I$917,9,FALSE)</f>
        <v>0</v>
      </c>
      <c r="J575" s="2"/>
      <c r="K575" s="2">
        <f>VLOOKUP($A575,'[2]App C Exp'!$A$4:$I$917,5,FALSE)</f>
        <v>1738</v>
      </c>
      <c r="L575" s="2">
        <f>VLOOKUP($A575,'[2]App C Exp'!$A$4:$I$917,6,FALSE)</f>
        <v>1635</v>
      </c>
      <c r="M575" s="2">
        <f>VLOOKUP($A575,'[2]App C Exp'!$A$4:$I$917,7,FALSE)</f>
        <v>1465</v>
      </c>
      <c r="N575" s="2">
        <f>VLOOKUP($A575,'[2]App C Exp'!$A$4:$I$917,8,FALSE)</f>
        <v>587</v>
      </c>
      <c r="O575" s="2">
        <f>VLOOKUP($A575,'[2]App C Exp'!$A$4:$I$917,9,FALSE)</f>
        <v>0</v>
      </c>
      <c r="P575" s="2"/>
      <c r="Q575" s="2">
        <f>VLOOKUP($A575,'[2]App C Inv'!$A$4:$I$917,5,FALSE)</f>
        <v>1845</v>
      </c>
      <c r="R575" s="2">
        <f>VLOOKUP($A575,'[2]App C Inv'!$A$4:$I$917,6,FALSE)</f>
        <v>-1587</v>
      </c>
      <c r="S575" s="2">
        <f>VLOOKUP($A575,'[2]App C Inv'!$A$4:$I$917,7,FALSE)</f>
        <v>224</v>
      </c>
      <c r="T575" s="2">
        <f>VLOOKUP($A575,'[2]App C Inv'!$A$4:$I$917,8,FALSE)</f>
        <v>291</v>
      </c>
      <c r="U575" s="2">
        <f>VLOOKUP($A575,'[2]App C Inv'!$A$4:$I$917,9,FALSE)</f>
        <v>0</v>
      </c>
      <c r="V575" s="2"/>
      <c r="W575" s="2">
        <f>VLOOKUP($A575,'[2]App C Assum'!$A$4:$I$917,5,FALSE)</f>
        <v>2078</v>
      </c>
      <c r="X575" s="2">
        <f>VLOOKUP($A575,'[2]App C Assum'!$A$4:$I$917,6,FALSE)</f>
        <v>1703</v>
      </c>
      <c r="Y575" s="2">
        <f>VLOOKUP($A575,'[2]App C Assum'!$A$4:$I$917,7,FALSE)</f>
        <v>1382</v>
      </c>
      <c r="Z575" s="2">
        <f>VLOOKUP($A575,'[2]App C Assum'!$A$4:$I$917,8,FALSE)</f>
        <v>0</v>
      </c>
      <c r="AA575" s="2">
        <f>VLOOKUP($A575,'[2]App C Assum'!$A$4:$I$917,9,FALSE)</f>
        <v>0</v>
      </c>
      <c r="AB575" s="2"/>
      <c r="AC575" s="2">
        <f>VLOOKUP($A575,'[2]App C Share Outflows'!$A$4:$I$917,5,FALSE)</f>
        <v>0</v>
      </c>
      <c r="AD575" s="2">
        <f>VLOOKUP($A575,'[2]App C Share Outflows'!$A$4:$I$917,6,FALSE)</f>
        <v>0</v>
      </c>
      <c r="AE575" s="2">
        <f>VLOOKUP($A575,'[2]App C Share Outflows'!$A$4:$I$917,7,FALSE)</f>
        <v>0</v>
      </c>
      <c r="AF575" s="2">
        <f>VLOOKUP($A575,'[2]App C Share Outflows'!$A$4:$I$917,8,FALSE)</f>
        <v>0</v>
      </c>
      <c r="AG575" s="2">
        <f>VLOOKUP($A575,'[2]App C Share Outflows'!$A$4:$I$917,9,FALSE)</f>
        <v>0</v>
      </c>
      <c r="AH575" s="2"/>
      <c r="AI575" s="2">
        <f>VLOOKUP($A575,'[2]App C Share Inflows'!$A$4:$I$917,5,FALSE)</f>
        <v>-1444</v>
      </c>
      <c r="AJ575" s="2">
        <f>VLOOKUP($A575,'[2]App C Share Inflows'!$A$4:$I$917,6,FALSE)</f>
        <v>-1314</v>
      </c>
      <c r="AK575" s="2">
        <f>VLOOKUP($A575,'[2]App C Share Inflows'!$A$4:$I$917,7,FALSE)</f>
        <v>-981</v>
      </c>
      <c r="AL575" s="2">
        <f>VLOOKUP($A575,'[2]App C Share Inflows'!$A$4:$I$917,8,FALSE)</f>
        <v>-442</v>
      </c>
      <c r="AM575" s="2">
        <f>VLOOKUP($A575,'[2]App C Share Inflows'!$A$4:$I$917,6,FALSE)</f>
        <v>-1314</v>
      </c>
    </row>
    <row r="576" spans="1:39">
      <c r="A576" s="351">
        <v>96111</v>
      </c>
      <c r="B576" s="344" t="s">
        <v>1271</v>
      </c>
      <c r="C576" s="235" t="e">
        <f>VLOOKUP(A576,#REF!,10,FALSE)</f>
        <v>#REF!</v>
      </c>
      <c r="E576" s="2">
        <f>VLOOKUP($A576,'[2]App C Total'!$A$4:$I$917,5,FALSE)</f>
        <v>84263</v>
      </c>
      <c r="F576" s="2">
        <f>VLOOKUP($A576,'[2]App C Total'!$A$4:$I$917,6,FALSE)</f>
        <v>30184</v>
      </c>
      <c r="G576" s="2">
        <f>VLOOKUP($A576,'[2]App C Total'!$A$4:$I$917,7,FALSE)</f>
        <v>48602</v>
      </c>
      <c r="H576" s="2">
        <f>VLOOKUP($A576,'[2]App C Total'!$A$4:$I$917,8,FALSE)</f>
        <v>16519</v>
      </c>
      <c r="I576" s="2">
        <f>VLOOKUP($A576,'[2]App C Total'!$A$4:$I$917,9,FALSE)</f>
        <v>0</v>
      </c>
      <c r="J576" s="2"/>
      <c r="K576" s="2">
        <f>VLOOKUP($A576,'[2]App C Exp'!$A$4:$I$917,5,FALSE)</f>
        <v>23684</v>
      </c>
      <c r="L576" s="2">
        <f>VLOOKUP($A576,'[2]App C Exp'!$A$4:$I$917,6,FALSE)</f>
        <v>22279</v>
      </c>
      <c r="M576" s="2">
        <f>VLOOKUP($A576,'[2]App C Exp'!$A$4:$I$917,7,FALSE)</f>
        <v>19969</v>
      </c>
      <c r="N576" s="2">
        <f>VLOOKUP($A576,'[2]App C Exp'!$A$4:$I$917,8,FALSE)</f>
        <v>7995</v>
      </c>
      <c r="O576" s="2">
        <f>VLOOKUP($A576,'[2]App C Exp'!$A$4:$I$917,9,FALSE)</f>
        <v>0</v>
      </c>
      <c r="P576" s="2"/>
      <c r="Q576" s="2">
        <f>VLOOKUP($A576,'[2]App C Inv'!$A$4:$I$917,5,FALSE)</f>
        <v>25144</v>
      </c>
      <c r="R576" s="2">
        <f>VLOOKUP($A576,'[2]App C Inv'!$A$4:$I$917,6,FALSE)</f>
        <v>-21629</v>
      </c>
      <c r="S576" s="2">
        <f>VLOOKUP($A576,'[2]App C Inv'!$A$4:$I$917,7,FALSE)</f>
        <v>3048</v>
      </c>
      <c r="T576" s="2">
        <f>VLOOKUP($A576,'[2]App C Inv'!$A$4:$I$917,8,FALSE)</f>
        <v>3967</v>
      </c>
      <c r="U576" s="2">
        <f>VLOOKUP($A576,'[2]App C Inv'!$A$4:$I$917,9,FALSE)</f>
        <v>0</v>
      </c>
      <c r="V576" s="2"/>
      <c r="W576" s="2">
        <f>VLOOKUP($A576,'[2]App C Assum'!$A$4:$I$917,5,FALSE)</f>
        <v>28326</v>
      </c>
      <c r="X576" s="2">
        <f>VLOOKUP($A576,'[2]App C Assum'!$A$4:$I$917,6,FALSE)</f>
        <v>23205</v>
      </c>
      <c r="Y576" s="2">
        <f>VLOOKUP($A576,'[2]App C Assum'!$A$4:$I$917,7,FALSE)</f>
        <v>18839</v>
      </c>
      <c r="Z576" s="2">
        <f>VLOOKUP($A576,'[2]App C Assum'!$A$4:$I$917,8,FALSE)</f>
        <v>0</v>
      </c>
      <c r="AA576" s="2">
        <f>VLOOKUP($A576,'[2]App C Assum'!$A$4:$I$917,9,FALSE)</f>
        <v>0</v>
      </c>
      <c r="AB576" s="2"/>
      <c r="AC576" s="2">
        <f>VLOOKUP($A576,'[2]App C Share Outflows'!$A$4:$I$917,5,FALSE)</f>
        <v>7530</v>
      </c>
      <c r="AD576" s="2">
        <f>VLOOKUP($A576,'[2]App C Share Outflows'!$A$4:$I$917,6,FALSE)</f>
        <v>6748</v>
      </c>
      <c r="AE576" s="2">
        <f>VLOOKUP($A576,'[2]App C Share Outflows'!$A$4:$I$917,7,FALSE)</f>
        <v>6746</v>
      </c>
      <c r="AF576" s="2">
        <f>VLOOKUP($A576,'[2]App C Share Outflows'!$A$4:$I$917,8,FALSE)</f>
        <v>4557</v>
      </c>
      <c r="AG576" s="2">
        <f>VLOOKUP($A576,'[2]App C Share Outflows'!$A$4:$I$917,9,FALSE)</f>
        <v>0</v>
      </c>
      <c r="AH576" s="2"/>
      <c r="AI576" s="2">
        <f>VLOOKUP($A576,'[2]App C Share Inflows'!$A$4:$I$917,5,FALSE)</f>
        <v>-421</v>
      </c>
      <c r="AJ576" s="2">
        <f>VLOOKUP($A576,'[2]App C Share Inflows'!$A$4:$I$917,6,FALSE)</f>
        <v>-419</v>
      </c>
      <c r="AK576" s="2">
        <f>VLOOKUP($A576,'[2]App C Share Inflows'!$A$4:$I$917,7,FALSE)</f>
        <v>0</v>
      </c>
      <c r="AL576" s="2">
        <f>VLOOKUP($A576,'[2]App C Share Inflows'!$A$4:$I$917,8,FALSE)</f>
        <v>0</v>
      </c>
      <c r="AM576" s="2">
        <f>VLOOKUP($A576,'[2]App C Share Inflows'!$A$4:$I$917,6,FALSE)</f>
        <v>-419</v>
      </c>
    </row>
    <row r="577" spans="1:39">
      <c r="A577" s="351">
        <v>96121</v>
      </c>
      <c r="B577" s="344" t="s">
        <v>1272</v>
      </c>
      <c r="C577" s="235" t="e">
        <f>VLOOKUP(A577,#REF!,10,FALSE)</f>
        <v>#REF!</v>
      </c>
      <c r="E577" s="2">
        <f>VLOOKUP($A577,'[2]App C Total'!$A$4:$I$917,5,FALSE)</f>
        <v>11525</v>
      </c>
      <c r="F577" s="2">
        <f>VLOOKUP($A577,'[2]App C Total'!$A$4:$I$917,6,FALSE)</f>
        <v>3212</v>
      </c>
      <c r="G577" s="2">
        <f>VLOOKUP($A577,'[2]App C Total'!$A$4:$I$917,7,FALSE)</f>
        <v>6171</v>
      </c>
      <c r="H577" s="2">
        <f>VLOOKUP($A577,'[2]App C Total'!$A$4:$I$917,8,FALSE)</f>
        <v>1932</v>
      </c>
      <c r="I577" s="2">
        <f>VLOOKUP($A577,'[2]App C Total'!$A$4:$I$917,9,FALSE)</f>
        <v>0</v>
      </c>
      <c r="J577" s="2"/>
      <c r="K577" s="2">
        <f>VLOOKUP($A577,'[2]App C Exp'!$A$4:$I$917,5,FALSE)</f>
        <v>3640</v>
      </c>
      <c r="L577" s="2">
        <f>VLOOKUP($A577,'[2]App C Exp'!$A$4:$I$917,6,FALSE)</f>
        <v>3424</v>
      </c>
      <c r="M577" s="2">
        <f>VLOOKUP($A577,'[2]App C Exp'!$A$4:$I$917,7,FALSE)</f>
        <v>3069</v>
      </c>
      <c r="N577" s="2">
        <f>VLOOKUP($A577,'[2]App C Exp'!$A$4:$I$917,8,FALSE)</f>
        <v>1229</v>
      </c>
      <c r="O577" s="2">
        <f>VLOOKUP($A577,'[2]App C Exp'!$A$4:$I$917,9,FALSE)</f>
        <v>0</v>
      </c>
      <c r="P577" s="2"/>
      <c r="Q577" s="2">
        <f>VLOOKUP($A577,'[2]App C Inv'!$A$4:$I$917,5,FALSE)</f>
        <v>3865</v>
      </c>
      <c r="R577" s="2">
        <f>VLOOKUP($A577,'[2]App C Inv'!$A$4:$I$917,6,FALSE)</f>
        <v>-3324</v>
      </c>
      <c r="S577" s="2">
        <f>VLOOKUP($A577,'[2]App C Inv'!$A$4:$I$917,7,FALSE)</f>
        <v>469</v>
      </c>
      <c r="T577" s="2">
        <f>VLOOKUP($A577,'[2]App C Inv'!$A$4:$I$917,8,FALSE)</f>
        <v>610</v>
      </c>
      <c r="U577" s="2">
        <f>VLOOKUP($A577,'[2]App C Inv'!$A$4:$I$917,9,FALSE)</f>
        <v>0</v>
      </c>
      <c r="V577" s="2"/>
      <c r="W577" s="2">
        <f>VLOOKUP($A577,'[2]App C Assum'!$A$4:$I$917,5,FALSE)</f>
        <v>4354</v>
      </c>
      <c r="X577" s="2">
        <f>VLOOKUP($A577,'[2]App C Assum'!$A$4:$I$917,6,FALSE)</f>
        <v>3567</v>
      </c>
      <c r="Y577" s="2">
        <f>VLOOKUP($A577,'[2]App C Assum'!$A$4:$I$917,7,FALSE)</f>
        <v>2896</v>
      </c>
      <c r="Z577" s="2">
        <f>VLOOKUP($A577,'[2]App C Assum'!$A$4:$I$917,8,FALSE)</f>
        <v>0</v>
      </c>
      <c r="AA577" s="2">
        <f>VLOOKUP($A577,'[2]App C Assum'!$A$4:$I$917,9,FALSE)</f>
        <v>0</v>
      </c>
      <c r="AB577" s="2"/>
      <c r="AC577" s="2">
        <f>VLOOKUP($A577,'[2]App C Share Outflows'!$A$4:$I$917,5,FALSE)</f>
        <v>211</v>
      </c>
      <c r="AD577" s="2">
        <f>VLOOKUP($A577,'[2]App C Share Outflows'!$A$4:$I$917,6,FALSE)</f>
        <v>92</v>
      </c>
      <c r="AE577" s="2">
        <f>VLOOKUP($A577,'[2]App C Share Outflows'!$A$4:$I$917,7,FALSE)</f>
        <v>92</v>
      </c>
      <c r="AF577" s="2">
        <f>VLOOKUP($A577,'[2]App C Share Outflows'!$A$4:$I$917,8,FALSE)</f>
        <v>93</v>
      </c>
      <c r="AG577" s="2">
        <f>VLOOKUP($A577,'[2]App C Share Outflows'!$A$4:$I$917,9,FALSE)</f>
        <v>0</v>
      </c>
      <c r="AH577" s="2"/>
      <c r="AI577" s="2">
        <f>VLOOKUP($A577,'[2]App C Share Inflows'!$A$4:$I$917,5,FALSE)</f>
        <v>-545</v>
      </c>
      <c r="AJ577" s="2">
        <f>VLOOKUP($A577,'[2]App C Share Inflows'!$A$4:$I$917,6,FALSE)</f>
        <v>-547</v>
      </c>
      <c r="AK577" s="2">
        <f>VLOOKUP($A577,'[2]App C Share Inflows'!$A$4:$I$917,7,FALSE)</f>
        <v>-355</v>
      </c>
      <c r="AL577" s="2">
        <f>VLOOKUP($A577,'[2]App C Share Inflows'!$A$4:$I$917,8,FALSE)</f>
        <v>0</v>
      </c>
      <c r="AM577" s="2">
        <f>VLOOKUP($A577,'[2]App C Share Inflows'!$A$4:$I$917,6,FALSE)</f>
        <v>-547</v>
      </c>
    </row>
    <row r="578" spans="1:39">
      <c r="A578" s="351">
        <v>96201</v>
      </c>
      <c r="B578" s="344" t="s">
        <v>1273</v>
      </c>
      <c r="C578" s="235" t="e">
        <f>VLOOKUP(A578,#REF!,10,FALSE)</f>
        <v>#REF!</v>
      </c>
      <c r="E578" s="2">
        <f>VLOOKUP($A578,'[2]App C Total'!$A$4:$I$917,5,FALSE)</f>
        <v>478164</v>
      </c>
      <c r="F578" s="2">
        <f>VLOOKUP($A578,'[2]App C Total'!$A$4:$I$917,6,FALSE)</f>
        <v>128099</v>
      </c>
      <c r="G578" s="2">
        <f>VLOOKUP($A578,'[2]App C Total'!$A$4:$I$917,7,FALSE)</f>
        <v>259834</v>
      </c>
      <c r="H578" s="2">
        <f>VLOOKUP($A578,'[2]App C Total'!$A$4:$I$917,8,FALSE)</f>
        <v>72543</v>
      </c>
      <c r="I578" s="2">
        <f>VLOOKUP($A578,'[2]App C Total'!$A$4:$I$917,9,FALSE)</f>
        <v>0</v>
      </c>
      <c r="J578" s="2"/>
      <c r="K578" s="2">
        <f>VLOOKUP($A578,'[2]App C Exp'!$A$4:$I$917,5,FALSE)</f>
        <v>158421</v>
      </c>
      <c r="L578" s="2">
        <f>VLOOKUP($A578,'[2]App C Exp'!$A$4:$I$917,6,FALSE)</f>
        <v>149023</v>
      </c>
      <c r="M578" s="2">
        <f>VLOOKUP($A578,'[2]App C Exp'!$A$4:$I$917,7,FALSE)</f>
        <v>133568</v>
      </c>
      <c r="N578" s="2">
        <f>VLOOKUP($A578,'[2]App C Exp'!$A$4:$I$917,8,FALSE)</f>
        <v>53479</v>
      </c>
      <c r="O578" s="2">
        <f>VLOOKUP($A578,'[2]App C Exp'!$A$4:$I$917,9,FALSE)</f>
        <v>0</v>
      </c>
      <c r="P578" s="2"/>
      <c r="Q578" s="2">
        <f>VLOOKUP($A578,'[2]App C Inv'!$A$4:$I$917,5,FALSE)</f>
        <v>168186</v>
      </c>
      <c r="R578" s="2">
        <f>VLOOKUP($A578,'[2]App C Inv'!$A$4:$I$917,6,FALSE)</f>
        <v>-144671</v>
      </c>
      <c r="S578" s="2">
        <f>VLOOKUP($A578,'[2]App C Inv'!$A$4:$I$917,7,FALSE)</f>
        <v>20390</v>
      </c>
      <c r="T578" s="2">
        <f>VLOOKUP($A578,'[2]App C Inv'!$A$4:$I$917,8,FALSE)</f>
        <v>26537</v>
      </c>
      <c r="U578" s="2">
        <f>VLOOKUP($A578,'[2]App C Inv'!$A$4:$I$917,9,FALSE)</f>
        <v>0</v>
      </c>
      <c r="V578" s="2"/>
      <c r="W578" s="2">
        <f>VLOOKUP($A578,'[2]App C Assum'!$A$4:$I$917,5,FALSE)</f>
        <v>189464</v>
      </c>
      <c r="X578" s="2">
        <f>VLOOKUP($A578,'[2]App C Assum'!$A$4:$I$917,6,FALSE)</f>
        <v>155216</v>
      </c>
      <c r="Y578" s="2">
        <f>VLOOKUP($A578,'[2]App C Assum'!$A$4:$I$917,7,FALSE)</f>
        <v>126009</v>
      </c>
      <c r="Z578" s="2">
        <f>VLOOKUP($A578,'[2]App C Assum'!$A$4:$I$917,8,FALSE)</f>
        <v>0</v>
      </c>
      <c r="AA578" s="2">
        <f>VLOOKUP($A578,'[2]App C Assum'!$A$4:$I$917,9,FALSE)</f>
        <v>0</v>
      </c>
      <c r="AB578" s="2"/>
      <c r="AC578" s="2">
        <f>VLOOKUP($A578,'[2]App C Share Outflows'!$A$4:$I$917,5,FALSE)</f>
        <v>0</v>
      </c>
      <c r="AD578" s="2">
        <f>VLOOKUP($A578,'[2]App C Share Outflows'!$A$4:$I$917,6,FALSE)</f>
        <v>0</v>
      </c>
      <c r="AE578" s="2">
        <f>VLOOKUP($A578,'[2]App C Share Outflows'!$A$4:$I$917,7,FALSE)</f>
        <v>0</v>
      </c>
      <c r="AF578" s="2">
        <f>VLOOKUP($A578,'[2]App C Share Outflows'!$A$4:$I$917,8,FALSE)</f>
        <v>0</v>
      </c>
      <c r="AG578" s="2">
        <f>VLOOKUP($A578,'[2]App C Share Outflows'!$A$4:$I$917,9,FALSE)</f>
        <v>0</v>
      </c>
      <c r="AH578" s="2"/>
      <c r="AI578" s="2">
        <f>VLOOKUP($A578,'[2]App C Share Inflows'!$A$4:$I$917,5,FALSE)</f>
        <v>-37907</v>
      </c>
      <c r="AJ578" s="2">
        <f>VLOOKUP($A578,'[2]App C Share Inflows'!$A$4:$I$917,6,FALSE)</f>
        <v>-31469</v>
      </c>
      <c r="AK578" s="2">
        <f>VLOOKUP($A578,'[2]App C Share Inflows'!$A$4:$I$917,7,FALSE)</f>
        <v>-20133</v>
      </c>
      <c r="AL578" s="2">
        <f>VLOOKUP($A578,'[2]App C Share Inflows'!$A$4:$I$917,8,FALSE)</f>
        <v>-7473</v>
      </c>
      <c r="AM578" s="2">
        <f>VLOOKUP($A578,'[2]App C Share Inflows'!$A$4:$I$917,6,FALSE)</f>
        <v>-31469</v>
      </c>
    </row>
    <row r="579" spans="1:39">
      <c r="A579" s="351">
        <v>96204</v>
      </c>
      <c r="B579" s="344" t="s">
        <v>1274</v>
      </c>
      <c r="C579" s="235" t="e">
        <f>VLOOKUP(A579,#REF!,10,FALSE)</f>
        <v>#REF!</v>
      </c>
      <c r="E579" s="2">
        <f>VLOOKUP($A579,'[2]App C Total'!$A$4:$I$917,5,FALSE)</f>
        <v>8426</v>
      </c>
      <c r="F579" s="2">
        <f>VLOOKUP($A579,'[2]App C Total'!$A$4:$I$917,6,FALSE)</f>
        <v>3343</v>
      </c>
      <c r="G579" s="2">
        <f>VLOOKUP($A579,'[2]App C Total'!$A$4:$I$917,7,FALSE)</f>
        <v>4699</v>
      </c>
      <c r="H579" s="2">
        <f>VLOOKUP($A579,'[2]App C Total'!$A$4:$I$917,8,FALSE)</f>
        <v>1708</v>
      </c>
      <c r="I579" s="2">
        <f>VLOOKUP($A579,'[2]App C Total'!$A$4:$I$917,9,FALSE)</f>
        <v>0</v>
      </c>
      <c r="J579" s="2"/>
      <c r="K579" s="2">
        <f>VLOOKUP($A579,'[2]App C Exp'!$A$4:$I$917,5,FALSE)</f>
        <v>2127</v>
      </c>
      <c r="L579" s="2">
        <f>VLOOKUP($A579,'[2]App C Exp'!$A$4:$I$917,6,FALSE)</f>
        <v>2001</v>
      </c>
      <c r="M579" s="2">
        <f>VLOOKUP($A579,'[2]App C Exp'!$A$4:$I$917,7,FALSE)</f>
        <v>1794</v>
      </c>
      <c r="N579" s="2">
        <f>VLOOKUP($A579,'[2]App C Exp'!$A$4:$I$917,8,FALSE)</f>
        <v>718</v>
      </c>
      <c r="O579" s="2">
        <f>VLOOKUP($A579,'[2]App C Exp'!$A$4:$I$917,9,FALSE)</f>
        <v>0</v>
      </c>
      <c r="P579" s="2"/>
      <c r="Q579" s="2">
        <f>VLOOKUP($A579,'[2]App C Inv'!$A$4:$I$917,5,FALSE)</f>
        <v>2258</v>
      </c>
      <c r="R579" s="2">
        <f>VLOOKUP($A579,'[2]App C Inv'!$A$4:$I$917,6,FALSE)</f>
        <v>-1943</v>
      </c>
      <c r="S579" s="2">
        <f>VLOOKUP($A579,'[2]App C Inv'!$A$4:$I$917,7,FALSE)</f>
        <v>274</v>
      </c>
      <c r="T579" s="2">
        <f>VLOOKUP($A579,'[2]App C Inv'!$A$4:$I$917,8,FALSE)</f>
        <v>356</v>
      </c>
      <c r="U579" s="2">
        <f>VLOOKUP($A579,'[2]App C Inv'!$A$4:$I$917,9,FALSE)</f>
        <v>0</v>
      </c>
      <c r="V579" s="2"/>
      <c r="W579" s="2">
        <f>VLOOKUP($A579,'[2]App C Assum'!$A$4:$I$917,5,FALSE)</f>
        <v>2544</v>
      </c>
      <c r="X579" s="2">
        <f>VLOOKUP($A579,'[2]App C Assum'!$A$4:$I$917,6,FALSE)</f>
        <v>2084</v>
      </c>
      <c r="Y579" s="2">
        <f>VLOOKUP($A579,'[2]App C Assum'!$A$4:$I$917,7,FALSE)</f>
        <v>1692</v>
      </c>
      <c r="Z579" s="2">
        <f>VLOOKUP($A579,'[2]App C Assum'!$A$4:$I$917,8,FALSE)</f>
        <v>0</v>
      </c>
      <c r="AA579" s="2">
        <f>VLOOKUP($A579,'[2]App C Assum'!$A$4:$I$917,9,FALSE)</f>
        <v>0</v>
      </c>
      <c r="AB579" s="2"/>
      <c r="AC579" s="2">
        <f>VLOOKUP($A579,'[2]App C Share Outflows'!$A$4:$I$917,5,FALSE)</f>
        <v>1497</v>
      </c>
      <c r="AD579" s="2">
        <f>VLOOKUP($A579,'[2]App C Share Outflows'!$A$4:$I$917,6,FALSE)</f>
        <v>1201</v>
      </c>
      <c r="AE579" s="2">
        <f>VLOOKUP($A579,'[2]App C Share Outflows'!$A$4:$I$917,7,FALSE)</f>
        <v>939</v>
      </c>
      <c r="AF579" s="2">
        <f>VLOOKUP($A579,'[2]App C Share Outflows'!$A$4:$I$917,8,FALSE)</f>
        <v>634</v>
      </c>
      <c r="AG579" s="2">
        <f>VLOOKUP($A579,'[2]App C Share Outflows'!$A$4:$I$917,9,FALSE)</f>
        <v>0</v>
      </c>
      <c r="AH579" s="2"/>
      <c r="AI579" s="2">
        <f>VLOOKUP($A579,'[2]App C Share Inflows'!$A$4:$I$917,5,FALSE)</f>
        <v>0</v>
      </c>
      <c r="AJ579" s="2">
        <f>VLOOKUP($A579,'[2]App C Share Inflows'!$A$4:$I$917,6,FALSE)</f>
        <v>0</v>
      </c>
      <c r="AK579" s="2">
        <f>VLOOKUP($A579,'[2]App C Share Inflows'!$A$4:$I$917,7,FALSE)</f>
        <v>0</v>
      </c>
      <c r="AL579" s="2">
        <f>VLOOKUP($A579,'[2]App C Share Inflows'!$A$4:$I$917,8,FALSE)</f>
        <v>0</v>
      </c>
      <c r="AM579" s="2">
        <f>VLOOKUP($A579,'[2]App C Share Inflows'!$A$4:$I$917,6,FALSE)</f>
        <v>0</v>
      </c>
    </row>
    <row r="580" spans="1:39">
      <c r="A580" s="351">
        <v>96211</v>
      </c>
      <c r="B580" s="344" t="s">
        <v>1275</v>
      </c>
      <c r="C580" s="235" t="e">
        <f>VLOOKUP(A580,#REF!,10,FALSE)</f>
        <v>#REF!</v>
      </c>
      <c r="E580" s="2">
        <f>VLOOKUP($A580,'[2]App C Total'!$A$4:$I$917,5,FALSE)</f>
        <v>13858</v>
      </c>
      <c r="F580" s="2">
        <f>VLOOKUP($A580,'[2]App C Total'!$A$4:$I$917,6,FALSE)</f>
        <v>5117</v>
      </c>
      <c r="G580" s="2">
        <f>VLOOKUP($A580,'[2]App C Total'!$A$4:$I$917,7,FALSE)</f>
        <v>7672</v>
      </c>
      <c r="H580" s="2">
        <f>VLOOKUP($A580,'[2]App C Total'!$A$4:$I$917,8,FALSE)</f>
        <v>2034</v>
      </c>
      <c r="I580" s="2">
        <f>VLOOKUP($A580,'[2]App C Total'!$A$4:$I$917,9,FALSE)</f>
        <v>0</v>
      </c>
      <c r="J580" s="2"/>
      <c r="K580" s="2">
        <f>VLOOKUP($A580,'[2]App C Exp'!$A$4:$I$917,5,FALSE)</f>
        <v>3595</v>
      </c>
      <c r="L580" s="2">
        <f>VLOOKUP($A580,'[2]App C Exp'!$A$4:$I$917,6,FALSE)</f>
        <v>3382</v>
      </c>
      <c r="M580" s="2">
        <f>VLOOKUP($A580,'[2]App C Exp'!$A$4:$I$917,7,FALSE)</f>
        <v>3031</v>
      </c>
      <c r="N580" s="2">
        <f>VLOOKUP($A580,'[2]App C Exp'!$A$4:$I$917,8,FALSE)</f>
        <v>1214</v>
      </c>
      <c r="O580" s="2">
        <f>VLOOKUP($A580,'[2]App C Exp'!$A$4:$I$917,9,FALSE)</f>
        <v>0</v>
      </c>
      <c r="P580" s="2"/>
      <c r="Q580" s="2">
        <f>VLOOKUP($A580,'[2]App C Inv'!$A$4:$I$917,5,FALSE)</f>
        <v>3817</v>
      </c>
      <c r="R580" s="2">
        <f>VLOOKUP($A580,'[2]App C Inv'!$A$4:$I$917,6,FALSE)</f>
        <v>-3283</v>
      </c>
      <c r="S580" s="2">
        <f>VLOOKUP($A580,'[2]App C Inv'!$A$4:$I$917,7,FALSE)</f>
        <v>463</v>
      </c>
      <c r="T580" s="2">
        <f>VLOOKUP($A580,'[2]App C Inv'!$A$4:$I$917,8,FALSE)</f>
        <v>602</v>
      </c>
      <c r="U580" s="2">
        <f>VLOOKUP($A580,'[2]App C Inv'!$A$4:$I$917,9,FALSE)</f>
        <v>0</v>
      </c>
      <c r="V580" s="2"/>
      <c r="W580" s="2">
        <f>VLOOKUP($A580,'[2]App C Assum'!$A$4:$I$917,5,FALSE)</f>
        <v>4300</v>
      </c>
      <c r="X580" s="2">
        <f>VLOOKUP($A580,'[2]App C Assum'!$A$4:$I$917,6,FALSE)</f>
        <v>3523</v>
      </c>
      <c r="Y580" s="2">
        <f>VLOOKUP($A580,'[2]App C Assum'!$A$4:$I$917,7,FALSE)</f>
        <v>2860</v>
      </c>
      <c r="Z580" s="2">
        <f>VLOOKUP($A580,'[2]App C Assum'!$A$4:$I$917,8,FALSE)</f>
        <v>0</v>
      </c>
      <c r="AA580" s="2">
        <f>VLOOKUP($A580,'[2]App C Assum'!$A$4:$I$917,9,FALSE)</f>
        <v>0</v>
      </c>
      <c r="AB580" s="2"/>
      <c r="AC580" s="2">
        <f>VLOOKUP($A580,'[2]App C Share Outflows'!$A$4:$I$917,5,FALSE)</f>
        <v>2146</v>
      </c>
      <c r="AD580" s="2">
        <f>VLOOKUP($A580,'[2]App C Share Outflows'!$A$4:$I$917,6,FALSE)</f>
        <v>1495</v>
      </c>
      <c r="AE580" s="2">
        <f>VLOOKUP($A580,'[2]App C Share Outflows'!$A$4:$I$917,7,FALSE)</f>
        <v>1318</v>
      </c>
      <c r="AF580" s="2">
        <f>VLOOKUP($A580,'[2]App C Share Outflows'!$A$4:$I$917,8,FALSE)</f>
        <v>218</v>
      </c>
      <c r="AG580" s="2">
        <f>VLOOKUP($A580,'[2]App C Share Outflows'!$A$4:$I$917,9,FALSE)</f>
        <v>0</v>
      </c>
      <c r="AH580" s="2"/>
      <c r="AI580" s="2">
        <f>VLOOKUP($A580,'[2]App C Share Inflows'!$A$4:$I$917,5,FALSE)</f>
        <v>0</v>
      </c>
      <c r="AJ580" s="2">
        <f>VLOOKUP($A580,'[2]App C Share Inflows'!$A$4:$I$917,6,FALSE)</f>
        <v>0</v>
      </c>
      <c r="AK580" s="2">
        <f>VLOOKUP($A580,'[2]App C Share Inflows'!$A$4:$I$917,7,FALSE)</f>
        <v>0</v>
      </c>
      <c r="AL580" s="2">
        <f>VLOOKUP($A580,'[2]App C Share Inflows'!$A$4:$I$917,8,FALSE)</f>
        <v>0</v>
      </c>
      <c r="AM580" s="2">
        <f>VLOOKUP($A580,'[2]App C Share Inflows'!$A$4:$I$917,6,FALSE)</f>
        <v>0</v>
      </c>
    </row>
    <row r="581" spans="1:39">
      <c r="A581" s="351">
        <v>96221</v>
      </c>
      <c r="B581" s="344" t="s">
        <v>1276</v>
      </c>
      <c r="C581" s="235" t="e">
        <f>VLOOKUP(A581,#REF!,10,FALSE)</f>
        <v>#REF!</v>
      </c>
      <c r="E581" s="2">
        <f>VLOOKUP($A581,'[2]App C Total'!$A$4:$I$917,5,FALSE)</f>
        <v>95214</v>
      </c>
      <c r="F581" s="2">
        <f>VLOOKUP($A581,'[2]App C Total'!$A$4:$I$917,6,FALSE)</f>
        <v>25000</v>
      </c>
      <c r="G581" s="2">
        <f>VLOOKUP($A581,'[2]App C Total'!$A$4:$I$917,7,FALSE)</f>
        <v>50327</v>
      </c>
      <c r="H581" s="2">
        <f>VLOOKUP($A581,'[2]App C Total'!$A$4:$I$917,8,FALSE)</f>
        <v>11934</v>
      </c>
      <c r="I581" s="2">
        <f>VLOOKUP($A581,'[2]App C Total'!$A$4:$I$917,9,FALSE)</f>
        <v>0</v>
      </c>
      <c r="J581" s="2"/>
      <c r="K581" s="2">
        <f>VLOOKUP($A581,'[2]App C Exp'!$A$4:$I$917,5,FALSE)</f>
        <v>32074</v>
      </c>
      <c r="L581" s="2">
        <f>VLOOKUP($A581,'[2]App C Exp'!$A$4:$I$917,6,FALSE)</f>
        <v>30171</v>
      </c>
      <c r="M581" s="2">
        <f>VLOOKUP($A581,'[2]App C Exp'!$A$4:$I$917,7,FALSE)</f>
        <v>27042</v>
      </c>
      <c r="N581" s="2">
        <f>VLOOKUP($A581,'[2]App C Exp'!$A$4:$I$917,8,FALSE)</f>
        <v>10827</v>
      </c>
      <c r="O581" s="2">
        <f>VLOOKUP($A581,'[2]App C Exp'!$A$4:$I$917,9,FALSE)</f>
        <v>0</v>
      </c>
      <c r="P581" s="2"/>
      <c r="Q581" s="2">
        <f>VLOOKUP($A581,'[2]App C Inv'!$A$4:$I$917,5,FALSE)</f>
        <v>34051</v>
      </c>
      <c r="R581" s="2">
        <f>VLOOKUP($A581,'[2]App C Inv'!$A$4:$I$917,6,FALSE)</f>
        <v>-29290</v>
      </c>
      <c r="S581" s="2">
        <f>VLOOKUP($A581,'[2]App C Inv'!$A$4:$I$917,7,FALSE)</f>
        <v>4128</v>
      </c>
      <c r="T581" s="2">
        <f>VLOOKUP($A581,'[2]App C Inv'!$A$4:$I$917,8,FALSE)</f>
        <v>5373</v>
      </c>
      <c r="U581" s="2">
        <f>VLOOKUP($A581,'[2]App C Inv'!$A$4:$I$917,9,FALSE)</f>
        <v>0</v>
      </c>
      <c r="V581" s="2"/>
      <c r="W581" s="2">
        <f>VLOOKUP($A581,'[2]App C Assum'!$A$4:$I$917,5,FALSE)</f>
        <v>38359</v>
      </c>
      <c r="X581" s="2">
        <f>VLOOKUP($A581,'[2]App C Assum'!$A$4:$I$917,6,FALSE)</f>
        <v>31425</v>
      </c>
      <c r="Y581" s="2">
        <f>VLOOKUP($A581,'[2]App C Assum'!$A$4:$I$917,7,FALSE)</f>
        <v>25512</v>
      </c>
      <c r="Z581" s="2">
        <f>VLOOKUP($A581,'[2]App C Assum'!$A$4:$I$917,8,FALSE)</f>
        <v>0</v>
      </c>
      <c r="AA581" s="2">
        <f>VLOOKUP($A581,'[2]App C Assum'!$A$4:$I$917,9,FALSE)</f>
        <v>0</v>
      </c>
      <c r="AB581" s="2"/>
      <c r="AC581" s="2">
        <f>VLOOKUP($A581,'[2]App C Share Outflows'!$A$4:$I$917,5,FALSE)</f>
        <v>0</v>
      </c>
      <c r="AD581" s="2">
        <f>VLOOKUP($A581,'[2]App C Share Outflows'!$A$4:$I$917,6,FALSE)</f>
        <v>0</v>
      </c>
      <c r="AE581" s="2">
        <f>VLOOKUP($A581,'[2]App C Share Outflows'!$A$4:$I$917,7,FALSE)</f>
        <v>0</v>
      </c>
      <c r="AF581" s="2">
        <f>VLOOKUP($A581,'[2]App C Share Outflows'!$A$4:$I$917,8,FALSE)</f>
        <v>0</v>
      </c>
      <c r="AG581" s="2">
        <f>VLOOKUP($A581,'[2]App C Share Outflows'!$A$4:$I$917,9,FALSE)</f>
        <v>0</v>
      </c>
      <c r="AH581" s="2"/>
      <c r="AI581" s="2">
        <f>VLOOKUP($A581,'[2]App C Share Inflows'!$A$4:$I$917,5,FALSE)</f>
        <v>-9270</v>
      </c>
      <c r="AJ581" s="2">
        <f>VLOOKUP($A581,'[2]App C Share Inflows'!$A$4:$I$917,6,FALSE)</f>
        <v>-7306</v>
      </c>
      <c r="AK581" s="2">
        <f>VLOOKUP($A581,'[2]App C Share Inflows'!$A$4:$I$917,7,FALSE)</f>
        <v>-6355</v>
      </c>
      <c r="AL581" s="2">
        <f>VLOOKUP($A581,'[2]App C Share Inflows'!$A$4:$I$917,8,FALSE)</f>
        <v>-4266</v>
      </c>
      <c r="AM581" s="2">
        <f>VLOOKUP($A581,'[2]App C Share Inflows'!$A$4:$I$917,6,FALSE)</f>
        <v>-7306</v>
      </c>
    </row>
    <row r="582" spans="1:39">
      <c r="A582" s="351">
        <v>96231</v>
      </c>
      <c r="B582" s="344" t="s">
        <v>1277</v>
      </c>
      <c r="C582" s="235" t="e">
        <f>VLOOKUP(A582,#REF!,10,FALSE)</f>
        <v>#REF!</v>
      </c>
      <c r="E582" s="2">
        <f>VLOOKUP($A582,'[2]App C Total'!$A$4:$I$917,5,FALSE)</f>
        <v>51774</v>
      </c>
      <c r="F582" s="2">
        <f>VLOOKUP($A582,'[2]App C Total'!$A$4:$I$917,6,FALSE)</f>
        <v>12473</v>
      </c>
      <c r="G582" s="2">
        <f>VLOOKUP($A582,'[2]App C Total'!$A$4:$I$917,7,FALSE)</f>
        <v>25895</v>
      </c>
      <c r="H582" s="2">
        <f>VLOOKUP($A582,'[2]App C Total'!$A$4:$I$917,8,FALSE)</f>
        <v>6312</v>
      </c>
      <c r="I582" s="2">
        <f>VLOOKUP($A582,'[2]App C Total'!$A$4:$I$917,9,FALSE)</f>
        <v>0</v>
      </c>
      <c r="J582" s="2"/>
      <c r="K582" s="2">
        <f>VLOOKUP($A582,'[2]App C Exp'!$A$4:$I$917,5,FALSE)</f>
        <v>18501</v>
      </c>
      <c r="L582" s="2">
        <f>VLOOKUP($A582,'[2]App C Exp'!$A$4:$I$917,6,FALSE)</f>
        <v>17404</v>
      </c>
      <c r="M582" s="2">
        <f>VLOOKUP($A582,'[2]App C Exp'!$A$4:$I$917,7,FALSE)</f>
        <v>15599</v>
      </c>
      <c r="N582" s="2">
        <f>VLOOKUP($A582,'[2]App C Exp'!$A$4:$I$917,8,FALSE)</f>
        <v>6246</v>
      </c>
      <c r="O582" s="2">
        <f>VLOOKUP($A582,'[2]App C Exp'!$A$4:$I$917,9,FALSE)</f>
        <v>0</v>
      </c>
      <c r="P582" s="2"/>
      <c r="Q582" s="2">
        <f>VLOOKUP($A582,'[2]App C Inv'!$A$4:$I$917,5,FALSE)</f>
        <v>19642</v>
      </c>
      <c r="R582" s="2">
        <f>VLOOKUP($A582,'[2]App C Inv'!$A$4:$I$917,6,FALSE)</f>
        <v>-16895</v>
      </c>
      <c r="S582" s="2">
        <f>VLOOKUP($A582,'[2]App C Inv'!$A$4:$I$917,7,FALSE)</f>
        <v>2381</v>
      </c>
      <c r="T582" s="2">
        <f>VLOOKUP($A582,'[2]App C Inv'!$A$4:$I$917,8,FALSE)</f>
        <v>3099</v>
      </c>
      <c r="U582" s="2">
        <f>VLOOKUP($A582,'[2]App C Inv'!$A$4:$I$917,9,FALSE)</f>
        <v>0</v>
      </c>
      <c r="V582" s="2"/>
      <c r="W582" s="2">
        <f>VLOOKUP($A582,'[2]App C Assum'!$A$4:$I$917,5,FALSE)</f>
        <v>22127</v>
      </c>
      <c r="X582" s="2">
        <f>VLOOKUP($A582,'[2]App C Assum'!$A$4:$I$917,6,FALSE)</f>
        <v>18127</v>
      </c>
      <c r="Y582" s="2">
        <f>VLOOKUP($A582,'[2]App C Assum'!$A$4:$I$917,7,FALSE)</f>
        <v>14716</v>
      </c>
      <c r="Z582" s="2">
        <f>VLOOKUP($A582,'[2]App C Assum'!$A$4:$I$917,8,FALSE)</f>
        <v>0</v>
      </c>
      <c r="AA582" s="2">
        <f>VLOOKUP($A582,'[2]App C Assum'!$A$4:$I$917,9,FALSE)</f>
        <v>0</v>
      </c>
      <c r="AB582" s="2"/>
      <c r="AC582" s="2">
        <f>VLOOKUP($A582,'[2]App C Share Outflows'!$A$4:$I$917,5,FALSE)</f>
        <v>639</v>
      </c>
      <c r="AD582" s="2">
        <f>VLOOKUP($A582,'[2]App C Share Outflows'!$A$4:$I$917,6,FALSE)</f>
        <v>637</v>
      </c>
      <c r="AE582" s="2">
        <f>VLOOKUP($A582,'[2]App C Share Outflows'!$A$4:$I$917,7,FALSE)</f>
        <v>0</v>
      </c>
      <c r="AF582" s="2">
        <f>VLOOKUP($A582,'[2]App C Share Outflows'!$A$4:$I$917,8,FALSE)</f>
        <v>0</v>
      </c>
      <c r="AG582" s="2">
        <f>VLOOKUP($A582,'[2]App C Share Outflows'!$A$4:$I$917,9,FALSE)</f>
        <v>0</v>
      </c>
      <c r="AH582" s="2"/>
      <c r="AI582" s="2">
        <f>VLOOKUP($A582,'[2]App C Share Inflows'!$A$4:$I$917,5,FALSE)</f>
        <v>-9135</v>
      </c>
      <c r="AJ582" s="2">
        <f>VLOOKUP($A582,'[2]App C Share Inflows'!$A$4:$I$917,6,FALSE)</f>
        <v>-6800</v>
      </c>
      <c r="AK582" s="2">
        <f>VLOOKUP($A582,'[2]App C Share Inflows'!$A$4:$I$917,7,FALSE)</f>
        <v>-6801</v>
      </c>
      <c r="AL582" s="2">
        <f>VLOOKUP($A582,'[2]App C Share Inflows'!$A$4:$I$917,8,FALSE)</f>
        <v>-3033</v>
      </c>
      <c r="AM582" s="2">
        <f>VLOOKUP($A582,'[2]App C Share Inflows'!$A$4:$I$917,6,FALSE)</f>
        <v>-6800</v>
      </c>
    </row>
    <row r="583" spans="1:39">
      <c r="A583" s="351">
        <v>96241</v>
      </c>
      <c r="B583" s="344" t="s">
        <v>1278</v>
      </c>
      <c r="C583" s="235" t="e">
        <f>VLOOKUP(A583,#REF!,10,FALSE)</f>
        <v>#REF!</v>
      </c>
      <c r="E583" s="2">
        <f>VLOOKUP($A583,'[2]App C Total'!$A$4:$I$917,5,FALSE)</f>
        <v>32266</v>
      </c>
      <c r="F583" s="2">
        <f>VLOOKUP($A583,'[2]App C Total'!$A$4:$I$917,6,FALSE)</f>
        <v>11838</v>
      </c>
      <c r="G583" s="2">
        <f>VLOOKUP($A583,'[2]App C Total'!$A$4:$I$917,7,FALSE)</f>
        <v>18963</v>
      </c>
      <c r="H583" s="2">
        <f>VLOOKUP($A583,'[2]App C Total'!$A$4:$I$917,8,FALSE)</f>
        <v>5700</v>
      </c>
      <c r="I583" s="2">
        <f>VLOOKUP($A583,'[2]App C Total'!$A$4:$I$917,9,FALSE)</f>
        <v>0</v>
      </c>
      <c r="J583" s="2"/>
      <c r="K583" s="2">
        <f>VLOOKUP($A583,'[2]App C Exp'!$A$4:$I$917,5,FALSE)</f>
        <v>9663</v>
      </c>
      <c r="L583" s="2">
        <f>VLOOKUP($A583,'[2]App C Exp'!$A$4:$I$917,6,FALSE)</f>
        <v>9089</v>
      </c>
      <c r="M583" s="2">
        <f>VLOOKUP($A583,'[2]App C Exp'!$A$4:$I$917,7,FALSE)</f>
        <v>8147</v>
      </c>
      <c r="N583" s="2">
        <f>VLOOKUP($A583,'[2]App C Exp'!$A$4:$I$917,8,FALSE)</f>
        <v>3262</v>
      </c>
      <c r="O583" s="2">
        <f>VLOOKUP($A583,'[2]App C Exp'!$A$4:$I$917,9,FALSE)</f>
        <v>0</v>
      </c>
      <c r="P583" s="2"/>
      <c r="Q583" s="2">
        <f>VLOOKUP($A583,'[2]App C Inv'!$A$4:$I$917,5,FALSE)</f>
        <v>10258</v>
      </c>
      <c r="R583" s="2">
        <f>VLOOKUP($A583,'[2]App C Inv'!$A$4:$I$917,6,FALSE)</f>
        <v>-8824</v>
      </c>
      <c r="S583" s="2">
        <f>VLOOKUP($A583,'[2]App C Inv'!$A$4:$I$917,7,FALSE)</f>
        <v>1244</v>
      </c>
      <c r="T583" s="2">
        <f>VLOOKUP($A583,'[2]App C Inv'!$A$4:$I$917,8,FALSE)</f>
        <v>1619</v>
      </c>
      <c r="U583" s="2">
        <f>VLOOKUP($A583,'[2]App C Inv'!$A$4:$I$917,9,FALSE)</f>
        <v>0</v>
      </c>
      <c r="V583" s="2"/>
      <c r="W583" s="2">
        <f>VLOOKUP($A583,'[2]App C Assum'!$A$4:$I$917,5,FALSE)</f>
        <v>11556</v>
      </c>
      <c r="X583" s="2">
        <f>VLOOKUP($A583,'[2]App C Assum'!$A$4:$I$917,6,FALSE)</f>
        <v>9467</v>
      </c>
      <c r="Y583" s="2">
        <f>VLOOKUP($A583,'[2]App C Assum'!$A$4:$I$917,7,FALSE)</f>
        <v>7686</v>
      </c>
      <c r="Z583" s="2">
        <f>VLOOKUP($A583,'[2]App C Assum'!$A$4:$I$917,8,FALSE)</f>
        <v>0</v>
      </c>
      <c r="AA583" s="2">
        <f>VLOOKUP($A583,'[2]App C Assum'!$A$4:$I$917,9,FALSE)</f>
        <v>0</v>
      </c>
      <c r="AB583" s="2"/>
      <c r="AC583" s="2">
        <f>VLOOKUP($A583,'[2]App C Share Outflows'!$A$4:$I$917,5,FALSE)</f>
        <v>2104</v>
      </c>
      <c r="AD583" s="2">
        <f>VLOOKUP($A583,'[2]App C Share Outflows'!$A$4:$I$917,6,FALSE)</f>
        <v>2106</v>
      </c>
      <c r="AE583" s="2">
        <f>VLOOKUP($A583,'[2]App C Share Outflows'!$A$4:$I$917,7,FALSE)</f>
        <v>1886</v>
      </c>
      <c r="AF583" s="2">
        <f>VLOOKUP($A583,'[2]App C Share Outflows'!$A$4:$I$917,8,FALSE)</f>
        <v>819</v>
      </c>
      <c r="AG583" s="2">
        <f>VLOOKUP($A583,'[2]App C Share Outflows'!$A$4:$I$917,9,FALSE)</f>
        <v>0</v>
      </c>
      <c r="AH583" s="2"/>
      <c r="AI583" s="2">
        <f>VLOOKUP($A583,'[2]App C Share Inflows'!$A$4:$I$917,5,FALSE)</f>
        <v>-1315</v>
      </c>
      <c r="AJ583" s="2">
        <f>VLOOKUP($A583,'[2]App C Share Inflows'!$A$4:$I$917,6,FALSE)</f>
        <v>0</v>
      </c>
      <c r="AK583" s="2">
        <f>VLOOKUP($A583,'[2]App C Share Inflows'!$A$4:$I$917,7,FALSE)</f>
        <v>0</v>
      </c>
      <c r="AL583" s="2">
        <f>VLOOKUP($A583,'[2]App C Share Inflows'!$A$4:$I$917,8,FALSE)</f>
        <v>0</v>
      </c>
      <c r="AM583" s="2">
        <f>VLOOKUP($A583,'[2]App C Share Inflows'!$A$4:$I$917,6,FALSE)</f>
        <v>0</v>
      </c>
    </row>
    <row r="584" spans="1:39">
      <c r="A584" s="351">
        <v>96251</v>
      </c>
      <c r="B584" s="344" t="s">
        <v>1279</v>
      </c>
      <c r="C584" s="235" t="e">
        <f>VLOOKUP(A584,#REF!,10,FALSE)</f>
        <v>#REF!</v>
      </c>
      <c r="E584" s="2">
        <f>VLOOKUP($A584,'[2]App C Total'!$A$4:$I$917,5,FALSE)</f>
        <v>45942</v>
      </c>
      <c r="F584" s="2">
        <f>VLOOKUP($A584,'[2]App C Total'!$A$4:$I$917,6,FALSE)</f>
        <v>14145</v>
      </c>
      <c r="G584" s="2">
        <f>VLOOKUP($A584,'[2]App C Total'!$A$4:$I$917,7,FALSE)</f>
        <v>24027</v>
      </c>
      <c r="H584" s="2">
        <f>VLOOKUP($A584,'[2]App C Total'!$A$4:$I$917,8,FALSE)</f>
        <v>5584</v>
      </c>
      <c r="I584" s="2">
        <f>VLOOKUP($A584,'[2]App C Total'!$A$4:$I$917,9,FALSE)</f>
        <v>0</v>
      </c>
      <c r="J584" s="2"/>
      <c r="K584" s="2">
        <f>VLOOKUP($A584,'[2]App C Exp'!$A$4:$I$917,5,FALSE)</f>
        <v>15041</v>
      </c>
      <c r="L584" s="2">
        <f>VLOOKUP($A584,'[2]App C Exp'!$A$4:$I$917,6,FALSE)</f>
        <v>14148</v>
      </c>
      <c r="M584" s="2">
        <f>VLOOKUP($A584,'[2]App C Exp'!$A$4:$I$917,7,FALSE)</f>
        <v>12681</v>
      </c>
      <c r="N584" s="2">
        <f>VLOOKUP($A584,'[2]App C Exp'!$A$4:$I$917,8,FALSE)</f>
        <v>5077</v>
      </c>
      <c r="O584" s="2">
        <f>VLOOKUP($A584,'[2]App C Exp'!$A$4:$I$917,9,FALSE)</f>
        <v>0</v>
      </c>
      <c r="P584" s="2"/>
      <c r="Q584" s="2">
        <f>VLOOKUP($A584,'[2]App C Inv'!$A$4:$I$917,5,FALSE)</f>
        <v>15968</v>
      </c>
      <c r="R584" s="2">
        <f>VLOOKUP($A584,'[2]App C Inv'!$A$4:$I$917,6,FALSE)</f>
        <v>-13735</v>
      </c>
      <c r="S584" s="2">
        <f>VLOOKUP($A584,'[2]App C Inv'!$A$4:$I$917,7,FALSE)</f>
        <v>1936</v>
      </c>
      <c r="T584" s="2">
        <f>VLOOKUP($A584,'[2]App C Inv'!$A$4:$I$917,8,FALSE)</f>
        <v>2519</v>
      </c>
      <c r="U584" s="2">
        <f>VLOOKUP($A584,'[2]App C Inv'!$A$4:$I$917,9,FALSE)</f>
        <v>0</v>
      </c>
      <c r="V584" s="2"/>
      <c r="W584" s="2">
        <f>VLOOKUP($A584,'[2]App C Assum'!$A$4:$I$917,5,FALSE)</f>
        <v>17988</v>
      </c>
      <c r="X584" s="2">
        <f>VLOOKUP($A584,'[2]App C Assum'!$A$4:$I$917,6,FALSE)</f>
        <v>14736</v>
      </c>
      <c r="Y584" s="2">
        <f>VLOOKUP($A584,'[2]App C Assum'!$A$4:$I$917,7,FALSE)</f>
        <v>11963</v>
      </c>
      <c r="Z584" s="2">
        <f>VLOOKUP($A584,'[2]App C Assum'!$A$4:$I$917,8,FALSE)</f>
        <v>0</v>
      </c>
      <c r="AA584" s="2">
        <f>VLOOKUP($A584,'[2]App C Assum'!$A$4:$I$917,9,FALSE)</f>
        <v>0</v>
      </c>
      <c r="AB584" s="2"/>
      <c r="AC584" s="2">
        <f>VLOOKUP($A584,'[2]App C Share Outflows'!$A$4:$I$917,5,FALSE)</f>
        <v>1549</v>
      </c>
      <c r="AD584" s="2">
        <f>VLOOKUP($A584,'[2]App C Share Outflows'!$A$4:$I$917,6,FALSE)</f>
        <v>1551</v>
      </c>
      <c r="AE584" s="2">
        <f>VLOOKUP($A584,'[2]App C Share Outflows'!$A$4:$I$917,7,FALSE)</f>
        <v>0</v>
      </c>
      <c r="AF584" s="2">
        <f>VLOOKUP($A584,'[2]App C Share Outflows'!$A$4:$I$917,8,FALSE)</f>
        <v>0</v>
      </c>
      <c r="AG584" s="2">
        <f>VLOOKUP($A584,'[2]App C Share Outflows'!$A$4:$I$917,9,FALSE)</f>
        <v>0</v>
      </c>
      <c r="AH584" s="2"/>
      <c r="AI584" s="2">
        <f>VLOOKUP($A584,'[2]App C Share Inflows'!$A$4:$I$917,5,FALSE)</f>
        <v>-4604</v>
      </c>
      <c r="AJ584" s="2">
        <f>VLOOKUP($A584,'[2]App C Share Inflows'!$A$4:$I$917,6,FALSE)</f>
        <v>-2555</v>
      </c>
      <c r="AK584" s="2">
        <f>VLOOKUP($A584,'[2]App C Share Inflows'!$A$4:$I$917,7,FALSE)</f>
        <v>-2553</v>
      </c>
      <c r="AL584" s="2">
        <f>VLOOKUP($A584,'[2]App C Share Inflows'!$A$4:$I$917,8,FALSE)</f>
        <v>-2012</v>
      </c>
      <c r="AM584" s="2">
        <f>VLOOKUP($A584,'[2]App C Share Inflows'!$A$4:$I$917,6,FALSE)</f>
        <v>-2555</v>
      </c>
    </row>
    <row r="585" spans="1:39">
      <c r="A585" s="351">
        <v>96301</v>
      </c>
      <c r="B585" s="344" t="s">
        <v>1280</v>
      </c>
      <c r="C585" s="235" t="e">
        <f>VLOOKUP(A585,#REF!,10,FALSE)</f>
        <v>#REF!</v>
      </c>
      <c r="E585" s="2">
        <f>VLOOKUP($A585,'[2]App C Total'!$A$4:$I$917,5,FALSE)</f>
        <v>2284733</v>
      </c>
      <c r="F585" s="2">
        <f>VLOOKUP($A585,'[2]App C Total'!$A$4:$I$917,6,FALSE)</f>
        <v>728821</v>
      </c>
      <c r="G585" s="2">
        <f>VLOOKUP($A585,'[2]App C Total'!$A$4:$I$917,7,FALSE)</f>
        <v>1277746</v>
      </c>
      <c r="H585" s="2">
        <f>VLOOKUP($A585,'[2]App C Total'!$A$4:$I$917,8,FALSE)</f>
        <v>397855</v>
      </c>
      <c r="I585" s="2">
        <f>VLOOKUP($A585,'[2]App C Total'!$A$4:$I$917,9,FALSE)</f>
        <v>0</v>
      </c>
      <c r="J585" s="2"/>
      <c r="K585" s="2">
        <f>VLOOKUP($A585,'[2]App C Exp'!$A$4:$I$917,5,FALSE)</f>
        <v>702655</v>
      </c>
      <c r="L585" s="2">
        <f>VLOOKUP($A585,'[2]App C Exp'!$A$4:$I$917,6,FALSE)</f>
        <v>660971</v>
      </c>
      <c r="M585" s="2">
        <f>VLOOKUP($A585,'[2]App C Exp'!$A$4:$I$917,7,FALSE)</f>
        <v>592421</v>
      </c>
      <c r="N585" s="2">
        <f>VLOOKUP($A585,'[2]App C Exp'!$A$4:$I$917,8,FALSE)</f>
        <v>237198</v>
      </c>
      <c r="O585" s="2">
        <f>VLOOKUP($A585,'[2]App C Exp'!$A$4:$I$917,9,FALSE)</f>
        <v>0</v>
      </c>
      <c r="P585" s="2"/>
      <c r="Q585" s="2">
        <f>VLOOKUP($A585,'[2]App C Inv'!$A$4:$I$917,5,FALSE)</f>
        <v>745966</v>
      </c>
      <c r="R585" s="2">
        <f>VLOOKUP($A585,'[2]App C Inv'!$A$4:$I$917,6,FALSE)</f>
        <v>-641670</v>
      </c>
      <c r="S585" s="2">
        <f>VLOOKUP($A585,'[2]App C Inv'!$A$4:$I$917,7,FALSE)</f>
        <v>90436</v>
      </c>
      <c r="T585" s="2">
        <f>VLOOKUP($A585,'[2]App C Inv'!$A$4:$I$917,8,FALSE)</f>
        <v>117701</v>
      </c>
      <c r="U585" s="2">
        <f>VLOOKUP($A585,'[2]App C Inv'!$A$4:$I$917,9,FALSE)</f>
        <v>0</v>
      </c>
      <c r="V585" s="2"/>
      <c r="W585" s="2">
        <f>VLOOKUP($A585,'[2]App C Assum'!$A$4:$I$917,5,FALSE)</f>
        <v>840341</v>
      </c>
      <c r="X585" s="2">
        <f>VLOOKUP($A585,'[2]App C Assum'!$A$4:$I$917,6,FALSE)</f>
        <v>688438</v>
      </c>
      <c r="Y585" s="2">
        <f>VLOOKUP($A585,'[2]App C Assum'!$A$4:$I$917,7,FALSE)</f>
        <v>558894</v>
      </c>
      <c r="Z585" s="2">
        <f>VLOOKUP($A585,'[2]App C Assum'!$A$4:$I$917,8,FALSE)</f>
        <v>0</v>
      </c>
      <c r="AA585" s="2">
        <f>VLOOKUP($A585,'[2]App C Assum'!$A$4:$I$917,9,FALSE)</f>
        <v>0</v>
      </c>
      <c r="AB585" s="2"/>
      <c r="AC585" s="2">
        <f>VLOOKUP($A585,'[2]App C Share Outflows'!$A$4:$I$917,5,FALSE)</f>
        <v>42957</v>
      </c>
      <c r="AD585" s="2">
        <f>VLOOKUP($A585,'[2]App C Share Outflows'!$A$4:$I$917,6,FALSE)</f>
        <v>42957</v>
      </c>
      <c r="AE585" s="2">
        <f>VLOOKUP($A585,'[2]App C Share Outflows'!$A$4:$I$917,7,FALSE)</f>
        <v>42957</v>
      </c>
      <c r="AF585" s="2">
        <f>VLOOKUP($A585,'[2]App C Share Outflows'!$A$4:$I$917,8,FALSE)</f>
        <v>42956</v>
      </c>
      <c r="AG585" s="2">
        <f>VLOOKUP($A585,'[2]App C Share Outflows'!$A$4:$I$917,9,FALSE)</f>
        <v>0</v>
      </c>
      <c r="AH585" s="2"/>
      <c r="AI585" s="2">
        <f>VLOOKUP($A585,'[2]App C Share Inflows'!$A$4:$I$917,5,FALSE)</f>
        <v>-47186</v>
      </c>
      <c r="AJ585" s="2">
        <f>VLOOKUP($A585,'[2]App C Share Inflows'!$A$4:$I$917,6,FALSE)</f>
        <v>-21875</v>
      </c>
      <c r="AK585" s="2">
        <f>VLOOKUP($A585,'[2]App C Share Inflows'!$A$4:$I$917,7,FALSE)</f>
        <v>-6962</v>
      </c>
      <c r="AL585" s="2">
        <f>VLOOKUP($A585,'[2]App C Share Inflows'!$A$4:$I$917,8,FALSE)</f>
        <v>0</v>
      </c>
      <c r="AM585" s="2">
        <f>VLOOKUP($A585,'[2]App C Share Inflows'!$A$4:$I$917,6,FALSE)</f>
        <v>-21875</v>
      </c>
    </row>
    <row r="586" spans="1:39">
      <c r="A586" s="351">
        <v>96302</v>
      </c>
      <c r="B586" s="344" t="s">
        <v>1281</v>
      </c>
      <c r="C586" s="235" t="e">
        <f>VLOOKUP(A586,#REF!,10,FALSE)</f>
        <v>#REF!</v>
      </c>
      <c r="E586" s="2">
        <f>VLOOKUP($A586,'[2]App C Total'!$A$4:$I$917,5,FALSE)</f>
        <v>13302</v>
      </c>
      <c r="F586" s="2">
        <f>VLOOKUP($A586,'[2]App C Total'!$A$4:$I$917,6,FALSE)</f>
        <v>4967</v>
      </c>
      <c r="G586" s="2">
        <f>VLOOKUP($A586,'[2]App C Total'!$A$4:$I$917,7,FALSE)</f>
        <v>6535</v>
      </c>
      <c r="H586" s="2">
        <f>VLOOKUP($A586,'[2]App C Total'!$A$4:$I$917,8,FALSE)</f>
        <v>2262</v>
      </c>
      <c r="I586" s="2">
        <f>VLOOKUP($A586,'[2]App C Total'!$A$4:$I$917,9,FALSE)</f>
        <v>0</v>
      </c>
      <c r="J586" s="2"/>
      <c r="K586" s="2">
        <f>VLOOKUP($A586,'[2]App C Exp'!$A$4:$I$917,5,FALSE)</f>
        <v>3535</v>
      </c>
      <c r="L586" s="2">
        <f>VLOOKUP($A586,'[2]App C Exp'!$A$4:$I$917,6,FALSE)</f>
        <v>3326</v>
      </c>
      <c r="M586" s="2">
        <f>VLOOKUP($A586,'[2]App C Exp'!$A$4:$I$917,7,FALSE)</f>
        <v>2981</v>
      </c>
      <c r="N586" s="2">
        <f>VLOOKUP($A586,'[2]App C Exp'!$A$4:$I$917,8,FALSE)</f>
        <v>1193</v>
      </c>
      <c r="O586" s="2">
        <f>VLOOKUP($A586,'[2]App C Exp'!$A$4:$I$917,9,FALSE)</f>
        <v>0</v>
      </c>
      <c r="P586" s="2"/>
      <c r="Q586" s="2">
        <f>VLOOKUP($A586,'[2]App C Inv'!$A$4:$I$917,5,FALSE)</f>
        <v>3753</v>
      </c>
      <c r="R586" s="2">
        <f>VLOOKUP($A586,'[2]App C Inv'!$A$4:$I$917,6,FALSE)</f>
        <v>-3229</v>
      </c>
      <c r="S586" s="2">
        <f>VLOOKUP($A586,'[2]App C Inv'!$A$4:$I$917,7,FALSE)</f>
        <v>455</v>
      </c>
      <c r="T586" s="2">
        <f>VLOOKUP($A586,'[2]App C Inv'!$A$4:$I$917,8,FALSE)</f>
        <v>592</v>
      </c>
      <c r="U586" s="2">
        <f>VLOOKUP($A586,'[2]App C Inv'!$A$4:$I$917,9,FALSE)</f>
        <v>0</v>
      </c>
      <c r="V586" s="2"/>
      <c r="W586" s="2">
        <f>VLOOKUP($A586,'[2]App C Assum'!$A$4:$I$917,5,FALSE)</f>
        <v>4228</v>
      </c>
      <c r="X586" s="2">
        <f>VLOOKUP($A586,'[2]App C Assum'!$A$4:$I$917,6,FALSE)</f>
        <v>3464</v>
      </c>
      <c r="Y586" s="2">
        <f>VLOOKUP($A586,'[2]App C Assum'!$A$4:$I$917,7,FALSE)</f>
        <v>2812</v>
      </c>
      <c r="Z586" s="2">
        <f>VLOOKUP($A586,'[2]App C Assum'!$A$4:$I$917,8,FALSE)</f>
        <v>0</v>
      </c>
      <c r="AA586" s="2">
        <f>VLOOKUP($A586,'[2]App C Assum'!$A$4:$I$917,9,FALSE)</f>
        <v>0</v>
      </c>
      <c r="AB586" s="2"/>
      <c r="AC586" s="2">
        <f>VLOOKUP($A586,'[2]App C Share Outflows'!$A$4:$I$917,5,FALSE)</f>
        <v>1972</v>
      </c>
      <c r="AD586" s="2">
        <f>VLOOKUP($A586,'[2]App C Share Outflows'!$A$4:$I$917,6,FALSE)</f>
        <v>1592</v>
      </c>
      <c r="AE586" s="2">
        <f>VLOOKUP($A586,'[2]App C Share Outflows'!$A$4:$I$917,7,FALSE)</f>
        <v>475</v>
      </c>
      <c r="AF586" s="2">
        <f>VLOOKUP($A586,'[2]App C Share Outflows'!$A$4:$I$917,8,FALSE)</f>
        <v>477</v>
      </c>
      <c r="AG586" s="2">
        <f>VLOOKUP($A586,'[2]App C Share Outflows'!$A$4:$I$917,9,FALSE)</f>
        <v>0</v>
      </c>
      <c r="AH586" s="2"/>
      <c r="AI586" s="2">
        <f>VLOOKUP($A586,'[2]App C Share Inflows'!$A$4:$I$917,5,FALSE)</f>
        <v>-186</v>
      </c>
      <c r="AJ586" s="2">
        <f>VLOOKUP($A586,'[2]App C Share Inflows'!$A$4:$I$917,6,FALSE)</f>
        <v>-186</v>
      </c>
      <c r="AK586" s="2">
        <f>VLOOKUP($A586,'[2]App C Share Inflows'!$A$4:$I$917,7,FALSE)</f>
        <v>-188</v>
      </c>
      <c r="AL586" s="2">
        <f>VLOOKUP($A586,'[2]App C Share Inflows'!$A$4:$I$917,8,FALSE)</f>
        <v>0</v>
      </c>
      <c r="AM586" s="2">
        <f>VLOOKUP($A586,'[2]App C Share Inflows'!$A$4:$I$917,6,FALSE)</f>
        <v>-186</v>
      </c>
    </row>
    <row r="587" spans="1:39">
      <c r="A587" s="351">
        <v>96304</v>
      </c>
      <c r="B587" s="344" t="s">
        <v>1282</v>
      </c>
      <c r="C587" s="235" t="e">
        <f>VLOOKUP(A587,#REF!,10,FALSE)</f>
        <v>#REF!</v>
      </c>
      <c r="E587" s="2">
        <f>VLOOKUP($A587,'[2]App C Total'!$A$4:$I$917,5,FALSE)</f>
        <v>24392</v>
      </c>
      <c r="F587" s="2">
        <f>VLOOKUP($A587,'[2]App C Total'!$A$4:$I$917,6,FALSE)</f>
        <v>8748</v>
      </c>
      <c r="G587" s="2">
        <f>VLOOKUP($A587,'[2]App C Total'!$A$4:$I$917,7,FALSE)</f>
        <v>13991</v>
      </c>
      <c r="H587" s="2">
        <f>VLOOKUP($A587,'[2]App C Total'!$A$4:$I$917,8,FALSE)</f>
        <v>4189</v>
      </c>
      <c r="I587" s="2">
        <f>VLOOKUP($A587,'[2]App C Total'!$A$4:$I$917,9,FALSE)</f>
        <v>0</v>
      </c>
      <c r="J587" s="2"/>
      <c r="K587" s="2">
        <f>VLOOKUP($A587,'[2]App C Exp'!$A$4:$I$917,5,FALSE)</f>
        <v>6577</v>
      </c>
      <c r="L587" s="2">
        <f>VLOOKUP($A587,'[2]App C Exp'!$A$4:$I$917,6,FALSE)</f>
        <v>6186</v>
      </c>
      <c r="M587" s="2">
        <f>VLOOKUP($A587,'[2]App C Exp'!$A$4:$I$917,7,FALSE)</f>
        <v>5545</v>
      </c>
      <c r="N587" s="2">
        <f>VLOOKUP($A587,'[2]App C Exp'!$A$4:$I$917,8,FALSE)</f>
        <v>2220</v>
      </c>
      <c r="O587" s="2">
        <f>VLOOKUP($A587,'[2]App C Exp'!$A$4:$I$917,9,FALSE)</f>
        <v>0</v>
      </c>
      <c r="P587" s="2"/>
      <c r="Q587" s="2">
        <f>VLOOKUP($A587,'[2]App C Inv'!$A$4:$I$917,5,FALSE)</f>
        <v>6982</v>
      </c>
      <c r="R587" s="2">
        <f>VLOOKUP($A587,'[2]App C Inv'!$A$4:$I$917,6,FALSE)</f>
        <v>-6006</v>
      </c>
      <c r="S587" s="2">
        <f>VLOOKUP($A587,'[2]App C Inv'!$A$4:$I$917,7,FALSE)</f>
        <v>846</v>
      </c>
      <c r="T587" s="2">
        <f>VLOOKUP($A587,'[2]App C Inv'!$A$4:$I$917,8,FALSE)</f>
        <v>1102</v>
      </c>
      <c r="U587" s="2">
        <f>VLOOKUP($A587,'[2]App C Inv'!$A$4:$I$917,9,FALSE)</f>
        <v>0</v>
      </c>
      <c r="V587" s="2"/>
      <c r="W587" s="2">
        <f>VLOOKUP($A587,'[2]App C Assum'!$A$4:$I$917,5,FALSE)</f>
        <v>7865</v>
      </c>
      <c r="X587" s="2">
        <f>VLOOKUP($A587,'[2]App C Assum'!$A$4:$I$917,6,FALSE)</f>
        <v>6443</v>
      </c>
      <c r="Y587" s="2">
        <f>VLOOKUP($A587,'[2]App C Assum'!$A$4:$I$917,7,FALSE)</f>
        <v>5231</v>
      </c>
      <c r="Z587" s="2">
        <f>VLOOKUP($A587,'[2]App C Assum'!$A$4:$I$917,8,FALSE)</f>
        <v>0</v>
      </c>
      <c r="AA587" s="2">
        <f>VLOOKUP($A587,'[2]App C Assum'!$A$4:$I$917,9,FALSE)</f>
        <v>0</v>
      </c>
      <c r="AB587" s="2"/>
      <c r="AC587" s="2">
        <f>VLOOKUP($A587,'[2]App C Share Outflows'!$A$4:$I$917,5,FALSE)</f>
        <v>3212</v>
      </c>
      <c r="AD587" s="2">
        <f>VLOOKUP($A587,'[2]App C Share Outflows'!$A$4:$I$917,6,FALSE)</f>
        <v>2370</v>
      </c>
      <c r="AE587" s="2">
        <f>VLOOKUP($A587,'[2]App C Share Outflows'!$A$4:$I$917,7,FALSE)</f>
        <v>2369</v>
      </c>
      <c r="AF587" s="2">
        <f>VLOOKUP($A587,'[2]App C Share Outflows'!$A$4:$I$917,8,FALSE)</f>
        <v>867</v>
      </c>
      <c r="AG587" s="2">
        <f>VLOOKUP($A587,'[2]App C Share Outflows'!$A$4:$I$917,9,FALSE)</f>
        <v>0</v>
      </c>
      <c r="AH587" s="2"/>
      <c r="AI587" s="2">
        <f>VLOOKUP($A587,'[2]App C Share Inflows'!$A$4:$I$917,5,FALSE)</f>
        <v>-244</v>
      </c>
      <c r="AJ587" s="2">
        <f>VLOOKUP($A587,'[2]App C Share Inflows'!$A$4:$I$917,6,FALSE)</f>
        <v>-245</v>
      </c>
      <c r="AK587" s="2">
        <f>VLOOKUP($A587,'[2]App C Share Inflows'!$A$4:$I$917,7,FALSE)</f>
        <v>0</v>
      </c>
      <c r="AL587" s="2">
        <f>VLOOKUP($A587,'[2]App C Share Inflows'!$A$4:$I$917,8,FALSE)</f>
        <v>0</v>
      </c>
      <c r="AM587" s="2">
        <f>VLOOKUP($A587,'[2]App C Share Inflows'!$A$4:$I$917,6,FALSE)</f>
        <v>-245</v>
      </c>
    </row>
    <row r="588" spans="1:39">
      <c r="A588" s="351">
        <v>96305</v>
      </c>
      <c r="B588" s="344" t="s">
        <v>1283</v>
      </c>
      <c r="C588" s="235" t="e">
        <f>VLOOKUP(A588,#REF!,10,FALSE)</f>
        <v>#REF!</v>
      </c>
      <c r="E588" s="2">
        <f>VLOOKUP($A588,'[2]App C Total'!$A$4:$I$917,5,FALSE)</f>
        <v>26553</v>
      </c>
      <c r="F588" s="2">
        <f>VLOOKUP($A588,'[2]App C Total'!$A$4:$I$917,6,FALSE)</f>
        <v>11418</v>
      </c>
      <c r="G588" s="2">
        <f>VLOOKUP($A588,'[2]App C Total'!$A$4:$I$917,7,FALSE)</f>
        <v>14633</v>
      </c>
      <c r="H588" s="2">
        <f>VLOOKUP($A588,'[2]App C Total'!$A$4:$I$917,8,FALSE)</f>
        <v>4917</v>
      </c>
      <c r="I588" s="2">
        <f>VLOOKUP($A588,'[2]App C Total'!$A$4:$I$917,9,FALSE)</f>
        <v>0</v>
      </c>
      <c r="J588" s="2"/>
      <c r="K588" s="2">
        <f>VLOOKUP($A588,'[2]App C Exp'!$A$4:$I$917,5,FALSE)</f>
        <v>6172</v>
      </c>
      <c r="L588" s="2">
        <f>VLOOKUP($A588,'[2]App C Exp'!$A$4:$I$917,6,FALSE)</f>
        <v>5806</v>
      </c>
      <c r="M588" s="2">
        <f>VLOOKUP($A588,'[2]App C Exp'!$A$4:$I$917,7,FALSE)</f>
        <v>5204</v>
      </c>
      <c r="N588" s="2">
        <f>VLOOKUP($A588,'[2]App C Exp'!$A$4:$I$917,8,FALSE)</f>
        <v>2084</v>
      </c>
      <c r="O588" s="2">
        <f>VLOOKUP($A588,'[2]App C Exp'!$A$4:$I$917,9,FALSE)</f>
        <v>0</v>
      </c>
      <c r="P588" s="2"/>
      <c r="Q588" s="2">
        <f>VLOOKUP($A588,'[2]App C Inv'!$A$4:$I$917,5,FALSE)</f>
        <v>6552</v>
      </c>
      <c r="R588" s="2">
        <f>VLOOKUP($A588,'[2]App C Inv'!$A$4:$I$917,6,FALSE)</f>
        <v>-5636</v>
      </c>
      <c r="S588" s="2">
        <f>VLOOKUP($A588,'[2]App C Inv'!$A$4:$I$917,7,FALSE)</f>
        <v>794</v>
      </c>
      <c r="T588" s="2">
        <f>VLOOKUP($A588,'[2]App C Inv'!$A$4:$I$917,8,FALSE)</f>
        <v>1034</v>
      </c>
      <c r="U588" s="2">
        <f>VLOOKUP($A588,'[2]App C Inv'!$A$4:$I$917,9,FALSE)</f>
        <v>0</v>
      </c>
      <c r="V588" s="2"/>
      <c r="W588" s="2">
        <f>VLOOKUP($A588,'[2]App C Assum'!$A$4:$I$917,5,FALSE)</f>
        <v>7381</v>
      </c>
      <c r="X588" s="2">
        <f>VLOOKUP($A588,'[2]App C Assum'!$A$4:$I$917,6,FALSE)</f>
        <v>6047</v>
      </c>
      <c r="Y588" s="2">
        <f>VLOOKUP($A588,'[2]App C Assum'!$A$4:$I$917,7,FALSE)</f>
        <v>4909</v>
      </c>
      <c r="Z588" s="2">
        <f>VLOOKUP($A588,'[2]App C Assum'!$A$4:$I$917,8,FALSE)</f>
        <v>0</v>
      </c>
      <c r="AA588" s="2">
        <f>VLOOKUP($A588,'[2]App C Assum'!$A$4:$I$917,9,FALSE)</f>
        <v>0</v>
      </c>
      <c r="AB588" s="2"/>
      <c r="AC588" s="2">
        <f>VLOOKUP($A588,'[2]App C Share Outflows'!$A$4:$I$917,5,FALSE)</f>
        <v>6448</v>
      </c>
      <c r="AD588" s="2">
        <f>VLOOKUP($A588,'[2]App C Share Outflows'!$A$4:$I$917,6,FALSE)</f>
        <v>5201</v>
      </c>
      <c r="AE588" s="2">
        <f>VLOOKUP($A588,'[2]App C Share Outflows'!$A$4:$I$917,7,FALSE)</f>
        <v>3726</v>
      </c>
      <c r="AF588" s="2">
        <f>VLOOKUP($A588,'[2]App C Share Outflows'!$A$4:$I$917,8,FALSE)</f>
        <v>1799</v>
      </c>
      <c r="AG588" s="2">
        <f>VLOOKUP($A588,'[2]App C Share Outflows'!$A$4:$I$917,9,FALSE)</f>
        <v>0</v>
      </c>
      <c r="AH588" s="2"/>
      <c r="AI588" s="2">
        <f>VLOOKUP($A588,'[2]App C Share Inflows'!$A$4:$I$917,5,FALSE)</f>
        <v>0</v>
      </c>
      <c r="AJ588" s="2">
        <f>VLOOKUP($A588,'[2]App C Share Inflows'!$A$4:$I$917,6,FALSE)</f>
        <v>0</v>
      </c>
      <c r="AK588" s="2">
        <f>VLOOKUP($A588,'[2]App C Share Inflows'!$A$4:$I$917,7,FALSE)</f>
        <v>0</v>
      </c>
      <c r="AL588" s="2">
        <f>VLOOKUP($A588,'[2]App C Share Inflows'!$A$4:$I$917,8,FALSE)</f>
        <v>0</v>
      </c>
      <c r="AM588" s="2">
        <f>VLOOKUP($A588,'[2]App C Share Inflows'!$A$4:$I$917,6,FALSE)</f>
        <v>0</v>
      </c>
    </row>
    <row r="589" spans="1:39">
      <c r="A589" s="351">
        <v>96310</v>
      </c>
      <c r="B589" s="344" t="s">
        <v>1284</v>
      </c>
      <c r="C589" s="235" t="e">
        <f>VLOOKUP(A589,#REF!,10,FALSE)</f>
        <v>#REF!</v>
      </c>
      <c r="E589" s="2">
        <f>VLOOKUP($A589,'[2]App C Total'!$A$4:$I$917,5,FALSE)</f>
        <v>21648</v>
      </c>
      <c r="F589" s="2">
        <f>VLOOKUP($A589,'[2]App C Total'!$A$4:$I$917,6,FALSE)</f>
        <v>7431</v>
      </c>
      <c r="G589" s="2">
        <f>VLOOKUP($A589,'[2]App C Total'!$A$4:$I$917,7,FALSE)</f>
        <v>10737</v>
      </c>
      <c r="H589" s="2">
        <f>VLOOKUP($A589,'[2]App C Total'!$A$4:$I$917,8,FALSE)</f>
        <v>3239</v>
      </c>
      <c r="I589" s="2">
        <f>VLOOKUP($A589,'[2]App C Total'!$A$4:$I$917,9,FALSE)</f>
        <v>0</v>
      </c>
      <c r="J589" s="2"/>
      <c r="K589" s="2">
        <f>VLOOKUP($A589,'[2]App C Exp'!$A$4:$I$917,5,FALSE)</f>
        <v>6726</v>
      </c>
      <c r="L589" s="2">
        <f>VLOOKUP($A589,'[2]App C Exp'!$A$4:$I$917,6,FALSE)</f>
        <v>6327</v>
      </c>
      <c r="M589" s="2">
        <f>VLOOKUP($A589,'[2]App C Exp'!$A$4:$I$917,7,FALSE)</f>
        <v>5671</v>
      </c>
      <c r="N589" s="2">
        <f>VLOOKUP($A589,'[2]App C Exp'!$A$4:$I$917,8,FALSE)</f>
        <v>2271</v>
      </c>
      <c r="O589" s="2">
        <f>VLOOKUP($A589,'[2]App C Exp'!$A$4:$I$917,9,FALSE)</f>
        <v>0</v>
      </c>
      <c r="P589" s="2"/>
      <c r="Q589" s="2">
        <f>VLOOKUP($A589,'[2]App C Inv'!$A$4:$I$917,5,FALSE)</f>
        <v>7141</v>
      </c>
      <c r="R589" s="2">
        <f>VLOOKUP($A589,'[2]App C Inv'!$A$4:$I$917,6,FALSE)</f>
        <v>-6143</v>
      </c>
      <c r="S589" s="2">
        <f>VLOOKUP($A589,'[2]App C Inv'!$A$4:$I$917,7,FALSE)</f>
        <v>866</v>
      </c>
      <c r="T589" s="2">
        <f>VLOOKUP($A589,'[2]App C Inv'!$A$4:$I$917,8,FALSE)</f>
        <v>1127</v>
      </c>
      <c r="U589" s="2">
        <f>VLOOKUP($A589,'[2]App C Inv'!$A$4:$I$917,9,FALSE)</f>
        <v>0</v>
      </c>
      <c r="V589" s="2"/>
      <c r="W589" s="2">
        <f>VLOOKUP($A589,'[2]App C Assum'!$A$4:$I$917,5,FALSE)</f>
        <v>8044</v>
      </c>
      <c r="X589" s="2">
        <f>VLOOKUP($A589,'[2]App C Assum'!$A$4:$I$917,6,FALSE)</f>
        <v>6590</v>
      </c>
      <c r="Y589" s="2">
        <f>VLOOKUP($A589,'[2]App C Assum'!$A$4:$I$917,7,FALSE)</f>
        <v>5350</v>
      </c>
      <c r="Z589" s="2">
        <f>VLOOKUP($A589,'[2]App C Assum'!$A$4:$I$917,8,FALSE)</f>
        <v>0</v>
      </c>
      <c r="AA589" s="2">
        <f>VLOOKUP($A589,'[2]App C Assum'!$A$4:$I$917,9,FALSE)</f>
        <v>0</v>
      </c>
      <c r="AB589" s="2"/>
      <c r="AC589" s="2">
        <f>VLOOKUP($A589,'[2]App C Share Outflows'!$A$4:$I$917,5,FALSE)</f>
        <v>1805</v>
      </c>
      <c r="AD589" s="2">
        <f>VLOOKUP($A589,'[2]App C Share Outflows'!$A$4:$I$917,6,FALSE)</f>
        <v>1805</v>
      </c>
      <c r="AE589" s="2">
        <f>VLOOKUP($A589,'[2]App C Share Outflows'!$A$4:$I$917,7,FALSE)</f>
        <v>0</v>
      </c>
      <c r="AF589" s="2">
        <f>VLOOKUP($A589,'[2]App C Share Outflows'!$A$4:$I$917,8,FALSE)</f>
        <v>0</v>
      </c>
      <c r="AG589" s="2">
        <f>VLOOKUP($A589,'[2]App C Share Outflows'!$A$4:$I$917,9,FALSE)</f>
        <v>0</v>
      </c>
      <c r="AH589" s="2"/>
      <c r="AI589" s="2">
        <f>VLOOKUP($A589,'[2]App C Share Inflows'!$A$4:$I$917,5,FALSE)</f>
        <v>-2068</v>
      </c>
      <c r="AJ589" s="2">
        <f>VLOOKUP($A589,'[2]App C Share Inflows'!$A$4:$I$917,6,FALSE)</f>
        <v>-1148</v>
      </c>
      <c r="AK589" s="2">
        <f>VLOOKUP($A589,'[2]App C Share Inflows'!$A$4:$I$917,7,FALSE)</f>
        <v>-1150</v>
      </c>
      <c r="AL589" s="2">
        <f>VLOOKUP($A589,'[2]App C Share Inflows'!$A$4:$I$917,8,FALSE)</f>
        <v>-159</v>
      </c>
      <c r="AM589" s="2">
        <f>VLOOKUP($A589,'[2]App C Share Inflows'!$A$4:$I$917,6,FALSE)</f>
        <v>-1148</v>
      </c>
    </row>
    <row r="590" spans="1:39">
      <c r="A590" s="351">
        <v>96311</v>
      </c>
      <c r="B590" s="344" t="s">
        <v>1285</v>
      </c>
      <c r="C590" s="235" t="e">
        <f>VLOOKUP(A590,#REF!,10,FALSE)</f>
        <v>#REF!</v>
      </c>
      <c r="E590" s="2">
        <f>VLOOKUP($A590,'[2]App C Total'!$A$4:$I$917,5,FALSE)</f>
        <v>591765</v>
      </c>
      <c r="F590" s="2">
        <f>VLOOKUP($A590,'[2]App C Total'!$A$4:$I$917,6,FALSE)</f>
        <v>165180</v>
      </c>
      <c r="G590" s="2">
        <f>VLOOKUP($A590,'[2]App C Total'!$A$4:$I$917,7,FALSE)</f>
        <v>332095</v>
      </c>
      <c r="H590" s="2">
        <f>VLOOKUP($A590,'[2]App C Total'!$A$4:$I$917,8,FALSE)</f>
        <v>88834</v>
      </c>
      <c r="I590" s="2">
        <f>VLOOKUP($A590,'[2]App C Total'!$A$4:$I$917,9,FALSE)</f>
        <v>0</v>
      </c>
      <c r="J590" s="2"/>
      <c r="K590" s="2">
        <f>VLOOKUP($A590,'[2]App C Exp'!$A$4:$I$917,5,FALSE)</f>
        <v>196427</v>
      </c>
      <c r="L590" s="2">
        <f>VLOOKUP($A590,'[2]App C Exp'!$A$4:$I$917,6,FALSE)</f>
        <v>184774</v>
      </c>
      <c r="M590" s="2">
        <f>VLOOKUP($A590,'[2]App C Exp'!$A$4:$I$917,7,FALSE)</f>
        <v>165611</v>
      </c>
      <c r="N590" s="2">
        <f>VLOOKUP($A590,'[2]App C Exp'!$A$4:$I$917,8,FALSE)</f>
        <v>66309</v>
      </c>
      <c r="O590" s="2">
        <f>VLOOKUP($A590,'[2]App C Exp'!$A$4:$I$917,9,FALSE)</f>
        <v>0</v>
      </c>
      <c r="P590" s="2"/>
      <c r="Q590" s="2">
        <f>VLOOKUP($A590,'[2]App C Inv'!$A$4:$I$917,5,FALSE)</f>
        <v>208535</v>
      </c>
      <c r="R590" s="2">
        <f>VLOOKUP($A590,'[2]App C Inv'!$A$4:$I$917,6,FALSE)</f>
        <v>-179379</v>
      </c>
      <c r="S590" s="2">
        <f>VLOOKUP($A590,'[2]App C Inv'!$A$4:$I$917,7,FALSE)</f>
        <v>25281</v>
      </c>
      <c r="T590" s="2">
        <f>VLOOKUP($A590,'[2]App C Inv'!$A$4:$I$917,8,FALSE)</f>
        <v>32903</v>
      </c>
      <c r="U590" s="2">
        <f>VLOOKUP($A590,'[2]App C Inv'!$A$4:$I$917,9,FALSE)</f>
        <v>0</v>
      </c>
      <c r="V590" s="2"/>
      <c r="W590" s="2">
        <f>VLOOKUP($A590,'[2]App C Assum'!$A$4:$I$917,5,FALSE)</f>
        <v>234917</v>
      </c>
      <c r="X590" s="2">
        <f>VLOOKUP($A590,'[2]App C Assum'!$A$4:$I$917,6,FALSE)</f>
        <v>192453</v>
      </c>
      <c r="Y590" s="2">
        <f>VLOOKUP($A590,'[2]App C Assum'!$A$4:$I$917,7,FALSE)</f>
        <v>156239</v>
      </c>
      <c r="Z590" s="2">
        <f>VLOOKUP($A590,'[2]App C Assum'!$A$4:$I$917,8,FALSE)</f>
        <v>0</v>
      </c>
      <c r="AA590" s="2">
        <f>VLOOKUP($A590,'[2]App C Assum'!$A$4:$I$917,9,FALSE)</f>
        <v>0</v>
      </c>
      <c r="AB590" s="2"/>
      <c r="AC590" s="2">
        <f>VLOOKUP($A590,'[2]App C Share Outflows'!$A$4:$I$917,5,FALSE)</f>
        <v>0</v>
      </c>
      <c r="AD590" s="2">
        <f>VLOOKUP($A590,'[2]App C Share Outflows'!$A$4:$I$917,6,FALSE)</f>
        <v>0</v>
      </c>
      <c r="AE590" s="2">
        <f>VLOOKUP($A590,'[2]App C Share Outflows'!$A$4:$I$917,7,FALSE)</f>
        <v>0</v>
      </c>
      <c r="AF590" s="2">
        <f>VLOOKUP($A590,'[2]App C Share Outflows'!$A$4:$I$917,8,FALSE)</f>
        <v>0</v>
      </c>
      <c r="AG590" s="2">
        <f>VLOOKUP($A590,'[2]App C Share Outflows'!$A$4:$I$917,9,FALSE)</f>
        <v>0</v>
      </c>
      <c r="AH590" s="2"/>
      <c r="AI590" s="2">
        <f>VLOOKUP($A590,'[2]App C Share Inflows'!$A$4:$I$917,5,FALSE)</f>
        <v>-48114</v>
      </c>
      <c r="AJ590" s="2">
        <f>VLOOKUP($A590,'[2]App C Share Inflows'!$A$4:$I$917,6,FALSE)</f>
        <v>-32668</v>
      </c>
      <c r="AK590" s="2">
        <f>VLOOKUP($A590,'[2]App C Share Inflows'!$A$4:$I$917,7,FALSE)</f>
        <v>-15036</v>
      </c>
      <c r="AL590" s="2">
        <f>VLOOKUP($A590,'[2]App C Share Inflows'!$A$4:$I$917,8,FALSE)</f>
        <v>-10378</v>
      </c>
      <c r="AM590" s="2">
        <f>VLOOKUP($A590,'[2]App C Share Inflows'!$A$4:$I$917,6,FALSE)</f>
        <v>-32668</v>
      </c>
    </row>
    <row r="591" spans="1:39">
      <c r="A591" s="351">
        <v>96312</v>
      </c>
      <c r="B591" s="344" t="s">
        <v>1286</v>
      </c>
      <c r="C591" s="235" t="e">
        <f>VLOOKUP(A591,#REF!,10,FALSE)</f>
        <v>#REF!</v>
      </c>
      <c r="E591" s="2">
        <f>VLOOKUP($A591,'[2]App C Total'!$A$4:$I$917,5,FALSE)</f>
        <v>2916</v>
      </c>
      <c r="F591" s="2">
        <f>VLOOKUP($A591,'[2]App C Total'!$A$4:$I$917,6,FALSE)</f>
        <v>1108</v>
      </c>
      <c r="G591" s="2">
        <f>VLOOKUP($A591,'[2]App C Total'!$A$4:$I$917,7,FALSE)</f>
        <v>-138</v>
      </c>
      <c r="H591" s="2">
        <f>VLOOKUP($A591,'[2]App C Total'!$A$4:$I$917,8,FALSE)</f>
        <v>437</v>
      </c>
      <c r="I591" s="2">
        <f>VLOOKUP($A591,'[2]App C Total'!$A$4:$I$917,9,FALSE)</f>
        <v>0</v>
      </c>
      <c r="J591" s="2"/>
      <c r="K591" s="2">
        <f>VLOOKUP($A591,'[2]App C Exp'!$A$4:$I$917,5,FALSE)</f>
        <v>869</v>
      </c>
      <c r="L591" s="2">
        <f>VLOOKUP($A591,'[2]App C Exp'!$A$4:$I$917,6,FALSE)</f>
        <v>817</v>
      </c>
      <c r="M591" s="2">
        <f>VLOOKUP($A591,'[2]App C Exp'!$A$4:$I$917,7,FALSE)</f>
        <v>733</v>
      </c>
      <c r="N591" s="2">
        <f>VLOOKUP($A591,'[2]App C Exp'!$A$4:$I$917,8,FALSE)</f>
        <v>293</v>
      </c>
      <c r="O591" s="2">
        <f>VLOOKUP($A591,'[2]App C Exp'!$A$4:$I$917,9,FALSE)</f>
        <v>0</v>
      </c>
      <c r="P591" s="2"/>
      <c r="Q591" s="2">
        <f>VLOOKUP($A591,'[2]App C Inv'!$A$4:$I$917,5,FALSE)</f>
        <v>922</v>
      </c>
      <c r="R591" s="2">
        <f>VLOOKUP($A591,'[2]App C Inv'!$A$4:$I$917,6,FALSE)</f>
        <v>-793</v>
      </c>
      <c r="S591" s="2">
        <f>VLOOKUP($A591,'[2]App C Inv'!$A$4:$I$917,7,FALSE)</f>
        <v>112</v>
      </c>
      <c r="T591" s="2">
        <f>VLOOKUP($A591,'[2]App C Inv'!$A$4:$I$917,8,FALSE)</f>
        <v>146</v>
      </c>
      <c r="U591" s="2">
        <f>VLOOKUP($A591,'[2]App C Inv'!$A$4:$I$917,9,FALSE)</f>
        <v>0</v>
      </c>
      <c r="V591" s="2"/>
      <c r="W591" s="2">
        <f>VLOOKUP($A591,'[2]App C Assum'!$A$4:$I$917,5,FALSE)</f>
        <v>1039</v>
      </c>
      <c r="X591" s="2">
        <f>VLOOKUP($A591,'[2]App C Assum'!$A$4:$I$917,6,FALSE)</f>
        <v>851</v>
      </c>
      <c r="Y591" s="2">
        <f>VLOOKUP($A591,'[2]App C Assum'!$A$4:$I$917,7,FALSE)</f>
        <v>691</v>
      </c>
      <c r="Z591" s="2">
        <f>VLOOKUP($A591,'[2]App C Assum'!$A$4:$I$917,8,FALSE)</f>
        <v>0</v>
      </c>
      <c r="AA591" s="2">
        <f>VLOOKUP($A591,'[2]App C Assum'!$A$4:$I$917,9,FALSE)</f>
        <v>0</v>
      </c>
      <c r="AB591" s="2"/>
      <c r="AC591" s="2">
        <f>VLOOKUP($A591,'[2]App C Share Outflows'!$A$4:$I$917,5,FALSE)</f>
        <v>1909</v>
      </c>
      <c r="AD591" s="2">
        <f>VLOOKUP($A591,'[2]App C Share Outflows'!$A$4:$I$917,6,FALSE)</f>
        <v>1907</v>
      </c>
      <c r="AE591" s="2">
        <f>VLOOKUP($A591,'[2]App C Share Outflows'!$A$4:$I$917,7,FALSE)</f>
        <v>0</v>
      </c>
      <c r="AF591" s="2">
        <f>VLOOKUP($A591,'[2]App C Share Outflows'!$A$4:$I$917,8,FALSE)</f>
        <v>0</v>
      </c>
      <c r="AG591" s="2">
        <f>VLOOKUP($A591,'[2]App C Share Outflows'!$A$4:$I$917,9,FALSE)</f>
        <v>0</v>
      </c>
      <c r="AH591" s="2"/>
      <c r="AI591" s="2">
        <f>VLOOKUP($A591,'[2]App C Share Inflows'!$A$4:$I$917,5,FALSE)</f>
        <v>-1823</v>
      </c>
      <c r="AJ591" s="2">
        <f>VLOOKUP($A591,'[2]App C Share Inflows'!$A$4:$I$917,6,FALSE)</f>
        <v>-1674</v>
      </c>
      <c r="AK591" s="2">
        <f>VLOOKUP($A591,'[2]App C Share Inflows'!$A$4:$I$917,7,FALSE)</f>
        <v>-1674</v>
      </c>
      <c r="AL591" s="2">
        <f>VLOOKUP($A591,'[2]App C Share Inflows'!$A$4:$I$917,8,FALSE)</f>
        <v>-2</v>
      </c>
      <c r="AM591" s="2">
        <f>VLOOKUP($A591,'[2]App C Share Inflows'!$A$4:$I$917,6,FALSE)</f>
        <v>-1674</v>
      </c>
    </row>
    <row r="592" spans="1:39">
      <c r="A592" s="351">
        <v>96318</v>
      </c>
      <c r="B592" s="344" t="s">
        <v>1287</v>
      </c>
      <c r="C592" s="235" t="e">
        <f>VLOOKUP(A592,#REF!,10,FALSE)</f>
        <v>#REF!</v>
      </c>
      <c r="E592" s="2">
        <f>VLOOKUP($A592,'[2]App C Total'!$A$4:$I$917,5,FALSE)</f>
        <v>3451415</v>
      </c>
      <c r="F592" s="2">
        <f>VLOOKUP($A592,'[2]App C Total'!$A$4:$I$917,6,FALSE)</f>
        <v>474572</v>
      </c>
      <c r="G592" s="2">
        <f>VLOOKUP($A592,'[2]App C Total'!$A$4:$I$917,7,FALSE)</f>
        <v>650117</v>
      </c>
      <c r="H592" s="2">
        <f>VLOOKUP($A592,'[2]App C Total'!$A$4:$I$917,8,FALSE)</f>
        <v>202133</v>
      </c>
      <c r="I592" s="2">
        <f>VLOOKUP($A592,'[2]App C Total'!$A$4:$I$917,9,FALSE)</f>
        <v>0</v>
      </c>
      <c r="J592" s="2"/>
      <c r="K592" s="2">
        <f>VLOOKUP($A592,'[2]App C Exp'!$A$4:$I$917,5,FALSE)</f>
        <v>334354</v>
      </c>
      <c r="L592" s="2">
        <f>VLOOKUP($A592,'[2]App C Exp'!$A$4:$I$917,6,FALSE)</f>
        <v>314519</v>
      </c>
      <c r="M592" s="2">
        <f>VLOOKUP($A592,'[2]App C Exp'!$A$4:$I$917,7,FALSE)</f>
        <v>281900</v>
      </c>
      <c r="N592" s="2">
        <f>VLOOKUP($A592,'[2]App C Exp'!$A$4:$I$917,8,FALSE)</f>
        <v>112869</v>
      </c>
      <c r="O592" s="2">
        <f>VLOOKUP($A592,'[2]App C Exp'!$A$4:$I$917,9,FALSE)</f>
        <v>0</v>
      </c>
      <c r="P592" s="2"/>
      <c r="Q592" s="2">
        <f>VLOOKUP($A592,'[2]App C Inv'!$A$4:$I$917,5,FALSE)</f>
        <v>354964</v>
      </c>
      <c r="R592" s="2">
        <f>VLOOKUP($A592,'[2]App C Inv'!$A$4:$I$917,6,FALSE)</f>
        <v>-305335</v>
      </c>
      <c r="S592" s="2">
        <f>VLOOKUP($A592,'[2]App C Inv'!$A$4:$I$917,7,FALSE)</f>
        <v>43033</v>
      </c>
      <c r="T592" s="2">
        <f>VLOOKUP($A592,'[2]App C Inv'!$A$4:$I$917,8,FALSE)</f>
        <v>56007</v>
      </c>
      <c r="U592" s="2">
        <f>VLOOKUP($A592,'[2]App C Inv'!$A$4:$I$917,9,FALSE)</f>
        <v>0</v>
      </c>
      <c r="V592" s="2"/>
      <c r="W592" s="2">
        <f>VLOOKUP($A592,'[2]App C Assum'!$A$4:$I$917,5,FALSE)</f>
        <v>399872</v>
      </c>
      <c r="X592" s="2">
        <f>VLOOKUP($A592,'[2]App C Assum'!$A$4:$I$917,6,FALSE)</f>
        <v>327589</v>
      </c>
      <c r="Y592" s="2">
        <f>VLOOKUP($A592,'[2]App C Assum'!$A$4:$I$917,7,FALSE)</f>
        <v>265947</v>
      </c>
      <c r="Z592" s="2">
        <f>VLOOKUP($A592,'[2]App C Assum'!$A$4:$I$917,8,FALSE)</f>
        <v>0</v>
      </c>
      <c r="AA592" s="2">
        <f>VLOOKUP($A592,'[2]App C Assum'!$A$4:$I$917,9,FALSE)</f>
        <v>0</v>
      </c>
      <c r="AB592" s="2"/>
      <c r="AC592" s="2">
        <f>VLOOKUP($A592,'[2]App C Share Outflows'!$A$4:$I$917,5,FALSE)</f>
        <v>2362225</v>
      </c>
      <c r="AD592" s="2">
        <f>VLOOKUP($A592,'[2]App C Share Outflows'!$A$4:$I$917,6,FALSE)</f>
        <v>137799</v>
      </c>
      <c r="AE592" s="2">
        <f>VLOOKUP($A592,'[2]App C Share Outflows'!$A$4:$I$917,7,FALSE)</f>
        <v>59237</v>
      </c>
      <c r="AF592" s="2">
        <f>VLOOKUP($A592,'[2]App C Share Outflows'!$A$4:$I$917,8,FALSE)</f>
        <v>33257</v>
      </c>
      <c r="AG592" s="2">
        <f>VLOOKUP($A592,'[2]App C Share Outflows'!$A$4:$I$917,9,FALSE)</f>
        <v>0</v>
      </c>
      <c r="AH592" s="2"/>
      <c r="AI592" s="2">
        <f>VLOOKUP($A592,'[2]App C Share Inflows'!$A$4:$I$917,5,FALSE)</f>
        <v>0</v>
      </c>
      <c r="AJ592" s="2">
        <f>VLOOKUP($A592,'[2]App C Share Inflows'!$A$4:$I$917,6,FALSE)</f>
        <v>0</v>
      </c>
      <c r="AK592" s="2">
        <f>VLOOKUP($A592,'[2]App C Share Inflows'!$A$4:$I$917,7,FALSE)</f>
        <v>0</v>
      </c>
      <c r="AL592" s="2">
        <f>VLOOKUP($A592,'[2]App C Share Inflows'!$A$4:$I$917,8,FALSE)</f>
        <v>0</v>
      </c>
      <c r="AM592" s="2">
        <f>VLOOKUP($A592,'[2]App C Share Inflows'!$A$4:$I$917,6,FALSE)</f>
        <v>0</v>
      </c>
    </row>
    <row r="593" spans="1:39">
      <c r="A593" s="351">
        <v>96321</v>
      </c>
      <c r="B593" s="344" t="s">
        <v>1288</v>
      </c>
      <c r="C593" s="235" t="e">
        <f>VLOOKUP(A593,#REF!,10,FALSE)</f>
        <v>#REF!</v>
      </c>
      <c r="E593" s="2">
        <f>VLOOKUP($A593,'[2]App C Total'!$A$4:$I$917,5,FALSE)</f>
        <v>17752</v>
      </c>
      <c r="F593" s="2">
        <f>VLOOKUP($A593,'[2]App C Total'!$A$4:$I$917,6,FALSE)</f>
        <v>6089</v>
      </c>
      <c r="G593" s="2">
        <f>VLOOKUP($A593,'[2]App C Total'!$A$4:$I$917,7,FALSE)</f>
        <v>9970</v>
      </c>
      <c r="H593" s="2">
        <f>VLOOKUP($A593,'[2]App C Total'!$A$4:$I$917,8,FALSE)</f>
        <v>2827</v>
      </c>
      <c r="I593" s="2">
        <f>VLOOKUP($A593,'[2]App C Total'!$A$4:$I$917,9,FALSE)</f>
        <v>0</v>
      </c>
      <c r="J593" s="2"/>
      <c r="K593" s="2">
        <f>VLOOKUP($A593,'[2]App C Exp'!$A$4:$I$917,5,FALSE)</f>
        <v>5468</v>
      </c>
      <c r="L593" s="2">
        <f>VLOOKUP($A593,'[2]App C Exp'!$A$4:$I$917,6,FALSE)</f>
        <v>5144</v>
      </c>
      <c r="M593" s="2">
        <f>VLOOKUP($A593,'[2]App C Exp'!$A$4:$I$917,7,FALSE)</f>
        <v>4610</v>
      </c>
      <c r="N593" s="2">
        <f>VLOOKUP($A593,'[2]App C Exp'!$A$4:$I$917,8,FALSE)</f>
        <v>1846</v>
      </c>
      <c r="O593" s="2">
        <f>VLOOKUP($A593,'[2]App C Exp'!$A$4:$I$917,9,FALSE)</f>
        <v>0</v>
      </c>
      <c r="P593" s="2"/>
      <c r="Q593" s="2">
        <f>VLOOKUP($A593,'[2]App C Inv'!$A$4:$I$917,5,FALSE)</f>
        <v>5805</v>
      </c>
      <c r="R593" s="2">
        <f>VLOOKUP($A593,'[2]App C Inv'!$A$4:$I$917,6,FALSE)</f>
        <v>-4993</v>
      </c>
      <c r="S593" s="2">
        <f>VLOOKUP($A593,'[2]App C Inv'!$A$4:$I$917,7,FALSE)</f>
        <v>704</v>
      </c>
      <c r="T593" s="2">
        <f>VLOOKUP($A593,'[2]App C Inv'!$A$4:$I$917,8,FALSE)</f>
        <v>916</v>
      </c>
      <c r="U593" s="2">
        <f>VLOOKUP($A593,'[2]App C Inv'!$A$4:$I$917,9,FALSE)</f>
        <v>0</v>
      </c>
      <c r="V593" s="2"/>
      <c r="W593" s="2">
        <f>VLOOKUP($A593,'[2]App C Assum'!$A$4:$I$917,5,FALSE)</f>
        <v>6539</v>
      </c>
      <c r="X593" s="2">
        <f>VLOOKUP($A593,'[2]App C Assum'!$A$4:$I$917,6,FALSE)</f>
        <v>5357</v>
      </c>
      <c r="Y593" s="2">
        <f>VLOOKUP($A593,'[2]App C Assum'!$A$4:$I$917,7,FALSE)</f>
        <v>4349</v>
      </c>
      <c r="Z593" s="2">
        <f>VLOOKUP($A593,'[2]App C Assum'!$A$4:$I$917,8,FALSE)</f>
        <v>0</v>
      </c>
      <c r="AA593" s="2">
        <f>VLOOKUP($A593,'[2]App C Assum'!$A$4:$I$917,9,FALSE)</f>
        <v>0</v>
      </c>
      <c r="AB593" s="2"/>
      <c r="AC593" s="2">
        <f>VLOOKUP($A593,'[2]App C Share Outflows'!$A$4:$I$917,5,FALSE)</f>
        <v>583</v>
      </c>
      <c r="AD593" s="2">
        <f>VLOOKUP($A593,'[2]App C Share Outflows'!$A$4:$I$917,6,FALSE)</f>
        <v>581</v>
      </c>
      <c r="AE593" s="2">
        <f>VLOOKUP($A593,'[2]App C Share Outflows'!$A$4:$I$917,7,FALSE)</f>
        <v>307</v>
      </c>
      <c r="AF593" s="2">
        <f>VLOOKUP($A593,'[2]App C Share Outflows'!$A$4:$I$917,8,FALSE)</f>
        <v>65</v>
      </c>
      <c r="AG593" s="2">
        <f>VLOOKUP($A593,'[2]App C Share Outflows'!$A$4:$I$917,9,FALSE)</f>
        <v>0</v>
      </c>
      <c r="AH593" s="2"/>
      <c r="AI593" s="2">
        <f>VLOOKUP($A593,'[2]App C Share Inflows'!$A$4:$I$917,5,FALSE)</f>
        <v>-643</v>
      </c>
      <c r="AJ593" s="2">
        <f>VLOOKUP($A593,'[2]App C Share Inflows'!$A$4:$I$917,6,FALSE)</f>
        <v>0</v>
      </c>
      <c r="AK593" s="2">
        <f>VLOOKUP($A593,'[2]App C Share Inflows'!$A$4:$I$917,7,FALSE)</f>
        <v>0</v>
      </c>
      <c r="AL593" s="2">
        <f>VLOOKUP($A593,'[2]App C Share Inflows'!$A$4:$I$917,8,FALSE)</f>
        <v>0</v>
      </c>
      <c r="AM593" s="2">
        <f>VLOOKUP($A593,'[2]App C Share Inflows'!$A$4:$I$917,6,FALSE)</f>
        <v>0</v>
      </c>
    </row>
    <row r="594" spans="1:39">
      <c r="A594" s="351">
        <v>96331</v>
      </c>
      <c r="B594" s="344" t="s">
        <v>1289</v>
      </c>
      <c r="C594" s="235" t="e">
        <f>VLOOKUP(A594,#REF!,10,FALSE)</f>
        <v>#REF!</v>
      </c>
      <c r="E594" s="2">
        <f>VLOOKUP($A594,'[2]App C Total'!$A$4:$I$917,5,FALSE)</f>
        <v>340337</v>
      </c>
      <c r="F594" s="2">
        <f>VLOOKUP($A594,'[2]App C Total'!$A$4:$I$917,6,FALSE)</f>
        <v>99997</v>
      </c>
      <c r="G594" s="2">
        <f>VLOOKUP($A594,'[2]App C Total'!$A$4:$I$917,7,FALSE)</f>
        <v>186979</v>
      </c>
      <c r="H594" s="2">
        <f>VLOOKUP($A594,'[2]App C Total'!$A$4:$I$917,8,FALSE)</f>
        <v>55694</v>
      </c>
      <c r="I594" s="2">
        <f>VLOOKUP($A594,'[2]App C Total'!$A$4:$I$917,9,FALSE)</f>
        <v>0</v>
      </c>
      <c r="J594" s="2"/>
      <c r="K594" s="2">
        <f>VLOOKUP($A594,'[2]App C Exp'!$A$4:$I$917,5,FALSE)</f>
        <v>111501</v>
      </c>
      <c r="L594" s="2">
        <f>VLOOKUP($A594,'[2]App C Exp'!$A$4:$I$917,6,FALSE)</f>
        <v>104887</v>
      </c>
      <c r="M594" s="2">
        <f>VLOOKUP($A594,'[2]App C Exp'!$A$4:$I$917,7,FALSE)</f>
        <v>94009</v>
      </c>
      <c r="N594" s="2">
        <f>VLOOKUP($A594,'[2]App C Exp'!$A$4:$I$917,8,FALSE)</f>
        <v>37640</v>
      </c>
      <c r="O594" s="2">
        <f>VLOOKUP($A594,'[2]App C Exp'!$A$4:$I$917,9,FALSE)</f>
        <v>0</v>
      </c>
      <c r="P594" s="2"/>
      <c r="Q594" s="2">
        <f>VLOOKUP($A594,'[2]App C Inv'!$A$4:$I$917,5,FALSE)</f>
        <v>118374</v>
      </c>
      <c r="R594" s="2">
        <f>VLOOKUP($A594,'[2]App C Inv'!$A$4:$I$917,6,FALSE)</f>
        <v>-101824</v>
      </c>
      <c r="S594" s="2">
        <f>VLOOKUP($A594,'[2]App C Inv'!$A$4:$I$917,7,FALSE)</f>
        <v>14351</v>
      </c>
      <c r="T594" s="2">
        <f>VLOOKUP($A594,'[2]App C Inv'!$A$4:$I$917,8,FALSE)</f>
        <v>18677</v>
      </c>
      <c r="U594" s="2">
        <f>VLOOKUP($A594,'[2]App C Inv'!$A$4:$I$917,9,FALSE)</f>
        <v>0</v>
      </c>
      <c r="V594" s="2"/>
      <c r="W594" s="2">
        <f>VLOOKUP($A594,'[2]App C Assum'!$A$4:$I$917,5,FALSE)</f>
        <v>133350</v>
      </c>
      <c r="X594" s="2">
        <f>VLOOKUP($A594,'[2]App C Assum'!$A$4:$I$917,6,FALSE)</f>
        <v>109245</v>
      </c>
      <c r="Y594" s="2">
        <f>VLOOKUP($A594,'[2]App C Assum'!$A$4:$I$917,7,FALSE)</f>
        <v>88689</v>
      </c>
      <c r="Z594" s="2">
        <f>VLOOKUP($A594,'[2]App C Assum'!$A$4:$I$917,8,FALSE)</f>
        <v>0</v>
      </c>
      <c r="AA594" s="2">
        <f>VLOOKUP($A594,'[2]App C Assum'!$A$4:$I$917,9,FALSE)</f>
        <v>0</v>
      </c>
      <c r="AB594" s="2"/>
      <c r="AC594" s="2">
        <f>VLOOKUP($A594,'[2]App C Share Outflows'!$A$4:$I$917,5,FALSE)</f>
        <v>0</v>
      </c>
      <c r="AD594" s="2">
        <f>VLOOKUP($A594,'[2]App C Share Outflows'!$A$4:$I$917,6,FALSE)</f>
        <v>0</v>
      </c>
      <c r="AE594" s="2">
        <f>VLOOKUP($A594,'[2]App C Share Outflows'!$A$4:$I$917,7,FALSE)</f>
        <v>0</v>
      </c>
      <c r="AF594" s="2">
        <f>VLOOKUP($A594,'[2]App C Share Outflows'!$A$4:$I$917,8,FALSE)</f>
        <v>0</v>
      </c>
      <c r="AG594" s="2">
        <f>VLOOKUP($A594,'[2]App C Share Outflows'!$A$4:$I$917,9,FALSE)</f>
        <v>0</v>
      </c>
      <c r="AH594" s="2"/>
      <c r="AI594" s="2">
        <f>VLOOKUP($A594,'[2]App C Share Inflows'!$A$4:$I$917,5,FALSE)</f>
        <v>-22888</v>
      </c>
      <c r="AJ594" s="2">
        <f>VLOOKUP($A594,'[2]App C Share Inflows'!$A$4:$I$917,6,FALSE)</f>
        <v>-12311</v>
      </c>
      <c r="AK594" s="2">
        <f>VLOOKUP($A594,'[2]App C Share Inflows'!$A$4:$I$917,7,FALSE)</f>
        <v>-10070</v>
      </c>
      <c r="AL594" s="2">
        <f>VLOOKUP($A594,'[2]App C Share Inflows'!$A$4:$I$917,8,FALSE)</f>
        <v>-623</v>
      </c>
      <c r="AM594" s="2">
        <f>VLOOKUP($A594,'[2]App C Share Inflows'!$A$4:$I$917,6,FALSE)</f>
        <v>-12311</v>
      </c>
    </row>
    <row r="595" spans="1:39">
      <c r="A595" s="351">
        <v>96341</v>
      </c>
      <c r="B595" s="344" t="s">
        <v>1290</v>
      </c>
      <c r="C595" s="235" t="e">
        <f>VLOOKUP(A595,#REF!,10,FALSE)</f>
        <v>#REF!</v>
      </c>
      <c r="E595" s="2">
        <f>VLOOKUP($A595,'[2]App C Total'!$A$4:$I$917,5,FALSE)</f>
        <v>34257</v>
      </c>
      <c r="F595" s="2">
        <f>VLOOKUP($A595,'[2]App C Total'!$A$4:$I$917,6,FALSE)</f>
        <v>7517</v>
      </c>
      <c r="G595" s="2">
        <f>VLOOKUP($A595,'[2]App C Total'!$A$4:$I$917,7,FALSE)</f>
        <v>18416</v>
      </c>
      <c r="H595" s="2">
        <f>VLOOKUP($A595,'[2]App C Total'!$A$4:$I$917,8,FALSE)</f>
        <v>2834</v>
      </c>
      <c r="I595" s="2">
        <f>VLOOKUP($A595,'[2]App C Total'!$A$4:$I$917,9,FALSE)</f>
        <v>0</v>
      </c>
      <c r="J595" s="2"/>
      <c r="K595" s="2">
        <f>VLOOKUP($A595,'[2]App C Exp'!$A$4:$I$917,5,FALSE)</f>
        <v>11715</v>
      </c>
      <c r="L595" s="2">
        <f>VLOOKUP($A595,'[2]App C Exp'!$A$4:$I$917,6,FALSE)</f>
        <v>11020</v>
      </c>
      <c r="M595" s="2">
        <f>VLOOKUP($A595,'[2]App C Exp'!$A$4:$I$917,7,FALSE)</f>
        <v>9877</v>
      </c>
      <c r="N595" s="2">
        <f>VLOOKUP($A595,'[2]App C Exp'!$A$4:$I$917,8,FALSE)</f>
        <v>3955</v>
      </c>
      <c r="O595" s="2">
        <f>VLOOKUP($A595,'[2]App C Exp'!$A$4:$I$917,9,FALSE)</f>
        <v>0</v>
      </c>
      <c r="P595" s="2"/>
      <c r="Q595" s="2">
        <f>VLOOKUP($A595,'[2]App C Inv'!$A$4:$I$917,5,FALSE)</f>
        <v>12437</v>
      </c>
      <c r="R595" s="2">
        <f>VLOOKUP($A595,'[2]App C Inv'!$A$4:$I$917,6,FALSE)</f>
        <v>-10698</v>
      </c>
      <c r="S595" s="2">
        <f>VLOOKUP($A595,'[2]App C Inv'!$A$4:$I$917,7,FALSE)</f>
        <v>1508</v>
      </c>
      <c r="T595" s="2">
        <f>VLOOKUP($A595,'[2]App C Inv'!$A$4:$I$917,8,FALSE)</f>
        <v>1962</v>
      </c>
      <c r="U595" s="2">
        <f>VLOOKUP($A595,'[2]App C Inv'!$A$4:$I$917,9,FALSE)</f>
        <v>0</v>
      </c>
      <c r="V595" s="2"/>
      <c r="W595" s="2">
        <f>VLOOKUP($A595,'[2]App C Assum'!$A$4:$I$917,5,FALSE)</f>
        <v>14010</v>
      </c>
      <c r="X595" s="2">
        <f>VLOOKUP($A595,'[2]App C Assum'!$A$4:$I$917,6,FALSE)</f>
        <v>11478</v>
      </c>
      <c r="Y595" s="2">
        <f>VLOOKUP($A595,'[2]App C Assum'!$A$4:$I$917,7,FALSE)</f>
        <v>9318</v>
      </c>
      <c r="Z595" s="2">
        <f>VLOOKUP($A595,'[2]App C Assum'!$A$4:$I$917,8,FALSE)</f>
        <v>0</v>
      </c>
      <c r="AA595" s="2">
        <f>VLOOKUP($A595,'[2]App C Assum'!$A$4:$I$917,9,FALSE)</f>
        <v>0</v>
      </c>
      <c r="AB595" s="2"/>
      <c r="AC595" s="2">
        <f>VLOOKUP($A595,'[2]App C Share Outflows'!$A$4:$I$917,5,FALSE)</f>
        <v>1170</v>
      </c>
      <c r="AD595" s="2">
        <f>VLOOKUP($A595,'[2]App C Share Outflows'!$A$4:$I$917,6,FALSE)</f>
        <v>794</v>
      </c>
      <c r="AE595" s="2">
        <f>VLOOKUP($A595,'[2]App C Share Outflows'!$A$4:$I$917,7,FALSE)</f>
        <v>794</v>
      </c>
      <c r="AF595" s="2">
        <f>VLOOKUP($A595,'[2]App C Share Outflows'!$A$4:$I$917,8,FALSE)</f>
        <v>0</v>
      </c>
      <c r="AG595" s="2">
        <f>VLOOKUP($A595,'[2]App C Share Outflows'!$A$4:$I$917,9,FALSE)</f>
        <v>0</v>
      </c>
      <c r="AH595" s="2"/>
      <c r="AI595" s="2">
        <f>VLOOKUP($A595,'[2]App C Share Inflows'!$A$4:$I$917,5,FALSE)</f>
        <v>-5075</v>
      </c>
      <c r="AJ595" s="2">
        <f>VLOOKUP($A595,'[2]App C Share Inflows'!$A$4:$I$917,6,FALSE)</f>
        <v>-5077</v>
      </c>
      <c r="AK595" s="2">
        <f>VLOOKUP($A595,'[2]App C Share Inflows'!$A$4:$I$917,7,FALSE)</f>
        <v>-3081</v>
      </c>
      <c r="AL595" s="2">
        <f>VLOOKUP($A595,'[2]App C Share Inflows'!$A$4:$I$917,8,FALSE)</f>
        <v>-3083</v>
      </c>
      <c r="AM595" s="2">
        <f>VLOOKUP($A595,'[2]App C Share Inflows'!$A$4:$I$917,6,FALSE)</f>
        <v>-5077</v>
      </c>
    </row>
    <row r="596" spans="1:39">
      <c r="A596" s="351">
        <v>96351</v>
      </c>
      <c r="B596" s="344" t="s">
        <v>1291</v>
      </c>
      <c r="C596" s="235" t="e">
        <f>VLOOKUP(A596,#REF!,10,FALSE)</f>
        <v>#REF!</v>
      </c>
      <c r="E596" s="2">
        <f>VLOOKUP($A596,'[2]App C Total'!$A$4:$I$917,5,FALSE)</f>
        <v>474483</v>
      </c>
      <c r="F596" s="2">
        <f>VLOOKUP($A596,'[2]App C Total'!$A$4:$I$917,6,FALSE)</f>
        <v>140653</v>
      </c>
      <c r="G596" s="2">
        <f>VLOOKUP($A596,'[2]App C Total'!$A$4:$I$917,7,FALSE)</f>
        <v>257356</v>
      </c>
      <c r="H596" s="2">
        <f>VLOOKUP($A596,'[2]App C Total'!$A$4:$I$917,8,FALSE)</f>
        <v>70470</v>
      </c>
      <c r="I596" s="2">
        <f>VLOOKUP($A596,'[2]App C Total'!$A$4:$I$917,9,FALSE)</f>
        <v>0</v>
      </c>
      <c r="J596" s="2"/>
      <c r="K596" s="2">
        <f>VLOOKUP($A596,'[2]App C Exp'!$A$4:$I$917,5,FALSE)</f>
        <v>151200</v>
      </c>
      <c r="L596" s="2">
        <f>VLOOKUP($A596,'[2]App C Exp'!$A$4:$I$917,6,FALSE)</f>
        <v>142231</v>
      </c>
      <c r="M596" s="2">
        <f>VLOOKUP($A596,'[2]App C Exp'!$A$4:$I$917,7,FALSE)</f>
        <v>127480</v>
      </c>
      <c r="N596" s="2">
        <f>VLOOKUP($A596,'[2]App C Exp'!$A$4:$I$917,8,FALSE)</f>
        <v>51041</v>
      </c>
      <c r="O596" s="2">
        <f>VLOOKUP($A596,'[2]App C Exp'!$A$4:$I$917,9,FALSE)</f>
        <v>0</v>
      </c>
      <c r="P596" s="2"/>
      <c r="Q596" s="2">
        <f>VLOOKUP($A596,'[2]App C Inv'!$A$4:$I$917,5,FALSE)</f>
        <v>160520</v>
      </c>
      <c r="R596" s="2">
        <f>VLOOKUP($A596,'[2]App C Inv'!$A$4:$I$917,6,FALSE)</f>
        <v>-138077</v>
      </c>
      <c r="S596" s="2">
        <f>VLOOKUP($A596,'[2]App C Inv'!$A$4:$I$917,7,FALSE)</f>
        <v>19460</v>
      </c>
      <c r="T596" s="2">
        <f>VLOOKUP($A596,'[2]App C Inv'!$A$4:$I$917,8,FALSE)</f>
        <v>25327</v>
      </c>
      <c r="U596" s="2">
        <f>VLOOKUP($A596,'[2]App C Inv'!$A$4:$I$917,9,FALSE)</f>
        <v>0</v>
      </c>
      <c r="V596" s="2"/>
      <c r="W596" s="2">
        <f>VLOOKUP($A596,'[2]App C Assum'!$A$4:$I$917,5,FALSE)</f>
        <v>180828</v>
      </c>
      <c r="X596" s="2">
        <f>VLOOKUP($A596,'[2]App C Assum'!$A$4:$I$917,6,FALSE)</f>
        <v>148141</v>
      </c>
      <c r="Y596" s="2">
        <f>VLOOKUP($A596,'[2]App C Assum'!$A$4:$I$917,7,FALSE)</f>
        <v>120265</v>
      </c>
      <c r="Z596" s="2">
        <f>VLOOKUP($A596,'[2]App C Assum'!$A$4:$I$917,8,FALSE)</f>
        <v>0</v>
      </c>
      <c r="AA596" s="2">
        <f>VLOOKUP($A596,'[2]App C Assum'!$A$4:$I$917,9,FALSE)</f>
        <v>0</v>
      </c>
      <c r="AB596" s="2"/>
      <c r="AC596" s="2">
        <f>VLOOKUP($A596,'[2]App C Share Outflows'!$A$4:$I$917,5,FALSE)</f>
        <v>0</v>
      </c>
      <c r="AD596" s="2">
        <f>VLOOKUP($A596,'[2]App C Share Outflows'!$A$4:$I$917,6,FALSE)</f>
        <v>0</v>
      </c>
      <c r="AE596" s="2">
        <f>VLOOKUP($A596,'[2]App C Share Outflows'!$A$4:$I$917,7,FALSE)</f>
        <v>0</v>
      </c>
      <c r="AF596" s="2">
        <f>VLOOKUP($A596,'[2]App C Share Outflows'!$A$4:$I$917,8,FALSE)</f>
        <v>0</v>
      </c>
      <c r="AG596" s="2">
        <f>VLOOKUP($A596,'[2]App C Share Outflows'!$A$4:$I$917,9,FALSE)</f>
        <v>0</v>
      </c>
      <c r="AH596" s="2"/>
      <c r="AI596" s="2">
        <f>VLOOKUP($A596,'[2]App C Share Inflows'!$A$4:$I$917,5,FALSE)</f>
        <v>-18065</v>
      </c>
      <c r="AJ596" s="2">
        <f>VLOOKUP($A596,'[2]App C Share Inflows'!$A$4:$I$917,6,FALSE)</f>
        <v>-11642</v>
      </c>
      <c r="AK596" s="2">
        <f>VLOOKUP($A596,'[2]App C Share Inflows'!$A$4:$I$917,7,FALSE)</f>
        <v>-9849</v>
      </c>
      <c r="AL596" s="2">
        <f>VLOOKUP($A596,'[2]App C Share Inflows'!$A$4:$I$917,8,FALSE)</f>
        <v>-5898</v>
      </c>
      <c r="AM596" s="2">
        <f>VLOOKUP($A596,'[2]App C Share Inflows'!$A$4:$I$917,6,FALSE)</f>
        <v>-11642</v>
      </c>
    </row>
    <row r="597" spans="1:39">
      <c r="A597" s="351">
        <v>96361</v>
      </c>
      <c r="B597" s="344" t="s">
        <v>1292</v>
      </c>
      <c r="C597" s="235" t="e">
        <f>VLOOKUP(A597,#REF!,10,FALSE)</f>
        <v>#REF!</v>
      </c>
      <c r="E597" s="2">
        <f>VLOOKUP($A597,'[2]App C Total'!$A$4:$I$917,5,FALSE)</f>
        <v>18130</v>
      </c>
      <c r="F597" s="2">
        <f>VLOOKUP($A597,'[2]App C Total'!$A$4:$I$917,6,FALSE)</f>
        <v>3560</v>
      </c>
      <c r="G597" s="2">
        <f>VLOOKUP($A597,'[2]App C Total'!$A$4:$I$917,7,FALSE)</f>
        <v>9029</v>
      </c>
      <c r="H597" s="2">
        <f>VLOOKUP($A597,'[2]App C Total'!$A$4:$I$917,8,FALSE)</f>
        <v>1997</v>
      </c>
      <c r="I597" s="2">
        <f>VLOOKUP($A597,'[2]App C Total'!$A$4:$I$917,9,FALSE)</f>
        <v>0</v>
      </c>
      <c r="J597" s="2"/>
      <c r="K597" s="2">
        <f>VLOOKUP($A597,'[2]App C Exp'!$A$4:$I$917,5,FALSE)</f>
        <v>6157</v>
      </c>
      <c r="L597" s="2">
        <f>VLOOKUP($A597,'[2]App C Exp'!$A$4:$I$917,6,FALSE)</f>
        <v>5792</v>
      </c>
      <c r="M597" s="2">
        <f>VLOOKUP($A597,'[2]App C Exp'!$A$4:$I$917,7,FALSE)</f>
        <v>5191</v>
      </c>
      <c r="N597" s="2">
        <f>VLOOKUP($A597,'[2]App C Exp'!$A$4:$I$917,8,FALSE)</f>
        <v>2078</v>
      </c>
      <c r="O597" s="2">
        <f>VLOOKUP($A597,'[2]App C Exp'!$A$4:$I$917,9,FALSE)</f>
        <v>0</v>
      </c>
      <c r="P597" s="2"/>
      <c r="Q597" s="2">
        <f>VLOOKUP($A597,'[2]App C Inv'!$A$4:$I$917,5,FALSE)</f>
        <v>6537</v>
      </c>
      <c r="R597" s="2">
        <f>VLOOKUP($A597,'[2]App C Inv'!$A$4:$I$917,6,FALSE)</f>
        <v>-5623</v>
      </c>
      <c r="S597" s="2">
        <f>VLOOKUP($A597,'[2]App C Inv'!$A$4:$I$917,7,FALSE)</f>
        <v>792</v>
      </c>
      <c r="T597" s="2">
        <f>VLOOKUP($A597,'[2]App C Inv'!$A$4:$I$917,8,FALSE)</f>
        <v>1031</v>
      </c>
      <c r="U597" s="2">
        <f>VLOOKUP($A597,'[2]App C Inv'!$A$4:$I$917,9,FALSE)</f>
        <v>0</v>
      </c>
      <c r="V597" s="2"/>
      <c r="W597" s="2">
        <f>VLOOKUP($A597,'[2]App C Assum'!$A$4:$I$917,5,FALSE)</f>
        <v>7364</v>
      </c>
      <c r="X597" s="2">
        <f>VLOOKUP($A597,'[2]App C Assum'!$A$4:$I$917,6,FALSE)</f>
        <v>6032</v>
      </c>
      <c r="Y597" s="2">
        <f>VLOOKUP($A597,'[2]App C Assum'!$A$4:$I$917,7,FALSE)</f>
        <v>4897</v>
      </c>
      <c r="Z597" s="2">
        <f>VLOOKUP($A597,'[2]App C Assum'!$A$4:$I$917,8,FALSE)</f>
        <v>0</v>
      </c>
      <c r="AA597" s="2">
        <f>VLOOKUP($A597,'[2]App C Assum'!$A$4:$I$917,9,FALSE)</f>
        <v>0</v>
      </c>
      <c r="AB597" s="2"/>
      <c r="AC597" s="2">
        <f>VLOOKUP($A597,'[2]App C Share Outflows'!$A$4:$I$917,5,FALSE)</f>
        <v>714</v>
      </c>
      <c r="AD597" s="2">
        <f>VLOOKUP($A597,'[2]App C Share Outflows'!$A$4:$I$917,6,FALSE)</f>
        <v>0</v>
      </c>
      <c r="AE597" s="2">
        <f>VLOOKUP($A597,'[2]App C Share Outflows'!$A$4:$I$917,7,FALSE)</f>
        <v>0</v>
      </c>
      <c r="AF597" s="2">
        <f>VLOOKUP($A597,'[2]App C Share Outflows'!$A$4:$I$917,8,FALSE)</f>
        <v>0</v>
      </c>
      <c r="AG597" s="2">
        <f>VLOOKUP($A597,'[2]App C Share Outflows'!$A$4:$I$917,9,FALSE)</f>
        <v>0</v>
      </c>
      <c r="AH597" s="2"/>
      <c r="AI597" s="2">
        <f>VLOOKUP($A597,'[2]App C Share Inflows'!$A$4:$I$917,5,FALSE)</f>
        <v>-2642</v>
      </c>
      <c r="AJ597" s="2">
        <f>VLOOKUP($A597,'[2]App C Share Inflows'!$A$4:$I$917,6,FALSE)</f>
        <v>-2641</v>
      </c>
      <c r="AK597" s="2">
        <f>VLOOKUP($A597,'[2]App C Share Inflows'!$A$4:$I$917,7,FALSE)</f>
        <v>-1851</v>
      </c>
      <c r="AL597" s="2">
        <f>VLOOKUP($A597,'[2]App C Share Inflows'!$A$4:$I$917,8,FALSE)</f>
        <v>-1112</v>
      </c>
      <c r="AM597" s="2">
        <f>VLOOKUP($A597,'[2]App C Share Inflows'!$A$4:$I$917,6,FALSE)</f>
        <v>-2641</v>
      </c>
    </row>
    <row r="598" spans="1:39">
      <c r="A598" s="351">
        <v>96371</v>
      </c>
      <c r="B598" s="344" t="s">
        <v>1293</v>
      </c>
      <c r="C598" s="235" t="e">
        <f>VLOOKUP(A598,#REF!,10,FALSE)</f>
        <v>#REF!</v>
      </c>
      <c r="E598" s="2">
        <f>VLOOKUP($A598,'[2]App C Total'!$A$4:$I$917,5,FALSE)</f>
        <v>70436</v>
      </c>
      <c r="F598" s="2">
        <f>VLOOKUP($A598,'[2]App C Total'!$A$4:$I$917,6,FALSE)</f>
        <v>20783</v>
      </c>
      <c r="G598" s="2">
        <f>VLOOKUP($A598,'[2]App C Total'!$A$4:$I$917,7,FALSE)</f>
        <v>40385</v>
      </c>
      <c r="H598" s="2">
        <f>VLOOKUP($A598,'[2]App C Total'!$A$4:$I$917,8,FALSE)</f>
        <v>13234</v>
      </c>
      <c r="I598" s="2">
        <f>VLOOKUP($A598,'[2]App C Total'!$A$4:$I$917,9,FALSE)</f>
        <v>0</v>
      </c>
      <c r="J598" s="2"/>
      <c r="K598" s="2">
        <f>VLOOKUP($A598,'[2]App C Exp'!$A$4:$I$917,5,FALSE)</f>
        <v>22621</v>
      </c>
      <c r="L598" s="2">
        <f>VLOOKUP($A598,'[2]App C Exp'!$A$4:$I$917,6,FALSE)</f>
        <v>21279</v>
      </c>
      <c r="M598" s="2">
        <f>VLOOKUP($A598,'[2]App C Exp'!$A$4:$I$917,7,FALSE)</f>
        <v>19072</v>
      </c>
      <c r="N598" s="2">
        <f>VLOOKUP($A598,'[2]App C Exp'!$A$4:$I$917,8,FALSE)</f>
        <v>7636</v>
      </c>
      <c r="O598" s="2">
        <f>VLOOKUP($A598,'[2]App C Exp'!$A$4:$I$917,9,FALSE)</f>
        <v>0</v>
      </c>
      <c r="P598" s="2"/>
      <c r="Q598" s="2">
        <f>VLOOKUP($A598,'[2]App C Inv'!$A$4:$I$917,5,FALSE)</f>
        <v>24015</v>
      </c>
      <c r="R598" s="2">
        <f>VLOOKUP($A598,'[2]App C Inv'!$A$4:$I$917,6,FALSE)</f>
        <v>-20658</v>
      </c>
      <c r="S598" s="2">
        <f>VLOOKUP($A598,'[2]App C Inv'!$A$4:$I$917,7,FALSE)</f>
        <v>2911</v>
      </c>
      <c r="T598" s="2">
        <f>VLOOKUP($A598,'[2]App C Inv'!$A$4:$I$917,8,FALSE)</f>
        <v>3789</v>
      </c>
      <c r="U598" s="2">
        <f>VLOOKUP($A598,'[2]App C Inv'!$A$4:$I$917,9,FALSE)</f>
        <v>0</v>
      </c>
      <c r="V598" s="2"/>
      <c r="W598" s="2">
        <f>VLOOKUP($A598,'[2]App C Assum'!$A$4:$I$917,5,FALSE)</f>
        <v>27053</v>
      </c>
      <c r="X598" s="2">
        <f>VLOOKUP($A598,'[2]App C Assum'!$A$4:$I$917,6,FALSE)</f>
        <v>22163</v>
      </c>
      <c r="Y598" s="2">
        <f>VLOOKUP($A598,'[2]App C Assum'!$A$4:$I$917,7,FALSE)</f>
        <v>17993</v>
      </c>
      <c r="Z598" s="2">
        <f>VLOOKUP($A598,'[2]App C Assum'!$A$4:$I$917,8,FALSE)</f>
        <v>0</v>
      </c>
      <c r="AA598" s="2">
        <f>VLOOKUP($A598,'[2]App C Assum'!$A$4:$I$917,9,FALSE)</f>
        <v>0</v>
      </c>
      <c r="AB598" s="2"/>
      <c r="AC598" s="2">
        <f>VLOOKUP($A598,'[2]App C Share Outflows'!$A$4:$I$917,5,FALSE)</f>
        <v>1811</v>
      </c>
      <c r="AD598" s="2">
        <f>VLOOKUP($A598,'[2]App C Share Outflows'!$A$4:$I$917,6,FALSE)</f>
        <v>1811</v>
      </c>
      <c r="AE598" s="2">
        <f>VLOOKUP($A598,'[2]App C Share Outflows'!$A$4:$I$917,7,FALSE)</f>
        <v>1811</v>
      </c>
      <c r="AF598" s="2">
        <f>VLOOKUP($A598,'[2]App C Share Outflows'!$A$4:$I$917,8,FALSE)</f>
        <v>1809</v>
      </c>
      <c r="AG598" s="2">
        <f>VLOOKUP($A598,'[2]App C Share Outflows'!$A$4:$I$917,9,FALSE)</f>
        <v>0</v>
      </c>
      <c r="AH598" s="2"/>
      <c r="AI598" s="2">
        <f>VLOOKUP($A598,'[2]App C Share Inflows'!$A$4:$I$917,5,FALSE)</f>
        <v>-5064</v>
      </c>
      <c r="AJ598" s="2">
        <f>VLOOKUP($A598,'[2]App C Share Inflows'!$A$4:$I$917,6,FALSE)</f>
        <v>-3812</v>
      </c>
      <c r="AK598" s="2">
        <f>VLOOKUP($A598,'[2]App C Share Inflows'!$A$4:$I$917,7,FALSE)</f>
        <v>-1402</v>
      </c>
      <c r="AL598" s="2">
        <f>VLOOKUP($A598,'[2]App C Share Inflows'!$A$4:$I$917,8,FALSE)</f>
        <v>0</v>
      </c>
      <c r="AM598" s="2">
        <f>VLOOKUP($A598,'[2]App C Share Inflows'!$A$4:$I$917,6,FALSE)</f>
        <v>-3812</v>
      </c>
    </row>
    <row r="599" spans="1:39">
      <c r="A599" s="351">
        <v>96381</v>
      </c>
      <c r="B599" s="344" t="s">
        <v>1294</v>
      </c>
      <c r="C599" s="235" t="e">
        <f>VLOOKUP(A599,#REF!,10,FALSE)</f>
        <v>#REF!</v>
      </c>
      <c r="E599" s="2">
        <f>VLOOKUP($A599,'[2]App C Total'!$A$4:$I$917,5,FALSE)</f>
        <v>15978</v>
      </c>
      <c r="F599" s="2">
        <f>VLOOKUP($A599,'[2]App C Total'!$A$4:$I$917,6,FALSE)</f>
        <v>4897</v>
      </c>
      <c r="G599" s="2">
        <f>VLOOKUP($A599,'[2]App C Total'!$A$4:$I$917,7,FALSE)</f>
        <v>8591</v>
      </c>
      <c r="H599" s="2">
        <f>VLOOKUP($A599,'[2]App C Total'!$A$4:$I$917,8,FALSE)</f>
        <v>2003</v>
      </c>
      <c r="I599" s="2">
        <f>VLOOKUP($A599,'[2]App C Total'!$A$4:$I$917,9,FALSE)</f>
        <v>0</v>
      </c>
      <c r="J599" s="2"/>
      <c r="K599" s="2">
        <f>VLOOKUP($A599,'[2]App C Exp'!$A$4:$I$917,5,FALSE)</f>
        <v>4914</v>
      </c>
      <c r="L599" s="2">
        <f>VLOOKUP($A599,'[2]App C Exp'!$A$4:$I$917,6,FALSE)</f>
        <v>4622</v>
      </c>
      <c r="M599" s="2">
        <f>VLOOKUP($A599,'[2]App C Exp'!$A$4:$I$917,7,FALSE)</f>
        <v>4143</v>
      </c>
      <c r="N599" s="2">
        <f>VLOOKUP($A599,'[2]App C Exp'!$A$4:$I$917,8,FALSE)</f>
        <v>1659</v>
      </c>
      <c r="O599" s="2">
        <f>VLOOKUP($A599,'[2]App C Exp'!$A$4:$I$917,9,FALSE)</f>
        <v>0</v>
      </c>
      <c r="P599" s="2"/>
      <c r="Q599" s="2">
        <f>VLOOKUP($A599,'[2]App C Inv'!$A$4:$I$917,5,FALSE)</f>
        <v>5217</v>
      </c>
      <c r="R599" s="2">
        <f>VLOOKUP($A599,'[2]App C Inv'!$A$4:$I$917,6,FALSE)</f>
        <v>-4487</v>
      </c>
      <c r="S599" s="2">
        <f>VLOOKUP($A599,'[2]App C Inv'!$A$4:$I$917,7,FALSE)</f>
        <v>632</v>
      </c>
      <c r="T599" s="2">
        <f>VLOOKUP($A599,'[2]App C Inv'!$A$4:$I$917,8,FALSE)</f>
        <v>823</v>
      </c>
      <c r="U599" s="2">
        <f>VLOOKUP($A599,'[2]App C Inv'!$A$4:$I$917,9,FALSE)</f>
        <v>0</v>
      </c>
      <c r="V599" s="2"/>
      <c r="W599" s="2">
        <f>VLOOKUP($A599,'[2]App C Assum'!$A$4:$I$917,5,FALSE)</f>
        <v>5877</v>
      </c>
      <c r="X599" s="2">
        <f>VLOOKUP($A599,'[2]App C Assum'!$A$4:$I$917,6,FALSE)</f>
        <v>4814</v>
      </c>
      <c r="Y599" s="2">
        <f>VLOOKUP($A599,'[2]App C Assum'!$A$4:$I$917,7,FALSE)</f>
        <v>3908</v>
      </c>
      <c r="Z599" s="2">
        <f>VLOOKUP($A599,'[2]App C Assum'!$A$4:$I$917,8,FALSE)</f>
        <v>0</v>
      </c>
      <c r="AA599" s="2">
        <f>VLOOKUP($A599,'[2]App C Assum'!$A$4:$I$917,9,FALSE)</f>
        <v>0</v>
      </c>
      <c r="AB599" s="2"/>
      <c r="AC599" s="2">
        <f>VLOOKUP($A599,'[2]App C Share Outflows'!$A$4:$I$917,5,FALSE)</f>
        <v>448</v>
      </c>
      <c r="AD599" s="2">
        <f>VLOOKUP($A599,'[2]App C Share Outflows'!$A$4:$I$917,6,FALSE)</f>
        <v>426</v>
      </c>
      <c r="AE599" s="2">
        <f>VLOOKUP($A599,'[2]App C Share Outflows'!$A$4:$I$917,7,FALSE)</f>
        <v>386</v>
      </c>
      <c r="AF599" s="2">
        <f>VLOOKUP($A599,'[2]App C Share Outflows'!$A$4:$I$917,8,FALSE)</f>
        <v>0</v>
      </c>
      <c r="AG599" s="2">
        <f>VLOOKUP($A599,'[2]App C Share Outflows'!$A$4:$I$917,9,FALSE)</f>
        <v>0</v>
      </c>
      <c r="AH599" s="2"/>
      <c r="AI599" s="2">
        <f>VLOOKUP($A599,'[2]App C Share Inflows'!$A$4:$I$917,5,FALSE)</f>
        <v>-478</v>
      </c>
      <c r="AJ599" s="2">
        <f>VLOOKUP($A599,'[2]App C Share Inflows'!$A$4:$I$917,6,FALSE)</f>
        <v>-478</v>
      </c>
      <c r="AK599" s="2">
        <f>VLOOKUP($A599,'[2]App C Share Inflows'!$A$4:$I$917,7,FALSE)</f>
        <v>-478</v>
      </c>
      <c r="AL599" s="2">
        <f>VLOOKUP($A599,'[2]App C Share Inflows'!$A$4:$I$917,8,FALSE)</f>
        <v>-479</v>
      </c>
      <c r="AM599" s="2">
        <f>VLOOKUP($A599,'[2]App C Share Inflows'!$A$4:$I$917,6,FALSE)</f>
        <v>-478</v>
      </c>
    </row>
    <row r="600" spans="1:39">
      <c r="A600" s="351">
        <v>96391</v>
      </c>
      <c r="B600" s="344" t="s">
        <v>1295</v>
      </c>
      <c r="C600" s="235" t="e">
        <f>VLOOKUP(A600,#REF!,10,FALSE)</f>
        <v>#REF!</v>
      </c>
      <c r="E600" s="2">
        <f>VLOOKUP($A600,'[2]App C Total'!$A$4:$I$917,5,FALSE)</f>
        <v>88900</v>
      </c>
      <c r="F600" s="2">
        <f>VLOOKUP($A600,'[2]App C Total'!$A$4:$I$917,6,FALSE)</f>
        <v>22714</v>
      </c>
      <c r="G600" s="2">
        <f>VLOOKUP($A600,'[2]App C Total'!$A$4:$I$917,7,FALSE)</f>
        <v>46127</v>
      </c>
      <c r="H600" s="2">
        <f>VLOOKUP($A600,'[2]App C Total'!$A$4:$I$917,8,FALSE)</f>
        <v>9824</v>
      </c>
      <c r="I600" s="2">
        <f>VLOOKUP($A600,'[2]App C Total'!$A$4:$I$917,9,FALSE)</f>
        <v>0</v>
      </c>
      <c r="J600" s="2"/>
      <c r="K600" s="2">
        <f>VLOOKUP($A600,'[2]App C Exp'!$A$4:$I$917,5,FALSE)</f>
        <v>30800</v>
      </c>
      <c r="L600" s="2">
        <f>VLOOKUP($A600,'[2]App C Exp'!$A$4:$I$917,6,FALSE)</f>
        <v>28973</v>
      </c>
      <c r="M600" s="2">
        <f>VLOOKUP($A600,'[2]App C Exp'!$A$4:$I$917,7,FALSE)</f>
        <v>25968</v>
      </c>
      <c r="N600" s="2">
        <f>VLOOKUP($A600,'[2]App C Exp'!$A$4:$I$917,8,FALSE)</f>
        <v>10397</v>
      </c>
      <c r="O600" s="2">
        <f>VLOOKUP($A600,'[2]App C Exp'!$A$4:$I$917,9,FALSE)</f>
        <v>0</v>
      </c>
      <c r="P600" s="2"/>
      <c r="Q600" s="2">
        <f>VLOOKUP($A600,'[2]App C Inv'!$A$4:$I$917,5,FALSE)</f>
        <v>32699</v>
      </c>
      <c r="R600" s="2">
        <f>VLOOKUP($A600,'[2]App C Inv'!$A$4:$I$917,6,FALSE)</f>
        <v>-28127</v>
      </c>
      <c r="S600" s="2">
        <f>VLOOKUP($A600,'[2]App C Inv'!$A$4:$I$917,7,FALSE)</f>
        <v>3964</v>
      </c>
      <c r="T600" s="2">
        <f>VLOOKUP($A600,'[2]App C Inv'!$A$4:$I$917,8,FALSE)</f>
        <v>5159</v>
      </c>
      <c r="U600" s="2">
        <f>VLOOKUP($A600,'[2]App C Inv'!$A$4:$I$917,9,FALSE)</f>
        <v>0</v>
      </c>
      <c r="V600" s="2"/>
      <c r="W600" s="2">
        <f>VLOOKUP($A600,'[2]App C Assum'!$A$4:$I$917,5,FALSE)</f>
        <v>36836</v>
      </c>
      <c r="X600" s="2">
        <f>VLOOKUP($A600,'[2]App C Assum'!$A$4:$I$917,6,FALSE)</f>
        <v>30177</v>
      </c>
      <c r="Y600" s="2">
        <f>VLOOKUP($A600,'[2]App C Assum'!$A$4:$I$917,7,FALSE)</f>
        <v>24499</v>
      </c>
      <c r="Z600" s="2">
        <f>VLOOKUP($A600,'[2]App C Assum'!$A$4:$I$917,8,FALSE)</f>
        <v>0</v>
      </c>
      <c r="AA600" s="2">
        <f>VLOOKUP($A600,'[2]App C Assum'!$A$4:$I$917,9,FALSE)</f>
        <v>0</v>
      </c>
      <c r="AB600" s="2"/>
      <c r="AC600" s="2">
        <f>VLOOKUP($A600,'[2]App C Share Outflows'!$A$4:$I$917,5,FALSE)</f>
        <v>0</v>
      </c>
      <c r="AD600" s="2">
        <f>VLOOKUP($A600,'[2]App C Share Outflows'!$A$4:$I$917,6,FALSE)</f>
        <v>0</v>
      </c>
      <c r="AE600" s="2">
        <f>VLOOKUP($A600,'[2]App C Share Outflows'!$A$4:$I$917,7,FALSE)</f>
        <v>0</v>
      </c>
      <c r="AF600" s="2">
        <f>VLOOKUP($A600,'[2]App C Share Outflows'!$A$4:$I$917,8,FALSE)</f>
        <v>0</v>
      </c>
      <c r="AG600" s="2">
        <f>VLOOKUP($A600,'[2]App C Share Outflows'!$A$4:$I$917,9,FALSE)</f>
        <v>0</v>
      </c>
      <c r="AH600" s="2"/>
      <c r="AI600" s="2">
        <f>VLOOKUP($A600,'[2]App C Share Inflows'!$A$4:$I$917,5,FALSE)</f>
        <v>-11435</v>
      </c>
      <c r="AJ600" s="2">
        <f>VLOOKUP($A600,'[2]App C Share Inflows'!$A$4:$I$917,6,FALSE)</f>
        <v>-8309</v>
      </c>
      <c r="AK600" s="2">
        <f>VLOOKUP($A600,'[2]App C Share Inflows'!$A$4:$I$917,7,FALSE)</f>
        <v>-8304</v>
      </c>
      <c r="AL600" s="2">
        <f>VLOOKUP($A600,'[2]App C Share Inflows'!$A$4:$I$917,8,FALSE)</f>
        <v>-5732</v>
      </c>
      <c r="AM600" s="2">
        <f>VLOOKUP($A600,'[2]App C Share Inflows'!$A$4:$I$917,6,FALSE)</f>
        <v>-8309</v>
      </c>
    </row>
    <row r="601" spans="1:39">
      <c r="A601" s="351">
        <v>96401</v>
      </c>
      <c r="B601" s="344" t="s">
        <v>1296</v>
      </c>
      <c r="C601" s="235" t="e">
        <f>VLOOKUP(A601,#REF!,10,FALSE)</f>
        <v>#REF!</v>
      </c>
      <c r="E601" s="2">
        <f>VLOOKUP($A601,'[2]App C Total'!$A$4:$I$917,5,FALSE)</f>
        <v>2087137</v>
      </c>
      <c r="F601" s="2">
        <f>VLOOKUP($A601,'[2]App C Total'!$A$4:$I$917,6,FALSE)</f>
        <v>608895</v>
      </c>
      <c r="G601" s="2">
        <f>VLOOKUP($A601,'[2]App C Total'!$A$4:$I$917,7,FALSE)</f>
        <v>1124490</v>
      </c>
      <c r="H601" s="2">
        <f>VLOOKUP($A601,'[2]App C Total'!$A$4:$I$917,8,FALSE)</f>
        <v>319497</v>
      </c>
      <c r="I601" s="2">
        <f>VLOOKUP($A601,'[2]App C Total'!$A$4:$I$917,9,FALSE)</f>
        <v>0</v>
      </c>
      <c r="J601" s="2"/>
      <c r="K601" s="2">
        <f>VLOOKUP($A601,'[2]App C Exp'!$A$4:$I$917,5,FALSE)</f>
        <v>658492</v>
      </c>
      <c r="L601" s="2">
        <f>VLOOKUP($A601,'[2]App C Exp'!$A$4:$I$917,6,FALSE)</f>
        <v>619428</v>
      </c>
      <c r="M601" s="2">
        <f>VLOOKUP($A601,'[2]App C Exp'!$A$4:$I$917,7,FALSE)</f>
        <v>555186</v>
      </c>
      <c r="N601" s="2">
        <f>VLOOKUP($A601,'[2]App C Exp'!$A$4:$I$917,8,FALSE)</f>
        <v>222290</v>
      </c>
      <c r="O601" s="2">
        <f>VLOOKUP($A601,'[2]App C Exp'!$A$4:$I$917,9,FALSE)</f>
        <v>0</v>
      </c>
      <c r="P601" s="2"/>
      <c r="Q601" s="2">
        <f>VLOOKUP($A601,'[2]App C Inv'!$A$4:$I$917,5,FALSE)</f>
        <v>699081</v>
      </c>
      <c r="R601" s="2">
        <f>VLOOKUP($A601,'[2]App C Inv'!$A$4:$I$917,6,FALSE)</f>
        <v>-601340</v>
      </c>
      <c r="S601" s="2">
        <f>VLOOKUP($A601,'[2]App C Inv'!$A$4:$I$917,7,FALSE)</f>
        <v>84752</v>
      </c>
      <c r="T601" s="2">
        <f>VLOOKUP($A601,'[2]App C Inv'!$A$4:$I$917,8,FALSE)</f>
        <v>110303</v>
      </c>
      <c r="U601" s="2">
        <f>VLOOKUP($A601,'[2]App C Inv'!$A$4:$I$917,9,FALSE)</f>
        <v>0</v>
      </c>
      <c r="V601" s="2"/>
      <c r="W601" s="2">
        <f>VLOOKUP($A601,'[2]App C Assum'!$A$4:$I$917,5,FALSE)</f>
        <v>787524</v>
      </c>
      <c r="X601" s="2">
        <f>VLOOKUP($A601,'[2]App C Assum'!$A$4:$I$917,6,FALSE)</f>
        <v>645169</v>
      </c>
      <c r="Y601" s="2">
        <f>VLOOKUP($A601,'[2]App C Assum'!$A$4:$I$917,7,FALSE)</f>
        <v>523767</v>
      </c>
      <c r="Z601" s="2">
        <f>VLOOKUP($A601,'[2]App C Assum'!$A$4:$I$917,8,FALSE)</f>
        <v>0</v>
      </c>
      <c r="AA601" s="2">
        <f>VLOOKUP($A601,'[2]App C Assum'!$A$4:$I$917,9,FALSE)</f>
        <v>0</v>
      </c>
      <c r="AB601" s="2"/>
      <c r="AC601" s="2">
        <f>VLOOKUP($A601,'[2]App C Share Outflows'!$A$4:$I$917,5,FALSE)</f>
        <v>0</v>
      </c>
      <c r="AD601" s="2">
        <f>VLOOKUP($A601,'[2]App C Share Outflows'!$A$4:$I$917,6,FALSE)</f>
        <v>0</v>
      </c>
      <c r="AE601" s="2">
        <f>VLOOKUP($A601,'[2]App C Share Outflows'!$A$4:$I$917,7,FALSE)</f>
        <v>0</v>
      </c>
      <c r="AF601" s="2">
        <f>VLOOKUP($A601,'[2]App C Share Outflows'!$A$4:$I$917,8,FALSE)</f>
        <v>0</v>
      </c>
      <c r="AG601" s="2">
        <f>VLOOKUP($A601,'[2]App C Share Outflows'!$A$4:$I$917,9,FALSE)</f>
        <v>0</v>
      </c>
      <c r="AH601" s="2"/>
      <c r="AI601" s="2">
        <f>VLOOKUP($A601,'[2]App C Share Inflows'!$A$4:$I$917,5,FALSE)</f>
        <v>-57960</v>
      </c>
      <c r="AJ601" s="2">
        <f>VLOOKUP($A601,'[2]App C Share Inflows'!$A$4:$I$917,6,FALSE)</f>
        <v>-54362</v>
      </c>
      <c r="AK601" s="2">
        <f>VLOOKUP($A601,'[2]App C Share Inflows'!$A$4:$I$917,7,FALSE)</f>
        <v>-39215</v>
      </c>
      <c r="AL601" s="2">
        <f>VLOOKUP($A601,'[2]App C Share Inflows'!$A$4:$I$917,8,FALSE)</f>
        <v>-13096</v>
      </c>
      <c r="AM601" s="2">
        <f>VLOOKUP($A601,'[2]App C Share Inflows'!$A$4:$I$917,6,FALSE)</f>
        <v>-54362</v>
      </c>
    </row>
    <row r="602" spans="1:39">
      <c r="A602" s="351">
        <v>96404</v>
      </c>
      <c r="B602" s="344" t="s">
        <v>1297</v>
      </c>
      <c r="C602" s="235" t="e">
        <f>VLOOKUP(A602,#REF!,10,FALSE)</f>
        <v>#REF!</v>
      </c>
      <c r="E602" s="2">
        <f>VLOOKUP($A602,'[2]App C Total'!$A$4:$I$917,5,FALSE)</f>
        <v>58561</v>
      </c>
      <c r="F602" s="2">
        <f>VLOOKUP($A602,'[2]App C Total'!$A$4:$I$917,6,FALSE)</f>
        <v>22720</v>
      </c>
      <c r="G602" s="2">
        <f>VLOOKUP($A602,'[2]App C Total'!$A$4:$I$917,7,FALSE)</f>
        <v>31125</v>
      </c>
      <c r="H602" s="2">
        <f>VLOOKUP($A602,'[2]App C Total'!$A$4:$I$917,8,FALSE)</f>
        <v>10236</v>
      </c>
      <c r="I602" s="2">
        <f>VLOOKUP($A602,'[2]App C Total'!$A$4:$I$917,9,FALSE)</f>
        <v>0</v>
      </c>
      <c r="J602" s="2"/>
      <c r="K602" s="2">
        <f>VLOOKUP($A602,'[2]App C Exp'!$A$4:$I$917,5,FALSE)</f>
        <v>14726</v>
      </c>
      <c r="L602" s="2">
        <f>VLOOKUP($A602,'[2]App C Exp'!$A$4:$I$917,6,FALSE)</f>
        <v>13852</v>
      </c>
      <c r="M602" s="2">
        <f>VLOOKUP($A602,'[2]App C Exp'!$A$4:$I$917,7,FALSE)</f>
        <v>12416</v>
      </c>
      <c r="N602" s="2">
        <f>VLOOKUP($A602,'[2]App C Exp'!$A$4:$I$917,8,FALSE)</f>
        <v>4971</v>
      </c>
      <c r="O602" s="2">
        <f>VLOOKUP($A602,'[2]App C Exp'!$A$4:$I$917,9,FALSE)</f>
        <v>0</v>
      </c>
      <c r="P602" s="2"/>
      <c r="Q602" s="2">
        <f>VLOOKUP($A602,'[2]App C Inv'!$A$4:$I$917,5,FALSE)</f>
        <v>15634</v>
      </c>
      <c r="R602" s="2">
        <f>VLOOKUP($A602,'[2]App C Inv'!$A$4:$I$917,6,FALSE)</f>
        <v>-13448</v>
      </c>
      <c r="S602" s="2">
        <f>VLOOKUP($A602,'[2]App C Inv'!$A$4:$I$917,7,FALSE)</f>
        <v>1895</v>
      </c>
      <c r="T602" s="2">
        <f>VLOOKUP($A602,'[2]App C Inv'!$A$4:$I$917,8,FALSE)</f>
        <v>2467</v>
      </c>
      <c r="U602" s="2">
        <f>VLOOKUP($A602,'[2]App C Inv'!$A$4:$I$917,9,FALSE)</f>
        <v>0</v>
      </c>
      <c r="V602" s="2"/>
      <c r="W602" s="2">
        <f>VLOOKUP($A602,'[2]App C Assum'!$A$4:$I$917,5,FALSE)</f>
        <v>17612</v>
      </c>
      <c r="X602" s="2">
        <f>VLOOKUP($A602,'[2]App C Assum'!$A$4:$I$917,6,FALSE)</f>
        <v>14428</v>
      </c>
      <c r="Y602" s="2">
        <f>VLOOKUP($A602,'[2]App C Assum'!$A$4:$I$917,7,FALSE)</f>
        <v>11713</v>
      </c>
      <c r="Z602" s="2">
        <f>VLOOKUP($A602,'[2]App C Assum'!$A$4:$I$917,8,FALSE)</f>
        <v>0</v>
      </c>
      <c r="AA602" s="2">
        <f>VLOOKUP($A602,'[2]App C Assum'!$A$4:$I$917,9,FALSE)</f>
        <v>0</v>
      </c>
      <c r="AB602" s="2"/>
      <c r="AC602" s="2">
        <f>VLOOKUP($A602,'[2]App C Share Outflows'!$A$4:$I$917,5,FALSE)</f>
        <v>10589</v>
      </c>
      <c r="AD602" s="2">
        <f>VLOOKUP($A602,'[2]App C Share Outflows'!$A$4:$I$917,6,FALSE)</f>
        <v>7888</v>
      </c>
      <c r="AE602" s="2">
        <f>VLOOKUP($A602,'[2]App C Share Outflows'!$A$4:$I$917,7,FALSE)</f>
        <v>5101</v>
      </c>
      <c r="AF602" s="2">
        <f>VLOOKUP($A602,'[2]App C Share Outflows'!$A$4:$I$917,8,FALSE)</f>
        <v>2798</v>
      </c>
      <c r="AG602" s="2">
        <f>VLOOKUP($A602,'[2]App C Share Outflows'!$A$4:$I$917,9,FALSE)</f>
        <v>0</v>
      </c>
      <c r="AH602" s="2"/>
      <c r="AI602" s="2">
        <f>VLOOKUP($A602,'[2]App C Share Inflows'!$A$4:$I$917,5,FALSE)</f>
        <v>0</v>
      </c>
      <c r="AJ602" s="2">
        <f>VLOOKUP($A602,'[2]App C Share Inflows'!$A$4:$I$917,6,FALSE)</f>
        <v>0</v>
      </c>
      <c r="AK602" s="2">
        <f>VLOOKUP($A602,'[2]App C Share Inflows'!$A$4:$I$917,7,FALSE)</f>
        <v>0</v>
      </c>
      <c r="AL602" s="2">
        <f>VLOOKUP($A602,'[2]App C Share Inflows'!$A$4:$I$917,8,FALSE)</f>
        <v>0</v>
      </c>
      <c r="AM602" s="2">
        <f>VLOOKUP($A602,'[2]App C Share Inflows'!$A$4:$I$917,6,FALSE)</f>
        <v>0</v>
      </c>
    </row>
    <row r="603" spans="1:39">
      <c r="A603" s="351">
        <v>96405</v>
      </c>
      <c r="B603" s="344" t="s">
        <v>1298</v>
      </c>
      <c r="C603" s="235" t="e">
        <f>VLOOKUP(A603,#REF!,10,FALSE)</f>
        <v>#REF!</v>
      </c>
      <c r="E603" s="2">
        <f>VLOOKUP($A603,'[2]App C Total'!$A$4:$I$917,5,FALSE)</f>
        <v>76913</v>
      </c>
      <c r="F603" s="2">
        <f>VLOOKUP($A603,'[2]App C Total'!$A$4:$I$917,6,FALSE)</f>
        <v>27942</v>
      </c>
      <c r="G603" s="2">
        <f>VLOOKUP($A603,'[2]App C Total'!$A$4:$I$917,7,FALSE)</f>
        <v>44742</v>
      </c>
      <c r="H603" s="2">
        <f>VLOOKUP($A603,'[2]App C Total'!$A$4:$I$917,8,FALSE)</f>
        <v>17350</v>
      </c>
      <c r="I603" s="2">
        <f>VLOOKUP($A603,'[2]App C Total'!$A$4:$I$917,9,FALSE)</f>
        <v>0</v>
      </c>
      <c r="J603" s="2"/>
      <c r="K603" s="2">
        <f>VLOOKUP($A603,'[2]App C Exp'!$A$4:$I$917,5,FALSE)</f>
        <v>21827</v>
      </c>
      <c r="L603" s="2">
        <f>VLOOKUP($A603,'[2]App C Exp'!$A$4:$I$917,6,FALSE)</f>
        <v>20532</v>
      </c>
      <c r="M603" s="2">
        <f>VLOOKUP($A603,'[2]App C Exp'!$A$4:$I$917,7,FALSE)</f>
        <v>18403</v>
      </c>
      <c r="N603" s="2">
        <f>VLOOKUP($A603,'[2]App C Exp'!$A$4:$I$917,8,FALSE)</f>
        <v>7368</v>
      </c>
      <c r="O603" s="2">
        <f>VLOOKUP($A603,'[2]App C Exp'!$A$4:$I$917,9,FALSE)</f>
        <v>0</v>
      </c>
      <c r="P603" s="2"/>
      <c r="Q603" s="2">
        <f>VLOOKUP($A603,'[2]App C Inv'!$A$4:$I$917,5,FALSE)</f>
        <v>23172</v>
      </c>
      <c r="R603" s="2">
        <f>VLOOKUP($A603,'[2]App C Inv'!$A$4:$I$917,6,FALSE)</f>
        <v>-19932</v>
      </c>
      <c r="S603" s="2">
        <f>VLOOKUP($A603,'[2]App C Inv'!$A$4:$I$917,7,FALSE)</f>
        <v>2809</v>
      </c>
      <c r="T603" s="2">
        <f>VLOOKUP($A603,'[2]App C Inv'!$A$4:$I$917,8,FALSE)</f>
        <v>3656</v>
      </c>
      <c r="U603" s="2">
        <f>VLOOKUP($A603,'[2]App C Inv'!$A$4:$I$917,9,FALSE)</f>
        <v>0</v>
      </c>
      <c r="V603" s="2"/>
      <c r="W603" s="2">
        <f>VLOOKUP($A603,'[2]App C Assum'!$A$4:$I$917,5,FALSE)</f>
        <v>26104</v>
      </c>
      <c r="X603" s="2">
        <f>VLOOKUP($A603,'[2]App C Assum'!$A$4:$I$917,6,FALSE)</f>
        <v>21385</v>
      </c>
      <c r="Y603" s="2">
        <f>VLOOKUP($A603,'[2]App C Assum'!$A$4:$I$917,7,FALSE)</f>
        <v>17361</v>
      </c>
      <c r="Z603" s="2">
        <f>VLOOKUP($A603,'[2]App C Assum'!$A$4:$I$917,8,FALSE)</f>
        <v>0</v>
      </c>
      <c r="AA603" s="2">
        <f>VLOOKUP($A603,'[2]App C Assum'!$A$4:$I$917,9,FALSE)</f>
        <v>0</v>
      </c>
      <c r="AB603" s="2"/>
      <c r="AC603" s="2">
        <f>VLOOKUP($A603,'[2]App C Share Outflows'!$A$4:$I$917,5,FALSE)</f>
        <v>6325</v>
      </c>
      <c r="AD603" s="2">
        <f>VLOOKUP($A603,'[2]App C Share Outflows'!$A$4:$I$917,6,FALSE)</f>
        <v>6325</v>
      </c>
      <c r="AE603" s="2">
        <f>VLOOKUP($A603,'[2]App C Share Outflows'!$A$4:$I$917,7,FALSE)</f>
        <v>6325</v>
      </c>
      <c r="AF603" s="2">
        <f>VLOOKUP($A603,'[2]App C Share Outflows'!$A$4:$I$917,8,FALSE)</f>
        <v>6326</v>
      </c>
      <c r="AG603" s="2">
        <f>VLOOKUP($A603,'[2]App C Share Outflows'!$A$4:$I$917,9,FALSE)</f>
        <v>0</v>
      </c>
      <c r="AH603" s="2"/>
      <c r="AI603" s="2">
        <f>VLOOKUP($A603,'[2]App C Share Inflows'!$A$4:$I$917,5,FALSE)</f>
        <v>-515</v>
      </c>
      <c r="AJ603" s="2">
        <f>VLOOKUP($A603,'[2]App C Share Inflows'!$A$4:$I$917,6,FALSE)</f>
        <v>-368</v>
      </c>
      <c r="AK603" s="2">
        <f>VLOOKUP($A603,'[2]App C Share Inflows'!$A$4:$I$917,7,FALSE)</f>
        <v>-156</v>
      </c>
      <c r="AL603" s="2">
        <f>VLOOKUP($A603,'[2]App C Share Inflows'!$A$4:$I$917,8,FALSE)</f>
        <v>0</v>
      </c>
      <c r="AM603" s="2">
        <f>VLOOKUP($A603,'[2]App C Share Inflows'!$A$4:$I$917,6,FALSE)</f>
        <v>-368</v>
      </c>
    </row>
    <row r="604" spans="1:39">
      <c r="A604" s="351">
        <v>96411</v>
      </c>
      <c r="B604" s="344" t="s">
        <v>1299</v>
      </c>
      <c r="C604" s="235" t="e">
        <f>VLOOKUP(A604,#REF!,10,FALSE)</f>
        <v>#REF!</v>
      </c>
      <c r="E604" s="2">
        <f>VLOOKUP($A604,'[2]App C Total'!$A$4:$I$917,5,FALSE)</f>
        <v>33757</v>
      </c>
      <c r="F604" s="2">
        <f>VLOOKUP($A604,'[2]App C Total'!$A$4:$I$917,6,FALSE)</f>
        <v>10730</v>
      </c>
      <c r="G604" s="2">
        <f>VLOOKUP($A604,'[2]App C Total'!$A$4:$I$917,7,FALSE)</f>
        <v>17050</v>
      </c>
      <c r="H604" s="2">
        <f>VLOOKUP($A604,'[2]App C Total'!$A$4:$I$917,8,FALSE)</f>
        <v>4601</v>
      </c>
      <c r="I604" s="2">
        <f>VLOOKUP($A604,'[2]App C Total'!$A$4:$I$917,9,FALSE)</f>
        <v>0</v>
      </c>
      <c r="J604" s="2"/>
      <c r="K604" s="2">
        <f>VLOOKUP($A604,'[2]App C Exp'!$A$4:$I$917,5,FALSE)</f>
        <v>10621</v>
      </c>
      <c r="L604" s="2">
        <f>VLOOKUP($A604,'[2]App C Exp'!$A$4:$I$917,6,FALSE)</f>
        <v>9991</v>
      </c>
      <c r="M604" s="2">
        <f>VLOOKUP($A604,'[2]App C Exp'!$A$4:$I$917,7,FALSE)</f>
        <v>8955</v>
      </c>
      <c r="N604" s="2">
        <f>VLOOKUP($A604,'[2]App C Exp'!$A$4:$I$917,8,FALSE)</f>
        <v>3585</v>
      </c>
      <c r="O604" s="2">
        <f>VLOOKUP($A604,'[2]App C Exp'!$A$4:$I$917,9,FALSE)</f>
        <v>0</v>
      </c>
      <c r="P604" s="2"/>
      <c r="Q604" s="2">
        <f>VLOOKUP($A604,'[2]App C Inv'!$A$4:$I$917,5,FALSE)</f>
        <v>11276</v>
      </c>
      <c r="R604" s="2">
        <f>VLOOKUP($A604,'[2]App C Inv'!$A$4:$I$917,6,FALSE)</f>
        <v>-9699</v>
      </c>
      <c r="S604" s="2">
        <f>VLOOKUP($A604,'[2]App C Inv'!$A$4:$I$917,7,FALSE)</f>
        <v>1367</v>
      </c>
      <c r="T604" s="2">
        <f>VLOOKUP($A604,'[2]App C Inv'!$A$4:$I$917,8,FALSE)</f>
        <v>1779</v>
      </c>
      <c r="U604" s="2">
        <f>VLOOKUP($A604,'[2]App C Inv'!$A$4:$I$917,9,FALSE)</f>
        <v>0</v>
      </c>
      <c r="V604" s="2"/>
      <c r="W604" s="2">
        <f>VLOOKUP($A604,'[2]App C Assum'!$A$4:$I$917,5,FALSE)</f>
        <v>12703</v>
      </c>
      <c r="X604" s="2">
        <f>VLOOKUP($A604,'[2]App C Assum'!$A$4:$I$917,6,FALSE)</f>
        <v>10406</v>
      </c>
      <c r="Y604" s="2">
        <f>VLOOKUP($A604,'[2]App C Assum'!$A$4:$I$917,7,FALSE)</f>
        <v>8448</v>
      </c>
      <c r="Z604" s="2">
        <f>VLOOKUP($A604,'[2]App C Assum'!$A$4:$I$917,8,FALSE)</f>
        <v>0</v>
      </c>
      <c r="AA604" s="2">
        <f>VLOOKUP($A604,'[2]App C Assum'!$A$4:$I$917,9,FALSE)</f>
        <v>0</v>
      </c>
      <c r="AB604" s="2"/>
      <c r="AC604" s="2">
        <f>VLOOKUP($A604,'[2]App C Share Outflows'!$A$4:$I$917,5,FALSE)</f>
        <v>1750</v>
      </c>
      <c r="AD604" s="2">
        <f>VLOOKUP($A604,'[2]App C Share Outflows'!$A$4:$I$917,6,FALSE)</f>
        <v>1750</v>
      </c>
      <c r="AE604" s="2">
        <f>VLOOKUP($A604,'[2]App C Share Outflows'!$A$4:$I$917,7,FALSE)</f>
        <v>0</v>
      </c>
      <c r="AF604" s="2">
        <f>VLOOKUP($A604,'[2]App C Share Outflows'!$A$4:$I$917,8,FALSE)</f>
        <v>0</v>
      </c>
      <c r="AG604" s="2">
        <f>VLOOKUP($A604,'[2]App C Share Outflows'!$A$4:$I$917,9,FALSE)</f>
        <v>0</v>
      </c>
      <c r="AH604" s="2"/>
      <c r="AI604" s="2">
        <f>VLOOKUP($A604,'[2]App C Share Inflows'!$A$4:$I$917,5,FALSE)</f>
        <v>-2593</v>
      </c>
      <c r="AJ604" s="2">
        <f>VLOOKUP($A604,'[2]App C Share Inflows'!$A$4:$I$917,6,FALSE)</f>
        <v>-1718</v>
      </c>
      <c r="AK604" s="2">
        <f>VLOOKUP($A604,'[2]App C Share Inflows'!$A$4:$I$917,7,FALSE)</f>
        <v>-1720</v>
      </c>
      <c r="AL604" s="2">
        <f>VLOOKUP($A604,'[2]App C Share Inflows'!$A$4:$I$917,8,FALSE)</f>
        <v>-763</v>
      </c>
      <c r="AM604" s="2">
        <f>VLOOKUP($A604,'[2]App C Share Inflows'!$A$4:$I$917,6,FALSE)</f>
        <v>-1718</v>
      </c>
    </row>
    <row r="605" spans="1:39">
      <c r="A605" s="351">
        <v>96421</v>
      </c>
      <c r="B605" s="344" t="s">
        <v>1300</v>
      </c>
      <c r="C605" s="235" t="e">
        <f>VLOOKUP(A605,#REF!,10,FALSE)</f>
        <v>#REF!</v>
      </c>
      <c r="E605" s="2">
        <f>VLOOKUP($A605,'[2]App C Total'!$A$4:$I$917,5,FALSE)</f>
        <v>152832</v>
      </c>
      <c r="F605" s="2">
        <f>VLOOKUP($A605,'[2]App C Total'!$A$4:$I$917,6,FALSE)</f>
        <v>33232</v>
      </c>
      <c r="G605" s="2">
        <f>VLOOKUP($A605,'[2]App C Total'!$A$4:$I$917,7,FALSE)</f>
        <v>82028</v>
      </c>
      <c r="H605" s="2">
        <f>VLOOKUP($A605,'[2]App C Total'!$A$4:$I$917,8,FALSE)</f>
        <v>14405</v>
      </c>
      <c r="I605" s="2">
        <f>VLOOKUP($A605,'[2]App C Total'!$A$4:$I$917,9,FALSE)</f>
        <v>0</v>
      </c>
      <c r="J605" s="2"/>
      <c r="K605" s="2">
        <f>VLOOKUP($A605,'[2]App C Exp'!$A$4:$I$917,5,FALSE)</f>
        <v>56942</v>
      </c>
      <c r="L605" s="2">
        <f>VLOOKUP($A605,'[2]App C Exp'!$A$4:$I$917,6,FALSE)</f>
        <v>53564</v>
      </c>
      <c r="M605" s="2">
        <f>VLOOKUP($A605,'[2]App C Exp'!$A$4:$I$917,7,FALSE)</f>
        <v>48009</v>
      </c>
      <c r="N605" s="2">
        <f>VLOOKUP($A605,'[2]App C Exp'!$A$4:$I$917,8,FALSE)</f>
        <v>19222</v>
      </c>
      <c r="O605" s="2">
        <f>VLOOKUP($A605,'[2]App C Exp'!$A$4:$I$917,9,FALSE)</f>
        <v>0</v>
      </c>
      <c r="P605" s="2"/>
      <c r="Q605" s="2">
        <f>VLOOKUP($A605,'[2]App C Inv'!$A$4:$I$917,5,FALSE)</f>
        <v>60451</v>
      </c>
      <c r="R605" s="2">
        <f>VLOOKUP($A605,'[2]App C Inv'!$A$4:$I$917,6,FALSE)</f>
        <v>-52000</v>
      </c>
      <c r="S605" s="2">
        <f>VLOOKUP($A605,'[2]App C Inv'!$A$4:$I$917,7,FALSE)</f>
        <v>7329</v>
      </c>
      <c r="T605" s="2">
        <f>VLOOKUP($A605,'[2]App C Inv'!$A$4:$I$917,8,FALSE)</f>
        <v>9538</v>
      </c>
      <c r="U605" s="2">
        <f>VLOOKUP($A605,'[2]App C Inv'!$A$4:$I$917,9,FALSE)</f>
        <v>0</v>
      </c>
      <c r="V605" s="2"/>
      <c r="W605" s="2">
        <f>VLOOKUP($A605,'[2]App C Assum'!$A$4:$I$917,5,FALSE)</f>
        <v>68099</v>
      </c>
      <c r="X605" s="2">
        <f>VLOOKUP($A605,'[2]App C Assum'!$A$4:$I$917,6,FALSE)</f>
        <v>55790</v>
      </c>
      <c r="Y605" s="2">
        <f>VLOOKUP($A605,'[2]App C Assum'!$A$4:$I$917,7,FALSE)</f>
        <v>45292</v>
      </c>
      <c r="Z605" s="2">
        <f>VLOOKUP($A605,'[2]App C Assum'!$A$4:$I$917,8,FALSE)</f>
        <v>0</v>
      </c>
      <c r="AA605" s="2">
        <f>VLOOKUP($A605,'[2]App C Assum'!$A$4:$I$917,9,FALSE)</f>
        <v>0</v>
      </c>
      <c r="AB605" s="2"/>
      <c r="AC605" s="2">
        <f>VLOOKUP($A605,'[2]App C Share Outflows'!$A$4:$I$917,5,FALSE)</f>
        <v>0</v>
      </c>
      <c r="AD605" s="2">
        <f>VLOOKUP($A605,'[2]App C Share Outflows'!$A$4:$I$917,6,FALSE)</f>
        <v>0</v>
      </c>
      <c r="AE605" s="2">
        <f>VLOOKUP($A605,'[2]App C Share Outflows'!$A$4:$I$917,7,FALSE)</f>
        <v>0</v>
      </c>
      <c r="AF605" s="2">
        <f>VLOOKUP($A605,'[2]App C Share Outflows'!$A$4:$I$917,8,FALSE)</f>
        <v>0</v>
      </c>
      <c r="AG605" s="2">
        <f>VLOOKUP($A605,'[2]App C Share Outflows'!$A$4:$I$917,9,FALSE)</f>
        <v>0</v>
      </c>
      <c r="AH605" s="2"/>
      <c r="AI605" s="2">
        <f>VLOOKUP($A605,'[2]App C Share Inflows'!$A$4:$I$917,5,FALSE)</f>
        <v>-32660</v>
      </c>
      <c r="AJ605" s="2">
        <f>VLOOKUP($A605,'[2]App C Share Inflows'!$A$4:$I$917,6,FALSE)</f>
        <v>-24122</v>
      </c>
      <c r="AK605" s="2">
        <f>VLOOKUP($A605,'[2]App C Share Inflows'!$A$4:$I$917,7,FALSE)</f>
        <v>-18602</v>
      </c>
      <c r="AL605" s="2">
        <f>VLOOKUP($A605,'[2]App C Share Inflows'!$A$4:$I$917,8,FALSE)</f>
        <v>-14355</v>
      </c>
      <c r="AM605" s="2">
        <f>VLOOKUP($A605,'[2]App C Share Inflows'!$A$4:$I$917,6,FALSE)</f>
        <v>-24122</v>
      </c>
    </row>
    <row r="606" spans="1:39">
      <c r="A606" s="351">
        <v>96431</v>
      </c>
      <c r="B606" s="344" t="s">
        <v>1301</v>
      </c>
      <c r="C606" s="235" t="e">
        <f>VLOOKUP(A606,#REF!,10,FALSE)</f>
        <v>#REF!</v>
      </c>
      <c r="E606" s="2">
        <f>VLOOKUP($A606,'[2]App C Total'!$A$4:$I$917,5,FALSE)</f>
        <v>17555</v>
      </c>
      <c r="F606" s="2">
        <f>VLOOKUP($A606,'[2]App C Total'!$A$4:$I$917,6,FALSE)</f>
        <v>4337</v>
      </c>
      <c r="G606" s="2">
        <f>VLOOKUP($A606,'[2]App C Total'!$A$4:$I$917,7,FALSE)</f>
        <v>10065</v>
      </c>
      <c r="H606" s="2">
        <f>VLOOKUP($A606,'[2]App C Total'!$A$4:$I$917,8,FALSE)</f>
        <v>4518</v>
      </c>
      <c r="I606" s="2">
        <f>VLOOKUP($A606,'[2]App C Total'!$A$4:$I$917,9,FALSE)</f>
        <v>0</v>
      </c>
      <c r="J606" s="2"/>
      <c r="K606" s="2">
        <f>VLOOKUP($A606,'[2]App C Exp'!$A$4:$I$917,5,FALSE)</f>
        <v>5034</v>
      </c>
      <c r="L606" s="2">
        <f>VLOOKUP($A606,'[2]App C Exp'!$A$4:$I$917,6,FALSE)</f>
        <v>4735</v>
      </c>
      <c r="M606" s="2">
        <f>VLOOKUP($A606,'[2]App C Exp'!$A$4:$I$917,7,FALSE)</f>
        <v>4244</v>
      </c>
      <c r="N606" s="2">
        <f>VLOOKUP($A606,'[2]App C Exp'!$A$4:$I$917,8,FALSE)</f>
        <v>1699</v>
      </c>
      <c r="O606" s="2">
        <f>VLOOKUP($A606,'[2]App C Exp'!$A$4:$I$917,9,FALSE)</f>
        <v>0</v>
      </c>
      <c r="P606" s="2"/>
      <c r="Q606" s="2">
        <f>VLOOKUP($A606,'[2]App C Inv'!$A$4:$I$917,5,FALSE)</f>
        <v>5344</v>
      </c>
      <c r="R606" s="2">
        <f>VLOOKUP($A606,'[2]App C Inv'!$A$4:$I$917,6,FALSE)</f>
        <v>-4597</v>
      </c>
      <c r="S606" s="2">
        <f>VLOOKUP($A606,'[2]App C Inv'!$A$4:$I$917,7,FALSE)</f>
        <v>648</v>
      </c>
      <c r="T606" s="2">
        <f>VLOOKUP($A606,'[2]App C Inv'!$A$4:$I$917,8,FALSE)</f>
        <v>843</v>
      </c>
      <c r="U606" s="2">
        <f>VLOOKUP($A606,'[2]App C Inv'!$A$4:$I$917,9,FALSE)</f>
        <v>0</v>
      </c>
      <c r="V606" s="2"/>
      <c r="W606" s="2">
        <f>VLOOKUP($A606,'[2]App C Assum'!$A$4:$I$917,5,FALSE)</f>
        <v>6020</v>
      </c>
      <c r="X606" s="2">
        <f>VLOOKUP($A606,'[2]App C Assum'!$A$4:$I$917,6,FALSE)</f>
        <v>4932</v>
      </c>
      <c r="Y606" s="2">
        <f>VLOOKUP($A606,'[2]App C Assum'!$A$4:$I$917,7,FALSE)</f>
        <v>4004</v>
      </c>
      <c r="Z606" s="2">
        <f>VLOOKUP($A606,'[2]App C Assum'!$A$4:$I$917,8,FALSE)</f>
        <v>0</v>
      </c>
      <c r="AA606" s="2">
        <f>VLOOKUP($A606,'[2]App C Assum'!$A$4:$I$917,9,FALSE)</f>
        <v>0</v>
      </c>
      <c r="AB606" s="2"/>
      <c r="AC606" s="2">
        <f>VLOOKUP($A606,'[2]App C Share Outflows'!$A$4:$I$917,5,FALSE)</f>
        <v>3864</v>
      </c>
      <c r="AD606" s="2">
        <f>VLOOKUP($A606,'[2]App C Share Outflows'!$A$4:$I$917,6,FALSE)</f>
        <v>1976</v>
      </c>
      <c r="AE606" s="2">
        <f>VLOOKUP($A606,'[2]App C Share Outflows'!$A$4:$I$917,7,FALSE)</f>
        <v>1976</v>
      </c>
      <c r="AF606" s="2">
        <f>VLOOKUP($A606,'[2]App C Share Outflows'!$A$4:$I$917,8,FALSE)</f>
        <v>1976</v>
      </c>
      <c r="AG606" s="2">
        <f>VLOOKUP($A606,'[2]App C Share Outflows'!$A$4:$I$917,9,FALSE)</f>
        <v>0</v>
      </c>
      <c r="AH606" s="2"/>
      <c r="AI606" s="2">
        <f>VLOOKUP($A606,'[2]App C Share Inflows'!$A$4:$I$917,5,FALSE)</f>
        <v>-2707</v>
      </c>
      <c r="AJ606" s="2">
        <f>VLOOKUP($A606,'[2]App C Share Inflows'!$A$4:$I$917,6,FALSE)</f>
        <v>-2709</v>
      </c>
      <c r="AK606" s="2">
        <f>VLOOKUP($A606,'[2]App C Share Inflows'!$A$4:$I$917,7,FALSE)</f>
        <v>-807</v>
      </c>
      <c r="AL606" s="2">
        <f>VLOOKUP($A606,'[2]App C Share Inflows'!$A$4:$I$917,8,FALSE)</f>
        <v>0</v>
      </c>
      <c r="AM606" s="2">
        <f>VLOOKUP($A606,'[2]App C Share Inflows'!$A$4:$I$917,6,FALSE)</f>
        <v>-2709</v>
      </c>
    </row>
    <row r="607" spans="1:39">
      <c r="A607" s="351">
        <v>96441</v>
      </c>
      <c r="B607" s="344" t="s">
        <v>1302</v>
      </c>
      <c r="C607" s="235" t="e">
        <f>VLOOKUP(A607,#REF!,10,FALSE)</f>
        <v>#REF!</v>
      </c>
      <c r="E607" s="2">
        <f>VLOOKUP($A607,'[2]App C Total'!$A$4:$I$917,5,FALSE)</f>
        <v>8790</v>
      </c>
      <c r="F607" s="2">
        <f>VLOOKUP($A607,'[2]App C Total'!$A$4:$I$917,6,FALSE)</f>
        <v>2580</v>
      </c>
      <c r="G607" s="2">
        <f>VLOOKUP($A607,'[2]App C Total'!$A$4:$I$917,7,FALSE)</f>
        <v>3924</v>
      </c>
      <c r="H607" s="2">
        <f>VLOOKUP($A607,'[2]App C Total'!$A$4:$I$917,8,FALSE)</f>
        <v>401</v>
      </c>
      <c r="I607" s="2">
        <f>VLOOKUP($A607,'[2]App C Total'!$A$4:$I$917,9,FALSE)</f>
        <v>0</v>
      </c>
      <c r="J607" s="2"/>
      <c r="K607" s="2">
        <f>VLOOKUP($A607,'[2]App C Exp'!$A$4:$I$917,5,FALSE)</f>
        <v>2771</v>
      </c>
      <c r="L607" s="2">
        <f>VLOOKUP($A607,'[2]App C Exp'!$A$4:$I$917,6,FALSE)</f>
        <v>2607</v>
      </c>
      <c r="M607" s="2">
        <f>VLOOKUP($A607,'[2]App C Exp'!$A$4:$I$917,7,FALSE)</f>
        <v>2337</v>
      </c>
      <c r="N607" s="2">
        <f>VLOOKUP($A607,'[2]App C Exp'!$A$4:$I$917,8,FALSE)</f>
        <v>936</v>
      </c>
      <c r="O607" s="2">
        <f>VLOOKUP($A607,'[2]App C Exp'!$A$4:$I$917,9,FALSE)</f>
        <v>0</v>
      </c>
      <c r="P607" s="2"/>
      <c r="Q607" s="2">
        <f>VLOOKUP($A607,'[2]App C Inv'!$A$4:$I$917,5,FALSE)</f>
        <v>2942</v>
      </c>
      <c r="R607" s="2">
        <f>VLOOKUP($A607,'[2]App C Inv'!$A$4:$I$917,6,FALSE)</f>
        <v>-2531</v>
      </c>
      <c r="S607" s="2">
        <f>VLOOKUP($A607,'[2]App C Inv'!$A$4:$I$917,7,FALSE)</f>
        <v>357</v>
      </c>
      <c r="T607" s="2">
        <f>VLOOKUP($A607,'[2]App C Inv'!$A$4:$I$917,8,FALSE)</f>
        <v>464</v>
      </c>
      <c r="U607" s="2">
        <f>VLOOKUP($A607,'[2]App C Inv'!$A$4:$I$917,9,FALSE)</f>
        <v>0</v>
      </c>
      <c r="V607" s="2"/>
      <c r="W607" s="2">
        <f>VLOOKUP($A607,'[2]App C Assum'!$A$4:$I$917,5,FALSE)</f>
        <v>3314</v>
      </c>
      <c r="X607" s="2">
        <f>VLOOKUP($A607,'[2]App C Assum'!$A$4:$I$917,6,FALSE)</f>
        <v>2715</v>
      </c>
      <c r="Y607" s="2">
        <f>VLOOKUP($A607,'[2]App C Assum'!$A$4:$I$917,7,FALSE)</f>
        <v>2204</v>
      </c>
      <c r="Z607" s="2">
        <f>VLOOKUP($A607,'[2]App C Assum'!$A$4:$I$917,8,FALSE)</f>
        <v>0</v>
      </c>
      <c r="AA607" s="2">
        <f>VLOOKUP($A607,'[2]App C Assum'!$A$4:$I$917,9,FALSE)</f>
        <v>0</v>
      </c>
      <c r="AB607" s="2"/>
      <c r="AC607" s="2">
        <f>VLOOKUP($A607,'[2]App C Share Outflows'!$A$4:$I$917,5,FALSE)</f>
        <v>789</v>
      </c>
      <c r="AD607" s="2">
        <f>VLOOKUP($A607,'[2]App C Share Outflows'!$A$4:$I$917,6,FALSE)</f>
        <v>789</v>
      </c>
      <c r="AE607" s="2">
        <f>VLOOKUP($A607,'[2]App C Share Outflows'!$A$4:$I$917,7,FALSE)</f>
        <v>26</v>
      </c>
      <c r="AF607" s="2">
        <f>VLOOKUP($A607,'[2]App C Share Outflows'!$A$4:$I$917,8,FALSE)</f>
        <v>0</v>
      </c>
      <c r="AG607" s="2">
        <f>VLOOKUP($A607,'[2]App C Share Outflows'!$A$4:$I$917,9,FALSE)</f>
        <v>0</v>
      </c>
      <c r="AH607" s="2"/>
      <c r="AI607" s="2">
        <f>VLOOKUP($A607,'[2]App C Share Inflows'!$A$4:$I$917,5,FALSE)</f>
        <v>-1026</v>
      </c>
      <c r="AJ607" s="2">
        <f>VLOOKUP($A607,'[2]App C Share Inflows'!$A$4:$I$917,6,FALSE)</f>
        <v>-1000</v>
      </c>
      <c r="AK607" s="2">
        <f>VLOOKUP($A607,'[2]App C Share Inflows'!$A$4:$I$917,7,FALSE)</f>
        <v>-1000</v>
      </c>
      <c r="AL607" s="2">
        <f>VLOOKUP($A607,'[2]App C Share Inflows'!$A$4:$I$917,8,FALSE)</f>
        <v>-999</v>
      </c>
      <c r="AM607" s="2">
        <f>VLOOKUP($A607,'[2]App C Share Inflows'!$A$4:$I$917,6,FALSE)</f>
        <v>-1000</v>
      </c>
    </row>
    <row r="608" spans="1:39">
      <c r="A608" s="351">
        <v>96451</v>
      </c>
      <c r="B608" s="344" t="s">
        <v>1303</v>
      </c>
      <c r="C608" s="235" t="e">
        <f>VLOOKUP(A608,#REF!,10,FALSE)</f>
        <v>#REF!</v>
      </c>
      <c r="E608" s="2">
        <f>VLOOKUP($A608,'[2]App C Total'!$A$4:$I$917,5,FALSE)</f>
        <v>3381</v>
      </c>
      <c r="F608" s="2">
        <f>VLOOKUP($A608,'[2]App C Total'!$A$4:$I$917,6,FALSE)</f>
        <v>80</v>
      </c>
      <c r="G608" s="2">
        <f>VLOOKUP($A608,'[2]App C Total'!$A$4:$I$917,7,FALSE)</f>
        <v>-16</v>
      </c>
      <c r="H608" s="2">
        <f>VLOOKUP($A608,'[2]App C Total'!$A$4:$I$917,8,FALSE)</f>
        <v>-1009</v>
      </c>
      <c r="I608" s="2">
        <f>VLOOKUP($A608,'[2]App C Total'!$A$4:$I$917,9,FALSE)</f>
        <v>0</v>
      </c>
      <c r="J608" s="2"/>
      <c r="K608" s="2">
        <f>VLOOKUP($A608,'[2]App C Exp'!$A$4:$I$917,5,FALSE)</f>
        <v>1109</v>
      </c>
      <c r="L608" s="2">
        <f>VLOOKUP($A608,'[2]App C Exp'!$A$4:$I$917,6,FALSE)</f>
        <v>1043</v>
      </c>
      <c r="M608" s="2">
        <f>VLOOKUP($A608,'[2]App C Exp'!$A$4:$I$917,7,FALSE)</f>
        <v>935</v>
      </c>
      <c r="N608" s="2">
        <f>VLOOKUP($A608,'[2]App C Exp'!$A$4:$I$917,8,FALSE)</f>
        <v>374</v>
      </c>
      <c r="O608" s="2">
        <f>VLOOKUP($A608,'[2]App C Exp'!$A$4:$I$917,9,FALSE)</f>
        <v>0</v>
      </c>
      <c r="P608" s="2"/>
      <c r="Q608" s="2">
        <f>VLOOKUP($A608,'[2]App C Inv'!$A$4:$I$917,5,FALSE)</f>
        <v>1177</v>
      </c>
      <c r="R608" s="2">
        <f>VLOOKUP($A608,'[2]App C Inv'!$A$4:$I$917,6,FALSE)</f>
        <v>-1012</v>
      </c>
      <c r="S608" s="2">
        <f>VLOOKUP($A608,'[2]App C Inv'!$A$4:$I$917,7,FALSE)</f>
        <v>143</v>
      </c>
      <c r="T608" s="2">
        <f>VLOOKUP($A608,'[2]App C Inv'!$A$4:$I$917,8,FALSE)</f>
        <v>186</v>
      </c>
      <c r="U608" s="2">
        <f>VLOOKUP($A608,'[2]App C Inv'!$A$4:$I$917,9,FALSE)</f>
        <v>0</v>
      </c>
      <c r="V608" s="2"/>
      <c r="W608" s="2">
        <f>VLOOKUP($A608,'[2]App C Assum'!$A$4:$I$917,5,FALSE)</f>
        <v>1326</v>
      </c>
      <c r="X608" s="2">
        <f>VLOOKUP($A608,'[2]App C Assum'!$A$4:$I$917,6,FALSE)</f>
        <v>1086</v>
      </c>
      <c r="Y608" s="2">
        <f>VLOOKUP($A608,'[2]App C Assum'!$A$4:$I$917,7,FALSE)</f>
        <v>882</v>
      </c>
      <c r="Z608" s="2">
        <f>VLOOKUP($A608,'[2]App C Assum'!$A$4:$I$917,8,FALSE)</f>
        <v>0</v>
      </c>
      <c r="AA608" s="2">
        <f>VLOOKUP($A608,'[2]App C Assum'!$A$4:$I$917,9,FALSE)</f>
        <v>0</v>
      </c>
      <c r="AB608" s="2"/>
      <c r="AC608" s="2">
        <f>VLOOKUP($A608,'[2]App C Share Outflows'!$A$4:$I$917,5,FALSE)</f>
        <v>1745</v>
      </c>
      <c r="AD608" s="2">
        <f>VLOOKUP($A608,'[2]App C Share Outflows'!$A$4:$I$917,6,FALSE)</f>
        <v>939</v>
      </c>
      <c r="AE608" s="2">
        <f>VLOOKUP($A608,'[2]App C Share Outflows'!$A$4:$I$917,7,FALSE)</f>
        <v>0</v>
      </c>
      <c r="AF608" s="2">
        <f>VLOOKUP($A608,'[2]App C Share Outflows'!$A$4:$I$917,8,FALSE)</f>
        <v>0</v>
      </c>
      <c r="AG608" s="2">
        <f>VLOOKUP($A608,'[2]App C Share Outflows'!$A$4:$I$917,9,FALSE)</f>
        <v>0</v>
      </c>
      <c r="AH608" s="2"/>
      <c r="AI608" s="2">
        <f>VLOOKUP($A608,'[2]App C Share Inflows'!$A$4:$I$917,5,FALSE)</f>
        <v>-1976</v>
      </c>
      <c r="AJ608" s="2">
        <f>VLOOKUP($A608,'[2]App C Share Inflows'!$A$4:$I$917,6,FALSE)</f>
        <v>-1976</v>
      </c>
      <c r="AK608" s="2">
        <f>VLOOKUP($A608,'[2]App C Share Inflows'!$A$4:$I$917,7,FALSE)</f>
        <v>-1976</v>
      </c>
      <c r="AL608" s="2">
        <f>VLOOKUP($A608,'[2]App C Share Inflows'!$A$4:$I$917,8,FALSE)</f>
        <v>-1569</v>
      </c>
      <c r="AM608" s="2">
        <f>VLOOKUP($A608,'[2]App C Share Inflows'!$A$4:$I$917,6,FALSE)</f>
        <v>-1976</v>
      </c>
    </row>
    <row r="609" spans="1:39">
      <c r="A609" s="351">
        <v>96461</v>
      </c>
      <c r="B609" s="344" t="s">
        <v>1304</v>
      </c>
      <c r="C609" s="235" t="e">
        <f>VLOOKUP(A609,#REF!,10,FALSE)</f>
        <v>#REF!</v>
      </c>
      <c r="E609" s="2">
        <f>VLOOKUP($A609,'[2]App C Total'!$A$4:$I$917,5,FALSE)</f>
        <v>61941</v>
      </c>
      <c r="F609" s="2">
        <f>VLOOKUP($A609,'[2]App C Total'!$A$4:$I$917,6,FALSE)</f>
        <v>18390</v>
      </c>
      <c r="G609" s="2">
        <f>VLOOKUP($A609,'[2]App C Total'!$A$4:$I$917,7,FALSE)</f>
        <v>33260</v>
      </c>
      <c r="H609" s="2">
        <f>VLOOKUP($A609,'[2]App C Total'!$A$4:$I$917,8,FALSE)</f>
        <v>5007</v>
      </c>
      <c r="I609" s="2">
        <f>VLOOKUP($A609,'[2]App C Total'!$A$4:$I$917,9,FALSE)</f>
        <v>0</v>
      </c>
      <c r="J609" s="2"/>
      <c r="K609" s="2">
        <f>VLOOKUP($A609,'[2]App C Exp'!$A$4:$I$917,5,FALSE)</f>
        <v>20389</v>
      </c>
      <c r="L609" s="2">
        <f>VLOOKUP($A609,'[2]App C Exp'!$A$4:$I$917,6,FALSE)</f>
        <v>19179</v>
      </c>
      <c r="M609" s="2">
        <f>VLOOKUP($A609,'[2]App C Exp'!$A$4:$I$917,7,FALSE)</f>
        <v>17190</v>
      </c>
      <c r="N609" s="2">
        <f>VLOOKUP($A609,'[2]App C Exp'!$A$4:$I$917,8,FALSE)</f>
        <v>6883</v>
      </c>
      <c r="O609" s="2">
        <f>VLOOKUP($A609,'[2]App C Exp'!$A$4:$I$917,9,FALSE)</f>
        <v>0</v>
      </c>
      <c r="P609" s="2"/>
      <c r="Q609" s="2">
        <f>VLOOKUP($A609,'[2]App C Inv'!$A$4:$I$917,5,FALSE)</f>
        <v>21645</v>
      </c>
      <c r="R609" s="2">
        <f>VLOOKUP($A609,'[2]App C Inv'!$A$4:$I$917,6,FALSE)</f>
        <v>-18619</v>
      </c>
      <c r="S609" s="2">
        <f>VLOOKUP($A609,'[2]App C Inv'!$A$4:$I$917,7,FALSE)</f>
        <v>2624</v>
      </c>
      <c r="T609" s="2">
        <f>VLOOKUP($A609,'[2]App C Inv'!$A$4:$I$917,8,FALSE)</f>
        <v>3415</v>
      </c>
      <c r="U609" s="2">
        <f>VLOOKUP($A609,'[2]App C Inv'!$A$4:$I$917,9,FALSE)</f>
        <v>0</v>
      </c>
      <c r="V609" s="2"/>
      <c r="W609" s="2">
        <f>VLOOKUP($A609,'[2]App C Assum'!$A$4:$I$917,5,FALSE)</f>
        <v>24384</v>
      </c>
      <c r="X609" s="2">
        <f>VLOOKUP($A609,'[2]App C Assum'!$A$4:$I$917,6,FALSE)</f>
        <v>19976</v>
      </c>
      <c r="Y609" s="2">
        <f>VLOOKUP($A609,'[2]App C Assum'!$A$4:$I$917,7,FALSE)</f>
        <v>16217</v>
      </c>
      <c r="Z609" s="2">
        <f>VLOOKUP($A609,'[2]App C Assum'!$A$4:$I$917,8,FALSE)</f>
        <v>0</v>
      </c>
      <c r="AA609" s="2">
        <f>VLOOKUP($A609,'[2]App C Assum'!$A$4:$I$917,9,FALSE)</f>
        <v>0</v>
      </c>
      <c r="AB609" s="2"/>
      <c r="AC609" s="2">
        <f>VLOOKUP($A609,'[2]App C Share Outflows'!$A$4:$I$917,5,FALSE)</f>
        <v>3142</v>
      </c>
      <c r="AD609" s="2">
        <f>VLOOKUP($A609,'[2]App C Share Outflows'!$A$4:$I$917,6,FALSE)</f>
        <v>3144</v>
      </c>
      <c r="AE609" s="2">
        <f>VLOOKUP($A609,'[2]App C Share Outflows'!$A$4:$I$917,7,FALSE)</f>
        <v>2519</v>
      </c>
      <c r="AF609" s="2">
        <f>VLOOKUP($A609,'[2]App C Share Outflows'!$A$4:$I$917,8,FALSE)</f>
        <v>0</v>
      </c>
      <c r="AG609" s="2">
        <f>VLOOKUP($A609,'[2]App C Share Outflows'!$A$4:$I$917,9,FALSE)</f>
        <v>0</v>
      </c>
      <c r="AH609" s="2"/>
      <c r="AI609" s="2">
        <f>VLOOKUP($A609,'[2]App C Share Inflows'!$A$4:$I$917,5,FALSE)</f>
        <v>-7619</v>
      </c>
      <c r="AJ609" s="2">
        <f>VLOOKUP($A609,'[2]App C Share Inflows'!$A$4:$I$917,6,FALSE)</f>
        <v>-5290</v>
      </c>
      <c r="AK609" s="2">
        <f>VLOOKUP($A609,'[2]App C Share Inflows'!$A$4:$I$917,7,FALSE)</f>
        <v>-5290</v>
      </c>
      <c r="AL609" s="2">
        <f>VLOOKUP($A609,'[2]App C Share Inflows'!$A$4:$I$917,8,FALSE)</f>
        <v>-5291</v>
      </c>
      <c r="AM609" s="2">
        <f>VLOOKUP($A609,'[2]App C Share Inflows'!$A$4:$I$917,6,FALSE)</f>
        <v>-5290</v>
      </c>
    </row>
    <row r="610" spans="1:39">
      <c r="A610" s="351">
        <v>96501</v>
      </c>
      <c r="B610" s="344" t="s">
        <v>1305</v>
      </c>
      <c r="C610" s="235" t="e">
        <f>VLOOKUP(A610,#REF!,10,FALSE)</f>
        <v>#REF!</v>
      </c>
      <c r="E610" s="2">
        <f>VLOOKUP($A610,'[2]App C Total'!$A$4:$I$917,5,FALSE)</f>
        <v>7061393</v>
      </c>
      <c r="F610" s="2">
        <f>VLOOKUP($A610,'[2]App C Total'!$A$4:$I$917,6,FALSE)</f>
        <v>2211458</v>
      </c>
      <c r="G610" s="2">
        <f>VLOOKUP($A610,'[2]App C Total'!$A$4:$I$917,7,FALSE)</f>
        <v>3875045</v>
      </c>
      <c r="H610" s="2">
        <f>VLOOKUP($A610,'[2]App C Total'!$A$4:$I$917,8,FALSE)</f>
        <v>1128076</v>
      </c>
      <c r="I610" s="2">
        <f>VLOOKUP($A610,'[2]App C Total'!$A$4:$I$917,9,FALSE)</f>
        <v>0</v>
      </c>
      <c r="J610" s="2"/>
      <c r="K610" s="2">
        <f>VLOOKUP($A610,'[2]App C Exp'!$A$4:$I$917,5,FALSE)</f>
        <v>2194328</v>
      </c>
      <c r="L610" s="2">
        <f>VLOOKUP($A610,'[2]App C Exp'!$A$4:$I$917,6,FALSE)</f>
        <v>2064154</v>
      </c>
      <c r="M610" s="2">
        <f>VLOOKUP($A610,'[2]App C Exp'!$A$4:$I$917,7,FALSE)</f>
        <v>1850078</v>
      </c>
      <c r="N610" s="2">
        <f>VLOOKUP($A610,'[2]App C Exp'!$A$4:$I$917,8,FALSE)</f>
        <v>740749</v>
      </c>
      <c r="O610" s="2">
        <f>VLOOKUP($A610,'[2]App C Exp'!$A$4:$I$917,9,FALSE)</f>
        <v>0</v>
      </c>
      <c r="P610" s="2"/>
      <c r="Q610" s="2">
        <f>VLOOKUP($A610,'[2]App C Inv'!$A$4:$I$917,5,FALSE)</f>
        <v>2329585</v>
      </c>
      <c r="R610" s="2">
        <f>VLOOKUP($A610,'[2]App C Inv'!$A$4:$I$917,6,FALSE)</f>
        <v>-2003879</v>
      </c>
      <c r="S610" s="2">
        <f>VLOOKUP($A610,'[2]App C Inv'!$A$4:$I$917,7,FALSE)</f>
        <v>282422</v>
      </c>
      <c r="T610" s="2">
        <f>VLOOKUP($A610,'[2]App C Inv'!$A$4:$I$917,8,FALSE)</f>
        <v>367569</v>
      </c>
      <c r="U610" s="2">
        <f>VLOOKUP($A610,'[2]App C Inv'!$A$4:$I$917,9,FALSE)</f>
        <v>0</v>
      </c>
      <c r="V610" s="2"/>
      <c r="W610" s="2">
        <f>VLOOKUP($A610,'[2]App C Assum'!$A$4:$I$917,5,FALSE)</f>
        <v>2624311</v>
      </c>
      <c r="X610" s="2">
        <f>VLOOKUP($A610,'[2]App C Assum'!$A$4:$I$917,6,FALSE)</f>
        <v>2149931</v>
      </c>
      <c r="Y610" s="2">
        <f>VLOOKUP($A610,'[2]App C Assum'!$A$4:$I$917,7,FALSE)</f>
        <v>1745376</v>
      </c>
      <c r="Z610" s="2">
        <f>VLOOKUP($A610,'[2]App C Assum'!$A$4:$I$917,8,FALSE)</f>
        <v>0</v>
      </c>
      <c r="AA610" s="2">
        <f>VLOOKUP($A610,'[2]App C Assum'!$A$4:$I$917,9,FALSE)</f>
        <v>0</v>
      </c>
      <c r="AB610" s="2"/>
      <c r="AC610" s="2">
        <f>VLOOKUP($A610,'[2]App C Share Outflows'!$A$4:$I$917,5,FALSE)</f>
        <v>23841</v>
      </c>
      <c r="AD610" s="2">
        <f>VLOOKUP($A610,'[2]App C Share Outflows'!$A$4:$I$917,6,FALSE)</f>
        <v>23840</v>
      </c>
      <c r="AE610" s="2">
        <f>VLOOKUP($A610,'[2]App C Share Outflows'!$A$4:$I$917,7,FALSE)</f>
        <v>19758</v>
      </c>
      <c r="AF610" s="2">
        <f>VLOOKUP($A610,'[2]App C Share Outflows'!$A$4:$I$917,8,FALSE)</f>
        <v>19758</v>
      </c>
      <c r="AG610" s="2">
        <f>VLOOKUP($A610,'[2]App C Share Outflows'!$A$4:$I$917,9,FALSE)</f>
        <v>0</v>
      </c>
      <c r="AH610" s="2"/>
      <c r="AI610" s="2">
        <f>VLOOKUP($A610,'[2]App C Share Inflows'!$A$4:$I$917,5,FALSE)</f>
        <v>-110672</v>
      </c>
      <c r="AJ610" s="2">
        <f>VLOOKUP($A610,'[2]App C Share Inflows'!$A$4:$I$917,6,FALSE)</f>
        <v>-22588</v>
      </c>
      <c r="AK610" s="2">
        <f>VLOOKUP($A610,'[2]App C Share Inflows'!$A$4:$I$917,7,FALSE)</f>
        <v>-22589</v>
      </c>
      <c r="AL610" s="2">
        <f>VLOOKUP($A610,'[2]App C Share Inflows'!$A$4:$I$917,8,FALSE)</f>
        <v>0</v>
      </c>
      <c r="AM610" s="2">
        <f>VLOOKUP($A610,'[2]App C Share Inflows'!$A$4:$I$917,6,FALSE)</f>
        <v>-22588</v>
      </c>
    </row>
    <row r="611" spans="1:39">
      <c r="A611" s="351">
        <v>96502</v>
      </c>
      <c r="B611" s="344" t="s">
        <v>2765</v>
      </c>
      <c r="C611" s="235" t="e">
        <f>VLOOKUP(A611,#REF!,10,FALSE)</f>
        <v>#REF!</v>
      </c>
      <c r="E611" s="2">
        <f>VLOOKUP($A611,'[2]App C Total'!$A$4:$I$917,5,FALSE)</f>
        <v>207983</v>
      </c>
      <c r="F611" s="2">
        <f>VLOOKUP($A611,'[2]App C Total'!$A$4:$I$917,6,FALSE)</f>
        <v>65922</v>
      </c>
      <c r="G611" s="2">
        <f>VLOOKUP($A611,'[2]App C Total'!$A$4:$I$917,7,FALSE)</f>
        <v>111525</v>
      </c>
      <c r="H611" s="2">
        <f>VLOOKUP($A611,'[2]App C Total'!$A$4:$I$917,8,FALSE)</f>
        <v>34281</v>
      </c>
      <c r="I611" s="2">
        <f>VLOOKUP($A611,'[2]App C Total'!$A$4:$I$917,9,FALSE)</f>
        <v>0</v>
      </c>
      <c r="J611" s="2"/>
      <c r="K611" s="2">
        <f>VLOOKUP($A611,'[2]App C Exp'!$A$4:$I$917,5,FALSE)</f>
        <v>61151</v>
      </c>
      <c r="L611" s="2">
        <f>VLOOKUP($A611,'[2]App C Exp'!$A$4:$I$917,6,FALSE)</f>
        <v>57524</v>
      </c>
      <c r="M611" s="2">
        <f>VLOOKUP($A611,'[2]App C Exp'!$A$4:$I$917,7,FALSE)</f>
        <v>51558</v>
      </c>
      <c r="N611" s="2">
        <f>VLOOKUP($A611,'[2]App C Exp'!$A$4:$I$917,8,FALSE)</f>
        <v>20643</v>
      </c>
      <c r="O611" s="2">
        <f>VLOOKUP($A611,'[2]App C Exp'!$A$4:$I$917,9,FALSE)</f>
        <v>0</v>
      </c>
      <c r="P611" s="2"/>
      <c r="Q611" s="2">
        <f>VLOOKUP($A611,'[2]App C Inv'!$A$4:$I$917,5,FALSE)</f>
        <v>64921</v>
      </c>
      <c r="R611" s="2">
        <f>VLOOKUP($A611,'[2]App C Inv'!$A$4:$I$917,6,FALSE)</f>
        <v>-55844</v>
      </c>
      <c r="S611" s="2">
        <f>VLOOKUP($A611,'[2]App C Inv'!$A$4:$I$917,7,FALSE)</f>
        <v>7871</v>
      </c>
      <c r="T611" s="2">
        <f>VLOOKUP($A611,'[2]App C Inv'!$A$4:$I$917,8,FALSE)</f>
        <v>10243</v>
      </c>
      <c r="U611" s="2">
        <f>VLOOKUP($A611,'[2]App C Inv'!$A$4:$I$917,9,FALSE)</f>
        <v>0</v>
      </c>
      <c r="V611" s="2"/>
      <c r="W611" s="2">
        <f>VLOOKUP($A611,'[2]App C Assum'!$A$4:$I$917,5,FALSE)</f>
        <v>73134</v>
      </c>
      <c r="X611" s="2">
        <f>VLOOKUP($A611,'[2]App C Assum'!$A$4:$I$917,6,FALSE)</f>
        <v>59914</v>
      </c>
      <c r="Y611" s="2">
        <f>VLOOKUP($A611,'[2]App C Assum'!$A$4:$I$917,7,FALSE)</f>
        <v>48640</v>
      </c>
      <c r="Z611" s="2">
        <f>VLOOKUP($A611,'[2]App C Assum'!$A$4:$I$917,8,FALSE)</f>
        <v>0</v>
      </c>
      <c r="AA611" s="2">
        <f>VLOOKUP($A611,'[2]App C Assum'!$A$4:$I$917,9,FALSE)</f>
        <v>0</v>
      </c>
      <c r="AB611" s="2"/>
      <c r="AC611" s="2">
        <f>VLOOKUP($A611,'[2]App C Share Outflows'!$A$4:$I$917,5,FALSE)</f>
        <v>8777</v>
      </c>
      <c r="AD611" s="2">
        <f>VLOOKUP($A611,'[2]App C Share Outflows'!$A$4:$I$917,6,FALSE)</f>
        <v>4328</v>
      </c>
      <c r="AE611" s="2">
        <f>VLOOKUP($A611,'[2]App C Share Outflows'!$A$4:$I$917,7,FALSE)</f>
        <v>3456</v>
      </c>
      <c r="AF611" s="2">
        <f>VLOOKUP($A611,'[2]App C Share Outflows'!$A$4:$I$917,8,FALSE)</f>
        <v>3395</v>
      </c>
      <c r="AG611" s="2">
        <f>VLOOKUP($A611,'[2]App C Share Outflows'!$A$4:$I$917,9,FALSE)</f>
        <v>0</v>
      </c>
      <c r="AH611" s="2"/>
      <c r="AI611" s="2">
        <f>VLOOKUP($A611,'[2]App C Share Inflows'!$A$4:$I$917,5,FALSE)</f>
        <v>0</v>
      </c>
      <c r="AJ611" s="2">
        <f>VLOOKUP($A611,'[2]App C Share Inflows'!$A$4:$I$917,6,FALSE)</f>
        <v>0</v>
      </c>
      <c r="AK611" s="2">
        <f>VLOOKUP($A611,'[2]App C Share Inflows'!$A$4:$I$917,7,FALSE)</f>
        <v>0</v>
      </c>
      <c r="AL611" s="2">
        <f>VLOOKUP($A611,'[2]App C Share Inflows'!$A$4:$I$917,8,FALSE)</f>
        <v>0</v>
      </c>
      <c r="AM611" s="2">
        <f>VLOOKUP($A611,'[2]App C Share Inflows'!$A$4:$I$917,6,FALSE)</f>
        <v>0</v>
      </c>
    </row>
    <row r="612" spans="1:39">
      <c r="A612" s="351">
        <v>96503</v>
      </c>
      <c r="B612" s="344" t="s">
        <v>1307</v>
      </c>
      <c r="C612" s="235" t="e">
        <f>VLOOKUP(A612,#REF!,10,FALSE)</f>
        <v>#REF!</v>
      </c>
      <c r="E612" s="2">
        <f>VLOOKUP($A612,'[2]App C Total'!$A$4:$I$917,5,FALSE)</f>
        <v>286524</v>
      </c>
      <c r="F612" s="2">
        <f>VLOOKUP($A612,'[2]App C Total'!$A$4:$I$917,6,FALSE)</f>
        <v>155261</v>
      </c>
      <c r="G612" s="2">
        <f>VLOOKUP($A612,'[2]App C Total'!$A$4:$I$917,7,FALSE)</f>
        <v>166570</v>
      </c>
      <c r="H612" s="2">
        <f>VLOOKUP($A612,'[2]App C Total'!$A$4:$I$917,8,FALSE)</f>
        <v>72698</v>
      </c>
      <c r="I612" s="2">
        <f>VLOOKUP($A612,'[2]App C Total'!$A$4:$I$917,9,FALSE)</f>
        <v>0</v>
      </c>
      <c r="J612" s="2"/>
      <c r="K612" s="2">
        <f>VLOOKUP($A612,'[2]App C Exp'!$A$4:$I$917,5,FALSE)</f>
        <v>47848</v>
      </c>
      <c r="L612" s="2">
        <f>VLOOKUP($A612,'[2]App C Exp'!$A$4:$I$917,6,FALSE)</f>
        <v>45010</v>
      </c>
      <c r="M612" s="2">
        <f>VLOOKUP($A612,'[2]App C Exp'!$A$4:$I$917,7,FALSE)</f>
        <v>40342</v>
      </c>
      <c r="N612" s="2">
        <f>VLOOKUP($A612,'[2]App C Exp'!$A$4:$I$917,8,FALSE)</f>
        <v>16152</v>
      </c>
      <c r="O612" s="2">
        <f>VLOOKUP($A612,'[2]App C Exp'!$A$4:$I$917,9,FALSE)</f>
        <v>0</v>
      </c>
      <c r="P612" s="2"/>
      <c r="Q612" s="2">
        <f>VLOOKUP($A612,'[2]App C Inv'!$A$4:$I$917,5,FALSE)</f>
        <v>50798</v>
      </c>
      <c r="R612" s="2">
        <f>VLOOKUP($A612,'[2]App C Inv'!$A$4:$I$917,6,FALSE)</f>
        <v>-43696</v>
      </c>
      <c r="S612" s="2">
        <f>VLOOKUP($A612,'[2]App C Inv'!$A$4:$I$917,7,FALSE)</f>
        <v>6158</v>
      </c>
      <c r="T612" s="2">
        <f>VLOOKUP($A612,'[2]App C Inv'!$A$4:$I$917,8,FALSE)</f>
        <v>8015</v>
      </c>
      <c r="U612" s="2">
        <f>VLOOKUP($A612,'[2]App C Inv'!$A$4:$I$917,9,FALSE)</f>
        <v>0</v>
      </c>
      <c r="V612" s="2"/>
      <c r="W612" s="2">
        <f>VLOOKUP($A612,'[2]App C Assum'!$A$4:$I$917,5,FALSE)</f>
        <v>57224</v>
      </c>
      <c r="X612" s="2">
        <f>VLOOKUP($A612,'[2]App C Assum'!$A$4:$I$917,6,FALSE)</f>
        <v>46880</v>
      </c>
      <c r="Y612" s="2">
        <f>VLOOKUP($A612,'[2]App C Assum'!$A$4:$I$917,7,FALSE)</f>
        <v>38059</v>
      </c>
      <c r="Z612" s="2">
        <f>VLOOKUP($A612,'[2]App C Assum'!$A$4:$I$917,8,FALSE)</f>
        <v>0</v>
      </c>
      <c r="AA612" s="2">
        <f>VLOOKUP($A612,'[2]App C Assum'!$A$4:$I$917,9,FALSE)</f>
        <v>0</v>
      </c>
      <c r="AB612" s="2"/>
      <c r="AC612" s="2">
        <f>VLOOKUP($A612,'[2]App C Share Outflows'!$A$4:$I$917,5,FALSE)</f>
        <v>130654</v>
      </c>
      <c r="AD612" s="2">
        <f>VLOOKUP($A612,'[2]App C Share Outflows'!$A$4:$I$917,6,FALSE)</f>
        <v>107067</v>
      </c>
      <c r="AE612" s="2">
        <f>VLOOKUP($A612,'[2]App C Share Outflows'!$A$4:$I$917,7,FALSE)</f>
        <v>82011</v>
      </c>
      <c r="AF612" s="2">
        <f>VLOOKUP($A612,'[2]App C Share Outflows'!$A$4:$I$917,8,FALSE)</f>
        <v>48531</v>
      </c>
      <c r="AG612" s="2">
        <f>VLOOKUP($A612,'[2]App C Share Outflows'!$A$4:$I$917,9,FALSE)</f>
        <v>0</v>
      </c>
      <c r="AH612" s="2"/>
      <c r="AI612" s="2">
        <f>VLOOKUP($A612,'[2]App C Share Inflows'!$A$4:$I$917,5,FALSE)</f>
        <v>0</v>
      </c>
      <c r="AJ612" s="2">
        <f>VLOOKUP($A612,'[2]App C Share Inflows'!$A$4:$I$917,6,FALSE)</f>
        <v>0</v>
      </c>
      <c r="AK612" s="2">
        <f>VLOOKUP($A612,'[2]App C Share Inflows'!$A$4:$I$917,7,FALSE)</f>
        <v>0</v>
      </c>
      <c r="AL612" s="2">
        <f>VLOOKUP($A612,'[2]App C Share Inflows'!$A$4:$I$917,8,FALSE)</f>
        <v>0</v>
      </c>
      <c r="AM612" s="2">
        <f>VLOOKUP($A612,'[2]App C Share Inflows'!$A$4:$I$917,6,FALSE)</f>
        <v>0</v>
      </c>
    </row>
    <row r="613" spans="1:39">
      <c r="A613" s="351">
        <v>96504</v>
      </c>
      <c r="B613" s="344" t="s">
        <v>1308</v>
      </c>
      <c r="C613" s="235" t="e">
        <f>VLOOKUP(A613,#REF!,10,FALSE)</f>
        <v>#REF!</v>
      </c>
      <c r="E613" s="2">
        <f>VLOOKUP($A613,'[2]App C Total'!$A$4:$I$917,5,FALSE)</f>
        <v>225914</v>
      </c>
      <c r="F613" s="2">
        <f>VLOOKUP($A613,'[2]App C Total'!$A$4:$I$917,6,FALSE)</f>
        <v>80029</v>
      </c>
      <c r="G613" s="2">
        <f>VLOOKUP($A613,'[2]App C Total'!$A$4:$I$917,7,FALSE)</f>
        <v>120499</v>
      </c>
      <c r="H613" s="2">
        <f>VLOOKUP($A613,'[2]App C Total'!$A$4:$I$917,8,FALSE)</f>
        <v>38145</v>
      </c>
      <c r="I613" s="2">
        <f>VLOOKUP($A613,'[2]App C Total'!$A$4:$I$917,9,FALSE)</f>
        <v>0</v>
      </c>
      <c r="J613" s="2"/>
      <c r="K613" s="2">
        <f>VLOOKUP($A613,'[2]App C Exp'!$A$4:$I$917,5,FALSE)</f>
        <v>65391</v>
      </c>
      <c r="L613" s="2">
        <f>VLOOKUP($A613,'[2]App C Exp'!$A$4:$I$917,6,FALSE)</f>
        <v>61512</v>
      </c>
      <c r="M613" s="2">
        <f>VLOOKUP($A613,'[2]App C Exp'!$A$4:$I$917,7,FALSE)</f>
        <v>55132</v>
      </c>
      <c r="N613" s="2">
        <f>VLOOKUP($A613,'[2]App C Exp'!$A$4:$I$917,8,FALSE)</f>
        <v>22074</v>
      </c>
      <c r="O613" s="2">
        <f>VLOOKUP($A613,'[2]App C Exp'!$A$4:$I$917,9,FALSE)</f>
        <v>0</v>
      </c>
      <c r="P613" s="2"/>
      <c r="Q613" s="2">
        <f>VLOOKUP($A613,'[2]App C Inv'!$A$4:$I$917,5,FALSE)</f>
        <v>69421</v>
      </c>
      <c r="R613" s="2">
        <f>VLOOKUP($A613,'[2]App C Inv'!$A$4:$I$917,6,FALSE)</f>
        <v>-59715</v>
      </c>
      <c r="S613" s="2">
        <f>VLOOKUP($A613,'[2]App C Inv'!$A$4:$I$917,7,FALSE)</f>
        <v>8416</v>
      </c>
      <c r="T613" s="2">
        <f>VLOOKUP($A613,'[2]App C Inv'!$A$4:$I$917,8,FALSE)</f>
        <v>10954</v>
      </c>
      <c r="U613" s="2">
        <f>VLOOKUP($A613,'[2]App C Inv'!$A$4:$I$917,9,FALSE)</f>
        <v>0</v>
      </c>
      <c r="V613" s="2"/>
      <c r="W613" s="2">
        <f>VLOOKUP($A613,'[2]App C Assum'!$A$4:$I$917,5,FALSE)</f>
        <v>78204</v>
      </c>
      <c r="X613" s="2">
        <f>VLOOKUP($A613,'[2]App C Assum'!$A$4:$I$917,6,FALSE)</f>
        <v>64068</v>
      </c>
      <c r="Y613" s="2">
        <f>VLOOKUP($A613,'[2]App C Assum'!$A$4:$I$917,7,FALSE)</f>
        <v>52012</v>
      </c>
      <c r="Z613" s="2">
        <f>VLOOKUP($A613,'[2]App C Assum'!$A$4:$I$917,8,FALSE)</f>
        <v>0</v>
      </c>
      <c r="AA613" s="2">
        <f>VLOOKUP($A613,'[2]App C Assum'!$A$4:$I$917,9,FALSE)</f>
        <v>0</v>
      </c>
      <c r="AB613" s="2"/>
      <c r="AC613" s="2">
        <f>VLOOKUP($A613,'[2]App C Share Outflows'!$A$4:$I$917,5,FALSE)</f>
        <v>14338</v>
      </c>
      <c r="AD613" s="2">
        <f>VLOOKUP($A613,'[2]App C Share Outflows'!$A$4:$I$917,6,FALSE)</f>
        <v>14340</v>
      </c>
      <c r="AE613" s="2">
        <f>VLOOKUP($A613,'[2]App C Share Outflows'!$A$4:$I$917,7,FALSE)</f>
        <v>5115</v>
      </c>
      <c r="AF613" s="2">
        <f>VLOOKUP($A613,'[2]App C Share Outflows'!$A$4:$I$917,8,FALSE)</f>
        <v>5117</v>
      </c>
      <c r="AG613" s="2">
        <f>VLOOKUP($A613,'[2]App C Share Outflows'!$A$4:$I$917,9,FALSE)</f>
        <v>0</v>
      </c>
      <c r="AH613" s="2"/>
      <c r="AI613" s="2">
        <f>VLOOKUP($A613,'[2]App C Share Inflows'!$A$4:$I$917,5,FALSE)</f>
        <v>-1440</v>
      </c>
      <c r="AJ613" s="2">
        <f>VLOOKUP($A613,'[2]App C Share Inflows'!$A$4:$I$917,6,FALSE)</f>
        <v>-176</v>
      </c>
      <c r="AK613" s="2">
        <f>VLOOKUP($A613,'[2]App C Share Inflows'!$A$4:$I$917,7,FALSE)</f>
        <v>-176</v>
      </c>
      <c r="AL613" s="2">
        <f>VLOOKUP($A613,'[2]App C Share Inflows'!$A$4:$I$917,8,FALSE)</f>
        <v>0</v>
      </c>
      <c r="AM613" s="2">
        <f>VLOOKUP($A613,'[2]App C Share Inflows'!$A$4:$I$917,6,FALSE)</f>
        <v>-176</v>
      </c>
    </row>
    <row r="614" spans="1:39">
      <c r="A614" s="351">
        <v>96507</v>
      </c>
      <c r="B614" s="344" t="s">
        <v>1309</v>
      </c>
      <c r="C614" s="235" t="e">
        <f>VLOOKUP(A614,#REF!,10,FALSE)</f>
        <v>#REF!</v>
      </c>
      <c r="E614" s="2">
        <f>VLOOKUP($A614,'[2]App C Total'!$A$4:$I$917,5,FALSE)</f>
        <v>1184343</v>
      </c>
      <c r="F614" s="2">
        <f>VLOOKUP($A614,'[2]App C Total'!$A$4:$I$917,6,FALSE)</f>
        <v>383553</v>
      </c>
      <c r="G614" s="2">
        <f>VLOOKUP($A614,'[2]App C Total'!$A$4:$I$917,7,FALSE)</f>
        <v>654319</v>
      </c>
      <c r="H614" s="2">
        <f>VLOOKUP($A614,'[2]App C Total'!$A$4:$I$917,8,FALSE)</f>
        <v>205602</v>
      </c>
      <c r="I614" s="2">
        <f>VLOOKUP($A614,'[2]App C Total'!$A$4:$I$917,9,FALSE)</f>
        <v>0</v>
      </c>
      <c r="J614" s="2"/>
      <c r="K614" s="2">
        <f>VLOOKUP($A614,'[2]App C Exp'!$A$4:$I$917,5,FALSE)</f>
        <v>348781</v>
      </c>
      <c r="L614" s="2">
        <f>VLOOKUP($A614,'[2]App C Exp'!$A$4:$I$917,6,FALSE)</f>
        <v>328090</v>
      </c>
      <c r="M614" s="2">
        <f>VLOOKUP($A614,'[2]App C Exp'!$A$4:$I$917,7,FALSE)</f>
        <v>294063</v>
      </c>
      <c r="N614" s="2">
        <f>VLOOKUP($A614,'[2]App C Exp'!$A$4:$I$917,8,FALSE)</f>
        <v>117739</v>
      </c>
      <c r="O614" s="2">
        <f>VLOOKUP($A614,'[2]App C Exp'!$A$4:$I$917,9,FALSE)</f>
        <v>0</v>
      </c>
      <c r="P614" s="2"/>
      <c r="Q614" s="2">
        <f>VLOOKUP($A614,'[2]App C Inv'!$A$4:$I$917,5,FALSE)</f>
        <v>370279</v>
      </c>
      <c r="R614" s="2">
        <f>VLOOKUP($A614,'[2]App C Inv'!$A$4:$I$917,6,FALSE)</f>
        <v>-318509</v>
      </c>
      <c r="S614" s="2">
        <f>VLOOKUP($A614,'[2]App C Inv'!$A$4:$I$917,7,FALSE)</f>
        <v>44890</v>
      </c>
      <c r="T614" s="2">
        <f>VLOOKUP($A614,'[2]App C Inv'!$A$4:$I$917,8,FALSE)</f>
        <v>58424</v>
      </c>
      <c r="U614" s="2">
        <f>VLOOKUP($A614,'[2]App C Inv'!$A$4:$I$917,9,FALSE)</f>
        <v>0</v>
      </c>
      <c r="V614" s="2"/>
      <c r="W614" s="2">
        <f>VLOOKUP($A614,'[2]App C Assum'!$A$4:$I$917,5,FALSE)</f>
        <v>417125</v>
      </c>
      <c r="X614" s="2">
        <f>VLOOKUP($A614,'[2]App C Assum'!$A$4:$I$917,6,FALSE)</f>
        <v>341724</v>
      </c>
      <c r="Y614" s="2">
        <f>VLOOKUP($A614,'[2]App C Assum'!$A$4:$I$917,7,FALSE)</f>
        <v>277421</v>
      </c>
      <c r="Z614" s="2">
        <f>VLOOKUP($A614,'[2]App C Assum'!$A$4:$I$917,8,FALSE)</f>
        <v>0</v>
      </c>
      <c r="AA614" s="2">
        <f>VLOOKUP($A614,'[2]App C Assum'!$A$4:$I$917,9,FALSE)</f>
        <v>0</v>
      </c>
      <c r="AB614" s="2"/>
      <c r="AC614" s="2">
        <f>VLOOKUP($A614,'[2]App C Share Outflows'!$A$4:$I$917,5,FALSE)</f>
        <v>53857</v>
      </c>
      <c r="AD614" s="2">
        <f>VLOOKUP($A614,'[2]App C Share Outflows'!$A$4:$I$917,6,FALSE)</f>
        <v>37945</v>
      </c>
      <c r="AE614" s="2">
        <f>VLOOKUP($A614,'[2]App C Share Outflows'!$A$4:$I$917,7,FALSE)</f>
        <v>37945</v>
      </c>
      <c r="AF614" s="2">
        <f>VLOOKUP($A614,'[2]App C Share Outflows'!$A$4:$I$917,8,FALSE)</f>
        <v>29439</v>
      </c>
      <c r="AG614" s="2">
        <f>VLOOKUP($A614,'[2]App C Share Outflows'!$A$4:$I$917,9,FALSE)</f>
        <v>0</v>
      </c>
      <c r="AH614" s="2"/>
      <c r="AI614" s="2">
        <f>VLOOKUP($A614,'[2]App C Share Inflows'!$A$4:$I$917,5,FALSE)</f>
        <v>-5699</v>
      </c>
      <c r="AJ614" s="2">
        <f>VLOOKUP($A614,'[2]App C Share Inflows'!$A$4:$I$917,6,FALSE)</f>
        <v>-5697</v>
      </c>
      <c r="AK614" s="2">
        <f>VLOOKUP($A614,'[2]App C Share Inflows'!$A$4:$I$917,7,FALSE)</f>
        <v>0</v>
      </c>
      <c r="AL614" s="2">
        <f>VLOOKUP($A614,'[2]App C Share Inflows'!$A$4:$I$917,8,FALSE)</f>
        <v>0</v>
      </c>
      <c r="AM614" s="2">
        <f>VLOOKUP($A614,'[2]App C Share Inflows'!$A$4:$I$917,6,FALSE)</f>
        <v>-5697</v>
      </c>
    </row>
    <row r="615" spans="1:39">
      <c r="A615" s="351">
        <v>96508</v>
      </c>
      <c r="B615" s="344" t="s">
        <v>3690</v>
      </c>
      <c r="C615" s="235" t="e">
        <f>VLOOKUP(A615,#REF!,10,FALSE)</f>
        <v>#REF!</v>
      </c>
      <c r="E615" s="2">
        <f>VLOOKUP($A615,'[2]App C Total'!$A$4:$I$917,5,FALSE)</f>
        <v>8040</v>
      </c>
      <c r="F615" s="2">
        <f>VLOOKUP($A615,'[2]App C Total'!$A$4:$I$917,6,FALSE)</f>
        <v>5067</v>
      </c>
      <c r="G615" s="2">
        <f>VLOOKUP($A615,'[2]App C Total'!$A$4:$I$917,7,FALSE)</f>
        <v>4511</v>
      </c>
      <c r="H615" s="2">
        <f>VLOOKUP($A615,'[2]App C Total'!$A$4:$I$917,8,FALSE)</f>
        <v>1991</v>
      </c>
      <c r="I615" s="2">
        <f>VLOOKUP($A615,'[2]App C Total'!$A$4:$I$917,9,FALSE)</f>
        <v>0</v>
      </c>
      <c r="J615" s="2"/>
      <c r="K615" s="2">
        <f>VLOOKUP($A615,'[2]App C Exp'!$A$4:$I$917,5,FALSE)</f>
        <v>884</v>
      </c>
      <c r="L615" s="2">
        <f>VLOOKUP($A615,'[2]App C Exp'!$A$4:$I$917,6,FALSE)</f>
        <v>831</v>
      </c>
      <c r="M615" s="2">
        <f>VLOOKUP($A615,'[2]App C Exp'!$A$4:$I$917,7,FALSE)</f>
        <v>745</v>
      </c>
      <c r="N615" s="2">
        <f>VLOOKUP($A615,'[2]App C Exp'!$A$4:$I$917,8,FALSE)</f>
        <v>298</v>
      </c>
      <c r="O615" s="2">
        <f>VLOOKUP($A615,'[2]App C Exp'!$A$4:$I$917,9,FALSE)</f>
        <v>0</v>
      </c>
      <c r="P615" s="2"/>
      <c r="Q615" s="2">
        <f>VLOOKUP($A615,'[2]App C Inv'!$A$4:$I$917,5,FALSE)</f>
        <v>938</v>
      </c>
      <c r="R615" s="2">
        <f>VLOOKUP($A615,'[2]App C Inv'!$A$4:$I$917,6,FALSE)</f>
        <v>-807</v>
      </c>
      <c r="S615" s="2">
        <f>VLOOKUP($A615,'[2]App C Inv'!$A$4:$I$917,7,FALSE)</f>
        <v>114</v>
      </c>
      <c r="T615" s="2">
        <f>VLOOKUP($A615,'[2]App C Inv'!$A$4:$I$917,8,FALSE)</f>
        <v>148</v>
      </c>
      <c r="U615" s="2">
        <f>VLOOKUP($A615,'[2]App C Inv'!$A$4:$I$917,9,FALSE)</f>
        <v>0</v>
      </c>
      <c r="V615" s="2"/>
      <c r="W615" s="2">
        <f>VLOOKUP($A615,'[2]App C Assum'!$A$4:$I$917,5,FALSE)</f>
        <v>1057</v>
      </c>
      <c r="X615" s="2">
        <f>VLOOKUP($A615,'[2]App C Assum'!$A$4:$I$917,6,FALSE)</f>
        <v>866</v>
      </c>
      <c r="Y615" s="2">
        <f>VLOOKUP($A615,'[2]App C Assum'!$A$4:$I$917,7,FALSE)</f>
        <v>703</v>
      </c>
      <c r="Z615" s="2">
        <f>VLOOKUP($A615,'[2]App C Assum'!$A$4:$I$917,8,FALSE)</f>
        <v>0</v>
      </c>
      <c r="AA615" s="2">
        <f>VLOOKUP($A615,'[2]App C Assum'!$A$4:$I$917,9,FALSE)</f>
        <v>0</v>
      </c>
      <c r="AB615" s="2"/>
      <c r="AC615" s="2">
        <f>VLOOKUP($A615,'[2]App C Share Outflows'!$A$4:$I$917,5,FALSE)</f>
        <v>5161</v>
      </c>
      <c r="AD615" s="2">
        <f>VLOOKUP($A615,'[2]App C Share Outflows'!$A$4:$I$917,6,FALSE)</f>
        <v>4177</v>
      </c>
      <c r="AE615" s="2">
        <f>VLOOKUP($A615,'[2]App C Share Outflows'!$A$4:$I$917,7,FALSE)</f>
        <v>2949</v>
      </c>
      <c r="AF615" s="2">
        <f>VLOOKUP($A615,'[2]App C Share Outflows'!$A$4:$I$917,8,FALSE)</f>
        <v>1545</v>
      </c>
      <c r="AG615" s="2">
        <f>VLOOKUP($A615,'[2]App C Share Outflows'!$A$4:$I$917,9,FALSE)</f>
        <v>0</v>
      </c>
      <c r="AH615" s="2"/>
      <c r="AI615" s="2">
        <f>VLOOKUP($A615,'[2]App C Share Inflows'!$A$4:$I$917,5,FALSE)</f>
        <v>0</v>
      </c>
      <c r="AJ615" s="2">
        <f>VLOOKUP($A615,'[2]App C Share Inflows'!$A$4:$I$917,6,FALSE)</f>
        <v>0</v>
      </c>
      <c r="AK615" s="2">
        <f>VLOOKUP($A615,'[2]App C Share Inflows'!$A$4:$I$917,7,FALSE)</f>
        <v>0</v>
      </c>
      <c r="AL615" s="2">
        <f>VLOOKUP($A615,'[2]App C Share Inflows'!$A$4:$I$917,8,FALSE)</f>
        <v>0</v>
      </c>
      <c r="AM615" s="2">
        <f>VLOOKUP($A615,'[2]App C Share Inflows'!$A$4:$I$917,6,FALSE)</f>
        <v>0</v>
      </c>
    </row>
    <row r="616" spans="1:39">
      <c r="A616" s="351">
        <v>96511</v>
      </c>
      <c r="B616" s="344" t="s">
        <v>1311</v>
      </c>
      <c r="C616" s="235" t="e">
        <f>VLOOKUP(A616,#REF!,10,FALSE)</f>
        <v>#REF!</v>
      </c>
      <c r="E616" s="2">
        <f>VLOOKUP($A616,'[2]App C Total'!$A$4:$I$917,5,FALSE)</f>
        <v>269176</v>
      </c>
      <c r="F616" s="2">
        <f>VLOOKUP($A616,'[2]App C Total'!$A$4:$I$917,6,FALSE)</f>
        <v>82665</v>
      </c>
      <c r="G616" s="2">
        <f>VLOOKUP($A616,'[2]App C Total'!$A$4:$I$917,7,FALSE)</f>
        <v>153581</v>
      </c>
      <c r="H616" s="2">
        <f>VLOOKUP($A616,'[2]App C Total'!$A$4:$I$917,8,FALSE)</f>
        <v>41438</v>
      </c>
      <c r="I616" s="2">
        <f>VLOOKUP($A616,'[2]App C Total'!$A$4:$I$917,9,FALSE)</f>
        <v>0</v>
      </c>
      <c r="J616" s="2"/>
      <c r="K616" s="2">
        <f>VLOOKUP($A616,'[2]App C Exp'!$A$4:$I$917,5,FALSE)</f>
        <v>90663</v>
      </c>
      <c r="L616" s="2">
        <f>VLOOKUP($A616,'[2]App C Exp'!$A$4:$I$917,6,FALSE)</f>
        <v>85285</v>
      </c>
      <c r="M616" s="2">
        <f>VLOOKUP($A616,'[2]App C Exp'!$A$4:$I$917,7,FALSE)</f>
        <v>76440</v>
      </c>
      <c r="N616" s="2">
        <f>VLOOKUP($A616,'[2]App C Exp'!$A$4:$I$917,8,FALSE)</f>
        <v>30606</v>
      </c>
      <c r="O616" s="2">
        <f>VLOOKUP($A616,'[2]App C Exp'!$A$4:$I$917,9,FALSE)</f>
        <v>0</v>
      </c>
      <c r="P616" s="2"/>
      <c r="Q616" s="2">
        <f>VLOOKUP($A616,'[2]App C Inv'!$A$4:$I$917,5,FALSE)</f>
        <v>96252</v>
      </c>
      <c r="R616" s="2">
        <f>VLOOKUP($A616,'[2]App C Inv'!$A$4:$I$917,6,FALSE)</f>
        <v>-82794</v>
      </c>
      <c r="S616" s="2">
        <f>VLOOKUP($A616,'[2]App C Inv'!$A$4:$I$917,7,FALSE)</f>
        <v>11669</v>
      </c>
      <c r="T616" s="2">
        <f>VLOOKUP($A616,'[2]App C Inv'!$A$4:$I$917,8,FALSE)</f>
        <v>15187</v>
      </c>
      <c r="U616" s="2">
        <f>VLOOKUP($A616,'[2]App C Inv'!$A$4:$I$917,9,FALSE)</f>
        <v>0</v>
      </c>
      <c r="V616" s="2"/>
      <c r="W616" s="2">
        <f>VLOOKUP($A616,'[2]App C Assum'!$A$4:$I$917,5,FALSE)</f>
        <v>108429</v>
      </c>
      <c r="X616" s="2">
        <f>VLOOKUP($A616,'[2]App C Assum'!$A$4:$I$917,6,FALSE)</f>
        <v>88829</v>
      </c>
      <c r="Y616" s="2">
        <f>VLOOKUP($A616,'[2]App C Assum'!$A$4:$I$917,7,FALSE)</f>
        <v>72114</v>
      </c>
      <c r="Z616" s="2">
        <f>VLOOKUP($A616,'[2]App C Assum'!$A$4:$I$917,8,FALSE)</f>
        <v>0</v>
      </c>
      <c r="AA616" s="2">
        <f>VLOOKUP($A616,'[2]App C Assum'!$A$4:$I$917,9,FALSE)</f>
        <v>0</v>
      </c>
      <c r="AB616" s="2"/>
      <c r="AC616" s="2">
        <f>VLOOKUP($A616,'[2]App C Share Outflows'!$A$4:$I$917,5,FALSE)</f>
        <v>0</v>
      </c>
      <c r="AD616" s="2">
        <f>VLOOKUP($A616,'[2]App C Share Outflows'!$A$4:$I$917,6,FALSE)</f>
        <v>0</v>
      </c>
      <c r="AE616" s="2">
        <f>VLOOKUP($A616,'[2]App C Share Outflows'!$A$4:$I$917,7,FALSE)</f>
        <v>0</v>
      </c>
      <c r="AF616" s="2">
        <f>VLOOKUP($A616,'[2]App C Share Outflows'!$A$4:$I$917,8,FALSE)</f>
        <v>0</v>
      </c>
      <c r="AG616" s="2">
        <f>VLOOKUP($A616,'[2]App C Share Outflows'!$A$4:$I$917,9,FALSE)</f>
        <v>0</v>
      </c>
      <c r="AH616" s="2"/>
      <c r="AI616" s="2">
        <f>VLOOKUP($A616,'[2]App C Share Inflows'!$A$4:$I$917,5,FALSE)</f>
        <v>-26168</v>
      </c>
      <c r="AJ616" s="2">
        <f>VLOOKUP($A616,'[2]App C Share Inflows'!$A$4:$I$917,6,FALSE)</f>
        <v>-8655</v>
      </c>
      <c r="AK616" s="2">
        <f>VLOOKUP($A616,'[2]App C Share Inflows'!$A$4:$I$917,7,FALSE)</f>
        <v>-6642</v>
      </c>
      <c r="AL616" s="2">
        <f>VLOOKUP($A616,'[2]App C Share Inflows'!$A$4:$I$917,8,FALSE)</f>
        <v>-4355</v>
      </c>
      <c r="AM616" s="2">
        <f>VLOOKUP($A616,'[2]App C Share Inflows'!$A$4:$I$917,6,FALSE)</f>
        <v>-8655</v>
      </c>
    </row>
    <row r="617" spans="1:39">
      <c r="A617" s="351">
        <v>96512</v>
      </c>
      <c r="B617" s="344" t="s">
        <v>1312</v>
      </c>
      <c r="C617" s="235" t="e">
        <f>VLOOKUP(A617,#REF!,10,FALSE)</f>
        <v>#REF!</v>
      </c>
      <c r="E617" s="2">
        <f>VLOOKUP($A617,'[2]App C Total'!$A$4:$I$917,5,FALSE)</f>
        <v>74219</v>
      </c>
      <c r="F617" s="2">
        <f>VLOOKUP($A617,'[2]App C Total'!$A$4:$I$917,6,FALSE)</f>
        <v>22020</v>
      </c>
      <c r="G617" s="2">
        <f>VLOOKUP($A617,'[2]App C Total'!$A$4:$I$917,7,FALSE)</f>
        <v>41908</v>
      </c>
      <c r="H617" s="2">
        <f>VLOOKUP($A617,'[2]App C Total'!$A$4:$I$917,8,FALSE)</f>
        <v>11236</v>
      </c>
      <c r="I617" s="2">
        <f>VLOOKUP($A617,'[2]App C Total'!$A$4:$I$917,9,FALSE)</f>
        <v>0</v>
      </c>
      <c r="J617" s="2"/>
      <c r="K617" s="2">
        <f>VLOOKUP($A617,'[2]App C Exp'!$A$4:$I$917,5,FALSE)</f>
        <v>22891</v>
      </c>
      <c r="L617" s="2">
        <f>VLOOKUP($A617,'[2]App C Exp'!$A$4:$I$917,6,FALSE)</f>
        <v>21533</v>
      </c>
      <c r="M617" s="2">
        <f>VLOOKUP($A617,'[2]App C Exp'!$A$4:$I$917,7,FALSE)</f>
        <v>19299</v>
      </c>
      <c r="N617" s="2">
        <f>VLOOKUP($A617,'[2]App C Exp'!$A$4:$I$917,8,FALSE)</f>
        <v>7727</v>
      </c>
      <c r="O617" s="2">
        <f>VLOOKUP($A617,'[2]App C Exp'!$A$4:$I$917,9,FALSE)</f>
        <v>0</v>
      </c>
      <c r="P617" s="2"/>
      <c r="Q617" s="2">
        <f>VLOOKUP($A617,'[2]App C Inv'!$A$4:$I$917,5,FALSE)</f>
        <v>24301</v>
      </c>
      <c r="R617" s="2">
        <f>VLOOKUP($A617,'[2]App C Inv'!$A$4:$I$917,6,FALSE)</f>
        <v>-20904</v>
      </c>
      <c r="S617" s="2">
        <f>VLOOKUP($A617,'[2]App C Inv'!$A$4:$I$917,7,FALSE)</f>
        <v>2946</v>
      </c>
      <c r="T617" s="2">
        <f>VLOOKUP($A617,'[2]App C Inv'!$A$4:$I$917,8,FALSE)</f>
        <v>3834</v>
      </c>
      <c r="U617" s="2">
        <f>VLOOKUP($A617,'[2]App C Inv'!$A$4:$I$917,9,FALSE)</f>
        <v>0</v>
      </c>
      <c r="V617" s="2"/>
      <c r="W617" s="2">
        <f>VLOOKUP($A617,'[2]App C Assum'!$A$4:$I$917,5,FALSE)</f>
        <v>27376</v>
      </c>
      <c r="X617" s="2">
        <f>VLOOKUP($A617,'[2]App C Assum'!$A$4:$I$917,6,FALSE)</f>
        <v>22427</v>
      </c>
      <c r="Y617" s="2">
        <f>VLOOKUP($A617,'[2]App C Assum'!$A$4:$I$917,7,FALSE)</f>
        <v>18207</v>
      </c>
      <c r="Z617" s="2">
        <f>VLOOKUP($A617,'[2]App C Assum'!$A$4:$I$917,8,FALSE)</f>
        <v>0</v>
      </c>
      <c r="AA617" s="2">
        <f>VLOOKUP($A617,'[2]App C Assum'!$A$4:$I$917,9,FALSE)</f>
        <v>0</v>
      </c>
      <c r="AB617" s="2"/>
      <c r="AC617" s="2">
        <f>VLOOKUP($A617,'[2]App C Share Outflows'!$A$4:$I$917,5,FALSE)</f>
        <v>2465</v>
      </c>
      <c r="AD617" s="2">
        <f>VLOOKUP($A617,'[2]App C Share Outflows'!$A$4:$I$917,6,FALSE)</f>
        <v>1777</v>
      </c>
      <c r="AE617" s="2">
        <f>VLOOKUP($A617,'[2]App C Share Outflows'!$A$4:$I$917,7,FALSE)</f>
        <v>1779</v>
      </c>
      <c r="AF617" s="2">
        <f>VLOOKUP($A617,'[2]App C Share Outflows'!$A$4:$I$917,8,FALSE)</f>
        <v>0</v>
      </c>
      <c r="AG617" s="2">
        <f>VLOOKUP($A617,'[2]App C Share Outflows'!$A$4:$I$917,9,FALSE)</f>
        <v>0</v>
      </c>
      <c r="AH617" s="2"/>
      <c r="AI617" s="2">
        <f>VLOOKUP($A617,'[2]App C Share Inflows'!$A$4:$I$917,5,FALSE)</f>
        <v>-2814</v>
      </c>
      <c r="AJ617" s="2">
        <f>VLOOKUP($A617,'[2]App C Share Inflows'!$A$4:$I$917,6,FALSE)</f>
        <v>-2813</v>
      </c>
      <c r="AK617" s="2">
        <f>VLOOKUP($A617,'[2]App C Share Inflows'!$A$4:$I$917,7,FALSE)</f>
        <v>-323</v>
      </c>
      <c r="AL617" s="2">
        <f>VLOOKUP($A617,'[2]App C Share Inflows'!$A$4:$I$917,8,FALSE)</f>
        <v>-325</v>
      </c>
      <c r="AM617" s="2">
        <f>VLOOKUP($A617,'[2]App C Share Inflows'!$A$4:$I$917,6,FALSE)</f>
        <v>-2813</v>
      </c>
    </row>
    <row r="618" spans="1:39">
      <c r="A618" s="351">
        <v>96521</v>
      </c>
      <c r="B618" s="344" t="s">
        <v>1313</v>
      </c>
      <c r="C618" s="235" t="e">
        <f>VLOOKUP(A618,#REF!,10,FALSE)</f>
        <v>#REF!</v>
      </c>
      <c r="E618" s="2">
        <f>VLOOKUP($A618,'[2]App C Total'!$A$4:$I$917,5,FALSE)</f>
        <v>423212</v>
      </c>
      <c r="F618" s="2">
        <f>VLOOKUP($A618,'[2]App C Total'!$A$4:$I$917,6,FALSE)</f>
        <v>113250</v>
      </c>
      <c r="G618" s="2">
        <f>VLOOKUP($A618,'[2]App C Total'!$A$4:$I$917,7,FALSE)</f>
        <v>221106</v>
      </c>
      <c r="H618" s="2">
        <f>VLOOKUP($A618,'[2]App C Total'!$A$4:$I$917,8,FALSE)</f>
        <v>57176</v>
      </c>
      <c r="I618" s="2">
        <f>VLOOKUP($A618,'[2]App C Total'!$A$4:$I$917,9,FALSE)</f>
        <v>0</v>
      </c>
      <c r="J618" s="2"/>
      <c r="K618" s="2">
        <f>VLOOKUP($A618,'[2]App C Exp'!$A$4:$I$917,5,FALSE)</f>
        <v>140040</v>
      </c>
      <c r="L618" s="2">
        <f>VLOOKUP($A618,'[2]App C Exp'!$A$4:$I$917,6,FALSE)</f>
        <v>131732</v>
      </c>
      <c r="M618" s="2">
        <f>VLOOKUP($A618,'[2]App C Exp'!$A$4:$I$917,7,FALSE)</f>
        <v>118070</v>
      </c>
      <c r="N618" s="2">
        <f>VLOOKUP($A618,'[2]App C Exp'!$A$4:$I$917,8,FALSE)</f>
        <v>47274</v>
      </c>
      <c r="O618" s="2">
        <f>VLOOKUP($A618,'[2]App C Exp'!$A$4:$I$917,9,FALSE)</f>
        <v>0</v>
      </c>
      <c r="P618" s="2"/>
      <c r="Q618" s="2">
        <f>VLOOKUP($A618,'[2]App C Inv'!$A$4:$I$917,5,FALSE)</f>
        <v>148672</v>
      </c>
      <c r="R618" s="2">
        <f>VLOOKUP($A618,'[2]App C Inv'!$A$4:$I$917,6,FALSE)</f>
        <v>-127885</v>
      </c>
      <c r="S618" s="2">
        <f>VLOOKUP($A618,'[2]App C Inv'!$A$4:$I$917,7,FALSE)</f>
        <v>18024</v>
      </c>
      <c r="T618" s="2">
        <f>VLOOKUP($A618,'[2]App C Inv'!$A$4:$I$917,8,FALSE)</f>
        <v>23458</v>
      </c>
      <c r="U618" s="2">
        <f>VLOOKUP($A618,'[2]App C Inv'!$A$4:$I$917,9,FALSE)</f>
        <v>0</v>
      </c>
      <c r="V618" s="2"/>
      <c r="W618" s="2">
        <f>VLOOKUP($A618,'[2]App C Assum'!$A$4:$I$917,5,FALSE)</f>
        <v>167481</v>
      </c>
      <c r="X618" s="2">
        <f>VLOOKUP($A618,'[2]App C Assum'!$A$4:$I$917,6,FALSE)</f>
        <v>137206</v>
      </c>
      <c r="Y618" s="2">
        <f>VLOOKUP($A618,'[2]App C Assum'!$A$4:$I$917,7,FALSE)</f>
        <v>111388</v>
      </c>
      <c r="Z618" s="2">
        <f>VLOOKUP($A618,'[2]App C Assum'!$A$4:$I$917,8,FALSE)</f>
        <v>0</v>
      </c>
      <c r="AA618" s="2">
        <f>VLOOKUP($A618,'[2]App C Assum'!$A$4:$I$917,9,FALSE)</f>
        <v>0</v>
      </c>
      <c r="AB618" s="2"/>
      <c r="AC618" s="2">
        <f>VLOOKUP($A618,'[2]App C Share Outflows'!$A$4:$I$917,5,FALSE)</f>
        <v>0</v>
      </c>
      <c r="AD618" s="2">
        <f>VLOOKUP($A618,'[2]App C Share Outflows'!$A$4:$I$917,6,FALSE)</f>
        <v>0</v>
      </c>
      <c r="AE618" s="2">
        <f>VLOOKUP($A618,'[2]App C Share Outflows'!$A$4:$I$917,7,FALSE)</f>
        <v>0</v>
      </c>
      <c r="AF618" s="2">
        <f>VLOOKUP($A618,'[2]App C Share Outflows'!$A$4:$I$917,8,FALSE)</f>
        <v>0</v>
      </c>
      <c r="AG618" s="2">
        <f>VLOOKUP($A618,'[2]App C Share Outflows'!$A$4:$I$917,9,FALSE)</f>
        <v>0</v>
      </c>
      <c r="AH618" s="2"/>
      <c r="AI618" s="2">
        <f>VLOOKUP($A618,'[2]App C Share Inflows'!$A$4:$I$917,5,FALSE)</f>
        <v>-32981</v>
      </c>
      <c r="AJ618" s="2">
        <f>VLOOKUP($A618,'[2]App C Share Inflows'!$A$4:$I$917,6,FALSE)</f>
        <v>-27803</v>
      </c>
      <c r="AK618" s="2">
        <f>VLOOKUP($A618,'[2]App C Share Inflows'!$A$4:$I$917,7,FALSE)</f>
        <v>-26376</v>
      </c>
      <c r="AL618" s="2">
        <f>VLOOKUP($A618,'[2]App C Share Inflows'!$A$4:$I$917,8,FALSE)</f>
        <v>-13556</v>
      </c>
      <c r="AM618" s="2">
        <f>VLOOKUP($A618,'[2]App C Share Inflows'!$A$4:$I$917,6,FALSE)</f>
        <v>-27803</v>
      </c>
    </row>
    <row r="619" spans="1:39">
      <c r="A619" s="351">
        <v>96531</v>
      </c>
      <c r="B619" s="344" t="s">
        <v>1314</v>
      </c>
      <c r="C619" s="235" t="e">
        <f>VLOOKUP(A619,#REF!,10,FALSE)</f>
        <v>#REF!</v>
      </c>
      <c r="E619" s="2">
        <f>VLOOKUP($A619,'[2]App C Total'!$A$4:$I$917,5,FALSE)</f>
        <v>4017961</v>
      </c>
      <c r="F619" s="2">
        <f>VLOOKUP($A619,'[2]App C Total'!$A$4:$I$917,6,FALSE)</f>
        <v>1191781</v>
      </c>
      <c r="G619" s="2">
        <f>VLOOKUP($A619,'[2]App C Total'!$A$4:$I$917,7,FALSE)</f>
        <v>2208430</v>
      </c>
      <c r="H619" s="2">
        <f>VLOOKUP($A619,'[2]App C Total'!$A$4:$I$917,8,FALSE)</f>
        <v>602623</v>
      </c>
      <c r="I619" s="2">
        <f>VLOOKUP($A619,'[2]App C Total'!$A$4:$I$917,9,FALSE)</f>
        <v>0</v>
      </c>
      <c r="J619" s="2"/>
      <c r="K619" s="2">
        <f>VLOOKUP($A619,'[2]App C Exp'!$A$4:$I$917,5,FALSE)</f>
        <v>1289928</v>
      </c>
      <c r="L619" s="2">
        <f>VLOOKUP($A619,'[2]App C Exp'!$A$4:$I$917,6,FALSE)</f>
        <v>1213406</v>
      </c>
      <c r="M619" s="2">
        <f>VLOOKUP($A619,'[2]App C Exp'!$A$4:$I$917,7,FALSE)</f>
        <v>1087562</v>
      </c>
      <c r="N619" s="2">
        <f>VLOOKUP($A619,'[2]App C Exp'!$A$4:$I$917,8,FALSE)</f>
        <v>435447</v>
      </c>
      <c r="O619" s="2">
        <f>VLOOKUP($A619,'[2]App C Exp'!$A$4:$I$917,9,FALSE)</f>
        <v>0</v>
      </c>
      <c r="P619" s="2"/>
      <c r="Q619" s="2">
        <f>VLOOKUP($A619,'[2]App C Inv'!$A$4:$I$917,5,FALSE)</f>
        <v>1369438</v>
      </c>
      <c r="R619" s="2">
        <f>VLOOKUP($A619,'[2]App C Inv'!$A$4:$I$917,6,FALSE)</f>
        <v>-1177973</v>
      </c>
      <c r="S619" s="2">
        <f>VLOOKUP($A619,'[2]App C Inv'!$A$4:$I$917,7,FALSE)</f>
        <v>166021</v>
      </c>
      <c r="T619" s="2">
        <f>VLOOKUP($A619,'[2]App C Inv'!$A$4:$I$917,8,FALSE)</f>
        <v>216074</v>
      </c>
      <c r="U619" s="2">
        <f>VLOOKUP($A619,'[2]App C Inv'!$A$4:$I$917,9,FALSE)</f>
        <v>0</v>
      </c>
      <c r="V619" s="2"/>
      <c r="W619" s="2">
        <f>VLOOKUP($A619,'[2]App C Assum'!$A$4:$I$917,5,FALSE)</f>
        <v>1542692</v>
      </c>
      <c r="X619" s="2">
        <f>VLOOKUP($A619,'[2]App C Assum'!$A$4:$I$917,6,FALSE)</f>
        <v>1263829</v>
      </c>
      <c r="Y619" s="2">
        <f>VLOOKUP($A619,'[2]App C Assum'!$A$4:$I$917,7,FALSE)</f>
        <v>1026013</v>
      </c>
      <c r="Z619" s="2">
        <f>VLOOKUP($A619,'[2]App C Assum'!$A$4:$I$917,8,FALSE)</f>
        <v>0</v>
      </c>
      <c r="AA619" s="2">
        <f>VLOOKUP($A619,'[2]App C Assum'!$A$4:$I$917,9,FALSE)</f>
        <v>0</v>
      </c>
      <c r="AB619" s="2"/>
      <c r="AC619" s="2">
        <f>VLOOKUP($A619,'[2]App C Share Outflows'!$A$4:$I$917,5,FALSE)</f>
        <v>0</v>
      </c>
      <c r="AD619" s="2">
        <f>VLOOKUP($A619,'[2]App C Share Outflows'!$A$4:$I$917,6,FALSE)</f>
        <v>0</v>
      </c>
      <c r="AE619" s="2">
        <f>VLOOKUP($A619,'[2]App C Share Outflows'!$A$4:$I$917,7,FALSE)</f>
        <v>0</v>
      </c>
      <c r="AF619" s="2">
        <f>VLOOKUP($A619,'[2]App C Share Outflows'!$A$4:$I$917,8,FALSE)</f>
        <v>0</v>
      </c>
      <c r="AG619" s="2">
        <f>VLOOKUP($A619,'[2]App C Share Outflows'!$A$4:$I$917,9,FALSE)</f>
        <v>0</v>
      </c>
      <c r="AH619" s="2"/>
      <c r="AI619" s="2">
        <f>VLOOKUP($A619,'[2]App C Share Inflows'!$A$4:$I$917,5,FALSE)</f>
        <v>-184097</v>
      </c>
      <c r="AJ619" s="2">
        <f>VLOOKUP($A619,'[2]App C Share Inflows'!$A$4:$I$917,6,FALSE)</f>
        <v>-107481</v>
      </c>
      <c r="AK619" s="2">
        <f>VLOOKUP($A619,'[2]App C Share Inflows'!$A$4:$I$917,7,FALSE)</f>
        <v>-71166</v>
      </c>
      <c r="AL619" s="2">
        <f>VLOOKUP($A619,'[2]App C Share Inflows'!$A$4:$I$917,8,FALSE)</f>
        <v>-48898</v>
      </c>
      <c r="AM619" s="2">
        <f>VLOOKUP($A619,'[2]App C Share Inflows'!$A$4:$I$917,6,FALSE)</f>
        <v>-107481</v>
      </c>
    </row>
    <row r="620" spans="1:39">
      <c r="A620" s="351">
        <v>96541</v>
      </c>
      <c r="B620" s="344" t="s">
        <v>1315</v>
      </c>
      <c r="C620" s="235" t="e">
        <f>VLOOKUP(A620,#REF!,10,FALSE)</f>
        <v>#REF!</v>
      </c>
      <c r="E620" s="2">
        <f>VLOOKUP($A620,'[2]App C Total'!$A$4:$I$917,5,FALSE)</f>
        <v>193424</v>
      </c>
      <c r="F620" s="2">
        <f>VLOOKUP($A620,'[2]App C Total'!$A$4:$I$917,6,FALSE)</f>
        <v>62426</v>
      </c>
      <c r="G620" s="2">
        <f>VLOOKUP($A620,'[2]App C Total'!$A$4:$I$917,7,FALSE)</f>
        <v>103487</v>
      </c>
      <c r="H620" s="2">
        <f>VLOOKUP($A620,'[2]App C Total'!$A$4:$I$917,8,FALSE)</f>
        <v>31581</v>
      </c>
      <c r="I620" s="2">
        <f>VLOOKUP($A620,'[2]App C Total'!$A$4:$I$917,9,FALSE)</f>
        <v>0</v>
      </c>
      <c r="J620" s="2"/>
      <c r="K620" s="2">
        <f>VLOOKUP($A620,'[2]App C Exp'!$A$4:$I$917,5,FALSE)</f>
        <v>57990</v>
      </c>
      <c r="L620" s="2">
        <f>VLOOKUP($A620,'[2]App C Exp'!$A$4:$I$917,6,FALSE)</f>
        <v>54550</v>
      </c>
      <c r="M620" s="2">
        <f>VLOOKUP($A620,'[2]App C Exp'!$A$4:$I$917,7,FALSE)</f>
        <v>48893</v>
      </c>
      <c r="N620" s="2">
        <f>VLOOKUP($A620,'[2]App C Exp'!$A$4:$I$917,8,FALSE)</f>
        <v>19576</v>
      </c>
      <c r="O620" s="2">
        <f>VLOOKUP($A620,'[2]App C Exp'!$A$4:$I$917,9,FALSE)</f>
        <v>0</v>
      </c>
      <c r="P620" s="2"/>
      <c r="Q620" s="2">
        <f>VLOOKUP($A620,'[2]App C Inv'!$A$4:$I$917,5,FALSE)</f>
        <v>61565</v>
      </c>
      <c r="R620" s="2">
        <f>VLOOKUP($A620,'[2]App C Inv'!$A$4:$I$917,6,FALSE)</f>
        <v>-52957</v>
      </c>
      <c r="S620" s="2">
        <f>VLOOKUP($A620,'[2]App C Inv'!$A$4:$I$917,7,FALSE)</f>
        <v>7464</v>
      </c>
      <c r="T620" s="2">
        <f>VLOOKUP($A620,'[2]App C Inv'!$A$4:$I$917,8,FALSE)</f>
        <v>9714</v>
      </c>
      <c r="U620" s="2">
        <f>VLOOKUP($A620,'[2]App C Inv'!$A$4:$I$917,9,FALSE)</f>
        <v>0</v>
      </c>
      <c r="V620" s="2"/>
      <c r="W620" s="2">
        <f>VLOOKUP($A620,'[2]App C Assum'!$A$4:$I$917,5,FALSE)</f>
        <v>69354</v>
      </c>
      <c r="X620" s="2">
        <f>VLOOKUP($A620,'[2]App C Assum'!$A$4:$I$917,6,FALSE)</f>
        <v>56817</v>
      </c>
      <c r="Y620" s="2">
        <f>VLOOKUP($A620,'[2]App C Assum'!$A$4:$I$917,7,FALSE)</f>
        <v>46126</v>
      </c>
      <c r="Z620" s="2">
        <f>VLOOKUP($A620,'[2]App C Assum'!$A$4:$I$917,8,FALSE)</f>
        <v>0</v>
      </c>
      <c r="AA620" s="2">
        <f>VLOOKUP($A620,'[2]App C Assum'!$A$4:$I$917,9,FALSE)</f>
        <v>0</v>
      </c>
      <c r="AB620" s="2"/>
      <c r="AC620" s="2">
        <f>VLOOKUP($A620,'[2]App C Share Outflows'!$A$4:$I$917,5,FALSE)</f>
        <v>5802</v>
      </c>
      <c r="AD620" s="2">
        <f>VLOOKUP($A620,'[2]App C Share Outflows'!$A$4:$I$917,6,FALSE)</f>
        <v>5303</v>
      </c>
      <c r="AE620" s="2">
        <f>VLOOKUP($A620,'[2]App C Share Outflows'!$A$4:$I$917,7,FALSE)</f>
        <v>2293</v>
      </c>
      <c r="AF620" s="2">
        <f>VLOOKUP($A620,'[2]App C Share Outflows'!$A$4:$I$917,8,FALSE)</f>
        <v>2291</v>
      </c>
      <c r="AG620" s="2">
        <f>VLOOKUP($A620,'[2]App C Share Outflows'!$A$4:$I$917,9,FALSE)</f>
        <v>0</v>
      </c>
      <c r="AH620" s="2"/>
      <c r="AI620" s="2">
        <f>VLOOKUP($A620,'[2]App C Share Inflows'!$A$4:$I$917,5,FALSE)</f>
        <v>-1287</v>
      </c>
      <c r="AJ620" s="2">
        <f>VLOOKUP($A620,'[2]App C Share Inflows'!$A$4:$I$917,6,FALSE)</f>
        <v>-1287</v>
      </c>
      <c r="AK620" s="2">
        <f>VLOOKUP($A620,'[2]App C Share Inflows'!$A$4:$I$917,7,FALSE)</f>
        <v>-1289</v>
      </c>
      <c r="AL620" s="2">
        <f>VLOOKUP($A620,'[2]App C Share Inflows'!$A$4:$I$917,8,FALSE)</f>
        <v>0</v>
      </c>
      <c r="AM620" s="2">
        <f>VLOOKUP($A620,'[2]App C Share Inflows'!$A$4:$I$917,6,FALSE)</f>
        <v>-1287</v>
      </c>
    </row>
    <row r="621" spans="1:39">
      <c r="A621" s="351">
        <v>96601</v>
      </c>
      <c r="B621" s="344" t="s">
        <v>1316</v>
      </c>
      <c r="C621" s="235" t="e">
        <f>VLOOKUP(A621,#REF!,10,FALSE)</f>
        <v>#REF!</v>
      </c>
      <c r="E621" s="2">
        <f>VLOOKUP($A621,'[2]App C Total'!$A$4:$I$917,5,FALSE)</f>
        <v>841098</v>
      </c>
      <c r="F621" s="2">
        <f>VLOOKUP($A621,'[2]App C Total'!$A$4:$I$917,6,FALSE)</f>
        <v>252254</v>
      </c>
      <c r="G621" s="2">
        <f>VLOOKUP($A621,'[2]App C Total'!$A$4:$I$917,7,FALSE)</f>
        <v>445748</v>
      </c>
      <c r="H621" s="2">
        <f>VLOOKUP($A621,'[2]App C Total'!$A$4:$I$917,8,FALSE)</f>
        <v>135479</v>
      </c>
      <c r="I621" s="2">
        <f>VLOOKUP($A621,'[2]App C Total'!$A$4:$I$917,9,FALSE)</f>
        <v>0</v>
      </c>
      <c r="J621" s="2"/>
      <c r="K621" s="2">
        <f>VLOOKUP($A621,'[2]App C Exp'!$A$4:$I$917,5,FALSE)</f>
        <v>260934</v>
      </c>
      <c r="L621" s="2">
        <f>VLOOKUP($A621,'[2]App C Exp'!$A$4:$I$917,6,FALSE)</f>
        <v>245454</v>
      </c>
      <c r="M621" s="2">
        <f>VLOOKUP($A621,'[2]App C Exp'!$A$4:$I$917,7,FALSE)</f>
        <v>219998</v>
      </c>
      <c r="N621" s="2">
        <f>VLOOKUP($A621,'[2]App C Exp'!$A$4:$I$917,8,FALSE)</f>
        <v>88085</v>
      </c>
      <c r="O621" s="2">
        <f>VLOOKUP($A621,'[2]App C Exp'!$A$4:$I$917,9,FALSE)</f>
        <v>0</v>
      </c>
      <c r="P621" s="2"/>
      <c r="Q621" s="2">
        <f>VLOOKUP($A621,'[2]App C Inv'!$A$4:$I$917,5,FALSE)</f>
        <v>277018</v>
      </c>
      <c r="R621" s="2">
        <f>VLOOKUP($A621,'[2]App C Inv'!$A$4:$I$917,6,FALSE)</f>
        <v>-238287</v>
      </c>
      <c r="S621" s="2">
        <f>VLOOKUP($A621,'[2]App C Inv'!$A$4:$I$917,7,FALSE)</f>
        <v>33584</v>
      </c>
      <c r="T621" s="2">
        <f>VLOOKUP($A621,'[2]App C Inv'!$A$4:$I$917,8,FALSE)</f>
        <v>43709</v>
      </c>
      <c r="U621" s="2">
        <f>VLOOKUP($A621,'[2]App C Inv'!$A$4:$I$917,9,FALSE)</f>
        <v>0</v>
      </c>
      <c r="V621" s="2"/>
      <c r="W621" s="2">
        <f>VLOOKUP($A621,'[2]App C Assum'!$A$4:$I$917,5,FALSE)</f>
        <v>312064</v>
      </c>
      <c r="X621" s="2">
        <f>VLOOKUP($A621,'[2]App C Assum'!$A$4:$I$917,6,FALSE)</f>
        <v>255654</v>
      </c>
      <c r="Y621" s="2">
        <f>VLOOKUP($A621,'[2]App C Assum'!$A$4:$I$917,7,FALSE)</f>
        <v>207548</v>
      </c>
      <c r="Z621" s="2">
        <f>VLOOKUP($A621,'[2]App C Assum'!$A$4:$I$917,8,FALSE)</f>
        <v>0</v>
      </c>
      <c r="AA621" s="2">
        <f>VLOOKUP($A621,'[2]App C Assum'!$A$4:$I$917,9,FALSE)</f>
        <v>0</v>
      </c>
      <c r="AB621" s="2"/>
      <c r="AC621" s="2">
        <f>VLOOKUP($A621,'[2]App C Share Outflows'!$A$4:$I$917,5,FALSE)</f>
        <v>10146</v>
      </c>
      <c r="AD621" s="2">
        <f>VLOOKUP($A621,'[2]App C Share Outflows'!$A$4:$I$917,6,FALSE)</f>
        <v>8497</v>
      </c>
      <c r="AE621" s="2">
        <f>VLOOKUP($A621,'[2]App C Share Outflows'!$A$4:$I$917,7,FALSE)</f>
        <v>3683</v>
      </c>
      <c r="AF621" s="2">
        <f>VLOOKUP($A621,'[2]App C Share Outflows'!$A$4:$I$917,8,FALSE)</f>
        <v>3685</v>
      </c>
      <c r="AG621" s="2">
        <f>VLOOKUP($A621,'[2]App C Share Outflows'!$A$4:$I$917,9,FALSE)</f>
        <v>0</v>
      </c>
      <c r="AH621" s="2"/>
      <c r="AI621" s="2">
        <f>VLOOKUP($A621,'[2]App C Share Inflows'!$A$4:$I$917,5,FALSE)</f>
        <v>-19064</v>
      </c>
      <c r="AJ621" s="2">
        <f>VLOOKUP($A621,'[2]App C Share Inflows'!$A$4:$I$917,6,FALSE)</f>
        <v>-19064</v>
      </c>
      <c r="AK621" s="2">
        <f>VLOOKUP($A621,'[2]App C Share Inflows'!$A$4:$I$917,7,FALSE)</f>
        <v>-19065</v>
      </c>
      <c r="AL621" s="2">
        <f>VLOOKUP($A621,'[2]App C Share Inflows'!$A$4:$I$917,8,FALSE)</f>
        <v>0</v>
      </c>
      <c r="AM621" s="2">
        <f>VLOOKUP($A621,'[2]App C Share Inflows'!$A$4:$I$917,6,FALSE)</f>
        <v>-19064</v>
      </c>
    </row>
    <row r="622" spans="1:39">
      <c r="A622" s="351">
        <v>96604</v>
      </c>
      <c r="B622" s="344" t="s">
        <v>1317</v>
      </c>
      <c r="C622" s="235" t="e">
        <f>VLOOKUP(A622,#REF!,10,FALSE)</f>
        <v>#REF!</v>
      </c>
      <c r="E622" s="2">
        <f>VLOOKUP($A622,'[2]App C Total'!$A$4:$I$917,5,FALSE)</f>
        <v>3465</v>
      </c>
      <c r="F622" s="2">
        <f>VLOOKUP($A622,'[2]App C Total'!$A$4:$I$917,6,FALSE)</f>
        <v>1481</v>
      </c>
      <c r="G622" s="2">
        <f>VLOOKUP($A622,'[2]App C Total'!$A$4:$I$917,7,FALSE)</f>
        <v>1827</v>
      </c>
      <c r="H622" s="2">
        <f>VLOOKUP($A622,'[2]App C Total'!$A$4:$I$917,8,FALSE)</f>
        <v>753</v>
      </c>
      <c r="I622" s="2">
        <f>VLOOKUP($A622,'[2]App C Total'!$A$4:$I$917,9,FALSE)</f>
        <v>0</v>
      </c>
      <c r="J622" s="2"/>
      <c r="K622" s="2">
        <f>VLOOKUP($A622,'[2]App C Exp'!$A$4:$I$917,5,FALSE)</f>
        <v>794</v>
      </c>
      <c r="L622" s="2">
        <f>VLOOKUP($A622,'[2]App C Exp'!$A$4:$I$917,6,FALSE)</f>
        <v>747</v>
      </c>
      <c r="M622" s="2">
        <f>VLOOKUP($A622,'[2]App C Exp'!$A$4:$I$917,7,FALSE)</f>
        <v>669</v>
      </c>
      <c r="N622" s="2">
        <f>VLOOKUP($A622,'[2]App C Exp'!$A$4:$I$917,8,FALSE)</f>
        <v>268</v>
      </c>
      <c r="O622" s="2">
        <f>VLOOKUP($A622,'[2]App C Exp'!$A$4:$I$917,9,FALSE)</f>
        <v>0</v>
      </c>
      <c r="P622" s="2"/>
      <c r="Q622" s="2">
        <f>VLOOKUP($A622,'[2]App C Inv'!$A$4:$I$917,5,FALSE)</f>
        <v>843</v>
      </c>
      <c r="R622" s="2">
        <f>VLOOKUP($A622,'[2]App C Inv'!$A$4:$I$917,6,FALSE)</f>
        <v>-725</v>
      </c>
      <c r="S622" s="2">
        <f>VLOOKUP($A622,'[2]App C Inv'!$A$4:$I$917,7,FALSE)</f>
        <v>102</v>
      </c>
      <c r="T622" s="2">
        <f>VLOOKUP($A622,'[2]App C Inv'!$A$4:$I$917,8,FALSE)</f>
        <v>133</v>
      </c>
      <c r="U622" s="2">
        <f>VLOOKUP($A622,'[2]App C Inv'!$A$4:$I$917,9,FALSE)</f>
        <v>0</v>
      </c>
      <c r="V622" s="2"/>
      <c r="W622" s="2">
        <f>VLOOKUP($A622,'[2]App C Assum'!$A$4:$I$917,5,FALSE)</f>
        <v>950</v>
      </c>
      <c r="X622" s="2">
        <f>VLOOKUP($A622,'[2]App C Assum'!$A$4:$I$917,6,FALSE)</f>
        <v>778</v>
      </c>
      <c r="Y622" s="2">
        <f>VLOOKUP($A622,'[2]App C Assum'!$A$4:$I$917,7,FALSE)</f>
        <v>632</v>
      </c>
      <c r="Z622" s="2">
        <f>VLOOKUP($A622,'[2]App C Assum'!$A$4:$I$917,8,FALSE)</f>
        <v>0</v>
      </c>
      <c r="AA622" s="2">
        <f>VLOOKUP($A622,'[2]App C Assum'!$A$4:$I$917,9,FALSE)</f>
        <v>0</v>
      </c>
      <c r="AB622" s="2"/>
      <c r="AC622" s="2">
        <f>VLOOKUP($A622,'[2]App C Share Outflows'!$A$4:$I$917,5,FALSE)</f>
        <v>878</v>
      </c>
      <c r="AD622" s="2">
        <f>VLOOKUP($A622,'[2]App C Share Outflows'!$A$4:$I$917,6,FALSE)</f>
        <v>681</v>
      </c>
      <c r="AE622" s="2">
        <f>VLOOKUP($A622,'[2]App C Share Outflows'!$A$4:$I$917,7,FALSE)</f>
        <v>424</v>
      </c>
      <c r="AF622" s="2">
        <f>VLOOKUP($A622,'[2]App C Share Outflows'!$A$4:$I$917,8,FALSE)</f>
        <v>352</v>
      </c>
      <c r="AG622" s="2">
        <f>VLOOKUP($A622,'[2]App C Share Outflows'!$A$4:$I$917,9,FALSE)</f>
        <v>0</v>
      </c>
      <c r="AH622" s="2"/>
      <c r="AI622" s="2">
        <f>VLOOKUP($A622,'[2]App C Share Inflows'!$A$4:$I$917,5,FALSE)</f>
        <v>0</v>
      </c>
      <c r="AJ622" s="2">
        <f>VLOOKUP($A622,'[2]App C Share Inflows'!$A$4:$I$917,6,FALSE)</f>
        <v>0</v>
      </c>
      <c r="AK622" s="2">
        <f>VLOOKUP($A622,'[2]App C Share Inflows'!$A$4:$I$917,7,FALSE)</f>
        <v>0</v>
      </c>
      <c r="AL622" s="2">
        <f>VLOOKUP($A622,'[2]App C Share Inflows'!$A$4:$I$917,8,FALSE)</f>
        <v>0</v>
      </c>
      <c r="AM622" s="2">
        <f>VLOOKUP($A622,'[2]App C Share Inflows'!$A$4:$I$917,6,FALSE)</f>
        <v>0</v>
      </c>
    </row>
    <row r="623" spans="1:39">
      <c r="A623" s="351">
        <v>96611</v>
      </c>
      <c r="B623" s="344" t="s">
        <v>1318</v>
      </c>
      <c r="C623" s="235" t="e">
        <f>VLOOKUP(A623,#REF!,10,FALSE)</f>
        <v>#REF!</v>
      </c>
      <c r="E623" s="2">
        <f>VLOOKUP($A623,'[2]App C Total'!$A$4:$I$917,5,FALSE)</f>
        <v>4359</v>
      </c>
      <c r="F623" s="2">
        <f>VLOOKUP($A623,'[2]App C Total'!$A$4:$I$917,6,FALSE)</f>
        <v>-449</v>
      </c>
      <c r="G623" s="2">
        <f>VLOOKUP($A623,'[2]App C Total'!$A$4:$I$917,7,FALSE)</f>
        <v>2099</v>
      </c>
      <c r="H623" s="2">
        <f>VLOOKUP($A623,'[2]App C Total'!$A$4:$I$917,8,FALSE)</f>
        <v>2</v>
      </c>
      <c r="I623" s="2">
        <f>VLOOKUP($A623,'[2]App C Total'!$A$4:$I$917,9,FALSE)</f>
        <v>0</v>
      </c>
      <c r="J623" s="2"/>
      <c r="K623" s="2">
        <f>VLOOKUP($A623,'[2]App C Exp'!$A$4:$I$917,5,FALSE)</f>
        <v>2082</v>
      </c>
      <c r="L623" s="2">
        <f>VLOOKUP($A623,'[2]App C Exp'!$A$4:$I$917,6,FALSE)</f>
        <v>1959</v>
      </c>
      <c r="M623" s="2">
        <f>VLOOKUP($A623,'[2]App C Exp'!$A$4:$I$917,7,FALSE)</f>
        <v>1756</v>
      </c>
      <c r="N623" s="2">
        <f>VLOOKUP($A623,'[2]App C Exp'!$A$4:$I$917,8,FALSE)</f>
        <v>703</v>
      </c>
      <c r="O623" s="2">
        <f>VLOOKUP($A623,'[2]App C Exp'!$A$4:$I$917,9,FALSE)</f>
        <v>0</v>
      </c>
      <c r="P623" s="2"/>
      <c r="Q623" s="2">
        <f>VLOOKUP($A623,'[2]App C Inv'!$A$4:$I$917,5,FALSE)</f>
        <v>2211</v>
      </c>
      <c r="R623" s="2">
        <f>VLOOKUP($A623,'[2]App C Inv'!$A$4:$I$917,6,FALSE)</f>
        <v>-1902</v>
      </c>
      <c r="S623" s="2">
        <f>VLOOKUP($A623,'[2]App C Inv'!$A$4:$I$917,7,FALSE)</f>
        <v>268</v>
      </c>
      <c r="T623" s="2">
        <f>VLOOKUP($A623,'[2]App C Inv'!$A$4:$I$917,8,FALSE)</f>
        <v>349</v>
      </c>
      <c r="U623" s="2">
        <f>VLOOKUP($A623,'[2]App C Inv'!$A$4:$I$917,9,FALSE)</f>
        <v>0</v>
      </c>
      <c r="V623" s="2"/>
      <c r="W623" s="2">
        <f>VLOOKUP($A623,'[2]App C Assum'!$A$4:$I$917,5,FALSE)</f>
        <v>2490</v>
      </c>
      <c r="X623" s="2">
        <f>VLOOKUP($A623,'[2]App C Assum'!$A$4:$I$917,6,FALSE)</f>
        <v>2040</v>
      </c>
      <c r="Y623" s="2">
        <f>VLOOKUP($A623,'[2]App C Assum'!$A$4:$I$917,7,FALSE)</f>
        <v>1656</v>
      </c>
      <c r="Z623" s="2">
        <f>VLOOKUP($A623,'[2]App C Assum'!$A$4:$I$917,8,FALSE)</f>
        <v>0</v>
      </c>
      <c r="AA623" s="2">
        <f>VLOOKUP($A623,'[2]App C Assum'!$A$4:$I$917,9,FALSE)</f>
        <v>0</v>
      </c>
      <c r="AB623" s="2"/>
      <c r="AC623" s="2">
        <f>VLOOKUP($A623,'[2]App C Share Outflows'!$A$4:$I$917,5,FALSE)</f>
        <v>121</v>
      </c>
      <c r="AD623" s="2">
        <f>VLOOKUP($A623,'[2]App C Share Outflows'!$A$4:$I$917,6,FALSE)</f>
        <v>0</v>
      </c>
      <c r="AE623" s="2">
        <f>VLOOKUP($A623,'[2]App C Share Outflows'!$A$4:$I$917,7,FALSE)</f>
        <v>0</v>
      </c>
      <c r="AF623" s="2">
        <f>VLOOKUP($A623,'[2]App C Share Outflows'!$A$4:$I$917,8,FALSE)</f>
        <v>0</v>
      </c>
      <c r="AG623" s="2">
        <f>VLOOKUP($A623,'[2]App C Share Outflows'!$A$4:$I$917,9,FALSE)</f>
        <v>0</v>
      </c>
      <c r="AH623" s="2"/>
      <c r="AI623" s="2">
        <f>VLOOKUP($A623,'[2]App C Share Inflows'!$A$4:$I$917,5,FALSE)</f>
        <v>-2545</v>
      </c>
      <c r="AJ623" s="2">
        <f>VLOOKUP($A623,'[2]App C Share Inflows'!$A$4:$I$917,6,FALSE)</f>
        <v>-2546</v>
      </c>
      <c r="AK623" s="2">
        <f>VLOOKUP($A623,'[2]App C Share Inflows'!$A$4:$I$917,7,FALSE)</f>
        <v>-1581</v>
      </c>
      <c r="AL623" s="2">
        <f>VLOOKUP($A623,'[2]App C Share Inflows'!$A$4:$I$917,8,FALSE)</f>
        <v>-1050</v>
      </c>
      <c r="AM623" s="2">
        <f>VLOOKUP($A623,'[2]App C Share Inflows'!$A$4:$I$917,6,FALSE)</f>
        <v>-2546</v>
      </c>
    </row>
    <row r="624" spans="1:39">
      <c r="A624" s="351">
        <v>96612</v>
      </c>
      <c r="B624" s="344" t="s">
        <v>2767</v>
      </c>
      <c r="C624" s="235" t="e">
        <f>VLOOKUP(A624,#REF!,10,FALSE)</f>
        <v>#REF!</v>
      </c>
      <c r="E624" s="2">
        <f>VLOOKUP($A624,'[2]App C Total'!$A$4:$I$917,5,FALSE)</f>
        <v>29613</v>
      </c>
      <c r="F624" s="2">
        <f>VLOOKUP($A624,'[2]App C Total'!$A$4:$I$917,6,FALSE)</f>
        <v>10268</v>
      </c>
      <c r="G624" s="2">
        <f>VLOOKUP($A624,'[2]App C Total'!$A$4:$I$917,7,FALSE)</f>
        <v>15886</v>
      </c>
      <c r="H624" s="2">
        <f>VLOOKUP($A624,'[2]App C Total'!$A$4:$I$917,8,FALSE)</f>
        <v>6034</v>
      </c>
      <c r="I624" s="2">
        <f>VLOOKUP($A624,'[2]App C Total'!$A$4:$I$917,9,FALSE)</f>
        <v>0</v>
      </c>
      <c r="J624" s="2"/>
      <c r="K624" s="2">
        <f>VLOOKUP($A624,'[2]App C Exp'!$A$4:$I$917,5,FALSE)</f>
        <v>8254</v>
      </c>
      <c r="L624" s="2">
        <f>VLOOKUP($A624,'[2]App C Exp'!$A$4:$I$917,6,FALSE)</f>
        <v>7765</v>
      </c>
      <c r="M624" s="2">
        <f>VLOOKUP($A624,'[2]App C Exp'!$A$4:$I$917,7,FALSE)</f>
        <v>6959</v>
      </c>
      <c r="N624" s="2">
        <f>VLOOKUP($A624,'[2]App C Exp'!$A$4:$I$917,8,FALSE)</f>
        <v>2786</v>
      </c>
      <c r="O624" s="2">
        <f>VLOOKUP($A624,'[2]App C Exp'!$A$4:$I$917,9,FALSE)</f>
        <v>0</v>
      </c>
      <c r="P624" s="2"/>
      <c r="Q624" s="2">
        <f>VLOOKUP($A624,'[2]App C Inv'!$A$4:$I$917,5,FALSE)</f>
        <v>8763</v>
      </c>
      <c r="R624" s="2">
        <f>VLOOKUP($A624,'[2]App C Inv'!$A$4:$I$917,6,FALSE)</f>
        <v>-7538</v>
      </c>
      <c r="S624" s="2">
        <f>VLOOKUP($A624,'[2]App C Inv'!$A$4:$I$917,7,FALSE)</f>
        <v>1062</v>
      </c>
      <c r="T624" s="2">
        <f>VLOOKUP($A624,'[2]App C Inv'!$A$4:$I$917,8,FALSE)</f>
        <v>1383</v>
      </c>
      <c r="U624" s="2">
        <f>VLOOKUP($A624,'[2]App C Inv'!$A$4:$I$917,9,FALSE)</f>
        <v>0</v>
      </c>
      <c r="V624" s="2"/>
      <c r="W624" s="2">
        <f>VLOOKUP($A624,'[2]App C Assum'!$A$4:$I$917,5,FALSE)</f>
        <v>9872</v>
      </c>
      <c r="X624" s="2">
        <f>VLOOKUP($A624,'[2]App C Assum'!$A$4:$I$917,6,FALSE)</f>
        <v>8087</v>
      </c>
      <c r="Y624" s="2">
        <f>VLOOKUP($A624,'[2]App C Assum'!$A$4:$I$917,7,FALSE)</f>
        <v>6566</v>
      </c>
      <c r="Z624" s="2">
        <f>VLOOKUP($A624,'[2]App C Assum'!$A$4:$I$917,8,FALSE)</f>
        <v>0</v>
      </c>
      <c r="AA624" s="2">
        <f>VLOOKUP($A624,'[2]App C Assum'!$A$4:$I$917,9,FALSE)</f>
        <v>0</v>
      </c>
      <c r="AB624" s="2"/>
      <c r="AC624" s="2">
        <f>VLOOKUP($A624,'[2]App C Share Outflows'!$A$4:$I$917,5,FALSE)</f>
        <v>3290</v>
      </c>
      <c r="AD624" s="2">
        <f>VLOOKUP($A624,'[2]App C Share Outflows'!$A$4:$I$917,6,FALSE)</f>
        <v>2520</v>
      </c>
      <c r="AE624" s="2">
        <f>VLOOKUP($A624,'[2]App C Share Outflows'!$A$4:$I$917,7,FALSE)</f>
        <v>1865</v>
      </c>
      <c r="AF624" s="2">
        <f>VLOOKUP($A624,'[2]App C Share Outflows'!$A$4:$I$917,8,FALSE)</f>
        <v>1865</v>
      </c>
      <c r="AG624" s="2">
        <f>VLOOKUP($A624,'[2]App C Share Outflows'!$A$4:$I$917,9,FALSE)</f>
        <v>0</v>
      </c>
      <c r="AH624" s="2"/>
      <c r="AI624" s="2">
        <f>VLOOKUP($A624,'[2]App C Share Inflows'!$A$4:$I$917,5,FALSE)</f>
        <v>-566</v>
      </c>
      <c r="AJ624" s="2">
        <f>VLOOKUP($A624,'[2]App C Share Inflows'!$A$4:$I$917,6,FALSE)</f>
        <v>-566</v>
      </c>
      <c r="AK624" s="2">
        <f>VLOOKUP($A624,'[2]App C Share Inflows'!$A$4:$I$917,7,FALSE)</f>
        <v>-566</v>
      </c>
      <c r="AL624" s="2">
        <f>VLOOKUP($A624,'[2]App C Share Inflows'!$A$4:$I$917,8,FALSE)</f>
        <v>0</v>
      </c>
      <c r="AM624" s="2">
        <f>VLOOKUP($A624,'[2]App C Share Inflows'!$A$4:$I$917,6,FALSE)</f>
        <v>-566</v>
      </c>
    </row>
    <row r="625" spans="1:39">
      <c r="A625" s="351">
        <v>96621</v>
      </c>
      <c r="B625" s="344" t="s">
        <v>1320</v>
      </c>
      <c r="C625" s="235" t="e">
        <f>VLOOKUP(A625,#REF!,10,FALSE)</f>
        <v>#REF!</v>
      </c>
      <c r="E625" s="2">
        <f>VLOOKUP($A625,'[2]App C Total'!$A$4:$I$917,5,FALSE)</f>
        <v>9383</v>
      </c>
      <c r="F625" s="2">
        <f>VLOOKUP($A625,'[2]App C Total'!$A$4:$I$917,6,FALSE)</f>
        <v>3257</v>
      </c>
      <c r="G625" s="2">
        <f>VLOOKUP($A625,'[2]App C Total'!$A$4:$I$917,7,FALSE)</f>
        <v>5461</v>
      </c>
      <c r="H625" s="2">
        <f>VLOOKUP($A625,'[2]App C Total'!$A$4:$I$917,8,FALSE)</f>
        <v>2083</v>
      </c>
      <c r="I625" s="2">
        <f>VLOOKUP($A625,'[2]App C Total'!$A$4:$I$917,9,FALSE)</f>
        <v>0</v>
      </c>
      <c r="J625" s="2"/>
      <c r="K625" s="2">
        <f>VLOOKUP($A625,'[2]App C Exp'!$A$4:$I$917,5,FALSE)</f>
        <v>3131</v>
      </c>
      <c r="L625" s="2">
        <f>VLOOKUP($A625,'[2]App C Exp'!$A$4:$I$917,6,FALSE)</f>
        <v>2945</v>
      </c>
      <c r="M625" s="2">
        <f>VLOOKUP($A625,'[2]App C Exp'!$A$4:$I$917,7,FALSE)</f>
        <v>2640</v>
      </c>
      <c r="N625" s="2">
        <f>VLOOKUP($A625,'[2]App C Exp'!$A$4:$I$917,8,FALSE)</f>
        <v>1057</v>
      </c>
      <c r="O625" s="2">
        <f>VLOOKUP($A625,'[2]App C Exp'!$A$4:$I$917,9,FALSE)</f>
        <v>0</v>
      </c>
      <c r="P625" s="2"/>
      <c r="Q625" s="2">
        <f>VLOOKUP($A625,'[2]App C Inv'!$A$4:$I$917,5,FALSE)</f>
        <v>3324</v>
      </c>
      <c r="R625" s="2">
        <f>VLOOKUP($A625,'[2]App C Inv'!$A$4:$I$917,6,FALSE)</f>
        <v>-2859</v>
      </c>
      <c r="S625" s="2">
        <f>VLOOKUP($A625,'[2]App C Inv'!$A$4:$I$917,7,FALSE)</f>
        <v>403</v>
      </c>
      <c r="T625" s="2">
        <f>VLOOKUP($A625,'[2]App C Inv'!$A$4:$I$917,8,FALSE)</f>
        <v>524</v>
      </c>
      <c r="U625" s="2">
        <f>VLOOKUP($A625,'[2]App C Inv'!$A$4:$I$917,9,FALSE)</f>
        <v>0</v>
      </c>
      <c r="V625" s="2"/>
      <c r="W625" s="2">
        <f>VLOOKUP($A625,'[2]App C Assum'!$A$4:$I$917,5,FALSE)</f>
        <v>3744</v>
      </c>
      <c r="X625" s="2">
        <f>VLOOKUP($A625,'[2]App C Assum'!$A$4:$I$917,6,FALSE)</f>
        <v>3068</v>
      </c>
      <c r="Y625" s="2">
        <f>VLOOKUP($A625,'[2]App C Assum'!$A$4:$I$917,7,FALSE)</f>
        <v>2490</v>
      </c>
      <c r="Z625" s="2">
        <f>VLOOKUP($A625,'[2]App C Assum'!$A$4:$I$917,8,FALSE)</f>
        <v>0</v>
      </c>
      <c r="AA625" s="2">
        <f>VLOOKUP($A625,'[2]App C Assum'!$A$4:$I$917,9,FALSE)</f>
        <v>0</v>
      </c>
      <c r="AB625" s="2"/>
      <c r="AC625" s="2">
        <f>VLOOKUP($A625,'[2]App C Share Outflows'!$A$4:$I$917,5,FALSE)</f>
        <v>677</v>
      </c>
      <c r="AD625" s="2">
        <f>VLOOKUP($A625,'[2]App C Share Outflows'!$A$4:$I$917,6,FALSE)</f>
        <v>677</v>
      </c>
      <c r="AE625" s="2">
        <f>VLOOKUP($A625,'[2]App C Share Outflows'!$A$4:$I$917,7,FALSE)</f>
        <v>501</v>
      </c>
      <c r="AF625" s="2">
        <f>VLOOKUP($A625,'[2]App C Share Outflows'!$A$4:$I$917,8,FALSE)</f>
        <v>502</v>
      </c>
      <c r="AG625" s="2">
        <f>VLOOKUP($A625,'[2]App C Share Outflows'!$A$4:$I$917,9,FALSE)</f>
        <v>0</v>
      </c>
      <c r="AH625" s="2"/>
      <c r="AI625" s="2">
        <f>VLOOKUP($A625,'[2]App C Share Inflows'!$A$4:$I$917,5,FALSE)</f>
        <v>-1493</v>
      </c>
      <c r="AJ625" s="2">
        <f>VLOOKUP($A625,'[2]App C Share Inflows'!$A$4:$I$917,6,FALSE)</f>
        <v>-574</v>
      </c>
      <c r="AK625" s="2">
        <f>VLOOKUP($A625,'[2]App C Share Inflows'!$A$4:$I$917,7,FALSE)</f>
        <v>-573</v>
      </c>
      <c r="AL625" s="2">
        <f>VLOOKUP($A625,'[2]App C Share Inflows'!$A$4:$I$917,8,FALSE)</f>
        <v>0</v>
      </c>
      <c r="AM625" s="2">
        <f>VLOOKUP($A625,'[2]App C Share Inflows'!$A$4:$I$917,6,FALSE)</f>
        <v>-574</v>
      </c>
    </row>
    <row r="626" spans="1:39">
      <c r="A626" s="351">
        <v>96631</v>
      </c>
      <c r="B626" s="344" t="s">
        <v>1321</v>
      </c>
      <c r="C626" s="235" t="e">
        <f>VLOOKUP(A626,#REF!,10,FALSE)</f>
        <v>#REF!</v>
      </c>
      <c r="E626" s="2">
        <f>VLOOKUP($A626,'[2]App C Total'!$A$4:$I$917,5,FALSE)</f>
        <v>10345</v>
      </c>
      <c r="F626" s="2">
        <f>VLOOKUP($A626,'[2]App C Total'!$A$4:$I$917,6,FALSE)</f>
        <v>3031</v>
      </c>
      <c r="G626" s="2">
        <f>VLOOKUP($A626,'[2]App C Total'!$A$4:$I$917,7,FALSE)</f>
        <v>5566</v>
      </c>
      <c r="H626" s="2">
        <f>VLOOKUP($A626,'[2]App C Total'!$A$4:$I$917,8,FALSE)</f>
        <v>1516</v>
      </c>
      <c r="I626" s="2">
        <f>VLOOKUP($A626,'[2]App C Total'!$A$4:$I$917,9,FALSE)</f>
        <v>0</v>
      </c>
      <c r="J626" s="2"/>
      <c r="K626" s="2">
        <f>VLOOKUP($A626,'[2]App C Exp'!$A$4:$I$917,5,FALSE)</f>
        <v>3266</v>
      </c>
      <c r="L626" s="2">
        <f>VLOOKUP($A626,'[2]App C Exp'!$A$4:$I$917,6,FALSE)</f>
        <v>3072</v>
      </c>
      <c r="M626" s="2">
        <f>VLOOKUP($A626,'[2]App C Exp'!$A$4:$I$917,7,FALSE)</f>
        <v>2753</v>
      </c>
      <c r="N626" s="2">
        <f>VLOOKUP($A626,'[2]App C Exp'!$A$4:$I$917,8,FALSE)</f>
        <v>1102</v>
      </c>
      <c r="O626" s="2">
        <f>VLOOKUP($A626,'[2]App C Exp'!$A$4:$I$917,9,FALSE)</f>
        <v>0</v>
      </c>
      <c r="P626" s="2"/>
      <c r="Q626" s="2">
        <f>VLOOKUP($A626,'[2]App C Inv'!$A$4:$I$917,5,FALSE)</f>
        <v>3467</v>
      </c>
      <c r="R626" s="2">
        <f>VLOOKUP($A626,'[2]App C Inv'!$A$4:$I$917,6,FALSE)</f>
        <v>-2982</v>
      </c>
      <c r="S626" s="2">
        <f>VLOOKUP($A626,'[2]App C Inv'!$A$4:$I$917,7,FALSE)</f>
        <v>420</v>
      </c>
      <c r="T626" s="2">
        <f>VLOOKUP($A626,'[2]App C Inv'!$A$4:$I$917,8,FALSE)</f>
        <v>547</v>
      </c>
      <c r="U626" s="2">
        <f>VLOOKUP($A626,'[2]App C Inv'!$A$4:$I$917,9,FALSE)</f>
        <v>0</v>
      </c>
      <c r="V626" s="2"/>
      <c r="W626" s="2">
        <f>VLOOKUP($A626,'[2]App C Assum'!$A$4:$I$917,5,FALSE)</f>
        <v>3906</v>
      </c>
      <c r="X626" s="2">
        <f>VLOOKUP($A626,'[2]App C Assum'!$A$4:$I$917,6,FALSE)</f>
        <v>3200</v>
      </c>
      <c r="Y626" s="2">
        <f>VLOOKUP($A626,'[2]App C Assum'!$A$4:$I$917,7,FALSE)</f>
        <v>2598</v>
      </c>
      <c r="Z626" s="2">
        <f>VLOOKUP($A626,'[2]App C Assum'!$A$4:$I$917,8,FALSE)</f>
        <v>0</v>
      </c>
      <c r="AA626" s="2">
        <f>VLOOKUP($A626,'[2]App C Assum'!$A$4:$I$917,9,FALSE)</f>
        <v>0</v>
      </c>
      <c r="AB626" s="2"/>
      <c r="AC626" s="2">
        <f>VLOOKUP($A626,'[2]App C Share Outflows'!$A$4:$I$917,5,FALSE)</f>
        <v>0</v>
      </c>
      <c r="AD626" s="2">
        <f>VLOOKUP($A626,'[2]App C Share Outflows'!$A$4:$I$917,6,FALSE)</f>
        <v>0</v>
      </c>
      <c r="AE626" s="2">
        <f>VLOOKUP($A626,'[2]App C Share Outflows'!$A$4:$I$917,7,FALSE)</f>
        <v>0</v>
      </c>
      <c r="AF626" s="2">
        <f>VLOOKUP($A626,'[2]App C Share Outflows'!$A$4:$I$917,8,FALSE)</f>
        <v>0</v>
      </c>
      <c r="AG626" s="2">
        <f>VLOOKUP($A626,'[2]App C Share Outflows'!$A$4:$I$917,9,FALSE)</f>
        <v>0</v>
      </c>
      <c r="AH626" s="2"/>
      <c r="AI626" s="2">
        <f>VLOOKUP($A626,'[2]App C Share Inflows'!$A$4:$I$917,5,FALSE)</f>
        <v>-294</v>
      </c>
      <c r="AJ626" s="2">
        <f>VLOOKUP($A626,'[2]App C Share Inflows'!$A$4:$I$917,6,FALSE)</f>
        <v>-259</v>
      </c>
      <c r="AK626" s="2">
        <f>VLOOKUP($A626,'[2]App C Share Inflows'!$A$4:$I$917,7,FALSE)</f>
        <v>-205</v>
      </c>
      <c r="AL626" s="2">
        <f>VLOOKUP($A626,'[2]App C Share Inflows'!$A$4:$I$917,8,FALSE)</f>
        <v>-133</v>
      </c>
      <c r="AM626" s="2">
        <f>VLOOKUP($A626,'[2]App C Share Inflows'!$A$4:$I$917,6,FALSE)</f>
        <v>-259</v>
      </c>
    </row>
    <row r="627" spans="1:39">
      <c r="A627" s="351">
        <v>96641</v>
      </c>
      <c r="B627" s="344" t="s">
        <v>1322</v>
      </c>
      <c r="C627" s="235" t="e">
        <f>VLOOKUP(A627,#REF!,10,FALSE)</f>
        <v>#REF!</v>
      </c>
      <c r="E627" s="2">
        <f>VLOOKUP($A627,'[2]App C Total'!$A$4:$I$917,5,FALSE)</f>
        <v>22517</v>
      </c>
      <c r="F627" s="2">
        <f>VLOOKUP($A627,'[2]App C Total'!$A$4:$I$917,6,FALSE)</f>
        <v>10057</v>
      </c>
      <c r="G627" s="2">
        <f>VLOOKUP($A627,'[2]App C Total'!$A$4:$I$917,7,FALSE)</f>
        <v>11819</v>
      </c>
      <c r="H627" s="2">
        <f>VLOOKUP($A627,'[2]App C Total'!$A$4:$I$917,8,FALSE)</f>
        <v>4184</v>
      </c>
      <c r="I627" s="2">
        <f>VLOOKUP($A627,'[2]App C Total'!$A$4:$I$917,9,FALSE)</f>
        <v>0</v>
      </c>
      <c r="J627" s="2"/>
      <c r="K627" s="2">
        <f>VLOOKUP($A627,'[2]App C Exp'!$A$4:$I$917,5,FALSE)</f>
        <v>5063</v>
      </c>
      <c r="L627" s="2">
        <f>VLOOKUP($A627,'[2]App C Exp'!$A$4:$I$917,6,FALSE)</f>
        <v>4763</v>
      </c>
      <c r="M627" s="2">
        <f>VLOOKUP($A627,'[2]App C Exp'!$A$4:$I$917,7,FALSE)</f>
        <v>4269</v>
      </c>
      <c r="N627" s="2">
        <f>VLOOKUP($A627,'[2]App C Exp'!$A$4:$I$917,8,FALSE)</f>
        <v>1709</v>
      </c>
      <c r="O627" s="2">
        <f>VLOOKUP($A627,'[2]App C Exp'!$A$4:$I$917,9,FALSE)</f>
        <v>0</v>
      </c>
      <c r="P627" s="2"/>
      <c r="Q627" s="2">
        <f>VLOOKUP($A627,'[2]App C Inv'!$A$4:$I$917,5,FALSE)</f>
        <v>5376</v>
      </c>
      <c r="R627" s="2">
        <f>VLOOKUP($A627,'[2]App C Inv'!$A$4:$I$917,6,FALSE)</f>
        <v>-4624</v>
      </c>
      <c r="S627" s="2">
        <f>VLOOKUP($A627,'[2]App C Inv'!$A$4:$I$917,7,FALSE)</f>
        <v>652</v>
      </c>
      <c r="T627" s="2">
        <f>VLOOKUP($A627,'[2]App C Inv'!$A$4:$I$917,8,FALSE)</f>
        <v>848</v>
      </c>
      <c r="U627" s="2">
        <f>VLOOKUP($A627,'[2]App C Inv'!$A$4:$I$917,9,FALSE)</f>
        <v>0</v>
      </c>
      <c r="V627" s="2"/>
      <c r="W627" s="2">
        <f>VLOOKUP($A627,'[2]App C Assum'!$A$4:$I$917,5,FALSE)</f>
        <v>6056</v>
      </c>
      <c r="X627" s="2">
        <f>VLOOKUP($A627,'[2]App C Assum'!$A$4:$I$917,6,FALSE)</f>
        <v>4961</v>
      </c>
      <c r="Y627" s="2">
        <f>VLOOKUP($A627,'[2]App C Assum'!$A$4:$I$917,7,FALSE)</f>
        <v>4028</v>
      </c>
      <c r="Z627" s="2">
        <f>VLOOKUP($A627,'[2]App C Assum'!$A$4:$I$917,8,FALSE)</f>
        <v>0</v>
      </c>
      <c r="AA627" s="2">
        <f>VLOOKUP($A627,'[2]App C Assum'!$A$4:$I$917,9,FALSE)</f>
        <v>0</v>
      </c>
      <c r="AB627" s="2"/>
      <c r="AC627" s="2">
        <f>VLOOKUP($A627,'[2]App C Share Outflows'!$A$4:$I$917,5,FALSE)</f>
        <v>6022</v>
      </c>
      <c r="AD627" s="2">
        <f>VLOOKUP($A627,'[2]App C Share Outflows'!$A$4:$I$917,6,FALSE)</f>
        <v>4957</v>
      </c>
      <c r="AE627" s="2">
        <f>VLOOKUP($A627,'[2]App C Share Outflows'!$A$4:$I$917,7,FALSE)</f>
        <v>2870</v>
      </c>
      <c r="AF627" s="2">
        <f>VLOOKUP($A627,'[2]App C Share Outflows'!$A$4:$I$917,8,FALSE)</f>
        <v>1627</v>
      </c>
      <c r="AG627" s="2">
        <f>VLOOKUP($A627,'[2]App C Share Outflows'!$A$4:$I$917,9,FALSE)</f>
        <v>0</v>
      </c>
      <c r="AH627" s="2"/>
      <c r="AI627" s="2">
        <f>VLOOKUP($A627,'[2]App C Share Inflows'!$A$4:$I$917,5,FALSE)</f>
        <v>0</v>
      </c>
      <c r="AJ627" s="2">
        <f>VLOOKUP($A627,'[2]App C Share Inflows'!$A$4:$I$917,6,FALSE)</f>
        <v>0</v>
      </c>
      <c r="AK627" s="2">
        <f>VLOOKUP($A627,'[2]App C Share Inflows'!$A$4:$I$917,7,FALSE)</f>
        <v>0</v>
      </c>
      <c r="AL627" s="2">
        <f>VLOOKUP($A627,'[2]App C Share Inflows'!$A$4:$I$917,8,FALSE)</f>
        <v>0</v>
      </c>
      <c r="AM627" s="2">
        <f>VLOOKUP($A627,'[2]App C Share Inflows'!$A$4:$I$917,6,FALSE)</f>
        <v>0</v>
      </c>
    </row>
    <row r="628" spans="1:39">
      <c r="A628" s="351">
        <v>96651</v>
      </c>
      <c r="B628" s="344" t="s">
        <v>1323</v>
      </c>
      <c r="C628" s="235" t="e">
        <f>VLOOKUP(A628,#REF!,10,FALSE)</f>
        <v>#REF!</v>
      </c>
      <c r="E628" s="2">
        <f>VLOOKUP($A628,'[2]App C Total'!$A$4:$I$917,5,FALSE)</f>
        <v>9039</v>
      </c>
      <c r="F628" s="2">
        <f>VLOOKUP($A628,'[2]App C Total'!$A$4:$I$917,6,FALSE)</f>
        <v>2628</v>
      </c>
      <c r="G628" s="2">
        <f>VLOOKUP($A628,'[2]App C Total'!$A$4:$I$917,7,FALSE)</f>
        <v>4384</v>
      </c>
      <c r="H628" s="2">
        <f>VLOOKUP($A628,'[2]App C Total'!$A$4:$I$917,8,FALSE)</f>
        <v>515</v>
      </c>
      <c r="I628" s="2">
        <f>VLOOKUP($A628,'[2]App C Total'!$A$4:$I$917,9,FALSE)</f>
        <v>0</v>
      </c>
      <c r="J628" s="2"/>
      <c r="K628" s="2">
        <f>VLOOKUP($A628,'[2]App C Exp'!$A$4:$I$917,5,FALSE)</f>
        <v>2771</v>
      </c>
      <c r="L628" s="2">
        <f>VLOOKUP($A628,'[2]App C Exp'!$A$4:$I$917,6,FALSE)</f>
        <v>2607</v>
      </c>
      <c r="M628" s="2">
        <f>VLOOKUP($A628,'[2]App C Exp'!$A$4:$I$917,7,FALSE)</f>
        <v>2337</v>
      </c>
      <c r="N628" s="2">
        <f>VLOOKUP($A628,'[2]App C Exp'!$A$4:$I$917,8,FALSE)</f>
        <v>936</v>
      </c>
      <c r="O628" s="2">
        <f>VLOOKUP($A628,'[2]App C Exp'!$A$4:$I$917,9,FALSE)</f>
        <v>0</v>
      </c>
      <c r="P628" s="2"/>
      <c r="Q628" s="2">
        <f>VLOOKUP($A628,'[2]App C Inv'!$A$4:$I$917,5,FALSE)</f>
        <v>2942</v>
      </c>
      <c r="R628" s="2">
        <f>VLOOKUP($A628,'[2]App C Inv'!$A$4:$I$917,6,FALSE)</f>
        <v>-2531</v>
      </c>
      <c r="S628" s="2">
        <f>VLOOKUP($A628,'[2]App C Inv'!$A$4:$I$917,7,FALSE)</f>
        <v>357</v>
      </c>
      <c r="T628" s="2">
        <f>VLOOKUP($A628,'[2]App C Inv'!$A$4:$I$917,8,FALSE)</f>
        <v>464</v>
      </c>
      <c r="U628" s="2">
        <f>VLOOKUP($A628,'[2]App C Inv'!$A$4:$I$917,9,FALSE)</f>
        <v>0</v>
      </c>
      <c r="V628" s="2"/>
      <c r="W628" s="2">
        <f>VLOOKUP($A628,'[2]App C Assum'!$A$4:$I$917,5,FALSE)</f>
        <v>3314</v>
      </c>
      <c r="X628" s="2">
        <f>VLOOKUP($A628,'[2]App C Assum'!$A$4:$I$917,6,FALSE)</f>
        <v>2715</v>
      </c>
      <c r="Y628" s="2">
        <f>VLOOKUP($A628,'[2]App C Assum'!$A$4:$I$917,7,FALSE)</f>
        <v>2204</v>
      </c>
      <c r="Z628" s="2">
        <f>VLOOKUP($A628,'[2]App C Assum'!$A$4:$I$917,8,FALSE)</f>
        <v>0</v>
      </c>
      <c r="AA628" s="2">
        <f>VLOOKUP($A628,'[2]App C Assum'!$A$4:$I$917,9,FALSE)</f>
        <v>0</v>
      </c>
      <c r="AB628" s="2"/>
      <c r="AC628" s="2">
        <f>VLOOKUP($A628,'[2]App C Share Outflows'!$A$4:$I$917,5,FALSE)</f>
        <v>898</v>
      </c>
      <c r="AD628" s="2">
        <f>VLOOKUP($A628,'[2]App C Share Outflows'!$A$4:$I$917,6,FALSE)</f>
        <v>723</v>
      </c>
      <c r="AE628" s="2">
        <f>VLOOKUP($A628,'[2]App C Share Outflows'!$A$4:$I$917,7,FALSE)</f>
        <v>372</v>
      </c>
      <c r="AF628" s="2">
        <f>VLOOKUP($A628,'[2]App C Share Outflows'!$A$4:$I$917,8,FALSE)</f>
        <v>0</v>
      </c>
      <c r="AG628" s="2">
        <f>VLOOKUP($A628,'[2]App C Share Outflows'!$A$4:$I$917,9,FALSE)</f>
        <v>0</v>
      </c>
      <c r="AH628" s="2"/>
      <c r="AI628" s="2">
        <f>VLOOKUP($A628,'[2]App C Share Inflows'!$A$4:$I$917,5,FALSE)</f>
        <v>-886</v>
      </c>
      <c r="AJ628" s="2">
        <f>VLOOKUP($A628,'[2]App C Share Inflows'!$A$4:$I$917,6,FALSE)</f>
        <v>-886</v>
      </c>
      <c r="AK628" s="2">
        <f>VLOOKUP($A628,'[2]App C Share Inflows'!$A$4:$I$917,7,FALSE)</f>
        <v>-886</v>
      </c>
      <c r="AL628" s="2">
        <f>VLOOKUP($A628,'[2]App C Share Inflows'!$A$4:$I$917,8,FALSE)</f>
        <v>-885</v>
      </c>
      <c r="AM628" s="2">
        <f>VLOOKUP($A628,'[2]App C Share Inflows'!$A$4:$I$917,6,FALSE)</f>
        <v>-886</v>
      </c>
    </row>
    <row r="629" spans="1:39">
      <c r="A629" s="351">
        <v>96661</v>
      </c>
      <c r="B629" s="344" t="s">
        <v>1324</v>
      </c>
      <c r="C629" s="235" t="e">
        <f>VLOOKUP(A629,#REF!,10,FALSE)</f>
        <v>#REF!</v>
      </c>
      <c r="E629" s="2">
        <f>VLOOKUP($A629,'[2]App C Total'!$A$4:$I$917,5,FALSE)</f>
        <v>9852</v>
      </c>
      <c r="F629" s="2">
        <f>VLOOKUP($A629,'[2]App C Total'!$A$4:$I$917,6,FALSE)</f>
        <v>3272</v>
      </c>
      <c r="G629" s="2">
        <f>VLOOKUP($A629,'[2]App C Total'!$A$4:$I$917,7,FALSE)</f>
        <v>4942</v>
      </c>
      <c r="H629" s="2">
        <f>VLOOKUP($A629,'[2]App C Total'!$A$4:$I$917,8,FALSE)</f>
        <v>1327</v>
      </c>
      <c r="I629" s="2">
        <f>VLOOKUP($A629,'[2]App C Total'!$A$4:$I$917,9,FALSE)</f>
        <v>0</v>
      </c>
      <c r="J629" s="2"/>
      <c r="K629" s="2">
        <f>VLOOKUP($A629,'[2]App C Exp'!$A$4:$I$917,5,FALSE)</f>
        <v>2712</v>
      </c>
      <c r="L629" s="2">
        <f>VLOOKUP($A629,'[2]App C Exp'!$A$4:$I$917,6,FALSE)</f>
        <v>2551</v>
      </c>
      <c r="M629" s="2">
        <f>VLOOKUP($A629,'[2]App C Exp'!$A$4:$I$917,7,FALSE)</f>
        <v>2286</v>
      </c>
      <c r="N629" s="2">
        <f>VLOOKUP($A629,'[2]App C Exp'!$A$4:$I$917,8,FALSE)</f>
        <v>915</v>
      </c>
      <c r="O629" s="2">
        <f>VLOOKUP($A629,'[2]App C Exp'!$A$4:$I$917,9,FALSE)</f>
        <v>0</v>
      </c>
      <c r="P629" s="2"/>
      <c r="Q629" s="2">
        <f>VLOOKUP($A629,'[2]App C Inv'!$A$4:$I$917,5,FALSE)</f>
        <v>2879</v>
      </c>
      <c r="R629" s="2">
        <f>VLOOKUP($A629,'[2]App C Inv'!$A$4:$I$917,6,FALSE)</f>
        <v>-2476</v>
      </c>
      <c r="S629" s="2">
        <f>VLOOKUP($A629,'[2]App C Inv'!$A$4:$I$917,7,FALSE)</f>
        <v>349</v>
      </c>
      <c r="T629" s="2">
        <f>VLOOKUP($A629,'[2]App C Inv'!$A$4:$I$917,8,FALSE)</f>
        <v>454</v>
      </c>
      <c r="U629" s="2">
        <f>VLOOKUP($A629,'[2]App C Inv'!$A$4:$I$917,9,FALSE)</f>
        <v>0</v>
      </c>
      <c r="V629" s="2"/>
      <c r="W629" s="2">
        <f>VLOOKUP($A629,'[2]App C Assum'!$A$4:$I$917,5,FALSE)</f>
        <v>3243</v>
      </c>
      <c r="X629" s="2">
        <f>VLOOKUP($A629,'[2]App C Assum'!$A$4:$I$917,6,FALSE)</f>
        <v>2657</v>
      </c>
      <c r="Y629" s="2">
        <f>VLOOKUP($A629,'[2]App C Assum'!$A$4:$I$917,7,FALSE)</f>
        <v>2157</v>
      </c>
      <c r="Z629" s="2">
        <f>VLOOKUP($A629,'[2]App C Assum'!$A$4:$I$917,8,FALSE)</f>
        <v>0</v>
      </c>
      <c r="AA629" s="2">
        <f>VLOOKUP($A629,'[2]App C Assum'!$A$4:$I$917,9,FALSE)</f>
        <v>0</v>
      </c>
      <c r="AB629" s="2"/>
      <c r="AC629" s="2">
        <f>VLOOKUP($A629,'[2]App C Share Outflows'!$A$4:$I$917,5,FALSE)</f>
        <v>1059</v>
      </c>
      <c r="AD629" s="2">
        <f>VLOOKUP($A629,'[2]App C Share Outflows'!$A$4:$I$917,6,FALSE)</f>
        <v>581</v>
      </c>
      <c r="AE629" s="2">
        <f>VLOOKUP($A629,'[2]App C Share Outflows'!$A$4:$I$917,7,FALSE)</f>
        <v>191</v>
      </c>
      <c r="AF629" s="2">
        <f>VLOOKUP($A629,'[2]App C Share Outflows'!$A$4:$I$917,8,FALSE)</f>
        <v>0</v>
      </c>
      <c r="AG629" s="2">
        <f>VLOOKUP($A629,'[2]App C Share Outflows'!$A$4:$I$917,9,FALSE)</f>
        <v>0</v>
      </c>
      <c r="AH629" s="2"/>
      <c r="AI629" s="2">
        <f>VLOOKUP($A629,'[2]App C Share Inflows'!$A$4:$I$917,5,FALSE)</f>
        <v>-41</v>
      </c>
      <c r="AJ629" s="2">
        <f>VLOOKUP($A629,'[2]App C Share Inflows'!$A$4:$I$917,6,FALSE)</f>
        <v>-41</v>
      </c>
      <c r="AK629" s="2">
        <f>VLOOKUP($A629,'[2]App C Share Inflows'!$A$4:$I$917,7,FALSE)</f>
        <v>-41</v>
      </c>
      <c r="AL629" s="2">
        <f>VLOOKUP($A629,'[2]App C Share Inflows'!$A$4:$I$917,8,FALSE)</f>
        <v>-42</v>
      </c>
      <c r="AM629" s="2">
        <f>VLOOKUP($A629,'[2]App C Share Inflows'!$A$4:$I$917,6,FALSE)</f>
        <v>-41</v>
      </c>
    </row>
    <row r="630" spans="1:39">
      <c r="A630" s="351">
        <v>96671</v>
      </c>
      <c r="B630" s="344" t="s">
        <v>1325</v>
      </c>
      <c r="C630" s="235" t="e">
        <f>VLOOKUP(A630,#REF!,10,FALSE)</f>
        <v>#REF!</v>
      </c>
      <c r="E630" s="2">
        <f>VLOOKUP($A630,'[2]App C Total'!$A$4:$I$917,5,FALSE)</f>
        <v>7860</v>
      </c>
      <c r="F630" s="2">
        <f>VLOOKUP($A630,'[2]App C Total'!$A$4:$I$917,6,FALSE)</f>
        <v>2638</v>
      </c>
      <c r="G630" s="2">
        <f>VLOOKUP($A630,'[2]App C Total'!$A$4:$I$917,7,FALSE)</f>
        <v>3860</v>
      </c>
      <c r="H630" s="2">
        <f>VLOOKUP($A630,'[2]App C Total'!$A$4:$I$917,8,FALSE)</f>
        <v>1241</v>
      </c>
      <c r="I630" s="2">
        <f>VLOOKUP($A630,'[2]App C Total'!$A$4:$I$917,9,FALSE)</f>
        <v>0</v>
      </c>
      <c r="J630" s="2"/>
      <c r="K630" s="2">
        <f>VLOOKUP($A630,'[2]App C Exp'!$A$4:$I$917,5,FALSE)</f>
        <v>1888</v>
      </c>
      <c r="L630" s="2">
        <f>VLOOKUP($A630,'[2]App C Exp'!$A$4:$I$917,6,FALSE)</f>
        <v>1776</v>
      </c>
      <c r="M630" s="2">
        <f>VLOOKUP($A630,'[2]App C Exp'!$A$4:$I$917,7,FALSE)</f>
        <v>1591</v>
      </c>
      <c r="N630" s="2">
        <f>VLOOKUP($A630,'[2]App C Exp'!$A$4:$I$917,8,FALSE)</f>
        <v>637</v>
      </c>
      <c r="O630" s="2">
        <f>VLOOKUP($A630,'[2]App C Exp'!$A$4:$I$917,9,FALSE)</f>
        <v>0</v>
      </c>
      <c r="P630" s="2"/>
      <c r="Q630" s="2">
        <f>VLOOKUP($A630,'[2]App C Inv'!$A$4:$I$917,5,FALSE)</f>
        <v>2004</v>
      </c>
      <c r="R630" s="2">
        <f>VLOOKUP($A630,'[2]App C Inv'!$A$4:$I$917,6,FALSE)</f>
        <v>-1724</v>
      </c>
      <c r="S630" s="2">
        <f>VLOOKUP($A630,'[2]App C Inv'!$A$4:$I$917,7,FALSE)</f>
        <v>243</v>
      </c>
      <c r="T630" s="2">
        <f>VLOOKUP($A630,'[2]App C Inv'!$A$4:$I$917,8,FALSE)</f>
        <v>316</v>
      </c>
      <c r="U630" s="2">
        <f>VLOOKUP($A630,'[2]App C Inv'!$A$4:$I$917,9,FALSE)</f>
        <v>0</v>
      </c>
      <c r="V630" s="2"/>
      <c r="W630" s="2">
        <f>VLOOKUP($A630,'[2]App C Assum'!$A$4:$I$917,5,FALSE)</f>
        <v>2257</v>
      </c>
      <c r="X630" s="2">
        <f>VLOOKUP($A630,'[2]App C Assum'!$A$4:$I$917,6,FALSE)</f>
        <v>1849</v>
      </c>
      <c r="Y630" s="2">
        <f>VLOOKUP($A630,'[2]App C Assum'!$A$4:$I$917,7,FALSE)</f>
        <v>1501</v>
      </c>
      <c r="Z630" s="2">
        <f>VLOOKUP($A630,'[2]App C Assum'!$A$4:$I$917,8,FALSE)</f>
        <v>0</v>
      </c>
      <c r="AA630" s="2">
        <f>VLOOKUP($A630,'[2]App C Assum'!$A$4:$I$917,9,FALSE)</f>
        <v>0</v>
      </c>
      <c r="AB630" s="2"/>
      <c r="AC630" s="2">
        <f>VLOOKUP($A630,'[2]App C Share Outflows'!$A$4:$I$917,5,FALSE)</f>
        <v>1711</v>
      </c>
      <c r="AD630" s="2">
        <f>VLOOKUP($A630,'[2]App C Share Outflows'!$A$4:$I$917,6,FALSE)</f>
        <v>737</v>
      </c>
      <c r="AE630" s="2">
        <f>VLOOKUP($A630,'[2]App C Share Outflows'!$A$4:$I$917,7,FALSE)</f>
        <v>525</v>
      </c>
      <c r="AF630" s="2">
        <f>VLOOKUP($A630,'[2]App C Share Outflows'!$A$4:$I$917,8,FALSE)</f>
        <v>288</v>
      </c>
      <c r="AG630" s="2">
        <f>VLOOKUP($A630,'[2]App C Share Outflows'!$A$4:$I$917,9,FALSE)</f>
        <v>0</v>
      </c>
      <c r="AH630" s="2"/>
      <c r="AI630" s="2">
        <f>VLOOKUP($A630,'[2]App C Share Inflows'!$A$4:$I$917,5,FALSE)</f>
        <v>0</v>
      </c>
      <c r="AJ630" s="2">
        <f>VLOOKUP($A630,'[2]App C Share Inflows'!$A$4:$I$917,6,FALSE)</f>
        <v>0</v>
      </c>
      <c r="AK630" s="2">
        <f>VLOOKUP($A630,'[2]App C Share Inflows'!$A$4:$I$917,7,FALSE)</f>
        <v>0</v>
      </c>
      <c r="AL630" s="2">
        <f>VLOOKUP($A630,'[2]App C Share Inflows'!$A$4:$I$917,8,FALSE)</f>
        <v>0</v>
      </c>
      <c r="AM630" s="2">
        <f>VLOOKUP($A630,'[2]App C Share Inflows'!$A$4:$I$917,6,FALSE)</f>
        <v>0</v>
      </c>
    </row>
    <row r="631" spans="1:39">
      <c r="A631" s="351">
        <v>96681</v>
      </c>
      <c r="B631" s="344" t="s">
        <v>1326</v>
      </c>
      <c r="C631" s="235" t="e">
        <f>VLOOKUP(A631,#REF!,10,FALSE)</f>
        <v>#REF!</v>
      </c>
      <c r="E631" s="2">
        <f>VLOOKUP($A631,'[2]App C Total'!$A$4:$I$917,5,FALSE)</f>
        <v>13455</v>
      </c>
      <c r="F631" s="2">
        <f>VLOOKUP($A631,'[2]App C Total'!$A$4:$I$917,6,FALSE)</f>
        <v>4375</v>
      </c>
      <c r="G631" s="2">
        <f>VLOOKUP($A631,'[2]App C Total'!$A$4:$I$917,7,FALSE)</f>
        <v>8996</v>
      </c>
      <c r="H631" s="2">
        <f>VLOOKUP($A631,'[2]App C Total'!$A$4:$I$917,8,FALSE)</f>
        <v>3124</v>
      </c>
      <c r="I631" s="2">
        <f>VLOOKUP($A631,'[2]App C Total'!$A$4:$I$917,9,FALSE)</f>
        <v>0</v>
      </c>
      <c r="J631" s="2"/>
      <c r="K631" s="2">
        <f>VLOOKUP($A631,'[2]App C Exp'!$A$4:$I$917,5,FALSE)</f>
        <v>3356</v>
      </c>
      <c r="L631" s="2">
        <f>VLOOKUP($A631,'[2]App C Exp'!$A$4:$I$917,6,FALSE)</f>
        <v>3157</v>
      </c>
      <c r="M631" s="2">
        <f>VLOOKUP($A631,'[2]App C Exp'!$A$4:$I$917,7,FALSE)</f>
        <v>2829</v>
      </c>
      <c r="N631" s="2">
        <f>VLOOKUP($A631,'[2]App C Exp'!$A$4:$I$917,8,FALSE)</f>
        <v>1133</v>
      </c>
      <c r="O631" s="2">
        <f>VLOOKUP($A631,'[2]App C Exp'!$A$4:$I$917,9,FALSE)</f>
        <v>0</v>
      </c>
      <c r="P631" s="2"/>
      <c r="Q631" s="2">
        <f>VLOOKUP($A631,'[2]App C Inv'!$A$4:$I$917,5,FALSE)</f>
        <v>3563</v>
      </c>
      <c r="R631" s="2">
        <f>VLOOKUP($A631,'[2]App C Inv'!$A$4:$I$917,6,FALSE)</f>
        <v>-3064</v>
      </c>
      <c r="S631" s="2">
        <f>VLOOKUP($A631,'[2]App C Inv'!$A$4:$I$917,7,FALSE)</f>
        <v>432</v>
      </c>
      <c r="T631" s="2">
        <f>VLOOKUP($A631,'[2]App C Inv'!$A$4:$I$917,8,FALSE)</f>
        <v>562</v>
      </c>
      <c r="U631" s="2">
        <f>VLOOKUP($A631,'[2]App C Inv'!$A$4:$I$917,9,FALSE)</f>
        <v>0</v>
      </c>
      <c r="V631" s="2"/>
      <c r="W631" s="2">
        <f>VLOOKUP($A631,'[2]App C Assum'!$A$4:$I$917,5,FALSE)</f>
        <v>4013</v>
      </c>
      <c r="X631" s="2">
        <f>VLOOKUP($A631,'[2]App C Assum'!$A$4:$I$917,6,FALSE)</f>
        <v>3288</v>
      </c>
      <c r="Y631" s="2">
        <f>VLOOKUP($A631,'[2]App C Assum'!$A$4:$I$917,7,FALSE)</f>
        <v>2669</v>
      </c>
      <c r="Z631" s="2">
        <f>VLOOKUP($A631,'[2]App C Assum'!$A$4:$I$917,8,FALSE)</f>
        <v>0</v>
      </c>
      <c r="AA631" s="2">
        <f>VLOOKUP($A631,'[2]App C Assum'!$A$4:$I$917,9,FALSE)</f>
        <v>0</v>
      </c>
      <c r="AB631" s="2"/>
      <c r="AC631" s="2">
        <f>VLOOKUP($A631,'[2]App C Share Outflows'!$A$4:$I$917,5,FALSE)</f>
        <v>4594</v>
      </c>
      <c r="AD631" s="2">
        <f>VLOOKUP($A631,'[2]App C Share Outflows'!$A$4:$I$917,6,FALSE)</f>
        <v>3064</v>
      </c>
      <c r="AE631" s="2">
        <f>VLOOKUP($A631,'[2]App C Share Outflows'!$A$4:$I$917,7,FALSE)</f>
        <v>3066</v>
      </c>
      <c r="AF631" s="2">
        <f>VLOOKUP($A631,'[2]App C Share Outflows'!$A$4:$I$917,8,FALSE)</f>
        <v>1429</v>
      </c>
      <c r="AG631" s="2">
        <f>VLOOKUP($A631,'[2]App C Share Outflows'!$A$4:$I$917,9,FALSE)</f>
        <v>0</v>
      </c>
      <c r="AH631" s="2"/>
      <c r="AI631" s="2">
        <f>VLOOKUP($A631,'[2]App C Share Inflows'!$A$4:$I$917,5,FALSE)</f>
        <v>-2071</v>
      </c>
      <c r="AJ631" s="2">
        <f>VLOOKUP($A631,'[2]App C Share Inflows'!$A$4:$I$917,6,FALSE)</f>
        <v>-2070</v>
      </c>
      <c r="AK631" s="2">
        <f>VLOOKUP($A631,'[2]App C Share Inflows'!$A$4:$I$917,7,FALSE)</f>
        <v>0</v>
      </c>
      <c r="AL631" s="2">
        <f>VLOOKUP($A631,'[2]App C Share Inflows'!$A$4:$I$917,8,FALSE)</f>
        <v>0</v>
      </c>
      <c r="AM631" s="2">
        <f>VLOOKUP($A631,'[2]App C Share Inflows'!$A$4:$I$917,6,FALSE)</f>
        <v>-2070</v>
      </c>
    </row>
    <row r="632" spans="1:39">
      <c r="A632" s="351">
        <v>96701</v>
      </c>
      <c r="B632" s="344" t="s">
        <v>1327</v>
      </c>
      <c r="C632" s="235" t="e">
        <f>VLOOKUP(A632,#REF!,10,FALSE)</f>
        <v>#REF!</v>
      </c>
      <c r="E632" s="2">
        <f>VLOOKUP($A632,'[2]App C Total'!$A$4:$I$917,5,FALSE)</f>
        <v>4075656</v>
      </c>
      <c r="F632" s="2">
        <f>VLOOKUP($A632,'[2]App C Total'!$A$4:$I$917,6,FALSE)</f>
        <v>1225701</v>
      </c>
      <c r="G632" s="2">
        <f>VLOOKUP($A632,'[2]App C Total'!$A$4:$I$917,7,FALSE)</f>
        <v>2127081</v>
      </c>
      <c r="H632" s="2">
        <f>VLOOKUP($A632,'[2]App C Total'!$A$4:$I$917,8,FALSE)</f>
        <v>546200</v>
      </c>
      <c r="I632" s="2">
        <f>VLOOKUP($A632,'[2]App C Total'!$A$4:$I$917,9,FALSE)</f>
        <v>0</v>
      </c>
      <c r="J632" s="2"/>
      <c r="K632" s="2">
        <f>VLOOKUP($A632,'[2]App C Exp'!$A$4:$I$917,5,FALSE)</f>
        <v>1271337</v>
      </c>
      <c r="L632" s="2">
        <f>VLOOKUP($A632,'[2]App C Exp'!$A$4:$I$917,6,FALSE)</f>
        <v>1195918</v>
      </c>
      <c r="M632" s="2">
        <f>VLOOKUP($A632,'[2]App C Exp'!$A$4:$I$917,7,FALSE)</f>
        <v>1071887</v>
      </c>
      <c r="N632" s="2">
        <f>VLOOKUP($A632,'[2]App C Exp'!$A$4:$I$917,8,FALSE)</f>
        <v>429171</v>
      </c>
      <c r="O632" s="2">
        <f>VLOOKUP($A632,'[2]App C Exp'!$A$4:$I$917,9,FALSE)</f>
        <v>0</v>
      </c>
      <c r="P632" s="2"/>
      <c r="Q632" s="2">
        <f>VLOOKUP($A632,'[2]App C Inv'!$A$4:$I$917,5,FALSE)</f>
        <v>1349701</v>
      </c>
      <c r="R632" s="2">
        <f>VLOOKUP($A632,'[2]App C Inv'!$A$4:$I$917,6,FALSE)</f>
        <v>-1160996</v>
      </c>
      <c r="S632" s="2">
        <f>VLOOKUP($A632,'[2]App C Inv'!$A$4:$I$917,7,FALSE)</f>
        <v>163628</v>
      </c>
      <c r="T632" s="2">
        <f>VLOOKUP($A632,'[2]App C Inv'!$A$4:$I$917,8,FALSE)</f>
        <v>212960</v>
      </c>
      <c r="U632" s="2">
        <f>VLOOKUP($A632,'[2]App C Inv'!$A$4:$I$917,9,FALSE)</f>
        <v>0</v>
      </c>
      <c r="V632" s="2"/>
      <c r="W632" s="2">
        <f>VLOOKUP($A632,'[2]App C Assum'!$A$4:$I$917,5,FALSE)</f>
        <v>1520458</v>
      </c>
      <c r="X632" s="2">
        <f>VLOOKUP($A632,'[2]App C Assum'!$A$4:$I$917,6,FALSE)</f>
        <v>1245615</v>
      </c>
      <c r="Y632" s="2">
        <f>VLOOKUP($A632,'[2]App C Assum'!$A$4:$I$917,7,FALSE)</f>
        <v>1011226</v>
      </c>
      <c r="Z632" s="2">
        <f>VLOOKUP($A632,'[2]App C Assum'!$A$4:$I$917,8,FALSE)</f>
        <v>0</v>
      </c>
      <c r="AA632" s="2">
        <f>VLOOKUP($A632,'[2]App C Assum'!$A$4:$I$917,9,FALSE)</f>
        <v>0</v>
      </c>
      <c r="AB632" s="2"/>
      <c r="AC632" s="2">
        <f>VLOOKUP($A632,'[2]App C Share Outflows'!$A$4:$I$917,5,FALSE)</f>
        <v>64827</v>
      </c>
      <c r="AD632" s="2">
        <f>VLOOKUP($A632,'[2]App C Share Outflows'!$A$4:$I$917,6,FALSE)</f>
        <v>64826</v>
      </c>
      <c r="AE632" s="2">
        <f>VLOOKUP($A632,'[2]App C Share Outflows'!$A$4:$I$917,7,FALSE)</f>
        <v>0</v>
      </c>
      <c r="AF632" s="2">
        <f>VLOOKUP($A632,'[2]App C Share Outflows'!$A$4:$I$917,8,FALSE)</f>
        <v>0</v>
      </c>
      <c r="AG632" s="2">
        <f>VLOOKUP($A632,'[2]App C Share Outflows'!$A$4:$I$917,9,FALSE)</f>
        <v>0</v>
      </c>
      <c r="AH632" s="2"/>
      <c r="AI632" s="2">
        <f>VLOOKUP($A632,'[2]App C Share Inflows'!$A$4:$I$917,5,FALSE)</f>
        <v>-130667</v>
      </c>
      <c r="AJ632" s="2">
        <f>VLOOKUP($A632,'[2]App C Share Inflows'!$A$4:$I$917,6,FALSE)</f>
        <v>-119662</v>
      </c>
      <c r="AK632" s="2">
        <f>VLOOKUP($A632,'[2]App C Share Inflows'!$A$4:$I$917,7,FALSE)</f>
        <v>-119660</v>
      </c>
      <c r="AL632" s="2">
        <f>VLOOKUP($A632,'[2]App C Share Inflows'!$A$4:$I$917,8,FALSE)</f>
        <v>-95931</v>
      </c>
      <c r="AM632" s="2">
        <f>VLOOKUP($A632,'[2]App C Share Inflows'!$A$4:$I$917,6,FALSE)</f>
        <v>-119662</v>
      </c>
    </row>
    <row r="633" spans="1:39">
      <c r="A633" s="351">
        <v>96704</v>
      </c>
      <c r="B633" s="344" t="s">
        <v>1328</v>
      </c>
      <c r="C633" s="235" t="e">
        <f>VLOOKUP(A633,#REF!,10,FALSE)</f>
        <v>#REF!</v>
      </c>
      <c r="E633" s="2">
        <f>VLOOKUP($A633,'[2]App C Total'!$A$4:$I$917,5,FALSE)</f>
        <v>109934</v>
      </c>
      <c r="F633" s="2">
        <f>VLOOKUP($A633,'[2]App C Total'!$A$4:$I$917,6,FALSE)</f>
        <v>46032</v>
      </c>
      <c r="G633" s="2">
        <f>VLOOKUP($A633,'[2]App C Total'!$A$4:$I$917,7,FALSE)</f>
        <v>61503</v>
      </c>
      <c r="H633" s="2">
        <f>VLOOKUP($A633,'[2]App C Total'!$A$4:$I$917,8,FALSE)</f>
        <v>21356</v>
      </c>
      <c r="I633" s="2">
        <f>VLOOKUP($A633,'[2]App C Total'!$A$4:$I$917,9,FALSE)</f>
        <v>0</v>
      </c>
      <c r="J633" s="2"/>
      <c r="K633" s="2">
        <f>VLOOKUP($A633,'[2]App C Exp'!$A$4:$I$917,5,FALSE)</f>
        <v>28059</v>
      </c>
      <c r="L633" s="2">
        <f>VLOOKUP($A633,'[2]App C Exp'!$A$4:$I$917,6,FALSE)</f>
        <v>26394</v>
      </c>
      <c r="M633" s="2">
        <f>VLOOKUP($A633,'[2]App C Exp'!$A$4:$I$917,7,FALSE)</f>
        <v>23657</v>
      </c>
      <c r="N633" s="2">
        <f>VLOOKUP($A633,'[2]App C Exp'!$A$4:$I$917,8,FALSE)</f>
        <v>9472</v>
      </c>
      <c r="O633" s="2">
        <f>VLOOKUP($A633,'[2]App C Exp'!$A$4:$I$917,9,FALSE)</f>
        <v>0</v>
      </c>
      <c r="P633" s="2"/>
      <c r="Q633" s="2">
        <f>VLOOKUP($A633,'[2]App C Inv'!$A$4:$I$917,5,FALSE)</f>
        <v>29788</v>
      </c>
      <c r="R633" s="2">
        <f>VLOOKUP($A633,'[2]App C Inv'!$A$4:$I$917,6,FALSE)</f>
        <v>-25624</v>
      </c>
      <c r="S633" s="2">
        <f>VLOOKUP($A633,'[2]App C Inv'!$A$4:$I$917,7,FALSE)</f>
        <v>3611</v>
      </c>
      <c r="T633" s="2">
        <f>VLOOKUP($A633,'[2]App C Inv'!$A$4:$I$917,8,FALSE)</f>
        <v>4700</v>
      </c>
      <c r="U633" s="2">
        <f>VLOOKUP($A633,'[2]App C Inv'!$A$4:$I$917,9,FALSE)</f>
        <v>0</v>
      </c>
      <c r="V633" s="2"/>
      <c r="W633" s="2">
        <f>VLOOKUP($A633,'[2]App C Assum'!$A$4:$I$917,5,FALSE)</f>
        <v>33557</v>
      </c>
      <c r="X633" s="2">
        <f>VLOOKUP($A633,'[2]App C Assum'!$A$4:$I$917,6,FALSE)</f>
        <v>27491</v>
      </c>
      <c r="Y633" s="2">
        <f>VLOOKUP($A633,'[2]App C Assum'!$A$4:$I$917,7,FALSE)</f>
        <v>22318</v>
      </c>
      <c r="Z633" s="2">
        <f>VLOOKUP($A633,'[2]App C Assum'!$A$4:$I$917,8,FALSE)</f>
        <v>0</v>
      </c>
      <c r="AA633" s="2">
        <f>VLOOKUP($A633,'[2]App C Assum'!$A$4:$I$917,9,FALSE)</f>
        <v>0</v>
      </c>
      <c r="AB633" s="2"/>
      <c r="AC633" s="2">
        <f>VLOOKUP($A633,'[2]App C Share Outflows'!$A$4:$I$917,5,FALSE)</f>
        <v>18530</v>
      </c>
      <c r="AD633" s="2">
        <f>VLOOKUP($A633,'[2]App C Share Outflows'!$A$4:$I$917,6,FALSE)</f>
        <v>17771</v>
      </c>
      <c r="AE633" s="2">
        <f>VLOOKUP($A633,'[2]App C Share Outflows'!$A$4:$I$917,7,FALSE)</f>
        <v>11917</v>
      </c>
      <c r="AF633" s="2">
        <f>VLOOKUP($A633,'[2]App C Share Outflows'!$A$4:$I$917,8,FALSE)</f>
        <v>7184</v>
      </c>
      <c r="AG633" s="2">
        <f>VLOOKUP($A633,'[2]App C Share Outflows'!$A$4:$I$917,9,FALSE)</f>
        <v>0</v>
      </c>
      <c r="AH633" s="2"/>
      <c r="AI633" s="2">
        <f>VLOOKUP($A633,'[2]App C Share Inflows'!$A$4:$I$917,5,FALSE)</f>
        <v>0</v>
      </c>
      <c r="AJ633" s="2">
        <f>VLOOKUP($A633,'[2]App C Share Inflows'!$A$4:$I$917,6,FALSE)</f>
        <v>0</v>
      </c>
      <c r="AK633" s="2">
        <f>VLOOKUP($A633,'[2]App C Share Inflows'!$A$4:$I$917,7,FALSE)</f>
        <v>0</v>
      </c>
      <c r="AL633" s="2">
        <f>VLOOKUP($A633,'[2]App C Share Inflows'!$A$4:$I$917,8,FALSE)</f>
        <v>0</v>
      </c>
      <c r="AM633" s="2">
        <f>VLOOKUP($A633,'[2]App C Share Inflows'!$A$4:$I$917,6,FALSE)</f>
        <v>0</v>
      </c>
    </row>
    <row r="634" spans="1:39">
      <c r="A634" s="351">
        <v>96708</v>
      </c>
      <c r="B634" s="344" t="s">
        <v>1329</v>
      </c>
      <c r="C634" s="235" t="e">
        <f>VLOOKUP(A634,#REF!,10,FALSE)</f>
        <v>#REF!</v>
      </c>
      <c r="E634" s="2">
        <f>VLOOKUP($A634,'[2]App C Total'!$A$4:$I$917,5,FALSE)</f>
        <v>450493</v>
      </c>
      <c r="F634" s="2">
        <f>VLOOKUP($A634,'[2]App C Total'!$A$4:$I$917,6,FALSE)</f>
        <v>161803</v>
      </c>
      <c r="G634" s="2">
        <f>VLOOKUP($A634,'[2]App C Total'!$A$4:$I$917,7,FALSE)</f>
        <v>246306</v>
      </c>
      <c r="H634" s="2">
        <f>VLOOKUP($A634,'[2]App C Total'!$A$4:$I$917,8,FALSE)</f>
        <v>74711</v>
      </c>
      <c r="I634" s="2">
        <f>VLOOKUP($A634,'[2]App C Total'!$A$4:$I$917,9,FALSE)</f>
        <v>0</v>
      </c>
      <c r="J634" s="2"/>
      <c r="K634" s="2">
        <f>VLOOKUP($A634,'[2]App C Exp'!$A$4:$I$917,5,FALSE)</f>
        <v>130946</v>
      </c>
      <c r="L634" s="2">
        <f>VLOOKUP($A634,'[2]App C Exp'!$A$4:$I$917,6,FALSE)</f>
        <v>123178</v>
      </c>
      <c r="M634" s="2">
        <f>VLOOKUP($A634,'[2]App C Exp'!$A$4:$I$917,7,FALSE)</f>
        <v>110403</v>
      </c>
      <c r="N634" s="2">
        <f>VLOOKUP($A634,'[2]App C Exp'!$A$4:$I$917,8,FALSE)</f>
        <v>44204</v>
      </c>
      <c r="O634" s="2">
        <f>VLOOKUP($A634,'[2]App C Exp'!$A$4:$I$917,9,FALSE)</f>
        <v>0</v>
      </c>
      <c r="P634" s="2"/>
      <c r="Q634" s="2">
        <f>VLOOKUP($A634,'[2]App C Inv'!$A$4:$I$917,5,FALSE)</f>
        <v>139018</v>
      </c>
      <c r="R634" s="2">
        <f>VLOOKUP($A634,'[2]App C Inv'!$A$4:$I$917,6,FALSE)</f>
        <v>-119581</v>
      </c>
      <c r="S634" s="2">
        <f>VLOOKUP($A634,'[2]App C Inv'!$A$4:$I$917,7,FALSE)</f>
        <v>16854</v>
      </c>
      <c r="T634" s="2">
        <f>VLOOKUP($A634,'[2]App C Inv'!$A$4:$I$917,8,FALSE)</f>
        <v>21935</v>
      </c>
      <c r="U634" s="2">
        <f>VLOOKUP($A634,'[2]App C Inv'!$A$4:$I$917,9,FALSE)</f>
        <v>0</v>
      </c>
      <c r="V634" s="2"/>
      <c r="W634" s="2">
        <f>VLOOKUP($A634,'[2]App C Assum'!$A$4:$I$917,5,FALSE)</f>
        <v>156606</v>
      </c>
      <c r="X634" s="2">
        <f>VLOOKUP($A634,'[2]App C Assum'!$A$4:$I$917,6,FALSE)</f>
        <v>128297</v>
      </c>
      <c r="Y634" s="2">
        <f>VLOOKUP($A634,'[2]App C Assum'!$A$4:$I$917,7,FALSE)</f>
        <v>104155</v>
      </c>
      <c r="Z634" s="2">
        <f>VLOOKUP($A634,'[2]App C Assum'!$A$4:$I$917,8,FALSE)</f>
        <v>0</v>
      </c>
      <c r="AA634" s="2">
        <f>VLOOKUP($A634,'[2]App C Assum'!$A$4:$I$917,9,FALSE)</f>
        <v>0</v>
      </c>
      <c r="AB634" s="2"/>
      <c r="AC634" s="2">
        <f>VLOOKUP($A634,'[2]App C Share Outflows'!$A$4:$I$917,5,FALSE)</f>
        <v>29907</v>
      </c>
      <c r="AD634" s="2">
        <f>VLOOKUP($A634,'[2]App C Share Outflows'!$A$4:$I$917,6,FALSE)</f>
        <v>29909</v>
      </c>
      <c r="AE634" s="2">
        <f>VLOOKUP($A634,'[2]App C Share Outflows'!$A$4:$I$917,7,FALSE)</f>
        <v>14894</v>
      </c>
      <c r="AF634" s="2">
        <f>VLOOKUP($A634,'[2]App C Share Outflows'!$A$4:$I$917,8,FALSE)</f>
        <v>8572</v>
      </c>
      <c r="AG634" s="2">
        <f>VLOOKUP($A634,'[2]App C Share Outflows'!$A$4:$I$917,9,FALSE)</f>
        <v>0</v>
      </c>
      <c r="AH634" s="2"/>
      <c r="AI634" s="2">
        <f>VLOOKUP($A634,'[2]App C Share Inflows'!$A$4:$I$917,5,FALSE)</f>
        <v>-5984</v>
      </c>
      <c r="AJ634" s="2">
        <f>VLOOKUP($A634,'[2]App C Share Inflows'!$A$4:$I$917,6,FALSE)</f>
        <v>0</v>
      </c>
      <c r="AK634" s="2">
        <f>VLOOKUP($A634,'[2]App C Share Inflows'!$A$4:$I$917,7,FALSE)</f>
        <v>0</v>
      </c>
      <c r="AL634" s="2">
        <f>VLOOKUP($A634,'[2]App C Share Inflows'!$A$4:$I$917,8,FALSE)</f>
        <v>0</v>
      </c>
      <c r="AM634" s="2">
        <f>VLOOKUP($A634,'[2]App C Share Inflows'!$A$4:$I$917,6,FALSE)</f>
        <v>0</v>
      </c>
    </row>
    <row r="635" spans="1:39">
      <c r="A635" s="351">
        <v>96711</v>
      </c>
      <c r="B635" s="344" t="s">
        <v>1330</v>
      </c>
      <c r="C635" s="235" t="e">
        <f>VLOOKUP(A635,#REF!,10,FALSE)</f>
        <v>#REF!</v>
      </c>
      <c r="E635" s="2">
        <f>VLOOKUP($A635,'[2]App C Total'!$A$4:$I$917,5,FALSE)</f>
        <v>1725707</v>
      </c>
      <c r="F635" s="2">
        <f>VLOOKUP($A635,'[2]App C Total'!$A$4:$I$917,6,FALSE)</f>
        <v>464045</v>
      </c>
      <c r="G635" s="2">
        <f>VLOOKUP($A635,'[2]App C Total'!$A$4:$I$917,7,FALSE)</f>
        <v>954917</v>
      </c>
      <c r="H635" s="2">
        <f>VLOOKUP($A635,'[2]App C Total'!$A$4:$I$917,8,FALSE)</f>
        <v>266947</v>
      </c>
      <c r="I635" s="2">
        <f>VLOOKUP($A635,'[2]App C Total'!$A$4:$I$917,9,FALSE)</f>
        <v>0</v>
      </c>
      <c r="J635" s="2"/>
      <c r="K635" s="2">
        <f>VLOOKUP($A635,'[2]App C Exp'!$A$4:$I$917,5,FALSE)</f>
        <v>568053</v>
      </c>
      <c r="L635" s="2">
        <f>VLOOKUP($A635,'[2]App C Exp'!$A$4:$I$917,6,FALSE)</f>
        <v>534355</v>
      </c>
      <c r="M635" s="2">
        <f>VLOOKUP($A635,'[2]App C Exp'!$A$4:$I$917,7,FALSE)</f>
        <v>478936</v>
      </c>
      <c r="N635" s="2">
        <f>VLOOKUP($A635,'[2]App C Exp'!$A$4:$I$917,8,FALSE)</f>
        <v>191760</v>
      </c>
      <c r="O635" s="2">
        <f>VLOOKUP($A635,'[2]App C Exp'!$A$4:$I$917,9,FALSE)</f>
        <v>0</v>
      </c>
      <c r="P635" s="2"/>
      <c r="Q635" s="2">
        <f>VLOOKUP($A635,'[2]App C Inv'!$A$4:$I$917,5,FALSE)</f>
        <v>603068</v>
      </c>
      <c r="R635" s="2">
        <f>VLOOKUP($A635,'[2]App C Inv'!$A$4:$I$917,6,FALSE)</f>
        <v>-518751</v>
      </c>
      <c r="S635" s="2">
        <f>VLOOKUP($A635,'[2]App C Inv'!$A$4:$I$917,7,FALSE)</f>
        <v>73112</v>
      </c>
      <c r="T635" s="2">
        <f>VLOOKUP($A635,'[2]App C Inv'!$A$4:$I$917,8,FALSE)</f>
        <v>95154</v>
      </c>
      <c r="U635" s="2">
        <f>VLOOKUP($A635,'[2]App C Inv'!$A$4:$I$917,9,FALSE)</f>
        <v>0</v>
      </c>
      <c r="V635" s="2"/>
      <c r="W635" s="2">
        <f>VLOOKUP($A635,'[2]App C Assum'!$A$4:$I$917,5,FALSE)</f>
        <v>679364</v>
      </c>
      <c r="X635" s="2">
        <f>VLOOKUP($A635,'[2]App C Assum'!$A$4:$I$917,6,FALSE)</f>
        <v>556560</v>
      </c>
      <c r="Y635" s="2">
        <f>VLOOKUP($A635,'[2]App C Assum'!$A$4:$I$917,7,FALSE)</f>
        <v>451831</v>
      </c>
      <c r="Z635" s="2">
        <f>VLOOKUP($A635,'[2]App C Assum'!$A$4:$I$917,8,FALSE)</f>
        <v>0</v>
      </c>
      <c r="AA635" s="2">
        <f>VLOOKUP($A635,'[2]App C Assum'!$A$4:$I$917,9,FALSE)</f>
        <v>0</v>
      </c>
      <c r="AB635" s="2"/>
      <c r="AC635" s="2">
        <f>VLOOKUP($A635,'[2]App C Share Outflows'!$A$4:$I$917,5,FALSE)</f>
        <v>0</v>
      </c>
      <c r="AD635" s="2">
        <f>VLOOKUP($A635,'[2]App C Share Outflows'!$A$4:$I$917,6,FALSE)</f>
        <v>0</v>
      </c>
      <c r="AE635" s="2">
        <f>VLOOKUP($A635,'[2]App C Share Outflows'!$A$4:$I$917,7,FALSE)</f>
        <v>0</v>
      </c>
      <c r="AF635" s="2">
        <f>VLOOKUP($A635,'[2]App C Share Outflows'!$A$4:$I$917,8,FALSE)</f>
        <v>0</v>
      </c>
      <c r="AG635" s="2">
        <f>VLOOKUP($A635,'[2]App C Share Outflows'!$A$4:$I$917,9,FALSE)</f>
        <v>0</v>
      </c>
      <c r="AH635" s="2"/>
      <c r="AI635" s="2">
        <f>VLOOKUP($A635,'[2]App C Share Inflows'!$A$4:$I$917,5,FALSE)</f>
        <v>-124778</v>
      </c>
      <c r="AJ635" s="2">
        <f>VLOOKUP($A635,'[2]App C Share Inflows'!$A$4:$I$917,6,FALSE)</f>
        <v>-108119</v>
      </c>
      <c r="AK635" s="2">
        <f>VLOOKUP($A635,'[2]App C Share Inflows'!$A$4:$I$917,7,FALSE)</f>
        <v>-48962</v>
      </c>
      <c r="AL635" s="2">
        <f>VLOOKUP($A635,'[2]App C Share Inflows'!$A$4:$I$917,8,FALSE)</f>
        <v>-19967</v>
      </c>
      <c r="AM635" s="2">
        <f>VLOOKUP($A635,'[2]App C Share Inflows'!$A$4:$I$917,6,FALSE)</f>
        <v>-108119</v>
      </c>
    </row>
    <row r="636" spans="1:39">
      <c r="A636" s="351">
        <v>96721</v>
      </c>
      <c r="B636" s="344" t="s">
        <v>1331</v>
      </c>
      <c r="C636" s="235" t="e">
        <f>VLOOKUP(A636,#REF!,10,FALSE)</f>
        <v>#REF!</v>
      </c>
      <c r="E636" s="2">
        <f>VLOOKUP($A636,'[2]App C Total'!$A$4:$I$917,5,FALSE)</f>
        <v>100042</v>
      </c>
      <c r="F636" s="2">
        <f>VLOOKUP($A636,'[2]App C Total'!$A$4:$I$917,6,FALSE)</f>
        <v>34499</v>
      </c>
      <c r="G636" s="2">
        <f>VLOOKUP($A636,'[2]App C Total'!$A$4:$I$917,7,FALSE)</f>
        <v>56945</v>
      </c>
      <c r="H636" s="2">
        <f>VLOOKUP($A636,'[2]App C Total'!$A$4:$I$917,8,FALSE)</f>
        <v>15546</v>
      </c>
      <c r="I636" s="2">
        <f>VLOOKUP($A636,'[2]App C Total'!$A$4:$I$917,9,FALSE)</f>
        <v>0</v>
      </c>
      <c r="J636" s="2"/>
      <c r="K636" s="2">
        <f>VLOOKUP($A636,'[2]App C Exp'!$A$4:$I$917,5,FALSE)</f>
        <v>32538</v>
      </c>
      <c r="L636" s="2">
        <f>VLOOKUP($A636,'[2]App C Exp'!$A$4:$I$917,6,FALSE)</f>
        <v>30608</v>
      </c>
      <c r="M636" s="2">
        <f>VLOOKUP($A636,'[2]App C Exp'!$A$4:$I$917,7,FALSE)</f>
        <v>27433</v>
      </c>
      <c r="N636" s="2">
        <f>VLOOKUP($A636,'[2]App C Exp'!$A$4:$I$917,8,FALSE)</f>
        <v>10984</v>
      </c>
      <c r="O636" s="2">
        <f>VLOOKUP($A636,'[2]App C Exp'!$A$4:$I$917,9,FALSE)</f>
        <v>0</v>
      </c>
      <c r="P636" s="2"/>
      <c r="Q636" s="2">
        <f>VLOOKUP($A636,'[2]App C Inv'!$A$4:$I$917,5,FALSE)</f>
        <v>34544</v>
      </c>
      <c r="R636" s="2">
        <f>VLOOKUP($A636,'[2]App C Inv'!$A$4:$I$917,6,FALSE)</f>
        <v>-29714</v>
      </c>
      <c r="S636" s="2">
        <f>VLOOKUP($A636,'[2]App C Inv'!$A$4:$I$917,7,FALSE)</f>
        <v>4188</v>
      </c>
      <c r="T636" s="2">
        <f>VLOOKUP($A636,'[2]App C Inv'!$A$4:$I$917,8,FALSE)</f>
        <v>5450</v>
      </c>
      <c r="U636" s="2">
        <f>VLOOKUP($A636,'[2]App C Inv'!$A$4:$I$917,9,FALSE)</f>
        <v>0</v>
      </c>
      <c r="V636" s="2"/>
      <c r="W636" s="2">
        <f>VLOOKUP($A636,'[2]App C Assum'!$A$4:$I$917,5,FALSE)</f>
        <v>38914</v>
      </c>
      <c r="X636" s="2">
        <f>VLOOKUP($A636,'[2]App C Assum'!$A$4:$I$917,6,FALSE)</f>
        <v>31880</v>
      </c>
      <c r="Y636" s="2">
        <f>VLOOKUP($A636,'[2]App C Assum'!$A$4:$I$917,7,FALSE)</f>
        <v>25881</v>
      </c>
      <c r="Z636" s="2">
        <f>VLOOKUP($A636,'[2]App C Assum'!$A$4:$I$917,8,FALSE)</f>
        <v>0</v>
      </c>
      <c r="AA636" s="2">
        <f>VLOOKUP($A636,'[2]App C Assum'!$A$4:$I$917,9,FALSE)</f>
        <v>0</v>
      </c>
      <c r="AB636" s="2"/>
      <c r="AC636" s="2">
        <f>VLOOKUP($A636,'[2]App C Share Outflows'!$A$4:$I$917,5,FALSE)</f>
        <v>2614</v>
      </c>
      <c r="AD636" s="2">
        <f>VLOOKUP($A636,'[2]App C Share Outflows'!$A$4:$I$917,6,FALSE)</f>
        <v>2614</v>
      </c>
      <c r="AE636" s="2">
        <f>VLOOKUP($A636,'[2]App C Share Outflows'!$A$4:$I$917,7,FALSE)</f>
        <v>332</v>
      </c>
      <c r="AF636" s="2">
        <f>VLOOKUP($A636,'[2]App C Share Outflows'!$A$4:$I$917,8,FALSE)</f>
        <v>0</v>
      </c>
      <c r="AG636" s="2">
        <f>VLOOKUP($A636,'[2]App C Share Outflows'!$A$4:$I$917,9,FALSE)</f>
        <v>0</v>
      </c>
      <c r="AH636" s="2"/>
      <c r="AI636" s="2">
        <f>VLOOKUP($A636,'[2]App C Share Inflows'!$A$4:$I$917,5,FALSE)</f>
        <v>-8568</v>
      </c>
      <c r="AJ636" s="2">
        <f>VLOOKUP($A636,'[2]App C Share Inflows'!$A$4:$I$917,6,FALSE)</f>
        <v>-889</v>
      </c>
      <c r="AK636" s="2">
        <f>VLOOKUP($A636,'[2]App C Share Inflows'!$A$4:$I$917,7,FALSE)</f>
        <v>-889</v>
      </c>
      <c r="AL636" s="2">
        <f>VLOOKUP($A636,'[2]App C Share Inflows'!$A$4:$I$917,8,FALSE)</f>
        <v>-888</v>
      </c>
      <c r="AM636" s="2">
        <f>VLOOKUP($A636,'[2]App C Share Inflows'!$A$4:$I$917,6,FALSE)</f>
        <v>-889</v>
      </c>
    </row>
    <row r="637" spans="1:39">
      <c r="A637" s="351">
        <v>96731</v>
      </c>
      <c r="B637" s="344" t="s">
        <v>1332</v>
      </c>
      <c r="C637" s="235" t="e">
        <f>VLOOKUP(A637,#REF!,10,FALSE)</f>
        <v>#REF!</v>
      </c>
      <c r="E637" s="2">
        <f>VLOOKUP($A637,'[2]App C Total'!$A$4:$I$917,5,FALSE)</f>
        <v>90448</v>
      </c>
      <c r="F637" s="2">
        <f>VLOOKUP($A637,'[2]App C Total'!$A$4:$I$917,6,FALSE)</f>
        <v>28364</v>
      </c>
      <c r="G637" s="2">
        <f>VLOOKUP($A637,'[2]App C Total'!$A$4:$I$917,7,FALSE)</f>
        <v>46392</v>
      </c>
      <c r="H637" s="2">
        <f>VLOOKUP($A637,'[2]App C Total'!$A$4:$I$917,8,FALSE)</f>
        <v>13504</v>
      </c>
      <c r="I637" s="2">
        <f>VLOOKUP($A637,'[2]App C Total'!$A$4:$I$917,9,FALSE)</f>
        <v>0</v>
      </c>
      <c r="J637" s="2"/>
      <c r="K637" s="2">
        <f>VLOOKUP($A637,'[2]App C Exp'!$A$4:$I$917,5,FALSE)</f>
        <v>26411</v>
      </c>
      <c r="L637" s="2">
        <f>VLOOKUP($A637,'[2]App C Exp'!$A$4:$I$917,6,FALSE)</f>
        <v>24844</v>
      </c>
      <c r="M637" s="2">
        <f>VLOOKUP($A637,'[2]App C Exp'!$A$4:$I$917,7,FALSE)</f>
        <v>22268</v>
      </c>
      <c r="N637" s="2">
        <f>VLOOKUP($A637,'[2]App C Exp'!$A$4:$I$917,8,FALSE)</f>
        <v>8916</v>
      </c>
      <c r="O637" s="2">
        <f>VLOOKUP($A637,'[2]App C Exp'!$A$4:$I$917,9,FALSE)</f>
        <v>0</v>
      </c>
      <c r="P637" s="2"/>
      <c r="Q637" s="2">
        <f>VLOOKUP($A637,'[2]App C Inv'!$A$4:$I$917,5,FALSE)</f>
        <v>28039</v>
      </c>
      <c r="R637" s="2">
        <f>VLOOKUP($A637,'[2]App C Inv'!$A$4:$I$917,6,FALSE)</f>
        <v>-24119</v>
      </c>
      <c r="S637" s="2">
        <f>VLOOKUP($A637,'[2]App C Inv'!$A$4:$I$917,7,FALSE)</f>
        <v>3399</v>
      </c>
      <c r="T637" s="2">
        <f>VLOOKUP($A637,'[2]App C Inv'!$A$4:$I$917,8,FALSE)</f>
        <v>4424</v>
      </c>
      <c r="U637" s="2">
        <f>VLOOKUP($A637,'[2]App C Inv'!$A$4:$I$917,9,FALSE)</f>
        <v>0</v>
      </c>
      <c r="V637" s="2"/>
      <c r="W637" s="2">
        <f>VLOOKUP($A637,'[2]App C Assum'!$A$4:$I$917,5,FALSE)</f>
        <v>31586</v>
      </c>
      <c r="X637" s="2">
        <f>VLOOKUP($A637,'[2]App C Assum'!$A$4:$I$917,6,FALSE)</f>
        <v>25877</v>
      </c>
      <c r="Y637" s="2">
        <f>VLOOKUP($A637,'[2]App C Assum'!$A$4:$I$917,7,FALSE)</f>
        <v>21007</v>
      </c>
      <c r="Z637" s="2">
        <f>VLOOKUP($A637,'[2]App C Assum'!$A$4:$I$917,8,FALSE)</f>
        <v>0</v>
      </c>
      <c r="AA637" s="2">
        <f>VLOOKUP($A637,'[2]App C Assum'!$A$4:$I$917,9,FALSE)</f>
        <v>0</v>
      </c>
      <c r="AB637" s="2"/>
      <c r="AC637" s="2">
        <f>VLOOKUP($A637,'[2]App C Share Outflows'!$A$4:$I$917,5,FALSE)</f>
        <v>4854</v>
      </c>
      <c r="AD637" s="2">
        <f>VLOOKUP($A637,'[2]App C Share Outflows'!$A$4:$I$917,6,FALSE)</f>
        <v>2204</v>
      </c>
      <c r="AE637" s="2">
        <f>VLOOKUP($A637,'[2]App C Share Outflows'!$A$4:$I$917,7,FALSE)</f>
        <v>162</v>
      </c>
      <c r="AF637" s="2">
        <f>VLOOKUP($A637,'[2]App C Share Outflows'!$A$4:$I$917,8,FALSE)</f>
        <v>164</v>
      </c>
      <c r="AG637" s="2">
        <f>VLOOKUP($A637,'[2]App C Share Outflows'!$A$4:$I$917,9,FALSE)</f>
        <v>0</v>
      </c>
      <c r="AH637" s="2"/>
      <c r="AI637" s="2">
        <f>VLOOKUP($A637,'[2]App C Share Inflows'!$A$4:$I$917,5,FALSE)</f>
        <v>-442</v>
      </c>
      <c r="AJ637" s="2">
        <f>VLOOKUP($A637,'[2]App C Share Inflows'!$A$4:$I$917,6,FALSE)</f>
        <v>-442</v>
      </c>
      <c r="AK637" s="2">
        <f>VLOOKUP($A637,'[2]App C Share Inflows'!$A$4:$I$917,7,FALSE)</f>
        <v>-444</v>
      </c>
      <c r="AL637" s="2">
        <f>VLOOKUP($A637,'[2]App C Share Inflows'!$A$4:$I$917,8,FALSE)</f>
        <v>0</v>
      </c>
      <c r="AM637" s="2">
        <f>VLOOKUP($A637,'[2]App C Share Inflows'!$A$4:$I$917,6,FALSE)</f>
        <v>-442</v>
      </c>
    </row>
    <row r="638" spans="1:39">
      <c r="A638" s="351">
        <v>96733</v>
      </c>
      <c r="B638" s="344" t="s">
        <v>1333</v>
      </c>
      <c r="C638" s="235" t="e">
        <f>VLOOKUP(A638,#REF!,10,FALSE)</f>
        <v>#REF!</v>
      </c>
      <c r="E638" s="2">
        <f>VLOOKUP($A638,'[2]App C Total'!$A$4:$I$917,5,FALSE)</f>
        <v>3063</v>
      </c>
      <c r="F638" s="2">
        <f>VLOOKUP($A638,'[2]App C Total'!$A$4:$I$917,6,FALSE)</f>
        <v>-17</v>
      </c>
      <c r="G638" s="2">
        <f>VLOOKUP($A638,'[2]App C Total'!$A$4:$I$917,7,FALSE)</f>
        <v>857</v>
      </c>
      <c r="H638" s="2">
        <f>VLOOKUP($A638,'[2]App C Total'!$A$4:$I$917,8,FALSE)</f>
        <v>-920</v>
      </c>
      <c r="I638" s="2">
        <f>VLOOKUP($A638,'[2]App C Total'!$A$4:$I$917,9,FALSE)</f>
        <v>0</v>
      </c>
      <c r="J638" s="2"/>
      <c r="K638" s="2">
        <f>VLOOKUP($A638,'[2]App C Exp'!$A$4:$I$917,5,FALSE)</f>
        <v>974</v>
      </c>
      <c r="L638" s="2">
        <f>VLOOKUP($A638,'[2]App C Exp'!$A$4:$I$917,6,FALSE)</f>
        <v>916</v>
      </c>
      <c r="M638" s="2">
        <f>VLOOKUP($A638,'[2]App C Exp'!$A$4:$I$917,7,FALSE)</f>
        <v>821</v>
      </c>
      <c r="N638" s="2">
        <f>VLOOKUP($A638,'[2]App C Exp'!$A$4:$I$917,8,FALSE)</f>
        <v>329</v>
      </c>
      <c r="O638" s="2">
        <f>VLOOKUP($A638,'[2]App C Exp'!$A$4:$I$917,9,FALSE)</f>
        <v>0</v>
      </c>
      <c r="P638" s="2"/>
      <c r="Q638" s="2">
        <f>VLOOKUP($A638,'[2]App C Inv'!$A$4:$I$917,5,FALSE)</f>
        <v>1034</v>
      </c>
      <c r="R638" s="2">
        <f>VLOOKUP($A638,'[2]App C Inv'!$A$4:$I$917,6,FALSE)</f>
        <v>-889</v>
      </c>
      <c r="S638" s="2">
        <f>VLOOKUP($A638,'[2]App C Inv'!$A$4:$I$917,7,FALSE)</f>
        <v>125</v>
      </c>
      <c r="T638" s="2">
        <f>VLOOKUP($A638,'[2]App C Inv'!$A$4:$I$917,8,FALSE)</f>
        <v>163</v>
      </c>
      <c r="U638" s="2">
        <f>VLOOKUP($A638,'[2]App C Inv'!$A$4:$I$917,9,FALSE)</f>
        <v>0</v>
      </c>
      <c r="V638" s="2"/>
      <c r="W638" s="2">
        <f>VLOOKUP($A638,'[2]App C Assum'!$A$4:$I$917,5,FALSE)</f>
        <v>1165</v>
      </c>
      <c r="X638" s="2">
        <f>VLOOKUP($A638,'[2]App C Assum'!$A$4:$I$917,6,FALSE)</f>
        <v>954</v>
      </c>
      <c r="Y638" s="2">
        <f>VLOOKUP($A638,'[2]App C Assum'!$A$4:$I$917,7,FALSE)</f>
        <v>775</v>
      </c>
      <c r="Z638" s="2">
        <f>VLOOKUP($A638,'[2]App C Assum'!$A$4:$I$917,8,FALSE)</f>
        <v>0</v>
      </c>
      <c r="AA638" s="2">
        <f>VLOOKUP($A638,'[2]App C Assum'!$A$4:$I$917,9,FALSE)</f>
        <v>0</v>
      </c>
      <c r="AB638" s="2"/>
      <c r="AC638" s="2">
        <f>VLOOKUP($A638,'[2]App C Share Outflows'!$A$4:$I$917,5,FALSE)</f>
        <v>1437</v>
      </c>
      <c r="AD638" s="2">
        <f>VLOOKUP($A638,'[2]App C Share Outflows'!$A$4:$I$917,6,FALSE)</f>
        <v>549</v>
      </c>
      <c r="AE638" s="2">
        <f>VLOOKUP($A638,'[2]App C Share Outflows'!$A$4:$I$917,7,FALSE)</f>
        <v>550</v>
      </c>
      <c r="AF638" s="2">
        <f>VLOOKUP($A638,'[2]App C Share Outflows'!$A$4:$I$917,8,FALSE)</f>
        <v>0</v>
      </c>
      <c r="AG638" s="2">
        <f>VLOOKUP($A638,'[2]App C Share Outflows'!$A$4:$I$917,9,FALSE)</f>
        <v>0</v>
      </c>
      <c r="AH638" s="2"/>
      <c r="AI638" s="2">
        <f>VLOOKUP($A638,'[2]App C Share Inflows'!$A$4:$I$917,5,FALSE)</f>
        <v>-1547</v>
      </c>
      <c r="AJ638" s="2">
        <f>VLOOKUP($A638,'[2]App C Share Inflows'!$A$4:$I$917,6,FALSE)</f>
        <v>-1547</v>
      </c>
      <c r="AK638" s="2">
        <f>VLOOKUP($A638,'[2]App C Share Inflows'!$A$4:$I$917,7,FALSE)</f>
        <v>-1414</v>
      </c>
      <c r="AL638" s="2">
        <f>VLOOKUP($A638,'[2]App C Share Inflows'!$A$4:$I$917,8,FALSE)</f>
        <v>-1412</v>
      </c>
      <c r="AM638" s="2">
        <f>VLOOKUP($A638,'[2]App C Share Inflows'!$A$4:$I$917,6,FALSE)</f>
        <v>-1547</v>
      </c>
    </row>
    <row r="639" spans="1:39">
      <c r="A639" s="351">
        <v>96741</v>
      </c>
      <c r="B639" s="344" t="s">
        <v>1334</v>
      </c>
      <c r="C639" s="235" t="e">
        <f>VLOOKUP(A639,#REF!,10,FALSE)</f>
        <v>#REF!</v>
      </c>
      <c r="E639" s="2">
        <f>VLOOKUP($A639,'[2]App C Total'!$A$4:$I$917,5,FALSE)</f>
        <v>46214</v>
      </c>
      <c r="F639" s="2">
        <f>VLOOKUP($A639,'[2]App C Total'!$A$4:$I$917,6,FALSE)</f>
        <v>13929</v>
      </c>
      <c r="G639" s="2">
        <f>VLOOKUP($A639,'[2]App C Total'!$A$4:$I$917,7,FALSE)</f>
        <v>25262</v>
      </c>
      <c r="H639" s="2">
        <f>VLOOKUP($A639,'[2]App C Total'!$A$4:$I$917,8,FALSE)</f>
        <v>6260</v>
      </c>
      <c r="I639" s="2">
        <f>VLOOKUP($A639,'[2]App C Total'!$A$4:$I$917,9,FALSE)</f>
        <v>0</v>
      </c>
      <c r="J639" s="2"/>
      <c r="K639" s="2">
        <f>VLOOKUP($A639,'[2]App C Exp'!$A$4:$I$917,5,FALSE)</f>
        <v>14501</v>
      </c>
      <c r="L639" s="2">
        <f>VLOOKUP($A639,'[2]App C Exp'!$A$4:$I$917,6,FALSE)</f>
        <v>13641</v>
      </c>
      <c r="M639" s="2">
        <f>VLOOKUP($A639,'[2]App C Exp'!$A$4:$I$917,7,FALSE)</f>
        <v>12226</v>
      </c>
      <c r="N639" s="2">
        <f>VLOOKUP($A639,'[2]App C Exp'!$A$4:$I$917,8,FALSE)</f>
        <v>4895</v>
      </c>
      <c r="O639" s="2">
        <f>VLOOKUP($A639,'[2]App C Exp'!$A$4:$I$917,9,FALSE)</f>
        <v>0</v>
      </c>
      <c r="P639" s="2"/>
      <c r="Q639" s="2">
        <f>VLOOKUP($A639,'[2]App C Inv'!$A$4:$I$917,5,FALSE)</f>
        <v>15395</v>
      </c>
      <c r="R639" s="2">
        <f>VLOOKUP($A639,'[2]App C Inv'!$A$4:$I$917,6,FALSE)</f>
        <v>-13243</v>
      </c>
      <c r="S639" s="2">
        <f>VLOOKUP($A639,'[2]App C Inv'!$A$4:$I$917,7,FALSE)</f>
        <v>1866</v>
      </c>
      <c r="T639" s="2">
        <f>VLOOKUP($A639,'[2]App C Inv'!$A$4:$I$917,8,FALSE)</f>
        <v>2429</v>
      </c>
      <c r="U639" s="2">
        <f>VLOOKUP($A639,'[2]App C Inv'!$A$4:$I$917,9,FALSE)</f>
        <v>0</v>
      </c>
      <c r="V639" s="2"/>
      <c r="W639" s="2">
        <f>VLOOKUP($A639,'[2]App C Assum'!$A$4:$I$917,5,FALSE)</f>
        <v>17343</v>
      </c>
      <c r="X639" s="2">
        <f>VLOOKUP($A639,'[2]App C Assum'!$A$4:$I$917,6,FALSE)</f>
        <v>14208</v>
      </c>
      <c r="Y639" s="2">
        <f>VLOOKUP($A639,'[2]App C Assum'!$A$4:$I$917,7,FALSE)</f>
        <v>11534</v>
      </c>
      <c r="Z639" s="2">
        <f>VLOOKUP($A639,'[2]App C Assum'!$A$4:$I$917,8,FALSE)</f>
        <v>0</v>
      </c>
      <c r="AA639" s="2">
        <f>VLOOKUP($A639,'[2]App C Assum'!$A$4:$I$917,9,FALSE)</f>
        <v>0</v>
      </c>
      <c r="AB639" s="2"/>
      <c r="AC639" s="2">
        <f>VLOOKUP($A639,'[2]App C Share Outflows'!$A$4:$I$917,5,FALSE)</f>
        <v>702</v>
      </c>
      <c r="AD639" s="2">
        <f>VLOOKUP($A639,'[2]App C Share Outflows'!$A$4:$I$917,6,FALSE)</f>
        <v>702</v>
      </c>
      <c r="AE639" s="2">
        <f>VLOOKUP($A639,'[2]App C Share Outflows'!$A$4:$I$917,7,FALSE)</f>
        <v>701</v>
      </c>
      <c r="AF639" s="2">
        <f>VLOOKUP($A639,'[2]App C Share Outflows'!$A$4:$I$917,8,FALSE)</f>
        <v>0</v>
      </c>
      <c r="AG639" s="2">
        <f>VLOOKUP($A639,'[2]App C Share Outflows'!$A$4:$I$917,9,FALSE)</f>
        <v>0</v>
      </c>
      <c r="AH639" s="2"/>
      <c r="AI639" s="2">
        <f>VLOOKUP($A639,'[2]App C Share Inflows'!$A$4:$I$917,5,FALSE)</f>
        <v>-1727</v>
      </c>
      <c r="AJ639" s="2">
        <f>VLOOKUP($A639,'[2]App C Share Inflows'!$A$4:$I$917,6,FALSE)</f>
        <v>-1379</v>
      </c>
      <c r="AK639" s="2">
        <f>VLOOKUP($A639,'[2]App C Share Inflows'!$A$4:$I$917,7,FALSE)</f>
        <v>-1065</v>
      </c>
      <c r="AL639" s="2">
        <f>VLOOKUP($A639,'[2]App C Share Inflows'!$A$4:$I$917,8,FALSE)</f>
        <v>-1064</v>
      </c>
      <c r="AM639" s="2">
        <f>VLOOKUP($A639,'[2]App C Share Inflows'!$A$4:$I$917,6,FALSE)</f>
        <v>-1379</v>
      </c>
    </row>
    <row r="640" spans="1:39">
      <c r="A640" s="351">
        <v>96751</v>
      </c>
      <c r="B640" s="344" t="s">
        <v>3691</v>
      </c>
      <c r="C640" s="235" t="e">
        <f>VLOOKUP(A640,#REF!,10,FALSE)</f>
        <v>#REF!</v>
      </c>
      <c r="E640" s="2">
        <f>VLOOKUP($A640,'[2]App C Total'!$A$4:$I$917,5,FALSE)</f>
        <v>147518</v>
      </c>
      <c r="F640" s="2">
        <f>VLOOKUP($A640,'[2]App C Total'!$A$4:$I$917,6,FALSE)</f>
        <v>51011</v>
      </c>
      <c r="G640" s="2">
        <f>VLOOKUP($A640,'[2]App C Total'!$A$4:$I$917,7,FALSE)</f>
        <v>86871</v>
      </c>
      <c r="H640" s="2">
        <f>VLOOKUP($A640,'[2]App C Total'!$A$4:$I$917,8,FALSE)</f>
        <v>28698</v>
      </c>
      <c r="I640" s="2">
        <f>VLOOKUP($A640,'[2]App C Total'!$A$4:$I$917,9,FALSE)</f>
        <v>0</v>
      </c>
      <c r="J640" s="2"/>
      <c r="K640" s="2">
        <f>VLOOKUP($A640,'[2]App C Exp'!$A$4:$I$917,5,FALSE)</f>
        <v>45751</v>
      </c>
      <c r="L640" s="2">
        <f>VLOOKUP($A640,'[2]App C Exp'!$A$4:$I$917,6,FALSE)</f>
        <v>43037</v>
      </c>
      <c r="M640" s="2">
        <f>VLOOKUP($A640,'[2]App C Exp'!$A$4:$I$917,7,FALSE)</f>
        <v>38574</v>
      </c>
      <c r="N640" s="2">
        <f>VLOOKUP($A640,'[2]App C Exp'!$A$4:$I$917,8,FALSE)</f>
        <v>15444</v>
      </c>
      <c r="O640" s="2">
        <f>VLOOKUP($A640,'[2]App C Exp'!$A$4:$I$917,9,FALSE)</f>
        <v>0</v>
      </c>
      <c r="P640" s="2"/>
      <c r="Q640" s="2">
        <f>VLOOKUP($A640,'[2]App C Inv'!$A$4:$I$917,5,FALSE)</f>
        <v>48571</v>
      </c>
      <c r="R640" s="2">
        <f>VLOOKUP($A640,'[2]App C Inv'!$A$4:$I$917,6,FALSE)</f>
        <v>-41780</v>
      </c>
      <c r="S640" s="2">
        <f>VLOOKUP($A640,'[2]App C Inv'!$A$4:$I$917,7,FALSE)</f>
        <v>5888</v>
      </c>
      <c r="T640" s="2">
        <f>VLOOKUP($A640,'[2]App C Inv'!$A$4:$I$917,8,FALSE)</f>
        <v>7664</v>
      </c>
      <c r="U640" s="2">
        <f>VLOOKUP($A640,'[2]App C Inv'!$A$4:$I$917,9,FALSE)</f>
        <v>0</v>
      </c>
      <c r="V640" s="2"/>
      <c r="W640" s="2">
        <f>VLOOKUP($A640,'[2]App C Assum'!$A$4:$I$917,5,FALSE)</f>
        <v>54716</v>
      </c>
      <c r="X640" s="2">
        <f>VLOOKUP($A640,'[2]App C Assum'!$A$4:$I$917,6,FALSE)</f>
        <v>44825</v>
      </c>
      <c r="Y640" s="2">
        <f>VLOOKUP($A640,'[2]App C Assum'!$A$4:$I$917,7,FALSE)</f>
        <v>36391</v>
      </c>
      <c r="Z640" s="2">
        <f>VLOOKUP($A640,'[2]App C Assum'!$A$4:$I$917,8,FALSE)</f>
        <v>0</v>
      </c>
      <c r="AA640" s="2">
        <f>VLOOKUP($A640,'[2]App C Assum'!$A$4:$I$917,9,FALSE)</f>
        <v>0</v>
      </c>
      <c r="AB640" s="2"/>
      <c r="AC640" s="2">
        <f>VLOOKUP($A640,'[2]App C Share Outflows'!$A$4:$I$917,5,FALSE)</f>
        <v>6016</v>
      </c>
      <c r="AD640" s="2">
        <f>VLOOKUP($A640,'[2]App C Share Outflows'!$A$4:$I$917,6,FALSE)</f>
        <v>6016</v>
      </c>
      <c r="AE640" s="2">
        <f>VLOOKUP($A640,'[2]App C Share Outflows'!$A$4:$I$917,7,FALSE)</f>
        <v>6018</v>
      </c>
      <c r="AF640" s="2">
        <f>VLOOKUP($A640,'[2]App C Share Outflows'!$A$4:$I$917,8,FALSE)</f>
        <v>5590</v>
      </c>
      <c r="AG640" s="2">
        <f>VLOOKUP($A640,'[2]App C Share Outflows'!$A$4:$I$917,9,FALSE)</f>
        <v>0</v>
      </c>
      <c r="AH640" s="2"/>
      <c r="AI640" s="2">
        <f>VLOOKUP($A640,'[2]App C Share Inflows'!$A$4:$I$917,5,FALSE)</f>
        <v>-7536</v>
      </c>
      <c r="AJ640" s="2">
        <f>VLOOKUP($A640,'[2]App C Share Inflows'!$A$4:$I$917,6,FALSE)</f>
        <v>-1087</v>
      </c>
      <c r="AK640" s="2">
        <f>VLOOKUP($A640,'[2]App C Share Inflows'!$A$4:$I$917,7,FALSE)</f>
        <v>0</v>
      </c>
      <c r="AL640" s="2">
        <f>VLOOKUP($A640,'[2]App C Share Inflows'!$A$4:$I$917,8,FALSE)</f>
        <v>0</v>
      </c>
      <c r="AM640" s="2">
        <f>VLOOKUP($A640,'[2]App C Share Inflows'!$A$4:$I$917,6,FALSE)</f>
        <v>-1087</v>
      </c>
    </row>
    <row r="641" spans="1:39">
      <c r="A641" s="351">
        <v>96801</v>
      </c>
      <c r="B641" s="344" t="s">
        <v>1336</v>
      </c>
      <c r="C641" s="235" t="e">
        <f>VLOOKUP(A641,#REF!,10,FALSE)</f>
        <v>#REF!</v>
      </c>
      <c r="E641" s="2">
        <f>VLOOKUP($A641,'[2]App C Total'!$A$4:$I$917,5,FALSE)</f>
        <v>3772341</v>
      </c>
      <c r="F641" s="2">
        <f>VLOOKUP($A641,'[2]App C Total'!$A$4:$I$917,6,FALSE)</f>
        <v>1144845</v>
      </c>
      <c r="G641" s="2">
        <f>VLOOKUP($A641,'[2]App C Total'!$A$4:$I$917,7,FALSE)</f>
        <v>2030773</v>
      </c>
      <c r="H641" s="2">
        <f>VLOOKUP($A641,'[2]App C Total'!$A$4:$I$917,8,FALSE)</f>
        <v>571847</v>
      </c>
      <c r="I641" s="2">
        <f>VLOOKUP($A641,'[2]App C Total'!$A$4:$I$917,9,FALSE)</f>
        <v>0</v>
      </c>
      <c r="J641" s="2"/>
      <c r="K641" s="2">
        <f>VLOOKUP($A641,'[2]App C Exp'!$A$4:$I$917,5,FALSE)</f>
        <v>1141634</v>
      </c>
      <c r="L641" s="2">
        <f>VLOOKUP($A641,'[2]App C Exp'!$A$4:$I$917,6,FALSE)</f>
        <v>1073909</v>
      </c>
      <c r="M641" s="2">
        <f>VLOOKUP($A641,'[2]App C Exp'!$A$4:$I$917,7,FALSE)</f>
        <v>962533</v>
      </c>
      <c r="N641" s="2">
        <f>VLOOKUP($A641,'[2]App C Exp'!$A$4:$I$917,8,FALSE)</f>
        <v>385386</v>
      </c>
      <c r="O641" s="2">
        <f>VLOOKUP($A641,'[2]App C Exp'!$A$4:$I$917,9,FALSE)</f>
        <v>0</v>
      </c>
      <c r="P641" s="2"/>
      <c r="Q641" s="2">
        <f>VLOOKUP($A641,'[2]App C Inv'!$A$4:$I$917,5,FALSE)</f>
        <v>1212004</v>
      </c>
      <c r="R641" s="2">
        <f>VLOOKUP($A641,'[2]App C Inv'!$A$4:$I$917,6,FALSE)</f>
        <v>-1042550</v>
      </c>
      <c r="S641" s="2">
        <f>VLOOKUP($A641,'[2]App C Inv'!$A$4:$I$917,7,FALSE)</f>
        <v>146935</v>
      </c>
      <c r="T641" s="2">
        <f>VLOOKUP($A641,'[2]App C Inv'!$A$4:$I$917,8,FALSE)</f>
        <v>191234</v>
      </c>
      <c r="U641" s="2">
        <f>VLOOKUP($A641,'[2]App C Inv'!$A$4:$I$917,9,FALSE)</f>
        <v>0</v>
      </c>
      <c r="V641" s="2"/>
      <c r="W641" s="2">
        <f>VLOOKUP($A641,'[2]App C Assum'!$A$4:$I$917,5,FALSE)</f>
        <v>1365340</v>
      </c>
      <c r="X641" s="2">
        <f>VLOOKUP($A641,'[2]App C Assum'!$A$4:$I$917,6,FALSE)</f>
        <v>1118536</v>
      </c>
      <c r="Y641" s="2">
        <f>VLOOKUP($A641,'[2]App C Assum'!$A$4:$I$917,7,FALSE)</f>
        <v>908060</v>
      </c>
      <c r="Z641" s="2">
        <f>VLOOKUP($A641,'[2]App C Assum'!$A$4:$I$917,8,FALSE)</f>
        <v>0</v>
      </c>
      <c r="AA641" s="2">
        <f>VLOOKUP($A641,'[2]App C Assum'!$A$4:$I$917,9,FALSE)</f>
        <v>0</v>
      </c>
      <c r="AB641" s="2"/>
      <c r="AC641" s="2">
        <f>VLOOKUP($A641,'[2]App C Share Outflows'!$A$4:$I$917,5,FALSE)</f>
        <v>76428</v>
      </c>
      <c r="AD641" s="2">
        <f>VLOOKUP($A641,'[2]App C Share Outflows'!$A$4:$I$917,6,FALSE)</f>
        <v>18014</v>
      </c>
      <c r="AE641" s="2">
        <f>VLOOKUP($A641,'[2]App C Share Outflows'!$A$4:$I$917,7,FALSE)</f>
        <v>18016</v>
      </c>
      <c r="AF641" s="2">
        <f>VLOOKUP($A641,'[2]App C Share Outflows'!$A$4:$I$917,8,FALSE)</f>
        <v>0</v>
      </c>
      <c r="AG641" s="2">
        <f>VLOOKUP($A641,'[2]App C Share Outflows'!$A$4:$I$917,9,FALSE)</f>
        <v>0</v>
      </c>
      <c r="AH641" s="2"/>
      <c r="AI641" s="2">
        <f>VLOOKUP($A641,'[2]App C Share Inflows'!$A$4:$I$917,5,FALSE)</f>
        <v>-23065</v>
      </c>
      <c r="AJ641" s="2">
        <f>VLOOKUP($A641,'[2]App C Share Inflows'!$A$4:$I$917,6,FALSE)</f>
        <v>-23064</v>
      </c>
      <c r="AK641" s="2">
        <f>VLOOKUP($A641,'[2]App C Share Inflows'!$A$4:$I$917,7,FALSE)</f>
        <v>-4771</v>
      </c>
      <c r="AL641" s="2">
        <f>VLOOKUP($A641,'[2]App C Share Inflows'!$A$4:$I$917,8,FALSE)</f>
        <v>-4773</v>
      </c>
      <c r="AM641" s="2">
        <f>VLOOKUP($A641,'[2]App C Share Inflows'!$A$4:$I$917,6,FALSE)</f>
        <v>-23064</v>
      </c>
    </row>
    <row r="642" spans="1:39">
      <c r="A642" s="351">
        <v>96804</v>
      </c>
      <c r="B642" s="344" t="s">
        <v>1337</v>
      </c>
      <c r="C642" s="235" t="e">
        <f>VLOOKUP(A642,#REF!,10,FALSE)</f>
        <v>#REF!</v>
      </c>
      <c r="E642" s="2">
        <f>VLOOKUP($A642,'[2]App C Total'!$A$4:$I$917,5,FALSE)</f>
        <v>109973</v>
      </c>
      <c r="F642" s="2">
        <f>VLOOKUP($A642,'[2]App C Total'!$A$4:$I$917,6,FALSE)</f>
        <v>28260</v>
      </c>
      <c r="G642" s="2">
        <f>VLOOKUP($A642,'[2]App C Total'!$A$4:$I$917,7,FALSE)</f>
        <v>54509</v>
      </c>
      <c r="H642" s="2">
        <f>VLOOKUP($A642,'[2]App C Total'!$A$4:$I$917,8,FALSE)</f>
        <v>13552</v>
      </c>
      <c r="I642" s="2">
        <f>VLOOKUP($A642,'[2]App C Total'!$A$4:$I$917,9,FALSE)</f>
        <v>0</v>
      </c>
      <c r="J642" s="2"/>
      <c r="K642" s="2">
        <f>VLOOKUP($A642,'[2]App C Exp'!$A$4:$I$917,5,FALSE)</f>
        <v>36298</v>
      </c>
      <c r="L642" s="2">
        <f>VLOOKUP($A642,'[2]App C Exp'!$A$4:$I$917,6,FALSE)</f>
        <v>34145</v>
      </c>
      <c r="M642" s="2">
        <f>VLOOKUP($A642,'[2]App C Exp'!$A$4:$I$917,7,FALSE)</f>
        <v>30604</v>
      </c>
      <c r="N642" s="2">
        <f>VLOOKUP($A642,'[2]App C Exp'!$A$4:$I$917,8,FALSE)</f>
        <v>12253</v>
      </c>
      <c r="O642" s="2">
        <f>VLOOKUP($A642,'[2]App C Exp'!$A$4:$I$917,9,FALSE)</f>
        <v>0</v>
      </c>
      <c r="P642" s="2"/>
      <c r="Q642" s="2">
        <f>VLOOKUP($A642,'[2]App C Inv'!$A$4:$I$917,5,FALSE)</f>
        <v>38536</v>
      </c>
      <c r="R642" s="2">
        <f>VLOOKUP($A642,'[2]App C Inv'!$A$4:$I$917,6,FALSE)</f>
        <v>-33148</v>
      </c>
      <c r="S642" s="2">
        <f>VLOOKUP($A642,'[2]App C Inv'!$A$4:$I$917,7,FALSE)</f>
        <v>4672</v>
      </c>
      <c r="T642" s="2">
        <f>VLOOKUP($A642,'[2]App C Inv'!$A$4:$I$917,8,FALSE)</f>
        <v>6080</v>
      </c>
      <c r="U642" s="2">
        <f>VLOOKUP($A642,'[2]App C Inv'!$A$4:$I$917,9,FALSE)</f>
        <v>0</v>
      </c>
      <c r="V642" s="2"/>
      <c r="W642" s="2">
        <f>VLOOKUP($A642,'[2]App C Assum'!$A$4:$I$917,5,FALSE)</f>
        <v>43411</v>
      </c>
      <c r="X642" s="2">
        <f>VLOOKUP($A642,'[2]App C Assum'!$A$4:$I$917,6,FALSE)</f>
        <v>35564</v>
      </c>
      <c r="Y642" s="2">
        <f>VLOOKUP($A642,'[2]App C Assum'!$A$4:$I$917,7,FALSE)</f>
        <v>28872</v>
      </c>
      <c r="Z642" s="2">
        <f>VLOOKUP($A642,'[2]App C Assum'!$A$4:$I$917,8,FALSE)</f>
        <v>0</v>
      </c>
      <c r="AA642" s="2">
        <f>VLOOKUP($A642,'[2]App C Assum'!$A$4:$I$917,9,FALSE)</f>
        <v>0</v>
      </c>
      <c r="AB642" s="2"/>
      <c r="AC642" s="2">
        <f>VLOOKUP($A642,'[2]App C Share Outflows'!$A$4:$I$917,5,FALSE)</f>
        <v>1367</v>
      </c>
      <c r="AD642" s="2">
        <f>VLOOKUP($A642,'[2]App C Share Outflows'!$A$4:$I$917,6,FALSE)</f>
        <v>1338</v>
      </c>
      <c r="AE642" s="2">
        <f>VLOOKUP($A642,'[2]App C Share Outflows'!$A$4:$I$917,7,FALSE)</f>
        <v>0</v>
      </c>
      <c r="AF642" s="2">
        <f>VLOOKUP($A642,'[2]App C Share Outflows'!$A$4:$I$917,8,FALSE)</f>
        <v>0</v>
      </c>
      <c r="AG642" s="2">
        <f>VLOOKUP($A642,'[2]App C Share Outflows'!$A$4:$I$917,9,FALSE)</f>
        <v>0</v>
      </c>
      <c r="AH642" s="2"/>
      <c r="AI642" s="2">
        <f>VLOOKUP($A642,'[2]App C Share Inflows'!$A$4:$I$917,5,FALSE)</f>
        <v>-9639</v>
      </c>
      <c r="AJ642" s="2">
        <f>VLOOKUP($A642,'[2]App C Share Inflows'!$A$4:$I$917,6,FALSE)</f>
        <v>-9639</v>
      </c>
      <c r="AK642" s="2">
        <f>VLOOKUP($A642,'[2]App C Share Inflows'!$A$4:$I$917,7,FALSE)</f>
        <v>-9639</v>
      </c>
      <c r="AL642" s="2">
        <f>VLOOKUP($A642,'[2]App C Share Inflows'!$A$4:$I$917,8,FALSE)</f>
        <v>-4781</v>
      </c>
      <c r="AM642" s="2">
        <f>VLOOKUP($A642,'[2]App C Share Inflows'!$A$4:$I$917,6,FALSE)</f>
        <v>-9639</v>
      </c>
    </row>
    <row r="643" spans="1:39">
      <c r="A643" s="351">
        <v>96808</v>
      </c>
      <c r="B643" s="344" t="s">
        <v>1338</v>
      </c>
      <c r="C643" s="235" t="e">
        <f>VLOOKUP(A643,#REF!,10,FALSE)</f>
        <v>#REF!</v>
      </c>
      <c r="E643" s="2">
        <f>VLOOKUP($A643,'[2]App C Total'!$A$4:$I$917,5,FALSE)</f>
        <v>589307</v>
      </c>
      <c r="F643" s="2">
        <f>VLOOKUP($A643,'[2]App C Total'!$A$4:$I$917,6,FALSE)</f>
        <v>172531</v>
      </c>
      <c r="G643" s="2">
        <f>VLOOKUP($A643,'[2]App C Total'!$A$4:$I$917,7,FALSE)</f>
        <v>312068</v>
      </c>
      <c r="H643" s="2">
        <f>VLOOKUP($A643,'[2]App C Total'!$A$4:$I$917,8,FALSE)</f>
        <v>84933</v>
      </c>
      <c r="I643" s="2">
        <f>VLOOKUP($A643,'[2]App C Total'!$A$4:$I$917,9,FALSE)</f>
        <v>0</v>
      </c>
      <c r="J643" s="2"/>
      <c r="K643" s="2">
        <f>VLOOKUP($A643,'[2]App C Exp'!$A$4:$I$917,5,FALSE)</f>
        <v>182390</v>
      </c>
      <c r="L643" s="2">
        <f>VLOOKUP($A643,'[2]App C Exp'!$A$4:$I$917,6,FALSE)</f>
        <v>171570</v>
      </c>
      <c r="M643" s="2">
        <f>VLOOKUP($A643,'[2]App C Exp'!$A$4:$I$917,7,FALSE)</f>
        <v>153776</v>
      </c>
      <c r="N643" s="2">
        <f>VLOOKUP($A643,'[2]App C Exp'!$A$4:$I$917,8,FALSE)</f>
        <v>61570</v>
      </c>
      <c r="O643" s="2">
        <f>VLOOKUP($A643,'[2]App C Exp'!$A$4:$I$917,9,FALSE)</f>
        <v>0</v>
      </c>
      <c r="P643" s="2"/>
      <c r="Q643" s="2">
        <f>VLOOKUP($A643,'[2]App C Inv'!$A$4:$I$917,5,FALSE)</f>
        <v>193632</v>
      </c>
      <c r="R643" s="2">
        <f>VLOOKUP($A643,'[2]App C Inv'!$A$4:$I$917,6,FALSE)</f>
        <v>-166560</v>
      </c>
      <c r="S643" s="2">
        <f>VLOOKUP($A643,'[2]App C Inv'!$A$4:$I$917,7,FALSE)</f>
        <v>23475</v>
      </c>
      <c r="T643" s="2">
        <f>VLOOKUP($A643,'[2]App C Inv'!$A$4:$I$917,8,FALSE)</f>
        <v>30552</v>
      </c>
      <c r="U643" s="2">
        <f>VLOOKUP($A643,'[2]App C Inv'!$A$4:$I$917,9,FALSE)</f>
        <v>0</v>
      </c>
      <c r="V643" s="2"/>
      <c r="W643" s="2">
        <f>VLOOKUP($A643,'[2]App C Assum'!$A$4:$I$917,5,FALSE)</f>
        <v>218130</v>
      </c>
      <c r="X643" s="2">
        <f>VLOOKUP($A643,'[2]App C Assum'!$A$4:$I$917,6,FALSE)</f>
        <v>178700</v>
      </c>
      <c r="Y643" s="2">
        <f>VLOOKUP($A643,'[2]App C Assum'!$A$4:$I$917,7,FALSE)</f>
        <v>145074</v>
      </c>
      <c r="Z643" s="2">
        <f>VLOOKUP($A643,'[2]App C Assum'!$A$4:$I$917,8,FALSE)</f>
        <v>0</v>
      </c>
      <c r="AA643" s="2">
        <f>VLOOKUP($A643,'[2]App C Assum'!$A$4:$I$917,9,FALSE)</f>
        <v>0</v>
      </c>
      <c r="AB643" s="2"/>
      <c r="AC643" s="2">
        <f>VLOOKUP($A643,'[2]App C Share Outflows'!$A$4:$I$917,5,FALSE)</f>
        <v>6336</v>
      </c>
      <c r="AD643" s="2">
        <f>VLOOKUP($A643,'[2]App C Share Outflows'!$A$4:$I$917,6,FALSE)</f>
        <v>0</v>
      </c>
      <c r="AE643" s="2">
        <f>VLOOKUP($A643,'[2]App C Share Outflows'!$A$4:$I$917,7,FALSE)</f>
        <v>0</v>
      </c>
      <c r="AF643" s="2">
        <f>VLOOKUP($A643,'[2]App C Share Outflows'!$A$4:$I$917,8,FALSE)</f>
        <v>0</v>
      </c>
      <c r="AG643" s="2">
        <f>VLOOKUP($A643,'[2]App C Share Outflows'!$A$4:$I$917,9,FALSE)</f>
        <v>0</v>
      </c>
      <c r="AH643" s="2"/>
      <c r="AI643" s="2">
        <f>VLOOKUP($A643,'[2]App C Share Inflows'!$A$4:$I$917,5,FALSE)</f>
        <v>-11181</v>
      </c>
      <c r="AJ643" s="2">
        <f>VLOOKUP($A643,'[2]App C Share Inflows'!$A$4:$I$917,6,FALSE)</f>
        <v>-11179</v>
      </c>
      <c r="AK643" s="2">
        <f>VLOOKUP($A643,'[2]App C Share Inflows'!$A$4:$I$917,7,FALSE)</f>
        <v>-10257</v>
      </c>
      <c r="AL643" s="2">
        <f>VLOOKUP($A643,'[2]App C Share Inflows'!$A$4:$I$917,8,FALSE)</f>
        <v>-7189</v>
      </c>
      <c r="AM643" s="2">
        <f>VLOOKUP($A643,'[2]App C Share Inflows'!$A$4:$I$917,6,FALSE)</f>
        <v>-11179</v>
      </c>
    </row>
    <row r="644" spans="1:39">
      <c r="A644" s="351">
        <v>96811</v>
      </c>
      <c r="B644" s="344" t="s">
        <v>1339</v>
      </c>
      <c r="C644" s="235" t="e">
        <f>VLOOKUP(A644,#REF!,10,FALSE)</f>
        <v>#REF!</v>
      </c>
      <c r="E644" s="2">
        <f>VLOOKUP($A644,'[2]App C Total'!$A$4:$I$917,5,FALSE)</f>
        <v>2799855</v>
      </c>
      <c r="F644" s="2">
        <f>VLOOKUP($A644,'[2]App C Total'!$A$4:$I$917,6,FALSE)</f>
        <v>837141</v>
      </c>
      <c r="G644" s="2">
        <f>VLOOKUP($A644,'[2]App C Total'!$A$4:$I$917,7,FALSE)</f>
        <v>1493888</v>
      </c>
      <c r="H644" s="2">
        <f>VLOOKUP($A644,'[2]App C Total'!$A$4:$I$917,8,FALSE)</f>
        <v>400920</v>
      </c>
      <c r="I644" s="2">
        <f>VLOOKUP($A644,'[2]App C Total'!$A$4:$I$917,9,FALSE)</f>
        <v>0</v>
      </c>
      <c r="J644" s="2"/>
      <c r="K644" s="2">
        <f>VLOOKUP($A644,'[2]App C Exp'!$A$4:$I$917,5,FALSE)</f>
        <v>876461</v>
      </c>
      <c r="L644" s="2">
        <f>VLOOKUP($A644,'[2]App C Exp'!$A$4:$I$917,6,FALSE)</f>
        <v>824467</v>
      </c>
      <c r="M644" s="2">
        <f>VLOOKUP($A644,'[2]App C Exp'!$A$4:$I$917,7,FALSE)</f>
        <v>738960</v>
      </c>
      <c r="N644" s="2">
        <f>VLOOKUP($A644,'[2]App C Exp'!$A$4:$I$917,8,FALSE)</f>
        <v>295871</v>
      </c>
      <c r="O644" s="2">
        <f>VLOOKUP($A644,'[2]App C Exp'!$A$4:$I$917,9,FALSE)</f>
        <v>0</v>
      </c>
      <c r="P644" s="2"/>
      <c r="Q644" s="2">
        <f>VLOOKUP($A644,'[2]App C Inv'!$A$4:$I$917,5,FALSE)</f>
        <v>930485</v>
      </c>
      <c r="R644" s="2">
        <f>VLOOKUP($A644,'[2]App C Inv'!$A$4:$I$917,6,FALSE)</f>
        <v>-800391</v>
      </c>
      <c r="S644" s="2">
        <f>VLOOKUP($A644,'[2]App C Inv'!$A$4:$I$917,7,FALSE)</f>
        <v>112805</v>
      </c>
      <c r="T644" s="2">
        <f>VLOOKUP($A644,'[2]App C Inv'!$A$4:$I$917,8,FALSE)</f>
        <v>146815</v>
      </c>
      <c r="U644" s="2">
        <f>VLOOKUP($A644,'[2]App C Inv'!$A$4:$I$917,9,FALSE)</f>
        <v>0</v>
      </c>
      <c r="V644" s="2"/>
      <c r="W644" s="2">
        <f>VLOOKUP($A644,'[2]App C Assum'!$A$4:$I$917,5,FALSE)</f>
        <v>1048205</v>
      </c>
      <c r="X644" s="2">
        <f>VLOOKUP($A644,'[2]App C Assum'!$A$4:$I$917,6,FALSE)</f>
        <v>858728</v>
      </c>
      <c r="Y644" s="2">
        <f>VLOOKUP($A644,'[2]App C Assum'!$A$4:$I$917,7,FALSE)</f>
        <v>697140</v>
      </c>
      <c r="Z644" s="2">
        <f>VLOOKUP($A644,'[2]App C Assum'!$A$4:$I$917,8,FALSE)</f>
        <v>0</v>
      </c>
      <c r="AA644" s="2">
        <f>VLOOKUP($A644,'[2]App C Assum'!$A$4:$I$917,9,FALSE)</f>
        <v>0</v>
      </c>
      <c r="AB644" s="2"/>
      <c r="AC644" s="2">
        <f>VLOOKUP($A644,'[2]App C Share Outflows'!$A$4:$I$917,5,FALSE)</f>
        <v>9353</v>
      </c>
      <c r="AD644" s="2">
        <f>VLOOKUP($A644,'[2]App C Share Outflows'!$A$4:$I$917,6,FALSE)</f>
        <v>9353</v>
      </c>
      <c r="AE644" s="2">
        <f>VLOOKUP($A644,'[2]App C Share Outflows'!$A$4:$I$917,7,FALSE)</f>
        <v>0</v>
      </c>
      <c r="AF644" s="2">
        <f>VLOOKUP($A644,'[2]App C Share Outflows'!$A$4:$I$917,8,FALSE)</f>
        <v>0</v>
      </c>
      <c r="AG644" s="2">
        <f>VLOOKUP($A644,'[2]App C Share Outflows'!$A$4:$I$917,9,FALSE)</f>
        <v>0</v>
      </c>
      <c r="AH644" s="2"/>
      <c r="AI644" s="2">
        <f>VLOOKUP($A644,'[2]App C Share Inflows'!$A$4:$I$917,5,FALSE)</f>
        <v>-64649</v>
      </c>
      <c r="AJ644" s="2">
        <f>VLOOKUP($A644,'[2]App C Share Inflows'!$A$4:$I$917,6,FALSE)</f>
        <v>-55016</v>
      </c>
      <c r="AK644" s="2">
        <f>VLOOKUP($A644,'[2]App C Share Inflows'!$A$4:$I$917,7,FALSE)</f>
        <v>-55017</v>
      </c>
      <c r="AL644" s="2">
        <f>VLOOKUP($A644,'[2]App C Share Inflows'!$A$4:$I$917,8,FALSE)</f>
        <v>-41766</v>
      </c>
      <c r="AM644" s="2">
        <f>VLOOKUP($A644,'[2]App C Share Inflows'!$A$4:$I$917,6,FALSE)</f>
        <v>-55016</v>
      </c>
    </row>
    <row r="645" spans="1:39">
      <c r="A645" s="351">
        <v>96821</v>
      </c>
      <c r="B645" s="344" t="s">
        <v>1340</v>
      </c>
      <c r="C645" s="235" t="e">
        <f>VLOOKUP(A645,#REF!,10,FALSE)</f>
        <v>#REF!</v>
      </c>
      <c r="E645" s="2">
        <f>VLOOKUP($A645,'[2]App C Total'!$A$4:$I$917,5,FALSE)</f>
        <v>582959</v>
      </c>
      <c r="F645" s="2">
        <f>VLOOKUP($A645,'[2]App C Total'!$A$4:$I$917,6,FALSE)</f>
        <v>183044</v>
      </c>
      <c r="G645" s="2">
        <f>VLOOKUP($A645,'[2]App C Total'!$A$4:$I$917,7,FALSE)</f>
        <v>332700</v>
      </c>
      <c r="H645" s="2">
        <f>VLOOKUP($A645,'[2]App C Total'!$A$4:$I$917,8,FALSE)</f>
        <v>118570</v>
      </c>
      <c r="I645" s="2">
        <f>VLOOKUP($A645,'[2]App C Total'!$A$4:$I$917,9,FALSE)</f>
        <v>0</v>
      </c>
      <c r="J645" s="2"/>
      <c r="K645" s="2">
        <f>VLOOKUP($A645,'[2]App C Exp'!$A$4:$I$917,5,FALSE)</f>
        <v>187349</v>
      </c>
      <c r="L645" s="2">
        <f>VLOOKUP($A645,'[2]App C Exp'!$A$4:$I$917,6,FALSE)</f>
        <v>176235</v>
      </c>
      <c r="M645" s="2">
        <f>VLOOKUP($A645,'[2]App C Exp'!$A$4:$I$917,7,FALSE)</f>
        <v>157957</v>
      </c>
      <c r="N645" s="2">
        <f>VLOOKUP($A645,'[2]App C Exp'!$A$4:$I$917,8,FALSE)</f>
        <v>63244</v>
      </c>
      <c r="O645" s="2">
        <f>VLOOKUP($A645,'[2]App C Exp'!$A$4:$I$917,9,FALSE)</f>
        <v>0</v>
      </c>
      <c r="P645" s="2"/>
      <c r="Q645" s="2">
        <f>VLOOKUP($A645,'[2]App C Inv'!$A$4:$I$917,5,FALSE)</f>
        <v>198897</v>
      </c>
      <c r="R645" s="2">
        <f>VLOOKUP($A645,'[2]App C Inv'!$A$4:$I$917,6,FALSE)</f>
        <v>-171088</v>
      </c>
      <c r="S645" s="2">
        <f>VLOOKUP($A645,'[2]App C Inv'!$A$4:$I$917,7,FALSE)</f>
        <v>24113</v>
      </c>
      <c r="T645" s="2">
        <f>VLOOKUP($A645,'[2]App C Inv'!$A$4:$I$917,8,FALSE)</f>
        <v>31383</v>
      </c>
      <c r="U645" s="2">
        <f>VLOOKUP($A645,'[2]App C Inv'!$A$4:$I$917,9,FALSE)</f>
        <v>0</v>
      </c>
      <c r="V645" s="2"/>
      <c r="W645" s="2">
        <f>VLOOKUP($A645,'[2]App C Assum'!$A$4:$I$917,5,FALSE)</f>
        <v>224060</v>
      </c>
      <c r="X645" s="2">
        <f>VLOOKUP($A645,'[2]App C Assum'!$A$4:$I$917,6,FALSE)</f>
        <v>183558</v>
      </c>
      <c r="Y645" s="2">
        <f>VLOOKUP($A645,'[2]App C Assum'!$A$4:$I$917,7,FALSE)</f>
        <v>149018</v>
      </c>
      <c r="Z645" s="2">
        <f>VLOOKUP($A645,'[2]App C Assum'!$A$4:$I$917,8,FALSE)</f>
        <v>0</v>
      </c>
      <c r="AA645" s="2">
        <f>VLOOKUP($A645,'[2]App C Assum'!$A$4:$I$917,9,FALSE)</f>
        <v>0</v>
      </c>
      <c r="AB645" s="2"/>
      <c r="AC645" s="2">
        <f>VLOOKUP($A645,'[2]App C Share Outflows'!$A$4:$I$917,5,FALSE)</f>
        <v>23941</v>
      </c>
      <c r="AD645" s="2">
        <f>VLOOKUP($A645,'[2]App C Share Outflows'!$A$4:$I$917,6,FALSE)</f>
        <v>23941</v>
      </c>
      <c r="AE645" s="2">
        <f>VLOOKUP($A645,'[2]App C Share Outflows'!$A$4:$I$917,7,FALSE)</f>
        <v>23941</v>
      </c>
      <c r="AF645" s="2">
        <f>VLOOKUP($A645,'[2]App C Share Outflows'!$A$4:$I$917,8,FALSE)</f>
        <v>23943</v>
      </c>
      <c r="AG645" s="2">
        <f>VLOOKUP($A645,'[2]App C Share Outflows'!$A$4:$I$917,9,FALSE)</f>
        <v>0</v>
      </c>
      <c r="AH645" s="2"/>
      <c r="AI645" s="2">
        <f>VLOOKUP($A645,'[2]App C Share Inflows'!$A$4:$I$917,5,FALSE)</f>
        <v>-51288</v>
      </c>
      <c r="AJ645" s="2">
        <f>VLOOKUP($A645,'[2]App C Share Inflows'!$A$4:$I$917,6,FALSE)</f>
        <v>-29602</v>
      </c>
      <c r="AK645" s="2">
        <f>VLOOKUP($A645,'[2]App C Share Inflows'!$A$4:$I$917,7,FALSE)</f>
        <v>-22329</v>
      </c>
      <c r="AL645" s="2">
        <f>VLOOKUP($A645,'[2]App C Share Inflows'!$A$4:$I$917,8,FALSE)</f>
        <v>0</v>
      </c>
      <c r="AM645" s="2">
        <f>VLOOKUP($A645,'[2]App C Share Inflows'!$A$4:$I$917,6,FALSE)</f>
        <v>-29602</v>
      </c>
    </row>
    <row r="646" spans="1:39">
      <c r="A646" s="351">
        <v>96831</v>
      </c>
      <c r="B646" s="344" t="s">
        <v>1341</v>
      </c>
      <c r="C646" s="235" t="e">
        <f>VLOOKUP(A646,#REF!,10,FALSE)</f>
        <v>#REF!</v>
      </c>
      <c r="E646" s="2">
        <f>VLOOKUP($A646,'[2]App C Total'!$A$4:$I$917,5,FALSE)</f>
        <v>439272</v>
      </c>
      <c r="F646" s="2">
        <f>VLOOKUP($A646,'[2]App C Total'!$A$4:$I$917,6,FALSE)</f>
        <v>128279</v>
      </c>
      <c r="G646" s="2">
        <f>VLOOKUP($A646,'[2]App C Total'!$A$4:$I$917,7,FALSE)</f>
        <v>231248</v>
      </c>
      <c r="H646" s="2">
        <f>VLOOKUP($A646,'[2]App C Total'!$A$4:$I$917,8,FALSE)</f>
        <v>61491</v>
      </c>
      <c r="I646" s="2">
        <f>VLOOKUP($A646,'[2]App C Total'!$A$4:$I$917,9,FALSE)</f>
        <v>0</v>
      </c>
      <c r="J646" s="2"/>
      <c r="K646" s="2">
        <f>VLOOKUP($A646,'[2]App C Exp'!$A$4:$I$917,5,FALSE)</f>
        <v>135650</v>
      </c>
      <c r="L646" s="2">
        <f>VLOOKUP($A646,'[2]App C Exp'!$A$4:$I$917,6,FALSE)</f>
        <v>127603</v>
      </c>
      <c r="M646" s="2">
        <f>VLOOKUP($A646,'[2]App C Exp'!$A$4:$I$917,7,FALSE)</f>
        <v>114369</v>
      </c>
      <c r="N646" s="2">
        <f>VLOOKUP($A646,'[2]App C Exp'!$A$4:$I$917,8,FALSE)</f>
        <v>45792</v>
      </c>
      <c r="O646" s="2">
        <f>VLOOKUP($A646,'[2]App C Exp'!$A$4:$I$917,9,FALSE)</f>
        <v>0</v>
      </c>
      <c r="P646" s="2"/>
      <c r="Q646" s="2">
        <f>VLOOKUP($A646,'[2]App C Inv'!$A$4:$I$917,5,FALSE)</f>
        <v>144012</v>
      </c>
      <c r="R646" s="2">
        <f>VLOOKUP($A646,'[2]App C Inv'!$A$4:$I$917,6,FALSE)</f>
        <v>-123877</v>
      </c>
      <c r="S646" s="2">
        <f>VLOOKUP($A646,'[2]App C Inv'!$A$4:$I$917,7,FALSE)</f>
        <v>17459</v>
      </c>
      <c r="T646" s="2">
        <f>VLOOKUP($A646,'[2]App C Inv'!$A$4:$I$917,8,FALSE)</f>
        <v>22723</v>
      </c>
      <c r="U646" s="2">
        <f>VLOOKUP($A646,'[2]App C Inv'!$A$4:$I$917,9,FALSE)</f>
        <v>0</v>
      </c>
      <c r="V646" s="2"/>
      <c r="W646" s="2">
        <f>VLOOKUP($A646,'[2]App C Assum'!$A$4:$I$917,5,FALSE)</f>
        <v>162231</v>
      </c>
      <c r="X646" s="2">
        <f>VLOOKUP($A646,'[2]App C Assum'!$A$4:$I$917,6,FALSE)</f>
        <v>132906</v>
      </c>
      <c r="Y646" s="2">
        <f>VLOOKUP($A646,'[2]App C Assum'!$A$4:$I$917,7,FALSE)</f>
        <v>107897</v>
      </c>
      <c r="Z646" s="2">
        <f>VLOOKUP($A646,'[2]App C Assum'!$A$4:$I$917,8,FALSE)</f>
        <v>0</v>
      </c>
      <c r="AA646" s="2">
        <f>VLOOKUP($A646,'[2]App C Assum'!$A$4:$I$917,9,FALSE)</f>
        <v>0</v>
      </c>
      <c r="AB646" s="2"/>
      <c r="AC646" s="2">
        <f>VLOOKUP($A646,'[2]App C Share Outflows'!$A$4:$I$917,5,FALSE)</f>
        <v>5854</v>
      </c>
      <c r="AD646" s="2">
        <f>VLOOKUP($A646,'[2]App C Share Outflows'!$A$4:$I$917,6,FALSE)</f>
        <v>122</v>
      </c>
      <c r="AE646" s="2">
        <f>VLOOKUP($A646,'[2]App C Share Outflows'!$A$4:$I$917,7,FALSE)</f>
        <v>0</v>
      </c>
      <c r="AF646" s="2">
        <f>VLOOKUP($A646,'[2]App C Share Outflows'!$A$4:$I$917,8,FALSE)</f>
        <v>0</v>
      </c>
      <c r="AG646" s="2">
        <f>VLOOKUP($A646,'[2]App C Share Outflows'!$A$4:$I$917,9,FALSE)</f>
        <v>0</v>
      </c>
      <c r="AH646" s="2"/>
      <c r="AI646" s="2">
        <f>VLOOKUP($A646,'[2]App C Share Inflows'!$A$4:$I$917,5,FALSE)</f>
        <v>-8475</v>
      </c>
      <c r="AJ646" s="2">
        <f>VLOOKUP($A646,'[2]App C Share Inflows'!$A$4:$I$917,6,FALSE)</f>
        <v>-8475</v>
      </c>
      <c r="AK646" s="2">
        <f>VLOOKUP($A646,'[2]App C Share Inflows'!$A$4:$I$917,7,FALSE)</f>
        <v>-8477</v>
      </c>
      <c r="AL646" s="2">
        <f>VLOOKUP($A646,'[2]App C Share Inflows'!$A$4:$I$917,8,FALSE)</f>
        <v>-7024</v>
      </c>
      <c r="AM646" s="2">
        <f>VLOOKUP($A646,'[2]App C Share Inflows'!$A$4:$I$917,6,FALSE)</f>
        <v>-8475</v>
      </c>
    </row>
    <row r="647" spans="1:39">
      <c r="A647" s="351">
        <v>96901</v>
      </c>
      <c r="B647" s="344" t="s">
        <v>1342</v>
      </c>
      <c r="C647" s="235" t="e">
        <f>VLOOKUP(A647,#REF!,10,FALSE)</f>
        <v>#REF!</v>
      </c>
      <c r="E647" s="2">
        <f>VLOOKUP($A647,'[2]App C Total'!$A$4:$I$917,5,FALSE)</f>
        <v>494886</v>
      </c>
      <c r="F647" s="2">
        <f>VLOOKUP($A647,'[2]App C Total'!$A$4:$I$917,6,FALSE)</f>
        <v>168183</v>
      </c>
      <c r="G647" s="2">
        <f>VLOOKUP($A647,'[2]App C Total'!$A$4:$I$917,7,FALSE)</f>
        <v>263373</v>
      </c>
      <c r="H647" s="2">
        <f>VLOOKUP($A647,'[2]App C Total'!$A$4:$I$917,8,FALSE)</f>
        <v>79634</v>
      </c>
      <c r="I647" s="2">
        <f>VLOOKUP($A647,'[2]App C Total'!$A$4:$I$917,9,FALSE)</f>
        <v>0</v>
      </c>
      <c r="J647" s="2"/>
      <c r="K647" s="2">
        <f>VLOOKUP($A647,'[2]App C Exp'!$A$4:$I$917,5,FALSE)</f>
        <v>143201</v>
      </c>
      <c r="L647" s="2">
        <f>VLOOKUP($A647,'[2]App C Exp'!$A$4:$I$917,6,FALSE)</f>
        <v>134705</v>
      </c>
      <c r="M647" s="2">
        <f>VLOOKUP($A647,'[2]App C Exp'!$A$4:$I$917,7,FALSE)</f>
        <v>120735</v>
      </c>
      <c r="N647" s="2">
        <f>VLOOKUP($A647,'[2]App C Exp'!$A$4:$I$917,8,FALSE)</f>
        <v>48341</v>
      </c>
      <c r="O647" s="2">
        <f>VLOOKUP($A647,'[2]App C Exp'!$A$4:$I$917,9,FALSE)</f>
        <v>0</v>
      </c>
      <c r="P647" s="2"/>
      <c r="Q647" s="2">
        <f>VLOOKUP($A647,'[2]App C Inv'!$A$4:$I$917,5,FALSE)</f>
        <v>152027</v>
      </c>
      <c r="R647" s="2">
        <f>VLOOKUP($A647,'[2]App C Inv'!$A$4:$I$917,6,FALSE)</f>
        <v>-130772</v>
      </c>
      <c r="S647" s="2">
        <f>VLOOKUP($A647,'[2]App C Inv'!$A$4:$I$917,7,FALSE)</f>
        <v>18431</v>
      </c>
      <c r="T647" s="2">
        <f>VLOOKUP($A647,'[2]App C Inv'!$A$4:$I$917,8,FALSE)</f>
        <v>23987</v>
      </c>
      <c r="U647" s="2">
        <f>VLOOKUP($A647,'[2]App C Inv'!$A$4:$I$917,9,FALSE)</f>
        <v>0</v>
      </c>
      <c r="V647" s="2"/>
      <c r="W647" s="2">
        <f>VLOOKUP($A647,'[2]App C Assum'!$A$4:$I$917,5,FALSE)</f>
        <v>171261</v>
      </c>
      <c r="X647" s="2">
        <f>VLOOKUP($A647,'[2]App C Assum'!$A$4:$I$917,6,FALSE)</f>
        <v>140303</v>
      </c>
      <c r="Y647" s="2">
        <f>VLOOKUP($A647,'[2]App C Assum'!$A$4:$I$917,7,FALSE)</f>
        <v>113902</v>
      </c>
      <c r="Z647" s="2">
        <f>VLOOKUP($A647,'[2]App C Assum'!$A$4:$I$917,8,FALSE)</f>
        <v>0</v>
      </c>
      <c r="AA647" s="2">
        <f>VLOOKUP($A647,'[2]App C Assum'!$A$4:$I$917,9,FALSE)</f>
        <v>0</v>
      </c>
      <c r="AB647" s="2"/>
      <c r="AC647" s="2">
        <f>VLOOKUP($A647,'[2]App C Share Outflows'!$A$4:$I$917,5,FALSE)</f>
        <v>28397</v>
      </c>
      <c r="AD647" s="2">
        <f>VLOOKUP($A647,'[2]App C Share Outflows'!$A$4:$I$917,6,FALSE)</f>
        <v>23947</v>
      </c>
      <c r="AE647" s="2">
        <f>VLOOKUP($A647,'[2]App C Share Outflows'!$A$4:$I$917,7,FALSE)</f>
        <v>10305</v>
      </c>
      <c r="AF647" s="2">
        <f>VLOOKUP($A647,'[2]App C Share Outflows'!$A$4:$I$917,8,FALSE)</f>
        <v>7306</v>
      </c>
      <c r="AG647" s="2">
        <f>VLOOKUP($A647,'[2]App C Share Outflows'!$A$4:$I$917,9,FALSE)</f>
        <v>0</v>
      </c>
      <c r="AH647" s="2"/>
      <c r="AI647" s="2">
        <f>VLOOKUP($A647,'[2]App C Share Inflows'!$A$4:$I$917,5,FALSE)</f>
        <v>0</v>
      </c>
      <c r="AJ647" s="2">
        <f>VLOOKUP($A647,'[2]App C Share Inflows'!$A$4:$I$917,6,FALSE)</f>
        <v>0</v>
      </c>
      <c r="AK647" s="2">
        <f>VLOOKUP($A647,'[2]App C Share Inflows'!$A$4:$I$917,7,FALSE)</f>
        <v>0</v>
      </c>
      <c r="AL647" s="2">
        <f>VLOOKUP($A647,'[2]App C Share Inflows'!$A$4:$I$917,8,FALSE)</f>
        <v>0</v>
      </c>
      <c r="AM647" s="2">
        <f>VLOOKUP($A647,'[2]App C Share Inflows'!$A$4:$I$917,6,FALSE)</f>
        <v>0</v>
      </c>
    </row>
    <row r="648" spans="1:39">
      <c r="A648" s="351">
        <v>96911</v>
      </c>
      <c r="B648" s="344" t="s">
        <v>1343</v>
      </c>
      <c r="C648" s="235" t="e">
        <f>VLOOKUP(A648,#REF!,10,FALSE)</f>
        <v>#REF!</v>
      </c>
      <c r="E648" s="2">
        <f>VLOOKUP($A648,'[2]App C Total'!$A$4:$I$917,5,FALSE)</f>
        <v>820</v>
      </c>
      <c r="F648" s="2">
        <f>VLOOKUP($A648,'[2]App C Total'!$A$4:$I$917,6,FALSE)</f>
        <v>872</v>
      </c>
      <c r="G648" s="2">
        <f>VLOOKUP($A648,'[2]App C Total'!$A$4:$I$917,7,FALSE)</f>
        <v>1186</v>
      </c>
      <c r="H648" s="2">
        <f>VLOOKUP($A648,'[2]App C Total'!$A$4:$I$917,8,FALSE)</f>
        <v>501</v>
      </c>
      <c r="I648" s="2">
        <f>VLOOKUP($A648,'[2]App C Total'!$A$4:$I$917,9,FALSE)</f>
        <v>0</v>
      </c>
      <c r="J648" s="2"/>
      <c r="K648" s="2">
        <f>VLOOKUP($A648,'[2]App C Exp'!$A$4:$I$917,5,FALSE)</f>
        <v>345</v>
      </c>
      <c r="L648" s="2">
        <f>VLOOKUP($A648,'[2]App C Exp'!$A$4:$I$917,6,FALSE)</f>
        <v>324</v>
      </c>
      <c r="M648" s="2">
        <f>VLOOKUP($A648,'[2]App C Exp'!$A$4:$I$917,7,FALSE)</f>
        <v>291</v>
      </c>
      <c r="N648" s="2">
        <f>VLOOKUP($A648,'[2]App C Exp'!$A$4:$I$917,8,FALSE)</f>
        <v>116</v>
      </c>
      <c r="O648" s="2">
        <f>VLOOKUP($A648,'[2]App C Exp'!$A$4:$I$917,9,FALSE)</f>
        <v>0</v>
      </c>
      <c r="P648" s="2"/>
      <c r="Q648" s="2">
        <f>VLOOKUP($A648,'[2]App C Inv'!$A$4:$I$917,5,FALSE)</f>
        <v>366</v>
      </c>
      <c r="R648" s="2">
        <f>VLOOKUP($A648,'[2]App C Inv'!$A$4:$I$917,6,FALSE)</f>
        <v>-315</v>
      </c>
      <c r="S648" s="2">
        <f>VLOOKUP($A648,'[2]App C Inv'!$A$4:$I$917,7,FALSE)</f>
        <v>44</v>
      </c>
      <c r="T648" s="2">
        <f>VLOOKUP($A648,'[2]App C Inv'!$A$4:$I$917,8,FALSE)</f>
        <v>58</v>
      </c>
      <c r="U648" s="2">
        <f>VLOOKUP($A648,'[2]App C Inv'!$A$4:$I$917,9,FALSE)</f>
        <v>0</v>
      </c>
      <c r="V648" s="2"/>
      <c r="W648" s="2">
        <f>VLOOKUP($A648,'[2]App C Assum'!$A$4:$I$917,5,FALSE)</f>
        <v>412</v>
      </c>
      <c r="X648" s="2">
        <f>VLOOKUP($A648,'[2]App C Assum'!$A$4:$I$917,6,FALSE)</f>
        <v>338</v>
      </c>
      <c r="Y648" s="2">
        <f>VLOOKUP($A648,'[2]App C Assum'!$A$4:$I$917,7,FALSE)</f>
        <v>274</v>
      </c>
      <c r="Z648" s="2">
        <f>VLOOKUP($A648,'[2]App C Assum'!$A$4:$I$917,8,FALSE)</f>
        <v>0</v>
      </c>
      <c r="AA648" s="2">
        <f>VLOOKUP($A648,'[2]App C Assum'!$A$4:$I$917,9,FALSE)</f>
        <v>0</v>
      </c>
      <c r="AB648" s="2"/>
      <c r="AC648" s="2">
        <f>VLOOKUP($A648,'[2]App C Share Outflows'!$A$4:$I$917,5,FALSE)</f>
        <v>575</v>
      </c>
      <c r="AD648" s="2">
        <f>VLOOKUP($A648,'[2]App C Share Outflows'!$A$4:$I$917,6,FALSE)</f>
        <v>575</v>
      </c>
      <c r="AE648" s="2">
        <f>VLOOKUP($A648,'[2]App C Share Outflows'!$A$4:$I$917,7,FALSE)</f>
        <v>577</v>
      </c>
      <c r="AF648" s="2">
        <f>VLOOKUP($A648,'[2]App C Share Outflows'!$A$4:$I$917,8,FALSE)</f>
        <v>327</v>
      </c>
      <c r="AG648" s="2">
        <f>VLOOKUP($A648,'[2]App C Share Outflows'!$A$4:$I$917,9,FALSE)</f>
        <v>0</v>
      </c>
      <c r="AH648" s="2"/>
      <c r="AI648" s="2">
        <f>VLOOKUP($A648,'[2]App C Share Inflows'!$A$4:$I$917,5,FALSE)</f>
        <v>-878</v>
      </c>
      <c r="AJ648" s="2">
        <f>VLOOKUP($A648,'[2]App C Share Inflows'!$A$4:$I$917,6,FALSE)</f>
        <v>-50</v>
      </c>
      <c r="AK648" s="2">
        <f>VLOOKUP($A648,'[2]App C Share Inflows'!$A$4:$I$917,7,FALSE)</f>
        <v>0</v>
      </c>
      <c r="AL648" s="2">
        <f>VLOOKUP($A648,'[2]App C Share Inflows'!$A$4:$I$917,8,FALSE)</f>
        <v>0</v>
      </c>
      <c r="AM648" s="2">
        <f>VLOOKUP($A648,'[2]App C Share Inflows'!$A$4:$I$917,6,FALSE)</f>
        <v>-50</v>
      </c>
    </row>
    <row r="649" spans="1:39">
      <c r="A649" s="351">
        <v>96912</v>
      </c>
      <c r="B649" s="344" t="s">
        <v>1344</v>
      </c>
      <c r="C649" s="235" t="e">
        <f>VLOOKUP(A649,#REF!,10,FALSE)</f>
        <v>#REF!</v>
      </c>
      <c r="E649" s="2">
        <f>VLOOKUP($A649,'[2]App C Total'!$A$4:$I$917,5,FALSE)</f>
        <v>34027</v>
      </c>
      <c r="F649" s="2">
        <f>VLOOKUP($A649,'[2]App C Total'!$A$4:$I$917,6,FALSE)</f>
        <v>9979</v>
      </c>
      <c r="G649" s="2">
        <f>VLOOKUP($A649,'[2]App C Total'!$A$4:$I$917,7,FALSE)</f>
        <v>18922</v>
      </c>
      <c r="H649" s="2">
        <f>VLOOKUP($A649,'[2]App C Total'!$A$4:$I$917,8,FALSE)</f>
        <v>5198</v>
      </c>
      <c r="I649" s="2">
        <f>VLOOKUP($A649,'[2]App C Total'!$A$4:$I$917,9,FALSE)</f>
        <v>0</v>
      </c>
      <c r="J649" s="2"/>
      <c r="K649" s="2">
        <f>VLOOKUP($A649,'[2]App C Exp'!$A$4:$I$917,5,FALSE)</f>
        <v>10786</v>
      </c>
      <c r="L649" s="2">
        <f>VLOOKUP($A649,'[2]App C Exp'!$A$4:$I$917,6,FALSE)</f>
        <v>10146</v>
      </c>
      <c r="M649" s="2">
        <f>VLOOKUP($A649,'[2]App C Exp'!$A$4:$I$917,7,FALSE)</f>
        <v>9094</v>
      </c>
      <c r="N649" s="2">
        <f>VLOOKUP($A649,'[2]App C Exp'!$A$4:$I$917,8,FALSE)</f>
        <v>3641</v>
      </c>
      <c r="O649" s="2">
        <f>VLOOKUP($A649,'[2]App C Exp'!$A$4:$I$917,9,FALSE)</f>
        <v>0</v>
      </c>
      <c r="P649" s="2"/>
      <c r="Q649" s="2">
        <f>VLOOKUP($A649,'[2]App C Inv'!$A$4:$I$917,5,FALSE)</f>
        <v>11451</v>
      </c>
      <c r="R649" s="2">
        <f>VLOOKUP($A649,'[2]App C Inv'!$A$4:$I$917,6,FALSE)</f>
        <v>-9850</v>
      </c>
      <c r="S649" s="2">
        <f>VLOOKUP($A649,'[2]App C Inv'!$A$4:$I$917,7,FALSE)</f>
        <v>1388</v>
      </c>
      <c r="T649" s="2">
        <f>VLOOKUP($A649,'[2]App C Inv'!$A$4:$I$917,8,FALSE)</f>
        <v>1807</v>
      </c>
      <c r="U649" s="2">
        <f>VLOOKUP($A649,'[2]App C Inv'!$A$4:$I$917,9,FALSE)</f>
        <v>0</v>
      </c>
      <c r="V649" s="2"/>
      <c r="W649" s="2">
        <f>VLOOKUP($A649,'[2]App C Assum'!$A$4:$I$917,5,FALSE)</f>
        <v>12900</v>
      </c>
      <c r="X649" s="2">
        <f>VLOOKUP($A649,'[2]App C Assum'!$A$4:$I$917,6,FALSE)</f>
        <v>10568</v>
      </c>
      <c r="Y649" s="2">
        <f>VLOOKUP($A649,'[2]App C Assum'!$A$4:$I$917,7,FALSE)</f>
        <v>8579</v>
      </c>
      <c r="Z649" s="2">
        <f>VLOOKUP($A649,'[2]App C Assum'!$A$4:$I$917,8,FALSE)</f>
        <v>0</v>
      </c>
      <c r="AA649" s="2">
        <f>VLOOKUP($A649,'[2]App C Assum'!$A$4:$I$917,9,FALSE)</f>
        <v>0</v>
      </c>
      <c r="AB649" s="2"/>
      <c r="AC649" s="2">
        <f>VLOOKUP($A649,'[2]App C Share Outflows'!$A$4:$I$917,5,FALSE)</f>
        <v>111</v>
      </c>
      <c r="AD649" s="2">
        <f>VLOOKUP($A649,'[2]App C Share Outflows'!$A$4:$I$917,6,FALSE)</f>
        <v>111</v>
      </c>
      <c r="AE649" s="2">
        <f>VLOOKUP($A649,'[2]App C Share Outflows'!$A$4:$I$917,7,FALSE)</f>
        <v>110</v>
      </c>
      <c r="AF649" s="2">
        <f>VLOOKUP($A649,'[2]App C Share Outflows'!$A$4:$I$917,8,FALSE)</f>
        <v>0</v>
      </c>
      <c r="AG649" s="2">
        <f>VLOOKUP($A649,'[2]App C Share Outflows'!$A$4:$I$917,9,FALSE)</f>
        <v>0</v>
      </c>
      <c r="AH649" s="2"/>
      <c r="AI649" s="2">
        <f>VLOOKUP($A649,'[2]App C Share Inflows'!$A$4:$I$917,5,FALSE)</f>
        <v>-1221</v>
      </c>
      <c r="AJ649" s="2">
        <f>VLOOKUP($A649,'[2]App C Share Inflows'!$A$4:$I$917,6,FALSE)</f>
        <v>-996</v>
      </c>
      <c r="AK649" s="2">
        <f>VLOOKUP($A649,'[2]App C Share Inflows'!$A$4:$I$917,7,FALSE)</f>
        <v>-249</v>
      </c>
      <c r="AL649" s="2">
        <f>VLOOKUP($A649,'[2]App C Share Inflows'!$A$4:$I$917,8,FALSE)</f>
        <v>-250</v>
      </c>
      <c r="AM649" s="2">
        <f>VLOOKUP($A649,'[2]App C Share Inflows'!$A$4:$I$917,6,FALSE)</f>
        <v>-996</v>
      </c>
    </row>
    <row r="650" spans="1:39">
      <c r="A650" s="351">
        <v>96918</v>
      </c>
      <c r="B650" s="344" t="s">
        <v>1345</v>
      </c>
      <c r="C650" s="235" t="e">
        <f>VLOOKUP(A650,#REF!,10,FALSE)</f>
        <v>#REF!</v>
      </c>
      <c r="E650" s="2">
        <f>VLOOKUP($A650,'[2]App C Total'!$A$4:$I$917,5,FALSE)</f>
        <v>13498</v>
      </c>
      <c r="F650" s="2">
        <f>VLOOKUP($A650,'[2]App C Total'!$A$4:$I$917,6,FALSE)</f>
        <v>3717</v>
      </c>
      <c r="G650" s="2">
        <f>VLOOKUP($A650,'[2]App C Total'!$A$4:$I$917,7,FALSE)</f>
        <v>6960</v>
      </c>
      <c r="H650" s="2">
        <f>VLOOKUP($A650,'[2]App C Total'!$A$4:$I$917,8,FALSE)</f>
        <v>2156</v>
      </c>
      <c r="I650" s="2">
        <f>VLOOKUP($A650,'[2]App C Total'!$A$4:$I$917,9,FALSE)</f>
        <v>0</v>
      </c>
      <c r="J650" s="2"/>
      <c r="K650" s="2">
        <f>VLOOKUP($A650,'[2]App C Exp'!$A$4:$I$917,5,FALSE)</f>
        <v>4464</v>
      </c>
      <c r="L650" s="2">
        <f>VLOOKUP($A650,'[2]App C Exp'!$A$4:$I$917,6,FALSE)</f>
        <v>4199</v>
      </c>
      <c r="M650" s="2">
        <f>VLOOKUP($A650,'[2]App C Exp'!$A$4:$I$917,7,FALSE)</f>
        <v>3764</v>
      </c>
      <c r="N650" s="2">
        <f>VLOOKUP($A650,'[2]App C Exp'!$A$4:$I$917,8,FALSE)</f>
        <v>1507</v>
      </c>
      <c r="O650" s="2">
        <f>VLOOKUP($A650,'[2]App C Exp'!$A$4:$I$917,9,FALSE)</f>
        <v>0</v>
      </c>
      <c r="P650" s="2"/>
      <c r="Q650" s="2">
        <f>VLOOKUP($A650,'[2]App C Inv'!$A$4:$I$917,5,FALSE)</f>
        <v>4739</v>
      </c>
      <c r="R650" s="2">
        <f>VLOOKUP($A650,'[2]App C Inv'!$A$4:$I$917,6,FALSE)</f>
        <v>-4077</v>
      </c>
      <c r="S650" s="2">
        <f>VLOOKUP($A650,'[2]App C Inv'!$A$4:$I$917,7,FALSE)</f>
        <v>575</v>
      </c>
      <c r="T650" s="2">
        <f>VLOOKUP($A650,'[2]App C Inv'!$A$4:$I$917,8,FALSE)</f>
        <v>748</v>
      </c>
      <c r="U650" s="2">
        <f>VLOOKUP($A650,'[2]App C Inv'!$A$4:$I$917,9,FALSE)</f>
        <v>0</v>
      </c>
      <c r="V650" s="2"/>
      <c r="W650" s="2">
        <f>VLOOKUP($A650,'[2]App C Assum'!$A$4:$I$917,5,FALSE)</f>
        <v>5339</v>
      </c>
      <c r="X650" s="2">
        <f>VLOOKUP($A650,'[2]App C Assum'!$A$4:$I$917,6,FALSE)</f>
        <v>4374</v>
      </c>
      <c r="Y650" s="2">
        <f>VLOOKUP($A650,'[2]App C Assum'!$A$4:$I$917,7,FALSE)</f>
        <v>3551</v>
      </c>
      <c r="Z650" s="2">
        <f>VLOOKUP($A650,'[2]App C Assum'!$A$4:$I$917,8,FALSE)</f>
        <v>0</v>
      </c>
      <c r="AA650" s="2">
        <f>VLOOKUP($A650,'[2]App C Assum'!$A$4:$I$917,9,FALSE)</f>
        <v>0</v>
      </c>
      <c r="AB650" s="2"/>
      <c r="AC650" s="2">
        <f>VLOOKUP($A650,'[2]App C Share Outflows'!$A$4:$I$917,5,FALSE)</f>
        <v>150</v>
      </c>
      <c r="AD650" s="2">
        <f>VLOOKUP($A650,'[2]App C Share Outflows'!$A$4:$I$917,6,FALSE)</f>
        <v>149</v>
      </c>
      <c r="AE650" s="2">
        <f>VLOOKUP($A650,'[2]App C Share Outflows'!$A$4:$I$917,7,FALSE)</f>
        <v>0</v>
      </c>
      <c r="AF650" s="2">
        <f>VLOOKUP($A650,'[2]App C Share Outflows'!$A$4:$I$917,8,FALSE)</f>
        <v>0</v>
      </c>
      <c r="AG650" s="2">
        <f>VLOOKUP($A650,'[2]App C Share Outflows'!$A$4:$I$917,9,FALSE)</f>
        <v>0</v>
      </c>
      <c r="AH650" s="2"/>
      <c r="AI650" s="2">
        <f>VLOOKUP($A650,'[2]App C Share Inflows'!$A$4:$I$917,5,FALSE)</f>
        <v>-1194</v>
      </c>
      <c r="AJ650" s="2">
        <f>VLOOKUP($A650,'[2]App C Share Inflows'!$A$4:$I$917,6,FALSE)</f>
        <v>-928</v>
      </c>
      <c r="AK650" s="2">
        <f>VLOOKUP($A650,'[2]App C Share Inflows'!$A$4:$I$917,7,FALSE)</f>
        <v>-930</v>
      </c>
      <c r="AL650" s="2">
        <f>VLOOKUP($A650,'[2]App C Share Inflows'!$A$4:$I$917,8,FALSE)</f>
        <v>-99</v>
      </c>
      <c r="AM650" s="2">
        <f>VLOOKUP($A650,'[2]App C Share Inflows'!$A$4:$I$917,6,FALSE)</f>
        <v>-928</v>
      </c>
    </row>
    <row r="651" spans="1:39">
      <c r="A651" s="351">
        <v>97001</v>
      </c>
      <c r="B651" s="344" t="s">
        <v>1346</v>
      </c>
      <c r="C651" s="235" t="e">
        <f>VLOOKUP(A651,#REF!,10,FALSE)</f>
        <v>#REF!</v>
      </c>
      <c r="E651" s="2">
        <f>VLOOKUP($A651,'[2]App C Total'!$A$4:$I$917,5,FALSE)</f>
        <v>712452</v>
      </c>
      <c r="F651" s="2">
        <f>VLOOKUP($A651,'[2]App C Total'!$A$4:$I$917,6,FALSE)</f>
        <v>237521</v>
      </c>
      <c r="G651" s="2">
        <f>VLOOKUP($A651,'[2]App C Total'!$A$4:$I$917,7,FALSE)</f>
        <v>373759</v>
      </c>
      <c r="H651" s="2">
        <f>VLOOKUP($A651,'[2]App C Total'!$A$4:$I$917,8,FALSE)</f>
        <v>107362</v>
      </c>
      <c r="I651" s="2">
        <f>VLOOKUP($A651,'[2]App C Total'!$A$4:$I$917,9,FALSE)</f>
        <v>0</v>
      </c>
      <c r="J651" s="2"/>
      <c r="K651" s="2">
        <f>VLOOKUP($A651,'[2]App C Exp'!$A$4:$I$917,5,FALSE)</f>
        <v>202854</v>
      </c>
      <c r="L651" s="2">
        <f>VLOOKUP($A651,'[2]App C Exp'!$A$4:$I$917,6,FALSE)</f>
        <v>190820</v>
      </c>
      <c r="M651" s="2">
        <f>VLOOKUP($A651,'[2]App C Exp'!$A$4:$I$917,7,FALSE)</f>
        <v>171030</v>
      </c>
      <c r="N651" s="2">
        <f>VLOOKUP($A651,'[2]App C Exp'!$A$4:$I$917,8,FALSE)</f>
        <v>68478</v>
      </c>
      <c r="O651" s="2">
        <f>VLOOKUP($A651,'[2]App C Exp'!$A$4:$I$917,9,FALSE)</f>
        <v>0</v>
      </c>
      <c r="P651" s="2"/>
      <c r="Q651" s="2">
        <f>VLOOKUP($A651,'[2]App C Inv'!$A$4:$I$917,5,FALSE)</f>
        <v>215357</v>
      </c>
      <c r="R651" s="2">
        <f>VLOOKUP($A651,'[2]App C Inv'!$A$4:$I$917,6,FALSE)</f>
        <v>-185248</v>
      </c>
      <c r="S651" s="2">
        <f>VLOOKUP($A651,'[2]App C Inv'!$A$4:$I$917,7,FALSE)</f>
        <v>26108</v>
      </c>
      <c r="T651" s="2">
        <f>VLOOKUP($A651,'[2]App C Inv'!$A$4:$I$917,8,FALSE)</f>
        <v>33980</v>
      </c>
      <c r="U651" s="2">
        <f>VLOOKUP($A651,'[2]App C Inv'!$A$4:$I$917,9,FALSE)</f>
        <v>0</v>
      </c>
      <c r="V651" s="2"/>
      <c r="W651" s="2">
        <f>VLOOKUP($A651,'[2]App C Assum'!$A$4:$I$917,5,FALSE)</f>
        <v>242603</v>
      </c>
      <c r="X651" s="2">
        <f>VLOOKUP($A651,'[2]App C Assum'!$A$4:$I$917,6,FALSE)</f>
        <v>198749</v>
      </c>
      <c r="Y651" s="2">
        <f>VLOOKUP($A651,'[2]App C Assum'!$A$4:$I$917,7,FALSE)</f>
        <v>161350</v>
      </c>
      <c r="Z651" s="2">
        <f>VLOOKUP($A651,'[2]App C Assum'!$A$4:$I$917,8,FALSE)</f>
        <v>0</v>
      </c>
      <c r="AA651" s="2">
        <f>VLOOKUP($A651,'[2]App C Assum'!$A$4:$I$917,9,FALSE)</f>
        <v>0</v>
      </c>
      <c r="AB651" s="2"/>
      <c r="AC651" s="2">
        <f>VLOOKUP($A651,'[2]App C Share Outflows'!$A$4:$I$917,5,FALSE)</f>
        <v>51638</v>
      </c>
      <c r="AD651" s="2">
        <f>VLOOKUP($A651,'[2]App C Share Outflows'!$A$4:$I$917,6,FALSE)</f>
        <v>33200</v>
      </c>
      <c r="AE651" s="2">
        <f>VLOOKUP($A651,'[2]App C Share Outflows'!$A$4:$I$917,7,FALSE)</f>
        <v>15271</v>
      </c>
      <c r="AF651" s="2">
        <f>VLOOKUP($A651,'[2]App C Share Outflows'!$A$4:$I$917,8,FALSE)</f>
        <v>4904</v>
      </c>
      <c r="AG651" s="2">
        <f>VLOOKUP($A651,'[2]App C Share Outflows'!$A$4:$I$917,9,FALSE)</f>
        <v>0</v>
      </c>
      <c r="AH651" s="2"/>
      <c r="AI651" s="2">
        <f>VLOOKUP($A651,'[2]App C Share Inflows'!$A$4:$I$917,5,FALSE)</f>
        <v>0</v>
      </c>
      <c r="AJ651" s="2">
        <f>VLOOKUP($A651,'[2]App C Share Inflows'!$A$4:$I$917,6,FALSE)</f>
        <v>0</v>
      </c>
      <c r="AK651" s="2">
        <f>VLOOKUP($A651,'[2]App C Share Inflows'!$A$4:$I$917,7,FALSE)</f>
        <v>0</v>
      </c>
      <c r="AL651" s="2">
        <f>VLOOKUP($A651,'[2]App C Share Inflows'!$A$4:$I$917,8,FALSE)</f>
        <v>0</v>
      </c>
      <c r="AM651" s="2">
        <f>VLOOKUP($A651,'[2]App C Share Inflows'!$A$4:$I$917,6,FALSE)</f>
        <v>0</v>
      </c>
    </row>
    <row r="652" spans="1:39">
      <c r="A652" s="351">
        <v>97002</v>
      </c>
      <c r="B652" s="344" t="s">
        <v>1347</v>
      </c>
      <c r="C652" s="235" t="e">
        <f>VLOOKUP(A652,#REF!,10,FALSE)</f>
        <v>#REF!</v>
      </c>
      <c r="E652" s="2">
        <f>VLOOKUP($A652,'[2]App C Total'!$A$4:$I$917,5,FALSE)</f>
        <v>219881</v>
      </c>
      <c r="F652" s="2">
        <f>VLOOKUP($A652,'[2]App C Total'!$A$4:$I$917,6,FALSE)</f>
        <v>48179</v>
      </c>
      <c r="G652" s="2">
        <f>VLOOKUP($A652,'[2]App C Total'!$A$4:$I$917,7,FALSE)</f>
        <v>107313</v>
      </c>
      <c r="H652" s="2">
        <f>VLOOKUP($A652,'[2]App C Total'!$A$4:$I$917,8,FALSE)</f>
        <v>29592</v>
      </c>
      <c r="I652" s="2">
        <f>VLOOKUP($A652,'[2]App C Total'!$A$4:$I$917,9,FALSE)</f>
        <v>0</v>
      </c>
      <c r="J652" s="2"/>
      <c r="K652" s="2">
        <f>VLOOKUP($A652,'[2]App C Exp'!$A$4:$I$917,5,FALSE)</f>
        <v>75503</v>
      </c>
      <c r="L652" s="2">
        <f>VLOOKUP($A652,'[2]App C Exp'!$A$4:$I$917,6,FALSE)</f>
        <v>71024</v>
      </c>
      <c r="M652" s="2">
        <f>VLOOKUP($A652,'[2]App C Exp'!$A$4:$I$917,7,FALSE)</f>
        <v>63658</v>
      </c>
      <c r="N652" s="2">
        <f>VLOOKUP($A652,'[2]App C Exp'!$A$4:$I$917,8,FALSE)</f>
        <v>25488</v>
      </c>
      <c r="O652" s="2">
        <f>VLOOKUP($A652,'[2]App C Exp'!$A$4:$I$917,9,FALSE)</f>
        <v>0</v>
      </c>
      <c r="P652" s="2"/>
      <c r="Q652" s="2">
        <f>VLOOKUP($A652,'[2]App C Inv'!$A$4:$I$917,5,FALSE)</f>
        <v>80157</v>
      </c>
      <c r="R652" s="2">
        <f>VLOOKUP($A652,'[2]App C Inv'!$A$4:$I$917,6,FALSE)</f>
        <v>-68950</v>
      </c>
      <c r="S652" s="2">
        <f>VLOOKUP($A652,'[2]App C Inv'!$A$4:$I$917,7,FALSE)</f>
        <v>9718</v>
      </c>
      <c r="T652" s="2">
        <f>VLOOKUP($A652,'[2]App C Inv'!$A$4:$I$917,8,FALSE)</f>
        <v>12647</v>
      </c>
      <c r="U652" s="2">
        <f>VLOOKUP($A652,'[2]App C Inv'!$A$4:$I$917,9,FALSE)</f>
        <v>0</v>
      </c>
      <c r="V652" s="2"/>
      <c r="W652" s="2">
        <f>VLOOKUP($A652,'[2]App C Assum'!$A$4:$I$917,5,FALSE)</f>
        <v>90298</v>
      </c>
      <c r="X652" s="2">
        <f>VLOOKUP($A652,'[2]App C Assum'!$A$4:$I$917,6,FALSE)</f>
        <v>73975</v>
      </c>
      <c r="Y652" s="2">
        <f>VLOOKUP($A652,'[2]App C Assum'!$A$4:$I$917,7,FALSE)</f>
        <v>60055</v>
      </c>
      <c r="Z652" s="2">
        <f>VLOOKUP($A652,'[2]App C Assum'!$A$4:$I$917,8,FALSE)</f>
        <v>0</v>
      </c>
      <c r="AA652" s="2">
        <f>VLOOKUP($A652,'[2]App C Assum'!$A$4:$I$917,9,FALSE)</f>
        <v>0</v>
      </c>
      <c r="AB652" s="2"/>
      <c r="AC652" s="2">
        <f>VLOOKUP($A652,'[2]App C Share Outflows'!$A$4:$I$917,5,FALSE)</f>
        <v>1791</v>
      </c>
      <c r="AD652" s="2">
        <f>VLOOKUP($A652,'[2]App C Share Outflows'!$A$4:$I$917,6,FALSE)</f>
        <v>0</v>
      </c>
      <c r="AE652" s="2">
        <f>VLOOKUP($A652,'[2]App C Share Outflows'!$A$4:$I$917,7,FALSE)</f>
        <v>0</v>
      </c>
      <c r="AF652" s="2">
        <f>VLOOKUP($A652,'[2]App C Share Outflows'!$A$4:$I$917,8,FALSE)</f>
        <v>0</v>
      </c>
      <c r="AG652" s="2">
        <f>VLOOKUP($A652,'[2]App C Share Outflows'!$A$4:$I$917,9,FALSE)</f>
        <v>0</v>
      </c>
      <c r="AH652" s="2"/>
      <c r="AI652" s="2">
        <f>VLOOKUP($A652,'[2]App C Share Inflows'!$A$4:$I$917,5,FALSE)</f>
        <v>-27868</v>
      </c>
      <c r="AJ652" s="2">
        <f>VLOOKUP($A652,'[2]App C Share Inflows'!$A$4:$I$917,6,FALSE)</f>
        <v>-27870</v>
      </c>
      <c r="AK652" s="2">
        <f>VLOOKUP($A652,'[2]App C Share Inflows'!$A$4:$I$917,7,FALSE)</f>
        <v>-26118</v>
      </c>
      <c r="AL652" s="2">
        <f>VLOOKUP($A652,'[2]App C Share Inflows'!$A$4:$I$917,8,FALSE)</f>
        <v>-8543</v>
      </c>
      <c r="AM652" s="2">
        <f>VLOOKUP($A652,'[2]App C Share Inflows'!$A$4:$I$917,6,FALSE)</f>
        <v>-27870</v>
      </c>
    </row>
    <row r="653" spans="1:39">
      <c r="A653" s="351">
        <v>97004</v>
      </c>
      <c r="B653" s="344" t="s">
        <v>3692</v>
      </c>
      <c r="C653" s="235" t="e">
        <f>VLOOKUP(A653,#REF!,10,FALSE)</f>
        <v>#REF!</v>
      </c>
      <c r="E653" s="2">
        <f>VLOOKUP($A653,'[2]App C Total'!$A$4:$I$917,5,FALSE)</f>
        <v>10749</v>
      </c>
      <c r="F653" s="2">
        <f>VLOOKUP($A653,'[2]App C Total'!$A$4:$I$917,6,FALSE)</f>
        <v>5507</v>
      </c>
      <c r="G653" s="2">
        <f>VLOOKUP($A653,'[2]App C Total'!$A$4:$I$917,7,FALSE)</f>
        <v>6692</v>
      </c>
      <c r="H653" s="2">
        <f>VLOOKUP($A653,'[2]App C Total'!$A$4:$I$917,8,FALSE)</f>
        <v>3082</v>
      </c>
      <c r="I653" s="2">
        <f>VLOOKUP($A653,'[2]App C Total'!$A$4:$I$917,9,FALSE)</f>
        <v>0</v>
      </c>
      <c r="J653" s="2"/>
      <c r="K653" s="2">
        <f>VLOOKUP($A653,'[2]App C Exp'!$A$4:$I$917,5,FALSE)</f>
        <v>2307</v>
      </c>
      <c r="L653" s="2">
        <f>VLOOKUP($A653,'[2]App C Exp'!$A$4:$I$917,6,FALSE)</f>
        <v>2170</v>
      </c>
      <c r="M653" s="2">
        <f>VLOOKUP($A653,'[2]App C Exp'!$A$4:$I$917,7,FALSE)</f>
        <v>1945</v>
      </c>
      <c r="N653" s="2">
        <f>VLOOKUP($A653,'[2]App C Exp'!$A$4:$I$917,8,FALSE)</f>
        <v>779</v>
      </c>
      <c r="O653" s="2">
        <f>VLOOKUP($A653,'[2]App C Exp'!$A$4:$I$917,9,FALSE)</f>
        <v>0</v>
      </c>
      <c r="P653" s="2"/>
      <c r="Q653" s="2">
        <f>VLOOKUP($A653,'[2]App C Inv'!$A$4:$I$917,5,FALSE)</f>
        <v>2449</v>
      </c>
      <c r="R653" s="2">
        <f>VLOOKUP($A653,'[2]App C Inv'!$A$4:$I$917,6,FALSE)</f>
        <v>-2107</v>
      </c>
      <c r="S653" s="2">
        <f>VLOOKUP($A653,'[2]App C Inv'!$A$4:$I$917,7,FALSE)</f>
        <v>297</v>
      </c>
      <c r="T653" s="2">
        <f>VLOOKUP($A653,'[2]App C Inv'!$A$4:$I$917,8,FALSE)</f>
        <v>386</v>
      </c>
      <c r="U653" s="2">
        <f>VLOOKUP($A653,'[2]App C Inv'!$A$4:$I$917,9,FALSE)</f>
        <v>0</v>
      </c>
      <c r="V653" s="2"/>
      <c r="W653" s="2">
        <f>VLOOKUP($A653,'[2]App C Assum'!$A$4:$I$917,5,FALSE)</f>
        <v>2759</v>
      </c>
      <c r="X653" s="2">
        <f>VLOOKUP($A653,'[2]App C Assum'!$A$4:$I$917,6,FALSE)</f>
        <v>2260</v>
      </c>
      <c r="Y653" s="2">
        <f>VLOOKUP($A653,'[2]App C Assum'!$A$4:$I$917,7,FALSE)</f>
        <v>1835</v>
      </c>
      <c r="Z653" s="2">
        <f>VLOOKUP($A653,'[2]App C Assum'!$A$4:$I$917,8,FALSE)</f>
        <v>0</v>
      </c>
      <c r="AA653" s="2">
        <f>VLOOKUP($A653,'[2]App C Assum'!$A$4:$I$917,9,FALSE)</f>
        <v>0</v>
      </c>
      <c r="AB653" s="2"/>
      <c r="AC653" s="2">
        <f>VLOOKUP($A653,'[2]App C Share Outflows'!$A$4:$I$917,5,FALSE)</f>
        <v>3234</v>
      </c>
      <c r="AD653" s="2">
        <f>VLOOKUP($A653,'[2]App C Share Outflows'!$A$4:$I$917,6,FALSE)</f>
        <v>3184</v>
      </c>
      <c r="AE653" s="2">
        <f>VLOOKUP($A653,'[2]App C Share Outflows'!$A$4:$I$917,7,FALSE)</f>
        <v>2615</v>
      </c>
      <c r="AF653" s="2">
        <f>VLOOKUP($A653,'[2]App C Share Outflows'!$A$4:$I$917,8,FALSE)</f>
        <v>1917</v>
      </c>
      <c r="AG653" s="2">
        <f>VLOOKUP($A653,'[2]App C Share Outflows'!$A$4:$I$917,9,FALSE)</f>
        <v>0</v>
      </c>
      <c r="AH653" s="2"/>
      <c r="AI653" s="2">
        <f>VLOOKUP($A653,'[2]App C Share Inflows'!$A$4:$I$917,5,FALSE)</f>
        <v>0</v>
      </c>
      <c r="AJ653" s="2">
        <f>VLOOKUP($A653,'[2]App C Share Inflows'!$A$4:$I$917,6,FALSE)</f>
        <v>0</v>
      </c>
      <c r="AK653" s="2">
        <f>VLOOKUP($A653,'[2]App C Share Inflows'!$A$4:$I$917,7,FALSE)</f>
        <v>0</v>
      </c>
      <c r="AL653" s="2">
        <f>VLOOKUP($A653,'[2]App C Share Inflows'!$A$4:$I$917,8,FALSE)</f>
        <v>0</v>
      </c>
      <c r="AM653" s="2">
        <f>VLOOKUP($A653,'[2]App C Share Inflows'!$A$4:$I$917,6,FALSE)</f>
        <v>0</v>
      </c>
    </row>
    <row r="654" spans="1:39">
      <c r="A654" s="351">
        <v>97005</v>
      </c>
      <c r="B654" s="344" t="s">
        <v>1349</v>
      </c>
      <c r="C654" s="235" t="e">
        <f>VLOOKUP(A654,#REF!,10,FALSE)</f>
        <v>#REF!</v>
      </c>
      <c r="E654" s="2">
        <f>VLOOKUP($A654,'[2]App C Total'!$A$4:$I$917,5,FALSE)</f>
        <v>11977</v>
      </c>
      <c r="F654" s="2">
        <f>VLOOKUP($A654,'[2]App C Total'!$A$4:$I$917,6,FALSE)</f>
        <v>5526</v>
      </c>
      <c r="G654" s="2">
        <f>VLOOKUP($A654,'[2]App C Total'!$A$4:$I$917,7,FALSE)</f>
        <v>5031</v>
      </c>
      <c r="H654" s="2">
        <f>VLOOKUP($A654,'[2]App C Total'!$A$4:$I$917,8,FALSE)</f>
        <v>1069</v>
      </c>
      <c r="I654" s="2">
        <f>VLOOKUP($A654,'[2]App C Total'!$A$4:$I$917,9,FALSE)</f>
        <v>0</v>
      </c>
      <c r="J654" s="2"/>
      <c r="K654" s="2">
        <f>VLOOKUP($A654,'[2]App C Exp'!$A$4:$I$917,5,FALSE)</f>
        <v>3011</v>
      </c>
      <c r="L654" s="2">
        <f>VLOOKUP($A654,'[2]App C Exp'!$A$4:$I$917,6,FALSE)</f>
        <v>2832</v>
      </c>
      <c r="M654" s="2">
        <f>VLOOKUP($A654,'[2]App C Exp'!$A$4:$I$917,7,FALSE)</f>
        <v>2539</v>
      </c>
      <c r="N654" s="2">
        <f>VLOOKUP($A654,'[2]App C Exp'!$A$4:$I$917,8,FALSE)</f>
        <v>1016</v>
      </c>
      <c r="O654" s="2">
        <f>VLOOKUP($A654,'[2]App C Exp'!$A$4:$I$917,9,FALSE)</f>
        <v>0</v>
      </c>
      <c r="P654" s="2"/>
      <c r="Q654" s="2">
        <f>VLOOKUP($A654,'[2]App C Inv'!$A$4:$I$917,5,FALSE)</f>
        <v>3197</v>
      </c>
      <c r="R654" s="2">
        <f>VLOOKUP($A654,'[2]App C Inv'!$A$4:$I$917,6,FALSE)</f>
        <v>-2750</v>
      </c>
      <c r="S654" s="2">
        <f>VLOOKUP($A654,'[2]App C Inv'!$A$4:$I$917,7,FALSE)</f>
        <v>388</v>
      </c>
      <c r="T654" s="2">
        <f>VLOOKUP($A654,'[2]App C Inv'!$A$4:$I$917,8,FALSE)</f>
        <v>504</v>
      </c>
      <c r="U654" s="2">
        <f>VLOOKUP($A654,'[2]App C Inv'!$A$4:$I$917,9,FALSE)</f>
        <v>0</v>
      </c>
      <c r="V654" s="2"/>
      <c r="W654" s="2">
        <f>VLOOKUP($A654,'[2]App C Assum'!$A$4:$I$917,5,FALSE)</f>
        <v>3601</v>
      </c>
      <c r="X654" s="2">
        <f>VLOOKUP($A654,'[2]App C Assum'!$A$4:$I$917,6,FALSE)</f>
        <v>2950</v>
      </c>
      <c r="Y654" s="2">
        <f>VLOOKUP($A654,'[2]App C Assum'!$A$4:$I$917,7,FALSE)</f>
        <v>2395</v>
      </c>
      <c r="Z654" s="2">
        <f>VLOOKUP($A654,'[2]App C Assum'!$A$4:$I$917,8,FALSE)</f>
        <v>0</v>
      </c>
      <c r="AA654" s="2">
        <f>VLOOKUP($A654,'[2]App C Assum'!$A$4:$I$917,9,FALSE)</f>
        <v>0</v>
      </c>
      <c r="AB654" s="2"/>
      <c r="AC654" s="2">
        <f>VLOOKUP($A654,'[2]App C Share Outflows'!$A$4:$I$917,5,FALSE)</f>
        <v>2942</v>
      </c>
      <c r="AD654" s="2">
        <f>VLOOKUP($A654,'[2]App C Share Outflows'!$A$4:$I$917,6,FALSE)</f>
        <v>2944</v>
      </c>
      <c r="AE654" s="2">
        <f>VLOOKUP($A654,'[2]App C Share Outflows'!$A$4:$I$917,7,FALSE)</f>
        <v>159</v>
      </c>
      <c r="AF654" s="2">
        <f>VLOOKUP($A654,'[2]App C Share Outflows'!$A$4:$I$917,8,FALSE)</f>
        <v>0</v>
      </c>
      <c r="AG654" s="2">
        <f>VLOOKUP($A654,'[2]App C Share Outflows'!$A$4:$I$917,9,FALSE)</f>
        <v>0</v>
      </c>
      <c r="AH654" s="2"/>
      <c r="AI654" s="2">
        <f>VLOOKUP($A654,'[2]App C Share Inflows'!$A$4:$I$917,5,FALSE)</f>
        <v>-774</v>
      </c>
      <c r="AJ654" s="2">
        <f>VLOOKUP($A654,'[2]App C Share Inflows'!$A$4:$I$917,6,FALSE)</f>
        <v>-450</v>
      </c>
      <c r="AK654" s="2">
        <f>VLOOKUP($A654,'[2]App C Share Inflows'!$A$4:$I$917,7,FALSE)</f>
        <v>-450</v>
      </c>
      <c r="AL654" s="2">
        <f>VLOOKUP($A654,'[2]App C Share Inflows'!$A$4:$I$917,8,FALSE)</f>
        <v>-451</v>
      </c>
      <c r="AM654" s="2">
        <f>VLOOKUP($A654,'[2]App C Share Inflows'!$A$4:$I$917,6,FALSE)</f>
        <v>-450</v>
      </c>
    </row>
    <row r="655" spans="1:39">
      <c r="A655" s="351">
        <v>97008</v>
      </c>
      <c r="B655" s="344" t="s">
        <v>1350</v>
      </c>
      <c r="C655" s="235" t="e">
        <f>VLOOKUP(A655,#REF!,10,FALSE)</f>
        <v>#REF!</v>
      </c>
      <c r="E655" s="2">
        <f>VLOOKUP($A655,'[2]App C Total'!$A$4:$I$917,5,FALSE)</f>
        <v>142968</v>
      </c>
      <c r="F655" s="2">
        <f>VLOOKUP($A655,'[2]App C Total'!$A$4:$I$917,6,FALSE)</f>
        <v>46580</v>
      </c>
      <c r="G655" s="2">
        <f>VLOOKUP($A655,'[2]App C Total'!$A$4:$I$917,7,FALSE)</f>
        <v>77984</v>
      </c>
      <c r="H655" s="2">
        <f>VLOOKUP($A655,'[2]App C Total'!$A$4:$I$917,8,FALSE)</f>
        <v>24629</v>
      </c>
      <c r="I655" s="2">
        <f>VLOOKUP($A655,'[2]App C Total'!$A$4:$I$917,9,FALSE)</f>
        <v>0</v>
      </c>
      <c r="J655" s="2"/>
      <c r="K655" s="2">
        <f>VLOOKUP($A655,'[2]App C Exp'!$A$4:$I$917,5,FALSE)</f>
        <v>42995</v>
      </c>
      <c r="L655" s="2">
        <f>VLOOKUP($A655,'[2]App C Exp'!$A$4:$I$917,6,FALSE)</f>
        <v>40444</v>
      </c>
      <c r="M655" s="2">
        <f>VLOOKUP($A655,'[2]App C Exp'!$A$4:$I$917,7,FALSE)</f>
        <v>36250</v>
      </c>
      <c r="N655" s="2">
        <f>VLOOKUP($A655,'[2]App C Exp'!$A$4:$I$917,8,FALSE)</f>
        <v>14514</v>
      </c>
      <c r="O655" s="2">
        <f>VLOOKUP($A655,'[2]App C Exp'!$A$4:$I$917,9,FALSE)</f>
        <v>0</v>
      </c>
      <c r="P655" s="2"/>
      <c r="Q655" s="2">
        <f>VLOOKUP($A655,'[2]App C Inv'!$A$4:$I$917,5,FALSE)</f>
        <v>45645</v>
      </c>
      <c r="R655" s="2">
        <f>VLOOKUP($A655,'[2]App C Inv'!$A$4:$I$917,6,FALSE)</f>
        <v>-39263</v>
      </c>
      <c r="S655" s="2">
        <f>VLOOKUP($A655,'[2]App C Inv'!$A$4:$I$917,7,FALSE)</f>
        <v>5534</v>
      </c>
      <c r="T655" s="2">
        <f>VLOOKUP($A655,'[2]App C Inv'!$A$4:$I$917,8,FALSE)</f>
        <v>7202</v>
      </c>
      <c r="U655" s="2">
        <f>VLOOKUP($A655,'[2]App C Inv'!$A$4:$I$917,9,FALSE)</f>
        <v>0</v>
      </c>
      <c r="V655" s="2"/>
      <c r="W655" s="2">
        <f>VLOOKUP($A655,'[2]App C Assum'!$A$4:$I$917,5,FALSE)</f>
        <v>51419</v>
      </c>
      <c r="X655" s="2">
        <f>VLOOKUP($A655,'[2]App C Assum'!$A$4:$I$917,6,FALSE)</f>
        <v>42125</v>
      </c>
      <c r="Y655" s="2">
        <f>VLOOKUP($A655,'[2]App C Assum'!$A$4:$I$917,7,FALSE)</f>
        <v>34198</v>
      </c>
      <c r="Z655" s="2">
        <f>VLOOKUP($A655,'[2]App C Assum'!$A$4:$I$917,8,FALSE)</f>
        <v>0</v>
      </c>
      <c r="AA655" s="2">
        <f>VLOOKUP($A655,'[2]App C Assum'!$A$4:$I$917,9,FALSE)</f>
        <v>0</v>
      </c>
      <c r="AB655" s="2"/>
      <c r="AC655" s="2">
        <f>VLOOKUP($A655,'[2]App C Share Outflows'!$A$4:$I$917,5,FALSE)</f>
        <v>4184</v>
      </c>
      <c r="AD655" s="2">
        <f>VLOOKUP($A655,'[2]App C Share Outflows'!$A$4:$I$917,6,FALSE)</f>
        <v>4184</v>
      </c>
      <c r="AE655" s="2">
        <f>VLOOKUP($A655,'[2]App C Share Outflows'!$A$4:$I$917,7,FALSE)</f>
        <v>2914</v>
      </c>
      <c r="AF655" s="2">
        <f>VLOOKUP($A655,'[2]App C Share Outflows'!$A$4:$I$917,8,FALSE)</f>
        <v>2913</v>
      </c>
      <c r="AG655" s="2">
        <f>VLOOKUP($A655,'[2]App C Share Outflows'!$A$4:$I$917,9,FALSE)</f>
        <v>0</v>
      </c>
      <c r="AH655" s="2"/>
      <c r="AI655" s="2">
        <f>VLOOKUP($A655,'[2]App C Share Inflows'!$A$4:$I$917,5,FALSE)</f>
        <v>-1275</v>
      </c>
      <c r="AJ655" s="2">
        <f>VLOOKUP($A655,'[2]App C Share Inflows'!$A$4:$I$917,6,FALSE)</f>
        <v>-910</v>
      </c>
      <c r="AK655" s="2">
        <f>VLOOKUP($A655,'[2]App C Share Inflows'!$A$4:$I$917,7,FALSE)</f>
        <v>-912</v>
      </c>
      <c r="AL655" s="2">
        <f>VLOOKUP($A655,'[2]App C Share Inflows'!$A$4:$I$917,8,FALSE)</f>
        <v>0</v>
      </c>
      <c r="AM655" s="2">
        <f>VLOOKUP($A655,'[2]App C Share Inflows'!$A$4:$I$917,6,FALSE)</f>
        <v>-910</v>
      </c>
    </row>
    <row r="656" spans="1:39">
      <c r="A656" s="351">
        <v>97011</v>
      </c>
      <c r="B656" s="344" t="s">
        <v>1352</v>
      </c>
      <c r="C656" s="235" t="e">
        <f>VLOOKUP(A656,#REF!,10,FALSE)</f>
        <v>#REF!</v>
      </c>
      <c r="E656" s="2">
        <f>VLOOKUP($A656,'[2]App C Total'!$A$4:$I$917,5,FALSE)</f>
        <v>848075</v>
      </c>
      <c r="F656" s="2">
        <f>VLOOKUP($A656,'[2]App C Total'!$A$4:$I$917,6,FALSE)</f>
        <v>250568</v>
      </c>
      <c r="G656" s="2">
        <f>VLOOKUP($A656,'[2]App C Total'!$A$4:$I$917,7,FALSE)</f>
        <v>460094</v>
      </c>
      <c r="H656" s="2">
        <f>VLOOKUP($A656,'[2]App C Total'!$A$4:$I$917,8,FALSE)</f>
        <v>114670</v>
      </c>
      <c r="I656" s="2">
        <f>VLOOKUP($A656,'[2]App C Total'!$A$4:$I$917,9,FALSE)</f>
        <v>0</v>
      </c>
      <c r="J656" s="2"/>
      <c r="K656" s="2">
        <f>VLOOKUP($A656,'[2]App C Exp'!$A$4:$I$917,5,FALSE)</f>
        <v>275091</v>
      </c>
      <c r="L656" s="2">
        <f>VLOOKUP($A656,'[2]App C Exp'!$A$4:$I$917,6,FALSE)</f>
        <v>258771</v>
      </c>
      <c r="M656" s="2">
        <f>VLOOKUP($A656,'[2]App C Exp'!$A$4:$I$917,7,FALSE)</f>
        <v>231934</v>
      </c>
      <c r="N656" s="2">
        <f>VLOOKUP($A656,'[2]App C Exp'!$A$4:$I$917,8,FALSE)</f>
        <v>92864</v>
      </c>
      <c r="O656" s="2">
        <f>VLOOKUP($A656,'[2]App C Exp'!$A$4:$I$917,9,FALSE)</f>
        <v>0</v>
      </c>
      <c r="P656" s="2"/>
      <c r="Q656" s="2">
        <f>VLOOKUP($A656,'[2]App C Inv'!$A$4:$I$917,5,FALSE)</f>
        <v>292047</v>
      </c>
      <c r="R656" s="2">
        <f>VLOOKUP($A656,'[2]App C Inv'!$A$4:$I$917,6,FALSE)</f>
        <v>-251215</v>
      </c>
      <c r="S656" s="2">
        <f>VLOOKUP($A656,'[2]App C Inv'!$A$4:$I$917,7,FALSE)</f>
        <v>35406</v>
      </c>
      <c r="T656" s="2">
        <f>VLOOKUP($A656,'[2]App C Inv'!$A$4:$I$917,8,FALSE)</f>
        <v>46080</v>
      </c>
      <c r="U656" s="2">
        <f>VLOOKUP($A656,'[2]App C Inv'!$A$4:$I$917,9,FALSE)</f>
        <v>0</v>
      </c>
      <c r="V656" s="2"/>
      <c r="W656" s="2">
        <f>VLOOKUP($A656,'[2]App C Assum'!$A$4:$I$917,5,FALSE)</f>
        <v>328995</v>
      </c>
      <c r="X656" s="2">
        <f>VLOOKUP($A656,'[2]App C Assum'!$A$4:$I$917,6,FALSE)</f>
        <v>269525</v>
      </c>
      <c r="Y656" s="2">
        <f>VLOOKUP($A656,'[2]App C Assum'!$A$4:$I$917,7,FALSE)</f>
        <v>218808</v>
      </c>
      <c r="Z656" s="2">
        <f>VLOOKUP($A656,'[2]App C Assum'!$A$4:$I$917,8,FALSE)</f>
        <v>0</v>
      </c>
      <c r="AA656" s="2">
        <f>VLOOKUP($A656,'[2]App C Assum'!$A$4:$I$917,9,FALSE)</f>
        <v>0</v>
      </c>
      <c r="AB656" s="2"/>
      <c r="AC656" s="2">
        <f>VLOOKUP($A656,'[2]App C Share Outflows'!$A$4:$I$917,5,FALSE)</f>
        <v>0</v>
      </c>
      <c r="AD656" s="2">
        <f>VLOOKUP($A656,'[2]App C Share Outflows'!$A$4:$I$917,6,FALSE)</f>
        <v>0</v>
      </c>
      <c r="AE656" s="2">
        <f>VLOOKUP($A656,'[2]App C Share Outflows'!$A$4:$I$917,7,FALSE)</f>
        <v>0</v>
      </c>
      <c r="AF656" s="2">
        <f>VLOOKUP($A656,'[2]App C Share Outflows'!$A$4:$I$917,8,FALSE)</f>
        <v>0</v>
      </c>
      <c r="AG656" s="2">
        <f>VLOOKUP($A656,'[2]App C Share Outflows'!$A$4:$I$917,9,FALSE)</f>
        <v>0</v>
      </c>
      <c r="AH656" s="2"/>
      <c r="AI656" s="2">
        <f>VLOOKUP($A656,'[2]App C Share Inflows'!$A$4:$I$917,5,FALSE)</f>
        <v>-48058</v>
      </c>
      <c r="AJ656" s="2">
        <f>VLOOKUP($A656,'[2]App C Share Inflows'!$A$4:$I$917,6,FALSE)</f>
        <v>-26513</v>
      </c>
      <c r="AK656" s="2">
        <f>VLOOKUP($A656,'[2]App C Share Inflows'!$A$4:$I$917,7,FALSE)</f>
        <v>-26054</v>
      </c>
      <c r="AL656" s="2">
        <f>VLOOKUP($A656,'[2]App C Share Inflows'!$A$4:$I$917,8,FALSE)</f>
        <v>-24274</v>
      </c>
      <c r="AM656" s="2">
        <f>VLOOKUP($A656,'[2]App C Share Inflows'!$A$4:$I$917,6,FALSE)</f>
        <v>-26513</v>
      </c>
    </row>
    <row r="657" spans="1:39">
      <c r="A657" s="351">
        <v>97012</v>
      </c>
      <c r="B657" s="344" t="s">
        <v>3693</v>
      </c>
      <c r="C657" s="235" t="e">
        <f>VLOOKUP(A657,#REF!,10,FALSE)</f>
        <v>#REF!</v>
      </c>
      <c r="E657" s="2">
        <f>VLOOKUP($A657,'[2]App C Total'!$A$4:$I$917,5,FALSE)</f>
        <v>17082</v>
      </c>
      <c r="F657" s="2">
        <f>VLOOKUP($A657,'[2]App C Total'!$A$4:$I$917,6,FALSE)</f>
        <v>6307</v>
      </c>
      <c r="G657" s="2">
        <f>VLOOKUP($A657,'[2]App C Total'!$A$4:$I$917,7,FALSE)</f>
        <v>9082</v>
      </c>
      <c r="H657" s="2">
        <f>VLOOKUP($A657,'[2]App C Total'!$A$4:$I$917,8,FALSE)</f>
        <v>2651</v>
      </c>
      <c r="I657" s="2">
        <f>VLOOKUP($A657,'[2]App C Total'!$A$4:$I$917,9,FALSE)</f>
        <v>0</v>
      </c>
      <c r="J657" s="2"/>
      <c r="K657" s="2">
        <f>VLOOKUP($A657,'[2]App C Exp'!$A$4:$I$917,5,FALSE)</f>
        <v>4449</v>
      </c>
      <c r="L657" s="2">
        <f>VLOOKUP($A657,'[2]App C Exp'!$A$4:$I$917,6,FALSE)</f>
        <v>4185</v>
      </c>
      <c r="M657" s="2">
        <f>VLOOKUP($A657,'[2]App C Exp'!$A$4:$I$917,7,FALSE)</f>
        <v>3751</v>
      </c>
      <c r="N657" s="2">
        <f>VLOOKUP($A657,'[2]App C Exp'!$A$4:$I$917,8,FALSE)</f>
        <v>1502</v>
      </c>
      <c r="O657" s="2">
        <f>VLOOKUP($A657,'[2]App C Exp'!$A$4:$I$917,9,FALSE)</f>
        <v>0</v>
      </c>
      <c r="P657" s="2"/>
      <c r="Q657" s="2">
        <f>VLOOKUP($A657,'[2]App C Inv'!$A$4:$I$917,5,FALSE)</f>
        <v>4724</v>
      </c>
      <c r="R657" s="2">
        <f>VLOOKUP($A657,'[2]App C Inv'!$A$4:$I$917,6,FALSE)</f>
        <v>-4063</v>
      </c>
      <c r="S657" s="2">
        <f>VLOOKUP($A657,'[2]App C Inv'!$A$4:$I$917,7,FALSE)</f>
        <v>573</v>
      </c>
      <c r="T657" s="2">
        <f>VLOOKUP($A657,'[2]App C Inv'!$A$4:$I$917,8,FALSE)</f>
        <v>745</v>
      </c>
      <c r="U657" s="2">
        <f>VLOOKUP($A657,'[2]App C Inv'!$A$4:$I$917,9,FALSE)</f>
        <v>0</v>
      </c>
      <c r="V657" s="2"/>
      <c r="W657" s="2">
        <f>VLOOKUP($A657,'[2]App C Assum'!$A$4:$I$917,5,FALSE)</f>
        <v>5321</v>
      </c>
      <c r="X657" s="2">
        <f>VLOOKUP($A657,'[2]App C Assum'!$A$4:$I$917,6,FALSE)</f>
        <v>4359</v>
      </c>
      <c r="Y657" s="2">
        <f>VLOOKUP($A657,'[2]App C Assum'!$A$4:$I$917,7,FALSE)</f>
        <v>3539</v>
      </c>
      <c r="Z657" s="2">
        <f>VLOOKUP($A657,'[2]App C Assum'!$A$4:$I$917,8,FALSE)</f>
        <v>0</v>
      </c>
      <c r="AA657" s="2">
        <f>VLOOKUP($A657,'[2]App C Assum'!$A$4:$I$917,9,FALSE)</f>
        <v>0</v>
      </c>
      <c r="AB657" s="2"/>
      <c r="AC657" s="2">
        <f>VLOOKUP($A657,'[2]App C Share Outflows'!$A$4:$I$917,5,FALSE)</f>
        <v>2588</v>
      </c>
      <c r="AD657" s="2">
        <f>VLOOKUP($A657,'[2]App C Share Outflows'!$A$4:$I$917,6,FALSE)</f>
        <v>1826</v>
      </c>
      <c r="AE657" s="2">
        <f>VLOOKUP($A657,'[2]App C Share Outflows'!$A$4:$I$917,7,FALSE)</f>
        <v>1219</v>
      </c>
      <c r="AF657" s="2">
        <f>VLOOKUP($A657,'[2]App C Share Outflows'!$A$4:$I$917,8,FALSE)</f>
        <v>404</v>
      </c>
      <c r="AG657" s="2">
        <f>VLOOKUP($A657,'[2]App C Share Outflows'!$A$4:$I$917,9,FALSE)</f>
        <v>0</v>
      </c>
      <c r="AH657" s="2"/>
      <c r="AI657" s="2">
        <f>VLOOKUP($A657,'[2]App C Share Inflows'!$A$4:$I$917,5,FALSE)</f>
        <v>0</v>
      </c>
      <c r="AJ657" s="2">
        <f>VLOOKUP($A657,'[2]App C Share Inflows'!$A$4:$I$917,6,FALSE)</f>
        <v>0</v>
      </c>
      <c r="AK657" s="2">
        <f>VLOOKUP($A657,'[2]App C Share Inflows'!$A$4:$I$917,7,FALSE)</f>
        <v>0</v>
      </c>
      <c r="AL657" s="2">
        <f>VLOOKUP($A657,'[2]App C Share Inflows'!$A$4:$I$917,8,FALSE)</f>
        <v>0</v>
      </c>
      <c r="AM657" s="2">
        <f>VLOOKUP($A657,'[2]App C Share Inflows'!$A$4:$I$917,6,FALSE)</f>
        <v>0</v>
      </c>
    </row>
    <row r="658" spans="1:39">
      <c r="A658" s="351">
        <v>97013</v>
      </c>
      <c r="B658" s="344" t="s">
        <v>1354</v>
      </c>
      <c r="C658" s="235" t="e">
        <f>VLOOKUP(A658,#REF!,10,FALSE)</f>
        <v>#REF!</v>
      </c>
      <c r="E658" s="2">
        <f>VLOOKUP($A658,'[2]App C Total'!$A$4:$I$917,5,FALSE)</f>
        <v>4447</v>
      </c>
      <c r="F658" s="2">
        <f>VLOOKUP($A658,'[2]App C Total'!$A$4:$I$917,6,FALSE)</f>
        <v>349</v>
      </c>
      <c r="G658" s="2">
        <f>VLOOKUP($A658,'[2]App C Total'!$A$4:$I$917,7,FALSE)</f>
        <v>1175</v>
      </c>
      <c r="H658" s="2">
        <f>VLOOKUP($A658,'[2]App C Total'!$A$4:$I$917,8,FALSE)</f>
        <v>-1430</v>
      </c>
      <c r="I658" s="2">
        <f>VLOOKUP($A658,'[2]App C Total'!$A$4:$I$917,9,FALSE)</f>
        <v>0</v>
      </c>
      <c r="J658" s="2"/>
      <c r="K658" s="2">
        <f>VLOOKUP($A658,'[2]App C Exp'!$A$4:$I$917,5,FALSE)</f>
        <v>1348</v>
      </c>
      <c r="L658" s="2">
        <f>VLOOKUP($A658,'[2]App C Exp'!$A$4:$I$917,6,FALSE)</f>
        <v>1268</v>
      </c>
      <c r="M658" s="2">
        <f>VLOOKUP($A658,'[2]App C Exp'!$A$4:$I$917,7,FALSE)</f>
        <v>1137</v>
      </c>
      <c r="N658" s="2">
        <f>VLOOKUP($A658,'[2]App C Exp'!$A$4:$I$917,8,FALSE)</f>
        <v>455</v>
      </c>
      <c r="O658" s="2">
        <f>VLOOKUP($A658,'[2]App C Exp'!$A$4:$I$917,9,FALSE)</f>
        <v>0</v>
      </c>
      <c r="P658" s="2"/>
      <c r="Q658" s="2">
        <f>VLOOKUP($A658,'[2]App C Inv'!$A$4:$I$917,5,FALSE)</f>
        <v>1431</v>
      </c>
      <c r="R658" s="2">
        <f>VLOOKUP($A658,'[2]App C Inv'!$A$4:$I$917,6,FALSE)</f>
        <v>-1231</v>
      </c>
      <c r="S658" s="2">
        <f>VLOOKUP($A658,'[2]App C Inv'!$A$4:$I$917,7,FALSE)</f>
        <v>174</v>
      </c>
      <c r="T658" s="2">
        <f>VLOOKUP($A658,'[2]App C Inv'!$A$4:$I$917,8,FALSE)</f>
        <v>226</v>
      </c>
      <c r="U658" s="2">
        <f>VLOOKUP($A658,'[2]App C Inv'!$A$4:$I$917,9,FALSE)</f>
        <v>0</v>
      </c>
      <c r="V658" s="2"/>
      <c r="W658" s="2">
        <f>VLOOKUP($A658,'[2]App C Assum'!$A$4:$I$917,5,FALSE)</f>
        <v>1612</v>
      </c>
      <c r="X658" s="2">
        <f>VLOOKUP($A658,'[2]App C Assum'!$A$4:$I$917,6,FALSE)</f>
        <v>1321</v>
      </c>
      <c r="Y658" s="2">
        <f>VLOOKUP($A658,'[2]App C Assum'!$A$4:$I$917,7,FALSE)</f>
        <v>1072</v>
      </c>
      <c r="Z658" s="2">
        <f>VLOOKUP($A658,'[2]App C Assum'!$A$4:$I$917,8,FALSE)</f>
        <v>0</v>
      </c>
      <c r="AA658" s="2">
        <f>VLOOKUP($A658,'[2]App C Assum'!$A$4:$I$917,9,FALSE)</f>
        <v>0</v>
      </c>
      <c r="AB658" s="2"/>
      <c r="AC658" s="2">
        <f>VLOOKUP($A658,'[2]App C Share Outflows'!$A$4:$I$917,5,FALSE)</f>
        <v>2169</v>
      </c>
      <c r="AD658" s="2">
        <f>VLOOKUP($A658,'[2]App C Share Outflows'!$A$4:$I$917,6,FALSE)</f>
        <v>1104</v>
      </c>
      <c r="AE658" s="2">
        <f>VLOOKUP($A658,'[2]App C Share Outflows'!$A$4:$I$917,7,FALSE)</f>
        <v>905</v>
      </c>
      <c r="AF658" s="2">
        <f>VLOOKUP($A658,'[2]App C Share Outflows'!$A$4:$I$917,8,FALSE)</f>
        <v>0</v>
      </c>
      <c r="AG658" s="2">
        <f>VLOOKUP($A658,'[2]App C Share Outflows'!$A$4:$I$917,9,FALSE)</f>
        <v>0</v>
      </c>
      <c r="AH658" s="2"/>
      <c r="AI658" s="2">
        <f>VLOOKUP($A658,'[2]App C Share Inflows'!$A$4:$I$917,5,FALSE)</f>
        <v>-2113</v>
      </c>
      <c r="AJ658" s="2">
        <f>VLOOKUP($A658,'[2]App C Share Inflows'!$A$4:$I$917,6,FALSE)</f>
        <v>-2113</v>
      </c>
      <c r="AK658" s="2">
        <f>VLOOKUP($A658,'[2]App C Share Inflows'!$A$4:$I$917,7,FALSE)</f>
        <v>-2113</v>
      </c>
      <c r="AL658" s="2">
        <f>VLOOKUP($A658,'[2]App C Share Inflows'!$A$4:$I$917,8,FALSE)</f>
        <v>-2111</v>
      </c>
      <c r="AM658" s="2">
        <f>VLOOKUP($A658,'[2]App C Share Inflows'!$A$4:$I$917,6,FALSE)</f>
        <v>-2113</v>
      </c>
    </row>
    <row r="659" spans="1:39">
      <c r="A659" s="351">
        <v>97015</v>
      </c>
      <c r="B659" s="344" t="s">
        <v>1355</v>
      </c>
      <c r="C659" s="235" t="e">
        <f>VLOOKUP(A659,#REF!,10,FALSE)</f>
        <v>#REF!</v>
      </c>
      <c r="E659" s="2">
        <f>VLOOKUP($A659,'[2]App C Total'!$A$4:$I$917,5,FALSE)</f>
        <v>21544</v>
      </c>
      <c r="F659" s="2">
        <f>VLOOKUP($A659,'[2]App C Total'!$A$4:$I$917,6,FALSE)</f>
        <v>6050</v>
      </c>
      <c r="G659" s="2">
        <f>VLOOKUP($A659,'[2]App C Total'!$A$4:$I$917,7,FALSE)</f>
        <v>12298</v>
      </c>
      <c r="H659" s="2">
        <f>VLOOKUP($A659,'[2]App C Total'!$A$4:$I$917,8,FALSE)</f>
        <v>2172</v>
      </c>
      <c r="I659" s="2">
        <f>VLOOKUP($A659,'[2]App C Total'!$A$4:$I$917,9,FALSE)</f>
        <v>0</v>
      </c>
      <c r="J659" s="2"/>
      <c r="K659" s="2">
        <f>VLOOKUP($A659,'[2]App C Exp'!$A$4:$I$917,5,FALSE)</f>
        <v>6577</v>
      </c>
      <c r="L659" s="2">
        <f>VLOOKUP($A659,'[2]App C Exp'!$A$4:$I$917,6,FALSE)</f>
        <v>6186</v>
      </c>
      <c r="M659" s="2">
        <f>VLOOKUP($A659,'[2]App C Exp'!$A$4:$I$917,7,FALSE)</f>
        <v>5545</v>
      </c>
      <c r="N659" s="2">
        <f>VLOOKUP($A659,'[2]App C Exp'!$A$4:$I$917,8,FALSE)</f>
        <v>2220</v>
      </c>
      <c r="O659" s="2">
        <f>VLOOKUP($A659,'[2]App C Exp'!$A$4:$I$917,9,FALSE)</f>
        <v>0</v>
      </c>
      <c r="P659" s="2"/>
      <c r="Q659" s="2">
        <f>VLOOKUP($A659,'[2]App C Inv'!$A$4:$I$917,5,FALSE)</f>
        <v>6982</v>
      </c>
      <c r="R659" s="2">
        <f>VLOOKUP($A659,'[2]App C Inv'!$A$4:$I$917,6,FALSE)</f>
        <v>-6006</v>
      </c>
      <c r="S659" s="2">
        <f>VLOOKUP($A659,'[2]App C Inv'!$A$4:$I$917,7,FALSE)</f>
        <v>846</v>
      </c>
      <c r="T659" s="2">
        <f>VLOOKUP($A659,'[2]App C Inv'!$A$4:$I$917,8,FALSE)</f>
        <v>1102</v>
      </c>
      <c r="U659" s="2">
        <f>VLOOKUP($A659,'[2]App C Inv'!$A$4:$I$917,9,FALSE)</f>
        <v>0</v>
      </c>
      <c r="V659" s="2"/>
      <c r="W659" s="2">
        <f>VLOOKUP($A659,'[2]App C Assum'!$A$4:$I$917,5,FALSE)</f>
        <v>7865</v>
      </c>
      <c r="X659" s="2">
        <f>VLOOKUP($A659,'[2]App C Assum'!$A$4:$I$917,6,FALSE)</f>
        <v>6443</v>
      </c>
      <c r="Y659" s="2">
        <f>VLOOKUP($A659,'[2]App C Assum'!$A$4:$I$917,7,FALSE)</f>
        <v>5231</v>
      </c>
      <c r="Z659" s="2">
        <f>VLOOKUP($A659,'[2]App C Assum'!$A$4:$I$917,8,FALSE)</f>
        <v>0</v>
      </c>
      <c r="AA659" s="2">
        <f>VLOOKUP($A659,'[2]App C Assum'!$A$4:$I$917,9,FALSE)</f>
        <v>0</v>
      </c>
      <c r="AB659" s="2"/>
      <c r="AC659" s="2">
        <f>VLOOKUP($A659,'[2]App C Share Outflows'!$A$4:$I$917,5,FALSE)</f>
        <v>2518</v>
      </c>
      <c r="AD659" s="2">
        <f>VLOOKUP($A659,'[2]App C Share Outflows'!$A$4:$I$917,6,FALSE)</f>
        <v>1826</v>
      </c>
      <c r="AE659" s="2">
        <f>VLOOKUP($A659,'[2]App C Share Outflows'!$A$4:$I$917,7,FALSE)</f>
        <v>1826</v>
      </c>
      <c r="AF659" s="2">
        <f>VLOOKUP($A659,'[2]App C Share Outflows'!$A$4:$I$917,8,FALSE)</f>
        <v>0</v>
      </c>
      <c r="AG659" s="2">
        <f>VLOOKUP($A659,'[2]App C Share Outflows'!$A$4:$I$917,9,FALSE)</f>
        <v>0</v>
      </c>
      <c r="AH659" s="2"/>
      <c r="AI659" s="2">
        <f>VLOOKUP($A659,'[2]App C Share Inflows'!$A$4:$I$917,5,FALSE)</f>
        <v>-2398</v>
      </c>
      <c r="AJ659" s="2">
        <f>VLOOKUP($A659,'[2]App C Share Inflows'!$A$4:$I$917,6,FALSE)</f>
        <v>-2399</v>
      </c>
      <c r="AK659" s="2">
        <f>VLOOKUP($A659,'[2]App C Share Inflows'!$A$4:$I$917,7,FALSE)</f>
        <v>-1150</v>
      </c>
      <c r="AL659" s="2">
        <f>VLOOKUP($A659,'[2]App C Share Inflows'!$A$4:$I$917,8,FALSE)</f>
        <v>-1150</v>
      </c>
      <c r="AM659" s="2">
        <f>VLOOKUP($A659,'[2]App C Share Inflows'!$A$4:$I$917,6,FALSE)</f>
        <v>-2399</v>
      </c>
    </row>
    <row r="660" spans="1:39">
      <c r="A660" s="351">
        <v>97018</v>
      </c>
      <c r="B660" s="344" t="s">
        <v>3694</v>
      </c>
      <c r="C660" s="235" t="e">
        <f>VLOOKUP(A660,#REF!,10,FALSE)</f>
        <v>#REF!</v>
      </c>
      <c r="E660" s="2">
        <f>VLOOKUP($A660,'[2]App C Total'!$A$4:$I$917,5,FALSE)</f>
        <v>11722</v>
      </c>
      <c r="F660" s="2">
        <f>VLOOKUP($A660,'[2]App C Total'!$A$4:$I$917,6,FALSE)</f>
        <v>5593</v>
      </c>
      <c r="G660" s="2">
        <f>VLOOKUP($A660,'[2]App C Total'!$A$4:$I$917,7,FALSE)</f>
        <v>6755</v>
      </c>
      <c r="H660" s="2">
        <f>VLOOKUP($A660,'[2]App C Total'!$A$4:$I$917,8,FALSE)</f>
        <v>2875</v>
      </c>
      <c r="I660" s="2">
        <f>VLOOKUP($A660,'[2]App C Total'!$A$4:$I$917,9,FALSE)</f>
        <v>0</v>
      </c>
      <c r="J660" s="2"/>
      <c r="K660" s="2">
        <f>VLOOKUP($A660,'[2]App C Exp'!$A$4:$I$917,5,FALSE)</f>
        <v>2457</v>
      </c>
      <c r="L660" s="2">
        <f>VLOOKUP($A660,'[2]App C Exp'!$A$4:$I$917,6,FALSE)</f>
        <v>2311</v>
      </c>
      <c r="M660" s="2">
        <f>VLOOKUP($A660,'[2]App C Exp'!$A$4:$I$917,7,FALSE)</f>
        <v>2071</v>
      </c>
      <c r="N660" s="2">
        <f>VLOOKUP($A660,'[2]App C Exp'!$A$4:$I$917,8,FALSE)</f>
        <v>829</v>
      </c>
      <c r="O660" s="2">
        <f>VLOOKUP($A660,'[2]App C Exp'!$A$4:$I$917,9,FALSE)</f>
        <v>0</v>
      </c>
      <c r="P660" s="2"/>
      <c r="Q660" s="2">
        <f>VLOOKUP($A660,'[2]App C Inv'!$A$4:$I$917,5,FALSE)</f>
        <v>2608</v>
      </c>
      <c r="R660" s="2">
        <f>VLOOKUP($A660,'[2]App C Inv'!$A$4:$I$917,6,FALSE)</f>
        <v>-2244</v>
      </c>
      <c r="S660" s="2">
        <f>VLOOKUP($A660,'[2]App C Inv'!$A$4:$I$917,7,FALSE)</f>
        <v>316</v>
      </c>
      <c r="T660" s="2">
        <f>VLOOKUP($A660,'[2]App C Inv'!$A$4:$I$917,8,FALSE)</f>
        <v>412</v>
      </c>
      <c r="U660" s="2">
        <f>VLOOKUP($A660,'[2]App C Inv'!$A$4:$I$917,9,FALSE)</f>
        <v>0</v>
      </c>
      <c r="V660" s="2"/>
      <c r="W660" s="2">
        <f>VLOOKUP($A660,'[2]App C Assum'!$A$4:$I$917,5,FALSE)</f>
        <v>2938</v>
      </c>
      <c r="X660" s="2">
        <f>VLOOKUP($A660,'[2]App C Assum'!$A$4:$I$917,6,FALSE)</f>
        <v>2407</v>
      </c>
      <c r="Y660" s="2">
        <f>VLOOKUP($A660,'[2]App C Assum'!$A$4:$I$917,7,FALSE)</f>
        <v>1954</v>
      </c>
      <c r="Z660" s="2">
        <f>VLOOKUP($A660,'[2]App C Assum'!$A$4:$I$917,8,FALSE)</f>
        <v>0</v>
      </c>
      <c r="AA660" s="2">
        <f>VLOOKUP($A660,'[2]App C Assum'!$A$4:$I$917,9,FALSE)</f>
        <v>0</v>
      </c>
      <c r="AB660" s="2"/>
      <c r="AC660" s="2">
        <f>VLOOKUP($A660,'[2]App C Share Outflows'!$A$4:$I$917,5,FALSE)</f>
        <v>3719</v>
      </c>
      <c r="AD660" s="2">
        <f>VLOOKUP($A660,'[2]App C Share Outflows'!$A$4:$I$917,6,FALSE)</f>
        <v>3119</v>
      </c>
      <c r="AE660" s="2">
        <f>VLOOKUP($A660,'[2]App C Share Outflows'!$A$4:$I$917,7,FALSE)</f>
        <v>2414</v>
      </c>
      <c r="AF660" s="2">
        <f>VLOOKUP($A660,'[2]App C Share Outflows'!$A$4:$I$917,8,FALSE)</f>
        <v>1634</v>
      </c>
      <c r="AG660" s="2">
        <f>VLOOKUP($A660,'[2]App C Share Outflows'!$A$4:$I$917,9,FALSE)</f>
        <v>0</v>
      </c>
      <c r="AH660" s="2"/>
      <c r="AI660" s="2">
        <f>VLOOKUP($A660,'[2]App C Share Inflows'!$A$4:$I$917,5,FALSE)</f>
        <v>0</v>
      </c>
      <c r="AJ660" s="2">
        <f>VLOOKUP($A660,'[2]App C Share Inflows'!$A$4:$I$917,6,FALSE)</f>
        <v>0</v>
      </c>
      <c r="AK660" s="2">
        <f>VLOOKUP($A660,'[2]App C Share Inflows'!$A$4:$I$917,7,FALSE)</f>
        <v>0</v>
      </c>
      <c r="AL660" s="2">
        <f>VLOOKUP($A660,'[2]App C Share Inflows'!$A$4:$I$917,8,FALSE)</f>
        <v>0</v>
      </c>
      <c r="AM660" s="2">
        <f>VLOOKUP($A660,'[2]App C Share Inflows'!$A$4:$I$917,6,FALSE)</f>
        <v>0</v>
      </c>
    </row>
    <row r="661" spans="1:39">
      <c r="A661" s="351">
        <v>97101</v>
      </c>
      <c r="B661" s="344" t="s">
        <v>1357</v>
      </c>
      <c r="C661" s="235" t="e">
        <f>VLOOKUP(A661,#REF!,10,FALSE)</f>
        <v>#REF!</v>
      </c>
      <c r="E661" s="2">
        <f>VLOOKUP($A661,'[2]App C Total'!$A$4:$I$917,5,FALSE)</f>
        <v>1408201</v>
      </c>
      <c r="F661" s="2">
        <f>VLOOKUP($A661,'[2]App C Total'!$A$4:$I$917,6,FALSE)</f>
        <v>485567</v>
      </c>
      <c r="G661" s="2">
        <f>VLOOKUP($A661,'[2]App C Total'!$A$4:$I$917,7,FALSE)</f>
        <v>795871</v>
      </c>
      <c r="H661" s="2">
        <f>VLOOKUP($A661,'[2]App C Total'!$A$4:$I$917,8,FALSE)</f>
        <v>273260</v>
      </c>
      <c r="I661" s="2">
        <f>VLOOKUP($A661,'[2]App C Total'!$A$4:$I$917,9,FALSE)</f>
        <v>0</v>
      </c>
      <c r="J661" s="2"/>
      <c r="K661" s="2">
        <f>VLOOKUP($A661,'[2]App C Exp'!$A$4:$I$917,5,FALSE)</f>
        <v>409482</v>
      </c>
      <c r="L661" s="2">
        <f>VLOOKUP($A661,'[2]App C Exp'!$A$4:$I$917,6,FALSE)</f>
        <v>385191</v>
      </c>
      <c r="M661" s="2">
        <f>VLOOKUP($A661,'[2]App C Exp'!$A$4:$I$917,7,FALSE)</f>
        <v>345242</v>
      </c>
      <c r="N661" s="2">
        <f>VLOOKUP($A661,'[2]App C Exp'!$A$4:$I$917,8,FALSE)</f>
        <v>138231</v>
      </c>
      <c r="O661" s="2">
        <f>VLOOKUP($A661,'[2]App C Exp'!$A$4:$I$917,9,FALSE)</f>
        <v>0</v>
      </c>
      <c r="P661" s="2"/>
      <c r="Q661" s="2">
        <f>VLOOKUP($A661,'[2]App C Inv'!$A$4:$I$917,5,FALSE)</f>
        <v>434723</v>
      </c>
      <c r="R661" s="2">
        <f>VLOOKUP($A661,'[2]App C Inv'!$A$4:$I$917,6,FALSE)</f>
        <v>-373943</v>
      </c>
      <c r="S661" s="2">
        <f>VLOOKUP($A661,'[2]App C Inv'!$A$4:$I$917,7,FALSE)</f>
        <v>52703</v>
      </c>
      <c r="T661" s="2">
        <f>VLOOKUP($A661,'[2]App C Inv'!$A$4:$I$917,8,FALSE)</f>
        <v>68592</v>
      </c>
      <c r="U661" s="2">
        <f>VLOOKUP($A661,'[2]App C Inv'!$A$4:$I$917,9,FALSE)</f>
        <v>0</v>
      </c>
      <c r="V661" s="2"/>
      <c r="W661" s="2">
        <f>VLOOKUP($A661,'[2]App C Assum'!$A$4:$I$917,5,FALSE)</f>
        <v>489721</v>
      </c>
      <c r="X661" s="2">
        <f>VLOOKUP($A661,'[2]App C Assum'!$A$4:$I$917,6,FALSE)</f>
        <v>401198</v>
      </c>
      <c r="Y661" s="2">
        <f>VLOOKUP($A661,'[2]App C Assum'!$A$4:$I$917,7,FALSE)</f>
        <v>325704</v>
      </c>
      <c r="Z661" s="2">
        <f>VLOOKUP($A661,'[2]App C Assum'!$A$4:$I$917,8,FALSE)</f>
        <v>0</v>
      </c>
      <c r="AA661" s="2">
        <f>VLOOKUP($A661,'[2]App C Assum'!$A$4:$I$917,9,FALSE)</f>
        <v>0</v>
      </c>
      <c r="AB661" s="2"/>
      <c r="AC661" s="2">
        <f>VLOOKUP($A661,'[2]App C Share Outflows'!$A$4:$I$917,5,FALSE)</f>
        <v>74275</v>
      </c>
      <c r="AD661" s="2">
        <f>VLOOKUP($A661,'[2]App C Share Outflows'!$A$4:$I$917,6,FALSE)</f>
        <v>73121</v>
      </c>
      <c r="AE661" s="2">
        <f>VLOOKUP($A661,'[2]App C Share Outflows'!$A$4:$I$917,7,FALSE)</f>
        <v>72222</v>
      </c>
      <c r="AF661" s="2">
        <f>VLOOKUP($A661,'[2]App C Share Outflows'!$A$4:$I$917,8,FALSE)</f>
        <v>66437</v>
      </c>
      <c r="AG661" s="2">
        <f>VLOOKUP($A661,'[2]App C Share Outflows'!$A$4:$I$917,9,FALSE)</f>
        <v>0</v>
      </c>
      <c r="AH661" s="2"/>
      <c r="AI661" s="2">
        <f>VLOOKUP($A661,'[2]App C Share Inflows'!$A$4:$I$917,5,FALSE)</f>
        <v>0</v>
      </c>
      <c r="AJ661" s="2">
        <f>VLOOKUP($A661,'[2]App C Share Inflows'!$A$4:$I$917,6,FALSE)</f>
        <v>0</v>
      </c>
      <c r="AK661" s="2">
        <f>VLOOKUP($A661,'[2]App C Share Inflows'!$A$4:$I$917,7,FALSE)</f>
        <v>0</v>
      </c>
      <c r="AL661" s="2">
        <f>VLOOKUP($A661,'[2]App C Share Inflows'!$A$4:$I$917,8,FALSE)</f>
        <v>0</v>
      </c>
      <c r="AM661" s="2">
        <f>VLOOKUP($A661,'[2]App C Share Inflows'!$A$4:$I$917,6,FALSE)</f>
        <v>0</v>
      </c>
    </row>
    <row r="662" spans="1:39">
      <c r="A662" s="351">
        <v>97104</v>
      </c>
      <c r="B662" s="344" t="s">
        <v>1358</v>
      </c>
      <c r="C662" s="235" t="e">
        <f>VLOOKUP(A662,#REF!,10,FALSE)</f>
        <v>#REF!</v>
      </c>
      <c r="E662" s="2">
        <f>VLOOKUP($A662,'[2]App C Total'!$A$4:$I$917,5,FALSE)</f>
        <v>29826</v>
      </c>
      <c r="F662" s="2">
        <f>VLOOKUP($A662,'[2]App C Total'!$A$4:$I$917,6,FALSE)</f>
        <v>10517</v>
      </c>
      <c r="G662" s="2">
        <f>VLOOKUP($A662,'[2]App C Total'!$A$4:$I$917,7,FALSE)</f>
        <v>16253</v>
      </c>
      <c r="H662" s="2">
        <f>VLOOKUP($A662,'[2]App C Total'!$A$4:$I$917,8,FALSE)</f>
        <v>4617</v>
      </c>
      <c r="I662" s="2">
        <f>VLOOKUP($A662,'[2]App C Total'!$A$4:$I$917,9,FALSE)</f>
        <v>0</v>
      </c>
      <c r="J662" s="2"/>
      <c r="K662" s="2">
        <f>VLOOKUP($A662,'[2]App C Exp'!$A$4:$I$917,5,FALSE)</f>
        <v>8105</v>
      </c>
      <c r="L662" s="2">
        <f>VLOOKUP($A662,'[2]App C Exp'!$A$4:$I$917,6,FALSE)</f>
        <v>7624</v>
      </c>
      <c r="M662" s="2">
        <f>VLOOKUP($A662,'[2]App C Exp'!$A$4:$I$917,7,FALSE)</f>
        <v>6833</v>
      </c>
      <c r="N662" s="2">
        <f>VLOOKUP($A662,'[2]App C Exp'!$A$4:$I$917,8,FALSE)</f>
        <v>2736</v>
      </c>
      <c r="O662" s="2">
        <f>VLOOKUP($A662,'[2]App C Exp'!$A$4:$I$917,9,FALSE)</f>
        <v>0</v>
      </c>
      <c r="P662" s="2"/>
      <c r="Q662" s="2">
        <f>VLOOKUP($A662,'[2]App C Inv'!$A$4:$I$917,5,FALSE)</f>
        <v>8604</v>
      </c>
      <c r="R662" s="2">
        <f>VLOOKUP($A662,'[2]App C Inv'!$A$4:$I$917,6,FALSE)</f>
        <v>-7401</v>
      </c>
      <c r="S662" s="2">
        <f>VLOOKUP($A662,'[2]App C Inv'!$A$4:$I$917,7,FALSE)</f>
        <v>1043</v>
      </c>
      <c r="T662" s="2">
        <f>VLOOKUP($A662,'[2]App C Inv'!$A$4:$I$917,8,FALSE)</f>
        <v>1358</v>
      </c>
      <c r="U662" s="2">
        <f>VLOOKUP($A662,'[2]App C Inv'!$A$4:$I$917,9,FALSE)</f>
        <v>0</v>
      </c>
      <c r="V662" s="2"/>
      <c r="W662" s="2">
        <f>VLOOKUP($A662,'[2]App C Assum'!$A$4:$I$917,5,FALSE)</f>
        <v>9693</v>
      </c>
      <c r="X662" s="2">
        <f>VLOOKUP($A662,'[2]App C Assum'!$A$4:$I$917,6,FALSE)</f>
        <v>7941</v>
      </c>
      <c r="Y662" s="2">
        <f>VLOOKUP($A662,'[2]App C Assum'!$A$4:$I$917,7,FALSE)</f>
        <v>6446</v>
      </c>
      <c r="Z662" s="2">
        <f>VLOOKUP($A662,'[2]App C Assum'!$A$4:$I$917,8,FALSE)</f>
        <v>0</v>
      </c>
      <c r="AA662" s="2">
        <f>VLOOKUP($A662,'[2]App C Assum'!$A$4:$I$917,9,FALSE)</f>
        <v>0</v>
      </c>
      <c r="AB662" s="2"/>
      <c r="AC662" s="2">
        <f>VLOOKUP($A662,'[2]App C Share Outflows'!$A$4:$I$917,5,FALSE)</f>
        <v>3424</v>
      </c>
      <c r="AD662" s="2">
        <f>VLOOKUP($A662,'[2]App C Share Outflows'!$A$4:$I$917,6,FALSE)</f>
        <v>2353</v>
      </c>
      <c r="AE662" s="2">
        <f>VLOOKUP($A662,'[2]App C Share Outflows'!$A$4:$I$917,7,FALSE)</f>
        <v>1931</v>
      </c>
      <c r="AF662" s="2">
        <f>VLOOKUP($A662,'[2]App C Share Outflows'!$A$4:$I$917,8,FALSE)</f>
        <v>523</v>
      </c>
      <c r="AG662" s="2">
        <f>VLOOKUP($A662,'[2]App C Share Outflows'!$A$4:$I$917,9,FALSE)</f>
        <v>0</v>
      </c>
      <c r="AH662" s="2"/>
      <c r="AI662" s="2">
        <f>VLOOKUP($A662,'[2]App C Share Inflows'!$A$4:$I$917,5,FALSE)</f>
        <v>0</v>
      </c>
      <c r="AJ662" s="2">
        <f>VLOOKUP($A662,'[2]App C Share Inflows'!$A$4:$I$917,6,FALSE)</f>
        <v>0</v>
      </c>
      <c r="AK662" s="2">
        <f>VLOOKUP($A662,'[2]App C Share Inflows'!$A$4:$I$917,7,FALSE)</f>
        <v>0</v>
      </c>
      <c r="AL662" s="2">
        <f>VLOOKUP($A662,'[2]App C Share Inflows'!$A$4:$I$917,8,FALSE)</f>
        <v>0</v>
      </c>
      <c r="AM662" s="2">
        <f>VLOOKUP($A662,'[2]App C Share Inflows'!$A$4:$I$917,6,FALSE)</f>
        <v>0</v>
      </c>
    </row>
    <row r="663" spans="1:39">
      <c r="A663" s="351">
        <v>97111</v>
      </c>
      <c r="B663" s="344" t="s">
        <v>1359</v>
      </c>
      <c r="C663" s="235" t="e">
        <f>VLOOKUP(A663,#REF!,10,FALSE)</f>
        <v>#REF!</v>
      </c>
      <c r="E663" s="2">
        <f>VLOOKUP($A663,'[2]App C Total'!$A$4:$I$917,5,FALSE)</f>
        <v>131183</v>
      </c>
      <c r="F663" s="2">
        <f>VLOOKUP($A663,'[2]App C Total'!$A$4:$I$917,6,FALSE)</f>
        <v>34835</v>
      </c>
      <c r="G663" s="2">
        <f>VLOOKUP($A663,'[2]App C Total'!$A$4:$I$917,7,FALSE)</f>
        <v>69545</v>
      </c>
      <c r="H663" s="2">
        <f>VLOOKUP($A663,'[2]App C Total'!$A$4:$I$917,8,FALSE)</f>
        <v>17622</v>
      </c>
      <c r="I663" s="2">
        <f>VLOOKUP($A663,'[2]App C Total'!$A$4:$I$917,9,FALSE)</f>
        <v>0</v>
      </c>
      <c r="J663" s="2"/>
      <c r="K663" s="2">
        <f>VLOOKUP($A663,'[2]App C Exp'!$A$4:$I$917,5,FALSE)</f>
        <v>42680</v>
      </c>
      <c r="L663" s="2">
        <f>VLOOKUP($A663,'[2]App C Exp'!$A$4:$I$917,6,FALSE)</f>
        <v>40148</v>
      </c>
      <c r="M663" s="2">
        <f>VLOOKUP($A663,'[2]App C Exp'!$A$4:$I$917,7,FALSE)</f>
        <v>35984</v>
      </c>
      <c r="N663" s="2">
        <f>VLOOKUP($A663,'[2]App C Exp'!$A$4:$I$917,8,FALSE)</f>
        <v>14408</v>
      </c>
      <c r="O663" s="2">
        <f>VLOOKUP($A663,'[2]App C Exp'!$A$4:$I$917,9,FALSE)</f>
        <v>0</v>
      </c>
      <c r="P663" s="2"/>
      <c r="Q663" s="2">
        <f>VLOOKUP($A663,'[2]App C Inv'!$A$4:$I$917,5,FALSE)</f>
        <v>45311</v>
      </c>
      <c r="R663" s="2">
        <f>VLOOKUP($A663,'[2]App C Inv'!$A$4:$I$917,6,FALSE)</f>
        <v>-38976</v>
      </c>
      <c r="S663" s="2">
        <f>VLOOKUP($A663,'[2]App C Inv'!$A$4:$I$917,7,FALSE)</f>
        <v>5493</v>
      </c>
      <c r="T663" s="2">
        <f>VLOOKUP($A663,'[2]App C Inv'!$A$4:$I$917,8,FALSE)</f>
        <v>7149</v>
      </c>
      <c r="U663" s="2">
        <f>VLOOKUP($A663,'[2]App C Inv'!$A$4:$I$917,9,FALSE)</f>
        <v>0</v>
      </c>
      <c r="V663" s="2"/>
      <c r="W663" s="2">
        <f>VLOOKUP($A663,'[2]App C Assum'!$A$4:$I$917,5,FALSE)</f>
        <v>51043</v>
      </c>
      <c r="X663" s="2">
        <f>VLOOKUP($A663,'[2]App C Assum'!$A$4:$I$917,6,FALSE)</f>
        <v>41816</v>
      </c>
      <c r="Y663" s="2">
        <f>VLOOKUP($A663,'[2]App C Assum'!$A$4:$I$917,7,FALSE)</f>
        <v>33948</v>
      </c>
      <c r="Z663" s="2">
        <f>VLOOKUP($A663,'[2]App C Assum'!$A$4:$I$917,8,FALSE)</f>
        <v>0</v>
      </c>
      <c r="AA663" s="2">
        <f>VLOOKUP($A663,'[2]App C Assum'!$A$4:$I$917,9,FALSE)</f>
        <v>0</v>
      </c>
      <c r="AB663" s="2"/>
      <c r="AC663" s="2">
        <f>VLOOKUP($A663,'[2]App C Share Outflows'!$A$4:$I$917,5,FALSE)</f>
        <v>304</v>
      </c>
      <c r="AD663" s="2">
        <f>VLOOKUP($A663,'[2]App C Share Outflows'!$A$4:$I$917,6,FALSE)</f>
        <v>0</v>
      </c>
      <c r="AE663" s="2">
        <f>VLOOKUP($A663,'[2]App C Share Outflows'!$A$4:$I$917,7,FALSE)</f>
        <v>0</v>
      </c>
      <c r="AF663" s="2">
        <f>VLOOKUP($A663,'[2]App C Share Outflows'!$A$4:$I$917,8,FALSE)</f>
        <v>0</v>
      </c>
      <c r="AG663" s="2">
        <f>VLOOKUP($A663,'[2]App C Share Outflows'!$A$4:$I$917,9,FALSE)</f>
        <v>0</v>
      </c>
      <c r="AH663" s="2"/>
      <c r="AI663" s="2">
        <f>VLOOKUP($A663,'[2]App C Share Inflows'!$A$4:$I$917,5,FALSE)</f>
        <v>-8155</v>
      </c>
      <c r="AJ663" s="2">
        <f>VLOOKUP($A663,'[2]App C Share Inflows'!$A$4:$I$917,6,FALSE)</f>
        <v>-8153</v>
      </c>
      <c r="AK663" s="2">
        <f>VLOOKUP($A663,'[2]App C Share Inflows'!$A$4:$I$917,7,FALSE)</f>
        <v>-5880</v>
      </c>
      <c r="AL663" s="2">
        <f>VLOOKUP($A663,'[2]App C Share Inflows'!$A$4:$I$917,8,FALSE)</f>
        <v>-3935</v>
      </c>
      <c r="AM663" s="2">
        <f>VLOOKUP($A663,'[2]App C Share Inflows'!$A$4:$I$917,6,FALSE)</f>
        <v>-8153</v>
      </c>
    </row>
    <row r="664" spans="1:39">
      <c r="A664" s="351">
        <v>97121</v>
      </c>
      <c r="B664" s="344" t="s">
        <v>1360</v>
      </c>
      <c r="C664" s="235" t="e">
        <f>VLOOKUP(A664,#REF!,10,FALSE)</f>
        <v>#REF!</v>
      </c>
      <c r="E664" s="2">
        <f>VLOOKUP($A664,'[2]App C Total'!$A$4:$I$917,5,FALSE)</f>
        <v>80983</v>
      </c>
      <c r="F664" s="2">
        <f>VLOOKUP($A664,'[2]App C Total'!$A$4:$I$917,6,FALSE)</f>
        <v>33163</v>
      </c>
      <c r="G664" s="2">
        <f>VLOOKUP($A664,'[2]App C Total'!$A$4:$I$917,7,FALSE)</f>
        <v>46750</v>
      </c>
      <c r="H664" s="2">
        <f>VLOOKUP($A664,'[2]App C Total'!$A$4:$I$917,8,FALSE)</f>
        <v>17166</v>
      </c>
      <c r="I664" s="2">
        <f>VLOOKUP($A664,'[2]App C Total'!$A$4:$I$917,9,FALSE)</f>
        <v>0</v>
      </c>
      <c r="J664" s="2"/>
      <c r="K664" s="2">
        <f>VLOOKUP($A664,'[2]App C Exp'!$A$4:$I$917,5,FALSE)</f>
        <v>22366</v>
      </c>
      <c r="L664" s="2">
        <f>VLOOKUP($A664,'[2]App C Exp'!$A$4:$I$917,6,FALSE)</f>
        <v>21039</v>
      </c>
      <c r="M664" s="2">
        <f>VLOOKUP($A664,'[2]App C Exp'!$A$4:$I$917,7,FALSE)</f>
        <v>18857</v>
      </c>
      <c r="N664" s="2">
        <f>VLOOKUP($A664,'[2]App C Exp'!$A$4:$I$917,8,FALSE)</f>
        <v>7550</v>
      </c>
      <c r="O664" s="2">
        <f>VLOOKUP($A664,'[2]App C Exp'!$A$4:$I$917,9,FALSE)</f>
        <v>0</v>
      </c>
      <c r="P664" s="2"/>
      <c r="Q664" s="2">
        <f>VLOOKUP($A664,'[2]App C Inv'!$A$4:$I$917,5,FALSE)</f>
        <v>23745</v>
      </c>
      <c r="R664" s="2">
        <f>VLOOKUP($A664,'[2]App C Inv'!$A$4:$I$917,6,FALSE)</f>
        <v>-20425</v>
      </c>
      <c r="S664" s="2">
        <f>VLOOKUP($A664,'[2]App C Inv'!$A$4:$I$917,7,FALSE)</f>
        <v>2879</v>
      </c>
      <c r="T664" s="2">
        <f>VLOOKUP($A664,'[2]App C Inv'!$A$4:$I$917,8,FALSE)</f>
        <v>3747</v>
      </c>
      <c r="U664" s="2">
        <f>VLOOKUP($A664,'[2]App C Inv'!$A$4:$I$917,9,FALSE)</f>
        <v>0</v>
      </c>
      <c r="V664" s="2"/>
      <c r="W664" s="2">
        <f>VLOOKUP($A664,'[2]App C Assum'!$A$4:$I$917,5,FALSE)</f>
        <v>26749</v>
      </c>
      <c r="X664" s="2">
        <f>VLOOKUP($A664,'[2]App C Assum'!$A$4:$I$917,6,FALSE)</f>
        <v>21914</v>
      </c>
      <c r="Y664" s="2">
        <f>VLOOKUP($A664,'[2]App C Assum'!$A$4:$I$917,7,FALSE)</f>
        <v>17790</v>
      </c>
      <c r="Z664" s="2">
        <f>VLOOKUP($A664,'[2]App C Assum'!$A$4:$I$917,8,FALSE)</f>
        <v>0</v>
      </c>
      <c r="AA664" s="2">
        <f>VLOOKUP($A664,'[2]App C Assum'!$A$4:$I$917,9,FALSE)</f>
        <v>0</v>
      </c>
      <c r="AB664" s="2"/>
      <c r="AC664" s="2">
        <f>VLOOKUP($A664,'[2]App C Share Outflows'!$A$4:$I$917,5,FALSE)</f>
        <v>10634</v>
      </c>
      <c r="AD664" s="2">
        <f>VLOOKUP($A664,'[2]App C Share Outflows'!$A$4:$I$917,6,FALSE)</f>
        <v>10635</v>
      </c>
      <c r="AE664" s="2">
        <f>VLOOKUP($A664,'[2]App C Share Outflows'!$A$4:$I$917,7,FALSE)</f>
        <v>7224</v>
      </c>
      <c r="AF664" s="2">
        <f>VLOOKUP($A664,'[2]App C Share Outflows'!$A$4:$I$917,8,FALSE)</f>
        <v>5869</v>
      </c>
      <c r="AG664" s="2">
        <f>VLOOKUP($A664,'[2]App C Share Outflows'!$A$4:$I$917,9,FALSE)</f>
        <v>0</v>
      </c>
      <c r="AH664" s="2"/>
      <c r="AI664" s="2">
        <f>VLOOKUP($A664,'[2]App C Share Inflows'!$A$4:$I$917,5,FALSE)</f>
        <v>-2511</v>
      </c>
      <c r="AJ664" s="2">
        <f>VLOOKUP($A664,'[2]App C Share Inflows'!$A$4:$I$917,6,FALSE)</f>
        <v>0</v>
      </c>
      <c r="AK664" s="2">
        <f>VLOOKUP($A664,'[2]App C Share Inflows'!$A$4:$I$917,7,FALSE)</f>
        <v>0</v>
      </c>
      <c r="AL664" s="2">
        <f>VLOOKUP($A664,'[2]App C Share Inflows'!$A$4:$I$917,8,FALSE)</f>
        <v>0</v>
      </c>
      <c r="AM664" s="2">
        <f>VLOOKUP($A664,'[2]App C Share Inflows'!$A$4:$I$917,6,FALSE)</f>
        <v>0</v>
      </c>
    </row>
    <row r="665" spans="1:39">
      <c r="A665" s="351">
        <v>97131</v>
      </c>
      <c r="B665" s="344" t="s">
        <v>1361</v>
      </c>
      <c r="C665" s="235" t="e">
        <f>VLOOKUP(A665,#REF!,10,FALSE)</f>
        <v>#REF!</v>
      </c>
      <c r="E665" s="2">
        <f>VLOOKUP($A665,'[2]App C Total'!$A$4:$I$917,5,FALSE)</f>
        <v>297103</v>
      </c>
      <c r="F665" s="2">
        <f>VLOOKUP($A665,'[2]App C Total'!$A$4:$I$917,6,FALSE)</f>
        <v>77384</v>
      </c>
      <c r="G665" s="2">
        <f>VLOOKUP($A665,'[2]App C Total'!$A$4:$I$917,7,FALSE)</f>
        <v>145498</v>
      </c>
      <c r="H665" s="2">
        <f>VLOOKUP($A665,'[2]App C Total'!$A$4:$I$917,8,FALSE)</f>
        <v>51192</v>
      </c>
      <c r="I665" s="2">
        <f>VLOOKUP($A665,'[2]App C Total'!$A$4:$I$917,9,FALSE)</f>
        <v>0</v>
      </c>
      <c r="J665" s="2"/>
      <c r="K665" s="2">
        <f>VLOOKUP($A665,'[2]App C Exp'!$A$4:$I$917,5,FALSE)</f>
        <v>97944</v>
      </c>
      <c r="L665" s="2">
        <f>VLOOKUP($A665,'[2]App C Exp'!$A$4:$I$917,6,FALSE)</f>
        <v>92133</v>
      </c>
      <c r="M665" s="2">
        <f>VLOOKUP($A665,'[2]App C Exp'!$A$4:$I$917,7,FALSE)</f>
        <v>82578</v>
      </c>
      <c r="N665" s="2">
        <f>VLOOKUP($A665,'[2]App C Exp'!$A$4:$I$917,8,FALSE)</f>
        <v>33063</v>
      </c>
      <c r="O665" s="2">
        <f>VLOOKUP($A665,'[2]App C Exp'!$A$4:$I$917,9,FALSE)</f>
        <v>0</v>
      </c>
      <c r="P665" s="2"/>
      <c r="Q665" s="2">
        <f>VLOOKUP($A665,'[2]App C Inv'!$A$4:$I$917,5,FALSE)</f>
        <v>103981</v>
      </c>
      <c r="R665" s="2">
        <f>VLOOKUP($A665,'[2]App C Inv'!$A$4:$I$917,6,FALSE)</f>
        <v>-89443</v>
      </c>
      <c r="S665" s="2">
        <f>VLOOKUP($A665,'[2]App C Inv'!$A$4:$I$917,7,FALSE)</f>
        <v>12606</v>
      </c>
      <c r="T665" s="2">
        <f>VLOOKUP($A665,'[2]App C Inv'!$A$4:$I$917,8,FALSE)</f>
        <v>16406</v>
      </c>
      <c r="U665" s="2">
        <f>VLOOKUP($A665,'[2]App C Inv'!$A$4:$I$917,9,FALSE)</f>
        <v>0</v>
      </c>
      <c r="V665" s="2"/>
      <c r="W665" s="2">
        <f>VLOOKUP($A665,'[2]App C Assum'!$A$4:$I$917,5,FALSE)</f>
        <v>117136</v>
      </c>
      <c r="X665" s="2">
        <f>VLOOKUP($A665,'[2]App C Assum'!$A$4:$I$917,6,FALSE)</f>
        <v>95962</v>
      </c>
      <c r="Y665" s="2">
        <f>VLOOKUP($A665,'[2]App C Assum'!$A$4:$I$917,7,FALSE)</f>
        <v>77905</v>
      </c>
      <c r="Z665" s="2">
        <f>VLOOKUP($A665,'[2]App C Assum'!$A$4:$I$917,8,FALSE)</f>
        <v>0</v>
      </c>
      <c r="AA665" s="2">
        <f>VLOOKUP($A665,'[2]App C Assum'!$A$4:$I$917,9,FALSE)</f>
        <v>0</v>
      </c>
      <c r="AB665" s="2"/>
      <c r="AC665" s="2">
        <f>VLOOKUP($A665,'[2]App C Share Outflows'!$A$4:$I$917,5,FALSE)</f>
        <v>8044</v>
      </c>
      <c r="AD665" s="2">
        <f>VLOOKUP($A665,'[2]App C Share Outflows'!$A$4:$I$917,6,FALSE)</f>
        <v>8044</v>
      </c>
      <c r="AE665" s="2">
        <f>VLOOKUP($A665,'[2]App C Share Outflows'!$A$4:$I$917,7,FALSE)</f>
        <v>1722</v>
      </c>
      <c r="AF665" s="2">
        <f>VLOOKUP($A665,'[2]App C Share Outflows'!$A$4:$I$917,8,FALSE)</f>
        <v>1723</v>
      </c>
      <c r="AG665" s="2">
        <f>VLOOKUP($A665,'[2]App C Share Outflows'!$A$4:$I$917,9,FALSE)</f>
        <v>0</v>
      </c>
      <c r="AH665" s="2"/>
      <c r="AI665" s="2">
        <f>VLOOKUP($A665,'[2]App C Share Inflows'!$A$4:$I$917,5,FALSE)</f>
        <v>-30002</v>
      </c>
      <c r="AJ665" s="2">
        <f>VLOOKUP($A665,'[2]App C Share Inflows'!$A$4:$I$917,6,FALSE)</f>
        <v>-29312</v>
      </c>
      <c r="AK665" s="2">
        <f>VLOOKUP($A665,'[2]App C Share Inflows'!$A$4:$I$917,7,FALSE)</f>
        <v>-29313</v>
      </c>
      <c r="AL665" s="2">
        <f>VLOOKUP($A665,'[2]App C Share Inflows'!$A$4:$I$917,8,FALSE)</f>
        <v>0</v>
      </c>
      <c r="AM665" s="2">
        <f>VLOOKUP($A665,'[2]App C Share Inflows'!$A$4:$I$917,6,FALSE)</f>
        <v>-29312</v>
      </c>
    </row>
    <row r="666" spans="1:39">
      <c r="A666" s="351">
        <v>97201</v>
      </c>
      <c r="B666" s="344" t="s">
        <v>1362</v>
      </c>
      <c r="C666" s="235" t="e">
        <f>VLOOKUP(A666,#REF!,10,FALSE)</f>
        <v>#REF!</v>
      </c>
      <c r="E666" s="2">
        <f>VLOOKUP($A666,'[2]App C Total'!$A$4:$I$917,5,FALSE)</f>
        <v>311169</v>
      </c>
      <c r="F666" s="2">
        <f>VLOOKUP($A666,'[2]App C Total'!$A$4:$I$917,6,FALSE)</f>
        <v>109295</v>
      </c>
      <c r="G666" s="2">
        <f>VLOOKUP($A666,'[2]App C Total'!$A$4:$I$917,7,FALSE)</f>
        <v>169220</v>
      </c>
      <c r="H666" s="2">
        <f>VLOOKUP($A666,'[2]App C Total'!$A$4:$I$917,8,FALSE)</f>
        <v>58862</v>
      </c>
      <c r="I666" s="2">
        <f>VLOOKUP($A666,'[2]App C Total'!$A$4:$I$917,9,FALSE)</f>
        <v>0</v>
      </c>
      <c r="J666" s="2"/>
      <c r="K666" s="2">
        <f>VLOOKUP($A666,'[2]App C Exp'!$A$4:$I$917,5,FALSE)</f>
        <v>87682</v>
      </c>
      <c r="L666" s="2">
        <f>VLOOKUP($A666,'[2]App C Exp'!$A$4:$I$917,6,FALSE)</f>
        <v>82480</v>
      </c>
      <c r="M666" s="2">
        <f>VLOOKUP($A666,'[2]App C Exp'!$A$4:$I$917,7,FALSE)</f>
        <v>73926</v>
      </c>
      <c r="N666" s="2">
        <f>VLOOKUP($A666,'[2]App C Exp'!$A$4:$I$917,8,FALSE)</f>
        <v>29599</v>
      </c>
      <c r="O666" s="2">
        <f>VLOOKUP($A666,'[2]App C Exp'!$A$4:$I$917,9,FALSE)</f>
        <v>0</v>
      </c>
      <c r="P666" s="2"/>
      <c r="Q666" s="2">
        <f>VLOOKUP($A666,'[2]App C Inv'!$A$4:$I$917,5,FALSE)</f>
        <v>93087</v>
      </c>
      <c r="R666" s="2">
        <f>VLOOKUP($A666,'[2]App C Inv'!$A$4:$I$917,6,FALSE)</f>
        <v>-80072</v>
      </c>
      <c r="S666" s="2">
        <f>VLOOKUP($A666,'[2]App C Inv'!$A$4:$I$917,7,FALSE)</f>
        <v>11285</v>
      </c>
      <c r="T666" s="2">
        <f>VLOOKUP($A666,'[2]App C Inv'!$A$4:$I$917,8,FALSE)</f>
        <v>14688</v>
      </c>
      <c r="U666" s="2">
        <f>VLOOKUP($A666,'[2]App C Inv'!$A$4:$I$917,9,FALSE)</f>
        <v>0</v>
      </c>
      <c r="V666" s="2"/>
      <c r="W666" s="2">
        <f>VLOOKUP($A666,'[2]App C Assum'!$A$4:$I$917,5,FALSE)</f>
        <v>104864</v>
      </c>
      <c r="X666" s="2">
        <f>VLOOKUP($A666,'[2]App C Assum'!$A$4:$I$917,6,FALSE)</f>
        <v>85908</v>
      </c>
      <c r="Y666" s="2">
        <f>VLOOKUP($A666,'[2]App C Assum'!$A$4:$I$917,7,FALSE)</f>
        <v>69743</v>
      </c>
      <c r="Z666" s="2">
        <f>VLOOKUP($A666,'[2]App C Assum'!$A$4:$I$917,8,FALSE)</f>
        <v>0</v>
      </c>
      <c r="AA666" s="2">
        <f>VLOOKUP($A666,'[2]App C Assum'!$A$4:$I$917,9,FALSE)</f>
        <v>0</v>
      </c>
      <c r="AB666" s="2"/>
      <c r="AC666" s="2">
        <f>VLOOKUP($A666,'[2]App C Share Outflows'!$A$4:$I$917,5,FALSE)</f>
        <v>25848</v>
      </c>
      <c r="AD666" s="2">
        <f>VLOOKUP($A666,'[2]App C Share Outflows'!$A$4:$I$917,6,FALSE)</f>
        <v>21291</v>
      </c>
      <c r="AE666" s="2">
        <f>VLOOKUP($A666,'[2]App C Share Outflows'!$A$4:$I$917,7,FALSE)</f>
        <v>14576</v>
      </c>
      <c r="AF666" s="2">
        <f>VLOOKUP($A666,'[2]App C Share Outflows'!$A$4:$I$917,8,FALSE)</f>
        <v>14575</v>
      </c>
      <c r="AG666" s="2">
        <f>VLOOKUP($A666,'[2]App C Share Outflows'!$A$4:$I$917,9,FALSE)</f>
        <v>0</v>
      </c>
      <c r="AH666" s="2"/>
      <c r="AI666" s="2">
        <f>VLOOKUP($A666,'[2]App C Share Inflows'!$A$4:$I$917,5,FALSE)</f>
        <v>-312</v>
      </c>
      <c r="AJ666" s="2">
        <f>VLOOKUP($A666,'[2]App C Share Inflows'!$A$4:$I$917,6,FALSE)</f>
        <v>-312</v>
      </c>
      <c r="AK666" s="2">
        <f>VLOOKUP($A666,'[2]App C Share Inflows'!$A$4:$I$917,7,FALSE)</f>
        <v>-310</v>
      </c>
      <c r="AL666" s="2">
        <f>VLOOKUP($A666,'[2]App C Share Inflows'!$A$4:$I$917,8,FALSE)</f>
        <v>0</v>
      </c>
      <c r="AM666" s="2">
        <f>VLOOKUP($A666,'[2]App C Share Inflows'!$A$4:$I$917,6,FALSE)</f>
        <v>-312</v>
      </c>
    </row>
    <row r="667" spans="1:39">
      <c r="A667" s="351">
        <v>97211</v>
      </c>
      <c r="B667" s="344" t="s">
        <v>1363</v>
      </c>
      <c r="C667" s="235" t="e">
        <f>VLOOKUP(A667,#REF!,10,FALSE)</f>
        <v>#REF!</v>
      </c>
      <c r="E667" s="2">
        <f>VLOOKUP($A667,'[2]App C Total'!$A$4:$I$917,5,FALSE)</f>
        <v>30121</v>
      </c>
      <c r="F667" s="2">
        <f>VLOOKUP($A667,'[2]App C Total'!$A$4:$I$917,6,FALSE)</f>
        <v>6273</v>
      </c>
      <c r="G667" s="2">
        <f>VLOOKUP($A667,'[2]App C Total'!$A$4:$I$917,7,FALSE)</f>
        <v>12117</v>
      </c>
      <c r="H667" s="2">
        <f>VLOOKUP($A667,'[2]App C Total'!$A$4:$I$917,8,FALSE)</f>
        <v>-2065</v>
      </c>
      <c r="I667" s="2">
        <f>VLOOKUP($A667,'[2]App C Total'!$A$4:$I$917,9,FALSE)</f>
        <v>0</v>
      </c>
      <c r="J667" s="2"/>
      <c r="K667" s="2">
        <f>VLOOKUP($A667,'[2]App C Exp'!$A$4:$I$917,5,FALSE)</f>
        <v>12194</v>
      </c>
      <c r="L667" s="2">
        <f>VLOOKUP($A667,'[2]App C Exp'!$A$4:$I$917,6,FALSE)</f>
        <v>11471</v>
      </c>
      <c r="M667" s="2">
        <f>VLOOKUP($A667,'[2]App C Exp'!$A$4:$I$917,7,FALSE)</f>
        <v>10281</v>
      </c>
      <c r="N667" s="2">
        <f>VLOOKUP($A667,'[2]App C Exp'!$A$4:$I$917,8,FALSE)</f>
        <v>4116</v>
      </c>
      <c r="O667" s="2">
        <f>VLOOKUP($A667,'[2]App C Exp'!$A$4:$I$917,9,FALSE)</f>
        <v>0</v>
      </c>
      <c r="P667" s="2"/>
      <c r="Q667" s="2">
        <f>VLOOKUP($A667,'[2]App C Inv'!$A$4:$I$917,5,FALSE)</f>
        <v>12946</v>
      </c>
      <c r="R667" s="2">
        <f>VLOOKUP($A667,'[2]App C Inv'!$A$4:$I$917,6,FALSE)</f>
        <v>-11136</v>
      </c>
      <c r="S667" s="2">
        <f>VLOOKUP($A667,'[2]App C Inv'!$A$4:$I$917,7,FALSE)</f>
        <v>1569</v>
      </c>
      <c r="T667" s="2">
        <f>VLOOKUP($A667,'[2]App C Inv'!$A$4:$I$917,8,FALSE)</f>
        <v>2043</v>
      </c>
      <c r="U667" s="2">
        <f>VLOOKUP($A667,'[2]App C Inv'!$A$4:$I$917,9,FALSE)</f>
        <v>0</v>
      </c>
      <c r="V667" s="2"/>
      <c r="W667" s="2">
        <f>VLOOKUP($A667,'[2]App C Assum'!$A$4:$I$917,5,FALSE)</f>
        <v>14584</v>
      </c>
      <c r="X667" s="2">
        <f>VLOOKUP($A667,'[2]App C Assum'!$A$4:$I$917,6,FALSE)</f>
        <v>11948</v>
      </c>
      <c r="Y667" s="2">
        <f>VLOOKUP($A667,'[2]App C Assum'!$A$4:$I$917,7,FALSE)</f>
        <v>9699</v>
      </c>
      <c r="Z667" s="2">
        <f>VLOOKUP($A667,'[2]App C Assum'!$A$4:$I$917,8,FALSE)</f>
        <v>0</v>
      </c>
      <c r="AA667" s="2">
        <f>VLOOKUP($A667,'[2]App C Assum'!$A$4:$I$917,9,FALSE)</f>
        <v>0</v>
      </c>
      <c r="AB667" s="2"/>
      <c r="AC667" s="2">
        <f>VLOOKUP($A667,'[2]App C Share Outflows'!$A$4:$I$917,5,FALSE)</f>
        <v>3426</v>
      </c>
      <c r="AD667" s="2">
        <f>VLOOKUP($A667,'[2]App C Share Outflows'!$A$4:$I$917,6,FALSE)</f>
        <v>3424</v>
      </c>
      <c r="AE667" s="2">
        <f>VLOOKUP($A667,'[2]App C Share Outflows'!$A$4:$I$917,7,FALSE)</f>
        <v>0</v>
      </c>
      <c r="AF667" s="2">
        <f>VLOOKUP($A667,'[2]App C Share Outflows'!$A$4:$I$917,8,FALSE)</f>
        <v>0</v>
      </c>
      <c r="AG667" s="2">
        <f>VLOOKUP($A667,'[2]App C Share Outflows'!$A$4:$I$917,9,FALSE)</f>
        <v>0</v>
      </c>
      <c r="AH667" s="2"/>
      <c r="AI667" s="2">
        <f>VLOOKUP($A667,'[2]App C Share Inflows'!$A$4:$I$917,5,FALSE)</f>
        <v>-13029</v>
      </c>
      <c r="AJ667" s="2">
        <f>VLOOKUP($A667,'[2]App C Share Inflows'!$A$4:$I$917,6,FALSE)</f>
        <v>-9434</v>
      </c>
      <c r="AK667" s="2">
        <f>VLOOKUP($A667,'[2]App C Share Inflows'!$A$4:$I$917,7,FALSE)</f>
        <v>-9432</v>
      </c>
      <c r="AL667" s="2">
        <f>VLOOKUP($A667,'[2]App C Share Inflows'!$A$4:$I$917,8,FALSE)</f>
        <v>-8224</v>
      </c>
      <c r="AM667" s="2">
        <f>VLOOKUP($A667,'[2]App C Share Inflows'!$A$4:$I$917,6,FALSE)</f>
        <v>-9434</v>
      </c>
    </row>
    <row r="668" spans="1:39">
      <c r="A668" s="351">
        <v>97213</v>
      </c>
      <c r="B668" s="344" t="s">
        <v>2769</v>
      </c>
      <c r="C668" s="235" t="e">
        <f>VLOOKUP(A668,#REF!,10,FALSE)</f>
        <v>#REF!</v>
      </c>
      <c r="E668" s="2">
        <f>VLOOKUP($A668,'[2]App C Total'!$A$4:$I$917,5,FALSE)</f>
        <v>18447</v>
      </c>
      <c r="F668" s="2">
        <f>VLOOKUP($A668,'[2]App C Total'!$A$4:$I$917,6,FALSE)</f>
        <v>6629</v>
      </c>
      <c r="G668" s="2">
        <f>VLOOKUP($A668,'[2]App C Total'!$A$4:$I$917,7,FALSE)</f>
        <v>9192</v>
      </c>
      <c r="H668" s="2">
        <f>VLOOKUP($A668,'[2]App C Total'!$A$4:$I$917,8,FALSE)</f>
        <v>1449</v>
      </c>
      <c r="I668" s="2">
        <f>VLOOKUP($A668,'[2]App C Total'!$A$4:$I$917,9,FALSE)</f>
        <v>0</v>
      </c>
      <c r="J668" s="2"/>
      <c r="K668" s="2">
        <f>VLOOKUP($A668,'[2]App C Exp'!$A$4:$I$917,5,FALSE)</f>
        <v>5318</v>
      </c>
      <c r="L668" s="2">
        <f>VLOOKUP($A668,'[2]App C Exp'!$A$4:$I$917,6,FALSE)</f>
        <v>5003</v>
      </c>
      <c r="M668" s="2">
        <f>VLOOKUP($A668,'[2]App C Exp'!$A$4:$I$917,7,FALSE)</f>
        <v>4484</v>
      </c>
      <c r="N668" s="2">
        <f>VLOOKUP($A668,'[2]App C Exp'!$A$4:$I$917,8,FALSE)</f>
        <v>1795</v>
      </c>
      <c r="O668" s="2">
        <f>VLOOKUP($A668,'[2]App C Exp'!$A$4:$I$917,9,FALSE)</f>
        <v>0</v>
      </c>
      <c r="P668" s="2"/>
      <c r="Q668" s="2">
        <f>VLOOKUP($A668,'[2]App C Inv'!$A$4:$I$917,5,FALSE)</f>
        <v>5646</v>
      </c>
      <c r="R668" s="2">
        <f>VLOOKUP($A668,'[2]App C Inv'!$A$4:$I$917,6,FALSE)</f>
        <v>-4857</v>
      </c>
      <c r="S668" s="2">
        <f>VLOOKUP($A668,'[2]App C Inv'!$A$4:$I$917,7,FALSE)</f>
        <v>684</v>
      </c>
      <c r="T668" s="2">
        <f>VLOOKUP($A668,'[2]App C Inv'!$A$4:$I$917,8,FALSE)</f>
        <v>891</v>
      </c>
      <c r="U668" s="2">
        <f>VLOOKUP($A668,'[2]App C Inv'!$A$4:$I$917,9,FALSE)</f>
        <v>0</v>
      </c>
      <c r="V668" s="2"/>
      <c r="W668" s="2">
        <f>VLOOKUP($A668,'[2]App C Assum'!$A$4:$I$917,5,FALSE)</f>
        <v>6360</v>
      </c>
      <c r="X668" s="2">
        <f>VLOOKUP($A668,'[2]App C Assum'!$A$4:$I$917,6,FALSE)</f>
        <v>5211</v>
      </c>
      <c r="Y668" s="2">
        <f>VLOOKUP($A668,'[2]App C Assum'!$A$4:$I$917,7,FALSE)</f>
        <v>4230</v>
      </c>
      <c r="Z668" s="2">
        <f>VLOOKUP($A668,'[2]App C Assum'!$A$4:$I$917,8,FALSE)</f>
        <v>0</v>
      </c>
      <c r="AA668" s="2">
        <f>VLOOKUP($A668,'[2]App C Assum'!$A$4:$I$917,9,FALSE)</f>
        <v>0</v>
      </c>
      <c r="AB668" s="2"/>
      <c r="AC668" s="2">
        <f>VLOOKUP($A668,'[2]App C Share Outflows'!$A$4:$I$917,5,FALSE)</f>
        <v>2511</v>
      </c>
      <c r="AD668" s="2">
        <f>VLOOKUP($A668,'[2]App C Share Outflows'!$A$4:$I$917,6,FALSE)</f>
        <v>2511</v>
      </c>
      <c r="AE668" s="2">
        <f>VLOOKUP($A668,'[2]App C Share Outflows'!$A$4:$I$917,7,FALSE)</f>
        <v>1033</v>
      </c>
      <c r="AF668" s="2">
        <f>VLOOKUP($A668,'[2]App C Share Outflows'!$A$4:$I$917,8,FALSE)</f>
        <v>0</v>
      </c>
      <c r="AG668" s="2">
        <f>VLOOKUP($A668,'[2]App C Share Outflows'!$A$4:$I$917,9,FALSE)</f>
        <v>0</v>
      </c>
      <c r="AH668" s="2"/>
      <c r="AI668" s="2">
        <f>VLOOKUP($A668,'[2]App C Share Inflows'!$A$4:$I$917,5,FALSE)</f>
        <v>-1388</v>
      </c>
      <c r="AJ668" s="2">
        <f>VLOOKUP($A668,'[2]App C Share Inflows'!$A$4:$I$917,6,FALSE)</f>
        <v>-1239</v>
      </c>
      <c r="AK668" s="2">
        <f>VLOOKUP($A668,'[2]App C Share Inflows'!$A$4:$I$917,7,FALSE)</f>
        <v>-1239</v>
      </c>
      <c r="AL668" s="2">
        <f>VLOOKUP($A668,'[2]App C Share Inflows'!$A$4:$I$917,8,FALSE)</f>
        <v>-1237</v>
      </c>
      <c r="AM668" s="2">
        <f>VLOOKUP($A668,'[2]App C Share Inflows'!$A$4:$I$917,6,FALSE)</f>
        <v>-1239</v>
      </c>
    </row>
    <row r="669" spans="1:39">
      <c r="A669" s="351">
        <v>97217</v>
      </c>
      <c r="B669" s="344" t="s">
        <v>1365</v>
      </c>
      <c r="C669" s="235" t="e">
        <f>VLOOKUP(A669,#REF!,10,FALSE)</f>
        <v>#REF!</v>
      </c>
      <c r="E669" s="2">
        <f>VLOOKUP($A669,'[2]App C Total'!$A$4:$I$917,5,FALSE)</f>
        <v>6082</v>
      </c>
      <c r="F669" s="2">
        <f>VLOOKUP($A669,'[2]App C Total'!$A$4:$I$917,6,FALSE)</f>
        <v>3470</v>
      </c>
      <c r="G669" s="2">
        <f>VLOOKUP($A669,'[2]App C Total'!$A$4:$I$917,7,FALSE)</f>
        <v>3200</v>
      </c>
      <c r="H669" s="2">
        <f>VLOOKUP($A669,'[2]App C Total'!$A$4:$I$917,8,FALSE)</f>
        <v>1279</v>
      </c>
      <c r="I669" s="2">
        <f>VLOOKUP($A669,'[2]App C Total'!$A$4:$I$917,9,FALSE)</f>
        <v>0</v>
      </c>
      <c r="J669" s="2"/>
      <c r="K669" s="2">
        <f>VLOOKUP($A669,'[2]App C Exp'!$A$4:$I$917,5,FALSE)</f>
        <v>839</v>
      </c>
      <c r="L669" s="2">
        <f>VLOOKUP($A669,'[2]App C Exp'!$A$4:$I$917,6,FALSE)</f>
        <v>789</v>
      </c>
      <c r="M669" s="2">
        <f>VLOOKUP($A669,'[2]App C Exp'!$A$4:$I$917,7,FALSE)</f>
        <v>707</v>
      </c>
      <c r="N669" s="2">
        <f>VLOOKUP($A669,'[2]App C Exp'!$A$4:$I$917,8,FALSE)</f>
        <v>283</v>
      </c>
      <c r="O669" s="2">
        <f>VLOOKUP($A669,'[2]App C Exp'!$A$4:$I$917,9,FALSE)</f>
        <v>0</v>
      </c>
      <c r="P669" s="2"/>
      <c r="Q669" s="2">
        <f>VLOOKUP($A669,'[2]App C Inv'!$A$4:$I$917,5,FALSE)</f>
        <v>891</v>
      </c>
      <c r="R669" s="2">
        <f>VLOOKUP($A669,'[2]App C Inv'!$A$4:$I$917,6,FALSE)</f>
        <v>-766</v>
      </c>
      <c r="S669" s="2">
        <f>VLOOKUP($A669,'[2]App C Inv'!$A$4:$I$917,7,FALSE)</f>
        <v>108</v>
      </c>
      <c r="T669" s="2">
        <f>VLOOKUP($A669,'[2]App C Inv'!$A$4:$I$917,8,FALSE)</f>
        <v>141</v>
      </c>
      <c r="U669" s="2">
        <f>VLOOKUP($A669,'[2]App C Inv'!$A$4:$I$917,9,FALSE)</f>
        <v>0</v>
      </c>
      <c r="V669" s="2"/>
      <c r="W669" s="2">
        <f>VLOOKUP($A669,'[2]App C Assum'!$A$4:$I$917,5,FALSE)</f>
        <v>1003</v>
      </c>
      <c r="X669" s="2">
        <f>VLOOKUP($A669,'[2]App C Assum'!$A$4:$I$917,6,FALSE)</f>
        <v>822</v>
      </c>
      <c r="Y669" s="2">
        <f>VLOOKUP($A669,'[2]App C Assum'!$A$4:$I$917,7,FALSE)</f>
        <v>667</v>
      </c>
      <c r="Z669" s="2">
        <f>VLOOKUP($A669,'[2]App C Assum'!$A$4:$I$917,8,FALSE)</f>
        <v>0</v>
      </c>
      <c r="AA669" s="2">
        <f>VLOOKUP($A669,'[2]App C Assum'!$A$4:$I$917,9,FALSE)</f>
        <v>0</v>
      </c>
      <c r="AB669" s="2"/>
      <c r="AC669" s="2">
        <f>VLOOKUP($A669,'[2]App C Share Outflows'!$A$4:$I$917,5,FALSE)</f>
        <v>3349</v>
      </c>
      <c r="AD669" s="2">
        <f>VLOOKUP($A669,'[2]App C Share Outflows'!$A$4:$I$917,6,FALSE)</f>
        <v>2625</v>
      </c>
      <c r="AE669" s="2">
        <f>VLOOKUP($A669,'[2]App C Share Outflows'!$A$4:$I$917,7,FALSE)</f>
        <v>1718</v>
      </c>
      <c r="AF669" s="2">
        <f>VLOOKUP($A669,'[2]App C Share Outflows'!$A$4:$I$917,8,FALSE)</f>
        <v>855</v>
      </c>
      <c r="AG669" s="2">
        <f>VLOOKUP($A669,'[2]App C Share Outflows'!$A$4:$I$917,9,FALSE)</f>
        <v>0</v>
      </c>
      <c r="AH669" s="2"/>
      <c r="AI669" s="2">
        <f>VLOOKUP($A669,'[2]App C Share Inflows'!$A$4:$I$917,5,FALSE)</f>
        <v>0</v>
      </c>
      <c r="AJ669" s="2">
        <f>VLOOKUP($A669,'[2]App C Share Inflows'!$A$4:$I$917,6,FALSE)</f>
        <v>0</v>
      </c>
      <c r="AK669" s="2">
        <f>VLOOKUP($A669,'[2]App C Share Inflows'!$A$4:$I$917,7,FALSE)</f>
        <v>0</v>
      </c>
      <c r="AL669" s="2">
        <f>VLOOKUP($A669,'[2]App C Share Inflows'!$A$4:$I$917,8,FALSE)</f>
        <v>0</v>
      </c>
      <c r="AM669" s="2">
        <f>VLOOKUP($A669,'[2]App C Share Inflows'!$A$4:$I$917,6,FALSE)</f>
        <v>0</v>
      </c>
    </row>
    <row r="670" spans="1:39">
      <c r="A670" s="351">
        <v>97221</v>
      </c>
      <c r="B670" s="344" t="s">
        <v>1366</v>
      </c>
      <c r="C670" s="235" t="e">
        <f>VLOOKUP(A670,#REF!,10,FALSE)</f>
        <v>#REF!</v>
      </c>
      <c r="E670" s="2">
        <f>VLOOKUP($A670,'[2]App C Total'!$A$4:$I$917,5,FALSE)</f>
        <v>9876</v>
      </c>
      <c r="F670" s="2">
        <f>VLOOKUP($A670,'[2]App C Total'!$A$4:$I$917,6,FALSE)</f>
        <v>4991</v>
      </c>
      <c r="G670" s="2">
        <f>VLOOKUP($A670,'[2]App C Total'!$A$4:$I$917,7,FALSE)</f>
        <v>5340</v>
      </c>
      <c r="H670" s="2">
        <f>VLOOKUP($A670,'[2]App C Total'!$A$4:$I$917,8,FALSE)</f>
        <v>2719</v>
      </c>
      <c r="I670" s="2">
        <f>VLOOKUP($A670,'[2]App C Total'!$A$4:$I$917,9,FALSE)</f>
        <v>0</v>
      </c>
      <c r="J670" s="2"/>
      <c r="K670" s="2">
        <f>VLOOKUP($A670,'[2]App C Exp'!$A$4:$I$917,5,FALSE)</f>
        <v>1858</v>
      </c>
      <c r="L670" s="2">
        <f>VLOOKUP($A670,'[2]App C Exp'!$A$4:$I$917,6,FALSE)</f>
        <v>1747</v>
      </c>
      <c r="M670" s="2">
        <f>VLOOKUP($A670,'[2]App C Exp'!$A$4:$I$917,7,FALSE)</f>
        <v>1566</v>
      </c>
      <c r="N670" s="2">
        <f>VLOOKUP($A670,'[2]App C Exp'!$A$4:$I$917,8,FALSE)</f>
        <v>627</v>
      </c>
      <c r="O670" s="2">
        <f>VLOOKUP($A670,'[2]App C Exp'!$A$4:$I$917,9,FALSE)</f>
        <v>0</v>
      </c>
      <c r="P670" s="2"/>
      <c r="Q670" s="2">
        <f>VLOOKUP($A670,'[2]App C Inv'!$A$4:$I$917,5,FALSE)</f>
        <v>1972</v>
      </c>
      <c r="R670" s="2">
        <f>VLOOKUP($A670,'[2]App C Inv'!$A$4:$I$917,6,FALSE)</f>
        <v>-1696</v>
      </c>
      <c r="S670" s="2">
        <f>VLOOKUP($A670,'[2]App C Inv'!$A$4:$I$917,7,FALSE)</f>
        <v>239</v>
      </c>
      <c r="T670" s="2">
        <f>VLOOKUP($A670,'[2]App C Inv'!$A$4:$I$917,8,FALSE)</f>
        <v>311</v>
      </c>
      <c r="U670" s="2">
        <f>VLOOKUP($A670,'[2]App C Inv'!$A$4:$I$917,9,FALSE)</f>
        <v>0</v>
      </c>
      <c r="V670" s="2"/>
      <c r="W670" s="2">
        <f>VLOOKUP($A670,'[2]App C Assum'!$A$4:$I$917,5,FALSE)</f>
        <v>2222</v>
      </c>
      <c r="X670" s="2">
        <f>VLOOKUP($A670,'[2]App C Assum'!$A$4:$I$917,6,FALSE)</f>
        <v>1820</v>
      </c>
      <c r="Y670" s="2">
        <f>VLOOKUP($A670,'[2]App C Assum'!$A$4:$I$917,7,FALSE)</f>
        <v>1478</v>
      </c>
      <c r="Z670" s="2">
        <f>VLOOKUP($A670,'[2]App C Assum'!$A$4:$I$917,8,FALSE)</f>
        <v>0</v>
      </c>
      <c r="AA670" s="2">
        <f>VLOOKUP($A670,'[2]App C Assum'!$A$4:$I$917,9,FALSE)</f>
        <v>0</v>
      </c>
      <c r="AB670" s="2"/>
      <c r="AC670" s="2">
        <f>VLOOKUP($A670,'[2]App C Share Outflows'!$A$4:$I$917,5,FALSE)</f>
        <v>3824</v>
      </c>
      <c r="AD670" s="2">
        <f>VLOOKUP($A670,'[2]App C Share Outflows'!$A$4:$I$917,6,FALSE)</f>
        <v>3120</v>
      </c>
      <c r="AE670" s="2">
        <f>VLOOKUP($A670,'[2]App C Share Outflows'!$A$4:$I$917,7,FALSE)</f>
        <v>2057</v>
      </c>
      <c r="AF670" s="2">
        <f>VLOOKUP($A670,'[2]App C Share Outflows'!$A$4:$I$917,8,FALSE)</f>
        <v>1781</v>
      </c>
      <c r="AG670" s="2">
        <f>VLOOKUP($A670,'[2]App C Share Outflows'!$A$4:$I$917,9,FALSE)</f>
        <v>0</v>
      </c>
      <c r="AH670" s="2"/>
      <c r="AI670" s="2">
        <f>VLOOKUP($A670,'[2]App C Share Inflows'!$A$4:$I$917,5,FALSE)</f>
        <v>0</v>
      </c>
      <c r="AJ670" s="2">
        <f>VLOOKUP($A670,'[2]App C Share Inflows'!$A$4:$I$917,6,FALSE)</f>
        <v>0</v>
      </c>
      <c r="AK670" s="2">
        <f>VLOOKUP($A670,'[2]App C Share Inflows'!$A$4:$I$917,7,FALSE)</f>
        <v>0</v>
      </c>
      <c r="AL670" s="2">
        <f>VLOOKUP($A670,'[2]App C Share Inflows'!$A$4:$I$917,8,FALSE)</f>
        <v>0</v>
      </c>
      <c r="AM670" s="2">
        <f>VLOOKUP($A670,'[2]App C Share Inflows'!$A$4:$I$917,6,FALSE)</f>
        <v>0</v>
      </c>
    </row>
    <row r="671" spans="1:39">
      <c r="A671" s="351">
        <v>97301</v>
      </c>
      <c r="B671" s="344" t="s">
        <v>1367</v>
      </c>
      <c r="C671" s="235" t="e">
        <f>VLOOKUP(A671,#REF!,10,FALSE)</f>
        <v>#REF!</v>
      </c>
      <c r="E671" s="2">
        <f>VLOOKUP($A671,'[2]App C Total'!$A$4:$I$917,5,FALSE)</f>
        <v>1145350</v>
      </c>
      <c r="F671" s="2">
        <f>VLOOKUP($A671,'[2]App C Total'!$A$4:$I$917,6,FALSE)</f>
        <v>348467</v>
      </c>
      <c r="G671" s="2">
        <f>VLOOKUP($A671,'[2]App C Total'!$A$4:$I$917,7,FALSE)</f>
        <v>624613</v>
      </c>
      <c r="H671" s="2">
        <f>VLOOKUP($A671,'[2]App C Total'!$A$4:$I$917,8,FALSE)</f>
        <v>175939</v>
      </c>
      <c r="I671" s="2">
        <f>VLOOKUP($A671,'[2]App C Total'!$A$4:$I$917,9,FALSE)</f>
        <v>0</v>
      </c>
      <c r="J671" s="2"/>
      <c r="K671" s="2">
        <f>VLOOKUP($A671,'[2]App C Exp'!$A$4:$I$917,5,FALSE)</f>
        <v>358668</v>
      </c>
      <c r="L671" s="2">
        <f>VLOOKUP($A671,'[2]App C Exp'!$A$4:$I$917,6,FALSE)</f>
        <v>337391</v>
      </c>
      <c r="M671" s="2">
        <f>VLOOKUP($A671,'[2]App C Exp'!$A$4:$I$917,7,FALSE)</f>
        <v>302399</v>
      </c>
      <c r="N671" s="2">
        <f>VLOOKUP($A671,'[2]App C Exp'!$A$4:$I$917,8,FALSE)</f>
        <v>121077</v>
      </c>
      <c r="O671" s="2">
        <f>VLOOKUP($A671,'[2]App C Exp'!$A$4:$I$917,9,FALSE)</f>
        <v>0</v>
      </c>
      <c r="P671" s="2"/>
      <c r="Q671" s="2">
        <f>VLOOKUP($A671,'[2]App C Inv'!$A$4:$I$917,5,FALSE)</f>
        <v>380776</v>
      </c>
      <c r="R671" s="2">
        <f>VLOOKUP($A671,'[2]App C Inv'!$A$4:$I$917,6,FALSE)</f>
        <v>-327539</v>
      </c>
      <c r="S671" s="2">
        <f>VLOOKUP($A671,'[2]App C Inv'!$A$4:$I$917,7,FALSE)</f>
        <v>46163</v>
      </c>
      <c r="T671" s="2">
        <f>VLOOKUP($A671,'[2]App C Inv'!$A$4:$I$917,8,FALSE)</f>
        <v>60080</v>
      </c>
      <c r="U671" s="2">
        <f>VLOOKUP($A671,'[2]App C Inv'!$A$4:$I$917,9,FALSE)</f>
        <v>0</v>
      </c>
      <c r="V671" s="2"/>
      <c r="W671" s="2">
        <f>VLOOKUP($A671,'[2]App C Assum'!$A$4:$I$917,5,FALSE)</f>
        <v>428950</v>
      </c>
      <c r="X671" s="2">
        <f>VLOOKUP($A671,'[2]App C Assum'!$A$4:$I$917,6,FALSE)</f>
        <v>351411</v>
      </c>
      <c r="Y671" s="2">
        <f>VLOOKUP($A671,'[2]App C Assum'!$A$4:$I$917,7,FALSE)</f>
        <v>285286</v>
      </c>
      <c r="Z671" s="2">
        <f>VLOOKUP($A671,'[2]App C Assum'!$A$4:$I$917,8,FALSE)</f>
        <v>0</v>
      </c>
      <c r="AA671" s="2">
        <f>VLOOKUP($A671,'[2]App C Assum'!$A$4:$I$917,9,FALSE)</f>
        <v>0</v>
      </c>
      <c r="AB671" s="2"/>
      <c r="AC671" s="2">
        <f>VLOOKUP($A671,'[2]App C Share Outflows'!$A$4:$I$917,5,FALSE)</f>
        <v>0</v>
      </c>
      <c r="AD671" s="2">
        <f>VLOOKUP($A671,'[2]App C Share Outflows'!$A$4:$I$917,6,FALSE)</f>
        <v>0</v>
      </c>
      <c r="AE671" s="2">
        <f>VLOOKUP($A671,'[2]App C Share Outflows'!$A$4:$I$917,7,FALSE)</f>
        <v>0</v>
      </c>
      <c r="AF671" s="2">
        <f>VLOOKUP($A671,'[2]App C Share Outflows'!$A$4:$I$917,8,FALSE)</f>
        <v>0</v>
      </c>
      <c r="AG671" s="2">
        <f>VLOOKUP($A671,'[2]App C Share Outflows'!$A$4:$I$917,9,FALSE)</f>
        <v>0</v>
      </c>
      <c r="AH671" s="2"/>
      <c r="AI671" s="2">
        <f>VLOOKUP($A671,'[2]App C Share Inflows'!$A$4:$I$917,5,FALSE)</f>
        <v>-23044</v>
      </c>
      <c r="AJ671" s="2">
        <f>VLOOKUP($A671,'[2]App C Share Inflows'!$A$4:$I$917,6,FALSE)</f>
        <v>-12796</v>
      </c>
      <c r="AK671" s="2">
        <f>VLOOKUP($A671,'[2]App C Share Inflows'!$A$4:$I$917,7,FALSE)</f>
        <v>-9235</v>
      </c>
      <c r="AL671" s="2">
        <f>VLOOKUP($A671,'[2]App C Share Inflows'!$A$4:$I$917,8,FALSE)</f>
        <v>-5218</v>
      </c>
      <c r="AM671" s="2">
        <f>VLOOKUP($A671,'[2]App C Share Inflows'!$A$4:$I$917,6,FALSE)</f>
        <v>-12796</v>
      </c>
    </row>
    <row r="672" spans="1:39">
      <c r="A672" s="351">
        <v>97304</v>
      </c>
      <c r="B672" s="344" t="s">
        <v>3695</v>
      </c>
      <c r="C672" s="235" t="e">
        <f>VLOOKUP(A672,#REF!,10,FALSE)</f>
        <v>#REF!</v>
      </c>
      <c r="E672" s="2">
        <f>VLOOKUP($A672,'[2]App C Total'!$A$4:$I$917,5,FALSE)</f>
        <v>11116</v>
      </c>
      <c r="F672" s="2">
        <f>VLOOKUP($A672,'[2]App C Total'!$A$4:$I$917,6,FALSE)</f>
        <v>5541</v>
      </c>
      <c r="G672" s="2">
        <f>VLOOKUP($A672,'[2]App C Total'!$A$4:$I$917,7,FALSE)</f>
        <v>6181</v>
      </c>
      <c r="H672" s="2">
        <f>VLOOKUP($A672,'[2]App C Total'!$A$4:$I$917,8,FALSE)</f>
        <v>2473</v>
      </c>
      <c r="I672" s="2">
        <f>VLOOKUP($A672,'[2]App C Total'!$A$4:$I$917,9,FALSE)</f>
        <v>0</v>
      </c>
      <c r="J672" s="2"/>
      <c r="K672" s="2">
        <f>VLOOKUP($A672,'[2]App C Exp'!$A$4:$I$917,5,FALSE)</f>
        <v>2157</v>
      </c>
      <c r="L672" s="2">
        <f>VLOOKUP($A672,'[2]App C Exp'!$A$4:$I$917,6,FALSE)</f>
        <v>2029</v>
      </c>
      <c r="M672" s="2">
        <f>VLOOKUP($A672,'[2]App C Exp'!$A$4:$I$917,7,FALSE)</f>
        <v>1819</v>
      </c>
      <c r="N672" s="2">
        <f>VLOOKUP($A672,'[2]App C Exp'!$A$4:$I$917,8,FALSE)</f>
        <v>728</v>
      </c>
      <c r="O672" s="2">
        <f>VLOOKUP($A672,'[2]App C Exp'!$A$4:$I$917,9,FALSE)</f>
        <v>0</v>
      </c>
      <c r="P672" s="2"/>
      <c r="Q672" s="2">
        <f>VLOOKUP($A672,'[2]App C Inv'!$A$4:$I$917,5,FALSE)</f>
        <v>2290</v>
      </c>
      <c r="R672" s="2">
        <f>VLOOKUP($A672,'[2]App C Inv'!$A$4:$I$917,6,FALSE)</f>
        <v>-1970</v>
      </c>
      <c r="S672" s="2">
        <f>VLOOKUP($A672,'[2]App C Inv'!$A$4:$I$917,7,FALSE)</f>
        <v>278</v>
      </c>
      <c r="T672" s="2">
        <f>VLOOKUP($A672,'[2]App C Inv'!$A$4:$I$917,8,FALSE)</f>
        <v>361</v>
      </c>
      <c r="U672" s="2">
        <f>VLOOKUP($A672,'[2]App C Inv'!$A$4:$I$917,9,FALSE)</f>
        <v>0</v>
      </c>
      <c r="V672" s="2"/>
      <c r="W672" s="2">
        <f>VLOOKUP($A672,'[2]App C Assum'!$A$4:$I$917,5,FALSE)</f>
        <v>2580</v>
      </c>
      <c r="X672" s="2">
        <f>VLOOKUP($A672,'[2]App C Assum'!$A$4:$I$917,6,FALSE)</f>
        <v>2114</v>
      </c>
      <c r="Y672" s="2">
        <f>VLOOKUP($A672,'[2]App C Assum'!$A$4:$I$917,7,FALSE)</f>
        <v>1716</v>
      </c>
      <c r="Z672" s="2">
        <f>VLOOKUP($A672,'[2]App C Assum'!$A$4:$I$917,8,FALSE)</f>
        <v>0</v>
      </c>
      <c r="AA672" s="2">
        <f>VLOOKUP($A672,'[2]App C Assum'!$A$4:$I$917,9,FALSE)</f>
        <v>0</v>
      </c>
      <c r="AB672" s="2"/>
      <c r="AC672" s="2">
        <f>VLOOKUP($A672,'[2]App C Share Outflows'!$A$4:$I$917,5,FALSE)</f>
        <v>4089</v>
      </c>
      <c r="AD672" s="2">
        <f>VLOOKUP($A672,'[2]App C Share Outflows'!$A$4:$I$917,6,FALSE)</f>
        <v>3368</v>
      </c>
      <c r="AE672" s="2">
        <f>VLOOKUP($A672,'[2]App C Share Outflows'!$A$4:$I$917,7,FALSE)</f>
        <v>2368</v>
      </c>
      <c r="AF672" s="2">
        <f>VLOOKUP($A672,'[2]App C Share Outflows'!$A$4:$I$917,8,FALSE)</f>
        <v>1384</v>
      </c>
      <c r="AG672" s="2">
        <f>VLOOKUP($A672,'[2]App C Share Outflows'!$A$4:$I$917,9,FALSE)</f>
        <v>0</v>
      </c>
      <c r="AH672" s="2"/>
      <c r="AI672" s="2">
        <f>VLOOKUP($A672,'[2]App C Share Inflows'!$A$4:$I$917,5,FALSE)</f>
        <v>0</v>
      </c>
      <c r="AJ672" s="2">
        <f>VLOOKUP($A672,'[2]App C Share Inflows'!$A$4:$I$917,6,FALSE)</f>
        <v>0</v>
      </c>
      <c r="AK672" s="2">
        <f>VLOOKUP($A672,'[2]App C Share Inflows'!$A$4:$I$917,7,FALSE)</f>
        <v>0</v>
      </c>
      <c r="AL672" s="2">
        <f>VLOOKUP($A672,'[2]App C Share Inflows'!$A$4:$I$917,8,FALSE)</f>
        <v>0</v>
      </c>
      <c r="AM672" s="2">
        <f>VLOOKUP($A672,'[2]App C Share Inflows'!$A$4:$I$917,6,FALSE)</f>
        <v>0</v>
      </c>
    </row>
    <row r="673" spans="1:39">
      <c r="A673" s="351">
        <v>97311</v>
      </c>
      <c r="B673" s="344" t="s">
        <v>1369</v>
      </c>
      <c r="C673" s="235" t="e">
        <f>VLOOKUP(A673,#REF!,10,FALSE)</f>
        <v>#REF!</v>
      </c>
      <c r="E673" s="2">
        <f>VLOOKUP($A673,'[2]App C Total'!$A$4:$I$917,5,FALSE)</f>
        <v>410585</v>
      </c>
      <c r="F673" s="2">
        <f>VLOOKUP($A673,'[2]App C Total'!$A$4:$I$917,6,FALSE)</f>
        <v>120730</v>
      </c>
      <c r="G673" s="2">
        <f>VLOOKUP($A673,'[2]App C Total'!$A$4:$I$917,7,FALSE)</f>
        <v>231546</v>
      </c>
      <c r="H673" s="2">
        <f>VLOOKUP($A673,'[2]App C Total'!$A$4:$I$917,8,FALSE)</f>
        <v>68156</v>
      </c>
      <c r="I673" s="2">
        <f>VLOOKUP($A673,'[2]App C Total'!$A$4:$I$917,9,FALSE)</f>
        <v>0</v>
      </c>
      <c r="J673" s="2"/>
      <c r="K673" s="2">
        <f>VLOOKUP($A673,'[2]App C Exp'!$A$4:$I$917,5,FALSE)</f>
        <v>134991</v>
      </c>
      <c r="L673" s="2">
        <f>VLOOKUP($A673,'[2]App C Exp'!$A$4:$I$917,6,FALSE)</f>
        <v>126983</v>
      </c>
      <c r="M673" s="2">
        <f>VLOOKUP($A673,'[2]App C Exp'!$A$4:$I$917,7,FALSE)</f>
        <v>113813</v>
      </c>
      <c r="N673" s="2">
        <f>VLOOKUP($A673,'[2]App C Exp'!$A$4:$I$917,8,FALSE)</f>
        <v>45570</v>
      </c>
      <c r="O673" s="2">
        <f>VLOOKUP($A673,'[2]App C Exp'!$A$4:$I$917,9,FALSE)</f>
        <v>0</v>
      </c>
      <c r="P673" s="2"/>
      <c r="Q673" s="2">
        <f>VLOOKUP($A673,'[2]App C Inv'!$A$4:$I$917,5,FALSE)</f>
        <v>143312</v>
      </c>
      <c r="R673" s="2">
        <f>VLOOKUP($A673,'[2]App C Inv'!$A$4:$I$917,6,FALSE)</f>
        <v>-123275</v>
      </c>
      <c r="S673" s="2">
        <f>VLOOKUP($A673,'[2]App C Inv'!$A$4:$I$917,7,FALSE)</f>
        <v>17374</v>
      </c>
      <c r="T673" s="2">
        <f>VLOOKUP($A673,'[2]App C Inv'!$A$4:$I$917,8,FALSE)</f>
        <v>22612</v>
      </c>
      <c r="U673" s="2">
        <f>VLOOKUP($A673,'[2]App C Inv'!$A$4:$I$917,9,FALSE)</f>
        <v>0</v>
      </c>
      <c r="V673" s="2"/>
      <c r="W673" s="2">
        <f>VLOOKUP($A673,'[2]App C Assum'!$A$4:$I$917,5,FALSE)</f>
        <v>161443</v>
      </c>
      <c r="X673" s="2">
        <f>VLOOKUP($A673,'[2]App C Assum'!$A$4:$I$917,6,FALSE)</f>
        <v>132260</v>
      </c>
      <c r="Y673" s="2">
        <f>VLOOKUP($A673,'[2]App C Assum'!$A$4:$I$917,7,FALSE)</f>
        <v>107372</v>
      </c>
      <c r="Z673" s="2">
        <f>VLOOKUP($A673,'[2]App C Assum'!$A$4:$I$917,8,FALSE)</f>
        <v>0</v>
      </c>
      <c r="AA673" s="2">
        <f>VLOOKUP($A673,'[2]App C Assum'!$A$4:$I$917,9,FALSE)</f>
        <v>0</v>
      </c>
      <c r="AB673" s="2"/>
      <c r="AC673" s="2">
        <f>VLOOKUP($A673,'[2]App C Share Outflows'!$A$4:$I$917,5,FALSE)</f>
        <v>0</v>
      </c>
      <c r="AD673" s="2">
        <f>VLOOKUP($A673,'[2]App C Share Outflows'!$A$4:$I$917,6,FALSE)</f>
        <v>0</v>
      </c>
      <c r="AE673" s="2">
        <f>VLOOKUP($A673,'[2]App C Share Outflows'!$A$4:$I$917,7,FALSE)</f>
        <v>0</v>
      </c>
      <c r="AF673" s="2">
        <f>VLOOKUP($A673,'[2]App C Share Outflows'!$A$4:$I$917,8,FALSE)</f>
        <v>0</v>
      </c>
      <c r="AG673" s="2">
        <f>VLOOKUP($A673,'[2]App C Share Outflows'!$A$4:$I$917,9,FALSE)</f>
        <v>0</v>
      </c>
      <c r="AH673" s="2"/>
      <c r="AI673" s="2">
        <f>VLOOKUP($A673,'[2]App C Share Inflows'!$A$4:$I$917,5,FALSE)</f>
        <v>-29161</v>
      </c>
      <c r="AJ673" s="2">
        <f>VLOOKUP($A673,'[2]App C Share Inflows'!$A$4:$I$917,6,FALSE)</f>
        <v>-15238</v>
      </c>
      <c r="AK673" s="2">
        <f>VLOOKUP($A673,'[2]App C Share Inflows'!$A$4:$I$917,7,FALSE)</f>
        <v>-7013</v>
      </c>
      <c r="AL673" s="2">
        <f>VLOOKUP($A673,'[2]App C Share Inflows'!$A$4:$I$917,8,FALSE)</f>
        <v>-26</v>
      </c>
      <c r="AM673" s="2">
        <f>VLOOKUP($A673,'[2]App C Share Inflows'!$A$4:$I$917,6,FALSE)</f>
        <v>-15238</v>
      </c>
    </row>
    <row r="674" spans="1:39">
      <c r="A674" s="351">
        <v>97401</v>
      </c>
      <c r="B674" s="344" t="s">
        <v>1370</v>
      </c>
      <c r="C674" s="235" t="e">
        <f>VLOOKUP(A674,#REF!,10,FALSE)</f>
        <v>#REF!</v>
      </c>
      <c r="E674" s="2">
        <f>VLOOKUP($A674,'[2]App C Total'!$A$4:$I$917,5,FALSE)</f>
        <v>3494143</v>
      </c>
      <c r="F674" s="2">
        <f>VLOOKUP($A674,'[2]App C Total'!$A$4:$I$917,6,FALSE)</f>
        <v>1120477</v>
      </c>
      <c r="G674" s="2">
        <f>VLOOKUP($A674,'[2]App C Total'!$A$4:$I$917,7,FALSE)</f>
        <v>1886008</v>
      </c>
      <c r="H674" s="2">
        <f>VLOOKUP($A674,'[2]App C Total'!$A$4:$I$917,8,FALSE)</f>
        <v>531526</v>
      </c>
      <c r="I674" s="2">
        <f>VLOOKUP($A674,'[2]App C Total'!$A$4:$I$917,9,FALSE)</f>
        <v>0</v>
      </c>
      <c r="J674" s="2"/>
      <c r="K674" s="2">
        <f>VLOOKUP($A674,'[2]App C Exp'!$A$4:$I$917,5,FALSE)</f>
        <v>1057083</v>
      </c>
      <c r="L674" s="2">
        <f>VLOOKUP($A674,'[2]App C Exp'!$A$4:$I$917,6,FALSE)</f>
        <v>994374</v>
      </c>
      <c r="M674" s="2">
        <f>VLOOKUP($A674,'[2]App C Exp'!$A$4:$I$917,7,FALSE)</f>
        <v>891246</v>
      </c>
      <c r="N674" s="2">
        <f>VLOOKUP($A674,'[2]App C Exp'!$A$4:$I$917,8,FALSE)</f>
        <v>356844</v>
      </c>
      <c r="O674" s="2">
        <f>VLOOKUP($A674,'[2]App C Exp'!$A$4:$I$917,9,FALSE)</f>
        <v>0</v>
      </c>
      <c r="P674" s="2"/>
      <c r="Q674" s="2">
        <f>VLOOKUP($A674,'[2]App C Inv'!$A$4:$I$917,5,FALSE)</f>
        <v>1122241</v>
      </c>
      <c r="R674" s="2">
        <f>VLOOKUP($A674,'[2]App C Inv'!$A$4:$I$917,6,FALSE)</f>
        <v>-965337</v>
      </c>
      <c r="S674" s="2">
        <f>VLOOKUP($A674,'[2]App C Inv'!$A$4:$I$917,7,FALSE)</f>
        <v>136053</v>
      </c>
      <c r="T674" s="2">
        <f>VLOOKUP($A674,'[2]App C Inv'!$A$4:$I$917,8,FALSE)</f>
        <v>177071</v>
      </c>
      <c r="U674" s="2">
        <f>VLOOKUP($A674,'[2]App C Inv'!$A$4:$I$917,9,FALSE)</f>
        <v>0</v>
      </c>
      <c r="V674" s="2"/>
      <c r="W674" s="2">
        <f>VLOOKUP($A674,'[2]App C Assum'!$A$4:$I$917,5,FALSE)</f>
        <v>1264221</v>
      </c>
      <c r="X674" s="2">
        <f>VLOOKUP($A674,'[2]App C Assum'!$A$4:$I$917,6,FALSE)</f>
        <v>1035695</v>
      </c>
      <c r="Y674" s="2">
        <f>VLOOKUP($A674,'[2]App C Assum'!$A$4:$I$917,7,FALSE)</f>
        <v>840808</v>
      </c>
      <c r="Z674" s="2">
        <f>VLOOKUP($A674,'[2]App C Assum'!$A$4:$I$917,8,FALSE)</f>
        <v>0</v>
      </c>
      <c r="AA674" s="2">
        <f>VLOOKUP($A674,'[2]App C Assum'!$A$4:$I$917,9,FALSE)</f>
        <v>0</v>
      </c>
      <c r="AB674" s="2"/>
      <c r="AC674" s="2">
        <f>VLOOKUP($A674,'[2]App C Share Outflows'!$A$4:$I$917,5,FALSE)</f>
        <v>58132</v>
      </c>
      <c r="AD674" s="2">
        <f>VLOOKUP($A674,'[2]App C Share Outflows'!$A$4:$I$917,6,FALSE)</f>
        <v>58132</v>
      </c>
      <c r="AE674" s="2">
        <f>VLOOKUP($A674,'[2]App C Share Outflows'!$A$4:$I$917,7,FALSE)</f>
        <v>20288</v>
      </c>
      <c r="AF674" s="2">
        <f>VLOOKUP($A674,'[2]App C Share Outflows'!$A$4:$I$917,8,FALSE)</f>
        <v>0</v>
      </c>
      <c r="AG674" s="2">
        <f>VLOOKUP($A674,'[2]App C Share Outflows'!$A$4:$I$917,9,FALSE)</f>
        <v>0</v>
      </c>
      <c r="AH674" s="2"/>
      <c r="AI674" s="2">
        <f>VLOOKUP($A674,'[2]App C Share Inflows'!$A$4:$I$917,5,FALSE)</f>
        <v>-7534</v>
      </c>
      <c r="AJ674" s="2">
        <f>VLOOKUP($A674,'[2]App C Share Inflows'!$A$4:$I$917,6,FALSE)</f>
        <v>-2387</v>
      </c>
      <c r="AK674" s="2">
        <f>VLOOKUP($A674,'[2]App C Share Inflows'!$A$4:$I$917,7,FALSE)</f>
        <v>-2387</v>
      </c>
      <c r="AL674" s="2">
        <f>VLOOKUP($A674,'[2]App C Share Inflows'!$A$4:$I$917,8,FALSE)</f>
        <v>-2389</v>
      </c>
      <c r="AM674" s="2">
        <f>VLOOKUP($A674,'[2]App C Share Inflows'!$A$4:$I$917,6,FALSE)</f>
        <v>-2387</v>
      </c>
    </row>
    <row r="675" spans="1:39">
      <c r="A675" s="351">
        <v>97402</v>
      </c>
      <c r="B675" s="344" t="s">
        <v>3696</v>
      </c>
      <c r="C675" s="235" t="e">
        <f>VLOOKUP(A675,#REF!,10,FALSE)</f>
        <v>#REF!</v>
      </c>
      <c r="E675" s="2">
        <f>VLOOKUP($A675,'[2]App C Total'!$A$4:$I$917,5,FALSE)</f>
        <v>25295</v>
      </c>
      <c r="F675" s="2">
        <f>VLOOKUP($A675,'[2]App C Total'!$A$4:$I$917,6,FALSE)</f>
        <v>8140</v>
      </c>
      <c r="G675" s="2">
        <f>VLOOKUP($A675,'[2]App C Total'!$A$4:$I$917,7,FALSE)</f>
        <v>11732</v>
      </c>
      <c r="H675" s="2">
        <f>VLOOKUP($A675,'[2]App C Total'!$A$4:$I$917,8,FALSE)</f>
        <v>3168</v>
      </c>
      <c r="I675" s="2">
        <f>VLOOKUP($A675,'[2]App C Total'!$A$4:$I$917,9,FALSE)</f>
        <v>0</v>
      </c>
      <c r="J675" s="2"/>
      <c r="K675" s="2">
        <f>VLOOKUP($A675,'[2]App C Exp'!$A$4:$I$917,5,FALSE)</f>
        <v>6292</v>
      </c>
      <c r="L675" s="2">
        <f>VLOOKUP($A675,'[2]App C Exp'!$A$4:$I$917,6,FALSE)</f>
        <v>5919</v>
      </c>
      <c r="M675" s="2">
        <f>VLOOKUP($A675,'[2]App C Exp'!$A$4:$I$917,7,FALSE)</f>
        <v>5305</v>
      </c>
      <c r="N675" s="2">
        <f>VLOOKUP($A675,'[2]App C Exp'!$A$4:$I$917,8,FALSE)</f>
        <v>2124</v>
      </c>
      <c r="O675" s="2">
        <f>VLOOKUP($A675,'[2]App C Exp'!$A$4:$I$917,9,FALSE)</f>
        <v>0</v>
      </c>
      <c r="P675" s="2"/>
      <c r="Q675" s="2">
        <f>VLOOKUP($A675,'[2]App C Inv'!$A$4:$I$917,5,FALSE)</f>
        <v>6680</v>
      </c>
      <c r="R675" s="2">
        <f>VLOOKUP($A675,'[2]App C Inv'!$A$4:$I$917,6,FALSE)</f>
        <v>-5746</v>
      </c>
      <c r="S675" s="2">
        <f>VLOOKUP($A675,'[2]App C Inv'!$A$4:$I$917,7,FALSE)</f>
        <v>810</v>
      </c>
      <c r="T675" s="2">
        <f>VLOOKUP($A675,'[2]App C Inv'!$A$4:$I$917,8,FALSE)</f>
        <v>1054</v>
      </c>
      <c r="U675" s="2">
        <f>VLOOKUP($A675,'[2]App C Inv'!$A$4:$I$917,9,FALSE)</f>
        <v>0</v>
      </c>
      <c r="V675" s="2"/>
      <c r="W675" s="2">
        <f>VLOOKUP($A675,'[2]App C Assum'!$A$4:$I$917,5,FALSE)</f>
        <v>7525</v>
      </c>
      <c r="X675" s="2">
        <f>VLOOKUP($A675,'[2]App C Assum'!$A$4:$I$917,6,FALSE)</f>
        <v>6165</v>
      </c>
      <c r="Y675" s="2">
        <f>VLOOKUP($A675,'[2]App C Assum'!$A$4:$I$917,7,FALSE)</f>
        <v>5005</v>
      </c>
      <c r="Z675" s="2">
        <f>VLOOKUP($A675,'[2]App C Assum'!$A$4:$I$917,8,FALSE)</f>
        <v>0</v>
      </c>
      <c r="AA675" s="2">
        <f>VLOOKUP($A675,'[2]App C Assum'!$A$4:$I$917,9,FALSE)</f>
        <v>0</v>
      </c>
      <c r="AB675" s="2"/>
      <c r="AC675" s="2">
        <f>VLOOKUP($A675,'[2]App C Share Outflows'!$A$4:$I$917,5,FALSE)</f>
        <v>4807</v>
      </c>
      <c r="AD675" s="2">
        <f>VLOOKUP($A675,'[2]App C Share Outflows'!$A$4:$I$917,6,FALSE)</f>
        <v>1811</v>
      </c>
      <c r="AE675" s="2">
        <f>VLOOKUP($A675,'[2]App C Share Outflows'!$A$4:$I$917,7,FALSE)</f>
        <v>621</v>
      </c>
      <c r="AF675" s="2">
        <f>VLOOKUP($A675,'[2]App C Share Outflows'!$A$4:$I$917,8,FALSE)</f>
        <v>0</v>
      </c>
      <c r="AG675" s="2">
        <f>VLOOKUP($A675,'[2]App C Share Outflows'!$A$4:$I$917,9,FALSE)</f>
        <v>0</v>
      </c>
      <c r="AH675" s="2"/>
      <c r="AI675" s="2">
        <f>VLOOKUP($A675,'[2]App C Share Inflows'!$A$4:$I$917,5,FALSE)</f>
        <v>-9</v>
      </c>
      <c r="AJ675" s="2">
        <f>VLOOKUP($A675,'[2]App C Share Inflows'!$A$4:$I$917,6,FALSE)</f>
        <v>-9</v>
      </c>
      <c r="AK675" s="2">
        <f>VLOOKUP($A675,'[2]App C Share Inflows'!$A$4:$I$917,7,FALSE)</f>
        <v>-9</v>
      </c>
      <c r="AL675" s="2">
        <f>VLOOKUP($A675,'[2]App C Share Inflows'!$A$4:$I$917,8,FALSE)</f>
        <v>-10</v>
      </c>
      <c r="AM675" s="2">
        <f>VLOOKUP($A675,'[2]App C Share Inflows'!$A$4:$I$917,6,FALSE)</f>
        <v>-9</v>
      </c>
    </row>
    <row r="676" spans="1:39">
      <c r="A676" s="351">
        <v>97404</v>
      </c>
      <c r="B676" s="344" t="s">
        <v>1372</v>
      </c>
      <c r="C676" s="235" t="e">
        <f>VLOOKUP(A676,#REF!,10,FALSE)</f>
        <v>#REF!</v>
      </c>
      <c r="E676" s="2">
        <f>VLOOKUP($A676,'[2]App C Total'!$A$4:$I$917,5,FALSE)</f>
        <v>95958</v>
      </c>
      <c r="F676" s="2">
        <f>VLOOKUP($A676,'[2]App C Total'!$A$4:$I$917,6,FALSE)</f>
        <v>26835</v>
      </c>
      <c r="G676" s="2">
        <f>VLOOKUP($A676,'[2]App C Total'!$A$4:$I$917,7,FALSE)</f>
        <v>53444</v>
      </c>
      <c r="H676" s="2">
        <f>VLOOKUP($A676,'[2]App C Total'!$A$4:$I$917,8,FALSE)</f>
        <v>16272</v>
      </c>
      <c r="I676" s="2">
        <f>VLOOKUP($A676,'[2]App C Total'!$A$4:$I$917,9,FALSE)</f>
        <v>0</v>
      </c>
      <c r="J676" s="2"/>
      <c r="K676" s="2">
        <f>VLOOKUP($A676,'[2]App C Exp'!$A$4:$I$917,5,FALSE)</f>
        <v>31819</v>
      </c>
      <c r="L676" s="2">
        <f>VLOOKUP($A676,'[2]App C Exp'!$A$4:$I$917,6,FALSE)</f>
        <v>29931</v>
      </c>
      <c r="M676" s="2">
        <f>VLOOKUP($A676,'[2]App C Exp'!$A$4:$I$917,7,FALSE)</f>
        <v>26827</v>
      </c>
      <c r="N676" s="2">
        <f>VLOOKUP($A676,'[2]App C Exp'!$A$4:$I$917,8,FALSE)</f>
        <v>10741</v>
      </c>
      <c r="O676" s="2">
        <f>VLOOKUP($A676,'[2]App C Exp'!$A$4:$I$917,9,FALSE)</f>
        <v>0</v>
      </c>
      <c r="P676" s="2"/>
      <c r="Q676" s="2">
        <f>VLOOKUP($A676,'[2]App C Inv'!$A$4:$I$917,5,FALSE)</f>
        <v>33780</v>
      </c>
      <c r="R676" s="2">
        <f>VLOOKUP($A676,'[2]App C Inv'!$A$4:$I$917,6,FALSE)</f>
        <v>-29057</v>
      </c>
      <c r="S676" s="2">
        <f>VLOOKUP($A676,'[2]App C Inv'!$A$4:$I$917,7,FALSE)</f>
        <v>4095</v>
      </c>
      <c r="T676" s="2">
        <f>VLOOKUP($A676,'[2]App C Inv'!$A$4:$I$917,8,FALSE)</f>
        <v>5330</v>
      </c>
      <c r="U676" s="2">
        <f>VLOOKUP($A676,'[2]App C Inv'!$A$4:$I$917,9,FALSE)</f>
        <v>0</v>
      </c>
      <c r="V676" s="2"/>
      <c r="W676" s="2">
        <f>VLOOKUP($A676,'[2]App C Assum'!$A$4:$I$917,5,FALSE)</f>
        <v>38054</v>
      </c>
      <c r="X676" s="2">
        <f>VLOOKUP($A676,'[2]App C Assum'!$A$4:$I$917,6,FALSE)</f>
        <v>31175</v>
      </c>
      <c r="Y676" s="2">
        <f>VLOOKUP($A676,'[2]App C Assum'!$A$4:$I$917,7,FALSE)</f>
        <v>25309</v>
      </c>
      <c r="Z676" s="2">
        <f>VLOOKUP($A676,'[2]App C Assum'!$A$4:$I$917,8,FALSE)</f>
        <v>0</v>
      </c>
      <c r="AA676" s="2">
        <f>VLOOKUP($A676,'[2]App C Assum'!$A$4:$I$917,9,FALSE)</f>
        <v>0</v>
      </c>
      <c r="AB676" s="2"/>
      <c r="AC676" s="2">
        <f>VLOOKUP($A676,'[2]App C Share Outflows'!$A$4:$I$917,5,FALSE)</f>
        <v>201</v>
      </c>
      <c r="AD676" s="2">
        <f>VLOOKUP($A676,'[2]App C Share Outflows'!$A$4:$I$917,6,FALSE)</f>
        <v>201</v>
      </c>
      <c r="AE676" s="2">
        <f>VLOOKUP($A676,'[2]App C Share Outflows'!$A$4:$I$917,7,FALSE)</f>
        <v>201</v>
      </c>
      <c r="AF676" s="2">
        <f>VLOOKUP($A676,'[2]App C Share Outflows'!$A$4:$I$917,8,FALSE)</f>
        <v>201</v>
      </c>
      <c r="AG676" s="2">
        <f>VLOOKUP($A676,'[2]App C Share Outflows'!$A$4:$I$917,9,FALSE)</f>
        <v>0</v>
      </c>
      <c r="AH676" s="2"/>
      <c r="AI676" s="2">
        <f>VLOOKUP($A676,'[2]App C Share Inflows'!$A$4:$I$917,5,FALSE)</f>
        <v>-7896</v>
      </c>
      <c r="AJ676" s="2">
        <f>VLOOKUP($A676,'[2]App C Share Inflows'!$A$4:$I$917,6,FALSE)</f>
        <v>-5415</v>
      </c>
      <c r="AK676" s="2">
        <f>VLOOKUP($A676,'[2]App C Share Inflows'!$A$4:$I$917,7,FALSE)</f>
        <v>-2988</v>
      </c>
      <c r="AL676" s="2">
        <f>VLOOKUP($A676,'[2]App C Share Inflows'!$A$4:$I$917,8,FALSE)</f>
        <v>0</v>
      </c>
      <c r="AM676" s="2">
        <f>VLOOKUP($A676,'[2]App C Share Inflows'!$A$4:$I$917,6,FALSE)</f>
        <v>-5415</v>
      </c>
    </row>
    <row r="677" spans="1:39">
      <c r="A677" s="351">
        <v>97405</v>
      </c>
      <c r="B677" s="344" t="s">
        <v>1373</v>
      </c>
      <c r="C677" s="235" t="e">
        <f>VLOOKUP(A677,#REF!,10,FALSE)</f>
        <v>#REF!</v>
      </c>
      <c r="E677" s="2">
        <f>VLOOKUP($A677,'[2]App C Total'!$A$4:$I$917,5,FALSE)</f>
        <v>65204</v>
      </c>
      <c r="F677" s="2">
        <f>VLOOKUP($A677,'[2]App C Total'!$A$4:$I$917,6,FALSE)</f>
        <v>25942</v>
      </c>
      <c r="G677" s="2">
        <f>VLOOKUP($A677,'[2]App C Total'!$A$4:$I$917,7,FALSE)</f>
        <v>35342</v>
      </c>
      <c r="H677" s="2">
        <f>VLOOKUP($A677,'[2]App C Total'!$A$4:$I$917,8,FALSE)</f>
        <v>10358</v>
      </c>
      <c r="I677" s="2">
        <f>VLOOKUP($A677,'[2]App C Total'!$A$4:$I$917,9,FALSE)</f>
        <v>0</v>
      </c>
      <c r="J677" s="2"/>
      <c r="K677" s="2">
        <f>VLOOKUP($A677,'[2]App C Exp'!$A$4:$I$917,5,FALSE)</f>
        <v>16569</v>
      </c>
      <c r="L677" s="2">
        <f>VLOOKUP($A677,'[2]App C Exp'!$A$4:$I$917,6,FALSE)</f>
        <v>15586</v>
      </c>
      <c r="M677" s="2">
        <f>VLOOKUP($A677,'[2]App C Exp'!$A$4:$I$917,7,FALSE)</f>
        <v>13969</v>
      </c>
      <c r="N677" s="2">
        <f>VLOOKUP($A677,'[2]App C Exp'!$A$4:$I$917,8,FALSE)</f>
        <v>5593</v>
      </c>
      <c r="O677" s="2">
        <f>VLOOKUP($A677,'[2]App C Exp'!$A$4:$I$917,9,FALSE)</f>
        <v>0</v>
      </c>
      <c r="P677" s="2"/>
      <c r="Q677" s="2">
        <f>VLOOKUP($A677,'[2]App C Inv'!$A$4:$I$917,5,FALSE)</f>
        <v>17590</v>
      </c>
      <c r="R677" s="2">
        <f>VLOOKUP($A677,'[2]App C Inv'!$A$4:$I$917,6,FALSE)</f>
        <v>-15131</v>
      </c>
      <c r="S677" s="2">
        <f>VLOOKUP($A677,'[2]App C Inv'!$A$4:$I$917,7,FALSE)</f>
        <v>2132</v>
      </c>
      <c r="T677" s="2">
        <f>VLOOKUP($A677,'[2]App C Inv'!$A$4:$I$917,8,FALSE)</f>
        <v>2775</v>
      </c>
      <c r="U677" s="2">
        <f>VLOOKUP($A677,'[2]App C Inv'!$A$4:$I$917,9,FALSE)</f>
        <v>0</v>
      </c>
      <c r="V677" s="2"/>
      <c r="W677" s="2">
        <f>VLOOKUP($A677,'[2]App C Assum'!$A$4:$I$917,5,FALSE)</f>
        <v>19815</v>
      </c>
      <c r="X677" s="2">
        <f>VLOOKUP($A677,'[2]App C Assum'!$A$4:$I$917,6,FALSE)</f>
        <v>16233</v>
      </c>
      <c r="Y677" s="2">
        <f>VLOOKUP($A677,'[2]App C Assum'!$A$4:$I$917,7,FALSE)</f>
        <v>13179</v>
      </c>
      <c r="Z677" s="2">
        <f>VLOOKUP($A677,'[2]App C Assum'!$A$4:$I$917,8,FALSE)</f>
        <v>0</v>
      </c>
      <c r="AA677" s="2">
        <f>VLOOKUP($A677,'[2]App C Assum'!$A$4:$I$917,9,FALSE)</f>
        <v>0</v>
      </c>
      <c r="AB677" s="2"/>
      <c r="AC677" s="2">
        <f>VLOOKUP($A677,'[2]App C Share Outflows'!$A$4:$I$917,5,FALSE)</f>
        <v>11230</v>
      </c>
      <c r="AD677" s="2">
        <f>VLOOKUP($A677,'[2]App C Share Outflows'!$A$4:$I$917,6,FALSE)</f>
        <v>9254</v>
      </c>
      <c r="AE677" s="2">
        <f>VLOOKUP($A677,'[2]App C Share Outflows'!$A$4:$I$917,7,FALSE)</f>
        <v>6062</v>
      </c>
      <c r="AF677" s="2">
        <f>VLOOKUP($A677,'[2]App C Share Outflows'!$A$4:$I$917,8,FALSE)</f>
        <v>1990</v>
      </c>
      <c r="AG677" s="2">
        <f>VLOOKUP($A677,'[2]App C Share Outflows'!$A$4:$I$917,9,FALSE)</f>
        <v>0</v>
      </c>
      <c r="AH677" s="2"/>
      <c r="AI677" s="2">
        <f>VLOOKUP($A677,'[2]App C Share Inflows'!$A$4:$I$917,5,FALSE)</f>
        <v>0</v>
      </c>
      <c r="AJ677" s="2">
        <f>VLOOKUP($A677,'[2]App C Share Inflows'!$A$4:$I$917,6,FALSE)</f>
        <v>0</v>
      </c>
      <c r="AK677" s="2">
        <f>VLOOKUP($A677,'[2]App C Share Inflows'!$A$4:$I$917,7,FALSE)</f>
        <v>0</v>
      </c>
      <c r="AL677" s="2">
        <f>VLOOKUP($A677,'[2]App C Share Inflows'!$A$4:$I$917,8,FALSE)</f>
        <v>0</v>
      </c>
      <c r="AM677" s="2">
        <f>VLOOKUP($A677,'[2]App C Share Inflows'!$A$4:$I$917,6,FALSE)</f>
        <v>0</v>
      </c>
    </row>
    <row r="678" spans="1:39">
      <c r="A678" s="351">
        <v>97408</v>
      </c>
      <c r="B678" s="344" t="s">
        <v>3697</v>
      </c>
      <c r="C678" s="235" t="e">
        <f>VLOOKUP(A678,#REF!,10,FALSE)</f>
        <v>#REF!</v>
      </c>
      <c r="E678" s="2">
        <f>VLOOKUP($A678,'[2]App C Total'!$A$4:$I$917,5,FALSE)</f>
        <v>21996</v>
      </c>
      <c r="F678" s="2">
        <f>VLOOKUP($A678,'[2]App C Total'!$A$4:$I$917,6,FALSE)</f>
        <v>7708</v>
      </c>
      <c r="G678" s="2">
        <f>VLOOKUP($A678,'[2]App C Total'!$A$4:$I$917,7,FALSE)</f>
        <v>11538</v>
      </c>
      <c r="H678" s="2">
        <f>VLOOKUP($A678,'[2]App C Total'!$A$4:$I$917,8,FALSE)</f>
        <v>3613</v>
      </c>
      <c r="I678" s="2">
        <f>VLOOKUP($A678,'[2]App C Total'!$A$4:$I$917,9,FALSE)</f>
        <v>0</v>
      </c>
      <c r="J678" s="2"/>
      <c r="K678" s="2">
        <f>VLOOKUP($A678,'[2]App C Exp'!$A$4:$I$917,5,FALSE)</f>
        <v>5842</v>
      </c>
      <c r="L678" s="2">
        <f>VLOOKUP($A678,'[2]App C Exp'!$A$4:$I$917,6,FALSE)</f>
        <v>5496</v>
      </c>
      <c r="M678" s="2">
        <f>VLOOKUP($A678,'[2]App C Exp'!$A$4:$I$917,7,FALSE)</f>
        <v>4926</v>
      </c>
      <c r="N678" s="2">
        <f>VLOOKUP($A678,'[2]App C Exp'!$A$4:$I$917,8,FALSE)</f>
        <v>1972</v>
      </c>
      <c r="O678" s="2">
        <f>VLOOKUP($A678,'[2]App C Exp'!$A$4:$I$917,9,FALSE)</f>
        <v>0</v>
      </c>
      <c r="P678" s="2"/>
      <c r="Q678" s="2">
        <f>VLOOKUP($A678,'[2]App C Inv'!$A$4:$I$917,5,FALSE)</f>
        <v>6203</v>
      </c>
      <c r="R678" s="2">
        <f>VLOOKUP($A678,'[2]App C Inv'!$A$4:$I$917,6,FALSE)</f>
        <v>-5335</v>
      </c>
      <c r="S678" s="2">
        <f>VLOOKUP($A678,'[2]App C Inv'!$A$4:$I$917,7,FALSE)</f>
        <v>752</v>
      </c>
      <c r="T678" s="2">
        <f>VLOOKUP($A678,'[2]App C Inv'!$A$4:$I$917,8,FALSE)</f>
        <v>979</v>
      </c>
      <c r="U678" s="2">
        <f>VLOOKUP($A678,'[2]App C Inv'!$A$4:$I$917,9,FALSE)</f>
        <v>0</v>
      </c>
      <c r="V678" s="2"/>
      <c r="W678" s="2">
        <f>VLOOKUP($A678,'[2]App C Assum'!$A$4:$I$917,5,FALSE)</f>
        <v>6987</v>
      </c>
      <c r="X678" s="2">
        <f>VLOOKUP($A678,'[2]App C Assum'!$A$4:$I$917,6,FALSE)</f>
        <v>5724</v>
      </c>
      <c r="Y678" s="2">
        <f>VLOOKUP($A678,'[2]App C Assum'!$A$4:$I$917,7,FALSE)</f>
        <v>4647</v>
      </c>
      <c r="Z678" s="2">
        <f>VLOOKUP($A678,'[2]App C Assum'!$A$4:$I$917,8,FALSE)</f>
        <v>0</v>
      </c>
      <c r="AA678" s="2">
        <f>VLOOKUP($A678,'[2]App C Assum'!$A$4:$I$917,9,FALSE)</f>
        <v>0</v>
      </c>
      <c r="AB678" s="2"/>
      <c r="AC678" s="2">
        <f>VLOOKUP($A678,'[2]App C Share Outflows'!$A$4:$I$917,5,FALSE)</f>
        <v>2964</v>
      </c>
      <c r="AD678" s="2">
        <f>VLOOKUP($A678,'[2]App C Share Outflows'!$A$4:$I$917,6,FALSE)</f>
        <v>1823</v>
      </c>
      <c r="AE678" s="2">
        <f>VLOOKUP($A678,'[2]App C Share Outflows'!$A$4:$I$917,7,FALSE)</f>
        <v>1213</v>
      </c>
      <c r="AF678" s="2">
        <f>VLOOKUP($A678,'[2]App C Share Outflows'!$A$4:$I$917,8,FALSE)</f>
        <v>662</v>
      </c>
      <c r="AG678" s="2">
        <f>VLOOKUP($A678,'[2]App C Share Outflows'!$A$4:$I$917,9,FALSE)</f>
        <v>0</v>
      </c>
      <c r="AH678" s="2"/>
      <c r="AI678" s="2">
        <f>VLOOKUP($A678,'[2]App C Share Inflows'!$A$4:$I$917,5,FALSE)</f>
        <v>0</v>
      </c>
      <c r="AJ678" s="2">
        <f>VLOOKUP($A678,'[2]App C Share Inflows'!$A$4:$I$917,6,FALSE)</f>
        <v>0</v>
      </c>
      <c r="AK678" s="2">
        <f>VLOOKUP($A678,'[2]App C Share Inflows'!$A$4:$I$917,7,FALSE)</f>
        <v>0</v>
      </c>
      <c r="AL678" s="2">
        <f>VLOOKUP($A678,'[2]App C Share Inflows'!$A$4:$I$917,8,FALSE)</f>
        <v>0</v>
      </c>
      <c r="AM678" s="2">
        <f>VLOOKUP($A678,'[2]App C Share Inflows'!$A$4:$I$917,6,FALSE)</f>
        <v>0</v>
      </c>
    </row>
    <row r="679" spans="1:39">
      <c r="A679" s="351">
        <v>97411</v>
      </c>
      <c r="B679" s="344" t="s">
        <v>1375</v>
      </c>
      <c r="C679" s="235" t="e">
        <f>VLOOKUP(A679,#REF!,10,FALSE)</f>
        <v>#REF!</v>
      </c>
      <c r="E679" s="2">
        <f>VLOOKUP($A679,'[2]App C Total'!$A$4:$I$917,5,FALSE)</f>
        <v>2940340</v>
      </c>
      <c r="F679" s="2">
        <f>VLOOKUP($A679,'[2]App C Total'!$A$4:$I$917,6,FALSE)</f>
        <v>869280</v>
      </c>
      <c r="G679" s="2">
        <f>VLOOKUP($A679,'[2]App C Total'!$A$4:$I$917,7,FALSE)</f>
        <v>1626461</v>
      </c>
      <c r="H679" s="2">
        <f>VLOOKUP($A679,'[2]App C Total'!$A$4:$I$917,8,FALSE)</f>
        <v>492681</v>
      </c>
      <c r="I679" s="2">
        <f>VLOOKUP($A679,'[2]App C Total'!$A$4:$I$917,9,FALSE)</f>
        <v>0</v>
      </c>
      <c r="J679" s="2"/>
      <c r="K679" s="2">
        <f>VLOOKUP($A679,'[2]App C Exp'!$A$4:$I$917,5,FALSE)</f>
        <v>958735</v>
      </c>
      <c r="L679" s="2">
        <f>VLOOKUP($A679,'[2]App C Exp'!$A$4:$I$917,6,FALSE)</f>
        <v>901860</v>
      </c>
      <c r="M679" s="2">
        <f>VLOOKUP($A679,'[2]App C Exp'!$A$4:$I$917,7,FALSE)</f>
        <v>808327</v>
      </c>
      <c r="N679" s="2">
        <f>VLOOKUP($A679,'[2]App C Exp'!$A$4:$I$917,8,FALSE)</f>
        <v>323644</v>
      </c>
      <c r="O679" s="2">
        <f>VLOOKUP($A679,'[2]App C Exp'!$A$4:$I$917,9,FALSE)</f>
        <v>0</v>
      </c>
      <c r="P679" s="2"/>
      <c r="Q679" s="2">
        <f>VLOOKUP($A679,'[2]App C Inv'!$A$4:$I$917,5,FALSE)</f>
        <v>1017831</v>
      </c>
      <c r="R679" s="2">
        <f>VLOOKUP($A679,'[2]App C Inv'!$A$4:$I$917,6,FALSE)</f>
        <v>-875525</v>
      </c>
      <c r="S679" s="2">
        <f>VLOOKUP($A679,'[2]App C Inv'!$A$4:$I$917,7,FALSE)</f>
        <v>123395</v>
      </c>
      <c r="T679" s="2">
        <f>VLOOKUP($A679,'[2]App C Inv'!$A$4:$I$917,8,FALSE)</f>
        <v>160597</v>
      </c>
      <c r="U679" s="2">
        <f>VLOOKUP($A679,'[2]App C Inv'!$A$4:$I$917,9,FALSE)</f>
        <v>0</v>
      </c>
      <c r="V679" s="2"/>
      <c r="W679" s="2">
        <f>VLOOKUP($A679,'[2]App C Assum'!$A$4:$I$917,5,FALSE)</f>
        <v>1146601</v>
      </c>
      <c r="X679" s="2">
        <f>VLOOKUP($A679,'[2]App C Assum'!$A$4:$I$917,6,FALSE)</f>
        <v>939337</v>
      </c>
      <c r="Y679" s="2">
        <f>VLOOKUP($A679,'[2]App C Assum'!$A$4:$I$917,7,FALSE)</f>
        <v>762581</v>
      </c>
      <c r="Z679" s="2">
        <f>VLOOKUP($A679,'[2]App C Assum'!$A$4:$I$917,8,FALSE)</f>
        <v>0</v>
      </c>
      <c r="AA679" s="2">
        <f>VLOOKUP($A679,'[2]App C Assum'!$A$4:$I$917,9,FALSE)</f>
        <v>0</v>
      </c>
      <c r="AB679" s="2"/>
      <c r="AC679" s="2">
        <f>VLOOKUP($A679,'[2]App C Share Outflows'!$A$4:$I$917,5,FALSE)</f>
        <v>8440</v>
      </c>
      <c r="AD679" s="2">
        <f>VLOOKUP($A679,'[2]App C Share Outflows'!$A$4:$I$917,6,FALSE)</f>
        <v>8440</v>
      </c>
      <c r="AE679" s="2">
        <f>VLOOKUP($A679,'[2]App C Share Outflows'!$A$4:$I$917,7,FALSE)</f>
        <v>8440</v>
      </c>
      <c r="AF679" s="2">
        <f>VLOOKUP($A679,'[2]App C Share Outflows'!$A$4:$I$917,8,FALSE)</f>
        <v>8440</v>
      </c>
      <c r="AG679" s="2">
        <f>VLOOKUP($A679,'[2]App C Share Outflows'!$A$4:$I$917,9,FALSE)</f>
        <v>0</v>
      </c>
      <c r="AH679" s="2"/>
      <c r="AI679" s="2">
        <f>VLOOKUP($A679,'[2]App C Share Inflows'!$A$4:$I$917,5,FALSE)</f>
        <v>-191267</v>
      </c>
      <c r="AJ679" s="2">
        <f>VLOOKUP($A679,'[2]App C Share Inflows'!$A$4:$I$917,6,FALSE)</f>
        <v>-104832</v>
      </c>
      <c r="AK679" s="2">
        <f>VLOOKUP($A679,'[2]App C Share Inflows'!$A$4:$I$917,7,FALSE)</f>
        <v>-76282</v>
      </c>
      <c r="AL679" s="2">
        <f>VLOOKUP($A679,'[2]App C Share Inflows'!$A$4:$I$917,8,FALSE)</f>
        <v>0</v>
      </c>
      <c r="AM679" s="2">
        <f>VLOOKUP($A679,'[2]App C Share Inflows'!$A$4:$I$917,6,FALSE)</f>
        <v>-104832</v>
      </c>
    </row>
    <row r="680" spans="1:39">
      <c r="A680" s="351">
        <v>97412</v>
      </c>
      <c r="B680" s="344" t="s">
        <v>1376</v>
      </c>
      <c r="C680" s="235" t="e">
        <f>VLOOKUP(A680,#REF!,10,FALSE)</f>
        <v>#REF!</v>
      </c>
      <c r="E680" s="2">
        <f>VLOOKUP($A680,'[2]App C Total'!$A$4:$I$917,5,FALSE)</f>
        <v>2240027</v>
      </c>
      <c r="F680" s="2">
        <f>VLOOKUP($A680,'[2]App C Total'!$A$4:$I$917,6,FALSE)</f>
        <v>707771</v>
      </c>
      <c r="G680" s="2">
        <f>VLOOKUP($A680,'[2]App C Total'!$A$4:$I$917,7,FALSE)</f>
        <v>1187686</v>
      </c>
      <c r="H680" s="2">
        <f>VLOOKUP($A680,'[2]App C Total'!$A$4:$I$917,8,FALSE)</f>
        <v>316415</v>
      </c>
      <c r="I680" s="2">
        <f>VLOOKUP($A680,'[2]App C Total'!$A$4:$I$917,9,FALSE)</f>
        <v>0</v>
      </c>
      <c r="J680" s="2"/>
      <c r="K680" s="2">
        <f>VLOOKUP($A680,'[2]App C Exp'!$A$4:$I$917,5,FALSE)</f>
        <v>672678</v>
      </c>
      <c r="L680" s="2">
        <f>VLOOKUP($A680,'[2]App C Exp'!$A$4:$I$917,6,FALSE)</f>
        <v>632773</v>
      </c>
      <c r="M680" s="2">
        <f>VLOOKUP($A680,'[2]App C Exp'!$A$4:$I$917,7,FALSE)</f>
        <v>567147</v>
      </c>
      <c r="N680" s="2">
        <f>VLOOKUP($A680,'[2]App C Exp'!$A$4:$I$917,8,FALSE)</f>
        <v>227079</v>
      </c>
      <c r="O680" s="2">
        <f>VLOOKUP($A680,'[2]App C Exp'!$A$4:$I$917,9,FALSE)</f>
        <v>0</v>
      </c>
      <c r="P680" s="2"/>
      <c r="Q680" s="2">
        <f>VLOOKUP($A680,'[2]App C Inv'!$A$4:$I$917,5,FALSE)</f>
        <v>714142</v>
      </c>
      <c r="R680" s="2">
        <f>VLOOKUP($A680,'[2]App C Inv'!$A$4:$I$917,6,FALSE)</f>
        <v>-614295</v>
      </c>
      <c r="S680" s="2">
        <f>VLOOKUP($A680,'[2]App C Inv'!$A$4:$I$917,7,FALSE)</f>
        <v>86577</v>
      </c>
      <c r="T680" s="2">
        <f>VLOOKUP($A680,'[2]App C Inv'!$A$4:$I$917,8,FALSE)</f>
        <v>112680</v>
      </c>
      <c r="U680" s="2">
        <f>VLOOKUP($A680,'[2]App C Inv'!$A$4:$I$917,9,FALSE)</f>
        <v>0</v>
      </c>
      <c r="V680" s="2"/>
      <c r="W680" s="2">
        <f>VLOOKUP($A680,'[2]App C Assum'!$A$4:$I$917,5,FALSE)</f>
        <v>804491</v>
      </c>
      <c r="X680" s="2">
        <f>VLOOKUP($A680,'[2]App C Assum'!$A$4:$I$917,6,FALSE)</f>
        <v>659068</v>
      </c>
      <c r="Y680" s="2">
        <f>VLOOKUP($A680,'[2]App C Assum'!$A$4:$I$917,7,FALSE)</f>
        <v>535051</v>
      </c>
      <c r="Z680" s="2">
        <f>VLOOKUP($A680,'[2]App C Assum'!$A$4:$I$917,8,FALSE)</f>
        <v>0</v>
      </c>
      <c r="AA680" s="2">
        <f>VLOOKUP($A680,'[2]App C Assum'!$A$4:$I$917,9,FALSE)</f>
        <v>0</v>
      </c>
      <c r="AB680" s="2"/>
      <c r="AC680" s="2">
        <f>VLOOKUP($A680,'[2]App C Share Outflows'!$A$4:$I$917,5,FALSE)</f>
        <v>72059</v>
      </c>
      <c r="AD680" s="2">
        <f>VLOOKUP($A680,'[2]App C Share Outflows'!$A$4:$I$917,6,FALSE)</f>
        <v>53568</v>
      </c>
      <c r="AE680" s="2">
        <f>VLOOKUP($A680,'[2]App C Share Outflows'!$A$4:$I$917,7,FALSE)</f>
        <v>22254</v>
      </c>
      <c r="AF680" s="2">
        <f>VLOOKUP($A680,'[2]App C Share Outflows'!$A$4:$I$917,8,FALSE)</f>
        <v>0</v>
      </c>
      <c r="AG680" s="2">
        <f>VLOOKUP($A680,'[2]App C Share Outflows'!$A$4:$I$917,9,FALSE)</f>
        <v>0</v>
      </c>
      <c r="AH680" s="2"/>
      <c r="AI680" s="2">
        <f>VLOOKUP($A680,'[2]App C Share Inflows'!$A$4:$I$917,5,FALSE)</f>
        <v>-23343</v>
      </c>
      <c r="AJ680" s="2">
        <f>VLOOKUP($A680,'[2]App C Share Inflows'!$A$4:$I$917,6,FALSE)</f>
        <v>-23343</v>
      </c>
      <c r="AK680" s="2">
        <f>VLOOKUP($A680,'[2]App C Share Inflows'!$A$4:$I$917,7,FALSE)</f>
        <v>-23343</v>
      </c>
      <c r="AL680" s="2">
        <f>VLOOKUP($A680,'[2]App C Share Inflows'!$A$4:$I$917,8,FALSE)</f>
        <v>-23344</v>
      </c>
      <c r="AM680" s="2">
        <f>VLOOKUP($A680,'[2]App C Share Inflows'!$A$4:$I$917,6,FALSE)</f>
        <v>-23343</v>
      </c>
    </row>
    <row r="681" spans="1:39">
      <c r="A681" s="351">
        <v>97413</v>
      </c>
      <c r="B681" s="344" t="s">
        <v>1377</v>
      </c>
      <c r="C681" s="235" t="e">
        <f>VLOOKUP(A681,#REF!,10,FALSE)</f>
        <v>#REF!</v>
      </c>
      <c r="E681" s="2">
        <f>VLOOKUP($A681,'[2]App C Total'!$A$4:$I$917,5,FALSE)</f>
        <v>150447</v>
      </c>
      <c r="F681" s="2">
        <f>VLOOKUP($A681,'[2]App C Total'!$A$4:$I$917,6,FALSE)</f>
        <v>55241</v>
      </c>
      <c r="G681" s="2">
        <f>VLOOKUP($A681,'[2]App C Total'!$A$4:$I$917,7,FALSE)</f>
        <v>85736</v>
      </c>
      <c r="H681" s="2">
        <f>VLOOKUP($A681,'[2]App C Total'!$A$4:$I$917,8,FALSE)</f>
        <v>28582</v>
      </c>
      <c r="I681" s="2">
        <f>VLOOKUP($A681,'[2]App C Total'!$A$4:$I$917,9,FALSE)</f>
        <v>0</v>
      </c>
      <c r="J681" s="2"/>
      <c r="K681" s="2">
        <f>VLOOKUP($A681,'[2]App C Exp'!$A$4:$I$917,5,FALSE)</f>
        <v>42126</v>
      </c>
      <c r="L681" s="2">
        <f>VLOOKUP($A681,'[2]App C Exp'!$A$4:$I$917,6,FALSE)</f>
        <v>39627</v>
      </c>
      <c r="M681" s="2">
        <f>VLOOKUP($A681,'[2]App C Exp'!$A$4:$I$917,7,FALSE)</f>
        <v>35517</v>
      </c>
      <c r="N681" s="2">
        <f>VLOOKUP($A681,'[2]App C Exp'!$A$4:$I$917,8,FALSE)</f>
        <v>14221</v>
      </c>
      <c r="O681" s="2">
        <f>VLOOKUP($A681,'[2]App C Exp'!$A$4:$I$917,9,FALSE)</f>
        <v>0</v>
      </c>
      <c r="P681" s="2"/>
      <c r="Q681" s="2">
        <f>VLOOKUP($A681,'[2]App C Inv'!$A$4:$I$917,5,FALSE)</f>
        <v>44722</v>
      </c>
      <c r="R681" s="2">
        <f>VLOOKUP($A681,'[2]App C Inv'!$A$4:$I$917,6,FALSE)</f>
        <v>-38470</v>
      </c>
      <c r="S681" s="2">
        <f>VLOOKUP($A681,'[2]App C Inv'!$A$4:$I$917,7,FALSE)</f>
        <v>5422</v>
      </c>
      <c r="T681" s="2">
        <f>VLOOKUP($A681,'[2]App C Inv'!$A$4:$I$917,8,FALSE)</f>
        <v>7056</v>
      </c>
      <c r="U681" s="2">
        <f>VLOOKUP($A681,'[2]App C Inv'!$A$4:$I$917,9,FALSE)</f>
        <v>0</v>
      </c>
      <c r="V681" s="2"/>
      <c r="W681" s="2">
        <f>VLOOKUP($A681,'[2]App C Assum'!$A$4:$I$917,5,FALSE)</f>
        <v>50380</v>
      </c>
      <c r="X681" s="2">
        <f>VLOOKUP($A681,'[2]App C Assum'!$A$4:$I$917,6,FALSE)</f>
        <v>41273</v>
      </c>
      <c r="Y681" s="2">
        <f>VLOOKUP($A681,'[2]App C Assum'!$A$4:$I$917,7,FALSE)</f>
        <v>33507</v>
      </c>
      <c r="Z681" s="2">
        <f>VLOOKUP($A681,'[2]App C Assum'!$A$4:$I$917,8,FALSE)</f>
        <v>0</v>
      </c>
      <c r="AA681" s="2">
        <f>VLOOKUP($A681,'[2]App C Assum'!$A$4:$I$917,9,FALSE)</f>
        <v>0</v>
      </c>
      <c r="AB681" s="2"/>
      <c r="AC681" s="2">
        <f>VLOOKUP($A681,'[2]App C Share Outflows'!$A$4:$I$917,5,FALSE)</f>
        <v>13219</v>
      </c>
      <c r="AD681" s="2">
        <f>VLOOKUP($A681,'[2]App C Share Outflows'!$A$4:$I$917,6,FALSE)</f>
        <v>12811</v>
      </c>
      <c r="AE681" s="2">
        <f>VLOOKUP($A681,'[2]App C Share Outflows'!$A$4:$I$917,7,FALSE)</f>
        <v>11290</v>
      </c>
      <c r="AF681" s="2">
        <f>VLOOKUP($A681,'[2]App C Share Outflows'!$A$4:$I$917,8,FALSE)</f>
        <v>7305</v>
      </c>
      <c r="AG681" s="2">
        <f>VLOOKUP($A681,'[2]App C Share Outflows'!$A$4:$I$917,9,FALSE)</f>
        <v>0</v>
      </c>
      <c r="AH681" s="2"/>
      <c r="AI681" s="2">
        <f>VLOOKUP($A681,'[2]App C Share Inflows'!$A$4:$I$917,5,FALSE)</f>
        <v>0</v>
      </c>
      <c r="AJ681" s="2">
        <f>VLOOKUP($A681,'[2]App C Share Inflows'!$A$4:$I$917,6,FALSE)</f>
        <v>0</v>
      </c>
      <c r="AK681" s="2">
        <f>VLOOKUP($A681,'[2]App C Share Inflows'!$A$4:$I$917,7,FALSE)</f>
        <v>0</v>
      </c>
      <c r="AL681" s="2">
        <f>VLOOKUP($A681,'[2]App C Share Inflows'!$A$4:$I$917,8,FALSE)</f>
        <v>0</v>
      </c>
      <c r="AM681" s="2">
        <f>VLOOKUP($A681,'[2]App C Share Inflows'!$A$4:$I$917,6,FALSE)</f>
        <v>0</v>
      </c>
    </row>
    <row r="682" spans="1:39">
      <c r="A682" s="351">
        <v>97421</v>
      </c>
      <c r="B682" s="344" t="s">
        <v>1378</v>
      </c>
      <c r="C682" s="235" t="e">
        <f>VLOOKUP(A682,#REF!,10,FALSE)</f>
        <v>#REF!</v>
      </c>
      <c r="E682" s="2">
        <f>VLOOKUP($A682,'[2]App C Total'!$A$4:$I$917,5,FALSE)</f>
        <v>206881</v>
      </c>
      <c r="F682" s="2">
        <f>VLOOKUP($A682,'[2]App C Total'!$A$4:$I$917,6,FALSE)</f>
        <v>62749</v>
      </c>
      <c r="G682" s="2">
        <f>VLOOKUP($A682,'[2]App C Total'!$A$4:$I$917,7,FALSE)</f>
        <v>109801</v>
      </c>
      <c r="H682" s="2">
        <f>VLOOKUP($A682,'[2]App C Total'!$A$4:$I$917,8,FALSE)</f>
        <v>26632</v>
      </c>
      <c r="I682" s="2">
        <f>VLOOKUP($A682,'[2]App C Total'!$A$4:$I$917,9,FALSE)</f>
        <v>0</v>
      </c>
      <c r="J682" s="2"/>
      <c r="K682" s="2">
        <f>VLOOKUP($A682,'[2]App C Exp'!$A$4:$I$917,5,FALSE)</f>
        <v>64597</v>
      </c>
      <c r="L682" s="2">
        <f>VLOOKUP($A682,'[2]App C Exp'!$A$4:$I$917,6,FALSE)</f>
        <v>60765</v>
      </c>
      <c r="M682" s="2">
        <f>VLOOKUP($A682,'[2]App C Exp'!$A$4:$I$917,7,FALSE)</f>
        <v>54463</v>
      </c>
      <c r="N682" s="2">
        <f>VLOOKUP($A682,'[2]App C Exp'!$A$4:$I$917,8,FALSE)</f>
        <v>21806</v>
      </c>
      <c r="O682" s="2">
        <f>VLOOKUP($A682,'[2]App C Exp'!$A$4:$I$917,9,FALSE)</f>
        <v>0</v>
      </c>
      <c r="P682" s="2"/>
      <c r="Q682" s="2">
        <f>VLOOKUP($A682,'[2]App C Inv'!$A$4:$I$917,5,FALSE)</f>
        <v>68578</v>
      </c>
      <c r="R682" s="2">
        <f>VLOOKUP($A682,'[2]App C Inv'!$A$4:$I$917,6,FALSE)</f>
        <v>-58990</v>
      </c>
      <c r="S682" s="2">
        <f>VLOOKUP($A682,'[2]App C Inv'!$A$4:$I$917,7,FALSE)</f>
        <v>8314</v>
      </c>
      <c r="T682" s="2">
        <f>VLOOKUP($A682,'[2]App C Inv'!$A$4:$I$917,8,FALSE)</f>
        <v>10821</v>
      </c>
      <c r="U682" s="2">
        <f>VLOOKUP($A682,'[2]App C Inv'!$A$4:$I$917,9,FALSE)</f>
        <v>0</v>
      </c>
      <c r="V682" s="2"/>
      <c r="W682" s="2">
        <f>VLOOKUP($A682,'[2]App C Assum'!$A$4:$I$917,5,FALSE)</f>
        <v>77255</v>
      </c>
      <c r="X682" s="2">
        <f>VLOOKUP($A682,'[2]App C Assum'!$A$4:$I$917,6,FALSE)</f>
        <v>63290</v>
      </c>
      <c r="Y682" s="2">
        <f>VLOOKUP($A682,'[2]App C Assum'!$A$4:$I$917,7,FALSE)</f>
        <v>51380</v>
      </c>
      <c r="Z682" s="2">
        <f>VLOOKUP($A682,'[2]App C Assum'!$A$4:$I$917,8,FALSE)</f>
        <v>0</v>
      </c>
      <c r="AA682" s="2">
        <f>VLOOKUP($A682,'[2]App C Assum'!$A$4:$I$917,9,FALSE)</f>
        <v>0</v>
      </c>
      <c r="AB682" s="2"/>
      <c r="AC682" s="2">
        <f>VLOOKUP($A682,'[2]App C Share Outflows'!$A$4:$I$917,5,FALSE)</f>
        <v>3680</v>
      </c>
      <c r="AD682" s="2">
        <f>VLOOKUP($A682,'[2]App C Share Outflows'!$A$4:$I$917,6,FALSE)</f>
        <v>3679</v>
      </c>
      <c r="AE682" s="2">
        <f>VLOOKUP($A682,'[2]App C Share Outflows'!$A$4:$I$917,7,FALSE)</f>
        <v>1639</v>
      </c>
      <c r="AF682" s="2">
        <f>VLOOKUP($A682,'[2]App C Share Outflows'!$A$4:$I$917,8,FALSE)</f>
        <v>0</v>
      </c>
      <c r="AG682" s="2">
        <f>VLOOKUP($A682,'[2]App C Share Outflows'!$A$4:$I$917,9,FALSE)</f>
        <v>0</v>
      </c>
      <c r="AH682" s="2"/>
      <c r="AI682" s="2">
        <f>VLOOKUP($A682,'[2]App C Share Inflows'!$A$4:$I$917,5,FALSE)</f>
        <v>-7229</v>
      </c>
      <c r="AJ682" s="2">
        <f>VLOOKUP($A682,'[2]App C Share Inflows'!$A$4:$I$917,6,FALSE)</f>
        <v>-5995</v>
      </c>
      <c r="AK682" s="2">
        <f>VLOOKUP($A682,'[2]App C Share Inflows'!$A$4:$I$917,7,FALSE)</f>
        <v>-5995</v>
      </c>
      <c r="AL682" s="2">
        <f>VLOOKUP($A682,'[2]App C Share Inflows'!$A$4:$I$917,8,FALSE)</f>
        <v>-5995</v>
      </c>
      <c r="AM682" s="2">
        <f>VLOOKUP($A682,'[2]App C Share Inflows'!$A$4:$I$917,6,FALSE)</f>
        <v>-5995</v>
      </c>
    </row>
    <row r="683" spans="1:39">
      <c r="A683" s="351">
        <v>97423</v>
      </c>
      <c r="B683" s="344" t="s">
        <v>1379</v>
      </c>
      <c r="C683" s="235" t="e">
        <f>VLOOKUP(A683,#REF!,10,FALSE)</f>
        <v>#REF!</v>
      </c>
      <c r="E683" s="2">
        <f>VLOOKUP($A683,'[2]App C Total'!$A$4:$I$917,5,FALSE)</f>
        <v>37644</v>
      </c>
      <c r="F683" s="2">
        <f>VLOOKUP($A683,'[2]App C Total'!$A$4:$I$917,6,FALSE)</f>
        <v>19777</v>
      </c>
      <c r="G683" s="2">
        <f>VLOOKUP($A683,'[2]App C Total'!$A$4:$I$917,7,FALSE)</f>
        <v>20448</v>
      </c>
      <c r="H683" s="2">
        <f>VLOOKUP($A683,'[2]App C Total'!$A$4:$I$917,8,FALSE)</f>
        <v>8830</v>
      </c>
      <c r="I683" s="2">
        <f>VLOOKUP($A683,'[2]App C Total'!$A$4:$I$917,9,FALSE)</f>
        <v>0</v>
      </c>
      <c r="J683" s="2"/>
      <c r="K683" s="2">
        <f>VLOOKUP($A683,'[2]App C Exp'!$A$4:$I$917,5,FALSE)</f>
        <v>6442</v>
      </c>
      <c r="L683" s="2">
        <f>VLOOKUP($A683,'[2]App C Exp'!$A$4:$I$917,6,FALSE)</f>
        <v>6060</v>
      </c>
      <c r="M683" s="2">
        <f>VLOOKUP($A683,'[2]App C Exp'!$A$4:$I$917,7,FALSE)</f>
        <v>5431</v>
      </c>
      <c r="N683" s="2">
        <f>VLOOKUP($A683,'[2]App C Exp'!$A$4:$I$917,8,FALSE)</f>
        <v>2175</v>
      </c>
      <c r="O683" s="2">
        <f>VLOOKUP($A683,'[2]App C Exp'!$A$4:$I$917,9,FALSE)</f>
        <v>0</v>
      </c>
      <c r="P683" s="2"/>
      <c r="Q683" s="2">
        <f>VLOOKUP($A683,'[2]App C Inv'!$A$4:$I$917,5,FALSE)</f>
        <v>6839</v>
      </c>
      <c r="R683" s="2">
        <f>VLOOKUP($A683,'[2]App C Inv'!$A$4:$I$917,6,FALSE)</f>
        <v>-5883</v>
      </c>
      <c r="S683" s="2">
        <f>VLOOKUP($A683,'[2]App C Inv'!$A$4:$I$917,7,FALSE)</f>
        <v>829</v>
      </c>
      <c r="T683" s="2">
        <f>VLOOKUP($A683,'[2]App C Inv'!$A$4:$I$917,8,FALSE)</f>
        <v>1079</v>
      </c>
      <c r="U683" s="2">
        <f>VLOOKUP($A683,'[2]App C Inv'!$A$4:$I$917,9,FALSE)</f>
        <v>0</v>
      </c>
      <c r="V683" s="2"/>
      <c r="W683" s="2">
        <f>VLOOKUP($A683,'[2]App C Assum'!$A$4:$I$917,5,FALSE)</f>
        <v>7704</v>
      </c>
      <c r="X683" s="2">
        <f>VLOOKUP($A683,'[2]App C Assum'!$A$4:$I$917,6,FALSE)</f>
        <v>6311</v>
      </c>
      <c r="Y683" s="2">
        <f>VLOOKUP($A683,'[2]App C Assum'!$A$4:$I$917,7,FALSE)</f>
        <v>5124</v>
      </c>
      <c r="Z683" s="2">
        <f>VLOOKUP($A683,'[2]App C Assum'!$A$4:$I$917,8,FALSE)</f>
        <v>0</v>
      </c>
      <c r="AA683" s="2">
        <f>VLOOKUP($A683,'[2]App C Assum'!$A$4:$I$917,9,FALSE)</f>
        <v>0</v>
      </c>
      <c r="AB683" s="2"/>
      <c r="AC683" s="2">
        <f>VLOOKUP($A683,'[2]App C Share Outflows'!$A$4:$I$917,5,FALSE)</f>
        <v>16659</v>
      </c>
      <c r="AD683" s="2">
        <f>VLOOKUP($A683,'[2]App C Share Outflows'!$A$4:$I$917,6,FALSE)</f>
        <v>13289</v>
      </c>
      <c r="AE683" s="2">
        <f>VLOOKUP($A683,'[2]App C Share Outflows'!$A$4:$I$917,7,FALSE)</f>
        <v>9064</v>
      </c>
      <c r="AF683" s="2">
        <f>VLOOKUP($A683,'[2]App C Share Outflows'!$A$4:$I$917,8,FALSE)</f>
        <v>5576</v>
      </c>
      <c r="AG683" s="2">
        <f>VLOOKUP($A683,'[2]App C Share Outflows'!$A$4:$I$917,9,FALSE)</f>
        <v>0</v>
      </c>
      <c r="AH683" s="2"/>
      <c r="AI683" s="2">
        <f>VLOOKUP($A683,'[2]App C Share Inflows'!$A$4:$I$917,5,FALSE)</f>
        <v>0</v>
      </c>
      <c r="AJ683" s="2">
        <f>VLOOKUP($A683,'[2]App C Share Inflows'!$A$4:$I$917,6,FALSE)</f>
        <v>0</v>
      </c>
      <c r="AK683" s="2">
        <f>VLOOKUP($A683,'[2]App C Share Inflows'!$A$4:$I$917,7,FALSE)</f>
        <v>0</v>
      </c>
      <c r="AL683" s="2">
        <f>VLOOKUP($A683,'[2]App C Share Inflows'!$A$4:$I$917,8,FALSE)</f>
        <v>0</v>
      </c>
      <c r="AM683" s="2">
        <f>VLOOKUP($A683,'[2]App C Share Inflows'!$A$4:$I$917,6,FALSE)</f>
        <v>0</v>
      </c>
    </row>
    <row r="684" spans="1:39">
      <c r="A684" s="351">
        <v>97431</v>
      </c>
      <c r="B684" s="344" t="s">
        <v>1380</v>
      </c>
      <c r="C684" s="235" t="e">
        <f>VLOOKUP(A684,#REF!,10,FALSE)</f>
        <v>#REF!</v>
      </c>
      <c r="E684" s="2">
        <f>VLOOKUP($A684,'[2]App C Total'!$A$4:$I$917,5,FALSE)</f>
        <v>46384</v>
      </c>
      <c r="F684" s="2">
        <f>VLOOKUP($A684,'[2]App C Total'!$A$4:$I$917,6,FALSE)</f>
        <v>16011</v>
      </c>
      <c r="G684" s="2">
        <f>VLOOKUP($A684,'[2]App C Total'!$A$4:$I$917,7,FALSE)</f>
        <v>25052</v>
      </c>
      <c r="H684" s="2">
        <f>VLOOKUP($A684,'[2]App C Total'!$A$4:$I$917,8,FALSE)</f>
        <v>4971</v>
      </c>
      <c r="I684" s="2">
        <f>VLOOKUP($A684,'[2]App C Total'!$A$4:$I$917,9,FALSE)</f>
        <v>0</v>
      </c>
      <c r="J684" s="2"/>
      <c r="K684" s="2">
        <f>VLOOKUP($A684,'[2]App C Exp'!$A$4:$I$917,5,FALSE)</f>
        <v>13363</v>
      </c>
      <c r="L684" s="2">
        <f>VLOOKUP($A684,'[2]App C Exp'!$A$4:$I$917,6,FALSE)</f>
        <v>12570</v>
      </c>
      <c r="M684" s="2">
        <f>VLOOKUP($A684,'[2]App C Exp'!$A$4:$I$917,7,FALSE)</f>
        <v>11266</v>
      </c>
      <c r="N684" s="2">
        <f>VLOOKUP($A684,'[2]App C Exp'!$A$4:$I$917,8,FALSE)</f>
        <v>4511</v>
      </c>
      <c r="O684" s="2">
        <f>VLOOKUP($A684,'[2]App C Exp'!$A$4:$I$917,9,FALSE)</f>
        <v>0</v>
      </c>
      <c r="P684" s="2"/>
      <c r="Q684" s="2">
        <f>VLOOKUP($A684,'[2]App C Inv'!$A$4:$I$917,5,FALSE)</f>
        <v>14186</v>
      </c>
      <c r="R684" s="2">
        <f>VLOOKUP($A684,'[2]App C Inv'!$A$4:$I$917,6,FALSE)</f>
        <v>-12203</v>
      </c>
      <c r="S684" s="2">
        <f>VLOOKUP($A684,'[2]App C Inv'!$A$4:$I$917,7,FALSE)</f>
        <v>1720</v>
      </c>
      <c r="T684" s="2">
        <f>VLOOKUP($A684,'[2]App C Inv'!$A$4:$I$917,8,FALSE)</f>
        <v>2238</v>
      </c>
      <c r="U684" s="2">
        <f>VLOOKUP($A684,'[2]App C Inv'!$A$4:$I$917,9,FALSE)</f>
        <v>0</v>
      </c>
      <c r="V684" s="2"/>
      <c r="W684" s="2">
        <f>VLOOKUP($A684,'[2]App C Assum'!$A$4:$I$917,5,FALSE)</f>
        <v>15981</v>
      </c>
      <c r="X684" s="2">
        <f>VLOOKUP($A684,'[2]App C Assum'!$A$4:$I$917,6,FALSE)</f>
        <v>13092</v>
      </c>
      <c r="Y684" s="2">
        <f>VLOOKUP($A684,'[2]App C Assum'!$A$4:$I$917,7,FALSE)</f>
        <v>10629</v>
      </c>
      <c r="Z684" s="2">
        <f>VLOOKUP($A684,'[2]App C Assum'!$A$4:$I$917,8,FALSE)</f>
        <v>0</v>
      </c>
      <c r="AA684" s="2">
        <f>VLOOKUP($A684,'[2]App C Assum'!$A$4:$I$917,9,FALSE)</f>
        <v>0</v>
      </c>
      <c r="AB684" s="2"/>
      <c r="AC684" s="2">
        <f>VLOOKUP($A684,'[2]App C Share Outflows'!$A$4:$I$917,5,FALSE)</f>
        <v>4630</v>
      </c>
      <c r="AD684" s="2">
        <f>VLOOKUP($A684,'[2]App C Share Outflows'!$A$4:$I$917,6,FALSE)</f>
        <v>4328</v>
      </c>
      <c r="AE684" s="2">
        <f>VLOOKUP($A684,'[2]App C Share Outflows'!$A$4:$I$917,7,FALSE)</f>
        <v>3213</v>
      </c>
      <c r="AF684" s="2">
        <f>VLOOKUP($A684,'[2]App C Share Outflows'!$A$4:$I$917,8,FALSE)</f>
        <v>0</v>
      </c>
      <c r="AG684" s="2">
        <f>VLOOKUP($A684,'[2]App C Share Outflows'!$A$4:$I$917,9,FALSE)</f>
        <v>0</v>
      </c>
      <c r="AH684" s="2"/>
      <c r="AI684" s="2">
        <f>VLOOKUP($A684,'[2]App C Share Inflows'!$A$4:$I$917,5,FALSE)</f>
        <v>-1776</v>
      </c>
      <c r="AJ684" s="2">
        <f>VLOOKUP($A684,'[2]App C Share Inflows'!$A$4:$I$917,6,FALSE)</f>
        <v>-1776</v>
      </c>
      <c r="AK684" s="2">
        <f>VLOOKUP($A684,'[2]App C Share Inflows'!$A$4:$I$917,7,FALSE)</f>
        <v>-1776</v>
      </c>
      <c r="AL684" s="2">
        <f>VLOOKUP($A684,'[2]App C Share Inflows'!$A$4:$I$917,8,FALSE)</f>
        <v>-1778</v>
      </c>
      <c r="AM684" s="2">
        <f>VLOOKUP($A684,'[2]App C Share Inflows'!$A$4:$I$917,6,FALSE)</f>
        <v>-1776</v>
      </c>
    </row>
    <row r="685" spans="1:39">
      <c r="A685" s="351">
        <v>97441</v>
      </c>
      <c r="B685" s="344" t="s">
        <v>1381</v>
      </c>
      <c r="C685" s="235" t="e">
        <f>VLOOKUP(A685,#REF!,10,FALSE)</f>
        <v>#REF!</v>
      </c>
      <c r="E685" s="2">
        <f>VLOOKUP($A685,'[2]App C Total'!$A$4:$I$917,5,FALSE)</f>
        <v>20924</v>
      </c>
      <c r="F685" s="2">
        <f>VLOOKUP($A685,'[2]App C Total'!$A$4:$I$917,6,FALSE)</f>
        <v>2237</v>
      </c>
      <c r="G685" s="2">
        <f>VLOOKUP($A685,'[2]App C Total'!$A$4:$I$917,7,FALSE)</f>
        <v>9850</v>
      </c>
      <c r="H685" s="2">
        <f>VLOOKUP($A685,'[2]App C Total'!$A$4:$I$917,8,FALSE)</f>
        <v>3862</v>
      </c>
      <c r="I685" s="2">
        <f>VLOOKUP($A685,'[2]App C Total'!$A$4:$I$917,9,FALSE)</f>
        <v>0</v>
      </c>
      <c r="J685" s="2"/>
      <c r="K685" s="2">
        <f>VLOOKUP($A685,'[2]App C Exp'!$A$4:$I$917,5,FALSE)</f>
        <v>8674</v>
      </c>
      <c r="L685" s="2">
        <f>VLOOKUP($A685,'[2]App C Exp'!$A$4:$I$917,6,FALSE)</f>
        <v>8159</v>
      </c>
      <c r="M685" s="2">
        <f>VLOOKUP($A685,'[2]App C Exp'!$A$4:$I$917,7,FALSE)</f>
        <v>7313</v>
      </c>
      <c r="N685" s="2">
        <f>VLOOKUP($A685,'[2]App C Exp'!$A$4:$I$917,8,FALSE)</f>
        <v>2928</v>
      </c>
      <c r="O685" s="2">
        <f>VLOOKUP($A685,'[2]App C Exp'!$A$4:$I$917,9,FALSE)</f>
        <v>0</v>
      </c>
      <c r="P685" s="2"/>
      <c r="Q685" s="2">
        <f>VLOOKUP($A685,'[2]App C Inv'!$A$4:$I$917,5,FALSE)</f>
        <v>9208</v>
      </c>
      <c r="R685" s="2">
        <f>VLOOKUP($A685,'[2]App C Inv'!$A$4:$I$917,6,FALSE)</f>
        <v>-7921</v>
      </c>
      <c r="S685" s="2">
        <f>VLOOKUP($A685,'[2]App C Inv'!$A$4:$I$917,7,FALSE)</f>
        <v>1116</v>
      </c>
      <c r="T685" s="2">
        <f>VLOOKUP($A685,'[2]App C Inv'!$A$4:$I$917,8,FALSE)</f>
        <v>1453</v>
      </c>
      <c r="U685" s="2">
        <f>VLOOKUP($A685,'[2]App C Inv'!$A$4:$I$917,9,FALSE)</f>
        <v>0</v>
      </c>
      <c r="V685" s="2"/>
      <c r="W685" s="2">
        <f>VLOOKUP($A685,'[2]App C Assum'!$A$4:$I$917,5,FALSE)</f>
        <v>10373</v>
      </c>
      <c r="X685" s="2">
        <f>VLOOKUP($A685,'[2]App C Assum'!$A$4:$I$917,6,FALSE)</f>
        <v>8498</v>
      </c>
      <c r="Y685" s="2">
        <f>VLOOKUP($A685,'[2]App C Assum'!$A$4:$I$917,7,FALSE)</f>
        <v>6899</v>
      </c>
      <c r="Z685" s="2">
        <f>VLOOKUP($A685,'[2]App C Assum'!$A$4:$I$917,8,FALSE)</f>
        <v>0</v>
      </c>
      <c r="AA685" s="2">
        <f>VLOOKUP($A685,'[2]App C Assum'!$A$4:$I$917,9,FALSE)</f>
        <v>0</v>
      </c>
      <c r="AB685" s="2"/>
      <c r="AC685" s="2">
        <f>VLOOKUP($A685,'[2]App C Share Outflows'!$A$4:$I$917,5,FALSE)</f>
        <v>0</v>
      </c>
      <c r="AD685" s="2">
        <f>VLOOKUP($A685,'[2]App C Share Outflows'!$A$4:$I$917,6,FALSE)</f>
        <v>0</v>
      </c>
      <c r="AE685" s="2">
        <f>VLOOKUP($A685,'[2]App C Share Outflows'!$A$4:$I$917,7,FALSE)</f>
        <v>0</v>
      </c>
      <c r="AF685" s="2">
        <f>VLOOKUP($A685,'[2]App C Share Outflows'!$A$4:$I$917,8,FALSE)</f>
        <v>0</v>
      </c>
      <c r="AG685" s="2">
        <f>VLOOKUP($A685,'[2]App C Share Outflows'!$A$4:$I$917,9,FALSE)</f>
        <v>0</v>
      </c>
      <c r="AH685" s="2"/>
      <c r="AI685" s="2">
        <f>VLOOKUP($A685,'[2]App C Share Inflows'!$A$4:$I$917,5,FALSE)</f>
        <v>-7331</v>
      </c>
      <c r="AJ685" s="2">
        <f>VLOOKUP($A685,'[2]App C Share Inflows'!$A$4:$I$917,6,FALSE)</f>
        <v>-6499</v>
      </c>
      <c r="AK685" s="2">
        <f>VLOOKUP($A685,'[2]App C Share Inflows'!$A$4:$I$917,7,FALSE)</f>
        <v>-5478</v>
      </c>
      <c r="AL685" s="2">
        <f>VLOOKUP($A685,'[2]App C Share Inflows'!$A$4:$I$917,8,FALSE)</f>
        <v>-519</v>
      </c>
      <c r="AM685" s="2">
        <f>VLOOKUP($A685,'[2]App C Share Inflows'!$A$4:$I$917,6,FALSE)</f>
        <v>-6499</v>
      </c>
    </row>
    <row r="686" spans="1:39">
      <c r="A686" s="351">
        <v>97451</v>
      </c>
      <c r="B686" s="344" t="s">
        <v>1382</v>
      </c>
      <c r="C686" s="235" t="e">
        <f>VLOOKUP(A686,#REF!,10,FALSE)</f>
        <v>#REF!</v>
      </c>
      <c r="E686" s="2">
        <f>VLOOKUP($A686,'[2]App C Total'!$A$4:$I$917,5,FALSE)</f>
        <v>319392</v>
      </c>
      <c r="F686" s="2">
        <f>VLOOKUP($A686,'[2]App C Total'!$A$4:$I$917,6,FALSE)</f>
        <v>91502</v>
      </c>
      <c r="G686" s="2">
        <f>VLOOKUP($A686,'[2]App C Total'!$A$4:$I$917,7,FALSE)</f>
        <v>177933</v>
      </c>
      <c r="H686" s="2">
        <f>VLOOKUP($A686,'[2]App C Total'!$A$4:$I$917,8,FALSE)</f>
        <v>49690</v>
      </c>
      <c r="I686" s="2">
        <f>VLOOKUP($A686,'[2]App C Total'!$A$4:$I$917,9,FALSE)</f>
        <v>0</v>
      </c>
      <c r="J686" s="2"/>
      <c r="K686" s="2">
        <f>VLOOKUP($A686,'[2]App C Exp'!$A$4:$I$917,5,FALSE)</f>
        <v>99307</v>
      </c>
      <c r="L686" s="2">
        <f>VLOOKUP($A686,'[2]App C Exp'!$A$4:$I$917,6,FALSE)</f>
        <v>93416</v>
      </c>
      <c r="M686" s="2">
        <f>VLOOKUP($A686,'[2]App C Exp'!$A$4:$I$917,7,FALSE)</f>
        <v>83728</v>
      </c>
      <c r="N686" s="2">
        <f>VLOOKUP($A686,'[2]App C Exp'!$A$4:$I$917,8,FALSE)</f>
        <v>33524</v>
      </c>
      <c r="O686" s="2">
        <f>VLOOKUP($A686,'[2]App C Exp'!$A$4:$I$917,9,FALSE)</f>
        <v>0</v>
      </c>
      <c r="P686" s="2"/>
      <c r="Q686" s="2">
        <f>VLOOKUP($A686,'[2]App C Inv'!$A$4:$I$917,5,FALSE)</f>
        <v>105428</v>
      </c>
      <c r="R686" s="2">
        <f>VLOOKUP($A686,'[2]App C Inv'!$A$4:$I$917,6,FALSE)</f>
        <v>-90688</v>
      </c>
      <c r="S686" s="2">
        <f>VLOOKUP($A686,'[2]App C Inv'!$A$4:$I$917,7,FALSE)</f>
        <v>12781</v>
      </c>
      <c r="T686" s="2">
        <f>VLOOKUP($A686,'[2]App C Inv'!$A$4:$I$917,8,FALSE)</f>
        <v>16635</v>
      </c>
      <c r="U686" s="2">
        <f>VLOOKUP($A686,'[2]App C Inv'!$A$4:$I$917,9,FALSE)</f>
        <v>0</v>
      </c>
      <c r="V686" s="2"/>
      <c r="W686" s="2">
        <f>VLOOKUP($A686,'[2]App C Assum'!$A$4:$I$917,5,FALSE)</f>
        <v>118766</v>
      </c>
      <c r="X686" s="2">
        <f>VLOOKUP($A686,'[2]App C Assum'!$A$4:$I$917,6,FALSE)</f>
        <v>97298</v>
      </c>
      <c r="Y686" s="2">
        <f>VLOOKUP($A686,'[2]App C Assum'!$A$4:$I$917,7,FALSE)</f>
        <v>78989</v>
      </c>
      <c r="Z686" s="2">
        <f>VLOOKUP($A686,'[2]App C Assum'!$A$4:$I$917,8,FALSE)</f>
        <v>0</v>
      </c>
      <c r="AA686" s="2">
        <f>VLOOKUP($A686,'[2]App C Assum'!$A$4:$I$917,9,FALSE)</f>
        <v>0</v>
      </c>
      <c r="AB686" s="2"/>
      <c r="AC686" s="2">
        <f>VLOOKUP($A686,'[2]App C Share Outflows'!$A$4:$I$917,5,FALSE)</f>
        <v>7319</v>
      </c>
      <c r="AD686" s="2">
        <f>VLOOKUP($A686,'[2]App C Share Outflows'!$A$4:$I$917,6,FALSE)</f>
        <v>2904</v>
      </c>
      <c r="AE686" s="2">
        <f>VLOOKUP($A686,'[2]App C Share Outflows'!$A$4:$I$917,7,FALSE)</f>
        <v>2904</v>
      </c>
      <c r="AF686" s="2">
        <f>VLOOKUP($A686,'[2]App C Share Outflows'!$A$4:$I$917,8,FALSE)</f>
        <v>0</v>
      </c>
      <c r="AG686" s="2">
        <f>VLOOKUP($A686,'[2]App C Share Outflows'!$A$4:$I$917,9,FALSE)</f>
        <v>0</v>
      </c>
      <c r="AH686" s="2"/>
      <c r="AI686" s="2">
        <f>VLOOKUP($A686,'[2]App C Share Inflows'!$A$4:$I$917,5,FALSE)</f>
        <v>-11428</v>
      </c>
      <c r="AJ686" s="2">
        <f>VLOOKUP($A686,'[2]App C Share Inflows'!$A$4:$I$917,6,FALSE)</f>
        <v>-11428</v>
      </c>
      <c r="AK686" s="2">
        <f>VLOOKUP($A686,'[2]App C Share Inflows'!$A$4:$I$917,7,FALSE)</f>
        <v>-469</v>
      </c>
      <c r="AL686" s="2">
        <f>VLOOKUP($A686,'[2]App C Share Inflows'!$A$4:$I$917,8,FALSE)</f>
        <v>-469</v>
      </c>
      <c r="AM686" s="2">
        <f>VLOOKUP($A686,'[2]App C Share Inflows'!$A$4:$I$917,6,FALSE)</f>
        <v>-11428</v>
      </c>
    </row>
    <row r="687" spans="1:39">
      <c r="A687" s="351">
        <v>97471</v>
      </c>
      <c r="B687" s="344" t="s">
        <v>1385</v>
      </c>
      <c r="C687" s="235" t="e">
        <f>VLOOKUP(A687,#REF!,10,FALSE)</f>
        <v>#REF!</v>
      </c>
      <c r="E687" s="2">
        <f>VLOOKUP($A687,'[2]App C Total'!$A$4:$I$917,5,FALSE)</f>
        <v>11926</v>
      </c>
      <c r="F687" s="2">
        <f>VLOOKUP($A687,'[2]App C Total'!$A$4:$I$917,6,FALSE)</f>
        <v>5872</v>
      </c>
      <c r="G687" s="2">
        <f>VLOOKUP($A687,'[2]App C Total'!$A$4:$I$917,7,FALSE)</f>
        <v>6893</v>
      </c>
      <c r="H687" s="2">
        <f>VLOOKUP($A687,'[2]App C Total'!$A$4:$I$917,8,FALSE)</f>
        <v>2168</v>
      </c>
      <c r="I687" s="2">
        <f>VLOOKUP($A687,'[2]App C Total'!$A$4:$I$917,9,FALSE)</f>
        <v>0</v>
      </c>
      <c r="J687" s="2"/>
      <c r="K687" s="2">
        <f>VLOOKUP($A687,'[2]App C Exp'!$A$4:$I$917,5,FALSE)</f>
        <v>2457</v>
      </c>
      <c r="L687" s="2">
        <f>VLOOKUP($A687,'[2]App C Exp'!$A$4:$I$917,6,FALSE)</f>
        <v>2311</v>
      </c>
      <c r="M687" s="2">
        <f>VLOOKUP($A687,'[2]App C Exp'!$A$4:$I$917,7,FALSE)</f>
        <v>2071</v>
      </c>
      <c r="N687" s="2">
        <f>VLOOKUP($A687,'[2]App C Exp'!$A$4:$I$917,8,FALSE)</f>
        <v>829</v>
      </c>
      <c r="O687" s="2">
        <f>VLOOKUP($A687,'[2]App C Exp'!$A$4:$I$917,9,FALSE)</f>
        <v>0</v>
      </c>
      <c r="P687" s="2"/>
      <c r="Q687" s="2">
        <f>VLOOKUP($A687,'[2]App C Inv'!$A$4:$I$917,5,FALSE)</f>
        <v>2608</v>
      </c>
      <c r="R687" s="2">
        <f>VLOOKUP($A687,'[2]App C Inv'!$A$4:$I$917,6,FALSE)</f>
        <v>-2244</v>
      </c>
      <c r="S687" s="2">
        <f>VLOOKUP($A687,'[2]App C Inv'!$A$4:$I$917,7,FALSE)</f>
        <v>316</v>
      </c>
      <c r="T687" s="2">
        <f>VLOOKUP($A687,'[2]App C Inv'!$A$4:$I$917,8,FALSE)</f>
        <v>412</v>
      </c>
      <c r="U687" s="2">
        <f>VLOOKUP($A687,'[2]App C Inv'!$A$4:$I$917,9,FALSE)</f>
        <v>0</v>
      </c>
      <c r="V687" s="2"/>
      <c r="W687" s="2">
        <f>VLOOKUP($A687,'[2]App C Assum'!$A$4:$I$917,5,FALSE)</f>
        <v>2938</v>
      </c>
      <c r="X687" s="2">
        <f>VLOOKUP($A687,'[2]App C Assum'!$A$4:$I$917,6,FALSE)</f>
        <v>2407</v>
      </c>
      <c r="Y687" s="2">
        <f>VLOOKUP($A687,'[2]App C Assum'!$A$4:$I$917,7,FALSE)</f>
        <v>1954</v>
      </c>
      <c r="Z687" s="2">
        <f>VLOOKUP($A687,'[2]App C Assum'!$A$4:$I$917,8,FALSE)</f>
        <v>0</v>
      </c>
      <c r="AA687" s="2">
        <f>VLOOKUP($A687,'[2]App C Assum'!$A$4:$I$917,9,FALSE)</f>
        <v>0</v>
      </c>
      <c r="AB687" s="2"/>
      <c r="AC687" s="2">
        <f>VLOOKUP($A687,'[2]App C Share Outflows'!$A$4:$I$917,5,FALSE)</f>
        <v>3923</v>
      </c>
      <c r="AD687" s="2">
        <f>VLOOKUP($A687,'[2]App C Share Outflows'!$A$4:$I$917,6,FALSE)</f>
        <v>3398</v>
      </c>
      <c r="AE687" s="2">
        <f>VLOOKUP($A687,'[2]App C Share Outflows'!$A$4:$I$917,7,FALSE)</f>
        <v>2552</v>
      </c>
      <c r="AF687" s="2">
        <f>VLOOKUP($A687,'[2]App C Share Outflows'!$A$4:$I$917,8,FALSE)</f>
        <v>927</v>
      </c>
      <c r="AG687" s="2">
        <f>VLOOKUP($A687,'[2]App C Share Outflows'!$A$4:$I$917,9,FALSE)</f>
        <v>0</v>
      </c>
      <c r="AH687" s="2"/>
      <c r="AI687" s="2">
        <f>VLOOKUP($A687,'[2]App C Share Inflows'!$A$4:$I$917,5,FALSE)</f>
        <v>0</v>
      </c>
      <c r="AJ687" s="2">
        <f>VLOOKUP($A687,'[2]App C Share Inflows'!$A$4:$I$917,6,FALSE)</f>
        <v>0</v>
      </c>
      <c r="AK687" s="2">
        <f>VLOOKUP($A687,'[2]App C Share Inflows'!$A$4:$I$917,7,FALSE)</f>
        <v>0</v>
      </c>
      <c r="AL687" s="2">
        <f>VLOOKUP($A687,'[2]App C Share Inflows'!$A$4:$I$917,8,FALSE)</f>
        <v>0</v>
      </c>
      <c r="AM687" s="2">
        <f>VLOOKUP($A687,'[2]App C Share Inflows'!$A$4:$I$917,6,FALSE)</f>
        <v>0</v>
      </c>
    </row>
    <row r="688" spans="1:39">
      <c r="A688" s="351">
        <v>97481</v>
      </c>
      <c r="B688" s="344" t="s">
        <v>1386</v>
      </c>
      <c r="C688" s="235" t="e">
        <f>VLOOKUP(A688,#REF!,10,FALSE)</f>
        <v>#REF!</v>
      </c>
      <c r="E688" s="2">
        <f>VLOOKUP($A688,'[2]App C Total'!$A$4:$I$917,5,FALSE)</f>
        <v>-1887</v>
      </c>
      <c r="F688" s="2">
        <f>VLOOKUP($A688,'[2]App C Total'!$A$4:$I$917,6,FALSE)</f>
        <v>-2636</v>
      </c>
      <c r="G688" s="2">
        <f>VLOOKUP($A688,'[2]App C Total'!$A$4:$I$917,7,FALSE)</f>
        <v>-1756</v>
      </c>
      <c r="H688" s="2">
        <f>VLOOKUP($A688,'[2]App C Total'!$A$4:$I$917,8,FALSE)</f>
        <v>-2055</v>
      </c>
      <c r="I688" s="2">
        <f>VLOOKUP($A688,'[2]App C Total'!$A$4:$I$917,9,FALSE)</f>
        <v>0</v>
      </c>
      <c r="J688" s="2"/>
      <c r="K688" s="2">
        <f>VLOOKUP($A688,'[2]App C Exp'!$A$4:$I$917,5,FALSE)</f>
        <v>135</v>
      </c>
      <c r="L688" s="2">
        <f>VLOOKUP($A688,'[2]App C Exp'!$A$4:$I$917,6,FALSE)</f>
        <v>127</v>
      </c>
      <c r="M688" s="2">
        <f>VLOOKUP($A688,'[2]App C Exp'!$A$4:$I$917,7,FALSE)</f>
        <v>114</v>
      </c>
      <c r="N688" s="2">
        <f>VLOOKUP($A688,'[2]App C Exp'!$A$4:$I$917,8,FALSE)</f>
        <v>46</v>
      </c>
      <c r="O688" s="2">
        <f>VLOOKUP($A688,'[2]App C Exp'!$A$4:$I$917,9,FALSE)</f>
        <v>0</v>
      </c>
      <c r="P688" s="2"/>
      <c r="Q688" s="2">
        <f>VLOOKUP($A688,'[2]App C Inv'!$A$4:$I$917,5,FALSE)</f>
        <v>143</v>
      </c>
      <c r="R688" s="2">
        <f>VLOOKUP($A688,'[2]App C Inv'!$A$4:$I$917,6,FALSE)</f>
        <v>-123</v>
      </c>
      <c r="S688" s="2">
        <f>VLOOKUP($A688,'[2]App C Inv'!$A$4:$I$917,7,FALSE)</f>
        <v>17</v>
      </c>
      <c r="T688" s="2">
        <f>VLOOKUP($A688,'[2]App C Inv'!$A$4:$I$917,8,FALSE)</f>
        <v>23</v>
      </c>
      <c r="U688" s="2">
        <f>VLOOKUP($A688,'[2]App C Inv'!$A$4:$I$917,9,FALSE)</f>
        <v>0</v>
      </c>
      <c r="V688" s="2"/>
      <c r="W688" s="2">
        <f>VLOOKUP($A688,'[2]App C Assum'!$A$4:$I$917,5,FALSE)</f>
        <v>161</v>
      </c>
      <c r="X688" s="2">
        <f>VLOOKUP($A688,'[2]App C Assum'!$A$4:$I$917,6,FALSE)</f>
        <v>132</v>
      </c>
      <c r="Y688" s="2">
        <f>VLOOKUP($A688,'[2]App C Assum'!$A$4:$I$917,7,FALSE)</f>
        <v>107</v>
      </c>
      <c r="Z688" s="2">
        <f>VLOOKUP($A688,'[2]App C Assum'!$A$4:$I$917,8,FALSE)</f>
        <v>0</v>
      </c>
      <c r="AA688" s="2">
        <f>VLOOKUP($A688,'[2]App C Assum'!$A$4:$I$917,9,FALSE)</f>
        <v>0</v>
      </c>
      <c r="AB688" s="2"/>
      <c r="AC688" s="2">
        <f>VLOOKUP($A688,'[2]App C Share Outflows'!$A$4:$I$917,5,FALSE)</f>
        <v>578</v>
      </c>
      <c r="AD688" s="2">
        <f>VLOOKUP($A688,'[2]App C Share Outflows'!$A$4:$I$917,6,FALSE)</f>
        <v>131</v>
      </c>
      <c r="AE688" s="2">
        <f>VLOOKUP($A688,'[2]App C Share Outflows'!$A$4:$I$917,7,FALSE)</f>
        <v>131</v>
      </c>
      <c r="AF688" s="2">
        <f>VLOOKUP($A688,'[2]App C Share Outflows'!$A$4:$I$917,8,FALSE)</f>
        <v>0</v>
      </c>
      <c r="AG688" s="2">
        <f>VLOOKUP($A688,'[2]App C Share Outflows'!$A$4:$I$917,9,FALSE)</f>
        <v>0</v>
      </c>
      <c r="AH688" s="2"/>
      <c r="AI688" s="2">
        <f>VLOOKUP($A688,'[2]App C Share Inflows'!$A$4:$I$917,5,FALSE)</f>
        <v>-2904</v>
      </c>
      <c r="AJ688" s="2">
        <f>VLOOKUP($A688,'[2]App C Share Inflows'!$A$4:$I$917,6,FALSE)</f>
        <v>-2903</v>
      </c>
      <c r="AK688" s="2">
        <f>VLOOKUP($A688,'[2]App C Share Inflows'!$A$4:$I$917,7,FALSE)</f>
        <v>-2125</v>
      </c>
      <c r="AL688" s="2">
        <f>VLOOKUP($A688,'[2]App C Share Inflows'!$A$4:$I$917,8,FALSE)</f>
        <v>-2124</v>
      </c>
      <c r="AM688" s="2">
        <f>VLOOKUP($A688,'[2]App C Share Inflows'!$A$4:$I$917,6,FALSE)</f>
        <v>-2903</v>
      </c>
    </row>
    <row r="689" spans="1:39">
      <c r="A689" s="351">
        <v>97501</v>
      </c>
      <c r="B689" s="344" t="s">
        <v>1388</v>
      </c>
      <c r="C689" s="235" t="e">
        <f>VLOOKUP(A689,#REF!,10,FALSE)</f>
        <v>#REF!</v>
      </c>
      <c r="E689" s="2">
        <f>VLOOKUP($A689,'[2]App C Total'!$A$4:$I$917,5,FALSE)</f>
        <v>623360</v>
      </c>
      <c r="F689" s="2">
        <f>VLOOKUP($A689,'[2]App C Total'!$A$4:$I$917,6,FALSE)</f>
        <v>223266</v>
      </c>
      <c r="G689" s="2">
        <f>VLOOKUP($A689,'[2]App C Total'!$A$4:$I$917,7,FALSE)</f>
        <v>333049</v>
      </c>
      <c r="H689" s="2">
        <f>VLOOKUP($A689,'[2]App C Total'!$A$4:$I$917,8,FALSE)</f>
        <v>110436</v>
      </c>
      <c r="I689" s="2">
        <f>VLOOKUP($A689,'[2]App C Total'!$A$4:$I$917,9,FALSE)</f>
        <v>0</v>
      </c>
      <c r="J689" s="2"/>
      <c r="K689" s="2">
        <f>VLOOKUP($A689,'[2]App C Exp'!$A$4:$I$917,5,FALSE)</f>
        <v>177027</v>
      </c>
      <c r="L689" s="2">
        <f>VLOOKUP($A689,'[2]App C Exp'!$A$4:$I$917,6,FALSE)</f>
        <v>166525</v>
      </c>
      <c r="M689" s="2">
        <f>VLOOKUP($A689,'[2]App C Exp'!$A$4:$I$917,7,FALSE)</f>
        <v>149255</v>
      </c>
      <c r="N689" s="2">
        <f>VLOOKUP($A689,'[2]App C Exp'!$A$4:$I$917,8,FALSE)</f>
        <v>59760</v>
      </c>
      <c r="O689" s="2">
        <f>VLOOKUP($A689,'[2]App C Exp'!$A$4:$I$917,9,FALSE)</f>
        <v>0</v>
      </c>
      <c r="P689" s="2"/>
      <c r="Q689" s="2">
        <f>VLOOKUP($A689,'[2]App C Inv'!$A$4:$I$917,5,FALSE)</f>
        <v>187939</v>
      </c>
      <c r="R689" s="2">
        <f>VLOOKUP($A689,'[2]App C Inv'!$A$4:$I$917,6,FALSE)</f>
        <v>-161662</v>
      </c>
      <c r="S689" s="2">
        <f>VLOOKUP($A689,'[2]App C Inv'!$A$4:$I$917,7,FALSE)</f>
        <v>22784</v>
      </c>
      <c r="T689" s="2">
        <f>VLOOKUP($A689,'[2]App C Inv'!$A$4:$I$917,8,FALSE)</f>
        <v>29654</v>
      </c>
      <c r="U689" s="2">
        <f>VLOOKUP($A689,'[2]App C Inv'!$A$4:$I$917,9,FALSE)</f>
        <v>0</v>
      </c>
      <c r="V689" s="2"/>
      <c r="W689" s="2">
        <f>VLOOKUP($A689,'[2]App C Assum'!$A$4:$I$917,5,FALSE)</f>
        <v>211716</v>
      </c>
      <c r="X689" s="2">
        <f>VLOOKUP($A689,'[2]App C Assum'!$A$4:$I$917,6,FALSE)</f>
        <v>173445</v>
      </c>
      <c r="Y689" s="2">
        <f>VLOOKUP($A689,'[2]App C Assum'!$A$4:$I$917,7,FALSE)</f>
        <v>140808</v>
      </c>
      <c r="Z689" s="2">
        <f>VLOOKUP($A689,'[2]App C Assum'!$A$4:$I$917,8,FALSE)</f>
        <v>0</v>
      </c>
      <c r="AA689" s="2">
        <f>VLOOKUP($A689,'[2]App C Assum'!$A$4:$I$917,9,FALSE)</f>
        <v>0</v>
      </c>
      <c r="AB689" s="2"/>
      <c r="AC689" s="2">
        <f>VLOOKUP($A689,'[2]App C Share Outflows'!$A$4:$I$917,5,FALSE)</f>
        <v>47499</v>
      </c>
      <c r="AD689" s="2">
        <f>VLOOKUP($A689,'[2]App C Share Outflows'!$A$4:$I$917,6,FALSE)</f>
        <v>45779</v>
      </c>
      <c r="AE689" s="2">
        <f>VLOOKUP($A689,'[2]App C Share Outflows'!$A$4:$I$917,7,FALSE)</f>
        <v>21021</v>
      </c>
      <c r="AF689" s="2">
        <f>VLOOKUP($A689,'[2]App C Share Outflows'!$A$4:$I$917,8,FALSE)</f>
        <v>21022</v>
      </c>
      <c r="AG689" s="2">
        <f>VLOOKUP($A689,'[2]App C Share Outflows'!$A$4:$I$917,9,FALSE)</f>
        <v>0</v>
      </c>
      <c r="AH689" s="2"/>
      <c r="AI689" s="2">
        <f>VLOOKUP($A689,'[2]App C Share Inflows'!$A$4:$I$917,5,FALSE)</f>
        <v>-821</v>
      </c>
      <c r="AJ689" s="2">
        <f>VLOOKUP($A689,'[2]App C Share Inflows'!$A$4:$I$917,6,FALSE)</f>
        <v>-821</v>
      </c>
      <c r="AK689" s="2">
        <f>VLOOKUP($A689,'[2]App C Share Inflows'!$A$4:$I$917,7,FALSE)</f>
        <v>-819</v>
      </c>
      <c r="AL689" s="2">
        <f>VLOOKUP($A689,'[2]App C Share Inflows'!$A$4:$I$917,8,FALSE)</f>
        <v>0</v>
      </c>
      <c r="AM689" s="2">
        <f>VLOOKUP($A689,'[2]App C Share Inflows'!$A$4:$I$917,6,FALSE)</f>
        <v>-821</v>
      </c>
    </row>
    <row r="690" spans="1:39">
      <c r="A690" s="351">
        <v>97511</v>
      </c>
      <c r="B690" s="344" t="s">
        <v>1389</v>
      </c>
      <c r="C690" s="235" t="e">
        <f>VLOOKUP(A690,#REF!,10,FALSE)</f>
        <v>#REF!</v>
      </c>
      <c r="E690" s="2">
        <f>VLOOKUP($A690,'[2]App C Total'!$A$4:$I$917,5,FALSE)</f>
        <v>94541</v>
      </c>
      <c r="F690" s="2">
        <f>VLOOKUP($A690,'[2]App C Total'!$A$4:$I$917,6,FALSE)</f>
        <v>27872</v>
      </c>
      <c r="G690" s="2">
        <f>VLOOKUP($A690,'[2]App C Total'!$A$4:$I$917,7,FALSE)</f>
        <v>48378</v>
      </c>
      <c r="H690" s="2">
        <f>VLOOKUP($A690,'[2]App C Total'!$A$4:$I$917,8,FALSE)</f>
        <v>19098</v>
      </c>
      <c r="I690" s="2">
        <f>VLOOKUP($A690,'[2]App C Total'!$A$4:$I$917,9,FALSE)</f>
        <v>0</v>
      </c>
      <c r="J690" s="2"/>
      <c r="K690" s="2">
        <f>VLOOKUP($A690,'[2]App C Exp'!$A$4:$I$917,5,FALSE)</f>
        <v>28643</v>
      </c>
      <c r="L690" s="2">
        <f>VLOOKUP($A690,'[2]App C Exp'!$A$4:$I$917,6,FALSE)</f>
        <v>26944</v>
      </c>
      <c r="M690" s="2">
        <f>VLOOKUP($A690,'[2]App C Exp'!$A$4:$I$917,7,FALSE)</f>
        <v>24150</v>
      </c>
      <c r="N690" s="2">
        <f>VLOOKUP($A690,'[2]App C Exp'!$A$4:$I$917,8,FALSE)</f>
        <v>9669</v>
      </c>
      <c r="O690" s="2">
        <f>VLOOKUP($A690,'[2]App C Exp'!$A$4:$I$917,9,FALSE)</f>
        <v>0</v>
      </c>
      <c r="P690" s="2"/>
      <c r="Q690" s="2">
        <f>VLOOKUP($A690,'[2]App C Inv'!$A$4:$I$917,5,FALSE)</f>
        <v>30409</v>
      </c>
      <c r="R690" s="2">
        <f>VLOOKUP($A690,'[2]App C Inv'!$A$4:$I$917,6,FALSE)</f>
        <v>-26157</v>
      </c>
      <c r="S690" s="2">
        <f>VLOOKUP($A690,'[2]App C Inv'!$A$4:$I$917,7,FALSE)</f>
        <v>3687</v>
      </c>
      <c r="T690" s="2">
        <f>VLOOKUP($A690,'[2]App C Inv'!$A$4:$I$917,8,FALSE)</f>
        <v>4798</v>
      </c>
      <c r="U690" s="2">
        <f>VLOOKUP($A690,'[2]App C Inv'!$A$4:$I$917,9,FALSE)</f>
        <v>0</v>
      </c>
      <c r="V690" s="2"/>
      <c r="W690" s="2">
        <f>VLOOKUP($A690,'[2]App C Assum'!$A$4:$I$917,5,FALSE)</f>
        <v>34256</v>
      </c>
      <c r="X690" s="2">
        <f>VLOOKUP($A690,'[2]App C Assum'!$A$4:$I$917,6,FALSE)</f>
        <v>28064</v>
      </c>
      <c r="Y690" s="2">
        <f>VLOOKUP($A690,'[2]App C Assum'!$A$4:$I$917,7,FALSE)</f>
        <v>22783</v>
      </c>
      <c r="Z690" s="2">
        <f>VLOOKUP($A690,'[2]App C Assum'!$A$4:$I$917,8,FALSE)</f>
        <v>0</v>
      </c>
      <c r="AA690" s="2">
        <f>VLOOKUP($A690,'[2]App C Assum'!$A$4:$I$917,9,FALSE)</f>
        <v>0</v>
      </c>
      <c r="AB690" s="2"/>
      <c r="AC690" s="2">
        <f>VLOOKUP($A690,'[2]App C Share Outflows'!$A$4:$I$917,5,FALSE)</f>
        <v>8109</v>
      </c>
      <c r="AD690" s="2">
        <f>VLOOKUP($A690,'[2]App C Share Outflows'!$A$4:$I$917,6,FALSE)</f>
        <v>5897</v>
      </c>
      <c r="AE690" s="2">
        <f>VLOOKUP($A690,'[2]App C Share Outflows'!$A$4:$I$917,7,FALSE)</f>
        <v>4632</v>
      </c>
      <c r="AF690" s="2">
        <f>VLOOKUP($A690,'[2]App C Share Outflows'!$A$4:$I$917,8,FALSE)</f>
        <v>4631</v>
      </c>
      <c r="AG690" s="2">
        <f>VLOOKUP($A690,'[2]App C Share Outflows'!$A$4:$I$917,9,FALSE)</f>
        <v>0</v>
      </c>
      <c r="AH690" s="2"/>
      <c r="AI690" s="2">
        <f>VLOOKUP($A690,'[2]App C Share Inflows'!$A$4:$I$917,5,FALSE)</f>
        <v>-6876</v>
      </c>
      <c r="AJ690" s="2">
        <f>VLOOKUP($A690,'[2]App C Share Inflows'!$A$4:$I$917,6,FALSE)</f>
        <v>-6876</v>
      </c>
      <c r="AK690" s="2">
        <f>VLOOKUP($A690,'[2]App C Share Inflows'!$A$4:$I$917,7,FALSE)</f>
        <v>-6874</v>
      </c>
      <c r="AL690" s="2">
        <f>VLOOKUP($A690,'[2]App C Share Inflows'!$A$4:$I$917,8,FALSE)</f>
        <v>0</v>
      </c>
      <c r="AM690" s="2">
        <f>VLOOKUP($A690,'[2]App C Share Inflows'!$A$4:$I$917,6,FALSE)</f>
        <v>-6876</v>
      </c>
    </row>
    <row r="691" spans="1:39">
      <c r="A691" s="351">
        <v>97521</v>
      </c>
      <c r="B691" s="344" t="s">
        <v>1390</v>
      </c>
      <c r="C691" s="235" t="e">
        <f>VLOOKUP(A691,#REF!,10,FALSE)</f>
        <v>#REF!</v>
      </c>
      <c r="E691" s="2">
        <f>VLOOKUP($A691,'[2]App C Total'!$A$4:$I$917,5,FALSE)</f>
        <v>48699</v>
      </c>
      <c r="F691" s="2">
        <f>VLOOKUP($A691,'[2]App C Total'!$A$4:$I$917,6,FALSE)</f>
        <v>12532</v>
      </c>
      <c r="G691" s="2">
        <f>VLOOKUP($A691,'[2]App C Total'!$A$4:$I$917,7,FALSE)</f>
        <v>26078</v>
      </c>
      <c r="H691" s="2">
        <f>VLOOKUP($A691,'[2]App C Total'!$A$4:$I$917,8,FALSE)</f>
        <v>5657</v>
      </c>
      <c r="I691" s="2">
        <f>VLOOKUP($A691,'[2]App C Total'!$A$4:$I$917,9,FALSE)</f>
        <v>0</v>
      </c>
      <c r="J691" s="2"/>
      <c r="K691" s="2">
        <f>VLOOKUP($A691,'[2]App C Exp'!$A$4:$I$917,5,FALSE)</f>
        <v>17063</v>
      </c>
      <c r="L691" s="2">
        <f>VLOOKUP($A691,'[2]App C Exp'!$A$4:$I$917,6,FALSE)</f>
        <v>16051</v>
      </c>
      <c r="M691" s="2">
        <f>VLOOKUP($A691,'[2]App C Exp'!$A$4:$I$917,7,FALSE)</f>
        <v>14386</v>
      </c>
      <c r="N691" s="2">
        <f>VLOOKUP($A691,'[2]App C Exp'!$A$4:$I$917,8,FALSE)</f>
        <v>5760</v>
      </c>
      <c r="O691" s="2">
        <f>VLOOKUP($A691,'[2]App C Exp'!$A$4:$I$917,9,FALSE)</f>
        <v>0</v>
      </c>
      <c r="P691" s="2"/>
      <c r="Q691" s="2">
        <f>VLOOKUP($A691,'[2]App C Inv'!$A$4:$I$917,5,FALSE)</f>
        <v>18115</v>
      </c>
      <c r="R691" s="2">
        <f>VLOOKUP($A691,'[2]App C Inv'!$A$4:$I$917,6,FALSE)</f>
        <v>-15582</v>
      </c>
      <c r="S691" s="2">
        <f>VLOOKUP($A691,'[2]App C Inv'!$A$4:$I$917,7,FALSE)</f>
        <v>2196</v>
      </c>
      <c r="T691" s="2">
        <f>VLOOKUP($A691,'[2]App C Inv'!$A$4:$I$917,8,FALSE)</f>
        <v>2858</v>
      </c>
      <c r="U691" s="2">
        <f>VLOOKUP($A691,'[2]App C Inv'!$A$4:$I$917,9,FALSE)</f>
        <v>0</v>
      </c>
      <c r="V691" s="2"/>
      <c r="W691" s="2">
        <f>VLOOKUP($A691,'[2]App C Assum'!$A$4:$I$917,5,FALSE)</f>
        <v>20407</v>
      </c>
      <c r="X691" s="2">
        <f>VLOOKUP($A691,'[2]App C Assum'!$A$4:$I$917,6,FALSE)</f>
        <v>16718</v>
      </c>
      <c r="Y691" s="2">
        <f>VLOOKUP($A691,'[2]App C Assum'!$A$4:$I$917,7,FALSE)</f>
        <v>13572</v>
      </c>
      <c r="Z691" s="2">
        <f>VLOOKUP($A691,'[2]App C Assum'!$A$4:$I$917,8,FALSE)</f>
        <v>0</v>
      </c>
      <c r="AA691" s="2">
        <f>VLOOKUP($A691,'[2]App C Assum'!$A$4:$I$917,9,FALSE)</f>
        <v>0</v>
      </c>
      <c r="AB691" s="2"/>
      <c r="AC691" s="2">
        <f>VLOOKUP($A691,'[2]App C Share Outflows'!$A$4:$I$917,5,FALSE)</f>
        <v>0</v>
      </c>
      <c r="AD691" s="2">
        <f>VLOOKUP($A691,'[2]App C Share Outflows'!$A$4:$I$917,6,FALSE)</f>
        <v>0</v>
      </c>
      <c r="AE691" s="2">
        <f>VLOOKUP($A691,'[2]App C Share Outflows'!$A$4:$I$917,7,FALSE)</f>
        <v>0</v>
      </c>
      <c r="AF691" s="2">
        <f>VLOOKUP($A691,'[2]App C Share Outflows'!$A$4:$I$917,8,FALSE)</f>
        <v>0</v>
      </c>
      <c r="AG691" s="2">
        <f>VLOOKUP($A691,'[2]App C Share Outflows'!$A$4:$I$917,9,FALSE)</f>
        <v>0</v>
      </c>
      <c r="AH691" s="2"/>
      <c r="AI691" s="2">
        <f>VLOOKUP($A691,'[2]App C Share Inflows'!$A$4:$I$917,5,FALSE)</f>
        <v>-6886</v>
      </c>
      <c r="AJ691" s="2">
        <f>VLOOKUP($A691,'[2]App C Share Inflows'!$A$4:$I$917,6,FALSE)</f>
        <v>-4655</v>
      </c>
      <c r="AK691" s="2">
        <f>VLOOKUP($A691,'[2]App C Share Inflows'!$A$4:$I$917,7,FALSE)</f>
        <v>-4076</v>
      </c>
      <c r="AL691" s="2">
        <f>VLOOKUP($A691,'[2]App C Share Inflows'!$A$4:$I$917,8,FALSE)</f>
        <v>-2961</v>
      </c>
      <c r="AM691" s="2">
        <f>VLOOKUP($A691,'[2]App C Share Inflows'!$A$4:$I$917,6,FALSE)</f>
        <v>-4655</v>
      </c>
    </row>
    <row r="692" spans="1:39">
      <c r="A692" s="351">
        <v>97527</v>
      </c>
      <c r="B692" s="344" t="s">
        <v>1641</v>
      </c>
      <c r="C692" s="235" t="e">
        <f>VLOOKUP(A692,#REF!,10,FALSE)</f>
        <v>#REF!</v>
      </c>
      <c r="E692" s="2">
        <f>VLOOKUP($A692,'[2]App C Total'!$A$4:$I$917,5,FALSE)</f>
        <v>11729</v>
      </c>
      <c r="F692" s="2">
        <f>VLOOKUP($A692,'[2]App C Total'!$A$4:$I$917,6,FALSE)</f>
        <v>5997</v>
      </c>
      <c r="G692" s="2">
        <f>VLOOKUP($A692,'[2]App C Total'!$A$4:$I$917,7,FALSE)</f>
        <v>7931</v>
      </c>
      <c r="H692" s="2">
        <f>VLOOKUP($A692,'[2]App C Total'!$A$4:$I$917,8,FALSE)</f>
        <v>3852</v>
      </c>
      <c r="I692" s="2">
        <f>VLOOKUP($A692,'[2]App C Total'!$A$4:$I$917,9,FALSE)</f>
        <v>0</v>
      </c>
      <c r="J692" s="2"/>
      <c r="K692" s="2">
        <f>VLOOKUP($A692,'[2]App C Exp'!$A$4:$I$917,5,FALSE)</f>
        <v>2547</v>
      </c>
      <c r="L692" s="2">
        <f>VLOOKUP($A692,'[2]App C Exp'!$A$4:$I$917,6,FALSE)</f>
        <v>2396</v>
      </c>
      <c r="M692" s="2">
        <f>VLOOKUP($A692,'[2]App C Exp'!$A$4:$I$917,7,FALSE)</f>
        <v>2147</v>
      </c>
      <c r="N692" s="2">
        <f>VLOOKUP($A692,'[2]App C Exp'!$A$4:$I$917,8,FALSE)</f>
        <v>860</v>
      </c>
      <c r="O692" s="2">
        <f>VLOOKUP($A692,'[2]App C Exp'!$A$4:$I$917,9,FALSE)</f>
        <v>0</v>
      </c>
      <c r="P692" s="2"/>
      <c r="Q692" s="2">
        <f>VLOOKUP($A692,'[2]App C Inv'!$A$4:$I$917,5,FALSE)</f>
        <v>2704</v>
      </c>
      <c r="R692" s="2">
        <f>VLOOKUP($A692,'[2]App C Inv'!$A$4:$I$917,6,FALSE)</f>
        <v>-2326</v>
      </c>
      <c r="S692" s="2">
        <f>VLOOKUP($A692,'[2]App C Inv'!$A$4:$I$917,7,FALSE)</f>
        <v>328</v>
      </c>
      <c r="T692" s="2">
        <f>VLOOKUP($A692,'[2]App C Inv'!$A$4:$I$917,8,FALSE)</f>
        <v>427</v>
      </c>
      <c r="U692" s="2">
        <f>VLOOKUP($A692,'[2]App C Inv'!$A$4:$I$917,9,FALSE)</f>
        <v>0</v>
      </c>
      <c r="V692" s="2"/>
      <c r="W692" s="2">
        <f>VLOOKUP($A692,'[2]App C Assum'!$A$4:$I$917,5,FALSE)</f>
        <v>3046</v>
      </c>
      <c r="X692" s="2">
        <f>VLOOKUP($A692,'[2]App C Assum'!$A$4:$I$917,6,FALSE)</f>
        <v>2495</v>
      </c>
      <c r="Y692" s="2">
        <f>VLOOKUP($A692,'[2]App C Assum'!$A$4:$I$917,7,FALSE)</f>
        <v>2026</v>
      </c>
      <c r="Z692" s="2">
        <f>VLOOKUP($A692,'[2]App C Assum'!$A$4:$I$917,8,FALSE)</f>
        <v>0</v>
      </c>
      <c r="AA692" s="2">
        <f>VLOOKUP($A692,'[2]App C Assum'!$A$4:$I$917,9,FALSE)</f>
        <v>0</v>
      </c>
      <c r="AB692" s="2"/>
      <c r="AC692" s="2">
        <f>VLOOKUP($A692,'[2]App C Share Outflows'!$A$4:$I$917,5,FALSE)</f>
        <v>3432</v>
      </c>
      <c r="AD692" s="2">
        <f>VLOOKUP($A692,'[2]App C Share Outflows'!$A$4:$I$917,6,FALSE)</f>
        <v>3432</v>
      </c>
      <c r="AE692" s="2">
        <f>VLOOKUP($A692,'[2]App C Share Outflows'!$A$4:$I$917,7,FALSE)</f>
        <v>3430</v>
      </c>
      <c r="AF692" s="2">
        <f>VLOOKUP($A692,'[2]App C Share Outflows'!$A$4:$I$917,8,FALSE)</f>
        <v>2565</v>
      </c>
      <c r="AG692" s="2">
        <f>VLOOKUP($A692,'[2]App C Share Outflows'!$A$4:$I$917,9,FALSE)</f>
        <v>0</v>
      </c>
      <c r="AH692" s="2"/>
      <c r="AI692" s="2">
        <f>VLOOKUP($A692,'[2]App C Share Inflows'!$A$4:$I$917,5,FALSE)</f>
        <v>0</v>
      </c>
      <c r="AJ692" s="2">
        <f>VLOOKUP($A692,'[2]App C Share Inflows'!$A$4:$I$917,6,FALSE)</f>
        <v>0</v>
      </c>
      <c r="AK692" s="2">
        <f>VLOOKUP($A692,'[2]App C Share Inflows'!$A$4:$I$917,7,FALSE)</f>
        <v>0</v>
      </c>
      <c r="AL692" s="2">
        <f>VLOOKUP($A692,'[2]App C Share Inflows'!$A$4:$I$917,8,FALSE)</f>
        <v>0</v>
      </c>
      <c r="AM692" s="2">
        <f>VLOOKUP($A692,'[2]App C Share Inflows'!$A$4:$I$917,6,FALSE)</f>
        <v>0</v>
      </c>
    </row>
    <row r="693" spans="1:39">
      <c r="A693" s="351">
        <v>97531</v>
      </c>
      <c r="B693" s="344" t="s">
        <v>1391</v>
      </c>
      <c r="C693" s="235" t="e">
        <f>VLOOKUP(A693,#REF!,10,FALSE)</f>
        <v>#REF!</v>
      </c>
      <c r="E693" s="2">
        <f>VLOOKUP($A693,'[2]App C Total'!$A$4:$I$917,5,FALSE)</f>
        <v>49991</v>
      </c>
      <c r="F693" s="2">
        <f>VLOOKUP($A693,'[2]App C Total'!$A$4:$I$917,6,FALSE)</f>
        <v>21865</v>
      </c>
      <c r="G693" s="2">
        <f>VLOOKUP($A693,'[2]App C Total'!$A$4:$I$917,7,FALSE)</f>
        <v>28924</v>
      </c>
      <c r="H693" s="2">
        <f>VLOOKUP($A693,'[2]App C Total'!$A$4:$I$917,8,FALSE)</f>
        <v>11012</v>
      </c>
      <c r="I693" s="2">
        <f>VLOOKUP($A693,'[2]App C Total'!$A$4:$I$917,9,FALSE)</f>
        <v>0</v>
      </c>
      <c r="J693" s="2"/>
      <c r="K693" s="2">
        <f>VLOOKUP($A693,'[2]App C Exp'!$A$4:$I$917,5,FALSE)</f>
        <v>12179</v>
      </c>
      <c r="L693" s="2">
        <f>VLOOKUP($A693,'[2]App C Exp'!$A$4:$I$917,6,FALSE)</f>
        <v>11457</v>
      </c>
      <c r="M693" s="2">
        <f>VLOOKUP($A693,'[2]App C Exp'!$A$4:$I$917,7,FALSE)</f>
        <v>10269</v>
      </c>
      <c r="N693" s="2">
        <f>VLOOKUP($A693,'[2]App C Exp'!$A$4:$I$917,8,FALSE)</f>
        <v>4111</v>
      </c>
      <c r="O693" s="2">
        <f>VLOOKUP($A693,'[2]App C Exp'!$A$4:$I$917,9,FALSE)</f>
        <v>0</v>
      </c>
      <c r="P693" s="2"/>
      <c r="Q693" s="2">
        <f>VLOOKUP($A693,'[2]App C Inv'!$A$4:$I$917,5,FALSE)</f>
        <v>12930</v>
      </c>
      <c r="R693" s="2">
        <f>VLOOKUP($A693,'[2]App C Inv'!$A$4:$I$917,6,FALSE)</f>
        <v>-11122</v>
      </c>
      <c r="S693" s="2">
        <f>VLOOKUP($A693,'[2]App C Inv'!$A$4:$I$917,7,FALSE)</f>
        <v>1568</v>
      </c>
      <c r="T693" s="2">
        <f>VLOOKUP($A693,'[2]App C Inv'!$A$4:$I$917,8,FALSE)</f>
        <v>2040</v>
      </c>
      <c r="U693" s="2">
        <f>VLOOKUP($A693,'[2]App C Inv'!$A$4:$I$917,9,FALSE)</f>
        <v>0</v>
      </c>
      <c r="V693" s="2"/>
      <c r="W693" s="2">
        <f>VLOOKUP($A693,'[2]App C Assum'!$A$4:$I$917,5,FALSE)</f>
        <v>14566</v>
      </c>
      <c r="X693" s="2">
        <f>VLOOKUP($A693,'[2]App C Assum'!$A$4:$I$917,6,FALSE)</f>
        <v>11933</v>
      </c>
      <c r="Y693" s="2">
        <f>VLOOKUP($A693,'[2]App C Assum'!$A$4:$I$917,7,FALSE)</f>
        <v>9687</v>
      </c>
      <c r="Z693" s="2">
        <f>VLOOKUP($A693,'[2]App C Assum'!$A$4:$I$917,8,FALSE)</f>
        <v>0</v>
      </c>
      <c r="AA693" s="2">
        <f>VLOOKUP($A693,'[2]App C Assum'!$A$4:$I$917,9,FALSE)</f>
        <v>0</v>
      </c>
      <c r="AB693" s="2"/>
      <c r="AC693" s="2">
        <f>VLOOKUP($A693,'[2]App C Share Outflows'!$A$4:$I$917,5,FALSE)</f>
        <v>10316</v>
      </c>
      <c r="AD693" s="2">
        <f>VLOOKUP($A693,'[2]App C Share Outflows'!$A$4:$I$917,6,FALSE)</f>
        <v>9597</v>
      </c>
      <c r="AE693" s="2">
        <f>VLOOKUP($A693,'[2]App C Share Outflows'!$A$4:$I$917,7,FALSE)</f>
        <v>7400</v>
      </c>
      <c r="AF693" s="2">
        <f>VLOOKUP($A693,'[2]App C Share Outflows'!$A$4:$I$917,8,FALSE)</f>
        <v>4861</v>
      </c>
      <c r="AG693" s="2">
        <f>VLOOKUP($A693,'[2]App C Share Outflows'!$A$4:$I$917,9,FALSE)</f>
        <v>0</v>
      </c>
      <c r="AH693" s="2"/>
      <c r="AI693" s="2">
        <f>VLOOKUP($A693,'[2]App C Share Inflows'!$A$4:$I$917,5,FALSE)</f>
        <v>0</v>
      </c>
      <c r="AJ693" s="2">
        <f>VLOOKUP($A693,'[2]App C Share Inflows'!$A$4:$I$917,6,FALSE)</f>
        <v>0</v>
      </c>
      <c r="AK693" s="2">
        <f>VLOOKUP($A693,'[2]App C Share Inflows'!$A$4:$I$917,7,FALSE)</f>
        <v>0</v>
      </c>
      <c r="AL693" s="2">
        <f>VLOOKUP($A693,'[2]App C Share Inflows'!$A$4:$I$917,8,FALSE)</f>
        <v>0</v>
      </c>
      <c r="AM693" s="2">
        <f>VLOOKUP($A693,'[2]App C Share Inflows'!$A$4:$I$917,6,FALSE)</f>
        <v>0</v>
      </c>
    </row>
    <row r="694" spans="1:39">
      <c r="A694" s="351">
        <v>97601</v>
      </c>
      <c r="B694" s="344" t="s">
        <v>1392</v>
      </c>
      <c r="C694" s="235" t="e">
        <f>VLOOKUP(A694,#REF!,10,FALSE)</f>
        <v>#REF!</v>
      </c>
      <c r="E694" s="2">
        <f>VLOOKUP($A694,'[2]App C Total'!$A$4:$I$917,5,FALSE)</f>
        <v>2597988</v>
      </c>
      <c r="F694" s="2">
        <f>VLOOKUP($A694,'[2]App C Total'!$A$4:$I$917,6,FALSE)</f>
        <v>827880</v>
      </c>
      <c r="G694" s="2">
        <f>VLOOKUP($A694,'[2]App C Total'!$A$4:$I$917,7,FALSE)</f>
        <v>1382948</v>
      </c>
      <c r="H694" s="2">
        <f>VLOOKUP($A694,'[2]App C Total'!$A$4:$I$917,8,FALSE)</f>
        <v>384546</v>
      </c>
      <c r="I694" s="2">
        <f>VLOOKUP($A694,'[2]App C Total'!$A$4:$I$917,9,FALSE)</f>
        <v>0</v>
      </c>
      <c r="J694" s="2"/>
      <c r="K694" s="2">
        <f>VLOOKUP($A694,'[2]App C Exp'!$A$4:$I$917,5,FALSE)</f>
        <v>793168</v>
      </c>
      <c r="L694" s="2">
        <f>VLOOKUP($A694,'[2]App C Exp'!$A$4:$I$917,6,FALSE)</f>
        <v>746115</v>
      </c>
      <c r="M694" s="2">
        <f>VLOOKUP($A694,'[2]App C Exp'!$A$4:$I$917,7,FALSE)</f>
        <v>668734</v>
      </c>
      <c r="N694" s="2">
        <f>VLOOKUP($A694,'[2]App C Exp'!$A$4:$I$917,8,FALSE)</f>
        <v>267753</v>
      </c>
      <c r="O694" s="2">
        <f>VLOOKUP($A694,'[2]App C Exp'!$A$4:$I$917,9,FALSE)</f>
        <v>0</v>
      </c>
      <c r="P694" s="2"/>
      <c r="Q694" s="2">
        <f>VLOOKUP($A694,'[2]App C Inv'!$A$4:$I$917,5,FALSE)</f>
        <v>842058</v>
      </c>
      <c r="R694" s="2">
        <f>VLOOKUP($A694,'[2]App C Inv'!$A$4:$I$917,6,FALSE)</f>
        <v>-724328</v>
      </c>
      <c r="S694" s="2">
        <f>VLOOKUP($A694,'[2]App C Inv'!$A$4:$I$917,7,FALSE)</f>
        <v>102085</v>
      </c>
      <c r="T694" s="2">
        <f>VLOOKUP($A694,'[2]App C Inv'!$A$4:$I$917,8,FALSE)</f>
        <v>132863</v>
      </c>
      <c r="U694" s="2">
        <f>VLOOKUP($A694,'[2]App C Inv'!$A$4:$I$917,9,FALSE)</f>
        <v>0</v>
      </c>
      <c r="V694" s="2"/>
      <c r="W694" s="2">
        <f>VLOOKUP($A694,'[2]App C Assum'!$A$4:$I$917,5,FALSE)</f>
        <v>948591</v>
      </c>
      <c r="X694" s="2">
        <f>VLOOKUP($A694,'[2]App C Assum'!$A$4:$I$917,6,FALSE)</f>
        <v>777120</v>
      </c>
      <c r="Y694" s="2">
        <f>VLOOKUP($A694,'[2]App C Assum'!$A$4:$I$917,7,FALSE)</f>
        <v>630889</v>
      </c>
      <c r="Z694" s="2">
        <f>VLOOKUP($A694,'[2]App C Assum'!$A$4:$I$917,8,FALSE)</f>
        <v>0</v>
      </c>
      <c r="AA694" s="2">
        <f>VLOOKUP($A694,'[2]App C Assum'!$A$4:$I$917,9,FALSE)</f>
        <v>0</v>
      </c>
      <c r="AB694" s="2"/>
      <c r="AC694" s="2">
        <f>VLOOKUP($A694,'[2]App C Share Outflows'!$A$4:$I$917,5,FALSE)</f>
        <v>47732</v>
      </c>
      <c r="AD694" s="2">
        <f>VLOOKUP($A694,'[2]App C Share Outflows'!$A$4:$I$917,6,FALSE)</f>
        <v>47731</v>
      </c>
      <c r="AE694" s="2">
        <f>VLOOKUP($A694,'[2]App C Share Outflows'!$A$4:$I$917,7,FALSE)</f>
        <v>0</v>
      </c>
      <c r="AF694" s="2">
        <f>VLOOKUP($A694,'[2]App C Share Outflows'!$A$4:$I$917,8,FALSE)</f>
        <v>0</v>
      </c>
      <c r="AG694" s="2">
        <f>VLOOKUP($A694,'[2]App C Share Outflows'!$A$4:$I$917,9,FALSE)</f>
        <v>0</v>
      </c>
      <c r="AH694" s="2"/>
      <c r="AI694" s="2">
        <f>VLOOKUP($A694,'[2]App C Share Inflows'!$A$4:$I$917,5,FALSE)</f>
        <v>-33561</v>
      </c>
      <c r="AJ694" s="2">
        <f>VLOOKUP($A694,'[2]App C Share Inflows'!$A$4:$I$917,6,FALSE)</f>
        <v>-18758</v>
      </c>
      <c r="AK694" s="2">
        <f>VLOOKUP($A694,'[2]App C Share Inflows'!$A$4:$I$917,7,FALSE)</f>
        <v>-18760</v>
      </c>
      <c r="AL694" s="2">
        <f>VLOOKUP($A694,'[2]App C Share Inflows'!$A$4:$I$917,8,FALSE)</f>
        <v>-16070</v>
      </c>
      <c r="AM694" s="2">
        <f>VLOOKUP($A694,'[2]App C Share Inflows'!$A$4:$I$917,6,FALSE)</f>
        <v>-18758</v>
      </c>
    </row>
    <row r="695" spans="1:39">
      <c r="A695" s="351">
        <v>97607</v>
      </c>
      <c r="B695" s="344" t="s">
        <v>1393</v>
      </c>
      <c r="C695" s="235" t="e">
        <f>VLOOKUP(A695,#REF!,10,FALSE)</f>
        <v>#REF!</v>
      </c>
      <c r="E695" s="2">
        <f>VLOOKUP($A695,'[2]App C Total'!$A$4:$I$917,5,FALSE)</f>
        <v>15569</v>
      </c>
      <c r="F695" s="2">
        <f>VLOOKUP($A695,'[2]App C Total'!$A$4:$I$917,6,FALSE)</f>
        <v>8071</v>
      </c>
      <c r="G695" s="2">
        <f>VLOOKUP($A695,'[2]App C Total'!$A$4:$I$917,7,FALSE)</f>
        <v>8437</v>
      </c>
      <c r="H695" s="2">
        <f>VLOOKUP($A695,'[2]App C Total'!$A$4:$I$917,8,FALSE)</f>
        <v>3091</v>
      </c>
      <c r="I695" s="2">
        <f>VLOOKUP($A695,'[2]App C Total'!$A$4:$I$917,9,FALSE)</f>
        <v>0</v>
      </c>
      <c r="J695" s="2"/>
      <c r="K695" s="2">
        <f>VLOOKUP($A695,'[2]App C Exp'!$A$4:$I$917,5,FALSE)</f>
        <v>3101</v>
      </c>
      <c r="L695" s="2">
        <f>VLOOKUP($A695,'[2]App C Exp'!$A$4:$I$917,6,FALSE)</f>
        <v>2917</v>
      </c>
      <c r="M695" s="2">
        <f>VLOOKUP($A695,'[2]App C Exp'!$A$4:$I$917,7,FALSE)</f>
        <v>2615</v>
      </c>
      <c r="N695" s="2">
        <f>VLOOKUP($A695,'[2]App C Exp'!$A$4:$I$917,8,FALSE)</f>
        <v>1047</v>
      </c>
      <c r="O695" s="2">
        <f>VLOOKUP($A695,'[2]App C Exp'!$A$4:$I$917,9,FALSE)</f>
        <v>0</v>
      </c>
      <c r="P695" s="2"/>
      <c r="Q695" s="2">
        <f>VLOOKUP($A695,'[2]App C Inv'!$A$4:$I$917,5,FALSE)</f>
        <v>3292</v>
      </c>
      <c r="R695" s="2">
        <f>VLOOKUP($A695,'[2]App C Inv'!$A$4:$I$917,6,FALSE)</f>
        <v>-2832</v>
      </c>
      <c r="S695" s="2">
        <f>VLOOKUP($A695,'[2]App C Inv'!$A$4:$I$917,7,FALSE)</f>
        <v>399</v>
      </c>
      <c r="T695" s="2">
        <f>VLOOKUP($A695,'[2]App C Inv'!$A$4:$I$917,8,FALSE)</f>
        <v>519</v>
      </c>
      <c r="U695" s="2">
        <f>VLOOKUP($A695,'[2]App C Inv'!$A$4:$I$917,9,FALSE)</f>
        <v>0</v>
      </c>
      <c r="V695" s="2"/>
      <c r="W695" s="2">
        <f>VLOOKUP($A695,'[2]App C Assum'!$A$4:$I$917,5,FALSE)</f>
        <v>3709</v>
      </c>
      <c r="X695" s="2">
        <f>VLOOKUP($A695,'[2]App C Assum'!$A$4:$I$917,6,FALSE)</f>
        <v>3038</v>
      </c>
      <c r="Y695" s="2">
        <f>VLOOKUP($A695,'[2]App C Assum'!$A$4:$I$917,7,FALSE)</f>
        <v>2467</v>
      </c>
      <c r="Z695" s="2">
        <f>VLOOKUP($A695,'[2]App C Assum'!$A$4:$I$917,8,FALSE)</f>
        <v>0</v>
      </c>
      <c r="AA695" s="2">
        <f>VLOOKUP($A695,'[2]App C Assum'!$A$4:$I$917,9,FALSE)</f>
        <v>0</v>
      </c>
      <c r="AB695" s="2"/>
      <c r="AC695" s="2">
        <f>VLOOKUP($A695,'[2]App C Share Outflows'!$A$4:$I$917,5,FALSE)</f>
        <v>5467</v>
      </c>
      <c r="AD695" s="2">
        <f>VLOOKUP($A695,'[2]App C Share Outflows'!$A$4:$I$917,6,FALSE)</f>
        <v>4948</v>
      </c>
      <c r="AE695" s="2">
        <f>VLOOKUP($A695,'[2]App C Share Outflows'!$A$4:$I$917,7,FALSE)</f>
        <v>2956</v>
      </c>
      <c r="AF695" s="2">
        <f>VLOOKUP($A695,'[2]App C Share Outflows'!$A$4:$I$917,8,FALSE)</f>
        <v>1525</v>
      </c>
      <c r="AG695" s="2">
        <f>VLOOKUP($A695,'[2]App C Share Outflows'!$A$4:$I$917,9,FALSE)</f>
        <v>0</v>
      </c>
      <c r="AH695" s="2"/>
      <c r="AI695" s="2">
        <f>VLOOKUP($A695,'[2]App C Share Inflows'!$A$4:$I$917,5,FALSE)</f>
        <v>0</v>
      </c>
      <c r="AJ695" s="2">
        <f>VLOOKUP($A695,'[2]App C Share Inflows'!$A$4:$I$917,6,FALSE)</f>
        <v>0</v>
      </c>
      <c r="AK695" s="2">
        <f>VLOOKUP($A695,'[2]App C Share Inflows'!$A$4:$I$917,7,FALSE)</f>
        <v>0</v>
      </c>
      <c r="AL695" s="2">
        <f>VLOOKUP($A695,'[2]App C Share Inflows'!$A$4:$I$917,8,FALSE)</f>
        <v>0</v>
      </c>
      <c r="AM695" s="2">
        <f>VLOOKUP($A695,'[2]App C Share Inflows'!$A$4:$I$917,6,FALSE)</f>
        <v>0</v>
      </c>
    </row>
    <row r="696" spans="1:39">
      <c r="A696" s="351">
        <v>97611</v>
      </c>
      <c r="B696" s="344" t="s">
        <v>1394</v>
      </c>
      <c r="C696" s="235" t="e">
        <f>VLOOKUP(A696,#REF!,10,FALSE)</f>
        <v>#REF!</v>
      </c>
      <c r="E696" s="2">
        <f>VLOOKUP($A696,'[2]App C Total'!$A$4:$I$917,5,FALSE)</f>
        <v>1047700</v>
      </c>
      <c r="F696" s="2">
        <f>VLOOKUP($A696,'[2]App C Total'!$A$4:$I$917,6,FALSE)</f>
        <v>300342</v>
      </c>
      <c r="G696" s="2">
        <f>VLOOKUP($A696,'[2]App C Total'!$A$4:$I$917,7,FALSE)</f>
        <v>586874</v>
      </c>
      <c r="H696" s="2">
        <f>VLOOKUP($A696,'[2]App C Total'!$A$4:$I$917,8,FALSE)</f>
        <v>173401</v>
      </c>
      <c r="I696" s="2">
        <f>VLOOKUP($A696,'[2]App C Total'!$A$4:$I$917,9,FALSE)</f>
        <v>0</v>
      </c>
      <c r="J696" s="2"/>
      <c r="K696" s="2">
        <f>VLOOKUP($A696,'[2]App C Exp'!$A$4:$I$917,5,FALSE)</f>
        <v>347822</v>
      </c>
      <c r="L696" s="2">
        <f>VLOOKUP($A696,'[2]App C Exp'!$A$4:$I$917,6,FALSE)</f>
        <v>327188</v>
      </c>
      <c r="M696" s="2">
        <f>VLOOKUP($A696,'[2]App C Exp'!$A$4:$I$917,7,FALSE)</f>
        <v>293255</v>
      </c>
      <c r="N696" s="2">
        <f>VLOOKUP($A696,'[2]App C Exp'!$A$4:$I$917,8,FALSE)</f>
        <v>117416</v>
      </c>
      <c r="O696" s="2">
        <f>VLOOKUP($A696,'[2]App C Exp'!$A$4:$I$917,9,FALSE)</f>
        <v>0</v>
      </c>
      <c r="P696" s="2"/>
      <c r="Q696" s="2">
        <f>VLOOKUP($A696,'[2]App C Inv'!$A$4:$I$917,5,FALSE)</f>
        <v>369261</v>
      </c>
      <c r="R696" s="2">
        <f>VLOOKUP($A696,'[2]App C Inv'!$A$4:$I$917,6,FALSE)</f>
        <v>-317634</v>
      </c>
      <c r="S696" s="2">
        <f>VLOOKUP($A696,'[2]App C Inv'!$A$4:$I$917,7,FALSE)</f>
        <v>44767</v>
      </c>
      <c r="T696" s="2">
        <f>VLOOKUP($A696,'[2]App C Inv'!$A$4:$I$917,8,FALSE)</f>
        <v>58263</v>
      </c>
      <c r="U696" s="2">
        <f>VLOOKUP($A696,'[2]App C Inv'!$A$4:$I$917,9,FALSE)</f>
        <v>0</v>
      </c>
      <c r="V696" s="2"/>
      <c r="W696" s="2">
        <f>VLOOKUP($A696,'[2]App C Assum'!$A$4:$I$917,5,FALSE)</f>
        <v>415978</v>
      </c>
      <c r="X696" s="2">
        <f>VLOOKUP($A696,'[2]App C Assum'!$A$4:$I$917,6,FALSE)</f>
        <v>340785</v>
      </c>
      <c r="Y696" s="2">
        <f>VLOOKUP($A696,'[2]App C Assum'!$A$4:$I$917,7,FALSE)</f>
        <v>276659</v>
      </c>
      <c r="Z696" s="2">
        <f>VLOOKUP($A696,'[2]App C Assum'!$A$4:$I$917,8,FALSE)</f>
        <v>0</v>
      </c>
      <c r="AA696" s="2">
        <f>VLOOKUP($A696,'[2]App C Assum'!$A$4:$I$917,9,FALSE)</f>
        <v>0</v>
      </c>
      <c r="AB696" s="2"/>
      <c r="AC696" s="2">
        <f>VLOOKUP($A696,'[2]App C Share Outflows'!$A$4:$I$917,5,FALSE)</f>
        <v>0</v>
      </c>
      <c r="AD696" s="2">
        <f>VLOOKUP($A696,'[2]App C Share Outflows'!$A$4:$I$917,6,FALSE)</f>
        <v>0</v>
      </c>
      <c r="AE696" s="2">
        <f>VLOOKUP($A696,'[2]App C Share Outflows'!$A$4:$I$917,7,FALSE)</f>
        <v>0</v>
      </c>
      <c r="AF696" s="2">
        <f>VLOOKUP($A696,'[2]App C Share Outflows'!$A$4:$I$917,8,FALSE)</f>
        <v>0</v>
      </c>
      <c r="AG696" s="2">
        <f>VLOOKUP($A696,'[2]App C Share Outflows'!$A$4:$I$917,9,FALSE)</f>
        <v>0</v>
      </c>
      <c r="AH696" s="2"/>
      <c r="AI696" s="2">
        <f>VLOOKUP($A696,'[2]App C Share Inflows'!$A$4:$I$917,5,FALSE)</f>
        <v>-85361</v>
      </c>
      <c r="AJ696" s="2">
        <f>VLOOKUP($A696,'[2]App C Share Inflows'!$A$4:$I$917,6,FALSE)</f>
        <v>-49997</v>
      </c>
      <c r="AK696" s="2">
        <f>VLOOKUP($A696,'[2]App C Share Inflows'!$A$4:$I$917,7,FALSE)</f>
        <v>-27807</v>
      </c>
      <c r="AL696" s="2">
        <f>VLOOKUP($A696,'[2]App C Share Inflows'!$A$4:$I$917,8,FALSE)</f>
        <v>-2278</v>
      </c>
      <c r="AM696" s="2">
        <f>VLOOKUP($A696,'[2]App C Share Inflows'!$A$4:$I$917,6,FALSE)</f>
        <v>-49997</v>
      </c>
    </row>
    <row r="697" spans="1:39">
      <c r="A697" s="351">
        <v>97613</v>
      </c>
      <c r="B697" s="344" t="s">
        <v>2753</v>
      </c>
      <c r="C697" s="235" t="e">
        <f>VLOOKUP(A697,#REF!,10,FALSE)</f>
        <v>#REF!</v>
      </c>
      <c r="E697" s="2">
        <f>VLOOKUP($A697,'[2]App C Total'!$A$4:$I$917,5,FALSE)</f>
        <v>43106</v>
      </c>
      <c r="F697" s="2">
        <f>VLOOKUP($A697,'[2]App C Total'!$A$4:$I$917,6,FALSE)</f>
        <v>12045</v>
      </c>
      <c r="G697" s="2">
        <f>VLOOKUP($A697,'[2]App C Total'!$A$4:$I$917,7,FALSE)</f>
        <v>22169</v>
      </c>
      <c r="H697" s="2">
        <f>VLOOKUP($A697,'[2]App C Total'!$A$4:$I$917,8,FALSE)</f>
        <v>4244</v>
      </c>
      <c r="I697" s="2">
        <f>VLOOKUP($A697,'[2]App C Total'!$A$4:$I$917,9,FALSE)</f>
        <v>0</v>
      </c>
      <c r="J697" s="2"/>
      <c r="K697" s="2">
        <f>VLOOKUP($A697,'[2]App C Exp'!$A$4:$I$917,5,FALSE)</f>
        <v>13273</v>
      </c>
      <c r="L697" s="2">
        <f>VLOOKUP($A697,'[2]App C Exp'!$A$4:$I$917,6,FALSE)</f>
        <v>12486</v>
      </c>
      <c r="M697" s="2">
        <f>VLOOKUP($A697,'[2]App C Exp'!$A$4:$I$917,7,FALSE)</f>
        <v>11191</v>
      </c>
      <c r="N697" s="2">
        <f>VLOOKUP($A697,'[2]App C Exp'!$A$4:$I$917,8,FALSE)</f>
        <v>4481</v>
      </c>
      <c r="O697" s="2">
        <f>VLOOKUP($A697,'[2]App C Exp'!$A$4:$I$917,9,FALSE)</f>
        <v>0</v>
      </c>
      <c r="P697" s="2"/>
      <c r="Q697" s="2">
        <f>VLOOKUP($A697,'[2]App C Inv'!$A$4:$I$917,5,FALSE)</f>
        <v>14091</v>
      </c>
      <c r="R697" s="2">
        <f>VLOOKUP($A697,'[2]App C Inv'!$A$4:$I$917,6,FALSE)</f>
        <v>-12121</v>
      </c>
      <c r="S697" s="2">
        <f>VLOOKUP($A697,'[2]App C Inv'!$A$4:$I$917,7,FALSE)</f>
        <v>1708</v>
      </c>
      <c r="T697" s="2">
        <f>VLOOKUP($A697,'[2]App C Inv'!$A$4:$I$917,8,FALSE)</f>
        <v>2223</v>
      </c>
      <c r="U697" s="2">
        <f>VLOOKUP($A697,'[2]App C Inv'!$A$4:$I$917,9,FALSE)</f>
        <v>0</v>
      </c>
      <c r="V697" s="2"/>
      <c r="W697" s="2">
        <f>VLOOKUP($A697,'[2]App C Assum'!$A$4:$I$917,5,FALSE)</f>
        <v>15874</v>
      </c>
      <c r="X697" s="2">
        <f>VLOOKUP($A697,'[2]App C Assum'!$A$4:$I$917,6,FALSE)</f>
        <v>13004</v>
      </c>
      <c r="Y697" s="2">
        <f>VLOOKUP($A697,'[2]App C Assum'!$A$4:$I$917,7,FALSE)</f>
        <v>10557</v>
      </c>
      <c r="Z697" s="2">
        <f>VLOOKUP($A697,'[2]App C Assum'!$A$4:$I$917,8,FALSE)</f>
        <v>0</v>
      </c>
      <c r="AA697" s="2">
        <f>VLOOKUP($A697,'[2]App C Assum'!$A$4:$I$917,9,FALSE)</f>
        <v>0</v>
      </c>
      <c r="AB697" s="2"/>
      <c r="AC697" s="2">
        <f>VLOOKUP($A697,'[2]App C Share Outflows'!$A$4:$I$917,5,FALSE)</f>
        <v>2367</v>
      </c>
      <c r="AD697" s="2">
        <f>VLOOKUP($A697,'[2]App C Share Outflows'!$A$4:$I$917,6,FALSE)</f>
        <v>1175</v>
      </c>
      <c r="AE697" s="2">
        <f>VLOOKUP($A697,'[2]App C Share Outflows'!$A$4:$I$917,7,FALSE)</f>
        <v>1174</v>
      </c>
      <c r="AF697" s="2">
        <f>VLOOKUP($A697,'[2]App C Share Outflows'!$A$4:$I$917,8,FALSE)</f>
        <v>0</v>
      </c>
      <c r="AG697" s="2">
        <f>VLOOKUP($A697,'[2]App C Share Outflows'!$A$4:$I$917,9,FALSE)</f>
        <v>0</v>
      </c>
      <c r="AH697" s="2"/>
      <c r="AI697" s="2">
        <f>VLOOKUP($A697,'[2]App C Share Inflows'!$A$4:$I$917,5,FALSE)</f>
        <v>-2499</v>
      </c>
      <c r="AJ697" s="2">
        <f>VLOOKUP($A697,'[2]App C Share Inflows'!$A$4:$I$917,6,FALSE)</f>
        <v>-2499</v>
      </c>
      <c r="AK697" s="2">
        <f>VLOOKUP($A697,'[2]App C Share Inflows'!$A$4:$I$917,7,FALSE)</f>
        <v>-2461</v>
      </c>
      <c r="AL697" s="2">
        <f>VLOOKUP($A697,'[2]App C Share Inflows'!$A$4:$I$917,8,FALSE)</f>
        <v>-2460</v>
      </c>
      <c r="AM697" s="2">
        <f>VLOOKUP($A697,'[2]App C Share Inflows'!$A$4:$I$917,6,FALSE)</f>
        <v>-2499</v>
      </c>
    </row>
    <row r="698" spans="1:39">
      <c r="A698" s="351">
        <v>97621</v>
      </c>
      <c r="B698" s="344" t="s">
        <v>1396</v>
      </c>
      <c r="C698" s="235" t="e">
        <f>VLOOKUP(A698,#REF!,10,FALSE)</f>
        <v>#REF!</v>
      </c>
      <c r="E698" s="2">
        <f>VLOOKUP($A698,'[2]App C Total'!$A$4:$I$917,5,FALSE)</f>
        <v>181434</v>
      </c>
      <c r="F698" s="2">
        <f>VLOOKUP($A698,'[2]App C Total'!$A$4:$I$917,6,FALSE)</f>
        <v>42932</v>
      </c>
      <c r="G698" s="2">
        <f>VLOOKUP($A698,'[2]App C Total'!$A$4:$I$917,7,FALSE)</f>
        <v>102425</v>
      </c>
      <c r="H698" s="2">
        <f>VLOOKUP($A698,'[2]App C Total'!$A$4:$I$917,8,FALSE)</f>
        <v>26399</v>
      </c>
      <c r="I698" s="2">
        <f>VLOOKUP($A698,'[2]App C Total'!$A$4:$I$917,9,FALSE)</f>
        <v>0</v>
      </c>
      <c r="J698" s="2"/>
      <c r="K698" s="2">
        <f>VLOOKUP($A698,'[2]App C Exp'!$A$4:$I$917,5,FALSE)</f>
        <v>65855</v>
      </c>
      <c r="L698" s="2">
        <f>VLOOKUP($A698,'[2]App C Exp'!$A$4:$I$917,6,FALSE)</f>
        <v>61948</v>
      </c>
      <c r="M698" s="2">
        <f>VLOOKUP($A698,'[2]App C Exp'!$A$4:$I$917,7,FALSE)</f>
        <v>55524</v>
      </c>
      <c r="N698" s="2">
        <f>VLOOKUP($A698,'[2]App C Exp'!$A$4:$I$917,8,FALSE)</f>
        <v>22231</v>
      </c>
      <c r="O698" s="2">
        <f>VLOOKUP($A698,'[2]App C Exp'!$A$4:$I$917,9,FALSE)</f>
        <v>0</v>
      </c>
      <c r="P698" s="2"/>
      <c r="Q698" s="2">
        <f>VLOOKUP($A698,'[2]App C Inv'!$A$4:$I$917,5,FALSE)</f>
        <v>69914</v>
      </c>
      <c r="R698" s="2">
        <f>VLOOKUP($A698,'[2]App C Inv'!$A$4:$I$917,6,FALSE)</f>
        <v>-60139</v>
      </c>
      <c r="S698" s="2">
        <f>VLOOKUP($A698,'[2]App C Inv'!$A$4:$I$917,7,FALSE)</f>
        <v>8476</v>
      </c>
      <c r="T698" s="2">
        <f>VLOOKUP($A698,'[2]App C Inv'!$A$4:$I$917,8,FALSE)</f>
        <v>11031</v>
      </c>
      <c r="U698" s="2">
        <f>VLOOKUP($A698,'[2]App C Inv'!$A$4:$I$917,9,FALSE)</f>
        <v>0</v>
      </c>
      <c r="V698" s="2"/>
      <c r="W698" s="2">
        <f>VLOOKUP($A698,'[2]App C Assum'!$A$4:$I$917,5,FALSE)</f>
        <v>78760</v>
      </c>
      <c r="X698" s="2">
        <f>VLOOKUP($A698,'[2]App C Assum'!$A$4:$I$917,6,FALSE)</f>
        <v>64523</v>
      </c>
      <c r="Y698" s="2">
        <f>VLOOKUP($A698,'[2]App C Assum'!$A$4:$I$917,7,FALSE)</f>
        <v>52381</v>
      </c>
      <c r="Z698" s="2">
        <f>VLOOKUP($A698,'[2]App C Assum'!$A$4:$I$917,8,FALSE)</f>
        <v>0</v>
      </c>
      <c r="AA698" s="2">
        <f>VLOOKUP($A698,'[2]App C Assum'!$A$4:$I$917,9,FALSE)</f>
        <v>0</v>
      </c>
      <c r="AB698" s="2"/>
      <c r="AC698" s="2">
        <f>VLOOKUP($A698,'[2]App C Share Outflows'!$A$4:$I$917,5,FALSE)</f>
        <v>0</v>
      </c>
      <c r="AD698" s="2">
        <f>VLOOKUP($A698,'[2]App C Share Outflows'!$A$4:$I$917,6,FALSE)</f>
        <v>0</v>
      </c>
      <c r="AE698" s="2">
        <f>VLOOKUP($A698,'[2]App C Share Outflows'!$A$4:$I$917,7,FALSE)</f>
        <v>0</v>
      </c>
      <c r="AF698" s="2">
        <f>VLOOKUP($A698,'[2]App C Share Outflows'!$A$4:$I$917,8,FALSE)</f>
        <v>0</v>
      </c>
      <c r="AG698" s="2">
        <f>VLOOKUP($A698,'[2]App C Share Outflows'!$A$4:$I$917,9,FALSE)</f>
        <v>0</v>
      </c>
      <c r="AH698" s="2"/>
      <c r="AI698" s="2">
        <f>VLOOKUP($A698,'[2]App C Share Inflows'!$A$4:$I$917,5,FALSE)</f>
        <v>-33095</v>
      </c>
      <c r="AJ698" s="2">
        <f>VLOOKUP($A698,'[2]App C Share Inflows'!$A$4:$I$917,6,FALSE)</f>
        <v>-23400</v>
      </c>
      <c r="AK698" s="2">
        <f>VLOOKUP($A698,'[2]App C Share Inflows'!$A$4:$I$917,7,FALSE)</f>
        <v>-13956</v>
      </c>
      <c r="AL698" s="2">
        <f>VLOOKUP($A698,'[2]App C Share Inflows'!$A$4:$I$917,8,FALSE)</f>
        <v>-6863</v>
      </c>
      <c r="AM698" s="2">
        <f>VLOOKUP($A698,'[2]App C Share Inflows'!$A$4:$I$917,6,FALSE)</f>
        <v>-23400</v>
      </c>
    </row>
    <row r="699" spans="1:39">
      <c r="A699" s="351">
        <v>97623</v>
      </c>
      <c r="B699" s="344" t="s">
        <v>1397</v>
      </c>
      <c r="C699" s="235" t="e">
        <f>VLOOKUP(A699,#REF!,10,FALSE)</f>
        <v>#REF!</v>
      </c>
      <c r="E699" s="2">
        <f>VLOOKUP($A699,'[2]App C Total'!$A$4:$I$917,5,FALSE)</f>
        <v>11343</v>
      </c>
      <c r="F699" s="2">
        <f>VLOOKUP($A699,'[2]App C Total'!$A$4:$I$917,6,FALSE)</f>
        <v>2517</v>
      </c>
      <c r="G699" s="2">
        <f>VLOOKUP($A699,'[2]App C Total'!$A$4:$I$917,7,FALSE)</f>
        <v>5843</v>
      </c>
      <c r="H699" s="2">
        <f>VLOOKUP($A699,'[2]App C Total'!$A$4:$I$917,8,FALSE)</f>
        <v>2093</v>
      </c>
      <c r="I699" s="2">
        <f>VLOOKUP($A699,'[2]App C Total'!$A$4:$I$917,9,FALSE)</f>
        <v>0</v>
      </c>
      <c r="J699" s="2"/>
      <c r="K699" s="2">
        <f>VLOOKUP($A699,'[2]App C Exp'!$A$4:$I$917,5,FALSE)</f>
        <v>3805</v>
      </c>
      <c r="L699" s="2">
        <f>VLOOKUP($A699,'[2]App C Exp'!$A$4:$I$917,6,FALSE)</f>
        <v>3579</v>
      </c>
      <c r="M699" s="2">
        <f>VLOOKUP($A699,'[2]App C Exp'!$A$4:$I$917,7,FALSE)</f>
        <v>3208</v>
      </c>
      <c r="N699" s="2">
        <f>VLOOKUP($A699,'[2]App C Exp'!$A$4:$I$917,8,FALSE)</f>
        <v>1285</v>
      </c>
      <c r="O699" s="2">
        <f>VLOOKUP($A699,'[2]App C Exp'!$A$4:$I$917,9,FALSE)</f>
        <v>0</v>
      </c>
      <c r="P699" s="2"/>
      <c r="Q699" s="2">
        <f>VLOOKUP($A699,'[2]App C Inv'!$A$4:$I$917,5,FALSE)</f>
        <v>4040</v>
      </c>
      <c r="R699" s="2">
        <f>VLOOKUP($A699,'[2]App C Inv'!$A$4:$I$917,6,FALSE)</f>
        <v>-3475</v>
      </c>
      <c r="S699" s="2">
        <f>VLOOKUP($A699,'[2]App C Inv'!$A$4:$I$917,7,FALSE)</f>
        <v>490</v>
      </c>
      <c r="T699" s="2">
        <f>VLOOKUP($A699,'[2]App C Inv'!$A$4:$I$917,8,FALSE)</f>
        <v>637</v>
      </c>
      <c r="U699" s="2">
        <f>VLOOKUP($A699,'[2]App C Inv'!$A$4:$I$917,9,FALSE)</f>
        <v>0</v>
      </c>
      <c r="V699" s="2"/>
      <c r="W699" s="2">
        <f>VLOOKUP($A699,'[2]App C Assum'!$A$4:$I$917,5,FALSE)</f>
        <v>4551</v>
      </c>
      <c r="X699" s="2">
        <f>VLOOKUP($A699,'[2]App C Assum'!$A$4:$I$917,6,FALSE)</f>
        <v>3728</v>
      </c>
      <c r="Y699" s="2">
        <f>VLOOKUP($A699,'[2]App C Assum'!$A$4:$I$917,7,FALSE)</f>
        <v>3027</v>
      </c>
      <c r="Z699" s="2">
        <f>VLOOKUP($A699,'[2]App C Assum'!$A$4:$I$917,8,FALSE)</f>
        <v>0</v>
      </c>
      <c r="AA699" s="2">
        <f>VLOOKUP($A699,'[2]App C Assum'!$A$4:$I$917,9,FALSE)</f>
        <v>0</v>
      </c>
      <c r="AB699" s="2"/>
      <c r="AC699" s="2">
        <f>VLOOKUP($A699,'[2]App C Share Outflows'!$A$4:$I$917,5,FALSE)</f>
        <v>433</v>
      </c>
      <c r="AD699" s="2">
        <f>VLOOKUP($A699,'[2]App C Share Outflows'!$A$4:$I$917,6,FALSE)</f>
        <v>170</v>
      </c>
      <c r="AE699" s="2">
        <f>VLOOKUP($A699,'[2]App C Share Outflows'!$A$4:$I$917,7,FALSE)</f>
        <v>170</v>
      </c>
      <c r="AF699" s="2">
        <f>VLOOKUP($A699,'[2]App C Share Outflows'!$A$4:$I$917,8,FALSE)</f>
        <v>171</v>
      </c>
      <c r="AG699" s="2">
        <f>VLOOKUP($A699,'[2]App C Share Outflows'!$A$4:$I$917,9,FALSE)</f>
        <v>0</v>
      </c>
      <c r="AH699" s="2"/>
      <c r="AI699" s="2">
        <f>VLOOKUP($A699,'[2]App C Share Inflows'!$A$4:$I$917,5,FALSE)</f>
        <v>-1486</v>
      </c>
      <c r="AJ699" s="2">
        <f>VLOOKUP($A699,'[2]App C Share Inflows'!$A$4:$I$917,6,FALSE)</f>
        <v>-1485</v>
      </c>
      <c r="AK699" s="2">
        <f>VLOOKUP($A699,'[2]App C Share Inflows'!$A$4:$I$917,7,FALSE)</f>
        <v>-1052</v>
      </c>
      <c r="AL699" s="2">
        <f>VLOOKUP($A699,'[2]App C Share Inflows'!$A$4:$I$917,8,FALSE)</f>
        <v>0</v>
      </c>
      <c r="AM699" s="2">
        <f>VLOOKUP($A699,'[2]App C Share Inflows'!$A$4:$I$917,6,FALSE)</f>
        <v>-1485</v>
      </c>
    </row>
    <row r="700" spans="1:39">
      <c r="A700" s="351">
        <v>97627</v>
      </c>
      <c r="B700" s="344" t="s">
        <v>1398</v>
      </c>
      <c r="C700" s="235" t="e">
        <f>VLOOKUP(A700,#REF!,10,FALSE)</f>
        <v>#REF!</v>
      </c>
      <c r="E700" s="2">
        <f>VLOOKUP($A700,'[2]App C Total'!$A$4:$I$917,5,FALSE)</f>
        <v>4964</v>
      </c>
      <c r="F700" s="2">
        <f>VLOOKUP($A700,'[2]App C Total'!$A$4:$I$917,6,FALSE)</f>
        <v>1706</v>
      </c>
      <c r="G700" s="2">
        <f>VLOOKUP($A700,'[2]App C Total'!$A$4:$I$917,7,FALSE)</f>
        <v>2736</v>
      </c>
      <c r="H700" s="2">
        <f>VLOOKUP($A700,'[2]App C Total'!$A$4:$I$917,8,FALSE)</f>
        <v>850</v>
      </c>
      <c r="I700" s="2">
        <f>VLOOKUP($A700,'[2]App C Total'!$A$4:$I$917,9,FALSE)</f>
        <v>0</v>
      </c>
      <c r="J700" s="2"/>
      <c r="K700" s="2">
        <f>VLOOKUP($A700,'[2]App C Exp'!$A$4:$I$917,5,FALSE)</f>
        <v>1393</v>
      </c>
      <c r="L700" s="2">
        <f>VLOOKUP($A700,'[2]App C Exp'!$A$4:$I$917,6,FALSE)</f>
        <v>1311</v>
      </c>
      <c r="M700" s="2">
        <f>VLOOKUP($A700,'[2]App C Exp'!$A$4:$I$917,7,FALSE)</f>
        <v>1175</v>
      </c>
      <c r="N700" s="2">
        <f>VLOOKUP($A700,'[2]App C Exp'!$A$4:$I$917,8,FALSE)</f>
        <v>470</v>
      </c>
      <c r="O700" s="2">
        <f>VLOOKUP($A700,'[2]App C Exp'!$A$4:$I$917,9,FALSE)</f>
        <v>0</v>
      </c>
      <c r="P700" s="2"/>
      <c r="Q700" s="2">
        <f>VLOOKUP($A700,'[2]App C Inv'!$A$4:$I$917,5,FALSE)</f>
        <v>1479</v>
      </c>
      <c r="R700" s="2">
        <f>VLOOKUP($A700,'[2]App C Inv'!$A$4:$I$917,6,FALSE)</f>
        <v>-1272</v>
      </c>
      <c r="S700" s="2">
        <f>VLOOKUP($A700,'[2]App C Inv'!$A$4:$I$917,7,FALSE)</f>
        <v>179</v>
      </c>
      <c r="T700" s="2">
        <f>VLOOKUP($A700,'[2]App C Inv'!$A$4:$I$917,8,FALSE)</f>
        <v>233</v>
      </c>
      <c r="U700" s="2">
        <f>VLOOKUP($A700,'[2]App C Inv'!$A$4:$I$917,9,FALSE)</f>
        <v>0</v>
      </c>
      <c r="V700" s="2"/>
      <c r="W700" s="2">
        <f>VLOOKUP($A700,'[2]App C Assum'!$A$4:$I$917,5,FALSE)</f>
        <v>1666</v>
      </c>
      <c r="X700" s="2">
        <f>VLOOKUP($A700,'[2]App C Assum'!$A$4:$I$917,6,FALSE)</f>
        <v>1365</v>
      </c>
      <c r="Y700" s="2">
        <f>VLOOKUP($A700,'[2]App C Assum'!$A$4:$I$917,7,FALSE)</f>
        <v>1108</v>
      </c>
      <c r="Z700" s="2">
        <f>VLOOKUP($A700,'[2]App C Assum'!$A$4:$I$917,8,FALSE)</f>
        <v>0</v>
      </c>
      <c r="AA700" s="2">
        <f>VLOOKUP($A700,'[2]App C Assum'!$A$4:$I$917,9,FALSE)</f>
        <v>0</v>
      </c>
      <c r="AB700" s="2"/>
      <c r="AC700" s="2">
        <f>VLOOKUP($A700,'[2]App C Share Outflows'!$A$4:$I$917,5,FALSE)</f>
        <v>426</v>
      </c>
      <c r="AD700" s="2">
        <f>VLOOKUP($A700,'[2]App C Share Outflows'!$A$4:$I$917,6,FALSE)</f>
        <v>302</v>
      </c>
      <c r="AE700" s="2">
        <f>VLOOKUP($A700,'[2]App C Share Outflows'!$A$4:$I$917,7,FALSE)</f>
        <v>274</v>
      </c>
      <c r="AF700" s="2">
        <f>VLOOKUP($A700,'[2]App C Share Outflows'!$A$4:$I$917,8,FALSE)</f>
        <v>147</v>
      </c>
      <c r="AG700" s="2">
        <f>VLOOKUP($A700,'[2]App C Share Outflows'!$A$4:$I$917,9,FALSE)</f>
        <v>0</v>
      </c>
      <c r="AH700" s="2"/>
      <c r="AI700" s="2">
        <f>VLOOKUP($A700,'[2]App C Share Inflows'!$A$4:$I$917,5,FALSE)</f>
        <v>0</v>
      </c>
      <c r="AJ700" s="2">
        <f>VLOOKUP($A700,'[2]App C Share Inflows'!$A$4:$I$917,6,FALSE)</f>
        <v>0</v>
      </c>
      <c r="AK700" s="2">
        <f>VLOOKUP($A700,'[2]App C Share Inflows'!$A$4:$I$917,7,FALSE)</f>
        <v>0</v>
      </c>
      <c r="AL700" s="2">
        <f>VLOOKUP($A700,'[2]App C Share Inflows'!$A$4:$I$917,8,FALSE)</f>
        <v>0</v>
      </c>
      <c r="AM700" s="2">
        <f>VLOOKUP($A700,'[2]App C Share Inflows'!$A$4:$I$917,6,FALSE)</f>
        <v>0</v>
      </c>
    </row>
    <row r="701" spans="1:39">
      <c r="A701" s="351">
        <v>97631</v>
      </c>
      <c r="B701" s="344" t="s">
        <v>1399</v>
      </c>
      <c r="C701" s="235" t="e">
        <f>VLOOKUP(A701,#REF!,10,FALSE)</f>
        <v>#REF!</v>
      </c>
      <c r="E701" s="2">
        <f>VLOOKUP($A701,'[2]App C Total'!$A$4:$I$917,5,FALSE)</f>
        <v>91769</v>
      </c>
      <c r="F701" s="2">
        <f>VLOOKUP($A701,'[2]App C Total'!$A$4:$I$917,6,FALSE)</f>
        <v>24109</v>
      </c>
      <c r="G701" s="2">
        <f>VLOOKUP($A701,'[2]App C Total'!$A$4:$I$917,7,FALSE)</f>
        <v>47489</v>
      </c>
      <c r="H701" s="2">
        <f>VLOOKUP($A701,'[2]App C Total'!$A$4:$I$917,8,FALSE)</f>
        <v>11478</v>
      </c>
      <c r="I701" s="2">
        <f>VLOOKUP($A701,'[2]App C Total'!$A$4:$I$917,9,FALSE)</f>
        <v>0</v>
      </c>
      <c r="J701" s="2"/>
      <c r="K701" s="2">
        <f>VLOOKUP($A701,'[2]App C Exp'!$A$4:$I$917,5,FALSE)</f>
        <v>29542</v>
      </c>
      <c r="L701" s="2">
        <f>VLOOKUP($A701,'[2]App C Exp'!$A$4:$I$917,6,FALSE)</f>
        <v>27789</v>
      </c>
      <c r="M701" s="2">
        <f>VLOOKUP($A701,'[2]App C Exp'!$A$4:$I$917,7,FALSE)</f>
        <v>24907</v>
      </c>
      <c r="N701" s="2">
        <f>VLOOKUP($A701,'[2]App C Exp'!$A$4:$I$917,8,FALSE)</f>
        <v>9973</v>
      </c>
      <c r="O701" s="2">
        <f>VLOOKUP($A701,'[2]App C Exp'!$A$4:$I$917,9,FALSE)</f>
        <v>0</v>
      </c>
      <c r="P701" s="2"/>
      <c r="Q701" s="2">
        <f>VLOOKUP($A701,'[2]App C Inv'!$A$4:$I$917,5,FALSE)</f>
        <v>31363</v>
      </c>
      <c r="R701" s="2">
        <f>VLOOKUP($A701,'[2]App C Inv'!$A$4:$I$917,6,FALSE)</f>
        <v>-26978</v>
      </c>
      <c r="S701" s="2">
        <f>VLOOKUP($A701,'[2]App C Inv'!$A$4:$I$917,7,FALSE)</f>
        <v>3802</v>
      </c>
      <c r="T701" s="2">
        <f>VLOOKUP($A701,'[2]App C Inv'!$A$4:$I$917,8,FALSE)</f>
        <v>4949</v>
      </c>
      <c r="U701" s="2">
        <f>VLOOKUP($A701,'[2]App C Inv'!$A$4:$I$917,9,FALSE)</f>
        <v>0</v>
      </c>
      <c r="V701" s="2"/>
      <c r="W701" s="2">
        <f>VLOOKUP($A701,'[2]App C Assum'!$A$4:$I$917,5,FALSE)</f>
        <v>35331</v>
      </c>
      <c r="X701" s="2">
        <f>VLOOKUP($A701,'[2]App C Assum'!$A$4:$I$917,6,FALSE)</f>
        <v>28944</v>
      </c>
      <c r="Y701" s="2">
        <f>VLOOKUP($A701,'[2]App C Assum'!$A$4:$I$917,7,FALSE)</f>
        <v>23498</v>
      </c>
      <c r="Z701" s="2">
        <f>VLOOKUP($A701,'[2]App C Assum'!$A$4:$I$917,8,FALSE)</f>
        <v>0</v>
      </c>
      <c r="AA701" s="2">
        <f>VLOOKUP($A701,'[2]App C Assum'!$A$4:$I$917,9,FALSE)</f>
        <v>0</v>
      </c>
      <c r="AB701" s="2"/>
      <c r="AC701" s="2">
        <f>VLOOKUP($A701,'[2]App C Share Outflows'!$A$4:$I$917,5,FALSE)</f>
        <v>1180</v>
      </c>
      <c r="AD701" s="2">
        <f>VLOOKUP($A701,'[2]App C Share Outflows'!$A$4:$I$917,6,FALSE)</f>
        <v>0</v>
      </c>
      <c r="AE701" s="2">
        <f>VLOOKUP($A701,'[2]App C Share Outflows'!$A$4:$I$917,7,FALSE)</f>
        <v>0</v>
      </c>
      <c r="AF701" s="2">
        <f>VLOOKUP($A701,'[2]App C Share Outflows'!$A$4:$I$917,8,FALSE)</f>
        <v>0</v>
      </c>
      <c r="AG701" s="2">
        <f>VLOOKUP($A701,'[2]App C Share Outflows'!$A$4:$I$917,9,FALSE)</f>
        <v>0</v>
      </c>
      <c r="AH701" s="2"/>
      <c r="AI701" s="2">
        <f>VLOOKUP($A701,'[2]App C Share Inflows'!$A$4:$I$917,5,FALSE)</f>
        <v>-5647</v>
      </c>
      <c r="AJ701" s="2">
        <f>VLOOKUP($A701,'[2]App C Share Inflows'!$A$4:$I$917,6,FALSE)</f>
        <v>-5646</v>
      </c>
      <c r="AK701" s="2">
        <f>VLOOKUP($A701,'[2]App C Share Inflows'!$A$4:$I$917,7,FALSE)</f>
        <v>-4718</v>
      </c>
      <c r="AL701" s="2">
        <f>VLOOKUP($A701,'[2]App C Share Inflows'!$A$4:$I$917,8,FALSE)</f>
        <v>-3444</v>
      </c>
      <c r="AM701" s="2">
        <f>VLOOKUP($A701,'[2]App C Share Inflows'!$A$4:$I$917,6,FALSE)</f>
        <v>-5646</v>
      </c>
    </row>
    <row r="702" spans="1:39">
      <c r="A702" s="351">
        <v>97637</v>
      </c>
      <c r="B702" s="344" t="s">
        <v>1400</v>
      </c>
      <c r="C702" s="235" t="e">
        <f>VLOOKUP(A702,#REF!,10,FALSE)</f>
        <v>#REF!</v>
      </c>
      <c r="E702" s="2">
        <f>VLOOKUP($A702,'[2]App C Total'!$A$4:$I$917,5,FALSE)</f>
        <v>2118</v>
      </c>
      <c r="F702" s="2">
        <f>VLOOKUP($A702,'[2]App C Total'!$A$4:$I$917,6,FALSE)</f>
        <v>1049</v>
      </c>
      <c r="G702" s="2">
        <f>VLOOKUP($A702,'[2]App C Total'!$A$4:$I$917,7,FALSE)</f>
        <v>1279</v>
      </c>
      <c r="H702" s="2">
        <f>VLOOKUP($A702,'[2]App C Total'!$A$4:$I$917,8,FALSE)</f>
        <v>481</v>
      </c>
      <c r="I702" s="2">
        <f>VLOOKUP($A702,'[2]App C Total'!$A$4:$I$917,9,FALSE)</f>
        <v>0</v>
      </c>
      <c r="J702" s="2"/>
      <c r="K702" s="2">
        <f>VLOOKUP($A702,'[2]App C Exp'!$A$4:$I$917,5,FALSE)</f>
        <v>479</v>
      </c>
      <c r="L702" s="2">
        <f>VLOOKUP($A702,'[2]App C Exp'!$A$4:$I$917,6,FALSE)</f>
        <v>451</v>
      </c>
      <c r="M702" s="2">
        <f>VLOOKUP($A702,'[2]App C Exp'!$A$4:$I$917,7,FALSE)</f>
        <v>404</v>
      </c>
      <c r="N702" s="2">
        <f>VLOOKUP($A702,'[2]App C Exp'!$A$4:$I$917,8,FALSE)</f>
        <v>162</v>
      </c>
      <c r="O702" s="2">
        <f>VLOOKUP($A702,'[2]App C Exp'!$A$4:$I$917,9,FALSE)</f>
        <v>0</v>
      </c>
      <c r="P702" s="2"/>
      <c r="Q702" s="2">
        <f>VLOOKUP($A702,'[2]App C Inv'!$A$4:$I$917,5,FALSE)</f>
        <v>509</v>
      </c>
      <c r="R702" s="2">
        <f>VLOOKUP($A702,'[2]App C Inv'!$A$4:$I$917,6,FALSE)</f>
        <v>-438</v>
      </c>
      <c r="S702" s="2">
        <f>VLOOKUP($A702,'[2]App C Inv'!$A$4:$I$917,7,FALSE)</f>
        <v>62</v>
      </c>
      <c r="T702" s="2">
        <f>VLOOKUP($A702,'[2]App C Inv'!$A$4:$I$917,8,FALSE)</f>
        <v>80</v>
      </c>
      <c r="U702" s="2">
        <f>VLOOKUP($A702,'[2]App C Inv'!$A$4:$I$917,9,FALSE)</f>
        <v>0</v>
      </c>
      <c r="V702" s="2"/>
      <c r="W702" s="2">
        <f>VLOOKUP($A702,'[2]App C Assum'!$A$4:$I$917,5,FALSE)</f>
        <v>573</v>
      </c>
      <c r="X702" s="2">
        <f>VLOOKUP($A702,'[2]App C Assum'!$A$4:$I$917,6,FALSE)</f>
        <v>470</v>
      </c>
      <c r="Y702" s="2">
        <f>VLOOKUP($A702,'[2]App C Assum'!$A$4:$I$917,7,FALSE)</f>
        <v>381</v>
      </c>
      <c r="Z702" s="2">
        <f>VLOOKUP($A702,'[2]App C Assum'!$A$4:$I$917,8,FALSE)</f>
        <v>0</v>
      </c>
      <c r="AA702" s="2">
        <f>VLOOKUP($A702,'[2]App C Assum'!$A$4:$I$917,9,FALSE)</f>
        <v>0</v>
      </c>
      <c r="AB702" s="2"/>
      <c r="AC702" s="2">
        <f>VLOOKUP($A702,'[2]App C Share Outflows'!$A$4:$I$917,5,FALSE)</f>
        <v>567</v>
      </c>
      <c r="AD702" s="2">
        <f>VLOOKUP($A702,'[2]App C Share Outflows'!$A$4:$I$917,6,FALSE)</f>
        <v>566</v>
      </c>
      <c r="AE702" s="2">
        <f>VLOOKUP($A702,'[2]App C Share Outflows'!$A$4:$I$917,7,FALSE)</f>
        <v>432</v>
      </c>
      <c r="AF702" s="2">
        <f>VLOOKUP($A702,'[2]App C Share Outflows'!$A$4:$I$917,8,FALSE)</f>
        <v>239</v>
      </c>
      <c r="AG702" s="2">
        <f>VLOOKUP($A702,'[2]App C Share Outflows'!$A$4:$I$917,9,FALSE)</f>
        <v>0</v>
      </c>
      <c r="AH702" s="2"/>
      <c r="AI702" s="2">
        <f>VLOOKUP($A702,'[2]App C Share Inflows'!$A$4:$I$917,5,FALSE)</f>
        <v>-10</v>
      </c>
      <c r="AJ702" s="2">
        <f>VLOOKUP($A702,'[2]App C Share Inflows'!$A$4:$I$917,6,FALSE)</f>
        <v>0</v>
      </c>
      <c r="AK702" s="2">
        <f>VLOOKUP($A702,'[2]App C Share Inflows'!$A$4:$I$917,7,FALSE)</f>
        <v>0</v>
      </c>
      <c r="AL702" s="2">
        <f>VLOOKUP($A702,'[2]App C Share Inflows'!$A$4:$I$917,8,FALSE)</f>
        <v>0</v>
      </c>
      <c r="AM702" s="2">
        <f>VLOOKUP($A702,'[2]App C Share Inflows'!$A$4:$I$917,6,FALSE)</f>
        <v>0</v>
      </c>
    </row>
    <row r="703" spans="1:39">
      <c r="A703" s="351">
        <v>97641</v>
      </c>
      <c r="B703" s="344" t="s">
        <v>1401</v>
      </c>
      <c r="C703" s="235" t="e">
        <f>VLOOKUP(A703,#REF!,10,FALSE)</f>
        <v>#REF!</v>
      </c>
      <c r="E703" s="2">
        <f>VLOOKUP($A703,'[2]App C Total'!$A$4:$I$917,5,FALSE)</f>
        <v>23390</v>
      </c>
      <c r="F703" s="2">
        <f>VLOOKUP($A703,'[2]App C Total'!$A$4:$I$917,6,FALSE)</f>
        <v>5638</v>
      </c>
      <c r="G703" s="2">
        <f>VLOOKUP($A703,'[2]App C Total'!$A$4:$I$917,7,FALSE)</f>
        <v>10311</v>
      </c>
      <c r="H703" s="2">
        <f>VLOOKUP($A703,'[2]App C Total'!$A$4:$I$917,8,FALSE)</f>
        <v>3798</v>
      </c>
      <c r="I703" s="2">
        <f>VLOOKUP($A703,'[2]App C Total'!$A$4:$I$917,9,FALSE)</f>
        <v>0</v>
      </c>
      <c r="J703" s="2"/>
      <c r="K703" s="2">
        <f>VLOOKUP($A703,'[2]App C Exp'!$A$4:$I$917,5,FALSE)</f>
        <v>6801</v>
      </c>
      <c r="L703" s="2">
        <f>VLOOKUP($A703,'[2]App C Exp'!$A$4:$I$917,6,FALSE)</f>
        <v>6398</v>
      </c>
      <c r="M703" s="2">
        <f>VLOOKUP($A703,'[2]App C Exp'!$A$4:$I$917,7,FALSE)</f>
        <v>5734</v>
      </c>
      <c r="N703" s="2">
        <f>VLOOKUP($A703,'[2]App C Exp'!$A$4:$I$917,8,FALSE)</f>
        <v>2296</v>
      </c>
      <c r="O703" s="2">
        <f>VLOOKUP($A703,'[2]App C Exp'!$A$4:$I$917,9,FALSE)</f>
        <v>0</v>
      </c>
      <c r="P703" s="2"/>
      <c r="Q703" s="2">
        <f>VLOOKUP($A703,'[2]App C Inv'!$A$4:$I$917,5,FALSE)</f>
        <v>7220</v>
      </c>
      <c r="R703" s="2">
        <f>VLOOKUP($A703,'[2]App C Inv'!$A$4:$I$917,6,FALSE)</f>
        <v>-6211</v>
      </c>
      <c r="S703" s="2">
        <f>VLOOKUP($A703,'[2]App C Inv'!$A$4:$I$917,7,FALSE)</f>
        <v>875</v>
      </c>
      <c r="T703" s="2">
        <f>VLOOKUP($A703,'[2]App C Inv'!$A$4:$I$917,8,FALSE)</f>
        <v>1139</v>
      </c>
      <c r="U703" s="2">
        <f>VLOOKUP($A703,'[2]App C Inv'!$A$4:$I$917,9,FALSE)</f>
        <v>0</v>
      </c>
      <c r="V703" s="2"/>
      <c r="W703" s="2">
        <f>VLOOKUP($A703,'[2]App C Assum'!$A$4:$I$917,5,FALSE)</f>
        <v>8134</v>
      </c>
      <c r="X703" s="2">
        <f>VLOOKUP($A703,'[2]App C Assum'!$A$4:$I$917,6,FALSE)</f>
        <v>6664</v>
      </c>
      <c r="Y703" s="2">
        <f>VLOOKUP($A703,'[2]App C Assum'!$A$4:$I$917,7,FALSE)</f>
        <v>5410</v>
      </c>
      <c r="Z703" s="2">
        <f>VLOOKUP($A703,'[2]App C Assum'!$A$4:$I$917,8,FALSE)</f>
        <v>0</v>
      </c>
      <c r="AA703" s="2">
        <f>VLOOKUP($A703,'[2]App C Assum'!$A$4:$I$917,9,FALSE)</f>
        <v>0</v>
      </c>
      <c r="AB703" s="2"/>
      <c r="AC703" s="2">
        <f>VLOOKUP($A703,'[2]App C Share Outflows'!$A$4:$I$917,5,FALSE)</f>
        <v>3306</v>
      </c>
      <c r="AD703" s="2">
        <f>VLOOKUP($A703,'[2]App C Share Outflows'!$A$4:$I$917,6,FALSE)</f>
        <v>858</v>
      </c>
      <c r="AE703" s="2">
        <f>VLOOKUP($A703,'[2]App C Share Outflows'!$A$4:$I$917,7,FALSE)</f>
        <v>365</v>
      </c>
      <c r="AF703" s="2">
        <f>VLOOKUP($A703,'[2]App C Share Outflows'!$A$4:$I$917,8,FALSE)</f>
        <v>363</v>
      </c>
      <c r="AG703" s="2">
        <f>VLOOKUP($A703,'[2]App C Share Outflows'!$A$4:$I$917,9,FALSE)</f>
        <v>0</v>
      </c>
      <c r="AH703" s="2"/>
      <c r="AI703" s="2">
        <f>VLOOKUP($A703,'[2]App C Share Inflows'!$A$4:$I$917,5,FALSE)</f>
        <v>-2071</v>
      </c>
      <c r="AJ703" s="2">
        <f>VLOOKUP($A703,'[2]App C Share Inflows'!$A$4:$I$917,6,FALSE)</f>
        <v>-2071</v>
      </c>
      <c r="AK703" s="2">
        <f>VLOOKUP($A703,'[2]App C Share Inflows'!$A$4:$I$917,7,FALSE)</f>
        <v>-2073</v>
      </c>
      <c r="AL703" s="2">
        <f>VLOOKUP($A703,'[2]App C Share Inflows'!$A$4:$I$917,8,FALSE)</f>
        <v>0</v>
      </c>
      <c r="AM703" s="2">
        <f>VLOOKUP($A703,'[2]App C Share Inflows'!$A$4:$I$917,6,FALSE)</f>
        <v>-2071</v>
      </c>
    </row>
    <row r="704" spans="1:39">
      <c r="A704" s="351">
        <v>97651</v>
      </c>
      <c r="B704" s="344" t="s">
        <v>1402</v>
      </c>
      <c r="C704" s="235" t="e">
        <f>VLOOKUP(A704,#REF!,10,FALSE)</f>
        <v>#REF!</v>
      </c>
      <c r="E704" s="2">
        <f>VLOOKUP($A704,'[2]App C Total'!$A$4:$I$917,5,FALSE)</f>
        <v>236642</v>
      </c>
      <c r="F704" s="2">
        <f>VLOOKUP($A704,'[2]App C Total'!$A$4:$I$917,6,FALSE)</f>
        <v>67128</v>
      </c>
      <c r="G704" s="2">
        <f>VLOOKUP($A704,'[2]App C Total'!$A$4:$I$917,7,FALSE)</f>
        <v>129271</v>
      </c>
      <c r="H704" s="2">
        <f>VLOOKUP($A704,'[2]App C Total'!$A$4:$I$917,8,FALSE)</f>
        <v>34704</v>
      </c>
      <c r="I704" s="2">
        <f>VLOOKUP($A704,'[2]App C Total'!$A$4:$I$917,9,FALSE)</f>
        <v>0</v>
      </c>
      <c r="J704" s="2"/>
      <c r="K704" s="2">
        <f>VLOOKUP($A704,'[2]App C Exp'!$A$4:$I$917,5,FALSE)</f>
        <v>78394</v>
      </c>
      <c r="L704" s="2">
        <f>VLOOKUP($A704,'[2]App C Exp'!$A$4:$I$917,6,FALSE)</f>
        <v>73743</v>
      </c>
      <c r="M704" s="2">
        <f>VLOOKUP($A704,'[2]App C Exp'!$A$4:$I$917,7,FALSE)</f>
        <v>66095</v>
      </c>
      <c r="N704" s="2">
        <f>VLOOKUP($A704,'[2]App C Exp'!$A$4:$I$917,8,FALSE)</f>
        <v>26464</v>
      </c>
      <c r="O704" s="2">
        <f>VLOOKUP($A704,'[2]App C Exp'!$A$4:$I$917,9,FALSE)</f>
        <v>0</v>
      </c>
      <c r="P704" s="2"/>
      <c r="Q704" s="2">
        <f>VLOOKUP($A704,'[2]App C Inv'!$A$4:$I$917,5,FALSE)</f>
        <v>83226</v>
      </c>
      <c r="R704" s="2">
        <f>VLOOKUP($A704,'[2]App C Inv'!$A$4:$I$917,6,FALSE)</f>
        <v>-71590</v>
      </c>
      <c r="S704" s="2">
        <f>VLOOKUP($A704,'[2]App C Inv'!$A$4:$I$917,7,FALSE)</f>
        <v>10090</v>
      </c>
      <c r="T704" s="2">
        <f>VLOOKUP($A704,'[2]App C Inv'!$A$4:$I$917,8,FALSE)</f>
        <v>13132</v>
      </c>
      <c r="U704" s="2">
        <f>VLOOKUP($A704,'[2]App C Inv'!$A$4:$I$917,9,FALSE)</f>
        <v>0</v>
      </c>
      <c r="V704" s="2"/>
      <c r="W704" s="2">
        <f>VLOOKUP($A704,'[2]App C Assum'!$A$4:$I$917,5,FALSE)</f>
        <v>93755</v>
      </c>
      <c r="X704" s="2">
        <f>VLOOKUP($A704,'[2]App C Assum'!$A$4:$I$917,6,FALSE)</f>
        <v>76808</v>
      </c>
      <c r="Y704" s="2">
        <f>VLOOKUP($A704,'[2]App C Assum'!$A$4:$I$917,7,FALSE)</f>
        <v>62355</v>
      </c>
      <c r="Z704" s="2">
        <f>VLOOKUP($A704,'[2]App C Assum'!$A$4:$I$917,8,FALSE)</f>
        <v>0</v>
      </c>
      <c r="AA704" s="2">
        <f>VLOOKUP($A704,'[2]App C Assum'!$A$4:$I$917,9,FALSE)</f>
        <v>0</v>
      </c>
      <c r="AB704" s="2"/>
      <c r="AC704" s="2">
        <f>VLOOKUP($A704,'[2]App C Share Outflows'!$A$4:$I$917,5,FALSE)</f>
        <v>0</v>
      </c>
      <c r="AD704" s="2">
        <f>VLOOKUP($A704,'[2]App C Share Outflows'!$A$4:$I$917,6,FALSE)</f>
        <v>0</v>
      </c>
      <c r="AE704" s="2">
        <f>VLOOKUP($A704,'[2]App C Share Outflows'!$A$4:$I$917,7,FALSE)</f>
        <v>0</v>
      </c>
      <c r="AF704" s="2">
        <f>VLOOKUP($A704,'[2]App C Share Outflows'!$A$4:$I$917,8,FALSE)</f>
        <v>0</v>
      </c>
      <c r="AG704" s="2">
        <f>VLOOKUP($A704,'[2]App C Share Outflows'!$A$4:$I$917,9,FALSE)</f>
        <v>0</v>
      </c>
      <c r="AH704" s="2"/>
      <c r="AI704" s="2">
        <f>VLOOKUP($A704,'[2]App C Share Inflows'!$A$4:$I$917,5,FALSE)</f>
        <v>-18733</v>
      </c>
      <c r="AJ704" s="2">
        <f>VLOOKUP($A704,'[2]App C Share Inflows'!$A$4:$I$917,6,FALSE)</f>
        <v>-11833</v>
      </c>
      <c r="AK704" s="2">
        <f>VLOOKUP($A704,'[2]App C Share Inflows'!$A$4:$I$917,7,FALSE)</f>
        <v>-9269</v>
      </c>
      <c r="AL704" s="2">
        <f>VLOOKUP($A704,'[2]App C Share Inflows'!$A$4:$I$917,8,FALSE)</f>
        <v>-4892</v>
      </c>
      <c r="AM704" s="2">
        <f>VLOOKUP($A704,'[2]App C Share Inflows'!$A$4:$I$917,6,FALSE)</f>
        <v>-11833</v>
      </c>
    </row>
    <row r="705" spans="1:39">
      <c r="A705" s="351">
        <v>97661</v>
      </c>
      <c r="B705" s="344" t="s">
        <v>1403</v>
      </c>
      <c r="C705" s="235" t="e">
        <f>VLOOKUP(A705,#REF!,10,FALSE)</f>
        <v>#REF!</v>
      </c>
      <c r="E705" s="2">
        <f>VLOOKUP($A705,'[2]App C Total'!$A$4:$I$917,5,FALSE)</f>
        <v>30365</v>
      </c>
      <c r="F705" s="2">
        <f>VLOOKUP($A705,'[2]App C Total'!$A$4:$I$917,6,FALSE)</f>
        <v>10817</v>
      </c>
      <c r="G705" s="2">
        <f>VLOOKUP($A705,'[2]App C Total'!$A$4:$I$917,7,FALSE)</f>
        <v>15460</v>
      </c>
      <c r="H705" s="2">
        <f>VLOOKUP($A705,'[2]App C Total'!$A$4:$I$917,8,FALSE)</f>
        <v>5866</v>
      </c>
      <c r="I705" s="2">
        <f>VLOOKUP($A705,'[2]App C Total'!$A$4:$I$917,9,FALSE)</f>
        <v>0</v>
      </c>
      <c r="J705" s="2"/>
      <c r="K705" s="2">
        <f>VLOOKUP($A705,'[2]App C Exp'!$A$4:$I$917,5,FALSE)</f>
        <v>7985</v>
      </c>
      <c r="L705" s="2">
        <f>VLOOKUP($A705,'[2]App C Exp'!$A$4:$I$917,6,FALSE)</f>
        <v>7511</v>
      </c>
      <c r="M705" s="2">
        <f>VLOOKUP($A705,'[2]App C Exp'!$A$4:$I$917,7,FALSE)</f>
        <v>6732</v>
      </c>
      <c r="N705" s="2">
        <f>VLOOKUP($A705,'[2]App C Exp'!$A$4:$I$917,8,FALSE)</f>
        <v>2695</v>
      </c>
      <c r="O705" s="2">
        <f>VLOOKUP($A705,'[2]App C Exp'!$A$4:$I$917,9,FALSE)</f>
        <v>0</v>
      </c>
      <c r="P705" s="2"/>
      <c r="Q705" s="2">
        <f>VLOOKUP($A705,'[2]App C Inv'!$A$4:$I$917,5,FALSE)</f>
        <v>8477</v>
      </c>
      <c r="R705" s="2">
        <f>VLOOKUP($A705,'[2]App C Inv'!$A$4:$I$917,6,FALSE)</f>
        <v>-7292</v>
      </c>
      <c r="S705" s="2">
        <f>VLOOKUP($A705,'[2]App C Inv'!$A$4:$I$917,7,FALSE)</f>
        <v>1028</v>
      </c>
      <c r="T705" s="2">
        <f>VLOOKUP($A705,'[2]App C Inv'!$A$4:$I$917,8,FALSE)</f>
        <v>1338</v>
      </c>
      <c r="U705" s="2">
        <f>VLOOKUP($A705,'[2]App C Inv'!$A$4:$I$917,9,FALSE)</f>
        <v>0</v>
      </c>
      <c r="V705" s="2"/>
      <c r="W705" s="2">
        <f>VLOOKUP($A705,'[2]App C Assum'!$A$4:$I$917,5,FALSE)</f>
        <v>9549</v>
      </c>
      <c r="X705" s="2">
        <f>VLOOKUP($A705,'[2]App C Assum'!$A$4:$I$917,6,FALSE)</f>
        <v>7823</v>
      </c>
      <c r="Y705" s="2">
        <f>VLOOKUP($A705,'[2]App C Assum'!$A$4:$I$917,7,FALSE)</f>
        <v>6351</v>
      </c>
      <c r="Z705" s="2">
        <f>VLOOKUP($A705,'[2]App C Assum'!$A$4:$I$917,8,FALSE)</f>
        <v>0</v>
      </c>
      <c r="AA705" s="2">
        <f>VLOOKUP($A705,'[2]App C Assum'!$A$4:$I$917,9,FALSE)</f>
        <v>0</v>
      </c>
      <c r="AB705" s="2"/>
      <c r="AC705" s="2">
        <f>VLOOKUP($A705,'[2]App C Share Outflows'!$A$4:$I$917,5,FALSE)</f>
        <v>4839</v>
      </c>
      <c r="AD705" s="2">
        <f>VLOOKUP($A705,'[2]App C Share Outflows'!$A$4:$I$917,6,FALSE)</f>
        <v>3260</v>
      </c>
      <c r="AE705" s="2">
        <f>VLOOKUP($A705,'[2]App C Share Outflows'!$A$4:$I$917,7,FALSE)</f>
        <v>1834</v>
      </c>
      <c r="AF705" s="2">
        <f>VLOOKUP($A705,'[2]App C Share Outflows'!$A$4:$I$917,8,FALSE)</f>
        <v>1833</v>
      </c>
      <c r="AG705" s="2">
        <f>VLOOKUP($A705,'[2]App C Share Outflows'!$A$4:$I$917,9,FALSE)</f>
        <v>0</v>
      </c>
      <c r="AH705" s="2"/>
      <c r="AI705" s="2">
        <f>VLOOKUP($A705,'[2]App C Share Inflows'!$A$4:$I$917,5,FALSE)</f>
        <v>-485</v>
      </c>
      <c r="AJ705" s="2">
        <f>VLOOKUP($A705,'[2]App C Share Inflows'!$A$4:$I$917,6,FALSE)</f>
        <v>-485</v>
      </c>
      <c r="AK705" s="2">
        <f>VLOOKUP($A705,'[2]App C Share Inflows'!$A$4:$I$917,7,FALSE)</f>
        <v>-485</v>
      </c>
      <c r="AL705" s="2">
        <f>VLOOKUP($A705,'[2]App C Share Inflows'!$A$4:$I$917,8,FALSE)</f>
        <v>0</v>
      </c>
      <c r="AM705" s="2">
        <f>VLOOKUP($A705,'[2]App C Share Inflows'!$A$4:$I$917,6,FALSE)</f>
        <v>-485</v>
      </c>
    </row>
    <row r="706" spans="1:39">
      <c r="A706" s="351">
        <v>97701</v>
      </c>
      <c r="B706" s="344" t="s">
        <v>1404</v>
      </c>
      <c r="C706" s="235" t="e">
        <f>VLOOKUP(A706,#REF!,10,FALSE)</f>
        <v>#REF!</v>
      </c>
      <c r="E706" s="2">
        <f>VLOOKUP($A706,'[2]App C Total'!$A$4:$I$917,5,FALSE)</f>
        <v>1192282</v>
      </c>
      <c r="F706" s="2">
        <f>VLOOKUP($A706,'[2]App C Total'!$A$4:$I$917,6,FALSE)</f>
        <v>359369</v>
      </c>
      <c r="G706" s="2">
        <f>VLOOKUP($A706,'[2]App C Total'!$A$4:$I$917,7,FALSE)</f>
        <v>639050</v>
      </c>
      <c r="H706" s="2">
        <f>VLOOKUP($A706,'[2]App C Total'!$A$4:$I$917,8,FALSE)</f>
        <v>164842</v>
      </c>
      <c r="I706" s="2">
        <f>VLOOKUP($A706,'[2]App C Total'!$A$4:$I$917,9,FALSE)</f>
        <v>0</v>
      </c>
      <c r="J706" s="2"/>
      <c r="K706" s="2">
        <f>VLOOKUP($A706,'[2]App C Exp'!$A$4:$I$917,5,FALSE)</f>
        <v>368196</v>
      </c>
      <c r="L706" s="2">
        <f>VLOOKUP($A706,'[2]App C Exp'!$A$4:$I$917,6,FALSE)</f>
        <v>346353</v>
      </c>
      <c r="M706" s="2">
        <f>VLOOKUP($A706,'[2]App C Exp'!$A$4:$I$917,7,FALSE)</f>
        <v>310432</v>
      </c>
      <c r="N706" s="2">
        <f>VLOOKUP($A706,'[2]App C Exp'!$A$4:$I$917,8,FALSE)</f>
        <v>124293</v>
      </c>
      <c r="O706" s="2">
        <f>VLOOKUP($A706,'[2]App C Exp'!$A$4:$I$917,9,FALSE)</f>
        <v>0</v>
      </c>
      <c r="P706" s="2"/>
      <c r="Q706" s="2">
        <f>VLOOKUP($A706,'[2]App C Inv'!$A$4:$I$917,5,FALSE)</f>
        <v>390891</v>
      </c>
      <c r="R706" s="2">
        <f>VLOOKUP($A706,'[2]App C Inv'!$A$4:$I$917,6,FALSE)</f>
        <v>-336239</v>
      </c>
      <c r="S706" s="2">
        <f>VLOOKUP($A706,'[2]App C Inv'!$A$4:$I$917,7,FALSE)</f>
        <v>47389</v>
      </c>
      <c r="T706" s="2">
        <f>VLOOKUP($A706,'[2]App C Inv'!$A$4:$I$917,8,FALSE)</f>
        <v>61676</v>
      </c>
      <c r="U706" s="2">
        <f>VLOOKUP($A706,'[2]App C Inv'!$A$4:$I$917,9,FALSE)</f>
        <v>0</v>
      </c>
      <c r="V706" s="2"/>
      <c r="W706" s="2">
        <f>VLOOKUP($A706,'[2]App C Assum'!$A$4:$I$917,5,FALSE)</f>
        <v>440344</v>
      </c>
      <c r="X706" s="2">
        <f>VLOOKUP($A706,'[2]App C Assum'!$A$4:$I$917,6,FALSE)</f>
        <v>360746</v>
      </c>
      <c r="Y706" s="2">
        <f>VLOOKUP($A706,'[2]App C Assum'!$A$4:$I$917,7,FALSE)</f>
        <v>292864</v>
      </c>
      <c r="Z706" s="2">
        <f>VLOOKUP($A706,'[2]App C Assum'!$A$4:$I$917,8,FALSE)</f>
        <v>0</v>
      </c>
      <c r="AA706" s="2">
        <f>VLOOKUP($A706,'[2]App C Assum'!$A$4:$I$917,9,FALSE)</f>
        <v>0</v>
      </c>
      <c r="AB706" s="2"/>
      <c r="AC706" s="2">
        <f>VLOOKUP($A706,'[2]App C Share Outflows'!$A$4:$I$917,5,FALSE)</f>
        <v>13976</v>
      </c>
      <c r="AD706" s="2">
        <f>VLOOKUP($A706,'[2]App C Share Outflows'!$A$4:$I$917,6,FALSE)</f>
        <v>9634</v>
      </c>
      <c r="AE706" s="2">
        <f>VLOOKUP($A706,'[2]App C Share Outflows'!$A$4:$I$917,7,FALSE)</f>
        <v>9490</v>
      </c>
      <c r="AF706" s="2">
        <f>VLOOKUP($A706,'[2]App C Share Outflows'!$A$4:$I$917,8,FALSE)</f>
        <v>0</v>
      </c>
      <c r="AG706" s="2">
        <f>VLOOKUP($A706,'[2]App C Share Outflows'!$A$4:$I$917,9,FALSE)</f>
        <v>0</v>
      </c>
      <c r="AH706" s="2"/>
      <c r="AI706" s="2">
        <f>VLOOKUP($A706,'[2]App C Share Inflows'!$A$4:$I$917,5,FALSE)</f>
        <v>-21125</v>
      </c>
      <c r="AJ706" s="2">
        <f>VLOOKUP($A706,'[2]App C Share Inflows'!$A$4:$I$917,6,FALSE)</f>
        <v>-21125</v>
      </c>
      <c r="AK706" s="2">
        <f>VLOOKUP($A706,'[2]App C Share Inflows'!$A$4:$I$917,7,FALSE)</f>
        <v>-21125</v>
      </c>
      <c r="AL706" s="2">
        <f>VLOOKUP($A706,'[2]App C Share Inflows'!$A$4:$I$917,8,FALSE)</f>
        <v>-21127</v>
      </c>
      <c r="AM706" s="2">
        <f>VLOOKUP($A706,'[2]App C Share Inflows'!$A$4:$I$917,6,FALSE)</f>
        <v>-21125</v>
      </c>
    </row>
    <row r="707" spans="1:39">
      <c r="A707" s="351">
        <v>97705</v>
      </c>
      <c r="B707" s="344" t="s">
        <v>1405</v>
      </c>
      <c r="C707" s="235" t="e">
        <f>VLOOKUP(A707,#REF!,10,FALSE)</f>
        <v>#REF!</v>
      </c>
      <c r="E707" s="2">
        <f>VLOOKUP($A707,'[2]App C Total'!$A$4:$I$917,5,FALSE)</f>
        <v>11766</v>
      </c>
      <c r="F707" s="2">
        <f>VLOOKUP($A707,'[2]App C Total'!$A$4:$I$917,6,FALSE)</f>
        <v>365</v>
      </c>
      <c r="G707" s="2">
        <f>VLOOKUP($A707,'[2]App C Total'!$A$4:$I$917,7,FALSE)</f>
        <v>6662</v>
      </c>
      <c r="H707" s="2">
        <f>VLOOKUP($A707,'[2]App C Total'!$A$4:$I$917,8,FALSE)</f>
        <v>795</v>
      </c>
      <c r="I707" s="2">
        <f>VLOOKUP($A707,'[2]App C Total'!$A$4:$I$917,9,FALSE)</f>
        <v>0</v>
      </c>
      <c r="J707" s="2"/>
      <c r="K707" s="2">
        <f>VLOOKUP($A707,'[2]App C Exp'!$A$4:$I$917,5,FALSE)</f>
        <v>4749</v>
      </c>
      <c r="L707" s="2">
        <f>VLOOKUP($A707,'[2]App C Exp'!$A$4:$I$917,6,FALSE)</f>
        <v>4467</v>
      </c>
      <c r="M707" s="2">
        <f>VLOOKUP($A707,'[2]App C Exp'!$A$4:$I$917,7,FALSE)</f>
        <v>4004</v>
      </c>
      <c r="N707" s="2">
        <f>VLOOKUP($A707,'[2]App C Exp'!$A$4:$I$917,8,FALSE)</f>
        <v>1603</v>
      </c>
      <c r="O707" s="2">
        <f>VLOOKUP($A707,'[2]App C Exp'!$A$4:$I$917,9,FALSE)</f>
        <v>0</v>
      </c>
      <c r="P707" s="2"/>
      <c r="Q707" s="2">
        <f>VLOOKUP($A707,'[2]App C Inv'!$A$4:$I$917,5,FALSE)</f>
        <v>5042</v>
      </c>
      <c r="R707" s="2">
        <f>VLOOKUP($A707,'[2]App C Inv'!$A$4:$I$917,6,FALSE)</f>
        <v>-4337</v>
      </c>
      <c r="S707" s="2">
        <f>VLOOKUP($A707,'[2]App C Inv'!$A$4:$I$917,7,FALSE)</f>
        <v>611</v>
      </c>
      <c r="T707" s="2">
        <f>VLOOKUP($A707,'[2]App C Inv'!$A$4:$I$917,8,FALSE)</f>
        <v>795</v>
      </c>
      <c r="U707" s="2">
        <f>VLOOKUP($A707,'[2]App C Inv'!$A$4:$I$917,9,FALSE)</f>
        <v>0</v>
      </c>
      <c r="V707" s="2"/>
      <c r="W707" s="2">
        <f>VLOOKUP($A707,'[2]App C Assum'!$A$4:$I$917,5,FALSE)</f>
        <v>5679</v>
      </c>
      <c r="X707" s="2">
        <f>VLOOKUP($A707,'[2]App C Assum'!$A$4:$I$917,6,FALSE)</f>
        <v>4653</v>
      </c>
      <c r="Y707" s="2">
        <f>VLOOKUP($A707,'[2]App C Assum'!$A$4:$I$917,7,FALSE)</f>
        <v>3777</v>
      </c>
      <c r="Z707" s="2">
        <f>VLOOKUP($A707,'[2]App C Assum'!$A$4:$I$917,8,FALSE)</f>
        <v>0</v>
      </c>
      <c r="AA707" s="2">
        <f>VLOOKUP($A707,'[2]App C Assum'!$A$4:$I$917,9,FALSE)</f>
        <v>0</v>
      </c>
      <c r="AB707" s="2"/>
      <c r="AC707" s="2">
        <f>VLOOKUP($A707,'[2]App C Share Outflows'!$A$4:$I$917,5,FALSE)</f>
        <v>715</v>
      </c>
      <c r="AD707" s="2">
        <f>VLOOKUP($A707,'[2]App C Share Outflows'!$A$4:$I$917,6,FALSE)</f>
        <v>0</v>
      </c>
      <c r="AE707" s="2">
        <f>VLOOKUP($A707,'[2]App C Share Outflows'!$A$4:$I$917,7,FALSE)</f>
        <v>0</v>
      </c>
      <c r="AF707" s="2">
        <f>VLOOKUP($A707,'[2]App C Share Outflows'!$A$4:$I$917,8,FALSE)</f>
        <v>0</v>
      </c>
      <c r="AG707" s="2">
        <f>VLOOKUP($A707,'[2]App C Share Outflows'!$A$4:$I$917,9,FALSE)</f>
        <v>0</v>
      </c>
      <c r="AH707" s="2"/>
      <c r="AI707" s="2">
        <f>VLOOKUP($A707,'[2]App C Share Inflows'!$A$4:$I$917,5,FALSE)</f>
        <v>-4419</v>
      </c>
      <c r="AJ707" s="2">
        <f>VLOOKUP($A707,'[2]App C Share Inflows'!$A$4:$I$917,6,FALSE)</f>
        <v>-4418</v>
      </c>
      <c r="AK707" s="2">
        <f>VLOOKUP($A707,'[2]App C Share Inflows'!$A$4:$I$917,7,FALSE)</f>
        <v>-1730</v>
      </c>
      <c r="AL707" s="2">
        <f>VLOOKUP($A707,'[2]App C Share Inflows'!$A$4:$I$917,8,FALSE)</f>
        <v>-1603</v>
      </c>
      <c r="AM707" s="2">
        <f>VLOOKUP($A707,'[2]App C Share Inflows'!$A$4:$I$917,6,FALSE)</f>
        <v>-4418</v>
      </c>
    </row>
    <row r="708" spans="1:39">
      <c r="A708" s="351">
        <v>97711</v>
      </c>
      <c r="B708" s="344" t="s">
        <v>1406</v>
      </c>
      <c r="C708" s="235" t="e">
        <f>VLOOKUP(A708,#REF!,10,FALSE)</f>
        <v>#REF!</v>
      </c>
      <c r="E708" s="2">
        <f>VLOOKUP($A708,'[2]App C Total'!$A$4:$I$917,5,FALSE)</f>
        <v>405260</v>
      </c>
      <c r="F708" s="2">
        <f>VLOOKUP($A708,'[2]App C Total'!$A$4:$I$917,6,FALSE)</f>
        <v>121012</v>
      </c>
      <c r="G708" s="2">
        <f>VLOOKUP($A708,'[2]App C Total'!$A$4:$I$917,7,FALSE)</f>
        <v>222302</v>
      </c>
      <c r="H708" s="2">
        <f>VLOOKUP($A708,'[2]App C Total'!$A$4:$I$917,8,FALSE)</f>
        <v>57081</v>
      </c>
      <c r="I708" s="2">
        <f>VLOOKUP($A708,'[2]App C Total'!$A$4:$I$917,9,FALSE)</f>
        <v>0</v>
      </c>
      <c r="J708" s="2"/>
      <c r="K708" s="2">
        <f>VLOOKUP($A708,'[2]App C Exp'!$A$4:$I$917,5,FALSE)</f>
        <v>128729</v>
      </c>
      <c r="L708" s="2">
        <f>VLOOKUP($A708,'[2]App C Exp'!$A$4:$I$917,6,FALSE)</f>
        <v>121093</v>
      </c>
      <c r="M708" s="2">
        <f>VLOOKUP($A708,'[2]App C Exp'!$A$4:$I$917,7,FALSE)</f>
        <v>108534</v>
      </c>
      <c r="N708" s="2">
        <f>VLOOKUP($A708,'[2]App C Exp'!$A$4:$I$917,8,FALSE)</f>
        <v>43456</v>
      </c>
      <c r="O708" s="2">
        <f>VLOOKUP($A708,'[2]App C Exp'!$A$4:$I$917,9,FALSE)</f>
        <v>0</v>
      </c>
      <c r="P708" s="2"/>
      <c r="Q708" s="2">
        <f>VLOOKUP($A708,'[2]App C Inv'!$A$4:$I$917,5,FALSE)</f>
        <v>136664</v>
      </c>
      <c r="R708" s="2">
        <f>VLOOKUP($A708,'[2]App C Inv'!$A$4:$I$917,6,FALSE)</f>
        <v>-117557</v>
      </c>
      <c r="S708" s="2">
        <f>VLOOKUP($A708,'[2]App C Inv'!$A$4:$I$917,7,FALSE)</f>
        <v>16568</v>
      </c>
      <c r="T708" s="2">
        <f>VLOOKUP($A708,'[2]App C Inv'!$A$4:$I$917,8,FALSE)</f>
        <v>21563</v>
      </c>
      <c r="U708" s="2">
        <f>VLOOKUP($A708,'[2]App C Inv'!$A$4:$I$917,9,FALSE)</f>
        <v>0</v>
      </c>
      <c r="V708" s="2"/>
      <c r="W708" s="2">
        <f>VLOOKUP($A708,'[2]App C Assum'!$A$4:$I$917,5,FALSE)</f>
        <v>153954</v>
      </c>
      <c r="X708" s="2">
        <f>VLOOKUP($A708,'[2]App C Assum'!$A$4:$I$917,6,FALSE)</f>
        <v>126125</v>
      </c>
      <c r="Y708" s="2">
        <f>VLOOKUP($A708,'[2]App C Assum'!$A$4:$I$917,7,FALSE)</f>
        <v>102392</v>
      </c>
      <c r="Z708" s="2">
        <f>VLOOKUP($A708,'[2]App C Assum'!$A$4:$I$917,8,FALSE)</f>
        <v>0</v>
      </c>
      <c r="AA708" s="2">
        <f>VLOOKUP($A708,'[2]App C Assum'!$A$4:$I$917,9,FALSE)</f>
        <v>0</v>
      </c>
      <c r="AB708" s="2"/>
      <c r="AC708" s="2">
        <f>VLOOKUP($A708,'[2]App C Share Outflows'!$A$4:$I$917,5,FALSE)</f>
        <v>2745</v>
      </c>
      <c r="AD708" s="2">
        <f>VLOOKUP($A708,'[2]App C Share Outflows'!$A$4:$I$917,6,FALSE)</f>
        <v>2745</v>
      </c>
      <c r="AE708" s="2">
        <f>VLOOKUP($A708,'[2]App C Share Outflows'!$A$4:$I$917,7,FALSE)</f>
        <v>2747</v>
      </c>
      <c r="AF708" s="2">
        <f>VLOOKUP($A708,'[2]App C Share Outflows'!$A$4:$I$917,8,FALSE)</f>
        <v>0</v>
      </c>
      <c r="AG708" s="2">
        <f>VLOOKUP($A708,'[2]App C Share Outflows'!$A$4:$I$917,9,FALSE)</f>
        <v>0</v>
      </c>
      <c r="AH708" s="2"/>
      <c r="AI708" s="2">
        <f>VLOOKUP($A708,'[2]App C Share Inflows'!$A$4:$I$917,5,FALSE)</f>
        <v>-16832</v>
      </c>
      <c r="AJ708" s="2">
        <f>VLOOKUP($A708,'[2]App C Share Inflows'!$A$4:$I$917,6,FALSE)</f>
        <v>-11394</v>
      </c>
      <c r="AK708" s="2">
        <f>VLOOKUP($A708,'[2]App C Share Inflows'!$A$4:$I$917,7,FALSE)</f>
        <v>-7939</v>
      </c>
      <c r="AL708" s="2">
        <f>VLOOKUP($A708,'[2]App C Share Inflows'!$A$4:$I$917,8,FALSE)</f>
        <v>-7938</v>
      </c>
      <c r="AM708" s="2">
        <f>VLOOKUP($A708,'[2]App C Share Inflows'!$A$4:$I$917,6,FALSE)</f>
        <v>-11394</v>
      </c>
    </row>
    <row r="709" spans="1:39">
      <c r="A709" s="351">
        <v>97713</v>
      </c>
      <c r="B709" s="344" t="s">
        <v>1407</v>
      </c>
      <c r="C709" s="235" t="e">
        <f>VLOOKUP(A709,#REF!,10,FALSE)</f>
        <v>#REF!</v>
      </c>
      <c r="E709" s="2">
        <f>VLOOKUP($A709,'[2]App C Total'!$A$4:$I$917,5,FALSE)</f>
        <v>22105</v>
      </c>
      <c r="F709" s="2">
        <f>VLOOKUP($A709,'[2]App C Total'!$A$4:$I$917,6,FALSE)</f>
        <v>6128</v>
      </c>
      <c r="G709" s="2">
        <f>VLOOKUP($A709,'[2]App C Total'!$A$4:$I$917,7,FALSE)</f>
        <v>14279</v>
      </c>
      <c r="H709" s="2">
        <f>VLOOKUP($A709,'[2]App C Total'!$A$4:$I$917,8,FALSE)</f>
        <v>3642</v>
      </c>
      <c r="I709" s="2">
        <f>VLOOKUP($A709,'[2]App C Total'!$A$4:$I$917,9,FALSE)</f>
        <v>0</v>
      </c>
      <c r="J709" s="2"/>
      <c r="K709" s="2">
        <f>VLOOKUP($A709,'[2]App C Exp'!$A$4:$I$917,5,FALSE)</f>
        <v>7550</v>
      </c>
      <c r="L709" s="2">
        <f>VLOOKUP($A709,'[2]App C Exp'!$A$4:$I$917,6,FALSE)</f>
        <v>7102</v>
      </c>
      <c r="M709" s="2">
        <f>VLOOKUP($A709,'[2]App C Exp'!$A$4:$I$917,7,FALSE)</f>
        <v>6366</v>
      </c>
      <c r="N709" s="2">
        <f>VLOOKUP($A709,'[2]App C Exp'!$A$4:$I$917,8,FALSE)</f>
        <v>2549</v>
      </c>
      <c r="O709" s="2">
        <f>VLOOKUP($A709,'[2]App C Exp'!$A$4:$I$917,9,FALSE)</f>
        <v>0</v>
      </c>
      <c r="P709" s="2"/>
      <c r="Q709" s="2">
        <f>VLOOKUP($A709,'[2]App C Inv'!$A$4:$I$917,5,FALSE)</f>
        <v>8016</v>
      </c>
      <c r="R709" s="2">
        <f>VLOOKUP($A709,'[2]App C Inv'!$A$4:$I$917,6,FALSE)</f>
        <v>-6895</v>
      </c>
      <c r="S709" s="2">
        <f>VLOOKUP($A709,'[2]App C Inv'!$A$4:$I$917,7,FALSE)</f>
        <v>972</v>
      </c>
      <c r="T709" s="2">
        <f>VLOOKUP($A709,'[2]App C Inv'!$A$4:$I$917,8,FALSE)</f>
        <v>1265</v>
      </c>
      <c r="U709" s="2">
        <f>VLOOKUP($A709,'[2]App C Inv'!$A$4:$I$917,9,FALSE)</f>
        <v>0</v>
      </c>
      <c r="V709" s="2"/>
      <c r="W709" s="2">
        <f>VLOOKUP($A709,'[2]App C Assum'!$A$4:$I$917,5,FALSE)</f>
        <v>9030</v>
      </c>
      <c r="X709" s="2">
        <f>VLOOKUP($A709,'[2]App C Assum'!$A$4:$I$917,6,FALSE)</f>
        <v>7398</v>
      </c>
      <c r="Y709" s="2">
        <f>VLOOKUP($A709,'[2]App C Assum'!$A$4:$I$917,7,FALSE)</f>
        <v>6006</v>
      </c>
      <c r="Z709" s="2">
        <f>VLOOKUP($A709,'[2]App C Assum'!$A$4:$I$917,8,FALSE)</f>
        <v>0</v>
      </c>
      <c r="AA709" s="2">
        <f>VLOOKUP($A709,'[2]App C Assum'!$A$4:$I$917,9,FALSE)</f>
        <v>0</v>
      </c>
      <c r="AB709" s="2"/>
      <c r="AC709" s="2">
        <f>VLOOKUP($A709,'[2]App C Share Outflows'!$A$4:$I$917,5,FALSE)</f>
        <v>1109</v>
      </c>
      <c r="AD709" s="2">
        <f>VLOOKUP($A709,'[2]App C Share Outflows'!$A$4:$I$917,6,FALSE)</f>
        <v>1109</v>
      </c>
      <c r="AE709" s="2">
        <f>VLOOKUP($A709,'[2]App C Share Outflows'!$A$4:$I$917,7,FALSE)</f>
        <v>1107</v>
      </c>
      <c r="AF709" s="2">
        <f>VLOOKUP($A709,'[2]App C Share Outflows'!$A$4:$I$917,8,FALSE)</f>
        <v>0</v>
      </c>
      <c r="AG709" s="2">
        <f>VLOOKUP($A709,'[2]App C Share Outflows'!$A$4:$I$917,9,FALSE)</f>
        <v>0</v>
      </c>
      <c r="AH709" s="2"/>
      <c r="AI709" s="2">
        <f>VLOOKUP($A709,'[2]App C Share Inflows'!$A$4:$I$917,5,FALSE)</f>
        <v>-3600</v>
      </c>
      <c r="AJ709" s="2">
        <f>VLOOKUP($A709,'[2]App C Share Inflows'!$A$4:$I$917,6,FALSE)</f>
        <v>-2586</v>
      </c>
      <c r="AK709" s="2">
        <f>VLOOKUP($A709,'[2]App C Share Inflows'!$A$4:$I$917,7,FALSE)</f>
        <v>-172</v>
      </c>
      <c r="AL709" s="2">
        <f>VLOOKUP($A709,'[2]App C Share Inflows'!$A$4:$I$917,8,FALSE)</f>
        <v>-172</v>
      </c>
      <c r="AM709" s="2">
        <f>VLOOKUP($A709,'[2]App C Share Inflows'!$A$4:$I$917,6,FALSE)</f>
        <v>-2586</v>
      </c>
    </row>
    <row r="710" spans="1:39">
      <c r="A710" s="351">
        <v>97717</v>
      </c>
      <c r="B710" s="344" t="s">
        <v>1408</v>
      </c>
      <c r="C710" s="235" t="e">
        <f>VLOOKUP(A710,#REF!,10,FALSE)</f>
        <v>#REF!</v>
      </c>
      <c r="E710" s="2">
        <f>VLOOKUP($A710,'[2]App C Total'!$A$4:$I$917,5,FALSE)</f>
        <v>2619</v>
      </c>
      <c r="F710" s="2">
        <f>VLOOKUP($A710,'[2]App C Total'!$A$4:$I$917,6,FALSE)</f>
        <v>473</v>
      </c>
      <c r="G710" s="2">
        <f>VLOOKUP($A710,'[2]App C Total'!$A$4:$I$917,7,FALSE)</f>
        <v>1494</v>
      </c>
      <c r="H710" s="2">
        <f>VLOOKUP($A710,'[2]App C Total'!$A$4:$I$917,8,FALSE)</f>
        <v>389</v>
      </c>
      <c r="I710" s="2">
        <f>VLOOKUP($A710,'[2]App C Total'!$A$4:$I$917,9,FALSE)</f>
        <v>0</v>
      </c>
      <c r="J710" s="2"/>
      <c r="K710" s="2">
        <f>VLOOKUP($A710,'[2]App C Exp'!$A$4:$I$917,5,FALSE)</f>
        <v>809</v>
      </c>
      <c r="L710" s="2">
        <f>VLOOKUP($A710,'[2]App C Exp'!$A$4:$I$917,6,FALSE)</f>
        <v>761</v>
      </c>
      <c r="M710" s="2">
        <f>VLOOKUP($A710,'[2]App C Exp'!$A$4:$I$917,7,FALSE)</f>
        <v>682</v>
      </c>
      <c r="N710" s="2">
        <f>VLOOKUP($A710,'[2]App C Exp'!$A$4:$I$917,8,FALSE)</f>
        <v>273</v>
      </c>
      <c r="O710" s="2">
        <f>VLOOKUP($A710,'[2]App C Exp'!$A$4:$I$917,9,FALSE)</f>
        <v>0</v>
      </c>
      <c r="P710" s="2"/>
      <c r="Q710" s="2">
        <f>VLOOKUP($A710,'[2]App C Inv'!$A$4:$I$917,5,FALSE)</f>
        <v>859</v>
      </c>
      <c r="R710" s="2">
        <f>VLOOKUP($A710,'[2]App C Inv'!$A$4:$I$917,6,FALSE)</f>
        <v>-739</v>
      </c>
      <c r="S710" s="2">
        <f>VLOOKUP($A710,'[2]App C Inv'!$A$4:$I$917,7,FALSE)</f>
        <v>104</v>
      </c>
      <c r="T710" s="2">
        <f>VLOOKUP($A710,'[2]App C Inv'!$A$4:$I$917,8,FALSE)</f>
        <v>136</v>
      </c>
      <c r="U710" s="2">
        <f>VLOOKUP($A710,'[2]App C Inv'!$A$4:$I$917,9,FALSE)</f>
        <v>0</v>
      </c>
      <c r="V710" s="2"/>
      <c r="W710" s="2">
        <f>VLOOKUP($A710,'[2]App C Assum'!$A$4:$I$917,5,FALSE)</f>
        <v>967</v>
      </c>
      <c r="X710" s="2">
        <f>VLOOKUP($A710,'[2]App C Assum'!$A$4:$I$917,6,FALSE)</f>
        <v>793</v>
      </c>
      <c r="Y710" s="2">
        <f>VLOOKUP($A710,'[2]App C Assum'!$A$4:$I$917,7,FALSE)</f>
        <v>643</v>
      </c>
      <c r="Z710" s="2">
        <f>VLOOKUP($A710,'[2]App C Assum'!$A$4:$I$917,8,FALSE)</f>
        <v>0</v>
      </c>
      <c r="AA710" s="2">
        <f>VLOOKUP($A710,'[2]App C Assum'!$A$4:$I$917,9,FALSE)</f>
        <v>0</v>
      </c>
      <c r="AB710" s="2"/>
      <c r="AC710" s="2">
        <f>VLOOKUP($A710,'[2]App C Share Outflows'!$A$4:$I$917,5,FALSE)</f>
        <v>407</v>
      </c>
      <c r="AD710" s="2">
        <f>VLOOKUP($A710,'[2]App C Share Outflows'!$A$4:$I$917,6,FALSE)</f>
        <v>83</v>
      </c>
      <c r="AE710" s="2">
        <f>VLOOKUP($A710,'[2]App C Share Outflows'!$A$4:$I$917,7,FALSE)</f>
        <v>83</v>
      </c>
      <c r="AF710" s="2">
        <f>VLOOKUP($A710,'[2]App C Share Outflows'!$A$4:$I$917,8,FALSE)</f>
        <v>0</v>
      </c>
      <c r="AG710" s="2">
        <f>VLOOKUP($A710,'[2]App C Share Outflows'!$A$4:$I$917,9,FALSE)</f>
        <v>0</v>
      </c>
      <c r="AH710" s="2"/>
      <c r="AI710" s="2">
        <f>VLOOKUP($A710,'[2]App C Share Inflows'!$A$4:$I$917,5,FALSE)</f>
        <v>-423</v>
      </c>
      <c r="AJ710" s="2">
        <f>VLOOKUP($A710,'[2]App C Share Inflows'!$A$4:$I$917,6,FALSE)</f>
        <v>-425</v>
      </c>
      <c r="AK710" s="2">
        <f>VLOOKUP($A710,'[2]App C Share Inflows'!$A$4:$I$917,7,FALSE)</f>
        <v>-18</v>
      </c>
      <c r="AL710" s="2">
        <f>VLOOKUP($A710,'[2]App C Share Inflows'!$A$4:$I$917,8,FALSE)</f>
        <v>-20</v>
      </c>
      <c r="AM710" s="2">
        <f>VLOOKUP($A710,'[2]App C Share Inflows'!$A$4:$I$917,6,FALSE)</f>
        <v>-425</v>
      </c>
    </row>
    <row r="711" spans="1:39">
      <c r="A711" s="351">
        <v>97721</v>
      </c>
      <c r="B711" s="344" t="s">
        <v>1409</v>
      </c>
      <c r="C711" s="235" t="e">
        <f>VLOOKUP(A711,#REF!,10,FALSE)</f>
        <v>#REF!</v>
      </c>
      <c r="E711" s="2">
        <f>VLOOKUP($A711,'[2]App C Total'!$A$4:$I$917,5,FALSE)</f>
        <v>263407</v>
      </c>
      <c r="F711" s="2">
        <f>VLOOKUP($A711,'[2]App C Total'!$A$4:$I$917,6,FALSE)</f>
        <v>72060</v>
      </c>
      <c r="G711" s="2">
        <f>VLOOKUP($A711,'[2]App C Total'!$A$4:$I$917,7,FALSE)</f>
        <v>137378</v>
      </c>
      <c r="H711" s="2">
        <f>VLOOKUP($A711,'[2]App C Total'!$A$4:$I$917,8,FALSE)</f>
        <v>31194</v>
      </c>
      <c r="I711" s="2">
        <f>VLOOKUP($A711,'[2]App C Total'!$A$4:$I$917,9,FALSE)</f>
        <v>0</v>
      </c>
      <c r="J711" s="2"/>
      <c r="K711" s="2">
        <f>VLOOKUP($A711,'[2]App C Exp'!$A$4:$I$917,5,FALSE)</f>
        <v>83442</v>
      </c>
      <c r="L711" s="2">
        <f>VLOOKUP($A711,'[2]App C Exp'!$A$4:$I$917,6,FALSE)</f>
        <v>78492</v>
      </c>
      <c r="M711" s="2">
        <f>VLOOKUP($A711,'[2]App C Exp'!$A$4:$I$917,7,FALSE)</f>
        <v>70352</v>
      </c>
      <c r="N711" s="2">
        <f>VLOOKUP($A711,'[2]App C Exp'!$A$4:$I$917,8,FALSE)</f>
        <v>28168</v>
      </c>
      <c r="O711" s="2">
        <f>VLOOKUP($A711,'[2]App C Exp'!$A$4:$I$917,9,FALSE)</f>
        <v>0</v>
      </c>
      <c r="P711" s="2"/>
      <c r="Q711" s="2">
        <f>VLOOKUP($A711,'[2]App C Inv'!$A$4:$I$917,5,FALSE)</f>
        <v>88586</v>
      </c>
      <c r="R711" s="2">
        <f>VLOOKUP($A711,'[2]App C Inv'!$A$4:$I$917,6,FALSE)</f>
        <v>-76200</v>
      </c>
      <c r="S711" s="2">
        <f>VLOOKUP($A711,'[2]App C Inv'!$A$4:$I$917,7,FALSE)</f>
        <v>10740</v>
      </c>
      <c r="T711" s="2">
        <f>VLOOKUP($A711,'[2]App C Inv'!$A$4:$I$917,8,FALSE)</f>
        <v>13977</v>
      </c>
      <c r="U711" s="2">
        <f>VLOOKUP($A711,'[2]App C Inv'!$A$4:$I$917,9,FALSE)</f>
        <v>0</v>
      </c>
      <c r="V711" s="2"/>
      <c r="W711" s="2">
        <f>VLOOKUP($A711,'[2]App C Assum'!$A$4:$I$917,5,FALSE)</f>
        <v>99793</v>
      </c>
      <c r="X711" s="2">
        <f>VLOOKUP($A711,'[2]App C Assum'!$A$4:$I$917,6,FALSE)</f>
        <v>81754</v>
      </c>
      <c r="Y711" s="2">
        <f>VLOOKUP($A711,'[2]App C Assum'!$A$4:$I$917,7,FALSE)</f>
        <v>66370</v>
      </c>
      <c r="Z711" s="2">
        <f>VLOOKUP($A711,'[2]App C Assum'!$A$4:$I$917,8,FALSE)</f>
        <v>0</v>
      </c>
      <c r="AA711" s="2">
        <f>VLOOKUP($A711,'[2]App C Assum'!$A$4:$I$917,9,FALSE)</f>
        <v>0</v>
      </c>
      <c r="AB711" s="2"/>
      <c r="AC711" s="2">
        <f>VLOOKUP($A711,'[2]App C Share Outflows'!$A$4:$I$917,5,FALSE)</f>
        <v>4439</v>
      </c>
      <c r="AD711" s="2">
        <f>VLOOKUP($A711,'[2]App C Share Outflows'!$A$4:$I$917,6,FALSE)</f>
        <v>866</v>
      </c>
      <c r="AE711" s="2">
        <f>VLOOKUP($A711,'[2]App C Share Outflows'!$A$4:$I$917,7,FALSE)</f>
        <v>868</v>
      </c>
      <c r="AF711" s="2">
        <f>VLOOKUP($A711,'[2]App C Share Outflows'!$A$4:$I$917,8,FALSE)</f>
        <v>0</v>
      </c>
      <c r="AG711" s="2">
        <f>VLOOKUP($A711,'[2]App C Share Outflows'!$A$4:$I$917,9,FALSE)</f>
        <v>0</v>
      </c>
      <c r="AH711" s="2"/>
      <c r="AI711" s="2">
        <f>VLOOKUP($A711,'[2]App C Share Inflows'!$A$4:$I$917,5,FALSE)</f>
        <v>-12853</v>
      </c>
      <c r="AJ711" s="2">
        <f>VLOOKUP($A711,'[2]App C Share Inflows'!$A$4:$I$917,6,FALSE)</f>
        <v>-12852</v>
      </c>
      <c r="AK711" s="2">
        <f>VLOOKUP($A711,'[2]App C Share Inflows'!$A$4:$I$917,7,FALSE)</f>
        <v>-10952</v>
      </c>
      <c r="AL711" s="2">
        <f>VLOOKUP($A711,'[2]App C Share Inflows'!$A$4:$I$917,8,FALSE)</f>
        <v>-10951</v>
      </c>
      <c r="AM711" s="2">
        <f>VLOOKUP($A711,'[2]App C Share Inflows'!$A$4:$I$917,6,FALSE)</f>
        <v>-12852</v>
      </c>
    </row>
    <row r="712" spans="1:39">
      <c r="A712" s="351">
        <v>97727</v>
      </c>
      <c r="B712" s="344" t="s">
        <v>1410</v>
      </c>
      <c r="C712" s="235" t="e">
        <f>VLOOKUP(A712,#REF!,10,FALSE)</f>
        <v>#REF!</v>
      </c>
      <c r="E712" s="2">
        <f>VLOOKUP($A712,'[2]App C Total'!$A$4:$I$917,5,FALSE)</f>
        <v>8595</v>
      </c>
      <c r="F712" s="2">
        <f>VLOOKUP($A712,'[2]App C Total'!$A$4:$I$917,6,FALSE)</f>
        <v>2583</v>
      </c>
      <c r="G712" s="2">
        <f>VLOOKUP($A712,'[2]App C Total'!$A$4:$I$917,7,FALSE)</f>
        <v>4757</v>
      </c>
      <c r="H712" s="2">
        <f>VLOOKUP($A712,'[2]App C Total'!$A$4:$I$917,8,FALSE)</f>
        <v>1398</v>
      </c>
      <c r="I712" s="2">
        <f>VLOOKUP($A712,'[2]App C Total'!$A$4:$I$917,9,FALSE)</f>
        <v>0</v>
      </c>
      <c r="J712" s="2"/>
      <c r="K712" s="2">
        <f>VLOOKUP($A712,'[2]App C Exp'!$A$4:$I$917,5,FALSE)</f>
        <v>2786</v>
      </c>
      <c r="L712" s="2">
        <f>VLOOKUP($A712,'[2]App C Exp'!$A$4:$I$917,6,FALSE)</f>
        <v>2621</v>
      </c>
      <c r="M712" s="2">
        <f>VLOOKUP($A712,'[2]App C Exp'!$A$4:$I$917,7,FALSE)</f>
        <v>2349</v>
      </c>
      <c r="N712" s="2">
        <f>VLOOKUP($A712,'[2]App C Exp'!$A$4:$I$917,8,FALSE)</f>
        <v>941</v>
      </c>
      <c r="O712" s="2">
        <f>VLOOKUP($A712,'[2]App C Exp'!$A$4:$I$917,9,FALSE)</f>
        <v>0</v>
      </c>
      <c r="P712" s="2"/>
      <c r="Q712" s="2">
        <f>VLOOKUP($A712,'[2]App C Inv'!$A$4:$I$917,5,FALSE)</f>
        <v>2958</v>
      </c>
      <c r="R712" s="2">
        <f>VLOOKUP($A712,'[2]App C Inv'!$A$4:$I$917,6,FALSE)</f>
        <v>-2545</v>
      </c>
      <c r="S712" s="2">
        <f>VLOOKUP($A712,'[2]App C Inv'!$A$4:$I$917,7,FALSE)</f>
        <v>359</v>
      </c>
      <c r="T712" s="2">
        <f>VLOOKUP($A712,'[2]App C Inv'!$A$4:$I$917,8,FALSE)</f>
        <v>467</v>
      </c>
      <c r="U712" s="2">
        <f>VLOOKUP($A712,'[2]App C Inv'!$A$4:$I$917,9,FALSE)</f>
        <v>0</v>
      </c>
      <c r="V712" s="2"/>
      <c r="W712" s="2">
        <f>VLOOKUP($A712,'[2]App C Assum'!$A$4:$I$917,5,FALSE)</f>
        <v>3332</v>
      </c>
      <c r="X712" s="2">
        <f>VLOOKUP($A712,'[2]App C Assum'!$A$4:$I$917,6,FALSE)</f>
        <v>2730</v>
      </c>
      <c r="Y712" s="2">
        <f>VLOOKUP($A712,'[2]App C Assum'!$A$4:$I$917,7,FALSE)</f>
        <v>2216</v>
      </c>
      <c r="Z712" s="2">
        <f>VLOOKUP($A712,'[2]App C Assum'!$A$4:$I$917,8,FALSE)</f>
        <v>0</v>
      </c>
      <c r="AA712" s="2">
        <f>VLOOKUP($A712,'[2]App C Assum'!$A$4:$I$917,9,FALSE)</f>
        <v>0</v>
      </c>
      <c r="AB712" s="2"/>
      <c r="AC712" s="2">
        <f>VLOOKUP($A712,'[2]App C Share Outflows'!$A$4:$I$917,5,FALSE)</f>
        <v>0</v>
      </c>
      <c r="AD712" s="2">
        <f>VLOOKUP($A712,'[2]App C Share Outflows'!$A$4:$I$917,6,FALSE)</f>
        <v>0</v>
      </c>
      <c r="AE712" s="2">
        <f>VLOOKUP($A712,'[2]App C Share Outflows'!$A$4:$I$917,7,FALSE)</f>
        <v>0</v>
      </c>
      <c r="AF712" s="2">
        <f>VLOOKUP($A712,'[2]App C Share Outflows'!$A$4:$I$917,8,FALSE)</f>
        <v>0</v>
      </c>
      <c r="AG712" s="2">
        <f>VLOOKUP($A712,'[2]App C Share Outflows'!$A$4:$I$917,9,FALSE)</f>
        <v>0</v>
      </c>
      <c r="AH712" s="2"/>
      <c r="AI712" s="2">
        <f>VLOOKUP($A712,'[2]App C Share Inflows'!$A$4:$I$917,5,FALSE)</f>
        <v>-481</v>
      </c>
      <c r="AJ712" s="2">
        <f>VLOOKUP($A712,'[2]App C Share Inflows'!$A$4:$I$917,6,FALSE)</f>
        <v>-223</v>
      </c>
      <c r="AK712" s="2">
        <f>VLOOKUP($A712,'[2]App C Share Inflows'!$A$4:$I$917,7,FALSE)</f>
        <v>-167</v>
      </c>
      <c r="AL712" s="2">
        <f>VLOOKUP($A712,'[2]App C Share Inflows'!$A$4:$I$917,8,FALSE)</f>
        <v>-10</v>
      </c>
      <c r="AM712" s="2">
        <f>VLOOKUP($A712,'[2]App C Share Inflows'!$A$4:$I$917,6,FALSE)</f>
        <v>-223</v>
      </c>
    </row>
    <row r="713" spans="1:39">
      <c r="A713" s="351">
        <v>97731</v>
      </c>
      <c r="B713" s="344" t="s">
        <v>1411</v>
      </c>
      <c r="C713" s="235" t="e">
        <f>VLOOKUP(A713,#REF!,10,FALSE)</f>
        <v>#REF!</v>
      </c>
      <c r="E713" s="2">
        <f>VLOOKUP($A713,'[2]App C Total'!$A$4:$I$917,5,FALSE)</f>
        <v>21356</v>
      </c>
      <c r="F713" s="2">
        <f>VLOOKUP($A713,'[2]App C Total'!$A$4:$I$917,6,FALSE)</f>
        <v>7708</v>
      </c>
      <c r="G713" s="2">
        <f>VLOOKUP($A713,'[2]App C Total'!$A$4:$I$917,7,FALSE)</f>
        <v>11890</v>
      </c>
      <c r="H713" s="2">
        <f>VLOOKUP($A713,'[2]App C Total'!$A$4:$I$917,8,FALSE)</f>
        <v>4345</v>
      </c>
      <c r="I713" s="2">
        <f>VLOOKUP($A713,'[2]App C Total'!$A$4:$I$917,9,FALSE)</f>
        <v>0</v>
      </c>
      <c r="J713" s="2"/>
      <c r="K713" s="2">
        <f>VLOOKUP($A713,'[2]App C Exp'!$A$4:$I$917,5,FALSE)</f>
        <v>5723</v>
      </c>
      <c r="L713" s="2">
        <f>VLOOKUP($A713,'[2]App C Exp'!$A$4:$I$917,6,FALSE)</f>
        <v>5383</v>
      </c>
      <c r="M713" s="2">
        <f>VLOOKUP($A713,'[2]App C Exp'!$A$4:$I$917,7,FALSE)</f>
        <v>4825</v>
      </c>
      <c r="N713" s="2">
        <f>VLOOKUP($A713,'[2]App C Exp'!$A$4:$I$917,8,FALSE)</f>
        <v>1932</v>
      </c>
      <c r="O713" s="2">
        <f>VLOOKUP($A713,'[2]App C Exp'!$A$4:$I$917,9,FALSE)</f>
        <v>0</v>
      </c>
      <c r="P713" s="2"/>
      <c r="Q713" s="2">
        <f>VLOOKUP($A713,'[2]App C Inv'!$A$4:$I$917,5,FALSE)</f>
        <v>6075</v>
      </c>
      <c r="R713" s="2">
        <f>VLOOKUP($A713,'[2]App C Inv'!$A$4:$I$917,6,FALSE)</f>
        <v>-5226</v>
      </c>
      <c r="S713" s="2">
        <f>VLOOKUP($A713,'[2]App C Inv'!$A$4:$I$917,7,FALSE)</f>
        <v>737</v>
      </c>
      <c r="T713" s="2">
        <f>VLOOKUP($A713,'[2]App C Inv'!$A$4:$I$917,8,FALSE)</f>
        <v>959</v>
      </c>
      <c r="U713" s="2">
        <f>VLOOKUP($A713,'[2]App C Inv'!$A$4:$I$917,9,FALSE)</f>
        <v>0</v>
      </c>
      <c r="V713" s="2"/>
      <c r="W713" s="2">
        <f>VLOOKUP($A713,'[2]App C Assum'!$A$4:$I$917,5,FALSE)</f>
        <v>6844</v>
      </c>
      <c r="X713" s="2">
        <f>VLOOKUP($A713,'[2]App C Assum'!$A$4:$I$917,6,FALSE)</f>
        <v>5607</v>
      </c>
      <c r="Y713" s="2">
        <f>VLOOKUP($A713,'[2]App C Assum'!$A$4:$I$917,7,FALSE)</f>
        <v>4552</v>
      </c>
      <c r="Z713" s="2">
        <f>VLOOKUP($A713,'[2]App C Assum'!$A$4:$I$917,8,FALSE)</f>
        <v>0</v>
      </c>
      <c r="AA713" s="2">
        <f>VLOOKUP($A713,'[2]App C Assum'!$A$4:$I$917,9,FALSE)</f>
        <v>0</v>
      </c>
      <c r="AB713" s="2"/>
      <c r="AC713" s="2">
        <f>VLOOKUP($A713,'[2]App C Share Outflows'!$A$4:$I$917,5,FALSE)</f>
        <v>2714</v>
      </c>
      <c r="AD713" s="2">
        <f>VLOOKUP($A713,'[2]App C Share Outflows'!$A$4:$I$917,6,FALSE)</f>
        <v>1944</v>
      </c>
      <c r="AE713" s="2">
        <f>VLOOKUP($A713,'[2]App C Share Outflows'!$A$4:$I$917,7,FALSE)</f>
        <v>1776</v>
      </c>
      <c r="AF713" s="2">
        <f>VLOOKUP($A713,'[2]App C Share Outflows'!$A$4:$I$917,8,FALSE)</f>
        <v>1454</v>
      </c>
      <c r="AG713" s="2">
        <f>VLOOKUP($A713,'[2]App C Share Outflows'!$A$4:$I$917,9,FALSE)</f>
        <v>0</v>
      </c>
      <c r="AH713" s="2"/>
      <c r="AI713" s="2">
        <f>VLOOKUP($A713,'[2]App C Share Inflows'!$A$4:$I$917,5,FALSE)</f>
        <v>0</v>
      </c>
      <c r="AJ713" s="2">
        <f>VLOOKUP($A713,'[2]App C Share Inflows'!$A$4:$I$917,6,FALSE)</f>
        <v>0</v>
      </c>
      <c r="AK713" s="2">
        <f>VLOOKUP($A713,'[2]App C Share Inflows'!$A$4:$I$917,7,FALSE)</f>
        <v>0</v>
      </c>
      <c r="AL713" s="2">
        <f>VLOOKUP($A713,'[2]App C Share Inflows'!$A$4:$I$917,8,FALSE)</f>
        <v>0</v>
      </c>
      <c r="AM713" s="2">
        <f>VLOOKUP($A713,'[2]App C Share Inflows'!$A$4:$I$917,6,FALSE)</f>
        <v>0</v>
      </c>
    </row>
    <row r="714" spans="1:39">
      <c r="A714" s="351">
        <v>97801</v>
      </c>
      <c r="B714" s="344" t="s">
        <v>1412</v>
      </c>
      <c r="C714" s="235" t="e">
        <f>VLOOKUP(A714,#REF!,10,FALSE)</f>
        <v>#REF!</v>
      </c>
      <c r="E714" s="2">
        <f>VLOOKUP($A714,'[2]App C Total'!$A$4:$I$917,5,FALSE)</f>
        <v>2724652</v>
      </c>
      <c r="F714" s="2">
        <f>VLOOKUP($A714,'[2]App C Total'!$A$4:$I$917,6,FALSE)</f>
        <v>710002</v>
      </c>
      <c r="G714" s="2">
        <f>VLOOKUP($A714,'[2]App C Total'!$A$4:$I$917,7,FALSE)</f>
        <v>1466794</v>
      </c>
      <c r="H714" s="2">
        <f>VLOOKUP($A714,'[2]App C Total'!$A$4:$I$917,8,FALSE)</f>
        <v>380025</v>
      </c>
      <c r="I714" s="2">
        <f>VLOOKUP($A714,'[2]App C Total'!$A$4:$I$917,9,FALSE)</f>
        <v>0</v>
      </c>
      <c r="J714" s="2"/>
      <c r="K714" s="2">
        <f>VLOOKUP($A714,'[2]App C Exp'!$A$4:$I$917,5,FALSE)</f>
        <v>906168</v>
      </c>
      <c r="L714" s="2">
        <f>VLOOKUP($A714,'[2]App C Exp'!$A$4:$I$917,6,FALSE)</f>
        <v>852411</v>
      </c>
      <c r="M714" s="2">
        <f>VLOOKUP($A714,'[2]App C Exp'!$A$4:$I$917,7,FALSE)</f>
        <v>764006</v>
      </c>
      <c r="N714" s="2">
        <f>VLOOKUP($A714,'[2]App C Exp'!$A$4:$I$917,8,FALSE)</f>
        <v>305899</v>
      </c>
      <c r="O714" s="2">
        <f>VLOOKUP($A714,'[2]App C Exp'!$A$4:$I$917,9,FALSE)</f>
        <v>0</v>
      </c>
      <c r="P714" s="2"/>
      <c r="Q714" s="2">
        <f>VLOOKUP($A714,'[2]App C Inv'!$A$4:$I$917,5,FALSE)</f>
        <v>962023</v>
      </c>
      <c r="R714" s="2">
        <f>VLOOKUP($A714,'[2]App C Inv'!$A$4:$I$917,6,FALSE)</f>
        <v>-827520</v>
      </c>
      <c r="S714" s="2">
        <f>VLOOKUP($A714,'[2]App C Inv'!$A$4:$I$917,7,FALSE)</f>
        <v>116629</v>
      </c>
      <c r="T714" s="2">
        <f>VLOOKUP($A714,'[2]App C Inv'!$A$4:$I$917,8,FALSE)</f>
        <v>151791</v>
      </c>
      <c r="U714" s="2">
        <f>VLOOKUP($A714,'[2]App C Inv'!$A$4:$I$917,9,FALSE)</f>
        <v>0</v>
      </c>
      <c r="V714" s="2"/>
      <c r="W714" s="2">
        <f>VLOOKUP($A714,'[2]App C Assum'!$A$4:$I$917,5,FALSE)</f>
        <v>1083733</v>
      </c>
      <c r="X714" s="2">
        <f>VLOOKUP($A714,'[2]App C Assum'!$A$4:$I$917,6,FALSE)</f>
        <v>887833</v>
      </c>
      <c r="Y714" s="2">
        <f>VLOOKUP($A714,'[2]App C Assum'!$A$4:$I$917,7,FALSE)</f>
        <v>720769</v>
      </c>
      <c r="Z714" s="2">
        <f>VLOOKUP($A714,'[2]App C Assum'!$A$4:$I$917,8,FALSE)</f>
        <v>0</v>
      </c>
      <c r="AA714" s="2">
        <f>VLOOKUP($A714,'[2]App C Assum'!$A$4:$I$917,9,FALSE)</f>
        <v>0</v>
      </c>
      <c r="AB714" s="2"/>
      <c r="AC714" s="2">
        <f>VLOOKUP($A714,'[2]App C Share Outflows'!$A$4:$I$917,5,FALSE)</f>
        <v>0</v>
      </c>
      <c r="AD714" s="2">
        <f>VLOOKUP($A714,'[2]App C Share Outflows'!$A$4:$I$917,6,FALSE)</f>
        <v>0</v>
      </c>
      <c r="AE714" s="2">
        <f>VLOOKUP($A714,'[2]App C Share Outflows'!$A$4:$I$917,7,FALSE)</f>
        <v>0</v>
      </c>
      <c r="AF714" s="2">
        <f>VLOOKUP($A714,'[2]App C Share Outflows'!$A$4:$I$917,8,FALSE)</f>
        <v>0</v>
      </c>
      <c r="AG714" s="2">
        <f>VLOOKUP($A714,'[2]App C Share Outflows'!$A$4:$I$917,9,FALSE)</f>
        <v>0</v>
      </c>
      <c r="AH714" s="2"/>
      <c r="AI714" s="2">
        <f>VLOOKUP($A714,'[2]App C Share Inflows'!$A$4:$I$917,5,FALSE)</f>
        <v>-227272</v>
      </c>
      <c r="AJ714" s="2">
        <f>VLOOKUP($A714,'[2]App C Share Inflows'!$A$4:$I$917,6,FALSE)</f>
        <v>-202722</v>
      </c>
      <c r="AK714" s="2">
        <f>VLOOKUP($A714,'[2]App C Share Inflows'!$A$4:$I$917,7,FALSE)</f>
        <v>-134610</v>
      </c>
      <c r="AL714" s="2">
        <f>VLOOKUP($A714,'[2]App C Share Inflows'!$A$4:$I$917,8,FALSE)</f>
        <v>-77665</v>
      </c>
      <c r="AM714" s="2">
        <f>VLOOKUP($A714,'[2]App C Share Inflows'!$A$4:$I$917,6,FALSE)</f>
        <v>-202722</v>
      </c>
    </row>
    <row r="715" spans="1:39">
      <c r="A715" s="351">
        <v>97802</v>
      </c>
      <c r="B715" s="344" t="s">
        <v>1413</v>
      </c>
      <c r="C715" s="235" t="e">
        <f>VLOOKUP(A715,#REF!,10,FALSE)</f>
        <v>#REF!</v>
      </c>
      <c r="E715" s="2">
        <f>VLOOKUP($A715,'[2]App C Total'!$A$4:$I$917,5,FALSE)</f>
        <v>95198</v>
      </c>
      <c r="F715" s="2">
        <f>VLOOKUP($A715,'[2]App C Total'!$A$4:$I$917,6,FALSE)</f>
        <v>31695</v>
      </c>
      <c r="G715" s="2">
        <f>VLOOKUP($A715,'[2]App C Total'!$A$4:$I$917,7,FALSE)</f>
        <v>56791</v>
      </c>
      <c r="H715" s="2">
        <f>VLOOKUP($A715,'[2]App C Total'!$A$4:$I$917,8,FALSE)</f>
        <v>17624</v>
      </c>
      <c r="I715" s="2">
        <f>VLOOKUP($A715,'[2]App C Total'!$A$4:$I$917,9,FALSE)</f>
        <v>0</v>
      </c>
      <c r="J715" s="2"/>
      <c r="K715" s="2">
        <f>VLOOKUP($A715,'[2]App C Exp'!$A$4:$I$917,5,FALSE)</f>
        <v>28508</v>
      </c>
      <c r="L715" s="2">
        <f>VLOOKUP($A715,'[2]App C Exp'!$A$4:$I$917,6,FALSE)</f>
        <v>26817</v>
      </c>
      <c r="M715" s="2">
        <f>VLOOKUP($A715,'[2]App C Exp'!$A$4:$I$917,7,FALSE)</f>
        <v>24036</v>
      </c>
      <c r="N715" s="2">
        <f>VLOOKUP($A715,'[2]App C Exp'!$A$4:$I$917,8,FALSE)</f>
        <v>9624</v>
      </c>
      <c r="O715" s="2">
        <f>VLOOKUP($A715,'[2]App C Exp'!$A$4:$I$917,9,FALSE)</f>
        <v>0</v>
      </c>
      <c r="P715" s="2"/>
      <c r="Q715" s="2">
        <f>VLOOKUP($A715,'[2]App C Inv'!$A$4:$I$917,5,FALSE)</f>
        <v>30266</v>
      </c>
      <c r="R715" s="2">
        <f>VLOOKUP($A715,'[2]App C Inv'!$A$4:$I$917,6,FALSE)</f>
        <v>-26034</v>
      </c>
      <c r="S715" s="2">
        <f>VLOOKUP($A715,'[2]App C Inv'!$A$4:$I$917,7,FALSE)</f>
        <v>3669</v>
      </c>
      <c r="T715" s="2">
        <f>VLOOKUP($A715,'[2]App C Inv'!$A$4:$I$917,8,FALSE)</f>
        <v>4775</v>
      </c>
      <c r="U715" s="2">
        <f>VLOOKUP($A715,'[2]App C Inv'!$A$4:$I$917,9,FALSE)</f>
        <v>0</v>
      </c>
      <c r="V715" s="2"/>
      <c r="W715" s="2">
        <f>VLOOKUP($A715,'[2]App C Assum'!$A$4:$I$917,5,FALSE)</f>
        <v>34095</v>
      </c>
      <c r="X715" s="2">
        <f>VLOOKUP($A715,'[2]App C Assum'!$A$4:$I$917,6,FALSE)</f>
        <v>27931</v>
      </c>
      <c r="Y715" s="2">
        <f>VLOOKUP($A715,'[2]App C Assum'!$A$4:$I$917,7,FALSE)</f>
        <v>22676</v>
      </c>
      <c r="Z715" s="2">
        <f>VLOOKUP($A715,'[2]App C Assum'!$A$4:$I$917,8,FALSE)</f>
        <v>0</v>
      </c>
      <c r="AA715" s="2">
        <f>VLOOKUP($A715,'[2]App C Assum'!$A$4:$I$917,9,FALSE)</f>
        <v>0</v>
      </c>
      <c r="AB715" s="2"/>
      <c r="AC715" s="2">
        <f>VLOOKUP($A715,'[2]App C Share Outflows'!$A$4:$I$917,5,FALSE)</f>
        <v>6412</v>
      </c>
      <c r="AD715" s="2">
        <f>VLOOKUP($A715,'[2]App C Share Outflows'!$A$4:$I$917,6,FALSE)</f>
        <v>6412</v>
      </c>
      <c r="AE715" s="2">
        <f>VLOOKUP($A715,'[2]App C Share Outflows'!$A$4:$I$917,7,FALSE)</f>
        <v>6410</v>
      </c>
      <c r="AF715" s="2">
        <f>VLOOKUP($A715,'[2]App C Share Outflows'!$A$4:$I$917,8,FALSE)</f>
        <v>3225</v>
      </c>
      <c r="AG715" s="2">
        <f>VLOOKUP($A715,'[2]App C Share Outflows'!$A$4:$I$917,9,FALSE)</f>
        <v>0</v>
      </c>
      <c r="AH715" s="2"/>
      <c r="AI715" s="2">
        <f>VLOOKUP($A715,'[2]App C Share Inflows'!$A$4:$I$917,5,FALSE)</f>
        <v>-4083</v>
      </c>
      <c r="AJ715" s="2">
        <f>VLOOKUP($A715,'[2]App C Share Inflows'!$A$4:$I$917,6,FALSE)</f>
        <v>-3431</v>
      </c>
      <c r="AK715" s="2">
        <f>VLOOKUP($A715,'[2]App C Share Inflows'!$A$4:$I$917,7,FALSE)</f>
        <v>0</v>
      </c>
      <c r="AL715" s="2">
        <f>VLOOKUP($A715,'[2]App C Share Inflows'!$A$4:$I$917,8,FALSE)</f>
        <v>0</v>
      </c>
      <c r="AM715" s="2">
        <f>VLOOKUP($A715,'[2]App C Share Inflows'!$A$4:$I$917,6,FALSE)</f>
        <v>-3431</v>
      </c>
    </row>
    <row r="716" spans="1:39">
      <c r="A716" s="351">
        <v>97803</v>
      </c>
      <c r="B716" s="344" t="s">
        <v>1414</v>
      </c>
      <c r="C716" s="235" t="e">
        <f>VLOOKUP(A716,#REF!,10,FALSE)</f>
        <v>#REF!</v>
      </c>
      <c r="E716" s="2">
        <f>VLOOKUP($A716,'[2]App C Total'!$A$4:$I$917,5,FALSE)</f>
        <v>38770</v>
      </c>
      <c r="F716" s="2">
        <f>VLOOKUP($A716,'[2]App C Total'!$A$4:$I$917,6,FALSE)</f>
        <v>12017</v>
      </c>
      <c r="G716" s="2">
        <f>VLOOKUP($A716,'[2]App C Total'!$A$4:$I$917,7,FALSE)</f>
        <v>20786</v>
      </c>
      <c r="H716" s="2">
        <f>VLOOKUP($A716,'[2]App C Total'!$A$4:$I$917,8,FALSE)</f>
        <v>5054</v>
      </c>
      <c r="I716" s="2">
        <f>VLOOKUP($A716,'[2]App C Total'!$A$4:$I$917,9,FALSE)</f>
        <v>0</v>
      </c>
      <c r="J716" s="2"/>
      <c r="K716" s="2">
        <f>VLOOKUP($A716,'[2]App C Exp'!$A$4:$I$917,5,FALSE)</f>
        <v>11670</v>
      </c>
      <c r="L716" s="2">
        <f>VLOOKUP($A716,'[2]App C Exp'!$A$4:$I$917,6,FALSE)</f>
        <v>10978</v>
      </c>
      <c r="M716" s="2">
        <f>VLOOKUP($A716,'[2]App C Exp'!$A$4:$I$917,7,FALSE)</f>
        <v>9839</v>
      </c>
      <c r="N716" s="2">
        <f>VLOOKUP($A716,'[2]App C Exp'!$A$4:$I$917,8,FALSE)</f>
        <v>3939</v>
      </c>
      <c r="O716" s="2">
        <f>VLOOKUP($A716,'[2]App C Exp'!$A$4:$I$917,9,FALSE)</f>
        <v>0</v>
      </c>
      <c r="P716" s="2"/>
      <c r="Q716" s="2">
        <f>VLOOKUP($A716,'[2]App C Inv'!$A$4:$I$917,5,FALSE)</f>
        <v>12389</v>
      </c>
      <c r="R716" s="2">
        <f>VLOOKUP($A716,'[2]App C Inv'!$A$4:$I$917,6,FALSE)</f>
        <v>-10657</v>
      </c>
      <c r="S716" s="2">
        <f>VLOOKUP($A716,'[2]App C Inv'!$A$4:$I$917,7,FALSE)</f>
        <v>1502</v>
      </c>
      <c r="T716" s="2">
        <f>VLOOKUP($A716,'[2]App C Inv'!$A$4:$I$917,8,FALSE)</f>
        <v>1955</v>
      </c>
      <c r="U716" s="2">
        <f>VLOOKUP($A716,'[2]App C Inv'!$A$4:$I$917,9,FALSE)</f>
        <v>0</v>
      </c>
      <c r="V716" s="2"/>
      <c r="W716" s="2">
        <f>VLOOKUP($A716,'[2]App C Assum'!$A$4:$I$917,5,FALSE)</f>
        <v>13957</v>
      </c>
      <c r="X716" s="2">
        <f>VLOOKUP($A716,'[2]App C Assum'!$A$4:$I$917,6,FALSE)</f>
        <v>11434</v>
      </c>
      <c r="Y716" s="2">
        <f>VLOOKUP($A716,'[2]App C Assum'!$A$4:$I$917,7,FALSE)</f>
        <v>9282</v>
      </c>
      <c r="Z716" s="2">
        <f>VLOOKUP($A716,'[2]App C Assum'!$A$4:$I$917,8,FALSE)</f>
        <v>0</v>
      </c>
      <c r="AA716" s="2">
        <f>VLOOKUP($A716,'[2]App C Assum'!$A$4:$I$917,9,FALSE)</f>
        <v>0</v>
      </c>
      <c r="AB716" s="2"/>
      <c r="AC716" s="2">
        <f>VLOOKUP($A716,'[2]App C Share Outflows'!$A$4:$I$917,5,FALSE)</f>
        <v>1592</v>
      </c>
      <c r="AD716" s="2">
        <f>VLOOKUP($A716,'[2]App C Share Outflows'!$A$4:$I$917,6,FALSE)</f>
        <v>1100</v>
      </c>
      <c r="AE716" s="2">
        <f>VLOOKUP($A716,'[2]App C Share Outflows'!$A$4:$I$917,7,FALSE)</f>
        <v>1001</v>
      </c>
      <c r="AF716" s="2">
        <f>VLOOKUP($A716,'[2]App C Share Outflows'!$A$4:$I$917,8,FALSE)</f>
        <v>0</v>
      </c>
      <c r="AG716" s="2">
        <f>VLOOKUP($A716,'[2]App C Share Outflows'!$A$4:$I$917,9,FALSE)</f>
        <v>0</v>
      </c>
      <c r="AH716" s="2"/>
      <c r="AI716" s="2">
        <f>VLOOKUP($A716,'[2]App C Share Inflows'!$A$4:$I$917,5,FALSE)</f>
        <v>-838</v>
      </c>
      <c r="AJ716" s="2">
        <f>VLOOKUP($A716,'[2]App C Share Inflows'!$A$4:$I$917,6,FALSE)</f>
        <v>-838</v>
      </c>
      <c r="AK716" s="2">
        <f>VLOOKUP($A716,'[2]App C Share Inflows'!$A$4:$I$917,7,FALSE)</f>
        <v>-838</v>
      </c>
      <c r="AL716" s="2">
        <f>VLOOKUP($A716,'[2]App C Share Inflows'!$A$4:$I$917,8,FALSE)</f>
        <v>-840</v>
      </c>
      <c r="AM716" s="2">
        <f>VLOOKUP($A716,'[2]App C Share Inflows'!$A$4:$I$917,6,FALSE)</f>
        <v>-838</v>
      </c>
    </row>
    <row r="717" spans="1:39">
      <c r="A717" s="351">
        <v>97805</v>
      </c>
      <c r="B717" s="344" t="s">
        <v>1415</v>
      </c>
      <c r="C717" s="235" t="e">
        <f>VLOOKUP(A717,#REF!,10,FALSE)</f>
        <v>#REF!</v>
      </c>
      <c r="E717" s="2">
        <f>VLOOKUP($A717,'[2]App C Total'!$A$4:$I$917,5,FALSE)</f>
        <v>45840</v>
      </c>
      <c r="F717" s="2">
        <f>VLOOKUP($A717,'[2]App C Total'!$A$4:$I$917,6,FALSE)</f>
        <v>14866</v>
      </c>
      <c r="G717" s="2">
        <f>VLOOKUP($A717,'[2]App C Total'!$A$4:$I$917,7,FALSE)</f>
        <v>24647</v>
      </c>
      <c r="H717" s="2">
        <f>VLOOKUP($A717,'[2]App C Total'!$A$4:$I$917,8,FALSE)</f>
        <v>7364</v>
      </c>
      <c r="I717" s="2">
        <f>VLOOKUP($A717,'[2]App C Total'!$A$4:$I$917,9,FALSE)</f>
        <v>0</v>
      </c>
      <c r="J717" s="2"/>
      <c r="K717" s="2">
        <f>VLOOKUP($A717,'[2]App C Exp'!$A$4:$I$917,5,FALSE)</f>
        <v>12958</v>
      </c>
      <c r="L717" s="2">
        <f>VLOOKUP($A717,'[2]App C Exp'!$A$4:$I$917,6,FALSE)</f>
        <v>12190</v>
      </c>
      <c r="M717" s="2">
        <f>VLOOKUP($A717,'[2]App C Exp'!$A$4:$I$917,7,FALSE)</f>
        <v>10925</v>
      </c>
      <c r="N717" s="2">
        <f>VLOOKUP($A717,'[2]App C Exp'!$A$4:$I$917,8,FALSE)</f>
        <v>4374</v>
      </c>
      <c r="O717" s="2">
        <f>VLOOKUP($A717,'[2]App C Exp'!$A$4:$I$917,9,FALSE)</f>
        <v>0</v>
      </c>
      <c r="P717" s="2"/>
      <c r="Q717" s="2">
        <f>VLOOKUP($A717,'[2]App C Inv'!$A$4:$I$917,5,FALSE)</f>
        <v>13757</v>
      </c>
      <c r="R717" s="2">
        <f>VLOOKUP($A717,'[2]App C Inv'!$A$4:$I$917,6,FALSE)</f>
        <v>-11834</v>
      </c>
      <c r="S717" s="2">
        <f>VLOOKUP($A717,'[2]App C Inv'!$A$4:$I$917,7,FALSE)</f>
        <v>1668</v>
      </c>
      <c r="T717" s="2">
        <f>VLOOKUP($A717,'[2]App C Inv'!$A$4:$I$917,8,FALSE)</f>
        <v>2171</v>
      </c>
      <c r="U717" s="2">
        <f>VLOOKUP($A717,'[2]App C Inv'!$A$4:$I$917,9,FALSE)</f>
        <v>0</v>
      </c>
      <c r="V717" s="2"/>
      <c r="W717" s="2">
        <f>VLOOKUP($A717,'[2]App C Assum'!$A$4:$I$917,5,FALSE)</f>
        <v>15498</v>
      </c>
      <c r="X717" s="2">
        <f>VLOOKUP($A717,'[2]App C Assum'!$A$4:$I$917,6,FALSE)</f>
        <v>12696</v>
      </c>
      <c r="Y717" s="2">
        <f>VLOOKUP($A717,'[2]App C Assum'!$A$4:$I$917,7,FALSE)</f>
        <v>10307</v>
      </c>
      <c r="Z717" s="2">
        <f>VLOOKUP($A717,'[2]App C Assum'!$A$4:$I$917,8,FALSE)</f>
        <v>0</v>
      </c>
      <c r="AA717" s="2">
        <f>VLOOKUP($A717,'[2]App C Assum'!$A$4:$I$917,9,FALSE)</f>
        <v>0</v>
      </c>
      <c r="AB717" s="2"/>
      <c r="AC717" s="2">
        <f>VLOOKUP($A717,'[2]App C Share Outflows'!$A$4:$I$917,5,FALSE)</f>
        <v>3627</v>
      </c>
      <c r="AD717" s="2">
        <f>VLOOKUP($A717,'[2]App C Share Outflows'!$A$4:$I$917,6,FALSE)</f>
        <v>1814</v>
      </c>
      <c r="AE717" s="2">
        <f>VLOOKUP($A717,'[2]App C Share Outflows'!$A$4:$I$917,7,FALSE)</f>
        <v>1747</v>
      </c>
      <c r="AF717" s="2">
        <f>VLOOKUP($A717,'[2]App C Share Outflows'!$A$4:$I$917,8,FALSE)</f>
        <v>819</v>
      </c>
      <c r="AG717" s="2">
        <f>VLOOKUP($A717,'[2]App C Share Outflows'!$A$4:$I$917,9,FALSE)</f>
        <v>0</v>
      </c>
      <c r="AH717" s="2"/>
      <c r="AI717" s="2">
        <f>VLOOKUP($A717,'[2]App C Share Inflows'!$A$4:$I$917,5,FALSE)</f>
        <v>0</v>
      </c>
      <c r="AJ717" s="2">
        <f>VLOOKUP($A717,'[2]App C Share Inflows'!$A$4:$I$917,6,FALSE)</f>
        <v>0</v>
      </c>
      <c r="AK717" s="2">
        <f>VLOOKUP($A717,'[2]App C Share Inflows'!$A$4:$I$917,7,FALSE)</f>
        <v>0</v>
      </c>
      <c r="AL717" s="2">
        <f>VLOOKUP($A717,'[2]App C Share Inflows'!$A$4:$I$917,8,FALSE)</f>
        <v>0</v>
      </c>
      <c r="AM717" s="2">
        <f>VLOOKUP($A717,'[2]App C Share Inflows'!$A$4:$I$917,6,FALSE)</f>
        <v>0</v>
      </c>
    </row>
    <row r="718" spans="1:39">
      <c r="A718" s="351">
        <v>97811</v>
      </c>
      <c r="B718" s="344" t="s">
        <v>1416</v>
      </c>
      <c r="C718" s="235" t="e">
        <f>VLOOKUP(A718,#REF!,10,FALSE)</f>
        <v>#REF!</v>
      </c>
      <c r="E718" s="2">
        <f>VLOOKUP($A718,'[2]App C Total'!$A$4:$I$917,5,FALSE)</f>
        <v>1140769</v>
      </c>
      <c r="F718" s="2">
        <f>VLOOKUP($A718,'[2]App C Total'!$A$4:$I$917,6,FALSE)</f>
        <v>356618</v>
      </c>
      <c r="G718" s="2">
        <f>VLOOKUP($A718,'[2]App C Total'!$A$4:$I$917,7,FALSE)</f>
        <v>631066</v>
      </c>
      <c r="H718" s="2">
        <f>VLOOKUP($A718,'[2]App C Total'!$A$4:$I$917,8,FALSE)</f>
        <v>176881</v>
      </c>
      <c r="I718" s="2">
        <f>VLOOKUP($A718,'[2]App C Total'!$A$4:$I$917,9,FALSE)</f>
        <v>0</v>
      </c>
      <c r="J718" s="2"/>
      <c r="K718" s="2">
        <f>VLOOKUP($A718,'[2]App C Exp'!$A$4:$I$917,5,FALSE)</f>
        <v>360750</v>
      </c>
      <c r="L718" s="2">
        <f>VLOOKUP($A718,'[2]App C Exp'!$A$4:$I$917,6,FALSE)</f>
        <v>339349</v>
      </c>
      <c r="M718" s="2">
        <f>VLOOKUP($A718,'[2]App C Exp'!$A$4:$I$917,7,FALSE)</f>
        <v>304155</v>
      </c>
      <c r="N718" s="2">
        <f>VLOOKUP($A718,'[2]App C Exp'!$A$4:$I$917,8,FALSE)</f>
        <v>121780</v>
      </c>
      <c r="O718" s="2">
        <f>VLOOKUP($A718,'[2]App C Exp'!$A$4:$I$917,9,FALSE)</f>
        <v>0</v>
      </c>
      <c r="P718" s="2"/>
      <c r="Q718" s="2">
        <f>VLOOKUP($A718,'[2]App C Inv'!$A$4:$I$917,5,FALSE)</f>
        <v>382987</v>
      </c>
      <c r="R718" s="2">
        <f>VLOOKUP($A718,'[2]App C Inv'!$A$4:$I$917,6,FALSE)</f>
        <v>-329440</v>
      </c>
      <c r="S718" s="2">
        <f>VLOOKUP($A718,'[2]App C Inv'!$A$4:$I$917,7,FALSE)</f>
        <v>46431</v>
      </c>
      <c r="T718" s="2">
        <f>VLOOKUP($A718,'[2]App C Inv'!$A$4:$I$917,8,FALSE)</f>
        <v>60429</v>
      </c>
      <c r="U718" s="2">
        <f>VLOOKUP($A718,'[2]App C Inv'!$A$4:$I$917,9,FALSE)</f>
        <v>0</v>
      </c>
      <c r="V718" s="2"/>
      <c r="W718" s="2">
        <f>VLOOKUP($A718,'[2]App C Assum'!$A$4:$I$917,5,FALSE)</f>
        <v>431440</v>
      </c>
      <c r="X718" s="2">
        <f>VLOOKUP($A718,'[2]App C Assum'!$A$4:$I$917,6,FALSE)</f>
        <v>353451</v>
      </c>
      <c r="Y718" s="2">
        <f>VLOOKUP($A718,'[2]App C Assum'!$A$4:$I$917,7,FALSE)</f>
        <v>286942</v>
      </c>
      <c r="Z718" s="2">
        <f>VLOOKUP($A718,'[2]App C Assum'!$A$4:$I$917,8,FALSE)</f>
        <v>0</v>
      </c>
      <c r="AA718" s="2">
        <f>VLOOKUP($A718,'[2]App C Assum'!$A$4:$I$917,9,FALSE)</f>
        <v>0</v>
      </c>
      <c r="AB718" s="2"/>
      <c r="AC718" s="2">
        <f>VLOOKUP($A718,'[2]App C Share Outflows'!$A$4:$I$917,5,FALSE)</f>
        <v>0</v>
      </c>
      <c r="AD718" s="2">
        <f>VLOOKUP($A718,'[2]App C Share Outflows'!$A$4:$I$917,6,FALSE)</f>
        <v>0</v>
      </c>
      <c r="AE718" s="2">
        <f>VLOOKUP($A718,'[2]App C Share Outflows'!$A$4:$I$917,7,FALSE)</f>
        <v>0</v>
      </c>
      <c r="AF718" s="2">
        <f>VLOOKUP($A718,'[2]App C Share Outflows'!$A$4:$I$917,8,FALSE)</f>
        <v>0</v>
      </c>
      <c r="AG718" s="2">
        <f>VLOOKUP($A718,'[2]App C Share Outflows'!$A$4:$I$917,9,FALSE)</f>
        <v>0</v>
      </c>
      <c r="AH718" s="2"/>
      <c r="AI718" s="2">
        <f>VLOOKUP($A718,'[2]App C Share Inflows'!$A$4:$I$917,5,FALSE)</f>
        <v>-34408</v>
      </c>
      <c r="AJ718" s="2">
        <f>VLOOKUP($A718,'[2]App C Share Inflows'!$A$4:$I$917,6,FALSE)</f>
        <v>-6742</v>
      </c>
      <c r="AK718" s="2">
        <f>VLOOKUP($A718,'[2]App C Share Inflows'!$A$4:$I$917,7,FALSE)</f>
        <v>-6462</v>
      </c>
      <c r="AL718" s="2">
        <f>VLOOKUP($A718,'[2]App C Share Inflows'!$A$4:$I$917,8,FALSE)</f>
        <v>-5328</v>
      </c>
      <c r="AM718" s="2">
        <f>VLOOKUP($A718,'[2]App C Share Inflows'!$A$4:$I$917,6,FALSE)</f>
        <v>-6742</v>
      </c>
    </row>
    <row r="719" spans="1:39">
      <c r="A719" s="351">
        <v>97817</v>
      </c>
      <c r="B719" s="344" t="s">
        <v>1417</v>
      </c>
      <c r="C719" s="235" t="e">
        <f>VLOOKUP(A719,#REF!,10,FALSE)</f>
        <v>#REF!</v>
      </c>
      <c r="E719" s="2">
        <f>VLOOKUP($A719,'[2]App C Total'!$A$4:$I$917,5,FALSE)</f>
        <v>14226</v>
      </c>
      <c r="F719" s="2">
        <f>VLOOKUP($A719,'[2]App C Total'!$A$4:$I$917,6,FALSE)</f>
        <v>7701</v>
      </c>
      <c r="G719" s="2">
        <f>VLOOKUP($A719,'[2]App C Total'!$A$4:$I$917,7,FALSE)</f>
        <v>5854</v>
      </c>
      <c r="H719" s="2">
        <f>VLOOKUP($A719,'[2]App C Total'!$A$4:$I$917,8,FALSE)</f>
        <v>2284</v>
      </c>
      <c r="I719" s="2">
        <f>VLOOKUP($A719,'[2]App C Total'!$A$4:$I$917,9,FALSE)</f>
        <v>0</v>
      </c>
      <c r="J719" s="2"/>
      <c r="K719" s="2">
        <f>VLOOKUP($A719,'[2]App C Exp'!$A$4:$I$917,5,FALSE)</f>
        <v>2622</v>
      </c>
      <c r="L719" s="2">
        <f>VLOOKUP($A719,'[2]App C Exp'!$A$4:$I$917,6,FALSE)</f>
        <v>2466</v>
      </c>
      <c r="M719" s="2">
        <f>VLOOKUP($A719,'[2]App C Exp'!$A$4:$I$917,7,FALSE)</f>
        <v>2210</v>
      </c>
      <c r="N719" s="2">
        <f>VLOOKUP($A719,'[2]App C Exp'!$A$4:$I$917,8,FALSE)</f>
        <v>885</v>
      </c>
      <c r="O719" s="2">
        <f>VLOOKUP($A719,'[2]App C Exp'!$A$4:$I$917,9,FALSE)</f>
        <v>0</v>
      </c>
      <c r="P719" s="2"/>
      <c r="Q719" s="2">
        <f>VLOOKUP($A719,'[2]App C Inv'!$A$4:$I$917,5,FALSE)</f>
        <v>2783</v>
      </c>
      <c r="R719" s="2">
        <f>VLOOKUP($A719,'[2]App C Inv'!$A$4:$I$917,6,FALSE)</f>
        <v>-2394</v>
      </c>
      <c r="S719" s="2">
        <f>VLOOKUP($A719,'[2]App C Inv'!$A$4:$I$917,7,FALSE)</f>
        <v>337</v>
      </c>
      <c r="T719" s="2">
        <f>VLOOKUP($A719,'[2]App C Inv'!$A$4:$I$917,8,FALSE)</f>
        <v>439</v>
      </c>
      <c r="U719" s="2">
        <f>VLOOKUP($A719,'[2]App C Inv'!$A$4:$I$917,9,FALSE)</f>
        <v>0</v>
      </c>
      <c r="V719" s="2"/>
      <c r="W719" s="2">
        <f>VLOOKUP($A719,'[2]App C Assum'!$A$4:$I$917,5,FALSE)</f>
        <v>3135</v>
      </c>
      <c r="X719" s="2">
        <f>VLOOKUP($A719,'[2]App C Assum'!$A$4:$I$917,6,FALSE)</f>
        <v>2569</v>
      </c>
      <c r="Y719" s="2">
        <f>VLOOKUP($A719,'[2]App C Assum'!$A$4:$I$917,7,FALSE)</f>
        <v>2085</v>
      </c>
      <c r="Z719" s="2">
        <f>VLOOKUP($A719,'[2]App C Assum'!$A$4:$I$917,8,FALSE)</f>
        <v>0</v>
      </c>
      <c r="AA719" s="2">
        <f>VLOOKUP($A719,'[2]App C Assum'!$A$4:$I$917,9,FALSE)</f>
        <v>0</v>
      </c>
      <c r="AB719" s="2"/>
      <c r="AC719" s="2">
        <f>VLOOKUP($A719,'[2]App C Share Outflows'!$A$4:$I$917,5,FALSE)</f>
        <v>5686</v>
      </c>
      <c r="AD719" s="2">
        <f>VLOOKUP($A719,'[2]App C Share Outflows'!$A$4:$I$917,6,FALSE)</f>
        <v>5060</v>
      </c>
      <c r="AE719" s="2">
        <f>VLOOKUP($A719,'[2]App C Share Outflows'!$A$4:$I$917,7,FALSE)</f>
        <v>1222</v>
      </c>
      <c r="AF719" s="2">
        <f>VLOOKUP($A719,'[2]App C Share Outflows'!$A$4:$I$917,8,FALSE)</f>
        <v>960</v>
      </c>
      <c r="AG719" s="2">
        <f>VLOOKUP($A719,'[2]App C Share Outflows'!$A$4:$I$917,9,FALSE)</f>
        <v>0</v>
      </c>
      <c r="AH719" s="2"/>
      <c r="AI719" s="2">
        <f>VLOOKUP($A719,'[2]App C Share Inflows'!$A$4:$I$917,5,FALSE)</f>
        <v>0</v>
      </c>
      <c r="AJ719" s="2">
        <f>VLOOKUP($A719,'[2]App C Share Inflows'!$A$4:$I$917,6,FALSE)</f>
        <v>0</v>
      </c>
      <c r="AK719" s="2">
        <f>VLOOKUP($A719,'[2]App C Share Inflows'!$A$4:$I$917,7,FALSE)</f>
        <v>0</v>
      </c>
      <c r="AL719" s="2">
        <f>VLOOKUP($A719,'[2]App C Share Inflows'!$A$4:$I$917,8,FALSE)</f>
        <v>0</v>
      </c>
      <c r="AM719" s="2">
        <f>VLOOKUP($A719,'[2]App C Share Inflows'!$A$4:$I$917,6,FALSE)</f>
        <v>0</v>
      </c>
    </row>
    <row r="720" spans="1:39">
      <c r="A720" s="351">
        <v>97818</v>
      </c>
      <c r="B720" s="344" t="s">
        <v>2804</v>
      </c>
      <c r="C720" s="235" t="e">
        <f>VLOOKUP(A720,#REF!,10,FALSE)</f>
        <v>#REF!</v>
      </c>
      <c r="E720" s="2">
        <f>VLOOKUP($A720,'[2]App C Total'!$A$4:$I$917,5,FALSE)</f>
        <v>14464</v>
      </c>
      <c r="F720" s="2">
        <f>VLOOKUP($A720,'[2]App C Total'!$A$4:$I$917,6,FALSE)</f>
        <v>4531</v>
      </c>
      <c r="G720" s="2">
        <f>VLOOKUP($A720,'[2]App C Total'!$A$4:$I$917,7,FALSE)</f>
        <v>7291</v>
      </c>
      <c r="H720" s="2">
        <f>VLOOKUP($A720,'[2]App C Total'!$A$4:$I$917,8,FALSE)</f>
        <v>2830</v>
      </c>
      <c r="I720" s="2">
        <f>VLOOKUP($A720,'[2]App C Total'!$A$4:$I$917,9,FALSE)</f>
        <v>0</v>
      </c>
      <c r="J720" s="2"/>
      <c r="K720" s="2">
        <f>VLOOKUP($A720,'[2]App C Exp'!$A$4:$I$917,5,FALSE)</f>
        <v>3730</v>
      </c>
      <c r="L720" s="2">
        <f>VLOOKUP($A720,'[2]App C Exp'!$A$4:$I$917,6,FALSE)</f>
        <v>3509</v>
      </c>
      <c r="M720" s="2">
        <f>VLOOKUP($A720,'[2]App C Exp'!$A$4:$I$917,7,FALSE)</f>
        <v>3145</v>
      </c>
      <c r="N720" s="2">
        <f>VLOOKUP($A720,'[2]App C Exp'!$A$4:$I$917,8,FALSE)</f>
        <v>1259</v>
      </c>
      <c r="O720" s="2">
        <f>VLOOKUP($A720,'[2]App C Exp'!$A$4:$I$917,9,FALSE)</f>
        <v>0</v>
      </c>
      <c r="P720" s="2"/>
      <c r="Q720" s="2">
        <f>VLOOKUP($A720,'[2]App C Inv'!$A$4:$I$917,5,FALSE)</f>
        <v>3960</v>
      </c>
      <c r="R720" s="2">
        <f>VLOOKUP($A720,'[2]App C Inv'!$A$4:$I$917,6,FALSE)</f>
        <v>-3406</v>
      </c>
      <c r="S720" s="2">
        <f>VLOOKUP($A720,'[2]App C Inv'!$A$4:$I$917,7,FALSE)</f>
        <v>480</v>
      </c>
      <c r="T720" s="2">
        <f>VLOOKUP($A720,'[2]App C Inv'!$A$4:$I$917,8,FALSE)</f>
        <v>625</v>
      </c>
      <c r="U720" s="2">
        <f>VLOOKUP($A720,'[2]App C Inv'!$A$4:$I$917,9,FALSE)</f>
        <v>0</v>
      </c>
      <c r="V720" s="2"/>
      <c r="W720" s="2">
        <f>VLOOKUP($A720,'[2]App C Assum'!$A$4:$I$917,5,FALSE)</f>
        <v>4461</v>
      </c>
      <c r="X720" s="2">
        <f>VLOOKUP($A720,'[2]App C Assum'!$A$4:$I$917,6,FALSE)</f>
        <v>3655</v>
      </c>
      <c r="Y720" s="2">
        <f>VLOOKUP($A720,'[2]App C Assum'!$A$4:$I$917,7,FALSE)</f>
        <v>2967</v>
      </c>
      <c r="Z720" s="2">
        <f>VLOOKUP($A720,'[2]App C Assum'!$A$4:$I$917,8,FALSE)</f>
        <v>0</v>
      </c>
      <c r="AA720" s="2">
        <f>VLOOKUP($A720,'[2]App C Assum'!$A$4:$I$917,9,FALSE)</f>
        <v>0</v>
      </c>
      <c r="AB720" s="2"/>
      <c r="AC720" s="2">
        <f>VLOOKUP($A720,'[2]App C Share Outflows'!$A$4:$I$917,5,FALSE)</f>
        <v>2559</v>
      </c>
      <c r="AD720" s="2">
        <f>VLOOKUP($A720,'[2]App C Share Outflows'!$A$4:$I$917,6,FALSE)</f>
        <v>1019</v>
      </c>
      <c r="AE720" s="2">
        <f>VLOOKUP($A720,'[2]App C Share Outflows'!$A$4:$I$917,7,FALSE)</f>
        <v>944</v>
      </c>
      <c r="AF720" s="2">
        <f>VLOOKUP($A720,'[2]App C Share Outflows'!$A$4:$I$917,8,FALSE)</f>
        <v>946</v>
      </c>
      <c r="AG720" s="2">
        <f>VLOOKUP($A720,'[2]App C Share Outflows'!$A$4:$I$917,9,FALSE)</f>
        <v>0</v>
      </c>
      <c r="AH720" s="2"/>
      <c r="AI720" s="2">
        <f>VLOOKUP($A720,'[2]App C Share Inflows'!$A$4:$I$917,5,FALSE)</f>
        <v>-246</v>
      </c>
      <c r="AJ720" s="2">
        <f>VLOOKUP($A720,'[2]App C Share Inflows'!$A$4:$I$917,6,FALSE)</f>
        <v>-246</v>
      </c>
      <c r="AK720" s="2">
        <f>VLOOKUP($A720,'[2]App C Share Inflows'!$A$4:$I$917,7,FALSE)</f>
        <v>-245</v>
      </c>
      <c r="AL720" s="2">
        <f>VLOOKUP($A720,'[2]App C Share Inflows'!$A$4:$I$917,8,FALSE)</f>
        <v>0</v>
      </c>
      <c r="AM720" s="2">
        <f>VLOOKUP($A720,'[2]App C Share Inflows'!$A$4:$I$917,6,FALSE)</f>
        <v>-246</v>
      </c>
    </row>
    <row r="721" spans="1:39">
      <c r="A721" s="351">
        <v>97821</v>
      </c>
      <c r="B721" s="344" t="s">
        <v>1419</v>
      </c>
      <c r="C721" s="235" t="e">
        <f>VLOOKUP(A721,#REF!,10,FALSE)</f>
        <v>#REF!</v>
      </c>
      <c r="E721" s="2">
        <f>VLOOKUP($A721,'[2]App C Total'!$A$4:$I$917,5,FALSE)</f>
        <v>72896</v>
      </c>
      <c r="F721" s="2">
        <f>VLOOKUP($A721,'[2]App C Total'!$A$4:$I$917,6,FALSE)</f>
        <v>29407</v>
      </c>
      <c r="G721" s="2">
        <f>VLOOKUP($A721,'[2]App C Total'!$A$4:$I$917,7,FALSE)</f>
        <v>43201</v>
      </c>
      <c r="H721" s="2">
        <f>VLOOKUP($A721,'[2]App C Total'!$A$4:$I$917,8,FALSE)</f>
        <v>15926</v>
      </c>
      <c r="I721" s="2">
        <f>VLOOKUP($A721,'[2]App C Total'!$A$4:$I$917,9,FALSE)</f>
        <v>0</v>
      </c>
      <c r="J721" s="2"/>
      <c r="K721" s="2">
        <f>VLOOKUP($A721,'[2]App C Exp'!$A$4:$I$917,5,FALSE)</f>
        <v>19909</v>
      </c>
      <c r="L721" s="2">
        <f>VLOOKUP($A721,'[2]App C Exp'!$A$4:$I$917,6,FALSE)</f>
        <v>18728</v>
      </c>
      <c r="M721" s="2">
        <f>VLOOKUP($A721,'[2]App C Exp'!$A$4:$I$917,7,FALSE)</f>
        <v>16786</v>
      </c>
      <c r="N721" s="2">
        <f>VLOOKUP($A721,'[2]App C Exp'!$A$4:$I$917,8,FALSE)</f>
        <v>6721</v>
      </c>
      <c r="O721" s="2">
        <f>VLOOKUP($A721,'[2]App C Exp'!$A$4:$I$917,9,FALSE)</f>
        <v>0</v>
      </c>
      <c r="P721" s="2"/>
      <c r="Q721" s="2">
        <f>VLOOKUP($A721,'[2]App C Inv'!$A$4:$I$917,5,FALSE)</f>
        <v>21137</v>
      </c>
      <c r="R721" s="2">
        <f>VLOOKUP($A721,'[2]App C Inv'!$A$4:$I$917,6,FALSE)</f>
        <v>-18181</v>
      </c>
      <c r="S721" s="2">
        <f>VLOOKUP($A721,'[2]App C Inv'!$A$4:$I$917,7,FALSE)</f>
        <v>2562</v>
      </c>
      <c r="T721" s="2">
        <f>VLOOKUP($A721,'[2]App C Inv'!$A$4:$I$917,8,FALSE)</f>
        <v>3335</v>
      </c>
      <c r="U721" s="2">
        <f>VLOOKUP($A721,'[2]App C Inv'!$A$4:$I$917,9,FALSE)</f>
        <v>0</v>
      </c>
      <c r="V721" s="2"/>
      <c r="W721" s="2">
        <f>VLOOKUP($A721,'[2]App C Assum'!$A$4:$I$917,5,FALSE)</f>
        <v>23811</v>
      </c>
      <c r="X721" s="2">
        <f>VLOOKUP($A721,'[2]App C Assum'!$A$4:$I$917,6,FALSE)</f>
        <v>19507</v>
      </c>
      <c r="Y721" s="2">
        <f>VLOOKUP($A721,'[2]App C Assum'!$A$4:$I$917,7,FALSE)</f>
        <v>15836</v>
      </c>
      <c r="Z721" s="2">
        <f>VLOOKUP($A721,'[2]App C Assum'!$A$4:$I$917,8,FALSE)</f>
        <v>0</v>
      </c>
      <c r="AA721" s="2">
        <f>VLOOKUP($A721,'[2]App C Assum'!$A$4:$I$917,9,FALSE)</f>
        <v>0</v>
      </c>
      <c r="AB721" s="2"/>
      <c r="AC721" s="2">
        <f>VLOOKUP($A721,'[2]App C Share Outflows'!$A$4:$I$917,5,FALSE)</f>
        <v>9354</v>
      </c>
      <c r="AD721" s="2">
        <f>VLOOKUP($A721,'[2]App C Share Outflows'!$A$4:$I$917,6,FALSE)</f>
        <v>9353</v>
      </c>
      <c r="AE721" s="2">
        <f>VLOOKUP($A721,'[2]App C Share Outflows'!$A$4:$I$917,7,FALSE)</f>
        <v>8017</v>
      </c>
      <c r="AF721" s="2">
        <f>VLOOKUP($A721,'[2]App C Share Outflows'!$A$4:$I$917,8,FALSE)</f>
        <v>5870</v>
      </c>
      <c r="AG721" s="2">
        <f>VLOOKUP($A721,'[2]App C Share Outflows'!$A$4:$I$917,9,FALSE)</f>
        <v>0</v>
      </c>
      <c r="AH721" s="2"/>
      <c r="AI721" s="2">
        <f>VLOOKUP($A721,'[2]App C Share Inflows'!$A$4:$I$917,5,FALSE)</f>
        <v>-1315</v>
      </c>
      <c r="AJ721" s="2">
        <f>VLOOKUP($A721,'[2]App C Share Inflows'!$A$4:$I$917,6,FALSE)</f>
        <v>0</v>
      </c>
      <c r="AK721" s="2">
        <f>VLOOKUP($A721,'[2]App C Share Inflows'!$A$4:$I$917,7,FALSE)</f>
        <v>0</v>
      </c>
      <c r="AL721" s="2">
        <f>VLOOKUP($A721,'[2]App C Share Inflows'!$A$4:$I$917,8,FALSE)</f>
        <v>0</v>
      </c>
      <c r="AM721" s="2">
        <f>VLOOKUP($A721,'[2]App C Share Inflows'!$A$4:$I$917,6,FALSE)</f>
        <v>0</v>
      </c>
    </row>
    <row r="722" spans="1:39">
      <c r="A722" s="351">
        <v>97823</v>
      </c>
      <c r="B722" s="344" t="s">
        <v>1420</v>
      </c>
      <c r="C722" s="235" t="e">
        <f>VLOOKUP(A722,#REF!,10,FALSE)</f>
        <v>#REF!</v>
      </c>
      <c r="E722" s="2">
        <f>VLOOKUP($A722,'[2]App C Total'!$A$4:$I$917,5,FALSE)</f>
        <v>7985</v>
      </c>
      <c r="F722" s="2">
        <f>VLOOKUP($A722,'[2]App C Total'!$A$4:$I$917,6,FALSE)</f>
        <v>2632</v>
      </c>
      <c r="G722" s="2">
        <f>VLOOKUP($A722,'[2]App C Total'!$A$4:$I$917,7,FALSE)</f>
        <v>4127</v>
      </c>
      <c r="H722" s="2">
        <f>VLOOKUP($A722,'[2]App C Total'!$A$4:$I$917,8,FALSE)</f>
        <v>1738</v>
      </c>
      <c r="I722" s="2">
        <f>VLOOKUP($A722,'[2]App C Total'!$A$4:$I$917,9,FALSE)</f>
        <v>0</v>
      </c>
      <c r="J722" s="2"/>
      <c r="K722" s="2">
        <f>VLOOKUP($A722,'[2]App C Exp'!$A$4:$I$917,5,FALSE)</f>
        <v>2307</v>
      </c>
      <c r="L722" s="2">
        <f>VLOOKUP($A722,'[2]App C Exp'!$A$4:$I$917,6,FALSE)</f>
        <v>2170</v>
      </c>
      <c r="M722" s="2">
        <f>VLOOKUP($A722,'[2]App C Exp'!$A$4:$I$917,7,FALSE)</f>
        <v>1945</v>
      </c>
      <c r="N722" s="2">
        <f>VLOOKUP($A722,'[2]App C Exp'!$A$4:$I$917,8,FALSE)</f>
        <v>779</v>
      </c>
      <c r="O722" s="2">
        <f>VLOOKUP($A722,'[2]App C Exp'!$A$4:$I$917,9,FALSE)</f>
        <v>0</v>
      </c>
      <c r="P722" s="2"/>
      <c r="Q722" s="2">
        <f>VLOOKUP($A722,'[2]App C Inv'!$A$4:$I$917,5,FALSE)</f>
        <v>2449</v>
      </c>
      <c r="R722" s="2">
        <f>VLOOKUP($A722,'[2]App C Inv'!$A$4:$I$917,6,FALSE)</f>
        <v>-2107</v>
      </c>
      <c r="S722" s="2">
        <f>VLOOKUP($A722,'[2]App C Inv'!$A$4:$I$917,7,FALSE)</f>
        <v>297</v>
      </c>
      <c r="T722" s="2">
        <f>VLOOKUP($A722,'[2]App C Inv'!$A$4:$I$917,8,FALSE)</f>
        <v>386</v>
      </c>
      <c r="U722" s="2">
        <f>VLOOKUP($A722,'[2]App C Inv'!$A$4:$I$917,9,FALSE)</f>
        <v>0</v>
      </c>
      <c r="V722" s="2"/>
      <c r="W722" s="2">
        <f>VLOOKUP($A722,'[2]App C Assum'!$A$4:$I$917,5,FALSE)</f>
        <v>2759</v>
      </c>
      <c r="X722" s="2">
        <f>VLOOKUP($A722,'[2]App C Assum'!$A$4:$I$917,6,FALSE)</f>
        <v>2260</v>
      </c>
      <c r="Y722" s="2">
        <f>VLOOKUP($A722,'[2]App C Assum'!$A$4:$I$917,7,FALSE)</f>
        <v>1835</v>
      </c>
      <c r="Z722" s="2">
        <f>VLOOKUP($A722,'[2]App C Assum'!$A$4:$I$917,8,FALSE)</f>
        <v>0</v>
      </c>
      <c r="AA722" s="2">
        <f>VLOOKUP($A722,'[2]App C Assum'!$A$4:$I$917,9,FALSE)</f>
        <v>0</v>
      </c>
      <c r="AB722" s="2"/>
      <c r="AC722" s="2">
        <f>VLOOKUP($A722,'[2]App C Share Outflows'!$A$4:$I$917,5,FALSE)</f>
        <v>997</v>
      </c>
      <c r="AD722" s="2">
        <f>VLOOKUP($A722,'[2]App C Share Outflows'!$A$4:$I$917,6,FALSE)</f>
        <v>836</v>
      </c>
      <c r="AE722" s="2">
        <f>VLOOKUP($A722,'[2]App C Share Outflows'!$A$4:$I$917,7,FALSE)</f>
        <v>575</v>
      </c>
      <c r="AF722" s="2">
        <f>VLOOKUP($A722,'[2]App C Share Outflows'!$A$4:$I$917,8,FALSE)</f>
        <v>573</v>
      </c>
      <c r="AG722" s="2">
        <f>VLOOKUP($A722,'[2]App C Share Outflows'!$A$4:$I$917,9,FALSE)</f>
        <v>0</v>
      </c>
      <c r="AH722" s="2"/>
      <c r="AI722" s="2">
        <f>VLOOKUP($A722,'[2]App C Share Inflows'!$A$4:$I$917,5,FALSE)</f>
        <v>-527</v>
      </c>
      <c r="AJ722" s="2">
        <f>VLOOKUP($A722,'[2]App C Share Inflows'!$A$4:$I$917,6,FALSE)</f>
        <v>-527</v>
      </c>
      <c r="AK722" s="2">
        <f>VLOOKUP($A722,'[2]App C Share Inflows'!$A$4:$I$917,7,FALSE)</f>
        <v>-525</v>
      </c>
      <c r="AL722" s="2">
        <f>VLOOKUP($A722,'[2]App C Share Inflows'!$A$4:$I$917,8,FALSE)</f>
        <v>0</v>
      </c>
      <c r="AM722" s="2">
        <f>VLOOKUP($A722,'[2]App C Share Inflows'!$A$4:$I$917,6,FALSE)</f>
        <v>-527</v>
      </c>
    </row>
    <row r="723" spans="1:39">
      <c r="A723" s="351">
        <v>97831</v>
      </c>
      <c r="B723" s="344" t="s">
        <v>1421</v>
      </c>
      <c r="C723" s="235" t="e">
        <f>VLOOKUP(A723,#REF!,10,FALSE)</f>
        <v>#REF!</v>
      </c>
      <c r="E723" s="2">
        <f>VLOOKUP($A723,'[2]App C Total'!$A$4:$I$917,5,FALSE)</f>
        <v>86798</v>
      </c>
      <c r="F723" s="2">
        <f>VLOOKUP($A723,'[2]App C Total'!$A$4:$I$917,6,FALSE)</f>
        <v>31929</v>
      </c>
      <c r="G723" s="2">
        <f>VLOOKUP($A723,'[2]App C Total'!$A$4:$I$917,7,FALSE)</f>
        <v>46736</v>
      </c>
      <c r="H723" s="2">
        <f>VLOOKUP($A723,'[2]App C Total'!$A$4:$I$917,8,FALSE)</f>
        <v>16628</v>
      </c>
      <c r="I723" s="2">
        <f>VLOOKUP($A723,'[2]App C Total'!$A$4:$I$917,9,FALSE)</f>
        <v>0</v>
      </c>
      <c r="J723" s="2"/>
      <c r="K723" s="2">
        <f>VLOOKUP($A723,'[2]App C Exp'!$A$4:$I$917,5,FALSE)</f>
        <v>24508</v>
      </c>
      <c r="L723" s="2">
        <f>VLOOKUP($A723,'[2]App C Exp'!$A$4:$I$917,6,FALSE)</f>
        <v>23055</v>
      </c>
      <c r="M723" s="2">
        <f>VLOOKUP($A723,'[2]App C Exp'!$A$4:$I$917,7,FALSE)</f>
        <v>20663</v>
      </c>
      <c r="N723" s="2">
        <f>VLOOKUP($A723,'[2]App C Exp'!$A$4:$I$917,8,FALSE)</f>
        <v>8273</v>
      </c>
      <c r="O723" s="2">
        <f>VLOOKUP($A723,'[2]App C Exp'!$A$4:$I$917,9,FALSE)</f>
        <v>0</v>
      </c>
      <c r="P723" s="2"/>
      <c r="Q723" s="2">
        <f>VLOOKUP($A723,'[2]App C Inv'!$A$4:$I$917,5,FALSE)</f>
        <v>26019</v>
      </c>
      <c r="R723" s="2">
        <f>VLOOKUP($A723,'[2]App C Inv'!$A$4:$I$917,6,FALSE)</f>
        <v>-22381</v>
      </c>
      <c r="S723" s="2">
        <f>VLOOKUP($A723,'[2]App C Inv'!$A$4:$I$917,7,FALSE)</f>
        <v>3154</v>
      </c>
      <c r="T723" s="2">
        <f>VLOOKUP($A723,'[2]App C Inv'!$A$4:$I$917,8,FALSE)</f>
        <v>4105</v>
      </c>
      <c r="U723" s="2">
        <f>VLOOKUP($A723,'[2]App C Inv'!$A$4:$I$917,9,FALSE)</f>
        <v>0</v>
      </c>
      <c r="V723" s="2"/>
      <c r="W723" s="2">
        <f>VLOOKUP($A723,'[2]App C Assum'!$A$4:$I$917,5,FALSE)</f>
        <v>29311</v>
      </c>
      <c r="X723" s="2">
        <f>VLOOKUP($A723,'[2]App C Assum'!$A$4:$I$917,6,FALSE)</f>
        <v>24013</v>
      </c>
      <c r="Y723" s="2">
        <f>VLOOKUP($A723,'[2]App C Assum'!$A$4:$I$917,7,FALSE)</f>
        <v>19494</v>
      </c>
      <c r="Z723" s="2">
        <f>VLOOKUP($A723,'[2]App C Assum'!$A$4:$I$917,8,FALSE)</f>
        <v>0</v>
      </c>
      <c r="AA723" s="2">
        <f>VLOOKUP($A723,'[2]App C Assum'!$A$4:$I$917,9,FALSE)</f>
        <v>0</v>
      </c>
      <c r="AB723" s="2"/>
      <c r="AC723" s="2">
        <f>VLOOKUP($A723,'[2]App C Share Outflows'!$A$4:$I$917,5,FALSE)</f>
        <v>8066</v>
      </c>
      <c r="AD723" s="2">
        <f>VLOOKUP($A723,'[2]App C Share Outflows'!$A$4:$I$917,6,FALSE)</f>
        <v>8068</v>
      </c>
      <c r="AE723" s="2">
        <f>VLOOKUP($A723,'[2]App C Share Outflows'!$A$4:$I$917,7,FALSE)</f>
        <v>4251</v>
      </c>
      <c r="AF723" s="2">
        <f>VLOOKUP($A723,'[2]App C Share Outflows'!$A$4:$I$917,8,FALSE)</f>
        <v>4250</v>
      </c>
      <c r="AG723" s="2">
        <f>VLOOKUP($A723,'[2]App C Share Outflows'!$A$4:$I$917,9,FALSE)</f>
        <v>0</v>
      </c>
      <c r="AH723" s="2"/>
      <c r="AI723" s="2">
        <f>VLOOKUP($A723,'[2]App C Share Inflows'!$A$4:$I$917,5,FALSE)</f>
        <v>-1106</v>
      </c>
      <c r="AJ723" s="2">
        <f>VLOOKUP($A723,'[2]App C Share Inflows'!$A$4:$I$917,6,FALSE)</f>
        <v>-826</v>
      </c>
      <c r="AK723" s="2">
        <f>VLOOKUP($A723,'[2]App C Share Inflows'!$A$4:$I$917,7,FALSE)</f>
        <v>-826</v>
      </c>
      <c r="AL723" s="2">
        <f>VLOOKUP($A723,'[2]App C Share Inflows'!$A$4:$I$917,8,FALSE)</f>
        <v>0</v>
      </c>
      <c r="AM723" s="2">
        <f>VLOOKUP($A723,'[2]App C Share Inflows'!$A$4:$I$917,6,FALSE)</f>
        <v>-826</v>
      </c>
    </row>
    <row r="724" spans="1:39">
      <c r="A724" s="351">
        <v>97837</v>
      </c>
      <c r="B724" s="344" t="s">
        <v>3698</v>
      </c>
      <c r="C724" s="235" t="e">
        <f>VLOOKUP(A724,#REF!,10,FALSE)</f>
        <v>#REF!</v>
      </c>
      <c r="E724" s="2">
        <f>VLOOKUP($A724,'[2]App C Total'!$A$4:$I$917,5,FALSE)</f>
        <v>5826</v>
      </c>
      <c r="F724" s="2">
        <f>VLOOKUP($A724,'[2]App C Total'!$A$4:$I$917,6,FALSE)</f>
        <v>2517</v>
      </c>
      <c r="G724" s="2">
        <f>VLOOKUP($A724,'[2]App C Total'!$A$4:$I$917,7,FALSE)</f>
        <v>3147</v>
      </c>
      <c r="H724" s="2">
        <f>VLOOKUP($A724,'[2]App C Total'!$A$4:$I$917,8,FALSE)</f>
        <v>905</v>
      </c>
      <c r="I724" s="2">
        <f>VLOOKUP($A724,'[2]App C Total'!$A$4:$I$917,9,FALSE)</f>
        <v>0</v>
      </c>
      <c r="J724" s="2"/>
      <c r="K724" s="2">
        <f>VLOOKUP($A724,'[2]App C Exp'!$A$4:$I$917,5,FALSE)</f>
        <v>1498</v>
      </c>
      <c r="L724" s="2">
        <f>VLOOKUP($A724,'[2]App C Exp'!$A$4:$I$917,6,FALSE)</f>
        <v>1409</v>
      </c>
      <c r="M724" s="2">
        <f>VLOOKUP($A724,'[2]App C Exp'!$A$4:$I$917,7,FALSE)</f>
        <v>1263</v>
      </c>
      <c r="N724" s="2">
        <f>VLOOKUP($A724,'[2]App C Exp'!$A$4:$I$917,8,FALSE)</f>
        <v>506</v>
      </c>
      <c r="O724" s="2">
        <f>VLOOKUP($A724,'[2]App C Exp'!$A$4:$I$917,9,FALSE)</f>
        <v>0</v>
      </c>
      <c r="P724" s="2"/>
      <c r="Q724" s="2">
        <f>VLOOKUP($A724,'[2]App C Inv'!$A$4:$I$917,5,FALSE)</f>
        <v>1590</v>
      </c>
      <c r="R724" s="2">
        <f>VLOOKUP($A724,'[2]App C Inv'!$A$4:$I$917,6,FALSE)</f>
        <v>-1368</v>
      </c>
      <c r="S724" s="2">
        <f>VLOOKUP($A724,'[2]App C Inv'!$A$4:$I$917,7,FALSE)</f>
        <v>193</v>
      </c>
      <c r="T724" s="2">
        <f>VLOOKUP($A724,'[2]App C Inv'!$A$4:$I$917,8,FALSE)</f>
        <v>251</v>
      </c>
      <c r="U724" s="2">
        <f>VLOOKUP($A724,'[2]App C Inv'!$A$4:$I$917,9,FALSE)</f>
        <v>0</v>
      </c>
      <c r="V724" s="2"/>
      <c r="W724" s="2">
        <f>VLOOKUP($A724,'[2]App C Assum'!$A$4:$I$917,5,FALSE)</f>
        <v>1792</v>
      </c>
      <c r="X724" s="2">
        <f>VLOOKUP($A724,'[2]App C Assum'!$A$4:$I$917,6,FALSE)</f>
        <v>1468</v>
      </c>
      <c r="Y724" s="2">
        <f>VLOOKUP($A724,'[2]App C Assum'!$A$4:$I$917,7,FALSE)</f>
        <v>1192</v>
      </c>
      <c r="Z724" s="2">
        <f>VLOOKUP($A724,'[2]App C Assum'!$A$4:$I$917,8,FALSE)</f>
        <v>0</v>
      </c>
      <c r="AA724" s="2">
        <f>VLOOKUP($A724,'[2]App C Assum'!$A$4:$I$917,9,FALSE)</f>
        <v>0</v>
      </c>
      <c r="AB724" s="2"/>
      <c r="AC724" s="2">
        <f>VLOOKUP($A724,'[2]App C Share Outflows'!$A$4:$I$917,5,FALSE)</f>
        <v>1010</v>
      </c>
      <c r="AD724" s="2">
        <f>VLOOKUP($A724,'[2]App C Share Outflows'!$A$4:$I$917,6,FALSE)</f>
        <v>1008</v>
      </c>
      <c r="AE724" s="2">
        <f>VLOOKUP($A724,'[2]App C Share Outflows'!$A$4:$I$917,7,FALSE)</f>
        <v>499</v>
      </c>
      <c r="AF724" s="2">
        <f>VLOOKUP($A724,'[2]App C Share Outflows'!$A$4:$I$917,8,FALSE)</f>
        <v>148</v>
      </c>
      <c r="AG724" s="2">
        <f>VLOOKUP($A724,'[2]App C Share Outflows'!$A$4:$I$917,9,FALSE)</f>
        <v>0</v>
      </c>
      <c r="AH724" s="2"/>
      <c r="AI724" s="2">
        <f>VLOOKUP($A724,'[2]App C Share Inflows'!$A$4:$I$917,5,FALSE)</f>
        <v>-64</v>
      </c>
      <c r="AJ724" s="2">
        <f>VLOOKUP($A724,'[2]App C Share Inflows'!$A$4:$I$917,6,FALSE)</f>
        <v>0</v>
      </c>
      <c r="AK724" s="2">
        <f>VLOOKUP($A724,'[2]App C Share Inflows'!$A$4:$I$917,7,FALSE)</f>
        <v>0</v>
      </c>
      <c r="AL724" s="2">
        <f>VLOOKUP($A724,'[2]App C Share Inflows'!$A$4:$I$917,8,FALSE)</f>
        <v>0</v>
      </c>
      <c r="AM724" s="2">
        <f>VLOOKUP($A724,'[2]App C Share Inflows'!$A$4:$I$917,6,FALSE)</f>
        <v>0</v>
      </c>
    </row>
    <row r="725" spans="1:39">
      <c r="A725" s="351">
        <v>97840</v>
      </c>
      <c r="B725" s="344" t="s">
        <v>1423</v>
      </c>
      <c r="C725" s="235" t="e">
        <f>VLOOKUP(A725,#REF!,10,FALSE)</f>
        <v>#REF!</v>
      </c>
      <c r="E725" s="2">
        <f>VLOOKUP($A725,'[2]App C Total'!$A$4:$I$917,5,FALSE)</f>
        <v>81482</v>
      </c>
      <c r="F725" s="2">
        <f>VLOOKUP($A725,'[2]App C Total'!$A$4:$I$917,6,FALSE)</f>
        <v>39548</v>
      </c>
      <c r="G725" s="2">
        <f>VLOOKUP($A725,'[2]App C Total'!$A$4:$I$917,7,FALSE)</f>
        <v>43530</v>
      </c>
      <c r="H725" s="2">
        <f>VLOOKUP($A725,'[2]App C Total'!$A$4:$I$917,8,FALSE)</f>
        <v>12977</v>
      </c>
      <c r="I725" s="2">
        <f>VLOOKUP($A725,'[2]App C Total'!$A$4:$I$917,9,FALSE)</f>
        <v>0</v>
      </c>
      <c r="J725" s="2"/>
      <c r="K725" s="2">
        <f>VLOOKUP($A725,'[2]App C Exp'!$A$4:$I$917,5,FALSE)</f>
        <v>15820</v>
      </c>
      <c r="L725" s="2">
        <f>VLOOKUP($A725,'[2]App C Exp'!$A$4:$I$917,6,FALSE)</f>
        <v>14881</v>
      </c>
      <c r="M725" s="2">
        <f>VLOOKUP($A725,'[2]App C Exp'!$A$4:$I$917,7,FALSE)</f>
        <v>13338</v>
      </c>
      <c r="N725" s="2">
        <f>VLOOKUP($A725,'[2]App C Exp'!$A$4:$I$917,8,FALSE)</f>
        <v>5340</v>
      </c>
      <c r="O725" s="2">
        <f>VLOOKUP($A725,'[2]App C Exp'!$A$4:$I$917,9,FALSE)</f>
        <v>0</v>
      </c>
      <c r="P725" s="2"/>
      <c r="Q725" s="2">
        <f>VLOOKUP($A725,'[2]App C Inv'!$A$4:$I$917,5,FALSE)</f>
        <v>16795</v>
      </c>
      <c r="R725" s="2">
        <f>VLOOKUP($A725,'[2]App C Inv'!$A$4:$I$917,6,FALSE)</f>
        <v>-14447</v>
      </c>
      <c r="S725" s="2">
        <f>VLOOKUP($A725,'[2]App C Inv'!$A$4:$I$917,7,FALSE)</f>
        <v>2036</v>
      </c>
      <c r="T725" s="2">
        <f>VLOOKUP($A725,'[2]App C Inv'!$A$4:$I$917,8,FALSE)</f>
        <v>2650</v>
      </c>
      <c r="U725" s="2">
        <f>VLOOKUP($A725,'[2]App C Inv'!$A$4:$I$917,9,FALSE)</f>
        <v>0</v>
      </c>
      <c r="V725" s="2"/>
      <c r="W725" s="2">
        <f>VLOOKUP($A725,'[2]App C Assum'!$A$4:$I$917,5,FALSE)</f>
        <v>18920</v>
      </c>
      <c r="X725" s="2">
        <f>VLOOKUP($A725,'[2]App C Assum'!$A$4:$I$917,6,FALSE)</f>
        <v>15500</v>
      </c>
      <c r="Y725" s="2">
        <f>VLOOKUP($A725,'[2]App C Assum'!$A$4:$I$917,7,FALSE)</f>
        <v>12583</v>
      </c>
      <c r="Z725" s="2">
        <f>VLOOKUP($A725,'[2]App C Assum'!$A$4:$I$917,8,FALSE)</f>
        <v>0</v>
      </c>
      <c r="AA725" s="2">
        <f>VLOOKUP($A725,'[2]App C Assum'!$A$4:$I$917,9,FALSE)</f>
        <v>0</v>
      </c>
      <c r="AB725" s="2"/>
      <c r="AC725" s="2">
        <f>VLOOKUP($A725,'[2]App C Share Outflows'!$A$4:$I$917,5,FALSE)</f>
        <v>29947</v>
      </c>
      <c r="AD725" s="2">
        <f>VLOOKUP($A725,'[2]App C Share Outflows'!$A$4:$I$917,6,FALSE)</f>
        <v>23614</v>
      </c>
      <c r="AE725" s="2">
        <f>VLOOKUP($A725,'[2]App C Share Outflows'!$A$4:$I$917,7,FALSE)</f>
        <v>15573</v>
      </c>
      <c r="AF725" s="2">
        <f>VLOOKUP($A725,'[2]App C Share Outflows'!$A$4:$I$917,8,FALSE)</f>
        <v>4987</v>
      </c>
      <c r="AG725" s="2">
        <f>VLOOKUP($A725,'[2]App C Share Outflows'!$A$4:$I$917,9,FALSE)</f>
        <v>0</v>
      </c>
      <c r="AH725" s="2"/>
      <c r="AI725" s="2">
        <f>VLOOKUP($A725,'[2]App C Share Inflows'!$A$4:$I$917,5,FALSE)</f>
        <v>0</v>
      </c>
      <c r="AJ725" s="2">
        <f>VLOOKUP($A725,'[2]App C Share Inflows'!$A$4:$I$917,6,FALSE)</f>
        <v>0</v>
      </c>
      <c r="AK725" s="2">
        <f>VLOOKUP($A725,'[2]App C Share Inflows'!$A$4:$I$917,7,FALSE)</f>
        <v>0</v>
      </c>
      <c r="AL725" s="2">
        <f>VLOOKUP($A725,'[2]App C Share Inflows'!$A$4:$I$917,8,FALSE)</f>
        <v>0</v>
      </c>
      <c r="AM725" s="2">
        <f>VLOOKUP($A725,'[2]App C Share Inflows'!$A$4:$I$917,6,FALSE)</f>
        <v>0</v>
      </c>
    </row>
    <row r="726" spans="1:39">
      <c r="A726" s="351">
        <v>97841</v>
      </c>
      <c r="B726" s="344" t="s">
        <v>1424</v>
      </c>
      <c r="C726" s="235" t="e">
        <f>VLOOKUP(A726,#REF!,10,FALSE)</f>
        <v>#REF!</v>
      </c>
      <c r="E726" s="2">
        <f>VLOOKUP($A726,'[2]App C Total'!$A$4:$I$917,5,FALSE)</f>
        <v>5662</v>
      </c>
      <c r="F726" s="2">
        <f>VLOOKUP($A726,'[2]App C Total'!$A$4:$I$917,6,FALSE)</f>
        <v>1703</v>
      </c>
      <c r="G726" s="2">
        <f>VLOOKUP($A726,'[2]App C Total'!$A$4:$I$917,7,FALSE)</f>
        <v>3233</v>
      </c>
      <c r="H726" s="2">
        <f>VLOOKUP($A726,'[2]App C Total'!$A$4:$I$917,8,FALSE)</f>
        <v>964</v>
      </c>
      <c r="I726" s="2">
        <f>VLOOKUP($A726,'[2]App C Total'!$A$4:$I$917,9,FALSE)</f>
        <v>0</v>
      </c>
      <c r="J726" s="2"/>
      <c r="K726" s="2">
        <f>VLOOKUP($A726,'[2]App C Exp'!$A$4:$I$917,5,FALSE)</f>
        <v>1813</v>
      </c>
      <c r="L726" s="2">
        <f>VLOOKUP($A726,'[2]App C Exp'!$A$4:$I$917,6,FALSE)</f>
        <v>1705</v>
      </c>
      <c r="M726" s="2">
        <f>VLOOKUP($A726,'[2]App C Exp'!$A$4:$I$917,7,FALSE)</f>
        <v>1528</v>
      </c>
      <c r="N726" s="2">
        <f>VLOOKUP($A726,'[2]App C Exp'!$A$4:$I$917,8,FALSE)</f>
        <v>612</v>
      </c>
      <c r="O726" s="2">
        <f>VLOOKUP($A726,'[2]App C Exp'!$A$4:$I$917,9,FALSE)</f>
        <v>0</v>
      </c>
      <c r="P726" s="2"/>
      <c r="Q726" s="2">
        <f>VLOOKUP($A726,'[2]App C Inv'!$A$4:$I$917,5,FALSE)</f>
        <v>1924</v>
      </c>
      <c r="R726" s="2">
        <f>VLOOKUP($A726,'[2]App C Inv'!$A$4:$I$917,6,FALSE)</f>
        <v>-1655</v>
      </c>
      <c r="S726" s="2">
        <f>VLOOKUP($A726,'[2]App C Inv'!$A$4:$I$917,7,FALSE)</f>
        <v>233</v>
      </c>
      <c r="T726" s="2">
        <f>VLOOKUP($A726,'[2]App C Inv'!$A$4:$I$917,8,FALSE)</f>
        <v>304</v>
      </c>
      <c r="U726" s="2">
        <f>VLOOKUP($A726,'[2]App C Inv'!$A$4:$I$917,9,FALSE)</f>
        <v>0</v>
      </c>
      <c r="V726" s="2"/>
      <c r="W726" s="2">
        <f>VLOOKUP($A726,'[2]App C Assum'!$A$4:$I$917,5,FALSE)</f>
        <v>2168</v>
      </c>
      <c r="X726" s="2">
        <f>VLOOKUP($A726,'[2]App C Assum'!$A$4:$I$917,6,FALSE)</f>
        <v>1776</v>
      </c>
      <c r="Y726" s="2">
        <f>VLOOKUP($A726,'[2]App C Assum'!$A$4:$I$917,7,FALSE)</f>
        <v>1442</v>
      </c>
      <c r="Z726" s="2">
        <f>VLOOKUP($A726,'[2]App C Assum'!$A$4:$I$917,8,FALSE)</f>
        <v>0</v>
      </c>
      <c r="AA726" s="2">
        <f>VLOOKUP($A726,'[2]App C Assum'!$A$4:$I$917,9,FALSE)</f>
        <v>0</v>
      </c>
      <c r="AB726" s="2"/>
      <c r="AC726" s="2">
        <f>VLOOKUP($A726,'[2]App C Share Outflows'!$A$4:$I$917,5,FALSE)</f>
        <v>46</v>
      </c>
      <c r="AD726" s="2">
        <f>VLOOKUP($A726,'[2]App C Share Outflows'!$A$4:$I$917,6,FALSE)</f>
        <v>46</v>
      </c>
      <c r="AE726" s="2">
        <f>VLOOKUP($A726,'[2]App C Share Outflows'!$A$4:$I$917,7,FALSE)</f>
        <v>46</v>
      </c>
      <c r="AF726" s="2">
        <f>VLOOKUP($A726,'[2]App C Share Outflows'!$A$4:$I$917,8,FALSE)</f>
        <v>48</v>
      </c>
      <c r="AG726" s="2">
        <f>VLOOKUP($A726,'[2]App C Share Outflows'!$A$4:$I$917,9,FALSE)</f>
        <v>0</v>
      </c>
      <c r="AH726" s="2"/>
      <c r="AI726" s="2">
        <f>VLOOKUP($A726,'[2]App C Share Inflows'!$A$4:$I$917,5,FALSE)</f>
        <v>-289</v>
      </c>
      <c r="AJ726" s="2">
        <f>VLOOKUP($A726,'[2]App C Share Inflows'!$A$4:$I$917,6,FALSE)</f>
        <v>-169</v>
      </c>
      <c r="AK726" s="2">
        <f>VLOOKUP($A726,'[2]App C Share Inflows'!$A$4:$I$917,7,FALSE)</f>
        <v>-16</v>
      </c>
      <c r="AL726" s="2">
        <f>VLOOKUP($A726,'[2]App C Share Inflows'!$A$4:$I$917,8,FALSE)</f>
        <v>0</v>
      </c>
      <c r="AM726" s="2">
        <f>VLOOKUP($A726,'[2]App C Share Inflows'!$A$4:$I$917,6,FALSE)</f>
        <v>-169</v>
      </c>
    </row>
    <row r="727" spans="1:39">
      <c r="A727" s="351">
        <v>97847</v>
      </c>
      <c r="B727" s="344" t="s">
        <v>1425</v>
      </c>
      <c r="C727" s="235" t="e">
        <f>VLOOKUP(A727,#REF!,10,FALSE)</f>
        <v>#REF!</v>
      </c>
      <c r="E727" s="2">
        <f>VLOOKUP($A727,'[2]App C Total'!$A$4:$I$917,5,FALSE)</f>
        <v>1711</v>
      </c>
      <c r="F727" s="2">
        <f>VLOOKUP($A727,'[2]App C Total'!$A$4:$I$917,6,FALSE)</f>
        <v>1035</v>
      </c>
      <c r="G727" s="2">
        <f>VLOOKUP($A727,'[2]App C Total'!$A$4:$I$917,7,FALSE)</f>
        <v>985</v>
      </c>
      <c r="H727" s="2">
        <f>VLOOKUP($A727,'[2]App C Total'!$A$4:$I$917,8,FALSE)</f>
        <v>408</v>
      </c>
      <c r="I727" s="2">
        <f>VLOOKUP($A727,'[2]App C Total'!$A$4:$I$917,9,FALSE)</f>
        <v>0</v>
      </c>
      <c r="J727" s="2"/>
      <c r="K727" s="2">
        <f>VLOOKUP($A727,'[2]App C Exp'!$A$4:$I$917,5,FALSE)</f>
        <v>255</v>
      </c>
      <c r="L727" s="2">
        <f>VLOOKUP($A727,'[2]App C Exp'!$A$4:$I$917,6,FALSE)</f>
        <v>240</v>
      </c>
      <c r="M727" s="2">
        <f>VLOOKUP($A727,'[2]App C Exp'!$A$4:$I$917,7,FALSE)</f>
        <v>215</v>
      </c>
      <c r="N727" s="2">
        <f>VLOOKUP($A727,'[2]App C Exp'!$A$4:$I$917,8,FALSE)</f>
        <v>86</v>
      </c>
      <c r="O727" s="2">
        <f>VLOOKUP($A727,'[2]App C Exp'!$A$4:$I$917,9,FALSE)</f>
        <v>0</v>
      </c>
      <c r="P727" s="2"/>
      <c r="Q727" s="2">
        <f>VLOOKUP($A727,'[2]App C Inv'!$A$4:$I$917,5,FALSE)</f>
        <v>270</v>
      </c>
      <c r="R727" s="2">
        <f>VLOOKUP($A727,'[2]App C Inv'!$A$4:$I$917,6,FALSE)</f>
        <v>-233</v>
      </c>
      <c r="S727" s="2">
        <f>VLOOKUP($A727,'[2]App C Inv'!$A$4:$I$917,7,FALSE)</f>
        <v>33</v>
      </c>
      <c r="T727" s="2">
        <f>VLOOKUP($A727,'[2]App C Inv'!$A$4:$I$917,8,FALSE)</f>
        <v>43</v>
      </c>
      <c r="U727" s="2">
        <f>VLOOKUP($A727,'[2]App C Inv'!$A$4:$I$917,9,FALSE)</f>
        <v>0</v>
      </c>
      <c r="V727" s="2"/>
      <c r="W727" s="2">
        <f>VLOOKUP($A727,'[2]App C Assum'!$A$4:$I$917,5,FALSE)</f>
        <v>305</v>
      </c>
      <c r="X727" s="2">
        <f>VLOOKUP($A727,'[2]App C Assum'!$A$4:$I$917,6,FALSE)</f>
        <v>250</v>
      </c>
      <c r="Y727" s="2">
        <f>VLOOKUP($A727,'[2]App C Assum'!$A$4:$I$917,7,FALSE)</f>
        <v>203</v>
      </c>
      <c r="Z727" s="2">
        <f>VLOOKUP($A727,'[2]App C Assum'!$A$4:$I$917,8,FALSE)</f>
        <v>0</v>
      </c>
      <c r="AA727" s="2">
        <f>VLOOKUP($A727,'[2]App C Assum'!$A$4:$I$917,9,FALSE)</f>
        <v>0</v>
      </c>
      <c r="AB727" s="2"/>
      <c r="AC727" s="2">
        <f>VLOOKUP($A727,'[2]App C Share Outflows'!$A$4:$I$917,5,FALSE)</f>
        <v>881</v>
      </c>
      <c r="AD727" s="2">
        <f>VLOOKUP($A727,'[2]App C Share Outflows'!$A$4:$I$917,6,FALSE)</f>
        <v>778</v>
      </c>
      <c r="AE727" s="2">
        <f>VLOOKUP($A727,'[2]App C Share Outflows'!$A$4:$I$917,7,FALSE)</f>
        <v>534</v>
      </c>
      <c r="AF727" s="2">
        <f>VLOOKUP($A727,'[2]App C Share Outflows'!$A$4:$I$917,8,FALSE)</f>
        <v>279</v>
      </c>
      <c r="AG727" s="2">
        <f>VLOOKUP($A727,'[2]App C Share Outflows'!$A$4:$I$917,9,FALSE)</f>
        <v>0</v>
      </c>
      <c r="AH727" s="2"/>
      <c r="AI727" s="2">
        <f>VLOOKUP($A727,'[2]App C Share Inflows'!$A$4:$I$917,5,FALSE)</f>
        <v>0</v>
      </c>
      <c r="AJ727" s="2">
        <f>VLOOKUP($A727,'[2]App C Share Inflows'!$A$4:$I$917,6,FALSE)</f>
        <v>0</v>
      </c>
      <c r="AK727" s="2">
        <f>VLOOKUP($A727,'[2]App C Share Inflows'!$A$4:$I$917,7,FALSE)</f>
        <v>0</v>
      </c>
      <c r="AL727" s="2">
        <f>VLOOKUP($A727,'[2]App C Share Inflows'!$A$4:$I$917,8,FALSE)</f>
        <v>0</v>
      </c>
      <c r="AM727" s="2">
        <f>VLOOKUP($A727,'[2]App C Share Inflows'!$A$4:$I$917,6,FALSE)</f>
        <v>0</v>
      </c>
    </row>
    <row r="728" spans="1:39">
      <c r="A728" s="351">
        <v>97851</v>
      </c>
      <c r="B728" s="344" t="s">
        <v>1426</v>
      </c>
      <c r="C728" s="235" t="e">
        <f>VLOOKUP(A728,#REF!,10,FALSE)</f>
        <v>#REF!</v>
      </c>
      <c r="E728" s="2">
        <f>VLOOKUP($A728,'[2]App C Total'!$A$4:$I$917,5,FALSE)</f>
        <v>123436</v>
      </c>
      <c r="F728" s="2">
        <f>VLOOKUP($A728,'[2]App C Total'!$A$4:$I$917,6,FALSE)</f>
        <v>32106</v>
      </c>
      <c r="G728" s="2">
        <f>VLOOKUP($A728,'[2]App C Total'!$A$4:$I$917,7,FALSE)</f>
        <v>65133</v>
      </c>
      <c r="H728" s="2">
        <f>VLOOKUP($A728,'[2]App C Total'!$A$4:$I$917,8,FALSE)</f>
        <v>17209</v>
      </c>
      <c r="I728" s="2">
        <f>VLOOKUP($A728,'[2]App C Total'!$A$4:$I$917,9,FALSE)</f>
        <v>0</v>
      </c>
      <c r="J728" s="2"/>
      <c r="K728" s="2">
        <f>VLOOKUP($A728,'[2]App C Exp'!$A$4:$I$917,5,FALSE)</f>
        <v>41257</v>
      </c>
      <c r="L728" s="2">
        <f>VLOOKUP($A728,'[2]App C Exp'!$A$4:$I$917,6,FALSE)</f>
        <v>38809</v>
      </c>
      <c r="M728" s="2">
        <f>VLOOKUP($A728,'[2]App C Exp'!$A$4:$I$917,7,FALSE)</f>
        <v>34784</v>
      </c>
      <c r="N728" s="2">
        <f>VLOOKUP($A728,'[2]App C Exp'!$A$4:$I$917,8,FALSE)</f>
        <v>13927</v>
      </c>
      <c r="O728" s="2">
        <f>VLOOKUP($A728,'[2]App C Exp'!$A$4:$I$917,9,FALSE)</f>
        <v>0</v>
      </c>
      <c r="P728" s="2"/>
      <c r="Q728" s="2">
        <f>VLOOKUP($A728,'[2]App C Inv'!$A$4:$I$917,5,FALSE)</f>
        <v>43800</v>
      </c>
      <c r="R728" s="2">
        <f>VLOOKUP($A728,'[2]App C Inv'!$A$4:$I$917,6,FALSE)</f>
        <v>-37676</v>
      </c>
      <c r="S728" s="2">
        <f>VLOOKUP($A728,'[2]App C Inv'!$A$4:$I$917,7,FALSE)</f>
        <v>5310</v>
      </c>
      <c r="T728" s="2">
        <f>VLOOKUP($A728,'[2]App C Inv'!$A$4:$I$917,8,FALSE)</f>
        <v>6911</v>
      </c>
      <c r="U728" s="2">
        <f>VLOOKUP($A728,'[2]App C Inv'!$A$4:$I$917,9,FALSE)</f>
        <v>0</v>
      </c>
      <c r="V728" s="2"/>
      <c r="W728" s="2">
        <f>VLOOKUP($A728,'[2]App C Assum'!$A$4:$I$917,5,FALSE)</f>
        <v>49341</v>
      </c>
      <c r="X728" s="2">
        <f>VLOOKUP($A728,'[2]App C Assum'!$A$4:$I$917,6,FALSE)</f>
        <v>40422</v>
      </c>
      <c r="Y728" s="2">
        <f>VLOOKUP($A728,'[2]App C Assum'!$A$4:$I$917,7,FALSE)</f>
        <v>32816</v>
      </c>
      <c r="Z728" s="2">
        <f>VLOOKUP($A728,'[2]App C Assum'!$A$4:$I$917,8,FALSE)</f>
        <v>0</v>
      </c>
      <c r="AA728" s="2">
        <f>VLOOKUP($A728,'[2]App C Assum'!$A$4:$I$917,9,FALSE)</f>
        <v>0</v>
      </c>
      <c r="AB728" s="2"/>
      <c r="AC728" s="2">
        <f>VLOOKUP($A728,'[2]App C Share Outflows'!$A$4:$I$917,5,FALSE)</f>
        <v>0</v>
      </c>
      <c r="AD728" s="2">
        <f>VLOOKUP($A728,'[2]App C Share Outflows'!$A$4:$I$917,6,FALSE)</f>
        <v>0</v>
      </c>
      <c r="AE728" s="2">
        <f>VLOOKUP($A728,'[2]App C Share Outflows'!$A$4:$I$917,7,FALSE)</f>
        <v>0</v>
      </c>
      <c r="AF728" s="2">
        <f>VLOOKUP($A728,'[2]App C Share Outflows'!$A$4:$I$917,8,FALSE)</f>
        <v>0</v>
      </c>
      <c r="AG728" s="2">
        <f>VLOOKUP($A728,'[2]App C Share Outflows'!$A$4:$I$917,9,FALSE)</f>
        <v>0</v>
      </c>
      <c r="AH728" s="2"/>
      <c r="AI728" s="2">
        <f>VLOOKUP($A728,'[2]App C Share Inflows'!$A$4:$I$917,5,FALSE)</f>
        <v>-10962</v>
      </c>
      <c r="AJ728" s="2">
        <f>VLOOKUP($A728,'[2]App C Share Inflows'!$A$4:$I$917,6,FALSE)</f>
        <v>-9449</v>
      </c>
      <c r="AK728" s="2">
        <f>VLOOKUP($A728,'[2]App C Share Inflows'!$A$4:$I$917,7,FALSE)</f>
        <v>-7777</v>
      </c>
      <c r="AL728" s="2">
        <f>VLOOKUP($A728,'[2]App C Share Inflows'!$A$4:$I$917,8,FALSE)</f>
        <v>-3629</v>
      </c>
      <c r="AM728" s="2">
        <f>VLOOKUP($A728,'[2]App C Share Inflows'!$A$4:$I$917,6,FALSE)</f>
        <v>-9449</v>
      </c>
    </row>
    <row r="729" spans="1:39">
      <c r="A729" s="351">
        <v>97853</v>
      </c>
      <c r="B729" s="344" t="s">
        <v>1427</v>
      </c>
      <c r="C729" s="235" t="e">
        <f>VLOOKUP(A729,#REF!,10,FALSE)</f>
        <v>#REF!</v>
      </c>
      <c r="E729" s="2">
        <f>VLOOKUP($A729,'[2]App C Total'!$A$4:$I$917,5,FALSE)</f>
        <v>31691</v>
      </c>
      <c r="F729" s="2">
        <f>VLOOKUP($A729,'[2]App C Total'!$A$4:$I$917,6,FALSE)</f>
        <v>7685</v>
      </c>
      <c r="G729" s="2">
        <f>VLOOKUP($A729,'[2]App C Total'!$A$4:$I$917,7,FALSE)</f>
        <v>15529</v>
      </c>
      <c r="H729" s="2">
        <f>VLOOKUP($A729,'[2]App C Total'!$A$4:$I$917,8,FALSE)</f>
        <v>3338</v>
      </c>
      <c r="I729" s="2">
        <f>VLOOKUP($A729,'[2]App C Total'!$A$4:$I$917,9,FALSE)</f>
        <v>0</v>
      </c>
      <c r="J729" s="2"/>
      <c r="K729" s="2">
        <f>VLOOKUP($A729,'[2]App C Exp'!$A$4:$I$917,5,FALSE)</f>
        <v>11970</v>
      </c>
      <c r="L729" s="2">
        <f>VLOOKUP($A729,'[2]App C Exp'!$A$4:$I$917,6,FALSE)</f>
        <v>11260</v>
      </c>
      <c r="M729" s="2">
        <f>VLOOKUP($A729,'[2]App C Exp'!$A$4:$I$917,7,FALSE)</f>
        <v>10092</v>
      </c>
      <c r="N729" s="2">
        <f>VLOOKUP($A729,'[2]App C Exp'!$A$4:$I$917,8,FALSE)</f>
        <v>4041</v>
      </c>
      <c r="O729" s="2">
        <f>VLOOKUP($A729,'[2]App C Exp'!$A$4:$I$917,9,FALSE)</f>
        <v>0</v>
      </c>
      <c r="P729" s="2"/>
      <c r="Q729" s="2">
        <f>VLOOKUP($A729,'[2]App C Inv'!$A$4:$I$917,5,FALSE)</f>
        <v>12707</v>
      </c>
      <c r="R729" s="2">
        <f>VLOOKUP($A729,'[2]App C Inv'!$A$4:$I$917,6,FALSE)</f>
        <v>-10931</v>
      </c>
      <c r="S729" s="2">
        <f>VLOOKUP($A729,'[2]App C Inv'!$A$4:$I$917,7,FALSE)</f>
        <v>1541</v>
      </c>
      <c r="T729" s="2">
        <f>VLOOKUP($A729,'[2]App C Inv'!$A$4:$I$917,8,FALSE)</f>
        <v>2005</v>
      </c>
      <c r="U729" s="2">
        <f>VLOOKUP($A729,'[2]App C Inv'!$A$4:$I$917,9,FALSE)</f>
        <v>0</v>
      </c>
      <c r="V729" s="2"/>
      <c r="W729" s="2">
        <f>VLOOKUP($A729,'[2]App C Assum'!$A$4:$I$917,5,FALSE)</f>
        <v>14315</v>
      </c>
      <c r="X729" s="2">
        <f>VLOOKUP($A729,'[2]App C Assum'!$A$4:$I$917,6,FALSE)</f>
        <v>11727</v>
      </c>
      <c r="Y729" s="2">
        <f>VLOOKUP($A729,'[2]App C Assum'!$A$4:$I$917,7,FALSE)</f>
        <v>9521</v>
      </c>
      <c r="Z729" s="2">
        <f>VLOOKUP($A729,'[2]App C Assum'!$A$4:$I$917,8,FALSE)</f>
        <v>0</v>
      </c>
      <c r="AA729" s="2">
        <f>VLOOKUP($A729,'[2]App C Assum'!$A$4:$I$917,9,FALSE)</f>
        <v>0</v>
      </c>
      <c r="AB729" s="2"/>
      <c r="AC729" s="2">
        <f>VLOOKUP($A729,'[2]App C Share Outflows'!$A$4:$I$917,5,FALSE)</f>
        <v>1255</v>
      </c>
      <c r="AD729" s="2">
        <f>VLOOKUP($A729,'[2]App C Share Outflows'!$A$4:$I$917,6,FALSE)</f>
        <v>1253</v>
      </c>
      <c r="AE729" s="2">
        <f>VLOOKUP($A729,'[2]App C Share Outflows'!$A$4:$I$917,7,FALSE)</f>
        <v>0</v>
      </c>
      <c r="AF729" s="2">
        <f>VLOOKUP($A729,'[2]App C Share Outflows'!$A$4:$I$917,8,FALSE)</f>
        <v>0</v>
      </c>
      <c r="AG729" s="2">
        <f>VLOOKUP($A729,'[2]App C Share Outflows'!$A$4:$I$917,9,FALSE)</f>
        <v>0</v>
      </c>
      <c r="AH729" s="2"/>
      <c r="AI729" s="2">
        <f>VLOOKUP($A729,'[2]App C Share Inflows'!$A$4:$I$917,5,FALSE)</f>
        <v>-8556</v>
      </c>
      <c r="AJ729" s="2">
        <f>VLOOKUP($A729,'[2]App C Share Inflows'!$A$4:$I$917,6,FALSE)</f>
        <v>-5624</v>
      </c>
      <c r="AK729" s="2">
        <f>VLOOKUP($A729,'[2]App C Share Inflows'!$A$4:$I$917,7,FALSE)</f>
        <v>-5625</v>
      </c>
      <c r="AL729" s="2">
        <f>VLOOKUP($A729,'[2]App C Share Inflows'!$A$4:$I$917,8,FALSE)</f>
        <v>-2708</v>
      </c>
      <c r="AM729" s="2">
        <f>VLOOKUP($A729,'[2]App C Share Inflows'!$A$4:$I$917,6,FALSE)</f>
        <v>-5624</v>
      </c>
    </row>
    <row r="730" spans="1:39">
      <c r="A730" s="351">
        <v>97861</v>
      </c>
      <c r="B730" s="344" t="s">
        <v>1428</v>
      </c>
      <c r="C730" s="235" t="e">
        <f>VLOOKUP(A730,#REF!,10,FALSE)</f>
        <v>#REF!</v>
      </c>
      <c r="E730" s="2">
        <f>VLOOKUP($A730,'[2]App C Total'!$A$4:$I$917,5,FALSE)</f>
        <v>19600</v>
      </c>
      <c r="F730" s="2">
        <f>VLOOKUP($A730,'[2]App C Total'!$A$4:$I$917,6,FALSE)</f>
        <v>4535</v>
      </c>
      <c r="G730" s="2">
        <f>VLOOKUP($A730,'[2]App C Total'!$A$4:$I$917,7,FALSE)</f>
        <v>10613</v>
      </c>
      <c r="H730" s="2">
        <f>VLOOKUP($A730,'[2]App C Total'!$A$4:$I$917,8,FALSE)</f>
        <v>5141</v>
      </c>
      <c r="I730" s="2">
        <f>VLOOKUP($A730,'[2]App C Total'!$A$4:$I$917,9,FALSE)</f>
        <v>0</v>
      </c>
      <c r="J730" s="2"/>
      <c r="K730" s="2">
        <f>VLOOKUP($A730,'[2]App C Exp'!$A$4:$I$917,5,FALSE)</f>
        <v>6816</v>
      </c>
      <c r="L730" s="2">
        <f>VLOOKUP($A730,'[2]App C Exp'!$A$4:$I$917,6,FALSE)</f>
        <v>6412</v>
      </c>
      <c r="M730" s="2">
        <f>VLOOKUP($A730,'[2]App C Exp'!$A$4:$I$917,7,FALSE)</f>
        <v>5747</v>
      </c>
      <c r="N730" s="2">
        <f>VLOOKUP($A730,'[2]App C Exp'!$A$4:$I$917,8,FALSE)</f>
        <v>2301</v>
      </c>
      <c r="O730" s="2">
        <f>VLOOKUP($A730,'[2]App C Exp'!$A$4:$I$917,9,FALSE)</f>
        <v>0</v>
      </c>
      <c r="P730" s="2"/>
      <c r="Q730" s="2">
        <f>VLOOKUP($A730,'[2]App C Inv'!$A$4:$I$917,5,FALSE)</f>
        <v>7236</v>
      </c>
      <c r="R730" s="2">
        <f>VLOOKUP($A730,'[2]App C Inv'!$A$4:$I$917,6,FALSE)</f>
        <v>-6225</v>
      </c>
      <c r="S730" s="2">
        <f>VLOOKUP($A730,'[2]App C Inv'!$A$4:$I$917,7,FALSE)</f>
        <v>877</v>
      </c>
      <c r="T730" s="2">
        <f>VLOOKUP($A730,'[2]App C Inv'!$A$4:$I$917,8,FALSE)</f>
        <v>1142</v>
      </c>
      <c r="U730" s="2">
        <f>VLOOKUP($A730,'[2]App C Inv'!$A$4:$I$917,9,FALSE)</f>
        <v>0</v>
      </c>
      <c r="V730" s="2"/>
      <c r="W730" s="2">
        <f>VLOOKUP($A730,'[2]App C Assum'!$A$4:$I$917,5,FALSE)</f>
        <v>8152</v>
      </c>
      <c r="X730" s="2">
        <f>VLOOKUP($A730,'[2]App C Assum'!$A$4:$I$917,6,FALSE)</f>
        <v>6678</v>
      </c>
      <c r="Y730" s="2">
        <f>VLOOKUP($A730,'[2]App C Assum'!$A$4:$I$917,7,FALSE)</f>
        <v>5422</v>
      </c>
      <c r="Z730" s="2">
        <f>VLOOKUP($A730,'[2]App C Assum'!$A$4:$I$917,8,FALSE)</f>
        <v>0</v>
      </c>
      <c r="AA730" s="2">
        <f>VLOOKUP($A730,'[2]App C Assum'!$A$4:$I$917,9,FALSE)</f>
        <v>0</v>
      </c>
      <c r="AB730" s="2"/>
      <c r="AC730" s="2">
        <f>VLOOKUP($A730,'[2]App C Share Outflows'!$A$4:$I$917,5,FALSE)</f>
        <v>1700</v>
      </c>
      <c r="AD730" s="2">
        <f>VLOOKUP($A730,'[2]App C Share Outflows'!$A$4:$I$917,6,FALSE)</f>
        <v>1700</v>
      </c>
      <c r="AE730" s="2">
        <f>VLOOKUP($A730,'[2]App C Share Outflows'!$A$4:$I$917,7,FALSE)</f>
        <v>1700</v>
      </c>
      <c r="AF730" s="2">
        <f>VLOOKUP($A730,'[2]App C Share Outflows'!$A$4:$I$917,8,FALSE)</f>
        <v>1698</v>
      </c>
      <c r="AG730" s="2">
        <f>VLOOKUP($A730,'[2]App C Share Outflows'!$A$4:$I$917,9,FALSE)</f>
        <v>0</v>
      </c>
      <c r="AH730" s="2"/>
      <c r="AI730" s="2">
        <f>VLOOKUP($A730,'[2]App C Share Inflows'!$A$4:$I$917,5,FALSE)</f>
        <v>-4304</v>
      </c>
      <c r="AJ730" s="2">
        <f>VLOOKUP($A730,'[2]App C Share Inflows'!$A$4:$I$917,6,FALSE)</f>
        <v>-4030</v>
      </c>
      <c r="AK730" s="2">
        <f>VLOOKUP($A730,'[2]App C Share Inflows'!$A$4:$I$917,7,FALSE)</f>
        <v>-3133</v>
      </c>
      <c r="AL730" s="2">
        <f>VLOOKUP($A730,'[2]App C Share Inflows'!$A$4:$I$917,8,FALSE)</f>
        <v>0</v>
      </c>
      <c r="AM730" s="2">
        <f>VLOOKUP($A730,'[2]App C Share Inflows'!$A$4:$I$917,6,FALSE)</f>
        <v>-4030</v>
      </c>
    </row>
    <row r="731" spans="1:39">
      <c r="A731" s="351">
        <v>97871</v>
      </c>
      <c r="B731" s="344" t="s">
        <v>1429</v>
      </c>
      <c r="C731" s="235" t="e">
        <f>VLOOKUP(A731,#REF!,10,FALSE)</f>
        <v>#REF!</v>
      </c>
      <c r="E731" s="2">
        <f>VLOOKUP($A731,'[2]App C Total'!$A$4:$I$917,5,FALSE)</f>
        <v>249954</v>
      </c>
      <c r="F731" s="2">
        <f>VLOOKUP($A731,'[2]App C Total'!$A$4:$I$917,6,FALSE)</f>
        <v>127667</v>
      </c>
      <c r="G731" s="2">
        <f>VLOOKUP($A731,'[2]App C Total'!$A$4:$I$917,7,FALSE)</f>
        <v>137293</v>
      </c>
      <c r="H731" s="2">
        <f>VLOOKUP($A731,'[2]App C Total'!$A$4:$I$917,8,FALSE)</f>
        <v>49759</v>
      </c>
      <c r="I731" s="2">
        <f>VLOOKUP($A731,'[2]App C Total'!$A$4:$I$917,9,FALSE)</f>
        <v>0</v>
      </c>
      <c r="J731" s="2"/>
      <c r="K731" s="2">
        <f>VLOOKUP($A731,'[2]App C Exp'!$A$4:$I$917,5,FALSE)</f>
        <v>45062</v>
      </c>
      <c r="L731" s="2">
        <f>VLOOKUP($A731,'[2]App C Exp'!$A$4:$I$917,6,FALSE)</f>
        <v>42389</v>
      </c>
      <c r="M731" s="2">
        <f>VLOOKUP($A731,'[2]App C Exp'!$A$4:$I$917,7,FALSE)</f>
        <v>37993</v>
      </c>
      <c r="N731" s="2">
        <f>VLOOKUP($A731,'[2]App C Exp'!$A$4:$I$917,8,FALSE)</f>
        <v>15212</v>
      </c>
      <c r="O731" s="2">
        <f>VLOOKUP($A731,'[2]App C Exp'!$A$4:$I$917,9,FALSE)</f>
        <v>0</v>
      </c>
      <c r="P731" s="2"/>
      <c r="Q731" s="2">
        <f>VLOOKUP($A731,'[2]App C Inv'!$A$4:$I$917,5,FALSE)</f>
        <v>47840</v>
      </c>
      <c r="R731" s="2">
        <f>VLOOKUP($A731,'[2]App C Inv'!$A$4:$I$917,6,FALSE)</f>
        <v>-41151</v>
      </c>
      <c r="S731" s="2">
        <f>VLOOKUP($A731,'[2]App C Inv'!$A$4:$I$917,7,FALSE)</f>
        <v>5800</v>
      </c>
      <c r="T731" s="2">
        <f>VLOOKUP($A731,'[2]App C Inv'!$A$4:$I$917,8,FALSE)</f>
        <v>7548</v>
      </c>
      <c r="U731" s="2">
        <f>VLOOKUP($A731,'[2]App C Inv'!$A$4:$I$917,9,FALSE)</f>
        <v>0</v>
      </c>
      <c r="V731" s="2"/>
      <c r="W731" s="2">
        <f>VLOOKUP($A731,'[2]App C Assum'!$A$4:$I$917,5,FALSE)</f>
        <v>53892</v>
      </c>
      <c r="X731" s="2">
        <f>VLOOKUP($A731,'[2]App C Assum'!$A$4:$I$917,6,FALSE)</f>
        <v>44150</v>
      </c>
      <c r="Y731" s="2">
        <f>VLOOKUP($A731,'[2]App C Assum'!$A$4:$I$917,7,FALSE)</f>
        <v>35842</v>
      </c>
      <c r="Z731" s="2">
        <f>VLOOKUP($A731,'[2]App C Assum'!$A$4:$I$917,8,FALSE)</f>
        <v>0</v>
      </c>
      <c r="AA731" s="2">
        <f>VLOOKUP($A731,'[2]App C Assum'!$A$4:$I$917,9,FALSE)</f>
        <v>0</v>
      </c>
      <c r="AB731" s="2"/>
      <c r="AC731" s="2">
        <f>VLOOKUP($A731,'[2]App C Share Outflows'!$A$4:$I$917,5,FALSE)</f>
        <v>103160</v>
      </c>
      <c r="AD731" s="2">
        <f>VLOOKUP($A731,'[2]App C Share Outflows'!$A$4:$I$917,6,FALSE)</f>
        <v>82279</v>
      </c>
      <c r="AE731" s="2">
        <f>VLOOKUP($A731,'[2]App C Share Outflows'!$A$4:$I$917,7,FALSE)</f>
        <v>57658</v>
      </c>
      <c r="AF731" s="2">
        <f>VLOOKUP($A731,'[2]App C Share Outflows'!$A$4:$I$917,8,FALSE)</f>
        <v>26999</v>
      </c>
      <c r="AG731" s="2">
        <f>VLOOKUP($A731,'[2]App C Share Outflows'!$A$4:$I$917,9,FALSE)</f>
        <v>0</v>
      </c>
      <c r="AH731" s="2"/>
      <c r="AI731" s="2">
        <f>VLOOKUP($A731,'[2]App C Share Inflows'!$A$4:$I$917,5,FALSE)</f>
        <v>0</v>
      </c>
      <c r="AJ731" s="2">
        <f>VLOOKUP($A731,'[2]App C Share Inflows'!$A$4:$I$917,6,FALSE)</f>
        <v>0</v>
      </c>
      <c r="AK731" s="2">
        <f>VLOOKUP($A731,'[2]App C Share Inflows'!$A$4:$I$917,7,FALSE)</f>
        <v>0</v>
      </c>
      <c r="AL731" s="2">
        <f>VLOOKUP($A731,'[2]App C Share Inflows'!$A$4:$I$917,8,FALSE)</f>
        <v>0</v>
      </c>
      <c r="AM731" s="2">
        <f>VLOOKUP($A731,'[2]App C Share Inflows'!$A$4:$I$917,6,FALSE)</f>
        <v>0</v>
      </c>
    </row>
    <row r="732" spans="1:39">
      <c r="A732" s="351">
        <v>97877</v>
      </c>
      <c r="B732" s="344" t="s">
        <v>1430</v>
      </c>
      <c r="C732" s="235" t="e">
        <f>VLOOKUP(A732,#REF!,10,FALSE)</f>
        <v>#REF!</v>
      </c>
      <c r="E732" s="2">
        <f>VLOOKUP($A732,'[2]App C Total'!$A$4:$I$917,5,FALSE)</f>
        <v>5804</v>
      </c>
      <c r="F732" s="2">
        <f>VLOOKUP($A732,'[2]App C Total'!$A$4:$I$917,6,FALSE)</f>
        <v>3110</v>
      </c>
      <c r="G732" s="2">
        <f>VLOOKUP($A732,'[2]App C Total'!$A$4:$I$917,7,FALSE)</f>
        <v>3780</v>
      </c>
      <c r="H732" s="2">
        <f>VLOOKUP($A732,'[2]App C Total'!$A$4:$I$917,8,FALSE)</f>
        <v>1982</v>
      </c>
      <c r="I732" s="2">
        <f>VLOOKUP($A732,'[2]App C Total'!$A$4:$I$917,9,FALSE)</f>
        <v>0</v>
      </c>
      <c r="J732" s="2"/>
      <c r="K732" s="2">
        <f>VLOOKUP($A732,'[2]App C Exp'!$A$4:$I$917,5,FALSE)</f>
        <v>1139</v>
      </c>
      <c r="L732" s="2">
        <f>VLOOKUP($A732,'[2]App C Exp'!$A$4:$I$917,6,FALSE)</f>
        <v>1071</v>
      </c>
      <c r="M732" s="2">
        <f>VLOOKUP($A732,'[2]App C Exp'!$A$4:$I$917,7,FALSE)</f>
        <v>960</v>
      </c>
      <c r="N732" s="2">
        <f>VLOOKUP($A732,'[2]App C Exp'!$A$4:$I$917,8,FALSE)</f>
        <v>384</v>
      </c>
      <c r="O732" s="2">
        <f>VLOOKUP($A732,'[2]App C Exp'!$A$4:$I$917,9,FALSE)</f>
        <v>0</v>
      </c>
      <c r="P732" s="2"/>
      <c r="Q732" s="2">
        <f>VLOOKUP($A732,'[2]App C Inv'!$A$4:$I$917,5,FALSE)</f>
        <v>1209</v>
      </c>
      <c r="R732" s="2">
        <f>VLOOKUP($A732,'[2]App C Inv'!$A$4:$I$917,6,FALSE)</f>
        <v>-1040</v>
      </c>
      <c r="S732" s="2">
        <f>VLOOKUP($A732,'[2]App C Inv'!$A$4:$I$917,7,FALSE)</f>
        <v>147</v>
      </c>
      <c r="T732" s="2">
        <f>VLOOKUP($A732,'[2]App C Inv'!$A$4:$I$917,8,FALSE)</f>
        <v>191</v>
      </c>
      <c r="U732" s="2">
        <f>VLOOKUP($A732,'[2]App C Inv'!$A$4:$I$917,9,FALSE)</f>
        <v>0</v>
      </c>
      <c r="V732" s="2"/>
      <c r="W732" s="2">
        <f>VLOOKUP($A732,'[2]App C Assum'!$A$4:$I$917,5,FALSE)</f>
        <v>1362</v>
      </c>
      <c r="X732" s="2">
        <f>VLOOKUP($A732,'[2]App C Assum'!$A$4:$I$917,6,FALSE)</f>
        <v>1115</v>
      </c>
      <c r="Y732" s="2">
        <f>VLOOKUP($A732,'[2]App C Assum'!$A$4:$I$917,7,FALSE)</f>
        <v>906</v>
      </c>
      <c r="Z732" s="2">
        <f>VLOOKUP($A732,'[2]App C Assum'!$A$4:$I$917,8,FALSE)</f>
        <v>0</v>
      </c>
      <c r="AA732" s="2">
        <f>VLOOKUP($A732,'[2]App C Assum'!$A$4:$I$917,9,FALSE)</f>
        <v>0</v>
      </c>
      <c r="AB732" s="2"/>
      <c r="AC732" s="2">
        <f>VLOOKUP($A732,'[2]App C Share Outflows'!$A$4:$I$917,5,FALSE)</f>
        <v>2094</v>
      </c>
      <c r="AD732" s="2">
        <f>VLOOKUP($A732,'[2]App C Share Outflows'!$A$4:$I$917,6,FALSE)</f>
        <v>1964</v>
      </c>
      <c r="AE732" s="2">
        <f>VLOOKUP($A732,'[2]App C Share Outflows'!$A$4:$I$917,7,FALSE)</f>
        <v>1767</v>
      </c>
      <c r="AF732" s="2">
        <f>VLOOKUP($A732,'[2]App C Share Outflows'!$A$4:$I$917,8,FALSE)</f>
        <v>1407</v>
      </c>
      <c r="AG732" s="2">
        <f>VLOOKUP($A732,'[2]App C Share Outflows'!$A$4:$I$917,9,FALSE)</f>
        <v>0</v>
      </c>
      <c r="AH732" s="2"/>
      <c r="AI732" s="2">
        <f>VLOOKUP($A732,'[2]App C Share Inflows'!$A$4:$I$917,5,FALSE)</f>
        <v>0</v>
      </c>
      <c r="AJ732" s="2">
        <f>VLOOKUP($A732,'[2]App C Share Inflows'!$A$4:$I$917,6,FALSE)</f>
        <v>0</v>
      </c>
      <c r="AK732" s="2">
        <f>VLOOKUP($A732,'[2]App C Share Inflows'!$A$4:$I$917,7,FALSE)</f>
        <v>0</v>
      </c>
      <c r="AL732" s="2">
        <f>VLOOKUP($A732,'[2]App C Share Inflows'!$A$4:$I$917,8,FALSE)</f>
        <v>0</v>
      </c>
      <c r="AM732" s="2">
        <f>VLOOKUP($A732,'[2]App C Share Inflows'!$A$4:$I$917,6,FALSE)</f>
        <v>0</v>
      </c>
    </row>
    <row r="733" spans="1:39">
      <c r="A733" s="351">
        <v>97901</v>
      </c>
      <c r="B733" s="344" t="s">
        <v>1431</v>
      </c>
      <c r="C733" s="235" t="e">
        <f>VLOOKUP(A733,#REF!,10,FALSE)</f>
        <v>#REF!</v>
      </c>
      <c r="E733" s="2">
        <f>VLOOKUP($A733,'[2]App C Total'!$A$4:$I$917,5,FALSE)</f>
        <v>1888293</v>
      </c>
      <c r="F733" s="2">
        <f>VLOOKUP($A733,'[2]App C Total'!$A$4:$I$917,6,FALSE)</f>
        <v>541997</v>
      </c>
      <c r="G733" s="2">
        <f>VLOOKUP($A733,'[2]App C Total'!$A$4:$I$917,7,FALSE)</f>
        <v>987719</v>
      </c>
      <c r="H733" s="2">
        <f>VLOOKUP($A733,'[2]App C Total'!$A$4:$I$917,8,FALSE)</f>
        <v>234782</v>
      </c>
      <c r="I733" s="2">
        <f>VLOOKUP($A733,'[2]App C Total'!$A$4:$I$917,9,FALSE)</f>
        <v>0</v>
      </c>
      <c r="J733" s="2"/>
      <c r="K733" s="2">
        <f>VLOOKUP($A733,'[2]App C Exp'!$A$4:$I$917,5,FALSE)</f>
        <v>600247</v>
      </c>
      <c r="L733" s="2">
        <f>VLOOKUP($A733,'[2]App C Exp'!$A$4:$I$917,6,FALSE)</f>
        <v>564638</v>
      </c>
      <c r="M733" s="2">
        <f>VLOOKUP($A733,'[2]App C Exp'!$A$4:$I$917,7,FALSE)</f>
        <v>506079</v>
      </c>
      <c r="N733" s="2">
        <f>VLOOKUP($A733,'[2]App C Exp'!$A$4:$I$917,8,FALSE)</f>
        <v>202628</v>
      </c>
      <c r="O733" s="2">
        <f>VLOOKUP($A733,'[2]App C Exp'!$A$4:$I$917,9,FALSE)</f>
        <v>0</v>
      </c>
      <c r="P733" s="2"/>
      <c r="Q733" s="2">
        <f>VLOOKUP($A733,'[2]App C Inv'!$A$4:$I$917,5,FALSE)</f>
        <v>637245</v>
      </c>
      <c r="R733" s="2">
        <f>VLOOKUP($A733,'[2]App C Inv'!$A$4:$I$917,6,FALSE)</f>
        <v>-548150</v>
      </c>
      <c r="S733" s="2">
        <f>VLOOKUP($A733,'[2]App C Inv'!$A$4:$I$917,7,FALSE)</f>
        <v>77255</v>
      </c>
      <c r="T733" s="2">
        <f>VLOOKUP($A733,'[2]App C Inv'!$A$4:$I$917,8,FALSE)</f>
        <v>100547</v>
      </c>
      <c r="U733" s="2">
        <f>VLOOKUP($A733,'[2]App C Inv'!$A$4:$I$917,9,FALSE)</f>
        <v>0</v>
      </c>
      <c r="V733" s="2"/>
      <c r="W733" s="2">
        <f>VLOOKUP($A733,'[2]App C Assum'!$A$4:$I$917,5,FALSE)</f>
        <v>717866</v>
      </c>
      <c r="X733" s="2">
        <f>VLOOKUP($A733,'[2]App C Assum'!$A$4:$I$917,6,FALSE)</f>
        <v>588102</v>
      </c>
      <c r="Y733" s="2">
        <f>VLOOKUP($A733,'[2]App C Assum'!$A$4:$I$917,7,FALSE)</f>
        <v>477438</v>
      </c>
      <c r="Z733" s="2">
        <f>VLOOKUP($A733,'[2]App C Assum'!$A$4:$I$917,8,FALSE)</f>
        <v>0</v>
      </c>
      <c r="AA733" s="2">
        <f>VLOOKUP($A733,'[2]App C Assum'!$A$4:$I$917,9,FALSE)</f>
        <v>0</v>
      </c>
      <c r="AB733" s="2"/>
      <c r="AC733" s="2">
        <f>VLOOKUP($A733,'[2]App C Share Outflows'!$A$4:$I$917,5,FALSE)</f>
        <v>10458</v>
      </c>
      <c r="AD733" s="2">
        <f>VLOOKUP($A733,'[2]App C Share Outflows'!$A$4:$I$917,6,FALSE)</f>
        <v>10460</v>
      </c>
      <c r="AE733" s="2">
        <f>VLOOKUP($A733,'[2]App C Share Outflows'!$A$4:$I$917,7,FALSE)</f>
        <v>0</v>
      </c>
      <c r="AF733" s="2">
        <f>VLOOKUP($A733,'[2]App C Share Outflows'!$A$4:$I$917,8,FALSE)</f>
        <v>0</v>
      </c>
      <c r="AG733" s="2">
        <f>VLOOKUP($A733,'[2]App C Share Outflows'!$A$4:$I$917,9,FALSE)</f>
        <v>0</v>
      </c>
      <c r="AH733" s="2"/>
      <c r="AI733" s="2">
        <f>VLOOKUP($A733,'[2]App C Share Inflows'!$A$4:$I$917,5,FALSE)</f>
        <v>-77523</v>
      </c>
      <c r="AJ733" s="2">
        <f>VLOOKUP($A733,'[2]App C Share Inflows'!$A$4:$I$917,6,FALSE)</f>
        <v>-73053</v>
      </c>
      <c r="AK733" s="2">
        <f>VLOOKUP($A733,'[2]App C Share Inflows'!$A$4:$I$917,7,FALSE)</f>
        <v>-73053</v>
      </c>
      <c r="AL733" s="2">
        <f>VLOOKUP($A733,'[2]App C Share Inflows'!$A$4:$I$917,8,FALSE)</f>
        <v>-68393</v>
      </c>
      <c r="AM733" s="2">
        <f>VLOOKUP($A733,'[2]App C Share Inflows'!$A$4:$I$917,6,FALSE)</f>
        <v>-73053</v>
      </c>
    </row>
    <row r="734" spans="1:39">
      <c r="A734" s="351">
        <v>97911</v>
      </c>
      <c r="B734" s="344" t="s">
        <v>1432</v>
      </c>
      <c r="C734" s="235" t="e">
        <f>VLOOKUP(A734,#REF!,10,FALSE)</f>
        <v>#REF!</v>
      </c>
      <c r="E734" s="2">
        <f>VLOOKUP($A734,'[2]App C Total'!$A$4:$I$917,5,FALSE)</f>
        <v>577297</v>
      </c>
      <c r="F734" s="2">
        <f>VLOOKUP($A734,'[2]App C Total'!$A$4:$I$917,6,FALSE)</f>
        <v>177228</v>
      </c>
      <c r="G734" s="2">
        <f>VLOOKUP($A734,'[2]App C Total'!$A$4:$I$917,7,FALSE)</f>
        <v>315083</v>
      </c>
      <c r="H734" s="2">
        <f>VLOOKUP($A734,'[2]App C Total'!$A$4:$I$917,8,FALSE)</f>
        <v>85760</v>
      </c>
      <c r="I734" s="2">
        <f>VLOOKUP($A734,'[2]App C Total'!$A$4:$I$917,9,FALSE)</f>
        <v>0</v>
      </c>
      <c r="J734" s="2"/>
      <c r="K734" s="2">
        <f>VLOOKUP($A734,'[2]App C Exp'!$A$4:$I$917,5,FALSE)</f>
        <v>181581</v>
      </c>
      <c r="L734" s="2">
        <f>VLOOKUP($A734,'[2]App C Exp'!$A$4:$I$917,6,FALSE)</f>
        <v>170809</v>
      </c>
      <c r="M734" s="2">
        <f>VLOOKUP($A734,'[2]App C Exp'!$A$4:$I$917,7,FALSE)</f>
        <v>153094</v>
      </c>
      <c r="N734" s="2">
        <f>VLOOKUP($A734,'[2]App C Exp'!$A$4:$I$917,8,FALSE)</f>
        <v>61297</v>
      </c>
      <c r="O734" s="2">
        <f>VLOOKUP($A734,'[2]App C Exp'!$A$4:$I$917,9,FALSE)</f>
        <v>0</v>
      </c>
      <c r="P734" s="2"/>
      <c r="Q734" s="2">
        <f>VLOOKUP($A734,'[2]App C Inv'!$A$4:$I$917,5,FALSE)</f>
        <v>192774</v>
      </c>
      <c r="R734" s="2">
        <f>VLOOKUP($A734,'[2]App C Inv'!$A$4:$I$917,6,FALSE)</f>
        <v>-165821</v>
      </c>
      <c r="S734" s="2">
        <f>VLOOKUP($A734,'[2]App C Inv'!$A$4:$I$917,7,FALSE)</f>
        <v>23371</v>
      </c>
      <c r="T734" s="2">
        <f>VLOOKUP($A734,'[2]App C Inv'!$A$4:$I$917,8,FALSE)</f>
        <v>30416</v>
      </c>
      <c r="U734" s="2">
        <f>VLOOKUP($A734,'[2]App C Inv'!$A$4:$I$917,9,FALSE)</f>
        <v>0</v>
      </c>
      <c r="V734" s="2"/>
      <c r="W734" s="2">
        <f>VLOOKUP($A734,'[2]App C Assum'!$A$4:$I$917,5,FALSE)</f>
        <v>217162</v>
      </c>
      <c r="X734" s="2">
        <f>VLOOKUP($A734,'[2]App C Assum'!$A$4:$I$917,6,FALSE)</f>
        <v>177907</v>
      </c>
      <c r="Y734" s="2">
        <f>VLOOKUP($A734,'[2]App C Assum'!$A$4:$I$917,7,FALSE)</f>
        <v>144430</v>
      </c>
      <c r="Z734" s="2">
        <f>VLOOKUP($A734,'[2]App C Assum'!$A$4:$I$917,8,FALSE)</f>
        <v>0</v>
      </c>
      <c r="AA734" s="2">
        <f>VLOOKUP($A734,'[2]App C Assum'!$A$4:$I$917,9,FALSE)</f>
        <v>0</v>
      </c>
      <c r="AB734" s="2"/>
      <c r="AC734" s="2">
        <f>VLOOKUP($A734,'[2]App C Share Outflows'!$A$4:$I$917,5,FALSE)</f>
        <v>285</v>
      </c>
      <c r="AD734" s="2">
        <f>VLOOKUP($A734,'[2]App C Share Outflows'!$A$4:$I$917,6,FALSE)</f>
        <v>287</v>
      </c>
      <c r="AE734" s="2">
        <f>VLOOKUP($A734,'[2]App C Share Outflows'!$A$4:$I$917,7,FALSE)</f>
        <v>142</v>
      </c>
      <c r="AF734" s="2">
        <f>VLOOKUP($A734,'[2]App C Share Outflows'!$A$4:$I$917,8,FALSE)</f>
        <v>0</v>
      </c>
      <c r="AG734" s="2">
        <f>VLOOKUP($A734,'[2]App C Share Outflows'!$A$4:$I$917,9,FALSE)</f>
        <v>0</v>
      </c>
      <c r="AH734" s="2"/>
      <c r="AI734" s="2">
        <f>VLOOKUP($A734,'[2]App C Share Inflows'!$A$4:$I$917,5,FALSE)</f>
        <v>-14505</v>
      </c>
      <c r="AJ734" s="2">
        <f>VLOOKUP($A734,'[2]App C Share Inflows'!$A$4:$I$917,6,FALSE)</f>
        <v>-5954</v>
      </c>
      <c r="AK734" s="2">
        <f>VLOOKUP($A734,'[2]App C Share Inflows'!$A$4:$I$917,7,FALSE)</f>
        <v>-5954</v>
      </c>
      <c r="AL734" s="2">
        <f>VLOOKUP($A734,'[2]App C Share Inflows'!$A$4:$I$917,8,FALSE)</f>
        <v>-5953</v>
      </c>
      <c r="AM734" s="2">
        <f>VLOOKUP($A734,'[2]App C Share Inflows'!$A$4:$I$917,6,FALSE)</f>
        <v>-5954</v>
      </c>
    </row>
    <row r="735" spans="1:39">
      <c r="A735" s="351">
        <v>97913</v>
      </c>
      <c r="B735" s="344" t="s">
        <v>2770</v>
      </c>
      <c r="C735" s="235" t="e">
        <f>VLOOKUP(A735,#REF!,10,FALSE)</f>
        <v>#REF!</v>
      </c>
      <c r="E735" s="2">
        <f>VLOOKUP($A735,'[2]App C Total'!$A$4:$I$917,5,FALSE)</f>
        <v>20051</v>
      </c>
      <c r="F735" s="2">
        <f>VLOOKUP($A735,'[2]App C Total'!$A$4:$I$917,6,FALSE)</f>
        <v>8921</v>
      </c>
      <c r="G735" s="2">
        <f>VLOOKUP($A735,'[2]App C Total'!$A$4:$I$917,7,FALSE)</f>
        <v>10213</v>
      </c>
      <c r="H735" s="2">
        <f>VLOOKUP($A735,'[2]App C Total'!$A$4:$I$917,8,FALSE)</f>
        <v>3040</v>
      </c>
      <c r="I735" s="2">
        <f>VLOOKUP($A735,'[2]App C Total'!$A$4:$I$917,9,FALSE)</f>
        <v>0</v>
      </c>
      <c r="J735" s="2"/>
      <c r="K735" s="2">
        <f>VLOOKUP($A735,'[2]App C Exp'!$A$4:$I$917,5,FALSE)</f>
        <v>4284</v>
      </c>
      <c r="L735" s="2">
        <f>VLOOKUP($A735,'[2]App C Exp'!$A$4:$I$917,6,FALSE)</f>
        <v>4030</v>
      </c>
      <c r="M735" s="2">
        <f>VLOOKUP($A735,'[2]App C Exp'!$A$4:$I$917,7,FALSE)</f>
        <v>3612</v>
      </c>
      <c r="N735" s="2">
        <f>VLOOKUP($A735,'[2]App C Exp'!$A$4:$I$917,8,FALSE)</f>
        <v>1446</v>
      </c>
      <c r="O735" s="2">
        <f>VLOOKUP($A735,'[2]App C Exp'!$A$4:$I$917,9,FALSE)</f>
        <v>0</v>
      </c>
      <c r="P735" s="2"/>
      <c r="Q735" s="2">
        <f>VLOOKUP($A735,'[2]App C Inv'!$A$4:$I$917,5,FALSE)</f>
        <v>4549</v>
      </c>
      <c r="R735" s="2">
        <f>VLOOKUP($A735,'[2]App C Inv'!$A$4:$I$917,6,FALSE)</f>
        <v>-3913</v>
      </c>
      <c r="S735" s="2">
        <f>VLOOKUP($A735,'[2]App C Inv'!$A$4:$I$917,7,FALSE)</f>
        <v>551</v>
      </c>
      <c r="T735" s="2">
        <f>VLOOKUP($A735,'[2]App C Inv'!$A$4:$I$917,8,FALSE)</f>
        <v>718</v>
      </c>
      <c r="U735" s="2">
        <f>VLOOKUP($A735,'[2]App C Inv'!$A$4:$I$917,9,FALSE)</f>
        <v>0</v>
      </c>
      <c r="V735" s="2"/>
      <c r="W735" s="2">
        <f>VLOOKUP($A735,'[2]App C Assum'!$A$4:$I$917,5,FALSE)</f>
        <v>5124</v>
      </c>
      <c r="X735" s="2">
        <f>VLOOKUP($A735,'[2]App C Assum'!$A$4:$I$917,6,FALSE)</f>
        <v>4198</v>
      </c>
      <c r="Y735" s="2">
        <f>VLOOKUP($A735,'[2]App C Assum'!$A$4:$I$917,7,FALSE)</f>
        <v>3408</v>
      </c>
      <c r="Z735" s="2">
        <f>VLOOKUP($A735,'[2]App C Assum'!$A$4:$I$917,8,FALSE)</f>
        <v>0</v>
      </c>
      <c r="AA735" s="2">
        <f>VLOOKUP($A735,'[2]App C Assum'!$A$4:$I$917,9,FALSE)</f>
        <v>0</v>
      </c>
      <c r="AB735" s="2"/>
      <c r="AC735" s="2">
        <f>VLOOKUP($A735,'[2]App C Share Outflows'!$A$4:$I$917,5,FALSE)</f>
        <v>6094</v>
      </c>
      <c r="AD735" s="2">
        <f>VLOOKUP($A735,'[2]App C Share Outflows'!$A$4:$I$917,6,FALSE)</f>
        <v>4606</v>
      </c>
      <c r="AE735" s="2">
        <f>VLOOKUP($A735,'[2]App C Share Outflows'!$A$4:$I$917,7,FALSE)</f>
        <v>2642</v>
      </c>
      <c r="AF735" s="2">
        <f>VLOOKUP($A735,'[2]App C Share Outflows'!$A$4:$I$917,8,FALSE)</f>
        <v>876</v>
      </c>
      <c r="AG735" s="2">
        <f>VLOOKUP($A735,'[2]App C Share Outflows'!$A$4:$I$917,9,FALSE)</f>
        <v>0</v>
      </c>
      <c r="AH735" s="2"/>
      <c r="AI735" s="2">
        <f>VLOOKUP($A735,'[2]App C Share Inflows'!$A$4:$I$917,5,FALSE)</f>
        <v>0</v>
      </c>
      <c r="AJ735" s="2">
        <f>VLOOKUP($A735,'[2]App C Share Inflows'!$A$4:$I$917,6,FALSE)</f>
        <v>0</v>
      </c>
      <c r="AK735" s="2">
        <f>VLOOKUP($A735,'[2]App C Share Inflows'!$A$4:$I$917,7,FALSE)</f>
        <v>0</v>
      </c>
      <c r="AL735" s="2">
        <f>VLOOKUP($A735,'[2]App C Share Inflows'!$A$4:$I$917,8,FALSE)</f>
        <v>0</v>
      </c>
      <c r="AM735" s="2">
        <f>VLOOKUP($A735,'[2]App C Share Inflows'!$A$4:$I$917,6,FALSE)</f>
        <v>0</v>
      </c>
    </row>
    <row r="736" spans="1:39">
      <c r="A736" s="351">
        <v>97917</v>
      </c>
      <c r="B736" s="344" t="s">
        <v>1434</v>
      </c>
      <c r="C736" s="235" t="e">
        <f>VLOOKUP(A736,#REF!,10,FALSE)</f>
        <v>#REF!</v>
      </c>
      <c r="E736" s="2">
        <f>VLOOKUP($A736,'[2]App C Total'!$A$4:$I$917,5,FALSE)</f>
        <v>11868</v>
      </c>
      <c r="F736" s="2">
        <f>VLOOKUP($A736,'[2]App C Total'!$A$4:$I$917,6,FALSE)</f>
        <v>5088</v>
      </c>
      <c r="G736" s="2">
        <f>VLOOKUP($A736,'[2]App C Total'!$A$4:$I$917,7,FALSE)</f>
        <v>6227</v>
      </c>
      <c r="H736" s="2">
        <f>VLOOKUP($A736,'[2]App C Total'!$A$4:$I$917,8,FALSE)</f>
        <v>2154</v>
      </c>
      <c r="I736" s="2">
        <f>VLOOKUP($A736,'[2]App C Total'!$A$4:$I$917,9,FALSE)</f>
        <v>0</v>
      </c>
      <c r="J736" s="2"/>
      <c r="K736" s="2">
        <f>VLOOKUP($A736,'[2]App C Exp'!$A$4:$I$917,5,FALSE)</f>
        <v>2756</v>
      </c>
      <c r="L736" s="2">
        <f>VLOOKUP($A736,'[2]App C Exp'!$A$4:$I$917,6,FALSE)</f>
        <v>2593</v>
      </c>
      <c r="M736" s="2">
        <f>VLOOKUP($A736,'[2]App C Exp'!$A$4:$I$917,7,FALSE)</f>
        <v>2324</v>
      </c>
      <c r="N736" s="2">
        <f>VLOOKUP($A736,'[2]App C Exp'!$A$4:$I$917,8,FALSE)</f>
        <v>931</v>
      </c>
      <c r="O736" s="2">
        <f>VLOOKUP($A736,'[2]App C Exp'!$A$4:$I$917,9,FALSE)</f>
        <v>0</v>
      </c>
      <c r="P736" s="2"/>
      <c r="Q736" s="2">
        <f>VLOOKUP($A736,'[2]App C Inv'!$A$4:$I$917,5,FALSE)</f>
        <v>2926</v>
      </c>
      <c r="R736" s="2">
        <f>VLOOKUP($A736,'[2]App C Inv'!$A$4:$I$917,6,FALSE)</f>
        <v>-2517</v>
      </c>
      <c r="S736" s="2">
        <f>VLOOKUP($A736,'[2]App C Inv'!$A$4:$I$917,7,FALSE)</f>
        <v>355</v>
      </c>
      <c r="T736" s="2">
        <f>VLOOKUP($A736,'[2]App C Inv'!$A$4:$I$917,8,FALSE)</f>
        <v>462</v>
      </c>
      <c r="U736" s="2">
        <f>VLOOKUP($A736,'[2]App C Inv'!$A$4:$I$917,9,FALSE)</f>
        <v>0</v>
      </c>
      <c r="V736" s="2"/>
      <c r="W736" s="2">
        <f>VLOOKUP($A736,'[2]App C Assum'!$A$4:$I$917,5,FALSE)</f>
        <v>3297</v>
      </c>
      <c r="X736" s="2">
        <f>VLOOKUP($A736,'[2]App C Assum'!$A$4:$I$917,6,FALSE)</f>
        <v>2701</v>
      </c>
      <c r="Y736" s="2">
        <f>VLOOKUP($A736,'[2]App C Assum'!$A$4:$I$917,7,FALSE)</f>
        <v>2192</v>
      </c>
      <c r="Z736" s="2">
        <f>VLOOKUP($A736,'[2]App C Assum'!$A$4:$I$917,8,FALSE)</f>
        <v>0</v>
      </c>
      <c r="AA736" s="2">
        <f>VLOOKUP($A736,'[2]App C Assum'!$A$4:$I$917,9,FALSE)</f>
        <v>0</v>
      </c>
      <c r="AB736" s="2"/>
      <c r="AC736" s="2">
        <f>VLOOKUP($A736,'[2]App C Share Outflows'!$A$4:$I$917,5,FALSE)</f>
        <v>2889</v>
      </c>
      <c r="AD736" s="2">
        <f>VLOOKUP($A736,'[2]App C Share Outflows'!$A$4:$I$917,6,FALSE)</f>
        <v>2311</v>
      </c>
      <c r="AE736" s="2">
        <f>VLOOKUP($A736,'[2]App C Share Outflows'!$A$4:$I$917,7,FALSE)</f>
        <v>1356</v>
      </c>
      <c r="AF736" s="2">
        <f>VLOOKUP($A736,'[2]App C Share Outflows'!$A$4:$I$917,8,FALSE)</f>
        <v>761</v>
      </c>
      <c r="AG736" s="2">
        <f>VLOOKUP($A736,'[2]App C Share Outflows'!$A$4:$I$917,9,FALSE)</f>
        <v>0</v>
      </c>
      <c r="AH736" s="2"/>
      <c r="AI736" s="2">
        <f>VLOOKUP($A736,'[2]App C Share Inflows'!$A$4:$I$917,5,FALSE)</f>
        <v>0</v>
      </c>
      <c r="AJ736" s="2">
        <f>VLOOKUP($A736,'[2]App C Share Inflows'!$A$4:$I$917,6,FALSE)</f>
        <v>0</v>
      </c>
      <c r="AK736" s="2">
        <f>VLOOKUP($A736,'[2]App C Share Inflows'!$A$4:$I$917,7,FALSE)</f>
        <v>0</v>
      </c>
      <c r="AL736" s="2">
        <f>VLOOKUP($A736,'[2]App C Share Inflows'!$A$4:$I$917,8,FALSE)</f>
        <v>0</v>
      </c>
      <c r="AM736" s="2">
        <f>VLOOKUP($A736,'[2]App C Share Inflows'!$A$4:$I$917,6,FALSE)</f>
        <v>0</v>
      </c>
    </row>
    <row r="737" spans="1:39">
      <c r="A737" s="351">
        <v>97921</v>
      </c>
      <c r="B737" s="344" t="s">
        <v>1435</v>
      </c>
      <c r="C737" s="235" t="e">
        <f>VLOOKUP(A737,#REF!,10,FALSE)</f>
        <v>#REF!</v>
      </c>
      <c r="E737" s="2">
        <f>VLOOKUP($A737,'[2]App C Total'!$A$4:$I$917,5,FALSE)</f>
        <v>98470</v>
      </c>
      <c r="F737" s="2">
        <f>VLOOKUP($A737,'[2]App C Total'!$A$4:$I$917,6,FALSE)</f>
        <v>29814</v>
      </c>
      <c r="G737" s="2">
        <f>VLOOKUP($A737,'[2]App C Total'!$A$4:$I$917,7,FALSE)</f>
        <v>53494</v>
      </c>
      <c r="H737" s="2">
        <f>VLOOKUP($A737,'[2]App C Total'!$A$4:$I$917,8,FALSE)</f>
        <v>12399</v>
      </c>
      <c r="I737" s="2">
        <f>VLOOKUP($A737,'[2]App C Total'!$A$4:$I$917,9,FALSE)</f>
        <v>0</v>
      </c>
      <c r="J737" s="2"/>
      <c r="K737" s="2">
        <f>VLOOKUP($A737,'[2]App C Exp'!$A$4:$I$917,5,FALSE)</f>
        <v>31055</v>
      </c>
      <c r="L737" s="2">
        <f>VLOOKUP($A737,'[2]App C Exp'!$A$4:$I$917,6,FALSE)</f>
        <v>29213</v>
      </c>
      <c r="M737" s="2">
        <f>VLOOKUP($A737,'[2]App C Exp'!$A$4:$I$917,7,FALSE)</f>
        <v>26183</v>
      </c>
      <c r="N737" s="2">
        <f>VLOOKUP($A737,'[2]App C Exp'!$A$4:$I$917,8,FALSE)</f>
        <v>10483</v>
      </c>
      <c r="O737" s="2">
        <f>VLOOKUP($A737,'[2]App C Exp'!$A$4:$I$917,9,FALSE)</f>
        <v>0</v>
      </c>
      <c r="P737" s="2"/>
      <c r="Q737" s="2">
        <f>VLOOKUP($A737,'[2]App C Inv'!$A$4:$I$917,5,FALSE)</f>
        <v>32969</v>
      </c>
      <c r="R737" s="2">
        <f>VLOOKUP($A737,'[2]App C Inv'!$A$4:$I$917,6,FALSE)</f>
        <v>-28360</v>
      </c>
      <c r="S737" s="2">
        <f>VLOOKUP($A737,'[2]App C Inv'!$A$4:$I$917,7,FALSE)</f>
        <v>3997</v>
      </c>
      <c r="T737" s="2">
        <f>VLOOKUP($A737,'[2]App C Inv'!$A$4:$I$917,8,FALSE)</f>
        <v>5202</v>
      </c>
      <c r="U737" s="2">
        <f>VLOOKUP($A737,'[2]App C Inv'!$A$4:$I$917,9,FALSE)</f>
        <v>0</v>
      </c>
      <c r="V737" s="2"/>
      <c r="W737" s="2">
        <f>VLOOKUP($A737,'[2]App C Assum'!$A$4:$I$917,5,FALSE)</f>
        <v>37140</v>
      </c>
      <c r="X737" s="2">
        <f>VLOOKUP($A737,'[2]App C Assum'!$A$4:$I$917,6,FALSE)</f>
        <v>30427</v>
      </c>
      <c r="Y737" s="2">
        <f>VLOOKUP($A737,'[2]App C Assum'!$A$4:$I$917,7,FALSE)</f>
        <v>24701</v>
      </c>
      <c r="Z737" s="2">
        <f>VLOOKUP($A737,'[2]App C Assum'!$A$4:$I$917,8,FALSE)</f>
        <v>0</v>
      </c>
      <c r="AA737" s="2">
        <f>VLOOKUP($A737,'[2]App C Assum'!$A$4:$I$917,9,FALSE)</f>
        <v>0</v>
      </c>
      <c r="AB737" s="2"/>
      <c r="AC737" s="2">
        <f>VLOOKUP($A737,'[2]App C Share Outflows'!$A$4:$I$917,5,FALSE)</f>
        <v>1899</v>
      </c>
      <c r="AD737" s="2">
        <f>VLOOKUP($A737,'[2]App C Share Outflows'!$A$4:$I$917,6,FALSE)</f>
        <v>1899</v>
      </c>
      <c r="AE737" s="2">
        <f>VLOOKUP($A737,'[2]App C Share Outflows'!$A$4:$I$917,7,FALSE)</f>
        <v>1897</v>
      </c>
      <c r="AF737" s="2">
        <f>VLOOKUP($A737,'[2]App C Share Outflows'!$A$4:$I$917,8,FALSE)</f>
        <v>0</v>
      </c>
      <c r="AG737" s="2">
        <f>VLOOKUP($A737,'[2]App C Share Outflows'!$A$4:$I$917,9,FALSE)</f>
        <v>0</v>
      </c>
      <c r="AH737" s="2"/>
      <c r="AI737" s="2">
        <f>VLOOKUP($A737,'[2]App C Share Inflows'!$A$4:$I$917,5,FALSE)</f>
        <v>-4593</v>
      </c>
      <c r="AJ737" s="2">
        <f>VLOOKUP($A737,'[2]App C Share Inflows'!$A$4:$I$917,6,FALSE)</f>
        <v>-3365</v>
      </c>
      <c r="AK737" s="2">
        <f>VLOOKUP($A737,'[2]App C Share Inflows'!$A$4:$I$917,7,FALSE)</f>
        <v>-3284</v>
      </c>
      <c r="AL737" s="2">
        <f>VLOOKUP($A737,'[2]App C Share Inflows'!$A$4:$I$917,8,FALSE)</f>
        <v>-3286</v>
      </c>
      <c r="AM737" s="2">
        <f>VLOOKUP($A737,'[2]App C Share Inflows'!$A$4:$I$917,6,FALSE)</f>
        <v>-3365</v>
      </c>
    </row>
    <row r="738" spans="1:39">
      <c r="A738" s="351">
        <v>97931</v>
      </c>
      <c r="B738" s="344" t="s">
        <v>1436</v>
      </c>
      <c r="C738" s="235" t="e">
        <f>VLOOKUP(A738,#REF!,10,FALSE)</f>
        <v>#REF!</v>
      </c>
      <c r="E738" s="2">
        <f>VLOOKUP($A738,'[2]App C Total'!$A$4:$I$917,5,FALSE)</f>
        <v>33104</v>
      </c>
      <c r="F738" s="2">
        <f>VLOOKUP($A738,'[2]App C Total'!$A$4:$I$917,6,FALSE)</f>
        <v>11237</v>
      </c>
      <c r="G738" s="2">
        <f>VLOOKUP($A738,'[2]App C Total'!$A$4:$I$917,7,FALSE)</f>
        <v>17450</v>
      </c>
      <c r="H738" s="2">
        <f>VLOOKUP($A738,'[2]App C Total'!$A$4:$I$917,8,FALSE)</f>
        <v>5277</v>
      </c>
      <c r="I738" s="2">
        <f>VLOOKUP($A738,'[2]App C Total'!$A$4:$I$917,9,FALSE)</f>
        <v>0</v>
      </c>
      <c r="J738" s="2"/>
      <c r="K738" s="2">
        <f>VLOOKUP($A738,'[2]App C Exp'!$A$4:$I$917,5,FALSE)</f>
        <v>9992</v>
      </c>
      <c r="L738" s="2">
        <f>VLOOKUP($A738,'[2]App C Exp'!$A$4:$I$917,6,FALSE)</f>
        <v>9399</v>
      </c>
      <c r="M738" s="2">
        <f>VLOOKUP($A738,'[2]App C Exp'!$A$4:$I$917,7,FALSE)</f>
        <v>8425</v>
      </c>
      <c r="N738" s="2">
        <f>VLOOKUP($A738,'[2]App C Exp'!$A$4:$I$917,8,FALSE)</f>
        <v>3373</v>
      </c>
      <c r="O738" s="2">
        <f>VLOOKUP($A738,'[2]App C Exp'!$A$4:$I$917,9,FALSE)</f>
        <v>0</v>
      </c>
      <c r="P738" s="2"/>
      <c r="Q738" s="2">
        <f>VLOOKUP($A738,'[2]App C Inv'!$A$4:$I$917,5,FALSE)</f>
        <v>10608</v>
      </c>
      <c r="R738" s="2">
        <f>VLOOKUP($A738,'[2]App C Inv'!$A$4:$I$917,6,FALSE)</f>
        <v>-9125</v>
      </c>
      <c r="S738" s="2">
        <f>VLOOKUP($A738,'[2]App C Inv'!$A$4:$I$917,7,FALSE)</f>
        <v>1286</v>
      </c>
      <c r="T738" s="2">
        <f>VLOOKUP($A738,'[2]App C Inv'!$A$4:$I$917,8,FALSE)</f>
        <v>1674</v>
      </c>
      <c r="U738" s="2">
        <f>VLOOKUP($A738,'[2]App C Inv'!$A$4:$I$917,9,FALSE)</f>
        <v>0</v>
      </c>
      <c r="V738" s="2"/>
      <c r="W738" s="2">
        <f>VLOOKUP($A738,'[2]App C Assum'!$A$4:$I$917,5,FALSE)</f>
        <v>11950</v>
      </c>
      <c r="X738" s="2">
        <f>VLOOKUP($A738,'[2]App C Assum'!$A$4:$I$917,6,FALSE)</f>
        <v>9790</v>
      </c>
      <c r="Y738" s="2">
        <f>VLOOKUP($A738,'[2]App C Assum'!$A$4:$I$917,7,FALSE)</f>
        <v>7948</v>
      </c>
      <c r="Z738" s="2">
        <f>VLOOKUP($A738,'[2]App C Assum'!$A$4:$I$917,8,FALSE)</f>
        <v>0</v>
      </c>
      <c r="AA738" s="2">
        <f>VLOOKUP($A738,'[2]App C Assum'!$A$4:$I$917,9,FALSE)</f>
        <v>0</v>
      </c>
      <c r="AB738" s="2"/>
      <c r="AC738" s="2">
        <f>VLOOKUP($A738,'[2]App C Share Outflows'!$A$4:$I$917,5,FALSE)</f>
        <v>1616</v>
      </c>
      <c r="AD738" s="2">
        <f>VLOOKUP($A738,'[2]App C Share Outflows'!$A$4:$I$917,6,FALSE)</f>
        <v>1615</v>
      </c>
      <c r="AE738" s="2">
        <f>VLOOKUP($A738,'[2]App C Share Outflows'!$A$4:$I$917,7,FALSE)</f>
        <v>232</v>
      </c>
      <c r="AF738" s="2">
        <f>VLOOKUP($A738,'[2]App C Share Outflows'!$A$4:$I$917,8,FALSE)</f>
        <v>230</v>
      </c>
      <c r="AG738" s="2">
        <f>VLOOKUP($A738,'[2]App C Share Outflows'!$A$4:$I$917,9,FALSE)</f>
        <v>0</v>
      </c>
      <c r="AH738" s="2"/>
      <c r="AI738" s="2">
        <f>VLOOKUP($A738,'[2]App C Share Inflows'!$A$4:$I$917,5,FALSE)</f>
        <v>-1062</v>
      </c>
      <c r="AJ738" s="2">
        <f>VLOOKUP($A738,'[2]App C Share Inflows'!$A$4:$I$917,6,FALSE)</f>
        <v>-442</v>
      </c>
      <c r="AK738" s="2">
        <f>VLOOKUP($A738,'[2]App C Share Inflows'!$A$4:$I$917,7,FALSE)</f>
        <v>-441</v>
      </c>
      <c r="AL738" s="2">
        <f>VLOOKUP($A738,'[2]App C Share Inflows'!$A$4:$I$917,8,FALSE)</f>
        <v>0</v>
      </c>
      <c r="AM738" s="2">
        <f>VLOOKUP($A738,'[2]App C Share Inflows'!$A$4:$I$917,6,FALSE)</f>
        <v>-442</v>
      </c>
    </row>
    <row r="739" spans="1:39">
      <c r="A739" s="351">
        <v>97941</v>
      </c>
      <c r="B739" s="344" t="s">
        <v>1437</v>
      </c>
      <c r="C739" s="235" t="e">
        <f>VLOOKUP(A739,#REF!,10,FALSE)</f>
        <v>#REF!</v>
      </c>
      <c r="E739" s="2">
        <f>VLOOKUP($A739,'[2]App C Total'!$A$4:$I$917,5,FALSE)</f>
        <v>111055</v>
      </c>
      <c r="F739" s="2">
        <f>VLOOKUP($A739,'[2]App C Total'!$A$4:$I$917,6,FALSE)</f>
        <v>37981</v>
      </c>
      <c r="G739" s="2">
        <f>VLOOKUP($A739,'[2]App C Total'!$A$4:$I$917,7,FALSE)</f>
        <v>64568</v>
      </c>
      <c r="H739" s="2">
        <f>VLOOKUP($A739,'[2]App C Total'!$A$4:$I$917,8,FALSE)</f>
        <v>21334</v>
      </c>
      <c r="I739" s="2">
        <f>VLOOKUP($A739,'[2]App C Total'!$A$4:$I$917,9,FALSE)</f>
        <v>0</v>
      </c>
      <c r="J739" s="2"/>
      <c r="K739" s="2">
        <f>VLOOKUP($A739,'[2]App C Exp'!$A$4:$I$917,5,FALSE)</f>
        <v>32104</v>
      </c>
      <c r="L739" s="2">
        <f>VLOOKUP($A739,'[2]App C Exp'!$A$4:$I$917,6,FALSE)</f>
        <v>30199</v>
      </c>
      <c r="M739" s="2">
        <f>VLOOKUP($A739,'[2]App C Exp'!$A$4:$I$917,7,FALSE)</f>
        <v>27067</v>
      </c>
      <c r="N739" s="2">
        <f>VLOOKUP($A739,'[2]App C Exp'!$A$4:$I$917,8,FALSE)</f>
        <v>10837</v>
      </c>
      <c r="O739" s="2">
        <f>VLOOKUP($A739,'[2]App C Exp'!$A$4:$I$917,9,FALSE)</f>
        <v>0</v>
      </c>
      <c r="P739" s="2"/>
      <c r="Q739" s="2">
        <f>VLOOKUP($A739,'[2]App C Inv'!$A$4:$I$917,5,FALSE)</f>
        <v>34082</v>
      </c>
      <c r="R739" s="2">
        <f>VLOOKUP($A739,'[2]App C Inv'!$A$4:$I$917,6,FALSE)</f>
        <v>-29317</v>
      </c>
      <c r="S739" s="2">
        <f>VLOOKUP($A739,'[2]App C Inv'!$A$4:$I$917,7,FALSE)</f>
        <v>4132</v>
      </c>
      <c r="T739" s="2">
        <f>VLOOKUP($A739,'[2]App C Inv'!$A$4:$I$917,8,FALSE)</f>
        <v>5378</v>
      </c>
      <c r="U739" s="2">
        <f>VLOOKUP($A739,'[2]App C Inv'!$A$4:$I$917,9,FALSE)</f>
        <v>0</v>
      </c>
      <c r="V739" s="2"/>
      <c r="W739" s="2">
        <f>VLOOKUP($A739,'[2]App C Assum'!$A$4:$I$917,5,FALSE)</f>
        <v>38394</v>
      </c>
      <c r="X739" s="2">
        <f>VLOOKUP($A739,'[2]App C Assum'!$A$4:$I$917,6,FALSE)</f>
        <v>31454</v>
      </c>
      <c r="Y739" s="2">
        <f>VLOOKUP($A739,'[2]App C Assum'!$A$4:$I$917,7,FALSE)</f>
        <v>25535</v>
      </c>
      <c r="Z739" s="2">
        <f>VLOOKUP($A739,'[2]App C Assum'!$A$4:$I$917,8,FALSE)</f>
        <v>0</v>
      </c>
      <c r="AA739" s="2">
        <f>VLOOKUP($A739,'[2]App C Assum'!$A$4:$I$917,9,FALSE)</f>
        <v>0</v>
      </c>
      <c r="AB739" s="2"/>
      <c r="AC739" s="2">
        <f>VLOOKUP($A739,'[2]App C Share Outflows'!$A$4:$I$917,5,FALSE)</f>
        <v>8662</v>
      </c>
      <c r="AD739" s="2">
        <f>VLOOKUP($A739,'[2]App C Share Outflows'!$A$4:$I$917,6,FALSE)</f>
        <v>7832</v>
      </c>
      <c r="AE739" s="2">
        <f>VLOOKUP($A739,'[2]App C Share Outflows'!$A$4:$I$917,7,FALSE)</f>
        <v>7834</v>
      </c>
      <c r="AF739" s="2">
        <f>VLOOKUP($A739,'[2]App C Share Outflows'!$A$4:$I$917,8,FALSE)</f>
        <v>5119</v>
      </c>
      <c r="AG739" s="2">
        <f>VLOOKUP($A739,'[2]App C Share Outflows'!$A$4:$I$917,9,FALSE)</f>
        <v>0</v>
      </c>
      <c r="AH739" s="2"/>
      <c r="AI739" s="2">
        <f>VLOOKUP($A739,'[2]App C Share Inflows'!$A$4:$I$917,5,FALSE)</f>
        <v>-2187</v>
      </c>
      <c r="AJ739" s="2">
        <f>VLOOKUP($A739,'[2]App C Share Inflows'!$A$4:$I$917,6,FALSE)</f>
        <v>-2187</v>
      </c>
      <c r="AK739" s="2">
        <f>VLOOKUP($A739,'[2]App C Share Inflows'!$A$4:$I$917,7,FALSE)</f>
        <v>0</v>
      </c>
      <c r="AL739" s="2">
        <f>VLOOKUP($A739,'[2]App C Share Inflows'!$A$4:$I$917,8,FALSE)</f>
        <v>0</v>
      </c>
      <c r="AM739" s="2">
        <f>VLOOKUP($A739,'[2]App C Share Inflows'!$A$4:$I$917,6,FALSE)</f>
        <v>-2187</v>
      </c>
    </row>
    <row r="740" spans="1:39">
      <c r="A740" s="351">
        <v>97947</v>
      </c>
      <c r="B740" s="344" t="s">
        <v>1438</v>
      </c>
      <c r="C740" s="235" t="e">
        <f>VLOOKUP(A740,#REF!,10,FALSE)</f>
        <v>#REF!</v>
      </c>
      <c r="E740" s="2">
        <f>VLOOKUP($A740,'[2]App C Total'!$A$4:$I$917,5,FALSE)</f>
        <v>12157</v>
      </c>
      <c r="F740" s="2">
        <f>VLOOKUP($A740,'[2]App C Total'!$A$4:$I$917,6,FALSE)</f>
        <v>5667</v>
      </c>
      <c r="G740" s="2">
        <f>VLOOKUP($A740,'[2]App C Total'!$A$4:$I$917,7,FALSE)</f>
        <v>6648</v>
      </c>
      <c r="H740" s="2">
        <f>VLOOKUP($A740,'[2]App C Total'!$A$4:$I$917,8,FALSE)</f>
        <v>2441</v>
      </c>
      <c r="I740" s="2">
        <f>VLOOKUP($A740,'[2]App C Total'!$A$4:$I$917,9,FALSE)</f>
        <v>0</v>
      </c>
      <c r="J740" s="2"/>
      <c r="K740" s="2">
        <f>VLOOKUP($A740,'[2]App C Exp'!$A$4:$I$917,5,FALSE)</f>
        <v>2277</v>
      </c>
      <c r="L740" s="2">
        <f>VLOOKUP($A740,'[2]App C Exp'!$A$4:$I$917,6,FALSE)</f>
        <v>2142</v>
      </c>
      <c r="M740" s="2">
        <f>VLOOKUP($A740,'[2]App C Exp'!$A$4:$I$917,7,FALSE)</f>
        <v>1920</v>
      </c>
      <c r="N740" s="2">
        <f>VLOOKUP($A740,'[2]App C Exp'!$A$4:$I$917,8,FALSE)</f>
        <v>769</v>
      </c>
      <c r="O740" s="2">
        <f>VLOOKUP($A740,'[2]App C Exp'!$A$4:$I$917,9,FALSE)</f>
        <v>0</v>
      </c>
      <c r="P740" s="2"/>
      <c r="Q740" s="2">
        <f>VLOOKUP($A740,'[2]App C Inv'!$A$4:$I$917,5,FALSE)</f>
        <v>2417</v>
      </c>
      <c r="R740" s="2">
        <f>VLOOKUP($A740,'[2]App C Inv'!$A$4:$I$917,6,FALSE)</f>
        <v>-2079</v>
      </c>
      <c r="S740" s="2">
        <f>VLOOKUP($A740,'[2]App C Inv'!$A$4:$I$917,7,FALSE)</f>
        <v>293</v>
      </c>
      <c r="T740" s="2">
        <f>VLOOKUP($A740,'[2]App C Inv'!$A$4:$I$917,8,FALSE)</f>
        <v>381</v>
      </c>
      <c r="U740" s="2">
        <f>VLOOKUP($A740,'[2]App C Inv'!$A$4:$I$917,9,FALSE)</f>
        <v>0</v>
      </c>
      <c r="V740" s="2"/>
      <c r="W740" s="2">
        <f>VLOOKUP($A740,'[2]App C Assum'!$A$4:$I$917,5,FALSE)</f>
        <v>2723</v>
      </c>
      <c r="X740" s="2">
        <f>VLOOKUP($A740,'[2]App C Assum'!$A$4:$I$917,6,FALSE)</f>
        <v>2231</v>
      </c>
      <c r="Y740" s="2">
        <f>VLOOKUP($A740,'[2]App C Assum'!$A$4:$I$917,7,FALSE)</f>
        <v>1811</v>
      </c>
      <c r="Z740" s="2">
        <f>VLOOKUP($A740,'[2]App C Assum'!$A$4:$I$917,8,FALSE)</f>
        <v>0</v>
      </c>
      <c r="AA740" s="2">
        <f>VLOOKUP($A740,'[2]App C Assum'!$A$4:$I$917,9,FALSE)</f>
        <v>0</v>
      </c>
      <c r="AB740" s="2"/>
      <c r="AC740" s="2">
        <f>VLOOKUP($A740,'[2]App C Share Outflows'!$A$4:$I$917,5,FALSE)</f>
        <v>4740</v>
      </c>
      <c r="AD740" s="2">
        <f>VLOOKUP($A740,'[2]App C Share Outflows'!$A$4:$I$917,6,FALSE)</f>
        <v>3373</v>
      </c>
      <c r="AE740" s="2">
        <f>VLOOKUP($A740,'[2]App C Share Outflows'!$A$4:$I$917,7,FALSE)</f>
        <v>2624</v>
      </c>
      <c r="AF740" s="2">
        <f>VLOOKUP($A740,'[2]App C Share Outflows'!$A$4:$I$917,8,FALSE)</f>
        <v>1291</v>
      </c>
      <c r="AG740" s="2">
        <f>VLOOKUP($A740,'[2]App C Share Outflows'!$A$4:$I$917,9,FALSE)</f>
        <v>0</v>
      </c>
      <c r="AH740" s="2"/>
      <c r="AI740" s="2">
        <f>VLOOKUP($A740,'[2]App C Share Inflows'!$A$4:$I$917,5,FALSE)</f>
        <v>0</v>
      </c>
      <c r="AJ740" s="2">
        <f>VLOOKUP($A740,'[2]App C Share Inflows'!$A$4:$I$917,6,FALSE)</f>
        <v>0</v>
      </c>
      <c r="AK740" s="2">
        <f>VLOOKUP($A740,'[2]App C Share Inflows'!$A$4:$I$917,7,FALSE)</f>
        <v>0</v>
      </c>
      <c r="AL740" s="2">
        <f>VLOOKUP($A740,'[2]App C Share Inflows'!$A$4:$I$917,8,FALSE)</f>
        <v>0</v>
      </c>
      <c r="AM740" s="2">
        <f>VLOOKUP($A740,'[2]App C Share Inflows'!$A$4:$I$917,6,FALSE)</f>
        <v>0</v>
      </c>
    </row>
    <row r="741" spans="1:39">
      <c r="A741" s="351">
        <v>97948</v>
      </c>
      <c r="B741" s="344" t="s">
        <v>3699</v>
      </c>
      <c r="C741" s="235" t="e">
        <f>VLOOKUP(A741,#REF!,10,FALSE)</f>
        <v>#REF!</v>
      </c>
      <c r="E741" s="2">
        <f>VLOOKUP($A741,'[2]App C Total'!$A$4:$I$917,5,FALSE)</f>
        <v>11716</v>
      </c>
      <c r="F741" s="2">
        <f>VLOOKUP($A741,'[2]App C Total'!$A$4:$I$917,6,FALSE)</f>
        <v>2947</v>
      </c>
      <c r="G741" s="2">
        <f>VLOOKUP($A741,'[2]App C Total'!$A$4:$I$917,7,FALSE)</f>
        <v>7974</v>
      </c>
      <c r="H741" s="2">
        <f>VLOOKUP($A741,'[2]App C Total'!$A$4:$I$917,8,FALSE)</f>
        <v>2945</v>
      </c>
      <c r="I741" s="2">
        <f>VLOOKUP($A741,'[2]App C Total'!$A$4:$I$917,9,FALSE)</f>
        <v>0</v>
      </c>
      <c r="J741" s="2"/>
      <c r="K741" s="2">
        <f>VLOOKUP($A741,'[2]App C Exp'!$A$4:$I$917,5,FALSE)</f>
        <v>3910</v>
      </c>
      <c r="L741" s="2">
        <f>VLOOKUP($A741,'[2]App C Exp'!$A$4:$I$917,6,FALSE)</f>
        <v>3678</v>
      </c>
      <c r="M741" s="2">
        <f>VLOOKUP($A741,'[2]App C Exp'!$A$4:$I$917,7,FALSE)</f>
        <v>3297</v>
      </c>
      <c r="N741" s="2">
        <f>VLOOKUP($A741,'[2]App C Exp'!$A$4:$I$917,8,FALSE)</f>
        <v>1320</v>
      </c>
      <c r="O741" s="2">
        <f>VLOOKUP($A741,'[2]App C Exp'!$A$4:$I$917,9,FALSE)</f>
        <v>0</v>
      </c>
      <c r="P741" s="2"/>
      <c r="Q741" s="2">
        <f>VLOOKUP($A741,'[2]App C Inv'!$A$4:$I$917,5,FALSE)</f>
        <v>4151</v>
      </c>
      <c r="R741" s="2">
        <f>VLOOKUP($A741,'[2]App C Inv'!$A$4:$I$917,6,FALSE)</f>
        <v>-3571</v>
      </c>
      <c r="S741" s="2">
        <f>VLOOKUP($A741,'[2]App C Inv'!$A$4:$I$917,7,FALSE)</f>
        <v>503</v>
      </c>
      <c r="T741" s="2">
        <f>VLOOKUP($A741,'[2]App C Inv'!$A$4:$I$917,8,FALSE)</f>
        <v>655</v>
      </c>
      <c r="U741" s="2">
        <f>VLOOKUP($A741,'[2]App C Inv'!$A$4:$I$917,9,FALSE)</f>
        <v>0</v>
      </c>
      <c r="V741" s="2"/>
      <c r="W741" s="2">
        <f>VLOOKUP($A741,'[2]App C Assum'!$A$4:$I$917,5,FALSE)</f>
        <v>4676</v>
      </c>
      <c r="X741" s="2">
        <f>VLOOKUP($A741,'[2]App C Assum'!$A$4:$I$917,6,FALSE)</f>
        <v>3831</v>
      </c>
      <c r="Y741" s="2">
        <f>VLOOKUP($A741,'[2]App C Assum'!$A$4:$I$917,7,FALSE)</f>
        <v>3110</v>
      </c>
      <c r="Z741" s="2">
        <f>VLOOKUP($A741,'[2]App C Assum'!$A$4:$I$917,8,FALSE)</f>
        <v>0</v>
      </c>
      <c r="AA741" s="2">
        <f>VLOOKUP($A741,'[2]App C Assum'!$A$4:$I$917,9,FALSE)</f>
        <v>0</v>
      </c>
      <c r="AB741" s="2"/>
      <c r="AC741" s="2">
        <f>VLOOKUP($A741,'[2]App C Share Outflows'!$A$4:$I$917,5,FALSE)</f>
        <v>1066</v>
      </c>
      <c r="AD741" s="2">
        <f>VLOOKUP($A741,'[2]App C Share Outflows'!$A$4:$I$917,6,FALSE)</f>
        <v>1066</v>
      </c>
      <c r="AE741" s="2">
        <f>VLOOKUP($A741,'[2]App C Share Outflows'!$A$4:$I$917,7,FALSE)</f>
        <v>1064</v>
      </c>
      <c r="AF741" s="2">
        <f>VLOOKUP($A741,'[2]App C Share Outflows'!$A$4:$I$917,8,FALSE)</f>
        <v>970</v>
      </c>
      <c r="AG741" s="2">
        <f>VLOOKUP($A741,'[2]App C Share Outflows'!$A$4:$I$917,9,FALSE)</f>
        <v>0</v>
      </c>
      <c r="AH741" s="2"/>
      <c r="AI741" s="2">
        <f>VLOOKUP($A741,'[2]App C Share Inflows'!$A$4:$I$917,5,FALSE)</f>
        <v>-2087</v>
      </c>
      <c r="AJ741" s="2">
        <f>VLOOKUP($A741,'[2]App C Share Inflows'!$A$4:$I$917,6,FALSE)</f>
        <v>-2057</v>
      </c>
      <c r="AK741" s="2">
        <f>VLOOKUP($A741,'[2]App C Share Inflows'!$A$4:$I$917,7,FALSE)</f>
        <v>0</v>
      </c>
      <c r="AL741" s="2">
        <f>VLOOKUP($A741,'[2]App C Share Inflows'!$A$4:$I$917,8,FALSE)</f>
        <v>0</v>
      </c>
      <c r="AM741" s="2">
        <f>VLOOKUP($A741,'[2]App C Share Inflows'!$A$4:$I$917,6,FALSE)</f>
        <v>-2057</v>
      </c>
    </row>
    <row r="742" spans="1:39">
      <c r="A742" s="351">
        <v>97951</v>
      </c>
      <c r="B742" s="344" t="s">
        <v>1440</v>
      </c>
      <c r="C742" s="235" t="e">
        <f>VLOOKUP(A742,#REF!,10,FALSE)</f>
        <v>#REF!</v>
      </c>
      <c r="E742" s="2">
        <f>VLOOKUP($A742,'[2]App C Total'!$A$4:$I$917,5,FALSE)</f>
        <v>587505</v>
      </c>
      <c r="F742" s="2">
        <f>VLOOKUP($A742,'[2]App C Total'!$A$4:$I$917,6,FALSE)</f>
        <v>190310</v>
      </c>
      <c r="G742" s="2">
        <f>VLOOKUP($A742,'[2]App C Total'!$A$4:$I$917,7,FALSE)</f>
        <v>319643</v>
      </c>
      <c r="H742" s="2">
        <f>VLOOKUP($A742,'[2]App C Total'!$A$4:$I$917,8,FALSE)</f>
        <v>97579</v>
      </c>
      <c r="I742" s="2">
        <f>VLOOKUP($A742,'[2]App C Total'!$A$4:$I$917,9,FALSE)</f>
        <v>0</v>
      </c>
      <c r="J742" s="2"/>
      <c r="K742" s="2">
        <f>VLOOKUP($A742,'[2]App C Exp'!$A$4:$I$917,5,FALSE)</f>
        <v>175963</v>
      </c>
      <c r="L742" s="2">
        <f>VLOOKUP($A742,'[2]App C Exp'!$A$4:$I$917,6,FALSE)</f>
        <v>165525</v>
      </c>
      <c r="M742" s="2">
        <f>VLOOKUP($A742,'[2]App C Exp'!$A$4:$I$917,7,FALSE)</f>
        <v>148358</v>
      </c>
      <c r="N742" s="2">
        <f>VLOOKUP($A742,'[2]App C Exp'!$A$4:$I$917,8,FALSE)</f>
        <v>59401</v>
      </c>
      <c r="O742" s="2">
        <f>VLOOKUP($A742,'[2]App C Exp'!$A$4:$I$917,9,FALSE)</f>
        <v>0</v>
      </c>
      <c r="P742" s="2"/>
      <c r="Q742" s="2">
        <f>VLOOKUP($A742,'[2]App C Inv'!$A$4:$I$917,5,FALSE)</f>
        <v>186810</v>
      </c>
      <c r="R742" s="2">
        <f>VLOOKUP($A742,'[2]App C Inv'!$A$4:$I$917,6,FALSE)</f>
        <v>-160691</v>
      </c>
      <c r="S742" s="2">
        <f>VLOOKUP($A742,'[2]App C Inv'!$A$4:$I$917,7,FALSE)</f>
        <v>22647</v>
      </c>
      <c r="T742" s="2">
        <f>VLOOKUP($A742,'[2]App C Inv'!$A$4:$I$917,8,FALSE)</f>
        <v>29475</v>
      </c>
      <c r="U742" s="2">
        <f>VLOOKUP($A742,'[2]App C Inv'!$A$4:$I$917,9,FALSE)</f>
        <v>0</v>
      </c>
      <c r="V742" s="2"/>
      <c r="W742" s="2">
        <f>VLOOKUP($A742,'[2]App C Assum'!$A$4:$I$917,5,FALSE)</f>
        <v>210444</v>
      </c>
      <c r="X742" s="2">
        <f>VLOOKUP($A742,'[2]App C Assum'!$A$4:$I$917,6,FALSE)</f>
        <v>172403</v>
      </c>
      <c r="Y742" s="2">
        <f>VLOOKUP($A742,'[2]App C Assum'!$A$4:$I$917,7,FALSE)</f>
        <v>139962</v>
      </c>
      <c r="Z742" s="2">
        <f>VLOOKUP($A742,'[2]App C Assum'!$A$4:$I$917,8,FALSE)</f>
        <v>0</v>
      </c>
      <c r="AA742" s="2">
        <f>VLOOKUP($A742,'[2]App C Assum'!$A$4:$I$917,9,FALSE)</f>
        <v>0</v>
      </c>
      <c r="AB742" s="2"/>
      <c r="AC742" s="2">
        <f>VLOOKUP($A742,'[2]App C Share Outflows'!$A$4:$I$917,5,FALSE)</f>
        <v>14313</v>
      </c>
      <c r="AD742" s="2">
        <f>VLOOKUP($A742,'[2]App C Share Outflows'!$A$4:$I$917,6,FALSE)</f>
        <v>13098</v>
      </c>
      <c r="AE742" s="2">
        <f>VLOOKUP($A742,'[2]App C Share Outflows'!$A$4:$I$917,7,FALSE)</f>
        <v>8701</v>
      </c>
      <c r="AF742" s="2">
        <f>VLOOKUP($A742,'[2]App C Share Outflows'!$A$4:$I$917,8,FALSE)</f>
        <v>8703</v>
      </c>
      <c r="AG742" s="2">
        <f>VLOOKUP($A742,'[2]App C Share Outflows'!$A$4:$I$917,9,FALSE)</f>
        <v>0</v>
      </c>
      <c r="AH742" s="2"/>
      <c r="AI742" s="2">
        <f>VLOOKUP($A742,'[2]App C Share Inflows'!$A$4:$I$917,5,FALSE)</f>
        <v>-25</v>
      </c>
      <c r="AJ742" s="2">
        <f>VLOOKUP($A742,'[2]App C Share Inflows'!$A$4:$I$917,6,FALSE)</f>
        <v>-25</v>
      </c>
      <c r="AK742" s="2">
        <f>VLOOKUP($A742,'[2]App C Share Inflows'!$A$4:$I$917,7,FALSE)</f>
        <v>-25</v>
      </c>
      <c r="AL742" s="2">
        <f>VLOOKUP($A742,'[2]App C Share Inflows'!$A$4:$I$917,8,FALSE)</f>
        <v>0</v>
      </c>
      <c r="AM742" s="2">
        <f>VLOOKUP($A742,'[2]App C Share Inflows'!$A$4:$I$917,6,FALSE)</f>
        <v>-25</v>
      </c>
    </row>
    <row r="743" spans="1:39">
      <c r="A743" s="351">
        <v>97957</v>
      </c>
      <c r="B743" s="344" t="s">
        <v>1441</v>
      </c>
      <c r="C743" s="235" t="e">
        <f>VLOOKUP(A743,#REF!,10,FALSE)</f>
        <v>#REF!</v>
      </c>
      <c r="E743" s="2">
        <f>VLOOKUP($A743,'[2]App C Total'!$A$4:$I$917,5,FALSE)</f>
        <v>9808</v>
      </c>
      <c r="F743" s="2">
        <f>VLOOKUP($A743,'[2]App C Total'!$A$4:$I$917,6,FALSE)</f>
        <v>4290</v>
      </c>
      <c r="G743" s="2">
        <f>VLOOKUP($A743,'[2]App C Total'!$A$4:$I$917,7,FALSE)</f>
        <v>5283</v>
      </c>
      <c r="H743" s="2">
        <f>VLOOKUP($A743,'[2]App C Total'!$A$4:$I$917,8,FALSE)</f>
        <v>1808</v>
      </c>
      <c r="I743" s="2">
        <f>VLOOKUP($A743,'[2]App C Total'!$A$4:$I$917,9,FALSE)</f>
        <v>0</v>
      </c>
      <c r="J743" s="2"/>
      <c r="K743" s="2">
        <f>VLOOKUP($A743,'[2]App C Exp'!$A$4:$I$917,5,FALSE)</f>
        <v>2232</v>
      </c>
      <c r="L743" s="2">
        <f>VLOOKUP($A743,'[2]App C Exp'!$A$4:$I$917,6,FALSE)</f>
        <v>2100</v>
      </c>
      <c r="M743" s="2">
        <f>VLOOKUP($A743,'[2]App C Exp'!$A$4:$I$917,7,FALSE)</f>
        <v>1882</v>
      </c>
      <c r="N743" s="2">
        <f>VLOOKUP($A743,'[2]App C Exp'!$A$4:$I$917,8,FALSE)</f>
        <v>754</v>
      </c>
      <c r="O743" s="2">
        <f>VLOOKUP($A743,'[2]App C Exp'!$A$4:$I$917,9,FALSE)</f>
        <v>0</v>
      </c>
      <c r="P743" s="2"/>
      <c r="Q743" s="2">
        <f>VLOOKUP($A743,'[2]App C Inv'!$A$4:$I$917,5,FALSE)</f>
        <v>2370</v>
      </c>
      <c r="R743" s="2">
        <f>VLOOKUP($A743,'[2]App C Inv'!$A$4:$I$917,6,FALSE)</f>
        <v>-2038</v>
      </c>
      <c r="S743" s="2">
        <f>VLOOKUP($A743,'[2]App C Inv'!$A$4:$I$917,7,FALSE)</f>
        <v>287</v>
      </c>
      <c r="T743" s="2">
        <f>VLOOKUP($A743,'[2]App C Inv'!$A$4:$I$917,8,FALSE)</f>
        <v>374</v>
      </c>
      <c r="U743" s="2">
        <f>VLOOKUP($A743,'[2]App C Inv'!$A$4:$I$917,9,FALSE)</f>
        <v>0</v>
      </c>
      <c r="V743" s="2"/>
      <c r="W743" s="2">
        <f>VLOOKUP($A743,'[2]App C Assum'!$A$4:$I$917,5,FALSE)</f>
        <v>2670</v>
      </c>
      <c r="X743" s="2">
        <f>VLOOKUP($A743,'[2]App C Assum'!$A$4:$I$917,6,FALSE)</f>
        <v>2187</v>
      </c>
      <c r="Y743" s="2">
        <f>VLOOKUP($A743,'[2]App C Assum'!$A$4:$I$917,7,FALSE)</f>
        <v>1775</v>
      </c>
      <c r="Z743" s="2">
        <f>VLOOKUP($A743,'[2]App C Assum'!$A$4:$I$917,8,FALSE)</f>
        <v>0</v>
      </c>
      <c r="AA743" s="2">
        <f>VLOOKUP($A743,'[2]App C Assum'!$A$4:$I$917,9,FALSE)</f>
        <v>0</v>
      </c>
      <c r="AB743" s="2"/>
      <c r="AC743" s="2">
        <f>VLOOKUP($A743,'[2]App C Share Outflows'!$A$4:$I$917,5,FALSE)</f>
        <v>2536</v>
      </c>
      <c r="AD743" s="2">
        <f>VLOOKUP($A743,'[2]App C Share Outflows'!$A$4:$I$917,6,FALSE)</f>
        <v>2041</v>
      </c>
      <c r="AE743" s="2">
        <f>VLOOKUP($A743,'[2]App C Share Outflows'!$A$4:$I$917,7,FALSE)</f>
        <v>1339</v>
      </c>
      <c r="AF743" s="2">
        <f>VLOOKUP($A743,'[2]App C Share Outflows'!$A$4:$I$917,8,FALSE)</f>
        <v>680</v>
      </c>
      <c r="AG743" s="2">
        <f>VLOOKUP($A743,'[2]App C Share Outflows'!$A$4:$I$917,9,FALSE)</f>
        <v>0</v>
      </c>
      <c r="AH743" s="2"/>
      <c r="AI743" s="2">
        <f>VLOOKUP($A743,'[2]App C Share Inflows'!$A$4:$I$917,5,FALSE)</f>
        <v>0</v>
      </c>
      <c r="AJ743" s="2">
        <f>VLOOKUP($A743,'[2]App C Share Inflows'!$A$4:$I$917,6,FALSE)</f>
        <v>0</v>
      </c>
      <c r="AK743" s="2">
        <f>VLOOKUP($A743,'[2]App C Share Inflows'!$A$4:$I$917,7,FALSE)</f>
        <v>0</v>
      </c>
      <c r="AL743" s="2">
        <f>VLOOKUP($A743,'[2]App C Share Inflows'!$A$4:$I$917,8,FALSE)</f>
        <v>0</v>
      </c>
      <c r="AM743" s="2">
        <f>VLOOKUP($A743,'[2]App C Share Inflows'!$A$4:$I$917,6,FALSE)</f>
        <v>0</v>
      </c>
    </row>
    <row r="744" spans="1:39">
      <c r="A744" s="351">
        <v>98001</v>
      </c>
      <c r="B744" s="344" t="s">
        <v>1442</v>
      </c>
      <c r="C744" s="235" t="e">
        <f>VLOOKUP(A744,#REF!,10,FALSE)</f>
        <v>#REF!</v>
      </c>
      <c r="E744" s="2">
        <f>VLOOKUP($A744,'[2]App C Total'!$A$4:$I$917,5,FALSE)</f>
        <v>2654189</v>
      </c>
      <c r="F744" s="2">
        <f>VLOOKUP($A744,'[2]App C Total'!$A$4:$I$917,6,FALSE)</f>
        <v>860968</v>
      </c>
      <c r="G744" s="2">
        <f>VLOOKUP($A744,'[2]App C Total'!$A$4:$I$917,7,FALSE)</f>
        <v>1437607</v>
      </c>
      <c r="H744" s="2">
        <f>VLOOKUP($A744,'[2]App C Total'!$A$4:$I$917,8,FALSE)</f>
        <v>388620</v>
      </c>
      <c r="I744" s="2">
        <f>VLOOKUP($A744,'[2]App C Total'!$A$4:$I$917,9,FALSE)</f>
        <v>0</v>
      </c>
      <c r="J744" s="2"/>
      <c r="K744" s="2">
        <f>VLOOKUP($A744,'[2]App C Exp'!$A$4:$I$917,5,FALSE)</f>
        <v>796539</v>
      </c>
      <c r="L744" s="2">
        <f>VLOOKUP($A744,'[2]App C Exp'!$A$4:$I$917,6,FALSE)</f>
        <v>749286</v>
      </c>
      <c r="M744" s="2">
        <f>VLOOKUP($A744,'[2]App C Exp'!$A$4:$I$917,7,FALSE)</f>
        <v>671576</v>
      </c>
      <c r="N744" s="2">
        <f>VLOOKUP($A744,'[2]App C Exp'!$A$4:$I$917,8,FALSE)</f>
        <v>268891</v>
      </c>
      <c r="O744" s="2">
        <f>VLOOKUP($A744,'[2]App C Exp'!$A$4:$I$917,9,FALSE)</f>
        <v>0</v>
      </c>
      <c r="P744" s="2"/>
      <c r="Q744" s="2">
        <f>VLOOKUP($A744,'[2]App C Inv'!$A$4:$I$917,5,FALSE)</f>
        <v>845637</v>
      </c>
      <c r="R744" s="2">
        <f>VLOOKUP($A744,'[2]App C Inv'!$A$4:$I$917,6,FALSE)</f>
        <v>-727406</v>
      </c>
      <c r="S744" s="2">
        <f>VLOOKUP($A744,'[2]App C Inv'!$A$4:$I$917,7,FALSE)</f>
        <v>102519</v>
      </c>
      <c r="T744" s="2">
        <f>VLOOKUP($A744,'[2]App C Inv'!$A$4:$I$917,8,FALSE)</f>
        <v>133427</v>
      </c>
      <c r="U744" s="2">
        <f>VLOOKUP($A744,'[2]App C Inv'!$A$4:$I$917,9,FALSE)</f>
        <v>0</v>
      </c>
      <c r="V744" s="2"/>
      <c r="W744" s="2">
        <f>VLOOKUP($A744,'[2]App C Assum'!$A$4:$I$917,5,FALSE)</f>
        <v>952622</v>
      </c>
      <c r="X744" s="2">
        <f>VLOOKUP($A744,'[2]App C Assum'!$A$4:$I$917,6,FALSE)</f>
        <v>780423</v>
      </c>
      <c r="Y744" s="2">
        <f>VLOOKUP($A744,'[2]App C Assum'!$A$4:$I$917,7,FALSE)</f>
        <v>633570</v>
      </c>
      <c r="Z744" s="2">
        <f>VLOOKUP($A744,'[2]App C Assum'!$A$4:$I$917,8,FALSE)</f>
        <v>0</v>
      </c>
      <c r="AA744" s="2">
        <f>VLOOKUP($A744,'[2]App C Assum'!$A$4:$I$917,9,FALSE)</f>
        <v>0</v>
      </c>
      <c r="AB744" s="2"/>
      <c r="AC744" s="2">
        <f>VLOOKUP($A744,'[2]App C Share Outflows'!$A$4:$I$917,5,FALSE)</f>
        <v>73087</v>
      </c>
      <c r="AD744" s="2">
        <f>VLOOKUP($A744,'[2]App C Share Outflows'!$A$4:$I$917,6,FALSE)</f>
        <v>72361</v>
      </c>
      <c r="AE744" s="2">
        <f>VLOOKUP($A744,'[2]App C Share Outflows'!$A$4:$I$917,7,FALSE)</f>
        <v>43638</v>
      </c>
      <c r="AF744" s="2">
        <f>VLOOKUP($A744,'[2]App C Share Outflows'!$A$4:$I$917,8,FALSE)</f>
        <v>0</v>
      </c>
      <c r="AG744" s="2">
        <f>VLOOKUP($A744,'[2]App C Share Outflows'!$A$4:$I$917,9,FALSE)</f>
        <v>0</v>
      </c>
      <c r="AH744" s="2"/>
      <c r="AI744" s="2">
        <f>VLOOKUP($A744,'[2]App C Share Inflows'!$A$4:$I$917,5,FALSE)</f>
        <v>-13696</v>
      </c>
      <c r="AJ744" s="2">
        <f>VLOOKUP($A744,'[2]App C Share Inflows'!$A$4:$I$917,6,FALSE)</f>
        <v>-13696</v>
      </c>
      <c r="AK744" s="2">
        <f>VLOOKUP($A744,'[2]App C Share Inflows'!$A$4:$I$917,7,FALSE)</f>
        <v>-13696</v>
      </c>
      <c r="AL744" s="2">
        <f>VLOOKUP($A744,'[2]App C Share Inflows'!$A$4:$I$917,8,FALSE)</f>
        <v>-13698</v>
      </c>
      <c r="AM744" s="2">
        <f>VLOOKUP($A744,'[2]App C Share Inflows'!$A$4:$I$917,6,FALSE)</f>
        <v>-13696</v>
      </c>
    </row>
    <row r="745" spans="1:39">
      <c r="A745" s="351">
        <v>98002</v>
      </c>
      <c r="B745" s="344" t="s">
        <v>1443</v>
      </c>
      <c r="C745" s="235" t="e">
        <f>VLOOKUP(A745,#REF!,10,FALSE)</f>
        <v>#REF!</v>
      </c>
      <c r="E745" s="2">
        <f>VLOOKUP($A745,'[2]App C Total'!$A$4:$I$917,5,FALSE)</f>
        <v>3914</v>
      </c>
      <c r="F745" s="2">
        <f>VLOOKUP($A745,'[2]App C Total'!$A$4:$I$917,6,FALSE)</f>
        <v>1699</v>
      </c>
      <c r="G745" s="2">
        <f>VLOOKUP($A745,'[2]App C Total'!$A$4:$I$917,7,FALSE)</f>
        <v>2296</v>
      </c>
      <c r="H745" s="2">
        <f>VLOOKUP($A745,'[2]App C Total'!$A$4:$I$917,8,FALSE)</f>
        <v>848</v>
      </c>
      <c r="I745" s="2">
        <f>VLOOKUP($A745,'[2]App C Total'!$A$4:$I$917,9,FALSE)</f>
        <v>0</v>
      </c>
      <c r="J745" s="2"/>
      <c r="K745" s="2">
        <f>VLOOKUP($A745,'[2]App C Exp'!$A$4:$I$917,5,FALSE)</f>
        <v>929</v>
      </c>
      <c r="L745" s="2">
        <f>VLOOKUP($A745,'[2]App C Exp'!$A$4:$I$917,6,FALSE)</f>
        <v>874</v>
      </c>
      <c r="M745" s="2">
        <f>VLOOKUP($A745,'[2]App C Exp'!$A$4:$I$917,7,FALSE)</f>
        <v>783</v>
      </c>
      <c r="N745" s="2">
        <f>VLOOKUP($A745,'[2]App C Exp'!$A$4:$I$917,8,FALSE)</f>
        <v>314</v>
      </c>
      <c r="O745" s="2">
        <f>VLOOKUP($A745,'[2]App C Exp'!$A$4:$I$917,9,FALSE)</f>
        <v>0</v>
      </c>
      <c r="P745" s="2"/>
      <c r="Q745" s="2">
        <f>VLOOKUP($A745,'[2]App C Inv'!$A$4:$I$917,5,FALSE)</f>
        <v>986</v>
      </c>
      <c r="R745" s="2">
        <f>VLOOKUP($A745,'[2]App C Inv'!$A$4:$I$917,6,FALSE)</f>
        <v>-848</v>
      </c>
      <c r="S745" s="2">
        <f>VLOOKUP($A745,'[2]App C Inv'!$A$4:$I$917,7,FALSE)</f>
        <v>120</v>
      </c>
      <c r="T745" s="2">
        <f>VLOOKUP($A745,'[2]App C Inv'!$A$4:$I$917,8,FALSE)</f>
        <v>156</v>
      </c>
      <c r="U745" s="2">
        <f>VLOOKUP($A745,'[2]App C Inv'!$A$4:$I$917,9,FALSE)</f>
        <v>0</v>
      </c>
      <c r="V745" s="2"/>
      <c r="W745" s="2">
        <f>VLOOKUP($A745,'[2]App C Assum'!$A$4:$I$917,5,FALSE)</f>
        <v>1111</v>
      </c>
      <c r="X745" s="2">
        <f>VLOOKUP($A745,'[2]App C Assum'!$A$4:$I$917,6,FALSE)</f>
        <v>910</v>
      </c>
      <c r="Y745" s="2">
        <f>VLOOKUP($A745,'[2]App C Assum'!$A$4:$I$917,7,FALSE)</f>
        <v>739</v>
      </c>
      <c r="Z745" s="2">
        <f>VLOOKUP($A745,'[2]App C Assum'!$A$4:$I$917,8,FALSE)</f>
        <v>0</v>
      </c>
      <c r="AA745" s="2">
        <f>VLOOKUP($A745,'[2]App C Assum'!$A$4:$I$917,9,FALSE)</f>
        <v>0</v>
      </c>
      <c r="AB745" s="2"/>
      <c r="AC745" s="2">
        <f>VLOOKUP($A745,'[2]App C Share Outflows'!$A$4:$I$917,5,FALSE)</f>
        <v>888</v>
      </c>
      <c r="AD745" s="2">
        <f>VLOOKUP($A745,'[2]App C Share Outflows'!$A$4:$I$917,6,FALSE)</f>
        <v>763</v>
      </c>
      <c r="AE745" s="2">
        <f>VLOOKUP($A745,'[2]App C Share Outflows'!$A$4:$I$917,7,FALSE)</f>
        <v>654</v>
      </c>
      <c r="AF745" s="2">
        <f>VLOOKUP($A745,'[2]App C Share Outflows'!$A$4:$I$917,8,FALSE)</f>
        <v>378</v>
      </c>
      <c r="AG745" s="2">
        <f>VLOOKUP($A745,'[2]App C Share Outflows'!$A$4:$I$917,9,FALSE)</f>
        <v>0</v>
      </c>
      <c r="AH745" s="2"/>
      <c r="AI745" s="2">
        <f>VLOOKUP($A745,'[2]App C Share Inflows'!$A$4:$I$917,5,FALSE)</f>
        <v>0</v>
      </c>
      <c r="AJ745" s="2">
        <f>VLOOKUP($A745,'[2]App C Share Inflows'!$A$4:$I$917,6,FALSE)</f>
        <v>0</v>
      </c>
      <c r="AK745" s="2">
        <f>VLOOKUP($A745,'[2]App C Share Inflows'!$A$4:$I$917,7,FALSE)</f>
        <v>0</v>
      </c>
      <c r="AL745" s="2">
        <f>VLOOKUP($A745,'[2]App C Share Inflows'!$A$4:$I$917,8,FALSE)</f>
        <v>0</v>
      </c>
      <c r="AM745" s="2">
        <f>VLOOKUP($A745,'[2]App C Share Inflows'!$A$4:$I$917,6,FALSE)</f>
        <v>0</v>
      </c>
    </row>
    <row r="746" spans="1:39">
      <c r="A746" s="351">
        <v>98003</v>
      </c>
      <c r="B746" s="344" t="s">
        <v>3700</v>
      </c>
      <c r="C746" s="235" t="e">
        <f>VLOOKUP(A746,#REF!,10,FALSE)</f>
        <v>#REF!</v>
      </c>
      <c r="E746" s="2">
        <f>VLOOKUP($A746,'[2]App C Total'!$A$4:$I$917,5,FALSE)</f>
        <v>59347</v>
      </c>
      <c r="F746" s="2">
        <f>VLOOKUP($A746,'[2]App C Total'!$A$4:$I$917,6,FALSE)</f>
        <v>29494</v>
      </c>
      <c r="G746" s="2">
        <f>VLOOKUP($A746,'[2]App C Total'!$A$4:$I$917,7,FALSE)</f>
        <v>30997</v>
      </c>
      <c r="H746" s="2">
        <f>VLOOKUP($A746,'[2]App C Total'!$A$4:$I$917,8,FALSE)</f>
        <v>11283</v>
      </c>
      <c r="I746" s="2">
        <f>VLOOKUP($A746,'[2]App C Total'!$A$4:$I$917,9,FALSE)</f>
        <v>0</v>
      </c>
      <c r="J746" s="2"/>
      <c r="K746" s="2">
        <f>VLOOKUP($A746,'[2]App C Exp'!$A$4:$I$917,5,FALSE)</f>
        <v>10412</v>
      </c>
      <c r="L746" s="2">
        <f>VLOOKUP($A746,'[2]App C Exp'!$A$4:$I$917,6,FALSE)</f>
        <v>9794</v>
      </c>
      <c r="M746" s="2">
        <f>VLOOKUP($A746,'[2]App C Exp'!$A$4:$I$917,7,FALSE)</f>
        <v>8778</v>
      </c>
      <c r="N746" s="2">
        <f>VLOOKUP($A746,'[2]App C Exp'!$A$4:$I$917,8,FALSE)</f>
        <v>3515</v>
      </c>
      <c r="O746" s="2">
        <f>VLOOKUP($A746,'[2]App C Exp'!$A$4:$I$917,9,FALSE)</f>
        <v>0</v>
      </c>
      <c r="P746" s="2"/>
      <c r="Q746" s="2">
        <f>VLOOKUP($A746,'[2]App C Inv'!$A$4:$I$917,5,FALSE)</f>
        <v>11053</v>
      </c>
      <c r="R746" s="2">
        <f>VLOOKUP($A746,'[2]App C Inv'!$A$4:$I$917,6,FALSE)</f>
        <v>-9508</v>
      </c>
      <c r="S746" s="2">
        <f>VLOOKUP($A746,'[2]App C Inv'!$A$4:$I$917,7,FALSE)</f>
        <v>1340</v>
      </c>
      <c r="T746" s="2">
        <f>VLOOKUP($A746,'[2]App C Inv'!$A$4:$I$917,8,FALSE)</f>
        <v>1744</v>
      </c>
      <c r="U746" s="2">
        <f>VLOOKUP($A746,'[2]App C Inv'!$A$4:$I$917,9,FALSE)</f>
        <v>0</v>
      </c>
      <c r="V746" s="2"/>
      <c r="W746" s="2">
        <f>VLOOKUP($A746,'[2]App C Assum'!$A$4:$I$917,5,FALSE)</f>
        <v>12452</v>
      </c>
      <c r="X746" s="2">
        <f>VLOOKUP($A746,'[2]App C Assum'!$A$4:$I$917,6,FALSE)</f>
        <v>10201</v>
      </c>
      <c r="Y746" s="2">
        <f>VLOOKUP($A746,'[2]App C Assum'!$A$4:$I$917,7,FALSE)</f>
        <v>8281</v>
      </c>
      <c r="Z746" s="2">
        <f>VLOOKUP($A746,'[2]App C Assum'!$A$4:$I$917,8,FALSE)</f>
        <v>0</v>
      </c>
      <c r="AA746" s="2">
        <f>VLOOKUP($A746,'[2]App C Assum'!$A$4:$I$917,9,FALSE)</f>
        <v>0</v>
      </c>
      <c r="AB746" s="2"/>
      <c r="AC746" s="2">
        <f>VLOOKUP($A746,'[2]App C Share Outflows'!$A$4:$I$917,5,FALSE)</f>
        <v>25430</v>
      </c>
      <c r="AD746" s="2">
        <f>VLOOKUP($A746,'[2]App C Share Outflows'!$A$4:$I$917,6,FALSE)</f>
        <v>19007</v>
      </c>
      <c r="AE746" s="2">
        <f>VLOOKUP($A746,'[2]App C Share Outflows'!$A$4:$I$917,7,FALSE)</f>
        <v>12598</v>
      </c>
      <c r="AF746" s="2">
        <f>VLOOKUP($A746,'[2]App C Share Outflows'!$A$4:$I$917,8,FALSE)</f>
        <v>6024</v>
      </c>
      <c r="AG746" s="2">
        <f>VLOOKUP($A746,'[2]App C Share Outflows'!$A$4:$I$917,9,FALSE)</f>
        <v>0</v>
      </c>
      <c r="AH746" s="2"/>
      <c r="AI746" s="2">
        <f>VLOOKUP($A746,'[2]App C Share Inflows'!$A$4:$I$917,5,FALSE)</f>
        <v>0</v>
      </c>
      <c r="AJ746" s="2">
        <f>VLOOKUP($A746,'[2]App C Share Inflows'!$A$4:$I$917,6,FALSE)</f>
        <v>0</v>
      </c>
      <c r="AK746" s="2">
        <f>VLOOKUP($A746,'[2]App C Share Inflows'!$A$4:$I$917,7,FALSE)</f>
        <v>0</v>
      </c>
      <c r="AL746" s="2">
        <f>VLOOKUP($A746,'[2]App C Share Inflows'!$A$4:$I$917,8,FALSE)</f>
        <v>0</v>
      </c>
      <c r="AM746" s="2">
        <f>VLOOKUP($A746,'[2]App C Share Inflows'!$A$4:$I$917,6,FALSE)</f>
        <v>0</v>
      </c>
    </row>
    <row r="747" spans="1:39">
      <c r="A747" s="351">
        <v>98004</v>
      </c>
      <c r="B747" s="344" t="s">
        <v>1445</v>
      </c>
      <c r="C747" s="235" t="e">
        <f>VLOOKUP(A747,#REF!,10,FALSE)</f>
        <v>#REF!</v>
      </c>
      <c r="E747" s="2">
        <f>VLOOKUP($A747,'[2]App C Total'!$A$4:$I$917,5,FALSE)</f>
        <v>80345</v>
      </c>
      <c r="F747" s="2">
        <f>VLOOKUP($A747,'[2]App C Total'!$A$4:$I$917,6,FALSE)</f>
        <v>34865</v>
      </c>
      <c r="G747" s="2">
        <f>VLOOKUP($A747,'[2]App C Total'!$A$4:$I$917,7,FALSE)</f>
        <v>44828</v>
      </c>
      <c r="H747" s="2">
        <f>VLOOKUP($A747,'[2]App C Total'!$A$4:$I$917,8,FALSE)</f>
        <v>16274</v>
      </c>
      <c r="I747" s="2">
        <f>VLOOKUP($A747,'[2]App C Total'!$A$4:$I$917,9,FALSE)</f>
        <v>0</v>
      </c>
      <c r="J747" s="2"/>
      <c r="K747" s="2">
        <f>VLOOKUP($A747,'[2]App C Exp'!$A$4:$I$917,5,FALSE)</f>
        <v>18771</v>
      </c>
      <c r="L747" s="2">
        <f>VLOOKUP($A747,'[2]App C Exp'!$A$4:$I$917,6,FALSE)</f>
        <v>17657</v>
      </c>
      <c r="M747" s="2">
        <f>VLOOKUP($A747,'[2]App C Exp'!$A$4:$I$917,7,FALSE)</f>
        <v>15826</v>
      </c>
      <c r="N747" s="2">
        <f>VLOOKUP($A747,'[2]App C Exp'!$A$4:$I$917,8,FALSE)</f>
        <v>6337</v>
      </c>
      <c r="O747" s="2">
        <f>VLOOKUP($A747,'[2]App C Exp'!$A$4:$I$917,9,FALSE)</f>
        <v>0</v>
      </c>
      <c r="P747" s="2"/>
      <c r="Q747" s="2">
        <f>VLOOKUP($A747,'[2]App C Inv'!$A$4:$I$917,5,FALSE)</f>
        <v>19928</v>
      </c>
      <c r="R747" s="2">
        <f>VLOOKUP($A747,'[2]App C Inv'!$A$4:$I$917,6,FALSE)</f>
        <v>-17142</v>
      </c>
      <c r="S747" s="2">
        <f>VLOOKUP($A747,'[2]App C Inv'!$A$4:$I$917,7,FALSE)</f>
        <v>2416</v>
      </c>
      <c r="T747" s="2">
        <f>VLOOKUP($A747,'[2]App C Inv'!$A$4:$I$917,8,FALSE)</f>
        <v>3144</v>
      </c>
      <c r="U747" s="2">
        <f>VLOOKUP($A747,'[2]App C Inv'!$A$4:$I$917,9,FALSE)</f>
        <v>0</v>
      </c>
      <c r="V747" s="2"/>
      <c r="W747" s="2">
        <f>VLOOKUP($A747,'[2]App C Assum'!$A$4:$I$917,5,FALSE)</f>
        <v>22449</v>
      </c>
      <c r="X747" s="2">
        <f>VLOOKUP($A747,'[2]App C Assum'!$A$4:$I$917,6,FALSE)</f>
        <v>18391</v>
      </c>
      <c r="Y747" s="2">
        <f>VLOOKUP($A747,'[2]App C Assum'!$A$4:$I$917,7,FALSE)</f>
        <v>14930</v>
      </c>
      <c r="Z747" s="2">
        <f>VLOOKUP($A747,'[2]App C Assum'!$A$4:$I$917,8,FALSE)</f>
        <v>0</v>
      </c>
      <c r="AA747" s="2">
        <f>VLOOKUP($A747,'[2]App C Assum'!$A$4:$I$917,9,FALSE)</f>
        <v>0</v>
      </c>
      <c r="AB747" s="2"/>
      <c r="AC747" s="2">
        <f>VLOOKUP($A747,'[2]App C Share Outflows'!$A$4:$I$917,5,FALSE)</f>
        <v>19197</v>
      </c>
      <c r="AD747" s="2">
        <f>VLOOKUP($A747,'[2]App C Share Outflows'!$A$4:$I$917,6,FALSE)</f>
        <v>15959</v>
      </c>
      <c r="AE747" s="2">
        <f>VLOOKUP($A747,'[2]App C Share Outflows'!$A$4:$I$917,7,FALSE)</f>
        <v>11656</v>
      </c>
      <c r="AF747" s="2">
        <f>VLOOKUP($A747,'[2]App C Share Outflows'!$A$4:$I$917,8,FALSE)</f>
        <v>6793</v>
      </c>
      <c r="AG747" s="2">
        <f>VLOOKUP($A747,'[2]App C Share Outflows'!$A$4:$I$917,9,FALSE)</f>
        <v>0</v>
      </c>
      <c r="AH747" s="2"/>
      <c r="AI747" s="2">
        <f>VLOOKUP($A747,'[2]App C Share Inflows'!$A$4:$I$917,5,FALSE)</f>
        <v>0</v>
      </c>
      <c r="AJ747" s="2">
        <f>VLOOKUP($A747,'[2]App C Share Inflows'!$A$4:$I$917,6,FALSE)</f>
        <v>0</v>
      </c>
      <c r="AK747" s="2">
        <f>VLOOKUP($A747,'[2]App C Share Inflows'!$A$4:$I$917,7,FALSE)</f>
        <v>0</v>
      </c>
      <c r="AL747" s="2">
        <f>VLOOKUP($A747,'[2]App C Share Inflows'!$A$4:$I$917,8,FALSE)</f>
        <v>0</v>
      </c>
      <c r="AM747" s="2">
        <f>VLOOKUP($A747,'[2]App C Share Inflows'!$A$4:$I$917,6,FALSE)</f>
        <v>0</v>
      </c>
    </row>
    <row r="748" spans="1:39">
      <c r="A748" s="351">
        <v>98008</v>
      </c>
      <c r="B748" s="344" t="s">
        <v>3701</v>
      </c>
      <c r="C748" s="235" t="e">
        <f>VLOOKUP(A748,#REF!,10,FALSE)</f>
        <v>#REF!</v>
      </c>
      <c r="E748" s="2">
        <f>VLOOKUP($A748,'[2]App C Total'!$A$4:$I$917,5,FALSE)</f>
        <v>3284</v>
      </c>
      <c r="F748" s="2">
        <f>VLOOKUP($A748,'[2]App C Total'!$A$4:$I$917,6,FALSE)</f>
        <v>954</v>
      </c>
      <c r="G748" s="2">
        <f>VLOOKUP($A748,'[2]App C Total'!$A$4:$I$917,7,FALSE)</f>
        <v>1765</v>
      </c>
      <c r="H748" s="2">
        <f>VLOOKUP($A748,'[2]App C Total'!$A$4:$I$917,8,FALSE)</f>
        <v>465</v>
      </c>
      <c r="I748" s="2">
        <f>VLOOKUP($A748,'[2]App C Total'!$A$4:$I$917,9,FALSE)</f>
        <v>0</v>
      </c>
      <c r="J748" s="2"/>
      <c r="K748" s="2">
        <f>VLOOKUP($A748,'[2]App C Exp'!$A$4:$I$917,5,FALSE)</f>
        <v>1079</v>
      </c>
      <c r="L748" s="2">
        <f>VLOOKUP($A748,'[2]App C Exp'!$A$4:$I$917,6,FALSE)</f>
        <v>1015</v>
      </c>
      <c r="M748" s="2">
        <f>VLOOKUP($A748,'[2]App C Exp'!$A$4:$I$917,7,FALSE)</f>
        <v>909</v>
      </c>
      <c r="N748" s="2">
        <f>VLOOKUP($A748,'[2]App C Exp'!$A$4:$I$917,8,FALSE)</f>
        <v>364</v>
      </c>
      <c r="O748" s="2">
        <f>VLOOKUP($A748,'[2]App C Exp'!$A$4:$I$917,9,FALSE)</f>
        <v>0</v>
      </c>
      <c r="P748" s="2"/>
      <c r="Q748" s="2">
        <f>VLOOKUP($A748,'[2]App C Inv'!$A$4:$I$917,5,FALSE)</f>
        <v>1145</v>
      </c>
      <c r="R748" s="2">
        <f>VLOOKUP($A748,'[2]App C Inv'!$A$4:$I$917,6,FALSE)</f>
        <v>-985</v>
      </c>
      <c r="S748" s="2">
        <f>VLOOKUP($A748,'[2]App C Inv'!$A$4:$I$917,7,FALSE)</f>
        <v>139</v>
      </c>
      <c r="T748" s="2">
        <f>VLOOKUP($A748,'[2]App C Inv'!$A$4:$I$917,8,FALSE)</f>
        <v>181</v>
      </c>
      <c r="U748" s="2">
        <f>VLOOKUP($A748,'[2]App C Inv'!$A$4:$I$917,9,FALSE)</f>
        <v>0</v>
      </c>
      <c r="V748" s="2"/>
      <c r="W748" s="2">
        <f>VLOOKUP($A748,'[2]App C Assum'!$A$4:$I$917,5,FALSE)</f>
        <v>1290</v>
      </c>
      <c r="X748" s="2">
        <f>VLOOKUP($A748,'[2]App C Assum'!$A$4:$I$917,6,FALSE)</f>
        <v>1057</v>
      </c>
      <c r="Y748" s="2">
        <f>VLOOKUP($A748,'[2]App C Assum'!$A$4:$I$917,7,FALSE)</f>
        <v>858</v>
      </c>
      <c r="Z748" s="2">
        <f>VLOOKUP($A748,'[2]App C Assum'!$A$4:$I$917,8,FALSE)</f>
        <v>0</v>
      </c>
      <c r="AA748" s="2">
        <f>VLOOKUP($A748,'[2]App C Assum'!$A$4:$I$917,9,FALSE)</f>
        <v>0</v>
      </c>
      <c r="AB748" s="2"/>
      <c r="AC748" s="2">
        <f>VLOOKUP($A748,'[2]App C Share Outflows'!$A$4:$I$917,5,FALSE)</f>
        <v>6</v>
      </c>
      <c r="AD748" s="2">
        <f>VLOOKUP($A748,'[2]App C Share Outflows'!$A$4:$I$917,6,FALSE)</f>
        <v>8</v>
      </c>
      <c r="AE748" s="2">
        <f>VLOOKUP($A748,'[2]App C Share Outflows'!$A$4:$I$917,7,FALSE)</f>
        <v>0</v>
      </c>
      <c r="AF748" s="2">
        <f>VLOOKUP($A748,'[2]App C Share Outflows'!$A$4:$I$917,8,FALSE)</f>
        <v>0</v>
      </c>
      <c r="AG748" s="2">
        <f>VLOOKUP($A748,'[2]App C Share Outflows'!$A$4:$I$917,9,FALSE)</f>
        <v>0</v>
      </c>
      <c r="AH748" s="2"/>
      <c r="AI748" s="2">
        <f>VLOOKUP($A748,'[2]App C Share Inflows'!$A$4:$I$917,5,FALSE)</f>
        <v>-236</v>
      </c>
      <c r="AJ748" s="2">
        <f>VLOOKUP($A748,'[2]App C Share Inflows'!$A$4:$I$917,6,FALSE)</f>
        <v>-141</v>
      </c>
      <c r="AK748" s="2">
        <f>VLOOKUP($A748,'[2]App C Share Inflows'!$A$4:$I$917,7,FALSE)</f>
        <v>-141</v>
      </c>
      <c r="AL748" s="2">
        <f>VLOOKUP($A748,'[2]App C Share Inflows'!$A$4:$I$917,8,FALSE)</f>
        <v>-80</v>
      </c>
      <c r="AM748" s="2">
        <f>VLOOKUP($A748,'[2]App C Share Inflows'!$A$4:$I$917,6,FALSE)</f>
        <v>-141</v>
      </c>
    </row>
    <row r="749" spans="1:39">
      <c r="A749" s="351">
        <v>98011</v>
      </c>
      <c r="B749" s="344" t="s">
        <v>1447</v>
      </c>
      <c r="C749" s="235" t="e">
        <f>VLOOKUP(A749,#REF!,10,FALSE)</f>
        <v>#REF!</v>
      </c>
      <c r="E749" s="2">
        <f>VLOOKUP($A749,'[2]App C Total'!$A$4:$I$917,5,FALSE)</f>
        <v>1645808</v>
      </c>
      <c r="F749" s="2">
        <f>VLOOKUP($A749,'[2]App C Total'!$A$4:$I$917,6,FALSE)</f>
        <v>542164</v>
      </c>
      <c r="G749" s="2">
        <f>VLOOKUP($A749,'[2]App C Total'!$A$4:$I$917,7,FALSE)</f>
        <v>942646</v>
      </c>
      <c r="H749" s="2">
        <f>VLOOKUP($A749,'[2]App C Total'!$A$4:$I$917,8,FALSE)</f>
        <v>269777</v>
      </c>
      <c r="I749" s="2">
        <f>VLOOKUP($A749,'[2]App C Total'!$A$4:$I$917,9,FALSE)</f>
        <v>0</v>
      </c>
      <c r="J749" s="2"/>
      <c r="K749" s="2">
        <f>VLOOKUP($A749,'[2]App C Exp'!$A$4:$I$917,5,FALSE)</f>
        <v>517014</v>
      </c>
      <c r="L749" s="2">
        <f>VLOOKUP($A749,'[2]App C Exp'!$A$4:$I$917,6,FALSE)</f>
        <v>486343</v>
      </c>
      <c r="M749" s="2">
        <f>VLOOKUP($A749,'[2]App C Exp'!$A$4:$I$917,7,FALSE)</f>
        <v>435904</v>
      </c>
      <c r="N749" s="2">
        <f>VLOOKUP($A749,'[2]App C Exp'!$A$4:$I$917,8,FALSE)</f>
        <v>174531</v>
      </c>
      <c r="O749" s="2">
        <f>VLOOKUP($A749,'[2]App C Exp'!$A$4:$I$917,9,FALSE)</f>
        <v>0</v>
      </c>
      <c r="P749" s="2"/>
      <c r="Q749" s="2">
        <f>VLOOKUP($A749,'[2]App C Inv'!$A$4:$I$917,5,FALSE)</f>
        <v>548882</v>
      </c>
      <c r="R749" s="2">
        <f>VLOOKUP($A749,'[2]App C Inv'!$A$4:$I$917,6,FALSE)</f>
        <v>-472141</v>
      </c>
      <c r="S749" s="2">
        <f>VLOOKUP($A749,'[2]App C Inv'!$A$4:$I$917,7,FALSE)</f>
        <v>66543</v>
      </c>
      <c r="T749" s="2">
        <f>VLOOKUP($A749,'[2]App C Inv'!$A$4:$I$917,8,FALSE)</f>
        <v>86604</v>
      </c>
      <c r="U749" s="2">
        <f>VLOOKUP($A749,'[2]App C Inv'!$A$4:$I$917,9,FALSE)</f>
        <v>0</v>
      </c>
      <c r="V749" s="2"/>
      <c r="W749" s="2">
        <f>VLOOKUP($A749,'[2]App C Assum'!$A$4:$I$917,5,FALSE)</f>
        <v>618324</v>
      </c>
      <c r="X749" s="2">
        <f>VLOOKUP($A749,'[2]App C Assum'!$A$4:$I$917,6,FALSE)</f>
        <v>506553</v>
      </c>
      <c r="Y749" s="2">
        <f>VLOOKUP($A749,'[2]App C Assum'!$A$4:$I$917,7,FALSE)</f>
        <v>411235</v>
      </c>
      <c r="Z749" s="2">
        <f>VLOOKUP($A749,'[2]App C Assum'!$A$4:$I$917,8,FALSE)</f>
        <v>0</v>
      </c>
      <c r="AA749" s="2">
        <f>VLOOKUP($A749,'[2]App C Assum'!$A$4:$I$917,9,FALSE)</f>
        <v>0</v>
      </c>
      <c r="AB749" s="2"/>
      <c r="AC749" s="2">
        <f>VLOOKUP($A749,'[2]App C Share Outflows'!$A$4:$I$917,5,FALSE)</f>
        <v>28962</v>
      </c>
      <c r="AD749" s="2">
        <f>VLOOKUP($A749,'[2]App C Share Outflows'!$A$4:$I$917,6,FALSE)</f>
        <v>28962</v>
      </c>
      <c r="AE749" s="2">
        <f>VLOOKUP($A749,'[2]App C Share Outflows'!$A$4:$I$917,7,FALSE)</f>
        <v>28964</v>
      </c>
      <c r="AF749" s="2">
        <f>VLOOKUP($A749,'[2]App C Share Outflows'!$A$4:$I$917,8,FALSE)</f>
        <v>8642</v>
      </c>
      <c r="AG749" s="2">
        <f>VLOOKUP($A749,'[2]App C Share Outflows'!$A$4:$I$917,9,FALSE)</f>
        <v>0</v>
      </c>
      <c r="AH749" s="2"/>
      <c r="AI749" s="2">
        <f>VLOOKUP($A749,'[2]App C Share Inflows'!$A$4:$I$917,5,FALSE)</f>
        <v>-67374</v>
      </c>
      <c r="AJ749" s="2">
        <f>VLOOKUP($A749,'[2]App C Share Inflows'!$A$4:$I$917,6,FALSE)</f>
        <v>-7553</v>
      </c>
      <c r="AK749" s="2">
        <f>VLOOKUP($A749,'[2]App C Share Inflows'!$A$4:$I$917,7,FALSE)</f>
        <v>0</v>
      </c>
      <c r="AL749" s="2">
        <f>VLOOKUP($A749,'[2]App C Share Inflows'!$A$4:$I$917,8,FALSE)</f>
        <v>0</v>
      </c>
      <c r="AM749" s="2">
        <f>VLOOKUP($A749,'[2]App C Share Inflows'!$A$4:$I$917,6,FALSE)</f>
        <v>-7553</v>
      </c>
    </row>
    <row r="750" spans="1:39">
      <c r="A750" s="351">
        <v>98013</v>
      </c>
      <c r="B750" s="344" t="s">
        <v>3702</v>
      </c>
      <c r="C750" s="235" t="e">
        <f>VLOOKUP(A750,#REF!,10,FALSE)</f>
        <v>#REF!</v>
      </c>
      <c r="E750" s="2">
        <f>VLOOKUP($A750,'[2]App C Total'!$A$4:$I$917,5,FALSE)</f>
        <v>124479</v>
      </c>
      <c r="F750" s="2">
        <f>VLOOKUP($A750,'[2]App C Total'!$A$4:$I$917,6,FALSE)</f>
        <v>65264</v>
      </c>
      <c r="G750" s="2">
        <f>VLOOKUP($A750,'[2]App C Total'!$A$4:$I$917,7,FALSE)</f>
        <v>66664</v>
      </c>
      <c r="H750" s="2">
        <f>VLOOKUP($A750,'[2]App C Total'!$A$4:$I$917,8,FALSE)</f>
        <v>26285</v>
      </c>
      <c r="I750" s="2">
        <f>VLOOKUP($A750,'[2]App C Total'!$A$4:$I$917,9,FALSE)</f>
        <v>0</v>
      </c>
      <c r="J750" s="2"/>
      <c r="K750" s="2">
        <f>VLOOKUP($A750,'[2]App C Exp'!$A$4:$I$917,5,FALSE)</f>
        <v>20958</v>
      </c>
      <c r="L750" s="2">
        <f>VLOOKUP($A750,'[2]App C Exp'!$A$4:$I$917,6,FALSE)</f>
        <v>19715</v>
      </c>
      <c r="M750" s="2">
        <f>VLOOKUP($A750,'[2]App C Exp'!$A$4:$I$917,7,FALSE)</f>
        <v>17670</v>
      </c>
      <c r="N750" s="2">
        <f>VLOOKUP($A750,'[2]App C Exp'!$A$4:$I$917,8,FALSE)</f>
        <v>7075</v>
      </c>
      <c r="O750" s="2">
        <f>VLOOKUP($A750,'[2]App C Exp'!$A$4:$I$917,9,FALSE)</f>
        <v>0</v>
      </c>
      <c r="P750" s="2"/>
      <c r="Q750" s="2">
        <f>VLOOKUP($A750,'[2]App C Inv'!$A$4:$I$917,5,FALSE)</f>
        <v>22250</v>
      </c>
      <c r="R750" s="2">
        <f>VLOOKUP($A750,'[2]App C Inv'!$A$4:$I$917,6,FALSE)</f>
        <v>-19139</v>
      </c>
      <c r="S750" s="2">
        <f>VLOOKUP($A750,'[2]App C Inv'!$A$4:$I$917,7,FALSE)</f>
        <v>2697</v>
      </c>
      <c r="T750" s="2">
        <f>VLOOKUP($A750,'[2]App C Inv'!$A$4:$I$917,8,FALSE)</f>
        <v>3511</v>
      </c>
      <c r="U750" s="2">
        <f>VLOOKUP($A750,'[2]App C Inv'!$A$4:$I$917,9,FALSE)</f>
        <v>0</v>
      </c>
      <c r="V750" s="2"/>
      <c r="W750" s="2">
        <f>VLOOKUP($A750,'[2]App C Assum'!$A$4:$I$917,5,FALSE)</f>
        <v>25065</v>
      </c>
      <c r="X750" s="2">
        <f>VLOOKUP($A750,'[2]App C Assum'!$A$4:$I$917,6,FALSE)</f>
        <v>20534</v>
      </c>
      <c r="Y750" s="2">
        <f>VLOOKUP($A750,'[2]App C Assum'!$A$4:$I$917,7,FALSE)</f>
        <v>16670</v>
      </c>
      <c r="Z750" s="2">
        <f>VLOOKUP($A750,'[2]App C Assum'!$A$4:$I$917,8,FALSE)</f>
        <v>0</v>
      </c>
      <c r="AA750" s="2">
        <f>VLOOKUP($A750,'[2]App C Assum'!$A$4:$I$917,9,FALSE)</f>
        <v>0</v>
      </c>
      <c r="AB750" s="2"/>
      <c r="AC750" s="2">
        <f>VLOOKUP($A750,'[2]App C Share Outflows'!$A$4:$I$917,5,FALSE)</f>
        <v>56206</v>
      </c>
      <c r="AD750" s="2">
        <f>VLOOKUP($A750,'[2]App C Share Outflows'!$A$4:$I$917,6,FALSE)</f>
        <v>44154</v>
      </c>
      <c r="AE750" s="2">
        <f>VLOOKUP($A750,'[2]App C Share Outflows'!$A$4:$I$917,7,FALSE)</f>
        <v>29627</v>
      </c>
      <c r="AF750" s="2">
        <f>VLOOKUP($A750,'[2]App C Share Outflows'!$A$4:$I$917,8,FALSE)</f>
        <v>15699</v>
      </c>
      <c r="AG750" s="2">
        <f>VLOOKUP($A750,'[2]App C Share Outflows'!$A$4:$I$917,9,FALSE)</f>
        <v>0</v>
      </c>
      <c r="AH750" s="2"/>
      <c r="AI750" s="2">
        <f>VLOOKUP($A750,'[2]App C Share Inflows'!$A$4:$I$917,5,FALSE)</f>
        <v>0</v>
      </c>
      <c r="AJ750" s="2">
        <f>VLOOKUP($A750,'[2]App C Share Inflows'!$A$4:$I$917,6,FALSE)</f>
        <v>0</v>
      </c>
      <c r="AK750" s="2">
        <f>VLOOKUP($A750,'[2]App C Share Inflows'!$A$4:$I$917,7,FALSE)</f>
        <v>0</v>
      </c>
      <c r="AL750" s="2">
        <f>VLOOKUP($A750,'[2]App C Share Inflows'!$A$4:$I$917,8,FALSE)</f>
        <v>0</v>
      </c>
      <c r="AM750" s="2">
        <f>VLOOKUP($A750,'[2]App C Share Inflows'!$A$4:$I$917,6,FALSE)</f>
        <v>0</v>
      </c>
    </row>
    <row r="751" spans="1:39">
      <c r="A751" s="351">
        <v>98021</v>
      </c>
      <c r="B751" s="344" t="s">
        <v>1449</v>
      </c>
      <c r="C751" s="235" t="e">
        <f>VLOOKUP(A751,#REF!,10,FALSE)</f>
        <v>#REF!</v>
      </c>
      <c r="E751" s="2">
        <f>VLOOKUP($A751,'[2]App C Total'!$A$4:$I$917,5,FALSE)</f>
        <v>15491</v>
      </c>
      <c r="F751" s="2">
        <f>VLOOKUP($A751,'[2]App C Total'!$A$4:$I$917,6,FALSE)</f>
        <v>1545</v>
      </c>
      <c r="G751" s="2">
        <f>VLOOKUP($A751,'[2]App C Total'!$A$4:$I$917,7,FALSE)</f>
        <v>6721</v>
      </c>
      <c r="H751" s="2">
        <f>VLOOKUP($A751,'[2]App C Total'!$A$4:$I$917,8,FALSE)</f>
        <v>5742</v>
      </c>
      <c r="I751" s="2">
        <f>VLOOKUP($A751,'[2]App C Total'!$A$4:$I$917,9,FALSE)</f>
        <v>0</v>
      </c>
      <c r="J751" s="2"/>
      <c r="K751" s="2">
        <f>VLOOKUP($A751,'[2]App C Exp'!$A$4:$I$917,5,FALSE)</f>
        <v>6352</v>
      </c>
      <c r="L751" s="2">
        <f>VLOOKUP($A751,'[2]App C Exp'!$A$4:$I$917,6,FALSE)</f>
        <v>5975</v>
      </c>
      <c r="M751" s="2">
        <f>VLOOKUP($A751,'[2]App C Exp'!$A$4:$I$917,7,FALSE)</f>
        <v>5355</v>
      </c>
      <c r="N751" s="2">
        <f>VLOOKUP($A751,'[2]App C Exp'!$A$4:$I$917,8,FALSE)</f>
        <v>2144</v>
      </c>
      <c r="O751" s="2">
        <f>VLOOKUP($A751,'[2]App C Exp'!$A$4:$I$917,9,FALSE)</f>
        <v>0</v>
      </c>
      <c r="P751" s="2"/>
      <c r="Q751" s="2">
        <f>VLOOKUP($A751,'[2]App C Inv'!$A$4:$I$917,5,FALSE)</f>
        <v>6743</v>
      </c>
      <c r="R751" s="2">
        <f>VLOOKUP($A751,'[2]App C Inv'!$A$4:$I$917,6,FALSE)</f>
        <v>-5801</v>
      </c>
      <c r="S751" s="2">
        <f>VLOOKUP($A751,'[2]App C Inv'!$A$4:$I$917,7,FALSE)</f>
        <v>818</v>
      </c>
      <c r="T751" s="2">
        <f>VLOOKUP($A751,'[2]App C Inv'!$A$4:$I$917,8,FALSE)</f>
        <v>1064</v>
      </c>
      <c r="U751" s="2">
        <f>VLOOKUP($A751,'[2]App C Inv'!$A$4:$I$917,9,FALSE)</f>
        <v>0</v>
      </c>
      <c r="V751" s="2"/>
      <c r="W751" s="2">
        <f>VLOOKUP($A751,'[2]App C Assum'!$A$4:$I$917,5,FALSE)</f>
        <v>7596</v>
      </c>
      <c r="X751" s="2">
        <f>VLOOKUP($A751,'[2]App C Assum'!$A$4:$I$917,6,FALSE)</f>
        <v>6223</v>
      </c>
      <c r="Y751" s="2">
        <f>VLOOKUP($A751,'[2]App C Assum'!$A$4:$I$917,7,FALSE)</f>
        <v>5052</v>
      </c>
      <c r="Z751" s="2">
        <f>VLOOKUP($A751,'[2]App C Assum'!$A$4:$I$917,8,FALSE)</f>
        <v>0</v>
      </c>
      <c r="AA751" s="2">
        <f>VLOOKUP($A751,'[2]App C Assum'!$A$4:$I$917,9,FALSE)</f>
        <v>0</v>
      </c>
      <c r="AB751" s="2"/>
      <c r="AC751" s="2">
        <f>VLOOKUP($A751,'[2]App C Share Outflows'!$A$4:$I$917,5,FALSE)</f>
        <v>2535</v>
      </c>
      <c r="AD751" s="2">
        <f>VLOOKUP($A751,'[2]App C Share Outflows'!$A$4:$I$917,6,FALSE)</f>
        <v>2535</v>
      </c>
      <c r="AE751" s="2">
        <f>VLOOKUP($A751,'[2]App C Share Outflows'!$A$4:$I$917,7,FALSE)</f>
        <v>2535</v>
      </c>
      <c r="AF751" s="2">
        <f>VLOOKUP($A751,'[2]App C Share Outflows'!$A$4:$I$917,8,FALSE)</f>
        <v>2534</v>
      </c>
      <c r="AG751" s="2">
        <f>VLOOKUP($A751,'[2]App C Share Outflows'!$A$4:$I$917,9,FALSE)</f>
        <v>0</v>
      </c>
      <c r="AH751" s="2"/>
      <c r="AI751" s="2">
        <f>VLOOKUP($A751,'[2]App C Share Inflows'!$A$4:$I$917,5,FALSE)</f>
        <v>-7735</v>
      </c>
      <c r="AJ751" s="2">
        <f>VLOOKUP($A751,'[2]App C Share Inflows'!$A$4:$I$917,6,FALSE)</f>
        <v>-7387</v>
      </c>
      <c r="AK751" s="2">
        <f>VLOOKUP($A751,'[2]App C Share Inflows'!$A$4:$I$917,7,FALSE)</f>
        <v>-7039</v>
      </c>
      <c r="AL751" s="2">
        <f>VLOOKUP($A751,'[2]App C Share Inflows'!$A$4:$I$917,8,FALSE)</f>
        <v>0</v>
      </c>
      <c r="AM751" s="2">
        <f>VLOOKUP($A751,'[2]App C Share Inflows'!$A$4:$I$917,6,FALSE)</f>
        <v>-7387</v>
      </c>
    </row>
    <row r="752" spans="1:39">
      <c r="A752" s="351">
        <v>98023</v>
      </c>
      <c r="B752" s="344" t="s">
        <v>1450</v>
      </c>
      <c r="C752" s="235" t="e">
        <f>VLOOKUP(A752,#REF!,10,FALSE)</f>
        <v>#REF!</v>
      </c>
      <c r="E752" s="2">
        <f>VLOOKUP($A752,'[2]App C Total'!$A$4:$I$917,5,FALSE)</f>
        <v>1780</v>
      </c>
      <c r="F752" s="2">
        <f>VLOOKUP($A752,'[2]App C Total'!$A$4:$I$917,6,FALSE)</f>
        <v>-384</v>
      </c>
      <c r="G752" s="2">
        <f>VLOOKUP($A752,'[2]App C Total'!$A$4:$I$917,7,FALSE)</f>
        <v>592</v>
      </c>
      <c r="H752" s="2">
        <f>VLOOKUP($A752,'[2]App C Total'!$A$4:$I$917,8,FALSE)</f>
        <v>-1480</v>
      </c>
      <c r="I752" s="2">
        <f>VLOOKUP($A752,'[2]App C Total'!$A$4:$I$917,9,FALSE)</f>
        <v>0</v>
      </c>
      <c r="J752" s="2"/>
      <c r="K752" s="2">
        <f>VLOOKUP($A752,'[2]App C Exp'!$A$4:$I$917,5,FALSE)</f>
        <v>1318</v>
      </c>
      <c r="L752" s="2">
        <f>VLOOKUP($A752,'[2]App C Exp'!$A$4:$I$917,6,FALSE)</f>
        <v>1240</v>
      </c>
      <c r="M752" s="2">
        <f>VLOOKUP($A752,'[2]App C Exp'!$A$4:$I$917,7,FALSE)</f>
        <v>1111</v>
      </c>
      <c r="N752" s="2">
        <f>VLOOKUP($A752,'[2]App C Exp'!$A$4:$I$917,8,FALSE)</f>
        <v>445</v>
      </c>
      <c r="O752" s="2">
        <f>VLOOKUP($A752,'[2]App C Exp'!$A$4:$I$917,9,FALSE)</f>
        <v>0</v>
      </c>
      <c r="P752" s="2"/>
      <c r="Q752" s="2">
        <f>VLOOKUP($A752,'[2]App C Inv'!$A$4:$I$917,5,FALSE)</f>
        <v>1400</v>
      </c>
      <c r="R752" s="2">
        <f>VLOOKUP($A752,'[2]App C Inv'!$A$4:$I$917,6,FALSE)</f>
        <v>-1204</v>
      </c>
      <c r="S752" s="2">
        <f>VLOOKUP($A752,'[2]App C Inv'!$A$4:$I$917,7,FALSE)</f>
        <v>170</v>
      </c>
      <c r="T752" s="2">
        <f>VLOOKUP($A752,'[2]App C Inv'!$A$4:$I$917,8,FALSE)</f>
        <v>221</v>
      </c>
      <c r="U752" s="2">
        <f>VLOOKUP($A752,'[2]App C Inv'!$A$4:$I$917,9,FALSE)</f>
        <v>0</v>
      </c>
      <c r="V752" s="2"/>
      <c r="W752" s="2">
        <f>VLOOKUP($A752,'[2]App C Assum'!$A$4:$I$917,5,FALSE)</f>
        <v>1577</v>
      </c>
      <c r="X752" s="2">
        <f>VLOOKUP($A752,'[2]App C Assum'!$A$4:$I$917,6,FALSE)</f>
        <v>1292</v>
      </c>
      <c r="Y752" s="2">
        <f>VLOOKUP($A752,'[2]App C Assum'!$A$4:$I$917,7,FALSE)</f>
        <v>1049</v>
      </c>
      <c r="Z752" s="2">
        <f>VLOOKUP($A752,'[2]App C Assum'!$A$4:$I$917,8,FALSE)</f>
        <v>0</v>
      </c>
      <c r="AA752" s="2">
        <f>VLOOKUP($A752,'[2]App C Assum'!$A$4:$I$917,9,FALSE)</f>
        <v>0</v>
      </c>
      <c r="AB752" s="2"/>
      <c r="AC752" s="2">
        <f>VLOOKUP($A752,'[2]App C Share Outflows'!$A$4:$I$917,5,FALSE)</f>
        <v>431</v>
      </c>
      <c r="AD752" s="2">
        <f>VLOOKUP($A752,'[2]App C Share Outflows'!$A$4:$I$917,6,FALSE)</f>
        <v>432</v>
      </c>
      <c r="AE752" s="2">
        <f>VLOOKUP($A752,'[2]App C Share Outflows'!$A$4:$I$917,7,FALSE)</f>
        <v>406</v>
      </c>
      <c r="AF752" s="2">
        <f>VLOOKUP($A752,'[2]App C Share Outflows'!$A$4:$I$917,8,FALSE)</f>
        <v>0</v>
      </c>
      <c r="AG752" s="2">
        <f>VLOOKUP($A752,'[2]App C Share Outflows'!$A$4:$I$917,9,FALSE)</f>
        <v>0</v>
      </c>
      <c r="AH752" s="2"/>
      <c r="AI752" s="2">
        <f>VLOOKUP($A752,'[2]App C Share Inflows'!$A$4:$I$917,5,FALSE)</f>
        <v>-2946</v>
      </c>
      <c r="AJ752" s="2">
        <f>VLOOKUP($A752,'[2]App C Share Inflows'!$A$4:$I$917,6,FALSE)</f>
        <v>-2144</v>
      </c>
      <c r="AK752" s="2">
        <f>VLOOKUP($A752,'[2]App C Share Inflows'!$A$4:$I$917,7,FALSE)</f>
        <v>-2144</v>
      </c>
      <c r="AL752" s="2">
        <f>VLOOKUP($A752,'[2]App C Share Inflows'!$A$4:$I$917,8,FALSE)</f>
        <v>-2146</v>
      </c>
      <c r="AM752" s="2">
        <f>VLOOKUP($A752,'[2]App C Share Inflows'!$A$4:$I$917,6,FALSE)</f>
        <v>-2144</v>
      </c>
    </row>
    <row r="753" spans="1:39">
      <c r="A753" s="351">
        <v>98031</v>
      </c>
      <c r="B753" s="344" t="s">
        <v>1451</v>
      </c>
      <c r="C753" s="235" t="e">
        <f>VLOOKUP(A753,#REF!,10,FALSE)</f>
        <v>#REF!</v>
      </c>
      <c r="E753" s="2">
        <f>VLOOKUP($A753,'[2]App C Total'!$A$4:$I$917,5,FALSE)</f>
        <v>69400</v>
      </c>
      <c r="F753" s="2">
        <f>VLOOKUP($A753,'[2]App C Total'!$A$4:$I$917,6,FALSE)</f>
        <v>18719</v>
      </c>
      <c r="G753" s="2">
        <f>VLOOKUP($A753,'[2]App C Total'!$A$4:$I$917,7,FALSE)</f>
        <v>37097</v>
      </c>
      <c r="H753" s="2">
        <f>VLOOKUP($A753,'[2]App C Total'!$A$4:$I$917,8,FALSE)</f>
        <v>6668</v>
      </c>
      <c r="I753" s="2">
        <f>VLOOKUP($A753,'[2]App C Total'!$A$4:$I$917,9,FALSE)</f>
        <v>0</v>
      </c>
      <c r="J753" s="2"/>
      <c r="K753" s="2">
        <f>VLOOKUP($A753,'[2]App C Exp'!$A$4:$I$917,5,FALSE)</f>
        <v>23085</v>
      </c>
      <c r="L753" s="2">
        <f>VLOOKUP($A753,'[2]App C Exp'!$A$4:$I$917,6,FALSE)</f>
        <v>21716</v>
      </c>
      <c r="M753" s="2">
        <f>VLOOKUP($A753,'[2]App C Exp'!$A$4:$I$917,7,FALSE)</f>
        <v>19464</v>
      </c>
      <c r="N753" s="2">
        <f>VLOOKUP($A753,'[2]App C Exp'!$A$4:$I$917,8,FALSE)</f>
        <v>7793</v>
      </c>
      <c r="O753" s="2">
        <f>VLOOKUP($A753,'[2]App C Exp'!$A$4:$I$917,9,FALSE)</f>
        <v>0</v>
      </c>
      <c r="P753" s="2"/>
      <c r="Q753" s="2">
        <f>VLOOKUP($A753,'[2]App C Inv'!$A$4:$I$917,5,FALSE)</f>
        <v>24508</v>
      </c>
      <c r="R753" s="2">
        <f>VLOOKUP($A753,'[2]App C Inv'!$A$4:$I$917,6,FALSE)</f>
        <v>-21082</v>
      </c>
      <c r="S753" s="2">
        <f>VLOOKUP($A753,'[2]App C Inv'!$A$4:$I$917,7,FALSE)</f>
        <v>2971</v>
      </c>
      <c r="T753" s="2">
        <f>VLOOKUP($A753,'[2]App C Inv'!$A$4:$I$917,8,FALSE)</f>
        <v>3867</v>
      </c>
      <c r="U753" s="2">
        <f>VLOOKUP($A753,'[2]App C Inv'!$A$4:$I$917,9,FALSE)</f>
        <v>0</v>
      </c>
      <c r="V753" s="2"/>
      <c r="W753" s="2">
        <f>VLOOKUP($A753,'[2]App C Assum'!$A$4:$I$917,5,FALSE)</f>
        <v>27609</v>
      </c>
      <c r="X753" s="2">
        <f>VLOOKUP($A753,'[2]App C Assum'!$A$4:$I$917,6,FALSE)</f>
        <v>22618</v>
      </c>
      <c r="Y753" s="2">
        <f>VLOOKUP($A753,'[2]App C Assum'!$A$4:$I$917,7,FALSE)</f>
        <v>18362</v>
      </c>
      <c r="Z753" s="2">
        <f>VLOOKUP($A753,'[2]App C Assum'!$A$4:$I$917,8,FALSE)</f>
        <v>0</v>
      </c>
      <c r="AA753" s="2">
        <f>VLOOKUP($A753,'[2]App C Assum'!$A$4:$I$917,9,FALSE)</f>
        <v>0</v>
      </c>
      <c r="AB753" s="2"/>
      <c r="AC753" s="2">
        <f>VLOOKUP($A753,'[2]App C Share Outflows'!$A$4:$I$917,5,FALSE)</f>
        <v>1293</v>
      </c>
      <c r="AD753" s="2">
        <f>VLOOKUP($A753,'[2]App C Share Outflows'!$A$4:$I$917,6,FALSE)</f>
        <v>1293</v>
      </c>
      <c r="AE753" s="2">
        <f>VLOOKUP($A753,'[2]App C Share Outflows'!$A$4:$I$917,7,FALSE)</f>
        <v>1292</v>
      </c>
      <c r="AF753" s="2">
        <f>VLOOKUP($A753,'[2]App C Share Outflows'!$A$4:$I$917,8,FALSE)</f>
        <v>0</v>
      </c>
      <c r="AG753" s="2">
        <f>VLOOKUP($A753,'[2]App C Share Outflows'!$A$4:$I$917,9,FALSE)</f>
        <v>0</v>
      </c>
      <c r="AH753" s="2"/>
      <c r="AI753" s="2">
        <f>VLOOKUP($A753,'[2]App C Share Inflows'!$A$4:$I$917,5,FALSE)</f>
        <v>-7095</v>
      </c>
      <c r="AJ753" s="2">
        <f>VLOOKUP($A753,'[2]App C Share Inflows'!$A$4:$I$917,6,FALSE)</f>
        <v>-5826</v>
      </c>
      <c r="AK753" s="2">
        <f>VLOOKUP($A753,'[2]App C Share Inflows'!$A$4:$I$917,7,FALSE)</f>
        <v>-4992</v>
      </c>
      <c r="AL753" s="2">
        <f>VLOOKUP($A753,'[2]App C Share Inflows'!$A$4:$I$917,8,FALSE)</f>
        <v>-4992</v>
      </c>
      <c r="AM753" s="2">
        <f>VLOOKUP($A753,'[2]App C Share Inflows'!$A$4:$I$917,6,FALSE)</f>
        <v>-5826</v>
      </c>
    </row>
    <row r="754" spans="1:39">
      <c r="A754" s="351">
        <v>98041</v>
      </c>
      <c r="B754" s="344" t="s">
        <v>1452</v>
      </c>
      <c r="C754" s="235" t="e">
        <f>VLOOKUP(A754,#REF!,10,FALSE)</f>
        <v>#REF!</v>
      </c>
      <c r="E754" s="2">
        <f>VLOOKUP($A754,'[2]App C Total'!$A$4:$I$917,5,FALSE)</f>
        <v>121794</v>
      </c>
      <c r="F754" s="2">
        <f>VLOOKUP($A754,'[2]App C Total'!$A$4:$I$917,6,FALSE)</f>
        <v>40714</v>
      </c>
      <c r="G754" s="2">
        <f>VLOOKUP($A754,'[2]App C Total'!$A$4:$I$917,7,FALSE)</f>
        <v>64624</v>
      </c>
      <c r="H754" s="2">
        <f>VLOOKUP($A754,'[2]App C Total'!$A$4:$I$917,8,FALSE)</f>
        <v>17196</v>
      </c>
      <c r="I754" s="2">
        <f>VLOOKUP($A754,'[2]App C Total'!$A$4:$I$917,9,FALSE)</f>
        <v>0</v>
      </c>
      <c r="J754" s="2"/>
      <c r="K754" s="2">
        <f>VLOOKUP($A754,'[2]App C Exp'!$A$4:$I$917,5,FALSE)</f>
        <v>35295</v>
      </c>
      <c r="L754" s="2">
        <f>VLOOKUP($A754,'[2]App C Exp'!$A$4:$I$917,6,FALSE)</f>
        <v>33201</v>
      </c>
      <c r="M754" s="2">
        <f>VLOOKUP($A754,'[2]App C Exp'!$A$4:$I$917,7,FALSE)</f>
        <v>29757</v>
      </c>
      <c r="N754" s="2">
        <f>VLOOKUP($A754,'[2]App C Exp'!$A$4:$I$917,8,FALSE)</f>
        <v>11915</v>
      </c>
      <c r="O754" s="2">
        <f>VLOOKUP($A754,'[2]App C Exp'!$A$4:$I$917,9,FALSE)</f>
        <v>0</v>
      </c>
      <c r="P754" s="2"/>
      <c r="Q754" s="2">
        <f>VLOOKUP($A754,'[2]App C Inv'!$A$4:$I$917,5,FALSE)</f>
        <v>37470</v>
      </c>
      <c r="R754" s="2">
        <f>VLOOKUP($A754,'[2]App C Inv'!$A$4:$I$917,6,FALSE)</f>
        <v>-32231</v>
      </c>
      <c r="S754" s="2">
        <f>VLOOKUP($A754,'[2]App C Inv'!$A$4:$I$917,7,FALSE)</f>
        <v>4543</v>
      </c>
      <c r="T754" s="2">
        <f>VLOOKUP($A754,'[2]App C Inv'!$A$4:$I$917,8,FALSE)</f>
        <v>5912</v>
      </c>
      <c r="U754" s="2">
        <f>VLOOKUP($A754,'[2]App C Inv'!$A$4:$I$917,9,FALSE)</f>
        <v>0</v>
      </c>
      <c r="V754" s="2"/>
      <c r="W754" s="2">
        <f>VLOOKUP($A754,'[2]App C Assum'!$A$4:$I$917,5,FALSE)</f>
        <v>42211</v>
      </c>
      <c r="X754" s="2">
        <f>VLOOKUP($A754,'[2]App C Assum'!$A$4:$I$917,6,FALSE)</f>
        <v>34580</v>
      </c>
      <c r="Y754" s="2">
        <f>VLOOKUP($A754,'[2]App C Assum'!$A$4:$I$917,7,FALSE)</f>
        <v>28073</v>
      </c>
      <c r="Z754" s="2">
        <f>VLOOKUP($A754,'[2]App C Assum'!$A$4:$I$917,8,FALSE)</f>
        <v>0</v>
      </c>
      <c r="AA754" s="2">
        <f>VLOOKUP($A754,'[2]App C Assum'!$A$4:$I$917,9,FALSE)</f>
        <v>0</v>
      </c>
      <c r="AB754" s="2"/>
      <c r="AC754" s="2">
        <f>VLOOKUP($A754,'[2]App C Share Outflows'!$A$4:$I$917,5,FALSE)</f>
        <v>7447</v>
      </c>
      <c r="AD754" s="2">
        <f>VLOOKUP($A754,'[2]App C Share Outflows'!$A$4:$I$917,6,FALSE)</f>
        <v>5793</v>
      </c>
      <c r="AE754" s="2">
        <f>VLOOKUP($A754,'[2]App C Share Outflows'!$A$4:$I$917,7,FALSE)</f>
        <v>2880</v>
      </c>
      <c r="AF754" s="2">
        <f>VLOOKUP($A754,'[2]App C Share Outflows'!$A$4:$I$917,8,FALSE)</f>
        <v>0</v>
      </c>
      <c r="AG754" s="2">
        <f>VLOOKUP($A754,'[2]App C Share Outflows'!$A$4:$I$917,9,FALSE)</f>
        <v>0</v>
      </c>
      <c r="AH754" s="2"/>
      <c r="AI754" s="2">
        <f>VLOOKUP($A754,'[2]App C Share Inflows'!$A$4:$I$917,5,FALSE)</f>
        <v>-629</v>
      </c>
      <c r="AJ754" s="2">
        <f>VLOOKUP($A754,'[2]App C Share Inflows'!$A$4:$I$917,6,FALSE)</f>
        <v>-629</v>
      </c>
      <c r="AK754" s="2">
        <f>VLOOKUP($A754,'[2]App C Share Inflows'!$A$4:$I$917,7,FALSE)</f>
        <v>-629</v>
      </c>
      <c r="AL754" s="2">
        <f>VLOOKUP($A754,'[2]App C Share Inflows'!$A$4:$I$917,8,FALSE)</f>
        <v>-631</v>
      </c>
      <c r="AM754" s="2">
        <f>VLOOKUP($A754,'[2]App C Share Inflows'!$A$4:$I$917,6,FALSE)</f>
        <v>-629</v>
      </c>
    </row>
    <row r="755" spans="1:39">
      <c r="A755" s="351">
        <v>98051</v>
      </c>
      <c r="B755" s="344" t="s">
        <v>1453</v>
      </c>
      <c r="C755" s="235" t="e">
        <f>VLOOKUP(A755,#REF!,10,FALSE)</f>
        <v>#REF!</v>
      </c>
      <c r="E755" s="2">
        <f>VLOOKUP($A755,'[2]App C Total'!$A$4:$I$917,5,FALSE)</f>
        <v>151383</v>
      </c>
      <c r="F755" s="2">
        <f>VLOOKUP($A755,'[2]App C Total'!$A$4:$I$917,6,FALSE)</f>
        <v>47495</v>
      </c>
      <c r="G755" s="2">
        <f>VLOOKUP($A755,'[2]App C Total'!$A$4:$I$917,7,FALSE)</f>
        <v>83216</v>
      </c>
      <c r="H755" s="2">
        <f>VLOOKUP($A755,'[2]App C Total'!$A$4:$I$917,8,FALSE)</f>
        <v>26902</v>
      </c>
      <c r="I755" s="2">
        <f>VLOOKUP($A755,'[2]App C Total'!$A$4:$I$917,9,FALSE)</f>
        <v>0</v>
      </c>
      <c r="J755" s="2"/>
      <c r="K755" s="2">
        <f>VLOOKUP($A755,'[2]App C Exp'!$A$4:$I$917,5,FALSE)</f>
        <v>44568</v>
      </c>
      <c r="L755" s="2">
        <f>VLOOKUP($A755,'[2]App C Exp'!$A$4:$I$917,6,FALSE)</f>
        <v>41924</v>
      </c>
      <c r="M755" s="2">
        <f>VLOOKUP($A755,'[2]App C Exp'!$A$4:$I$917,7,FALSE)</f>
        <v>37576</v>
      </c>
      <c r="N755" s="2">
        <f>VLOOKUP($A755,'[2]App C Exp'!$A$4:$I$917,8,FALSE)</f>
        <v>15045</v>
      </c>
      <c r="O755" s="2">
        <f>VLOOKUP($A755,'[2]App C Exp'!$A$4:$I$917,9,FALSE)</f>
        <v>0</v>
      </c>
      <c r="P755" s="2"/>
      <c r="Q755" s="2">
        <f>VLOOKUP($A755,'[2]App C Inv'!$A$4:$I$917,5,FALSE)</f>
        <v>47315</v>
      </c>
      <c r="R755" s="2">
        <f>VLOOKUP($A755,'[2]App C Inv'!$A$4:$I$917,6,FALSE)</f>
        <v>-40699</v>
      </c>
      <c r="S755" s="2">
        <f>VLOOKUP($A755,'[2]App C Inv'!$A$4:$I$917,7,FALSE)</f>
        <v>5736</v>
      </c>
      <c r="T755" s="2">
        <f>VLOOKUP($A755,'[2]App C Inv'!$A$4:$I$917,8,FALSE)</f>
        <v>7465</v>
      </c>
      <c r="U755" s="2">
        <f>VLOOKUP($A755,'[2]App C Inv'!$A$4:$I$917,9,FALSE)</f>
        <v>0</v>
      </c>
      <c r="V755" s="2"/>
      <c r="W755" s="2">
        <f>VLOOKUP($A755,'[2]App C Assum'!$A$4:$I$917,5,FALSE)</f>
        <v>53301</v>
      </c>
      <c r="X755" s="2">
        <f>VLOOKUP($A755,'[2]App C Assum'!$A$4:$I$917,6,FALSE)</f>
        <v>43666</v>
      </c>
      <c r="Y755" s="2">
        <f>VLOOKUP($A755,'[2]App C Assum'!$A$4:$I$917,7,FALSE)</f>
        <v>35449</v>
      </c>
      <c r="Z755" s="2">
        <f>VLOOKUP($A755,'[2]App C Assum'!$A$4:$I$917,8,FALSE)</f>
        <v>0</v>
      </c>
      <c r="AA755" s="2">
        <f>VLOOKUP($A755,'[2]App C Assum'!$A$4:$I$917,9,FALSE)</f>
        <v>0</v>
      </c>
      <c r="AB755" s="2"/>
      <c r="AC755" s="2">
        <f>VLOOKUP($A755,'[2]App C Share Outflows'!$A$4:$I$917,5,FALSE)</f>
        <v>8049</v>
      </c>
      <c r="AD755" s="2">
        <f>VLOOKUP($A755,'[2]App C Share Outflows'!$A$4:$I$917,6,FALSE)</f>
        <v>4456</v>
      </c>
      <c r="AE755" s="2">
        <f>VLOOKUP($A755,'[2]App C Share Outflows'!$A$4:$I$917,7,FALSE)</f>
        <v>4455</v>
      </c>
      <c r="AF755" s="2">
        <f>VLOOKUP($A755,'[2]App C Share Outflows'!$A$4:$I$917,8,FALSE)</f>
        <v>4392</v>
      </c>
      <c r="AG755" s="2">
        <f>VLOOKUP($A755,'[2]App C Share Outflows'!$A$4:$I$917,9,FALSE)</f>
        <v>0</v>
      </c>
      <c r="AH755" s="2"/>
      <c r="AI755" s="2">
        <f>VLOOKUP($A755,'[2]App C Share Inflows'!$A$4:$I$917,5,FALSE)</f>
        <v>-1850</v>
      </c>
      <c r="AJ755" s="2">
        <f>VLOOKUP($A755,'[2]App C Share Inflows'!$A$4:$I$917,6,FALSE)</f>
        <v>-1852</v>
      </c>
      <c r="AK755" s="2">
        <f>VLOOKUP($A755,'[2]App C Share Inflows'!$A$4:$I$917,7,FALSE)</f>
        <v>0</v>
      </c>
      <c r="AL755" s="2">
        <f>VLOOKUP($A755,'[2]App C Share Inflows'!$A$4:$I$917,8,FALSE)</f>
        <v>0</v>
      </c>
      <c r="AM755" s="2">
        <f>VLOOKUP($A755,'[2]App C Share Inflows'!$A$4:$I$917,6,FALSE)</f>
        <v>-1852</v>
      </c>
    </row>
    <row r="756" spans="1:39">
      <c r="A756" s="351">
        <v>98061</v>
      </c>
      <c r="B756" s="344" t="s">
        <v>1454</v>
      </c>
      <c r="C756" s="235" t="e">
        <f>VLOOKUP(A756,#REF!,10,FALSE)</f>
        <v>#REF!</v>
      </c>
      <c r="E756" s="2">
        <f>VLOOKUP($A756,'[2]App C Total'!$A$4:$I$917,5,FALSE)</f>
        <v>54820</v>
      </c>
      <c r="F756" s="2">
        <f>VLOOKUP($A756,'[2]App C Total'!$A$4:$I$917,6,FALSE)</f>
        <v>18006</v>
      </c>
      <c r="G756" s="2">
        <f>VLOOKUP($A756,'[2]App C Total'!$A$4:$I$917,7,FALSE)</f>
        <v>30805</v>
      </c>
      <c r="H756" s="2">
        <f>VLOOKUP($A756,'[2]App C Total'!$A$4:$I$917,8,FALSE)</f>
        <v>5123</v>
      </c>
      <c r="I756" s="2">
        <f>VLOOKUP($A756,'[2]App C Total'!$A$4:$I$917,9,FALSE)</f>
        <v>0</v>
      </c>
      <c r="J756" s="2"/>
      <c r="K756" s="2">
        <f>VLOOKUP($A756,'[2]App C Exp'!$A$4:$I$917,5,FALSE)</f>
        <v>18097</v>
      </c>
      <c r="L756" s="2">
        <f>VLOOKUP($A756,'[2]App C Exp'!$A$4:$I$917,6,FALSE)</f>
        <v>17023</v>
      </c>
      <c r="M756" s="2">
        <f>VLOOKUP($A756,'[2]App C Exp'!$A$4:$I$917,7,FALSE)</f>
        <v>15258</v>
      </c>
      <c r="N756" s="2">
        <f>VLOOKUP($A756,'[2]App C Exp'!$A$4:$I$917,8,FALSE)</f>
        <v>6109</v>
      </c>
      <c r="O756" s="2">
        <f>VLOOKUP($A756,'[2]App C Exp'!$A$4:$I$917,9,FALSE)</f>
        <v>0</v>
      </c>
      <c r="P756" s="2"/>
      <c r="Q756" s="2">
        <f>VLOOKUP($A756,'[2]App C Inv'!$A$4:$I$917,5,FALSE)</f>
        <v>19212</v>
      </c>
      <c r="R756" s="2">
        <f>VLOOKUP($A756,'[2]App C Inv'!$A$4:$I$917,6,FALSE)</f>
        <v>-16526</v>
      </c>
      <c r="S756" s="2">
        <f>VLOOKUP($A756,'[2]App C Inv'!$A$4:$I$917,7,FALSE)</f>
        <v>2329</v>
      </c>
      <c r="T756" s="2">
        <f>VLOOKUP($A756,'[2]App C Inv'!$A$4:$I$917,8,FALSE)</f>
        <v>3031</v>
      </c>
      <c r="U756" s="2">
        <f>VLOOKUP($A756,'[2]App C Inv'!$A$4:$I$917,9,FALSE)</f>
        <v>0</v>
      </c>
      <c r="V756" s="2"/>
      <c r="W756" s="2">
        <f>VLOOKUP($A756,'[2]App C Assum'!$A$4:$I$917,5,FALSE)</f>
        <v>21643</v>
      </c>
      <c r="X756" s="2">
        <f>VLOOKUP($A756,'[2]App C Assum'!$A$4:$I$917,6,FALSE)</f>
        <v>17731</v>
      </c>
      <c r="Y756" s="2">
        <f>VLOOKUP($A756,'[2]App C Assum'!$A$4:$I$917,7,FALSE)</f>
        <v>14394</v>
      </c>
      <c r="Z756" s="2">
        <f>VLOOKUP($A756,'[2]App C Assum'!$A$4:$I$917,8,FALSE)</f>
        <v>0</v>
      </c>
      <c r="AA756" s="2">
        <f>VLOOKUP($A756,'[2]App C Assum'!$A$4:$I$917,9,FALSE)</f>
        <v>0</v>
      </c>
      <c r="AB756" s="2"/>
      <c r="AC756" s="2">
        <f>VLOOKUP($A756,'[2]App C Share Outflows'!$A$4:$I$917,5,FALSE)</f>
        <v>3797</v>
      </c>
      <c r="AD756" s="2">
        <f>VLOOKUP($A756,'[2]App C Share Outflows'!$A$4:$I$917,6,FALSE)</f>
        <v>3797</v>
      </c>
      <c r="AE756" s="2">
        <f>VLOOKUP($A756,'[2]App C Share Outflows'!$A$4:$I$917,7,FALSE)</f>
        <v>2843</v>
      </c>
      <c r="AF756" s="2">
        <f>VLOOKUP($A756,'[2]App C Share Outflows'!$A$4:$I$917,8,FALSE)</f>
        <v>0</v>
      </c>
      <c r="AG756" s="2">
        <f>VLOOKUP($A756,'[2]App C Share Outflows'!$A$4:$I$917,9,FALSE)</f>
        <v>0</v>
      </c>
      <c r="AH756" s="2"/>
      <c r="AI756" s="2">
        <f>VLOOKUP($A756,'[2]App C Share Inflows'!$A$4:$I$917,5,FALSE)</f>
        <v>-7929</v>
      </c>
      <c r="AJ756" s="2">
        <f>VLOOKUP($A756,'[2]App C Share Inflows'!$A$4:$I$917,6,FALSE)</f>
        <v>-4019</v>
      </c>
      <c r="AK756" s="2">
        <f>VLOOKUP($A756,'[2]App C Share Inflows'!$A$4:$I$917,7,FALSE)</f>
        <v>-4019</v>
      </c>
      <c r="AL756" s="2">
        <f>VLOOKUP($A756,'[2]App C Share Inflows'!$A$4:$I$917,8,FALSE)</f>
        <v>-4017</v>
      </c>
      <c r="AM756" s="2">
        <f>VLOOKUP($A756,'[2]App C Share Inflows'!$A$4:$I$917,6,FALSE)</f>
        <v>-4019</v>
      </c>
    </row>
    <row r="757" spans="1:39">
      <c r="A757" s="351">
        <v>98071</v>
      </c>
      <c r="B757" s="344" t="s">
        <v>1455</v>
      </c>
      <c r="C757" s="235" t="e">
        <f>VLOOKUP(A757,#REF!,10,FALSE)</f>
        <v>#REF!</v>
      </c>
      <c r="E757" s="2">
        <f>VLOOKUP($A757,'[2]App C Total'!$A$4:$I$917,5,FALSE)</f>
        <v>34491</v>
      </c>
      <c r="F757" s="2">
        <f>VLOOKUP($A757,'[2]App C Total'!$A$4:$I$917,6,FALSE)</f>
        <v>16464</v>
      </c>
      <c r="G757" s="2">
        <f>VLOOKUP($A757,'[2]App C Total'!$A$4:$I$917,7,FALSE)</f>
        <v>18941</v>
      </c>
      <c r="H757" s="2">
        <f>VLOOKUP($A757,'[2]App C Total'!$A$4:$I$917,8,FALSE)</f>
        <v>8155</v>
      </c>
      <c r="I757" s="2">
        <f>VLOOKUP($A757,'[2]App C Total'!$A$4:$I$917,9,FALSE)</f>
        <v>0</v>
      </c>
      <c r="J757" s="2"/>
      <c r="K757" s="2">
        <f>VLOOKUP($A757,'[2]App C Exp'!$A$4:$I$917,5,FALSE)</f>
        <v>7101</v>
      </c>
      <c r="L757" s="2">
        <f>VLOOKUP($A757,'[2]App C Exp'!$A$4:$I$917,6,FALSE)</f>
        <v>6680</v>
      </c>
      <c r="M757" s="2">
        <f>VLOOKUP($A757,'[2]App C Exp'!$A$4:$I$917,7,FALSE)</f>
        <v>5987</v>
      </c>
      <c r="N757" s="2">
        <f>VLOOKUP($A757,'[2]App C Exp'!$A$4:$I$917,8,FALSE)</f>
        <v>2397</v>
      </c>
      <c r="O757" s="2">
        <f>VLOOKUP($A757,'[2]App C Exp'!$A$4:$I$917,9,FALSE)</f>
        <v>0</v>
      </c>
      <c r="P757" s="2"/>
      <c r="Q757" s="2">
        <f>VLOOKUP($A757,'[2]App C Inv'!$A$4:$I$917,5,FALSE)</f>
        <v>7539</v>
      </c>
      <c r="R757" s="2">
        <f>VLOOKUP($A757,'[2]App C Inv'!$A$4:$I$917,6,FALSE)</f>
        <v>-6485</v>
      </c>
      <c r="S757" s="2">
        <f>VLOOKUP($A757,'[2]App C Inv'!$A$4:$I$917,7,FALSE)</f>
        <v>914</v>
      </c>
      <c r="T757" s="2">
        <f>VLOOKUP($A757,'[2]App C Inv'!$A$4:$I$917,8,FALSE)</f>
        <v>1189</v>
      </c>
      <c r="U757" s="2">
        <f>VLOOKUP($A757,'[2]App C Inv'!$A$4:$I$917,9,FALSE)</f>
        <v>0</v>
      </c>
      <c r="V757" s="2"/>
      <c r="W757" s="2">
        <f>VLOOKUP($A757,'[2]App C Assum'!$A$4:$I$917,5,FALSE)</f>
        <v>8492</v>
      </c>
      <c r="X757" s="2">
        <f>VLOOKUP($A757,'[2]App C Assum'!$A$4:$I$917,6,FALSE)</f>
        <v>6957</v>
      </c>
      <c r="Y757" s="2">
        <f>VLOOKUP($A757,'[2]App C Assum'!$A$4:$I$917,7,FALSE)</f>
        <v>5648</v>
      </c>
      <c r="Z757" s="2">
        <f>VLOOKUP($A757,'[2]App C Assum'!$A$4:$I$917,8,FALSE)</f>
        <v>0</v>
      </c>
      <c r="AA757" s="2">
        <f>VLOOKUP($A757,'[2]App C Assum'!$A$4:$I$917,9,FALSE)</f>
        <v>0</v>
      </c>
      <c r="AB757" s="2"/>
      <c r="AC757" s="2">
        <f>VLOOKUP($A757,'[2]App C Share Outflows'!$A$4:$I$917,5,FALSE)</f>
        <v>11359</v>
      </c>
      <c r="AD757" s="2">
        <f>VLOOKUP($A757,'[2]App C Share Outflows'!$A$4:$I$917,6,FALSE)</f>
        <v>9312</v>
      </c>
      <c r="AE757" s="2">
        <f>VLOOKUP($A757,'[2]App C Share Outflows'!$A$4:$I$917,7,FALSE)</f>
        <v>6392</v>
      </c>
      <c r="AF757" s="2">
        <f>VLOOKUP($A757,'[2]App C Share Outflows'!$A$4:$I$917,8,FALSE)</f>
        <v>4569</v>
      </c>
      <c r="AG757" s="2">
        <f>VLOOKUP($A757,'[2]App C Share Outflows'!$A$4:$I$917,9,FALSE)</f>
        <v>0</v>
      </c>
      <c r="AH757" s="2"/>
      <c r="AI757" s="2">
        <f>VLOOKUP($A757,'[2]App C Share Inflows'!$A$4:$I$917,5,FALSE)</f>
        <v>0</v>
      </c>
      <c r="AJ757" s="2">
        <f>VLOOKUP($A757,'[2]App C Share Inflows'!$A$4:$I$917,6,FALSE)</f>
        <v>0</v>
      </c>
      <c r="AK757" s="2">
        <f>VLOOKUP($A757,'[2]App C Share Inflows'!$A$4:$I$917,7,FALSE)</f>
        <v>0</v>
      </c>
      <c r="AL757" s="2">
        <f>VLOOKUP($A757,'[2]App C Share Inflows'!$A$4:$I$917,8,FALSE)</f>
        <v>0</v>
      </c>
      <c r="AM757" s="2">
        <f>VLOOKUP($A757,'[2]App C Share Inflows'!$A$4:$I$917,6,FALSE)</f>
        <v>0</v>
      </c>
    </row>
    <row r="758" spans="1:39">
      <c r="A758" s="351">
        <v>98081</v>
      </c>
      <c r="B758" s="344" t="s">
        <v>1456</v>
      </c>
      <c r="C758" s="235" t="e">
        <f>VLOOKUP(A758,#REF!,10,FALSE)</f>
        <v>#REF!</v>
      </c>
      <c r="E758" s="2">
        <f>VLOOKUP($A758,'[2]App C Total'!$A$4:$I$917,5,FALSE)</f>
        <v>6397</v>
      </c>
      <c r="F758" s="2">
        <f>VLOOKUP($A758,'[2]App C Total'!$A$4:$I$917,6,FALSE)</f>
        <v>1471</v>
      </c>
      <c r="G758" s="2">
        <f>VLOOKUP($A758,'[2]App C Total'!$A$4:$I$917,7,FALSE)</f>
        <v>3625</v>
      </c>
      <c r="H758" s="2">
        <f>VLOOKUP($A758,'[2]App C Total'!$A$4:$I$917,8,FALSE)</f>
        <v>915</v>
      </c>
      <c r="I758" s="2">
        <f>VLOOKUP($A758,'[2]App C Total'!$A$4:$I$917,9,FALSE)</f>
        <v>0</v>
      </c>
      <c r="J758" s="2"/>
      <c r="K758" s="2">
        <f>VLOOKUP($A758,'[2]App C Exp'!$A$4:$I$917,5,FALSE)</f>
        <v>2367</v>
      </c>
      <c r="L758" s="2">
        <f>VLOOKUP($A758,'[2]App C Exp'!$A$4:$I$917,6,FALSE)</f>
        <v>2227</v>
      </c>
      <c r="M758" s="2">
        <f>VLOOKUP($A758,'[2]App C Exp'!$A$4:$I$917,7,FALSE)</f>
        <v>1996</v>
      </c>
      <c r="N758" s="2">
        <f>VLOOKUP($A758,'[2]App C Exp'!$A$4:$I$917,8,FALSE)</f>
        <v>799</v>
      </c>
      <c r="O758" s="2">
        <f>VLOOKUP($A758,'[2]App C Exp'!$A$4:$I$917,9,FALSE)</f>
        <v>0</v>
      </c>
      <c r="P758" s="2"/>
      <c r="Q758" s="2">
        <f>VLOOKUP($A758,'[2]App C Inv'!$A$4:$I$917,5,FALSE)</f>
        <v>2513</v>
      </c>
      <c r="R758" s="2">
        <f>VLOOKUP($A758,'[2]App C Inv'!$A$4:$I$917,6,FALSE)</f>
        <v>-2162</v>
      </c>
      <c r="S758" s="2">
        <f>VLOOKUP($A758,'[2]App C Inv'!$A$4:$I$917,7,FALSE)</f>
        <v>305</v>
      </c>
      <c r="T758" s="2">
        <f>VLOOKUP($A758,'[2]App C Inv'!$A$4:$I$917,8,FALSE)</f>
        <v>396</v>
      </c>
      <c r="U758" s="2">
        <f>VLOOKUP($A758,'[2]App C Inv'!$A$4:$I$917,9,FALSE)</f>
        <v>0</v>
      </c>
      <c r="V758" s="2"/>
      <c r="W758" s="2">
        <f>VLOOKUP($A758,'[2]App C Assum'!$A$4:$I$917,5,FALSE)</f>
        <v>2831</v>
      </c>
      <c r="X758" s="2">
        <f>VLOOKUP($A758,'[2]App C Assum'!$A$4:$I$917,6,FALSE)</f>
        <v>2319</v>
      </c>
      <c r="Y758" s="2">
        <f>VLOOKUP($A758,'[2]App C Assum'!$A$4:$I$917,7,FALSE)</f>
        <v>1883</v>
      </c>
      <c r="Z758" s="2">
        <f>VLOOKUP($A758,'[2]App C Assum'!$A$4:$I$917,8,FALSE)</f>
        <v>0</v>
      </c>
      <c r="AA758" s="2">
        <f>VLOOKUP($A758,'[2]App C Assum'!$A$4:$I$917,9,FALSE)</f>
        <v>0</v>
      </c>
      <c r="AB758" s="2"/>
      <c r="AC758" s="2">
        <f>VLOOKUP($A758,'[2]App C Share Outflows'!$A$4:$I$917,5,FALSE)</f>
        <v>0</v>
      </c>
      <c r="AD758" s="2">
        <f>VLOOKUP($A758,'[2]App C Share Outflows'!$A$4:$I$917,6,FALSE)</f>
        <v>0</v>
      </c>
      <c r="AE758" s="2">
        <f>VLOOKUP($A758,'[2]App C Share Outflows'!$A$4:$I$917,7,FALSE)</f>
        <v>0</v>
      </c>
      <c r="AF758" s="2">
        <f>VLOOKUP($A758,'[2]App C Share Outflows'!$A$4:$I$917,8,FALSE)</f>
        <v>0</v>
      </c>
      <c r="AG758" s="2">
        <f>VLOOKUP($A758,'[2]App C Share Outflows'!$A$4:$I$917,9,FALSE)</f>
        <v>0</v>
      </c>
      <c r="AH758" s="2"/>
      <c r="AI758" s="2">
        <f>VLOOKUP($A758,'[2]App C Share Inflows'!$A$4:$I$917,5,FALSE)</f>
        <v>-1314</v>
      </c>
      <c r="AJ758" s="2">
        <f>VLOOKUP($A758,'[2]App C Share Inflows'!$A$4:$I$917,6,FALSE)</f>
        <v>-913</v>
      </c>
      <c r="AK758" s="2">
        <f>VLOOKUP($A758,'[2]App C Share Inflows'!$A$4:$I$917,7,FALSE)</f>
        <v>-559</v>
      </c>
      <c r="AL758" s="2">
        <f>VLOOKUP($A758,'[2]App C Share Inflows'!$A$4:$I$917,8,FALSE)</f>
        <v>-280</v>
      </c>
      <c r="AM758" s="2">
        <f>VLOOKUP($A758,'[2]App C Share Inflows'!$A$4:$I$917,6,FALSE)</f>
        <v>-913</v>
      </c>
    </row>
    <row r="759" spans="1:39">
      <c r="A759" s="351">
        <v>98091</v>
      </c>
      <c r="B759" s="344" t="s">
        <v>1457</v>
      </c>
      <c r="C759" s="235" t="e">
        <f>VLOOKUP(A759,#REF!,10,FALSE)</f>
        <v>#REF!</v>
      </c>
      <c r="E759" s="2">
        <f>VLOOKUP($A759,'[2]App C Total'!$A$4:$I$917,5,FALSE)</f>
        <v>35943</v>
      </c>
      <c r="F759" s="2">
        <f>VLOOKUP($A759,'[2]App C Total'!$A$4:$I$917,6,FALSE)</f>
        <v>13308</v>
      </c>
      <c r="G759" s="2">
        <f>VLOOKUP($A759,'[2]App C Total'!$A$4:$I$917,7,FALSE)</f>
        <v>20820</v>
      </c>
      <c r="H759" s="2">
        <f>VLOOKUP($A759,'[2]App C Total'!$A$4:$I$917,8,FALSE)</f>
        <v>6887</v>
      </c>
      <c r="I759" s="2">
        <f>VLOOKUP($A759,'[2]App C Total'!$A$4:$I$917,9,FALSE)</f>
        <v>0</v>
      </c>
      <c r="J759" s="2"/>
      <c r="K759" s="2">
        <f>VLOOKUP($A759,'[2]App C Exp'!$A$4:$I$917,5,FALSE)</f>
        <v>10037</v>
      </c>
      <c r="L759" s="2">
        <f>VLOOKUP($A759,'[2]App C Exp'!$A$4:$I$917,6,FALSE)</f>
        <v>9442</v>
      </c>
      <c r="M759" s="2">
        <f>VLOOKUP($A759,'[2]App C Exp'!$A$4:$I$917,7,FALSE)</f>
        <v>8462</v>
      </c>
      <c r="N759" s="2">
        <f>VLOOKUP($A759,'[2]App C Exp'!$A$4:$I$917,8,FALSE)</f>
        <v>3388</v>
      </c>
      <c r="O759" s="2">
        <f>VLOOKUP($A759,'[2]App C Exp'!$A$4:$I$917,9,FALSE)</f>
        <v>0</v>
      </c>
      <c r="P759" s="2"/>
      <c r="Q759" s="2">
        <f>VLOOKUP($A759,'[2]App C Inv'!$A$4:$I$917,5,FALSE)</f>
        <v>10656</v>
      </c>
      <c r="R759" s="2">
        <f>VLOOKUP($A759,'[2]App C Inv'!$A$4:$I$917,6,FALSE)</f>
        <v>-9166</v>
      </c>
      <c r="S759" s="2">
        <f>VLOOKUP($A759,'[2]App C Inv'!$A$4:$I$917,7,FALSE)</f>
        <v>1292</v>
      </c>
      <c r="T759" s="2">
        <f>VLOOKUP($A759,'[2]App C Inv'!$A$4:$I$917,8,FALSE)</f>
        <v>1681</v>
      </c>
      <c r="U759" s="2">
        <f>VLOOKUP($A759,'[2]App C Inv'!$A$4:$I$917,9,FALSE)</f>
        <v>0</v>
      </c>
      <c r="V759" s="2"/>
      <c r="W759" s="2">
        <f>VLOOKUP($A759,'[2]App C Assum'!$A$4:$I$917,5,FALSE)</f>
        <v>12004</v>
      </c>
      <c r="X759" s="2">
        <f>VLOOKUP($A759,'[2]App C Assum'!$A$4:$I$917,6,FALSE)</f>
        <v>9834</v>
      </c>
      <c r="Y759" s="2">
        <f>VLOOKUP($A759,'[2]App C Assum'!$A$4:$I$917,7,FALSE)</f>
        <v>7984</v>
      </c>
      <c r="Z759" s="2">
        <f>VLOOKUP($A759,'[2]App C Assum'!$A$4:$I$917,8,FALSE)</f>
        <v>0</v>
      </c>
      <c r="AA759" s="2">
        <f>VLOOKUP($A759,'[2]App C Assum'!$A$4:$I$917,9,FALSE)</f>
        <v>0</v>
      </c>
      <c r="AB759" s="2"/>
      <c r="AC759" s="2">
        <f>VLOOKUP($A759,'[2]App C Share Outflows'!$A$4:$I$917,5,FALSE)</f>
        <v>3246</v>
      </c>
      <c r="AD759" s="2">
        <f>VLOOKUP($A759,'[2]App C Share Outflows'!$A$4:$I$917,6,FALSE)</f>
        <v>3198</v>
      </c>
      <c r="AE759" s="2">
        <f>VLOOKUP($A759,'[2]App C Share Outflows'!$A$4:$I$917,7,FALSE)</f>
        <v>3082</v>
      </c>
      <c r="AF759" s="2">
        <f>VLOOKUP($A759,'[2]App C Share Outflows'!$A$4:$I$917,8,FALSE)</f>
        <v>1818</v>
      </c>
      <c r="AG759" s="2">
        <f>VLOOKUP($A759,'[2]App C Share Outflows'!$A$4:$I$917,9,FALSE)</f>
        <v>0</v>
      </c>
      <c r="AH759" s="2"/>
      <c r="AI759" s="2">
        <f>VLOOKUP($A759,'[2]App C Share Inflows'!$A$4:$I$917,5,FALSE)</f>
        <v>0</v>
      </c>
      <c r="AJ759" s="2">
        <f>VLOOKUP($A759,'[2]App C Share Inflows'!$A$4:$I$917,6,FALSE)</f>
        <v>0</v>
      </c>
      <c r="AK759" s="2">
        <f>VLOOKUP($A759,'[2]App C Share Inflows'!$A$4:$I$917,7,FALSE)</f>
        <v>0</v>
      </c>
      <c r="AL759" s="2">
        <f>VLOOKUP($A759,'[2]App C Share Inflows'!$A$4:$I$917,8,FALSE)</f>
        <v>0</v>
      </c>
      <c r="AM759" s="2">
        <f>VLOOKUP($A759,'[2]App C Share Inflows'!$A$4:$I$917,6,FALSE)</f>
        <v>0</v>
      </c>
    </row>
    <row r="760" spans="1:39">
      <c r="A760" s="351">
        <v>98101</v>
      </c>
      <c r="B760" s="344" t="s">
        <v>1458</v>
      </c>
      <c r="C760" s="235" t="e">
        <f>VLOOKUP(A760,#REF!,10,FALSE)</f>
        <v>#REF!</v>
      </c>
      <c r="E760" s="2">
        <f>VLOOKUP($A760,'[2]App C Total'!$A$4:$I$917,5,FALSE)</f>
        <v>1284671</v>
      </c>
      <c r="F760" s="2">
        <f>VLOOKUP($A760,'[2]App C Total'!$A$4:$I$917,6,FALSE)</f>
        <v>383094</v>
      </c>
      <c r="G760" s="2">
        <f>VLOOKUP($A760,'[2]App C Total'!$A$4:$I$917,7,FALSE)</f>
        <v>693063</v>
      </c>
      <c r="H760" s="2">
        <f>VLOOKUP($A760,'[2]App C Total'!$A$4:$I$917,8,FALSE)</f>
        <v>230360</v>
      </c>
      <c r="I760" s="2">
        <f>VLOOKUP($A760,'[2]App C Total'!$A$4:$I$917,9,FALSE)</f>
        <v>0</v>
      </c>
      <c r="J760" s="2"/>
      <c r="K760" s="2">
        <f>VLOOKUP($A760,'[2]App C Exp'!$A$4:$I$917,5,FALSE)</f>
        <v>402996</v>
      </c>
      <c r="L760" s="2">
        <f>VLOOKUP($A760,'[2]App C Exp'!$A$4:$I$917,6,FALSE)</f>
        <v>379089</v>
      </c>
      <c r="M760" s="2">
        <f>VLOOKUP($A760,'[2]App C Exp'!$A$4:$I$917,7,FALSE)</f>
        <v>339773</v>
      </c>
      <c r="N760" s="2">
        <f>VLOOKUP($A760,'[2]App C Exp'!$A$4:$I$917,8,FALSE)</f>
        <v>136041</v>
      </c>
      <c r="O760" s="2">
        <f>VLOOKUP($A760,'[2]App C Exp'!$A$4:$I$917,9,FALSE)</f>
        <v>0</v>
      </c>
      <c r="P760" s="2"/>
      <c r="Q760" s="2">
        <f>VLOOKUP($A760,'[2]App C Inv'!$A$4:$I$917,5,FALSE)</f>
        <v>427836</v>
      </c>
      <c r="R760" s="2">
        <f>VLOOKUP($A760,'[2]App C Inv'!$A$4:$I$917,6,FALSE)</f>
        <v>-368019</v>
      </c>
      <c r="S760" s="2">
        <f>VLOOKUP($A760,'[2]App C Inv'!$A$4:$I$917,7,FALSE)</f>
        <v>51868</v>
      </c>
      <c r="T760" s="2">
        <f>VLOOKUP($A760,'[2]App C Inv'!$A$4:$I$917,8,FALSE)</f>
        <v>67505</v>
      </c>
      <c r="U760" s="2">
        <f>VLOOKUP($A760,'[2]App C Inv'!$A$4:$I$917,9,FALSE)</f>
        <v>0</v>
      </c>
      <c r="V760" s="2"/>
      <c r="W760" s="2">
        <f>VLOOKUP($A760,'[2]App C Assum'!$A$4:$I$917,5,FALSE)</f>
        <v>481964</v>
      </c>
      <c r="X760" s="2">
        <f>VLOOKUP($A760,'[2]App C Assum'!$A$4:$I$917,6,FALSE)</f>
        <v>394842</v>
      </c>
      <c r="Y760" s="2">
        <f>VLOOKUP($A760,'[2]App C Assum'!$A$4:$I$917,7,FALSE)</f>
        <v>320544</v>
      </c>
      <c r="Z760" s="2">
        <f>VLOOKUP($A760,'[2]App C Assum'!$A$4:$I$917,8,FALSE)</f>
        <v>0</v>
      </c>
      <c r="AA760" s="2">
        <f>VLOOKUP($A760,'[2]App C Assum'!$A$4:$I$917,9,FALSE)</f>
        <v>0</v>
      </c>
      <c r="AB760" s="2"/>
      <c r="AC760" s="2">
        <f>VLOOKUP($A760,'[2]App C Share Outflows'!$A$4:$I$917,5,FALSE)</f>
        <v>26815</v>
      </c>
      <c r="AD760" s="2">
        <f>VLOOKUP($A760,'[2]App C Share Outflows'!$A$4:$I$917,6,FALSE)</f>
        <v>26815</v>
      </c>
      <c r="AE760" s="2">
        <f>VLOOKUP($A760,'[2]App C Share Outflows'!$A$4:$I$917,7,FALSE)</f>
        <v>26815</v>
      </c>
      <c r="AF760" s="2">
        <f>VLOOKUP($A760,'[2]App C Share Outflows'!$A$4:$I$917,8,FALSE)</f>
        <v>26814</v>
      </c>
      <c r="AG760" s="2">
        <f>VLOOKUP($A760,'[2]App C Share Outflows'!$A$4:$I$917,9,FALSE)</f>
        <v>0</v>
      </c>
      <c r="AH760" s="2"/>
      <c r="AI760" s="2">
        <f>VLOOKUP($A760,'[2]App C Share Inflows'!$A$4:$I$917,5,FALSE)</f>
        <v>-54940</v>
      </c>
      <c r="AJ760" s="2">
        <f>VLOOKUP($A760,'[2]App C Share Inflows'!$A$4:$I$917,6,FALSE)</f>
        <v>-49633</v>
      </c>
      <c r="AK760" s="2">
        <f>VLOOKUP($A760,'[2]App C Share Inflows'!$A$4:$I$917,7,FALSE)</f>
        <v>-45937</v>
      </c>
      <c r="AL760" s="2">
        <f>VLOOKUP($A760,'[2]App C Share Inflows'!$A$4:$I$917,8,FALSE)</f>
        <v>0</v>
      </c>
      <c r="AM760" s="2">
        <f>VLOOKUP($A760,'[2]App C Share Inflows'!$A$4:$I$917,6,FALSE)</f>
        <v>-49633</v>
      </c>
    </row>
    <row r="761" spans="1:39">
      <c r="A761" s="351">
        <v>98102</v>
      </c>
      <c r="B761" s="344" t="s">
        <v>1459</v>
      </c>
      <c r="C761" s="235" t="e">
        <f>VLOOKUP(A761,#REF!,10,FALSE)</f>
        <v>#REF!</v>
      </c>
      <c r="E761" s="2">
        <f>VLOOKUP($A761,'[2]App C Total'!$A$4:$I$917,5,FALSE)</f>
        <v>75409</v>
      </c>
      <c r="F761" s="2">
        <f>VLOOKUP($A761,'[2]App C Total'!$A$4:$I$917,6,FALSE)</f>
        <v>22937</v>
      </c>
      <c r="G761" s="2">
        <f>VLOOKUP($A761,'[2]App C Total'!$A$4:$I$917,7,FALSE)</f>
        <v>42743</v>
      </c>
      <c r="H761" s="2">
        <f>VLOOKUP($A761,'[2]App C Total'!$A$4:$I$917,8,FALSE)</f>
        <v>14102</v>
      </c>
      <c r="I761" s="2">
        <f>VLOOKUP($A761,'[2]App C Total'!$A$4:$I$917,9,FALSE)</f>
        <v>0</v>
      </c>
      <c r="J761" s="2"/>
      <c r="K761" s="2">
        <f>VLOOKUP($A761,'[2]App C Exp'!$A$4:$I$917,5,FALSE)</f>
        <v>23565</v>
      </c>
      <c r="L761" s="2">
        <f>VLOOKUP($A761,'[2]App C Exp'!$A$4:$I$917,6,FALSE)</f>
        <v>22167</v>
      </c>
      <c r="M761" s="2">
        <f>VLOOKUP($A761,'[2]App C Exp'!$A$4:$I$917,7,FALSE)</f>
        <v>19868</v>
      </c>
      <c r="N761" s="2">
        <f>VLOOKUP($A761,'[2]App C Exp'!$A$4:$I$917,8,FALSE)</f>
        <v>7955</v>
      </c>
      <c r="O761" s="2">
        <f>VLOOKUP($A761,'[2]App C Exp'!$A$4:$I$917,9,FALSE)</f>
        <v>0</v>
      </c>
      <c r="P761" s="2"/>
      <c r="Q761" s="2">
        <f>VLOOKUP($A761,'[2]App C Inv'!$A$4:$I$917,5,FALSE)</f>
        <v>25017</v>
      </c>
      <c r="R761" s="2">
        <f>VLOOKUP($A761,'[2]App C Inv'!$A$4:$I$917,6,FALSE)</f>
        <v>-21519</v>
      </c>
      <c r="S761" s="2">
        <f>VLOOKUP($A761,'[2]App C Inv'!$A$4:$I$917,7,FALSE)</f>
        <v>3033</v>
      </c>
      <c r="T761" s="2">
        <f>VLOOKUP($A761,'[2]App C Inv'!$A$4:$I$917,8,FALSE)</f>
        <v>3947</v>
      </c>
      <c r="U761" s="2">
        <f>VLOOKUP($A761,'[2]App C Inv'!$A$4:$I$917,9,FALSE)</f>
        <v>0</v>
      </c>
      <c r="V761" s="2"/>
      <c r="W761" s="2">
        <f>VLOOKUP($A761,'[2]App C Assum'!$A$4:$I$917,5,FALSE)</f>
        <v>28182</v>
      </c>
      <c r="X761" s="2">
        <f>VLOOKUP($A761,'[2]App C Assum'!$A$4:$I$917,6,FALSE)</f>
        <v>23088</v>
      </c>
      <c r="Y761" s="2">
        <f>VLOOKUP($A761,'[2]App C Assum'!$A$4:$I$917,7,FALSE)</f>
        <v>18743</v>
      </c>
      <c r="Z761" s="2">
        <f>VLOOKUP($A761,'[2]App C Assum'!$A$4:$I$917,8,FALSE)</f>
        <v>0</v>
      </c>
      <c r="AA761" s="2">
        <f>VLOOKUP($A761,'[2]App C Assum'!$A$4:$I$917,9,FALSE)</f>
        <v>0</v>
      </c>
      <c r="AB761" s="2"/>
      <c r="AC761" s="2">
        <f>VLOOKUP($A761,'[2]App C Share Outflows'!$A$4:$I$917,5,FALSE)</f>
        <v>2199</v>
      </c>
      <c r="AD761" s="2">
        <f>VLOOKUP($A761,'[2]App C Share Outflows'!$A$4:$I$917,6,FALSE)</f>
        <v>2199</v>
      </c>
      <c r="AE761" s="2">
        <f>VLOOKUP($A761,'[2]App C Share Outflows'!$A$4:$I$917,7,FALSE)</f>
        <v>2199</v>
      </c>
      <c r="AF761" s="2">
        <f>VLOOKUP($A761,'[2]App C Share Outflows'!$A$4:$I$917,8,FALSE)</f>
        <v>2200</v>
      </c>
      <c r="AG761" s="2">
        <f>VLOOKUP($A761,'[2]App C Share Outflows'!$A$4:$I$917,9,FALSE)</f>
        <v>0</v>
      </c>
      <c r="AH761" s="2"/>
      <c r="AI761" s="2">
        <f>VLOOKUP($A761,'[2]App C Share Inflows'!$A$4:$I$917,5,FALSE)</f>
        <v>-3554</v>
      </c>
      <c r="AJ761" s="2">
        <f>VLOOKUP($A761,'[2]App C Share Inflows'!$A$4:$I$917,6,FALSE)</f>
        <v>-2998</v>
      </c>
      <c r="AK761" s="2">
        <f>VLOOKUP($A761,'[2]App C Share Inflows'!$A$4:$I$917,7,FALSE)</f>
        <v>-1100</v>
      </c>
      <c r="AL761" s="2">
        <f>VLOOKUP($A761,'[2]App C Share Inflows'!$A$4:$I$917,8,FALSE)</f>
        <v>0</v>
      </c>
      <c r="AM761" s="2">
        <f>VLOOKUP($A761,'[2]App C Share Inflows'!$A$4:$I$917,6,FALSE)</f>
        <v>-2998</v>
      </c>
    </row>
    <row r="762" spans="1:39">
      <c r="A762" s="351">
        <v>98103</v>
      </c>
      <c r="B762" s="344" t="s">
        <v>2792</v>
      </c>
      <c r="C762" s="235" t="e">
        <f>VLOOKUP(A762,#REF!,10,FALSE)</f>
        <v>#REF!</v>
      </c>
      <c r="E762" s="2">
        <f>VLOOKUP($A762,'[2]App C Total'!$A$4:$I$917,5,FALSE)</f>
        <v>244879</v>
      </c>
      <c r="F762" s="2">
        <f>VLOOKUP($A762,'[2]App C Total'!$A$4:$I$917,6,FALSE)</f>
        <v>77006</v>
      </c>
      <c r="G762" s="2">
        <f>VLOOKUP($A762,'[2]App C Total'!$A$4:$I$917,7,FALSE)</f>
        <v>131953</v>
      </c>
      <c r="H762" s="2">
        <f>VLOOKUP($A762,'[2]App C Total'!$A$4:$I$917,8,FALSE)</f>
        <v>44651</v>
      </c>
      <c r="I762" s="2">
        <f>VLOOKUP($A762,'[2]App C Total'!$A$4:$I$917,9,FALSE)</f>
        <v>0</v>
      </c>
      <c r="J762" s="2"/>
      <c r="K762" s="2">
        <f>VLOOKUP($A762,'[2]App C Exp'!$A$4:$I$917,5,FALSE)</f>
        <v>75503</v>
      </c>
      <c r="L762" s="2">
        <f>VLOOKUP($A762,'[2]App C Exp'!$A$4:$I$917,6,FALSE)</f>
        <v>71024</v>
      </c>
      <c r="M762" s="2">
        <f>VLOOKUP($A762,'[2]App C Exp'!$A$4:$I$917,7,FALSE)</f>
        <v>63658</v>
      </c>
      <c r="N762" s="2">
        <f>VLOOKUP($A762,'[2]App C Exp'!$A$4:$I$917,8,FALSE)</f>
        <v>25488</v>
      </c>
      <c r="O762" s="2">
        <f>VLOOKUP($A762,'[2]App C Exp'!$A$4:$I$917,9,FALSE)</f>
        <v>0</v>
      </c>
      <c r="P762" s="2"/>
      <c r="Q762" s="2">
        <f>VLOOKUP($A762,'[2]App C Inv'!$A$4:$I$917,5,FALSE)</f>
        <v>80157</v>
      </c>
      <c r="R762" s="2">
        <f>VLOOKUP($A762,'[2]App C Inv'!$A$4:$I$917,6,FALSE)</f>
        <v>-68950</v>
      </c>
      <c r="S762" s="2">
        <f>VLOOKUP($A762,'[2]App C Inv'!$A$4:$I$917,7,FALSE)</f>
        <v>9718</v>
      </c>
      <c r="T762" s="2">
        <f>VLOOKUP($A762,'[2]App C Inv'!$A$4:$I$917,8,FALSE)</f>
        <v>12647</v>
      </c>
      <c r="U762" s="2">
        <f>VLOOKUP($A762,'[2]App C Inv'!$A$4:$I$917,9,FALSE)</f>
        <v>0</v>
      </c>
      <c r="V762" s="2"/>
      <c r="W762" s="2">
        <f>VLOOKUP($A762,'[2]App C Assum'!$A$4:$I$917,5,FALSE)</f>
        <v>90298</v>
      </c>
      <c r="X762" s="2">
        <f>VLOOKUP($A762,'[2]App C Assum'!$A$4:$I$917,6,FALSE)</f>
        <v>73975</v>
      </c>
      <c r="Y762" s="2">
        <f>VLOOKUP($A762,'[2]App C Assum'!$A$4:$I$917,7,FALSE)</f>
        <v>60055</v>
      </c>
      <c r="Z762" s="2">
        <f>VLOOKUP($A762,'[2]App C Assum'!$A$4:$I$917,8,FALSE)</f>
        <v>0</v>
      </c>
      <c r="AA762" s="2">
        <f>VLOOKUP($A762,'[2]App C Assum'!$A$4:$I$917,9,FALSE)</f>
        <v>0</v>
      </c>
      <c r="AB762" s="2"/>
      <c r="AC762" s="2">
        <f>VLOOKUP($A762,'[2]App C Share Outflows'!$A$4:$I$917,5,FALSE)</f>
        <v>8948</v>
      </c>
      <c r="AD762" s="2">
        <f>VLOOKUP($A762,'[2]App C Share Outflows'!$A$4:$I$917,6,FALSE)</f>
        <v>8950</v>
      </c>
      <c r="AE762" s="2">
        <f>VLOOKUP($A762,'[2]App C Share Outflows'!$A$4:$I$917,7,FALSE)</f>
        <v>6516</v>
      </c>
      <c r="AF762" s="2">
        <f>VLOOKUP($A762,'[2]App C Share Outflows'!$A$4:$I$917,8,FALSE)</f>
        <v>6516</v>
      </c>
      <c r="AG762" s="2">
        <f>VLOOKUP($A762,'[2]App C Share Outflows'!$A$4:$I$917,9,FALSE)</f>
        <v>0</v>
      </c>
      <c r="AH762" s="2"/>
      <c r="AI762" s="2">
        <f>VLOOKUP($A762,'[2]App C Share Inflows'!$A$4:$I$917,5,FALSE)</f>
        <v>-10027</v>
      </c>
      <c r="AJ762" s="2">
        <f>VLOOKUP($A762,'[2]App C Share Inflows'!$A$4:$I$917,6,FALSE)</f>
        <v>-7993</v>
      </c>
      <c r="AK762" s="2">
        <f>VLOOKUP($A762,'[2]App C Share Inflows'!$A$4:$I$917,7,FALSE)</f>
        <v>-7994</v>
      </c>
      <c r="AL762" s="2">
        <f>VLOOKUP($A762,'[2]App C Share Inflows'!$A$4:$I$917,8,FALSE)</f>
        <v>0</v>
      </c>
      <c r="AM762" s="2">
        <f>VLOOKUP($A762,'[2]App C Share Inflows'!$A$4:$I$917,6,FALSE)</f>
        <v>-7993</v>
      </c>
    </row>
    <row r="763" spans="1:39">
      <c r="A763" s="351">
        <v>98107</v>
      </c>
      <c r="B763" s="344" t="s">
        <v>1461</v>
      </c>
      <c r="C763" s="235" t="e">
        <f>VLOOKUP(A763,#REF!,10,FALSE)</f>
        <v>#REF!</v>
      </c>
      <c r="E763" s="2">
        <f>VLOOKUP($A763,'[2]App C Total'!$A$4:$I$917,5,FALSE)</f>
        <v>7926</v>
      </c>
      <c r="F763" s="2">
        <f>VLOOKUP($A763,'[2]App C Total'!$A$4:$I$917,6,FALSE)</f>
        <v>4095</v>
      </c>
      <c r="G763" s="2">
        <f>VLOOKUP($A763,'[2]App C Total'!$A$4:$I$917,7,FALSE)</f>
        <v>4307</v>
      </c>
      <c r="H763" s="2">
        <f>VLOOKUP($A763,'[2]App C Total'!$A$4:$I$917,8,FALSE)</f>
        <v>1759</v>
      </c>
      <c r="I763" s="2">
        <f>VLOOKUP($A763,'[2]App C Total'!$A$4:$I$917,9,FALSE)</f>
        <v>0</v>
      </c>
      <c r="J763" s="2"/>
      <c r="K763" s="2">
        <f>VLOOKUP($A763,'[2]App C Exp'!$A$4:$I$917,5,FALSE)</f>
        <v>1408</v>
      </c>
      <c r="L763" s="2">
        <f>VLOOKUP($A763,'[2]App C Exp'!$A$4:$I$917,6,FALSE)</f>
        <v>1325</v>
      </c>
      <c r="M763" s="2">
        <f>VLOOKUP($A763,'[2]App C Exp'!$A$4:$I$917,7,FALSE)</f>
        <v>1187</v>
      </c>
      <c r="N763" s="2">
        <f>VLOOKUP($A763,'[2]App C Exp'!$A$4:$I$917,8,FALSE)</f>
        <v>475</v>
      </c>
      <c r="O763" s="2">
        <f>VLOOKUP($A763,'[2]App C Exp'!$A$4:$I$917,9,FALSE)</f>
        <v>0</v>
      </c>
      <c r="P763" s="2"/>
      <c r="Q763" s="2">
        <f>VLOOKUP($A763,'[2]App C Inv'!$A$4:$I$917,5,FALSE)</f>
        <v>1495</v>
      </c>
      <c r="R763" s="2">
        <f>VLOOKUP($A763,'[2]App C Inv'!$A$4:$I$917,6,FALSE)</f>
        <v>-1286</v>
      </c>
      <c r="S763" s="2">
        <f>VLOOKUP($A763,'[2]App C Inv'!$A$4:$I$917,7,FALSE)</f>
        <v>181</v>
      </c>
      <c r="T763" s="2">
        <f>VLOOKUP($A763,'[2]App C Inv'!$A$4:$I$917,8,FALSE)</f>
        <v>236</v>
      </c>
      <c r="U763" s="2">
        <f>VLOOKUP($A763,'[2]App C Inv'!$A$4:$I$917,9,FALSE)</f>
        <v>0</v>
      </c>
      <c r="V763" s="2"/>
      <c r="W763" s="2">
        <f>VLOOKUP($A763,'[2]App C Assum'!$A$4:$I$917,5,FALSE)</f>
        <v>1684</v>
      </c>
      <c r="X763" s="2">
        <f>VLOOKUP($A763,'[2]App C Assum'!$A$4:$I$917,6,FALSE)</f>
        <v>1380</v>
      </c>
      <c r="Y763" s="2">
        <f>VLOOKUP($A763,'[2]App C Assum'!$A$4:$I$917,7,FALSE)</f>
        <v>1120</v>
      </c>
      <c r="Z763" s="2">
        <f>VLOOKUP($A763,'[2]App C Assum'!$A$4:$I$917,8,FALSE)</f>
        <v>0</v>
      </c>
      <c r="AA763" s="2">
        <f>VLOOKUP($A763,'[2]App C Assum'!$A$4:$I$917,9,FALSE)</f>
        <v>0</v>
      </c>
      <c r="AB763" s="2"/>
      <c r="AC763" s="2">
        <f>VLOOKUP($A763,'[2]App C Share Outflows'!$A$4:$I$917,5,FALSE)</f>
        <v>3339</v>
      </c>
      <c r="AD763" s="2">
        <f>VLOOKUP($A763,'[2]App C Share Outflows'!$A$4:$I$917,6,FALSE)</f>
        <v>2676</v>
      </c>
      <c r="AE763" s="2">
        <f>VLOOKUP($A763,'[2]App C Share Outflows'!$A$4:$I$917,7,FALSE)</f>
        <v>1819</v>
      </c>
      <c r="AF763" s="2">
        <f>VLOOKUP($A763,'[2]App C Share Outflows'!$A$4:$I$917,8,FALSE)</f>
        <v>1048</v>
      </c>
      <c r="AG763" s="2">
        <f>VLOOKUP($A763,'[2]App C Share Outflows'!$A$4:$I$917,9,FALSE)</f>
        <v>0</v>
      </c>
      <c r="AH763" s="2"/>
      <c r="AI763" s="2">
        <f>VLOOKUP($A763,'[2]App C Share Inflows'!$A$4:$I$917,5,FALSE)</f>
        <v>0</v>
      </c>
      <c r="AJ763" s="2">
        <f>VLOOKUP($A763,'[2]App C Share Inflows'!$A$4:$I$917,6,FALSE)</f>
        <v>0</v>
      </c>
      <c r="AK763" s="2">
        <f>VLOOKUP($A763,'[2]App C Share Inflows'!$A$4:$I$917,7,FALSE)</f>
        <v>0</v>
      </c>
      <c r="AL763" s="2">
        <f>VLOOKUP($A763,'[2]App C Share Inflows'!$A$4:$I$917,8,FALSE)</f>
        <v>0</v>
      </c>
      <c r="AM763" s="2">
        <f>VLOOKUP($A763,'[2]App C Share Inflows'!$A$4:$I$917,6,FALSE)</f>
        <v>0</v>
      </c>
    </row>
    <row r="764" spans="1:39">
      <c r="A764" s="351">
        <v>98109</v>
      </c>
      <c r="B764" s="344" t="s">
        <v>3703</v>
      </c>
      <c r="C764" s="235" t="e">
        <f>VLOOKUP(A764,#REF!,10,FALSE)</f>
        <v>#REF!</v>
      </c>
      <c r="E764" s="2">
        <f>VLOOKUP($A764,'[2]App C Total'!$A$4:$I$917,5,FALSE)</f>
        <v>80220</v>
      </c>
      <c r="F764" s="2">
        <f>VLOOKUP($A764,'[2]App C Total'!$A$4:$I$917,6,FALSE)</f>
        <v>32635</v>
      </c>
      <c r="G764" s="2">
        <f>VLOOKUP($A764,'[2]App C Total'!$A$4:$I$917,7,FALSE)</f>
        <v>48239</v>
      </c>
      <c r="H764" s="2">
        <f>VLOOKUP($A764,'[2]App C Total'!$A$4:$I$917,8,FALSE)</f>
        <v>17972</v>
      </c>
      <c r="I764" s="2">
        <f>VLOOKUP($A764,'[2]App C Total'!$A$4:$I$917,9,FALSE)</f>
        <v>0</v>
      </c>
      <c r="J764" s="2"/>
      <c r="K764" s="2">
        <f>VLOOKUP($A764,'[2]App C Exp'!$A$4:$I$917,5,FALSE)</f>
        <v>23894</v>
      </c>
      <c r="L764" s="2">
        <f>VLOOKUP($A764,'[2]App C Exp'!$A$4:$I$917,6,FALSE)</f>
        <v>22477</v>
      </c>
      <c r="M764" s="2">
        <f>VLOOKUP($A764,'[2]App C Exp'!$A$4:$I$917,7,FALSE)</f>
        <v>20146</v>
      </c>
      <c r="N764" s="2">
        <f>VLOOKUP($A764,'[2]App C Exp'!$A$4:$I$917,8,FALSE)</f>
        <v>8066</v>
      </c>
      <c r="O764" s="2">
        <f>VLOOKUP($A764,'[2]App C Exp'!$A$4:$I$917,9,FALSE)</f>
        <v>0</v>
      </c>
      <c r="P764" s="2"/>
      <c r="Q764" s="2">
        <f>VLOOKUP($A764,'[2]App C Inv'!$A$4:$I$917,5,FALSE)</f>
        <v>25367</v>
      </c>
      <c r="R764" s="2">
        <f>VLOOKUP($A764,'[2]App C Inv'!$A$4:$I$917,6,FALSE)</f>
        <v>-21820</v>
      </c>
      <c r="S764" s="2">
        <f>VLOOKUP($A764,'[2]App C Inv'!$A$4:$I$917,7,FALSE)</f>
        <v>3075</v>
      </c>
      <c r="T764" s="2">
        <f>VLOOKUP($A764,'[2]App C Inv'!$A$4:$I$917,8,FALSE)</f>
        <v>4002</v>
      </c>
      <c r="U764" s="2">
        <f>VLOOKUP($A764,'[2]App C Inv'!$A$4:$I$917,9,FALSE)</f>
        <v>0</v>
      </c>
      <c r="V764" s="2"/>
      <c r="W764" s="2">
        <f>VLOOKUP($A764,'[2]App C Assum'!$A$4:$I$917,5,FALSE)</f>
        <v>28576</v>
      </c>
      <c r="X764" s="2">
        <f>VLOOKUP($A764,'[2]App C Assum'!$A$4:$I$917,6,FALSE)</f>
        <v>23411</v>
      </c>
      <c r="Y764" s="2">
        <f>VLOOKUP($A764,'[2]App C Assum'!$A$4:$I$917,7,FALSE)</f>
        <v>19006</v>
      </c>
      <c r="Z764" s="2">
        <f>VLOOKUP($A764,'[2]App C Assum'!$A$4:$I$917,8,FALSE)</f>
        <v>0</v>
      </c>
      <c r="AA764" s="2">
        <f>VLOOKUP($A764,'[2]App C Assum'!$A$4:$I$917,9,FALSE)</f>
        <v>0</v>
      </c>
      <c r="AB764" s="2"/>
      <c r="AC764" s="2">
        <f>VLOOKUP($A764,'[2]App C Share Outflows'!$A$4:$I$917,5,FALSE)</f>
        <v>8568</v>
      </c>
      <c r="AD764" s="2">
        <f>VLOOKUP($A764,'[2]App C Share Outflows'!$A$4:$I$917,6,FALSE)</f>
        <v>8567</v>
      </c>
      <c r="AE764" s="2">
        <f>VLOOKUP($A764,'[2]App C Share Outflows'!$A$4:$I$917,7,FALSE)</f>
        <v>6012</v>
      </c>
      <c r="AF764" s="2">
        <f>VLOOKUP($A764,'[2]App C Share Outflows'!$A$4:$I$917,8,FALSE)</f>
        <v>5904</v>
      </c>
      <c r="AG764" s="2">
        <f>VLOOKUP($A764,'[2]App C Share Outflows'!$A$4:$I$917,9,FALSE)</f>
        <v>0</v>
      </c>
      <c r="AH764" s="2"/>
      <c r="AI764" s="2">
        <f>VLOOKUP($A764,'[2]App C Share Inflows'!$A$4:$I$917,5,FALSE)</f>
        <v>-6185</v>
      </c>
      <c r="AJ764" s="2">
        <f>VLOOKUP($A764,'[2]App C Share Inflows'!$A$4:$I$917,6,FALSE)</f>
        <v>0</v>
      </c>
      <c r="AK764" s="2">
        <f>VLOOKUP($A764,'[2]App C Share Inflows'!$A$4:$I$917,7,FALSE)</f>
        <v>0</v>
      </c>
      <c r="AL764" s="2">
        <f>VLOOKUP($A764,'[2]App C Share Inflows'!$A$4:$I$917,8,FALSE)</f>
        <v>0</v>
      </c>
      <c r="AM764" s="2">
        <f>VLOOKUP($A764,'[2]App C Share Inflows'!$A$4:$I$917,6,FALSE)</f>
        <v>0</v>
      </c>
    </row>
    <row r="765" spans="1:39">
      <c r="A765" s="351">
        <v>98111</v>
      </c>
      <c r="B765" s="344" t="s">
        <v>1463</v>
      </c>
      <c r="C765" s="235" t="e">
        <f>VLOOKUP(A765,#REF!,10,FALSE)</f>
        <v>#REF!</v>
      </c>
      <c r="E765" s="2">
        <f>VLOOKUP($A765,'[2]App C Total'!$A$4:$I$917,5,FALSE)</f>
        <v>466102</v>
      </c>
      <c r="F765" s="2">
        <f>VLOOKUP($A765,'[2]App C Total'!$A$4:$I$917,6,FALSE)</f>
        <v>131077</v>
      </c>
      <c r="G765" s="2">
        <f>VLOOKUP($A765,'[2]App C Total'!$A$4:$I$917,7,FALSE)</f>
        <v>255000</v>
      </c>
      <c r="H765" s="2">
        <f>VLOOKUP($A765,'[2]App C Total'!$A$4:$I$917,8,FALSE)</f>
        <v>69309</v>
      </c>
      <c r="I765" s="2">
        <f>VLOOKUP($A765,'[2]App C Total'!$A$4:$I$917,9,FALSE)</f>
        <v>0</v>
      </c>
      <c r="J765" s="2"/>
      <c r="K765" s="2">
        <f>VLOOKUP($A765,'[2]App C Exp'!$A$4:$I$917,5,FALSE)</f>
        <v>153283</v>
      </c>
      <c r="L765" s="2">
        <f>VLOOKUP($A765,'[2]App C Exp'!$A$4:$I$917,6,FALSE)</f>
        <v>144189</v>
      </c>
      <c r="M765" s="2">
        <f>VLOOKUP($A765,'[2]App C Exp'!$A$4:$I$917,7,FALSE)</f>
        <v>129235</v>
      </c>
      <c r="N765" s="2">
        <f>VLOOKUP($A765,'[2]App C Exp'!$A$4:$I$917,8,FALSE)</f>
        <v>51744</v>
      </c>
      <c r="O765" s="2">
        <f>VLOOKUP($A765,'[2]App C Exp'!$A$4:$I$917,9,FALSE)</f>
        <v>0</v>
      </c>
      <c r="P765" s="2"/>
      <c r="Q765" s="2">
        <f>VLOOKUP($A765,'[2]App C Inv'!$A$4:$I$917,5,FALSE)</f>
        <v>162731</v>
      </c>
      <c r="R765" s="2">
        <f>VLOOKUP($A765,'[2]App C Inv'!$A$4:$I$917,6,FALSE)</f>
        <v>-139979</v>
      </c>
      <c r="S765" s="2">
        <f>VLOOKUP($A765,'[2]App C Inv'!$A$4:$I$917,7,FALSE)</f>
        <v>19728</v>
      </c>
      <c r="T765" s="2">
        <f>VLOOKUP($A765,'[2]App C Inv'!$A$4:$I$917,8,FALSE)</f>
        <v>25676</v>
      </c>
      <c r="U765" s="2">
        <f>VLOOKUP($A765,'[2]App C Inv'!$A$4:$I$917,9,FALSE)</f>
        <v>0</v>
      </c>
      <c r="V765" s="2"/>
      <c r="W765" s="2">
        <f>VLOOKUP($A765,'[2]App C Assum'!$A$4:$I$917,5,FALSE)</f>
        <v>183319</v>
      </c>
      <c r="X765" s="2">
        <f>VLOOKUP($A765,'[2]App C Assum'!$A$4:$I$917,6,FALSE)</f>
        <v>150181</v>
      </c>
      <c r="Y765" s="2">
        <f>VLOOKUP($A765,'[2]App C Assum'!$A$4:$I$917,7,FALSE)</f>
        <v>121921</v>
      </c>
      <c r="Z765" s="2">
        <f>VLOOKUP($A765,'[2]App C Assum'!$A$4:$I$917,8,FALSE)</f>
        <v>0</v>
      </c>
      <c r="AA765" s="2">
        <f>VLOOKUP($A765,'[2]App C Assum'!$A$4:$I$917,9,FALSE)</f>
        <v>0</v>
      </c>
      <c r="AB765" s="2"/>
      <c r="AC765" s="2">
        <f>VLOOKUP($A765,'[2]App C Share Outflows'!$A$4:$I$917,5,FALSE)</f>
        <v>0</v>
      </c>
      <c r="AD765" s="2">
        <f>VLOOKUP($A765,'[2]App C Share Outflows'!$A$4:$I$917,6,FALSE)</f>
        <v>0</v>
      </c>
      <c r="AE765" s="2">
        <f>VLOOKUP($A765,'[2]App C Share Outflows'!$A$4:$I$917,7,FALSE)</f>
        <v>0</v>
      </c>
      <c r="AF765" s="2">
        <f>VLOOKUP($A765,'[2]App C Share Outflows'!$A$4:$I$917,8,FALSE)</f>
        <v>0</v>
      </c>
      <c r="AG765" s="2">
        <f>VLOOKUP($A765,'[2]App C Share Outflows'!$A$4:$I$917,9,FALSE)</f>
        <v>0</v>
      </c>
      <c r="AH765" s="2"/>
      <c r="AI765" s="2">
        <f>VLOOKUP($A765,'[2]App C Share Inflows'!$A$4:$I$917,5,FALSE)</f>
        <v>-33231</v>
      </c>
      <c r="AJ765" s="2">
        <f>VLOOKUP($A765,'[2]App C Share Inflows'!$A$4:$I$917,6,FALSE)</f>
        <v>-23314</v>
      </c>
      <c r="AK765" s="2">
        <f>VLOOKUP($A765,'[2]App C Share Inflows'!$A$4:$I$917,7,FALSE)</f>
        <v>-15884</v>
      </c>
      <c r="AL765" s="2">
        <f>VLOOKUP($A765,'[2]App C Share Inflows'!$A$4:$I$917,8,FALSE)</f>
        <v>-8111</v>
      </c>
      <c r="AM765" s="2">
        <f>VLOOKUP($A765,'[2]App C Share Inflows'!$A$4:$I$917,6,FALSE)</f>
        <v>-23314</v>
      </c>
    </row>
    <row r="766" spans="1:39">
      <c r="A766" s="351">
        <v>98113</v>
      </c>
      <c r="B766" s="344" t="s">
        <v>1464</v>
      </c>
      <c r="C766" s="235" t="e">
        <f>VLOOKUP(A766,#REF!,10,FALSE)</f>
        <v>#REF!</v>
      </c>
      <c r="E766" s="2">
        <f>VLOOKUP($A766,'[2]App C Total'!$A$4:$I$917,5,FALSE)</f>
        <v>19117</v>
      </c>
      <c r="F766" s="2">
        <f>VLOOKUP($A766,'[2]App C Total'!$A$4:$I$917,6,FALSE)</f>
        <v>7267</v>
      </c>
      <c r="G766" s="2">
        <f>VLOOKUP($A766,'[2]App C Total'!$A$4:$I$917,7,FALSE)</f>
        <v>9463</v>
      </c>
      <c r="H766" s="2">
        <f>VLOOKUP($A766,'[2]App C Total'!$A$4:$I$917,8,FALSE)</f>
        <v>3159</v>
      </c>
      <c r="I766" s="2">
        <f>VLOOKUP($A766,'[2]App C Total'!$A$4:$I$917,9,FALSE)</f>
        <v>0</v>
      </c>
      <c r="J766" s="2"/>
      <c r="K766" s="2">
        <f>VLOOKUP($A766,'[2]App C Exp'!$A$4:$I$917,5,FALSE)</f>
        <v>5078</v>
      </c>
      <c r="L766" s="2">
        <f>VLOOKUP($A766,'[2]App C Exp'!$A$4:$I$917,6,FALSE)</f>
        <v>4777</v>
      </c>
      <c r="M766" s="2">
        <f>VLOOKUP($A766,'[2]App C Exp'!$A$4:$I$917,7,FALSE)</f>
        <v>4282</v>
      </c>
      <c r="N766" s="2">
        <f>VLOOKUP($A766,'[2]App C Exp'!$A$4:$I$917,8,FALSE)</f>
        <v>1714</v>
      </c>
      <c r="O766" s="2">
        <f>VLOOKUP($A766,'[2]App C Exp'!$A$4:$I$917,9,FALSE)</f>
        <v>0</v>
      </c>
      <c r="P766" s="2"/>
      <c r="Q766" s="2">
        <f>VLOOKUP($A766,'[2]App C Inv'!$A$4:$I$917,5,FALSE)</f>
        <v>5391</v>
      </c>
      <c r="R766" s="2">
        <f>VLOOKUP($A766,'[2]App C Inv'!$A$4:$I$917,6,FALSE)</f>
        <v>-4638</v>
      </c>
      <c r="S766" s="2">
        <f>VLOOKUP($A766,'[2]App C Inv'!$A$4:$I$917,7,FALSE)</f>
        <v>654</v>
      </c>
      <c r="T766" s="2">
        <f>VLOOKUP($A766,'[2]App C Inv'!$A$4:$I$917,8,FALSE)</f>
        <v>851</v>
      </c>
      <c r="U766" s="2">
        <f>VLOOKUP($A766,'[2]App C Inv'!$A$4:$I$917,9,FALSE)</f>
        <v>0</v>
      </c>
      <c r="V766" s="2"/>
      <c r="W766" s="2">
        <f>VLOOKUP($A766,'[2]App C Assum'!$A$4:$I$917,5,FALSE)</f>
        <v>6074</v>
      </c>
      <c r="X766" s="2">
        <f>VLOOKUP($A766,'[2]App C Assum'!$A$4:$I$917,6,FALSE)</f>
        <v>4976</v>
      </c>
      <c r="Y766" s="2">
        <f>VLOOKUP($A766,'[2]App C Assum'!$A$4:$I$917,7,FALSE)</f>
        <v>4039</v>
      </c>
      <c r="Z766" s="2">
        <f>VLOOKUP($A766,'[2]App C Assum'!$A$4:$I$917,8,FALSE)</f>
        <v>0</v>
      </c>
      <c r="AA766" s="2">
        <f>VLOOKUP($A766,'[2]App C Assum'!$A$4:$I$917,9,FALSE)</f>
        <v>0</v>
      </c>
      <c r="AB766" s="2"/>
      <c r="AC766" s="2">
        <f>VLOOKUP($A766,'[2]App C Share Outflows'!$A$4:$I$917,5,FALSE)</f>
        <v>2678</v>
      </c>
      <c r="AD766" s="2">
        <f>VLOOKUP($A766,'[2]App C Share Outflows'!$A$4:$I$917,6,FALSE)</f>
        <v>2256</v>
      </c>
      <c r="AE766" s="2">
        <f>VLOOKUP($A766,'[2]App C Share Outflows'!$A$4:$I$917,7,FALSE)</f>
        <v>592</v>
      </c>
      <c r="AF766" s="2">
        <f>VLOOKUP($A766,'[2]App C Share Outflows'!$A$4:$I$917,8,FALSE)</f>
        <v>594</v>
      </c>
      <c r="AG766" s="2">
        <f>VLOOKUP($A766,'[2]App C Share Outflows'!$A$4:$I$917,9,FALSE)</f>
        <v>0</v>
      </c>
      <c r="AH766" s="2"/>
      <c r="AI766" s="2">
        <f>VLOOKUP($A766,'[2]App C Share Inflows'!$A$4:$I$917,5,FALSE)</f>
        <v>-104</v>
      </c>
      <c r="AJ766" s="2">
        <f>VLOOKUP($A766,'[2]App C Share Inflows'!$A$4:$I$917,6,FALSE)</f>
        <v>-104</v>
      </c>
      <c r="AK766" s="2">
        <f>VLOOKUP($A766,'[2]App C Share Inflows'!$A$4:$I$917,7,FALSE)</f>
        <v>-104</v>
      </c>
      <c r="AL766" s="2">
        <f>VLOOKUP($A766,'[2]App C Share Inflows'!$A$4:$I$917,8,FALSE)</f>
        <v>0</v>
      </c>
      <c r="AM766" s="2">
        <f>VLOOKUP($A766,'[2]App C Share Inflows'!$A$4:$I$917,6,FALSE)</f>
        <v>-104</v>
      </c>
    </row>
    <row r="767" spans="1:39">
      <c r="A767" s="351">
        <v>98121</v>
      </c>
      <c r="B767" s="344" t="s">
        <v>1465</v>
      </c>
      <c r="C767" s="235" t="e">
        <f>VLOOKUP(A767,#REF!,10,FALSE)</f>
        <v>#REF!</v>
      </c>
      <c r="E767" s="2">
        <f>VLOOKUP($A767,'[2]App C Total'!$A$4:$I$917,5,FALSE)</f>
        <v>96531</v>
      </c>
      <c r="F767" s="2">
        <f>VLOOKUP($A767,'[2]App C Total'!$A$4:$I$917,6,FALSE)</f>
        <v>24704</v>
      </c>
      <c r="G767" s="2">
        <f>VLOOKUP($A767,'[2]App C Total'!$A$4:$I$917,7,FALSE)</f>
        <v>54198</v>
      </c>
      <c r="H767" s="2">
        <f>VLOOKUP($A767,'[2]App C Total'!$A$4:$I$917,8,FALSE)</f>
        <v>12696</v>
      </c>
      <c r="I767" s="2">
        <f>VLOOKUP($A767,'[2]App C Total'!$A$4:$I$917,9,FALSE)</f>
        <v>0</v>
      </c>
      <c r="J767" s="2"/>
      <c r="K767" s="2">
        <f>VLOOKUP($A767,'[2]App C Exp'!$A$4:$I$917,5,FALSE)</f>
        <v>31849</v>
      </c>
      <c r="L767" s="2">
        <f>VLOOKUP($A767,'[2]App C Exp'!$A$4:$I$917,6,FALSE)</f>
        <v>29960</v>
      </c>
      <c r="M767" s="2">
        <f>VLOOKUP($A767,'[2]App C Exp'!$A$4:$I$917,7,FALSE)</f>
        <v>26852</v>
      </c>
      <c r="N767" s="2">
        <f>VLOOKUP($A767,'[2]App C Exp'!$A$4:$I$917,8,FALSE)</f>
        <v>10751</v>
      </c>
      <c r="O767" s="2">
        <f>VLOOKUP($A767,'[2]App C Exp'!$A$4:$I$917,9,FALSE)</f>
        <v>0</v>
      </c>
      <c r="P767" s="2"/>
      <c r="Q767" s="2">
        <f>VLOOKUP($A767,'[2]App C Inv'!$A$4:$I$917,5,FALSE)</f>
        <v>33812</v>
      </c>
      <c r="R767" s="2">
        <f>VLOOKUP($A767,'[2]App C Inv'!$A$4:$I$917,6,FALSE)</f>
        <v>-29085</v>
      </c>
      <c r="S767" s="2">
        <f>VLOOKUP($A767,'[2]App C Inv'!$A$4:$I$917,7,FALSE)</f>
        <v>4099</v>
      </c>
      <c r="T767" s="2">
        <f>VLOOKUP($A767,'[2]App C Inv'!$A$4:$I$917,8,FALSE)</f>
        <v>5335</v>
      </c>
      <c r="U767" s="2">
        <f>VLOOKUP($A767,'[2]App C Inv'!$A$4:$I$917,9,FALSE)</f>
        <v>0</v>
      </c>
      <c r="V767" s="2"/>
      <c r="W767" s="2">
        <f>VLOOKUP($A767,'[2]App C Assum'!$A$4:$I$917,5,FALSE)</f>
        <v>38090</v>
      </c>
      <c r="X767" s="2">
        <f>VLOOKUP($A767,'[2]App C Assum'!$A$4:$I$917,6,FALSE)</f>
        <v>31205</v>
      </c>
      <c r="Y767" s="2">
        <f>VLOOKUP($A767,'[2]App C Assum'!$A$4:$I$917,7,FALSE)</f>
        <v>25333</v>
      </c>
      <c r="Z767" s="2">
        <f>VLOOKUP($A767,'[2]App C Assum'!$A$4:$I$917,8,FALSE)</f>
        <v>0</v>
      </c>
      <c r="AA767" s="2">
        <f>VLOOKUP($A767,'[2]App C Assum'!$A$4:$I$917,9,FALSE)</f>
        <v>0</v>
      </c>
      <c r="AB767" s="2"/>
      <c r="AC767" s="2">
        <f>VLOOKUP($A767,'[2]App C Share Outflows'!$A$4:$I$917,5,FALSE)</f>
        <v>1461</v>
      </c>
      <c r="AD767" s="2">
        <f>VLOOKUP($A767,'[2]App C Share Outflows'!$A$4:$I$917,6,FALSE)</f>
        <v>1306</v>
      </c>
      <c r="AE767" s="2">
        <f>VLOOKUP($A767,'[2]App C Share Outflows'!$A$4:$I$917,7,FALSE)</f>
        <v>1304</v>
      </c>
      <c r="AF767" s="2">
        <f>VLOOKUP($A767,'[2]App C Share Outflows'!$A$4:$I$917,8,FALSE)</f>
        <v>0</v>
      </c>
      <c r="AG767" s="2">
        <f>VLOOKUP($A767,'[2]App C Share Outflows'!$A$4:$I$917,9,FALSE)</f>
        <v>0</v>
      </c>
      <c r="AH767" s="2"/>
      <c r="AI767" s="2">
        <f>VLOOKUP($A767,'[2]App C Share Inflows'!$A$4:$I$917,5,FALSE)</f>
        <v>-8681</v>
      </c>
      <c r="AJ767" s="2">
        <f>VLOOKUP($A767,'[2]App C Share Inflows'!$A$4:$I$917,6,FALSE)</f>
        <v>-8682</v>
      </c>
      <c r="AK767" s="2">
        <f>VLOOKUP($A767,'[2]App C Share Inflows'!$A$4:$I$917,7,FALSE)</f>
        <v>-3390</v>
      </c>
      <c r="AL767" s="2">
        <f>VLOOKUP($A767,'[2]App C Share Inflows'!$A$4:$I$917,8,FALSE)</f>
        <v>-3390</v>
      </c>
      <c r="AM767" s="2">
        <f>VLOOKUP($A767,'[2]App C Share Inflows'!$A$4:$I$917,6,FALSE)</f>
        <v>-8682</v>
      </c>
    </row>
    <row r="768" spans="1:39">
      <c r="A768" s="351">
        <v>98131</v>
      </c>
      <c r="B768" s="344" t="s">
        <v>1466</v>
      </c>
      <c r="C768" s="235" t="e">
        <f>VLOOKUP(A768,#REF!,10,FALSE)</f>
        <v>#REF!</v>
      </c>
      <c r="E768" s="2">
        <f>VLOOKUP($A768,'[2]App C Total'!$A$4:$I$917,5,FALSE)</f>
        <v>116718</v>
      </c>
      <c r="F768" s="2">
        <f>VLOOKUP($A768,'[2]App C Total'!$A$4:$I$917,6,FALSE)</f>
        <v>34747</v>
      </c>
      <c r="G768" s="2">
        <f>VLOOKUP($A768,'[2]App C Total'!$A$4:$I$917,7,FALSE)</f>
        <v>69925</v>
      </c>
      <c r="H768" s="2">
        <f>VLOOKUP($A768,'[2]App C Total'!$A$4:$I$917,8,FALSE)</f>
        <v>25005</v>
      </c>
      <c r="I768" s="2">
        <f>VLOOKUP($A768,'[2]App C Total'!$A$4:$I$917,9,FALSE)</f>
        <v>0</v>
      </c>
      <c r="J768" s="2"/>
      <c r="K768" s="2">
        <f>VLOOKUP($A768,'[2]App C Exp'!$A$4:$I$917,5,FALSE)</f>
        <v>37736</v>
      </c>
      <c r="L768" s="2">
        <f>VLOOKUP($A768,'[2]App C Exp'!$A$4:$I$917,6,FALSE)</f>
        <v>35498</v>
      </c>
      <c r="M768" s="2">
        <f>VLOOKUP($A768,'[2]App C Exp'!$A$4:$I$917,7,FALSE)</f>
        <v>31816</v>
      </c>
      <c r="N768" s="2">
        <f>VLOOKUP($A768,'[2]App C Exp'!$A$4:$I$917,8,FALSE)</f>
        <v>12739</v>
      </c>
      <c r="O768" s="2">
        <f>VLOOKUP($A768,'[2]App C Exp'!$A$4:$I$917,9,FALSE)</f>
        <v>0</v>
      </c>
      <c r="P768" s="2"/>
      <c r="Q768" s="2">
        <f>VLOOKUP($A768,'[2]App C Inv'!$A$4:$I$917,5,FALSE)</f>
        <v>40062</v>
      </c>
      <c r="R768" s="2">
        <f>VLOOKUP($A768,'[2]App C Inv'!$A$4:$I$917,6,FALSE)</f>
        <v>-34461</v>
      </c>
      <c r="S768" s="2">
        <f>VLOOKUP($A768,'[2]App C Inv'!$A$4:$I$917,7,FALSE)</f>
        <v>4857</v>
      </c>
      <c r="T768" s="2">
        <f>VLOOKUP($A768,'[2]App C Inv'!$A$4:$I$917,8,FALSE)</f>
        <v>6321</v>
      </c>
      <c r="U768" s="2">
        <f>VLOOKUP($A768,'[2]App C Inv'!$A$4:$I$917,9,FALSE)</f>
        <v>0</v>
      </c>
      <c r="V768" s="2"/>
      <c r="W768" s="2">
        <f>VLOOKUP($A768,'[2]App C Assum'!$A$4:$I$917,5,FALSE)</f>
        <v>45131</v>
      </c>
      <c r="X768" s="2">
        <f>VLOOKUP($A768,'[2]App C Assum'!$A$4:$I$917,6,FALSE)</f>
        <v>36973</v>
      </c>
      <c r="Y768" s="2">
        <f>VLOOKUP($A768,'[2]App C Assum'!$A$4:$I$917,7,FALSE)</f>
        <v>30016</v>
      </c>
      <c r="Z768" s="2">
        <f>VLOOKUP($A768,'[2]App C Assum'!$A$4:$I$917,8,FALSE)</f>
        <v>0</v>
      </c>
      <c r="AA768" s="2">
        <f>VLOOKUP($A768,'[2]App C Assum'!$A$4:$I$917,9,FALSE)</f>
        <v>0</v>
      </c>
      <c r="AB768" s="2"/>
      <c r="AC768" s="2">
        <f>VLOOKUP($A768,'[2]App C Share Outflows'!$A$4:$I$917,5,FALSE)</f>
        <v>5943</v>
      </c>
      <c r="AD768" s="2">
        <f>VLOOKUP($A768,'[2]App C Share Outflows'!$A$4:$I$917,6,FALSE)</f>
        <v>5943</v>
      </c>
      <c r="AE768" s="2">
        <f>VLOOKUP($A768,'[2]App C Share Outflows'!$A$4:$I$917,7,FALSE)</f>
        <v>5943</v>
      </c>
      <c r="AF768" s="2">
        <f>VLOOKUP($A768,'[2]App C Share Outflows'!$A$4:$I$917,8,FALSE)</f>
        <v>5945</v>
      </c>
      <c r="AG768" s="2">
        <f>VLOOKUP($A768,'[2]App C Share Outflows'!$A$4:$I$917,9,FALSE)</f>
        <v>0</v>
      </c>
      <c r="AH768" s="2"/>
      <c r="AI768" s="2">
        <f>VLOOKUP($A768,'[2]App C Share Inflows'!$A$4:$I$917,5,FALSE)</f>
        <v>-12154</v>
      </c>
      <c r="AJ768" s="2">
        <f>VLOOKUP($A768,'[2]App C Share Inflows'!$A$4:$I$917,6,FALSE)</f>
        <v>-9206</v>
      </c>
      <c r="AK768" s="2">
        <f>VLOOKUP($A768,'[2]App C Share Inflows'!$A$4:$I$917,7,FALSE)</f>
        <v>-2707</v>
      </c>
      <c r="AL768" s="2">
        <f>VLOOKUP($A768,'[2]App C Share Inflows'!$A$4:$I$917,8,FALSE)</f>
        <v>0</v>
      </c>
      <c r="AM768" s="2">
        <f>VLOOKUP($A768,'[2]App C Share Inflows'!$A$4:$I$917,6,FALSE)</f>
        <v>-9206</v>
      </c>
    </row>
    <row r="769" spans="1:39">
      <c r="A769" s="351">
        <v>98141</v>
      </c>
      <c r="B769" s="344" t="s">
        <v>1467</v>
      </c>
      <c r="C769" s="235" t="e">
        <f>VLOOKUP(A769,#REF!,10,FALSE)</f>
        <v>#REF!</v>
      </c>
      <c r="E769" s="2">
        <f>VLOOKUP($A769,'[2]App C Total'!$A$4:$I$917,5,FALSE)</f>
        <v>130157</v>
      </c>
      <c r="F769" s="2">
        <f>VLOOKUP($A769,'[2]App C Total'!$A$4:$I$917,6,FALSE)</f>
        <v>37674</v>
      </c>
      <c r="G769" s="2">
        <f>VLOOKUP($A769,'[2]App C Total'!$A$4:$I$917,7,FALSE)</f>
        <v>69283</v>
      </c>
      <c r="H769" s="2">
        <f>VLOOKUP($A769,'[2]App C Total'!$A$4:$I$917,8,FALSE)</f>
        <v>17833</v>
      </c>
      <c r="I769" s="2">
        <f>VLOOKUP($A769,'[2]App C Total'!$A$4:$I$917,9,FALSE)</f>
        <v>0</v>
      </c>
      <c r="J769" s="2"/>
      <c r="K769" s="2">
        <f>VLOOKUP($A769,'[2]App C Exp'!$A$4:$I$917,5,FALSE)</f>
        <v>42995</v>
      </c>
      <c r="L769" s="2">
        <f>VLOOKUP($A769,'[2]App C Exp'!$A$4:$I$917,6,FALSE)</f>
        <v>40444</v>
      </c>
      <c r="M769" s="2">
        <f>VLOOKUP($A769,'[2]App C Exp'!$A$4:$I$917,7,FALSE)</f>
        <v>36250</v>
      </c>
      <c r="N769" s="2">
        <f>VLOOKUP($A769,'[2]App C Exp'!$A$4:$I$917,8,FALSE)</f>
        <v>14514</v>
      </c>
      <c r="O769" s="2">
        <f>VLOOKUP($A769,'[2]App C Exp'!$A$4:$I$917,9,FALSE)</f>
        <v>0</v>
      </c>
      <c r="P769" s="2"/>
      <c r="Q769" s="2">
        <f>VLOOKUP($A769,'[2]App C Inv'!$A$4:$I$917,5,FALSE)</f>
        <v>45645</v>
      </c>
      <c r="R769" s="2">
        <f>VLOOKUP($A769,'[2]App C Inv'!$A$4:$I$917,6,FALSE)</f>
        <v>-39263</v>
      </c>
      <c r="S769" s="2">
        <f>VLOOKUP($A769,'[2]App C Inv'!$A$4:$I$917,7,FALSE)</f>
        <v>5534</v>
      </c>
      <c r="T769" s="2">
        <f>VLOOKUP($A769,'[2]App C Inv'!$A$4:$I$917,8,FALSE)</f>
        <v>7202</v>
      </c>
      <c r="U769" s="2">
        <f>VLOOKUP($A769,'[2]App C Inv'!$A$4:$I$917,9,FALSE)</f>
        <v>0</v>
      </c>
      <c r="V769" s="2"/>
      <c r="W769" s="2">
        <f>VLOOKUP($A769,'[2]App C Assum'!$A$4:$I$917,5,FALSE)</f>
        <v>51419</v>
      </c>
      <c r="X769" s="2">
        <f>VLOOKUP($A769,'[2]App C Assum'!$A$4:$I$917,6,FALSE)</f>
        <v>42125</v>
      </c>
      <c r="Y769" s="2">
        <f>VLOOKUP($A769,'[2]App C Assum'!$A$4:$I$917,7,FALSE)</f>
        <v>34198</v>
      </c>
      <c r="Z769" s="2">
        <f>VLOOKUP($A769,'[2]App C Assum'!$A$4:$I$917,8,FALSE)</f>
        <v>0</v>
      </c>
      <c r="AA769" s="2">
        <f>VLOOKUP($A769,'[2]App C Assum'!$A$4:$I$917,9,FALSE)</f>
        <v>0</v>
      </c>
      <c r="AB769" s="2"/>
      <c r="AC769" s="2">
        <f>VLOOKUP($A769,'[2]App C Share Outflows'!$A$4:$I$917,5,FALSE)</f>
        <v>1065</v>
      </c>
      <c r="AD769" s="2">
        <f>VLOOKUP($A769,'[2]App C Share Outflows'!$A$4:$I$917,6,FALSE)</f>
        <v>1067</v>
      </c>
      <c r="AE769" s="2">
        <f>VLOOKUP($A769,'[2]App C Share Outflows'!$A$4:$I$917,7,FALSE)</f>
        <v>0</v>
      </c>
      <c r="AF769" s="2">
        <f>VLOOKUP($A769,'[2]App C Share Outflows'!$A$4:$I$917,8,FALSE)</f>
        <v>0</v>
      </c>
      <c r="AG769" s="2">
        <f>VLOOKUP($A769,'[2]App C Share Outflows'!$A$4:$I$917,9,FALSE)</f>
        <v>0</v>
      </c>
      <c r="AH769" s="2"/>
      <c r="AI769" s="2">
        <f>VLOOKUP($A769,'[2]App C Share Inflows'!$A$4:$I$917,5,FALSE)</f>
        <v>-10967</v>
      </c>
      <c r="AJ769" s="2">
        <f>VLOOKUP($A769,'[2]App C Share Inflows'!$A$4:$I$917,6,FALSE)</f>
        <v>-6699</v>
      </c>
      <c r="AK769" s="2">
        <f>VLOOKUP($A769,'[2]App C Share Inflows'!$A$4:$I$917,7,FALSE)</f>
        <v>-6699</v>
      </c>
      <c r="AL769" s="2">
        <f>VLOOKUP($A769,'[2]App C Share Inflows'!$A$4:$I$917,8,FALSE)</f>
        <v>-3883</v>
      </c>
      <c r="AM769" s="2">
        <f>VLOOKUP($A769,'[2]App C Share Inflows'!$A$4:$I$917,6,FALSE)</f>
        <v>-6699</v>
      </c>
    </row>
    <row r="770" spans="1:39">
      <c r="A770" s="351">
        <v>98147</v>
      </c>
      <c r="B770" s="344" t="s">
        <v>1468</v>
      </c>
      <c r="C770" s="235" t="e">
        <f>VLOOKUP(A770,#REF!,10,FALSE)</f>
        <v>#REF!</v>
      </c>
      <c r="E770" s="2">
        <f>VLOOKUP($A770,'[2]App C Total'!$A$4:$I$917,5,FALSE)</f>
        <v>8636</v>
      </c>
      <c r="F770" s="2">
        <f>VLOOKUP($A770,'[2]App C Total'!$A$4:$I$917,6,FALSE)</f>
        <v>4092</v>
      </c>
      <c r="G770" s="2">
        <f>VLOOKUP($A770,'[2]App C Total'!$A$4:$I$917,7,FALSE)</f>
        <v>4512</v>
      </c>
      <c r="H770" s="2">
        <f>VLOOKUP($A770,'[2]App C Total'!$A$4:$I$917,8,FALSE)</f>
        <v>1729</v>
      </c>
      <c r="I770" s="2">
        <f>VLOOKUP($A770,'[2]App C Total'!$A$4:$I$917,9,FALSE)</f>
        <v>0</v>
      </c>
      <c r="J770" s="2"/>
      <c r="K770" s="2">
        <f>VLOOKUP($A770,'[2]App C Exp'!$A$4:$I$917,5,FALSE)</f>
        <v>1603</v>
      </c>
      <c r="L770" s="2">
        <f>VLOOKUP($A770,'[2]App C Exp'!$A$4:$I$917,6,FALSE)</f>
        <v>1508</v>
      </c>
      <c r="M770" s="2">
        <f>VLOOKUP($A770,'[2]App C Exp'!$A$4:$I$917,7,FALSE)</f>
        <v>1351</v>
      </c>
      <c r="N770" s="2">
        <f>VLOOKUP($A770,'[2]App C Exp'!$A$4:$I$917,8,FALSE)</f>
        <v>541</v>
      </c>
      <c r="O770" s="2">
        <f>VLOOKUP($A770,'[2]App C Exp'!$A$4:$I$917,9,FALSE)</f>
        <v>0</v>
      </c>
      <c r="P770" s="2"/>
      <c r="Q770" s="2">
        <f>VLOOKUP($A770,'[2]App C Inv'!$A$4:$I$917,5,FALSE)</f>
        <v>1702</v>
      </c>
      <c r="R770" s="2">
        <f>VLOOKUP($A770,'[2]App C Inv'!$A$4:$I$917,6,FALSE)</f>
        <v>-1464</v>
      </c>
      <c r="S770" s="2">
        <f>VLOOKUP($A770,'[2]App C Inv'!$A$4:$I$917,7,FALSE)</f>
        <v>206</v>
      </c>
      <c r="T770" s="2">
        <f>VLOOKUP($A770,'[2]App C Inv'!$A$4:$I$917,8,FALSE)</f>
        <v>269</v>
      </c>
      <c r="U770" s="2">
        <f>VLOOKUP($A770,'[2]App C Inv'!$A$4:$I$917,9,FALSE)</f>
        <v>0</v>
      </c>
      <c r="V770" s="2"/>
      <c r="W770" s="2">
        <f>VLOOKUP($A770,'[2]App C Assum'!$A$4:$I$917,5,FALSE)</f>
        <v>1917</v>
      </c>
      <c r="X770" s="2">
        <f>VLOOKUP($A770,'[2]App C Assum'!$A$4:$I$917,6,FALSE)</f>
        <v>1571</v>
      </c>
      <c r="Y770" s="2">
        <f>VLOOKUP($A770,'[2]App C Assum'!$A$4:$I$917,7,FALSE)</f>
        <v>1275</v>
      </c>
      <c r="Z770" s="2">
        <f>VLOOKUP($A770,'[2]App C Assum'!$A$4:$I$917,8,FALSE)</f>
        <v>0</v>
      </c>
      <c r="AA770" s="2">
        <f>VLOOKUP($A770,'[2]App C Assum'!$A$4:$I$917,9,FALSE)</f>
        <v>0</v>
      </c>
      <c r="AB770" s="2"/>
      <c r="AC770" s="2">
        <f>VLOOKUP($A770,'[2]App C Share Outflows'!$A$4:$I$917,5,FALSE)</f>
        <v>3414</v>
      </c>
      <c r="AD770" s="2">
        <f>VLOOKUP($A770,'[2]App C Share Outflows'!$A$4:$I$917,6,FALSE)</f>
        <v>2477</v>
      </c>
      <c r="AE770" s="2">
        <f>VLOOKUP($A770,'[2]App C Share Outflows'!$A$4:$I$917,7,FALSE)</f>
        <v>1680</v>
      </c>
      <c r="AF770" s="2">
        <f>VLOOKUP($A770,'[2]App C Share Outflows'!$A$4:$I$917,8,FALSE)</f>
        <v>919</v>
      </c>
      <c r="AG770" s="2">
        <f>VLOOKUP($A770,'[2]App C Share Outflows'!$A$4:$I$917,9,FALSE)</f>
        <v>0</v>
      </c>
      <c r="AH770" s="2"/>
      <c r="AI770" s="2">
        <f>VLOOKUP($A770,'[2]App C Share Inflows'!$A$4:$I$917,5,FALSE)</f>
        <v>0</v>
      </c>
      <c r="AJ770" s="2">
        <f>VLOOKUP($A770,'[2]App C Share Inflows'!$A$4:$I$917,6,FALSE)</f>
        <v>0</v>
      </c>
      <c r="AK770" s="2">
        <f>VLOOKUP($A770,'[2]App C Share Inflows'!$A$4:$I$917,7,FALSE)</f>
        <v>0</v>
      </c>
      <c r="AL770" s="2">
        <f>VLOOKUP($A770,'[2]App C Share Inflows'!$A$4:$I$917,8,FALSE)</f>
        <v>0</v>
      </c>
      <c r="AM770" s="2">
        <f>VLOOKUP($A770,'[2]App C Share Inflows'!$A$4:$I$917,6,FALSE)</f>
        <v>0</v>
      </c>
    </row>
    <row r="771" spans="1:39">
      <c r="A771" s="351">
        <v>98161</v>
      </c>
      <c r="B771" s="344" t="s">
        <v>1469</v>
      </c>
      <c r="C771" s="235" t="e">
        <f>VLOOKUP(A771,#REF!,10,FALSE)</f>
        <v>#REF!</v>
      </c>
      <c r="E771" s="2">
        <f>VLOOKUP($A771,'[2]App C Total'!$A$4:$I$917,5,FALSE)</f>
        <v>4261</v>
      </c>
      <c r="F771" s="2">
        <f>VLOOKUP($A771,'[2]App C Total'!$A$4:$I$917,6,FALSE)</f>
        <v>1950</v>
      </c>
      <c r="G771" s="2">
        <f>VLOOKUP($A771,'[2]App C Total'!$A$4:$I$917,7,FALSE)</f>
        <v>2331</v>
      </c>
      <c r="H771" s="2">
        <f>VLOOKUP($A771,'[2]App C Total'!$A$4:$I$917,8,FALSE)</f>
        <v>850</v>
      </c>
      <c r="I771" s="2">
        <f>VLOOKUP($A771,'[2]App C Total'!$A$4:$I$917,9,FALSE)</f>
        <v>0</v>
      </c>
      <c r="J771" s="2"/>
      <c r="K771" s="2">
        <f>VLOOKUP($A771,'[2]App C Exp'!$A$4:$I$917,5,FALSE)</f>
        <v>929</v>
      </c>
      <c r="L771" s="2">
        <f>VLOOKUP($A771,'[2]App C Exp'!$A$4:$I$917,6,FALSE)</f>
        <v>874</v>
      </c>
      <c r="M771" s="2">
        <f>VLOOKUP($A771,'[2]App C Exp'!$A$4:$I$917,7,FALSE)</f>
        <v>783</v>
      </c>
      <c r="N771" s="2">
        <f>VLOOKUP($A771,'[2]App C Exp'!$A$4:$I$917,8,FALSE)</f>
        <v>314</v>
      </c>
      <c r="O771" s="2">
        <f>VLOOKUP($A771,'[2]App C Exp'!$A$4:$I$917,9,FALSE)</f>
        <v>0</v>
      </c>
      <c r="P771" s="2"/>
      <c r="Q771" s="2">
        <f>VLOOKUP($A771,'[2]App C Inv'!$A$4:$I$917,5,FALSE)</f>
        <v>986</v>
      </c>
      <c r="R771" s="2">
        <f>VLOOKUP($A771,'[2]App C Inv'!$A$4:$I$917,6,FALSE)</f>
        <v>-848</v>
      </c>
      <c r="S771" s="2">
        <f>VLOOKUP($A771,'[2]App C Inv'!$A$4:$I$917,7,FALSE)</f>
        <v>120</v>
      </c>
      <c r="T771" s="2">
        <f>VLOOKUP($A771,'[2]App C Inv'!$A$4:$I$917,8,FALSE)</f>
        <v>156</v>
      </c>
      <c r="U771" s="2">
        <f>VLOOKUP($A771,'[2]App C Inv'!$A$4:$I$917,9,FALSE)</f>
        <v>0</v>
      </c>
      <c r="V771" s="2"/>
      <c r="W771" s="2">
        <f>VLOOKUP($A771,'[2]App C Assum'!$A$4:$I$917,5,FALSE)</f>
        <v>1111</v>
      </c>
      <c r="X771" s="2">
        <f>VLOOKUP($A771,'[2]App C Assum'!$A$4:$I$917,6,FALSE)</f>
        <v>910</v>
      </c>
      <c r="Y771" s="2">
        <f>VLOOKUP($A771,'[2]App C Assum'!$A$4:$I$917,7,FALSE)</f>
        <v>739</v>
      </c>
      <c r="Z771" s="2">
        <f>VLOOKUP($A771,'[2]App C Assum'!$A$4:$I$917,8,FALSE)</f>
        <v>0</v>
      </c>
      <c r="AA771" s="2">
        <f>VLOOKUP($A771,'[2]App C Assum'!$A$4:$I$917,9,FALSE)</f>
        <v>0</v>
      </c>
      <c r="AB771" s="2"/>
      <c r="AC771" s="2">
        <f>VLOOKUP($A771,'[2]App C Share Outflows'!$A$4:$I$917,5,FALSE)</f>
        <v>1235</v>
      </c>
      <c r="AD771" s="2">
        <f>VLOOKUP($A771,'[2]App C Share Outflows'!$A$4:$I$917,6,FALSE)</f>
        <v>1014</v>
      </c>
      <c r="AE771" s="2">
        <f>VLOOKUP($A771,'[2]App C Share Outflows'!$A$4:$I$917,7,FALSE)</f>
        <v>689</v>
      </c>
      <c r="AF771" s="2">
        <f>VLOOKUP($A771,'[2]App C Share Outflows'!$A$4:$I$917,8,FALSE)</f>
        <v>380</v>
      </c>
      <c r="AG771" s="2">
        <f>VLOOKUP($A771,'[2]App C Share Outflows'!$A$4:$I$917,9,FALSE)</f>
        <v>0</v>
      </c>
      <c r="AH771" s="2"/>
      <c r="AI771" s="2">
        <f>VLOOKUP($A771,'[2]App C Share Inflows'!$A$4:$I$917,5,FALSE)</f>
        <v>0</v>
      </c>
      <c r="AJ771" s="2">
        <f>VLOOKUP($A771,'[2]App C Share Inflows'!$A$4:$I$917,6,FALSE)</f>
        <v>0</v>
      </c>
      <c r="AK771" s="2">
        <f>VLOOKUP($A771,'[2]App C Share Inflows'!$A$4:$I$917,7,FALSE)</f>
        <v>0</v>
      </c>
      <c r="AL771" s="2">
        <f>VLOOKUP($A771,'[2]App C Share Inflows'!$A$4:$I$917,8,FALSE)</f>
        <v>0</v>
      </c>
      <c r="AM771" s="2">
        <f>VLOOKUP($A771,'[2]App C Share Inflows'!$A$4:$I$917,6,FALSE)</f>
        <v>0</v>
      </c>
    </row>
    <row r="772" spans="1:39">
      <c r="A772" s="351">
        <v>98201</v>
      </c>
      <c r="B772" s="344" t="s">
        <v>1470</v>
      </c>
      <c r="C772" s="235" t="e">
        <f>VLOOKUP(A772,#REF!,10,FALSE)</f>
        <v>#REF!</v>
      </c>
      <c r="E772" s="2">
        <f>VLOOKUP($A772,'[2]App C Total'!$A$4:$I$917,5,FALSE)</f>
        <v>1662461</v>
      </c>
      <c r="F772" s="2">
        <f>VLOOKUP($A772,'[2]App C Total'!$A$4:$I$917,6,FALSE)</f>
        <v>537669</v>
      </c>
      <c r="G772" s="2">
        <f>VLOOKUP($A772,'[2]App C Total'!$A$4:$I$917,7,FALSE)</f>
        <v>902985</v>
      </c>
      <c r="H772" s="2">
        <f>VLOOKUP($A772,'[2]App C Total'!$A$4:$I$917,8,FALSE)</f>
        <v>277906</v>
      </c>
      <c r="I772" s="2">
        <f>VLOOKUP($A772,'[2]App C Total'!$A$4:$I$917,9,FALSE)</f>
        <v>0</v>
      </c>
      <c r="J772" s="2"/>
      <c r="K772" s="2">
        <f>VLOOKUP($A772,'[2]App C Exp'!$A$4:$I$917,5,FALSE)</f>
        <v>501599</v>
      </c>
      <c r="L772" s="2">
        <f>VLOOKUP($A772,'[2]App C Exp'!$A$4:$I$917,6,FALSE)</f>
        <v>471842</v>
      </c>
      <c r="M772" s="2">
        <f>VLOOKUP($A772,'[2]App C Exp'!$A$4:$I$917,7,FALSE)</f>
        <v>422907</v>
      </c>
      <c r="N772" s="2">
        <f>VLOOKUP($A772,'[2]App C Exp'!$A$4:$I$917,8,FALSE)</f>
        <v>169327</v>
      </c>
      <c r="O772" s="2">
        <f>VLOOKUP($A772,'[2]App C Exp'!$A$4:$I$917,9,FALSE)</f>
        <v>0</v>
      </c>
      <c r="P772" s="2"/>
      <c r="Q772" s="2">
        <f>VLOOKUP($A772,'[2]App C Inv'!$A$4:$I$917,5,FALSE)</f>
        <v>532517</v>
      </c>
      <c r="R772" s="2">
        <f>VLOOKUP($A772,'[2]App C Inv'!$A$4:$I$917,6,FALSE)</f>
        <v>-458064</v>
      </c>
      <c r="S772" s="2">
        <f>VLOOKUP($A772,'[2]App C Inv'!$A$4:$I$917,7,FALSE)</f>
        <v>64559</v>
      </c>
      <c r="T772" s="2">
        <f>VLOOKUP($A772,'[2]App C Inv'!$A$4:$I$917,8,FALSE)</f>
        <v>84022</v>
      </c>
      <c r="U772" s="2">
        <f>VLOOKUP($A772,'[2]App C Inv'!$A$4:$I$917,9,FALSE)</f>
        <v>0</v>
      </c>
      <c r="V772" s="2"/>
      <c r="W772" s="2">
        <f>VLOOKUP($A772,'[2]App C Assum'!$A$4:$I$917,5,FALSE)</f>
        <v>599888</v>
      </c>
      <c r="X772" s="2">
        <f>VLOOKUP($A772,'[2]App C Assum'!$A$4:$I$917,6,FALSE)</f>
        <v>491450</v>
      </c>
      <c r="Y772" s="2">
        <f>VLOOKUP($A772,'[2]App C Assum'!$A$4:$I$917,7,FALSE)</f>
        <v>398973</v>
      </c>
      <c r="Z772" s="2">
        <f>VLOOKUP($A772,'[2]App C Assum'!$A$4:$I$917,8,FALSE)</f>
        <v>0</v>
      </c>
      <c r="AA772" s="2">
        <f>VLOOKUP($A772,'[2]App C Assum'!$A$4:$I$917,9,FALSE)</f>
        <v>0</v>
      </c>
      <c r="AB772" s="2"/>
      <c r="AC772" s="2">
        <f>VLOOKUP($A772,'[2]App C Share Outflows'!$A$4:$I$917,5,FALSE)</f>
        <v>40456</v>
      </c>
      <c r="AD772" s="2">
        <f>VLOOKUP($A772,'[2]App C Share Outflows'!$A$4:$I$917,6,FALSE)</f>
        <v>40454</v>
      </c>
      <c r="AE772" s="2">
        <f>VLOOKUP($A772,'[2]App C Share Outflows'!$A$4:$I$917,7,FALSE)</f>
        <v>24557</v>
      </c>
      <c r="AF772" s="2">
        <f>VLOOKUP($A772,'[2]App C Share Outflows'!$A$4:$I$917,8,FALSE)</f>
        <v>24557</v>
      </c>
      <c r="AG772" s="2">
        <f>VLOOKUP($A772,'[2]App C Share Outflows'!$A$4:$I$917,9,FALSE)</f>
        <v>0</v>
      </c>
      <c r="AH772" s="2"/>
      <c r="AI772" s="2">
        <f>VLOOKUP($A772,'[2]App C Share Inflows'!$A$4:$I$917,5,FALSE)</f>
        <v>-11999</v>
      </c>
      <c r="AJ772" s="2">
        <f>VLOOKUP($A772,'[2]App C Share Inflows'!$A$4:$I$917,6,FALSE)</f>
        <v>-8013</v>
      </c>
      <c r="AK772" s="2">
        <f>VLOOKUP($A772,'[2]App C Share Inflows'!$A$4:$I$917,7,FALSE)</f>
        <v>-8011</v>
      </c>
      <c r="AL772" s="2">
        <f>VLOOKUP($A772,'[2]App C Share Inflows'!$A$4:$I$917,8,FALSE)</f>
        <v>0</v>
      </c>
      <c r="AM772" s="2">
        <f>VLOOKUP($A772,'[2]App C Share Inflows'!$A$4:$I$917,6,FALSE)</f>
        <v>-8013</v>
      </c>
    </row>
    <row r="773" spans="1:39">
      <c r="A773" s="351">
        <v>98205</v>
      </c>
      <c r="B773" s="344" t="s">
        <v>2808</v>
      </c>
      <c r="C773" s="235" t="e">
        <f>VLOOKUP(A773,#REF!,10,FALSE)</f>
        <v>#REF!</v>
      </c>
      <c r="E773" s="2">
        <f>VLOOKUP($A773,'[2]App C Total'!$A$4:$I$917,5,FALSE)</f>
        <v>19941</v>
      </c>
      <c r="F773" s="2">
        <f>VLOOKUP($A773,'[2]App C Total'!$A$4:$I$917,6,FALSE)</f>
        <v>5611</v>
      </c>
      <c r="G773" s="2">
        <f>VLOOKUP($A773,'[2]App C Total'!$A$4:$I$917,7,FALSE)</f>
        <v>10620</v>
      </c>
      <c r="H773" s="2">
        <f>VLOOKUP($A773,'[2]App C Total'!$A$4:$I$917,8,FALSE)</f>
        <v>4000</v>
      </c>
      <c r="I773" s="2">
        <f>VLOOKUP($A773,'[2]App C Total'!$A$4:$I$917,9,FALSE)</f>
        <v>0</v>
      </c>
      <c r="J773" s="2"/>
      <c r="K773" s="2">
        <f>VLOOKUP($A773,'[2]App C Exp'!$A$4:$I$917,5,FALSE)</f>
        <v>6127</v>
      </c>
      <c r="L773" s="2">
        <f>VLOOKUP($A773,'[2]App C Exp'!$A$4:$I$917,6,FALSE)</f>
        <v>5764</v>
      </c>
      <c r="M773" s="2">
        <f>VLOOKUP($A773,'[2]App C Exp'!$A$4:$I$917,7,FALSE)</f>
        <v>5166</v>
      </c>
      <c r="N773" s="2">
        <f>VLOOKUP($A773,'[2]App C Exp'!$A$4:$I$917,8,FALSE)</f>
        <v>2068</v>
      </c>
      <c r="O773" s="2">
        <f>VLOOKUP($A773,'[2]App C Exp'!$A$4:$I$917,9,FALSE)</f>
        <v>0</v>
      </c>
      <c r="P773" s="2"/>
      <c r="Q773" s="2">
        <f>VLOOKUP($A773,'[2]App C Inv'!$A$4:$I$917,5,FALSE)</f>
        <v>6505</v>
      </c>
      <c r="R773" s="2">
        <f>VLOOKUP($A773,'[2]App C Inv'!$A$4:$I$917,6,FALSE)</f>
        <v>-5595</v>
      </c>
      <c r="S773" s="2">
        <f>VLOOKUP($A773,'[2]App C Inv'!$A$4:$I$917,7,FALSE)</f>
        <v>789</v>
      </c>
      <c r="T773" s="2">
        <f>VLOOKUP($A773,'[2]App C Inv'!$A$4:$I$917,8,FALSE)</f>
        <v>1026</v>
      </c>
      <c r="U773" s="2">
        <f>VLOOKUP($A773,'[2]App C Inv'!$A$4:$I$917,9,FALSE)</f>
        <v>0</v>
      </c>
      <c r="V773" s="2"/>
      <c r="W773" s="2">
        <f>VLOOKUP($A773,'[2]App C Assum'!$A$4:$I$917,5,FALSE)</f>
        <v>7328</v>
      </c>
      <c r="X773" s="2">
        <f>VLOOKUP($A773,'[2]App C Assum'!$A$4:$I$917,6,FALSE)</f>
        <v>6003</v>
      </c>
      <c r="Y773" s="2">
        <f>VLOOKUP($A773,'[2]App C Assum'!$A$4:$I$917,7,FALSE)</f>
        <v>4874</v>
      </c>
      <c r="Z773" s="2">
        <f>VLOOKUP($A773,'[2]App C Assum'!$A$4:$I$917,8,FALSE)</f>
        <v>0</v>
      </c>
      <c r="AA773" s="2">
        <f>VLOOKUP($A773,'[2]App C Assum'!$A$4:$I$917,9,FALSE)</f>
        <v>0</v>
      </c>
      <c r="AB773" s="2"/>
      <c r="AC773" s="2">
        <f>VLOOKUP($A773,'[2]App C Share Outflows'!$A$4:$I$917,5,FALSE)</f>
        <v>1446</v>
      </c>
      <c r="AD773" s="2">
        <f>VLOOKUP($A773,'[2]App C Share Outflows'!$A$4:$I$917,6,FALSE)</f>
        <v>905</v>
      </c>
      <c r="AE773" s="2">
        <f>VLOOKUP($A773,'[2]App C Share Outflows'!$A$4:$I$917,7,FALSE)</f>
        <v>905</v>
      </c>
      <c r="AF773" s="2">
        <f>VLOOKUP($A773,'[2]App C Share Outflows'!$A$4:$I$917,8,FALSE)</f>
        <v>906</v>
      </c>
      <c r="AG773" s="2">
        <f>VLOOKUP($A773,'[2]App C Share Outflows'!$A$4:$I$917,9,FALSE)</f>
        <v>0</v>
      </c>
      <c r="AH773" s="2"/>
      <c r="AI773" s="2">
        <f>VLOOKUP($A773,'[2]App C Share Inflows'!$A$4:$I$917,5,FALSE)</f>
        <v>-1465</v>
      </c>
      <c r="AJ773" s="2">
        <f>VLOOKUP($A773,'[2]App C Share Inflows'!$A$4:$I$917,6,FALSE)</f>
        <v>-1466</v>
      </c>
      <c r="AK773" s="2">
        <f>VLOOKUP($A773,'[2]App C Share Inflows'!$A$4:$I$917,7,FALSE)</f>
        <v>-1114</v>
      </c>
      <c r="AL773" s="2">
        <f>VLOOKUP($A773,'[2]App C Share Inflows'!$A$4:$I$917,8,FALSE)</f>
        <v>0</v>
      </c>
      <c r="AM773" s="2">
        <f>VLOOKUP($A773,'[2]App C Share Inflows'!$A$4:$I$917,6,FALSE)</f>
        <v>-1466</v>
      </c>
    </row>
    <row r="774" spans="1:39">
      <c r="A774" s="351">
        <v>98211</v>
      </c>
      <c r="B774" s="344" t="s">
        <v>1472</v>
      </c>
      <c r="C774" s="235" t="e">
        <f>VLOOKUP(A774,#REF!,10,FALSE)</f>
        <v>#REF!</v>
      </c>
      <c r="E774" s="2">
        <f>VLOOKUP($A774,'[2]App C Total'!$A$4:$I$917,5,FALSE)</f>
        <v>411808</v>
      </c>
      <c r="F774" s="2">
        <f>VLOOKUP($A774,'[2]App C Total'!$A$4:$I$917,6,FALSE)</f>
        <v>121517</v>
      </c>
      <c r="G774" s="2">
        <f>VLOOKUP($A774,'[2]App C Total'!$A$4:$I$917,7,FALSE)</f>
        <v>239239</v>
      </c>
      <c r="H774" s="2">
        <f>VLOOKUP($A774,'[2]App C Total'!$A$4:$I$917,8,FALSE)</f>
        <v>74706</v>
      </c>
      <c r="I774" s="2">
        <f>VLOOKUP($A774,'[2]App C Total'!$A$4:$I$917,9,FALSE)</f>
        <v>0</v>
      </c>
      <c r="J774" s="2"/>
      <c r="K774" s="2">
        <f>VLOOKUP($A774,'[2]App C Exp'!$A$4:$I$917,5,FALSE)</f>
        <v>135426</v>
      </c>
      <c r="L774" s="2">
        <f>VLOOKUP($A774,'[2]App C Exp'!$A$4:$I$917,6,FALSE)</f>
        <v>127392</v>
      </c>
      <c r="M774" s="2">
        <f>VLOOKUP($A774,'[2]App C Exp'!$A$4:$I$917,7,FALSE)</f>
        <v>114180</v>
      </c>
      <c r="N774" s="2">
        <f>VLOOKUP($A774,'[2]App C Exp'!$A$4:$I$917,8,FALSE)</f>
        <v>45716</v>
      </c>
      <c r="O774" s="2">
        <f>VLOOKUP($A774,'[2]App C Exp'!$A$4:$I$917,9,FALSE)</f>
        <v>0</v>
      </c>
      <c r="P774" s="2"/>
      <c r="Q774" s="2">
        <f>VLOOKUP($A774,'[2]App C Inv'!$A$4:$I$917,5,FALSE)</f>
        <v>143773</v>
      </c>
      <c r="R774" s="2">
        <f>VLOOKUP($A774,'[2]App C Inv'!$A$4:$I$917,6,FALSE)</f>
        <v>-123672</v>
      </c>
      <c r="S774" s="2">
        <f>VLOOKUP($A774,'[2]App C Inv'!$A$4:$I$917,7,FALSE)</f>
        <v>17430</v>
      </c>
      <c r="T774" s="2">
        <f>VLOOKUP($A774,'[2]App C Inv'!$A$4:$I$917,8,FALSE)</f>
        <v>22685</v>
      </c>
      <c r="U774" s="2">
        <f>VLOOKUP($A774,'[2]App C Inv'!$A$4:$I$917,9,FALSE)</f>
        <v>0</v>
      </c>
      <c r="V774" s="2"/>
      <c r="W774" s="2">
        <f>VLOOKUP($A774,'[2]App C Assum'!$A$4:$I$917,5,FALSE)</f>
        <v>161962</v>
      </c>
      <c r="X774" s="2">
        <f>VLOOKUP($A774,'[2]App C Assum'!$A$4:$I$917,6,FALSE)</f>
        <v>132686</v>
      </c>
      <c r="Y774" s="2">
        <f>VLOOKUP($A774,'[2]App C Assum'!$A$4:$I$917,7,FALSE)</f>
        <v>107718</v>
      </c>
      <c r="Z774" s="2">
        <f>VLOOKUP($A774,'[2]App C Assum'!$A$4:$I$917,8,FALSE)</f>
        <v>0</v>
      </c>
      <c r="AA774" s="2">
        <f>VLOOKUP($A774,'[2]App C Assum'!$A$4:$I$917,9,FALSE)</f>
        <v>0</v>
      </c>
      <c r="AB774" s="2"/>
      <c r="AC774" s="2">
        <f>VLOOKUP($A774,'[2]App C Share Outflows'!$A$4:$I$917,5,FALSE)</f>
        <v>6305</v>
      </c>
      <c r="AD774" s="2">
        <f>VLOOKUP($A774,'[2]App C Share Outflows'!$A$4:$I$917,6,FALSE)</f>
        <v>6305</v>
      </c>
      <c r="AE774" s="2">
        <f>VLOOKUP($A774,'[2]App C Share Outflows'!$A$4:$I$917,7,FALSE)</f>
        <v>6305</v>
      </c>
      <c r="AF774" s="2">
        <f>VLOOKUP($A774,'[2]App C Share Outflows'!$A$4:$I$917,8,FALSE)</f>
        <v>6305</v>
      </c>
      <c r="AG774" s="2">
        <f>VLOOKUP($A774,'[2]App C Share Outflows'!$A$4:$I$917,9,FALSE)</f>
        <v>0</v>
      </c>
      <c r="AH774" s="2"/>
      <c r="AI774" s="2">
        <f>VLOOKUP($A774,'[2]App C Share Inflows'!$A$4:$I$917,5,FALSE)</f>
        <v>-35658</v>
      </c>
      <c r="AJ774" s="2">
        <f>VLOOKUP($A774,'[2]App C Share Inflows'!$A$4:$I$917,6,FALSE)</f>
        <v>-21194</v>
      </c>
      <c r="AK774" s="2">
        <f>VLOOKUP($A774,'[2]App C Share Inflows'!$A$4:$I$917,7,FALSE)</f>
        <v>-6394</v>
      </c>
      <c r="AL774" s="2">
        <f>VLOOKUP($A774,'[2]App C Share Inflows'!$A$4:$I$917,8,FALSE)</f>
        <v>0</v>
      </c>
      <c r="AM774" s="2">
        <f>VLOOKUP($A774,'[2]App C Share Inflows'!$A$4:$I$917,6,FALSE)</f>
        <v>-21194</v>
      </c>
    </row>
    <row r="775" spans="1:39">
      <c r="A775" s="351">
        <v>98218</v>
      </c>
      <c r="B775" s="344" t="s">
        <v>1473</v>
      </c>
      <c r="C775" s="235" t="e">
        <f>VLOOKUP(A775,#REF!,10,FALSE)</f>
        <v>#REF!</v>
      </c>
      <c r="E775" s="2">
        <f>VLOOKUP($A775,'[2]App C Total'!$A$4:$I$917,5,FALSE)</f>
        <v>10394</v>
      </c>
      <c r="F775" s="2">
        <f>VLOOKUP($A775,'[2]App C Total'!$A$4:$I$917,6,FALSE)</f>
        <v>4326</v>
      </c>
      <c r="G775" s="2">
        <f>VLOOKUP($A775,'[2]App C Total'!$A$4:$I$917,7,FALSE)</f>
        <v>5933</v>
      </c>
      <c r="H775" s="2">
        <f>VLOOKUP($A775,'[2]App C Total'!$A$4:$I$917,8,FALSE)</f>
        <v>1910</v>
      </c>
      <c r="I775" s="2">
        <f>VLOOKUP($A775,'[2]App C Total'!$A$4:$I$917,9,FALSE)</f>
        <v>0</v>
      </c>
      <c r="J775" s="2"/>
      <c r="K775" s="2">
        <f>VLOOKUP($A775,'[2]App C Exp'!$A$4:$I$917,5,FALSE)</f>
        <v>2712</v>
      </c>
      <c r="L775" s="2">
        <f>VLOOKUP($A775,'[2]App C Exp'!$A$4:$I$917,6,FALSE)</f>
        <v>2551</v>
      </c>
      <c r="M775" s="2">
        <f>VLOOKUP($A775,'[2]App C Exp'!$A$4:$I$917,7,FALSE)</f>
        <v>2286</v>
      </c>
      <c r="N775" s="2">
        <f>VLOOKUP($A775,'[2]App C Exp'!$A$4:$I$917,8,FALSE)</f>
        <v>915</v>
      </c>
      <c r="O775" s="2">
        <f>VLOOKUP($A775,'[2]App C Exp'!$A$4:$I$917,9,FALSE)</f>
        <v>0</v>
      </c>
      <c r="P775" s="2"/>
      <c r="Q775" s="2">
        <f>VLOOKUP($A775,'[2]App C Inv'!$A$4:$I$917,5,FALSE)</f>
        <v>2879</v>
      </c>
      <c r="R775" s="2">
        <f>VLOOKUP($A775,'[2]App C Inv'!$A$4:$I$917,6,FALSE)</f>
        <v>-2476</v>
      </c>
      <c r="S775" s="2">
        <f>VLOOKUP($A775,'[2]App C Inv'!$A$4:$I$917,7,FALSE)</f>
        <v>349</v>
      </c>
      <c r="T775" s="2">
        <f>VLOOKUP($A775,'[2]App C Inv'!$A$4:$I$917,8,FALSE)</f>
        <v>454</v>
      </c>
      <c r="U775" s="2">
        <f>VLOOKUP($A775,'[2]App C Inv'!$A$4:$I$917,9,FALSE)</f>
        <v>0</v>
      </c>
      <c r="V775" s="2"/>
      <c r="W775" s="2">
        <f>VLOOKUP($A775,'[2]App C Assum'!$A$4:$I$917,5,FALSE)</f>
        <v>3243</v>
      </c>
      <c r="X775" s="2">
        <f>VLOOKUP($A775,'[2]App C Assum'!$A$4:$I$917,6,FALSE)</f>
        <v>2657</v>
      </c>
      <c r="Y775" s="2">
        <f>VLOOKUP($A775,'[2]App C Assum'!$A$4:$I$917,7,FALSE)</f>
        <v>2157</v>
      </c>
      <c r="Z775" s="2">
        <f>VLOOKUP($A775,'[2]App C Assum'!$A$4:$I$917,8,FALSE)</f>
        <v>0</v>
      </c>
      <c r="AA775" s="2">
        <f>VLOOKUP($A775,'[2]App C Assum'!$A$4:$I$917,9,FALSE)</f>
        <v>0</v>
      </c>
      <c r="AB775" s="2"/>
      <c r="AC775" s="2">
        <f>VLOOKUP($A775,'[2]App C Share Outflows'!$A$4:$I$917,5,FALSE)</f>
        <v>1596</v>
      </c>
      <c r="AD775" s="2">
        <f>VLOOKUP($A775,'[2]App C Share Outflows'!$A$4:$I$917,6,FALSE)</f>
        <v>1594</v>
      </c>
      <c r="AE775" s="2">
        <f>VLOOKUP($A775,'[2]App C Share Outflows'!$A$4:$I$917,7,FALSE)</f>
        <v>1141</v>
      </c>
      <c r="AF775" s="2">
        <f>VLOOKUP($A775,'[2]App C Share Outflows'!$A$4:$I$917,8,FALSE)</f>
        <v>541</v>
      </c>
      <c r="AG775" s="2">
        <f>VLOOKUP($A775,'[2]App C Share Outflows'!$A$4:$I$917,9,FALSE)</f>
        <v>0</v>
      </c>
      <c r="AH775" s="2"/>
      <c r="AI775" s="2">
        <f>VLOOKUP($A775,'[2]App C Share Inflows'!$A$4:$I$917,5,FALSE)</f>
        <v>-36</v>
      </c>
      <c r="AJ775" s="2">
        <f>VLOOKUP($A775,'[2]App C Share Inflows'!$A$4:$I$917,6,FALSE)</f>
        <v>0</v>
      </c>
      <c r="AK775" s="2">
        <f>VLOOKUP($A775,'[2]App C Share Inflows'!$A$4:$I$917,7,FALSE)</f>
        <v>0</v>
      </c>
      <c r="AL775" s="2">
        <f>VLOOKUP($A775,'[2]App C Share Inflows'!$A$4:$I$917,8,FALSE)</f>
        <v>0</v>
      </c>
      <c r="AM775" s="2">
        <f>VLOOKUP($A775,'[2]App C Share Inflows'!$A$4:$I$917,6,FALSE)</f>
        <v>0</v>
      </c>
    </row>
    <row r="776" spans="1:39">
      <c r="A776" s="351">
        <v>98221</v>
      </c>
      <c r="B776" s="344" t="s">
        <v>1474</v>
      </c>
      <c r="C776" s="235" t="e">
        <f>VLOOKUP(A776,#REF!,10,FALSE)</f>
        <v>#REF!</v>
      </c>
      <c r="E776" s="2">
        <f>VLOOKUP($A776,'[2]App C Total'!$A$4:$I$917,5,FALSE)</f>
        <v>16223</v>
      </c>
      <c r="F776" s="2">
        <f>VLOOKUP($A776,'[2]App C Total'!$A$4:$I$917,6,FALSE)</f>
        <v>6485</v>
      </c>
      <c r="G776" s="2">
        <f>VLOOKUP($A776,'[2]App C Total'!$A$4:$I$917,7,FALSE)</f>
        <v>9016</v>
      </c>
      <c r="H776" s="2">
        <f>VLOOKUP($A776,'[2]App C Total'!$A$4:$I$917,8,FALSE)</f>
        <v>3536</v>
      </c>
      <c r="I776" s="2">
        <f>VLOOKUP($A776,'[2]App C Total'!$A$4:$I$917,9,FALSE)</f>
        <v>0</v>
      </c>
      <c r="J776" s="2"/>
      <c r="K776" s="2">
        <f>VLOOKUP($A776,'[2]App C Exp'!$A$4:$I$917,5,FALSE)</f>
        <v>4075</v>
      </c>
      <c r="L776" s="2">
        <f>VLOOKUP($A776,'[2]App C Exp'!$A$4:$I$917,6,FALSE)</f>
        <v>3833</v>
      </c>
      <c r="M776" s="2">
        <f>VLOOKUP($A776,'[2]App C Exp'!$A$4:$I$917,7,FALSE)</f>
        <v>3435</v>
      </c>
      <c r="N776" s="2">
        <f>VLOOKUP($A776,'[2]App C Exp'!$A$4:$I$917,8,FALSE)</f>
        <v>1376</v>
      </c>
      <c r="O776" s="2">
        <f>VLOOKUP($A776,'[2]App C Exp'!$A$4:$I$917,9,FALSE)</f>
        <v>0</v>
      </c>
      <c r="P776" s="2"/>
      <c r="Q776" s="2">
        <f>VLOOKUP($A776,'[2]App C Inv'!$A$4:$I$917,5,FALSE)</f>
        <v>4326</v>
      </c>
      <c r="R776" s="2">
        <f>VLOOKUP($A776,'[2]App C Inv'!$A$4:$I$917,6,FALSE)</f>
        <v>-3721</v>
      </c>
      <c r="S776" s="2">
        <f>VLOOKUP($A776,'[2]App C Inv'!$A$4:$I$917,7,FALSE)</f>
        <v>524</v>
      </c>
      <c r="T776" s="2">
        <f>VLOOKUP($A776,'[2]App C Inv'!$A$4:$I$917,8,FALSE)</f>
        <v>683</v>
      </c>
      <c r="U776" s="2">
        <f>VLOOKUP($A776,'[2]App C Inv'!$A$4:$I$917,9,FALSE)</f>
        <v>0</v>
      </c>
      <c r="V776" s="2"/>
      <c r="W776" s="2">
        <f>VLOOKUP($A776,'[2]App C Assum'!$A$4:$I$917,5,FALSE)</f>
        <v>4873</v>
      </c>
      <c r="X776" s="2">
        <f>VLOOKUP($A776,'[2]App C Assum'!$A$4:$I$917,6,FALSE)</f>
        <v>3992</v>
      </c>
      <c r="Y776" s="2">
        <f>VLOOKUP($A776,'[2]App C Assum'!$A$4:$I$917,7,FALSE)</f>
        <v>3241</v>
      </c>
      <c r="Z776" s="2">
        <f>VLOOKUP($A776,'[2]App C Assum'!$A$4:$I$917,8,FALSE)</f>
        <v>0</v>
      </c>
      <c r="AA776" s="2">
        <f>VLOOKUP($A776,'[2]App C Assum'!$A$4:$I$917,9,FALSE)</f>
        <v>0</v>
      </c>
      <c r="AB776" s="2"/>
      <c r="AC776" s="2">
        <f>VLOOKUP($A776,'[2]App C Share Outflows'!$A$4:$I$917,5,FALSE)</f>
        <v>2949</v>
      </c>
      <c r="AD776" s="2">
        <f>VLOOKUP($A776,'[2]App C Share Outflows'!$A$4:$I$917,6,FALSE)</f>
        <v>2381</v>
      </c>
      <c r="AE776" s="2">
        <f>VLOOKUP($A776,'[2]App C Share Outflows'!$A$4:$I$917,7,FALSE)</f>
        <v>1816</v>
      </c>
      <c r="AF776" s="2">
        <f>VLOOKUP($A776,'[2]App C Share Outflows'!$A$4:$I$917,8,FALSE)</f>
        <v>1477</v>
      </c>
      <c r="AG776" s="2">
        <f>VLOOKUP($A776,'[2]App C Share Outflows'!$A$4:$I$917,9,FALSE)</f>
        <v>0</v>
      </c>
      <c r="AH776" s="2"/>
      <c r="AI776" s="2">
        <f>VLOOKUP($A776,'[2]App C Share Inflows'!$A$4:$I$917,5,FALSE)</f>
        <v>0</v>
      </c>
      <c r="AJ776" s="2">
        <f>VLOOKUP($A776,'[2]App C Share Inflows'!$A$4:$I$917,6,FALSE)</f>
        <v>0</v>
      </c>
      <c r="AK776" s="2">
        <f>VLOOKUP($A776,'[2]App C Share Inflows'!$A$4:$I$917,7,FALSE)</f>
        <v>0</v>
      </c>
      <c r="AL776" s="2">
        <f>VLOOKUP($A776,'[2]App C Share Inflows'!$A$4:$I$917,8,FALSE)</f>
        <v>0</v>
      </c>
      <c r="AM776" s="2">
        <f>VLOOKUP($A776,'[2]App C Share Inflows'!$A$4:$I$917,6,FALSE)</f>
        <v>0</v>
      </c>
    </row>
    <row r="777" spans="1:39">
      <c r="A777" s="351">
        <v>98231</v>
      </c>
      <c r="B777" s="344" t="s">
        <v>1475</v>
      </c>
      <c r="C777" s="235" t="e">
        <f>VLOOKUP(A777,#REF!,10,FALSE)</f>
        <v>#REF!</v>
      </c>
      <c r="E777" s="2">
        <f>VLOOKUP($A777,'[2]App C Total'!$A$4:$I$917,5,FALSE)</f>
        <v>15569</v>
      </c>
      <c r="F777" s="2">
        <f>VLOOKUP($A777,'[2]App C Total'!$A$4:$I$917,6,FALSE)</f>
        <v>5398</v>
      </c>
      <c r="G777" s="2">
        <f>VLOOKUP($A777,'[2]App C Total'!$A$4:$I$917,7,FALSE)</f>
        <v>10345</v>
      </c>
      <c r="H777" s="2">
        <f>VLOOKUP($A777,'[2]App C Total'!$A$4:$I$917,8,FALSE)</f>
        <v>2605</v>
      </c>
      <c r="I777" s="2">
        <f>VLOOKUP($A777,'[2]App C Total'!$A$4:$I$917,9,FALSE)</f>
        <v>0</v>
      </c>
      <c r="J777" s="2"/>
      <c r="K777" s="2">
        <f>VLOOKUP($A777,'[2]App C Exp'!$A$4:$I$917,5,FALSE)</f>
        <v>4749</v>
      </c>
      <c r="L777" s="2">
        <f>VLOOKUP($A777,'[2]App C Exp'!$A$4:$I$917,6,FALSE)</f>
        <v>4467</v>
      </c>
      <c r="M777" s="2">
        <f>VLOOKUP($A777,'[2]App C Exp'!$A$4:$I$917,7,FALSE)</f>
        <v>4004</v>
      </c>
      <c r="N777" s="2">
        <f>VLOOKUP($A777,'[2]App C Exp'!$A$4:$I$917,8,FALSE)</f>
        <v>1603</v>
      </c>
      <c r="O777" s="2">
        <f>VLOOKUP($A777,'[2]App C Exp'!$A$4:$I$917,9,FALSE)</f>
        <v>0</v>
      </c>
      <c r="P777" s="2"/>
      <c r="Q777" s="2">
        <f>VLOOKUP($A777,'[2]App C Inv'!$A$4:$I$917,5,FALSE)</f>
        <v>5042</v>
      </c>
      <c r="R777" s="2">
        <f>VLOOKUP($A777,'[2]App C Inv'!$A$4:$I$917,6,FALSE)</f>
        <v>-4337</v>
      </c>
      <c r="S777" s="2">
        <f>VLOOKUP($A777,'[2]App C Inv'!$A$4:$I$917,7,FALSE)</f>
        <v>611</v>
      </c>
      <c r="T777" s="2">
        <f>VLOOKUP($A777,'[2]App C Inv'!$A$4:$I$917,8,FALSE)</f>
        <v>795</v>
      </c>
      <c r="U777" s="2">
        <f>VLOOKUP($A777,'[2]App C Inv'!$A$4:$I$917,9,FALSE)</f>
        <v>0</v>
      </c>
      <c r="V777" s="2"/>
      <c r="W777" s="2">
        <f>VLOOKUP($A777,'[2]App C Assum'!$A$4:$I$917,5,FALSE)</f>
        <v>5679</v>
      </c>
      <c r="X777" s="2">
        <f>VLOOKUP($A777,'[2]App C Assum'!$A$4:$I$917,6,FALSE)</f>
        <v>4653</v>
      </c>
      <c r="Y777" s="2">
        <f>VLOOKUP($A777,'[2]App C Assum'!$A$4:$I$917,7,FALSE)</f>
        <v>3777</v>
      </c>
      <c r="Z777" s="2">
        <f>VLOOKUP($A777,'[2]App C Assum'!$A$4:$I$917,8,FALSE)</f>
        <v>0</v>
      </c>
      <c r="AA777" s="2">
        <f>VLOOKUP($A777,'[2]App C Assum'!$A$4:$I$917,9,FALSE)</f>
        <v>0</v>
      </c>
      <c r="AB777" s="2"/>
      <c r="AC777" s="2">
        <f>VLOOKUP($A777,'[2]App C Share Outflows'!$A$4:$I$917,5,FALSE)</f>
        <v>1953</v>
      </c>
      <c r="AD777" s="2">
        <f>VLOOKUP($A777,'[2]App C Share Outflows'!$A$4:$I$917,6,FALSE)</f>
        <v>1953</v>
      </c>
      <c r="AE777" s="2">
        <f>VLOOKUP($A777,'[2]App C Share Outflows'!$A$4:$I$917,7,FALSE)</f>
        <v>1953</v>
      </c>
      <c r="AF777" s="2">
        <f>VLOOKUP($A777,'[2]App C Share Outflows'!$A$4:$I$917,8,FALSE)</f>
        <v>207</v>
      </c>
      <c r="AG777" s="2">
        <f>VLOOKUP($A777,'[2]App C Share Outflows'!$A$4:$I$917,9,FALSE)</f>
        <v>0</v>
      </c>
      <c r="AH777" s="2"/>
      <c r="AI777" s="2">
        <f>VLOOKUP($A777,'[2]App C Share Inflows'!$A$4:$I$917,5,FALSE)</f>
        <v>-1854</v>
      </c>
      <c r="AJ777" s="2">
        <f>VLOOKUP($A777,'[2]App C Share Inflows'!$A$4:$I$917,6,FALSE)</f>
        <v>-1338</v>
      </c>
      <c r="AK777" s="2">
        <f>VLOOKUP($A777,'[2]App C Share Inflows'!$A$4:$I$917,7,FALSE)</f>
        <v>0</v>
      </c>
      <c r="AL777" s="2">
        <f>VLOOKUP($A777,'[2]App C Share Inflows'!$A$4:$I$917,8,FALSE)</f>
        <v>0</v>
      </c>
      <c r="AM777" s="2">
        <f>VLOOKUP($A777,'[2]App C Share Inflows'!$A$4:$I$917,6,FALSE)</f>
        <v>-1338</v>
      </c>
    </row>
    <row r="778" spans="1:39">
      <c r="A778" s="351">
        <v>98237</v>
      </c>
      <c r="B778" s="344" t="s">
        <v>1476</v>
      </c>
      <c r="C778" s="235" t="e">
        <f>VLOOKUP(A778,#REF!,10,FALSE)</f>
        <v>#REF!</v>
      </c>
      <c r="E778" s="2">
        <f>VLOOKUP($A778,'[2]App C Total'!$A$4:$I$917,5,FALSE)</f>
        <v>4877</v>
      </c>
      <c r="F778" s="2">
        <f>VLOOKUP($A778,'[2]App C Total'!$A$4:$I$917,6,FALSE)</f>
        <v>2346</v>
      </c>
      <c r="G778" s="2">
        <f>VLOOKUP($A778,'[2]App C Total'!$A$4:$I$917,7,FALSE)</f>
        <v>2239</v>
      </c>
      <c r="H778" s="2">
        <f>VLOOKUP($A778,'[2]App C Total'!$A$4:$I$917,8,FALSE)</f>
        <v>811</v>
      </c>
      <c r="I778" s="2">
        <f>VLOOKUP($A778,'[2]App C Total'!$A$4:$I$917,9,FALSE)</f>
        <v>0</v>
      </c>
      <c r="J778" s="2"/>
      <c r="K778" s="2">
        <f>VLOOKUP($A778,'[2]App C Exp'!$A$4:$I$917,5,FALSE)</f>
        <v>1004</v>
      </c>
      <c r="L778" s="2">
        <f>VLOOKUP($A778,'[2]App C Exp'!$A$4:$I$917,6,FALSE)</f>
        <v>944</v>
      </c>
      <c r="M778" s="2">
        <f>VLOOKUP($A778,'[2]App C Exp'!$A$4:$I$917,7,FALSE)</f>
        <v>846</v>
      </c>
      <c r="N778" s="2">
        <f>VLOOKUP($A778,'[2]App C Exp'!$A$4:$I$917,8,FALSE)</f>
        <v>339</v>
      </c>
      <c r="O778" s="2">
        <f>VLOOKUP($A778,'[2]App C Exp'!$A$4:$I$917,9,FALSE)</f>
        <v>0</v>
      </c>
      <c r="P778" s="2"/>
      <c r="Q778" s="2">
        <f>VLOOKUP($A778,'[2]App C Inv'!$A$4:$I$917,5,FALSE)</f>
        <v>1066</v>
      </c>
      <c r="R778" s="2">
        <f>VLOOKUP($A778,'[2]App C Inv'!$A$4:$I$917,6,FALSE)</f>
        <v>-917</v>
      </c>
      <c r="S778" s="2">
        <f>VLOOKUP($A778,'[2]App C Inv'!$A$4:$I$917,7,FALSE)</f>
        <v>129</v>
      </c>
      <c r="T778" s="2">
        <f>VLOOKUP($A778,'[2]App C Inv'!$A$4:$I$917,8,FALSE)</f>
        <v>168</v>
      </c>
      <c r="U778" s="2">
        <f>VLOOKUP($A778,'[2]App C Inv'!$A$4:$I$917,9,FALSE)</f>
        <v>0</v>
      </c>
      <c r="V778" s="2"/>
      <c r="W778" s="2">
        <f>VLOOKUP($A778,'[2]App C Assum'!$A$4:$I$917,5,FALSE)</f>
        <v>1200</v>
      </c>
      <c r="X778" s="2">
        <f>VLOOKUP($A778,'[2]App C Assum'!$A$4:$I$917,6,FALSE)</f>
        <v>983</v>
      </c>
      <c r="Y778" s="2">
        <f>VLOOKUP($A778,'[2]App C Assum'!$A$4:$I$917,7,FALSE)</f>
        <v>798</v>
      </c>
      <c r="Z778" s="2">
        <f>VLOOKUP($A778,'[2]App C Assum'!$A$4:$I$917,8,FALSE)</f>
        <v>0</v>
      </c>
      <c r="AA778" s="2">
        <f>VLOOKUP($A778,'[2]App C Assum'!$A$4:$I$917,9,FALSE)</f>
        <v>0</v>
      </c>
      <c r="AB778" s="2"/>
      <c r="AC778" s="2">
        <f>VLOOKUP($A778,'[2]App C Share Outflows'!$A$4:$I$917,5,FALSE)</f>
        <v>1607</v>
      </c>
      <c r="AD778" s="2">
        <f>VLOOKUP($A778,'[2]App C Share Outflows'!$A$4:$I$917,6,FALSE)</f>
        <v>1336</v>
      </c>
      <c r="AE778" s="2">
        <f>VLOOKUP($A778,'[2]App C Share Outflows'!$A$4:$I$917,7,FALSE)</f>
        <v>466</v>
      </c>
      <c r="AF778" s="2">
        <f>VLOOKUP($A778,'[2]App C Share Outflows'!$A$4:$I$917,8,FALSE)</f>
        <v>304</v>
      </c>
      <c r="AG778" s="2">
        <f>VLOOKUP($A778,'[2]App C Share Outflows'!$A$4:$I$917,9,FALSE)</f>
        <v>0</v>
      </c>
      <c r="AH778" s="2"/>
      <c r="AI778" s="2">
        <f>VLOOKUP($A778,'[2]App C Share Inflows'!$A$4:$I$917,5,FALSE)</f>
        <v>0</v>
      </c>
      <c r="AJ778" s="2">
        <f>VLOOKUP($A778,'[2]App C Share Inflows'!$A$4:$I$917,6,FALSE)</f>
        <v>0</v>
      </c>
      <c r="AK778" s="2">
        <f>VLOOKUP($A778,'[2]App C Share Inflows'!$A$4:$I$917,7,FALSE)</f>
        <v>0</v>
      </c>
      <c r="AL778" s="2">
        <f>VLOOKUP($A778,'[2]App C Share Inflows'!$A$4:$I$917,8,FALSE)</f>
        <v>0</v>
      </c>
      <c r="AM778" s="2">
        <f>VLOOKUP($A778,'[2]App C Share Inflows'!$A$4:$I$917,6,FALSE)</f>
        <v>0</v>
      </c>
    </row>
    <row r="779" spans="1:39">
      <c r="A779" s="351">
        <v>98241</v>
      </c>
      <c r="B779" s="344" t="s">
        <v>1477</v>
      </c>
      <c r="C779" s="235" t="e">
        <f>VLOOKUP(A779,#REF!,10,FALSE)</f>
        <v>#REF!</v>
      </c>
      <c r="E779" s="2">
        <f>VLOOKUP($A779,'[2]App C Total'!$A$4:$I$917,5,FALSE)</f>
        <v>10634</v>
      </c>
      <c r="F779" s="2">
        <f>VLOOKUP($A779,'[2]App C Total'!$A$4:$I$917,6,FALSE)</f>
        <v>3548</v>
      </c>
      <c r="G779" s="2">
        <f>VLOOKUP($A779,'[2]App C Total'!$A$4:$I$917,7,FALSE)</f>
        <v>6070</v>
      </c>
      <c r="H779" s="2">
        <f>VLOOKUP($A779,'[2]App C Total'!$A$4:$I$917,8,FALSE)</f>
        <v>2922</v>
      </c>
      <c r="I779" s="2">
        <f>VLOOKUP($A779,'[2]App C Total'!$A$4:$I$917,9,FALSE)</f>
        <v>0</v>
      </c>
      <c r="J779" s="2"/>
      <c r="K779" s="2">
        <f>VLOOKUP($A779,'[2]App C Exp'!$A$4:$I$917,5,FALSE)</f>
        <v>2667</v>
      </c>
      <c r="L779" s="2">
        <f>VLOOKUP($A779,'[2]App C Exp'!$A$4:$I$917,6,FALSE)</f>
        <v>2508</v>
      </c>
      <c r="M779" s="2">
        <f>VLOOKUP($A779,'[2]App C Exp'!$A$4:$I$917,7,FALSE)</f>
        <v>2248</v>
      </c>
      <c r="N779" s="2">
        <f>VLOOKUP($A779,'[2]App C Exp'!$A$4:$I$917,8,FALSE)</f>
        <v>900</v>
      </c>
      <c r="O779" s="2">
        <f>VLOOKUP($A779,'[2]App C Exp'!$A$4:$I$917,9,FALSE)</f>
        <v>0</v>
      </c>
      <c r="P779" s="2"/>
      <c r="Q779" s="2">
        <f>VLOOKUP($A779,'[2]App C Inv'!$A$4:$I$917,5,FALSE)</f>
        <v>2831</v>
      </c>
      <c r="R779" s="2">
        <f>VLOOKUP($A779,'[2]App C Inv'!$A$4:$I$917,6,FALSE)</f>
        <v>-2435</v>
      </c>
      <c r="S779" s="2">
        <f>VLOOKUP($A779,'[2]App C Inv'!$A$4:$I$917,7,FALSE)</f>
        <v>343</v>
      </c>
      <c r="T779" s="2">
        <f>VLOOKUP($A779,'[2]App C Inv'!$A$4:$I$917,8,FALSE)</f>
        <v>447</v>
      </c>
      <c r="U779" s="2">
        <f>VLOOKUP($A779,'[2]App C Inv'!$A$4:$I$917,9,FALSE)</f>
        <v>0</v>
      </c>
      <c r="V779" s="2"/>
      <c r="W779" s="2">
        <f>VLOOKUP($A779,'[2]App C Assum'!$A$4:$I$917,5,FALSE)</f>
        <v>3189</v>
      </c>
      <c r="X779" s="2">
        <f>VLOOKUP($A779,'[2]App C Assum'!$A$4:$I$917,6,FALSE)</f>
        <v>2613</v>
      </c>
      <c r="Y779" s="2">
        <f>VLOOKUP($A779,'[2]App C Assum'!$A$4:$I$917,7,FALSE)</f>
        <v>2121</v>
      </c>
      <c r="Z779" s="2">
        <f>VLOOKUP($A779,'[2]App C Assum'!$A$4:$I$917,8,FALSE)</f>
        <v>0</v>
      </c>
      <c r="AA779" s="2">
        <f>VLOOKUP($A779,'[2]App C Assum'!$A$4:$I$917,9,FALSE)</f>
        <v>0</v>
      </c>
      <c r="AB779" s="2"/>
      <c r="AC779" s="2">
        <f>VLOOKUP($A779,'[2]App C Share Outflows'!$A$4:$I$917,5,FALSE)</f>
        <v>2663</v>
      </c>
      <c r="AD779" s="2">
        <f>VLOOKUP($A779,'[2]App C Share Outflows'!$A$4:$I$917,6,FALSE)</f>
        <v>1576</v>
      </c>
      <c r="AE779" s="2">
        <f>VLOOKUP($A779,'[2]App C Share Outflows'!$A$4:$I$917,7,FALSE)</f>
        <v>1576</v>
      </c>
      <c r="AF779" s="2">
        <f>VLOOKUP($A779,'[2]App C Share Outflows'!$A$4:$I$917,8,FALSE)</f>
        <v>1575</v>
      </c>
      <c r="AG779" s="2">
        <f>VLOOKUP($A779,'[2]App C Share Outflows'!$A$4:$I$917,9,FALSE)</f>
        <v>0</v>
      </c>
      <c r="AH779" s="2"/>
      <c r="AI779" s="2">
        <f>VLOOKUP($A779,'[2]App C Share Inflows'!$A$4:$I$917,5,FALSE)</f>
        <v>-716</v>
      </c>
      <c r="AJ779" s="2">
        <f>VLOOKUP($A779,'[2]App C Share Inflows'!$A$4:$I$917,6,FALSE)</f>
        <v>-714</v>
      </c>
      <c r="AK779" s="2">
        <f>VLOOKUP($A779,'[2]App C Share Inflows'!$A$4:$I$917,7,FALSE)</f>
        <v>-218</v>
      </c>
      <c r="AL779" s="2">
        <f>VLOOKUP($A779,'[2]App C Share Inflows'!$A$4:$I$917,8,FALSE)</f>
        <v>0</v>
      </c>
      <c r="AM779" s="2">
        <f>VLOOKUP($A779,'[2]App C Share Inflows'!$A$4:$I$917,6,FALSE)</f>
        <v>-714</v>
      </c>
    </row>
    <row r="780" spans="1:39">
      <c r="A780" s="351">
        <v>98251</v>
      </c>
      <c r="B780" s="344" t="s">
        <v>1478</v>
      </c>
      <c r="C780" s="235" t="e">
        <f>VLOOKUP(A780,#REF!,10,FALSE)</f>
        <v>#REF!</v>
      </c>
      <c r="E780" s="2">
        <f>VLOOKUP($A780,'[2]App C Total'!$A$4:$I$917,5,FALSE)</f>
        <v>1859</v>
      </c>
      <c r="F780" s="2">
        <f>VLOOKUP($A780,'[2]App C Total'!$A$4:$I$917,6,FALSE)</f>
        <v>911</v>
      </c>
      <c r="G780" s="2">
        <f>VLOOKUP($A780,'[2]App C Total'!$A$4:$I$917,7,FALSE)</f>
        <v>1048</v>
      </c>
      <c r="H780" s="2">
        <f>VLOOKUP($A780,'[2]App C Total'!$A$4:$I$917,8,FALSE)</f>
        <v>415</v>
      </c>
      <c r="I780" s="2">
        <f>VLOOKUP($A780,'[2]App C Total'!$A$4:$I$917,9,FALSE)</f>
        <v>0</v>
      </c>
      <c r="J780" s="2"/>
      <c r="K780" s="2">
        <f>VLOOKUP($A780,'[2]App C Exp'!$A$4:$I$917,5,FALSE)</f>
        <v>375</v>
      </c>
      <c r="L780" s="2">
        <f>VLOOKUP($A780,'[2]App C Exp'!$A$4:$I$917,6,FALSE)</f>
        <v>352</v>
      </c>
      <c r="M780" s="2">
        <f>VLOOKUP($A780,'[2]App C Exp'!$A$4:$I$917,7,FALSE)</f>
        <v>316</v>
      </c>
      <c r="N780" s="2">
        <f>VLOOKUP($A780,'[2]App C Exp'!$A$4:$I$917,8,FALSE)</f>
        <v>126</v>
      </c>
      <c r="O780" s="2">
        <f>VLOOKUP($A780,'[2]App C Exp'!$A$4:$I$917,9,FALSE)</f>
        <v>0</v>
      </c>
      <c r="P780" s="2"/>
      <c r="Q780" s="2">
        <f>VLOOKUP($A780,'[2]App C Inv'!$A$4:$I$917,5,FALSE)</f>
        <v>398</v>
      </c>
      <c r="R780" s="2">
        <f>VLOOKUP($A780,'[2]App C Inv'!$A$4:$I$917,6,FALSE)</f>
        <v>-342</v>
      </c>
      <c r="S780" s="2">
        <f>VLOOKUP($A780,'[2]App C Inv'!$A$4:$I$917,7,FALSE)</f>
        <v>48</v>
      </c>
      <c r="T780" s="2">
        <f>VLOOKUP($A780,'[2]App C Inv'!$A$4:$I$917,8,FALSE)</f>
        <v>63</v>
      </c>
      <c r="U780" s="2">
        <f>VLOOKUP($A780,'[2]App C Inv'!$A$4:$I$917,9,FALSE)</f>
        <v>0</v>
      </c>
      <c r="V780" s="2"/>
      <c r="W780" s="2">
        <f>VLOOKUP($A780,'[2]App C Assum'!$A$4:$I$917,5,FALSE)</f>
        <v>448</v>
      </c>
      <c r="X780" s="2">
        <f>VLOOKUP($A780,'[2]App C Assum'!$A$4:$I$917,6,FALSE)</f>
        <v>367</v>
      </c>
      <c r="Y780" s="2">
        <f>VLOOKUP($A780,'[2]App C Assum'!$A$4:$I$917,7,FALSE)</f>
        <v>298</v>
      </c>
      <c r="Z780" s="2">
        <f>VLOOKUP($A780,'[2]App C Assum'!$A$4:$I$917,8,FALSE)</f>
        <v>0</v>
      </c>
      <c r="AA780" s="2">
        <f>VLOOKUP($A780,'[2]App C Assum'!$A$4:$I$917,9,FALSE)</f>
        <v>0</v>
      </c>
      <c r="AB780" s="2"/>
      <c r="AC780" s="2">
        <f>VLOOKUP($A780,'[2]App C Share Outflows'!$A$4:$I$917,5,FALSE)</f>
        <v>638</v>
      </c>
      <c r="AD780" s="2">
        <f>VLOOKUP($A780,'[2]App C Share Outflows'!$A$4:$I$917,6,FALSE)</f>
        <v>534</v>
      </c>
      <c r="AE780" s="2">
        <f>VLOOKUP($A780,'[2]App C Share Outflows'!$A$4:$I$917,7,FALSE)</f>
        <v>386</v>
      </c>
      <c r="AF780" s="2">
        <f>VLOOKUP($A780,'[2]App C Share Outflows'!$A$4:$I$917,8,FALSE)</f>
        <v>226</v>
      </c>
      <c r="AG780" s="2">
        <f>VLOOKUP($A780,'[2]App C Share Outflows'!$A$4:$I$917,9,FALSE)</f>
        <v>0</v>
      </c>
      <c r="AH780" s="2"/>
      <c r="AI780" s="2">
        <f>VLOOKUP($A780,'[2]App C Share Inflows'!$A$4:$I$917,5,FALSE)</f>
        <v>0</v>
      </c>
      <c r="AJ780" s="2">
        <f>VLOOKUP($A780,'[2]App C Share Inflows'!$A$4:$I$917,6,FALSE)</f>
        <v>0</v>
      </c>
      <c r="AK780" s="2">
        <f>VLOOKUP($A780,'[2]App C Share Inflows'!$A$4:$I$917,7,FALSE)</f>
        <v>0</v>
      </c>
      <c r="AL780" s="2">
        <f>VLOOKUP($A780,'[2]App C Share Inflows'!$A$4:$I$917,8,FALSE)</f>
        <v>0</v>
      </c>
      <c r="AM780" s="2">
        <f>VLOOKUP($A780,'[2]App C Share Inflows'!$A$4:$I$917,6,FALSE)</f>
        <v>0</v>
      </c>
    </row>
    <row r="781" spans="1:39">
      <c r="A781" s="351">
        <v>98261</v>
      </c>
      <c r="B781" s="344" t="s">
        <v>1479</v>
      </c>
      <c r="C781" s="235" t="e">
        <f>VLOOKUP(A781,#REF!,10,FALSE)</f>
        <v>#REF!</v>
      </c>
      <c r="E781" s="2">
        <f>VLOOKUP($A781,'[2]App C Total'!$A$4:$I$917,5,FALSE)</f>
        <v>16980</v>
      </c>
      <c r="F781" s="2">
        <f>VLOOKUP($A781,'[2]App C Total'!$A$4:$I$917,6,FALSE)</f>
        <v>7100</v>
      </c>
      <c r="G781" s="2">
        <f>VLOOKUP($A781,'[2]App C Total'!$A$4:$I$917,7,FALSE)</f>
        <v>10026</v>
      </c>
      <c r="H781" s="2">
        <f>VLOOKUP($A781,'[2]App C Total'!$A$4:$I$917,8,FALSE)</f>
        <v>3030</v>
      </c>
      <c r="I781" s="2">
        <f>VLOOKUP($A781,'[2]App C Total'!$A$4:$I$917,9,FALSE)</f>
        <v>0</v>
      </c>
      <c r="J781" s="2"/>
      <c r="K781" s="2">
        <f>VLOOKUP($A781,'[2]App C Exp'!$A$4:$I$917,5,FALSE)</f>
        <v>5048</v>
      </c>
      <c r="L781" s="2">
        <f>VLOOKUP($A781,'[2]App C Exp'!$A$4:$I$917,6,FALSE)</f>
        <v>4749</v>
      </c>
      <c r="M781" s="2">
        <f>VLOOKUP($A781,'[2]App C Exp'!$A$4:$I$917,7,FALSE)</f>
        <v>4256</v>
      </c>
      <c r="N781" s="2">
        <f>VLOOKUP($A781,'[2]App C Exp'!$A$4:$I$917,8,FALSE)</f>
        <v>1704</v>
      </c>
      <c r="O781" s="2">
        <f>VLOOKUP($A781,'[2]App C Exp'!$A$4:$I$917,9,FALSE)</f>
        <v>0</v>
      </c>
      <c r="P781" s="2"/>
      <c r="Q781" s="2">
        <f>VLOOKUP($A781,'[2]App C Inv'!$A$4:$I$917,5,FALSE)</f>
        <v>5360</v>
      </c>
      <c r="R781" s="2">
        <f>VLOOKUP($A781,'[2]App C Inv'!$A$4:$I$917,6,FALSE)</f>
        <v>-4610</v>
      </c>
      <c r="S781" s="2">
        <f>VLOOKUP($A781,'[2]App C Inv'!$A$4:$I$917,7,FALSE)</f>
        <v>650</v>
      </c>
      <c r="T781" s="2">
        <f>VLOOKUP($A781,'[2]App C Inv'!$A$4:$I$917,8,FALSE)</f>
        <v>846</v>
      </c>
      <c r="U781" s="2">
        <f>VLOOKUP($A781,'[2]App C Inv'!$A$4:$I$917,9,FALSE)</f>
        <v>0</v>
      </c>
      <c r="V781" s="2"/>
      <c r="W781" s="2">
        <f>VLOOKUP($A781,'[2]App C Assum'!$A$4:$I$917,5,FALSE)</f>
        <v>6038</v>
      </c>
      <c r="X781" s="2">
        <f>VLOOKUP($A781,'[2]App C Assum'!$A$4:$I$917,6,FALSE)</f>
        <v>4946</v>
      </c>
      <c r="Y781" s="2">
        <f>VLOOKUP($A781,'[2]App C Assum'!$A$4:$I$917,7,FALSE)</f>
        <v>4016</v>
      </c>
      <c r="Z781" s="2">
        <f>VLOOKUP($A781,'[2]App C Assum'!$A$4:$I$917,8,FALSE)</f>
        <v>0</v>
      </c>
      <c r="AA781" s="2">
        <f>VLOOKUP($A781,'[2]App C Assum'!$A$4:$I$917,9,FALSE)</f>
        <v>0</v>
      </c>
      <c r="AB781" s="2"/>
      <c r="AC781" s="2">
        <f>VLOOKUP($A781,'[2]App C Share Outflows'!$A$4:$I$917,5,FALSE)</f>
        <v>2014</v>
      </c>
      <c r="AD781" s="2">
        <f>VLOOKUP($A781,'[2]App C Share Outflows'!$A$4:$I$917,6,FALSE)</f>
        <v>2015</v>
      </c>
      <c r="AE781" s="2">
        <f>VLOOKUP($A781,'[2]App C Share Outflows'!$A$4:$I$917,7,FALSE)</f>
        <v>1104</v>
      </c>
      <c r="AF781" s="2">
        <f>VLOOKUP($A781,'[2]App C Share Outflows'!$A$4:$I$917,8,FALSE)</f>
        <v>480</v>
      </c>
      <c r="AG781" s="2">
        <f>VLOOKUP($A781,'[2]App C Share Outflows'!$A$4:$I$917,9,FALSE)</f>
        <v>0</v>
      </c>
      <c r="AH781" s="2"/>
      <c r="AI781" s="2">
        <f>VLOOKUP($A781,'[2]App C Share Inflows'!$A$4:$I$917,5,FALSE)</f>
        <v>-1480</v>
      </c>
      <c r="AJ781" s="2">
        <f>VLOOKUP($A781,'[2]App C Share Inflows'!$A$4:$I$917,6,FALSE)</f>
        <v>0</v>
      </c>
      <c r="AK781" s="2">
        <f>VLOOKUP($A781,'[2]App C Share Inflows'!$A$4:$I$917,7,FALSE)</f>
        <v>0</v>
      </c>
      <c r="AL781" s="2">
        <f>VLOOKUP($A781,'[2]App C Share Inflows'!$A$4:$I$917,8,FALSE)</f>
        <v>0</v>
      </c>
      <c r="AM781" s="2">
        <f>VLOOKUP($A781,'[2]App C Share Inflows'!$A$4:$I$917,6,FALSE)</f>
        <v>0</v>
      </c>
    </row>
    <row r="782" spans="1:39">
      <c r="A782" s="351">
        <v>98271</v>
      </c>
      <c r="B782" s="344" t="s">
        <v>1480</v>
      </c>
      <c r="C782" s="235" t="e">
        <f>VLOOKUP(A782,#REF!,10,FALSE)</f>
        <v>#REF!</v>
      </c>
      <c r="E782" s="2">
        <f>VLOOKUP($A782,'[2]App C Total'!$A$4:$I$917,5,FALSE)</f>
        <v>3682</v>
      </c>
      <c r="F782" s="2">
        <f>VLOOKUP($A782,'[2]App C Total'!$A$4:$I$917,6,FALSE)</f>
        <v>1581</v>
      </c>
      <c r="G782" s="2">
        <f>VLOOKUP($A782,'[2]App C Total'!$A$4:$I$917,7,FALSE)</f>
        <v>2005</v>
      </c>
      <c r="H782" s="2">
        <f>VLOOKUP($A782,'[2]App C Total'!$A$4:$I$917,8,FALSE)</f>
        <v>719</v>
      </c>
      <c r="I782" s="2">
        <f>VLOOKUP($A782,'[2]App C Total'!$A$4:$I$917,9,FALSE)</f>
        <v>0</v>
      </c>
      <c r="J782" s="2"/>
      <c r="K782" s="2">
        <f>VLOOKUP($A782,'[2]App C Exp'!$A$4:$I$917,5,FALSE)</f>
        <v>779</v>
      </c>
      <c r="L782" s="2">
        <f>VLOOKUP($A782,'[2]App C Exp'!$A$4:$I$917,6,FALSE)</f>
        <v>733</v>
      </c>
      <c r="M782" s="2">
        <f>VLOOKUP($A782,'[2]App C Exp'!$A$4:$I$917,7,FALSE)</f>
        <v>657</v>
      </c>
      <c r="N782" s="2">
        <f>VLOOKUP($A782,'[2]App C Exp'!$A$4:$I$917,8,FALSE)</f>
        <v>263</v>
      </c>
      <c r="O782" s="2">
        <f>VLOOKUP($A782,'[2]App C Exp'!$A$4:$I$917,9,FALSE)</f>
        <v>0</v>
      </c>
      <c r="P782" s="2"/>
      <c r="Q782" s="2">
        <f>VLOOKUP($A782,'[2]App C Inv'!$A$4:$I$917,5,FALSE)</f>
        <v>827</v>
      </c>
      <c r="R782" s="2">
        <f>VLOOKUP($A782,'[2]App C Inv'!$A$4:$I$917,6,FALSE)</f>
        <v>-711</v>
      </c>
      <c r="S782" s="2">
        <f>VLOOKUP($A782,'[2]App C Inv'!$A$4:$I$917,7,FALSE)</f>
        <v>100</v>
      </c>
      <c r="T782" s="2">
        <f>VLOOKUP($A782,'[2]App C Inv'!$A$4:$I$917,8,FALSE)</f>
        <v>130</v>
      </c>
      <c r="U782" s="2">
        <f>VLOOKUP($A782,'[2]App C Inv'!$A$4:$I$917,9,FALSE)</f>
        <v>0</v>
      </c>
      <c r="V782" s="2"/>
      <c r="W782" s="2">
        <f>VLOOKUP($A782,'[2]App C Assum'!$A$4:$I$917,5,FALSE)</f>
        <v>932</v>
      </c>
      <c r="X782" s="2">
        <f>VLOOKUP($A782,'[2]App C Assum'!$A$4:$I$917,6,FALSE)</f>
        <v>763</v>
      </c>
      <c r="Y782" s="2">
        <f>VLOOKUP($A782,'[2]App C Assum'!$A$4:$I$917,7,FALSE)</f>
        <v>620</v>
      </c>
      <c r="Z782" s="2">
        <f>VLOOKUP($A782,'[2]App C Assum'!$A$4:$I$917,8,FALSE)</f>
        <v>0</v>
      </c>
      <c r="AA782" s="2">
        <f>VLOOKUP($A782,'[2]App C Assum'!$A$4:$I$917,9,FALSE)</f>
        <v>0</v>
      </c>
      <c r="AB782" s="2"/>
      <c r="AC782" s="2">
        <f>VLOOKUP($A782,'[2]App C Share Outflows'!$A$4:$I$917,5,FALSE)</f>
        <v>1144</v>
      </c>
      <c r="AD782" s="2">
        <f>VLOOKUP($A782,'[2]App C Share Outflows'!$A$4:$I$917,6,FALSE)</f>
        <v>796</v>
      </c>
      <c r="AE782" s="2">
        <f>VLOOKUP($A782,'[2]App C Share Outflows'!$A$4:$I$917,7,FALSE)</f>
        <v>628</v>
      </c>
      <c r="AF782" s="2">
        <f>VLOOKUP($A782,'[2]App C Share Outflows'!$A$4:$I$917,8,FALSE)</f>
        <v>326</v>
      </c>
      <c r="AG782" s="2">
        <f>VLOOKUP($A782,'[2]App C Share Outflows'!$A$4:$I$917,9,FALSE)</f>
        <v>0</v>
      </c>
      <c r="AH782" s="2"/>
      <c r="AI782" s="2">
        <f>VLOOKUP($A782,'[2]App C Share Inflows'!$A$4:$I$917,5,FALSE)</f>
        <v>0</v>
      </c>
      <c r="AJ782" s="2">
        <f>VLOOKUP($A782,'[2]App C Share Inflows'!$A$4:$I$917,6,FALSE)</f>
        <v>0</v>
      </c>
      <c r="AK782" s="2">
        <f>VLOOKUP($A782,'[2]App C Share Inflows'!$A$4:$I$917,7,FALSE)</f>
        <v>0</v>
      </c>
      <c r="AL782" s="2">
        <f>VLOOKUP($A782,'[2]App C Share Inflows'!$A$4:$I$917,8,FALSE)</f>
        <v>0</v>
      </c>
      <c r="AM782" s="2">
        <f>VLOOKUP($A782,'[2]App C Share Inflows'!$A$4:$I$917,6,FALSE)</f>
        <v>0</v>
      </c>
    </row>
    <row r="783" spans="1:39">
      <c r="A783" s="351">
        <v>98301</v>
      </c>
      <c r="B783" s="344" t="s">
        <v>1481</v>
      </c>
      <c r="C783" s="235" t="e">
        <f>VLOOKUP(A783,#REF!,10,FALSE)</f>
        <v>#REF!</v>
      </c>
      <c r="E783" s="2">
        <f>VLOOKUP($A783,'[2]App C Total'!$A$4:$I$917,5,FALSE)</f>
        <v>891955</v>
      </c>
      <c r="F783" s="2">
        <f>VLOOKUP($A783,'[2]App C Total'!$A$4:$I$917,6,FALSE)</f>
        <v>289376</v>
      </c>
      <c r="G783" s="2">
        <f>VLOOKUP($A783,'[2]App C Total'!$A$4:$I$917,7,FALSE)</f>
        <v>491201</v>
      </c>
      <c r="H783" s="2">
        <f>VLOOKUP($A783,'[2]App C Total'!$A$4:$I$917,8,FALSE)</f>
        <v>148132</v>
      </c>
      <c r="I783" s="2">
        <f>VLOOKUP($A783,'[2]App C Total'!$A$4:$I$917,9,FALSE)</f>
        <v>0</v>
      </c>
      <c r="J783" s="2"/>
      <c r="K783" s="2">
        <f>VLOOKUP($A783,'[2]App C Exp'!$A$4:$I$917,5,FALSE)</f>
        <v>265788</v>
      </c>
      <c r="L783" s="2">
        <f>VLOOKUP($A783,'[2]App C Exp'!$A$4:$I$917,6,FALSE)</f>
        <v>250020</v>
      </c>
      <c r="M783" s="2">
        <f>VLOOKUP($A783,'[2]App C Exp'!$A$4:$I$917,7,FALSE)</f>
        <v>224090</v>
      </c>
      <c r="N783" s="2">
        <f>VLOOKUP($A783,'[2]App C Exp'!$A$4:$I$917,8,FALSE)</f>
        <v>89723</v>
      </c>
      <c r="O783" s="2">
        <f>VLOOKUP($A783,'[2]App C Exp'!$A$4:$I$917,9,FALSE)</f>
        <v>0</v>
      </c>
      <c r="P783" s="2"/>
      <c r="Q783" s="2">
        <f>VLOOKUP($A783,'[2]App C Inv'!$A$4:$I$917,5,FALSE)</f>
        <v>282171</v>
      </c>
      <c r="R783" s="2">
        <f>VLOOKUP($A783,'[2]App C Inv'!$A$4:$I$917,6,FALSE)</f>
        <v>-242719</v>
      </c>
      <c r="S783" s="2">
        <f>VLOOKUP($A783,'[2]App C Inv'!$A$4:$I$917,7,FALSE)</f>
        <v>34208</v>
      </c>
      <c r="T783" s="2">
        <f>VLOOKUP($A783,'[2]App C Inv'!$A$4:$I$917,8,FALSE)</f>
        <v>44522</v>
      </c>
      <c r="U783" s="2">
        <f>VLOOKUP($A783,'[2]App C Inv'!$A$4:$I$917,9,FALSE)</f>
        <v>0</v>
      </c>
      <c r="V783" s="2"/>
      <c r="W783" s="2">
        <f>VLOOKUP($A783,'[2]App C Assum'!$A$4:$I$917,5,FALSE)</f>
        <v>317869</v>
      </c>
      <c r="X783" s="2">
        <f>VLOOKUP($A783,'[2]App C Assum'!$A$4:$I$917,6,FALSE)</f>
        <v>260410</v>
      </c>
      <c r="Y783" s="2">
        <f>VLOOKUP($A783,'[2]App C Assum'!$A$4:$I$917,7,FALSE)</f>
        <v>211408</v>
      </c>
      <c r="Z783" s="2">
        <f>VLOOKUP($A783,'[2]App C Assum'!$A$4:$I$917,8,FALSE)</f>
        <v>0</v>
      </c>
      <c r="AA783" s="2">
        <f>VLOOKUP($A783,'[2]App C Assum'!$A$4:$I$917,9,FALSE)</f>
        <v>0</v>
      </c>
      <c r="AB783" s="2"/>
      <c r="AC783" s="2">
        <f>VLOOKUP($A783,'[2]App C Share Outflows'!$A$4:$I$917,5,FALSE)</f>
        <v>26127</v>
      </c>
      <c r="AD783" s="2">
        <f>VLOOKUP($A783,'[2]App C Share Outflows'!$A$4:$I$917,6,FALSE)</f>
        <v>21665</v>
      </c>
      <c r="AE783" s="2">
        <f>VLOOKUP($A783,'[2]App C Share Outflows'!$A$4:$I$917,7,FALSE)</f>
        <v>21495</v>
      </c>
      <c r="AF783" s="2">
        <f>VLOOKUP($A783,'[2]App C Share Outflows'!$A$4:$I$917,8,FALSE)</f>
        <v>13887</v>
      </c>
      <c r="AG783" s="2">
        <f>VLOOKUP($A783,'[2]App C Share Outflows'!$A$4:$I$917,9,FALSE)</f>
        <v>0</v>
      </c>
      <c r="AH783" s="2"/>
      <c r="AI783" s="2">
        <f>VLOOKUP($A783,'[2]App C Share Inflows'!$A$4:$I$917,5,FALSE)</f>
        <v>0</v>
      </c>
      <c r="AJ783" s="2">
        <f>VLOOKUP($A783,'[2]App C Share Inflows'!$A$4:$I$917,6,FALSE)</f>
        <v>0</v>
      </c>
      <c r="AK783" s="2">
        <f>VLOOKUP($A783,'[2]App C Share Inflows'!$A$4:$I$917,7,FALSE)</f>
        <v>0</v>
      </c>
      <c r="AL783" s="2">
        <f>VLOOKUP($A783,'[2]App C Share Inflows'!$A$4:$I$917,8,FALSE)</f>
        <v>0</v>
      </c>
      <c r="AM783" s="2">
        <f>VLOOKUP($A783,'[2]App C Share Inflows'!$A$4:$I$917,6,FALSE)</f>
        <v>0</v>
      </c>
    </row>
    <row r="784" spans="1:39">
      <c r="A784" s="351">
        <v>98304</v>
      </c>
      <c r="B784" s="344" t="s">
        <v>1482</v>
      </c>
      <c r="C784" s="235" t="e">
        <f>VLOOKUP(A784,#REF!,10,FALSE)</f>
        <v>#REF!</v>
      </c>
      <c r="E784" s="2">
        <f>VLOOKUP($A784,'[2]App C Total'!$A$4:$I$917,5,FALSE)</f>
        <v>12438</v>
      </c>
      <c r="F784" s="2">
        <f>VLOOKUP($A784,'[2]App C Total'!$A$4:$I$917,6,FALSE)</f>
        <v>5303</v>
      </c>
      <c r="G784" s="2">
        <f>VLOOKUP($A784,'[2]App C Total'!$A$4:$I$917,7,FALSE)</f>
        <v>7357</v>
      </c>
      <c r="H784" s="2">
        <f>VLOOKUP($A784,'[2]App C Total'!$A$4:$I$917,8,FALSE)</f>
        <v>2845</v>
      </c>
      <c r="I784" s="2">
        <f>VLOOKUP($A784,'[2]App C Total'!$A$4:$I$917,9,FALSE)</f>
        <v>0</v>
      </c>
      <c r="J784" s="2"/>
      <c r="K784" s="2">
        <f>VLOOKUP($A784,'[2]App C Exp'!$A$4:$I$917,5,FALSE)</f>
        <v>3101</v>
      </c>
      <c r="L784" s="2">
        <f>VLOOKUP($A784,'[2]App C Exp'!$A$4:$I$917,6,FALSE)</f>
        <v>2917</v>
      </c>
      <c r="M784" s="2">
        <f>VLOOKUP($A784,'[2]App C Exp'!$A$4:$I$917,7,FALSE)</f>
        <v>2615</v>
      </c>
      <c r="N784" s="2">
        <f>VLOOKUP($A784,'[2]App C Exp'!$A$4:$I$917,8,FALSE)</f>
        <v>1047</v>
      </c>
      <c r="O784" s="2">
        <f>VLOOKUP($A784,'[2]App C Exp'!$A$4:$I$917,9,FALSE)</f>
        <v>0</v>
      </c>
      <c r="P784" s="2"/>
      <c r="Q784" s="2">
        <f>VLOOKUP($A784,'[2]App C Inv'!$A$4:$I$917,5,FALSE)</f>
        <v>3292</v>
      </c>
      <c r="R784" s="2">
        <f>VLOOKUP($A784,'[2]App C Inv'!$A$4:$I$917,6,FALSE)</f>
        <v>-2832</v>
      </c>
      <c r="S784" s="2">
        <f>VLOOKUP($A784,'[2]App C Inv'!$A$4:$I$917,7,FALSE)</f>
        <v>399</v>
      </c>
      <c r="T784" s="2">
        <f>VLOOKUP($A784,'[2]App C Inv'!$A$4:$I$917,8,FALSE)</f>
        <v>519</v>
      </c>
      <c r="U784" s="2">
        <f>VLOOKUP($A784,'[2]App C Inv'!$A$4:$I$917,9,FALSE)</f>
        <v>0</v>
      </c>
      <c r="V784" s="2"/>
      <c r="W784" s="2">
        <f>VLOOKUP($A784,'[2]App C Assum'!$A$4:$I$917,5,FALSE)</f>
        <v>3709</v>
      </c>
      <c r="X784" s="2">
        <f>VLOOKUP($A784,'[2]App C Assum'!$A$4:$I$917,6,FALSE)</f>
        <v>3038</v>
      </c>
      <c r="Y784" s="2">
        <f>VLOOKUP($A784,'[2]App C Assum'!$A$4:$I$917,7,FALSE)</f>
        <v>2467</v>
      </c>
      <c r="Z784" s="2">
        <f>VLOOKUP($A784,'[2]App C Assum'!$A$4:$I$917,8,FALSE)</f>
        <v>0</v>
      </c>
      <c r="AA784" s="2">
        <f>VLOOKUP($A784,'[2]App C Assum'!$A$4:$I$917,9,FALSE)</f>
        <v>0</v>
      </c>
      <c r="AB784" s="2"/>
      <c r="AC784" s="2">
        <f>VLOOKUP($A784,'[2]App C Share Outflows'!$A$4:$I$917,5,FALSE)</f>
        <v>2336</v>
      </c>
      <c r="AD784" s="2">
        <f>VLOOKUP($A784,'[2]App C Share Outflows'!$A$4:$I$917,6,FALSE)</f>
        <v>2180</v>
      </c>
      <c r="AE784" s="2">
        <f>VLOOKUP($A784,'[2]App C Share Outflows'!$A$4:$I$917,7,FALSE)</f>
        <v>1876</v>
      </c>
      <c r="AF784" s="2">
        <f>VLOOKUP($A784,'[2]App C Share Outflows'!$A$4:$I$917,8,FALSE)</f>
        <v>1279</v>
      </c>
      <c r="AG784" s="2">
        <f>VLOOKUP($A784,'[2]App C Share Outflows'!$A$4:$I$917,9,FALSE)</f>
        <v>0</v>
      </c>
      <c r="AH784" s="2"/>
      <c r="AI784" s="2">
        <f>VLOOKUP($A784,'[2]App C Share Inflows'!$A$4:$I$917,5,FALSE)</f>
        <v>0</v>
      </c>
      <c r="AJ784" s="2">
        <f>VLOOKUP($A784,'[2]App C Share Inflows'!$A$4:$I$917,6,FALSE)</f>
        <v>0</v>
      </c>
      <c r="AK784" s="2">
        <f>VLOOKUP($A784,'[2]App C Share Inflows'!$A$4:$I$917,7,FALSE)</f>
        <v>0</v>
      </c>
      <c r="AL784" s="2">
        <f>VLOOKUP($A784,'[2]App C Share Inflows'!$A$4:$I$917,8,FALSE)</f>
        <v>0</v>
      </c>
      <c r="AM784" s="2">
        <f>VLOOKUP($A784,'[2]App C Share Inflows'!$A$4:$I$917,6,FALSE)</f>
        <v>0</v>
      </c>
    </row>
    <row r="785" spans="1:39">
      <c r="A785" s="351">
        <v>98308</v>
      </c>
      <c r="B785" s="344" t="s">
        <v>1483</v>
      </c>
      <c r="C785" s="235" t="e">
        <f>VLOOKUP(A785,#REF!,10,FALSE)</f>
        <v>#REF!</v>
      </c>
      <c r="E785" s="2">
        <f>VLOOKUP($A785,'[2]App C Total'!$A$4:$I$917,5,FALSE)</f>
        <v>10177</v>
      </c>
      <c r="F785" s="2">
        <f>VLOOKUP($A785,'[2]App C Total'!$A$4:$I$917,6,FALSE)</f>
        <v>4090</v>
      </c>
      <c r="G785" s="2">
        <f>VLOOKUP($A785,'[2]App C Total'!$A$4:$I$917,7,FALSE)</f>
        <v>5331</v>
      </c>
      <c r="H785" s="2">
        <f>VLOOKUP($A785,'[2]App C Total'!$A$4:$I$917,8,FALSE)</f>
        <v>1404</v>
      </c>
      <c r="I785" s="2">
        <f>VLOOKUP($A785,'[2]App C Total'!$A$4:$I$917,9,FALSE)</f>
        <v>0</v>
      </c>
      <c r="J785" s="2"/>
      <c r="K785" s="2">
        <f>VLOOKUP($A785,'[2]App C Exp'!$A$4:$I$917,5,FALSE)</f>
        <v>2412</v>
      </c>
      <c r="L785" s="2">
        <f>VLOOKUP($A785,'[2]App C Exp'!$A$4:$I$917,6,FALSE)</f>
        <v>2269</v>
      </c>
      <c r="M785" s="2">
        <f>VLOOKUP($A785,'[2]App C Exp'!$A$4:$I$917,7,FALSE)</f>
        <v>2034</v>
      </c>
      <c r="N785" s="2">
        <f>VLOOKUP($A785,'[2]App C Exp'!$A$4:$I$917,8,FALSE)</f>
        <v>814</v>
      </c>
      <c r="O785" s="2">
        <f>VLOOKUP($A785,'[2]App C Exp'!$A$4:$I$917,9,FALSE)</f>
        <v>0</v>
      </c>
      <c r="P785" s="2"/>
      <c r="Q785" s="2">
        <f>VLOOKUP($A785,'[2]App C Inv'!$A$4:$I$917,5,FALSE)</f>
        <v>2561</v>
      </c>
      <c r="R785" s="2">
        <f>VLOOKUP($A785,'[2]App C Inv'!$A$4:$I$917,6,FALSE)</f>
        <v>-2203</v>
      </c>
      <c r="S785" s="2">
        <f>VLOOKUP($A785,'[2]App C Inv'!$A$4:$I$917,7,FALSE)</f>
        <v>310</v>
      </c>
      <c r="T785" s="2">
        <f>VLOOKUP($A785,'[2]App C Inv'!$A$4:$I$917,8,FALSE)</f>
        <v>404</v>
      </c>
      <c r="U785" s="2">
        <f>VLOOKUP($A785,'[2]App C Inv'!$A$4:$I$917,9,FALSE)</f>
        <v>0</v>
      </c>
      <c r="V785" s="2"/>
      <c r="W785" s="2">
        <f>VLOOKUP($A785,'[2]App C Assum'!$A$4:$I$917,5,FALSE)</f>
        <v>2885</v>
      </c>
      <c r="X785" s="2">
        <f>VLOOKUP($A785,'[2]App C Assum'!$A$4:$I$917,6,FALSE)</f>
        <v>2363</v>
      </c>
      <c r="Y785" s="2">
        <f>VLOOKUP($A785,'[2]App C Assum'!$A$4:$I$917,7,FALSE)</f>
        <v>1918</v>
      </c>
      <c r="Z785" s="2">
        <f>VLOOKUP($A785,'[2]App C Assum'!$A$4:$I$917,8,FALSE)</f>
        <v>0</v>
      </c>
      <c r="AA785" s="2">
        <f>VLOOKUP($A785,'[2]App C Assum'!$A$4:$I$917,9,FALSE)</f>
        <v>0</v>
      </c>
      <c r="AB785" s="2"/>
      <c r="AC785" s="2">
        <f>VLOOKUP($A785,'[2]App C Share Outflows'!$A$4:$I$917,5,FALSE)</f>
        <v>2319</v>
      </c>
      <c r="AD785" s="2">
        <f>VLOOKUP($A785,'[2]App C Share Outflows'!$A$4:$I$917,6,FALSE)</f>
        <v>1661</v>
      </c>
      <c r="AE785" s="2">
        <f>VLOOKUP($A785,'[2]App C Share Outflows'!$A$4:$I$917,7,FALSE)</f>
        <v>1069</v>
      </c>
      <c r="AF785" s="2">
        <f>VLOOKUP($A785,'[2]App C Share Outflows'!$A$4:$I$917,8,FALSE)</f>
        <v>186</v>
      </c>
      <c r="AG785" s="2">
        <f>VLOOKUP($A785,'[2]App C Share Outflows'!$A$4:$I$917,9,FALSE)</f>
        <v>0</v>
      </c>
      <c r="AH785" s="2"/>
      <c r="AI785" s="2">
        <f>VLOOKUP($A785,'[2]App C Share Inflows'!$A$4:$I$917,5,FALSE)</f>
        <v>0</v>
      </c>
      <c r="AJ785" s="2">
        <f>VLOOKUP($A785,'[2]App C Share Inflows'!$A$4:$I$917,6,FALSE)</f>
        <v>0</v>
      </c>
      <c r="AK785" s="2">
        <f>VLOOKUP($A785,'[2]App C Share Inflows'!$A$4:$I$917,7,FALSE)</f>
        <v>0</v>
      </c>
      <c r="AL785" s="2">
        <f>VLOOKUP($A785,'[2]App C Share Inflows'!$A$4:$I$917,8,FALSE)</f>
        <v>0</v>
      </c>
      <c r="AM785" s="2">
        <f>VLOOKUP($A785,'[2]App C Share Inflows'!$A$4:$I$917,6,FALSE)</f>
        <v>0</v>
      </c>
    </row>
    <row r="786" spans="1:39">
      <c r="A786" s="351">
        <v>98311</v>
      </c>
      <c r="B786" s="344" t="s">
        <v>1484</v>
      </c>
      <c r="C786" s="235" t="e">
        <f>VLOOKUP(A786,#REF!,10,FALSE)</f>
        <v>#REF!</v>
      </c>
      <c r="E786" s="2">
        <f>VLOOKUP($A786,'[2]App C Total'!$A$4:$I$917,5,FALSE)</f>
        <v>492808</v>
      </c>
      <c r="F786" s="2">
        <f>VLOOKUP($A786,'[2]App C Total'!$A$4:$I$917,6,FALSE)</f>
        <v>132653</v>
      </c>
      <c r="G786" s="2">
        <f>VLOOKUP($A786,'[2]App C Total'!$A$4:$I$917,7,FALSE)</f>
        <v>270631</v>
      </c>
      <c r="H786" s="2">
        <f>VLOOKUP($A786,'[2]App C Total'!$A$4:$I$917,8,FALSE)</f>
        <v>82601</v>
      </c>
      <c r="I786" s="2">
        <f>VLOOKUP($A786,'[2]App C Total'!$A$4:$I$917,9,FALSE)</f>
        <v>0</v>
      </c>
      <c r="J786" s="2"/>
      <c r="K786" s="2">
        <f>VLOOKUP($A786,'[2]App C Exp'!$A$4:$I$917,5,FALSE)</f>
        <v>165896</v>
      </c>
      <c r="L786" s="2">
        <f>VLOOKUP($A786,'[2]App C Exp'!$A$4:$I$917,6,FALSE)</f>
        <v>156055</v>
      </c>
      <c r="M786" s="2">
        <f>VLOOKUP($A786,'[2]App C Exp'!$A$4:$I$917,7,FALSE)</f>
        <v>139870</v>
      </c>
      <c r="N786" s="2">
        <f>VLOOKUP($A786,'[2]App C Exp'!$A$4:$I$917,8,FALSE)</f>
        <v>56002</v>
      </c>
      <c r="O786" s="2">
        <f>VLOOKUP($A786,'[2]App C Exp'!$A$4:$I$917,9,FALSE)</f>
        <v>0</v>
      </c>
      <c r="P786" s="2"/>
      <c r="Q786" s="2">
        <f>VLOOKUP($A786,'[2]App C Inv'!$A$4:$I$917,5,FALSE)</f>
        <v>176122</v>
      </c>
      <c r="R786" s="2">
        <f>VLOOKUP($A786,'[2]App C Inv'!$A$4:$I$917,6,FALSE)</f>
        <v>-151498</v>
      </c>
      <c r="S786" s="2">
        <f>VLOOKUP($A786,'[2]App C Inv'!$A$4:$I$917,7,FALSE)</f>
        <v>21352</v>
      </c>
      <c r="T786" s="2">
        <f>VLOOKUP($A786,'[2]App C Inv'!$A$4:$I$917,8,FALSE)</f>
        <v>27789</v>
      </c>
      <c r="U786" s="2">
        <f>VLOOKUP($A786,'[2]App C Inv'!$A$4:$I$917,9,FALSE)</f>
        <v>0</v>
      </c>
      <c r="V786" s="2"/>
      <c r="W786" s="2">
        <f>VLOOKUP($A786,'[2]App C Assum'!$A$4:$I$917,5,FALSE)</f>
        <v>198404</v>
      </c>
      <c r="X786" s="2">
        <f>VLOOKUP($A786,'[2]App C Assum'!$A$4:$I$917,6,FALSE)</f>
        <v>162540</v>
      </c>
      <c r="Y786" s="2">
        <f>VLOOKUP($A786,'[2]App C Assum'!$A$4:$I$917,7,FALSE)</f>
        <v>131954</v>
      </c>
      <c r="Z786" s="2">
        <f>VLOOKUP($A786,'[2]App C Assum'!$A$4:$I$917,8,FALSE)</f>
        <v>0</v>
      </c>
      <c r="AA786" s="2">
        <f>VLOOKUP($A786,'[2]App C Assum'!$A$4:$I$917,9,FALSE)</f>
        <v>0</v>
      </c>
      <c r="AB786" s="2"/>
      <c r="AC786" s="2">
        <f>VLOOKUP($A786,'[2]App C Share Outflows'!$A$4:$I$917,5,FALSE)</f>
        <v>0</v>
      </c>
      <c r="AD786" s="2">
        <f>VLOOKUP($A786,'[2]App C Share Outflows'!$A$4:$I$917,6,FALSE)</f>
        <v>0</v>
      </c>
      <c r="AE786" s="2">
        <f>VLOOKUP($A786,'[2]App C Share Outflows'!$A$4:$I$917,7,FALSE)</f>
        <v>0</v>
      </c>
      <c r="AF786" s="2">
        <f>VLOOKUP($A786,'[2]App C Share Outflows'!$A$4:$I$917,8,FALSE)</f>
        <v>0</v>
      </c>
      <c r="AG786" s="2">
        <f>VLOOKUP($A786,'[2]App C Share Outflows'!$A$4:$I$917,9,FALSE)</f>
        <v>0</v>
      </c>
      <c r="AH786" s="2"/>
      <c r="AI786" s="2">
        <f>VLOOKUP($A786,'[2]App C Share Inflows'!$A$4:$I$917,5,FALSE)</f>
        <v>-47614</v>
      </c>
      <c r="AJ786" s="2">
        <f>VLOOKUP($A786,'[2]App C Share Inflows'!$A$4:$I$917,6,FALSE)</f>
        <v>-34444</v>
      </c>
      <c r="AK786" s="2">
        <f>VLOOKUP($A786,'[2]App C Share Inflows'!$A$4:$I$917,7,FALSE)</f>
        <v>-22545</v>
      </c>
      <c r="AL786" s="2">
        <f>VLOOKUP($A786,'[2]App C Share Inflows'!$A$4:$I$917,8,FALSE)</f>
        <v>-1190</v>
      </c>
      <c r="AM786" s="2">
        <f>VLOOKUP($A786,'[2]App C Share Inflows'!$A$4:$I$917,6,FALSE)</f>
        <v>-34444</v>
      </c>
    </row>
    <row r="787" spans="1:39">
      <c r="A787" s="351">
        <v>98313</v>
      </c>
      <c r="B787" s="344" t="s">
        <v>1485</v>
      </c>
      <c r="C787" s="235" t="e">
        <f>VLOOKUP(A787,#REF!,10,FALSE)</f>
        <v>#REF!</v>
      </c>
      <c r="E787" s="2">
        <f>VLOOKUP($A787,'[2]App C Total'!$A$4:$I$917,5,FALSE)</f>
        <v>210568</v>
      </c>
      <c r="F787" s="2">
        <f>VLOOKUP($A787,'[2]App C Total'!$A$4:$I$917,6,FALSE)</f>
        <v>116440</v>
      </c>
      <c r="G787" s="2">
        <f>VLOOKUP($A787,'[2]App C Total'!$A$4:$I$917,7,FALSE)</f>
        <v>111291</v>
      </c>
      <c r="H787" s="2">
        <f>VLOOKUP($A787,'[2]App C Total'!$A$4:$I$917,8,FALSE)</f>
        <v>39564</v>
      </c>
      <c r="I787" s="2">
        <f>VLOOKUP($A787,'[2]App C Total'!$A$4:$I$917,9,FALSE)</f>
        <v>0</v>
      </c>
      <c r="J787" s="2"/>
      <c r="K787" s="2">
        <f>VLOOKUP($A787,'[2]App C Exp'!$A$4:$I$917,5,FALSE)</f>
        <v>31459</v>
      </c>
      <c r="L787" s="2">
        <f>VLOOKUP($A787,'[2]App C Exp'!$A$4:$I$917,6,FALSE)</f>
        <v>29593</v>
      </c>
      <c r="M787" s="2">
        <f>VLOOKUP($A787,'[2]App C Exp'!$A$4:$I$917,7,FALSE)</f>
        <v>26524</v>
      </c>
      <c r="N787" s="2">
        <f>VLOOKUP($A787,'[2]App C Exp'!$A$4:$I$917,8,FALSE)</f>
        <v>10620</v>
      </c>
      <c r="O787" s="2">
        <f>VLOOKUP($A787,'[2]App C Exp'!$A$4:$I$917,9,FALSE)</f>
        <v>0</v>
      </c>
      <c r="P787" s="2"/>
      <c r="Q787" s="2">
        <f>VLOOKUP($A787,'[2]App C Inv'!$A$4:$I$917,5,FALSE)</f>
        <v>33399</v>
      </c>
      <c r="R787" s="2">
        <f>VLOOKUP($A787,'[2]App C Inv'!$A$4:$I$917,6,FALSE)</f>
        <v>-28729</v>
      </c>
      <c r="S787" s="2">
        <f>VLOOKUP($A787,'[2]App C Inv'!$A$4:$I$917,7,FALSE)</f>
        <v>4049</v>
      </c>
      <c r="T787" s="2">
        <f>VLOOKUP($A787,'[2]App C Inv'!$A$4:$I$917,8,FALSE)</f>
        <v>5270</v>
      </c>
      <c r="U787" s="2">
        <f>VLOOKUP($A787,'[2]App C Inv'!$A$4:$I$917,9,FALSE)</f>
        <v>0</v>
      </c>
      <c r="V787" s="2"/>
      <c r="W787" s="2">
        <f>VLOOKUP($A787,'[2]App C Assum'!$A$4:$I$917,5,FALSE)</f>
        <v>37624</v>
      </c>
      <c r="X787" s="2">
        <f>VLOOKUP($A787,'[2]App C Assum'!$A$4:$I$917,6,FALSE)</f>
        <v>30823</v>
      </c>
      <c r="Y787" s="2">
        <f>VLOOKUP($A787,'[2]App C Assum'!$A$4:$I$917,7,FALSE)</f>
        <v>25023</v>
      </c>
      <c r="Z787" s="2">
        <f>VLOOKUP($A787,'[2]App C Assum'!$A$4:$I$917,8,FALSE)</f>
        <v>0</v>
      </c>
      <c r="AA787" s="2">
        <f>VLOOKUP($A787,'[2]App C Assum'!$A$4:$I$917,9,FALSE)</f>
        <v>0</v>
      </c>
      <c r="AB787" s="2"/>
      <c r="AC787" s="2">
        <f>VLOOKUP($A787,'[2]App C Share Outflows'!$A$4:$I$917,5,FALSE)</f>
        <v>108086</v>
      </c>
      <c r="AD787" s="2">
        <f>VLOOKUP($A787,'[2]App C Share Outflows'!$A$4:$I$917,6,FALSE)</f>
        <v>84753</v>
      </c>
      <c r="AE787" s="2">
        <f>VLOOKUP($A787,'[2]App C Share Outflows'!$A$4:$I$917,7,FALSE)</f>
        <v>55695</v>
      </c>
      <c r="AF787" s="2">
        <f>VLOOKUP($A787,'[2]App C Share Outflows'!$A$4:$I$917,8,FALSE)</f>
        <v>23674</v>
      </c>
      <c r="AG787" s="2">
        <f>VLOOKUP($A787,'[2]App C Share Outflows'!$A$4:$I$917,9,FALSE)</f>
        <v>0</v>
      </c>
      <c r="AH787" s="2"/>
      <c r="AI787" s="2">
        <f>VLOOKUP($A787,'[2]App C Share Inflows'!$A$4:$I$917,5,FALSE)</f>
        <v>0</v>
      </c>
      <c r="AJ787" s="2">
        <f>VLOOKUP($A787,'[2]App C Share Inflows'!$A$4:$I$917,6,FALSE)</f>
        <v>0</v>
      </c>
      <c r="AK787" s="2">
        <f>VLOOKUP($A787,'[2]App C Share Inflows'!$A$4:$I$917,7,FALSE)</f>
        <v>0</v>
      </c>
      <c r="AL787" s="2">
        <f>VLOOKUP($A787,'[2]App C Share Inflows'!$A$4:$I$917,8,FALSE)</f>
        <v>0</v>
      </c>
      <c r="AM787" s="2">
        <f>VLOOKUP($A787,'[2]App C Share Inflows'!$A$4:$I$917,6,FALSE)</f>
        <v>0</v>
      </c>
    </row>
    <row r="788" spans="1:39">
      <c r="A788" s="351">
        <v>98321</v>
      </c>
      <c r="B788" s="344" t="s">
        <v>1486</v>
      </c>
      <c r="C788" s="235" t="e">
        <f>VLOOKUP(A788,#REF!,10,FALSE)</f>
        <v>#REF!</v>
      </c>
      <c r="E788" s="2">
        <f>VLOOKUP($A788,'[2]App C Total'!$A$4:$I$917,5,FALSE)</f>
        <v>7236</v>
      </c>
      <c r="F788" s="2">
        <f>VLOOKUP($A788,'[2]App C Total'!$A$4:$I$917,6,FALSE)</f>
        <v>2388</v>
      </c>
      <c r="G788" s="2">
        <f>VLOOKUP($A788,'[2]App C Total'!$A$4:$I$917,7,FALSE)</f>
        <v>4292</v>
      </c>
      <c r="H788" s="2">
        <f>VLOOKUP($A788,'[2]App C Total'!$A$4:$I$917,8,FALSE)</f>
        <v>1096</v>
      </c>
      <c r="I788" s="2">
        <f>VLOOKUP($A788,'[2]App C Total'!$A$4:$I$917,9,FALSE)</f>
        <v>0</v>
      </c>
      <c r="J788" s="2"/>
      <c r="K788" s="2">
        <f>VLOOKUP($A788,'[2]App C Exp'!$A$4:$I$917,5,FALSE)</f>
        <v>2532</v>
      </c>
      <c r="L788" s="2">
        <f>VLOOKUP($A788,'[2]App C Exp'!$A$4:$I$917,6,FALSE)</f>
        <v>2382</v>
      </c>
      <c r="M788" s="2">
        <f>VLOOKUP($A788,'[2]App C Exp'!$A$4:$I$917,7,FALSE)</f>
        <v>2135</v>
      </c>
      <c r="N788" s="2">
        <f>VLOOKUP($A788,'[2]App C Exp'!$A$4:$I$917,8,FALSE)</f>
        <v>855</v>
      </c>
      <c r="O788" s="2">
        <f>VLOOKUP($A788,'[2]App C Exp'!$A$4:$I$917,9,FALSE)</f>
        <v>0</v>
      </c>
      <c r="P788" s="2"/>
      <c r="Q788" s="2">
        <f>VLOOKUP($A788,'[2]App C Inv'!$A$4:$I$917,5,FALSE)</f>
        <v>2688</v>
      </c>
      <c r="R788" s="2">
        <f>VLOOKUP($A788,'[2]App C Inv'!$A$4:$I$917,6,FALSE)</f>
        <v>-2312</v>
      </c>
      <c r="S788" s="2">
        <f>VLOOKUP($A788,'[2]App C Inv'!$A$4:$I$917,7,FALSE)</f>
        <v>326</v>
      </c>
      <c r="T788" s="2">
        <f>VLOOKUP($A788,'[2]App C Inv'!$A$4:$I$917,8,FALSE)</f>
        <v>424</v>
      </c>
      <c r="U788" s="2">
        <f>VLOOKUP($A788,'[2]App C Inv'!$A$4:$I$917,9,FALSE)</f>
        <v>0</v>
      </c>
      <c r="V788" s="2"/>
      <c r="W788" s="2">
        <f>VLOOKUP($A788,'[2]App C Assum'!$A$4:$I$917,5,FALSE)</f>
        <v>3028</v>
      </c>
      <c r="X788" s="2">
        <f>VLOOKUP($A788,'[2]App C Assum'!$A$4:$I$917,6,FALSE)</f>
        <v>2481</v>
      </c>
      <c r="Y788" s="2">
        <f>VLOOKUP($A788,'[2]App C Assum'!$A$4:$I$917,7,FALSE)</f>
        <v>2014</v>
      </c>
      <c r="Z788" s="2">
        <f>VLOOKUP($A788,'[2]App C Assum'!$A$4:$I$917,8,FALSE)</f>
        <v>0</v>
      </c>
      <c r="AA788" s="2">
        <f>VLOOKUP($A788,'[2]App C Assum'!$A$4:$I$917,9,FALSE)</f>
        <v>0</v>
      </c>
      <c r="AB788" s="2"/>
      <c r="AC788" s="2">
        <f>VLOOKUP($A788,'[2]App C Share Outflows'!$A$4:$I$917,5,FALSE)</f>
        <v>21</v>
      </c>
      <c r="AD788" s="2">
        <f>VLOOKUP($A788,'[2]App C Share Outflows'!$A$4:$I$917,6,FALSE)</f>
        <v>21</v>
      </c>
      <c r="AE788" s="2">
        <f>VLOOKUP($A788,'[2]App C Share Outflows'!$A$4:$I$917,7,FALSE)</f>
        <v>0</v>
      </c>
      <c r="AF788" s="2">
        <f>VLOOKUP($A788,'[2]App C Share Outflows'!$A$4:$I$917,8,FALSE)</f>
        <v>0</v>
      </c>
      <c r="AG788" s="2">
        <f>VLOOKUP($A788,'[2]App C Share Outflows'!$A$4:$I$917,9,FALSE)</f>
        <v>0</v>
      </c>
      <c r="AH788" s="2"/>
      <c r="AI788" s="2">
        <f>VLOOKUP($A788,'[2]App C Share Inflows'!$A$4:$I$917,5,FALSE)</f>
        <v>-1033</v>
      </c>
      <c r="AJ788" s="2">
        <f>VLOOKUP($A788,'[2]App C Share Inflows'!$A$4:$I$917,6,FALSE)</f>
        <v>-184</v>
      </c>
      <c r="AK788" s="2">
        <f>VLOOKUP($A788,'[2]App C Share Inflows'!$A$4:$I$917,7,FALSE)</f>
        <v>-183</v>
      </c>
      <c r="AL788" s="2">
        <f>VLOOKUP($A788,'[2]App C Share Inflows'!$A$4:$I$917,8,FALSE)</f>
        <v>-183</v>
      </c>
      <c r="AM788" s="2">
        <f>VLOOKUP($A788,'[2]App C Share Inflows'!$A$4:$I$917,6,FALSE)</f>
        <v>-184</v>
      </c>
    </row>
    <row r="789" spans="1:39">
      <c r="A789" s="351">
        <v>98331</v>
      </c>
      <c r="B789" s="344" t="s">
        <v>1487</v>
      </c>
      <c r="C789" s="235" t="e">
        <f>VLOOKUP(A789,#REF!,10,FALSE)</f>
        <v>#REF!</v>
      </c>
      <c r="E789" s="2">
        <f>VLOOKUP($A789,'[2]App C Total'!$A$4:$I$917,5,FALSE)</f>
        <v>5366</v>
      </c>
      <c r="F789" s="2">
        <f>VLOOKUP($A789,'[2]App C Total'!$A$4:$I$917,6,FALSE)</f>
        <v>2177</v>
      </c>
      <c r="G789" s="2">
        <f>VLOOKUP($A789,'[2]App C Total'!$A$4:$I$917,7,FALSE)</f>
        <v>2862</v>
      </c>
      <c r="H789" s="2">
        <f>VLOOKUP($A789,'[2]App C Total'!$A$4:$I$917,8,FALSE)</f>
        <v>938</v>
      </c>
      <c r="I789" s="2">
        <f>VLOOKUP($A789,'[2]App C Total'!$A$4:$I$917,9,FALSE)</f>
        <v>0</v>
      </c>
      <c r="J789" s="2"/>
      <c r="K789" s="2">
        <f>VLOOKUP($A789,'[2]App C Exp'!$A$4:$I$917,5,FALSE)</f>
        <v>1258</v>
      </c>
      <c r="L789" s="2">
        <f>VLOOKUP($A789,'[2]App C Exp'!$A$4:$I$917,6,FALSE)</f>
        <v>1184</v>
      </c>
      <c r="M789" s="2">
        <f>VLOOKUP($A789,'[2]App C Exp'!$A$4:$I$917,7,FALSE)</f>
        <v>1061</v>
      </c>
      <c r="N789" s="2">
        <f>VLOOKUP($A789,'[2]App C Exp'!$A$4:$I$917,8,FALSE)</f>
        <v>425</v>
      </c>
      <c r="O789" s="2">
        <f>VLOOKUP($A789,'[2]App C Exp'!$A$4:$I$917,9,FALSE)</f>
        <v>0</v>
      </c>
      <c r="P789" s="2"/>
      <c r="Q789" s="2">
        <f>VLOOKUP($A789,'[2]App C Inv'!$A$4:$I$917,5,FALSE)</f>
        <v>1336</v>
      </c>
      <c r="R789" s="2">
        <f>VLOOKUP($A789,'[2]App C Inv'!$A$4:$I$917,6,FALSE)</f>
        <v>-1149</v>
      </c>
      <c r="S789" s="2">
        <f>VLOOKUP($A789,'[2]App C Inv'!$A$4:$I$917,7,FALSE)</f>
        <v>162</v>
      </c>
      <c r="T789" s="2">
        <f>VLOOKUP($A789,'[2]App C Inv'!$A$4:$I$917,8,FALSE)</f>
        <v>211</v>
      </c>
      <c r="U789" s="2">
        <f>VLOOKUP($A789,'[2]App C Inv'!$A$4:$I$917,9,FALSE)</f>
        <v>0</v>
      </c>
      <c r="V789" s="2"/>
      <c r="W789" s="2">
        <f>VLOOKUP($A789,'[2]App C Assum'!$A$4:$I$917,5,FALSE)</f>
        <v>1505</v>
      </c>
      <c r="X789" s="2">
        <f>VLOOKUP($A789,'[2]App C Assum'!$A$4:$I$917,6,FALSE)</f>
        <v>1233</v>
      </c>
      <c r="Y789" s="2">
        <f>VLOOKUP($A789,'[2]App C Assum'!$A$4:$I$917,7,FALSE)</f>
        <v>1001</v>
      </c>
      <c r="Z789" s="2">
        <f>VLOOKUP($A789,'[2]App C Assum'!$A$4:$I$917,8,FALSE)</f>
        <v>0</v>
      </c>
      <c r="AA789" s="2">
        <f>VLOOKUP($A789,'[2]App C Assum'!$A$4:$I$917,9,FALSE)</f>
        <v>0</v>
      </c>
      <c r="AB789" s="2"/>
      <c r="AC789" s="2">
        <f>VLOOKUP($A789,'[2]App C Share Outflows'!$A$4:$I$917,5,FALSE)</f>
        <v>1267</v>
      </c>
      <c r="AD789" s="2">
        <f>VLOOKUP($A789,'[2]App C Share Outflows'!$A$4:$I$917,6,FALSE)</f>
        <v>909</v>
      </c>
      <c r="AE789" s="2">
        <f>VLOOKUP($A789,'[2]App C Share Outflows'!$A$4:$I$917,7,FALSE)</f>
        <v>638</v>
      </c>
      <c r="AF789" s="2">
        <f>VLOOKUP($A789,'[2]App C Share Outflows'!$A$4:$I$917,8,FALSE)</f>
        <v>302</v>
      </c>
      <c r="AG789" s="2">
        <f>VLOOKUP($A789,'[2]App C Share Outflows'!$A$4:$I$917,9,FALSE)</f>
        <v>0</v>
      </c>
      <c r="AH789" s="2"/>
      <c r="AI789" s="2">
        <f>VLOOKUP($A789,'[2]App C Share Inflows'!$A$4:$I$917,5,FALSE)</f>
        <v>0</v>
      </c>
      <c r="AJ789" s="2">
        <f>VLOOKUP($A789,'[2]App C Share Inflows'!$A$4:$I$917,6,FALSE)</f>
        <v>0</v>
      </c>
      <c r="AK789" s="2">
        <f>VLOOKUP($A789,'[2]App C Share Inflows'!$A$4:$I$917,7,FALSE)</f>
        <v>0</v>
      </c>
      <c r="AL789" s="2">
        <f>VLOOKUP($A789,'[2]App C Share Inflows'!$A$4:$I$917,8,FALSE)</f>
        <v>0</v>
      </c>
      <c r="AM789" s="2">
        <f>VLOOKUP($A789,'[2]App C Share Inflows'!$A$4:$I$917,6,FALSE)</f>
        <v>0</v>
      </c>
    </row>
    <row r="790" spans="1:39">
      <c r="A790" s="351">
        <v>98401</v>
      </c>
      <c r="B790" s="344" t="s">
        <v>1488</v>
      </c>
      <c r="C790" s="235" t="e">
        <f>VLOOKUP(A790,#REF!,10,FALSE)</f>
        <v>#REF!</v>
      </c>
      <c r="E790" s="2">
        <f>VLOOKUP($A790,'[2]App C Total'!$A$4:$I$917,5,FALSE)</f>
        <v>1551265</v>
      </c>
      <c r="F790" s="2">
        <f>VLOOKUP($A790,'[2]App C Total'!$A$4:$I$917,6,FALSE)</f>
        <v>554680</v>
      </c>
      <c r="G790" s="2">
        <f>VLOOKUP($A790,'[2]App C Total'!$A$4:$I$917,7,FALSE)</f>
        <v>864482</v>
      </c>
      <c r="H790" s="2">
        <f>VLOOKUP($A790,'[2]App C Total'!$A$4:$I$917,8,FALSE)</f>
        <v>281668</v>
      </c>
      <c r="I790" s="2">
        <f>VLOOKUP($A790,'[2]App C Total'!$A$4:$I$917,9,FALSE)</f>
        <v>0</v>
      </c>
      <c r="J790" s="2"/>
      <c r="K790" s="2">
        <f>VLOOKUP($A790,'[2]App C Exp'!$A$4:$I$917,5,FALSE)</f>
        <v>443698</v>
      </c>
      <c r="L790" s="2">
        <f>VLOOKUP($A790,'[2]App C Exp'!$A$4:$I$917,6,FALSE)</f>
        <v>417377</v>
      </c>
      <c r="M790" s="2">
        <f>VLOOKUP($A790,'[2]App C Exp'!$A$4:$I$917,7,FALSE)</f>
        <v>374090</v>
      </c>
      <c r="N790" s="2">
        <f>VLOOKUP($A790,'[2]App C Exp'!$A$4:$I$917,8,FALSE)</f>
        <v>149781</v>
      </c>
      <c r="O790" s="2">
        <f>VLOOKUP($A790,'[2]App C Exp'!$A$4:$I$917,9,FALSE)</f>
        <v>0</v>
      </c>
      <c r="P790" s="2"/>
      <c r="Q790" s="2">
        <f>VLOOKUP($A790,'[2]App C Inv'!$A$4:$I$917,5,FALSE)</f>
        <v>471048</v>
      </c>
      <c r="R790" s="2">
        <f>VLOOKUP($A790,'[2]App C Inv'!$A$4:$I$917,6,FALSE)</f>
        <v>-405189</v>
      </c>
      <c r="S790" s="2">
        <f>VLOOKUP($A790,'[2]App C Inv'!$A$4:$I$917,7,FALSE)</f>
        <v>57106</v>
      </c>
      <c r="T790" s="2">
        <f>VLOOKUP($A790,'[2]App C Inv'!$A$4:$I$917,8,FALSE)</f>
        <v>74323</v>
      </c>
      <c r="U790" s="2">
        <f>VLOOKUP($A790,'[2]App C Inv'!$A$4:$I$917,9,FALSE)</f>
        <v>0</v>
      </c>
      <c r="V790" s="2"/>
      <c r="W790" s="2">
        <f>VLOOKUP($A790,'[2]App C Assum'!$A$4:$I$917,5,FALSE)</f>
        <v>530642</v>
      </c>
      <c r="X790" s="2">
        <f>VLOOKUP($A790,'[2]App C Assum'!$A$4:$I$917,6,FALSE)</f>
        <v>434721</v>
      </c>
      <c r="Y790" s="2">
        <f>VLOOKUP($A790,'[2]App C Assum'!$A$4:$I$917,7,FALSE)</f>
        <v>352919</v>
      </c>
      <c r="Z790" s="2">
        <f>VLOOKUP($A790,'[2]App C Assum'!$A$4:$I$917,8,FALSE)</f>
        <v>0</v>
      </c>
      <c r="AA790" s="2">
        <f>VLOOKUP($A790,'[2]App C Assum'!$A$4:$I$917,9,FALSE)</f>
        <v>0</v>
      </c>
      <c r="AB790" s="2"/>
      <c r="AC790" s="2">
        <f>VLOOKUP($A790,'[2]App C Share Outflows'!$A$4:$I$917,5,FALSE)</f>
        <v>107770</v>
      </c>
      <c r="AD790" s="2">
        <f>VLOOKUP($A790,'[2]App C Share Outflows'!$A$4:$I$917,6,FALSE)</f>
        <v>107771</v>
      </c>
      <c r="AE790" s="2">
        <f>VLOOKUP($A790,'[2]App C Share Outflows'!$A$4:$I$917,7,FALSE)</f>
        <v>80367</v>
      </c>
      <c r="AF790" s="2">
        <f>VLOOKUP($A790,'[2]App C Share Outflows'!$A$4:$I$917,8,FALSE)</f>
        <v>57564</v>
      </c>
      <c r="AG790" s="2">
        <f>VLOOKUP($A790,'[2]App C Share Outflows'!$A$4:$I$917,9,FALSE)</f>
        <v>0</v>
      </c>
      <c r="AH790" s="2"/>
      <c r="AI790" s="2">
        <f>VLOOKUP($A790,'[2]App C Share Inflows'!$A$4:$I$917,5,FALSE)</f>
        <v>-1893</v>
      </c>
      <c r="AJ790" s="2">
        <f>VLOOKUP($A790,'[2]App C Share Inflows'!$A$4:$I$917,6,FALSE)</f>
        <v>0</v>
      </c>
      <c r="AK790" s="2">
        <f>VLOOKUP($A790,'[2]App C Share Inflows'!$A$4:$I$917,7,FALSE)</f>
        <v>0</v>
      </c>
      <c r="AL790" s="2">
        <f>VLOOKUP($A790,'[2]App C Share Inflows'!$A$4:$I$917,8,FALSE)</f>
        <v>0</v>
      </c>
      <c r="AM790" s="2">
        <f>VLOOKUP($A790,'[2]App C Share Inflows'!$A$4:$I$917,6,FALSE)</f>
        <v>0</v>
      </c>
    </row>
    <row r="791" spans="1:39">
      <c r="A791" s="351">
        <v>98404</v>
      </c>
      <c r="B791" s="344" t="s">
        <v>1489</v>
      </c>
      <c r="C791" s="235" t="e">
        <f>VLOOKUP(A791,#REF!,10,FALSE)</f>
        <v>#REF!</v>
      </c>
      <c r="E791" s="2">
        <f>VLOOKUP($A791,'[2]App C Total'!$A$4:$I$917,5,FALSE)</f>
        <v>9397</v>
      </c>
      <c r="F791" s="2">
        <f>VLOOKUP($A791,'[2]App C Total'!$A$4:$I$917,6,FALSE)</f>
        <v>4575</v>
      </c>
      <c r="G791" s="2">
        <f>VLOOKUP($A791,'[2]App C Total'!$A$4:$I$917,7,FALSE)</f>
        <v>3881</v>
      </c>
      <c r="H791" s="2">
        <f>VLOOKUP($A791,'[2]App C Total'!$A$4:$I$917,8,FALSE)</f>
        <v>998</v>
      </c>
      <c r="I791" s="2">
        <f>VLOOKUP($A791,'[2]App C Total'!$A$4:$I$917,9,FALSE)</f>
        <v>0</v>
      </c>
      <c r="J791" s="2"/>
      <c r="K791" s="2">
        <f>VLOOKUP($A791,'[2]App C Exp'!$A$4:$I$917,5,FALSE)</f>
        <v>2142</v>
      </c>
      <c r="L791" s="2">
        <f>VLOOKUP($A791,'[2]App C Exp'!$A$4:$I$917,6,FALSE)</f>
        <v>2015</v>
      </c>
      <c r="M791" s="2">
        <f>VLOOKUP($A791,'[2]App C Exp'!$A$4:$I$917,7,FALSE)</f>
        <v>1806</v>
      </c>
      <c r="N791" s="2">
        <f>VLOOKUP($A791,'[2]App C Exp'!$A$4:$I$917,8,FALSE)</f>
        <v>723</v>
      </c>
      <c r="O791" s="2">
        <f>VLOOKUP($A791,'[2]App C Exp'!$A$4:$I$917,9,FALSE)</f>
        <v>0</v>
      </c>
      <c r="P791" s="2"/>
      <c r="Q791" s="2">
        <f>VLOOKUP($A791,'[2]App C Inv'!$A$4:$I$917,5,FALSE)</f>
        <v>2274</v>
      </c>
      <c r="R791" s="2">
        <f>VLOOKUP($A791,'[2]App C Inv'!$A$4:$I$917,6,FALSE)</f>
        <v>-1956</v>
      </c>
      <c r="S791" s="2">
        <f>VLOOKUP($A791,'[2]App C Inv'!$A$4:$I$917,7,FALSE)</f>
        <v>276</v>
      </c>
      <c r="T791" s="2">
        <f>VLOOKUP($A791,'[2]App C Inv'!$A$4:$I$917,8,FALSE)</f>
        <v>359</v>
      </c>
      <c r="U791" s="2">
        <f>VLOOKUP($A791,'[2]App C Inv'!$A$4:$I$917,9,FALSE)</f>
        <v>0</v>
      </c>
      <c r="V791" s="2"/>
      <c r="W791" s="2">
        <f>VLOOKUP($A791,'[2]App C Assum'!$A$4:$I$917,5,FALSE)</f>
        <v>2562</v>
      </c>
      <c r="X791" s="2">
        <f>VLOOKUP($A791,'[2]App C Assum'!$A$4:$I$917,6,FALSE)</f>
        <v>2099</v>
      </c>
      <c r="Y791" s="2">
        <f>VLOOKUP($A791,'[2]App C Assum'!$A$4:$I$917,7,FALSE)</f>
        <v>1704</v>
      </c>
      <c r="Z791" s="2">
        <f>VLOOKUP($A791,'[2]App C Assum'!$A$4:$I$917,8,FALSE)</f>
        <v>0</v>
      </c>
      <c r="AA791" s="2">
        <f>VLOOKUP($A791,'[2]App C Assum'!$A$4:$I$917,9,FALSE)</f>
        <v>0</v>
      </c>
      <c r="AB791" s="2"/>
      <c r="AC791" s="2">
        <f>VLOOKUP($A791,'[2]App C Share Outflows'!$A$4:$I$917,5,FALSE)</f>
        <v>2503</v>
      </c>
      <c r="AD791" s="2">
        <f>VLOOKUP($A791,'[2]App C Share Outflows'!$A$4:$I$917,6,FALSE)</f>
        <v>2501</v>
      </c>
      <c r="AE791" s="2">
        <f>VLOOKUP($A791,'[2]App C Share Outflows'!$A$4:$I$917,7,FALSE)</f>
        <v>179</v>
      </c>
      <c r="AF791" s="2">
        <f>VLOOKUP($A791,'[2]App C Share Outflows'!$A$4:$I$917,8,FALSE)</f>
        <v>0</v>
      </c>
      <c r="AG791" s="2">
        <f>VLOOKUP($A791,'[2]App C Share Outflows'!$A$4:$I$917,9,FALSE)</f>
        <v>0</v>
      </c>
      <c r="AH791" s="2"/>
      <c r="AI791" s="2">
        <f>VLOOKUP($A791,'[2]App C Share Inflows'!$A$4:$I$917,5,FALSE)</f>
        <v>-84</v>
      </c>
      <c r="AJ791" s="2">
        <f>VLOOKUP($A791,'[2]App C Share Inflows'!$A$4:$I$917,6,FALSE)</f>
        <v>-84</v>
      </c>
      <c r="AK791" s="2">
        <f>VLOOKUP($A791,'[2]App C Share Inflows'!$A$4:$I$917,7,FALSE)</f>
        <v>-84</v>
      </c>
      <c r="AL791" s="2">
        <f>VLOOKUP($A791,'[2]App C Share Inflows'!$A$4:$I$917,8,FALSE)</f>
        <v>-84</v>
      </c>
      <c r="AM791" s="2">
        <f>VLOOKUP($A791,'[2]App C Share Inflows'!$A$4:$I$917,6,FALSE)</f>
        <v>-84</v>
      </c>
    </row>
    <row r="792" spans="1:39">
      <c r="A792" s="351">
        <v>98411</v>
      </c>
      <c r="B792" s="344" t="s">
        <v>1490</v>
      </c>
      <c r="C792" s="235" t="e">
        <f>VLOOKUP(A792,#REF!,10,FALSE)</f>
        <v>#REF!</v>
      </c>
      <c r="E792" s="2">
        <f>VLOOKUP($A792,'[2]App C Total'!$A$4:$I$917,5,FALSE)</f>
        <v>879015</v>
      </c>
      <c r="F792" s="2">
        <f>VLOOKUP($A792,'[2]App C Total'!$A$4:$I$917,6,FALSE)</f>
        <v>239619</v>
      </c>
      <c r="G792" s="2">
        <f>VLOOKUP($A792,'[2]App C Total'!$A$4:$I$917,7,FALSE)</f>
        <v>469196</v>
      </c>
      <c r="H792" s="2">
        <f>VLOOKUP($A792,'[2]App C Total'!$A$4:$I$917,8,FALSE)</f>
        <v>124874</v>
      </c>
      <c r="I792" s="2">
        <f>VLOOKUP($A792,'[2]App C Total'!$A$4:$I$917,9,FALSE)</f>
        <v>0</v>
      </c>
      <c r="J792" s="2"/>
      <c r="K792" s="2">
        <f>VLOOKUP($A792,'[2]App C Exp'!$A$4:$I$917,5,FALSE)</f>
        <v>285862</v>
      </c>
      <c r="L792" s="2">
        <f>VLOOKUP($A792,'[2]App C Exp'!$A$4:$I$917,6,FALSE)</f>
        <v>268904</v>
      </c>
      <c r="M792" s="2">
        <f>VLOOKUP($A792,'[2]App C Exp'!$A$4:$I$917,7,FALSE)</f>
        <v>241015</v>
      </c>
      <c r="N792" s="2">
        <f>VLOOKUP($A792,'[2]App C Exp'!$A$4:$I$917,8,FALSE)</f>
        <v>96500</v>
      </c>
      <c r="O792" s="2">
        <f>VLOOKUP($A792,'[2]App C Exp'!$A$4:$I$917,9,FALSE)</f>
        <v>0</v>
      </c>
      <c r="P792" s="2"/>
      <c r="Q792" s="2">
        <f>VLOOKUP($A792,'[2]App C Inv'!$A$4:$I$917,5,FALSE)</f>
        <v>303482</v>
      </c>
      <c r="R792" s="2">
        <f>VLOOKUP($A792,'[2]App C Inv'!$A$4:$I$917,6,FALSE)</f>
        <v>-261051</v>
      </c>
      <c r="S792" s="2">
        <f>VLOOKUP($A792,'[2]App C Inv'!$A$4:$I$917,7,FALSE)</f>
        <v>36792</v>
      </c>
      <c r="T792" s="2">
        <f>VLOOKUP($A792,'[2]App C Inv'!$A$4:$I$917,8,FALSE)</f>
        <v>47884</v>
      </c>
      <c r="U792" s="2">
        <f>VLOOKUP($A792,'[2]App C Inv'!$A$4:$I$917,9,FALSE)</f>
        <v>0</v>
      </c>
      <c r="V792" s="2"/>
      <c r="W792" s="2">
        <f>VLOOKUP($A792,'[2]App C Assum'!$A$4:$I$917,5,FALSE)</f>
        <v>341877</v>
      </c>
      <c r="X792" s="2">
        <f>VLOOKUP($A792,'[2]App C Assum'!$A$4:$I$917,6,FALSE)</f>
        <v>280078</v>
      </c>
      <c r="Y792" s="2">
        <f>VLOOKUP($A792,'[2]App C Assum'!$A$4:$I$917,7,FALSE)</f>
        <v>227375</v>
      </c>
      <c r="Z792" s="2">
        <f>VLOOKUP($A792,'[2]App C Assum'!$A$4:$I$917,8,FALSE)</f>
        <v>0</v>
      </c>
      <c r="AA792" s="2">
        <f>VLOOKUP($A792,'[2]App C Assum'!$A$4:$I$917,9,FALSE)</f>
        <v>0</v>
      </c>
      <c r="AB792" s="2"/>
      <c r="AC792" s="2">
        <f>VLOOKUP($A792,'[2]App C Share Outflows'!$A$4:$I$917,5,FALSE)</f>
        <v>0</v>
      </c>
      <c r="AD792" s="2">
        <f>VLOOKUP($A792,'[2]App C Share Outflows'!$A$4:$I$917,6,FALSE)</f>
        <v>0</v>
      </c>
      <c r="AE792" s="2">
        <f>VLOOKUP($A792,'[2]App C Share Outflows'!$A$4:$I$917,7,FALSE)</f>
        <v>0</v>
      </c>
      <c r="AF792" s="2">
        <f>VLOOKUP($A792,'[2]App C Share Outflows'!$A$4:$I$917,8,FALSE)</f>
        <v>0</v>
      </c>
      <c r="AG792" s="2">
        <f>VLOOKUP($A792,'[2]App C Share Outflows'!$A$4:$I$917,9,FALSE)</f>
        <v>0</v>
      </c>
      <c r="AH792" s="2"/>
      <c r="AI792" s="2">
        <f>VLOOKUP($A792,'[2]App C Share Inflows'!$A$4:$I$917,5,FALSE)</f>
        <v>-52206</v>
      </c>
      <c r="AJ792" s="2">
        <f>VLOOKUP($A792,'[2]App C Share Inflows'!$A$4:$I$917,6,FALSE)</f>
        <v>-48312</v>
      </c>
      <c r="AK792" s="2">
        <f>VLOOKUP($A792,'[2]App C Share Inflows'!$A$4:$I$917,7,FALSE)</f>
        <v>-35986</v>
      </c>
      <c r="AL792" s="2">
        <f>VLOOKUP($A792,'[2]App C Share Inflows'!$A$4:$I$917,8,FALSE)</f>
        <v>-19510</v>
      </c>
      <c r="AM792" s="2">
        <f>VLOOKUP($A792,'[2]App C Share Inflows'!$A$4:$I$917,6,FALSE)</f>
        <v>-48312</v>
      </c>
    </row>
    <row r="793" spans="1:39">
      <c r="A793" s="351">
        <v>98417</v>
      </c>
      <c r="B793" s="344" t="s">
        <v>1492</v>
      </c>
      <c r="C793" s="235" t="e">
        <f>VLOOKUP(A793,#REF!,10,FALSE)</f>
        <v>#REF!</v>
      </c>
      <c r="E793" s="2">
        <f>VLOOKUP($A793,'[2]App C Total'!$A$4:$I$917,5,FALSE)</f>
        <v>13569</v>
      </c>
      <c r="F793" s="2">
        <f>VLOOKUP($A793,'[2]App C Total'!$A$4:$I$917,6,FALSE)</f>
        <v>5792</v>
      </c>
      <c r="G793" s="2">
        <f>VLOOKUP($A793,'[2]App C Total'!$A$4:$I$917,7,FALSE)</f>
        <v>7944</v>
      </c>
      <c r="H793" s="2">
        <f>VLOOKUP($A793,'[2]App C Total'!$A$4:$I$917,8,FALSE)</f>
        <v>2994</v>
      </c>
      <c r="I793" s="2">
        <f>VLOOKUP($A793,'[2]App C Total'!$A$4:$I$917,9,FALSE)</f>
        <v>0</v>
      </c>
      <c r="J793" s="2"/>
      <c r="K793" s="2">
        <f>VLOOKUP($A793,'[2]App C Exp'!$A$4:$I$917,5,FALSE)</f>
        <v>3341</v>
      </c>
      <c r="L793" s="2">
        <f>VLOOKUP($A793,'[2]App C Exp'!$A$4:$I$917,6,FALSE)</f>
        <v>3143</v>
      </c>
      <c r="M793" s="2">
        <f>VLOOKUP($A793,'[2]App C Exp'!$A$4:$I$917,7,FALSE)</f>
        <v>2817</v>
      </c>
      <c r="N793" s="2">
        <f>VLOOKUP($A793,'[2]App C Exp'!$A$4:$I$917,8,FALSE)</f>
        <v>1128</v>
      </c>
      <c r="O793" s="2">
        <f>VLOOKUP($A793,'[2]App C Exp'!$A$4:$I$917,9,FALSE)</f>
        <v>0</v>
      </c>
      <c r="P793" s="2"/>
      <c r="Q793" s="2">
        <f>VLOOKUP($A793,'[2]App C Inv'!$A$4:$I$917,5,FALSE)</f>
        <v>3547</v>
      </c>
      <c r="R793" s="2">
        <f>VLOOKUP($A793,'[2]App C Inv'!$A$4:$I$917,6,FALSE)</f>
        <v>-3051</v>
      </c>
      <c r="S793" s="2">
        <f>VLOOKUP($A793,'[2]App C Inv'!$A$4:$I$917,7,FALSE)</f>
        <v>430</v>
      </c>
      <c r="T793" s="2">
        <f>VLOOKUP($A793,'[2]App C Inv'!$A$4:$I$917,8,FALSE)</f>
        <v>560</v>
      </c>
      <c r="U793" s="2">
        <f>VLOOKUP($A793,'[2]App C Inv'!$A$4:$I$917,9,FALSE)</f>
        <v>0</v>
      </c>
      <c r="V793" s="2"/>
      <c r="W793" s="2">
        <f>VLOOKUP($A793,'[2]App C Assum'!$A$4:$I$917,5,FALSE)</f>
        <v>3995</v>
      </c>
      <c r="X793" s="2">
        <f>VLOOKUP($A793,'[2]App C Assum'!$A$4:$I$917,6,FALSE)</f>
        <v>3273</v>
      </c>
      <c r="Y793" s="2">
        <f>VLOOKUP($A793,'[2]App C Assum'!$A$4:$I$917,7,FALSE)</f>
        <v>2657</v>
      </c>
      <c r="Z793" s="2">
        <f>VLOOKUP($A793,'[2]App C Assum'!$A$4:$I$917,8,FALSE)</f>
        <v>0</v>
      </c>
      <c r="AA793" s="2">
        <f>VLOOKUP($A793,'[2]App C Assum'!$A$4:$I$917,9,FALSE)</f>
        <v>0</v>
      </c>
      <c r="AB793" s="2"/>
      <c r="AC793" s="2">
        <f>VLOOKUP($A793,'[2]App C Share Outflows'!$A$4:$I$917,5,FALSE)</f>
        <v>2686</v>
      </c>
      <c r="AD793" s="2">
        <f>VLOOKUP($A793,'[2]App C Share Outflows'!$A$4:$I$917,6,FALSE)</f>
        <v>2427</v>
      </c>
      <c r="AE793" s="2">
        <f>VLOOKUP($A793,'[2]App C Share Outflows'!$A$4:$I$917,7,FALSE)</f>
        <v>2040</v>
      </c>
      <c r="AF793" s="2">
        <f>VLOOKUP($A793,'[2]App C Share Outflows'!$A$4:$I$917,8,FALSE)</f>
        <v>1306</v>
      </c>
      <c r="AG793" s="2">
        <f>VLOOKUP($A793,'[2]App C Share Outflows'!$A$4:$I$917,9,FALSE)</f>
        <v>0</v>
      </c>
      <c r="AH793" s="2"/>
      <c r="AI793" s="2">
        <f>VLOOKUP($A793,'[2]App C Share Inflows'!$A$4:$I$917,5,FALSE)</f>
        <v>0</v>
      </c>
      <c r="AJ793" s="2">
        <f>VLOOKUP($A793,'[2]App C Share Inflows'!$A$4:$I$917,6,FALSE)</f>
        <v>0</v>
      </c>
      <c r="AK793" s="2">
        <f>VLOOKUP($A793,'[2]App C Share Inflows'!$A$4:$I$917,7,FALSE)</f>
        <v>0</v>
      </c>
      <c r="AL793" s="2">
        <f>VLOOKUP($A793,'[2]App C Share Inflows'!$A$4:$I$917,8,FALSE)</f>
        <v>0</v>
      </c>
      <c r="AM793" s="2">
        <f>VLOOKUP($A793,'[2]App C Share Inflows'!$A$4:$I$917,6,FALSE)</f>
        <v>0</v>
      </c>
    </row>
    <row r="794" spans="1:39">
      <c r="A794" s="351">
        <v>98421</v>
      </c>
      <c r="B794" s="344" t="s">
        <v>1493</v>
      </c>
      <c r="C794" s="235" t="e">
        <f>VLOOKUP(A794,#REF!,10,FALSE)</f>
        <v>#REF!</v>
      </c>
      <c r="E794" s="2">
        <f>VLOOKUP($A794,'[2]App C Total'!$A$4:$I$917,5,FALSE)</f>
        <v>56080</v>
      </c>
      <c r="F794" s="2">
        <f>VLOOKUP($A794,'[2]App C Total'!$A$4:$I$917,6,FALSE)</f>
        <v>18194</v>
      </c>
      <c r="G794" s="2">
        <f>VLOOKUP($A794,'[2]App C Total'!$A$4:$I$917,7,FALSE)</f>
        <v>33979</v>
      </c>
      <c r="H794" s="2">
        <f>VLOOKUP($A794,'[2]App C Total'!$A$4:$I$917,8,FALSE)</f>
        <v>8902</v>
      </c>
      <c r="I794" s="2">
        <f>VLOOKUP($A794,'[2]App C Total'!$A$4:$I$917,9,FALSE)</f>
        <v>0</v>
      </c>
      <c r="J794" s="2"/>
      <c r="K794" s="2">
        <f>VLOOKUP($A794,'[2]App C Exp'!$A$4:$I$917,5,FALSE)</f>
        <v>16793</v>
      </c>
      <c r="L794" s="2">
        <f>VLOOKUP($A794,'[2]App C Exp'!$A$4:$I$917,6,FALSE)</f>
        <v>15797</v>
      </c>
      <c r="M794" s="2">
        <f>VLOOKUP($A794,'[2]App C Exp'!$A$4:$I$917,7,FALSE)</f>
        <v>14159</v>
      </c>
      <c r="N794" s="2">
        <f>VLOOKUP($A794,'[2]App C Exp'!$A$4:$I$917,8,FALSE)</f>
        <v>5669</v>
      </c>
      <c r="O794" s="2">
        <f>VLOOKUP($A794,'[2]App C Exp'!$A$4:$I$917,9,FALSE)</f>
        <v>0</v>
      </c>
      <c r="P794" s="2"/>
      <c r="Q794" s="2">
        <f>VLOOKUP($A794,'[2]App C Inv'!$A$4:$I$917,5,FALSE)</f>
        <v>17828</v>
      </c>
      <c r="R794" s="2">
        <f>VLOOKUP($A794,'[2]App C Inv'!$A$4:$I$917,6,FALSE)</f>
        <v>-15336</v>
      </c>
      <c r="S794" s="2">
        <f>VLOOKUP($A794,'[2]App C Inv'!$A$4:$I$917,7,FALSE)</f>
        <v>2161</v>
      </c>
      <c r="T794" s="2">
        <f>VLOOKUP($A794,'[2]App C Inv'!$A$4:$I$917,8,FALSE)</f>
        <v>2813</v>
      </c>
      <c r="U794" s="2">
        <f>VLOOKUP($A794,'[2]App C Inv'!$A$4:$I$917,9,FALSE)</f>
        <v>0</v>
      </c>
      <c r="V794" s="2"/>
      <c r="W794" s="2">
        <f>VLOOKUP($A794,'[2]App C Assum'!$A$4:$I$917,5,FALSE)</f>
        <v>20084</v>
      </c>
      <c r="X794" s="2">
        <f>VLOOKUP($A794,'[2]App C Assum'!$A$4:$I$917,6,FALSE)</f>
        <v>16454</v>
      </c>
      <c r="Y794" s="2">
        <f>VLOOKUP($A794,'[2]App C Assum'!$A$4:$I$917,7,FALSE)</f>
        <v>13357</v>
      </c>
      <c r="Z794" s="2">
        <f>VLOOKUP($A794,'[2]App C Assum'!$A$4:$I$917,8,FALSE)</f>
        <v>0</v>
      </c>
      <c r="AA794" s="2">
        <f>VLOOKUP($A794,'[2]App C Assum'!$A$4:$I$917,9,FALSE)</f>
        <v>0</v>
      </c>
      <c r="AB794" s="2"/>
      <c r="AC794" s="2">
        <f>VLOOKUP($A794,'[2]App C Share Outflows'!$A$4:$I$917,5,FALSE)</f>
        <v>4397</v>
      </c>
      <c r="AD794" s="2">
        <f>VLOOKUP($A794,'[2]App C Share Outflows'!$A$4:$I$917,6,FALSE)</f>
        <v>4300</v>
      </c>
      <c r="AE794" s="2">
        <f>VLOOKUP($A794,'[2]App C Share Outflows'!$A$4:$I$917,7,FALSE)</f>
        <v>4302</v>
      </c>
      <c r="AF794" s="2">
        <f>VLOOKUP($A794,'[2]App C Share Outflows'!$A$4:$I$917,8,FALSE)</f>
        <v>420</v>
      </c>
      <c r="AG794" s="2">
        <f>VLOOKUP($A794,'[2]App C Share Outflows'!$A$4:$I$917,9,FALSE)</f>
        <v>0</v>
      </c>
      <c r="AH794" s="2"/>
      <c r="AI794" s="2">
        <f>VLOOKUP($A794,'[2]App C Share Inflows'!$A$4:$I$917,5,FALSE)</f>
        <v>-3022</v>
      </c>
      <c r="AJ794" s="2">
        <f>VLOOKUP($A794,'[2]App C Share Inflows'!$A$4:$I$917,6,FALSE)</f>
        <v>-3021</v>
      </c>
      <c r="AK794" s="2">
        <f>VLOOKUP($A794,'[2]App C Share Inflows'!$A$4:$I$917,7,FALSE)</f>
        <v>0</v>
      </c>
      <c r="AL794" s="2">
        <f>VLOOKUP($A794,'[2]App C Share Inflows'!$A$4:$I$917,8,FALSE)</f>
        <v>0</v>
      </c>
      <c r="AM794" s="2">
        <f>VLOOKUP($A794,'[2]App C Share Inflows'!$A$4:$I$917,6,FALSE)</f>
        <v>-3021</v>
      </c>
    </row>
    <row r="795" spans="1:39">
      <c r="A795" s="351">
        <v>98427</v>
      </c>
      <c r="B795" s="344" t="s">
        <v>2799</v>
      </c>
      <c r="C795" s="235" t="e">
        <f>VLOOKUP(A795,#REF!,10,FALSE)</f>
        <v>#REF!</v>
      </c>
      <c r="E795" s="2">
        <f>VLOOKUP($A795,'[2]App C Total'!$A$4:$I$917,5,FALSE)</f>
        <v>2371</v>
      </c>
      <c r="F795" s="2">
        <f>VLOOKUP($A795,'[2]App C Total'!$A$4:$I$917,6,FALSE)</f>
        <v>1219</v>
      </c>
      <c r="G795" s="2">
        <f>VLOOKUP($A795,'[2]App C Total'!$A$4:$I$917,7,FALSE)</f>
        <v>1391</v>
      </c>
      <c r="H795" s="2">
        <f>VLOOKUP($A795,'[2]App C Total'!$A$4:$I$917,8,FALSE)</f>
        <v>587</v>
      </c>
      <c r="I795" s="2">
        <f>VLOOKUP($A795,'[2]App C Total'!$A$4:$I$917,9,FALSE)</f>
        <v>0</v>
      </c>
      <c r="J795" s="2"/>
      <c r="K795" s="2">
        <f>VLOOKUP($A795,'[2]App C Exp'!$A$4:$I$917,5,FALSE)</f>
        <v>464</v>
      </c>
      <c r="L795" s="2">
        <f>VLOOKUP($A795,'[2]App C Exp'!$A$4:$I$917,6,FALSE)</f>
        <v>437</v>
      </c>
      <c r="M795" s="2">
        <f>VLOOKUP($A795,'[2]App C Exp'!$A$4:$I$917,7,FALSE)</f>
        <v>392</v>
      </c>
      <c r="N795" s="2">
        <f>VLOOKUP($A795,'[2]App C Exp'!$A$4:$I$917,8,FALSE)</f>
        <v>157</v>
      </c>
      <c r="O795" s="2">
        <f>VLOOKUP($A795,'[2]App C Exp'!$A$4:$I$917,9,FALSE)</f>
        <v>0</v>
      </c>
      <c r="P795" s="2"/>
      <c r="Q795" s="2">
        <f>VLOOKUP($A795,'[2]App C Inv'!$A$4:$I$917,5,FALSE)</f>
        <v>493</v>
      </c>
      <c r="R795" s="2">
        <f>VLOOKUP($A795,'[2]App C Inv'!$A$4:$I$917,6,FALSE)</f>
        <v>-424</v>
      </c>
      <c r="S795" s="2">
        <f>VLOOKUP($A795,'[2]App C Inv'!$A$4:$I$917,7,FALSE)</f>
        <v>60</v>
      </c>
      <c r="T795" s="2">
        <f>VLOOKUP($A795,'[2]App C Inv'!$A$4:$I$917,8,FALSE)</f>
        <v>78</v>
      </c>
      <c r="U795" s="2">
        <f>VLOOKUP($A795,'[2]App C Inv'!$A$4:$I$917,9,FALSE)</f>
        <v>0</v>
      </c>
      <c r="V795" s="2"/>
      <c r="W795" s="2">
        <f>VLOOKUP($A795,'[2]App C Assum'!$A$4:$I$917,5,FALSE)</f>
        <v>555</v>
      </c>
      <c r="X795" s="2">
        <f>VLOOKUP($A795,'[2]App C Assum'!$A$4:$I$917,6,FALSE)</f>
        <v>455</v>
      </c>
      <c r="Y795" s="2">
        <f>VLOOKUP($A795,'[2]App C Assum'!$A$4:$I$917,7,FALSE)</f>
        <v>369</v>
      </c>
      <c r="Z795" s="2">
        <f>VLOOKUP($A795,'[2]App C Assum'!$A$4:$I$917,8,FALSE)</f>
        <v>0</v>
      </c>
      <c r="AA795" s="2">
        <f>VLOOKUP($A795,'[2]App C Assum'!$A$4:$I$917,9,FALSE)</f>
        <v>0</v>
      </c>
      <c r="AB795" s="2"/>
      <c r="AC795" s="2">
        <f>VLOOKUP($A795,'[2]App C Share Outflows'!$A$4:$I$917,5,FALSE)</f>
        <v>859</v>
      </c>
      <c r="AD795" s="2">
        <f>VLOOKUP($A795,'[2]App C Share Outflows'!$A$4:$I$917,6,FALSE)</f>
        <v>751</v>
      </c>
      <c r="AE795" s="2">
        <f>VLOOKUP($A795,'[2]App C Share Outflows'!$A$4:$I$917,7,FALSE)</f>
        <v>570</v>
      </c>
      <c r="AF795" s="2">
        <f>VLOOKUP($A795,'[2]App C Share Outflows'!$A$4:$I$917,8,FALSE)</f>
        <v>352</v>
      </c>
      <c r="AG795" s="2">
        <f>VLOOKUP($A795,'[2]App C Share Outflows'!$A$4:$I$917,9,FALSE)</f>
        <v>0</v>
      </c>
      <c r="AH795" s="2"/>
      <c r="AI795" s="2">
        <f>VLOOKUP($A795,'[2]App C Share Inflows'!$A$4:$I$917,5,FALSE)</f>
        <v>0</v>
      </c>
      <c r="AJ795" s="2">
        <f>VLOOKUP($A795,'[2]App C Share Inflows'!$A$4:$I$917,6,FALSE)</f>
        <v>0</v>
      </c>
      <c r="AK795" s="2">
        <f>VLOOKUP($A795,'[2]App C Share Inflows'!$A$4:$I$917,7,FALSE)</f>
        <v>0</v>
      </c>
      <c r="AL795" s="2">
        <f>VLOOKUP($A795,'[2]App C Share Inflows'!$A$4:$I$917,8,FALSE)</f>
        <v>0</v>
      </c>
      <c r="AM795" s="2">
        <f>VLOOKUP($A795,'[2]App C Share Inflows'!$A$4:$I$917,6,FALSE)</f>
        <v>0</v>
      </c>
    </row>
    <row r="796" spans="1:39">
      <c r="A796" s="351">
        <v>98431</v>
      </c>
      <c r="B796" s="344" t="s">
        <v>1495</v>
      </c>
      <c r="C796" s="235" t="e">
        <f>VLOOKUP(A796,#REF!,10,FALSE)</f>
        <v>#REF!</v>
      </c>
      <c r="E796" s="2">
        <f>VLOOKUP($A796,'[2]App C Total'!$A$4:$I$917,5,FALSE)</f>
        <v>86312</v>
      </c>
      <c r="F796" s="2">
        <f>VLOOKUP($A796,'[2]App C Total'!$A$4:$I$917,6,FALSE)</f>
        <v>22120</v>
      </c>
      <c r="G796" s="2">
        <f>VLOOKUP($A796,'[2]App C Total'!$A$4:$I$917,7,FALSE)</f>
        <v>47093</v>
      </c>
      <c r="H796" s="2">
        <f>VLOOKUP($A796,'[2]App C Total'!$A$4:$I$917,8,FALSE)</f>
        <v>13718</v>
      </c>
      <c r="I796" s="2">
        <f>VLOOKUP($A796,'[2]App C Total'!$A$4:$I$917,9,FALSE)</f>
        <v>0</v>
      </c>
      <c r="J796" s="2"/>
      <c r="K796" s="2">
        <f>VLOOKUP($A796,'[2]App C Exp'!$A$4:$I$917,5,FALSE)</f>
        <v>29916</v>
      </c>
      <c r="L796" s="2">
        <f>VLOOKUP($A796,'[2]App C Exp'!$A$4:$I$917,6,FALSE)</f>
        <v>28142</v>
      </c>
      <c r="M796" s="2">
        <f>VLOOKUP($A796,'[2]App C Exp'!$A$4:$I$917,7,FALSE)</f>
        <v>25223</v>
      </c>
      <c r="N796" s="2">
        <f>VLOOKUP($A796,'[2]App C Exp'!$A$4:$I$917,8,FALSE)</f>
        <v>10099</v>
      </c>
      <c r="O796" s="2">
        <f>VLOOKUP($A796,'[2]App C Exp'!$A$4:$I$917,9,FALSE)</f>
        <v>0</v>
      </c>
      <c r="P796" s="2"/>
      <c r="Q796" s="2">
        <f>VLOOKUP($A796,'[2]App C Inv'!$A$4:$I$917,5,FALSE)</f>
        <v>31760</v>
      </c>
      <c r="R796" s="2">
        <f>VLOOKUP($A796,'[2]App C Inv'!$A$4:$I$917,6,FALSE)</f>
        <v>-27320</v>
      </c>
      <c r="S796" s="2">
        <f>VLOOKUP($A796,'[2]App C Inv'!$A$4:$I$917,7,FALSE)</f>
        <v>3850</v>
      </c>
      <c r="T796" s="2">
        <f>VLOOKUP($A796,'[2]App C Inv'!$A$4:$I$917,8,FALSE)</f>
        <v>5011</v>
      </c>
      <c r="U796" s="2">
        <f>VLOOKUP($A796,'[2]App C Inv'!$A$4:$I$917,9,FALSE)</f>
        <v>0</v>
      </c>
      <c r="V796" s="2"/>
      <c r="W796" s="2">
        <f>VLOOKUP($A796,'[2]App C Assum'!$A$4:$I$917,5,FALSE)</f>
        <v>35779</v>
      </c>
      <c r="X796" s="2">
        <f>VLOOKUP($A796,'[2]App C Assum'!$A$4:$I$917,6,FALSE)</f>
        <v>29311</v>
      </c>
      <c r="Y796" s="2">
        <f>VLOOKUP($A796,'[2]App C Assum'!$A$4:$I$917,7,FALSE)</f>
        <v>23796</v>
      </c>
      <c r="Z796" s="2">
        <f>VLOOKUP($A796,'[2]App C Assum'!$A$4:$I$917,8,FALSE)</f>
        <v>0</v>
      </c>
      <c r="AA796" s="2">
        <f>VLOOKUP($A796,'[2]App C Assum'!$A$4:$I$917,9,FALSE)</f>
        <v>0</v>
      </c>
      <c r="AB796" s="2"/>
      <c r="AC796" s="2">
        <f>VLOOKUP($A796,'[2]App C Share Outflows'!$A$4:$I$917,5,FALSE)</f>
        <v>0</v>
      </c>
      <c r="AD796" s="2">
        <f>VLOOKUP($A796,'[2]App C Share Outflows'!$A$4:$I$917,6,FALSE)</f>
        <v>0</v>
      </c>
      <c r="AE796" s="2">
        <f>VLOOKUP($A796,'[2]App C Share Outflows'!$A$4:$I$917,7,FALSE)</f>
        <v>0</v>
      </c>
      <c r="AF796" s="2">
        <f>VLOOKUP($A796,'[2]App C Share Outflows'!$A$4:$I$917,8,FALSE)</f>
        <v>0</v>
      </c>
      <c r="AG796" s="2">
        <f>VLOOKUP($A796,'[2]App C Share Outflows'!$A$4:$I$917,9,FALSE)</f>
        <v>0</v>
      </c>
      <c r="AH796" s="2"/>
      <c r="AI796" s="2">
        <f>VLOOKUP($A796,'[2]App C Share Inflows'!$A$4:$I$917,5,FALSE)</f>
        <v>-11143</v>
      </c>
      <c r="AJ796" s="2">
        <f>VLOOKUP($A796,'[2]App C Share Inflows'!$A$4:$I$917,6,FALSE)</f>
        <v>-8013</v>
      </c>
      <c r="AK796" s="2">
        <f>VLOOKUP($A796,'[2]App C Share Inflows'!$A$4:$I$917,7,FALSE)</f>
        <v>-5776</v>
      </c>
      <c r="AL796" s="2">
        <f>VLOOKUP($A796,'[2]App C Share Inflows'!$A$4:$I$917,8,FALSE)</f>
        <v>-1392</v>
      </c>
      <c r="AM796" s="2">
        <f>VLOOKUP($A796,'[2]App C Share Inflows'!$A$4:$I$917,6,FALSE)</f>
        <v>-8013</v>
      </c>
    </row>
    <row r="797" spans="1:39">
      <c r="A797" s="351">
        <v>98441</v>
      </c>
      <c r="B797" s="344" t="s">
        <v>1496</v>
      </c>
      <c r="C797" s="235" t="e">
        <f>VLOOKUP(A797,#REF!,10,FALSE)</f>
        <v>#REF!</v>
      </c>
      <c r="E797" s="2">
        <f>VLOOKUP($A797,'[2]App C Total'!$A$4:$I$917,5,FALSE)</f>
        <v>46448</v>
      </c>
      <c r="F797" s="2">
        <f>VLOOKUP($A797,'[2]App C Total'!$A$4:$I$917,6,FALSE)</f>
        <v>14172</v>
      </c>
      <c r="G797" s="2">
        <f>VLOOKUP($A797,'[2]App C Total'!$A$4:$I$917,7,FALSE)</f>
        <v>27689</v>
      </c>
      <c r="H797" s="2">
        <f>VLOOKUP($A797,'[2]App C Total'!$A$4:$I$917,8,FALSE)</f>
        <v>5329</v>
      </c>
      <c r="I797" s="2">
        <f>VLOOKUP($A797,'[2]App C Total'!$A$4:$I$917,9,FALSE)</f>
        <v>0</v>
      </c>
      <c r="J797" s="2"/>
      <c r="K797" s="2">
        <f>VLOOKUP($A797,'[2]App C Exp'!$A$4:$I$917,5,FALSE)</f>
        <v>15325</v>
      </c>
      <c r="L797" s="2">
        <f>VLOOKUP($A797,'[2]App C Exp'!$A$4:$I$917,6,FALSE)</f>
        <v>14416</v>
      </c>
      <c r="M797" s="2">
        <f>VLOOKUP($A797,'[2]App C Exp'!$A$4:$I$917,7,FALSE)</f>
        <v>12921</v>
      </c>
      <c r="N797" s="2">
        <f>VLOOKUP($A797,'[2]App C Exp'!$A$4:$I$917,8,FALSE)</f>
        <v>5173</v>
      </c>
      <c r="O797" s="2">
        <f>VLOOKUP($A797,'[2]App C Exp'!$A$4:$I$917,9,FALSE)</f>
        <v>0</v>
      </c>
      <c r="P797" s="2"/>
      <c r="Q797" s="2">
        <f>VLOOKUP($A797,'[2]App C Inv'!$A$4:$I$917,5,FALSE)</f>
        <v>16270</v>
      </c>
      <c r="R797" s="2">
        <f>VLOOKUP($A797,'[2]App C Inv'!$A$4:$I$917,6,FALSE)</f>
        <v>-13995</v>
      </c>
      <c r="S797" s="2">
        <f>VLOOKUP($A797,'[2]App C Inv'!$A$4:$I$917,7,FALSE)</f>
        <v>1972</v>
      </c>
      <c r="T797" s="2">
        <f>VLOOKUP($A797,'[2]App C Inv'!$A$4:$I$917,8,FALSE)</f>
        <v>2567</v>
      </c>
      <c r="U797" s="2">
        <f>VLOOKUP($A797,'[2]App C Inv'!$A$4:$I$917,9,FALSE)</f>
        <v>0</v>
      </c>
      <c r="V797" s="2"/>
      <c r="W797" s="2">
        <f>VLOOKUP($A797,'[2]App C Assum'!$A$4:$I$917,5,FALSE)</f>
        <v>18328</v>
      </c>
      <c r="X797" s="2">
        <f>VLOOKUP($A797,'[2]App C Assum'!$A$4:$I$917,6,FALSE)</f>
        <v>15015</v>
      </c>
      <c r="Y797" s="2">
        <f>VLOOKUP($A797,'[2]App C Assum'!$A$4:$I$917,7,FALSE)</f>
        <v>12190</v>
      </c>
      <c r="Z797" s="2">
        <f>VLOOKUP($A797,'[2]App C Assum'!$A$4:$I$917,8,FALSE)</f>
        <v>0</v>
      </c>
      <c r="AA797" s="2">
        <f>VLOOKUP($A797,'[2]App C Assum'!$A$4:$I$917,9,FALSE)</f>
        <v>0</v>
      </c>
      <c r="AB797" s="2"/>
      <c r="AC797" s="2">
        <f>VLOOKUP($A797,'[2]App C Share Outflows'!$A$4:$I$917,5,FALSE)</f>
        <v>3018</v>
      </c>
      <c r="AD797" s="2">
        <f>VLOOKUP($A797,'[2]App C Share Outflows'!$A$4:$I$917,6,FALSE)</f>
        <v>3018</v>
      </c>
      <c r="AE797" s="2">
        <f>VLOOKUP($A797,'[2]App C Share Outflows'!$A$4:$I$917,7,FALSE)</f>
        <v>3018</v>
      </c>
      <c r="AF797" s="2">
        <f>VLOOKUP($A797,'[2]App C Share Outflows'!$A$4:$I$917,8,FALSE)</f>
        <v>0</v>
      </c>
      <c r="AG797" s="2">
        <f>VLOOKUP($A797,'[2]App C Share Outflows'!$A$4:$I$917,9,FALSE)</f>
        <v>0</v>
      </c>
      <c r="AH797" s="2"/>
      <c r="AI797" s="2">
        <f>VLOOKUP($A797,'[2]App C Share Inflows'!$A$4:$I$917,5,FALSE)</f>
        <v>-6493</v>
      </c>
      <c r="AJ797" s="2">
        <f>VLOOKUP($A797,'[2]App C Share Inflows'!$A$4:$I$917,6,FALSE)</f>
        <v>-4282</v>
      </c>
      <c r="AK797" s="2">
        <f>VLOOKUP($A797,'[2]App C Share Inflows'!$A$4:$I$917,7,FALSE)</f>
        <v>-2412</v>
      </c>
      <c r="AL797" s="2">
        <f>VLOOKUP($A797,'[2]App C Share Inflows'!$A$4:$I$917,8,FALSE)</f>
        <v>-2411</v>
      </c>
      <c r="AM797" s="2">
        <f>VLOOKUP($A797,'[2]App C Share Inflows'!$A$4:$I$917,6,FALSE)</f>
        <v>-4282</v>
      </c>
    </row>
    <row r="798" spans="1:39">
      <c r="A798" s="351">
        <v>98451</v>
      </c>
      <c r="B798" s="344" t="s">
        <v>1497</v>
      </c>
      <c r="C798" s="235" t="e">
        <f>VLOOKUP(A798,#REF!,10,FALSE)</f>
        <v>#REF!</v>
      </c>
      <c r="E798" s="2">
        <f>VLOOKUP($A798,'[2]App C Total'!$A$4:$I$917,5,FALSE)</f>
        <v>21454</v>
      </c>
      <c r="F798" s="2">
        <f>VLOOKUP($A798,'[2]App C Total'!$A$4:$I$917,6,FALSE)</f>
        <v>6218</v>
      </c>
      <c r="G798" s="2">
        <f>VLOOKUP($A798,'[2]App C Total'!$A$4:$I$917,7,FALSE)</f>
        <v>11342</v>
      </c>
      <c r="H798" s="2">
        <f>VLOOKUP($A798,'[2]App C Total'!$A$4:$I$917,8,FALSE)</f>
        <v>3529</v>
      </c>
      <c r="I798" s="2">
        <f>VLOOKUP($A798,'[2]App C Total'!$A$4:$I$917,9,FALSE)</f>
        <v>0</v>
      </c>
      <c r="J798" s="2"/>
      <c r="K798" s="2">
        <f>VLOOKUP($A798,'[2]App C Exp'!$A$4:$I$917,5,FALSE)</f>
        <v>6906</v>
      </c>
      <c r="L798" s="2">
        <f>VLOOKUP($A798,'[2]App C Exp'!$A$4:$I$917,6,FALSE)</f>
        <v>6496</v>
      </c>
      <c r="M798" s="2">
        <f>VLOOKUP($A798,'[2]App C Exp'!$A$4:$I$917,7,FALSE)</f>
        <v>5823</v>
      </c>
      <c r="N798" s="2">
        <f>VLOOKUP($A798,'[2]App C Exp'!$A$4:$I$917,8,FALSE)</f>
        <v>2331</v>
      </c>
      <c r="O798" s="2">
        <f>VLOOKUP($A798,'[2]App C Exp'!$A$4:$I$917,9,FALSE)</f>
        <v>0</v>
      </c>
      <c r="P798" s="2"/>
      <c r="Q798" s="2">
        <f>VLOOKUP($A798,'[2]App C Inv'!$A$4:$I$917,5,FALSE)</f>
        <v>7332</v>
      </c>
      <c r="R798" s="2">
        <f>VLOOKUP($A798,'[2]App C Inv'!$A$4:$I$917,6,FALSE)</f>
        <v>-6307</v>
      </c>
      <c r="S798" s="2">
        <f>VLOOKUP($A798,'[2]App C Inv'!$A$4:$I$917,7,FALSE)</f>
        <v>889</v>
      </c>
      <c r="T798" s="2">
        <f>VLOOKUP($A798,'[2]App C Inv'!$A$4:$I$917,8,FALSE)</f>
        <v>1157</v>
      </c>
      <c r="U798" s="2">
        <f>VLOOKUP($A798,'[2]App C Inv'!$A$4:$I$917,9,FALSE)</f>
        <v>0</v>
      </c>
      <c r="V798" s="2"/>
      <c r="W798" s="2">
        <f>VLOOKUP($A798,'[2]App C Assum'!$A$4:$I$917,5,FALSE)</f>
        <v>8259</v>
      </c>
      <c r="X798" s="2">
        <f>VLOOKUP($A798,'[2]App C Assum'!$A$4:$I$917,6,FALSE)</f>
        <v>6766</v>
      </c>
      <c r="Y798" s="2">
        <f>VLOOKUP($A798,'[2]App C Assum'!$A$4:$I$917,7,FALSE)</f>
        <v>5493</v>
      </c>
      <c r="Z798" s="2">
        <f>VLOOKUP($A798,'[2]App C Assum'!$A$4:$I$917,8,FALSE)</f>
        <v>0</v>
      </c>
      <c r="AA798" s="2">
        <f>VLOOKUP($A798,'[2]App C Assum'!$A$4:$I$917,9,FALSE)</f>
        <v>0</v>
      </c>
      <c r="AB798" s="2"/>
      <c r="AC798" s="2">
        <f>VLOOKUP($A798,'[2]App C Share Outflows'!$A$4:$I$917,5,FALSE)</f>
        <v>167</v>
      </c>
      <c r="AD798" s="2">
        <f>VLOOKUP($A798,'[2]App C Share Outflows'!$A$4:$I$917,6,FALSE)</f>
        <v>166</v>
      </c>
      <c r="AE798" s="2">
        <f>VLOOKUP($A798,'[2]App C Share Outflows'!$A$4:$I$917,7,FALSE)</f>
        <v>40</v>
      </c>
      <c r="AF798" s="2">
        <f>VLOOKUP($A798,'[2]App C Share Outflows'!$A$4:$I$917,8,FALSE)</f>
        <v>41</v>
      </c>
      <c r="AG798" s="2">
        <f>VLOOKUP($A798,'[2]App C Share Outflows'!$A$4:$I$917,9,FALSE)</f>
        <v>0</v>
      </c>
      <c r="AH798" s="2"/>
      <c r="AI798" s="2">
        <f>VLOOKUP($A798,'[2]App C Share Inflows'!$A$4:$I$917,5,FALSE)</f>
        <v>-1210</v>
      </c>
      <c r="AJ798" s="2">
        <f>VLOOKUP($A798,'[2]App C Share Inflows'!$A$4:$I$917,6,FALSE)</f>
        <v>-903</v>
      </c>
      <c r="AK798" s="2">
        <f>VLOOKUP($A798,'[2]App C Share Inflows'!$A$4:$I$917,7,FALSE)</f>
        <v>-903</v>
      </c>
      <c r="AL798" s="2">
        <f>VLOOKUP($A798,'[2]App C Share Inflows'!$A$4:$I$917,8,FALSE)</f>
        <v>0</v>
      </c>
      <c r="AM798" s="2">
        <f>VLOOKUP($A798,'[2]App C Share Inflows'!$A$4:$I$917,6,FALSE)</f>
        <v>-903</v>
      </c>
    </row>
    <row r="799" spans="1:39">
      <c r="A799" s="351">
        <v>98471</v>
      </c>
      <c r="B799" s="344" t="s">
        <v>1642</v>
      </c>
      <c r="C799" s="235" t="e">
        <f>VLOOKUP(A799,#REF!,10,FALSE)</f>
        <v>#REF!</v>
      </c>
      <c r="E799" s="2">
        <f>VLOOKUP($A799,'[2]App C Total'!$A$4:$I$917,5,FALSE)</f>
        <v>4686</v>
      </c>
      <c r="F799" s="2">
        <f>VLOOKUP($A799,'[2]App C Total'!$A$4:$I$917,6,FALSE)</f>
        <v>2527</v>
      </c>
      <c r="G799" s="2">
        <f>VLOOKUP($A799,'[2]App C Total'!$A$4:$I$917,7,FALSE)</f>
        <v>3257</v>
      </c>
      <c r="H799" s="2">
        <f>VLOOKUP($A799,'[2]App C Total'!$A$4:$I$917,8,FALSE)</f>
        <v>765</v>
      </c>
      <c r="I799" s="2">
        <f>VLOOKUP($A799,'[2]App C Total'!$A$4:$I$917,9,FALSE)</f>
        <v>0</v>
      </c>
      <c r="J799" s="2"/>
      <c r="K799" s="2">
        <f>VLOOKUP($A799,'[2]App C Exp'!$A$4:$I$917,5,FALSE)</f>
        <v>959</v>
      </c>
      <c r="L799" s="2">
        <f>VLOOKUP($A799,'[2]App C Exp'!$A$4:$I$917,6,FALSE)</f>
        <v>902</v>
      </c>
      <c r="M799" s="2">
        <f>VLOOKUP($A799,'[2]App C Exp'!$A$4:$I$917,7,FALSE)</f>
        <v>808</v>
      </c>
      <c r="N799" s="2">
        <f>VLOOKUP($A799,'[2]App C Exp'!$A$4:$I$917,8,FALSE)</f>
        <v>324</v>
      </c>
      <c r="O799" s="2">
        <f>VLOOKUP($A799,'[2]App C Exp'!$A$4:$I$917,9,FALSE)</f>
        <v>0</v>
      </c>
      <c r="P799" s="2"/>
      <c r="Q799" s="2">
        <f>VLOOKUP($A799,'[2]App C Inv'!$A$4:$I$917,5,FALSE)</f>
        <v>1018</v>
      </c>
      <c r="R799" s="2">
        <f>VLOOKUP($A799,'[2]App C Inv'!$A$4:$I$917,6,FALSE)</f>
        <v>-876</v>
      </c>
      <c r="S799" s="2">
        <f>VLOOKUP($A799,'[2]App C Inv'!$A$4:$I$917,7,FALSE)</f>
        <v>123</v>
      </c>
      <c r="T799" s="2">
        <f>VLOOKUP($A799,'[2]App C Inv'!$A$4:$I$917,8,FALSE)</f>
        <v>161</v>
      </c>
      <c r="U799" s="2">
        <f>VLOOKUP($A799,'[2]App C Inv'!$A$4:$I$917,9,FALSE)</f>
        <v>0</v>
      </c>
      <c r="V799" s="2"/>
      <c r="W799" s="2">
        <f>VLOOKUP($A799,'[2]App C Assum'!$A$4:$I$917,5,FALSE)</f>
        <v>1147</v>
      </c>
      <c r="X799" s="2">
        <f>VLOOKUP($A799,'[2]App C Assum'!$A$4:$I$917,6,FALSE)</f>
        <v>939</v>
      </c>
      <c r="Y799" s="2">
        <f>VLOOKUP($A799,'[2]App C Assum'!$A$4:$I$917,7,FALSE)</f>
        <v>763</v>
      </c>
      <c r="Z799" s="2">
        <f>VLOOKUP($A799,'[2]App C Assum'!$A$4:$I$917,8,FALSE)</f>
        <v>0</v>
      </c>
      <c r="AA799" s="2">
        <f>VLOOKUP($A799,'[2]App C Assum'!$A$4:$I$917,9,FALSE)</f>
        <v>0</v>
      </c>
      <c r="AB799" s="2"/>
      <c r="AC799" s="2">
        <f>VLOOKUP($A799,'[2]App C Share Outflows'!$A$4:$I$917,5,FALSE)</f>
        <v>1562</v>
      </c>
      <c r="AD799" s="2">
        <f>VLOOKUP($A799,'[2]App C Share Outflows'!$A$4:$I$917,6,FALSE)</f>
        <v>1562</v>
      </c>
      <c r="AE799" s="2">
        <f>VLOOKUP($A799,'[2]App C Share Outflows'!$A$4:$I$917,7,FALSE)</f>
        <v>1563</v>
      </c>
      <c r="AF799" s="2">
        <f>VLOOKUP($A799,'[2]App C Share Outflows'!$A$4:$I$917,8,FALSE)</f>
        <v>280</v>
      </c>
      <c r="AG799" s="2">
        <f>VLOOKUP($A799,'[2]App C Share Outflows'!$A$4:$I$917,9,FALSE)</f>
        <v>0</v>
      </c>
      <c r="AH799" s="2"/>
      <c r="AI799" s="2">
        <f>VLOOKUP($A799,'[2]App C Share Inflows'!$A$4:$I$917,5,FALSE)</f>
        <v>0</v>
      </c>
      <c r="AJ799" s="2">
        <f>VLOOKUP($A799,'[2]App C Share Inflows'!$A$4:$I$917,6,FALSE)</f>
        <v>0</v>
      </c>
      <c r="AK799" s="2">
        <f>VLOOKUP($A799,'[2]App C Share Inflows'!$A$4:$I$917,7,FALSE)</f>
        <v>0</v>
      </c>
      <c r="AL799" s="2">
        <f>VLOOKUP($A799,'[2]App C Share Inflows'!$A$4:$I$917,8,FALSE)</f>
        <v>0</v>
      </c>
      <c r="AM799" s="2">
        <f>VLOOKUP($A799,'[2]App C Share Inflows'!$A$4:$I$917,6,FALSE)</f>
        <v>0</v>
      </c>
    </row>
    <row r="800" spans="1:39">
      <c r="A800" s="351">
        <v>98481</v>
      </c>
      <c r="B800" s="344" t="s">
        <v>1498</v>
      </c>
      <c r="C800" s="235" t="e">
        <f>VLOOKUP(A800,#REF!,10,FALSE)</f>
        <v>#REF!</v>
      </c>
      <c r="E800" s="2">
        <f>VLOOKUP($A800,'[2]App C Total'!$A$4:$I$917,5,FALSE)</f>
        <v>26951</v>
      </c>
      <c r="F800" s="2">
        <f>VLOOKUP($A800,'[2]App C Total'!$A$4:$I$917,6,FALSE)</f>
        <v>6635</v>
      </c>
      <c r="G800" s="2">
        <f>VLOOKUP($A800,'[2]App C Total'!$A$4:$I$917,7,FALSE)</f>
        <v>14715</v>
      </c>
      <c r="H800" s="2">
        <f>VLOOKUP($A800,'[2]App C Total'!$A$4:$I$917,8,FALSE)</f>
        <v>2522</v>
      </c>
      <c r="I800" s="2">
        <f>VLOOKUP($A800,'[2]App C Total'!$A$4:$I$917,9,FALSE)</f>
        <v>0</v>
      </c>
      <c r="J800" s="2"/>
      <c r="K800" s="2">
        <f>VLOOKUP($A800,'[2]App C Exp'!$A$4:$I$917,5,FALSE)</f>
        <v>9228</v>
      </c>
      <c r="L800" s="2">
        <f>VLOOKUP($A800,'[2]App C Exp'!$A$4:$I$917,6,FALSE)</f>
        <v>8681</v>
      </c>
      <c r="M800" s="2">
        <f>VLOOKUP($A800,'[2]App C Exp'!$A$4:$I$917,7,FALSE)</f>
        <v>7780</v>
      </c>
      <c r="N800" s="2">
        <f>VLOOKUP($A800,'[2]App C Exp'!$A$4:$I$917,8,FALSE)</f>
        <v>3115</v>
      </c>
      <c r="O800" s="2">
        <f>VLOOKUP($A800,'[2]App C Exp'!$A$4:$I$917,9,FALSE)</f>
        <v>0</v>
      </c>
      <c r="P800" s="2"/>
      <c r="Q800" s="2">
        <f>VLOOKUP($A800,'[2]App C Inv'!$A$4:$I$917,5,FALSE)</f>
        <v>9797</v>
      </c>
      <c r="R800" s="2">
        <f>VLOOKUP($A800,'[2]App C Inv'!$A$4:$I$917,6,FALSE)</f>
        <v>-8427</v>
      </c>
      <c r="S800" s="2">
        <f>VLOOKUP($A800,'[2]App C Inv'!$A$4:$I$917,7,FALSE)</f>
        <v>1188</v>
      </c>
      <c r="T800" s="2">
        <f>VLOOKUP($A800,'[2]App C Inv'!$A$4:$I$917,8,FALSE)</f>
        <v>1546</v>
      </c>
      <c r="U800" s="2">
        <f>VLOOKUP($A800,'[2]App C Inv'!$A$4:$I$917,9,FALSE)</f>
        <v>0</v>
      </c>
      <c r="V800" s="2"/>
      <c r="W800" s="2">
        <f>VLOOKUP($A800,'[2]App C Assum'!$A$4:$I$917,5,FALSE)</f>
        <v>11036</v>
      </c>
      <c r="X800" s="2">
        <f>VLOOKUP($A800,'[2]App C Assum'!$A$4:$I$917,6,FALSE)</f>
        <v>9041</v>
      </c>
      <c r="Y800" s="2">
        <f>VLOOKUP($A800,'[2]App C Assum'!$A$4:$I$917,7,FALSE)</f>
        <v>7340</v>
      </c>
      <c r="Z800" s="2">
        <f>VLOOKUP($A800,'[2]App C Assum'!$A$4:$I$917,8,FALSE)</f>
        <v>0</v>
      </c>
      <c r="AA800" s="2">
        <f>VLOOKUP($A800,'[2]App C Assum'!$A$4:$I$917,9,FALSE)</f>
        <v>0</v>
      </c>
      <c r="AB800" s="2"/>
      <c r="AC800" s="2">
        <f>VLOOKUP($A800,'[2]App C Share Outflows'!$A$4:$I$917,5,FALSE)</f>
        <v>546</v>
      </c>
      <c r="AD800" s="2">
        <f>VLOOKUP($A800,'[2]App C Share Outflows'!$A$4:$I$917,6,FALSE)</f>
        <v>546</v>
      </c>
      <c r="AE800" s="2">
        <f>VLOOKUP($A800,'[2]App C Share Outflows'!$A$4:$I$917,7,FALSE)</f>
        <v>547</v>
      </c>
      <c r="AF800" s="2">
        <f>VLOOKUP($A800,'[2]App C Share Outflows'!$A$4:$I$917,8,FALSE)</f>
        <v>0</v>
      </c>
      <c r="AG800" s="2">
        <f>VLOOKUP($A800,'[2]App C Share Outflows'!$A$4:$I$917,9,FALSE)</f>
        <v>0</v>
      </c>
      <c r="AH800" s="2"/>
      <c r="AI800" s="2">
        <f>VLOOKUP($A800,'[2]App C Share Inflows'!$A$4:$I$917,5,FALSE)</f>
        <v>-3656</v>
      </c>
      <c r="AJ800" s="2">
        <f>VLOOKUP($A800,'[2]App C Share Inflows'!$A$4:$I$917,6,FALSE)</f>
        <v>-3206</v>
      </c>
      <c r="AK800" s="2">
        <f>VLOOKUP($A800,'[2]App C Share Inflows'!$A$4:$I$917,7,FALSE)</f>
        <v>-2140</v>
      </c>
      <c r="AL800" s="2">
        <f>VLOOKUP($A800,'[2]App C Share Inflows'!$A$4:$I$917,8,FALSE)</f>
        <v>-2139</v>
      </c>
      <c r="AM800" s="2">
        <f>VLOOKUP($A800,'[2]App C Share Inflows'!$A$4:$I$917,6,FALSE)</f>
        <v>-3206</v>
      </c>
    </row>
    <row r="801" spans="1:39">
      <c r="A801" s="351">
        <v>98501</v>
      </c>
      <c r="B801" s="344" t="s">
        <v>1499</v>
      </c>
      <c r="C801" s="235" t="e">
        <f>VLOOKUP(A801,#REF!,10,FALSE)</f>
        <v>#REF!</v>
      </c>
      <c r="E801" s="2">
        <f>VLOOKUP($A801,'[2]App C Total'!$A$4:$I$917,5,FALSE)</f>
        <v>858748</v>
      </c>
      <c r="F801" s="2">
        <f>VLOOKUP($A801,'[2]App C Total'!$A$4:$I$917,6,FALSE)</f>
        <v>291160</v>
      </c>
      <c r="G801" s="2">
        <f>VLOOKUP($A801,'[2]App C Total'!$A$4:$I$917,7,FALSE)</f>
        <v>468978</v>
      </c>
      <c r="H801" s="2">
        <f>VLOOKUP($A801,'[2]App C Total'!$A$4:$I$917,8,FALSE)</f>
        <v>143526</v>
      </c>
      <c r="I801" s="2">
        <f>VLOOKUP($A801,'[2]App C Total'!$A$4:$I$917,9,FALSE)</f>
        <v>0</v>
      </c>
      <c r="J801" s="2"/>
      <c r="K801" s="2">
        <f>VLOOKUP($A801,'[2]App C Exp'!$A$4:$I$917,5,FALSE)</f>
        <v>247931</v>
      </c>
      <c r="L801" s="2">
        <f>VLOOKUP($A801,'[2]App C Exp'!$A$4:$I$917,6,FALSE)</f>
        <v>233223</v>
      </c>
      <c r="M801" s="2">
        <f>VLOOKUP($A801,'[2]App C Exp'!$A$4:$I$917,7,FALSE)</f>
        <v>209035</v>
      </c>
      <c r="N801" s="2">
        <f>VLOOKUP($A801,'[2]App C Exp'!$A$4:$I$917,8,FALSE)</f>
        <v>83695</v>
      </c>
      <c r="O801" s="2">
        <f>VLOOKUP($A801,'[2]App C Exp'!$A$4:$I$917,9,FALSE)</f>
        <v>0</v>
      </c>
      <c r="P801" s="2"/>
      <c r="Q801" s="2">
        <f>VLOOKUP($A801,'[2]App C Inv'!$A$4:$I$917,5,FALSE)</f>
        <v>263213</v>
      </c>
      <c r="R801" s="2">
        <f>VLOOKUP($A801,'[2]App C Inv'!$A$4:$I$917,6,FALSE)</f>
        <v>-226412</v>
      </c>
      <c r="S801" s="2">
        <f>VLOOKUP($A801,'[2]App C Inv'!$A$4:$I$917,7,FALSE)</f>
        <v>31910</v>
      </c>
      <c r="T801" s="2">
        <f>VLOOKUP($A801,'[2]App C Inv'!$A$4:$I$917,8,FALSE)</f>
        <v>41531</v>
      </c>
      <c r="U801" s="2">
        <f>VLOOKUP($A801,'[2]App C Inv'!$A$4:$I$917,9,FALSE)</f>
        <v>0</v>
      </c>
      <c r="V801" s="2"/>
      <c r="W801" s="2">
        <f>VLOOKUP($A801,'[2]App C Assum'!$A$4:$I$917,5,FALSE)</f>
        <v>296513</v>
      </c>
      <c r="X801" s="2">
        <f>VLOOKUP($A801,'[2]App C Assum'!$A$4:$I$917,6,FALSE)</f>
        <v>242914</v>
      </c>
      <c r="Y801" s="2">
        <f>VLOOKUP($A801,'[2]App C Assum'!$A$4:$I$917,7,FALSE)</f>
        <v>197205</v>
      </c>
      <c r="Z801" s="2">
        <f>VLOOKUP($A801,'[2]App C Assum'!$A$4:$I$917,8,FALSE)</f>
        <v>0</v>
      </c>
      <c r="AA801" s="2">
        <f>VLOOKUP($A801,'[2]App C Assum'!$A$4:$I$917,9,FALSE)</f>
        <v>0</v>
      </c>
      <c r="AB801" s="2"/>
      <c r="AC801" s="2">
        <f>VLOOKUP($A801,'[2]App C Share Outflows'!$A$4:$I$917,5,FALSE)</f>
        <v>51091</v>
      </c>
      <c r="AD801" s="2">
        <f>VLOOKUP($A801,'[2]App C Share Outflows'!$A$4:$I$917,6,FALSE)</f>
        <v>41435</v>
      </c>
      <c r="AE801" s="2">
        <f>VLOOKUP($A801,'[2]App C Share Outflows'!$A$4:$I$917,7,FALSE)</f>
        <v>30828</v>
      </c>
      <c r="AF801" s="2">
        <f>VLOOKUP($A801,'[2]App C Share Outflows'!$A$4:$I$917,8,FALSE)</f>
        <v>18300</v>
      </c>
      <c r="AG801" s="2">
        <f>VLOOKUP($A801,'[2]App C Share Outflows'!$A$4:$I$917,9,FALSE)</f>
        <v>0</v>
      </c>
      <c r="AH801" s="2"/>
      <c r="AI801" s="2">
        <f>VLOOKUP($A801,'[2]App C Share Inflows'!$A$4:$I$917,5,FALSE)</f>
        <v>0</v>
      </c>
      <c r="AJ801" s="2">
        <f>VLOOKUP($A801,'[2]App C Share Inflows'!$A$4:$I$917,6,FALSE)</f>
        <v>0</v>
      </c>
      <c r="AK801" s="2">
        <f>VLOOKUP($A801,'[2]App C Share Inflows'!$A$4:$I$917,7,FALSE)</f>
        <v>0</v>
      </c>
      <c r="AL801" s="2">
        <f>VLOOKUP($A801,'[2]App C Share Inflows'!$A$4:$I$917,8,FALSE)</f>
        <v>0</v>
      </c>
      <c r="AM801" s="2">
        <f>VLOOKUP($A801,'[2]App C Share Inflows'!$A$4:$I$917,6,FALSE)</f>
        <v>0</v>
      </c>
    </row>
    <row r="802" spans="1:39">
      <c r="A802" s="351">
        <v>98511</v>
      </c>
      <c r="B802" s="344" t="s">
        <v>1500</v>
      </c>
      <c r="C802" s="235" t="e">
        <f>VLOOKUP(A802,#REF!,10,FALSE)</f>
        <v>#REF!</v>
      </c>
      <c r="E802" s="2">
        <f>VLOOKUP($A802,'[2]App C Total'!$A$4:$I$917,5,FALSE)</f>
        <v>26635</v>
      </c>
      <c r="F802" s="2">
        <f>VLOOKUP($A802,'[2]App C Total'!$A$4:$I$917,6,FALSE)</f>
        <v>8980</v>
      </c>
      <c r="G802" s="2">
        <f>VLOOKUP($A802,'[2]App C Total'!$A$4:$I$917,7,FALSE)</f>
        <v>13955</v>
      </c>
      <c r="H802" s="2">
        <f>VLOOKUP($A802,'[2]App C Total'!$A$4:$I$917,8,FALSE)</f>
        <v>5298</v>
      </c>
      <c r="I802" s="2">
        <f>VLOOKUP($A802,'[2]App C Total'!$A$4:$I$917,9,FALSE)</f>
        <v>0</v>
      </c>
      <c r="J802" s="2"/>
      <c r="K802" s="2">
        <f>VLOOKUP($A802,'[2]App C Exp'!$A$4:$I$917,5,FALSE)</f>
        <v>7400</v>
      </c>
      <c r="L802" s="2">
        <f>VLOOKUP($A802,'[2]App C Exp'!$A$4:$I$917,6,FALSE)</f>
        <v>6961</v>
      </c>
      <c r="M802" s="2">
        <f>VLOOKUP($A802,'[2]App C Exp'!$A$4:$I$917,7,FALSE)</f>
        <v>6239</v>
      </c>
      <c r="N802" s="2">
        <f>VLOOKUP($A802,'[2]App C Exp'!$A$4:$I$917,8,FALSE)</f>
        <v>2498</v>
      </c>
      <c r="O802" s="2">
        <f>VLOOKUP($A802,'[2]App C Exp'!$A$4:$I$917,9,FALSE)</f>
        <v>0</v>
      </c>
      <c r="P802" s="2"/>
      <c r="Q802" s="2">
        <f>VLOOKUP($A802,'[2]App C Inv'!$A$4:$I$917,5,FALSE)</f>
        <v>7857</v>
      </c>
      <c r="R802" s="2">
        <f>VLOOKUP($A802,'[2]App C Inv'!$A$4:$I$917,6,FALSE)</f>
        <v>-6758</v>
      </c>
      <c r="S802" s="2">
        <f>VLOOKUP($A802,'[2]App C Inv'!$A$4:$I$917,7,FALSE)</f>
        <v>952</v>
      </c>
      <c r="T802" s="2">
        <f>VLOOKUP($A802,'[2]App C Inv'!$A$4:$I$917,8,FALSE)</f>
        <v>1240</v>
      </c>
      <c r="U802" s="2">
        <f>VLOOKUP($A802,'[2]App C Inv'!$A$4:$I$917,9,FALSE)</f>
        <v>0</v>
      </c>
      <c r="V802" s="2"/>
      <c r="W802" s="2">
        <f>VLOOKUP($A802,'[2]App C Assum'!$A$4:$I$917,5,FALSE)</f>
        <v>8851</v>
      </c>
      <c r="X802" s="2">
        <f>VLOOKUP($A802,'[2]App C Assum'!$A$4:$I$917,6,FALSE)</f>
        <v>7251</v>
      </c>
      <c r="Y802" s="2">
        <f>VLOOKUP($A802,'[2]App C Assum'!$A$4:$I$917,7,FALSE)</f>
        <v>5886</v>
      </c>
      <c r="Z802" s="2">
        <f>VLOOKUP($A802,'[2]App C Assum'!$A$4:$I$917,8,FALSE)</f>
        <v>0</v>
      </c>
      <c r="AA802" s="2">
        <f>VLOOKUP($A802,'[2]App C Assum'!$A$4:$I$917,9,FALSE)</f>
        <v>0</v>
      </c>
      <c r="AB802" s="2"/>
      <c r="AC802" s="2">
        <f>VLOOKUP($A802,'[2]App C Share Outflows'!$A$4:$I$917,5,FALSE)</f>
        <v>3206</v>
      </c>
      <c r="AD802" s="2">
        <f>VLOOKUP($A802,'[2]App C Share Outflows'!$A$4:$I$917,6,FALSE)</f>
        <v>2205</v>
      </c>
      <c r="AE802" s="2">
        <f>VLOOKUP($A802,'[2]App C Share Outflows'!$A$4:$I$917,7,FALSE)</f>
        <v>1558</v>
      </c>
      <c r="AF802" s="2">
        <f>VLOOKUP($A802,'[2]App C Share Outflows'!$A$4:$I$917,8,FALSE)</f>
        <v>1560</v>
      </c>
      <c r="AG802" s="2">
        <f>VLOOKUP($A802,'[2]App C Share Outflows'!$A$4:$I$917,9,FALSE)</f>
        <v>0</v>
      </c>
      <c r="AH802" s="2"/>
      <c r="AI802" s="2">
        <f>VLOOKUP($A802,'[2]App C Share Inflows'!$A$4:$I$917,5,FALSE)</f>
        <v>-679</v>
      </c>
      <c r="AJ802" s="2">
        <f>VLOOKUP($A802,'[2]App C Share Inflows'!$A$4:$I$917,6,FALSE)</f>
        <v>-679</v>
      </c>
      <c r="AK802" s="2">
        <f>VLOOKUP($A802,'[2]App C Share Inflows'!$A$4:$I$917,7,FALSE)</f>
        <v>-680</v>
      </c>
      <c r="AL802" s="2">
        <f>VLOOKUP($A802,'[2]App C Share Inflows'!$A$4:$I$917,8,FALSE)</f>
        <v>0</v>
      </c>
      <c r="AM802" s="2">
        <f>VLOOKUP($A802,'[2]App C Share Inflows'!$A$4:$I$917,6,FALSE)</f>
        <v>-679</v>
      </c>
    </row>
    <row r="803" spans="1:39">
      <c r="A803" s="351">
        <v>98517</v>
      </c>
      <c r="B803" s="344" t="s">
        <v>1501</v>
      </c>
      <c r="C803" s="235" t="e">
        <f>VLOOKUP(A803,#REF!,10,FALSE)</f>
        <v>#REF!</v>
      </c>
      <c r="E803" s="2">
        <f>VLOOKUP($A803,'[2]App C Total'!$A$4:$I$917,5,FALSE)</f>
        <v>2413</v>
      </c>
      <c r="F803" s="2">
        <f>VLOOKUP($A803,'[2]App C Total'!$A$4:$I$917,6,FALSE)</f>
        <v>1493</v>
      </c>
      <c r="G803" s="2">
        <f>VLOOKUP($A803,'[2]App C Total'!$A$4:$I$917,7,FALSE)</f>
        <v>1527</v>
      </c>
      <c r="H803" s="2">
        <f>VLOOKUP($A803,'[2]App C Total'!$A$4:$I$917,8,FALSE)</f>
        <v>643</v>
      </c>
      <c r="I803" s="2">
        <f>VLOOKUP($A803,'[2]App C Total'!$A$4:$I$917,9,FALSE)</f>
        <v>0</v>
      </c>
      <c r="J803" s="2"/>
      <c r="K803" s="2">
        <f>VLOOKUP($A803,'[2]App C Exp'!$A$4:$I$917,5,FALSE)</f>
        <v>360</v>
      </c>
      <c r="L803" s="2">
        <f>VLOOKUP($A803,'[2]App C Exp'!$A$4:$I$917,6,FALSE)</f>
        <v>338</v>
      </c>
      <c r="M803" s="2">
        <f>VLOOKUP($A803,'[2]App C Exp'!$A$4:$I$917,7,FALSE)</f>
        <v>303</v>
      </c>
      <c r="N803" s="2">
        <f>VLOOKUP($A803,'[2]App C Exp'!$A$4:$I$917,8,FALSE)</f>
        <v>121</v>
      </c>
      <c r="O803" s="2">
        <f>VLOOKUP($A803,'[2]App C Exp'!$A$4:$I$917,9,FALSE)</f>
        <v>0</v>
      </c>
      <c r="P803" s="2"/>
      <c r="Q803" s="2">
        <f>VLOOKUP($A803,'[2]App C Inv'!$A$4:$I$917,5,FALSE)</f>
        <v>382</v>
      </c>
      <c r="R803" s="2">
        <f>VLOOKUP($A803,'[2]App C Inv'!$A$4:$I$917,6,FALSE)</f>
        <v>-328</v>
      </c>
      <c r="S803" s="2">
        <f>VLOOKUP($A803,'[2]App C Inv'!$A$4:$I$917,7,FALSE)</f>
        <v>46</v>
      </c>
      <c r="T803" s="2">
        <f>VLOOKUP($A803,'[2]App C Inv'!$A$4:$I$917,8,FALSE)</f>
        <v>60</v>
      </c>
      <c r="U803" s="2">
        <f>VLOOKUP($A803,'[2]App C Inv'!$A$4:$I$917,9,FALSE)</f>
        <v>0</v>
      </c>
      <c r="V803" s="2"/>
      <c r="W803" s="2">
        <f>VLOOKUP($A803,'[2]App C Assum'!$A$4:$I$917,5,FALSE)</f>
        <v>430</v>
      </c>
      <c r="X803" s="2">
        <f>VLOOKUP($A803,'[2]App C Assum'!$A$4:$I$917,6,FALSE)</f>
        <v>352</v>
      </c>
      <c r="Y803" s="2">
        <f>VLOOKUP($A803,'[2]App C Assum'!$A$4:$I$917,7,FALSE)</f>
        <v>286</v>
      </c>
      <c r="Z803" s="2">
        <f>VLOOKUP($A803,'[2]App C Assum'!$A$4:$I$917,8,FALSE)</f>
        <v>0</v>
      </c>
      <c r="AA803" s="2">
        <f>VLOOKUP($A803,'[2]App C Assum'!$A$4:$I$917,9,FALSE)</f>
        <v>0</v>
      </c>
      <c r="AB803" s="2"/>
      <c r="AC803" s="2">
        <f>VLOOKUP($A803,'[2]App C Share Outflows'!$A$4:$I$917,5,FALSE)</f>
        <v>1241</v>
      </c>
      <c r="AD803" s="2">
        <f>VLOOKUP($A803,'[2]App C Share Outflows'!$A$4:$I$917,6,FALSE)</f>
        <v>1131</v>
      </c>
      <c r="AE803" s="2">
        <f>VLOOKUP($A803,'[2]App C Share Outflows'!$A$4:$I$917,7,FALSE)</f>
        <v>892</v>
      </c>
      <c r="AF803" s="2">
        <f>VLOOKUP($A803,'[2]App C Share Outflows'!$A$4:$I$917,8,FALSE)</f>
        <v>462</v>
      </c>
      <c r="AG803" s="2">
        <f>VLOOKUP($A803,'[2]App C Share Outflows'!$A$4:$I$917,9,FALSE)</f>
        <v>0</v>
      </c>
      <c r="AH803" s="2"/>
      <c r="AI803" s="2">
        <f>VLOOKUP($A803,'[2]App C Share Inflows'!$A$4:$I$917,5,FALSE)</f>
        <v>0</v>
      </c>
      <c r="AJ803" s="2">
        <f>VLOOKUP($A803,'[2]App C Share Inflows'!$A$4:$I$917,6,FALSE)</f>
        <v>0</v>
      </c>
      <c r="AK803" s="2">
        <f>VLOOKUP($A803,'[2]App C Share Inflows'!$A$4:$I$917,7,FALSE)</f>
        <v>0</v>
      </c>
      <c r="AL803" s="2">
        <f>VLOOKUP($A803,'[2]App C Share Inflows'!$A$4:$I$917,8,FALSE)</f>
        <v>0</v>
      </c>
      <c r="AM803" s="2">
        <f>VLOOKUP($A803,'[2]App C Share Inflows'!$A$4:$I$917,6,FALSE)</f>
        <v>0</v>
      </c>
    </row>
    <row r="804" spans="1:39">
      <c r="A804" s="351">
        <v>98521</v>
      </c>
      <c r="B804" s="344" t="s">
        <v>1502</v>
      </c>
      <c r="C804" s="235" t="e">
        <f>VLOOKUP(A804,#REF!,10,FALSE)</f>
        <v>#REF!</v>
      </c>
      <c r="E804" s="2">
        <f>VLOOKUP($A804,'[2]App C Total'!$A$4:$I$917,5,FALSE)</f>
        <v>296001</v>
      </c>
      <c r="F804" s="2">
        <f>VLOOKUP($A804,'[2]App C Total'!$A$4:$I$917,6,FALSE)</f>
        <v>92841</v>
      </c>
      <c r="G804" s="2">
        <f>VLOOKUP($A804,'[2]App C Total'!$A$4:$I$917,7,FALSE)</f>
        <v>156271</v>
      </c>
      <c r="H804" s="2">
        <f>VLOOKUP($A804,'[2]App C Total'!$A$4:$I$917,8,FALSE)</f>
        <v>43296</v>
      </c>
      <c r="I804" s="2">
        <f>VLOOKUP($A804,'[2]App C Total'!$A$4:$I$917,9,FALSE)</f>
        <v>0</v>
      </c>
      <c r="J804" s="2"/>
      <c r="K804" s="2">
        <f>VLOOKUP($A804,'[2]App C Exp'!$A$4:$I$917,5,FALSE)</f>
        <v>94903</v>
      </c>
      <c r="L804" s="2">
        <f>VLOOKUP($A804,'[2]App C Exp'!$A$4:$I$917,6,FALSE)</f>
        <v>89273</v>
      </c>
      <c r="M804" s="2">
        <f>VLOOKUP($A804,'[2]App C Exp'!$A$4:$I$917,7,FALSE)</f>
        <v>80014</v>
      </c>
      <c r="N804" s="2">
        <f>VLOOKUP($A804,'[2]App C Exp'!$A$4:$I$917,8,FALSE)</f>
        <v>32037</v>
      </c>
      <c r="O804" s="2">
        <f>VLOOKUP($A804,'[2]App C Exp'!$A$4:$I$917,9,FALSE)</f>
        <v>0</v>
      </c>
      <c r="P804" s="2"/>
      <c r="Q804" s="2">
        <f>VLOOKUP($A804,'[2]App C Inv'!$A$4:$I$917,5,FALSE)</f>
        <v>100752</v>
      </c>
      <c r="R804" s="2">
        <f>VLOOKUP($A804,'[2]App C Inv'!$A$4:$I$917,6,FALSE)</f>
        <v>-86666</v>
      </c>
      <c r="S804" s="2">
        <f>VLOOKUP($A804,'[2]App C Inv'!$A$4:$I$917,7,FALSE)</f>
        <v>12215</v>
      </c>
      <c r="T804" s="2">
        <f>VLOOKUP($A804,'[2]App C Inv'!$A$4:$I$917,8,FALSE)</f>
        <v>15897</v>
      </c>
      <c r="U804" s="2">
        <f>VLOOKUP($A804,'[2]App C Inv'!$A$4:$I$917,9,FALSE)</f>
        <v>0</v>
      </c>
      <c r="V804" s="2"/>
      <c r="W804" s="2">
        <f>VLOOKUP($A804,'[2]App C Assum'!$A$4:$I$917,5,FALSE)</f>
        <v>113499</v>
      </c>
      <c r="X804" s="2">
        <f>VLOOKUP($A804,'[2]App C Assum'!$A$4:$I$917,6,FALSE)</f>
        <v>92983</v>
      </c>
      <c r="Y804" s="2">
        <f>VLOOKUP($A804,'[2]App C Assum'!$A$4:$I$917,7,FALSE)</f>
        <v>75486</v>
      </c>
      <c r="Z804" s="2">
        <f>VLOOKUP($A804,'[2]App C Assum'!$A$4:$I$917,8,FALSE)</f>
        <v>0</v>
      </c>
      <c r="AA804" s="2">
        <f>VLOOKUP($A804,'[2]App C Assum'!$A$4:$I$917,9,FALSE)</f>
        <v>0</v>
      </c>
      <c r="AB804" s="2"/>
      <c r="AC804" s="2">
        <f>VLOOKUP($A804,'[2]App C Share Outflows'!$A$4:$I$917,5,FALSE)</f>
        <v>8699</v>
      </c>
      <c r="AD804" s="2">
        <f>VLOOKUP($A804,'[2]App C Share Outflows'!$A$4:$I$917,6,FALSE)</f>
        <v>8697</v>
      </c>
      <c r="AE804" s="2">
        <f>VLOOKUP($A804,'[2]App C Share Outflows'!$A$4:$I$917,7,FALSE)</f>
        <v>0</v>
      </c>
      <c r="AF804" s="2">
        <f>VLOOKUP($A804,'[2]App C Share Outflows'!$A$4:$I$917,8,FALSE)</f>
        <v>0</v>
      </c>
      <c r="AG804" s="2">
        <f>VLOOKUP($A804,'[2]App C Share Outflows'!$A$4:$I$917,9,FALSE)</f>
        <v>0</v>
      </c>
      <c r="AH804" s="2"/>
      <c r="AI804" s="2">
        <f>VLOOKUP($A804,'[2]App C Share Inflows'!$A$4:$I$917,5,FALSE)</f>
        <v>-21852</v>
      </c>
      <c r="AJ804" s="2">
        <f>VLOOKUP($A804,'[2]App C Share Inflows'!$A$4:$I$917,6,FALSE)</f>
        <v>-11446</v>
      </c>
      <c r="AK804" s="2">
        <f>VLOOKUP($A804,'[2]App C Share Inflows'!$A$4:$I$917,7,FALSE)</f>
        <v>-11444</v>
      </c>
      <c r="AL804" s="2">
        <f>VLOOKUP($A804,'[2]App C Share Inflows'!$A$4:$I$917,8,FALSE)</f>
        <v>-4638</v>
      </c>
      <c r="AM804" s="2">
        <f>VLOOKUP($A804,'[2]App C Share Inflows'!$A$4:$I$917,6,FALSE)</f>
        <v>-11446</v>
      </c>
    </row>
    <row r="805" spans="1:39">
      <c r="A805" s="351">
        <v>98601</v>
      </c>
      <c r="B805" s="344" t="s">
        <v>1503</v>
      </c>
      <c r="C805" s="235" t="e">
        <f>VLOOKUP(A805,#REF!,10,FALSE)</f>
        <v>#REF!</v>
      </c>
      <c r="E805" s="2">
        <f>VLOOKUP($A805,'[2]App C Total'!$A$4:$I$917,5,FALSE)</f>
        <v>1716857</v>
      </c>
      <c r="F805" s="2">
        <f>VLOOKUP($A805,'[2]App C Total'!$A$4:$I$917,6,FALSE)</f>
        <v>513034</v>
      </c>
      <c r="G805" s="2">
        <f>VLOOKUP($A805,'[2]App C Total'!$A$4:$I$917,7,FALSE)</f>
        <v>951384</v>
      </c>
      <c r="H805" s="2">
        <f>VLOOKUP($A805,'[2]App C Total'!$A$4:$I$917,8,FALSE)</f>
        <v>275486</v>
      </c>
      <c r="I805" s="2">
        <f>VLOOKUP($A805,'[2]App C Total'!$A$4:$I$917,9,FALSE)</f>
        <v>0</v>
      </c>
      <c r="J805" s="2"/>
      <c r="K805" s="2">
        <f>VLOOKUP($A805,'[2]App C Exp'!$A$4:$I$917,5,FALSE)</f>
        <v>537298</v>
      </c>
      <c r="L805" s="2">
        <f>VLOOKUP($A805,'[2]App C Exp'!$A$4:$I$917,6,FALSE)</f>
        <v>505424</v>
      </c>
      <c r="M805" s="2">
        <f>VLOOKUP($A805,'[2]App C Exp'!$A$4:$I$917,7,FALSE)</f>
        <v>453006</v>
      </c>
      <c r="N805" s="2">
        <f>VLOOKUP($A805,'[2]App C Exp'!$A$4:$I$917,8,FALSE)</f>
        <v>181378</v>
      </c>
      <c r="O805" s="2">
        <f>VLOOKUP($A805,'[2]App C Exp'!$A$4:$I$917,9,FALSE)</f>
        <v>0</v>
      </c>
      <c r="P805" s="2"/>
      <c r="Q805" s="2">
        <f>VLOOKUP($A805,'[2]App C Inv'!$A$4:$I$917,5,FALSE)</f>
        <v>570416</v>
      </c>
      <c r="R805" s="2">
        <f>VLOOKUP($A805,'[2]App C Inv'!$A$4:$I$917,6,FALSE)</f>
        <v>-490665</v>
      </c>
      <c r="S805" s="2">
        <f>VLOOKUP($A805,'[2]App C Inv'!$A$4:$I$917,7,FALSE)</f>
        <v>69153</v>
      </c>
      <c r="T805" s="2">
        <f>VLOOKUP($A805,'[2]App C Inv'!$A$4:$I$917,8,FALSE)</f>
        <v>90002</v>
      </c>
      <c r="U805" s="2">
        <f>VLOOKUP($A805,'[2]App C Inv'!$A$4:$I$917,9,FALSE)</f>
        <v>0</v>
      </c>
      <c r="V805" s="2"/>
      <c r="W805" s="2">
        <f>VLOOKUP($A805,'[2]App C Assum'!$A$4:$I$917,5,FALSE)</f>
        <v>642582</v>
      </c>
      <c r="X805" s="2">
        <f>VLOOKUP($A805,'[2]App C Assum'!$A$4:$I$917,6,FALSE)</f>
        <v>526427</v>
      </c>
      <c r="Y805" s="2">
        <f>VLOOKUP($A805,'[2]App C Assum'!$A$4:$I$917,7,FALSE)</f>
        <v>427368</v>
      </c>
      <c r="Z805" s="2">
        <f>VLOOKUP($A805,'[2]App C Assum'!$A$4:$I$917,8,FALSE)</f>
        <v>0</v>
      </c>
      <c r="AA805" s="2">
        <f>VLOOKUP($A805,'[2]App C Assum'!$A$4:$I$917,9,FALSE)</f>
        <v>0</v>
      </c>
      <c r="AB805" s="2"/>
      <c r="AC805" s="2">
        <f>VLOOKUP($A805,'[2]App C Share Outflows'!$A$4:$I$917,5,FALSE)</f>
        <v>4107</v>
      </c>
      <c r="AD805" s="2">
        <f>VLOOKUP($A805,'[2]App C Share Outflows'!$A$4:$I$917,6,FALSE)</f>
        <v>4107</v>
      </c>
      <c r="AE805" s="2">
        <f>VLOOKUP($A805,'[2]App C Share Outflows'!$A$4:$I$917,7,FALSE)</f>
        <v>4107</v>
      </c>
      <c r="AF805" s="2">
        <f>VLOOKUP($A805,'[2]App C Share Outflows'!$A$4:$I$917,8,FALSE)</f>
        <v>4106</v>
      </c>
      <c r="AG805" s="2">
        <f>VLOOKUP($A805,'[2]App C Share Outflows'!$A$4:$I$917,9,FALSE)</f>
        <v>0</v>
      </c>
      <c r="AH805" s="2"/>
      <c r="AI805" s="2">
        <f>VLOOKUP($A805,'[2]App C Share Inflows'!$A$4:$I$917,5,FALSE)</f>
        <v>-37546</v>
      </c>
      <c r="AJ805" s="2">
        <f>VLOOKUP($A805,'[2]App C Share Inflows'!$A$4:$I$917,6,FALSE)</f>
        <v>-32259</v>
      </c>
      <c r="AK805" s="2">
        <f>VLOOKUP($A805,'[2]App C Share Inflows'!$A$4:$I$917,7,FALSE)</f>
        <v>-2250</v>
      </c>
      <c r="AL805" s="2">
        <f>VLOOKUP($A805,'[2]App C Share Inflows'!$A$4:$I$917,8,FALSE)</f>
        <v>0</v>
      </c>
      <c r="AM805" s="2">
        <f>VLOOKUP($A805,'[2]App C Share Inflows'!$A$4:$I$917,6,FALSE)</f>
        <v>-32259</v>
      </c>
    </row>
    <row r="806" spans="1:39">
      <c r="A806" s="351">
        <v>98607</v>
      </c>
      <c r="B806" s="344" t="s">
        <v>1505</v>
      </c>
      <c r="C806" s="235" t="e">
        <f>VLOOKUP(A806,#REF!,10,FALSE)</f>
        <v>#REF!</v>
      </c>
      <c r="E806" s="2">
        <f>VLOOKUP($A806,'[2]App C Total'!$A$4:$I$917,5,FALSE)</f>
        <v>2786</v>
      </c>
      <c r="F806" s="2">
        <f>VLOOKUP($A806,'[2]App C Total'!$A$4:$I$917,6,FALSE)</f>
        <v>984</v>
      </c>
      <c r="G806" s="2">
        <f>VLOOKUP($A806,'[2]App C Total'!$A$4:$I$917,7,FALSE)</f>
        <v>1586</v>
      </c>
      <c r="H806" s="2">
        <f>VLOOKUP($A806,'[2]App C Total'!$A$4:$I$917,8,FALSE)</f>
        <v>220</v>
      </c>
      <c r="I806" s="2">
        <f>VLOOKUP($A806,'[2]App C Total'!$A$4:$I$917,9,FALSE)</f>
        <v>0</v>
      </c>
      <c r="J806" s="2"/>
      <c r="K806" s="2">
        <f>VLOOKUP($A806,'[2]App C Exp'!$A$4:$I$917,5,FALSE)</f>
        <v>809</v>
      </c>
      <c r="L806" s="2">
        <f>VLOOKUP($A806,'[2]App C Exp'!$A$4:$I$917,6,FALSE)</f>
        <v>761</v>
      </c>
      <c r="M806" s="2">
        <f>VLOOKUP($A806,'[2]App C Exp'!$A$4:$I$917,7,FALSE)</f>
        <v>682</v>
      </c>
      <c r="N806" s="2">
        <f>VLOOKUP($A806,'[2]App C Exp'!$A$4:$I$917,8,FALSE)</f>
        <v>273</v>
      </c>
      <c r="O806" s="2">
        <f>VLOOKUP($A806,'[2]App C Exp'!$A$4:$I$917,9,FALSE)</f>
        <v>0</v>
      </c>
      <c r="P806" s="2"/>
      <c r="Q806" s="2">
        <f>VLOOKUP($A806,'[2]App C Inv'!$A$4:$I$917,5,FALSE)</f>
        <v>859</v>
      </c>
      <c r="R806" s="2">
        <f>VLOOKUP($A806,'[2]App C Inv'!$A$4:$I$917,6,FALSE)</f>
        <v>-739</v>
      </c>
      <c r="S806" s="2">
        <f>VLOOKUP($A806,'[2]App C Inv'!$A$4:$I$917,7,FALSE)</f>
        <v>104</v>
      </c>
      <c r="T806" s="2">
        <f>VLOOKUP($A806,'[2]App C Inv'!$A$4:$I$917,8,FALSE)</f>
        <v>136</v>
      </c>
      <c r="U806" s="2">
        <f>VLOOKUP($A806,'[2]App C Inv'!$A$4:$I$917,9,FALSE)</f>
        <v>0</v>
      </c>
      <c r="V806" s="2"/>
      <c r="W806" s="2">
        <f>VLOOKUP($A806,'[2]App C Assum'!$A$4:$I$917,5,FALSE)</f>
        <v>967</v>
      </c>
      <c r="X806" s="2">
        <f>VLOOKUP($A806,'[2]App C Assum'!$A$4:$I$917,6,FALSE)</f>
        <v>793</v>
      </c>
      <c r="Y806" s="2">
        <f>VLOOKUP($A806,'[2]App C Assum'!$A$4:$I$917,7,FALSE)</f>
        <v>643</v>
      </c>
      <c r="Z806" s="2">
        <f>VLOOKUP($A806,'[2]App C Assum'!$A$4:$I$917,8,FALSE)</f>
        <v>0</v>
      </c>
      <c r="AA806" s="2">
        <f>VLOOKUP($A806,'[2]App C Assum'!$A$4:$I$917,9,FALSE)</f>
        <v>0</v>
      </c>
      <c r="AB806" s="2"/>
      <c r="AC806" s="2">
        <f>VLOOKUP($A806,'[2]App C Share Outflows'!$A$4:$I$917,5,FALSE)</f>
        <v>360</v>
      </c>
      <c r="AD806" s="2">
        <f>VLOOKUP($A806,'[2]App C Share Outflows'!$A$4:$I$917,6,FALSE)</f>
        <v>360</v>
      </c>
      <c r="AE806" s="2">
        <f>VLOOKUP($A806,'[2]App C Share Outflows'!$A$4:$I$917,7,FALSE)</f>
        <v>348</v>
      </c>
      <c r="AF806" s="2">
        <f>VLOOKUP($A806,'[2]App C Share Outflows'!$A$4:$I$917,8,FALSE)</f>
        <v>0</v>
      </c>
      <c r="AG806" s="2">
        <f>VLOOKUP($A806,'[2]App C Share Outflows'!$A$4:$I$917,9,FALSE)</f>
        <v>0</v>
      </c>
      <c r="AH806" s="2"/>
      <c r="AI806" s="2">
        <f>VLOOKUP($A806,'[2]App C Share Inflows'!$A$4:$I$917,5,FALSE)</f>
        <v>-209</v>
      </c>
      <c r="AJ806" s="2">
        <f>VLOOKUP($A806,'[2]App C Share Inflows'!$A$4:$I$917,6,FALSE)</f>
        <v>-191</v>
      </c>
      <c r="AK806" s="2">
        <f>VLOOKUP($A806,'[2]App C Share Inflows'!$A$4:$I$917,7,FALSE)</f>
        <v>-191</v>
      </c>
      <c r="AL806" s="2">
        <f>VLOOKUP($A806,'[2]App C Share Inflows'!$A$4:$I$917,8,FALSE)</f>
        <v>-189</v>
      </c>
      <c r="AM806" s="2">
        <f>VLOOKUP($A806,'[2]App C Share Inflows'!$A$4:$I$917,6,FALSE)</f>
        <v>-191</v>
      </c>
    </row>
    <row r="807" spans="1:39">
      <c r="A807" s="351">
        <v>98608</v>
      </c>
      <c r="B807" s="344" t="s">
        <v>1506</v>
      </c>
      <c r="C807" s="235" t="e">
        <f>VLOOKUP(A807,#REF!,10,FALSE)</f>
        <v>#REF!</v>
      </c>
      <c r="E807" s="2">
        <f>VLOOKUP($A807,'[2]App C Total'!$A$4:$I$917,5,FALSE)</f>
        <v>26302</v>
      </c>
      <c r="F807" s="2">
        <f>VLOOKUP($A807,'[2]App C Total'!$A$4:$I$917,6,FALSE)</f>
        <v>10456</v>
      </c>
      <c r="G807" s="2">
        <f>VLOOKUP($A807,'[2]App C Total'!$A$4:$I$917,7,FALSE)</f>
        <v>15701</v>
      </c>
      <c r="H807" s="2">
        <f>VLOOKUP($A807,'[2]App C Total'!$A$4:$I$917,8,FALSE)</f>
        <v>6161</v>
      </c>
      <c r="I807" s="2">
        <f>VLOOKUP($A807,'[2]App C Total'!$A$4:$I$917,9,FALSE)</f>
        <v>0</v>
      </c>
      <c r="J807" s="2"/>
      <c r="K807" s="2">
        <f>VLOOKUP($A807,'[2]App C Exp'!$A$4:$I$917,5,FALSE)</f>
        <v>7760</v>
      </c>
      <c r="L807" s="2">
        <f>VLOOKUP($A807,'[2]App C Exp'!$A$4:$I$917,6,FALSE)</f>
        <v>7300</v>
      </c>
      <c r="M807" s="2">
        <f>VLOOKUP($A807,'[2]App C Exp'!$A$4:$I$917,7,FALSE)</f>
        <v>6543</v>
      </c>
      <c r="N807" s="2">
        <f>VLOOKUP($A807,'[2]App C Exp'!$A$4:$I$917,8,FALSE)</f>
        <v>2620</v>
      </c>
      <c r="O807" s="2">
        <f>VLOOKUP($A807,'[2]App C Exp'!$A$4:$I$917,9,FALSE)</f>
        <v>0</v>
      </c>
      <c r="P807" s="2"/>
      <c r="Q807" s="2">
        <f>VLOOKUP($A807,'[2]App C Inv'!$A$4:$I$917,5,FALSE)</f>
        <v>8238</v>
      </c>
      <c r="R807" s="2">
        <f>VLOOKUP($A807,'[2]App C Inv'!$A$4:$I$917,6,FALSE)</f>
        <v>-7086</v>
      </c>
      <c r="S807" s="2">
        <f>VLOOKUP($A807,'[2]App C Inv'!$A$4:$I$917,7,FALSE)</f>
        <v>999</v>
      </c>
      <c r="T807" s="2">
        <f>VLOOKUP($A807,'[2]App C Inv'!$A$4:$I$917,8,FALSE)</f>
        <v>1300</v>
      </c>
      <c r="U807" s="2">
        <f>VLOOKUP($A807,'[2]App C Inv'!$A$4:$I$917,9,FALSE)</f>
        <v>0</v>
      </c>
      <c r="V807" s="2"/>
      <c r="W807" s="2">
        <f>VLOOKUP($A807,'[2]App C Assum'!$A$4:$I$917,5,FALSE)</f>
        <v>9281</v>
      </c>
      <c r="X807" s="2">
        <f>VLOOKUP($A807,'[2]App C Assum'!$A$4:$I$917,6,FALSE)</f>
        <v>7603</v>
      </c>
      <c r="Y807" s="2">
        <f>VLOOKUP($A807,'[2]App C Assum'!$A$4:$I$917,7,FALSE)</f>
        <v>6172</v>
      </c>
      <c r="Z807" s="2">
        <f>VLOOKUP($A807,'[2]App C Assum'!$A$4:$I$917,8,FALSE)</f>
        <v>0</v>
      </c>
      <c r="AA807" s="2">
        <f>VLOOKUP($A807,'[2]App C Assum'!$A$4:$I$917,9,FALSE)</f>
        <v>0</v>
      </c>
      <c r="AB807" s="2"/>
      <c r="AC807" s="2">
        <f>VLOOKUP($A807,'[2]App C Share Outflows'!$A$4:$I$917,5,FALSE)</f>
        <v>2890</v>
      </c>
      <c r="AD807" s="2">
        <f>VLOOKUP($A807,'[2]App C Share Outflows'!$A$4:$I$917,6,FALSE)</f>
        <v>2890</v>
      </c>
      <c r="AE807" s="2">
        <f>VLOOKUP($A807,'[2]App C Share Outflows'!$A$4:$I$917,7,FALSE)</f>
        <v>2239</v>
      </c>
      <c r="AF807" s="2">
        <f>VLOOKUP($A807,'[2]App C Share Outflows'!$A$4:$I$917,8,FALSE)</f>
        <v>2241</v>
      </c>
      <c r="AG807" s="2">
        <f>VLOOKUP($A807,'[2]App C Share Outflows'!$A$4:$I$917,9,FALSE)</f>
        <v>0</v>
      </c>
      <c r="AH807" s="2"/>
      <c r="AI807" s="2">
        <f>VLOOKUP($A807,'[2]App C Share Inflows'!$A$4:$I$917,5,FALSE)</f>
        <v>-1867</v>
      </c>
      <c r="AJ807" s="2">
        <f>VLOOKUP($A807,'[2]App C Share Inflows'!$A$4:$I$917,6,FALSE)</f>
        <v>-251</v>
      </c>
      <c r="AK807" s="2">
        <f>VLOOKUP($A807,'[2]App C Share Inflows'!$A$4:$I$917,7,FALSE)</f>
        <v>-252</v>
      </c>
      <c r="AL807" s="2">
        <f>VLOOKUP($A807,'[2]App C Share Inflows'!$A$4:$I$917,8,FALSE)</f>
        <v>0</v>
      </c>
      <c r="AM807" s="2">
        <f>VLOOKUP($A807,'[2]App C Share Inflows'!$A$4:$I$917,6,FALSE)</f>
        <v>-251</v>
      </c>
    </row>
    <row r="808" spans="1:39">
      <c r="A808" s="351">
        <v>98611</v>
      </c>
      <c r="B808" s="344" t="s">
        <v>1507</v>
      </c>
      <c r="C808" s="235" t="e">
        <f>VLOOKUP(A808,#REF!,10,FALSE)</f>
        <v>#REF!</v>
      </c>
      <c r="E808" s="2">
        <f>VLOOKUP($A808,'[2]App C Total'!$A$4:$I$917,5,FALSE)</f>
        <v>64366</v>
      </c>
      <c r="F808" s="2">
        <f>VLOOKUP($A808,'[2]App C Total'!$A$4:$I$917,6,FALSE)</f>
        <v>26909</v>
      </c>
      <c r="G808" s="2">
        <f>VLOOKUP($A808,'[2]App C Total'!$A$4:$I$917,7,FALSE)</f>
        <v>38483</v>
      </c>
      <c r="H808" s="2">
        <f>VLOOKUP($A808,'[2]App C Total'!$A$4:$I$917,8,FALSE)</f>
        <v>10598</v>
      </c>
      <c r="I808" s="2">
        <f>VLOOKUP($A808,'[2]App C Total'!$A$4:$I$917,9,FALSE)</f>
        <v>0</v>
      </c>
      <c r="J808" s="2"/>
      <c r="K808" s="2">
        <f>VLOOKUP($A808,'[2]App C Exp'!$A$4:$I$917,5,FALSE)</f>
        <v>17917</v>
      </c>
      <c r="L808" s="2">
        <f>VLOOKUP($A808,'[2]App C Exp'!$A$4:$I$917,6,FALSE)</f>
        <v>16854</v>
      </c>
      <c r="M808" s="2">
        <f>VLOOKUP($A808,'[2]App C Exp'!$A$4:$I$917,7,FALSE)</f>
        <v>15106</v>
      </c>
      <c r="N808" s="2">
        <f>VLOOKUP($A808,'[2]App C Exp'!$A$4:$I$917,8,FALSE)</f>
        <v>6048</v>
      </c>
      <c r="O808" s="2">
        <f>VLOOKUP($A808,'[2]App C Exp'!$A$4:$I$917,9,FALSE)</f>
        <v>0</v>
      </c>
      <c r="P808" s="2"/>
      <c r="Q808" s="2">
        <f>VLOOKUP($A808,'[2]App C Inv'!$A$4:$I$917,5,FALSE)</f>
        <v>19021</v>
      </c>
      <c r="R808" s="2">
        <f>VLOOKUP($A808,'[2]App C Inv'!$A$4:$I$917,6,FALSE)</f>
        <v>-16362</v>
      </c>
      <c r="S808" s="2">
        <f>VLOOKUP($A808,'[2]App C Inv'!$A$4:$I$917,7,FALSE)</f>
        <v>2306</v>
      </c>
      <c r="T808" s="2">
        <f>VLOOKUP($A808,'[2]App C Inv'!$A$4:$I$917,8,FALSE)</f>
        <v>3001</v>
      </c>
      <c r="U808" s="2">
        <f>VLOOKUP($A808,'[2]App C Inv'!$A$4:$I$917,9,FALSE)</f>
        <v>0</v>
      </c>
      <c r="V808" s="2"/>
      <c r="W808" s="2">
        <f>VLOOKUP($A808,'[2]App C Assum'!$A$4:$I$917,5,FALSE)</f>
        <v>21428</v>
      </c>
      <c r="X808" s="2">
        <f>VLOOKUP($A808,'[2]App C Assum'!$A$4:$I$917,6,FALSE)</f>
        <v>17554</v>
      </c>
      <c r="Y808" s="2">
        <f>VLOOKUP($A808,'[2]App C Assum'!$A$4:$I$917,7,FALSE)</f>
        <v>14251</v>
      </c>
      <c r="Z808" s="2">
        <f>VLOOKUP($A808,'[2]App C Assum'!$A$4:$I$917,8,FALSE)</f>
        <v>0</v>
      </c>
      <c r="AA808" s="2">
        <f>VLOOKUP($A808,'[2]App C Assum'!$A$4:$I$917,9,FALSE)</f>
        <v>0</v>
      </c>
      <c r="AB808" s="2"/>
      <c r="AC808" s="2">
        <f>VLOOKUP($A808,'[2]App C Share Outflows'!$A$4:$I$917,5,FALSE)</f>
        <v>8863</v>
      </c>
      <c r="AD808" s="2">
        <f>VLOOKUP($A808,'[2]App C Share Outflows'!$A$4:$I$917,6,FALSE)</f>
        <v>8863</v>
      </c>
      <c r="AE808" s="2">
        <f>VLOOKUP($A808,'[2]App C Share Outflows'!$A$4:$I$917,7,FALSE)</f>
        <v>6820</v>
      </c>
      <c r="AF808" s="2">
        <f>VLOOKUP($A808,'[2]App C Share Outflows'!$A$4:$I$917,8,FALSE)</f>
        <v>1549</v>
      </c>
      <c r="AG808" s="2">
        <f>VLOOKUP($A808,'[2]App C Share Outflows'!$A$4:$I$917,9,FALSE)</f>
        <v>0</v>
      </c>
      <c r="AH808" s="2"/>
      <c r="AI808" s="2">
        <f>VLOOKUP($A808,'[2]App C Share Inflows'!$A$4:$I$917,5,FALSE)</f>
        <v>-2863</v>
      </c>
      <c r="AJ808" s="2">
        <f>VLOOKUP($A808,'[2]App C Share Inflows'!$A$4:$I$917,6,FALSE)</f>
        <v>0</v>
      </c>
      <c r="AK808" s="2">
        <f>VLOOKUP($A808,'[2]App C Share Inflows'!$A$4:$I$917,7,FALSE)</f>
        <v>0</v>
      </c>
      <c r="AL808" s="2">
        <f>VLOOKUP($A808,'[2]App C Share Inflows'!$A$4:$I$917,8,FALSE)</f>
        <v>0</v>
      </c>
      <c r="AM808" s="2">
        <f>VLOOKUP($A808,'[2]App C Share Inflows'!$A$4:$I$917,6,FALSE)</f>
        <v>0</v>
      </c>
    </row>
    <row r="809" spans="1:39">
      <c r="A809" s="351">
        <v>98621</v>
      </c>
      <c r="B809" s="344" t="s">
        <v>1508</v>
      </c>
      <c r="C809" s="235" t="e">
        <f>VLOOKUP(A809,#REF!,10,FALSE)</f>
        <v>#REF!</v>
      </c>
      <c r="E809" s="2">
        <f>VLOOKUP($A809,'[2]App C Total'!$A$4:$I$917,5,FALSE)</f>
        <v>59466</v>
      </c>
      <c r="F809" s="2">
        <f>VLOOKUP($A809,'[2]App C Total'!$A$4:$I$917,6,FALSE)</f>
        <v>16909</v>
      </c>
      <c r="G809" s="2">
        <f>VLOOKUP($A809,'[2]App C Total'!$A$4:$I$917,7,FALSE)</f>
        <v>32651</v>
      </c>
      <c r="H809" s="2">
        <f>VLOOKUP($A809,'[2]App C Total'!$A$4:$I$917,8,FALSE)</f>
        <v>8203</v>
      </c>
      <c r="I809" s="2">
        <f>VLOOKUP($A809,'[2]App C Total'!$A$4:$I$917,9,FALSE)</f>
        <v>0</v>
      </c>
      <c r="J809" s="2"/>
      <c r="K809" s="2">
        <f>VLOOKUP($A809,'[2]App C Exp'!$A$4:$I$917,5,FALSE)</f>
        <v>19325</v>
      </c>
      <c r="L809" s="2">
        <f>VLOOKUP($A809,'[2]App C Exp'!$A$4:$I$917,6,FALSE)</f>
        <v>18179</v>
      </c>
      <c r="M809" s="2">
        <f>VLOOKUP($A809,'[2]App C Exp'!$A$4:$I$917,7,FALSE)</f>
        <v>16293</v>
      </c>
      <c r="N809" s="2">
        <f>VLOOKUP($A809,'[2]App C Exp'!$A$4:$I$917,8,FALSE)</f>
        <v>6524</v>
      </c>
      <c r="O809" s="2">
        <f>VLOOKUP($A809,'[2]App C Exp'!$A$4:$I$917,9,FALSE)</f>
        <v>0</v>
      </c>
      <c r="P809" s="2"/>
      <c r="Q809" s="2">
        <f>VLOOKUP($A809,'[2]App C Inv'!$A$4:$I$917,5,FALSE)</f>
        <v>20516</v>
      </c>
      <c r="R809" s="2">
        <f>VLOOKUP($A809,'[2]App C Inv'!$A$4:$I$917,6,FALSE)</f>
        <v>-17648</v>
      </c>
      <c r="S809" s="2">
        <f>VLOOKUP($A809,'[2]App C Inv'!$A$4:$I$917,7,FALSE)</f>
        <v>2487</v>
      </c>
      <c r="T809" s="2">
        <f>VLOOKUP($A809,'[2]App C Inv'!$A$4:$I$917,8,FALSE)</f>
        <v>3237</v>
      </c>
      <c r="U809" s="2">
        <f>VLOOKUP($A809,'[2]App C Inv'!$A$4:$I$917,9,FALSE)</f>
        <v>0</v>
      </c>
      <c r="V809" s="2"/>
      <c r="W809" s="2">
        <f>VLOOKUP($A809,'[2]App C Assum'!$A$4:$I$917,5,FALSE)</f>
        <v>23112</v>
      </c>
      <c r="X809" s="2">
        <f>VLOOKUP($A809,'[2]App C Assum'!$A$4:$I$917,6,FALSE)</f>
        <v>18934</v>
      </c>
      <c r="Y809" s="2">
        <f>VLOOKUP($A809,'[2]App C Assum'!$A$4:$I$917,7,FALSE)</f>
        <v>15371</v>
      </c>
      <c r="Z809" s="2">
        <f>VLOOKUP($A809,'[2]App C Assum'!$A$4:$I$917,8,FALSE)</f>
        <v>0</v>
      </c>
      <c r="AA809" s="2">
        <f>VLOOKUP($A809,'[2]App C Assum'!$A$4:$I$917,9,FALSE)</f>
        <v>0</v>
      </c>
      <c r="AB809" s="2"/>
      <c r="AC809" s="2">
        <f>VLOOKUP($A809,'[2]App C Share Outflows'!$A$4:$I$917,5,FALSE)</f>
        <v>57</v>
      </c>
      <c r="AD809" s="2">
        <f>VLOOKUP($A809,'[2]App C Share Outflows'!$A$4:$I$917,6,FALSE)</f>
        <v>57</v>
      </c>
      <c r="AE809" s="2">
        <f>VLOOKUP($A809,'[2]App C Share Outflows'!$A$4:$I$917,7,FALSE)</f>
        <v>58</v>
      </c>
      <c r="AF809" s="2">
        <f>VLOOKUP($A809,'[2]App C Share Outflows'!$A$4:$I$917,8,FALSE)</f>
        <v>0</v>
      </c>
      <c r="AG809" s="2">
        <f>VLOOKUP($A809,'[2]App C Share Outflows'!$A$4:$I$917,9,FALSE)</f>
        <v>0</v>
      </c>
      <c r="AH809" s="2"/>
      <c r="AI809" s="2">
        <f>VLOOKUP($A809,'[2]App C Share Inflows'!$A$4:$I$917,5,FALSE)</f>
        <v>-3544</v>
      </c>
      <c r="AJ809" s="2">
        <f>VLOOKUP($A809,'[2]App C Share Inflows'!$A$4:$I$917,6,FALSE)</f>
        <v>-2613</v>
      </c>
      <c r="AK809" s="2">
        <f>VLOOKUP($A809,'[2]App C Share Inflows'!$A$4:$I$917,7,FALSE)</f>
        <v>-1558</v>
      </c>
      <c r="AL809" s="2">
        <f>VLOOKUP($A809,'[2]App C Share Inflows'!$A$4:$I$917,8,FALSE)</f>
        <v>-1558</v>
      </c>
      <c r="AM809" s="2">
        <f>VLOOKUP($A809,'[2]App C Share Inflows'!$A$4:$I$917,6,FALSE)</f>
        <v>-2613</v>
      </c>
    </row>
    <row r="810" spans="1:39">
      <c r="A810" s="351">
        <v>98627</v>
      </c>
      <c r="B810" s="344" t="s">
        <v>3704</v>
      </c>
      <c r="C810" s="235" t="e">
        <f>VLOOKUP(A810,#REF!,10,FALSE)</f>
        <v>#REF!</v>
      </c>
      <c r="E810" s="2">
        <f>VLOOKUP($A810,'[2]App C Total'!$A$4:$I$917,5,FALSE)</f>
        <v>3319</v>
      </c>
      <c r="F810" s="2">
        <f>VLOOKUP($A810,'[2]App C Total'!$A$4:$I$917,6,FALSE)</f>
        <v>592</v>
      </c>
      <c r="G810" s="2">
        <f>VLOOKUP($A810,'[2]App C Total'!$A$4:$I$917,7,FALSE)</f>
        <v>1727</v>
      </c>
      <c r="H810" s="2">
        <f>VLOOKUP($A810,'[2]App C Total'!$A$4:$I$917,8,FALSE)</f>
        <v>420</v>
      </c>
      <c r="I810" s="2">
        <f>VLOOKUP($A810,'[2]App C Total'!$A$4:$I$917,9,FALSE)</f>
        <v>0</v>
      </c>
      <c r="J810" s="2"/>
      <c r="K810" s="2">
        <f>VLOOKUP($A810,'[2]App C Exp'!$A$4:$I$917,5,FALSE)</f>
        <v>1168</v>
      </c>
      <c r="L810" s="2">
        <f>VLOOKUP($A810,'[2]App C Exp'!$A$4:$I$917,6,FALSE)</f>
        <v>1099</v>
      </c>
      <c r="M810" s="2">
        <f>VLOOKUP($A810,'[2]App C Exp'!$A$4:$I$917,7,FALSE)</f>
        <v>985</v>
      </c>
      <c r="N810" s="2">
        <f>VLOOKUP($A810,'[2]App C Exp'!$A$4:$I$917,8,FALSE)</f>
        <v>394</v>
      </c>
      <c r="O810" s="2">
        <f>VLOOKUP($A810,'[2]App C Exp'!$A$4:$I$917,9,FALSE)</f>
        <v>0</v>
      </c>
      <c r="P810" s="2"/>
      <c r="Q810" s="2">
        <f>VLOOKUP($A810,'[2]App C Inv'!$A$4:$I$917,5,FALSE)</f>
        <v>1241</v>
      </c>
      <c r="R810" s="2">
        <f>VLOOKUP($A810,'[2]App C Inv'!$A$4:$I$917,6,FALSE)</f>
        <v>-1067</v>
      </c>
      <c r="S810" s="2">
        <f>VLOOKUP($A810,'[2]App C Inv'!$A$4:$I$917,7,FALSE)</f>
        <v>150</v>
      </c>
      <c r="T810" s="2">
        <f>VLOOKUP($A810,'[2]App C Inv'!$A$4:$I$917,8,FALSE)</f>
        <v>196</v>
      </c>
      <c r="U810" s="2">
        <f>VLOOKUP($A810,'[2]App C Inv'!$A$4:$I$917,9,FALSE)</f>
        <v>0</v>
      </c>
      <c r="V810" s="2"/>
      <c r="W810" s="2">
        <f>VLOOKUP($A810,'[2]App C Assum'!$A$4:$I$917,5,FALSE)</f>
        <v>1397</v>
      </c>
      <c r="X810" s="2">
        <f>VLOOKUP($A810,'[2]App C Assum'!$A$4:$I$917,6,FALSE)</f>
        <v>1145</v>
      </c>
      <c r="Y810" s="2">
        <f>VLOOKUP($A810,'[2]App C Assum'!$A$4:$I$917,7,FALSE)</f>
        <v>929</v>
      </c>
      <c r="Z810" s="2">
        <f>VLOOKUP($A810,'[2]App C Assum'!$A$4:$I$917,8,FALSE)</f>
        <v>0</v>
      </c>
      <c r="AA810" s="2">
        <f>VLOOKUP($A810,'[2]App C Assum'!$A$4:$I$917,9,FALSE)</f>
        <v>0</v>
      </c>
      <c r="AB810" s="2"/>
      <c r="AC810" s="2">
        <f>VLOOKUP($A810,'[2]App C Share Outflows'!$A$4:$I$917,5,FALSE)</f>
        <v>96</v>
      </c>
      <c r="AD810" s="2">
        <f>VLOOKUP($A810,'[2]App C Share Outflows'!$A$4:$I$917,6,FALSE)</f>
        <v>0</v>
      </c>
      <c r="AE810" s="2">
        <f>VLOOKUP($A810,'[2]App C Share Outflows'!$A$4:$I$917,7,FALSE)</f>
        <v>0</v>
      </c>
      <c r="AF810" s="2">
        <f>VLOOKUP($A810,'[2]App C Share Outflows'!$A$4:$I$917,8,FALSE)</f>
        <v>0</v>
      </c>
      <c r="AG810" s="2">
        <f>VLOOKUP($A810,'[2]App C Share Outflows'!$A$4:$I$917,9,FALSE)</f>
        <v>0</v>
      </c>
      <c r="AH810" s="2"/>
      <c r="AI810" s="2">
        <f>VLOOKUP($A810,'[2]App C Share Inflows'!$A$4:$I$917,5,FALSE)</f>
        <v>-583</v>
      </c>
      <c r="AJ810" s="2">
        <f>VLOOKUP($A810,'[2]App C Share Inflows'!$A$4:$I$917,6,FALSE)</f>
        <v>-585</v>
      </c>
      <c r="AK810" s="2">
        <f>VLOOKUP($A810,'[2]App C Share Inflows'!$A$4:$I$917,7,FALSE)</f>
        <v>-337</v>
      </c>
      <c r="AL810" s="2">
        <f>VLOOKUP($A810,'[2]App C Share Inflows'!$A$4:$I$917,8,FALSE)</f>
        <v>-170</v>
      </c>
      <c r="AM810" s="2">
        <f>VLOOKUP($A810,'[2]App C Share Inflows'!$A$4:$I$917,6,FALSE)</f>
        <v>-585</v>
      </c>
    </row>
    <row r="811" spans="1:39">
      <c r="A811" s="351">
        <v>98631</v>
      </c>
      <c r="B811" s="344" t="s">
        <v>1510</v>
      </c>
      <c r="C811" s="235" t="e">
        <f>VLOOKUP(A811,#REF!,10,FALSE)</f>
        <v>#REF!</v>
      </c>
      <c r="E811" s="2">
        <f>VLOOKUP($A811,'[2]App C Total'!$A$4:$I$917,5,FALSE)</f>
        <v>472307</v>
      </c>
      <c r="F811" s="2">
        <f>VLOOKUP($A811,'[2]App C Total'!$A$4:$I$917,6,FALSE)</f>
        <v>148159</v>
      </c>
      <c r="G811" s="2">
        <f>VLOOKUP($A811,'[2]App C Total'!$A$4:$I$917,7,FALSE)</f>
        <v>267543</v>
      </c>
      <c r="H811" s="2">
        <f>VLOOKUP($A811,'[2]App C Total'!$A$4:$I$917,8,FALSE)</f>
        <v>72925</v>
      </c>
      <c r="I811" s="2">
        <f>VLOOKUP($A811,'[2]App C Total'!$A$4:$I$917,9,FALSE)</f>
        <v>0</v>
      </c>
      <c r="J811" s="2"/>
      <c r="K811" s="2">
        <f>VLOOKUP($A811,'[2]App C Exp'!$A$4:$I$917,5,FALSE)</f>
        <v>150436</v>
      </c>
      <c r="L811" s="2">
        <f>VLOOKUP($A811,'[2]App C Exp'!$A$4:$I$917,6,FALSE)</f>
        <v>141512</v>
      </c>
      <c r="M811" s="2">
        <f>VLOOKUP($A811,'[2]App C Exp'!$A$4:$I$917,7,FALSE)</f>
        <v>126835</v>
      </c>
      <c r="N811" s="2">
        <f>VLOOKUP($A811,'[2]App C Exp'!$A$4:$I$917,8,FALSE)</f>
        <v>50783</v>
      </c>
      <c r="O811" s="2">
        <f>VLOOKUP($A811,'[2]App C Exp'!$A$4:$I$917,9,FALSE)</f>
        <v>0</v>
      </c>
      <c r="P811" s="2"/>
      <c r="Q811" s="2">
        <f>VLOOKUP($A811,'[2]App C Inv'!$A$4:$I$917,5,FALSE)</f>
        <v>159709</v>
      </c>
      <c r="R811" s="2">
        <f>VLOOKUP($A811,'[2]App C Inv'!$A$4:$I$917,6,FALSE)</f>
        <v>-137380</v>
      </c>
      <c r="S811" s="2">
        <f>VLOOKUP($A811,'[2]App C Inv'!$A$4:$I$917,7,FALSE)</f>
        <v>19362</v>
      </c>
      <c r="T811" s="2">
        <f>VLOOKUP($A811,'[2]App C Inv'!$A$4:$I$917,8,FALSE)</f>
        <v>25199</v>
      </c>
      <c r="U811" s="2">
        <f>VLOOKUP($A811,'[2]App C Inv'!$A$4:$I$917,9,FALSE)</f>
        <v>0</v>
      </c>
      <c r="V811" s="2"/>
      <c r="W811" s="2">
        <f>VLOOKUP($A811,'[2]App C Assum'!$A$4:$I$917,5,FALSE)</f>
        <v>179914</v>
      </c>
      <c r="X811" s="2">
        <f>VLOOKUP($A811,'[2]App C Assum'!$A$4:$I$917,6,FALSE)</f>
        <v>147392</v>
      </c>
      <c r="Y811" s="2">
        <f>VLOOKUP($A811,'[2]App C Assum'!$A$4:$I$917,7,FALSE)</f>
        <v>119657</v>
      </c>
      <c r="Z811" s="2">
        <f>VLOOKUP($A811,'[2]App C Assum'!$A$4:$I$917,8,FALSE)</f>
        <v>0</v>
      </c>
      <c r="AA811" s="2">
        <f>VLOOKUP($A811,'[2]App C Assum'!$A$4:$I$917,9,FALSE)</f>
        <v>0</v>
      </c>
      <c r="AB811" s="2"/>
      <c r="AC811" s="2">
        <f>VLOOKUP($A811,'[2]App C Share Outflows'!$A$4:$I$917,5,FALSE)</f>
        <v>4748</v>
      </c>
      <c r="AD811" s="2">
        <f>VLOOKUP($A811,'[2]App C Share Outflows'!$A$4:$I$917,6,FALSE)</f>
        <v>4748</v>
      </c>
      <c r="AE811" s="2">
        <f>VLOOKUP($A811,'[2]App C Share Outflows'!$A$4:$I$917,7,FALSE)</f>
        <v>4747</v>
      </c>
      <c r="AF811" s="2">
        <f>VLOOKUP($A811,'[2]App C Share Outflows'!$A$4:$I$917,8,FALSE)</f>
        <v>0</v>
      </c>
      <c r="AG811" s="2">
        <f>VLOOKUP($A811,'[2]App C Share Outflows'!$A$4:$I$917,9,FALSE)</f>
        <v>0</v>
      </c>
      <c r="AH811" s="2"/>
      <c r="AI811" s="2">
        <f>VLOOKUP($A811,'[2]App C Share Inflows'!$A$4:$I$917,5,FALSE)</f>
        <v>-22500</v>
      </c>
      <c r="AJ811" s="2">
        <f>VLOOKUP($A811,'[2]App C Share Inflows'!$A$4:$I$917,6,FALSE)</f>
        <v>-8113</v>
      </c>
      <c r="AK811" s="2">
        <f>VLOOKUP($A811,'[2]App C Share Inflows'!$A$4:$I$917,7,FALSE)</f>
        <v>-3058</v>
      </c>
      <c r="AL811" s="2">
        <f>VLOOKUP($A811,'[2]App C Share Inflows'!$A$4:$I$917,8,FALSE)</f>
        <v>-3057</v>
      </c>
      <c r="AM811" s="2">
        <f>VLOOKUP($A811,'[2]App C Share Inflows'!$A$4:$I$917,6,FALSE)</f>
        <v>-8113</v>
      </c>
    </row>
    <row r="812" spans="1:39">
      <c r="A812" s="351">
        <v>98637</v>
      </c>
      <c r="B812" s="344" t="s">
        <v>1511</v>
      </c>
      <c r="C812" s="235" t="e">
        <f>VLOOKUP(A812,#REF!,10,FALSE)</f>
        <v>#REF!</v>
      </c>
      <c r="E812" s="2">
        <f>VLOOKUP($A812,'[2]App C Total'!$A$4:$I$917,5,FALSE)</f>
        <v>11537</v>
      </c>
      <c r="F812" s="2">
        <f>VLOOKUP($A812,'[2]App C Total'!$A$4:$I$917,6,FALSE)</f>
        <v>5502</v>
      </c>
      <c r="G812" s="2">
        <f>VLOOKUP($A812,'[2]App C Total'!$A$4:$I$917,7,FALSE)</f>
        <v>6300</v>
      </c>
      <c r="H812" s="2">
        <f>VLOOKUP($A812,'[2]App C Total'!$A$4:$I$917,8,FALSE)</f>
        <v>2159</v>
      </c>
      <c r="I812" s="2">
        <f>VLOOKUP($A812,'[2]App C Total'!$A$4:$I$917,9,FALSE)</f>
        <v>0</v>
      </c>
      <c r="J812" s="2"/>
      <c r="K812" s="2">
        <f>VLOOKUP($A812,'[2]App C Exp'!$A$4:$I$917,5,FALSE)</f>
        <v>2367</v>
      </c>
      <c r="L812" s="2">
        <f>VLOOKUP($A812,'[2]App C Exp'!$A$4:$I$917,6,FALSE)</f>
        <v>2227</v>
      </c>
      <c r="M812" s="2">
        <f>VLOOKUP($A812,'[2]App C Exp'!$A$4:$I$917,7,FALSE)</f>
        <v>1996</v>
      </c>
      <c r="N812" s="2">
        <f>VLOOKUP($A812,'[2]App C Exp'!$A$4:$I$917,8,FALSE)</f>
        <v>799</v>
      </c>
      <c r="O812" s="2">
        <f>VLOOKUP($A812,'[2]App C Exp'!$A$4:$I$917,9,FALSE)</f>
        <v>0</v>
      </c>
      <c r="P812" s="2"/>
      <c r="Q812" s="2">
        <f>VLOOKUP($A812,'[2]App C Inv'!$A$4:$I$917,5,FALSE)</f>
        <v>2513</v>
      </c>
      <c r="R812" s="2">
        <f>VLOOKUP($A812,'[2]App C Inv'!$A$4:$I$917,6,FALSE)</f>
        <v>-2162</v>
      </c>
      <c r="S812" s="2">
        <f>VLOOKUP($A812,'[2]App C Inv'!$A$4:$I$917,7,FALSE)</f>
        <v>305</v>
      </c>
      <c r="T812" s="2">
        <f>VLOOKUP($A812,'[2]App C Inv'!$A$4:$I$917,8,FALSE)</f>
        <v>396</v>
      </c>
      <c r="U812" s="2">
        <f>VLOOKUP($A812,'[2]App C Inv'!$A$4:$I$917,9,FALSE)</f>
        <v>0</v>
      </c>
      <c r="V812" s="2"/>
      <c r="W812" s="2">
        <f>VLOOKUP($A812,'[2]App C Assum'!$A$4:$I$917,5,FALSE)</f>
        <v>2831</v>
      </c>
      <c r="X812" s="2">
        <f>VLOOKUP($A812,'[2]App C Assum'!$A$4:$I$917,6,FALSE)</f>
        <v>2319</v>
      </c>
      <c r="Y812" s="2">
        <f>VLOOKUP($A812,'[2]App C Assum'!$A$4:$I$917,7,FALSE)</f>
        <v>1883</v>
      </c>
      <c r="Z812" s="2">
        <f>VLOOKUP($A812,'[2]App C Assum'!$A$4:$I$917,8,FALSE)</f>
        <v>0</v>
      </c>
      <c r="AA812" s="2">
        <f>VLOOKUP($A812,'[2]App C Assum'!$A$4:$I$917,9,FALSE)</f>
        <v>0</v>
      </c>
      <c r="AB812" s="2"/>
      <c r="AC812" s="2">
        <f>VLOOKUP($A812,'[2]App C Share Outflows'!$A$4:$I$917,5,FALSE)</f>
        <v>3826</v>
      </c>
      <c r="AD812" s="2">
        <f>VLOOKUP($A812,'[2]App C Share Outflows'!$A$4:$I$917,6,FALSE)</f>
        <v>3118</v>
      </c>
      <c r="AE812" s="2">
        <f>VLOOKUP($A812,'[2]App C Share Outflows'!$A$4:$I$917,7,FALSE)</f>
        <v>2116</v>
      </c>
      <c r="AF812" s="2">
        <f>VLOOKUP($A812,'[2]App C Share Outflows'!$A$4:$I$917,8,FALSE)</f>
        <v>964</v>
      </c>
      <c r="AG812" s="2">
        <f>VLOOKUP($A812,'[2]App C Share Outflows'!$A$4:$I$917,9,FALSE)</f>
        <v>0</v>
      </c>
      <c r="AH812" s="2"/>
      <c r="AI812" s="2">
        <f>VLOOKUP($A812,'[2]App C Share Inflows'!$A$4:$I$917,5,FALSE)</f>
        <v>0</v>
      </c>
      <c r="AJ812" s="2">
        <f>VLOOKUP($A812,'[2]App C Share Inflows'!$A$4:$I$917,6,FALSE)</f>
        <v>0</v>
      </c>
      <c r="AK812" s="2">
        <f>VLOOKUP($A812,'[2]App C Share Inflows'!$A$4:$I$917,7,FALSE)</f>
        <v>0</v>
      </c>
      <c r="AL812" s="2">
        <f>VLOOKUP($A812,'[2]App C Share Inflows'!$A$4:$I$917,8,FALSE)</f>
        <v>0</v>
      </c>
      <c r="AM812" s="2">
        <f>VLOOKUP($A812,'[2]App C Share Inflows'!$A$4:$I$917,6,FALSE)</f>
        <v>0</v>
      </c>
    </row>
    <row r="813" spans="1:39">
      <c r="A813" s="351">
        <v>98641</v>
      </c>
      <c r="B813" s="344" t="s">
        <v>1512</v>
      </c>
      <c r="C813" s="235" t="e">
        <f>VLOOKUP(A813,#REF!,10,FALSE)</f>
        <v>#REF!</v>
      </c>
      <c r="E813" s="2">
        <f>VLOOKUP($A813,'[2]App C Total'!$A$4:$I$917,5,FALSE)</f>
        <v>128748</v>
      </c>
      <c r="F813" s="2">
        <f>VLOOKUP($A813,'[2]App C Total'!$A$4:$I$917,6,FALSE)</f>
        <v>39782</v>
      </c>
      <c r="G813" s="2">
        <f>VLOOKUP($A813,'[2]App C Total'!$A$4:$I$917,7,FALSE)</f>
        <v>70332</v>
      </c>
      <c r="H813" s="2">
        <f>VLOOKUP($A813,'[2]App C Total'!$A$4:$I$917,8,FALSE)</f>
        <v>18840</v>
      </c>
      <c r="I813" s="2">
        <f>VLOOKUP($A813,'[2]App C Total'!$A$4:$I$917,9,FALSE)</f>
        <v>0</v>
      </c>
      <c r="J813" s="2"/>
      <c r="K813" s="2">
        <f>VLOOKUP($A813,'[2]App C Exp'!$A$4:$I$917,5,FALSE)</f>
        <v>40583</v>
      </c>
      <c r="L813" s="2">
        <f>VLOOKUP($A813,'[2]App C Exp'!$A$4:$I$917,6,FALSE)</f>
        <v>38175</v>
      </c>
      <c r="M813" s="2">
        <f>VLOOKUP($A813,'[2]App C Exp'!$A$4:$I$917,7,FALSE)</f>
        <v>34216</v>
      </c>
      <c r="N813" s="2">
        <f>VLOOKUP($A813,'[2]App C Exp'!$A$4:$I$917,8,FALSE)</f>
        <v>13700</v>
      </c>
      <c r="O813" s="2">
        <f>VLOOKUP($A813,'[2]App C Exp'!$A$4:$I$917,9,FALSE)</f>
        <v>0</v>
      </c>
      <c r="P813" s="2"/>
      <c r="Q813" s="2">
        <f>VLOOKUP($A813,'[2]App C Inv'!$A$4:$I$917,5,FALSE)</f>
        <v>43084</v>
      </c>
      <c r="R813" s="2">
        <f>VLOOKUP($A813,'[2]App C Inv'!$A$4:$I$917,6,FALSE)</f>
        <v>-37060</v>
      </c>
      <c r="S813" s="2">
        <f>VLOOKUP($A813,'[2]App C Inv'!$A$4:$I$917,7,FALSE)</f>
        <v>5223</v>
      </c>
      <c r="T813" s="2">
        <f>VLOOKUP($A813,'[2]App C Inv'!$A$4:$I$917,8,FALSE)</f>
        <v>6798</v>
      </c>
      <c r="U813" s="2">
        <f>VLOOKUP($A813,'[2]App C Inv'!$A$4:$I$917,9,FALSE)</f>
        <v>0</v>
      </c>
      <c r="V813" s="2"/>
      <c r="W813" s="2">
        <f>VLOOKUP($A813,'[2]App C Assum'!$A$4:$I$917,5,FALSE)</f>
        <v>48535</v>
      </c>
      <c r="X813" s="2">
        <f>VLOOKUP($A813,'[2]App C Assum'!$A$4:$I$917,6,FALSE)</f>
        <v>39762</v>
      </c>
      <c r="Y813" s="2">
        <f>VLOOKUP($A813,'[2]App C Assum'!$A$4:$I$917,7,FALSE)</f>
        <v>32280</v>
      </c>
      <c r="Z813" s="2">
        <f>VLOOKUP($A813,'[2]App C Assum'!$A$4:$I$917,8,FALSE)</f>
        <v>0</v>
      </c>
      <c r="AA813" s="2">
        <f>VLOOKUP($A813,'[2]App C Assum'!$A$4:$I$917,9,FALSE)</f>
        <v>0</v>
      </c>
      <c r="AB813" s="2"/>
      <c r="AC813" s="2">
        <f>VLOOKUP($A813,'[2]App C Share Outflows'!$A$4:$I$917,5,FALSE)</f>
        <v>564</v>
      </c>
      <c r="AD813" s="2">
        <f>VLOOKUP($A813,'[2]App C Share Outflows'!$A$4:$I$917,6,FALSE)</f>
        <v>565</v>
      </c>
      <c r="AE813" s="2">
        <f>VLOOKUP($A813,'[2]App C Share Outflows'!$A$4:$I$917,7,FALSE)</f>
        <v>273</v>
      </c>
      <c r="AF813" s="2">
        <f>VLOOKUP($A813,'[2]App C Share Outflows'!$A$4:$I$917,8,FALSE)</f>
        <v>0</v>
      </c>
      <c r="AG813" s="2">
        <f>VLOOKUP($A813,'[2]App C Share Outflows'!$A$4:$I$917,9,FALSE)</f>
        <v>0</v>
      </c>
      <c r="AH813" s="2"/>
      <c r="AI813" s="2">
        <f>VLOOKUP($A813,'[2]App C Share Inflows'!$A$4:$I$917,5,FALSE)</f>
        <v>-4018</v>
      </c>
      <c r="AJ813" s="2">
        <f>VLOOKUP($A813,'[2]App C Share Inflows'!$A$4:$I$917,6,FALSE)</f>
        <v>-1660</v>
      </c>
      <c r="AK813" s="2">
        <f>VLOOKUP($A813,'[2]App C Share Inflows'!$A$4:$I$917,7,FALSE)</f>
        <v>-1660</v>
      </c>
      <c r="AL813" s="2">
        <f>VLOOKUP($A813,'[2]App C Share Inflows'!$A$4:$I$917,8,FALSE)</f>
        <v>-1658</v>
      </c>
      <c r="AM813" s="2">
        <f>VLOOKUP($A813,'[2]App C Share Inflows'!$A$4:$I$917,6,FALSE)</f>
        <v>-1660</v>
      </c>
    </row>
    <row r="814" spans="1:39">
      <c r="A814" s="351">
        <v>98701</v>
      </c>
      <c r="B814" s="344" t="s">
        <v>1513</v>
      </c>
      <c r="C814" s="235" t="e">
        <f>VLOOKUP(A814,#REF!,10,FALSE)</f>
        <v>#REF!</v>
      </c>
      <c r="E814" s="2">
        <f>VLOOKUP($A814,'[2]App C Total'!$A$4:$I$917,5,FALSE)</f>
        <v>440042</v>
      </c>
      <c r="F814" s="2">
        <f>VLOOKUP($A814,'[2]App C Total'!$A$4:$I$917,6,FALSE)</f>
        <v>109342</v>
      </c>
      <c r="G814" s="2">
        <f>VLOOKUP($A814,'[2]App C Total'!$A$4:$I$917,7,FALSE)</f>
        <v>229614</v>
      </c>
      <c r="H814" s="2">
        <f>VLOOKUP($A814,'[2]App C Total'!$A$4:$I$917,8,FALSE)</f>
        <v>54613</v>
      </c>
      <c r="I814" s="2">
        <f>VLOOKUP($A814,'[2]App C Total'!$A$4:$I$917,9,FALSE)</f>
        <v>0</v>
      </c>
      <c r="J814" s="2"/>
      <c r="K814" s="2">
        <f>VLOOKUP($A814,'[2]App C Exp'!$A$4:$I$917,5,FALSE)</f>
        <v>146496</v>
      </c>
      <c r="L814" s="2">
        <f>VLOOKUP($A814,'[2]App C Exp'!$A$4:$I$917,6,FALSE)</f>
        <v>137806</v>
      </c>
      <c r="M814" s="2">
        <f>VLOOKUP($A814,'[2]App C Exp'!$A$4:$I$917,7,FALSE)</f>
        <v>123514</v>
      </c>
      <c r="N814" s="2">
        <f>VLOOKUP($A814,'[2]App C Exp'!$A$4:$I$917,8,FALSE)</f>
        <v>49453</v>
      </c>
      <c r="O814" s="2">
        <f>VLOOKUP($A814,'[2]App C Exp'!$A$4:$I$917,9,FALSE)</f>
        <v>0</v>
      </c>
      <c r="P814" s="2"/>
      <c r="Q814" s="2">
        <f>VLOOKUP($A814,'[2]App C Inv'!$A$4:$I$917,5,FALSE)</f>
        <v>155526</v>
      </c>
      <c r="R814" s="2">
        <f>VLOOKUP($A814,'[2]App C Inv'!$A$4:$I$917,6,FALSE)</f>
        <v>-133782</v>
      </c>
      <c r="S814" s="2">
        <f>VLOOKUP($A814,'[2]App C Inv'!$A$4:$I$917,7,FALSE)</f>
        <v>18855</v>
      </c>
      <c r="T814" s="2">
        <f>VLOOKUP($A814,'[2]App C Inv'!$A$4:$I$917,8,FALSE)</f>
        <v>24539</v>
      </c>
      <c r="U814" s="2">
        <f>VLOOKUP($A814,'[2]App C Inv'!$A$4:$I$917,9,FALSE)</f>
        <v>0</v>
      </c>
      <c r="V814" s="2"/>
      <c r="W814" s="2">
        <f>VLOOKUP($A814,'[2]App C Assum'!$A$4:$I$917,5,FALSE)</f>
        <v>175203</v>
      </c>
      <c r="X814" s="2">
        <f>VLOOKUP($A814,'[2]App C Assum'!$A$4:$I$917,6,FALSE)</f>
        <v>143532</v>
      </c>
      <c r="Y814" s="2">
        <f>VLOOKUP($A814,'[2]App C Assum'!$A$4:$I$917,7,FALSE)</f>
        <v>116524</v>
      </c>
      <c r="Z814" s="2">
        <f>VLOOKUP($A814,'[2]App C Assum'!$A$4:$I$917,8,FALSE)</f>
        <v>0</v>
      </c>
      <c r="AA814" s="2">
        <f>VLOOKUP($A814,'[2]App C Assum'!$A$4:$I$917,9,FALSE)</f>
        <v>0</v>
      </c>
      <c r="AB814" s="2"/>
      <c r="AC814" s="2">
        <f>VLOOKUP($A814,'[2]App C Share Outflows'!$A$4:$I$917,5,FALSE)</f>
        <v>1031</v>
      </c>
      <c r="AD814" s="2">
        <f>VLOOKUP($A814,'[2]App C Share Outflows'!$A$4:$I$917,6,FALSE)</f>
        <v>0</v>
      </c>
      <c r="AE814" s="2">
        <f>VLOOKUP($A814,'[2]App C Share Outflows'!$A$4:$I$917,7,FALSE)</f>
        <v>0</v>
      </c>
      <c r="AF814" s="2">
        <f>VLOOKUP($A814,'[2]App C Share Outflows'!$A$4:$I$917,8,FALSE)</f>
        <v>0</v>
      </c>
      <c r="AG814" s="2">
        <f>VLOOKUP($A814,'[2]App C Share Outflows'!$A$4:$I$917,9,FALSE)</f>
        <v>0</v>
      </c>
      <c r="AH814" s="2"/>
      <c r="AI814" s="2">
        <f>VLOOKUP($A814,'[2]App C Share Inflows'!$A$4:$I$917,5,FALSE)</f>
        <v>-38214</v>
      </c>
      <c r="AJ814" s="2">
        <f>VLOOKUP($A814,'[2]App C Share Inflows'!$A$4:$I$917,6,FALSE)</f>
        <v>-38214</v>
      </c>
      <c r="AK814" s="2">
        <f>VLOOKUP($A814,'[2]App C Share Inflows'!$A$4:$I$917,7,FALSE)</f>
        <v>-29279</v>
      </c>
      <c r="AL814" s="2">
        <f>VLOOKUP($A814,'[2]App C Share Inflows'!$A$4:$I$917,8,FALSE)</f>
        <v>-19379</v>
      </c>
      <c r="AM814" s="2">
        <f>VLOOKUP($A814,'[2]App C Share Inflows'!$A$4:$I$917,6,FALSE)</f>
        <v>-38214</v>
      </c>
    </row>
    <row r="815" spans="1:39">
      <c r="A815" s="351">
        <v>98711</v>
      </c>
      <c r="B815" s="344" t="s">
        <v>1514</v>
      </c>
      <c r="C815" s="235" t="e">
        <f>VLOOKUP(A815,#REF!,10,FALSE)</f>
        <v>#REF!</v>
      </c>
      <c r="E815" s="2">
        <f>VLOOKUP($A815,'[2]App C Total'!$A$4:$I$917,5,FALSE)</f>
        <v>70574</v>
      </c>
      <c r="F815" s="2">
        <f>VLOOKUP($A815,'[2]App C Total'!$A$4:$I$917,6,FALSE)</f>
        <v>15751</v>
      </c>
      <c r="G815" s="2">
        <f>VLOOKUP($A815,'[2]App C Total'!$A$4:$I$917,7,FALSE)</f>
        <v>37022</v>
      </c>
      <c r="H815" s="2">
        <f>VLOOKUP($A815,'[2]App C Total'!$A$4:$I$917,8,FALSE)</f>
        <v>10456</v>
      </c>
      <c r="I815" s="2">
        <f>VLOOKUP($A815,'[2]App C Total'!$A$4:$I$917,9,FALSE)</f>
        <v>0</v>
      </c>
      <c r="J815" s="2"/>
      <c r="K815" s="2">
        <f>VLOOKUP($A815,'[2]App C Exp'!$A$4:$I$917,5,FALSE)</f>
        <v>25033</v>
      </c>
      <c r="L815" s="2">
        <f>VLOOKUP($A815,'[2]App C Exp'!$A$4:$I$917,6,FALSE)</f>
        <v>23548</v>
      </c>
      <c r="M815" s="2">
        <f>VLOOKUP($A815,'[2]App C Exp'!$A$4:$I$917,7,FALSE)</f>
        <v>21106</v>
      </c>
      <c r="N815" s="2">
        <f>VLOOKUP($A815,'[2]App C Exp'!$A$4:$I$917,8,FALSE)</f>
        <v>8450</v>
      </c>
      <c r="O815" s="2">
        <f>VLOOKUP($A815,'[2]App C Exp'!$A$4:$I$917,9,FALSE)</f>
        <v>0</v>
      </c>
      <c r="P815" s="2"/>
      <c r="Q815" s="2">
        <f>VLOOKUP($A815,'[2]App C Inv'!$A$4:$I$917,5,FALSE)</f>
        <v>26576</v>
      </c>
      <c r="R815" s="2">
        <f>VLOOKUP($A815,'[2]App C Inv'!$A$4:$I$917,6,FALSE)</f>
        <v>-22860</v>
      </c>
      <c r="S815" s="2">
        <f>VLOOKUP($A815,'[2]App C Inv'!$A$4:$I$917,7,FALSE)</f>
        <v>3222</v>
      </c>
      <c r="T815" s="2">
        <f>VLOOKUP($A815,'[2]App C Inv'!$A$4:$I$917,8,FALSE)</f>
        <v>4193</v>
      </c>
      <c r="U815" s="2">
        <f>VLOOKUP($A815,'[2]App C Inv'!$A$4:$I$917,9,FALSE)</f>
        <v>0</v>
      </c>
      <c r="V815" s="2"/>
      <c r="W815" s="2">
        <f>VLOOKUP($A815,'[2]App C Assum'!$A$4:$I$917,5,FALSE)</f>
        <v>29938</v>
      </c>
      <c r="X815" s="2">
        <f>VLOOKUP($A815,'[2]App C Assum'!$A$4:$I$917,6,FALSE)</f>
        <v>24526</v>
      </c>
      <c r="Y815" s="2">
        <f>VLOOKUP($A815,'[2]App C Assum'!$A$4:$I$917,7,FALSE)</f>
        <v>19911</v>
      </c>
      <c r="Z815" s="2">
        <f>VLOOKUP($A815,'[2]App C Assum'!$A$4:$I$917,8,FALSE)</f>
        <v>0</v>
      </c>
      <c r="AA815" s="2">
        <f>VLOOKUP($A815,'[2]App C Assum'!$A$4:$I$917,9,FALSE)</f>
        <v>0</v>
      </c>
      <c r="AB815" s="2"/>
      <c r="AC815" s="2">
        <f>VLOOKUP($A815,'[2]App C Share Outflows'!$A$4:$I$917,5,FALSE)</f>
        <v>0</v>
      </c>
      <c r="AD815" s="2">
        <f>VLOOKUP($A815,'[2]App C Share Outflows'!$A$4:$I$917,6,FALSE)</f>
        <v>0</v>
      </c>
      <c r="AE815" s="2">
        <f>VLOOKUP($A815,'[2]App C Share Outflows'!$A$4:$I$917,7,FALSE)</f>
        <v>0</v>
      </c>
      <c r="AF815" s="2">
        <f>VLOOKUP($A815,'[2]App C Share Outflows'!$A$4:$I$917,8,FALSE)</f>
        <v>0</v>
      </c>
      <c r="AG815" s="2">
        <f>VLOOKUP($A815,'[2]App C Share Outflows'!$A$4:$I$917,9,FALSE)</f>
        <v>0</v>
      </c>
      <c r="AH815" s="2"/>
      <c r="AI815" s="2">
        <f>VLOOKUP($A815,'[2]App C Share Inflows'!$A$4:$I$917,5,FALSE)</f>
        <v>-10973</v>
      </c>
      <c r="AJ815" s="2">
        <f>VLOOKUP($A815,'[2]App C Share Inflows'!$A$4:$I$917,6,FALSE)</f>
        <v>-9463</v>
      </c>
      <c r="AK815" s="2">
        <f>VLOOKUP($A815,'[2]App C Share Inflows'!$A$4:$I$917,7,FALSE)</f>
        <v>-7217</v>
      </c>
      <c r="AL815" s="2">
        <f>VLOOKUP($A815,'[2]App C Share Inflows'!$A$4:$I$917,8,FALSE)</f>
        <v>-2187</v>
      </c>
      <c r="AM815" s="2">
        <f>VLOOKUP($A815,'[2]App C Share Inflows'!$A$4:$I$917,6,FALSE)</f>
        <v>-9463</v>
      </c>
    </row>
    <row r="816" spans="1:39">
      <c r="A816" s="351">
        <v>98717</v>
      </c>
      <c r="B816" s="344" t="s">
        <v>1515</v>
      </c>
      <c r="C816" s="235" t="e">
        <f>VLOOKUP(A816,#REF!,10,FALSE)</f>
        <v>#REF!</v>
      </c>
      <c r="E816" s="2">
        <f>VLOOKUP($A816,'[2]App C Total'!$A$4:$I$917,5,FALSE)</f>
        <v>10978</v>
      </c>
      <c r="F816" s="2">
        <f>VLOOKUP($A816,'[2]App C Total'!$A$4:$I$917,6,FALSE)</f>
        <v>3555</v>
      </c>
      <c r="G816" s="2">
        <f>VLOOKUP($A816,'[2]App C Total'!$A$4:$I$917,7,FALSE)</f>
        <v>5868</v>
      </c>
      <c r="H816" s="2">
        <f>VLOOKUP($A816,'[2]App C Total'!$A$4:$I$917,8,FALSE)</f>
        <v>2067</v>
      </c>
      <c r="I816" s="2">
        <f>VLOOKUP($A816,'[2]App C Total'!$A$4:$I$917,9,FALSE)</f>
        <v>0</v>
      </c>
      <c r="J816" s="2"/>
      <c r="K816" s="2">
        <f>VLOOKUP($A816,'[2]App C Exp'!$A$4:$I$917,5,FALSE)</f>
        <v>3356</v>
      </c>
      <c r="L816" s="2">
        <f>VLOOKUP($A816,'[2]App C Exp'!$A$4:$I$917,6,FALSE)</f>
        <v>3157</v>
      </c>
      <c r="M816" s="2">
        <f>VLOOKUP($A816,'[2]App C Exp'!$A$4:$I$917,7,FALSE)</f>
        <v>2829</v>
      </c>
      <c r="N816" s="2">
        <f>VLOOKUP($A816,'[2]App C Exp'!$A$4:$I$917,8,FALSE)</f>
        <v>1133</v>
      </c>
      <c r="O816" s="2">
        <f>VLOOKUP($A816,'[2]App C Exp'!$A$4:$I$917,9,FALSE)</f>
        <v>0</v>
      </c>
      <c r="P816" s="2"/>
      <c r="Q816" s="2">
        <f>VLOOKUP($A816,'[2]App C Inv'!$A$4:$I$917,5,FALSE)</f>
        <v>3563</v>
      </c>
      <c r="R816" s="2">
        <f>VLOOKUP($A816,'[2]App C Inv'!$A$4:$I$917,6,FALSE)</f>
        <v>-3064</v>
      </c>
      <c r="S816" s="2">
        <f>VLOOKUP($A816,'[2]App C Inv'!$A$4:$I$917,7,FALSE)</f>
        <v>432</v>
      </c>
      <c r="T816" s="2">
        <f>VLOOKUP($A816,'[2]App C Inv'!$A$4:$I$917,8,FALSE)</f>
        <v>562</v>
      </c>
      <c r="U816" s="2">
        <f>VLOOKUP($A816,'[2]App C Inv'!$A$4:$I$917,9,FALSE)</f>
        <v>0</v>
      </c>
      <c r="V816" s="2"/>
      <c r="W816" s="2">
        <f>VLOOKUP($A816,'[2]App C Assum'!$A$4:$I$917,5,FALSE)</f>
        <v>4013</v>
      </c>
      <c r="X816" s="2">
        <f>VLOOKUP($A816,'[2]App C Assum'!$A$4:$I$917,6,FALSE)</f>
        <v>3288</v>
      </c>
      <c r="Y816" s="2">
        <f>VLOOKUP($A816,'[2]App C Assum'!$A$4:$I$917,7,FALSE)</f>
        <v>2669</v>
      </c>
      <c r="Z816" s="2">
        <f>VLOOKUP($A816,'[2]App C Assum'!$A$4:$I$917,8,FALSE)</f>
        <v>0</v>
      </c>
      <c r="AA816" s="2">
        <f>VLOOKUP($A816,'[2]App C Assum'!$A$4:$I$917,9,FALSE)</f>
        <v>0</v>
      </c>
      <c r="AB816" s="2"/>
      <c r="AC816" s="2">
        <f>VLOOKUP($A816,'[2]App C Share Outflows'!$A$4:$I$917,5,FALSE)</f>
        <v>604</v>
      </c>
      <c r="AD816" s="2">
        <f>VLOOKUP($A816,'[2]App C Share Outflows'!$A$4:$I$917,6,FALSE)</f>
        <v>606</v>
      </c>
      <c r="AE816" s="2">
        <f>VLOOKUP($A816,'[2]App C Share Outflows'!$A$4:$I$917,7,FALSE)</f>
        <v>371</v>
      </c>
      <c r="AF816" s="2">
        <f>VLOOKUP($A816,'[2]App C Share Outflows'!$A$4:$I$917,8,FALSE)</f>
        <v>372</v>
      </c>
      <c r="AG816" s="2">
        <f>VLOOKUP($A816,'[2]App C Share Outflows'!$A$4:$I$917,9,FALSE)</f>
        <v>0</v>
      </c>
      <c r="AH816" s="2"/>
      <c r="AI816" s="2">
        <f>VLOOKUP($A816,'[2]App C Share Inflows'!$A$4:$I$917,5,FALSE)</f>
        <v>-558</v>
      </c>
      <c r="AJ816" s="2">
        <f>VLOOKUP($A816,'[2]App C Share Inflows'!$A$4:$I$917,6,FALSE)</f>
        <v>-432</v>
      </c>
      <c r="AK816" s="2">
        <f>VLOOKUP($A816,'[2]App C Share Inflows'!$A$4:$I$917,7,FALSE)</f>
        <v>-433</v>
      </c>
      <c r="AL816" s="2">
        <f>VLOOKUP($A816,'[2]App C Share Inflows'!$A$4:$I$917,8,FALSE)</f>
        <v>0</v>
      </c>
      <c r="AM816" s="2">
        <f>VLOOKUP($A816,'[2]App C Share Inflows'!$A$4:$I$917,6,FALSE)</f>
        <v>-432</v>
      </c>
    </row>
    <row r="817" spans="1:39">
      <c r="A817" s="351">
        <v>98801</v>
      </c>
      <c r="B817" s="344" t="s">
        <v>1516</v>
      </c>
      <c r="C817" s="235" t="e">
        <f>VLOOKUP(A817,#REF!,10,FALSE)</f>
        <v>#REF!</v>
      </c>
      <c r="E817" s="2">
        <f>VLOOKUP($A817,'[2]App C Total'!$A$4:$I$917,5,FALSE)</f>
        <v>1076485</v>
      </c>
      <c r="F817" s="2">
        <f>VLOOKUP($A817,'[2]App C Total'!$A$4:$I$917,6,FALSE)</f>
        <v>342419</v>
      </c>
      <c r="G817" s="2">
        <f>VLOOKUP($A817,'[2]App C Total'!$A$4:$I$917,7,FALSE)</f>
        <v>566967</v>
      </c>
      <c r="H817" s="2">
        <f>VLOOKUP($A817,'[2]App C Total'!$A$4:$I$917,8,FALSE)</f>
        <v>176956</v>
      </c>
      <c r="I817" s="2">
        <f>VLOOKUP($A817,'[2]App C Total'!$A$4:$I$917,9,FALSE)</f>
        <v>0</v>
      </c>
      <c r="J817" s="2"/>
      <c r="K817" s="2">
        <f>VLOOKUP($A817,'[2]App C Exp'!$A$4:$I$917,5,FALSE)</f>
        <v>324077</v>
      </c>
      <c r="L817" s="2">
        <f>VLOOKUP($A817,'[2]App C Exp'!$A$4:$I$917,6,FALSE)</f>
        <v>304852</v>
      </c>
      <c r="M817" s="2">
        <f>VLOOKUP($A817,'[2]App C Exp'!$A$4:$I$917,7,FALSE)</f>
        <v>273236</v>
      </c>
      <c r="N817" s="2">
        <f>VLOOKUP($A817,'[2]App C Exp'!$A$4:$I$917,8,FALSE)</f>
        <v>109400</v>
      </c>
      <c r="O817" s="2">
        <f>VLOOKUP($A817,'[2]App C Exp'!$A$4:$I$917,9,FALSE)</f>
        <v>0</v>
      </c>
      <c r="P817" s="2"/>
      <c r="Q817" s="2">
        <f>VLOOKUP($A817,'[2]App C Inv'!$A$4:$I$917,5,FALSE)</f>
        <v>344053</v>
      </c>
      <c r="R817" s="2">
        <f>VLOOKUP($A817,'[2]App C Inv'!$A$4:$I$917,6,FALSE)</f>
        <v>-295950</v>
      </c>
      <c r="S817" s="2">
        <f>VLOOKUP($A817,'[2]App C Inv'!$A$4:$I$917,7,FALSE)</f>
        <v>41711</v>
      </c>
      <c r="T817" s="2">
        <f>VLOOKUP($A817,'[2]App C Inv'!$A$4:$I$917,8,FALSE)</f>
        <v>54286</v>
      </c>
      <c r="U817" s="2">
        <f>VLOOKUP($A817,'[2]App C Inv'!$A$4:$I$917,9,FALSE)</f>
        <v>0</v>
      </c>
      <c r="V817" s="2"/>
      <c r="W817" s="2">
        <f>VLOOKUP($A817,'[2]App C Assum'!$A$4:$I$917,5,FALSE)</f>
        <v>387581</v>
      </c>
      <c r="X817" s="2">
        <f>VLOOKUP($A817,'[2]App C Assum'!$A$4:$I$917,6,FALSE)</f>
        <v>317521</v>
      </c>
      <c r="Y817" s="2">
        <f>VLOOKUP($A817,'[2]App C Assum'!$A$4:$I$917,7,FALSE)</f>
        <v>257772</v>
      </c>
      <c r="Z817" s="2">
        <f>VLOOKUP($A817,'[2]App C Assum'!$A$4:$I$917,8,FALSE)</f>
        <v>0</v>
      </c>
      <c r="AA817" s="2">
        <f>VLOOKUP($A817,'[2]App C Assum'!$A$4:$I$917,9,FALSE)</f>
        <v>0</v>
      </c>
      <c r="AB817" s="2"/>
      <c r="AC817" s="2">
        <f>VLOOKUP($A817,'[2]App C Share Outflows'!$A$4:$I$917,5,FALSE)</f>
        <v>39795</v>
      </c>
      <c r="AD817" s="2">
        <f>VLOOKUP($A817,'[2]App C Share Outflows'!$A$4:$I$917,6,FALSE)</f>
        <v>35017</v>
      </c>
      <c r="AE817" s="2">
        <f>VLOOKUP($A817,'[2]App C Share Outflows'!$A$4:$I$917,7,FALSE)</f>
        <v>13269</v>
      </c>
      <c r="AF817" s="2">
        <f>VLOOKUP($A817,'[2]App C Share Outflows'!$A$4:$I$917,8,FALSE)</f>
        <v>13270</v>
      </c>
      <c r="AG817" s="2">
        <f>VLOOKUP($A817,'[2]App C Share Outflows'!$A$4:$I$917,9,FALSE)</f>
        <v>0</v>
      </c>
      <c r="AH817" s="2"/>
      <c r="AI817" s="2">
        <f>VLOOKUP($A817,'[2]App C Share Inflows'!$A$4:$I$917,5,FALSE)</f>
        <v>-19021</v>
      </c>
      <c r="AJ817" s="2">
        <f>VLOOKUP($A817,'[2]App C Share Inflows'!$A$4:$I$917,6,FALSE)</f>
        <v>-19021</v>
      </c>
      <c r="AK817" s="2">
        <f>VLOOKUP($A817,'[2]App C Share Inflows'!$A$4:$I$917,7,FALSE)</f>
        <v>-19021</v>
      </c>
      <c r="AL817" s="2">
        <f>VLOOKUP($A817,'[2]App C Share Inflows'!$A$4:$I$917,8,FALSE)</f>
        <v>0</v>
      </c>
      <c r="AM817" s="2">
        <f>VLOOKUP($A817,'[2]App C Share Inflows'!$A$4:$I$917,6,FALSE)</f>
        <v>-19021</v>
      </c>
    </row>
    <row r="818" spans="1:39">
      <c r="A818" s="351">
        <v>98811</v>
      </c>
      <c r="B818" s="344" t="s">
        <v>1517</v>
      </c>
      <c r="C818" s="235" t="e">
        <f>VLOOKUP(A818,#REF!,10,FALSE)</f>
        <v>#REF!</v>
      </c>
      <c r="E818" s="2">
        <f>VLOOKUP($A818,'[2]App C Total'!$A$4:$I$917,5,FALSE)</f>
        <v>337092</v>
      </c>
      <c r="F818" s="2">
        <f>VLOOKUP($A818,'[2]App C Total'!$A$4:$I$917,6,FALSE)</f>
        <v>113681</v>
      </c>
      <c r="G818" s="2">
        <f>VLOOKUP($A818,'[2]App C Total'!$A$4:$I$917,7,FALSE)</f>
        <v>196963</v>
      </c>
      <c r="H818" s="2">
        <f>VLOOKUP($A818,'[2]App C Total'!$A$4:$I$917,8,FALSE)</f>
        <v>65401</v>
      </c>
      <c r="I818" s="2">
        <f>VLOOKUP($A818,'[2]App C Total'!$A$4:$I$917,9,FALSE)</f>
        <v>0</v>
      </c>
      <c r="J818" s="2"/>
      <c r="K818" s="2">
        <f>VLOOKUP($A818,'[2]App C Exp'!$A$4:$I$917,5,FALSE)</f>
        <v>102783</v>
      </c>
      <c r="L818" s="2">
        <f>VLOOKUP($A818,'[2]App C Exp'!$A$4:$I$917,6,FALSE)</f>
        <v>96685</v>
      </c>
      <c r="M818" s="2">
        <f>VLOOKUP($A818,'[2]App C Exp'!$A$4:$I$917,7,FALSE)</f>
        <v>86658</v>
      </c>
      <c r="N818" s="2">
        <f>VLOOKUP($A818,'[2]App C Exp'!$A$4:$I$917,8,FALSE)</f>
        <v>34697</v>
      </c>
      <c r="O818" s="2">
        <f>VLOOKUP($A818,'[2]App C Exp'!$A$4:$I$917,9,FALSE)</f>
        <v>0</v>
      </c>
      <c r="P818" s="2"/>
      <c r="Q818" s="2">
        <f>VLOOKUP($A818,'[2]App C Inv'!$A$4:$I$917,5,FALSE)</f>
        <v>109118</v>
      </c>
      <c r="R818" s="2">
        <f>VLOOKUP($A818,'[2]App C Inv'!$A$4:$I$917,6,FALSE)</f>
        <v>-93862</v>
      </c>
      <c r="S818" s="2">
        <f>VLOOKUP($A818,'[2]App C Inv'!$A$4:$I$917,7,FALSE)</f>
        <v>13229</v>
      </c>
      <c r="T818" s="2">
        <f>VLOOKUP($A818,'[2]App C Inv'!$A$4:$I$917,8,FALSE)</f>
        <v>17217</v>
      </c>
      <c r="U818" s="2">
        <f>VLOOKUP($A818,'[2]App C Inv'!$A$4:$I$917,9,FALSE)</f>
        <v>0</v>
      </c>
      <c r="V818" s="2"/>
      <c r="W818" s="2">
        <f>VLOOKUP($A818,'[2]App C Assum'!$A$4:$I$917,5,FALSE)</f>
        <v>122923</v>
      </c>
      <c r="X818" s="2">
        <f>VLOOKUP($A818,'[2]App C Assum'!$A$4:$I$917,6,FALSE)</f>
        <v>100703</v>
      </c>
      <c r="Y818" s="2">
        <f>VLOOKUP($A818,'[2]App C Assum'!$A$4:$I$917,7,FALSE)</f>
        <v>81754</v>
      </c>
      <c r="Z818" s="2">
        <f>VLOOKUP($A818,'[2]App C Assum'!$A$4:$I$917,8,FALSE)</f>
        <v>0</v>
      </c>
      <c r="AA818" s="2">
        <f>VLOOKUP($A818,'[2]App C Assum'!$A$4:$I$917,9,FALSE)</f>
        <v>0</v>
      </c>
      <c r="AB818" s="2"/>
      <c r="AC818" s="2">
        <f>VLOOKUP($A818,'[2]App C Share Outflows'!$A$4:$I$917,5,FALSE)</f>
        <v>15322</v>
      </c>
      <c r="AD818" s="2">
        <f>VLOOKUP($A818,'[2]App C Share Outflows'!$A$4:$I$917,6,FALSE)</f>
        <v>15322</v>
      </c>
      <c r="AE818" s="2">
        <f>VLOOKUP($A818,'[2]App C Share Outflows'!$A$4:$I$917,7,FALSE)</f>
        <v>15322</v>
      </c>
      <c r="AF818" s="2">
        <f>VLOOKUP($A818,'[2]App C Share Outflows'!$A$4:$I$917,8,FALSE)</f>
        <v>13487</v>
      </c>
      <c r="AG818" s="2">
        <f>VLOOKUP($A818,'[2]App C Share Outflows'!$A$4:$I$917,9,FALSE)</f>
        <v>0</v>
      </c>
      <c r="AH818" s="2"/>
      <c r="AI818" s="2">
        <f>VLOOKUP($A818,'[2]App C Share Inflows'!$A$4:$I$917,5,FALSE)</f>
        <v>-13054</v>
      </c>
      <c r="AJ818" s="2">
        <f>VLOOKUP($A818,'[2]App C Share Inflows'!$A$4:$I$917,6,FALSE)</f>
        <v>-5167</v>
      </c>
      <c r="AK818" s="2">
        <f>VLOOKUP($A818,'[2]App C Share Inflows'!$A$4:$I$917,7,FALSE)</f>
        <v>0</v>
      </c>
      <c r="AL818" s="2">
        <f>VLOOKUP($A818,'[2]App C Share Inflows'!$A$4:$I$917,8,FALSE)</f>
        <v>0</v>
      </c>
      <c r="AM818" s="2">
        <f>VLOOKUP($A818,'[2]App C Share Inflows'!$A$4:$I$917,6,FALSE)</f>
        <v>-5167</v>
      </c>
    </row>
    <row r="819" spans="1:39">
      <c r="A819" s="351">
        <v>98817</v>
      </c>
      <c r="B819" s="344" t="s">
        <v>1518</v>
      </c>
      <c r="C819" s="235" t="e">
        <f>VLOOKUP(A819,#REF!,10,FALSE)</f>
        <v>#REF!</v>
      </c>
      <c r="E819" s="2">
        <f>VLOOKUP($A819,'[2]App C Total'!$A$4:$I$917,5,FALSE)</f>
        <v>8551</v>
      </c>
      <c r="F819" s="2">
        <f>VLOOKUP($A819,'[2]App C Total'!$A$4:$I$917,6,FALSE)</f>
        <v>2767</v>
      </c>
      <c r="G819" s="2">
        <f>VLOOKUP($A819,'[2]App C Total'!$A$4:$I$917,7,FALSE)</f>
        <v>3786</v>
      </c>
      <c r="H819" s="2">
        <f>VLOOKUP($A819,'[2]App C Total'!$A$4:$I$917,8,FALSE)</f>
        <v>334</v>
      </c>
      <c r="I819" s="2">
        <f>VLOOKUP($A819,'[2]App C Total'!$A$4:$I$917,9,FALSE)</f>
        <v>0</v>
      </c>
      <c r="J819" s="2"/>
      <c r="K819" s="2">
        <f>VLOOKUP($A819,'[2]App C Exp'!$A$4:$I$917,5,FALSE)</f>
        <v>2547</v>
      </c>
      <c r="L819" s="2">
        <f>VLOOKUP($A819,'[2]App C Exp'!$A$4:$I$917,6,FALSE)</f>
        <v>2396</v>
      </c>
      <c r="M819" s="2">
        <f>VLOOKUP($A819,'[2]App C Exp'!$A$4:$I$917,7,FALSE)</f>
        <v>2147</v>
      </c>
      <c r="N819" s="2">
        <f>VLOOKUP($A819,'[2]App C Exp'!$A$4:$I$917,8,FALSE)</f>
        <v>860</v>
      </c>
      <c r="O819" s="2">
        <f>VLOOKUP($A819,'[2]App C Exp'!$A$4:$I$917,9,FALSE)</f>
        <v>0</v>
      </c>
      <c r="P819" s="2"/>
      <c r="Q819" s="2">
        <f>VLOOKUP($A819,'[2]App C Inv'!$A$4:$I$917,5,FALSE)</f>
        <v>2704</v>
      </c>
      <c r="R819" s="2">
        <f>VLOOKUP($A819,'[2]App C Inv'!$A$4:$I$917,6,FALSE)</f>
        <v>-2326</v>
      </c>
      <c r="S819" s="2">
        <f>VLOOKUP($A819,'[2]App C Inv'!$A$4:$I$917,7,FALSE)</f>
        <v>328</v>
      </c>
      <c r="T819" s="2">
        <f>VLOOKUP($A819,'[2]App C Inv'!$A$4:$I$917,8,FALSE)</f>
        <v>427</v>
      </c>
      <c r="U819" s="2">
        <f>VLOOKUP($A819,'[2]App C Inv'!$A$4:$I$917,9,FALSE)</f>
        <v>0</v>
      </c>
      <c r="V819" s="2"/>
      <c r="W819" s="2">
        <f>VLOOKUP($A819,'[2]App C Assum'!$A$4:$I$917,5,FALSE)</f>
        <v>3046</v>
      </c>
      <c r="X819" s="2">
        <f>VLOOKUP($A819,'[2]App C Assum'!$A$4:$I$917,6,FALSE)</f>
        <v>2495</v>
      </c>
      <c r="Y819" s="2">
        <f>VLOOKUP($A819,'[2]App C Assum'!$A$4:$I$917,7,FALSE)</f>
        <v>2026</v>
      </c>
      <c r="Z819" s="2">
        <f>VLOOKUP($A819,'[2]App C Assum'!$A$4:$I$917,8,FALSE)</f>
        <v>0</v>
      </c>
      <c r="AA819" s="2">
        <f>VLOOKUP($A819,'[2]App C Assum'!$A$4:$I$917,9,FALSE)</f>
        <v>0</v>
      </c>
      <c r="AB819" s="2"/>
      <c r="AC819" s="2">
        <f>VLOOKUP($A819,'[2]App C Share Outflows'!$A$4:$I$917,5,FALSE)</f>
        <v>1209</v>
      </c>
      <c r="AD819" s="2">
        <f>VLOOKUP($A819,'[2]App C Share Outflows'!$A$4:$I$917,6,FALSE)</f>
        <v>1157</v>
      </c>
      <c r="AE819" s="2">
        <f>VLOOKUP($A819,'[2]App C Share Outflows'!$A$4:$I$917,7,FALSE)</f>
        <v>240</v>
      </c>
      <c r="AF819" s="2">
        <f>VLOOKUP($A819,'[2]App C Share Outflows'!$A$4:$I$917,8,FALSE)</f>
        <v>0</v>
      </c>
      <c r="AG819" s="2">
        <f>VLOOKUP($A819,'[2]App C Share Outflows'!$A$4:$I$917,9,FALSE)</f>
        <v>0</v>
      </c>
      <c r="AH819" s="2"/>
      <c r="AI819" s="2">
        <f>VLOOKUP($A819,'[2]App C Share Inflows'!$A$4:$I$917,5,FALSE)</f>
        <v>-955</v>
      </c>
      <c r="AJ819" s="2">
        <f>VLOOKUP($A819,'[2]App C Share Inflows'!$A$4:$I$917,6,FALSE)</f>
        <v>-955</v>
      </c>
      <c r="AK819" s="2">
        <f>VLOOKUP($A819,'[2]App C Share Inflows'!$A$4:$I$917,7,FALSE)</f>
        <v>-955</v>
      </c>
      <c r="AL819" s="2">
        <f>VLOOKUP($A819,'[2]App C Share Inflows'!$A$4:$I$917,8,FALSE)</f>
        <v>-953</v>
      </c>
      <c r="AM819" s="2">
        <f>VLOOKUP($A819,'[2]App C Share Inflows'!$A$4:$I$917,6,FALSE)</f>
        <v>-955</v>
      </c>
    </row>
    <row r="820" spans="1:39">
      <c r="A820" s="351">
        <v>98901</v>
      </c>
      <c r="B820" s="344" t="s">
        <v>1519</v>
      </c>
      <c r="C820" s="235" t="e">
        <f>VLOOKUP(A820,#REF!,10,FALSE)</f>
        <v>#REF!</v>
      </c>
      <c r="E820" s="2">
        <f>VLOOKUP($A820,'[2]App C Total'!$A$4:$I$917,5,FALSE)</f>
        <v>134570</v>
      </c>
      <c r="F820" s="2">
        <f>VLOOKUP($A820,'[2]App C Total'!$A$4:$I$917,6,FALSE)</f>
        <v>39434</v>
      </c>
      <c r="G820" s="2">
        <f>VLOOKUP($A820,'[2]App C Total'!$A$4:$I$917,7,FALSE)</f>
        <v>70216</v>
      </c>
      <c r="H820" s="2">
        <f>VLOOKUP($A820,'[2]App C Total'!$A$4:$I$917,8,FALSE)</f>
        <v>22048</v>
      </c>
      <c r="I820" s="2">
        <f>VLOOKUP($A820,'[2]App C Total'!$A$4:$I$917,9,FALSE)</f>
        <v>0</v>
      </c>
      <c r="J820" s="2"/>
      <c r="K820" s="2">
        <f>VLOOKUP($A820,'[2]App C Exp'!$A$4:$I$917,5,FALSE)</f>
        <v>42530</v>
      </c>
      <c r="L820" s="2">
        <f>VLOOKUP($A820,'[2]App C Exp'!$A$4:$I$917,6,FALSE)</f>
        <v>40007</v>
      </c>
      <c r="M820" s="2">
        <f>VLOOKUP($A820,'[2]App C Exp'!$A$4:$I$917,7,FALSE)</f>
        <v>35858</v>
      </c>
      <c r="N820" s="2">
        <f>VLOOKUP($A820,'[2]App C Exp'!$A$4:$I$917,8,FALSE)</f>
        <v>14357</v>
      </c>
      <c r="O820" s="2">
        <f>VLOOKUP($A820,'[2]App C Exp'!$A$4:$I$917,9,FALSE)</f>
        <v>0</v>
      </c>
      <c r="P820" s="2"/>
      <c r="Q820" s="2">
        <f>VLOOKUP($A820,'[2]App C Inv'!$A$4:$I$917,5,FALSE)</f>
        <v>45152</v>
      </c>
      <c r="R820" s="2">
        <f>VLOOKUP($A820,'[2]App C Inv'!$A$4:$I$917,6,FALSE)</f>
        <v>-38839</v>
      </c>
      <c r="S820" s="2">
        <f>VLOOKUP($A820,'[2]App C Inv'!$A$4:$I$917,7,FALSE)</f>
        <v>5474</v>
      </c>
      <c r="T820" s="2">
        <f>VLOOKUP($A820,'[2]App C Inv'!$A$4:$I$917,8,FALSE)</f>
        <v>7124</v>
      </c>
      <c r="U820" s="2">
        <f>VLOOKUP($A820,'[2]App C Inv'!$A$4:$I$917,9,FALSE)</f>
        <v>0</v>
      </c>
      <c r="V820" s="2"/>
      <c r="W820" s="2">
        <f>VLOOKUP($A820,'[2]App C Assum'!$A$4:$I$917,5,FALSE)</f>
        <v>50864</v>
      </c>
      <c r="X820" s="2">
        <f>VLOOKUP($A820,'[2]App C Assum'!$A$4:$I$917,6,FALSE)</f>
        <v>41670</v>
      </c>
      <c r="Y820" s="2">
        <f>VLOOKUP($A820,'[2]App C Assum'!$A$4:$I$917,7,FALSE)</f>
        <v>33829</v>
      </c>
      <c r="Z820" s="2">
        <f>VLOOKUP($A820,'[2]App C Assum'!$A$4:$I$917,8,FALSE)</f>
        <v>0</v>
      </c>
      <c r="AA820" s="2">
        <f>VLOOKUP($A820,'[2]App C Assum'!$A$4:$I$917,9,FALSE)</f>
        <v>0</v>
      </c>
      <c r="AB820" s="2"/>
      <c r="AC820" s="2">
        <f>VLOOKUP($A820,'[2]App C Share Outflows'!$A$4:$I$917,5,FALSE)</f>
        <v>2106</v>
      </c>
      <c r="AD820" s="2">
        <f>VLOOKUP($A820,'[2]App C Share Outflows'!$A$4:$I$917,6,FALSE)</f>
        <v>2108</v>
      </c>
      <c r="AE820" s="2">
        <f>VLOOKUP($A820,'[2]App C Share Outflows'!$A$4:$I$917,7,FALSE)</f>
        <v>569</v>
      </c>
      <c r="AF820" s="2">
        <f>VLOOKUP($A820,'[2]App C Share Outflows'!$A$4:$I$917,8,FALSE)</f>
        <v>567</v>
      </c>
      <c r="AG820" s="2">
        <f>VLOOKUP($A820,'[2]App C Share Outflows'!$A$4:$I$917,9,FALSE)</f>
        <v>0</v>
      </c>
      <c r="AH820" s="2"/>
      <c r="AI820" s="2">
        <f>VLOOKUP($A820,'[2]App C Share Inflows'!$A$4:$I$917,5,FALSE)</f>
        <v>-6082</v>
      </c>
      <c r="AJ820" s="2">
        <f>VLOOKUP($A820,'[2]App C Share Inflows'!$A$4:$I$917,6,FALSE)</f>
        <v>-5512</v>
      </c>
      <c r="AK820" s="2">
        <f>VLOOKUP($A820,'[2]App C Share Inflows'!$A$4:$I$917,7,FALSE)</f>
        <v>-5514</v>
      </c>
      <c r="AL820" s="2">
        <f>VLOOKUP($A820,'[2]App C Share Inflows'!$A$4:$I$917,8,FALSE)</f>
        <v>0</v>
      </c>
      <c r="AM820" s="2">
        <f>VLOOKUP($A820,'[2]App C Share Inflows'!$A$4:$I$917,6,FALSE)</f>
        <v>-5512</v>
      </c>
    </row>
    <row r="821" spans="1:39">
      <c r="A821" s="351">
        <v>98904</v>
      </c>
      <c r="B821" s="344" t="s">
        <v>2789</v>
      </c>
      <c r="C821" s="235" t="e">
        <f>VLOOKUP(A821,#REF!,10,FALSE)</f>
        <v>#REF!</v>
      </c>
      <c r="E821" s="2">
        <f>VLOOKUP($A821,'[2]App C Total'!$A$4:$I$917,5,FALSE)</f>
        <v>1543</v>
      </c>
      <c r="F821" s="2">
        <f>VLOOKUP($A821,'[2]App C Total'!$A$4:$I$917,6,FALSE)</f>
        <v>359</v>
      </c>
      <c r="G821" s="2">
        <f>VLOOKUP($A821,'[2]App C Total'!$A$4:$I$917,7,FALSE)</f>
        <v>1149</v>
      </c>
      <c r="H821" s="2">
        <f>VLOOKUP($A821,'[2]App C Total'!$A$4:$I$917,8,FALSE)</f>
        <v>242</v>
      </c>
      <c r="I821" s="2">
        <f>VLOOKUP($A821,'[2]App C Total'!$A$4:$I$917,9,FALSE)</f>
        <v>0</v>
      </c>
      <c r="J821" s="2"/>
      <c r="K821" s="2">
        <f>VLOOKUP($A821,'[2]App C Exp'!$A$4:$I$917,5,FALSE)</f>
        <v>599</v>
      </c>
      <c r="L821" s="2">
        <f>VLOOKUP($A821,'[2]App C Exp'!$A$4:$I$917,6,FALSE)</f>
        <v>564</v>
      </c>
      <c r="M821" s="2">
        <f>VLOOKUP($A821,'[2]App C Exp'!$A$4:$I$917,7,FALSE)</f>
        <v>505</v>
      </c>
      <c r="N821" s="2">
        <f>VLOOKUP($A821,'[2]App C Exp'!$A$4:$I$917,8,FALSE)</f>
        <v>202</v>
      </c>
      <c r="O821" s="2">
        <f>VLOOKUP($A821,'[2]App C Exp'!$A$4:$I$917,9,FALSE)</f>
        <v>0</v>
      </c>
      <c r="P821" s="2"/>
      <c r="Q821" s="2">
        <f>VLOOKUP($A821,'[2]App C Inv'!$A$4:$I$917,5,FALSE)</f>
        <v>636</v>
      </c>
      <c r="R821" s="2">
        <f>VLOOKUP($A821,'[2]App C Inv'!$A$4:$I$917,6,FALSE)</f>
        <v>-547</v>
      </c>
      <c r="S821" s="2">
        <f>VLOOKUP($A821,'[2]App C Inv'!$A$4:$I$917,7,FALSE)</f>
        <v>77</v>
      </c>
      <c r="T821" s="2">
        <f>VLOOKUP($A821,'[2]App C Inv'!$A$4:$I$917,8,FALSE)</f>
        <v>100</v>
      </c>
      <c r="U821" s="2">
        <f>VLOOKUP($A821,'[2]App C Inv'!$A$4:$I$917,9,FALSE)</f>
        <v>0</v>
      </c>
      <c r="V821" s="2"/>
      <c r="W821" s="2">
        <f>VLOOKUP($A821,'[2]App C Assum'!$A$4:$I$917,5,FALSE)</f>
        <v>717</v>
      </c>
      <c r="X821" s="2">
        <f>VLOOKUP($A821,'[2]App C Assum'!$A$4:$I$917,6,FALSE)</f>
        <v>587</v>
      </c>
      <c r="Y821" s="2">
        <f>VLOOKUP($A821,'[2]App C Assum'!$A$4:$I$917,7,FALSE)</f>
        <v>477</v>
      </c>
      <c r="Z821" s="2">
        <f>VLOOKUP($A821,'[2]App C Assum'!$A$4:$I$917,8,FALSE)</f>
        <v>0</v>
      </c>
      <c r="AA821" s="2">
        <f>VLOOKUP($A821,'[2]App C Assum'!$A$4:$I$917,9,FALSE)</f>
        <v>0</v>
      </c>
      <c r="AB821" s="2"/>
      <c r="AC821" s="2">
        <f>VLOOKUP($A821,'[2]App C Share Outflows'!$A$4:$I$917,5,FALSE)</f>
        <v>152</v>
      </c>
      <c r="AD821" s="2">
        <f>VLOOKUP($A821,'[2]App C Share Outflows'!$A$4:$I$917,6,FALSE)</f>
        <v>152</v>
      </c>
      <c r="AE821" s="2">
        <f>VLOOKUP($A821,'[2]App C Share Outflows'!$A$4:$I$917,7,FALSE)</f>
        <v>151</v>
      </c>
      <c r="AF821" s="2">
        <f>VLOOKUP($A821,'[2]App C Share Outflows'!$A$4:$I$917,8,FALSE)</f>
        <v>0</v>
      </c>
      <c r="AG821" s="2">
        <f>VLOOKUP($A821,'[2]App C Share Outflows'!$A$4:$I$917,9,FALSE)</f>
        <v>0</v>
      </c>
      <c r="AH821" s="2"/>
      <c r="AI821" s="2">
        <f>VLOOKUP($A821,'[2]App C Share Inflows'!$A$4:$I$917,5,FALSE)</f>
        <v>-561</v>
      </c>
      <c r="AJ821" s="2">
        <f>VLOOKUP($A821,'[2]App C Share Inflows'!$A$4:$I$917,6,FALSE)</f>
        <v>-397</v>
      </c>
      <c r="AK821" s="2">
        <f>VLOOKUP($A821,'[2]App C Share Inflows'!$A$4:$I$917,7,FALSE)</f>
        <v>-61</v>
      </c>
      <c r="AL821" s="2">
        <f>VLOOKUP($A821,'[2]App C Share Inflows'!$A$4:$I$917,8,FALSE)</f>
        <v>-60</v>
      </c>
      <c r="AM821" s="2">
        <f>VLOOKUP($A821,'[2]App C Share Inflows'!$A$4:$I$917,6,FALSE)</f>
        <v>-397</v>
      </c>
    </row>
    <row r="822" spans="1:39">
      <c r="A822" s="351">
        <v>98911</v>
      </c>
      <c r="B822" s="344" t="s">
        <v>1521</v>
      </c>
      <c r="C822" s="235" t="e">
        <f>VLOOKUP(A822,#REF!,10,FALSE)</f>
        <v>#REF!</v>
      </c>
      <c r="E822" s="2">
        <f>VLOOKUP($A822,'[2]App C Total'!$A$4:$I$917,5,FALSE)</f>
        <v>10943</v>
      </c>
      <c r="F822" s="2">
        <f>VLOOKUP($A822,'[2]App C Total'!$A$4:$I$917,6,FALSE)</f>
        <v>4374</v>
      </c>
      <c r="G822" s="2">
        <f>VLOOKUP($A822,'[2]App C Total'!$A$4:$I$917,7,FALSE)</f>
        <v>5275</v>
      </c>
      <c r="H822" s="2">
        <f>VLOOKUP($A822,'[2]App C Total'!$A$4:$I$917,8,FALSE)</f>
        <v>914</v>
      </c>
      <c r="I822" s="2">
        <f>VLOOKUP($A822,'[2]App C Total'!$A$4:$I$917,9,FALSE)</f>
        <v>0</v>
      </c>
      <c r="J822" s="2"/>
      <c r="K822" s="2">
        <f>VLOOKUP($A822,'[2]App C Exp'!$A$4:$I$917,5,FALSE)</f>
        <v>2382</v>
      </c>
      <c r="L822" s="2">
        <f>VLOOKUP($A822,'[2]App C Exp'!$A$4:$I$917,6,FALSE)</f>
        <v>2241</v>
      </c>
      <c r="M822" s="2">
        <f>VLOOKUP($A822,'[2]App C Exp'!$A$4:$I$917,7,FALSE)</f>
        <v>2008</v>
      </c>
      <c r="N822" s="2">
        <f>VLOOKUP($A822,'[2]App C Exp'!$A$4:$I$917,8,FALSE)</f>
        <v>804</v>
      </c>
      <c r="O822" s="2">
        <f>VLOOKUP($A822,'[2]App C Exp'!$A$4:$I$917,9,FALSE)</f>
        <v>0</v>
      </c>
      <c r="P822" s="2"/>
      <c r="Q822" s="2">
        <f>VLOOKUP($A822,'[2]App C Inv'!$A$4:$I$917,5,FALSE)</f>
        <v>2529</v>
      </c>
      <c r="R822" s="2">
        <f>VLOOKUP($A822,'[2]App C Inv'!$A$4:$I$917,6,FALSE)</f>
        <v>-2175</v>
      </c>
      <c r="S822" s="2">
        <f>VLOOKUP($A822,'[2]App C Inv'!$A$4:$I$917,7,FALSE)</f>
        <v>307</v>
      </c>
      <c r="T822" s="2">
        <f>VLOOKUP($A822,'[2]App C Inv'!$A$4:$I$917,8,FALSE)</f>
        <v>399</v>
      </c>
      <c r="U822" s="2">
        <f>VLOOKUP($A822,'[2]App C Inv'!$A$4:$I$917,9,FALSE)</f>
        <v>0</v>
      </c>
      <c r="V822" s="2"/>
      <c r="W822" s="2">
        <f>VLOOKUP($A822,'[2]App C Assum'!$A$4:$I$917,5,FALSE)</f>
        <v>2849</v>
      </c>
      <c r="X822" s="2">
        <f>VLOOKUP($A822,'[2]App C Assum'!$A$4:$I$917,6,FALSE)</f>
        <v>2334</v>
      </c>
      <c r="Y822" s="2">
        <f>VLOOKUP($A822,'[2]App C Assum'!$A$4:$I$917,7,FALSE)</f>
        <v>1895</v>
      </c>
      <c r="Z822" s="2">
        <f>VLOOKUP($A822,'[2]App C Assum'!$A$4:$I$917,8,FALSE)</f>
        <v>0</v>
      </c>
      <c r="AA822" s="2">
        <f>VLOOKUP($A822,'[2]App C Assum'!$A$4:$I$917,9,FALSE)</f>
        <v>0</v>
      </c>
      <c r="AB822" s="2"/>
      <c r="AC822" s="2">
        <f>VLOOKUP($A822,'[2]App C Share Outflows'!$A$4:$I$917,5,FALSE)</f>
        <v>3473</v>
      </c>
      <c r="AD822" s="2">
        <f>VLOOKUP($A822,'[2]App C Share Outflows'!$A$4:$I$917,6,FALSE)</f>
        <v>2264</v>
      </c>
      <c r="AE822" s="2">
        <f>VLOOKUP($A822,'[2]App C Share Outflows'!$A$4:$I$917,7,FALSE)</f>
        <v>1355</v>
      </c>
      <c r="AF822" s="2">
        <f>VLOOKUP($A822,'[2]App C Share Outflows'!$A$4:$I$917,8,FALSE)</f>
        <v>0</v>
      </c>
      <c r="AG822" s="2">
        <f>VLOOKUP($A822,'[2]App C Share Outflows'!$A$4:$I$917,9,FALSE)</f>
        <v>0</v>
      </c>
      <c r="AH822" s="2"/>
      <c r="AI822" s="2">
        <f>VLOOKUP($A822,'[2]App C Share Inflows'!$A$4:$I$917,5,FALSE)</f>
        <v>-290</v>
      </c>
      <c r="AJ822" s="2">
        <f>VLOOKUP($A822,'[2]App C Share Inflows'!$A$4:$I$917,6,FALSE)</f>
        <v>-290</v>
      </c>
      <c r="AK822" s="2">
        <f>VLOOKUP($A822,'[2]App C Share Inflows'!$A$4:$I$917,7,FALSE)</f>
        <v>-290</v>
      </c>
      <c r="AL822" s="2">
        <f>VLOOKUP($A822,'[2]App C Share Inflows'!$A$4:$I$917,8,FALSE)</f>
        <v>-289</v>
      </c>
      <c r="AM822" s="2">
        <f>VLOOKUP($A822,'[2]App C Share Inflows'!$A$4:$I$917,6,FALSE)</f>
        <v>-290</v>
      </c>
    </row>
    <row r="823" spans="1:39">
      <c r="A823" s="351">
        <v>99001</v>
      </c>
      <c r="B823" s="344" t="s">
        <v>1522</v>
      </c>
      <c r="C823" s="235" t="e">
        <f>VLOOKUP(A823,#REF!,10,FALSE)</f>
        <v>#REF!</v>
      </c>
      <c r="E823" s="2">
        <f>VLOOKUP($A823,'[2]App C Total'!$A$4:$I$917,5,FALSE)</f>
        <v>4468648</v>
      </c>
      <c r="F823" s="2">
        <f>VLOOKUP($A823,'[2]App C Total'!$A$4:$I$917,6,FALSE)</f>
        <v>1471105</v>
      </c>
      <c r="G823" s="2">
        <f>VLOOKUP($A823,'[2]App C Total'!$A$4:$I$917,7,FALSE)</f>
        <v>2456566</v>
      </c>
      <c r="H823" s="2">
        <f>VLOOKUP($A823,'[2]App C Total'!$A$4:$I$917,8,FALSE)</f>
        <v>777884</v>
      </c>
      <c r="I823" s="2">
        <f>VLOOKUP($A823,'[2]App C Total'!$A$4:$I$917,9,FALSE)</f>
        <v>0</v>
      </c>
      <c r="J823" s="2"/>
      <c r="K823" s="2">
        <f>VLOOKUP($A823,'[2]App C Exp'!$A$4:$I$917,5,FALSE)</f>
        <v>1322286</v>
      </c>
      <c r="L823" s="2">
        <f>VLOOKUP($A823,'[2]App C Exp'!$A$4:$I$917,6,FALSE)</f>
        <v>1243844</v>
      </c>
      <c r="M823" s="2">
        <f>VLOOKUP($A823,'[2]App C Exp'!$A$4:$I$917,7,FALSE)</f>
        <v>1114844</v>
      </c>
      <c r="N823" s="2">
        <f>VLOOKUP($A823,'[2]App C Exp'!$A$4:$I$917,8,FALSE)</f>
        <v>446370</v>
      </c>
      <c r="O823" s="2">
        <f>VLOOKUP($A823,'[2]App C Exp'!$A$4:$I$917,9,FALSE)</f>
        <v>0</v>
      </c>
      <c r="P823" s="2"/>
      <c r="Q823" s="2">
        <f>VLOOKUP($A823,'[2]App C Inv'!$A$4:$I$917,5,FALSE)</f>
        <v>1403791</v>
      </c>
      <c r="R823" s="2">
        <f>VLOOKUP($A823,'[2]App C Inv'!$A$4:$I$917,6,FALSE)</f>
        <v>-1207523</v>
      </c>
      <c r="S823" s="2">
        <f>VLOOKUP($A823,'[2]App C Inv'!$A$4:$I$917,7,FALSE)</f>
        <v>170186</v>
      </c>
      <c r="T823" s="2">
        <f>VLOOKUP($A823,'[2]App C Inv'!$A$4:$I$917,8,FALSE)</f>
        <v>221495</v>
      </c>
      <c r="U823" s="2">
        <f>VLOOKUP($A823,'[2]App C Inv'!$A$4:$I$917,9,FALSE)</f>
        <v>0</v>
      </c>
      <c r="V823" s="2"/>
      <c r="W823" s="2">
        <f>VLOOKUP($A823,'[2]App C Assum'!$A$4:$I$917,5,FALSE)</f>
        <v>1581391</v>
      </c>
      <c r="X823" s="2">
        <f>VLOOKUP($A823,'[2]App C Assum'!$A$4:$I$917,6,FALSE)</f>
        <v>1295533</v>
      </c>
      <c r="Y823" s="2">
        <f>VLOOKUP($A823,'[2]App C Assum'!$A$4:$I$917,7,FALSE)</f>
        <v>1051751</v>
      </c>
      <c r="Z823" s="2">
        <f>VLOOKUP($A823,'[2]App C Assum'!$A$4:$I$917,8,FALSE)</f>
        <v>0</v>
      </c>
      <c r="AA823" s="2">
        <f>VLOOKUP($A823,'[2]App C Assum'!$A$4:$I$917,9,FALSE)</f>
        <v>0</v>
      </c>
      <c r="AB823" s="2"/>
      <c r="AC823" s="2">
        <f>VLOOKUP($A823,'[2]App C Share Outflows'!$A$4:$I$917,5,FALSE)</f>
        <v>161180</v>
      </c>
      <c r="AD823" s="2">
        <f>VLOOKUP($A823,'[2]App C Share Outflows'!$A$4:$I$917,6,FALSE)</f>
        <v>139251</v>
      </c>
      <c r="AE823" s="2">
        <f>VLOOKUP($A823,'[2]App C Share Outflows'!$A$4:$I$917,7,FALSE)</f>
        <v>119785</v>
      </c>
      <c r="AF823" s="2">
        <f>VLOOKUP($A823,'[2]App C Share Outflows'!$A$4:$I$917,8,FALSE)</f>
        <v>110019</v>
      </c>
      <c r="AG823" s="2">
        <f>VLOOKUP($A823,'[2]App C Share Outflows'!$A$4:$I$917,9,FALSE)</f>
        <v>0</v>
      </c>
      <c r="AH823" s="2"/>
      <c r="AI823" s="2">
        <f>VLOOKUP($A823,'[2]App C Share Inflows'!$A$4:$I$917,5,FALSE)</f>
        <v>0</v>
      </c>
      <c r="AJ823" s="2">
        <f>VLOOKUP($A823,'[2]App C Share Inflows'!$A$4:$I$917,6,FALSE)</f>
        <v>0</v>
      </c>
      <c r="AK823" s="2">
        <f>VLOOKUP($A823,'[2]App C Share Inflows'!$A$4:$I$917,7,FALSE)</f>
        <v>0</v>
      </c>
      <c r="AL823" s="2">
        <f>VLOOKUP($A823,'[2]App C Share Inflows'!$A$4:$I$917,8,FALSE)</f>
        <v>0</v>
      </c>
      <c r="AM823" s="2">
        <f>VLOOKUP($A823,'[2]App C Share Inflows'!$A$4:$I$917,6,FALSE)</f>
        <v>0</v>
      </c>
    </row>
    <row r="824" spans="1:39">
      <c r="A824" s="351">
        <v>99011</v>
      </c>
      <c r="B824" s="344" t="s">
        <v>1523</v>
      </c>
      <c r="C824" s="235" t="e">
        <f>VLOOKUP(A824,#REF!,10,FALSE)</f>
        <v>#REF!</v>
      </c>
      <c r="E824" s="2">
        <f>VLOOKUP($A824,'[2]App C Total'!$A$4:$I$917,5,FALSE)</f>
        <v>1821690</v>
      </c>
      <c r="F824" s="2">
        <f>VLOOKUP($A824,'[2]App C Total'!$A$4:$I$917,6,FALSE)</f>
        <v>579727</v>
      </c>
      <c r="G824" s="2">
        <f>VLOOKUP($A824,'[2]App C Total'!$A$4:$I$917,7,FALSE)</f>
        <v>1025471</v>
      </c>
      <c r="H824" s="2">
        <f>VLOOKUP($A824,'[2]App C Total'!$A$4:$I$917,8,FALSE)</f>
        <v>296915</v>
      </c>
      <c r="I824" s="2">
        <f>VLOOKUP($A824,'[2]App C Total'!$A$4:$I$917,9,FALSE)</f>
        <v>0</v>
      </c>
      <c r="J824" s="2"/>
      <c r="K824" s="2">
        <f>VLOOKUP($A824,'[2]App C Exp'!$A$4:$I$917,5,FALSE)</f>
        <v>577072</v>
      </c>
      <c r="L824" s="2">
        <f>VLOOKUP($A824,'[2]App C Exp'!$A$4:$I$917,6,FALSE)</f>
        <v>542838</v>
      </c>
      <c r="M824" s="2">
        <f>VLOOKUP($A824,'[2]App C Exp'!$A$4:$I$917,7,FALSE)</f>
        <v>486539</v>
      </c>
      <c r="N824" s="2">
        <f>VLOOKUP($A824,'[2]App C Exp'!$A$4:$I$917,8,FALSE)</f>
        <v>194805</v>
      </c>
      <c r="O824" s="2">
        <f>VLOOKUP($A824,'[2]App C Exp'!$A$4:$I$917,9,FALSE)</f>
        <v>0</v>
      </c>
      <c r="P824" s="2"/>
      <c r="Q824" s="2">
        <f>VLOOKUP($A824,'[2]App C Inv'!$A$4:$I$917,5,FALSE)</f>
        <v>612642</v>
      </c>
      <c r="R824" s="2">
        <f>VLOOKUP($A824,'[2]App C Inv'!$A$4:$I$917,6,FALSE)</f>
        <v>-526987</v>
      </c>
      <c r="S824" s="2">
        <f>VLOOKUP($A824,'[2]App C Inv'!$A$4:$I$917,7,FALSE)</f>
        <v>74272</v>
      </c>
      <c r="T824" s="2">
        <f>VLOOKUP($A824,'[2]App C Inv'!$A$4:$I$917,8,FALSE)</f>
        <v>96665</v>
      </c>
      <c r="U824" s="2">
        <f>VLOOKUP($A824,'[2]App C Inv'!$A$4:$I$917,9,FALSE)</f>
        <v>0</v>
      </c>
      <c r="V824" s="2"/>
      <c r="W824" s="2">
        <f>VLOOKUP($A824,'[2]App C Assum'!$A$4:$I$917,5,FALSE)</f>
        <v>690150</v>
      </c>
      <c r="X824" s="2">
        <f>VLOOKUP($A824,'[2]App C Assum'!$A$4:$I$917,6,FALSE)</f>
        <v>565396</v>
      </c>
      <c r="Y824" s="2">
        <f>VLOOKUP($A824,'[2]App C Assum'!$A$4:$I$917,7,FALSE)</f>
        <v>459005</v>
      </c>
      <c r="Z824" s="2">
        <f>VLOOKUP($A824,'[2]App C Assum'!$A$4:$I$917,8,FALSE)</f>
        <v>0</v>
      </c>
      <c r="AA824" s="2">
        <f>VLOOKUP($A824,'[2]App C Assum'!$A$4:$I$917,9,FALSE)</f>
        <v>0</v>
      </c>
      <c r="AB824" s="2"/>
      <c r="AC824" s="2">
        <f>VLOOKUP($A824,'[2]App C Share Outflows'!$A$4:$I$917,5,FALSE)</f>
        <v>5653</v>
      </c>
      <c r="AD824" s="2">
        <f>VLOOKUP($A824,'[2]App C Share Outflows'!$A$4:$I$917,6,FALSE)</f>
        <v>5653</v>
      </c>
      <c r="AE824" s="2">
        <f>VLOOKUP($A824,'[2]App C Share Outflows'!$A$4:$I$917,7,FALSE)</f>
        <v>5655</v>
      </c>
      <c r="AF824" s="2">
        <f>VLOOKUP($A824,'[2]App C Share Outflows'!$A$4:$I$917,8,FALSE)</f>
        <v>5445</v>
      </c>
      <c r="AG824" s="2">
        <f>VLOOKUP($A824,'[2]App C Share Outflows'!$A$4:$I$917,9,FALSE)</f>
        <v>0</v>
      </c>
      <c r="AH824" s="2"/>
      <c r="AI824" s="2">
        <f>VLOOKUP($A824,'[2]App C Share Inflows'!$A$4:$I$917,5,FALSE)</f>
        <v>-63827</v>
      </c>
      <c r="AJ824" s="2">
        <f>VLOOKUP($A824,'[2]App C Share Inflows'!$A$4:$I$917,6,FALSE)</f>
        <v>-7173</v>
      </c>
      <c r="AK824" s="2">
        <f>VLOOKUP($A824,'[2]App C Share Inflows'!$A$4:$I$917,7,FALSE)</f>
        <v>0</v>
      </c>
      <c r="AL824" s="2">
        <f>VLOOKUP($A824,'[2]App C Share Inflows'!$A$4:$I$917,8,FALSE)</f>
        <v>0</v>
      </c>
      <c r="AM824" s="2">
        <f>VLOOKUP($A824,'[2]App C Share Inflows'!$A$4:$I$917,6,FALSE)</f>
        <v>-7173</v>
      </c>
    </row>
    <row r="825" spans="1:39">
      <c r="A825" s="351">
        <v>99013</v>
      </c>
      <c r="B825" s="344" t="s">
        <v>1524</v>
      </c>
      <c r="C825" s="235" t="e">
        <f>VLOOKUP(A825,#REF!,10,FALSE)</f>
        <v>#REF!</v>
      </c>
      <c r="E825" s="2">
        <f>VLOOKUP($A825,'[2]App C Total'!$A$4:$I$917,5,FALSE)</f>
        <v>21649</v>
      </c>
      <c r="F825" s="2">
        <f>VLOOKUP($A825,'[2]App C Total'!$A$4:$I$917,6,FALSE)</f>
        <v>7286</v>
      </c>
      <c r="G825" s="2">
        <f>VLOOKUP($A825,'[2]App C Total'!$A$4:$I$917,7,FALSE)</f>
        <v>13126</v>
      </c>
      <c r="H825" s="2">
        <f>VLOOKUP($A825,'[2]App C Total'!$A$4:$I$917,8,FALSE)</f>
        <v>4482</v>
      </c>
      <c r="I825" s="2">
        <f>VLOOKUP($A825,'[2]App C Total'!$A$4:$I$917,9,FALSE)</f>
        <v>0</v>
      </c>
      <c r="J825" s="2"/>
      <c r="K825" s="2">
        <f>VLOOKUP($A825,'[2]App C Exp'!$A$4:$I$917,5,FALSE)</f>
        <v>7131</v>
      </c>
      <c r="L825" s="2">
        <f>VLOOKUP($A825,'[2]App C Exp'!$A$4:$I$917,6,FALSE)</f>
        <v>6708</v>
      </c>
      <c r="M825" s="2">
        <f>VLOOKUP($A825,'[2]App C Exp'!$A$4:$I$917,7,FALSE)</f>
        <v>6012</v>
      </c>
      <c r="N825" s="2">
        <f>VLOOKUP($A825,'[2]App C Exp'!$A$4:$I$917,8,FALSE)</f>
        <v>2407</v>
      </c>
      <c r="O825" s="2">
        <f>VLOOKUP($A825,'[2]App C Exp'!$A$4:$I$917,9,FALSE)</f>
        <v>0</v>
      </c>
      <c r="P825" s="2"/>
      <c r="Q825" s="2">
        <f>VLOOKUP($A825,'[2]App C Inv'!$A$4:$I$917,5,FALSE)</f>
        <v>7570</v>
      </c>
      <c r="R825" s="2">
        <f>VLOOKUP($A825,'[2]App C Inv'!$A$4:$I$917,6,FALSE)</f>
        <v>-6512</v>
      </c>
      <c r="S825" s="2">
        <f>VLOOKUP($A825,'[2]App C Inv'!$A$4:$I$917,7,FALSE)</f>
        <v>918</v>
      </c>
      <c r="T825" s="2">
        <f>VLOOKUP($A825,'[2]App C Inv'!$A$4:$I$917,8,FALSE)</f>
        <v>1194</v>
      </c>
      <c r="U825" s="2">
        <f>VLOOKUP($A825,'[2]App C Inv'!$A$4:$I$917,9,FALSE)</f>
        <v>0</v>
      </c>
      <c r="V825" s="2"/>
      <c r="W825" s="2">
        <f>VLOOKUP($A825,'[2]App C Assum'!$A$4:$I$917,5,FALSE)</f>
        <v>8528</v>
      </c>
      <c r="X825" s="2">
        <f>VLOOKUP($A825,'[2]App C Assum'!$A$4:$I$917,6,FALSE)</f>
        <v>6987</v>
      </c>
      <c r="Y825" s="2">
        <f>VLOOKUP($A825,'[2]App C Assum'!$A$4:$I$917,7,FALSE)</f>
        <v>5672</v>
      </c>
      <c r="Z825" s="2">
        <f>VLOOKUP($A825,'[2]App C Assum'!$A$4:$I$917,8,FALSE)</f>
        <v>0</v>
      </c>
      <c r="AA825" s="2">
        <f>VLOOKUP($A825,'[2]App C Assum'!$A$4:$I$917,9,FALSE)</f>
        <v>0</v>
      </c>
      <c r="AB825" s="2"/>
      <c r="AC825" s="2">
        <f>VLOOKUP($A825,'[2]App C Share Outflows'!$A$4:$I$917,5,FALSE)</f>
        <v>883</v>
      </c>
      <c r="AD825" s="2">
        <f>VLOOKUP($A825,'[2]App C Share Outflows'!$A$4:$I$917,6,FALSE)</f>
        <v>883</v>
      </c>
      <c r="AE825" s="2">
        <f>VLOOKUP($A825,'[2]App C Share Outflows'!$A$4:$I$917,7,FALSE)</f>
        <v>883</v>
      </c>
      <c r="AF825" s="2">
        <f>VLOOKUP($A825,'[2]App C Share Outflows'!$A$4:$I$917,8,FALSE)</f>
        <v>881</v>
      </c>
      <c r="AG825" s="2">
        <f>VLOOKUP($A825,'[2]App C Share Outflows'!$A$4:$I$917,9,FALSE)</f>
        <v>0</v>
      </c>
      <c r="AH825" s="2"/>
      <c r="AI825" s="2">
        <f>VLOOKUP($A825,'[2]App C Share Inflows'!$A$4:$I$917,5,FALSE)</f>
        <v>-2463</v>
      </c>
      <c r="AJ825" s="2">
        <f>VLOOKUP($A825,'[2]App C Share Inflows'!$A$4:$I$917,6,FALSE)</f>
        <v>-780</v>
      </c>
      <c r="AK825" s="2">
        <f>VLOOKUP($A825,'[2]App C Share Inflows'!$A$4:$I$917,7,FALSE)</f>
        <v>-359</v>
      </c>
      <c r="AL825" s="2">
        <f>VLOOKUP($A825,'[2]App C Share Inflows'!$A$4:$I$917,8,FALSE)</f>
        <v>0</v>
      </c>
      <c r="AM825" s="2">
        <f>VLOOKUP($A825,'[2]App C Share Inflows'!$A$4:$I$917,6,FALSE)</f>
        <v>-780</v>
      </c>
    </row>
    <row r="826" spans="1:39">
      <c r="A826" s="351">
        <v>99014</v>
      </c>
      <c r="B826" s="344" t="s">
        <v>1525</v>
      </c>
      <c r="C826" s="235" t="e">
        <f>VLOOKUP(A826,#REF!,10,FALSE)</f>
        <v>#REF!</v>
      </c>
      <c r="E826" s="2">
        <f>VLOOKUP($A826,'[2]App C Total'!$A$4:$I$917,5,FALSE)</f>
        <v>16781</v>
      </c>
      <c r="F826" s="2">
        <f>VLOOKUP($A826,'[2]App C Total'!$A$4:$I$917,6,FALSE)</f>
        <v>6101</v>
      </c>
      <c r="G826" s="2">
        <f>VLOOKUP($A826,'[2]App C Total'!$A$4:$I$917,7,FALSE)</f>
        <v>8258</v>
      </c>
      <c r="H826" s="2">
        <f>VLOOKUP($A826,'[2]App C Total'!$A$4:$I$917,8,FALSE)</f>
        <v>4287</v>
      </c>
      <c r="I826" s="2">
        <f>VLOOKUP($A826,'[2]App C Total'!$A$4:$I$917,9,FALSE)</f>
        <v>0</v>
      </c>
      <c r="J826" s="2"/>
      <c r="K826" s="2">
        <f>VLOOKUP($A826,'[2]App C Exp'!$A$4:$I$917,5,FALSE)</f>
        <v>3191</v>
      </c>
      <c r="L826" s="2">
        <f>VLOOKUP($A826,'[2]App C Exp'!$A$4:$I$917,6,FALSE)</f>
        <v>3002</v>
      </c>
      <c r="M826" s="2">
        <f>VLOOKUP($A826,'[2]App C Exp'!$A$4:$I$917,7,FALSE)</f>
        <v>2690</v>
      </c>
      <c r="N826" s="2">
        <f>VLOOKUP($A826,'[2]App C Exp'!$A$4:$I$917,8,FALSE)</f>
        <v>1077</v>
      </c>
      <c r="O826" s="2">
        <f>VLOOKUP($A826,'[2]App C Exp'!$A$4:$I$917,9,FALSE)</f>
        <v>0</v>
      </c>
      <c r="P826" s="2"/>
      <c r="Q826" s="2">
        <f>VLOOKUP($A826,'[2]App C Inv'!$A$4:$I$917,5,FALSE)</f>
        <v>3388</v>
      </c>
      <c r="R826" s="2">
        <f>VLOOKUP($A826,'[2]App C Inv'!$A$4:$I$917,6,FALSE)</f>
        <v>-2914</v>
      </c>
      <c r="S826" s="2">
        <f>VLOOKUP($A826,'[2]App C Inv'!$A$4:$I$917,7,FALSE)</f>
        <v>411</v>
      </c>
      <c r="T826" s="2">
        <f>VLOOKUP($A826,'[2]App C Inv'!$A$4:$I$917,8,FALSE)</f>
        <v>535</v>
      </c>
      <c r="U826" s="2">
        <f>VLOOKUP($A826,'[2]App C Inv'!$A$4:$I$917,9,FALSE)</f>
        <v>0</v>
      </c>
      <c r="V826" s="2"/>
      <c r="W826" s="2">
        <f>VLOOKUP($A826,'[2]App C Assum'!$A$4:$I$917,5,FALSE)</f>
        <v>3816</v>
      </c>
      <c r="X826" s="2">
        <f>VLOOKUP($A826,'[2]App C Assum'!$A$4:$I$917,6,FALSE)</f>
        <v>3126</v>
      </c>
      <c r="Y826" s="2">
        <f>VLOOKUP($A826,'[2]App C Assum'!$A$4:$I$917,7,FALSE)</f>
        <v>2538</v>
      </c>
      <c r="Z826" s="2">
        <f>VLOOKUP($A826,'[2]App C Assum'!$A$4:$I$917,8,FALSE)</f>
        <v>0</v>
      </c>
      <c r="AA826" s="2">
        <f>VLOOKUP($A826,'[2]App C Assum'!$A$4:$I$917,9,FALSE)</f>
        <v>0</v>
      </c>
      <c r="AB826" s="2"/>
      <c r="AC826" s="2">
        <f>VLOOKUP($A826,'[2]App C Share Outflows'!$A$4:$I$917,5,FALSE)</f>
        <v>6442</v>
      </c>
      <c r="AD826" s="2">
        <f>VLOOKUP($A826,'[2]App C Share Outflows'!$A$4:$I$917,6,FALSE)</f>
        <v>2943</v>
      </c>
      <c r="AE826" s="2">
        <f>VLOOKUP($A826,'[2]App C Share Outflows'!$A$4:$I$917,7,FALSE)</f>
        <v>2676</v>
      </c>
      <c r="AF826" s="2">
        <f>VLOOKUP($A826,'[2]App C Share Outflows'!$A$4:$I$917,8,FALSE)</f>
        <v>2675</v>
      </c>
      <c r="AG826" s="2">
        <f>VLOOKUP($A826,'[2]App C Share Outflows'!$A$4:$I$917,9,FALSE)</f>
        <v>0</v>
      </c>
      <c r="AH826" s="2"/>
      <c r="AI826" s="2">
        <f>VLOOKUP($A826,'[2]App C Share Inflows'!$A$4:$I$917,5,FALSE)</f>
        <v>-56</v>
      </c>
      <c r="AJ826" s="2">
        <f>VLOOKUP($A826,'[2]App C Share Inflows'!$A$4:$I$917,6,FALSE)</f>
        <v>-56</v>
      </c>
      <c r="AK826" s="2">
        <f>VLOOKUP($A826,'[2]App C Share Inflows'!$A$4:$I$917,7,FALSE)</f>
        <v>-57</v>
      </c>
      <c r="AL826" s="2">
        <f>VLOOKUP($A826,'[2]App C Share Inflows'!$A$4:$I$917,8,FALSE)</f>
        <v>0</v>
      </c>
      <c r="AM826" s="2">
        <f>VLOOKUP($A826,'[2]App C Share Inflows'!$A$4:$I$917,6,FALSE)</f>
        <v>-56</v>
      </c>
    </row>
    <row r="827" spans="1:39">
      <c r="A827" s="351">
        <v>99017</v>
      </c>
      <c r="B827" s="344" t="s">
        <v>1526</v>
      </c>
      <c r="C827" s="235" t="e">
        <f>VLOOKUP(A827,#REF!,10,FALSE)</f>
        <v>#REF!</v>
      </c>
      <c r="E827" s="2">
        <f>VLOOKUP($A827,'[2]App C Total'!$A$4:$I$917,5,FALSE)</f>
        <v>25039</v>
      </c>
      <c r="F827" s="2">
        <f>VLOOKUP($A827,'[2]App C Total'!$A$4:$I$917,6,FALSE)</f>
        <v>7896</v>
      </c>
      <c r="G827" s="2">
        <f>VLOOKUP($A827,'[2]App C Total'!$A$4:$I$917,7,FALSE)</f>
        <v>12408</v>
      </c>
      <c r="H827" s="2">
        <f>VLOOKUP($A827,'[2]App C Total'!$A$4:$I$917,8,FALSE)</f>
        <v>4046</v>
      </c>
      <c r="I827" s="2">
        <f>VLOOKUP($A827,'[2]App C Total'!$A$4:$I$917,9,FALSE)</f>
        <v>0</v>
      </c>
      <c r="J827" s="2"/>
      <c r="K827" s="2">
        <f>VLOOKUP($A827,'[2]App C Exp'!$A$4:$I$917,5,FALSE)</f>
        <v>7281</v>
      </c>
      <c r="L827" s="2">
        <f>VLOOKUP($A827,'[2]App C Exp'!$A$4:$I$917,6,FALSE)</f>
        <v>6849</v>
      </c>
      <c r="M827" s="2">
        <f>VLOOKUP($A827,'[2]App C Exp'!$A$4:$I$917,7,FALSE)</f>
        <v>6138</v>
      </c>
      <c r="N827" s="2">
        <f>VLOOKUP($A827,'[2]App C Exp'!$A$4:$I$917,8,FALSE)</f>
        <v>2458</v>
      </c>
      <c r="O827" s="2">
        <f>VLOOKUP($A827,'[2]App C Exp'!$A$4:$I$917,9,FALSE)</f>
        <v>0</v>
      </c>
      <c r="P827" s="2"/>
      <c r="Q827" s="2">
        <f>VLOOKUP($A827,'[2]App C Inv'!$A$4:$I$917,5,FALSE)</f>
        <v>7729</v>
      </c>
      <c r="R827" s="2">
        <f>VLOOKUP($A827,'[2]App C Inv'!$A$4:$I$917,6,FALSE)</f>
        <v>-6649</v>
      </c>
      <c r="S827" s="2">
        <f>VLOOKUP($A827,'[2]App C Inv'!$A$4:$I$917,7,FALSE)</f>
        <v>937</v>
      </c>
      <c r="T827" s="2">
        <f>VLOOKUP($A827,'[2]App C Inv'!$A$4:$I$917,8,FALSE)</f>
        <v>1220</v>
      </c>
      <c r="U827" s="2">
        <f>VLOOKUP($A827,'[2]App C Inv'!$A$4:$I$917,9,FALSE)</f>
        <v>0</v>
      </c>
      <c r="V827" s="2"/>
      <c r="W827" s="2">
        <f>VLOOKUP($A827,'[2]App C Assum'!$A$4:$I$917,5,FALSE)</f>
        <v>8707</v>
      </c>
      <c r="X827" s="2">
        <f>VLOOKUP($A827,'[2]App C Assum'!$A$4:$I$917,6,FALSE)</f>
        <v>7133</v>
      </c>
      <c r="Y827" s="2">
        <f>VLOOKUP($A827,'[2]App C Assum'!$A$4:$I$917,7,FALSE)</f>
        <v>5791</v>
      </c>
      <c r="Z827" s="2">
        <f>VLOOKUP($A827,'[2]App C Assum'!$A$4:$I$917,8,FALSE)</f>
        <v>0</v>
      </c>
      <c r="AA827" s="2">
        <f>VLOOKUP($A827,'[2]App C Assum'!$A$4:$I$917,9,FALSE)</f>
        <v>0</v>
      </c>
      <c r="AB827" s="2"/>
      <c r="AC827" s="2">
        <f>VLOOKUP($A827,'[2]App C Share Outflows'!$A$4:$I$917,5,FALSE)</f>
        <v>2145</v>
      </c>
      <c r="AD827" s="2">
        <f>VLOOKUP($A827,'[2]App C Share Outflows'!$A$4:$I$917,6,FALSE)</f>
        <v>1386</v>
      </c>
      <c r="AE827" s="2">
        <f>VLOOKUP($A827,'[2]App C Share Outflows'!$A$4:$I$917,7,FALSE)</f>
        <v>366</v>
      </c>
      <c r="AF827" s="2">
        <f>VLOOKUP($A827,'[2]App C Share Outflows'!$A$4:$I$917,8,FALSE)</f>
        <v>368</v>
      </c>
      <c r="AG827" s="2">
        <f>VLOOKUP($A827,'[2]App C Share Outflows'!$A$4:$I$917,9,FALSE)</f>
        <v>0</v>
      </c>
      <c r="AH827" s="2"/>
      <c r="AI827" s="2">
        <f>VLOOKUP($A827,'[2]App C Share Inflows'!$A$4:$I$917,5,FALSE)</f>
        <v>-823</v>
      </c>
      <c r="AJ827" s="2">
        <f>VLOOKUP($A827,'[2]App C Share Inflows'!$A$4:$I$917,6,FALSE)</f>
        <v>-823</v>
      </c>
      <c r="AK827" s="2">
        <f>VLOOKUP($A827,'[2]App C Share Inflows'!$A$4:$I$917,7,FALSE)</f>
        <v>-824</v>
      </c>
      <c r="AL827" s="2">
        <f>VLOOKUP($A827,'[2]App C Share Inflows'!$A$4:$I$917,8,FALSE)</f>
        <v>0</v>
      </c>
      <c r="AM827" s="2">
        <f>VLOOKUP($A827,'[2]App C Share Inflows'!$A$4:$I$917,6,FALSE)</f>
        <v>-823</v>
      </c>
    </row>
    <row r="828" spans="1:39">
      <c r="A828" s="351">
        <v>99021</v>
      </c>
      <c r="B828" s="344" t="s">
        <v>1527</v>
      </c>
      <c r="C828" s="235" t="e">
        <f>VLOOKUP(A828,#REF!,10,FALSE)</f>
        <v>#REF!</v>
      </c>
      <c r="E828" s="2">
        <f>VLOOKUP($A828,'[2]App C Total'!$A$4:$I$917,5,FALSE)</f>
        <v>67951</v>
      </c>
      <c r="F828" s="2">
        <f>VLOOKUP($A828,'[2]App C Total'!$A$4:$I$917,6,FALSE)</f>
        <v>20804</v>
      </c>
      <c r="G828" s="2">
        <f>VLOOKUP($A828,'[2]App C Total'!$A$4:$I$917,7,FALSE)</f>
        <v>34816</v>
      </c>
      <c r="H828" s="2">
        <f>VLOOKUP($A828,'[2]App C Total'!$A$4:$I$917,8,FALSE)</f>
        <v>11554</v>
      </c>
      <c r="I828" s="2">
        <f>VLOOKUP($A828,'[2]App C Total'!$A$4:$I$917,9,FALSE)</f>
        <v>0</v>
      </c>
      <c r="J828" s="2"/>
      <c r="K828" s="2">
        <f>VLOOKUP($A828,'[2]App C Exp'!$A$4:$I$917,5,FALSE)</f>
        <v>21048</v>
      </c>
      <c r="L828" s="2">
        <f>VLOOKUP($A828,'[2]App C Exp'!$A$4:$I$917,6,FALSE)</f>
        <v>19799</v>
      </c>
      <c r="M828" s="2">
        <f>VLOOKUP($A828,'[2]App C Exp'!$A$4:$I$917,7,FALSE)</f>
        <v>17746</v>
      </c>
      <c r="N828" s="2">
        <f>VLOOKUP($A828,'[2]App C Exp'!$A$4:$I$917,8,FALSE)</f>
        <v>7105</v>
      </c>
      <c r="O828" s="2">
        <f>VLOOKUP($A828,'[2]App C Exp'!$A$4:$I$917,9,FALSE)</f>
        <v>0</v>
      </c>
      <c r="P828" s="2"/>
      <c r="Q828" s="2">
        <f>VLOOKUP($A828,'[2]App C Inv'!$A$4:$I$917,5,FALSE)</f>
        <v>22345</v>
      </c>
      <c r="R828" s="2">
        <f>VLOOKUP($A828,'[2]App C Inv'!$A$4:$I$917,6,FALSE)</f>
        <v>-19221</v>
      </c>
      <c r="S828" s="2">
        <f>VLOOKUP($A828,'[2]App C Inv'!$A$4:$I$917,7,FALSE)</f>
        <v>2709</v>
      </c>
      <c r="T828" s="2">
        <f>VLOOKUP($A828,'[2]App C Inv'!$A$4:$I$917,8,FALSE)</f>
        <v>3526</v>
      </c>
      <c r="U828" s="2">
        <f>VLOOKUP($A828,'[2]App C Inv'!$A$4:$I$917,9,FALSE)</f>
        <v>0</v>
      </c>
      <c r="V828" s="2"/>
      <c r="W828" s="2">
        <f>VLOOKUP($A828,'[2]App C Assum'!$A$4:$I$917,5,FALSE)</f>
        <v>25172</v>
      </c>
      <c r="X828" s="2">
        <f>VLOOKUP($A828,'[2]App C Assum'!$A$4:$I$917,6,FALSE)</f>
        <v>20622</v>
      </c>
      <c r="Y828" s="2">
        <f>VLOOKUP($A828,'[2]App C Assum'!$A$4:$I$917,7,FALSE)</f>
        <v>16742</v>
      </c>
      <c r="Z828" s="2">
        <f>VLOOKUP($A828,'[2]App C Assum'!$A$4:$I$917,8,FALSE)</f>
        <v>0</v>
      </c>
      <c r="AA828" s="2">
        <f>VLOOKUP($A828,'[2]App C Assum'!$A$4:$I$917,9,FALSE)</f>
        <v>0</v>
      </c>
      <c r="AB828" s="2"/>
      <c r="AC828" s="2">
        <f>VLOOKUP($A828,'[2]App C Share Outflows'!$A$4:$I$917,5,FALSE)</f>
        <v>2909</v>
      </c>
      <c r="AD828" s="2">
        <f>VLOOKUP($A828,'[2]App C Share Outflows'!$A$4:$I$917,6,FALSE)</f>
        <v>2907</v>
      </c>
      <c r="AE828" s="2">
        <f>VLOOKUP($A828,'[2]App C Share Outflows'!$A$4:$I$917,7,FALSE)</f>
        <v>923</v>
      </c>
      <c r="AF828" s="2">
        <f>VLOOKUP($A828,'[2]App C Share Outflows'!$A$4:$I$917,8,FALSE)</f>
        <v>923</v>
      </c>
      <c r="AG828" s="2">
        <f>VLOOKUP($A828,'[2]App C Share Outflows'!$A$4:$I$917,9,FALSE)</f>
        <v>0</v>
      </c>
      <c r="AH828" s="2"/>
      <c r="AI828" s="2">
        <f>VLOOKUP($A828,'[2]App C Share Inflows'!$A$4:$I$917,5,FALSE)</f>
        <v>-3523</v>
      </c>
      <c r="AJ828" s="2">
        <f>VLOOKUP($A828,'[2]App C Share Inflows'!$A$4:$I$917,6,FALSE)</f>
        <v>-3303</v>
      </c>
      <c r="AK828" s="2">
        <f>VLOOKUP($A828,'[2]App C Share Inflows'!$A$4:$I$917,7,FALSE)</f>
        <v>-3304</v>
      </c>
      <c r="AL828" s="2">
        <f>VLOOKUP($A828,'[2]App C Share Inflows'!$A$4:$I$917,8,FALSE)</f>
        <v>0</v>
      </c>
      <c r="AM828" s="2">
        <f>VLOOKUP($A828,'[2]App C Share Inflows'!$A$4:$I$917,6,FALSE)</f>
        <v>-3303</v>
      </c>
    </row>
    <row r="829" spans="1:39">
      <c r="A829" s="351">
        <v>99022</v>
      </c>
      <c r="B829" s="344" t="s">
        <v>211</v>
      </c>
      <c r="C829" s="235" t="e">
        <f>VLOOKUP(A829,#REF!,10,FALSE)</f>
        <v>#REF!</v>
      </c>
      <c r="E829" s="2">
        <f>VLOOKUP($A829,'[2]App C Total'!$A$4:$I$917,5,FALSE)</f>
        <v>8852</v>
      </c>
      <c r="F829" s="2">
        <f>VLOOKUP($A829,'[2]App C Total'!$A$4:$I$917,6,FALSE)</f>
        <v>5064</v>
      </c>
      <c r="G829" s="2">
        <f>VLOOKUP($A829,'[2]App C Total'!$A$4:$I$917,7,FALSE)</f>
        <v>4948</v>
      </c>
      <c r="H829" s="2">
        <f>VLOOKUP($A829,'[2]App C Total'!$A$4:$I$917,8,FALSE)</f>
        <v>2021</v>
      </c>
      <c r="I829" s="2">
        <f>VLOOKUP($A829,'[2]App C Total'!$A$4:$I$917,9,FALSE)</f>
        <v>0</v>
      </c>
      <c r="J829" s="2"/>
      <c r="K829" s="2">
        <f>VLOOKUP($A829,'[2]App C Exp'!$A$4:$I$917,5,FALSE)</f>
        <v>1318</v>
      </c>
      <c r="L829" s="2">
        <f>VLOOKUP($A829,'[2]App C Exp'!$A$4:$I$917,6,FALSE)</f>
        <v>1240</v>
      </c>
      <c r="M829" s="2">
        <f>VLOOKUP($A829,'[2]App C Exp'!$A$4:$I$917,7,FALSE)</f>
        <v>1111</v>
      </c>
      <c r="N829" s="2">
        <f>VLOOKUP($A829,'[2]App C Exp'!$A$4:$I$917,8,FALSE)</f>
        <v>445</v>
      </c>
      <c r="O829" s="2">
        <f>VLOOKUP($A829,'[2]App C Exp'!$A$4:$I$917,9,FALSE)</f>
        <v>0</v>
      </c>
      <c r="P829" s="2"/>
      <c r="Q829" s="2">
        <f>VLOOKUP($A829,'[2]App C Inv'!$A$4:$I$917,5,FALSE)</f>
        <v>1400</v>
      </c>
      <c r="R829" s="2">
        <f>VLOOKUP($A829,'[2]App C Inv'!$A$4:$I$917,6,FALSE)</f>
        <v>-1204</v>
      </c>
      <c r="S829" s="2">
        <f>VLOOKUP($A829,'[2]App C Inv'!$A$4:$I$917,7,FALSE)</f>
        <v>170</v>
      </c>
      <c r="T829" s="2">
        <f>VLOOKUP($A829,'[2]App C Inv'!$A$4:$I$917,8,FALSE)</f>
        <v>221</v>
      </c>
      <c r="U829" s="2">
        <f>VLOOKUP($A829,'[2]App C Inv'!$A$4:$I$917,9,FALSE)</f>
        <v>0</v>
      </c>
      <c r="V829" s="2"/>
      <c r="W829" s="2">
        <f>VLOOKUP($A829,'[2]App C Assum'!$A$4:$I$917,5,FALSE)</f>
        <v>1577</v>
      </c>
      <c r="X829" s="2">
        <f>VLOOKUP($A829,'[2]App C Assum'!$A$4:$I$917,6,FALSE)</f>
        <v>1292</v>
      </c>
      <c r="Y829" s="2">
        <f>VLOOKUP($A829,'[2]App C Assum'!$A$4:$I$917,7,FALSE)</f>
        <v>1049</v>
      </c>
      <c r="Z829" s="2">
        <f>VLOOKUP($A829,'[2]App C Assum'!$A$4:$I$917,8,FALSE)</f>
        <v>0</v>
      </c>
      <c r="AA829" s="2">
        <f>VLOOKUP($A829,'[2]App C Assum'!$A$4:$I$917,9,FALSE)</f>
        <v>0</v>
      </c>
      <c r="AB829" s="2"/>
      <c r="AC829" s="2">
        <f>VLOOKUP($A829,'[2]App C Share Outflows'!$A$4:$I$917,5,FALSE)</f>
        <v>4557</v>
      </c>
      <c r="AD829" s="2">
        <f>VLOOKUP($A829,'[2]App C Share Outflows'!$A$4:$I$917,6,FALSE)</f>
        <v>3736</v>
      </c>
      <c r="AE829" s="2">
        <f>VLOOKUP($A829,'[2]App C Share Outflows'!$A$4:$I$917,7,FALSE)</f>
        <v>2618</v>
      </c>
      <c r="AF829" s="2">
        <f>VLOOKUP($A829,'[2]App C Share Outflows'!$A$4:$I$917,8,FALSE)</f>
        <v>1355</v>
      </c>
      <c r="AG829" s="2">
        <f>VLOOKUP($A829,'[2]App C Share Outflows'!$A$4:$I$917,9,FALSE)</f>
        <v>0</v>
      </c>
      <c r="AH829" s="2"/>
      <c r="AI829" s="2">
        <f>VLOOKUP($A829,'[2]App C Share Inflows'!$A$4:$I$917,5,FALSE)</f>
        <v>0</v>
      </c>
      <c r="AJ829" s="2">
        <f>VLOOKUP($A829,'[2]App C Share Inflows'!$A$4:$I$917,6,FALSE)</f>
        <v>0</v>
      </c>
      <c r="AK829" s="2">
        <f>VLOOKUP($A829,'[2]App C Share Inflows'!$A$4:$I$917,7,FALSE)</f>
        <v>0</v>
      </c>
      <c r="AL829" s="2">
        <f>VLOOKUP($A829,'[2]App C Share Inflows'!$A$4:$I$917,8,FALSE)</f>
        <v>0</v>
      </c>
      <c r="AM829" s="2">
        <f>VLOOKUP($A829,'[2]App C Share Inflows'!$A$4:$I$917,6,FALSE)</f>
        <v>0</v>
      </c>
    </row>
    <row r="830" spans="1:39">
      <c r="A830" s="351">
        <v>99031</v>
      </c>
      <c r="B830" s="344" t="s">
        <v>1528</v>
      </c>
      <c r="C830" s="235" t="e">
        <f>VLOOKUP(A830,#REF!,10,FALSE)</f>
        <v>#REF!</v>
      </c>
      <c r="E830" s="2">
        <f>VLOOKUP($A830,'[2]App C Total'!$A$4:$I$917,5,FALSE)</f>
        <v>48933</v>
      </c>
      <c r="F830" s="2">
        <f>VLOOKUP($A830,'[2]App C Total'!$A$4:$I$917,6,FALSE)</f>
        <v>7356</v>
      </c>
      <c r="G830" s="2">
        <f>VLOOKUP($A830,'[2]App C Total'!$A$4:$I$917,7,FALSE)</f>
        <v>24405</v>
      </c>
      <c r="H830" s="2">
        <f>VLOOKUP($A830,'[2]App C Total'!$A$4:$I$917,8,FALSE)</f>
        <v>5721</v>
      </c>
      <c r="I830" s="2">
        <f>VLOOKUP($A830,'[2]App C Total'!$A$4:$I$917,9,FALSE)</f>
        <v>0</v>
      </c>
      <c r="J830" s="2"/>
      <c r="K830" s="2">
        <f>VLOOKUP($A830,'[2]App C Exp'!$A$4:$I$917,5,FALSE)</f>
        <v>18097</v>
      </c>
      <c r="L830" s="2">
        <f>VLOOKUP($A830,'[2]App C Exp'!$A$4:$I$917,6,FALSE)</f>
        <v>17023</v>
      </c>
      <c r="M830" s="2">
        <f>VLOOKUP($A830,'[2]App C Exp'!$A$4:$I$917,7,FALSE)</f>
        <v>15258</v>
      </c>
      <c r="N830" s="2">
        <f>VLOOKUP($A830,'[2]App C Exp'!$A$4:$I$917,8,FALSE)</f>
        <v>6109</v>
      </c>
      <c r="O830" s="2">
        <f>VLOOKUP($A830,'[2]App C Exp'!$A$4:$I$917,9,FALSE)</f>
        <v>0</v>
      </c>
      <c r="P830" s="2"/>
      <c r="Q830" s="2">
        <f>VLOOKUP($A830,'[2]App C Inv'!$A$4:$I$917,5,FALSE)</f>
        <v>19212</v>
      </c>
      <c r="R830" s="2">
        <f>VLOOKUP($A830,'[2]App C Inv'!$A$4:$I$917,6,FALSE)</f>
        <v>-16526</v>
      </c>
      <c r="S830" s="2">
        <f>VLOOKUP($A830,'[2]App C Inv'!$A$4:$I$917,7,FALSE)</f>
        <v>2329</v>
      </c>
      <c r="T830" s="2">
        <f>VLOOKUP($A830,'[2]App C Inv'!$A$4:$I$917,8,FALSE)</f>
        <v>3031</v>
      </c>
      <c r="U830" s="2">
        <f>VLOOKUP($A830,'[2]App C Inv'!$A$4:$I$917,9,FALSE)</f>
        <v>0</v>
      </c>
      <c r="V830" s="2"/>
      <c r="W830" s="2">
        <f>VLOOKUP($A830,'[2]App C Assum'!$A$4:$I$917,5,FALSE)</f>
        <v>21643</v>
      </c>
      <c r="X830" s="2">
        <f>VLOOKUP($A830,'[2]App C Assum'!$A$4:$I$917,6,FALSE)</f>
        <v>17731</v>
      </c>
      <c r="Y830" s="2">
        <f>VLOOKUP($A830,'[2]App C Assum'!$A$4:$I$917,7,FALSE)</f>
        <v>14394</v>
      </c>
      <c r="Z830" s="2">
        <f>VLOOKUP($A830,'[2]App C Assum'!$A$4:$I$917,8,FALSE)</f>
        <v>0</v>
      </c>
      <c r="AA830" s="2">
        <f>VLOOKUP($A830,'[2]App C Assum'!$A$4:$I$917,9,FALSE)</f>
        <v>0</v>
      </c>
      <c r="AB830" s="2"/>
      <c r="AC830" s="2">
        <f>VLOOKUP($A830,'[2]App C Share Outflows'!$A$4:$I$917,5,FALSE)</f>
        <v>855</v>
      </c>
      <c r="AD830" s="2">
        <f>VLOOKUP($A830,'[2]App C Share Outflows'!$A$4:$I$917,6,FALSE)</f>
        <v>0</v>
      </c>
      <c r="AE830" s="2">
        <f>VLOOKUP($A830,'[2]App C Share Outflows'!$A$4:$I$917,7,FALSE)</f>
        <v>0</v>
      </c>
      <c r="AF830" s="2">
        <f>VLOOKUP($A830,'[2]App C Share Outflows'!$A$4:$I$917,8,FALSE)</f>
        <v>0</v>
      </c>
      <c r="AG830" s="2">
        <f>VLOOKUP($A830,'[2]App C Share Outflows'!$A$4:$I$917,9,FALSE)</f>
        <v>0</v>
      </c>
      <c r="AH830" s="2"/>
      <c r="AI830" s="2">
        <f>VLOOKUP($A830,'[2]App C Share Inflows'!$A$4:$I$917,5,FALSE)</f>
        <v>-10874</v>
      </c>
      <c r="AJ830" s="2">
        <f>VLOOKUP($A830,'[2]App C Share Inflows'!$A$4:$I$917,6,FALSE)</f>
        <v>-10872</v>
      </c>
      <c r="AK830" s="2">
        <f>VLOOKUP($A830,'[2]App C Share Inflows'!$A$4:$I$917,7,FALSE)</f>
        <v>-7576</v>
      </c>
      <c r="AL830" s="2">
        <f>VLOOKUP($A830,'[2]App C Share Inflows'!$A$4:$I$917,8,FALSE)</f>
        <v>-3419</v>
      </c>
      <c r="AM830" s="2">
        <f>VLOOKUP($A830,'[2]App C Share Inflows'!$A$4:$I$917,6,FALSE)</f>
        <v>-10872</v>
      </c>
    </row>
    <row r="831" spans="1:39">
      <c r="A831" s="351">
        <v>99041</v>
      </c>
      <c r="B831" s="344" t="s">
        <v>1529</v>
      </c>
      <c r="C831" s="235" t="e">
        <f>VLOOKUP(A831,#REF!,10,FALSE)</f>
        <v>#REF!</v>
      </c>
      <c r="E831" s="2">
        <f>VLOOKUP($A831,'[2]App C Total'!$A$4:$I$917,5,FALSE)</f>
        <v>305269</v>
      </c>
      <c r="F831" s="2">
        <f>VLOOKUP($A831,'[2]App C Total'!$A$4:$I$917,6,FALSE)</f>
        <v>88376</v>
      </c>
      <c r="G831" s="2">
        <f>VLOOKUP($A831,'[2]App C Total'!$A$4:$I$917,7,FALSE)</f>
        <v>156481</v>
      </c>
      <c r="H831" s="2">
        <f>VLOOKUP($A831,'[2]App C Total'!$A$4:$I$917,8,FALSE)</f>
        <v>39052</v>
      </c>
      <c r="I831" s="2">
        <f>VLOOKUP($A831,'[2]App C Total'!$A$4:$I$917,9,FALSE)</f>
        <v>0</v>
      </c>
      <c r="J831" s="2"/>
      <c r="K831" s="2">
        <f>VLOOKUP($A831,'[2]App C Exp'!$A$4:$I$917,5,FALSE)</f>
        <v>95637</v>
      </c>
      <c r="L831" s="2">
        <f>VLOOKUP($A831,'[2]App C Exp'!$A$4:$I$917,6,FALSE)</f>
        <v>89963</v>
      </c>
      <c r="M831" s="2">
        <f>VLOOKUP($A831,'[2]App C Exp'!$A$4:$I$917,7,FALSE)</f>
        <v>80633</v>
      </c>
      <c r="N831" s="2">
        <f>VLOOKUP($A831,'[2]App C Exp'!$A$4:$I$917,8,FALSE)</f>
        <v>32285</v>
      </c>
      <c r="O831" s="2">
        <f>VLOOKUP($A831,'[2]App C Exp'!$A$4:$I$917,9,FALSE)</f>
        <v>0</v>
      </c>
      <c r="P831" s="2"/>
      <c r="Q831" s="2">
        <f>VLOOKUP($A831,'[2]App C Inv'!$A$4:$I$917,5,FALSE)</f>
        <v>101532</v>
      </c>
      <c r="R831" s="2">
        <f>VLOOKUP($A831,'[2]App C Inv'!$A$4:$I$917,6,FALSE)</f>
        <v>-87336</v>
      </c>
      <c r="S831" s="2">
        <f>VLOOKUP($A831,'[2]App C Inv'!$A$4:$I$917,7,FALSE)</f>
        <v>12309</v>
      </c>
      <c r="T831" s="2">
        <f>VLOOKUP($A831,'[2]App C Inv'!$A$4:$I$917,8,FALSE)</f>
        <v>16020</v>
      </c>
      <c r="U831" s="2">
        <f>VLOOKUP($A831,'[2]App C Inv'!$A$4:$I$917,9,FALSE)</f>
        <v>0</v>
      </c>
      <c r="V831" s="2"/>
      <c r="W831" s="2">
        <f>VLOOKUP($A831,'[2]App C Assum'!$A$4:$I$917,5,FALSE)</f>
        <v>114377</v>
      </c>
      <c r="X831" s="2">
        <f>VLOOKUP($A831,'[2]App C Assum'!$A$4:$I$917,6,FALSE)</f>
        <v>93702</v>
      </c>
      <c r="Y831" s="2">
        <f>VLOOKUP($A831,'[2]App C Assum'!$A$4:$I$917,7,FALSE)</f>
        <v>76070</v>
      </c>
      <c r="Z831" s="2">
        <f>VLOOKUP($A831,'[2]App C Assum'!$A$4:$I$917,8,FALSE)</f>
        <v>0</v>
      </c>
      <c r="AA831" s="2">
        <f>VLOOKUP($A831,'[2]App C Assum'!$A$4:$I$917,9,FALSE)</f>
        <v>0</v>
      </c>
      <c r="AB831" s="2"/>
      <c r="AC831" s="2">
        <f>VLOOKUP($A831,'[2]App C Share Outflows'!$A$4:$I$917,5,FALSE)</f>
        <v>6256</v>
      </c>
      <c r="AD831" s="2">
        <f>VLOOKUP($A831,'[2]App C Share Outflows'!$A$4:$I$917,6,FALSE)</f>
        <v>4580</v>
      </c>
      <c r="AE831" s="2">
        <f>VLOOKUP($A831,'[2]App C Share Outflows'!$A$4:$I$917,7,FALSE)</f>
        <v>0</v>
      </c>
      <c r="AF831" s="2">
        <f>VLOOKUP($A831,'[2]App C Share Outflows'!$A$4:$I$917,8,FALSE)</f>
        <v>0</v>
      </c>
      <c r="AG831" s="2">
        <f>VLOOKUP($A831,'[2]App C Share Outflows'!$A$4:$I$917,9,FALSE)</f>
        <v>0</v>
      </c>
      <c r="AH831" s="2"/>
      <c r="AI831" s="2">
        <f>VLOOKUP($A831,'[2]App C Share Inflows'!$A$4:$I$917,5,FALSE)</f>
        <v>-12533</v>
      </c>
      <c r="AJ831" s="2">
        <f>VLOOKUP($A831,'[2]App C Share Inflows'!$A$4:$I$917,6,FALSE)</f>
        <v>-12533</v>
      </c>
      <c r="AK831" s="2">
        <f>VLOOKUP($A831,'[2]App C Share Inflows'!$A$4:$I$917,7,FALSE)</f>
        <v>-12531</v>
      </c>
      <c r="AL831" s="2">
        <f>VLOOKUP($A831,'[2]App C Share Inflows'!$A$4:$I$917,8,FALSE)</f>
        <v>-9253</v>
      </c>
      <c r="AM831" s="2">
        <f>VLOOKUP($A831,'[2]App C Share Inflows'!$A$4:$I$917,6,FALSE)</f>
        <v>-12533</v>
      </c>
    </row>
    <row r="832" spans="1:39">
      <c r="A832" s="351">
        <v>99047</v>
      </c>
      <c r="B832" s="344" t="s">
        <v>1530</v>
      </c>
      <c r="C832" s="235" t="e">
        <f>VLOOKUP(A832,#REF!,10,FALSE)</f>
        <v>#REF!</v>
      </c>
      <c r="E832" s="2">
        <f>VLOOKUP($A832,'[2]App C Total'!$A$4:$I$917,5,FALSE)</f>
        <v>9024</v>
      </c>
      <c r="F832" s="2">
        <f>VLOOKUP($A832,'[2]App C Total'!$A$4:$I$917,6,FALSE)</f>
        <v>4389</v>
      </c>
      <c r="G832" s="2">
        <f>VLOOKUP($A832,'[2]App C Total'!$A$4:$I$917,7,FALSE)</f>
        <v>4817</v>
      </c>
      <c r="H832" s="2">
        <f>VLOOKUP($A832,'[2]App C Total'!$A$4:$I$917,8,FALSE)</f>
        <v>1625</v>
      </c>
      <c r="I832" s="2">
        <f>VLOOKUP($A832,'[2]App C Total'!$A$4:$I$917,9,FALSE)</f>
        <v>0</v>
      </c>
      <c r="J832" s="2"/>
      <c r="K832" s="2">
        <f>VLOOKUP($A832,'[2]App C Exp'!$A$4:$I$917,5,FALSE)</f>
        <v>1992</v>
      </c>
      <c r="L832" s="2">
        <f>VLOOKUP($A832,'[2]App C Exp'!$A$4:$I$917,6,FALSE)</f>
        <v>1874</v>
      </c>
      <c r="M832" s="2">
        <f>VLOOKUP($A832,'[2]App C Exp'!$A$4:$I$917,7,FALSE)</f>
        <v>1680</v>
      </c>
      <c r="N832" s="2">
        <f>VLOOKUP($A832,'[2]App C Exp'!$A$4:$I$917,8,FALSE)</f>
        <v>673</v>
      </c>
      <c r="O832" s="2">
        <f>VLOOKUP($A832,'[2]App C Exp'!$A$4:$I$917,9,FALSE)</f>
        <v>0</v>
      </c>
      <c r="P832" s="2"/>
      <c r="Q832" s="2">
        <f>VLOOKUP($A832,'[2]App C Inv'!$A$4:$I$917,5,FALSE)</f>
        <v>2115</v>
      </c>
      <c r="R832" s="2">
        <f>VLOOKUP($A832,'[2]App C Inv'!$A$4:$I$917,6,FALSE)</f>
        <v>-1820</v>
      </c>
      <c r="S832" s="2">
        <f>VLOOKUP($A832,'[2]App C Inv'!$A$4:$I$917,7,FALSE)</f>
        <v>256</v>
      </c>
      <c r="T832" s="2">
        <f>VLOOKUP($A832,'[2]App C Inv'!$A$4:$I$917,8,FALSE)</f>
        <v>334</v>
      </c>
      <c r="U832" s="2">
        <f>VLOOKUP($A832,'[2]App C Inv'!$A$4:$I$917,9,FALSE)</f>
        <v>0</v>
      </c>
      <c r="V832" s="2"/>
      <c r="W832" s="2">
        <f>VLOOKUP($A832,'[2]App C Assum'!$A$4:$I$917,5,FALSE)</f>
        <v>2383</v>
      </c>
      <c r="X832" s="2">
        <f>VLOOKUP($A832,'[2]App C Assum'!$A$4:$I$917,6,FALSE)</f>
        <v>1952</v>
      </c>
      <c r="Y832" s="2">
        <f>VLOOKUP($A832,'[2]App C Assum'!$A$4:$I$917,7,FALSE)</f>
        <v>1585</v>
      </c>
      <c r="Z832" s="2">
        <f>VLOOKUP($A832,'[2]App C Assum'!$A$4:$I$917,8,FALSE)</f>
        <v>0</v>
      </c>
      <c r="AA832" s="2">
        <f>VLOOKUP($A832,'[2]App C Assum'!$A$4:$I$917,9,FALSE)</f>
        <v>0</v>
      </c>
      <c r="AB832" s="2"/>
      <c r="AC832" s="2">
        <f>VLOOKUP($A832,'[2]App C Share Outflows'!$A$4:$I$917,5,FALSE)</f>
        <v>2534</v>
      </c>
      <c r="AD832" s="2">
        <f>VLOOKUP($A832,'[2]App C Share Outflows'!$A$4:$I$917,6,FALSE)</f>
        <v>2383</v>
      </c>
      <c r="AE832" s="2">
        <f>VLOOKUP($A832,'[2]App C Share Outflows'!$A$4:$I$917,7,FALSE)</f>
        <v>1296</v>
      </c>
      <c r="AF832" s="2">
        <f>VLOOKUP($A832,'[2]App C Share Outflows'!$A$4:$I$917,8,FALSE)</f>
        <v>618</v>
      </c>
      <c r="AG832" s="2">
        <f>VLOOKUP($A832,'[2]App C Share Outflows'!$A$4:$I$917,9,FALSE)</f>
        <v>0</v>
      </c>
      <c r="AH832" s="2"/>
      <c r="AI832" s="2">
        <f>VLOOKUP($A832,'[2]App C Share Inflows'!$A$4:$I$917,5,FALSE)</f>
        <v>0</v>
      </c>
      <c r="AJ832" s="2">
        <f>VLOOKUP($A832,'[2]App C Share Inflows'!$A$4:$I$917,6,FALSE)</f>
        <v>0</v>
      </c>
      <c r="AK832" s="2">
        <f>VLOOKUP($A832,'[2]App C Share Inflows'!$A$4:$I$917,7,FALSE)</f>
        <v>0</v>
      </c>
      <c r="AL832" s="2">
        <f>VLOOKUP($A832,'[2]App C Share Inflows'!$A$4:$I$917,8,FALSE)</f>
        <v>0</v>
      </c>
      <c r="AM832" s="2">
        <f>VLOOKUP($A832,'[2]App C Share Inflows'!$A$4:$I$917,6,FALSE)</f>
        <v>0</v>
      </c>
    </row>
    <row r="833" spans="1:39">
      <c r="A833" s="351">
        <v>99051</v>
      </c>
      <c r="B833" s="344" t="s">
        <v>1531</v>
      </c>
      <c r="C833" s="235" t="e">
        <f>VLOOKUP(A833,#REF!,10,FALSE)</f>
        <v>#REF!</v>
      </c>
      <c r="E833" s="2">
        <f>VLOOKUP($A833,'[2]App C Total'!$A$4:$I$917,5,FALSE)</f>
        <v>160686</v>
      </c>
      <c r="F833" s="2">
        <f>VLOOKUP($A833,'[2]App C Total'!$A$4:$I$917,6,FALSE)</f>
        <v>43686</v>
      </c>
      <c r="G833" s="2">
        <f>VLOOKUP($A833,'[2]App C Total'!$A$4:$I$917,7,FALSE)</f>
        <v>83089</v>
      </c>
      <c r="H833" s="2">
        <f>VLOOKUP($A833,'[2]App C Total'!$A$4:$I$917,8,FALSE)</f>
        <v>21581</v>
      </c>
      <c r="I833" s="2">
        <f>VLOOKUP($A833,'[2]App C Total'!$A$4:$I$917,9,FALSE)</f>
        <v>0</v>
      </c>
      <c r="J833" s="2"/>
      <c r="K833" s="2">
        <f>VLOOKUP($A833,'[2]App C Exp'!$A$4:$I$917,5,FALSE)</f>
        <v>51009</v>
      </c>
      <c r="L833" s="2">
        <f>VLOOKUP($A833,'[2]App C Exp'!$A$4:$I$917,6,FALSE)</f>
        <v>47983</v>
      </c>
      <c r="M833" s="2">
        <f>VLOOKUP($A833,'[2]App C Exp'!$A$4:$I$917,7,FALSE)</f>
        <v>43007</v>
      </c>
      <c r="N833" s="2">
        <f>VLOOKUP($A833,'[2]App C Exp'!$A$4:$I$917,8,FALSE)</f>
        <v>17219</v>
      </c>
      <c r="O833" s="2">
        <f>VLOOKUP($A833,'[2]App C Exp'!$A$4:$I$917,9,FALSE)</f>
        <v>0</v>
      </c>
      <c r="P833" s="2"/>
      <c r="Q833" s="2">
        <f>VLOOKUP($A833,'[2]App C Inv'!$A$4:$I$917,5,FALSE)</f>
        <v>54153</v>
      </c>
      <c r="R833" s="2">
        <f>VLOOKUP($A833,'[2]App C Inv'!$A$4:$I$917,6,FALSE)</f>
        <v>-46582</v>
      </c>
      <c r="S833" s="2">
        <f>VLOOKUP($A833,'[2]App C Inv'!$A$4:$I$917,7,FALSE)</f>
        <v>6565</v>
      </c>
      <c r="T833" s="2">
        <f>VLOOKUP($A833,'[2]App C Inv'!$A$4:$I$917,8,FALSE)</f>
        <v>8545</v>
      </c>
      <c r="U833" s="2">
        <f>VLOOKUP($A833,'[2]App C Inv'!$A$4:$I$917,9,FALSE)</f>
        <v>0</v>
      </c>
      <c r="V833" s="2"/>
      <c r="W833" s="2">
        <f>VLOOKUP($A833,'[2]App C Assum'!$A$4:$I$917,5,FALSE)</f>
        <v>61005</v>
      </c>
      <c r="X833" s="2">
        <f>VLOOKUP($A833,'[2]App C Assum'!$A$4:$I$917,6,FALSE)</f>
        <v>49977</v>
      </c>
      <c r="Y833" s="2">
        <f>VLOOKUP($A833,'[2]App C Assum'!$A$4:$I$917,7,FALSE)</f>
        <v>40573</v>
      </c>
      <c r="Z833" s="2">
        <f>VLOOKUP($A833,'[2]App C Assum'!$A$4:$I$917,8,FALSE)</f>
        <v>0</v>
      </c>
      <c r="AA833" s="2">
        <f>VLOOKUP($A833,'[2]App C Assum'!$A$4:$I$917,9,FALSE)</f>
        <v>0</v>
      </c>
      <c r="AB833" s="2"/>
      <c r="AC833" s="2">
        <f>VLOOKUP($A833,'[2]App C Share Outflows'!$A$4:$I$917,5,FALSE)</f>
        <v>2211</v>
      </c>
      <c r="AD833" s="2">
        <f>VLOOKUP($A833,'[2]App C Share Outflows'!$A$4:$I$917,6,FALSE)</f>
        <v>0</v>
      </c>
      <c r="AE833" s="2">
        <f>VLOOKUP($A833,'[2]App C Share Outflows'!$A$4:$I$917,7,FALSE)</f>
        <v>0</v>
      </c>
      <c r="AF833" s="2">
        <f>VLOOKUP($A833,'[2]App C Share Outflows'!$A$4:$I$917,8,FALSE)</f>
        <v>0</v>
      </c>
      <c r="AG833" s="2">
        <f>VLOOKUP($A833,'[2]App C Share Outflows'!$A$4:$I$917,9,FALSE)</f>
        <v>0</v>
      </c>
      <c r="AH833" s="2"/>
      <c r="AI833" s="2">
        <f>VLOOKUP($A833,'[2]App C Share Inflows'!$A$4:$I$917,5,FALSE)</f>
        <v>-7692</v>
      </c>
      <c r="AJ833" s="2">
        <f>VLOOKUP($A833,'[2]App C Share Inflows'!$A$4:$I$917,6,FALSE)</f>
        <v>-7692</v>
      </c>
      <c r="AK833" s="2">
        <f>VLOOKUP($A833,'[2]App C Share Inflows'!$A$4:$I$917,7,FALSE)</f>
        <v>-7056</v>
      </c>
      <c r="AL833" s="2">
        <f>VLOOKUP($A833,'[2]App C Share Inflows'!$A$4:$I$917,8,FALSE)</f>
        <v>-4183</v>
      </c>
      <c r="AM833" s="2">
        <f>VLOOKUP($A833,'[2]App C Share Inflows'!$A$4:$I$917,6,FALSE)</f>
        <v>-7692</v>
      </c>
    </row>
    <row r="834" spans="1:39">
      <c r="A834" s="351">
        <v>99061</v>
      </c>
      <c r="B834" s="344" t="s">
        <v>1532</v>
      </c>
      <c r="C834" s="235" t="e">
        <f>VLOOKUP(A834,#REF!,10,FALSE)</f>
        <v>#REF!</v>
      </c>
      <c r="E834" s="2">
        <f>VLOOKUP($A834,'[2]App C Total'!$A$4:$I$917,5,FALSE)</f>
        <v>5269</v>
      </c>
      <c r="F834" s="2">
        <f>VLOOKUP($A834,'[2]App C Total'!$A$4:$I$917,6,FALSE)</f>
        <v>2564</v>
      </c>
      <c r="G834" s="2">
        <f>VLOOKUP($A834,'[2]App C Total'!$A$4:$I$917,7,FALSE)</f>
        <v>2472</v>
      </c>
      <c r="H834" s="2">
        <f>VLOOKUP($A834,'[2]App C Total'!$A$4:$I$917,8,FALSE)</f>
        <v>475</v>
      </c>
      <c r="I834" s="2">
        <f>VLOOKUP($A834,'[2]App C Total'!$A$4:$I$917,9,FALSE)</f>
        <v>0</v>
      </c>
      <c r="J834" s="2"/>
      <c r="K834" s="2">
        <f>VLOOKUP($A834,'[2]App C Exp'!$A$4:$I$917,5,FALSE)</f>
        <v>914</v>
      </c>
      <c r="L834" s="2">
        <f>VLOOKUP($A834,'[2]App C Exp'!$A$4:$I$917,6,FALSE)</f>
        <v>860</v>
      </c>
      <c r="M834" s="2">
        <f>VLOOKUP($A834,'[2]App C Exp'!$A$4:$I$917,7,FALSE)</f>
        <v>770</v>
      </c>
      <c r="N834" s="2">
        <f>VLOOKUP($A834,'[2]App C Exp'!$A$4:$I$917,8,FALSE)</f>
        <v>308</v>
      </c>
      <c r="O834" s="2">
        <f>VLOOKUP($A834,'[2]App C Exp'!$A$4:$I$917,9,FALSE)</f>
        <v>0</v>
      </c>
      <c r="P834" s="2"/>
      <c r="Q834" s="2">
        <f>VLOOKUP($A834,'[2]App C Inv'!$A$4:$I$917,5,FALSE)</f>
        <v>970</v>
      </c>
      <c r="R834" s="2">
        <f>VLOOKUP($A834,'[2]App C Inv'!$A$4:$I$917,6,FALSE)</f>
        <v>-835</v>
      </c>
      <c r="S834" s="2">
        <f>VLOOKUP($A834,'[2]App C Inv'!$A$4:$I$917,7,FALSE)</f>
        <v>118</v>
      </c>
      <c r="T834" s="2">
        <f>VLOOKUP($A834,'[2]App C Inv'!$A$4:$I$917,8,FALSE)</f>
        <v>153</v>
      </c>
      <c r="U834" s="2">
        <f>VLOOKUP($A834,'[2]App C Inv'!$A$4:$I$917,9,FALSE)</f>
        <v>0</v>
      </c>
      <c r="V834" s="2"/>
      <c r="W834" s="2">
        <f>VLOOKUP($A834,'[2]App C Assum'!$A$4:$I$917,5,FALSE)</f>
        <v>1093</v>
      </c>
      <c r="X834" s="2">
        <f>VLOOKUP($A834,'[2]App C Assum'!$A$4:$I$917,6,FALSE)</f>
        <v>895</v>
      </c>
      <c r="Y834" s="2">
        <f>VLOOKUP($A834,'[2]App C Assum'!$A$4:$I$917,7,FALSE)</f>
        <v>727</v>
      </c>
      <c r="Z834" s="2">
        <f>VLOOKUP($A834,'[2]App C Assum'!$A$4:$I$917,8,FALSE)</f>
        <v>0</v>
      </c>
      <c r="AA834" s="2">
        <f>VLOOKUP($A834,'[2]App C Assum'!$A$4:$I$917,9,FALSE)</f>
        <v>0</v>
      </c>
      <c r="AB834" s="2"/>
      <c r="AC834" s="2">
        <f>VLOOKUP($A834,'[2]App C Share Outflows'!$A$4:$I$917,5,FALSE)</f>
        <v>2292</v>
      </c>
      <c r="AD834" s="2">
        <f>VLOOKUP($A834,'[2]App C Share Outflows'!$A$4:$I$917,6,FALSE)</f>
        <v>1644</v>
      </c>
      <c r="AE834" s="2">
        <f>VLOOKUP($A834,'[2]App C Share Outflows'!$A$4:$I$917,7,FALSE)</f>
        <v>857</v>
      </c>
      <c r="AF834" s="2">
        <f>VLOOKUP($A834,'[2]App C Share Outflows'!$A$4:$I$917,8,FALSE)</f>
        <v>14</v>
      </c>
      <c r="AG834" s="2">
        <f>VLOOKUP($A834,'[2]App C Share Outflows'!$A$4:$I$917,9,FALSE)</f>
        <v>0</v>
      </c>
      <c r="AH834" s="2"/>
      <c r="AI834" s="2">
        <f>VLOOKUP($A834,'[2]App C Share Inflows'!$A$4:$I$917,5,FALSE)</f>
        <v>0</v>
      </c>
      <c r="AJ834" s="2">
        <f>VLOOKUP($A834,'[2]App C Share Inflows'!$A$4:$I$917,6,FALSE)</f>
        <v>0</v>
      </c>
      <c r="AK834" s="2">
        <f>VLOOKUP($A834,'[2]App C Share Inflows'!$A$4:$I$917,7,FALSE)</f>
        <v>0</v>
      </c>
      <c r="AL834" s="2">
        <f>VLOOKUP($A834,'[2]App C Share Inflows'!$A$4:$I$917,8,FALSE)</f>
        <v>0</v>
      </c>
      <c r="AM834" s="2">
        <f>VLOOKUP($A834,'[2]App C Share Inflows'!$A$4:$I$917,6,FALSE)</f>
        <v>0</v>
      </c>
    </row>
    <row r="835" spans="1:39">
      <c r="A835" s="351">
        <v>99071</v>
      </c>
      <c r="B835" s="344" t="s">
        <v>1533</v>
      </c>
      <c r="C835" s="235" t="e">
        <f>VLOOKUP(A835,#REF!,10,FALSE)</f>
        <v>#REF!</v>
      </c>
      <c r="E835" s="2">
        <f>VLOOKUP($A835,'[2]App C Total'!$A$4:$I$917,5,FALSE)</f>
        <v>12292</v>
      </c>
      <c r="F835" s="2">
        <f>VLOOKUP($A835,'[2]App C Total'!$A$4:$I$917,6,FALSE)</f>
        <v>4190</v>
      </c>
      <c r="G835" s="2">
        <f>VLOOKUP($A835,'[2]App C Total'!$A$4:$I$917,7,FALSE)</f>
        <v>6772</v>
      </c>
      <c r="H835" s="2">
        <f>VLOOKUP($A835,'[2]App C Total'!$A$4:$I$917,8,FALSE)</f>
        <v>2989</v>
      </c>
      <c r="I835" s="2">
        <f>VLOOKUP($A835,'[2]App C Total'!$A$4:$I$917,9,FALSE)</f>
        <v>0</v>
      </c>
      <c r="J835" s="2"/>
      <c r="K835" s="2">
        <f>VLOOKUP($A835,'[2]App C Exp'!$A$4:$I$917,5,FALSE)</f>
        <v>3670</v>
      </c>
      <c r="L835" s="2">
        <f>VLOOKUP($A835,'[2]App C Exp'!$A$4:$I$917,6,FALSE)</f>
        <v>3453</v>
      </c>
      <c r="M835" s="2">
        <f>VLOOKUP($A835,'[2]App C Exp'!$A$4:$I$917,7,FALSE)</f>
        <v>3094</v>
      </c>
      <c r="N835" s="2">
        <f>VLOOKUP($A835,'[2]App C Exp'!$A$4:$I$917,8,FALSE)</f>
        <v>1239</v>
      </c>
      <c r="O835" s="2">
        <f>VLOOKUP($A835,'[2]App C Exp'!$A$4:$I$917,9,FALSE)</f>
        <v>0</v>
      </c>
      <c r="P835" s="2"/>
      <c r="Q835" s="2">
        <f>VLOOKUP($A835,'[2]App C Inv'!$A$4:$I$917,5,FALSE)</f>
        <v>3897</v>
      </c>
      <c r="R835" s="2">
        <f>VLOOKUP($A835,'[2]App C Inv'!$A$4:$I$917,6,FALSE)</f>
        <v>-3352</v>
      </c>
      <c r="S835" s="2">
        <f>VLOOKUP($A835,'[2]App C Inv'!$A$4:$I$917,7,FALSE)</f>
        <v>472</v>
      </c>
      <c r="T835" s="2">
        <f>VLOOKUP($A835,'[2]App C Inv'!$A$4:$I$917,8,FALSE)</f>
        <v>615</v>
      </c>
      <c r="U835" s="2">
        <f>VLOOKUP($A835,'[2]App C Inv'!$A$4:$I$917,9,FALSE)</f>
        <v>0</v>
      </c>
      <c r="V835" s="2"/>
      <c r="W835" s="2">
        <f>VLOOKUP($A835,'[2]App C Assum'!$A$4:$I$917,5,FALSE)</f>
        <v>4389</v>
      </c>
      <c r="X835" s="2">
        <f>VLOOKUP($A835,'[2]App C Assum'!$A$4:$I$917,6,FALSE)</f>
        <v>3596</v>
      </c>
      <c r="Y835" s="2">
        <f>VLOOKUP($A835,'[2]App C Assum'!$A$4:$I$917,7,FALSE)</f>
        <v>2919</v>
      </c>
      <c r="Z835" s="2">
        <f>VLOOKUP($A835,'[2]App C Assum'!$A$4:$I$917,8,FALSE)</f>
        <v>0</v>
      </c>
      <c r="AA835" s="2">
        <f>VLOOKUP($A835,'[2]App C Assum'!$A$4:$I$917,9,FALSE)</f>
        <v>0</v>
      </c>
      <c r="AB835" s="2"/>
      <c r="AC835" s="2">
        <f>VLOOKUP($A835,'[2]App C Share Outflows'!$A$4:$I$917,5,FALSE)</f>
        <v>1339</v>
      </c>
      <c r="AD835" s="2">
        <f>VLOOKUP($A835,'[2]App C Share Outflows'!$A$4:$I$917,6,FALSE)</f>
        <v>1341</v>
      </c>
      <c r="AE835" s="2">
        <f>VLOOKUP($A835,'[2]App C Share Outflows'!$A$4:$I$917,7,FALSE)</f>
        <v>1135</v>
      </c>
      <c r="AF835" s="2">
        <f>VLOOKUP($A835,'[2]App C Share Outflows'!$A$4:$I$917,8,FALSE)</f>
        <v>1135</v>
      </c>
      <c r="AG835" s="2">
        <f>VLOOKUP($A835,'[2]App C Share Outflows'!$A$4:$I$917,9,FALSE)</f>
        <v>0</v>
      </c>
      <c r="AH835" s="2"/>
      <c r="AI835" s="2">
        <f>VLOOKUP($A835,'[2]App C Share Inflows'!$A$4:$I$917,5,FALSE)</f>
        <v>-1003</v>
      </c>
      <c r="AJ835" s="2">
        <f>VLOOKUP($A835,'[2]App C Share Inflows'!$A$4:$I$917,6,FALSE)</f>
        <v>-848</v>
      </c>
      <c r="AK835" s="2">
        <f>VLOOKUP($A835,'[2]App C Share Inflows'!$A$4:$I$917,7,FALSE)</f>
        <v>-848</v>
      </c>
      <c r="AL835" s="2">
        <f>VLOOKUP($A835,'[2]App C Share Inflows'!$A$4:$I$917,8,FALSE)</f>
        <v>0</v>
      </c>
      <c r="AM835" s="2">
        <f>VLOOKUP($A835,'[2]App C Share Inflows'!$A$4:$I$917,6,FALSE)</f>
        <v>-848</v>
      </c>
    </row>
    <row r="836" spans="1:39">
      <c r="A836" s="351">
        <v>99081</v>
      </c>
      <c r="B836" s="344" t="s">
        <v>1534</v>
      </c>
      <c r="C836" s="235" t="e">
        <f>VLOOKUP(A836,#REF!,10,FALSE)</f>
        <v>#REF!</v>
      </c>
      <c r="E836" s="2">
        <f>VLOOKUP($A836,'[2]App C Total'!$A$4:$I$917,5,FALSE)</f>
        <v>19728</v>
      </c>
      <c r="F836" s="2">
        <f>VLOOKUP($A836,'[2]App C Total'!$A$4:$I$917,6,FALSE)</f>
        <v>8395</v>
      </c>
      <c r="G836" s="2">
        <f>VLOOKUP($A836,'[2]App C Total'!$A$4:$I$917,7,FALSE)</f>
        <v>14635</v>
      </c>
      <c r="H836" s="2">
        <f>VLOOKUP($A836,'[2]App C Total'!$A$4:$I$917,8,FALSE)</f>
        <v>6675</v>
      </c>
      <c r="I836" s="2">
        <f>VLOOKUP($A836,'[2]App C Total'!$A$4:$I$917,9,FALSE)</f>
        <v>0</v>
      </c>
      <c r="J836" s="2"/>
      <c r="K836" s="2">
        <f>VLOOKUP($A836,'[2]App C Exp'!$A$4:$I$917,5,FALSE)</f>
        <v>5468</v>
      </c>
      <c r="L836" s="2">
        <f>VLOOKUP($A836,'[2]App C Exp'!$A$4:$I$917,6,FALSE)</f>
        <v>5144</v>
      </c>
      <c r="M836" s="2">
        <f>VLOOKUP($A836,'[2]App C Exp'!$A$4:$I$917,7,FALSE)</f>
        <v>4610</v>
      </c>
      <c r="N836" s="2">
        <f>VLOOKUP($A836,'[2]App C Exp'!$A$4:$I$917,8,FALSE)</f>
        <v>1846</v>
      </c>
      <c r="O836" s="2">
        <f>VLOOKUP($A836,'[2]App C Exp'!$A$4:$I$917,9,FALSE)</f>
        <v>0</v>
      </c>
      <c r="P836" s="2"/>
      <c r="Q836" s="2">
        <f>VLOOKUP($A836,'[2]App C Inv'!$A$4:$I$917,5,FALSE)</f>
        <v>5805</v>
      </c>
      <c r="R836" s="2">
        <f>VLOOKUP($A836,'[2]App C Inv'!$A$4:$I$917,6,FALSE)</f>
        <v>-4993</v>
      </c>
      <c r="S836" s="2">
        <f>VLOOKUP($A836,'[2]App C Inv'!$A$4:$I$917,7,FALSE)</f>
        <v>704</v>
      </c>
      <c r="T836" s="2">
        <f>VLOOKUP($A836,'[2]App C Inv'!$A$4:$I$917,8,FALSE)</f>
        <v>916</v>
      </c>
      <c r="U836" s="2">
        <f>VLOOKUP($A836,'[2]App C Inv'!$A$4:$I$917,9,FALSE)</f>
        <v>0</v>
      </c>
      <c r="V836" s="2"/>
      <c r="W836" s="2">
        <f>VLOOKUP($A836,'[2]App C Assum'!$A$4:$I$917,5,FALSE)</f>
        <v>6539</v>
      </c>
      <c r="X836" s="2">
        <f>VLOOKUP($A836,'[2]App C Assum'!$A$4:$I$917,6,FALSE)</f>
        <v>5357</v>
      </c>
      <c r="Y836" s="2">
        <f>VLOOKUP($A836,'[2]App C Assum'!$A$4:$I$917,7,FALSE)</f>
        <v>4349</v>
      </c>
      <c r="Z836" s="2">
        <f>VLOOKUP($A836,'[2]App C Assum'!$A$4:$I$917,8,FALSE)</f>
        <v>0</v>
      </c>
      <c r="AA836" s="2">
        <f>VLOOKUP($A836,'[2]App C Assum'!$A$4:$I$917,9,FALSE)</f>
        <v>0</v>
      </c>
      <c r="AB836" s="2"/>
      <c r="AC836" s="2">
        <f>VLOOKUP($A836,'[2]App C Share Outflows'!$A$4:$I$917,5,FALSE)</f>
        <v>4974</v>
      </c>
      <c r="AD836" s="2">
        <f>VLOOKUP($A836,'[2]App C Share Outflows'!$A$4:$I$917,6,FALSE)</f>
        <v>4974</v>
      </c>
      <c r="AE836" s="2">
        <f>VLOOKUP($A836,'[2]App C Share Outflows'!$A$4:$I$917,7,FALSE)</f>
        <v>4972</v>
      </c>
      <c r="AF836" s="2">
        <f>VLOOKUP($A836,'[2]App C Share Outflows'!$A$4:$I$917,8,FALSE)</f>
        <v>3913</v>
      </c>
      <c r="AG836" s="2">
        <f>VLOOKUP($A836,'[2]App C Share Outflows'!$A$4:$I$917,9,FALSE)</f>
        <v>0</v>
      </c>
      <c r="AH836" s="2"/>
      <c r="AI836" s="2">
        <f>VLOOKUP($A836,'[2]App C Share Inflows'!$A$4:$I$917,5,FALSE)</f>
        <v>-3058</v>
      </c>
      <c r="AJ836" s="2">
        <f>VLOOKUP($A836,'[2]App C Share Inflows'!$A$4:$I$917,6,FALSE)</f>
        <v>-2087</v>
      </c>
      <c r="AK836" s="2">
        <f>VLOOKUP($A836,'[2]App C Share Inflows'!$A$4:$I$917,7,FALSE)</f>
        <v>0</v>
      </c>
      <c r="AL836" s="2">
        <f>VLOOKUP($A836,'[2]App C Share Inflows'!$A$4:$I$917,8,FALSE)</f>
        <v>0</v>
      </c>
      <c r="AM836" s="2">
        <f>VLOOKUP($A836,'[2]App C Share Inflows'!$A$4:$I$917,6,FALSE)</f>
        <v>-2087</v>
      </c>
    </row>
    <row r="837" spans="1:39">
      <c r="A837" s="351">
        <v>99091</v>
      </c>
      <c r="B837" s="344" t="s">
        <v>1535</v>
      </c>
      <c r="C837" s="235" t="e">
        <f>VLOOKUP(A837,#REF!,10,FALSE)</f>
        <v>#REF!</v>
      </c>
      <c r="E837" s="2">
        <f>VLOOKUP($A837,'[2]App C Total'!$A$4:$I$917,5,FALSE)</f>
        <v>5669</v>
      </c>
      <c r="F837" s="2">
        <f>VLOOKUP($A837,'[2]App C Total'!$A$4:$I$917,6,FALSE)</f>
        <v>3490</v>
      </c>
      <c r="G837" s="2">
        <f>VLOOKUP($A837,'[2]App C Total'!$A$4:$I$917,7,FALSE)</f>
        <v>3536</v>
      </c>
      <c r="H837" s="2">
        <f>VLOOKUP($A837,'[2]App C Total'!$A$4:$I$917,8,FALSE)</f>
        <v>1952</v>
      </c>
      <c r="I837" s="2">
        <f>VLOOKUP($A837,'[2]App C Total'!$A$4:$I$917,9,FALSE)</f>
        <v>0</v>
      </c>
      <c r="J837" s="2"/>
      <c r="K837" s="2">
        <f>VLOOKUP($A837,'[2]App C Exp'!$A$4:$I$917,5,FALSE)</f>
        <v>809</v>
      </c>
      <c r="L837" s="2">
        <f>VLOOKUP($A837,'[2]App C Exp'!$A$4:$I$917,6,FALSE)</f>
        <v>761</v>
      </c>
      <c r="M837" s="2">
        <f>VLOOKUP($A837,'[2]App C Exp'!$A$4:$I$917,7,FALSE)</f>
        <v>682</v>
      </c>
      <c r="N837" s="2">
        <f>VLOOKUP($A837,'[2]App C Exp'!$A$4:$I$917,8,FALSE)</f>
        <v>273</v>
      </c>
      <c r="O837" s="2">
        <f>VLOOKUP($A837,'[2]App C Exp'!$A$4:$I$917,9,FALSE)</f>
        <v>0</v>
      </c>
      <c r="P837" s="2"/>
      <c r="Q837" s="2">
        <f>VLOOKUP($A837,'[2]App C Inv'!$A$4:$I$917,5,FALSE)</f>
        <v>859</v>
      </c>
      <c r="R837" s="2">
        <f>VLOOKUP($A837,'[2]App C Inv'!$A$4:$I$917,6,FALSE)</f>
        <v>-739</v>
      </c>
      <c r="S837" s="2">
        <f>VLOOKUP($A837,'[2]App C Inv'!$A$4:$I$917,7,FALSE)</f>
        <v>104</v>
      </c>
      <c r="T837" s="2">
        <f>VLOOKUP($A837,'[2]App C Inv'!$A$4:$I$917,8,FALSE)</f>
        <v>136</v>
      </c>
      <c r="U837" s="2">
        <f>VLOOKUP($A837,'[2]App C Inv'!$A$4:$I$917,9,FALSE)</f>
        <v>0</v>
      </c>
      <c r="V837" s="2"/>
      <c r="W837" s="2">
        <f>VLOOKUP($A837,'[2]App C Assum'!$A$4:$I$917,5,FALSE)</f>
        <v>967</v>
      </c>
      <c r="X837" s="2">
        <f>VLOOKUP($A837,'[2]App C Assum'!$A$4:$I$917,6,FALSE)</f>
        <v>793</v>
      </c>
      <c r="Y837" s="2">
        <f>VLOOKUP($A837,'[2]App C Assum'!$A$4:$I$917,7,FALSE)</f>
        <v>643</v>
      </c>
      <c r="Z837" s="2">
        <f>VLOOKUP($A837,'[2]App C Assum'!$A$4:$I$917,8,FALSE)</f>
        <v>0</v>
      </c>
      <c r="AA837" s="2">
        <f>VLOOKUP($A837,'[2]App C Assum'!$A$4:$I$917,9,FALSE)</f>
        <v>0</v>
      </c>
      <c r="AB837" s="2"/>
      <c r="AC837" s="2">
        <f>VLOOKUP($A837,'[2]App C Share Outflows'!$A$4:$I$917,5,FALSE)</f>
        <v>3034</v>
      </c>
      <c r="AD837" s="2">
        <f>VLOOKUP($A837,'[2]App C Share Outflows'!$A$4:$I$917,6,FALSE)</f>
        <v>2675</v>
      </c>
      <c r="AE837" s="2">
        <f>VLOOKUP($A837,'[2]App C Share Outflows'!$A$4:$I$917,7,FALSE)</f>
        <v>2107</v>
      </c>
      <c r="AF837" s="2">
        <f>VLOOKUP($A837,'[2]App C Share Outflows'!$A$4:$I$917,8,FALSE)</f>
        <v>1543</v>
      </c>
      <c r="AG837" s="2">
        <f>VLOOKUP($A837,'[2]App C Share Outflows'!$A$4:$I$917,9,FALSE)</f>
        <v>0</v>
      </c>
      <c r="AH837" s="2"/>
      <c r="AI837" s="2">
        <f>VLOOKUP($A837,'[2]App C Share Inflows'!$A$4:$I$917,5,FALSE)</f>
        <v>0</v>
      </c>
      <c r="AJ837" s="2">
        <f>VLOOKUP($A837,'[2]App C Share Inflows'!$A$4:$I$917,6,FALSE)</f>
        <v>0</v>
      </c>
      <c r="AK837" s="2">
        <f>VLOOKUP($A837,'[2]App C Share Inflows'!$A$4:$I$917,7,FALSE)</f>
        <v>0</v>
      </c>
      <c r="AL837" s="2">
        <f>VLOOKUP($A837,'[2]App C Share Inflows'!$A$4:$I$917,8,FALSE)</f>
        <v>0</v>
      </c>
      <c r="AM837" s="2">
        <f>VLOOKUP($A837,'[2]App C Share Inflows'!$A$4:$I$917,6,FALSE)</f>
        <v>0</v>
      </c>
    </row>
    <row r="838" spans="1:39">
      <c r="A838" s="351">
        <v>99101</v>
      </c>
      <c r="B838" s="344" t="s">
        <v>1536</v>
      </c>
      <c r="C838" s="235" t="e">
        <f>VLOOKUP(A838,#REF!,10,FALSE)</f>
        <v>#REF!</v>
      </c>
      <c r="E838" s="2">
        <f>VLOOKUP($A838,'[2]App C Total'!$A$4:$I$917,5,FALSE)</f>
        <v>1001234</v>
      </c>
      <c r="F838" s="2">
        <f>VLOOKUP($A838,'[2]App C Total'!$A$4:$I$917,6,FALSE)</f>
        <v>293948</v>
      </c>
      <c r="G838" s="2">
        <f>VLOOKUP($A838,'[2]App C Total'!$A$4:$I$917,7,FALSE)</f>
        <v>524704</v>
      </c>
      <c r="H838" s="2">
        <f>VLOOKUP($A838,'[2]App C Total'!$A$4:$I$917,8,FALSE)</f>
        <v>132708</v>
      </c>
      <c r="I838" s="2">
        <f>VLOOKUP($A838,'[2]App C Total'!$A$4:$I$917,9,FALSE)</f>
        <v>0</v>
      </c>
      <c r="J838" s="2"/>
      <c r="K838" s="2">
        <f>VLOOKUP($A838,'[2]App C Exp'!$A$4:$I$917,5,FALSE)</f>
        <v>317860</v>
      </c>
      <c r="L838" s="2">
        <f>VLOOKUP($A838,'[2]App C Exp'!$A$4:$I$917,6,FALSE)</f>
        <v>299004</v>
      </c>
      <c r="M838" s="2">
        <f>VLOOKUP($A838,'[2]App C Exp'!$A$4:$I$917,7,FALSE)</f>
        <v>267994</v>
      </c>
      <c r="N838" s="2">
        <f>VLOOKUP($A838,'[2]App C Exp'!$A$4:$I$917,8,FALSE)</f>
        <v>107302</v>
      </c>
      <c r="O838" s="2">
        <f>VLOOKUP($A838,'[2]App C Exp'!$A$4:$I$917,9,FALSE)</f>
        <v>0</v>
      </c>
      <c r="P838" s="2"/>
      <c r="Q838" s="2">
        <f>VLOOKUP($A838,'[2]App C Inv'!$A$4:$I$917,5,FALSE)</f>
        <v>337453</v>
      </c>
      <c r="R838" s="2">
        <f>VLOOKUP($A838,'[2]App C Inv'!$A$4:$I$917,6,FALSE)</f>
        <v>-290273</v>
      </c>
      <c r="S838" s="2">
        <f>VLOOKUP($A838,'[2]App C Inv'!$A$4:$I$917,7,FALSE)</f>
        <v>40910</v>
      </c>
      <c r="T838" s="2">
        <f>VLOOKUP($A838,'[2]App C Inv'!$A$4:$I$917,8,FALSE)</f>
        <v>53244</v>
      </c>
      <c r="U838" s="2">
        <f>VLOOKUP($A838,'[2]App C Inv'!$A$4:$I$917,9,FALSE)</f>
        <v>0</v>
      </c>
      <c r="V838" s="2"/>
      <c r="W838" s="2">
        <f>VLOOKUP($A838,'[2]App C Assum'!$A$4:$I$917,5,FALSE)</f>
        <v>380146</v>
      </c>
      <c r="X838" s="2">
        <f>VLOOKUP($A838,'[2]App C Assum'!$A$4:$I$917,6,FALSE)</f>
        <v>311429</v>
      </c>
      <c r="Y838" s="2">
        <f>VLOOKUP($A838,'[2]App C Assum'!$A$4:$I$917,7,FALSE)</f>
        <v>252827</v>
      </c>
      <c r="Z838" s="2">
        <f>VLOOKUP($A838,'[2]App C Assum'!$A$4:$I$917,8,FALSE)</f>
        <v>0</v>
      </c>
      <c r="AA838" s="2">
        <f>VLOOKUP($A838,'[2]App C Assum'!$A$4:$I$917,9,FALSE)</f>
        <v>0</v>
      </c>
      <c r="AB838" s="2"/>
      <c r="AC838" s="2">
        <f>VLOOKUP($A838,'[2]App C Share Outflows'!$A$4:$I$917,5,FALSE)</f>
        <v>10814</v>
      </c>
      <c r="AD838" s="2">
        <f>VLOOKUP($A838,'[2]App C Share Outflows'!$A$4:$I$917,6,FALSE)</f>
        <v>10815</v>
      </c>
      <c r="AE838" s="2">
        <f>VLOOKUP($A838,'[2]App C Share Outflows'!$A$4:$I$917,7,FALSE)</f>
        <v>0</v>
      </c>
      <c r="AF838" s="2">
        <f>VLOOKUP($A838,'[2]App C Share Outflows'!$A$4:$I$917,8,FALSE)</f>
        <v>0</v>
      </c>
      <c r="AG838" s="2">
        <f>VLOOKUP($A838,'[2]App C Share Outflows'!$A$4:$I$917,9,FALSE)</f>
        <v>0</v>
      </c>
      <c r="AH838" s="2"/>
      <c r="AI838" s="2">
        <f>VLOOKUP($A838,'[2]App C Share Inflows'!$A$4:$I$917,5,FALSE)</f>
        <v>-45039</v>
      </c>
      <c r="AJ838" s="2">
        <f>VLOOKUP($A838,'[2]App C Share Inflows'!$A$4:$I$917,6,FALSE)</f>
        <v>-37027</v>
      </c>
      <c r="AK838" s="2">
        <f>VLOOKUP($A838,'[2]App C Share Inflows'!$A$4:$I$917,7,FALSE)</f>
        <v>-37027</v>
      </c>
      <c r="AL838" s="2">
        <f>VLOOKUP($A838,'[2]App C Share Inflows'!$A$4:$I$917,8,FALSE)</f>
        <v>-27838</v>
      </c>
      <c r="AM838" s="2">
        <f>VLOOKUP($A838,'[2]App C Share Inflows'!$A$4:$I$917,6,FALSE)</f>
        <v>-37027</v>
      </c>
    </row>
    <row r="839" spans="1:39">
      <c r="A839" s="351">
        <v>99104</v>
      </c>
      <c r="B839" s="344" t="s">
        <v>2788</v>
      </c>
      <c r="C839" s="235" t="e">
        <f>VLOOKUP(A839,#REF!,10,FALSE)</f>
        <v>#REF!</v>
      </c>
      <c r="E839" s="2">
        <f>VLOOKUP($A839,'[2]App C Total'!$A$4:$I$917,5,FALSE)</f>
        <v>22809</v>
      </c>
      <c r="F839" s="2">
        <f>VLOOKUP($A839,'[2]App C Total'!$A$4:$I$917,6,FALSE)</f>
        <v>9934</v>
      </c>
      <c r="G839" s="2">
        <f>VLOOKUP($A839,'[2]App C Total'!$A$4:$I$917,7,FALSE)</f>
        <v>12377</v>
      </c>
      <c r="H839" s="2">
        <f>VLOOKUP($A839,'[2]App C Total'!$A$4:$I$917,8,FALSE)</f>
        <v>4325</v>
      </c>
      <c r="I839" s="2">
        <f>VLOOKUP($A839,'[2]App C Total'!$A$4:$I$917,9,FALSE)</f>
        <v>0</v>
      </c>
      <c r="J839" s="2"/>
      <c r="K839" s="2">
        <f>VLOOKUP($A839,'[2]App C Exp'!$A$4:$I$917,5,FALSE)</f>
        <v>4899</v>
      </c>
      <c r="L839" s="2">
        <f>VLOOKUP($A839,'[2]App C Exp'!$A$4:$I$917,6,FALSE)</f>
        <v>4608</v>
      </c>
      <c r="M839" s="2">
        <f>VLOOKUP($A839,'[2]App C Exp'!$A$4:$I$917,7,FALSE)</f>
        <v>4130</v>
      </c>
      <c r="N839" s="2">
        <f>VLOOKUP($A839,'[2]App C Exp'!$A$4:$I$917,8,FALSE)</f>
        <v>1654</v>
      </c>
      <c r="O839" s="2">
        <f>VLOOKUP($A839,'[2]App C Exp'!$A$4:$I$917,9,FALSE)</f>
        <v>0</v>
      </c>
      <c r="P839" s="2"/>
      <c r="Q839" s="2">
        <f>VLOOKUP($A839,'[2]App C Inv'!$A$4:$I$917,5,FALSE)</f>
        <v>5201</v>
      </c>
      <c r="R839" s="2">
        <f>VLOOKUP($A839,'[2]App C Inv'!$A$4:$I$917,6,FALSE)</f>
        <v>-4474</v>
      </c>
      <c r="S839" s="2">
        <f>VLOOKUP($A839,'[2]App C Inv'!$A$4:$I$917,7,FALSE)</f>
        <v>630</v>
      </c>
      <c r="T839" s="2">
        <f>VLOOKUP($A839,'[2]App C Inv'!$A$4:$I$917,8,FALSE)</f>
        <v>821</v>
      </c>
      <c r="U839" s="2">
        <f>VLOOKUP($A839,'[2]App C Inv'!$A$4:$I$917,9,FALSE)</f>
        <v>0</v>
      </c>
      <c r="V839" s="2"/>
      <c r="W839" s="2">
        <f>VLOOKUP($A839,'[2]App C Assum'!$A$4:$I$917,5,FALSE)</f>
        <v>5859</v>
      </c>
      <c r="X839" s="2">
        <f>VLOOKUP($A839,'[2]App C Assum'!$A$4:$I$917,6,FALSE)</f>
        <v>4800</v>
      </c>
      <c r="Y839" s="2">
        <f>VLOOKUP($A839,'[2]App C Assum'!$A$4:$I$917,7,FALSE)</f>
        <v>3896</v>
      </c>
      <c r="Z839" s="2">
        <f>VLOOKUP($A839,'[2]App C Assum'!$A$4:$I$917,8,FALSE)</f>
        <v>0</v>
      </c>
      <c r="AA839" s="2">
        <f>VLOOKUP($A839,'[2]App C Assum'!$A$4:$I$917,9,FALSE)</f>
        <v>0</v>
      </c>
      <c r="AB839" s="2"/>
      <c r="AC839" s="2">
        <f>VLOOKUP($A839,'[2]App C Share Outflows'!$A$4:$I$917,5,FALSE)</f>
        <v>6850</v>
      </c>
      <c r="AD839" s="2">
        <f>VLOOKUP($A839,'[2]App C Share Outflows'!$A$4:$I$917,6,FALSE)</f>
        <v>5000</v>
      </c>
      <c r="AE839" s="2">
        <f>VLOOKUP($A839,'[2]App C Share Outflows'!$A$4:$I$917,7,FALSE)</f>
        <v>3721</v>
      </c>
      <c r="AF839" s="2">
        <f>VLOOKUP($A839,'[2]App C Share Outflows'!$A$4:$I$917,8,FALSE)</f>
        <v>1850</v>
      </c>
      <c r="AG839" s="2">
        <f>VLOOKUP($A839,'[2]App C Share Outflows'!$A$4:$I$917,9,FALSE)</f>
        <v>0</v>
      </c>
      <c r="AH839" s="2"/>
      <c r="AI839" s="2">
        <f>VLOOKUP($A839,'[2]App C Share Inflows'!$A$4:$I$917,5,FALSE)</f>
        <v>0</v>
      </c>
      <c r="AJ839" s="2">
        <f>VLOOKUP($A839,'[2]App C Share Inflows'!$A$4:$I$917,6,FALSE)</f>
        <v>0</v>
      </c>
      <c r="AK839" s="2">
        <f>VLOOKUP($A839,'[2]App C Share Inflows'!$A$4:$I$917,7,FALSE)</f>
        <v>0</v>
      </c>
      <c r="AL839" s="2">
        <f>VLOOKUP($A839,'[2]App C Share Inflows'!$A$4:$I$917,8,FALSE)</f>
        <v>0</v>
      </c>
      <c r="AM839" s="2">
        <f>VLOOKUP($A839,'[2]App C Share Inflows'!$A$4:$I$917,6,FALSE)</f>
        <v>0</v>
      </c>
    </row>
    <row r="840" spans="1:39">
      <c r="A840" s="351">
        <v>99109</v>
      </c>
      <c r="B840" s="344" t="s">
        <v>2807</v>
      </c>
      <c r="C840" s="235" t="e">
        <f>VLOOKUP(A840,#REF!,10,FALSE)</f>
        <v>#REF!</v>
      </c>
      <c r="E840" s="2">
        <f>VLOOKUP($A840,'[2]App C Total'!$A$4:$I$917,5,FALSE)</f>
        <v>53708</v>
      </c>
      <c r="F840" s="2">
        <f>VLOOKUP($A840,'[2]App C Total'!$A$4:$I$917,6,FALSE)</f>
        <v>17177</v>
      </c>
      <c r="G840" s="2">
        <f>VLOOKUP($A840,'[2]App C Total'!$A$4:$I$917,7,FALSE)</f>
        <v>29730</v>
      </c>
      <c r="H840" s="2">
        <f>VLOOKUP($A840,'[2]App C Total'!$A$4:$I$917,8,FALSE)</f>
        <v>8309</v>
      </c>
      <c r="I840" s="2">
        <f>VLOOKUP($A840,'[2]App C Total'!$A$4:$I$917,9,FALSE)</f>
        <v>0</v>
      </c>
      <c r="J840" s="2"/>
      <c r="K840" s="2">
        <f>VLOOKUP($A840,'[2]App C Exp'!$A$4:$I$917,5,FALSE)</f>
        <v>17512</v>
      </c>
      <c r="L840" s="2">
        <f>VLOOKUP($A840,'[2]App C Exp'!$A$4:$I$917,6,FALSE)</f>
        <v>16474</v>
      </c>
      <c r="M840" s="2">
        <f>VLOOKUP($A840,'[2]App C Exp'!$A$4:$I$917,7,FALSE)</f>
        <v>14765</v>
      </c>
      <c r="N840" s="2">
        <f>VLOOKUP($A840,'[2]App C Exp'!$A$4:$I$917,8,FALSE)</f>
        <v>5912</v>
      </c>
      <c r="O840" s="2">
        <f>VLOOKUP($A840,'[2]App C Exp'!$A$4:$I$917,9,FALSE)</f>
        <v>0</v>
      </c>
      <c r="P840" s="2"/>
      <c r="Q840" s="2">
        <f>VLOOKUP($A840,'[2]App C Inv'!$A$4:$I$917,5,FALSE)</f>
        <v>18592</v>
      </c>
      <c r="R840" s="2">
        <f>VLOOKUP($A840,'[2]App C Inv'!$A$4:$I$917,6,FALSE)</f>
        <v>-15993</v>
      </c>
      <c r="S840" s="2">
        <f>VLOOKUP($A840,'[2]App C Inv'!$A$4:$I$917,7,FALSE)</f>
        <v>2254</v>
      </c>
      <c r="T840" s="2">
        <f>VLOOKUP($A840,'[2]App C Inv'!$A$4:$I$917,8,FALSE)</f>
        <v>2933</v>
      </c>
      <c r="U840" s="2">
        <f>VLOOKUP($A840,'[2]App C Inv'!$A$4:$I$917,9,FALSE)</f>
        <v>0</v>
      </c>
      <c r="V840" s="2"/>
      <c r="W840" s="2">
        <f>VLOOKUP($A840,'[2]App C Assum'!$A$4:$I$917,5,FALSE)</f>
        <v>20944</v>
      </c>
      <c r="X840" s="2">
        <f>VLOOKUP($A840,'[2]App C Assum'!$A$4:$I$917,6,FALSE)</f>
        <v>17158</v>
      </c>
      <c r="Y840" s="2">
        <f>VLOOKUP($A840,'[2]App C Assum'!$A$4:$I$917,7,FALSE)</f>
        <v>13929</v>
      </c>
      <c r="Z840" s="2">
        <f>VLOOKUP($A840,'[2]App C Assum'!$A$4:$I$917,8,FALSE)</f>
        <v>0</v>
      </c>
      <c r="AA840" s="2">
        <f>VLOOKUP($A840,'[2]App C Assum'!$A$4:$I$917,9,FALSE)</f>
        <v>0</v>
      </c>
      <c r="AB840" s="2"/>
      <c r="AC840" s="2">
        <f>VLOOKUP($A840,'[2]App C Share Outflows'!$A$4:$I$917,5,FALSE)</f>
        <v>759</v>
      </c>
      <c r="AD840" s="2">
        <f>VLOOKUP($A840,'[2]App C Share Outflows'!$A$4:$I$917,6,FALSE)</f>
        <v>758</v>
      </c>
      <c r="AE840" s="2">
        <f>VLOOKUP($A840,'[2]App C Share Outflows'!$A$4:$I$917,7,FALSE)</f>
        <v>0</v>
      </c>
      <c r="AF840" s="2">
        <f>VLOOKUP($A840,'[2]App C Share Outflows'!$A$4:$I$917,8,FALSE)</f>
        <v>0</v>
      </c>
      <c r="AG840" s="2">
        <f>VLOOKUP($A840,'[2]App C Share Outflows'!$A$4:$I$917,9,FALSE)</f>
        <v>0</v>
      </c>
      <c r="AH840" s="2"/>
      <c r="AI840" s="2">
        <f>VLOOKUP($A840,'[2]App C Share Inflows'!$A$4:$I$917,5,FALSE)</f>
        <v>-4099</v>
      </c>
      <c r="AJ840" s="2">
        <f>VLOOKUP($A840,'[2]App C Share Inflows'!$A$4:$I$917,6,FALSE)</f>
        <v>-1220</v>
      </c>
      <c r="AK840" s="2">
        <f>VLOOKUP($A840,'[2]App C Share Inflows'!$A$4:$I$917,7,FALSE)</f>
        <v>-1218</v>
      </c>
      <c r="AL840" s="2">
        <f>VLOOKUP($A840,'[2]App C Share Inflows'!$A$4:$I$917,8,FALSE)</f>
        <v>-536</v>
      </c>
      <c r="AM840" s="2">
        <f>VLOOKUP($A840,'[2]App C Share Inflows'!$A$4:$I$917,6,FALSE)</f>
        <v>-1220</v>
      </c>
    </row>
    <row r="841" spans="1:39">
      <c r="A841" s="351">
        <v>99110</v>
      </c>
      <c r="B841" s="344" t="s">
        <v>1539</v>
      </c>
      <c r="C841" s="235" t="e">
        <f>VLOOKUP(A841,#REF!,10,FALSE)</f>
        <v>#REF!</v>
      </c>
      <c r="E841" s="2">
        <f>VLOOKUP($A841,'[2]App C Total'!$A$4:$I$917,5,FALSE)</f>
        <v>93979</v>
      </c>
      <c r="F841" s="2">
        <f>VLOOKUP($A841,'[2]App C Total'!$A$4:$I$917,6,FALSE)</f>
        <v>39554</v>
      </c>
      <c r="G841" s="2">
        <f>VLOOKUP($A841,'[2]App C Total'!$A$4:$I$917,7,FALSE)</f>
        <v>49317</v>
      </c>
      <c r="H841" s="2">
        <f>VLOOKUP($A841,'[2]App C Total'!$A$4:$I$917,8,FALSE)</f>
        <v>14783</v>
      </c>
      <c r="I841" s="2">
        <f>VLOOKUP($A841,'[2]App C Total'!$A$4:$I$917,9,FALSE)</f>
        <v>0</v>
      </c>
      <c r="J841" s="2"/>
      <c r="K841" s="2">
        <f>VLOOKUP($A841,'[2]App C Exp'!$A$4:$I$917,5,FALSE)</f>
        <v>21527</v>
      </c>
      <c r="L841" s="2">
        <f>VLOOKUP($A841,'[2]App C Exp'!$A$4:$I$917,6,FALSE)</f>
        <v>20250</v>
      </c>
      <c r="M841" s="2">
        <f>VLOOKUP($A841,'[2]App C Exp'!$A$4:$I$917,7,FALSE)</f>
        <v>18150</v>
      </c>
      <c r="N841" s="2">
        <f>VLOOKUP($A841,'[2]App C Exp'!$A$4:$I$917,8,FALSE)</f>
        <v>7267</v>
      </c>
      <c r="O841" s="2">
        <f>VLOOKUP($A841,'[2]App C Exp'!$A$4:$I$917,9,FALSE)</f>
        <v>0</v>
      </c>
      <c r="P841" s="2"/>
      <c r="Q841" s="2">
        <f>VLOOKUP($A841,'[2]App C Inv'!$A$4:$I$917,5,FALSE)</f>
        <v>22854</v>
      </c>
      <c r="R841" s="2">
        <f>VLOOKUP($A841,'[2]App C Inv'!$A$4:$I$917,6,FALSE)</f>
        <v>-19659</v>
      </c>
      <c r="S841" s="2">
        <f>VLOOKUP($A841,'[2]App C Inv'!$A$4:$I$917,7,FALSE)</f>
        <v>2771</v>
      </c>
      <c r="T841" s="2">
        <f>VLOOKUP($A841,'[2]App C Inv'!$A$4:$I$917,8,FALSE)</f>
        <v>3606</v>
      </c>
      <c r="U841" s="2">
        <f>VLOOKUP($A841,'[2]App C Inv'!$A$4:$I$917,9,FALSE)</f>
        <v>0</v>
      </c>
      <c r="V841" s="2"/>
      <c r="W841" s="2">
        <f>VLOOKUP($A841,'[2]App C Assum'!$A$4:$I$917,5,FALSE)</f>
        <v>25746</v>
      </c>
      <c r="X841" s="2">
        <f>VLOOKUP($A841,'[2]App C Assum'!$A$4:$I$917,6,FALSE)</f>
        <v>21092</v>
      </c>
      <c r="Y841" s="2">
        <f>VLOOKUP($A841,'[2]App C Assum'!$A$4:$I$917,7,FALSE)</f>
        <v>17123</v>
      </c>
      <c r="Z841" s="2">
        <f>VLOOKUP($A841,'[2]App C Assum'!$A$4:$I$917,8,FALSE)</f>
        <v>0</v>
      </c>
      <c r="AA841" s="2">
        <f>VLOOKUP($A841,'[2]App C Assum'!$A$4:$I$917,9,FALSE)</f>
        <v>0</v>
      </c>
      <c r="AB841" s="2"/>
      <c r="AC841" s="2">
        <f>VLOOKUP($A841,'[2]App C Share Outflows'!$A$4:$I$917,5,FALSE)</f>
        <v>23852</v>
      </c>
      <c r="AD841" s="2">
        <f>VLOOKUP($A841,'[2]App C Share Outflows'!$A$4:$I$917,6,FALSE)</f>
        <v>17871</v>
      </c>
      <c r="AE841" s="2">
        <f>VLOOKUP($A841,'[2]App C Share Outflows'!$A$4:$I$917,7,FALSE)</f>
        <v>11273</v>
      </c>
      <c r="AF841" s="2">
        <f>VLOOKUP($A841,'[2]App C Share Outflows'!$A$4:$I$917,8,FALSE)</f>
        <v>3910</v>
      </c>
      <c r="AG841" s="2">
        <f>VLOOKUP($A841,'[2]App C Share Outflows'!$A$4:$I$917,9,FALSE)</f>
        <v>0</v>
      </c>
      <c r="AH841" s="2"/>
      <c r="AI841" s="2">
        <f>VLOOKUP($A841,'[2]App C Share Inflows'!$A$4:$I$917,5,FALSE)</f>
        <v>0</v>
      </c>
      <c r="AJ841" s="2">
        <f>VLOOKUP($A841,'[2]App C Share Inflows'!$A$4:$I$917,6,FALSE)</f>
        <v>0</v>
      </c>
      <c r="AK841" s="2">
        <f>VLOOKUP($A841,'[2]App C Share Inflows'!$A$4:$I$917,7,FALSE)</f>
        <v>0</v>
      </c>
      <c r="AL841" s="2">
        <f>VLOOKUP($A841,'[2]App C Share Inflows'!$A$4:$I$917,8,FALSE)</f>
        <v>0</v>
      </c>
      <c r="AM841" s="2">
        <f>VLOOKUP($A841,'[2]App C Share Inflows'!$A$4:$I$917,6,FALSE)</f>
        <v>0</v>
      </c>
    </row>
    <row r="842" spans="1:39">
      <c r="A842" s="351">
        <v>99111</v>
      </c>
      <c r="B842" s="344" t="s">
        <v>1540</v>
      </c>
      <c r="C842" s="235" t="e">
        <f>VLOOKUP(A842,#REF!,10,FALSE)</f>
        <v>#REF!</v>
      </c>
      <c r="E842" s="2">
        <f>VLOOKUP($A842,'[2]App C Total'!$A$4:$I$917,5,FALSE)</f>
        <v>606137</v>
      </c>
      <c r="F842" s="2">
        <f>VLOOKUP($A842,'[2]App C Total'!$A$4:$I$917,6,FALSE)</f>
        <v>178736</v>
      </c>
      <c r="G842" s="2">
        <f>VLOOKUP($A842,'[2]App C Total'!$A$4:$I$917,7,FALSE)</f>
        <v>336952</v>
      </c>
      <c r="H842" s="2">
        <f>VLOOKUP($A842,'[2]App C Total'!$A$4:$I$917,8,FALSE)</f>
        <v>92372</v>
      </c>
      <c r="I842" s="2">
        <f>VLOOKUP($A842,'[2]App C Total'!$A$4:$I$917,9,FALSE)</f>
        <v>0</v>
      </c>
      <c r="J842" s="2"/>
      <c r="K842" s="2">
        <f>VLOOKUP($A842,'[2]App C Exp'!$A$4:$I$917,5,FALSE)</f>
        <v>195723</v>
      </c>
      <c r="L842" s="2">
        <f>VLOOKUP($A842,'[2]App C Exp'!$A$4:$I$917,6,FALSE)</f>
        <v>184112</v>
      </c>
      <c r="M842" s="2">
        <f>VLOOKUP($A842,'[2]App C Exp'!$A$4:$I$917,7,FALSE)</f>
        <v>165017</v>
      </c>
      <c r="N842" s="2">
        <f>VLOOKUP($A842,'[2]App C Exp'!$A$4:$I$917,8,FALSE)</f>
        <v>66071</v>
      </c>
      <c r="O842" s="2">
        <f>VLOOKUP($A842,'[2]App C Exp'!$A$4:$I$917,9,FALSE)</f>
        <v>0</v>
      </c>
      <c r="P842" s="2"/>
      <c r="Q842" s="2">
        <f>VLOOKUP($A842,'[2]App C Inv'!$A$4:$I$917,5,FALSE)</f>
        <v>207787</v>
      </c>
      <c r="R842" s="2">
        <f>VLOOKUP($A842,'[2]App C Inv'!$A$4:$I$917,6,FALSE)</f>
        <v>-178736</v>
      </c>
      <c r="S842" s="2">
        <f>VLOOKUP($A842,'[2]App C Inv'!$A$4:$I$917,7,FALSE)</f>
        <v>25191</v>
      </c>
      <c r="T842" s="2">
        <f>VLOOKUP($A842,'[2]App C Inv'!$A$4:$I$917,8,FALSE)</f>
        <v>32785</v>
      </c>
      <c r="U842" s="2">
        <f>VLOOKUP($A842,'[2]App C Inv'!$A$4:$I$917,9,FALSE)</f>
        <v>0</v>
      </c>
      <c r="V842" s="2"/>
      <c r="W842" s="2">
        <f>VLOOKUP($A842,'[2]App C Assum'!$A$4:$I$917,5,FALSE)</f>
        <v>234075</v>
      </c>
      <c r="X842" s="2">
        <f>VLOOKUP($A842,'[2]App C Assum'!$A$4:$I$917,6,FALSE)</f>
        <v>191763</v>
      </c>
      <c r="Y842" s="2">
        <f>VLOOKUP($A842,'[2]App C Assum'!$A$4:$I$917,7,FALSE)</f>
        <v>155679</v>
      </c>
      <c r="Z842" s="2">
        <f>VLOOKUP($A842,'[2]App C Assum'!$A$4:$I$917,8,FALSE)</f>
        <v>0</v>
      </c>
      <c r="AA842" s="2">
        <f>VLOOKUP($A842,'[2]App C Assum'!$A$4:$I$917,9,FALSE)</f>
        <v>0</v>
      </c>
      <c r="AB842" s="2"/>
      <c r="AC842" s="2">
        <f>VLOOKUP($A842,'[2]App C Share Outflows'!$A$4:$I$917,5,FALSE)</f>
        <v>0</v>
      </c>
      <c r="AD842" s="2">
        <f>VLOOKUP($A842,'[2]App C Share Outflows'!$A$4:$I$917,6,FALSE)</f>
        <v>0</v>
      </c>
      <c r="AE842" s="2">
        <f>VLOOKUP($A842,'[2]App C Share Outflows'!$A$4:$I$917,7,FALSE)</f>
        <v>0</v>
      </c>
      <c r="AF842" s="2">
        <f>VLOOKUP($A842,'[2]App C Share Outflows'!$A$4:$I$917,8,FALSE)</f>
        <v>0</v>
      </c>
      <c r="AG842" s="2">
        <f>VLOOKUP($A842,'[2]App C Share Outflows'!$A$4:$I$917,9,FALSE)</f>
        <v>0</v>
      </c>
      <c r="AH842" s="2"/>
      <c r="AI842" s="2">
        <f>VLOOKUP($A842,'[2]App C Share Inflows'!$A$4:$I$917,5,FALSE)</f>
        <v>-31448</v>
      </c>
      <c r="AJ842" s="2">
        <f>VLOOKUP($A842,'[2]App C Share Inflows'!$A$4:$I$917,6,FALSE)</f>
        <v>-18403</v>
      </c>
      <c r="AK842" s="2">
        <f>VLOOKUP($A842,'[2]App C Share Inflows'!$A$4:$I$917,7,FALSE)</f>
        <v>-8935</v>
      </c>
      <c r="AL842" s="2">
        <f>VLOOKUP($A842,'[2]App C Share Inflows'!$A$4:$I$917,8,FALSE)</f>
        <v>-6484</v>
      </c>
      <c r="AM842" s="2">
        <f>VLOOKUP($A842,'[2]App C Share Inflows'!$A$4:$I$917,6,FALSE)</f>
        <v>-18403</v>
      </c>
    </row>
    <row r="843" spans="1:39">
      <c r="A843" s="351">
        <v>99201</v>
      </c>
      <c r="B843" s="344" t="s">
        <v>1541</v>
      </c>
      <c r="C843" s="235" t="e">
        <f>VLOOKUP(A843,#REF!,10,FALSE)</f>
        <v>#REF!</v>
      </c>
      <c r="E843" s="2">
        <f>VLOOKUP($A843,'[2]App C Total'!$A$4:$I$917,5,FALSE)</f>
        <v>17767424</v>
      </c>
      <c r="F843" s="2">
        <f>VLOOKUP($A843,'[2]App C Total'!$A$4:$I$917,6,FALSE)</f>
        <v>5767275</v>
      </c>
      <c r="G843" s="2">
        <f>VLOOKUP($A843,'[2]App C Total'!$A$4:$I$917,7,FALSE)</f>
        <v>9643328</v>
      </c>
      <c r="H843" s="2">
        <f>VLOOKUP($A843,'[2]App C Total'!$A$4:$I$917,8,FALSE)</f>
        <v>2830177</v>
      </c>
      <c r="I843" s="2">
        <f>VLOOKUP($A843,'[2]App C Total'!$A$4:$I$917,9,FALSE)</f>
        <v>0</v>
      </c>
      <c r="J843" s="2"/>
      <c r="K843" s="2">
        <f>VLOOKUP($A843,'[2]App C Exp'!$A$4:$I$917,5,FALSE)</f>
        <v>5285835</v>
      </c>
      <c r="L843" s="2">
        <f>VLOOKUP($A843,'[2]App C Exp'!$A$4:$I$917,6,FALSE)</f>
        <v>4972264</v>
      </c>
      <c r="M843" s="2">
        <f>VLOOKUP($A843,'[2]App C Exp'!$A$4:$I$917,7,FALSE)</f>
        <v>4456584</v>
      </c>
      <c r="N843" s="2">
        <f>VLOOKUP($A843,'[2]App C Exp'!$A$4:$I$917,8,FALSE)</f>
        <v>1784362</v>
      </c>
      <c r="O843" s="2">
        <f>VLOOKUP($A843,'[2]App C Exp'!$A$4:$I$917,9,FALSE)</f>
        <v>0</v>
      </c>
      <c r="P843" s="2"/>
      <c r="Q843" s="2">
        <f>VLOOKUP($A843,'[2]App C Inv'!$A$4:$I$917,5,FALSE)</f>
        <v>5611650</v>
      </c>
      <c r="R843" s="2">
        <f>VLOOKUP($A843,'[2]App C Inv'!$A$4:$I$917,6,FALSE)</f>
        <v>-4827069</v>
      </c>
      <c r="S843" s="2">
        <f>VLOOKUP($A843,'[2]App C Inv'!$A$4:$I$917,7,FALSE)</f>
        <v>680317</v>
      </c>
      <c r="T843" s="2">
        <f>VLOOKUP($A843,'[2]App C Inv'!$A$4:$I$917,8,FALSE)</f>
        <v>885424</v>
      </c>
      <c r="U843" s="2">
        <f>VLOOKUP($A843,'[2]App C Inv'!$A$4:$I$917,9,FALSE)</f>
        <v>0</v>
      </c>
      <c r="V843" s="2"/>
      <c r="W843" s="2">
        <f>VLOOKUP($A843,'[2]App C Assum'!$A$4:$I$917,5,FALSE)</f>
        <v>6321606</v>
      </c>
      <c r="X843" s="2">
        <f>VLOOKUP($A843,'[2]App C Assum'!$A$4:$I$917,6,FALSE)</f>
        <v>5178888</v>
      </c>
      <c r="Y843" s="2">
        <f>VLOOKUP($A843,'[2]App C Assum'!$A$4:$I$917,7,FALSE)</f>
        <v>4204371</v>
      </c>
      <c r="Z843" s="2">
        <f>VLOOKUP($A843,'[2]App C Assum'!$A$4:$I$917,8,FALSE)</f>
        <v>0</v>
      </c>
      <c r="AA843" s="2">
        <f>VLOOKUP($A843,'[2]App C Assum'!$A$4:$I$917,9,FALSE)</f>
        <v>0</v>
      </c>
      <c r="AB843" s="2"/>
      <c r="AC843" s="2">
        <f>VLOOKUP($A843,'[2]App C Share Outflows'!$A$4:$I$917,5,FALSE)</f>
        <v>548333</v>
      </c>
      <c r="AD843" s="2">
        <f>VLOOKUP($A843,'[2]App C Share Outflows'!$A$4:$I$917,6,FALSE)</f>
        <v>443192</v>
      </c>
      <c r="AE843" s="2">
        <f>VLOOKUP($A843,'[2]App C Share Outflows'!$A$4:$I$917,7,FALSE)</f>
        <v>302056</v>
      </c>
      <c r="AF843" s="2">
        <f>VLOOKUP($A843,'[2]App C Share Outflows'!$A$4:$I$917,8,FALSE)</f>
        <v>160391</v>
      </c>
      <c r="AG843" s="2">
        <f>VLOOKUP($A843,'[2]App C Share Outflows'!$A$4:$I$917,9,FALSE)</f>
        <v>0</v>
      </c>
      <c r="AH843" s="2"/>
      <c r="AI843" s="2">
        <f>VLOOKUP($A843,'[2]App C Share Inflows'!$A$4:$I$917,5,FALSE)</f>
        <v>0</v>
      </c>
      <c r="AJ843" s="2">
        <f>VLOOKUP($A843,'[2]App C Share Inflows'!$A$4:$I$917,6,FALSE)</f>
        <v>0</v>
      </c>
      <c r="AK843" s="2">
        <f>VLOOKUP($A843,'[2]App C Share Inflows'!$A$4:$I$917,7,FALSE)</f>
        <v>0</v>
      </c>
      <c r="AL843" s="2">
        <f>VLOOKUP($A843,'[2]App C Share Inflows'!$A$4:$I$917,8,FALSE)</f>
        <v>0</v>
      </c>
      <c r="AM843" s="2">
        <f>VLOOKUP($A843,'[2]App C Share Inflows'!$A$4:$I$917,6,FALSE)</f>
        <v>0</v>
      </c>
    </row>
    <row r="844" spans="1:39">
      <c r="A844" s="351">
        <v>99202</v>
      </c>
      <c r="B844" s="344" t="s">
        <v>1542</v>
      </c>
      <c r="C844" s="235" t="e">
        <f>VLOOKUP(A844,#REF!,10,FALSE)</f>
        <v>#REF!</v>
      </c>
      <c r="E844" s="2">
        <f>VLOOKUP($A844,'[2]App C Total'!$A$4:$I$917,5,FALSE)</f>
        <v>1336577</v>
      </c>
      <c r="F844" s="2">
        <f>VLOOKUP($A844,'[2]App C Total'!$A$4:$I$917,6,FALSE)</f>
        <v>413203</v>
      </c>
      <c r="G844" s="2">
        <f>VLOOKUP($A844,'[2]App C Total'!$A$4:$I$917,7,FALSE)</f>
        <v>746614</v>
      </c>
      <c r="H844" s="2">
        <f>VLOOKUP($A844,'[2]App C Total'!$A$4:$I$917,8,FALSE)</f>
        <v>213319</v>
      </c>
      <c r="I844" s="2">
        <f>VLOOKUP($A844,'[2]App C Total'!$A$4:$I$917,9,FALSE)</f>
        <v>0</v>
      </c>
      <c r="J844" s="2"/>
      <c r="K844" s="2">
        <f>VLOOKUP($A844,'[2]App C Exp'!$A$4:$I$917,5,FALSE)</f>
        <v>424283</v>
      </c>
      <c r="L844" s="2">
        <f>VLOOKUP($A844,'[2]App C Exp'!$A$4:$I$917,6,FALSE)</f>
        <v>399114</v>
      </c>
      <c r="M844" s="2">
        <f>VLOOKUP($A844,'[2]App C Exp'!$A$4:$I$917,7,FALSE)</f>
        <v>357721</v>
      </c>
      <c r="N844" s="2">
        <f>VLOOKUP($A844,'[2]App C Exp'!$A$4:$I$917,8,FALSE)</f>
        <v>143227</v>
      </c>
      <c r="O844" s="2">
        <f>VLOOKUP($A844,'[2]App C Exp'!$A$4:$I$917,9,FALSE)</f>
        <v>0</v>
      </c>
      <c r="P844" s="2"/>
      <c r="Q844" s="2">
        <f>VLOOKUP($A844,'[2]App C Inv'!$A$4:$I$917,5,FALSE)</f>
        <v>450436</v>
      </c>
      <c r="R844" s="2">
        <f>VLOOKUP($A844,'[2]App C Inv'!$A$4:$I$917,6,FALSE)</f>
        <v>-387459</v>
      </c>
      <c r="S844" s="2">
        <f>VLOOKUP($A844,'[2]App C Inv'!$A$4:$I$917,7,FALSE)</f>
        <v>54608</v>
      </c>
      <c r="T844" s="2">
        <f>VLOOKUP($A844,'[2]App C Inv'!$A$4:$I$917,8,FALSE)</f>
        <v>71071</v>
      </c>
      <c r="U844" s="2">
        <f>VLOOKUP($A844,'[2]App C Inv'!$A$4:$I$917,9,FALSE)</f>
        <v>0</v>
      </c>
      <c r="V844" s="2"/>
      <c r="W844" s="2">
        <f>VLOOKUP($A844,'[2]App C Assum'!$A$4:$I$917,5,FALSE)</f>
        <v>507423</v>
      </c>
      <c r="X844" s="2">
        <f>VLOOKUP($A844,'[2]App C Assum'!$A$4:$I$917,6,FALSE)</f>
        <v>415699</v>
      </c>
      <c r="Y844" s="2">
        <f>VLOOKUP($A844,'[2]App C Assum'!$A$4:$I$917,7,FALSE)</f>
        <v>337476</v>
      </c>
      <c r="Z844" s="2">
        <f>VLOOKUP($A844,'[2]App C Assum'!$A$4:$I$917,8,FALSE)</f>
        <v>0</v>
      </c>
      <c r="AA844" s="2">
        <f>VLOOKUP($A844,'[2]App C Assum'!$A$4:$I$917,9,FALSE)</f>
        <v>0</v>
      </c>
      <c r="AB844" s="2"/>
      <c r="AC844" s="2">
        <f>VLOOKUP($A844,'[2]App C Share Outflows'!$A$4:$I$917,5,FALSE)</f>
        <v>0</v>
      </c>
      <c r="AD844" s="2">
        <f>VLOOKUP($A844,'[2]App C Share Outflows'!$A$4:$I$917,6,FALSE)</f>
        <v>0</v>
      </c>
      <c r="AE844" s="2">
        <f>VLOOKUP($A844,'[2]App C Share Outflows'!$A$4:$I$917,7,FALSE)</f>
        <v>0</v>
      </c>
      <c r="AF844" s="2">
        <f>VLOOKUP($A844,'[2]App C Share Outflows'!$A$4:$I$917,8,FALSE)</f>
        <v>0</v>
      </c>
      <c r="AG844" s="2">
        <f>VLOOKUP($A844,'[2]App C Share Outflows'!$A$4:$I$917,9,FALSE)</f>
        <v>0</v>
      </c>
      <c r="AH844" s="2"/>
      <c r="AI844" s="2">
        <f>VLOOKUP($A844,'[2]App C Share Inflows'!$A$4:$I$917,5,FALSE)</f>
        <v>-45565</v>
      </c>
      <c r="AJ844" s="2">
        <f>VLOOKUP($A844,'[2]App C Share Inflows'!$A$4:$I$917,6,FALSE)</f>
        <v>-14151</v>
      </c>
      <c r="AK844" s="2">
        <f>VLOOKUP($A844,'[2]App C Share Inflows'!$A$4:$I$917,7,FALSE)</f>
        <v>-3191</v>
      </c>
      <c r="AL844" s="2">
        <f>VLOOKUP($A844,'[2]App C Share Inflows'!$A$4:$I$917,8,FALSE)</f>
        <v>-979</v>
      </c>
      <c r="AM844" s="2">
        <f>VLOOKUP($A844,'[2]App C Share Inflows'!$A$4:$I$917,6,FALSE)</f>
        <v>-14151</v>
      </c>
    </row>
    <row r="845" spans="1:39">
      <c r="A845" s="351">
        <v>99203</v>
      </c>
      <c r="B845" s="344" t="s">
        <v>1543</v>
      </c>
      <c r="C845" s="235" t="e">
        <f>VLOOKUP(A845,#REF!,10,FALSE)</f>
        <v>#REF!</v>
      </c>
      <c r="E845" s="2">
        <f>VLOOKUP($A845,'[2]App C Total'!$A$4:$I$917,5,FALSE)</f>
        <v>176264</v>
      </c>
      <c r="F845" s="2">
        <f>VLOOKUP($A845,'[2]App C Total'!$A$4:$I$917,6,FALSE)</f>
        <v>53970</v>
      </c>
      <c r="G845" s="2">
        <f>VLOOKUP($A845,'[2]App C Total'!$A$4:$I$917,7,FALSE)</f>
        <v>99201</v>
      </c>
      <c r="H845" s="2">
        <f>VLOOKUP($A845,'[2]App C Total'!$A$4:$I$917,8,FALSE)</f>
        <v>35351</v>
      </c>
      <c r="I845" s="2">
        <f>VLOOKUP($A845,'[2]App C Total'!$A$4:$I$917,9,FALSE)</f>
        <v>0</v>
      </c>
      <c r="J845" s="2"/>
      <c r="K845" s="2">
        <f>VLOOKUP($A845,'[2]App C Exp'!$A$4:$I$917,5,FALSE)</f>
        <v>52702</v>
      </c>
      <c r="L845" s="2">
        <f>VLOOKUP($A845,'[2]App C Exp'!$A$4:$I$917,6,FALSE)</f>
        <v>49576</v>
      </c>
      <c r="M845" s="2">
        <f>VLOOKUP($A845,'[2]App C Exp'!$A$4:$I$917,7,FALSE)</f>
        <v>44434</v>
      </c>
      <c r="N845" s="2">
        <f>VLOOKUP($A845,'[2]App C Exp'!$A$4:$I$917,8,FALSE)</f>
        <v>17791</v>
      </c>
      <c r="O845" s="2">
        <f>VLOOKUP($A845,'[2]App C Exp'!$A$4:$I$917,9,FALSE)</f>
        <v>0</v>
      </c>
      <c r="P845" s="2"/>
      <c r="Q845" s="2">
        <f>VLOOKUP($A845,'[2]App C Inv'!$A$4:$I$917,5,FALSE)</f>
        <v>55951</v>
      </c>
      <c r="R845" s="2">
        <f>VLOOKUP($A845,'[2]App C Inv'!$A$4:$I$917,6,FALSE)</f>
        <v>-48128</v>
      </c>
      <c r="S845" s="2">
        <f>VLOOKUP($A845,'[2]App C Inv'!$A$4:$I$917,7,FALSE)</f>
        <v>6783</v>
      </c>
      <c r="T845" s="2">
        <f>VLOOKUP($A845,'[2]App C Inv'!$A$4:$I$917,8,FALSE)</f>
        <v>8828</v>
      </c>
      <c r="U845" s="2">
        <f>VLOOKUP($A845,'[2]App C Inv'!$A$4:$I$917,9,FALSE)</f>
        <v>0</v>
      </c>
      <c r="V845" s="2"/>
      <c r="W845" s="2">
        <f>VLOOKUP($A845,'[2]App C Assum'!$A$4:$I$917,5,FALSE)</f>
        <v>63029</v>
      </c>
      <c r="X845" s="2">
        <f>VLOOKUP($A845,'[2]App C Assum'!$A$4:$I$917,6,FALSE)</f>
        <v>51636</v>
      </c>
      <c r="Y845" s="2">
        <f>VLOOKUP($A845,'[2]App C Assum'!$A$4:$I$917,7,FALSE)</f>
        <v>41919</v>
      </c>
      <c r="Z845" s="2">
        <f>VLOOKUP($A845,'[2]App C Assum'!$A$4:$I$917,8,FALSE)</f>
        <v>0</v>
      </c>
      <c r="AA845" s="2">
        <f>VLOOKUP($A845,'[2]App C Assum'!$A$4:$I$917,9,FALSE)</f>
        <v>0</v>
      </c>
      <c r="AB845" s="2"/>
      <c r="AC845" s="2">
        <f>VLOOKUP($A845,'[2]App C Share Outflows'!$A$4:$I$917,5,FALSE)</f>
        <v>12428</v>
      </c>
      <c r="AD845" s="2">
        <f>VLOOKUP($A845,'[2]App C Share Outflows'!$A$4:$I$917,6,FALSE)</f>
        <v>8730</v>
      </c>
      <c r="AE845" s="2">
        <f>VLOOKUP($A845,'[2]App C Share Outflows'!$A$4:$I$917,7,FALSE)</f>
        <v>8730</v>
      </c>
      <c r="AF845" s="2">
        <f>VLOOKUP($A845,'[2]App C Share Outflows'!$A$4:$I$917,8,FALSE)</f>
        <v>8732</v>
      </c>
      <c r="AG845" s="2">
        <f>VLOOKUP($A845,'[2]App C Share Outflows'!$A$4:$I$917,9,FALSE)</f>
        <v>0</v>
      </c>
      <c r="AH845" s="2"/>
      <c r="AI845" s="2">
        <f>VLOOKUP($A845,'[2]App C Share Inflows'!$A$4:$I$917,5,FALSE)</f>
        <v>-7846</v>
      </c>
      <c r="AJ845" s="2">
        <f>VLOOKUP($A845,'[2]App C Share Inflows'!$A$4:$I$917,6,FALSE)</f>
        <v>-7844</v>
      </c>
      <c r="AK845" s="2">
        <f>VLOOKUP($A845,'[2]App C Share Inflows'!$A$4:$I$917,7,FALSE)</f>
        <v>-2665</v>
      </c>
      <c r="AL845" s="2">
        <f>VLOOKUP($A845,'[2]App C Share Inflows'!$A$4:$I$917,8,FALSE)</f>
        <v>0</v>
      </c>
      <c r="AM845" s="2">
        <f>VLOOKUP($A845,'[2]App C Share Inflows'!$A$4:$I$917,6,FALSE)</f>
        <v>-7844</v>
      </c>
    </row>
    <row r="846" spans="1:39">
      <c r="A846" s="351">
        <v>99204</v>
      </c>
      <c r="B846" s="344" t="s">
        <v>1544</v>
      </c>
      <c r="C846" s="235" t="e">
        <f>VLOOKUP(A846,#REF!,10,FALSE)</f>
        <v>#REF!</v>
      </c>
      <c r="E846" s="2">
        <f>VLOOKUP($A846,'[2]App C Total'!$A$4:$I$917,5,FALSE)</f>
        <v>499504</v>
      </c>
      <c r="F846" s="2">
        <f>VLOOKUP($A846,'[2]App C Total'!$A$4:$I$917,6,FALSE)</f>
        <v>169430</v>
      </c>
      <c r="G846" s="2">
        <f>VLOOKUP($A846,'[2]App C Total'!$A$4:$I$917,7,FALSE)</f>
        <v>263799</v>
      </c>
      <c r="H846" s="2">
        <f>VLOOKUP($A846,'[2]App C Total'!$A$4:$I$917,8,FALSE)</f>
        <v>71988</v>
      </c>
      <c r="I846" s="2">
        <f>VLOOKUP($A846,'[2]App C Total'!$A$4:$I$917,9,FALSE)</f>
        <v>0</v>
      </c>
      <c r="J846" s="2"/>
      <c r="K846" s="2">
        <f>VLOOKUP($A846,'[2]App C Exp'!$A$4:$I$917,5,FALSE)</f>
        <v>141043</v>
      </c>
      <c r="L846" s="2">
        <f>VLOOKUP($A846,'[2]App C Exp'!$A$4:$I$917,6,FALSE)</f>
        <v>132676</v>
      </c>
      <c r="M846" s="2">
        <f>VLOOKUP($A846,'[2]App C Exp'!$A$4:$I$917,7,FALSE)</f>
        <v>118916</v>
      </c>
      <c r="N846" s="2">
        <f>VLOOKUP($A846,'[2]App C Exp'!$A$4:$I$917,8,FALSE)</f>
        <v>47613</v>
      </c>
      <c r="O846" s="2">
        <f>VLOOKUP($A846,'[2]App C Exp'!$A$4:$I$917,9,FALSE)</f>
        <v>0</v>
      </c>
      <c r="P846" s="2"/>
      <c r="Q846" s="2">
        <f>VLOOKUP($A846,'[2]App C Inv'!$A$4:$I$917,5,FALSE)</f>
        <v>149737</v>
      </c>
      <c r="R846" s="2">
        <f>VLOOKUP($A846,'[2]App C Inv'!$A$4:$I$917,6,FALSE)</f>
        <v>-128802</v>
      </c>
      <c r="S846" s="2">
        <f>VLOOKUP($A846,'[2]App C Inv'!$A$4:$I$917,7,FALSE)</f>
        <v>18153</v>
      </c>
      <c r="T846" s="2">
        <f>VLOOKUP($A846,'[2]App C Inv'!$A$4:$I$917,8,FALSE)</f>
        <v>23626</v>
      </c>
      <c r="U846" s="2">
        <f>VLOOKUP($A846,'[2]App C Inv'!$A$4:$I$917,9,FALSE)</f>
        <v>0</v>
      </c>
      <c r="V846" s="2"/>
      <c r="W846" s="2">
        <f>VLOOKUP($A846,'[2]App C Assum'!$A$4:$I$917,5,FALSE)</f>
        <v>168681</v>
      </c>
      <c r="X846" s="2">
        <f>VLOOKUP($A846,'[2]App C Assum'!$A$4:$I$917,6,FALSE)</f>
        <v>138190</v>
      </c>
      <c r="Y846" s="2">
        <f>VLOOKUP($A846,'[2]App C Assum'!$A$4:$I$917,7,FALSE)</f>
        <v>112186</v>
      </c>
      <c r="Z846" s="2">
        <f>VLOOKUP($A846,'[2]App C Assum'!$A$4:$I$917,8,FALSE)</f>
        <v>0</v>
      </c>
      <c r="AA846" s="2">
        <f>VLOOKUP($A846,'[2]App C Assum'!$A$4:$I$917,9,FALSE)</f>
        <v>0</v>
      </c>
      <c r="AB846" s="2"/>
      <c r="AC846" s="2">
        <f>VLOOKUP($A846,'[2]App C Share Outflows'!$A$4:$I$917,5,FALSE)</f>
        <v>40043</v>
      </c>
      <c r="AD846" s="2">
        <f>VLOOKUP($A846,'[2]App C Share Outflows'!$A$4:$I$917,6,FALSE)</f>
        <v>27366</v>
      </c>
      <c r="AE846" s="2">
        <f>VLOOKUP($A846,'[2]App C Share Outflows'!$A$4:$I$917,7,FALSE)</f>
        <v>14544</v>
      </c>
      <c r="AF846" s="2">
        <f>VLOOKUP($A846,'[2]App C Share Outflows'!$A$4:$I$917,8,FALSE)</f>
        <v>749</v>
      </c>
      <c r="AG846" s="2">
        <f>VLOOKUP($A846,'[2]App C Share Outflows'!$A$4:$I$917,9,FALSE)</f>
        <v>0</v>
      </c>
      <c r="AH846" s="2"/>
      <c r="AI846" s="2">
        <f>VLOOKUP($A846,'[2]App C Share Inflows'!$A$4:$I$917,5,FALSE)</f>
        <v>0</v>
      </c>
      <c r="AJ846" s="2">
        <f>VLOOKUP($A846,'[2]App C Share Inflows'!$A$4:$I$917,6,FALSE)</f>
        <v>0</v>
      </c>
      <c r="AK846" s="2">
        <f>VLOOKUP($A846,'[2]App C Share Inflows'!$A$4:$I$917,7,FALSE)</f>
        <v>0</v>
      </c>
      <c r="AL846" s="2">
        <f>VLOOKUP($A846,'[2]App C Share Inflows'!$A$4:$I$917,8,FALSE)</f>
        <v>0</v>
      </c>
      <c r="AM846" s="2">
        <f>VLOOKUP($A846,'[2]App C Share Inflows'!$A$4:$I$917,6,FALSE)</f>
        <v>0</v>
      </c>
    </row>
    <row r="847" spans="1:39">
      <c r="A847" s="351">
        <v>99206</v>
      </c>
      <c r="B847" s="344" t="s">
        <v>1545</v>
      </c>
      <c r="C847" s="235" t="e">
        <f>VLOOKUP(A847,#REF!,10,FALSE)</f>
        <v>#REF!</v>
      </c>
      <c r="E847" s="2">
        <f>VLOOKUP($A847,'[2]App C Total'!$A$4:$I$917,5,FALSE)</f>
        <v>1009816</v>
      </c>
      <c r="F847" s="2">
        <f>VLOOKUP($A847,'[2]App C Total'!$A$4:$I$917,6,FALSE)</f>
        <v>416864</v>
      </c>
      <c r="G847" s="2">
        <f>VLOOKUP($A847,'[2]App C Total'!$A$4:$I$917,7,FALSE)</f>
        <v>512056</v>
      </c>
      <c r="H847" s="2">
        <f>VLOOKUP($A847,'[2]App C Total'!$A$4:$I$917,8,FALSE)</f>
        <v>98680</v>
      </c>
      <c r="I847" s="2">
        <f>VLOOKUP($A847,'[2]App C Total'!$A$4:$I$917,9,FALSE)</f>
        <v>0</v>
      </c>
      <c r="J847" s="2"/>
      <c r="K847" s="2">
        <f>VLOOKUP($A847,'[2]App C Exp'!$A$4:$I$917,5,FALSE)</f>
        <v>245324</v>
      </c>
      <c r="L847" s="2">
        <f>VLOOKUP($A847,'[2]App C Exp'!$A$4:$I$917,6,FALSE)</f>
        <v>230771</v>
      </c>
      <c r="M847" s="2">
        <f>VLOOKUP($A847,'[2]App C Exp'!$A$4:$I$917,7,FALSE)</f>
        <v>206837</v>
      </c>
      <c r="N847" s="2">
        <f>VLOOKUP($A847,'[2]App C Exp'!$A$4:$I$917,8,FALSE)</f>
        <v>82815</v>
      </c>
      <c r="O847" s="2">
        <f>VLOOKUP($A847,'[2]App C Exp'!$A$4:$I$917,9,FALSE)</f>
        <v>0</v>
      </c>
      <c r="P847" s="2"/>
      <c r="Q847" s="2">
        <f>VLOOKUP($A847,'[2]App C Inv'!$A$4:$I$917,5,FALSE)</f>
        <v>260446</v>
      </c>
      <c r="R847" s="2">
        <f>VLOOKUP($A847,'[2]App C Inv'!$A$4:$I$917,6,FALSE)</f>
        <v>-224032</v>
      </c>
      <c r="S847" s="2">
        <f>VLOOKUP($A847,'[2]App C Inv'!$A$4:$I$917,7,FALSE)</f>
        <v>31575</v>
      </c>
      <c r="T847" s="2">
        <f>VLOOKUP($A847,'[2]App C Inv'!$A$4:$I$917,8,FALSE)</f>
        <v>41094</v>
      </c>
      <c r="U847" s="2">
        <f>VLOOKUP($A847,'[2]App C Inv'!$A$4:$I$917,9,FALSE)</f>
        <v>0</v>
      </c>
      <c r="V847" s="2"/>
      <c r="W847" s="2">
        <f>VLOOKUP($A847,'[2]App C Assum'!$A$4:$I$917,5,FALSE)</f>
        <v>293396</v>
      </c>
      <c r="X847" s="2">
        <f>VLOOKUP($A847,'[2]App C Assum'!$A$4:$I$917,6,FALSE)</f>
        <v>240360</v>
      </c>
      <c r="Y847" s="2">
        <f>VLOOKUP($A847,'[2]App C Assum'!$A$4:$I$917,7,FALSE)</f>
        <v>195132</v>
      </c>
      <c r="Z847" s="2">
        <f>VLOOKUP($A847,'[2]App C Assum'!$A$4:$I$917,8,FALSE)</f>
        <v>0</v>
      </c>
      <c r="AA847" s="2">
        <f>VLOOKUP($A847,'[2]App C Assum'!$A$4:$I$917,9,FALSE)</f>
        <v>0</v>
      </c>
      <c r="AB847" s="2"/>
      <c r="AC847" s="2">
        <f>VLOOKUP($A847,'[2]App C Share Outflows'!$A$4:$I$917,5,FALSE)</f>
        <v>235877</v>
      </c>
      <c r="AD847" s="2">
        <f>VLOOKUP($A847,'[2]App C Share Outflows'!$A$4:$I$917,6,FALSE)</f>
        <v>194992</v>
      </c>
      <c r="AE847" s="2">
        <f>VLOOKUP($A847,'[2]App C Share Outflows'!$A$4:$I$917,7,FALSE)</f>
        <v>103739</v>
      </c>
      <c r="AF847" s="2">
        <f>VLOOKUP($A847,'[2]App C Share Outflows'!$A$4:$I$917,8,FALSE)</f>
        <v>0</v>
      </c>
      <c r="AG847" s="2">
        <f>VLOOKUP($A847,'[2]App C Share Outflows'!$A$4:$I$917,9,FALSE)</f>
        <v>0</v>
      </c>
      <c r="AH847" s="2"/>
      <c r="AI847" s="2">
        <f>VLOOKUP($A847,'[2]App C Share Inflows'!$A$4:$I$917,5,FALSE)</f>
        <v>-25227</v>
      </c>
      <c r="AJ847" s="2">
        <f>VLOOKUP($A847,'[2]App C Share Inflows'!$A$4:$I$917,6,FALSE)</f>
        <v>-25227</v>
      </c>
      <c r="AK847" s="2">
        <f>VLOOKUP($A847,'[2]App C Share Inflows'!$A$4:$I$917,7,FALSE)</f>
        <v>-25227</v>
      </c>
      <c r="AL847" s="2">
        <f>VLOOKUP($A847,'[2]App C Share Inflows'!$A$4:$I$917,8,FALSE)</f>
        <v>-25229</v>
      </c>
      <c r="AM847" s="2">
        <f>VLOOKUP($A847,'[2]App C Share Inflows'!$A$4:$I$917,6,FALSE)</f>
        <v>-25227</v>
      </c>
    </row>
    <row r="848" spans="1:39">
      <c r="A848" s="351">
        <v>99207</v>
      </c>
      <c r="B848" s="344" t="s">
        <v>1546</v>
      </c>
      <c r="C848" s="235" t="e">
        <f>VLOOKUP(A848,#REF!,10,FALSE)</f>
        <v>#REF!</v>
      </c>
      <c r="E848" s="2">
        <f>VLOOKUP($A848,'[2]App C Total'!$A$4:$I$917,5,FALSE)</f>
        <v>138774</v>
      </c>
      <c r="F848" s="2">
        <f>VLOOKUP($A848,'[2]App C Total'!$A$4:$I$917,6,FALSE)</f>
        <v>87212</v>
      </c>
      <c r="G848" s="2">
        <f>VLOOKUP($A848,'[2]App C Total'!$A$4:$I$917,7,FALSE)</f>
        <v>78334</v>
      </c>
      <c r="H848" s="2">
        <f>VLOOKUP($A848,'[2]App C Total'!$A$4:$I$917,8,FALSE)</f>
        <v>32534</v>
      </c>
      <c r="I848" s="2">
        <f>VLOOKUP($A848,'[2]App C Total'!$A$4:$I$917,9,FALSE)</f>
        <v>0</v>
      </c>
      <c r="J848" s="2"/>
      <c r="K848" s="2">
        <f>VLOOKUP($A848,'[2]App C Exp'!$A$4:$I$917,5,FALSE)</f>
        <v>18067</v>
      </c>
      <c r="L848" s="2">
        <f>VLOOKUP($A848,'[2]App C Exp'!$A$4:$I$917,6,FALSE)</f>
        <v>16995</v>
      </c>
      <c r="M848" s="2">
        <f>VLOOKUP($A848,'[2]App C Exp'!$A$4:$I$917,7,FALSE)</f>
        <v>15232</v>
      </c>
      <c r="N848" s="2">
        <f>VLOOKUP($A848,'[2]App C Exp'!$A$4:$I$917,8,FALSE)</f>
        <v>6099</v>
      </c>
      <c r="O848" s="2">
        <f>VLOOKUP($A848,'[2]App C Exp'!$A$4:$I$917,9,FALSE)</f>
        <v>0</v>
      </c>
      <c r="P848" s="2"/>
      <c r="Q848" s="2">
        <f>VLOOKUP($A848,'[2]App C Inv'!$A$4:$I$917,5,FALSE)</f>
        <v>19180</v>
      </c>
      <c r="R848" s="2">
        <f>VLOOKUP($A848,'[2]App C Inv'!$A$4:$I$917,6,FALSE)</f>
        <v>-16499</v>
      </c>
      <c r="S848" s="2">
        <f>VLOOKUP($A848,'[2]App C Inv'!$A$4:$I$917,7,FALSE)</f>
        <v>2325</v>
      </c>
      <c r="T848" s="2">
        <f>VLOOKUP($A848,'[2]App C Inv'!$A$4:$I$917,8,FALSE)</f>
        <v>3026</v>
      </c>
      <c r="U848" s="2">
        <f>VLOOKUP($A848,'[2]App C Inv'!$A$4:$I$917,9,FALSE)</f>
        <v>0</v>
      </c>
      <c r="V848" s="2"/>
      <c r="W848" s="2">
        <f>VLOOKUP($A848,'[2]App C Assum'!$A$4:$I$917,5,FALSE)</f>
        <v>21607</v>
      </c>
      <c r="X848" s="2">
        <f>VLOOKUP($A848,'[2]App C Assum'!$A$4:$I$917,6,FALSE)</f>
        <v>17701</v>
      </c>
      <c r="Y848" s="2">
        <f>VLOOKUP($A848,'[2]App C Assum'!$A$4:$I$917,7,FALSE)</f>
        <v>14370</v>
      </c>
      <c r="Z848" s="2">
        <f>VLOOKUP($A848,'[2]App C Assum'!$A$4:$I$917,8,FALSE)</f>
        <v>0</v>
      </c>
      <c r="AA848" s="2">
        <f>VLOOKUP($A848,'[2]App C Assum'!$A$4:$I$917,9,FALSE)</f>
        <v>0</v>
      </c>
      <c r="AB848" s="2"/>
      <c r="AC848" s="2">
        <f>VLOOKUP($A848,'[2]App C Share Outflows'!$A$4:$I$917,5,FALSE)</f>
        <v>79920</v>
      </c>
      <c r="AD848" s="2">
        <f>VLOOKUP($A848,'[2]App C Share Outflows'!$A$4:$I$917,6,FALSE)</f>
        <v>69015</v>
      </c>
      <c r="AE848" s="2">
        <f>VLOOKUP($A848,'[2]App C Share Outflows'!$A$4:$I$917,7,FALSE)</f>
        <v>46407</v>
      </c>
      <c r="AF848" s="2">
        <f>VLOOKUP($A848,'[2]App C Share Outflows'!$A$4:$I$917,8,FALSE)</f>
        <v>23409</v>
      </c>
      <c r="AG848" s="2">
        <f>VLOOKUP($A848,'[2]App C Share Outflows'!$A$4:$I$917,9,FALSE)</f>
        <v>0</v>
      </c>
      <c r="AH848" s="2"/>
      <c r="AI848" s="2">
        <f>VLOOKUP($A848,'[2]App C Share Inflows'!$A$4:$I$917,5,FALSE)</f>
        <v>0</v>
      </c>
      <c r="AJ848" s="2">
        <f>VLOOKUP($A848,'[2]App C Share Inflows'!$A$4:$I$917,6,FALSE)</f>
        <v>0</v>
      </c>
      <c r="AK848" s="2">
        <f>VLOOKUP($A848,'[2]App C Share Inflows'!$A$4:$I$917,7,FALSE)</f>
        <v>0</v>
      </c>
      <c r="AL848" s="2">
        <f>VLOOKUP($A848,'[2]App C Share Inflows'!$A$4:$I$917,8,FALSE)</f>
        <v>0</v>
      </c>
      <c r="AM848" s="2">
        <f>VLOOKUP($A848,'[2]App C Share Inflows'!$A$4:$I$917,6,FALSE)</f>
        <v>0</v>
      </c>
    </row>
    <row r="849" spans="1:39">
      <c r="A849" s="351">
        <v>99208</v>
      </c>
      <c r="B849" s="344" t="s">
        <v>1547</v>
      </c>
      <c r="C849" s="235" t="e">
        <f>VLOOKUP(A849,#REF!,10,FALSE)</f>
        <v>#REF!</v>
      </c>
      <c r="E849" s="2">
        <f>VLOOKUP($A849,'[2]App C Total'!$A$4:$I$917,5,FALSE)</f>
        <v>164164</v>
      </c>
      <c r="F849" s="2">
        <f>VLOOKUP($A849,'[2]App C Total'!$A$4:$I$917,6,FALSE)</f>
        <v>66432</v>
      </c>
      <c r="G849" s="2">
        <f>VLOOKUP($A849,'[2]App C Total'!$A$4:$I$917,7,FALSE)</f>
        <v>101967</v>
      </c>
      <c r="H849" s="2">
        <f>VLOOKUP($A849,'[2]App C Total'!$A$4:$I$917,8,FALSE)</f>
        <v>30952</v>
      </c>
      <c r="I849" s="2">
        <f>VLOOKUP($A849,'[2]App C Total'!$A$4:$I$917,9,FALSE)</f>
        <v>0</v>
      </c>
      <c r="J849" s="2"/>
      <c r="K849" s="2">
        <f>VLOOKUP($A849,'[2]App C Exp'!$A$4:$I$917,5,FALSE)</f>
        <v>46350</v>
      </c>
      <c r="L849" s="2">
        <f>VLOOKUP($A849,'[2]App C Exp'!$A$4:$I$917,6,FALSE)</f>
        <v>43601</v>
      </c>
      <c r="M849" s="2">
        <f>VLOOKUP($A849,'[2]App C Exp'!$A$4:$I$917,7,FALSE)</f>
        <v>39079</v>
      </c>
      <c r="N849" s="2">
        <f>VLOOKUP($A849,'[2]App C Exp'!$A$4:$I$917,8,FALSE)</f>
        <v>15647</v>
      </c>
      <c r="O849" s="2">
        <f>VLOOKUP($A849,'[2]App C Exp'!$A$4:$I$917,9,FALSE)</f>
        <v>0</v>
      </c>
      <c r="P849" s="2"/>
      <c r="Q849" s="2">
        <f>VLOOKUP($A849,'[2]App C Inv'!$A$4:$I$917,5,FALSE)</f>
        <v>49207</v>
      </c>
      <c r="R849" s="2">
        <f>VLOOKUP($A849,'[2]App C Inv'!$A$4:$I$917,6,FALSE)</f>
        <v>-42327</v>
      </c>
      <c r="S849" s="2">
        <f>VLOOKUP($A849,'[2]App C Inv'!$A$4:$I$917,7,FALSE)</f>
        <v>5966</v>
      </c>
      <c r="T849" s="2">
        <f>VLOOKUP($A849,'[2]App C Inv'!$A$4:$I$917,8,FALSE)</f>
        <v>7764</v>
      </c>
      <c r="U849" s="2">
        <f>VLOOKUP($A849,'[2]App C Inv'!$A$4:$I$917,9,FALSE)</f>
        <v>0</v>
      </c>
      <c r="V849" s="2"/>
      <c r="W849" s="2">
        <f>VLOOKUP($A849,'[2]App C Assum'!$A$4:$I$917,5,FALSE)</f>
        <v>55433</v>
      </c>
      <c r="X849" s="2">
        <f>VLOOKUP($A849,'[2]App C Assum'!$A$4:$I$917,6,FALSE)</f>
        <v>45412</v>
      </c>
      <c r="Y849" s="2">
        <f>VLOOKUP($A849,'[2]App C Assum'!$A$4:$I$917,7,FALSE)</f>
        <v>36867</v>
      </c>
      <c r="Z849" s="2">
        <f>VLOOKUP($A849,'[2]App C Assum'!$A$4:$I$917,8,FALSE)</f>
        <v>0</v>
      </c>
      <c r="AA849" s="2">
        <f>VLOOKUP($A849,'[2]App C Assum'!$A$4:$I$917,9,FALSE)</f>
        <v>0</v>
      </c>
      <c r="AB849" s="2"/>
      <c r="AC849" s="2">
        <f>VLOOKUP($A849,'[2]App C Share Outflows'!$A$4:$I$917,5,FALSE)</f>
        <v>20055</v>
      </c>
      <c r="AD849" s="2">
        <f>VLOOKUP($A849,'[2]App C Share Outflows'!$A$4:$I$917,6,FALSE)</f>
        <v>20055</v>
      </c>
      <c r="AE849" s="2">
        <f>VLOOKUP($A849,'[2]App C Share Outflows'!$A$4:$I$917,7,FALSE)</f>
        <v>20055</v>
      </c>
      <c r="AF849" s="2">
        <f>VLOOKUP($A849,'[2]App C Share Outflows'!$A$4:$I$917,8,FALSE)</f>
        <v>7541</v>
      </c>
      <c r="AG849" s="2">
        <f>VLOOKUP($A849,'[2]App C Share Outflows'!$A$4:$I$917,9,FALSE)</f>
        <v>0</v>
      </c>
      <c r="AH849" s="2"/>
      <c r="AI849" s="2">
        <f>VLOOKUP($A849,'[2]App C Share Inflows'!$A$4:$I$917,5,FALSE)</f>
        <v>-6881</v>
      </c>
      <c r="AJ849" s="2">
        <f>VLOOKUP($A849,'[2]App C Share Inflows'!$A$4:$I$917,6,FALSE)</f>
        <v>-309</v>
      </c>
      <c r="AK849" s="2">
        <f>VLOOKUP($A849,'[2]App C Share Inflows'!$A$4:$I$917,7,FALSE)</f>
        <v>0</v>
      </c>
      <c r="AL849" s="2">
        <f>VLOOKUP($A849,'[2]App C Share Inflows'!$A$4:$I$917,8,FALSE)</f>
        <v>0</v>
      </c>
      <c r="AM849" s="2">
        <f>VLOOKUP($A849,'[2]App C Share Inflows'!$A$4:$I$917,6,FALSE)</f>
        <v>-309</v>
      </c>
    </row>
    <row r="850" spans="1:39">
      <c r="A850" s="351">
        <v>99210</v>
      </c>
      <c r="B850" s="344" t="s">
        <v>3705</v>
      </c>
      <c r="C850" s="235" t="e">
        <f>VLOOKUP(A850,#REF!,10,FALSE)</f>
        <v>#REF!</v>
      </c>
      <c r="E850" s="2">
        <f>VLOOKUP($A850,'[2]App C Total'!$A$4:$I$917,5,FALSE)</f>
        <v>957519</v>
      </c>
      <c r="F850" s="2">
        <f>VLOOKUP($A850,'[2]App C Total'!$A$4:$I$917,6,FALSE)</f>
        <v>348466</v>
      </c>
      <c r="G850" s="2">
        <f>VLOOKUP($A850,'[2]App C Total'!$A$4:$I$917,7,FALSE)</f>
        <v>540913</v>
      </c>
      <c r="H850" s="2">
        <f>VLOOKUP($A850,'[2]App C Total'!$A$4:$I$917,8,FALSE)</f>
        <v>179274</v>
      </c>
      <c r="I850" s="2">
        <f>VLOOKUP($A850,'[2]App C Total'!$A$4:$I$917,9,FALSE)</f>
        <v>0</v>
      </c>
      <c r="J850" s="2"/>
      <c r="K850" s="2">
        <f>VLOOKUP($A850,'[2]App C Exp'!$A$4:$I$917,5,FALSE)</f>
        <v>268349</v>
      </c>
      <c r="L850" s="2">
        <f>VLOOKUP($A850,'[2]App C Exp'!$A$4:$I$917,6,FALSE)</f>
        <v>252430</v>
      </c>
      <c r="M850" s="2">
        <f>VLOOKUP($A850,'[2]App C Exp'!$A$4:$I$917,7,FALSE)</f>
        <v>226250</v>
      </c>
      <c r="N850" s="2">
        <f>VLOOKUP($A850,'[2]App C Exp'!$A$4:$I$917,8,FALSE)</f>
        <v>90588</v>
      </c>
      <c r="O850" s="2">
        <f>VLOOKUP($A850,'[2]App C Exp'!$A$4:$I$917,9,FALSE)</f>
        <v>0</v>
      </c>
      <c r="P850" s="2"/>
      <c r="Q850" s="2">
        <f>VLOOKUP($A850,'[2]App C Inv'!$A$4:$I$917,5,FALSE)</f>
        <v>284890</v>
      </c>
      <c r="R850" s="2">
        <f>VLOOKUP($A850,'[2]App C Inv'!$A$4:$I$917,6,FALSE)</f>
        <v>-245059</v>
      </c>
      <c r="S850" s="2">
        <f>VLOOKUP($A850,'[2]App C Inv'!$A$4:$I$917,7,FALSE)</f>
        <v>34538</v>
      </c>
      <c r="T850" s="2">
        <f>VLOOKUP($A850,'[2]App C Inv'!$A$4:$I$917,8,FALSE)</f>
        <v>44951</v>
      </c>
      <c r="U850" s="2">
        <f>VLOOKUP($A850,'[2]App C Inv'!$A$4:$I$917,9,FALSE)</f>
        <v>0</v>
      </c>
      <c r="V850" s="2"/>
      <c r="W850" s="2">
        <f>VLOOKUP($A850,'[2]App C Assum'!$A$4:$I$917,5,FALSE)</f>
        <v>320933</v>
      </c>
      <c r="X850" s="2">
        <f>VLOOKUP($A850,'[2]App C Assum'!$A$4:$I$917,6,FALSE)</f>
        <v>262920</v>
      </c>
      <c r="Y850" s="2">
        <f>VLOOKUP($A850,'[2]App C Assum'!$A$4:$I$917,7,FALSE)</f>
        <v>213446</v>
      </c>
      <c r="Z850" s="2">
        <f>VLOOKUP($A850,'[2]App C Assum'!$A$4:$I$917,8,FALSE)</f>
        <v>0</v>
      </c>
      <c r="AA850" s="2">
        <f>VLOOKUP($A850,'[2]App C Assum'!$A$4:$I$917,9,FALSE)</f>
        <v>0</v>
      </c>
      <c r="AB850" s="2"/>
      <c r="AC850" s="2">
        <f>VLOOKUP($A850,'[2]App C Share Outflows'!$A$4:$I$917,5,FALSE)</f>
        <v>83347</v>
      </c>
      <c r="AD850" s="2">
        <f>VLOOKUP($A850,'[2]App C Share Outflows'!$A$4:$I$917,6,FALSE)</f>
        <v>78175</v>
      </c>
      <c r="AE850" s="2">
        <f>VLOOKUP($A850,'[2]App C Share Outflows'!$A$4:$I$917,7,FALSE)</f>
        <v>66679</v>
      </c>
      <c r="AF850" s="2">
        <f>VLOOKUP($A850,'[2]App C Share Outflows'!$A$4:$I$917,8,FALSE)</f>
        <v>43735</v>
      </c>
      <c r="AG850" s="2">
        <f>VLOOKUP($A850,'[2]App C Share Outflows'!$A$4:$I$917,9,FALSE)</f>
        <v>0</v>
      </c>
      <c r="AH850" s="2"/>
      <c r="AI850" s="2">
        <f>VLOOKUP($A850,'[2]App C Share Inflows'!$A$4:$I$917,5,FALSE)</f>
        <v>0</v>
      </c>
      <c r="AJ850" s="2">
        <f>VLOOKUP($A850,'[2]App C Share Inflows'!$A$4:$I$917,6,FALSE)</f>
        <v>0</v>
      </c>
      <c r="AK850" s="2">
        <f>VLOOKUP($A850,'[2]App C Share Inflows'!$A$4:$I$917,7,FALSE)</f>
        <v>0</v>
      </c>
      <c r="AL850" s="2">
        <f>VLOOKUP($A850,'[2]App C Share Inflows'!$A$4:$I$917,8,FALSE)</f>
        <v>0</v>
      </c>
      <c r="AM850" s="2">
        <f>VLOOKUP($A850,'[2]App C Share Inflows'!$A$4:$I$917,6,FALSE)</f>
        <v>0</v>
      </c>
    </row>
    <row r="851" spans="1:39">
      <c r="A851" s="351">
        <v>99211</v>
      </c>
      <c r="B851" s="344" t="s">
        <v>1549</v>
      </c>
      <c r="C851" s="235" t="e">
        <f>VLOOKUP(A851,#REF!,10,FALSE)</f>
        <v>#REF!</v>
      </c>
      <c r="E851" s="2">
        <f>VLOOKUP($A851,'[2]App C Total'!$A$4:$I$917,5,FALSE)</f>
        <v>18521703</v>
      </c>
      <c r="F851" s="2">
        <f>VLOOKUP($A851,'[2]App C Total'!$A$4:$I$917,6,FALSE)</f>
        <v>5643245</v>
      </c>
      <c r="G851" s="2">
        <f>VLOOKUP($A851,'[2]App C Total'!$A$4:$I$917,7,FALSE)</f>
        <v>10264045</v>
      </c>
      <c r="H851" s="2">
        <f>VLOOKUP($A851,'[2]App C Total'!$A$4:$I$917,8,FALSE)</f>
        <v>2767940</v>
      </c>
      <c r="I851" s="2">
        <f>VLOOKUP($A851,'[2]App C Total'!$A$4:$I$917,9,FALSE)</f>
        <v>0</v>
      </c>
      <c r="J851" s="2"/>
      <c r="K851" s="2">
        <f>VLOOKUP($A851,'[2]App C Exp'!$A$4:$I$917,5,FALSE)</f>
        <v>5810429</v>
      </c>
      <c r="L851" s="2">
        <f>VLOOKUP($A851,'[2]App C Exp'!$A$4:$I$917,6,FALSE)</f>
        <v>5465737</v>
      </c>
      <c r="M851" s="2">
        <f>VLOOKUP($A851,'[2]App C Exp'!$A$4:$I$917,7,FALSE)</f>
        <v>4898878</v>
      </c>
      <c r="N851" s="2">
        <f>VLOOKUP($A851,'[2]App C Exp'!$A$4:$I$917,8,FALSE)</f>
        <v>1961452</v>
      </c>
      <c r="O851" s="2">
        <f>VLOOKUP($A851,'[2]App C Exp'!$A$4:$I$917,9,FALSE)</f>
        <v>0</v>
      </c>
      <c r="P851" s="2"/>
      <c r="Q851" s="2">
        <f>VLOOKUP($A851,'[2]App C Inv'!$A$4:$I$917,5,FALSE)</f>
        <v>6168580</v>
      </c>
      <c r="R851" s="2">
        <f>VLOOKUP($A851,'[2]App C Inv'!$A$4:$I$917,6,FALSE)</f>
        <v>-5306132</v>
      </c>
      <c r="S851" s="2">
        <f>VLOOKUP($A851,'[2]App C Inv'!$A$4:$I$917,7,FALSE)</f>
        <v>747835</v>
      </c>
      <c r="T851" s="2">
        <f>VLOOKUP($A851,'[2]App C Inv'!$A$4:$I$917,8,FALSE)</f>
        <v>973298</v>
      </c>
      <c r="U851" s="2">
        <f>VLOOKUP($A851,'[2]App C Inv'!$A$4:$I$917,9,FALSE)</f>
        <v>0</v>
      </c>
      <c r="V851" s="2"/>
      <c r="W851" s="2">
        <f>VLOOKUP($A851,'[2]App C Assum'!$A$4:$I$917,5,FALSE)</f>
        <v>6948995</v>
      </c>
      <c r="X851" s="2">
        <f>VLOOKUP($A851,'[2]App C Assum'!$A$4:$I$917,6,FALSE)</f>
        <v>5692869</v>
      </c>
      <c r="Y851" s="2">
        <f>VLOOKUP($A851,'[2]App C Assum'!$A$4:$I$917,7,FALSE)</f>
        <v>4621635</v>
      </c>
      <c r="Z851" s="2">
        <f>VLOOKUP($A851,'[2]App C Assum'!$A$4:$I$917,8,FALSE)</f>
        <v>0</v>
      </c>
      <c r="AA851" s="2">
        <f>VLOOKUP($A851,'[2]App C Assum'!$A$4:$I$917,9,FALSE)</f>
        <v>0</v>
      </c>
      <c r="AB851" s="2"/>
      <c r="AC851" s="2">
        <f>VLOOKUP($A851,'[2]App C Share Outflows'!$A$4:$I$917,5,FALSE)</f>
        <v>162507</v>
      </c>
      <c r="AD851" s="2">
        <f>VLOOKUP($A851,'[2]App C Share Outflows'!$A$4:$I$917,6,FALSE)</f>
        <v>162507</v>
      </c>
      <c r="AE851" s="2">
        <f>VLOOKUP($A851,'[2]App C Share Outflows'!$A$4:$I$917,7,FALSE)</f>
        <v>162508</v>
      </c>
      <c r="AF851" s="2">
        <f>VLOOKUP($A851,'[2]App C Share Outflows'!$A$4:$I$917,8,FALSE)</f>
        <v>0</v>
      </c>
      <c r="AG851" s="2">
        <f>VLOOKUP($A851,'[2]App C Share Outflows'!$A$4:$I$917,9,FALSE)</f>
        <v>0</v>
      </c>
      <c r="AH851" s="2"/>
      <c r="AI851" s="2">
        <f>VLOOKUP($A851,'[2]App C Share Inflows'!$A$4:$I$917,5,FALSE)</f>
        <v>-568808</v>
      </c>
      <c r="AJ851" s="2">
        <f>VLOOKUP($A851,'[2]App C Share Inflows'!$A$4:$I$917,6,FALSE)</f>
        <v>-371736</v>
      </c>
      <c r="AK851" s="2">
        <f>VLOOKUP($A851,'[2]App C Share Inflows'!$A$4:$I$917,7,FALSE)</f>
        <v>-166811</v>
      </c>
      <c r="AL851" s="2">
        <f>VLOOKUP($A851,'[2]App C Share Inflows'!$A$4:$I$917,8,FALSE)</f>
        <v>-166810</v>
      </c>
      <c r="AM851" s="2">
        <f>VLOOKUP($A851,'[2]App C Share Inflows'!$A$4:$I$917,6,FALSE)</f>
        <v>-371736</v>
      </c>
    </row>
    <row r="852" spans="1:39">
      <c r="A852" s="351">
        <v>99212</v>
      </c>
      <c r="B852" s="344" t="s">
        <v>3706</v>
      </c>
      <c r="C852" s="235" t="e">
        <f>VLOOKUP(A852,#REF!,10,FALSE)</f>
        <v>#REF!</v>
      </c>
      <c r="E852" s="2">
        <f>VLOOKUP($A852,'[2]App C Total'!$A$4:$I$917,5,FALSE)</f>
        <v>22629</v>
      </c>
      <c r="F852" s="2">
        <f>VLOOKUP($A852,'[2]App C Total'!$A$4:$I$917,6,FALSE)</f>
        <v>6863</v>
      </c>
      <c r="G852" s="2">
        <f>VLOOKUP($A852,'[2]App C Total'!$A$4:$I$917,7,FALSE)</f>
        <v>14548</v>
      </c>
      <c r="H852" s="2">
        <f>VLOOKUP($A852,'[2]App C Total'!$A$4:$I$917,8,FALSE)</f>
        <v>3993</v>
      </c>
      <c r="I852" s="2">
        <f>VLOOKUP($A852,'[2]App C Total'!$A$4:$I$917,9,FALSE)</f>
        <v>0</v>
      </c>
      <c r="J852" s="2"/>
      <c r="K852" s="2">
        <f>VLOOKUP($A852,'[2]App C Exp'!$A$4:$I$917,5,FALSE)</f>
        <v>10187</v>
      </c>
      <c r="L852" s="2">
        <f>VLOOKUP($A852,'[2]App C Exp'!$A$4:$I$917,6,FALSE)</f>
        <v>9583</v>
      </c>
      <c r="M852" s="2">
        <f>VLOOKUP($A852,'[2]App C Exp'!$A$4:$I$917,7,FALSE)</f>
        <v>8589</v>
      </c>
      <c r="N852" s="2">
        <f>VLOOKUP($A852,'[2]App C Exp'!$A$4:$I$917,8,FALSE)</f>
        <v>3439</v>
      </c>
      <c r="O852" s="2">
        <f>VLOOKUP($A852,'[2]App C Exp'!$A$4:$I$917,9,FALSE)</f>
        <v>0</v>
      </c>
      <c r="P852" s="2"/>
      <c r="Q852" s="2">
        <f>VLOOKUP($A852,'[2]App C Inv'!$A$4:$I$917,5,FALSE)</f>
        <v>10815</v>
      </c>
      <c r="R852" s="2">
        <f>VLOOKUP($A852,'[2]App C Inv'!$A$4:$I$917,6,FALSE)</f>
        <v>-9303</v>
      </c>
      <c r="S852" s="2">
        <f>VLOOKUP($A852,'[2]App C Inv'!$A$4:$I$917,7,FALSE)</f>
        <v>1311</v>
      </c>
      <c r="T852" s="2">
        <f>VLOOKUP($A852,'[2]App C Inv'!$A$4:$I$917,8,FALSE)</f>
        <v>1706</v>
      </c>
      <c r="U852" s="2">
        <f>VLOOKUP($A852,'[2]App C Inv'!$A$4:$I$917,9,FALSE)</f>
        <v>0</v>
      </c>
      <c r="V852" s="2"/>
      <c r="W852" s="2">
        <f>VLOOKUP($A852,'[2]App C Assum'!$A$4:$I$917,5,FALSE)</f>
        <v>12183</v>
      </c>
      <c r="X852" s="2">
        <f>VLOOKUP($A852,'[2]App C Assum'!$A$4:$I$917,6,FALSE)</f>
        <v>9981</v>
      </c>
      <c r="Y852" s="2">
        <f>VLOOKUP($A852,'[2]App C Assum'!$A$4:$I$917,7,FALSE)</f>
        <v>8103</v>
      </c>
      <c r="Z852" s="2">
        <f>VLOOKUP($A852,'[2]App C Assum'!$A$4:$I$917,8,FALSE)</f>
        <v>0</v>
      </c>
      <c r="AA852" s="2">
        <f>VLOOKUP($A852,'[2]App C Assum'!$A$4:$I$917,9,FALSE)</f>
        <v>0</v>
      </c>
      <c r="AB852" s="2"/>
      <c r="AC852" s="2">
        <f>VLOOKUP($A852,'[2]App C Share Outflows'!$A$4:$I$917,5,FALSE)</f>
        <v>61</v>
      </c>
      <c r="AD852" s="2">
        <f>VLOOKUP($A852,'[2]App C Share Outflows'!$A$4:$I$917,6,FALSE)</f>
        <v>59</v>
      </c>
      <c r="AE852" s="2">
        <f>VLOOKUP($A852,'[2]App C Share Outflows'!$A$4:$I$917,7,FALSE)</f>
        <v>0</v>
      </c>
      <c r="AF852" s="2">
        <f>VLOOKUP($A852,'[2]App C Share Outflows'!$A$4:$I$917,8,FALSE)</f>
        <v>0</v>
      </c>
      <c r="AG852" s="2">
        <f>VLOOKUP($A852,'[2]App C Share Outflows'!$A$4:$I$917,9,FALSE)</f>
        <v>0</v>
      </c>
      <c r="AH852" s="2"/>
      <c r="AI852" s="2">
        <f>VLOOKUP($A852,'[2]App C Share Inflows'!$A$4:$I$917,5,FALSE)</f>
        <v>-10617</v>
      </c>
      <c r="AJ852" s="2">
        <f>VLOOKUP($A852,'[2]App C Share Inflows'!$A$4:$I$917,6,FALSE)</f>
        <v>-3457</v>
      </c>
      <c r="AK852" s="2">
        <f>VLOOKUP($A852,'[2]App C Share Inflows'!$A$4:$I$917,7,FALSE)</f>
        <v>-3455</v>
      </c>
      <c r="AL852" s="2">
        <f>VLOOKUP($A852,'[2]App C Share Inflows'!$A$4:$I$917,8,FALSE)</f>
        <v>-1152</v>
      </c>
      <c r="AM852" s="2">
        <f>VLOOKUP($A852,'[2]App C Share Inflows'!$A$4:$I$917,6,FALSE)</f>
        <v>-3457</v>
      </c>
    </row>
    <row r="853" spans="1:39">
      <c r="A853" s="351">
        <v>99213</v>
      </c>
      <c r="B853" s="344" t="s">
        <v>1551</v>
      </c>
      <c r="C853" s="235" t="e">
        <f>VLOOKUP(A853,#REF!,10,FALSE)</f>
        <v>#REF!</v>
      </c>
      <c r="E853" s="2">
        <f>VLOOKUP($A853,'[2]App C Total'!$A$4:$I$917,5,FALSE)</f>
        <v>306211</v>
      </c>
      <c r="F853" s="2">
        <f>VLOOKUP($A853,'[2]App C Total'!$A$4:$I$917,6,FALSE)</f>
        <v>81948</v>
      </c>
      <c r="G853" s="2">
        <f>VLOOKUP($A853,'[2]App C Total'!$A$4:$I$917,7,FALSE)</f>
        <v>166692</v>
      </c>
      <c r="H853" s="2">
        <f>VLOOKUP($A853,'[2]App C Total'!$A$4:$I$917,8,FALSE)</f>
        <v>34893</v>
      </c>
      <c r="I853" s="2">
        <f>VLOOKUP($A853,'[2]App C Total'!$A$4:$I$917,9,FALSE)</f>
        <v>0</v>
      </c>
      <c r="J853" s="2"/>
      <c r="K853" s="2">
        <f>VLOOKUP($A853,'[2]App C Exp'!$A$4:$I$917,5,FALSE)</f>
        <v>101524</v>
      </c>
      <c r="L853" s="2">
        <f>VLOOKUP($A853,'[2]App C Exp'!$A$4:$I$917,6,FALSE)</f>
        <v>95501</v>
      </c>
      <c r="M853" s="2">
        <f>VLOOKUP($A853,'[2]App C Exp'!$A$4:$I$917,7,FALSE)</f>
        <v>85597</v>
      </c>
      <c r="N853" s="2">
        <f>VLOOKUP($A853,'[2]App C Exp'!$A$4:$I$917,8,FALSE)</f>
        <v>34272</v>
      </c>
      <c r="O853" s="2">
        <f>VLOOKUP($A853,'[2]App C Exp'!$A$4:$I$917,9,FALSE)</f>
        <v>0</v>
      </c>
      <c r="P853" s="2"/>
      <c r="Q853" s="2">
        <f>VLOOKUP($A853,'[2]App C Inv'!$A$4:$I$917,5,FALSE)</f>
        <v>107782</v>
      </c>
      <c r="R853" s="2">
        <f>VLOOKUP($A853,'[2]App C Inv'!$A$4:$I$917,6,FALSE)</f>
        <v>-92713</v>
      </c>
      <c r="S853" s="2">
        <f>VLOOKUP($A853,'[2]App C Inv'!$A$4:$I$917,7,FALSE)</f>
        <v>13067</v>
      </c>
      <c r="T853" s="2">
        <f>VLOOKUP($A853,'[2]App C Inv'!$A$4:$I$917,8,FALSE)</f>
        <v>17006</v>
      </c>
      <c r="U853" s="2">
        <f>VLOOKUP($A853,'[2]App C Inv'!$A$4:$I$917,9,FALSE)</f>
        <v>0</v>
      </c>
      <c r="V853" s="2"/>
      <c r="W853" s="2">
        <f>VLOOKUP($A853,'[2]App C Assum'!$A$4:$I$917,5,FALSE)</f>
        <v>121418</v>
      </c>
      <c r="X853" s="2">
        <f>VLOOKUP($A853,'[2]App C Assum'!$A$4:$I$917,6,FALSE)</f>
        <v>99470</v>
      </c>
      <c r="Y853" s="2">
        <f>VLOOKUP($A853,'[2]App C Assum'!$A$4:$I$917,7,FALSE)</f>
        <v>80753</v>
      </c>
      <c r="Z853" s="2">
        <f>VLOOKUP($A853,'[2]App C Assum'!$A$4:$I$917,8,FALSE)</f>
        <v>0</v>
      </c>
      <c r="AA853" s="2">
        <f>VLOOKUP($A853,'[2]App C Assum'!$A$4:$I$917,9,FALSE)</f>
        <v>0</v>
      </c>
      <c r="AB853" s="2"/>
      <c r="AC853" s="2">
        <f>VLOOKUP($A853,'[2]App C Share Outflows'!$A$4:$I$917,5,FALSE)</f>
        <v>3656</v>
      </c>
      <c r="AD853" s="2">
        <f>VLOOKUP($A853,'[2]App C Share Outflows'!$A$4:$I$917,6,FALSE)</f>
        <v>3656</v>
      </c>
      <c r="AE853" s="2">
        <f>VLOOKUP($A853,'[2]App C Share Outflows'!$A$4:$I$917,7,FALSE)</f>
        <v>3658</v>
      </c>
      <c r="AF853" s="2">
        <f>VLOOKUP($A853,'[2]App C Share Outflows'!$A$4:$I$917,8,FALSE)</f>
        <v>0</v>
      </c>
      <c r="AG853" s="2">
        <f>VLOOKUP($A853,'[2]App C Share Outflows'!$A$4:$I$917,9,FALSE)</f>
        <v>0</v>
      </c>
      <c r="AH853" s="2"/>
      <c r="AI853" s="2">
        <f>VLOOKUP($A853,'[2]App C Share Inflows'!$A$4:$I$917,5,FALSE)</f>
        <v>-28169</v>
      </c>
      <c r="AJ853" s="2">
        <f>VLOOKUP($A853,'[2]App C Share Inflows'!$A$4:$I$917,6,FALSE)</f>
        <v>-23966</v>
      </c>
      <c r="AK853" s="2">
        <f>VLOOKUP($A853,'[2]App C Share Inflows'!$A$4:$I$917,7,FALSE)</f>
        <v>-16383</v>
      </c>
      <c r="AL853" s="2">
        <f>VLOOKUP($A853,'[2]App C Share Inflows'!$A$4:$I$917,8,FALSE)</f>
        <v>-16385</v>
      </c>
      <c r="AM853" s="2">
        <f>VLOOKUP($A853,'[2]App C Share Inflows'!$A$4:$I$917,6,FALSE)</f>
        <v>-23966</v>
      </c>
    </row>
    <row r="854" spans="1:39">
      <c r="A854" s="351">
        <v>99218</v>
      </c>
      <c r="B854" s="344" t="s">
        <v>1552</v>
      </c>
      <c r="C854" s="235" t="e">
        <f>VLOOKUP(A854,#REF!,10,FALSE)</f>
        <v>#REF!</v>
      </c>
      <c r="E854" s="2">
        <f>VLOOKUP($A854,'[2]App C Total'!$A$4:$I$917,5,FALSE)</f>
        <v>1802223</v>
      </c>
      <c r="F854" s="2">
        <f>VLOOKUP($A854,'[2]App C Total'!$A$4:$I$917,6,FALSE)</f>
        <v>611324</v>
      </c>
      <c r="G854" s="2">
        <f>VLOOKUP($A854,'[2]App C Total'!$A$4:$I$917,7,FALSE)</f>
        <v>991869</v>
      </c>
      <c r="H854" s="2">
        <f>VLOOKUP($A854,'[2]App C Total'!$A$4:$I$917,8,FALSE)</f>
        <v>293943</v>
      </c>
      <c r="I854" s="2">
        <f>VLOOKUP($A854,'[2]App C Total'!$A$4:$I$917,9,FALSE)</f>
        <v>0</v>
      </c>
      <c r="J854" s="2"/>
      <c r="K854" s="2">
        <f>VLOOKUP($A854,'[2]App C Exp'!$A$4:$I$917,5,FALSE)</f>
        <v>515696</v>
      </c>
      <c r="L854" s="2">
        <f>VLOOKUP($A854,'[2]App C Exp'!$A$4:$I$917,6,FALSE)</f>
        <v>485103</v>
      </c>
      <c r="M854" s="2">
        <f>VLOOKUP($A854,'[2]App C Exp'!$A$4:$I$917,7,FALSE)</f>
        <v>434792</v>
      </c>
      <c r="N854" s="2">
        <f>VLOOKUP($A854,'[2]App C Exp'!$A$4:$I$917,8,FALSE)</f>
        <v>174086</v>
      </c>
      <c r="O854" s="2">
        <f>VLOOKUP($A854,'[2]App C Exp'!$A$4:$I$917,9,FALSE)</f>
        <v>0</v>
      </c>
      <c r="P854" s="2"/>
      <c r="Q854" s="2">
        <f>VLOOKUP($A854,'[2]App C Inv'!$A$4:$I$917,5,FALSE)</f>
        <v>547483</v>
      </c>
      <c r="R854" s="2">
        <f>VLOOKUP($A854,'[2]App C Inv'!$A$4:$I$917,6,FALSE)</f>
        <v>-470938</v>
      </c>
      <c r="S854" s="2">
        <f>VLOOKUP($A854,'[2]App C Inv'!$A$4:$I$917,7,FALSE)</f>
        <v>66373</v>
      </c>
      <c r="T854" s="2">
        <f>VLOOKUP($A854,'[2]App C Inv'!$A$4:$I$917,8,FALSE)</f>
        <v>86384</v>
      </c>
      <c r="U854" s="2">
        <f>VLOOKUP($A854,'[2]App C Inv'!$A$4:$I$917,9,FALSE)</f>
        <v>0</v>
      </c>
      <c r="V854" s="2"/>
      <c r="W854" s="2">
        <f>VLOOKUP($A854,'[2]App C Assum'!$A$4:$I$917,5,FALSE)</f>
        <v>616747</v>
      </c>
      <c r="X854" s="2">
        <f>VLOOKUP($A854,'[2]App C Assum'!$A$4:$I$917,6,FALSE)</f>
        <v>505262</v>
      </c>
      <c r="Y854" s="2">
        <f>VLOOKUP($A854,'[2]App C Assum'!$A$4:$I$917,7,FALSE)</f>
        <v>410186</v>
      </c>
      <c r="Z854" s="2">
        <f>VLOOKUP($A854,'[2]App C Assum'!$A$4:$I$917,8,FALSE)</f>
        <v>0</v>
      </c>
      <c r="AA854" s="2">
        <f>VLOOKUP($A854,'[2]App C Assum'!$A$4:$I$917,9,FALSE)</f>
        <v>0</v>
      </c>
      <c r="AB854" s="2"/>
      <c r="AC854" s="2">
        <f>VLOOKUP($A854,'[2]App C Share Outflows'!$A$4:$I$917,5,FALSE)</f>
        <v>122297</v>
      </c>
      <c r="AD854" s="2">
        <f>VLOOKUP($A854,'[2]App C Share Outflows'!$A$4:$I$917,6,FALSE)</f>
        <v>91897</v>
      </c>
      <c r="AE854" s="2">
        <f>VLOOKUP($A854,'[2]App C Share Outflows'!$A$4:$I$917,7,FALSE)</f>
        <v>80518</v>
      </c>
      <c r="AF854" s="2">
        <f>VLOOKUP($A854,'[2]App C Share Outflows'!$A$4:$I$917,8,FALSE)</f>
        <v>33473</v>
      </c>
      <c r="AG854" s="2">
        <f>VLOOKUP($A854,'[2]App C Share Outflows'!$A$4:$I$917,9,FALSE)</f>
        <v>0</v>
      </c>
      <c r="AH854" s="2"/>
      <c r="AI854" s="2">
        <f>VLOOKUP($A854,'[2]App C Share Inflows'!$A$4:$I$917,5,FALSE)</f>
        <v>0</v>
      </c>
      <c r="AJ854" s="2">
        <f>VLOOKUP($A854,'[2]App C Share Inflows'!$A$4:$I$917,6,FALSE)</f>
        <v>0</v>
      </c>
      <c r="AK854" s="2">
        <f>VLOOKUP($A854,'[2]App C Share Inflows'!$A$4:$I$917,7,FALSE)</f>
        <v>0</v>
      </c>
      <c r="AL854" s="2">
        <f>VLOOKUP($A854,'[2]App C Share Inflows'!$A$4:$I$917,8,FALSE)</f>
        <v>0</v>
      </c>
      <c r="AM854" s="2">
        <f>VLOOKUP($A854,'[2]App C Share Inflows'!$A$4:$I$917,6,FALSE)</f>
        <v>0</v>
      </c>
    </row>
    <row r="855" spans="1:39">
      <c r="A855" s="351">
        <v>99221</v>
      </c>
      <c r="B855" s="344" t="s">
        <v>1553</v>
      </c>
      <c r="C855" s="235" t="e">
        <f>VLOOKUP(A855,#REF!,10,FALSE)</f>
        <v>#REF!</v>
      </c>
      <c r="E855" s="2">
        <f>VLOOKUP($A855,'[2]App C Total'!$A$4:$I$917,5,FALSE)</f>
        <v>5963234</v>
      </c>
      <c r="F855" s="2">
        <f>VLOOKUP($A855,'[2]App C Total'!$A$4:$I$917,6,FALSE)</f>
        <v>1796448</v>
      </c>
      <c r="G855" s="2">
        <f>VLOOKUP($A855,'[2]App C Total'!$A$4:$I$917,7,FALSE)</f>
        <v>3290616</v>
      </c>
      <c r="H855" s="2">
        <f>VLOOKUP($A855,'[2]App C Total'!$A$4:$I$917,8,FALSE)</f>
        <v>934795</v>
      </c>
      <c r="I855" s="2">
        <f>VLOOKUP($A855,'[2]App C Total'!$A$4:$I$917,9,FALSE)</f>
        <v>0</v>
      </c>
      <c r="J855" s="2"/>
      <c r="K855" s="2">
        <f>VLOOKUP($A855,'[2]App C Exp'!$A$4:$I$917,5,FALSE)</f>
        <v>1898639</v>
      </c>
      <c r="L855" s="2">
        <f>VLOOKUP($A855,'[2]App C Exp'!$A$4:$I$917,6,FALSE)</f>
        <v>1786006</v>
      </c>
      <c r="M855" s="2">
        <f>VLOOKUP($A855,'[2]App C Exp'!$A$4:$I$917,7,FALSE)</f>
        <v>1600777</v>
      </c>
      <c r="N855" s="2">
        <f>VLOOKUP($A855,'[2]App C Exp'!$A$4:$I$917,8,FALSE)</f>
        <v>640932</v>
      </c>
      <c r="O855" s="2">
        <f>VLOOKUP($A855,'[2]App C Exp'!$A$4:$I$917,9,FALSE)</f>
        <v>0</v>
      </c>
      <c r="P855" s="2"/>
      <c r="Q855" s="2">
        <f>VLOOKUP($A855,'[2]App C Inv'!$A$4:$I$917,5,FALSE)</f>
        <v>2015670</v>
      </c>
      <c r="R855" s="2">
        <f>VLOOKUP($A855,'[2]App C Inv'!$A$4:$I$917,6,FALSE)</f>
        <v>-1733853</v>
      </c>
      <c r="S855" s="2">
        <f>VLOOKUP($A855,'[2]App C Inv'!$A$4:$I$917,7,FALSE)</f>
        <v>244365</v>
      </c>
      <c r="T855" s="2">
        <f>VLOOKUP($A855,'[2]App C Inv'!$A$4:$I$917,8,FALSE)</f>
        <v>318039</v>
      </c>
      <c r="U855" s="2">
        <f>VLOOKUP($A855,'[2]App C Inv'!$A$4:$I$917,9,FALSE)</f>
        <v>0</v>
      </c>
      <c r="V855" s="2"/>
      <c r="W855" s="2">
        <f>VLOOKUP($A855,'[2]App C Assum'!$A$4:$I$917,5,FALSE)</f>
        <v>2270681</v>
      </c>
      <c r="X855" s="2">
        <f>VLOOKUP($A855,'[2]App C Assum'!$A$4:$I$917,6,FALSE)</f>
        <v>1860224</v>
      </c>
      <c r="Y855" s="2">
        <f>VLOOKUP($A855,'[2]App C Assum'!$A$4:$I$917,7,FALSE)</f>
        <v>1510184</v>
      </c>
      <c r="Z855" s="2">
        <f>VLOOKUP($A855,'[2]App C Assum'!$A$4:$I$917,8,FALSE)</f>
        <v>0</v>
      </c>
      <c r="AA855" s="2">
        <f>VLOOKUP($A855,'[2]App C Assum'!$A$4:$I$917,9,FALSE)</f>
        <v>0</v>
      </c>
      <c r="AB855" s="2"/>
      <c r="AC855" s="2">
        <f>VLOOKUP($A855,'[2]App C Share Outflows'!$A$4:$I$917,5,FALSE)</f>
        <v>0</v>
      </c>
      <c r="AD855" s="2">
        <f>VLOOKUP($A855,'[2]App C Share Outflows'!$A$4:$I$917,6,FALSE)</f>
        <v>0</v>
      </c>
      <c r="AE855" s="2">
        <f>VLOOKUP($A855,'[2]App C Share Outflows'!$A$4:$I$917,7,FALSE)</f>
        <v>0</v>
      </c>
      <c r="AF855" s="2">
        <f>VLOOKUP($A855,'[2]App C Share Outflows'!$A$4:$I$917,8,FALSE)</f>
        <v>0</v>
      </c>
      <c r="AG855" s="2">
        <f>VLOOKUP($A855,'[2]App C Share Outflows'!$A$4:$I$917,9,FALSE)</f>
        <v>0</v>
      </c>
      <c r="AH855" s="2"/>
      <c r="AI855" s="2">
        <f>VLOOKUP($A855,'[2]App C Share Inflows'!$A$4:$I$917,5,FALSE)</f>
        <v>-221756</v>
      </c>
      <c r="AJ855" s="2">
        <f>VLOOKUP($A855,'[2]App C Share Inflows'!$A$4:$I$917,6,FALSE)</f>
        <v>-115929</v>
      </c>
      <c r="AK855" s="2">
        <f>VLOOKUP($A855,'[2]App C Share Inflows'!$A$4:$I$917,7,FALSE)</f>
        <v>-64710</v>
      </c>
      <c r="AL855" s="2">
        <f>VLOOKUP($A855,'[2]App C Share Inflows'!$A$4:$I$917,8,FALSE)</f>
        <v>-24176</v>
      </c>
      <c r="AM855" s="2">
        <f>VLOOKUP($A855,'[2]App C Share Inflows'!$A$4:$I$917,6,FALSE)</f>
        <v>-115929</v>
      </c>
    </row>
    <row r="856" spans="1:39">
      <c r="A856" s="351">
        <v>99222</v>
      </c>
      <c r="B856" s="344" t="s">
        <v>1554</v>
      </c>
      <c r="C856" s="235" t="e">
        <f>VLOOKUP(A856,#REF!,10,FALSE)</f>
        <v>#REF!</v>
      </c>
      <c r="E856" s="2">
        <f>VLOOKUP($A856,'[2]App C Total'!$A$4:$I$917,5,FALSE)</f>
        <v>15183</v>
      </c>
      <c r="F856" s="2">
        <f>VLOOKUP($A856,'[2]App C Total'!$A$4:$I$917,6,FALSE)</f>
        <v>3453</v>
      </c>
      <c r="G856" s="2">
        <f>VLOOKUP($A856,'[2]App C Total'!$A$4:$I$917,7,FALSE)</f>
        <v>8173</v>
      </c>
      <c r="H856" s="2">
        <f>VLOOKUP($A856,'[2]App C Total'!$A$4:$I$917,8,FALSE)</f>
        <v>2110</v>
      </c>
      <c r="I856" s="2">
        <f>VLOOKUP($A856,'[2]App C Total'!$A$4:$I$917,9,FALSE)</f>
        <v>0</v>
      </c>
      <c r="J856" s="2"/>
      <c r="K856" s="2">
        <f>VLOOKUP($A856,'[2]App C Exp'!$A$4:$I$917,5,FALSE)</f>
        <v>5333</v>
      </c>
      <c r="L856" s="2">
        <f>VLOOKUP($A856,'[2]App C Exp'!$A$4:$I$917,6,FALSE)</f>
        <v>5017</v>
      </c>
      <c r="M856" s="2">
        <f>VLOOKUP($A856,'[2]App C Exp'!$A$4:$I$917,7,FALSE)</f>
        <v>4496</v>
      </c>
      <c r="N856" s="2">
        <f>VLOOKUP($A856,'[2]App C Exp'!$A$4:$I$917,8,FALSE)</f>
        <v>1800</v>
      </c>
      <c r="O856" s="2">
        <f>VLOOKUP($A856,'[2]App C Exp'!$A$4:$I$917,9,FALSE)</f>
        <v>0</v>
      </c>
      <c r="P856" s="2"/>
      <c r="Q856" s="2">
        <f>VLOOKUP($A856,'[2]App C Inv'!$A$4:$I$917,5,FALSE)</f>
        <v>5662</v>
      </c>
      <c r="R856" s="2">
        <f>VLOOKUP($A856,'[2]App C Inv'!$A$4:$I$917,6,FALSE)</f>
        <v>-4870</v>
      </c>
      <c r="S856" s="2">
        <f>VLOOKUP($A856,'[2]App C Inv'!$A$4:$I$917,7,FALSE)</f>
        <v>686</v>
      </c>
      <c r="T856" s="2">
        <f>VLOOKUP($A856,'[2]App C Inv'!$A$4:$I$917,8,FALSE)</f>
        <v>893</v>
      </c>
      <c r="U856" s="2">
        <f>VLOOKUP($A856,'[2]App C Inv'!$A$4:$I$917,9,FALSE)</f>
        <v>0</v>
      </c>
      <c r="V856" s="2"/>
      <c r="W856" s="2">
        <f>VLOOKUP($A856,'[2]App C Assum'!$A$4:$I$917,5,FALSE)</f>
        <v>6378</v>
      </c>
      <c r="X856" s="2">
        <f>VLOOKUP($A856,'[2]App C Assum'!$A$4:$I$917,6,FALSE)</f>
        <v>5225</v>
      </c>
      <c r="Y856" s="2">
        <f>VLOOKUP($A856,'[2]App C Assum'!$A$4:$I$917,7,FALSE)</f>
        <v>4242</v>
      </c>
      <c r="Z856" s="2">
        <f>VLOOKUP($A856,'[2]App C Assum'!$A$4:$I$917,8,FALSE)</f>
        <v>0</v>
      </c>
      <c r="AA856" s="2">
        <f>VLOOKUP($A856,'[2]App C Assum'!$A$4:$I$917,9,FALSE)</f>
        <v>0</v>
      </c>
      <c r="AB856" s="2"/>
      <c r="AC856" s="2">
        <f>VLOOKUP($A856,'[2]App C Share Outflows'!$A$4:$I$917,5,FALSE)</f>
        <v>0</v>
      </c>
      <c r="AD856" s="2">
        <f>VLOOKUP($A856,'[2]App C Share Outflows'!$A$4:$I$917,6,FALSE)</f>
        <v>0</v>
      </c>
      <c r="AE856" s="2">
        <f>VLOOKUP($A856,'[2]App C Share Outflows'!$A$4:$I$917,7,FALSE)</f>
        <v>0</v>
      </c>
      <c r="AF856" s="2">
        <f>VLOOKUP($A856,'[2]App C Share Outflows'!$A$4:$I$917,8,FALSE)</f>
        <v>0</v>
      </c>
      <c r="AG856" s="2">
        <f>VLOOKUP($A856,'[2]App C Share Outflows'!$A$4:$I$917,9,FALSE)</f>
        <v>0</v>
      </c>
      <c r="AH856" s="2"/>
      <c r="AI856" s="2">
        <f>VLOOKUP($A856,'[2]App C Share Inflows'!$A$4:$I$917,5,FALSE)</f>
        <v>-2190</v>
      </c>
      <c r="AJ856" s="2">
        <f>VLOOKUP($A856,'[2]App C Share Inflows'!$A$4:$I$917,6,FALSE)</f>
        <v>-1919</v>
      </c>
      <c r="AK856" s="2">
        <f>VLOOKUP($A856,'[2]App C Share Inflows'!$A$4:$I$917,7,FALSE)</f>
        <v>-1251</v>
      </c>
      <c r="AL856" s="2">
        <f>VLOOKUP($A856,'[2]App C Share Inflows'!$A$4:$I$917,8,FALSE)</f>
        <v>-583</v>
      </c>
      <c r="AM856" s="2">
        <f>VLOOKUP($A856,'[2]App C Share Inflows'!$A$4:$I$917,6,FALSE)</f>
        <v>-1919</v>
      </c>
    </row>
    <row r="857" spans="1:39">
      <c r="A857" s="351">
        <v>99231</v>
      </c>
      <c r="B857" s="344" t="s">
        <v>1555</v>
      </c>
      <c r="C857" s="235" t="e">
        <f>VLOOKUP(A857,#REF!,10,FALSE)</f>
        <v>#REF!</v>
      </c>
      <c r="E857" s="2">
        <f>VLOOKUP($A857,'[2]App C Total'!$A$4:$I$917,5,FALSE)</f>
        <v>161099</v>
      </c>
      <c r="F857" s="2">
        <f>VLOOKUP($A857,'[2]App C Total'!$A$4:$I$917,6,FALSE)</f>
        <v>44098</v>
      </c>
      <c r="G857" s="2">
        <f>VLOOKUP($A857,'[2]App C Total'!$A$4:$I$917,7,FALSE)</f>
        <v>88043</v>
      </c>
      <c r="H857" s="2">
        <f>VLOOKUP($A857,'[2]App C Total'!$A$4:$I$917,8,FALSE)</f>
        <v>24504</v>
      </c>
      <c r="I857" s="2">
        <f>VLOOKUP($A857,'[2]App C Total'!$A$4:$I$917,9,FALSE)</f>
        <v>0</v>
      </c>
      <c r="J857" s="2"/>
      <c r="K857" s="2">
        <f>VLOOKUP($A857,'[2]App C Exp'!$A$4:$I$917,5,FALSE)</f>
        <v>52672</v>
      </c>
      <c r="L857" s="2">
        <f>VLOOKUP($A857,'[2]App C Exp'!$A$4:$I$917,6,FALSE)</f>
        <v>49547</v>
      </c>
      <c r="M857" s="2">
        <f>VLOOKUP($A857,'[2]App C Exp'!$A$4:$I$917,7,FALSE)</f>
        <v>44409</v>
      </c>
      <c r="N857" s="2">
        <f>VLOOKUP($A857,'[2]App C Exp'!$A$4:$I$917,8,FALSE)</f>
        <v>17781</v>
      </c>
      <c r="O857" s="2">
        <f>VLOOKUP($A857,'[2]App C Exp'!$A$4:$I$917,9,FALSE)</f>
        <v>0</v>
      </c>
      <c r="P857" s="2"/>
      <c r="Q857" s="2">
        <f>VLOOKUP($A857,'[2]App C Inv'!$A$4:$I$917,5,FALSE)</f>
        <v>55919</v>
      </c>
      <c r="R857" s="2">
        <f>VLOOKUP($A857,'[2]App C Inv'!$A$4:$I$917,6,FALSE)</f>
        <v>-48101</v>
      </c>
      <c r="S857" s="2">
        <f>VLOOKUP($A857,'[2]App C Inv'!$A$4:$I$917,7,FALSE)</f>
        <v>6779</v>
      </c>
      <c r="T857" s="2">
        <f>VLOOKUP($A857,'[2]App C Inv'!$A$4:$I$917,8,FALSE)</f>
        <v>8823</v>
      </c>
      <c r="U857" s="2">
        <f>VLOOKUP($A857,'[2]App C Inv'!$A$4:$I$917,9,FALSE)</f>
        <v>0</v>
      </c>
      <c r="V857" s="2"/>
      <c r="W857" s="2">
        <f>VLOOKUP($A857,'[2]App C Assum'!$A$4:$I$917,5,FALSE)</f>
        <v>62993</v>
      </c>
      <c r="X857" s="2">
        <f>VLOOKUP($A857,'[2]App C Assum'!$A$4:$I$917,6,FALSE)</f>
        <v>51606</v>
      </c>
      <c r="Y857" s="2">
        <f>VLOOKUP($A857,'[2]App C Assum'!$A$4:$I$917,7,FALSE)</f>
        <v>41896</v>
      </c>
      <c r="Z857" s="2">
        <f>VLOOKUP($A857,'[2]App C Assum'!$A$4:$I$917,8,FALSE)</f>
        <v>0</v>
      </c>
      <c r="AA857" s="2">
        <f>VLOOKUP($A857,'[2]App C Assum'!$A$4:$I$917,9,FALSE)</f>
        <v>0</v>
      </c>
      <c r="AB857" s="2"/>
      <c r="AC857" s="2">
        <f>VLOOKUP($A857,'[2]App C Share Outflows'!$A$4:$I$917,5,FALSE)</f>
        <v>0</v>
      </c>
      <c r="AD857" s="2">
        <f>VLOOKUP($A857,'[2]App C Share Outflows'!$A$4:$I$917,6,FALSE)</f>
        <v>0</v>
      </c>
      <c r="AE857" s="2">
        <f>VLOOKUP($A857,'[2]App C Share Outflows'!$A$4:$I$917,7,FALSE)</f>
        <v>0</v>
      </c>
      <c r="AF857" s="2">
        <f>VLOOKUP($A857,'[2]App C Share Outflows'!$A$4:$I$917,8,FALSE)</f>
        <v>0</v>
      </c>
      <c r="AG857" s="2">
        <f>VLOOKUP($A857,'[2]App C Share Outflows'!$A$4:$I$917,9,FALSE)</f>
        <v>0</v>
      </c>
      <c r="AH857" s="2"/>
      <c r="AI857" s="2">
        <f>VLOOKUP($A857,'[2]App C Share Inflows'!$A$4:$I$917,5,FALSE)</f>
        <v>-10485</v>
      </c>
      <c r="AJ857" s="2">
        <f>VLOOKUP($A857,'[2]App C Share Inflows'!$A$4:$I$917,6,FALSE)</f>
        <v>-8954</v>
      </c>
      <c r="AK857" s="2">
        <f>VLOOKUP($A857,'[2]App C Share Inflows'!$A$4:$I$917,7,FALSE)</f>
        <v>-5041</v>
      </c>
      <c r="AL857" s="2">
        <f>VLOOKUP($A857,'[2]App C Share Inflows'!$A$4:$I$917,8,FALSE)</f>
        <v>-2100</v>
      </c>
      <c r="AM857" s="2">
        <f>VLOOKUP($A857,'[2]App C Share Inflows'!$A$4:$I$917,6,FALSE)</f>
        <v>-8954</v>
      </c>
    </row>
    <row r="858" spans="1:39">
      <c r="A858" s="351">
        <v>99241</v>
      </c>
      <c r="B858" s="344" t="s">
        <v>1556</v>
      </c>
      <c r="C858" s="235" t="e">
        <f>VLOOKUP(A858,#REF!,10,FALSE)</f>
        <v>#REF!</v>
      </c>
      <c r="E858" s="2">
        <f>VLOOKUP($A858,'[2]App C Total'!$A$4:$I$917,5,FALSE)</f>
        <v>252598</v>
      </c>
      <c r="F858" s="2">
        <f>VLOOKUP($A858,'[2]App C Total'!$A$4:$I$917,6,FALSE)</f>
        <v>73391</v>
      </c>
      <c r="G858" s="2">
        <f>VLOOKUP($A858,'[2]App C Total'!$A$4:$I$917,7,FALSE)</f>
        <v>144011</v>
      </c>
      <c r="H858" s="2">
        <f>VLOOKUP($A858,'[2]App C Total'!$A$4:$I$917,8,FALSE)</f>
        <v>41131</v>
      </c>
      <c r="I858" s="2">
        <f>VLOOKUP($A858,'[2]App C Total'!$A$4:$I$917,9,FALSE)</f>
        <v>0</v>
      </c>
      <c r="J858" s="2"/>
      <c r="K858" s="2">
        <f>VLOOKUP($A858,'[2]App C Exp'!$A$4:$I$917,5,FALSE)</f>
        <v>83997</v>
      </c>
      <c r="L858" s="2">
        <f>VLOOKUP($A858,'[2]App C Exp'!$A$4:$I$917,6,FALSE)</f>
        <v>79014</v>
      </c>
      <c r="M858" s="2">
        <f>VLOOKUP($A858,'[2]App C Exp'!$A$4:$I$917,7,FALSE)</f>
        <v>70819</v>
      </c>
      <c r="N858" s="2">
        <f>VLOOKUP($A858,'[2]App C Exp'!$A$4:$I$917,8,FALSE)</f>
        <v>28355</v>
      </c>
      <c r="O858" s="2">
        <f>VLOOKUP($A858,'[2]App C Exp'!$A$4:$I$917,9,FALSE)</f>
        <v>0</v>
      </c>
      <c r="P858" s="2"/>
      <c r="Q858" s="2">
        <f>VLOOKUP($A858,'[2]App C Inv'!$A$4:$I$917,5,FALSE)</f>
        <v>89174</v>
      </c>
      <c r="R858" s="2">
        <f>VLOOKUP($A858,'[2]App C Inv'!$A$4:$I$917,6,FALSE)</f>
        <v>-76707</v>
      </c>
      <c r="S858" s="2">
        <f>VLOOKUP($A858,'[2]App C Inv'!$A$4:$I$917,7,FALSE)</f>
        <v>10811</v>
      </c>
      <c r="T858" s="2">
        <f>VLOOKUP($A858,'[2]App C Inv'!$A$4:$I$917,8,FALSE)</f>
        <v>14070</v>
      </c>
      <c r="U858" s="2">
        <f>VLOOKUP($A858,'[2]App C Inv'!$A$4:$I$917,9,FALSE)</f>
        <v>0</v>
      </c>
      <c r="V858" s="2"/>
      <c r="W858" s="2">
        <f>VLOOKUP($A858,'[2]App C Assum'!$A$4:$I$917,5,FALSE)</f>
        <v>100456</v>
      </c>
      <c r="X858" s="2">
        <f>VLOOKUP($A858,'[2]App C Assum'!$A$4:$I$917,6,FALSE)</f>
        <v>82297</v>
      </c>
      <c r="Y858" s="2">
        <f>VLOOKUP($A858,'[2]App C Assum'!$A$4:$I$917,7,FALSE)</f>
        <v>66811</v>
      </c>
      <c r="Z858" s="2">
        <f>VLOOKUP($A858,'[2]App C Assum'!$A$4:$I$917,8,FALSE)</f>
        <v>0</v>
      </c>
      <c r="AA858" s="2">
        <f>VLOOKUP($A858,'[2]App C Assum'!$A$4:$I$917,9,FALSE)</f>
        <v>0</v>
      </c>
      <c r="AB858" s="2"/>
      <c r="AC858" s="2">
        <f>VLOOKUP($A858,'[2]App C Share Outflows'!$A$4:$I$917,5,FALSE)</f>
        <v>0</v>
      </c>
      <c r="AD858" s="2">
        <f>VLOOKUP($A858,'[2]App C Share Outflows'!$A$4:$I$917,6,FALSE)</f>
        <v>0</v>
      </c>
      <c r="AE858" s="2">
        <f>VLOOKUP($A858,'[2]App C Share Outflows'!$A$4:$I$917,7,FALSE)</f>
        <v>0</v>
      </c>
      <c r="AF858" s="2">
        <f>VLOOKUP($A858,'[2]App C Share Outflows'!$A$4:$I$917,8,FALSE)</f>
        <v>0</v>
      </c>
      <c r="AG858" s="2">
        <f>VLOOKUP($A858,'[2]App C Share Outflows'!$A$4:$I$917,9,FALSE)</f>
        <v>0</v>
      </c>
      <c r="AH858" s="2"/>
      <c r="AI858" s="2">
        <f>VLOOKUP($A858,'[2]App C Share Inflows'!$A$4:$I$917,5,FALSE)</f>
        <v>-21029</v>
      </c>
      <c r="AJ858" s="2">
        <f>VLOOKUP($A858,'[2]App C Share Inflows'!$A$4:$I$917,6,FALSE)</f>
        <v>-11213</v>
      </c>
      <c r="AK858" s="2">
        <f>VLOOKUP($A858,'[2]App C Share Inflows'!$A$4:$I$917,7,FALSE)</f>
        <v>-4430</v>
      </c>
      <c r="AL858" s="2">
        <f>VLOOKUP($A858,'[2]App C Share Inflows'!$A$4:$I$917,8,FALSE)</f>
        <v>-1294</v>
      </c>
      <c r="AM858" s="2">
        <f>VLOOKUP($A858,'[2]App C Share Inflows'!$A$4:$I$917,6,FALSE)</f>
        <v>-11213</v>
      </c>
    </row>
    <row r="859" spans="1:39">
      <c r="A859" s="351">
        <v>99251</v>
      </c>
      <c r="B859" s="344" t="s">
        <v>1557</v>
      </c>
      <c r="C859" s="235" t="e">
        <f>VLOOKUP(A859,#REF!,10,FALSE)</f>
        <v>#REF!</v>
      </c>
      <c r="E859" s="2">
        <f>VLOOKUP($A859,'[2]App C Total'!$A$4:$I$917,5,FALSE)</f>
        <v>791121</v>
      </c>
      <c r="F859" s="2">
        <f>VLOOKUP($A859,'[2]App C Total'!$A$4:$I$917,6,FALSE)</f>
        <v>239240</v>
      </c>
      <c r="G859" s="2">
        <f>VLOOKUP($A859,'[2]App C Total'!$A$4:$I$917,7,FALSE)</f>
        <v>431515</v>
      </c>
      <c r="H859" s="2">
        <f>VLOOKUP($A859,'[2]App C Total'!$A$4:$I$917,8,FALSE)</f>
        <v>126142</v>
      </c>
      <c r="I859" s="2">
        <f>VLOOKUP($A859,'[2]App C Total'!$A$4:$I$917,9,FALSE)</f>
        <v>0</v>
      </c>
      <c r="J859" s="2"/>
      <c r="K859" s="2">
        <f>VLOOKUP($A859,'[2]App C Exp'!$A$4:$I$917,5,FALSE)</f>
        <v>245054</v>
      </c>
      <c r="L859" s="2">
        <f>VLOOKUP($A859,'[2]App C Exp'!$A$4:$I$917,6,FALSE)</f>
        <v>230517</v>
      </c>
      <c r="M859" s="2">
        <f>VLOOKUP($A859,'[2]App C Exp'!$A$4:$I$917,7,FALSE)</f>
        <v>206610</v>
      </c>
      <c r="N859" s="2">
        <f>VLOOKUP($A859,'[2]App C Exp'!$A$4:$I$917,8,FALSE)</f>
        <v>82724</v>
      </c>
      <c r="O859" s="2">
        <f>VLOOKUP($A859,'[2]App C Exp'!$A$4:$I$917,9,FALSE)</f>
        <v>0</v>
      </c>
      <c r="P859" s="2"/>
      <c r="Q859" s="2">
        <f>VLOOKUP($A859,'[2]App C Inv'!$A$4:$I$917,5,FALSE)</f>
        <v>260159</v>
      </c>
      <c r="R859" s="2">
        <f>VLOOKUP($A859,'[2]App C Inv'!$A$4:$I$917,6,FALSE)</f>
        <v>-223786</v>
      </c>
      <c r="S859" s="2">
        <f>VLOOKUP($A859,'[2]App C Inv'!$A$4:$I$917,7,FALSE)</f>
        <v>31540</v>
      </c>
      <c r="T859" s="2">
        <f>VLOOKUP($A859,'[2]App C Inv'!$A$4:$I$917,8,FALSE)</f>
        <v>41049</v>
      </c>
      <c r="U859" s="2">
        <f>VLOOKUP($A859,'[2]App C Inv'!$A$4:$I$917,9,FALSE)</f>
        <v>0</v>
      </c>
      <c r="V859" s="2"/>
      <c r="W859" s="2">
        <f>VLOOKUP($A859,'[2]App C Assum'!$A$4:$I$917,5,FALSE)</f>
        <v>293073</v>
      </c>
      <c r="X859" s="2">
        <f>VLOOKUP($A859,'[2]App C Assum'!$A$4:$I$917,6,FALSE)</f>
        <v>240096</v>
      </c>
      <c r="Y859" s="2">
        <f>VLOOKUP($A859,'[2]App C Assum'!$A$4:$I$917,7,FALSE)</f>
        <v>194917</v>
      </c>
      <c r="Z859" s="2">
        <f>VLOOKUP($A859,'[2]App C Assum'!$A$4:$I$917,8,FALSE)</f>
        <v>0</v>
      </c>
      <c r="AA859" s="2">
        <f>VLOOKUP($A859,'[2]App C Assum'!$A$4:$I$917,9,FALSE)</f>
        <v>0</v>
      </c>
      <c r="AB859" s="2"/>
      <c r="AC859" s="2">
        <f>VLOOKUP($A859,'[2]App C Share Outflows'!$A$4:$I$917,5,FALSE)</f>
        <v>2791</v>
      </c>
      <c r="AD859" s="2">
        <f>VLOOKUP($A859,'[2]App C Share Outflows'!$A$4:$I$917,6,FALSE)</f>
        <v>2369</v>
      </c>
      <c r="AE859" s="2">
        <f>VLOOKUP($A859,'[2]App C Share Outflows'!$A$4:$I$917,7,FALSE)</f>
        <v>2369</v>
      </c>
      <c r="AF859" s="2">
        <f>VLOOKUP($A859,'[2]App C Share Outflows'!$A$4:$I$917,8,FALSE)</f>
        <v>2369</v>
      </c>
      <c r="AG859" s="2">
        <f>VLOOKUP($A859,'[2]App C Share Outflows'!$A$4:$I$917,9,FALSE)</f>
        <v>0</v>
      </c>
      <c r="AH859" s="2"/>
      <c r="AI859" s="2">
        <f>VLOOKUP($A859,'[2]App C Share Inflows'!$A$4:$I$917,5,FALSE)</f>
        <v>-9956</v>
      </c>
      <c r="AJ859" s="2">
        <f>VLOOKUP($A859,'[2]App C Share Inflows'!$A$4:$I$917,6,FALSE)</f>
        <v>-9956</v>
      </c>
      <c r="AK859" s="2">
        <f>VLOOKUP($A859,'[2]App C Share Inflows'!$A$4:$I$917,7,FALSE)</f>
        <v>-3921</v>
      </c>
      <c r="AL859" s="2">
        <f>VLOOKUP($A859,'[2]App C Share Inflows'!$A$4:$I$917,8,FALSE)</f>
        <v>0</v>
      </c>
      <c r="AM859" s="2">
        <f>VLOOKUP($A859,'[2]App C Share Inflows'!$A$4:$I$917,6,FALSE)</f>
        <v>-9956</v>
      </c>
    </row>
    <row r="860" spans="1:39">
      <c r="A860" s="351">
        <v>99252</v>
      </c>
      <c r="B860" s="344" t="s">
        <v>3707</v>
      </c>
      <c r="C860" s="235" t="e">
        <f>VLOOKUP(A860,#REF!,10,FALSE)</f>
        <v>#REF!</v>
      </c>
      <c r="E860" s="2">
        <f>VLOOKUP($A860,'[2]App C Total'!$A$4:$I$917,5,FALSE)</f>
        <v>254771</v>
      </c>
      <c r="F860" s="2">
        <f>VLOOKUP($A860,'[2]App C Total'!$A$4:$I$917,6,FALSE)</f>
        <v>62098</v>
      </c>
      <c r="G860" s="2">
        <f>VLOOKUP($A860,'[2]App C Total'!$A$4:$I$917,7,FALSE)</f>
        <v>146238</v>
      </c>
      <c r="H860" s="2">
        <f>VLOOKUP($A860,'[2]App C Total'!$A$4:$I$917,8,FALSE)</f>
        <v>28684</v>
      </c>
      <c r="I860" s="2">
        <f>VLOOKUP($A860,'[2]App C Total'!$A$4:$I$917,9,FALSE)</f>
        <v>0</v>
      </c>
      <c r="J860" s="2"/>
      <c r="K860" s="2">
        <f>VLOOKUP($A860,'[2]App C Exp'!$A$4:$I$917,5,FALSE)</f>
        <v>99172</v>
      </c>
      <c r="L860" s="2">
        <f>VLOOKUP($A860,'[2]App C Exp'!$A$4:$I$917,6,FALSE)</f>
        <v>93289</v>
      </c>
      <c r="M860" s="2">
        <f>VLOOKUP($A860,'[2]App C Exp'!$A$4:$I$917,7,FALSE)</f>
        <v>83614</v>
      </c>
      <c r="N860" s="2">
        <f>VLOOKUP($A860,'[2]App C Exp'!$A$4:$I$917,8,FALSE)</f>
        <v>33478</v>
      </c>
      <c r="O860" s="2">
        <f>VLOOKUP($A860,'[2]App C Exp'!$A$4:$I$917,9,FALSE)</f>
        <v>0</v>
      </c>
      <c r="P860" s="2"/>
      <c r="Q860" s="2">
        <f>VLOOKUP($A860,'[2]App C Inv'!$A$4:$I$917,5,FALSE)</f>
        <v>105285</v>
      </c>
      <c r="R860" s="2">
        <f>VLOOKUP($A860,'[2]App C Inv'!$A$4:$I$917,6,FALSE)</f>
        <v>-90565</v>
      </c>
      <c r="S860" s="2">
        <f>VLOOKUP($A860,'[2]App C Inv'!$A$4:$I$917,7,FALSE)</f>
        <v>12764</v>
      </c>
      <c r="T860" s="2">
        <f>VLOOKUP($A860,'[2]App C Inv'!$A$4:$I$917,8,FALSE)</f>
        <v>16612</v>
      </c>
      <c r="U860" s="2">
        <f>VLOOKUP($A860,'[2]App C Inv'!$A$4:$I$917,9,FALSE)</f>
        <v>0</v>
      </c>
      <c r="V860" s="2"/>
      <c r="W860" s="2">
        <f>VLOOKUP($A860,'[2]App C Assum'!$A$4:$I$917,5,FALSE)</f>
        <v>118605</v>
      </c>
      <c r="X860" s="2">
        <f>VLOOKUP($A860,'[2]App C Assum'!$A$4:$I$917,6,FALSE)</f>
        <v>97166</v>
      </c>
      <c r="Y860" s="2">
        <f>VLOOKUP($A860,'[2]App C Assum'!$A$4:$I$917,7,FALSE)</f>
        <v>78882</v>
      </c>
      <c r="Z860" s="2">
        <f>VLOOKUP($A860,'[2]App C Assum'!$A$4:$I$917,8,FALSE)</f>
        <v>0</v>
      </c>
      <c r="AA860" s="2">
        <f>VLOOKUP($A860,'[2]App C Assum'!$A$4:$I$917,9,FALSE)</f>
        <v>0</v>
      </c>
      <c r="AB860" s="2"/>
      <c r="AC860" s="2">
        <f>VLOOKUP($A860,'[2]App C Share Outflows'!$A$4:$I$917,5,FALSE)</f>
        <v>0</v>
      </c>
      <c r="AD860" s="2">
        <f>VLOOKUP($A860,'[2]App C Share Outflows'!$A$4:$I$917,6,FALSE)</f>
        <v>0</v>
      </c>
      <c r="AE860" s="2">
        <f>VLOOKUP($A860,'[2]App C Share Outflows'!$A$4:$I$917,7,FALSE)</f>
        <v>0</v>
      </c>
      <c r="AF860" s="2">
        <f>VLOOKUP($A860,'[2]App C Share Outflows'!$A$4:$I$917,8,FALSE)</f>
        <v>0</v>
      </c>
      <c r="AG860" s="2">
        <f>VLOOKUP($A860,'[2]App C Share Outflows'!$A$4:$I$917,9,FALSE)</f>
        <v>0</v>
      </c>
      <c r="AH860" s="2"/>
      <c r="AI860" s="2">
        <f>VLOOKUP($A860,'[2]App C Share Inflows'!$A$4:$I$917,5,FALSE)</f>
        <v>-68291</v>
      </c>
      <c r="AJ860" s="2">
        <f>VLOOKUP($A860,'[2]App C Share Inflows'!$A$4:$I$917,6,FALSE)</f>
        <v>-37792</v>
      </c>
      <c r="AK860" s="2">
        <f>VLOOKUP($A860,'[2]App C Share Inflows'!$A$4:$I$917,7,FALSE)</f>
        <v>-29022</v>
      </c>
      <c r="AL860" s="2">
        <f>VLOOKUP($A860,'[2]App C Share Inflows'!$A$4:$I$917,8,FALSE)</f>
        <v>-21406</v>
      </c>
      <c r="AM860" s="2">
        <f>VLOOKUP($A860,'[2]App C Share Inflows'!$A$4:$I$917,6,FALSE)</f>
        <v>-37792</v>
      </c>
    </row>
    <row r="861" spans="1:39">
      <c r="A861" s="351">
        <v>99261</v>
      </c>
      <c r="B861" s="344" t="s">
        <v>1559</v>
      </c>
      <c r="C861" s="235" t="e">
        <f>VLOOKUP(A861,#REF!,10,FALSE)</f>
        <v>#REF!</v>
      </c>
      <c r="E861" s="2">
        <f>VLOOKUP($A861,'[2]App C Total'!$A$4:$I$917,5,FALSE)</f>
        <v>1061154</v>
      </c>
      <c r="F861" s="2">
        <f>VLOOKUP($A861,'[2]App C Total'!$A$4:$I$917,6,FALSE)</f>
        <v>324893</v>
      </c>
      <c r="G861" s="2">
        <f>VLOOKUP($A861,'[2]App C Total'!$A$4:$I$917,7,FALSE)</f>
        <v>588009</v>
      </c>
      <c r="H861" s="2">
        <f>VLOOKUP($A861,'[2]App C Total'!$A$4:$I$917,8,FALSE)</f>
        <v>170014</v>
      </c>
      <c r="I861" s="2">
        <f>VLOOKUP($A861,'[2]App C Total'!$A$4:$I$917,9,FALSE)</f>
        <v>0</v>
      </c>
      <c r="J861" s="2"/>
      <c r="K861" s="2">
        <f>VLOOKUP($A861,'[2]App C Exp'!$A$4:$I$917,5,FALSE)</f>
        <v>335673</v>
      </c>
      <c r="L861" s="2">
        <f>VLOOKUP($A861,'[2]App C Exp'!$A$4:$I$917,6,FALSE)</f>
        <v>315759</v>
      </c>
      <c r="M861" s="2">
        <f>VLOOKUP($A861,'[2]App C Exp'!$A$4:$I$917,7,FALSE)</f>
        <v>283012</v>
      </c>
      <c r="N861" s="2">
        <f>VLOOKUP($A861,'[2]App C Exp'!$A$4:$I$917,8,FALSE)</f>
        <v>113314</v>
      </c>
      <c r="O861" s="2">
        <f>VLOOKUP($A861,'[2]App C Exp'!$A$4:$I$917,9,FALSE)</f>
        <v>0</v>
      </c>
      <c r="P861" s="2"/>
      <c r="Q861" s="2">
        <f>VLOOKUP($A861,'[2]App C Inv'!$A$4:$I$917,5,FALSE)</f>
        <v>356363</v>
      </c>
      <c r="R861" s="2">
        <f>VLOOKUP($A861,'[2]App C Inv'!$A$4:$I$917,6,FALSE)</f>
        <v>-306539</v>
      </c>
      <c r="S861" s="2">
        <f>VLOOKUP($A861,'[2]App C Inv'!$A$4:$I$917,7,FALSE)</f>
        <v>43203</v>
      </c>
      <c r="T861" s="2">
        <f>VLOOKUP($A861,'[2]App C Inv'!$A$4:$I$917,8,FALSE)</f>
        <v>56228</v>
      </c>
      <c r="U861" s="2">
        <f>VLOOKUP($A861,'[2]App C Inv'!$A$4:$I$917,9,FALSE)</f>
        <v>0</v>
      </c>
      <c r="V861" s="2"/>
      <c r="W861" s="2">
        <f>VLOOKUP($A861,'[2]App C Assum'!$A$4:$I$917,5,FALSE)</f>
        <v>401448</v>
      </c>
      <c r="X861" s="2">
        <f>VLOOKUP($A861,'[2]App C Assum'!$A$4:$I$917,6,FALSE)</f>
        <v>328881</v>
      </c>
      <c r="Y861" s="2">
        <f>VLOOKUP($A861,'[2]App C Assum'!$A$4:$I$917,7,FALSE)</f>
        <v>266995</v>
      </c>
      <c r="Z861" s="2">
        <f>VLOOKUP($A861,'[2]App C Assum'!$A$4:$I$917,8,FALSE)</f>
        <v>0</v>
      </c>
      <c r="AA861" s="2">
        <f>VLOOKUP($A861,'[2]App C Assum'!$A$4:$I$917,9,FALSE)</f>
        <v>0</v>
      </c>
      <c r="AB861" s="2"/>
      <c r="AC861" s="2">
        <f>VLOOKUP($A861,'[2]App C Share Outflows'!$A$4:$I$917,5,FALSE)</f>
        <v>470</v>
      </c>
      <c r="AD861" s="2">
        <f>VLOOKUP($A861,'[2]App C Share Outflows'!$A$4:$I$917,6,FALSE)</f>
        <v>470</v>
      </c>
      <c r="AE861" s="2">
        <f>VLOOKUP($A861,'[2]App C Share Outflows'!$A$4:$I$917,7,FALSE)</f>
        <v>470</v>
      </c>
      <c r="AF861" s="2">
        <f>VLOOKUP($A861,'[2]App C Share Outflows'!$A$4:$I$917,8,FALSE)</f>
        <v>472</v>
      </c>
      <c r="AG861" s="2">
        <f>VLOOKUP($A861,'[2]App C Share Outflows'!$A$4:$I$917,9,FALSE)</f>
        <v>0</v>
      </c>
      <c r="AH861" s="2"/>
      <c r="AI861" s="2">
        <f>VLOOKUP($A861,'[2]App C Share Inflows'!$A$4:$I$917,5,FALSE)</f>
        <v>-32800</v>
      </c>
      <c r="AJ861" s="2">
        <f>VLOOKUP($A861,'[2]App C Share Inflows'!$A$4:$I$917,6,FALSE)</f>
        <v>-13678</v>
      </c>
      <c r="AK861" s="2">
        <f>VLOOKUP($A861,'[2]App C Share Inflows'!$A$4:$I$917,7,FALSE)</f>
        <v>-5671</v>
      </c>
      <c r="AL861" s="2">
        <f>VLOOKUP($A861,'[2]App C Share Inflows'!$A$4:$I$917,8,FALSE)</f>
        <v>0</v>
      </c>
      <c r="AM861" s="2">
        <f>VLOOKUP($A861,'[2]App C Share Inflows'!$A$4:$I$917,6,FALSE)</f>
        <v>-13678</v>
      </c>
    </row>
    <row r="862" spans="1:39">
      <c r="A862" s="351">
        <v>99271</v>
      </c>
      <c r="B862" s="344" t="s">
        <v>1560</v>
      </c>
      <c r="C862" s="235" t="e">
        <f>VLOOKUP(A862,#REF!,10,FALSE)</f>
        <v>#REF!</v>
      </c>
      <c r="E862" s="2">
        <f>VLOOKUP($A862,'[2]App C Total'!$A$4:$I$917,5,FALSE)</f>
        <v>2053202</v>
      </c>
      <c r="F862" s="2">
        <f>VLOOKUP($A862,'[2]App C Total'!$A$4:$I$917,6,FALSE)</f>
        <v>639632</v>
      </c>
      <c r="G862" s="2">
        <f>VLOOKUP($A862,'[2]App C Total'!$A$4:$I$917,7,FALSE)</f>
        <v>1129899</v>
      </c>
      <c r="H862" s="2">
        <f>VLOOKUP($A862,'[2]App C Total'!$A$4:$I$917,8,FALSE)</f>
        <v>302551</v>
      </c>
      <c r="I862" s="2">
        <f>VLOOKUP($A862,'[2]App C Total'!$A$4:$I$917,9,FALSE)</f>
        <v>0</v>
      </c>
      <c r="J862" s="2"/>
      <c r="K862" s="2">
        <f>VLOOKUP($A862,'[2]App C Exp'!$A$4:$I$917,5,FALSE)</f>
        <v>640769</v>
      </c>
      <c r="L862" s="2">
        <f>VLOOKUP($A862,'[2]App C Exp'!$A$4:$I$917,6,FALSE)</f>
        <v>602757</v>
      </c>
      <c r="M862" s="2">
        <f>VLOOKUP($A862,'[2]App C Exp'!$A$4:$I$917,7,FALSE)</f>
        <v>540244</v>
      </c>
      <c r="N862" s="2">
        <f>VLOOKUP($A862,'[2]App C Exp'!$A$4:$I$917,8,FALSE)</f>
        <v>216307</v>
      </c>
      <c r="O862" s="2">
        <f>VLOOKUP($A862,'[2]App C Exp'!$A$4:$I$917,9,FALSE)</f>
        <v>0</v>
      </c>
      <c r="P862" s="2"/>
      <c r="Q862" s="2">
        <f>VLOOKUP($A862,'[2]App C Inv'!$A$4:$I$917,5,FALSE)</f>
        <v>680266</v>
      </c>
      <c r="R862" s="2">
        <f>VLOOKUP($A862,'[2]App C Inv'!$A$4:$I$917,6,FALSE)</f>
        <v>-585156</v>
      </c>
      <c r="S862" s="2">
        <f>VLOOKUP($A862,'[2]App C Inv'!$A$4:$I$917,7,FALSE)</f>
        <v>82471</v>
      </c>
      <c r="T862" s="2">
        <f>VLOOKUP($A862,'[2]App C Inv'!$A$4:$I$917,8,FALSE)</f>
        <v>107335</v>
      </c>
      <c r="U862" s="2">
        <f>VLOOKUP($A862,'[2]App C Inv'!$A$4:$I$917,9,FALSE)</f>
        <v>0</v>
      </c>
      <c r="V862" s="2"/>
      <c r="W862" s="2">
        <f>VLOOKUP($A862,'[2]App C Assum'!$A$4:$I$917,5,FALSE)</f>
        <v>766330</v>
      </c>
      <c r="X862" s="2">
        <f>VLOOKUP($A862,'[2]App C Assum'!$A$4:$I$917,6,FALSE)</f>
        <v>627805</v>
      </c>
      <c r="Y862" s="2">
        <f>VLOOKUP($A862,'[2]App C Assum'!$A$4:$I$917,7,FALSE)</f>
        <v>509670</v>
      </c>
      <c r="Z862" s="2">
        <f>VLOOKUP($A862,'[2]App C Assum'!$A$4:$I$917,8,FALSE)</f>
        <v>0</v>
      </c>
      <c r="AA862" s="2">
        <f>VLOOKUP($A862,'[2]App C Assum'!$A$4:$I$917,9,FALSE)</f>
        <v>0</v>
      </c>
      <c r="AB862" s="2"/>
      <c r="AC862" s="2">
        <f>VLOOKUP($A862,'[2]App C Share Outflows'!$A$4:$I$917,5,FALSE)</f>
        <v>18606</v>
      </c>
      <c r="AD862" s="2">
        <f>VLOOKUP($A862,'[2]App C Share Outflows'!$A$4:$I$917,6,FALSE)</f>
        <v>18606</v>
      </c>
      <c r="AE862" s="2">
        <f>VLOOKUP($A862,'[2]App C Share Outflows'!$A$4:$I$917,7,FALSE)</f>
        <v>18607</v>
      </c>
      <c r="AF862" s="2">
        <f>VLOOKUP($A862,'[2]App C Share Outflows'!$A$4:$I$917,8,FALSE)</f>
        <v>0</v>
      </c>
      <c r="AG862" s="2">
        <f>VLOOKUP($A862,'[2]App C Share Outflows'!$A$4:$I$917,9,FALSE)</f>
        <v>0</v>
      </c>
      <c r="AH862" s="2"/>
      <c r="AI862" s="2">
        <f>VLOOKUP($A862,'[2]App C Share Inflows'!$A$4:$I$917,5,FALSE)</f>
        <v>-52769</v>
      </c>
      <c r="AJ862" s="2">
        <f>VLOOKUP($A862,'[2]App C Share Inflows'!$A$4:$I$917,6,FALSE)</f>
        <v>-24380</v>
      </c>
      <c r="AK862" s="2">
        <f>VLOOKUP($A862,'[2]App C Share Inflows'!$A$4:$I$917,7,FALSE)</f>
        <v>-21093</v>
      </c>
      <c r="AL862" s="2">
        <f>VLOOKUP($A862,'[2]App C Share Inflows'!$A$4:$I$917,8,FALSE)</f>
        <v>-21091</v>
      </c>
      <c r="AM862" s="2">
        <f>VLOOKUP($A862,'[2]App C Share Inflows'!$A$4:$I$917,6,FALSE)</f>
        <v>-24380</v>
      </c>
    </row>
    <row r="863" spans="1:39">
      <c r="A863" s="351">
        <v>99281</v>
      </c>
      <c r="B863" s="344" t="s">
        <v>1561</v>
      </c>
      <c r="C863" s="235" t="e">
        <f>VLOOKUP(A863,#REF!,10,FALSE)</f>
        <v>#REF!</v>
      </c>
      <c r="E863" s="2">
        <f>VLOOKUP($A863,'[2]App C Total'!$A$4:$I$917,5,FALSE)</f>
        <v>1157108</v>
      </c>
      <c r="F863" s="2">
        <f>VLOOKUP($A863,'[2]App C Total'!$A$4:$I$917,6,FALSE)</f>
        <v>358578</v>
      </c>
      <c r="G863" s="2">
        <f>VLOOKUP($A863,'[2]App C Total'!$A$4:$I$917,7,FALSE)</f>
        <v>646408</v>
      </c>
      <c r="H863" s="2">
        <f>VLOOKUP($A863,'[2]App C Total'!$A$4:$I$917,8,FALSE)</f>
        <v>183376</v>
      </c>
      <c r="I863" s="2">
        <f>VLOOKUP($A863,'[2]App C Total'!$A$4:$I$917,9,FALSE)</f>
        <v>0</v>
      </c>
      <c r="J863" s="2"/>
      <c r="K863" s="2">
        <f>VLOOKUP($A863,'[2]App C Exp'!$A$4:$I$917,5,FALSE)</f>
        <v>363087</v>
      </c>
      <c r="L863" s="2">
        <f>VLOOKUP($A863,'[2]App C Exp'!$A$4:$I$917,6,FALSE)</f>
        <v>341548</v>
      </c>
      <c r="M863" s="2">
        <f>VLOOKUP($A863,'[2]App C Exp'!$A$4:$I$917,7,FALSE)</f>
        <v>306125</v>
      </c>
      <c r="N863" s="2">
        <f>VLOOKUP($A863,'[2]App C Exp'!$A$4:$I$917,8,FALSE)</f>
        <v>122569</v>
      </c>
      <c r="O863" s="2">
        <f>VLOOKUP($A863,'[2]App C Exp'!$A$4:$I$917,9,FALSE)</f>
        <v>0</v>
      </c>
      <c r="P863" s="2"/>
      <c r="Q863" s="2">
        <f>VLOOKUP($A863,'[2]App C Inv'!$A$4:$I$917,5,FALSE)</f>
        <v>385468</v>
      </c>
      <c r="R863" s="2">
        <f>VLOOKUP($A863,'[2]App C Inv'!$A$4:$I$917,6,FALSE)</f>
        <v>-331574</v>
      </c>
      <c r="S863" s="2">
        <f>VLOOKUP($A863,'[2]App C Inv'!$A$4:$I$917,7,FALSE)</f>
        <v>46731</v>
      </c>
      <c r="T863" s="2">
        <f>VLOOKUP($A863,'[2]App C Inv'!$A$4:$I$917,8,FALSE)</f>
        <v>60820</v>
      </c>
      <c r="U863" s="2">
        <f>VLOOKUP($A863,'[2]App C Inv'!$A$4:$I$917,9,FALSE)</f>
        <v>0</v>
      </c>
      <c r="V863" s="2"/>
      <c r="W863" s="2">
        <f>VLOOKUP($A863,'[2]App C Assum'!$A$4:$I$917,5,FALSE)</f>
        <v>434235</v>
      </c>
      <c r="X863" s="2">
        <f>VLOOKUP($A863,'[2]App C Assum'!$A$4:$I$917,6,FALSE)</f>
        <v>355741</v>
      </c>
      <c r="Y863" s="2">
        <f>VLOOKUP($A863,'[2]App C Assum'!$A$4:$I$917,7,FALSE)</f>
        <v>288801</v>
      </c>
      <c r="Z863" s="2">
        <f>VLOOKUP($A863,'[2]App C Assum'!$A$4:$I$917,8,FALSE)</f>
        <v>0</v>
      </c>
      <c r="AA863" s="2">
        <f>VLOOKUP($A863,'[2]App C Assum'!$A$4:$I$917,9,FALSE)</f>
        <v>0</v>
      </c>
      <c r="AB863" s="2"/>
      <c r="AC863" s="2">
        <f>VLOOKUP($A863,'[2]App C Share Outflows'!$A$4:$I$917,5,FALSE)</f>
        <v>4762</v>
      </c>
      <c r="AD863" s="2">
        <f>VLOOKUP($A863,'[2]App C Share Outflows'!$A$4:$I$917,6,FALSE)</f>
        <v>4762</v>
      </c>
      <c r="AE863" s="2">
        <f>VLOOKUP($A863,'[2]App C Share Outflows'!$A$4:$I$917,7,FALSE)</f>
        <v>4762</v>
      </c>
      <c r="AF863" s="2">
        <f>VLOOKUP($A863,'[2]App C Share Outflows'!$A$4:$I$917,8,FALSE)</f>
        <v>0</v>
      </c>
      <c r="AG863" s="2">
        <f>VLOOKUP($A863,'[2]App C Share Outflows'!$A$4:$I$917,9,FALSE)</f>
        <v>0</v>
      </c>
      <c r="AH863" s="2"/>
      <c r="AI863" s="2">
        <f>VLOOKUP($A863,'[2]App C Share Inflows'!$A$4:$I$917,5,FALSE)</f>
        <v>-30444</v>
      </c>
      <c r="AJ863" s="2">
        <f>VLOOKUP($A863,'[2]App C Share Inflows'!$A$4:$I$917,6,FALSE)</f>
        <v>-11899</v>
      </c>
      <c r="AK863" s="2">
        <f>VLOOKUP($A863,'[2]App C Share Inflows'!$A$4:$I$917,7,FALSE)</f>
        <v>-11</v>
      </c>
      <c r="AL863" s="2">
        <f>VLOOKUP($A863,'[2]App C Share Inflows'!$A$4:$I$917,8,FALSE)</f>
        <v>-13</v>
      </c>
      <c r="AM863" s="2">
        <f>VLOOKUP($A863,'[2]App C Share Inflows'!$A$4:$I$917,6,FALSE)</f>
        <v>-11899</v>
      </c>
    </row>
    <row r="864" spans="1:39">
      <c r="A864" s="351">
        <v>99291</v>
      </c>
      <c r="B864" s="344" t="s">
        <v>1562</v>
      </c>
      <c r="C864" s="235" t="e">
        <f>VLOOKUP(A864,#REF!,10,FALSE)</f>
        <v>#REF!</v>
      </c>
      <c r="E864" s="2">
        <f>VLOOKUP($A864,'[2]App C Total'!$A$4:$I$917,5,FALSE)</f>
        <v>381806</v>
      </c>
      <c r="F864" s="2">
        <f>VLOOKUP($A864,'[2]App C Total'!$A$4:$I$917,6,FALSE)</f>
        <v>108731</v>
      </c>
      <c r="G864" s="2">
        <f>VLOOKUP($A864,'[2]App C Total'!$A$4:$I$917,7,FALSE)</f>
        <v>219275</v>
      </c>
      <c r="H864" s="2">
        <f>VLOOKUP($A864,'[2]App C Total'!$A$4:$I$917,8,FALSE)</f>
        <v>55586</v>
      </c>
      <c r="I864" s="2">
        <f>VLOOKUP($A864,'[2]App C Total'!$A$4:$I$917,9,FALSE)</f>
        <v>0</v>
      </c>
      <c r="J864" s="2"/>
      <c r="K864" s="2">
        <f>VLOOKUP($A864,'[2]App C Exp'!$A$4:$I$917,5,FALSE)</f>
        <v>127201</v>
      </c>
      <c r="L864" s="2">
        <f>VLOOKUP($A864,'[2]App C Exp'!$A$4:$I$917,6,FALSE)</f>
        <v>119655</v>
      </c>
      <c r="M864" s="2">
        <f>VLOOKUP($A864,'[2]App C Exp'!$A$4:$I$917,7,FALSE)</f>
        <v>107246</v>
      </c>
      <c r="N864" s="2">
        <f>VLOOKUP($A864,'[2]App C Exp'!$A$4:$I$917,8,FALSE)</f>
        <v>42940</v>
      </c>
      <c r="O864" s="2">
        <f>VLOOKUP($A864,'[2]App C Exp'!$A$4:$I$917,9,FALSE)</f>
        <v>0</v>
      </c>
      <c r="P864" s="2"/>
      <c r="Q864" s="2">
        <f>VLOOKUP($A864,'[2]App C Inv'!$A$4:$I$917,5,FALSE)</f>
        <v>135042</v>
      </c>
      <c r="R864" s="2">
        <f>VLOOKUP($A864,'[2]App C Inv'!$A$4:$I$917,6,FALSE)</f>
        <v>-116161</v>
      </c>
      <c r="S864" s="2">
        <f>VLOOKUP($A864,'[2]App C Inv'!$A$4:$I$917,7,FALSE)</f>
        <v>16371</v>
      </c>
      <c r="T864" s="2">
        <f>VLOOKUP($A864,'[2]App C Inv'!$A$4:$I$917,8,FALSE)</f>
        <v>21307</v>
      </c>
      <c r="U864" s="2">
        <f>VLOOKUP($A864,'[2]App C Inv'!$A$4:$I$917,9,FALSE)</f>
        <v>0</v>
      </c>
      <c r="V864" s="2"/>
      <c r="W864" s="2">
        <f>VLOOKUP($A864,'[2]App C Assum'!$A$4:$I$917,5,FALSE)</f>
        <v>152126</v>
      </c>
      <c r="X864" s="2">
        <f>VLOOKUP($A864,'[2]App C Assum'!$A$4:$I$917,6,FALSE)</f>
        <v>124628</v>
      </c>
      <c r="Y864" s="2">
        <f>VLOOKUP($A864,'[2]App C Assum'!$A$4:$I$917,7,FALSE)</f>
        <v>101176</v>
      </c>
      <c r="Z864" s="2">
        <f>VLOOKUP($A864,'[2]App C Assum'!$A$4:$I$917,8,FALSE)</f>
        <v>0</v>
      </c>
      <c r="AA864" s="2">
        <f>VLOOKUP($A864,'[2]App C Assum'!$A$4:$I$917,9,FALSE)</f>
        <v>0</v>
      </c>
      <c r="AB864" s="2"/>
      <c r="AC864" s="2">
        <f>VLOOKUP($A864,'[2]App C Share Outflows'!$A$4:$I$917,5,FALSE)</f>
        <v>3140</v>
      </c>
      <c r="AD864" s="2">
        <f>VLOOKUP($A864,'[2]App C Share Outflows'!$A$4:$I$917,6,FALSE)</f>
        <v>3140</v>
      </c>
      <c r="AE864" s="2">
        <f>VLOOKUP($A864,'[2]App C Share Outflows'!$A$4:$I$917,7,FALSE)</f>
        <v>3142</v>
      </c>
      <c r="AF864" s="2">
        <f>VLOOKUP($A864,'[2]App C Share Outflows'!$A$4:$I$917,8,FALSE)</f>
        <v>0</v>
      </c>
      <c r="AG864" s="2">
        <f>VLOOKUP($A864,'[2]App C Share Outflows'!$A$4:$I$917,9,FALSE)</f>
        <v>0</v>
      </c>
      <c r="AH864" s="2"/>
      <c r="AI864" s="2">
        <f>VLOOKUP($A864,'[2]App C Share Inflows'!$A$4:$I$917,5,FALSE)</f>
        <v>-35703</v>
      </c>
      <c r="AJ864" s="2">
        <f>VLOOKUP($A864,'[2]App C Share Inflows'!$A$4:$I$917,6,FALSE)</f>
        <v>-22531</v>
      </c>
      <c r="AK864" s="2">
        <f>VLOOKUP($A864,'[2]App C Share Inflows'!$A$4:$I$917,7,FALSE)</f>
        <v>-8660</v>
      </c>
      <c r="AL864" s="2">
        <f>VLOOKUP($A864,'[2]App C Share Inflows'!$A$4:$I$917,8,FALSE)</f>
        <v>-8661</v>
      </c>
      <c r="AM864" s="2">
        <f>VLOOKUP($A864,'[2]App C Share Inflows'!$A$4:$I$917,6,FALSE)</f>
        <v>-22531</v>
      </c>
    </row>
    <row r="865" spans="1:39">
      <c r="A865" s="351">
        <v>99301</v>
      </c>
      <c r="B865" s="344" t="s">
        <v>1563</v>
      </c>
      <c r="C865" s="235" t="e">
        <f>VLOOKUP(A865,#REF!,10,FALSE)</f>
        <v>#REF!</v>
      </c>
      <c r="E865" s="2">
        <f>VLOOKUP($A865,'[2]App C Total'!$A$4:$I$917,5,FALSE)</f>
        <v>728351</v>
      </c>
      <c r="F865" s="2">
        <f>VLOOKUP($A865,'[2]App C Total'!$A$4:$I$917,6,FALSE)</f>
        <v>186040</v>
      </c>
      <c r="G865" s="2">
        <f>VLOOKUP($A865,'[2]App C Total'!$A$4:$I$917,7,FALSE)</f>
        <v>385350</v>
      </c>
      <c r="H865" s="2">
        <f>VLOOKUP($A865,'[2]App C Total'!$A$4:$I$917,8,FALSE)</f>
        <v>96451</v>
      </c>
      <c r="I865" s="2">
        <f>VLOOKUP($A865,'[2]App C Total'!$A$4:$I$917,9,FALSE)</f>
        <v>0</v>
      </c>
      <c r="J865" s="2"/>
      <c r="K865" s="2">
        <f>VLOOKUP($A865,'[2]App C Exp'!$A$4:$I$917,5,FALSE)</f>
        <v>241084</v>
      </c>
      <c r="L865" s="2">
        <f>VLOOKUP($A865,'[2]App C Exp'!$A$4:$I$917,6,FALSE)</f>
        <v>226783</v>
      </c>
      <c r="M865" s="2">
        <f>VLOOKUP($A865,'[2]App C Exp'!$A$4:$I$917,7,FALSE)</f>
        <v>203263</v>
      </c>
      <c r="N865" s="2">
        <f>VLOOKUP($A865,'[2]App C Exp'!$A$4:$I$917,8,FALSE)</f>
        <v>81384</v>
      </c>
      <c r="O865" s="2">
        <f>VLOOKUP($A865,'[2]App C Exp'!$A$4:$I$917,9,FALSE)</f>
        <v>0</v>
      </c>
      <c r="P865" s="2"/>
      <c r="Q865" s="2">
        <f>VLOOKUP($A865,'[2]App C Inv'!$A$4:$I$917,5,FALSE)</f>
        <v>255945</v>
      </c>
      <c r="R865" s="2">
        <f>VLOOKUP($A865,'[2]App C Inv'!$A$4:$I$917,6,FALSE)</f>
        <v>-220160</v>
      </c>
      <c r="S865" s="2">
        <f>VLOOKUP($A865,'[2]App C Inv'!$A$4:$I$917,7,FALSE)</f>
        <v>31029</v>
      </c>
      <c r="T865" s="2">
        <f>VLOOKUP($A865,'[2]App C Inv'!$A$4:$I$917,8,FALSE)</f>
        <v>40384</v>
      </c>
      <c r="U865" s="2">
        <f>VLOOKUP($A865,'[2]App C Inv'!$A$4:$I$917,9,FALSE)</f>
        <v>0</v>
      </c>
      <c r="V865" s="2"/>
      <c r="W865" s="2">
        <f>VLOOKUP($A865,'[2]App C Assum'!$A$4:$I$917,5,FALSE)</f>
        <v>288325</v>
      </c>
      <c r="X865" s="2">
        <f>VLOOKUP($A865,'[2]App C Assum'!$A$4:$I$917,6,FALSE)</f>
        <v>236207</v>
      </c>
      <c r="Y865" s="2">
        <f>VLOOKUP($A865,'[2]App C Assum'!$A$4:$I$917,7,FALSE)</f>
        <v>191759</v>
      </c>
      <c r="Z865" s="2">
        <f>VLOOKUP($A865,'[2]App C Assum'!$A$4:$I$917,8,FALSE)</f>
        <v>0</v>
      </c>
      <c r="AA865" s="2">
        <f>VLOOKUP($A865,'[2]App C Assum'!$A$4:$I$917,9,FALSE)</f>
        <v>0</v>
      </c>
      <c r="AB865" s="2"/>
      <c r="AC865" s="2">
        <f>VLOOKUP($A865,'[2]App C Share Outflows'!$A$4:$I$917,5,FALSE)</f>
        <v>0</v>
      </c>
      <c r="AD865" s="2">
        <f>VLOOKUP($A865,'[2]App C Share Outflows'!$A$4:$I$917,6,FALSE)</f>
        <v>0</v>
      </c>
      <c r="AE865" s="2">
        <f>VLOOKUP($A865,'[2]App C Share Outflows'!$A$4:$I$917,7,FALSE)</f>
        <v>0</v>
      </c>
      <c r="AF865" s="2">
        <f>VLOOKUP($A865,'[2]App C Share Outflows'!$A$4:$I$917,8,FALSE)</f>
        <v>0</v>
      </c>
      <c r="AG865" s="2">
        <f>VLOOKUP($A865,'[2]App C Share Outflows'!$A$4:$I$917,9,FALSE)</f>
        <v>0</v>
      </c>
      <c r="AH865" s="2"/>
      <c r="AI865" s="2">
        <f>VLOOKUP($A865,'[2]App C Share Inflows'!$A$4:$I$917,5,FALSE)</f>
        <v>-57003</v>
      </c>
      <c r="AJ865" s="2">
        <f>VLOOKUP($A865,'[2]App C Share Inflows'!$A$4:$I$917,6,FALSE)</f>
        <v>-56790</v>
      </c>
      <c r="AK865" s="2">
        <f>VLOOKUP($A865,'[2]App C Share Inflows'!$A$4:$I$917,7,FALSE)</f>
        <v>-40701</v>
      </c>
      <c r="AL865" s="2">
        <f>VLOOKUP($A865,'[2]App C Share Inflows'!$A$4:$I$917,8,FALSE)</f>
        <v>-25317</v>
      </c>
      <c r="AM865" s="2">
        <f>VLOOKUP($A865,'[2]App C Share Inflows'!$A$4:$I$917,6,FALSE)</f>
        <v>-56790</v>
      </c>
    </row>
    <row r="866" spans="1:39">
      <c r="A866" s="351">
        <v>99304</v>
      </c>
      <c r="B866" s="344" t="s">
        <v>1564</v>
      </c>
      <c r="C866" s="235" t="e">
        <f>VLOOKUP(A866,#REF!,10,FALSE)</f>
        <v>#REF!</v>
      </c>
      <c r="E866" s="2">
        <f>VLOOKUP($A866,'[2]App C Total'!$A$4:$I$917,5,FALSE)</f>
        <v>6085</v>
      </c>
      <c r="F866" s="2">
        <f>VLOOKUP($A866,'[2]App C Total'!$A$4:$I$917,6,FALSE)</f>
        <v>3096</v>
      </c>
      <c r="G866" s="2">
        <f>VLOOKUP($A866,'[2]App C Total'!$A$4:$I$917,7,FALSE)</f>
        <v>3416</v>
      </c>
      <c r="H866" s="2">
        <f>VLOOKUP($A866,'[2]App C Total'!$A$4:$I$917,8,FALSE)</f>
        <v>1287</v>
      </c>
      <c r="I866" s="2">
        <f>VLOOKUP($A866,'[2]App C Total'!$A$4:$I$917,9,FALSE)</f>
        <v>0</v>
      </c>
      <c r="J866" s="2"/>
      <c r="K866" s="2">
        <f>VLOOKUP($A866,'[2]App C Exp'!$A$4:$I$917,5,FALSE)</f>
        <v>1139</v>
      </c>
      <c r="L866" s="2">
        <f>VLOOKUP($A866,'[2]App C Exp'!$A$4:$I$917,6,FALSE)</f>
        <v>1071</v>
      </c>
      <c r="M866" s="2">
        <f>VLOOKUP($A866,'[2]App C Exp'!$A$4:$I$917,7,FALSE)</f>
        <v>960</v>
      </c>
      <c r="N866" s="2">
        <f>VLOOKUP($A866,'[2]App C Exp'!$A$4:$I$917,8,FALSE)</f>
        <v>384</v>
      </c>
      <c r="O866" s="2">
        <f>VLOOKUP($A866,'[2]App C Exp'!$A$4:$I$917,9,FALSE)</f>
        <v>0</v>
      </c>
      <c r="P866" s="2"/>
      <c r="Q866" s="2">
        <f>VLOOKUP($A866,'[2]App C Inv'!$A$4:$I$917,5,FALSE)</f>
        <v>1209</v>
      </c>
      <c r="R866" s="2">
        <f>VLOOKUP($A866,'[2]App C Inv'!$A$4:$I$917,6,FALSE)</f>
        <v>-1040</v>
      </c>
      <c r="S866" s="2">
        <f>VLOOKUP($A866,'[2]App C Inv'!$A$4:$I$917,7,FALSE)</f>
        <v>147</v>
      </c>
      <c r="T866" s="2">
        <f>VLOOKUP($A866,'[2]App C Inv'!$A$4:$I$917,8,FALSE)</f>
        <v>191</v>
      </c>
      <c r="U866" s="2">
        <f>VLOOKUP($A866,'[2]App C Inv'!$A$4:$I$917,9,FALSE)</f>
        <v>0</v>
      </c>
      <c r="V866" s="2"/>
      <c r="W866" s="2">
        <f>VLOOKUP($A866,'[2]App C Assum'!$A$4:$I$917,5,FALSE)</f>
        <v>1362</v>
      </c>
      <c r="X866" s="2">
        <f>VLOOKUP($A866,'[2]App C Assum'!$A$4:$I$917,6,FALSE)</f>
        <v>1115</v>
      </c>
      <c r="Y866" s="2">
        <f>VLOOKUP($A866,'[2]App C Assum'!$A$4:$I$917,7,FALSE)</f>
        <v>906</v>
      </c>
      <c r="Z866" s="2">
        <f>VLOOKUP($A866,'[2]App C Assum'!$A$4:$I$917,8,FALSE)</f>
        <v>0</v>
      </c>
      <c r="AA866" s="2">
        <f>VLOOKUP($A866,'[2]App C Assum'!$A$4:$I$917,9,FALSE)</f>
        <v>0</v>
      </c>
      <c r="AB866" s="2"/>
      <c r="AC866" s="2">
        <f>VLOOKUP($A866,'[2]App C Share Outflows'!$A$4:$I$917,5,FALSE)</f>
        <v>2375</v>
      </c>
      <c r="AD866" s="2">
        <f>VLOOKUP($A866,'[2]App C Share Outflows'!$A$4:$I$917,6,FALSE)</f>
        <v>1950</v>
      </c>
      <c r="AE866" s="2">
        <f>VLOOKUP($A866,'[2]App C Share Outflows'!$A$4:$I$917,7,FALSE)</f>
        <v>1403</v>
      </c>
      <c r="AF866" s="2">
        <f>VLOOKUP($A866,'[2]App C Share Outflows'!$A$4:$I$917,8,FALSE)</f>
        <v>712</v>
      </c>
      <c r="AG866" s="2">
        <f>VLOOKUP($A866,'[2]App C Share Outflows'!$A$4:$I$917,9,FALSE)</f>
        <v>0</v>
      </c>
      <c r="AH866" s="2"/>
      <c r="AI866" s="2">
        <f>VLOOKUP($A866,'[2]App C Share Inflows'!$A$4:$I$917,5,FALSE)</f>
        <v>0</v>
      </c>
      <c r="AJ866" s="2">
        <f>VLOOKUP($A866,'[2]App C Share Inflows'!$A$4:$I$917,6,FALSE)</f>
        <v>0</v>
      </c>
      <c r="AK866" s="2">
        <f>VLOOKUP($A866,'[2]App C Share Inflows'!$A$4:$I$917,7,FALSE)</f>
        <v>0</v>
      </c>
      <c r="AL866" s="2">
        <f>VLOOKUP($A866,'[2]App C Share Inflows'!$A$4:$I$917,8,FALSE)</f>
        <v>0</v>
      </c>
      <c r="AM866" s="2">
        <f>VLOOKUP($A866,'[2]App C Share Inflows'!$A$4:$I$917,6,FALSE)</f>
        <v>0</v>
      </c>
    </row>
    <row r="867" spans="1:39">
      <c r="A867" s="351">
        <v>99311</v>
      </c>
      <c r="B867" s="344" t="s">
        <v>1565</v>
      </c>
      <c r="C867" s="235" t="e">
        <f>VLOOKUP(A867,#REF!,10,FALSE)</f>
        <v>#REF!</v>
      </c>
      <c r="E867" s="2">
        <f>VLOOKUP($A867,'[2]App C Total'!$A$4:$I$917,5,FALSE)</f>
        <v>27634</v>
      </c>
      <c r="F867" s="2">
        <f>VLOOKUP($A867,'[2]App C Total'!$A$4:$I$917,6,FALSE)</f>
        <v>8505</v>
      </c>
      <c r="G867" s="2">
        <f>VLOOKUP($A867,'[2]App C Total'!$A$4:$I$917,7,FALSE)</f>
        <v>15768</v>
      </c>
      <c r="H867" s="2">
        <f>VLOOKUP($A867,'[2]App C Total'!$A$4:$I$917,8,FALSE)</f>
        <v>3458</v>
      </c>
      <c r="I867" s="2">
        <f>VLOOKUP($A867,'[2]App C Total'!$A$4:$I$917,9,FALSE)</f>
        <v>0</v>
      </c>
      <c r="J867" s="2"/>
      <c r="K867" s="2">
        <f>VLOOKUP($A867,'[2]App C Exp'!$A$4:$I$917,5,FALSE)</f>
        <v>8943</v>
      </c>
      <c r="L867" s="2">
        <f>VLOOKUP($A867,'[2]App C Exp'!$A$4:$I$917,6,FALSE)</f>
        <v>8413</v>
      </c>
      <c r="M867" s="2">
        <f>VLOOKUP($A867,'[2]App C Exp'!$A$4:$I$917,7,FALSE)</f>
        <v>7540</v>
      </c>
      <c r="N867" s="2">
        <f>VLOOKUP($A867,'[2]App C Exp'!$A$4:$I$917,8,FALSE)</f>
        <v>3019</v>
      </c>
      <c r="O867" s="2">
        <f>VLOOKUP($A867,'[2]App C Exp'!$A$4:$I$917,9,FALSE)</f>
        <v>0</v>
      </c>
      <c r="P867" s="2"/>
      <c r="Q867" s="2">
        <f>VLOOKUP($A867,'[2]App C Inv'!$A$4:$I$917,5,FALSE)</f>
        <v>9495</v>
      </c>
      <c r="R867" s="2">
        <f>VLOOKUP($A867,'[2]App C Inv'!$A$4:$I$917,6,FALSE)</f>
        <v>-8167</v>
      </c>
      <c r="S867" s="2">
        <f>VLOOKUP($A867,'[2]App C Inv'!$A$4:$I$917,7,FALSE)</f>
        <v>1151</v>
      </c>
      <c r="T867" s="2">
        <f>VLOOKUP($A867,'[2]App C Inv'!$A$4:$I$917,8,FALSE)</f>
        <v>1498</v>
      </c>
      <c r="U867" s="2">
        <f>VLOOKUP($A867,'[2]App C Inv'!$A$4:$I$917,9,FALSE)</f>
        <v>0</v>
      </c>
      <c r="V867" s="2"/>
      <c r="W867" s="2">
        <f>VLOOKUP($A867,'[2]App C Assum'!$A$4:$I$917,5,FALSE)</f>
        <v>10696</v>
      </c>
      <c r="X867" s="2">
        <f>VLOOKUP($A867,'[2]App C Assum'!$A$4:$I$917,6,FALSE)</f>
        <v>8763</v>
      </c>
      <c r="Y867" s="2">
        <f>VLOOKUP($A867,'[2]App C Assum'!$A$4:$I$917,7,FALSE)</f>
        <v>7114</v>
      </c>
      <c r="Z867" s="2">
        <f>VLOOKUP($A867,'[2]App C Assum'!$A$4:$I$917,8,FALSE)</f>
        <v>0</v>
      </c>
      <c r="AA867" s="2">
        <f>VLOOKUP($A867,'[2]App C Assum'!$A$4:$I$917,9,FALSE)</f>
        <v>0</v>
      </c>
      <c r="AB867" s="2"/>
      <c r="AC867" s="2">
        <f>VLOOKUP($A867,'[2]App C Share Outflows'!$A$4:$I$917,5,FALSE)</f>
        <v>1019</v>
      </c>
      <c r="AD867" s="2">
        <f>VLOOKUP($A867,'[2]App C Share Outflows'!$A$4:$I$917,6,FALSE)</f>
        <v>1019</v>
      </c>
      <c r="AE867" s="2">
        <f>VLOOKUP($A867,'[2]App C Share Outflows'!$A$4:$I$917,7,FALSE)</f>
        <v>1021</v>
      </c>
      <c r="AF867" s="2">
        <f>VLOOKUP($A867,'[2]App C Share Outflows'!$A$4:$I$917,8,FALSE)</f>
        <v>0</v>
      </c>
      <c r="AG867" s="2">
        <f>VLOOKUP($A867,'[2]App C Share Outflows'!$A$4:$I$917,9,FALSE)</f>
        <v>0</v>
      </c>
      <c r="AH867" s="2"/>
      <c r="AI867" s="2">
        <f>VLOOKUP($A867,'[2]App C Share Inflows'!$A$4:$I$917,5,FALSE)</f>
        <v>-2519</v>
      </c>
      <c r="AJ867" s="2">
        <f>VLOOKUP($A867,'[2]App C Share Inflows'!$A$4:$I$917,6,FALSE)</f>
        <v>-1523</v>
      </c>
      <c r="AK867" s="2">
        <f>VLOOKUP($A867,'[2]App C Share Inflows'!$A$4:$I$917,7,FALSE)</f>
        <v>-1058</v>
      </c>
      <c r="AL867" s="2">
        <f>VLOOKUP($A867,'[2]App C Share Inflows'!$A$4:$I$917,8,FALSE)</f>
        <v>-1059</v>
      </c>
      <c r="AM867" s="2">
        <f>VLOOKUP($A867,'[2]App C Share Inflows'!$A$4:$I$917,6,FALSE)</f>
        <v>-1523</v>
      </c>
    </row>
    <row r="868" spans="1:39">
      <c r="A868" s="351">
        <v>99321</v>
      </c>
      <c r="B868" s="344" t="s">
        <v>1566</v>
      </c>
      <c r="C868" s="235" t="e">
        <f>VLOOKUP(A868,#REF!,10,FALSE)</f>
        <v>#REF!</v>
      </c>
      <c r="E868" s="2">
        <f>VLOOKUP($A868,'[2]App C Total'!$A$4:$I$917,5,FALSE)</f>
        <v>77620</v>
      </c>
      <c r="F868" s="2">
        <f>VLOOKUP($A868,'[2]App C Total'!$A$4:$I$917,6,FALSE)</f>
        <v>38801</v>
      </c>
      <c r="G868" s="2">
        <f>VLOOKUP($A868,'[2]App C Total'!$A$4:$I$917,7,FALSE)</f>
        <v>40564</v>
      </c>
      <c r="H868" s="2">
        <f>VLOOKUP($A868,'[2]App C Total'!$A$4:$I$917,8,FALSE)</f>
        <v>17708</v>
      </c>
      <c r="I868" s="2">
        <f>VLOOKUP($A868,'[2]App C Total'!$A$4:$I$917,9,FALSE)</f>
        <v>0</v>
      </c>
      <c r="J868" s="2"/>
      <c r="K868" s="2">
        <f>VLOOKUP($A868,'[2]App C Exp'!$A$4:$I$917,5,FALSE)</f>
        <v>12943</v>
      </c>
      <c r="L868" s="2">
        <f>VLOOKUP($A868,'[2]App C Exp'!$A$4:$I$917,6,FALSE)</f>
        <v>12175</v>
      </c>
      <c r="M868" s="2">
        <f>VLOOKUP($A868,'[2]App C Exp'!$A$4:$I$917,7,FALSE)</f>
        <v>10913</v>
      </c>
      <c r="N868" s="2">
        <f>VLOOKUP($A868,'[2]App C Exp'!$A$4:$I$917,8,FALSE)</f>
        <v>4369</v>
      </c>
      <c r="O868" s="2">
        <f>VLOOKUP($A868,'[2]App C Exp'!$A$4:$I$917,9,FALSE)</f>
        <v>0</v>
      </c>
      <c r="P868" s="2"/>
      <c r="Q868" s="2">
        <f>VLOOKUP($A868,'[2]App C Inv'!$A$4:$I$917,5,FALSE)</f>
        <v>13741</v>
      </c>
      <c r="R868" s="2">
        <f>VLOOKUP($A868,'[2]App C Inv'!$A$4:$I$917,6,FALSE)</f>
        <v>-11820</v>
      </c>
      <c r="S868" s="2">
        <f>VLOOKUP($A868,'[2]App C Inv'!$A$4:$I$917,7,FALSE)</f>
        <v>1666</v>
      </c>
      <c r="T868" s="2">
        <f>VLOOKUP($A868,'[2]App C Inv'!$A$4:$I$917,8,FALSE)</f>
        <v>2168</v>
      </c>
      <c r="U868" s="2">
        <f>VLOOKUP($A868,'[2]App C Inv'!$A$4:$I$917,9,FALSE)</f>
        <v>0</v>
      </c>
      <c r="V868" s="2"/>
      <c r="W868" s="2">
        <f>VLOOKUP($A868,'[2]App C Assum'!$A$4:$I$917,5,FALSE)</f>
        <v>15480</v>
      </c>
      <c r="X868" s="2">
        <f>VLOOKUP($A868,'[2]App C Assum'!$A$4:$I$917,6,FALSE)</f>
        <v>12681</v>
      </c>
      <c r="Y868" s="2">
        <f>VLOOKUP($A868,'[2]App C Assum'!$A$4:$I$917,7,FALSE)</f>
        <v>10295</v>
      </c>
      <c r="Z868" s="2">
        <f>VLOOKUP($A868,'[2]App C Assum'!$A$4:$I$917,8,FALSE)</f>
        <v>0</v>
      </c>
      <c r="AA868" s="2">
        <f>VLOOKUP($A868,'[2]App C Assum'!$A$4:$I$917,9,FALSE)</f>
        <v>0</v>
      </c>
      <c r="AB868" s="2"/>
      <c r="AC868" s="2">
        <f>VLOOKUP($A868,'[2]App C Share Outflows'!$A$4:$I$917,5,FALSE)</f>
        <v>35456</v>
      </c>
      <c r="AD868" s="2">
        <f>VLOOKUP($A868,'[2]App C Share Outflows'!$A$4:$I$917,6,FALSE)</f>
        <v>25765</v>
      </c>
      <c r="AE868" s="2">
        <f>VLOOKUP($A868,'[2]App C Share Outflows'!$A$4:$I$917,7,FALSE)</f>
        <v>17690</v>
      </c>
      <c r="AF868" s="2">
        <f>VLOOKUP($A868,'[2]App C Share Outflows'!$A$4:$I$917,8,FALSE)</f>
        <v>11171</v>
      </c>
      <c r="AG868" s="2">
        <f>VLOOKUP($A868,'[2]App C Share Outflows'!$A$4:$I$917,9,FALSE)</f>
        <v>0</v>
      </c>
      <c r="AH868" s="2"/>
      <c r="AI868" s="2">
        <f>VLOOKUP($A868,'[2]App C Share Inflows'!$A$4:$I$917,5,FALSE)</f>
        <v>0</v>
      </c>
      <c r="AJ868" s="2">
        <f>VLOOKUP($A868,'[2]App C Share Inflows'!$A$4:$I$917,6,FALSE)</f>
        <v>0</v>
      </c>
      <c r="AK868" s="2">
        <f>VLOOKUP($A868,'[2]App C Share Inflows'!$A$4:$I$917,7,FALSE)</f>
        <v>0</v>
      </c>
      <c r="AL868" s="2">
        <f>VLOOKUP($A868,'[2]App C Share Inflows'!$A$4:$I$917,8,FALSE)</f>
        <v>0</v>
      </c>
      <c r="AM868" s="2">
        <f>VLOOKUP($A868,'[2]App C Share Inflows'!$A$4:$I$917,6,FALSE)</f>
        <v>0</v>
      </c>
    </row>
    <row r="869" spans="1:39">
      <c r="A869" s="351">
        <v>99401</v>
      </c>
      <c r="B869" s="344" t="s">
        <v>1567</v>
      </c>
      <c r="C869" s="235" t="e">
        <f>VLOOKUP(A869,#REF!,10,FALSE)</f>
        <v>#REF!</v>
      </c>
      <c r="E869" s="2">
        <f>VLOOKUP($A869,'[2]App C Total'!$A$4:$I$917,5,FALSE)</f>
        <v>355657</v>
      </c>
      <c r="F869" s="2">
        <f>VLOOKUP($A869,'[2]App C Total'!$A$4:$I$917,6,FALSE)</f>
        <v>90947</v>
      </c>
      <c r="G869" s="2">
        <f>VLOOKUP($A869,'[2]App C Total'!$A$4:$I$917,7,FALSE)</f>
        <v>183685</v>
      </c>
      <c r="H869" s="2">
        <f>VLOOKUP($A869,'[2]App C Total'!$A$4:$I$917,8,FALSE)</f>
        <v>51545</v>
      </c>
      <c r="I869" s="2">
        <f>VLOOKUP($A869,'[2]App C Total'!$A$4:$I$917,9,FALSE)</f>
        <v>0</v>
      </c>
      <c r="J869" s="2"/>
      <c r="K869" s="2">
        <f>VLOOKUP($A869,'[2]App C Exp'!$A$4:$I$917,5,FALSE)</f>
        <v>116235</v>
      </c>
      <c r="L869" s="2">
        <f>VLOOKUP($A869,'[2]App C Exp'!$A$4:$I$917,6,FALSE)</f>
        <v>109340</v>
      </c>
      <c r="M869" s="2">
        <f>VLOOKUP($A869,'[2]App C Exp'!$A$4:$I$917,7,FALSE)</f>
        <v>98000</v>
      </c>
      <c r="N869" s="2">
        <f>VLOOKUP($A869,'[2]App C Exp'!$A$4:$I$917,8,FALSE)</f>
        <v>39238</v>
      </c>
      <c r="O869" s="2">
        <f>VLOOKUP($A869,'[2]App C Exp'!$A$4:$I$917,9,FALSE)</f>
        <v>0</v>
      </c>
      <c r="P869" s="2"/>
      <c r="Q869" s="2">
        <f>VLOOKUP($A869,'[2]App C Inv'!$A$4:$I$917,5,FALSE)</f>
        <v>123400</v>
      </c>
      <c r="R869" s="2">
        <f>VLOOKUP($A869,'[2]App C Inv'!$A$4:$I$917,6,FALSE)</f>
        <v>-106147</v>
      </c>
      <c r="S869" s="2">
        <f>VLOOKUP($A869,'[2]App C Inv'!$A$4:$I$917,7,FALSE)</f>
        <v>14960</v>
      </c>
      <c r="T869" s="2">
        <f>VLOOKUP($A869,'[2]App C Inv'!$A$4:$I$917,8,FALSE)</f>
        <v>19470</v>
      </c>
      <c r="U869" s="2">
        <f>VLOOKUP($A869,'[2]App C Inv'!$A$4:$I$917,9,FALSE)</f>
        <v>0</v>
      </c>
      <c r="V869" s="2"/>
      <c r="W869" s="2">
        <f>VLOOKUP($A869,'[2]App C Assum'!$A$4:$I$917,5,FALSE)</f>
        <v>139012</v>
      </c>
      <c r="X869" s="2">
        <f>VLOOKUP($A869,'[2]App C Assum'!$A$4:$I$917,6,FALSE)</f>
        <v>113883</v>
      </c>
      <c r="Y869" s="2">
        <f>VLOOKUP($A869,'[2]App C Assum'!$A$4:$I$917,7,FALSE)</f>
        <v>92454</v>
      </c>
      <c r="Z869" s="2">
        <f>VLOOKUP($A869,'[2]App C Assum'!$A$4:$I$917,8,FALSE)</f>
        <v>0</v>
      </c>
      <c r="AA869" s="2">
        <f>VLOOKUP($A869,'[2]App C Assum'!$A$4:$I$917,9,FALSE)</f>
        <v>0</v>
      </c>
      <c r="AB869" s="2"/>
      <c r="AC869" s="2">
        <f>VLOOKUP($A869,'[2]App C Share Outflows'!$A$4:$I$917,5,FALSE)</f>
        <v>3138</v>
      </c>
      <c r="AD869" s="2">
        <f>VLOOKUP($A869,'[2]App C Share Outflows'!$A$4:$I$917,6,FALSE)</f>
        <v>0</v>
      </c>
      <c r="AE869" s="2">
        <f>VLOOKUP($A869,'[2]App C Share Outflows'!$A$4:$I$917,7,FALSE)</f>
        <v>0</v>
      </c>
      <c r="AF869" s="2">
        <f>VLOOKUP($A869,'[2]App C Share Outflows'!$A$4:$I$917,8,FALSE)</f>
        <v>0</v>
      </c>
      <c r="AG869" s="2">
        <f>VLOOKUP($A869,'[2]App C Share Outflows'!$A$4:$I$917,9,FALSE)</f>
        <v>0</v>
      </c>
      <c r="AH869" s="2"/>
      <c r="AI869" s="2">
        <f>VLOOKUP($A869,'[2]App C Share Inflows'!$A$4:$I$917,5,FALSE)</f>
        <v>-26128</v>
      </c>
      <c r="AJ869" s="2">
        <f>VLOOKUP($A869,'[2]App C Share Inflows'!$A$4:$I$917,6,FALSE)</f>
        <v>-26129</v>
      </c>
      <c r="AK869" s="2">
        <f>VLOOKUP($A869,'[2]App C Share Inflows'!$A$4:$I$917,7,FALSE)</f>
        <v>-21729</v>
      </c>
      <c r="AL869" s="2">
        <f>VLOOKUP($A869,'[2]App C Share Inflows'!$A$4:$I$917,8,FALSE)</f>
        <v>-7163</v>
      </c>
      <c r="AM869" s="2">
        <f>VLOOKUP($A869,'[2]App C Share Inflows'!$A$4:$I$917,6,FALSE)</f>
        <v>-26129</v>
      </c>
    </row>
    <row r="870" spans="1:39">
      <c r="A870" s="351">
        <v>99404</v>
      </c>
      <c r="B870" s="344" t="s">
        <v>1568</v>
      </c>
      <c r="C870" s="235" t="e">
        <f>VLOOKUP(A870,#REF!,10,FALSE)</f>
        <v>#REF!</v>
      </c>
      <c r="E870" s="2">
        <f>VLOOKUP($A870,'[2]App C Total'!$A$4:$I$917,5,FALSE)</f>
        <v>4845</v>
      </c>
      <c r="F870" s="2">
        <f>VLOOKUP($A870,'[2]App C Total'!$A$4:$I$917,6,FALSE)</f>
        <v>1854</v>
      </c>
      <c r="G870" s="2">
        <f>VLOOKUP($A870,'[2]App C Total'!$A$4:$I$917,7,FALSE)</f>
        <v>2640</v>
      </c>
      <c r="H870" s="2">
        <f>VLOOKUP($A870,'[2]App C Total'!$A$4:$I$917,8,FALSE)</f>
        <v>844</v>
      </c>
      <c r="I870" s="2">
        <f>VLOOKUP($A870,'[2]App C Total'!$A$4:$I$917,9,FALSE)</f>
        <v>0</v>
      </c>
      <c r="J870" s="2"/>
      <c r="K870" s="2">
        <f>VLOOKUP($A870,'[2]App C Exp'!$A$4:$I$917,5,FALSE)</f>
        <v>1273</v>
      </c>
      <c r="L870" s="2">
        <f>VLOOKUP($A870,'[2]App C Exp'!$A$4:$I$917,6,FALSE)</f>
        <v>1198</v>
      </c>
      <c r="M870" s="2">
        <f>VLOOKUP($A870,'[2]App C Exp'!$A$4:$I$917,7,FALSE)</f>
        <v>1074</v>
      </c>
      <c r="N870" s="2">
        <f>VLOOKUP($A870,'[2]App C Exp'!$A$4:$I$917,8,FALSE)</f>
        <v>430</v>
      </c>
      <c r="O870" s="2">
        <f>VLOOKUP($A870,'[2]App C Exp'!$A$4:$I$917,9,FALSE)</f>
        <v>0</v>
      </c>
      <c r="P870" s="2"/>
      <c r="Q870" s="2">
        <f>VLOOKUP($A870,'[2]App C Inv'!$A$4:$I$917,5,FALSE)</f>
        <v>1352</v>
      </c>
      <c r="R870" s="2">
        <f>VLOOKUP($A870,'[2]App C Inv'!$A$4:$I$917,6,FALSE)</f>
        <v>-1163</v>
      </c>
      <c r="S870" s="2">
        <f>VLOOKUP($A870,'[2]App C Inv'!$A$4:$I$917,7,FALSE)</f>
        <v>164</v>
      </c>
      <c r="T870" s="2">
        <f>VLOOKUP($A870,'[2]App C Inv'!$A$4:$I$917,8,FALSE)</f>
        <v>213</v>
      </c>
      <c r="U870" s="2">
        <f>VLOOKUP($A870,'[2]App C Inv'!$A$4:$I$917,9,FALSE)</f>
        <v>0</v>
      </c>
      <c r="V870" s="2"/>
      <c r="W870" s="2">
        <f>VLOOKUP($A870,'[2]App C Assum'!$A$4:$I$917,5,FALSE)</f>
        <v>1523</v>
      </c>
      <c r="X870" s="2">
        <f>VLOOKUP($A870,'[2]App C Assum'!$A$4:$I$917,6,FALSE)</f>
        <v>1248</v>
      </c>
      <c r="Y870" s="2">
        <f>VLOOKUP($A870,'[2]App C Assum'!$A$4:$I$917,7,FALSE)</f>
        <v>1013</v>
      </c>
      <c r="Z870" s="2">
        <f>VLOOKUP($A870,'[2]App C Assum'!$A$4:$I$917,8,FALSE)</f>
        <v>0</v>
      </c>
      <c r="AA870" s="2">
        <f>VLOOKUP($A870,'[2]App C Assum'!$A$4:$I$917,9,FALSE)</f>
        <v>0</v>
      </c>
      <c r="AB870" s="2"/>
      <c r="AC870" s="2">
        <f>VLOOKUP($A870,'[2]App C Share Outflows'!$A$4:$I$917,5,FALSE)</f>
        <v>697</v>
      </c>
      <c r="AD870" s="2">
        <f>VLOOKUP($A870,'[2]App C Share Outflows'!$A$4:$I$917,6,FALSE)</f>
        <v>571</v>
      </c>
      <c r="AE870" s="2">
        <f>VLOOKUP($A870,'[2]App C Share Outflows'!$A$4:$I$917,7,FALSE)</f>
        <v>389</v>
      </c>
      <c r="AF870" s="2">
        <f>VLOOKUP($A870,'[2]App C Share Outflows'!$A$4:$I$917,8,FALSE)</f>
        <v>201</v>
      </c>
      <c r="AG870" s="2">
        <f>VLOOKUP($A870,'[2]App C Share Outflows'!$A$4:$I$917,9,FALSE)</f>
        <v>0</v>
      </c>
      <c r="AH870" s="2"/>
      <c r="AI870" s="2">
        <f>VLOOKUP($A870,'[2]App C Share Inflows'!$A$4:$I$917,5,FALSE)</f>
        <v>0</v>
      </c>
      <c r="AJ870" s="2">
        <f>VLOOKUP($A870,'[2]App C Share Inflows'!$A$4:$I$917,6,FALSE)</f>
        <v>0</v>
      </c>
      <c r="AK870" s="2">
        <f>VLOOKUP($A870,'[2]App C Share Inflows'!$A$4:$I$917,7,FALSE)</f>
        <v>0</v>
      </c>
      <c r="AL870" s="2">
        <f>VLOOKUP($A870,'[2]App C Share Inflows'!$A$4:$I$917,8,FALSE)</f>
        <v>0</v>
      </c>
      <c r="AM870" s="2">
        <f>VLOOKUP($A870,'[2]App C Share Inflows'!$A$4:$I$917,6,FALSE)</f>
        <v>0</v>
      </c>
    </row>
    <row r="871" spans="1:39">
      <c r="A871" s="351">
        <v>99405</v>
      </c>
      <c r="B871" s="344" t="s">
        <v>1569</v>
      </c>
      <c r="C871" s="235" t="e">
        <f>VLOOKUP(A871,#REF!,10,FALSE)</f>
        <v>#REF!</v>
      </c>
      <c r="E871" s="2">
        <f>VLOOKUP($A871,'[2]App C Total'!$A$4:$I$917,5,FALSE)</f>
        <v>36712</v>
      </c>
      <c r="F871" s="2">
        <f>VLOOKUP($A871,'[2]App C Total'!$A$4:$I$917,6,FALSE)</f>
        <v>15658</v>
      </c>
      <c r="G871" s="2">
        <f>VLOOKUP($A871,'[2]App C Total'!$A$4:$I$917,7,FALSE)</f>
        <v>19895</v>
      </c>
      <c r="H871" s="2">
        <f>VLOOKUP($A871,'[2]App C Total'!$A$4:$I$917,8,FALSE)</f>
        <v>8022</v>
      </c>
      <c r="I871" s="2">
        <f>VLOOKUP($A871,'[2]App C Total'!$A$4:$I$917,9,FALSE)</f>
        <v>0</v>
      </c>
      <c r="J871" s="2"/>
      <c r="K871" s="2">
        <f>VLOOKUP($A871,'[2]App C Exp'!$A$4:$I$917,5,FALSE)</f>
        <v>8958</v>
      </c>
      <c r="L871" s="2">
        <f>VLOOKUP($A871,'[2]App C Exp'!$A$4:$I$917,6,FALSE)</f>
        <v>8427</v>
      </c>
      <c r="M871" s="2">
        <f>VLOOKUP($A871,'[2]App C Exp'!$A$4:$I$917,7,FALSE)</f>
        <v>7553</v>
      </c>
      <c r="N871" s="2">
        <f>VLOOKUP($A871,'[2]App C Exp'!$A$4:$I$917,8,FALSE)</f>
        <v>3024</v>
      </c>
      <c r="O871" s="2">
        <f>VLOOKUP($A871,'[2]App C Exp'!$A$4:$I$917,9,FALSE)</f>
        <v>0</v>
      </c>
      <c r="P871" s="2"/>
      <c r="Q871" s="2">
        <f>VLOOKUP($A871,'[2]App C Inv'!$A$4:$I$917,5,FALSE)</f>
        <v>9511</v>
      </c>
      <c r="R871" s="2">
        <f>VLOOKUP($A871,'[2]App C Inv'!$A$4:$I$917,6,FALSE)</f>
        <v>-8181</v>
      </c>
      <c r="S871" s="2">
        <f>VLOOKUP($A871,'[2]App C Inv'!$A$4:$I$917,7,FALSE)</f>
        <v>1153</v>
      </c>
      <c r="T871" s="2">
        <f>VLOOKUP($A871,'[2]App C Inv'!$A$4:$I$917,8,FALSE)</f>
        <v>1501</v>
      </c>
      <c r="U871" s="2">
        <f>VLOOKUP($A871,'[2]App C Inv'!$A$4:$I$917,9,FALSE)</f>
        <v>0</v>
      </c>
      <c r="V871" s="2"/>
      <c r="W871" s="2">
        <f>VLOOKUP($A871,'[2]App C Assum'!$A$4:$I$917,5,FALSE)</f>
        <v>10714</v>
      </c>
      <c r="X871" s="2">
        <f>VLOOKUP($A871,'[2]App C Assum'!$A$4:$I$917,6,FALSE)</f>
        <v>8777</v>
      </c>
      <c r="Y871" s="2">
        <f>VLOOKUP($A871,'[2]App C Assum'!$A$4:$I$917,7,FALSE)</f>
        <v>7126</v>
      </c>
      <c r="Z871" s="2">
        <f>VLOOKUP($A871,'[2]App C Assum'!$A$4:$I$917,8,FALSE)</f>
        <v>0</v>
      </c>
      <c r="AA871" s="2">
        <f>VLOOKUP($A871,'[2]App C Assum'!$A$4:$I$917,9,FALSE)</f>
        <v>0</v>
      </c>
      <c r="AB871" s="2"/>
      <c r="AC871" s="2">
        <f>VLOOKUP($A871,'[2]App C Share Outflows'!$A$4:$I$917,5,FALSE)</f>
        <v>7529</v>
      </c>
      <c r="AD871" s="2">
        <f>VLOOKUP($A871,'[2]App C Share Outflows'!$A$4:$I$917,6,FALSE)</f>
        <v>6635</v>
      </c>
      <c r="AE871" s="2">
        <f>VLOOKUP($A871,'[2]App C Share Outflows'!$A$4:$I$917,7,FALSE)</f>
        <v>4063</v>
      </c>
      <c r="AF871" s="2">
        <f>VLOOKUP($A871,'[2]App C Share Outflows'!$A$4:$I$917,8,FALSE)</f>
        <v>3497</v>
      </c>
      <c r="AG871" s="2">
        <f>VLOOKUP($A871,'[2]App C Share Outflows'!$A$4:$I$917,9,FALSE)</f>
        <v>0</v>
      </c>
      <c r="AH871" s="2"/>
      <c r="AI871" s="2">
        <f>VLOOKUP($A871,'[2]App C Share Inflows'!$A$4:$I$917,5,FALSE)</f>
        <v>0</v>
      </c>
      <c r="AJ871" s="2">
        <f>VLOOKUP($A871,'[2]App C Share Inflows'!$A$4:$I$917,6,FALSE)</f>
        <v>0</v>
      </c>
      <c r="AK871" s="2">
        <f>VLOOKUP($A871,'[2]App C Share Inflows'!$A$4:$I$917,7,FALSE)</f>
        <v>0</v>
      </c>
      <c r="AL871" s="2">
        <f>VLOOKUP($A871,'[2]App C Share Inflows'!$A$4:$I$917,8,FALSE)</f>
        <v>0</v>
      </c>
      <c r="AM871" s="2">
        <f>VLOOKUP($A871,'[2]App C Share Inflows'!$A$4:$I$917,6,FALSE)</f>
        <v>0</v>
      </c>
    </row>
    <row r="872" spans="1:39">
      <c r="A872" s="351">
        <v>99411</v>
      </c>
      <c r="B872" s="344" t="s">
        <v>1570</v>
      </c>
      <c r="C872" s="235" t="e">
        <f>VLOOKUP(A872,#REF!,10,FALSE)</f>
        <v>#REF!</v>
      </c>
      <c r="E872" s="2">
        <f>VLOOKUP($A872,'[2]App C Total'!$A$4:$I$917,5,FALSE)</f>
        <v>97629</v>
      </c>
      <c r="F872" s="2">
        <f>VLOOKUP($A872,'[2]App C Total'!$A$4:$I$917,6,FALSE)</f>
        <v>36020</v>
      </c>
      <c r="G872" s="2">
        <f>VLOOKUP($A872,'[2]App C Total'!$A$4:$I$917,7,FALSE)</f>
        <v>49340</v>
      </c>
      <c r="H872" s="2">
        <f>VLOOKUP($A872,'[2]App C Total'!$A$4:$I$917,8,FALSE)</f>
        <v>13813</v>
      </c>
      <c r="I872" s="2">
        <f>VLOOKUP($A872,'[2]App C Total'!$A$4:$I$917,9,FALSE)</f>
        <v>0</v>
      </c>
      <c r="J872" s="2"/>
      <c r="K872" s="2">
        <f>VLOOKUP($A872,'[2]App C Exp'!$A$4:$I$917,5,FALSE)</f>
        <v>25677</v>
      </c>
      <c r="L872" s="2">
        <f>VLOOKUP($A872,'[2]App C Exp'!$A$4:$I$917,6,FALSE)</f>
        <v>24154</v>
      </c>
      <c r="M872" s="2">
        <f>VLOOKUP($A872,'[2]App C Exp'!$A$4:$I$917,7,FALSE)</f>
        <v>21649</v>
      </c>
      <c r="N872" s="2">
        <f>VLOOKUP($A872,'[2]App C Exp'!$A$4:$I$917,8,FALSE)</f>
        <v>8668</v>
      </c>
      <c r="O872" s="2">
        <f>VLOOKUP($A872,'[2]App C Exp'!$A$4:$I$917,9,FALSE)</f>
        <v>0</v>
      </c>
      <c r="P872" s="2"/>
      <c r="Q872" s="2">
        <f>VLOOKUP($A872,'[2]App C Inv'!$A$4:$I$917,5,FALSE)</f>
        <v>27260</v>
      </c>
      <c r="R872" s="2">
        <f>VLOOKUP($A872,'[2]App C Inv'!$A$4:$I$917,6,FALSE)</f>
        <v>-23448</v>
      </c>
      <c r="S872" s="2">
        <f>VLOOKUP($A872,'[2]App C Inv'!$A$4:$I$917,7,FALSE)</f>
        <v>3305</v>
      </c>
      <c r="T872" s="2">
        <f>VLOOKUP($A872,'[2]App C Inv'!$A$4:$I$917,8,FALSE)</f>
        <v>4301</v>
      </c>
      <c r="U872" s="2">
        <f>VLOOKUP($A872,'[2]App C Inv'!$A$4:$I$917,9,FALSE)</f>
        <v>0</v>
      </c>
      <c r="V872" s="2"/>
      <c r="W872" s="2">
        <f>VLOOKUP($A872,'[2]App C Assum'!$A$4:$I$917,5,FALSE)</f>
        <v>30708</v>
      </c>
      <c r="X872" s="2">
        <f>VLOOKUP($A872,'[2]App C Assum'!$A$4:$I$917,6,FALSE)</f>
        <v>25157</v>
      </c>
      <c r="Y872" s="2">
        <f>VLOOKUP($A872,'[2]App C Assum'!$A$4:$I$917,7,FALSE)</f>
        <v>20424</v>
      </c>
      <c r="Z872" s="2">
        <f>VLOOKUP($A872,'[2]App C Assum'!$A$4:$I$917,8,FALSE)</f>
        <v>0</v>
      </c>
      <c r="AA872" s="2">
        <f>VLOOKUP($A872,'[2]App C Assum'!$A$4:$I$917,9,FALSE)</f>
        <v>0</v>
      </c>
      <c r="AB872" s="2"/>
      <c r="AC872" s="2">
        <f>VLOOKUP($A872,'[2]App C Share Outflows'!$A$4:$I$917,5,FALSE)</f>
        <v>13984</v>
      </c>
      <c r="AD872" s="2">
        <f>VLOOKUP($A872,'[2]App C Share Outflows'!$A$4:$I$917,6,FALSE)</f>
        <v>10157</v>
      </c>
      <c r="AE872" s="2">
        <f>VLOOKUP($A872,'[2]App C Share Outflows'!$A$4:$I$917,7,FALSE)</f>
        <v>3962</v>
      </c>
      <c r="AF872" s="2">
        <f>VLOOKUP($A872,'[2]App C Share Outflows'!$A$4:$I$917,8,FALSE)</f>
        <v>844</v>
      </c>
      <c r="AG872" s="2">
        <f>VLOOKUP($A872,'[2]App C Share Outflows'!$A$4:$I$917,9,FALSE)</f>
        <v>0</v>
      </c>
      <c r="AH872" s="2"/>
      <c r="AI872" s="2">
        <f>VLOOKUP($A872,'[2]App C Share Inflows'!$A$4:$I$917,5,FALSE)</f>
        <v>0</v>
      </c>
      <c r="AJ872" s="2">
        <f>VLOOKUP($A872,'[2]App C Share Inflows'!$A$4:$I$917,6,FALSE)</f>
        <v>0</v>
      </c>
      <c r="AK872" s="2">
        <f>VLOOKUP($A872,'[2]App C Share Inflows'!$A$4:$I$917,7,FALSE)</f>
        <v>0</v>
      </c>
      <c r="AL872" s="2">
        <f>VLOOKUP($A872,'[2]App C Share Inflows'!$A$4:$I$917,8,FALSE)</f>
        <v>0</v>
      </c>
      <c r="AM872" s="2">
        <f>VLOOKUP($A872,'[2]App C Share Inflows'!$A$4:$I$917,6,FALSE)</f>
        <v>0</v>
      </c>
    </row>
    <row r="873" spans="1:39">
      <c r="A873" s="351">
        <v>99413</v>
      </c>
      <c r="B873" s="344" t="s">
        <v>1571</v>
      </c>
      <c r="C873" s="235" t="e">
        <f>VLOOKUP(A873,#REF!,10,FALSE)</f>
        <v>#REF!</v>
      </c>
      <c r="E873" s="2">
        <f>VLOOKUP($A873,'[2]App C Total'!$A$4:$I$917,5,FALSE)</f>
        <v>11351</v>
      </c>
      <c r="F873" s="2">
        <f>VLOOKUP($A873,'[2]App C Total'!$A$4:$I$917,6,FALSE)</f>
        <v>5107</v>
      </c>
      <c r="G873" s="2">
        <f>VLOOKUP($A873,'[2]App C Total'!$A$4:$I$917,7,FALSE)</f>
        <v>5995</v>
      </c>
      <c r="H873" s="2">
        <f>VLOOKUP($A873,'[2]App C Total'!$A$4:$I$917,8,FALSE)</f>
        <v>2993</v>
      </c>
      <c r="I873" s="2">
        <f>VLOOKUP($A873,'[2]App C Total'!$A$4:$I$917,9,FALSE)</f>
        <v>0</v>
      </c>
      <c r="J873" s="2"/>
      <c r="K873" s="2">
        <f>VLOOKUP($A873,'[2]App C Exp'!$A$4:$I$917,5,FALSE)</f>
        <v>3056</v>
      </c>
      <c r="L873" s="2">
        <f>VLOOKUP($A873,'[2]App C Exp'!$A$4:$I$917,6,FALSE)</f>
        <v>2875</v>
      </c>
      <c r="M873" s="2">
        <f>VLOOKUP($A873,'[2]App C Exp'!$A$4:$I$917,7,FALSE)</f>
        <v>2577</v>
      </c>
      <c r="N873" s="2">
        <f>VLOOKUP($A873,'[2]App C Exp'!$A$4:$I$917,8,FALSE)</f>
        <v>1032</v>
      </c>
      <c r="O873" s="2">
        <f>VLOOKUP($A873,'[2]App C Exp'!$A$4:$I$917,9,FALSE)</f>
        <v>0</v>
      </c>
      <c r="P873" s="2"/>
      <c r="Q873" s="2">
        <f>VLOOKUP($A873,'[2]App C Inv'!$A$4:$I$917,5,FALSE)</f>
        <v>3244</v>
      </c>
      <c r="R873" s="2">
        <f>VLOOKUP($A873,'[2]App C Inv'!$A$4:$I$917,6,FALSE)</f>
        <v>-2791</v>
      </c>
      <c r="S873" s="2">
        <f>VLOOKUP($A873,'[2]App C Inv'!$A$4:$I$917,7,FALSE)</f>
        <v>393</v>
      </c>
      <c r="T873" s="2">
        <f>VLOOKUP($A873,'[2]App C Inv'!$A$4:$I$917,8,FALSE)</f>
        <v>512</v>
      </c>
      <c r="U873" s="2">
        <f>VLOOKUP($A873,'[2]App C Inv'!$A$4:$I$917,9,FALSE)</f>
        <v>0</v>
      </c>
      <c r="V873" s="2"/>
      <c r="W873" s="2">
        <f>VLOOKUP($A873,'[2]App C Assum'!$A$4:$I$917,5,FALSE)</f>
        <v>3655</v>
      </c>
      <c r="X873" s="2">
        <f>VLOOKUP($A873,'[2]App C Assum'!$A$4:$I$917,6,FALSE)</f>
        <v>2994</v>
      </c>
      <c r="Y873" s="2">
        <f>VLOOKUP($A873,'[2]App C Assum'!$A$4:$I$917,7,FALSE)</f>
        <v>2431</v>
      </c>
      <c r="Z873" s="2">
        <f>VLOOKUP($A873,'[2]App C Assum'!$A$4:$I$917,8,FALSE)</f>
        <v>0</v>
      </c>
      <c r="AA873" s="2">
        <f>VLOOKUP($A873,'[2]App C Assum'!$A$4:$I$917,9,FALSE)</f>
        <v>0</v>
      </c>
      <c r="AB873" s="2"/>
      <c r="AC873" s="2">
        <f>VLOOKUP($A873,'[2]App C Share Outflows'!$A$4:$I$917,5,FALSE)</f>
        <v>2884</v>
      </c>
      <c r="AD873" s="2">
        <f>VLOOKUP($A873,'[2]App C Share Outflows'!$A$4:$I$917,6,FALSE)</f>
        <v>2884</v>
      </c>
      <c r="AE873" s="2">
        <f>VLOOKUP($A873,'[2]App C Share Outflows'!$A$4:$I$917,7,FALSE)</f>
        <v>1447</v>
      </c>
      <c r="AF873" s="2">
        <f>VLOOKUP($A873,'[2]App C Share Outflows'!$A$4:$I$917,8,FALSE)</f>
        <v>1449</v>
      </c>
      <c r="AG873" s="2">
        <f>VLOOKUP($A873,'[2]App C Share Outflows'!$A$4:$I$917,9,FALSE)</f>
        <v>0</v>
      </c>
      <c r="AH873" s="2"/>
      <c r="AI873" s="2">
        <f>VLOOKUP($A873,'[2]App C Share Inflows'!$A$4:$I$917,5,FALSE)</f>
        <v>-1488</v>
      </c>
      <c r="AJ873" s="2">
        <f>VLOOKUP($A873,'[2]App C Share Inflows'!$A$4:$I$917,6,FALSE)</f>
        <v>-855</v>
      </c>
      <c r="AK873" s="2">
        <f>VLOOKUP($A873,'[2]App C Share Inflows'!$A$4:$I$917,7,FALSE)</f>
        <v>-853</v>
      </c>
      <c r="AL873" s="2">
        <f>VLOOKUP($A873,'[2]App C Share Inflows'!$A$4:$I$917,8,FALSE)</f>
        <v>0</v>
      </c>
      <c r="AM873" s="2">
        <f>VLOOKUP($A873,'[2]App C Share Inflows'!$A$4:$I$917,6,FALSE)</f>
        <v>-855</v>
      </c>
    </row>
    <row r="874" spans="1:39">
      <c r="A874" s="351">
        <v>99421</v>
      </c>
      <c r="B874" s="344" t="s">
        <v>1572</v>
      </c>
      <c r="C874" s="235" t="e">
        <f>VLOOKUP(A874,#REF!,10,FALSE)</f>
        <v>#REF!</v>
      </c>
      <c r="E874" s="2">
        <f>VLOOKUP($A874,'[2]App C Total'!$A$4:$I$917,5,FALSE)</f>
        <v>5620</v>
      </c>
      <c r="F874" s="2">
        <f>VLOOKUP($A874,'[2]App C Total'!$A$4:$I$917,6,FALSE)</f>
        <v>1856</v>
      </c>
      <c r="G874" s="2">
        <f>VLOOKUP($A874,'[2]App C Total'!$A$4:$I$917,7,FALSE)</f>
        <v>3877</v>
      </c>
      <c r="H874" s="2">
        <f>VLOOKUP($A874,'[2]App C Total'!$A$4:$I$917,8,FALSE)</f>
        <v>1094</v>
      </c>
      <c r="I874" s="2">
        <f>VLOOKUP($A874,'[2]App C Total'!$A$4:$I$917,9,FALSE)</f>
        <v>0</v>
      </c>
      <c r="J874" s="2"/>
      <c r="K874" s="2">
        <f>VLOOKUP($A874,'[2]App C Exp'!$A$4:$I$917,5,FALSE)</f>
        <v>2022</v>
      </c>
      <c r="L874" s="2">
        <f>VLOOKUP($A874,'[2]App C Exp'!$A$4:$I$917,6,FALSE)</f>
        <v>1902</v>
      </c>
      <c r="M874" s="2">
        <f>VLOOKUP($A874,'[2]App C Exp'!$A$4:$I$917,7,FALSE)</f>
        <v>1705</v>
      </c>
      <c r="N874" s="2">
        <f>VLOOKUP($A874,'[2]App C Exp'!$A$4:$I$917,8,FALSE)</f>
        <v>683</v>
      </c>
      <c r="O874" s="2">
        <f>VLOOKUP($A874,'[2]App C Exp'!$A$4:$I$917,9,FALSE)</f>
        <v>0</v>
      </c>
      <c r="P874" s="2"/>
      <c r="Q874" s="2">
        <f>VLOOKUP($A874,'[2]App C Inv'!$A$4:$I$917,5,FALSE)</f>
        <v>2147</v>
      </c>
      <c r="R874" s="2">
        <f>VLOOKUP($A874,'[2]App C Inv'!$A$4:$I$917,6,FALSE)</f>
        <v>-1847</v>
      </c>
      <c r="S874" s="2">
        <f>VLOOKUP($A874,'[2]App C Inv'!$A$4:$I$917,7,FALSE)</f>
        <v>260</v>
      </c>
      <c r="T874" s="2">
        <f>VLOOKUP($A874,'[2]App C Inv'!$A$4:$I$917,8,FALSE)</f>
        <v>339</v>
      </c>
      <c r="U874" s="2">
        <f>VLOOKUP($A874,'[2]App C Inv'!$A$4:$I$917,9,FALSE)</f>
        <v>0</v>
      </c>
      <c r="V874" s="2"/>
      <c r="W874" s="2">
        <f>VLOOKUP($A874,'[2]App C Assum'!$A$4:$I$917,5,FALSE)</f>
        <v>2419</v>
      </c>
      <c r="X874" s="2">
        <f>VLOOKUP($A874,'[2]App C Assum'!$A$4:$I$917,6,FALSE)</f>
        <v>1981</v>
      </c>
      <c r="Y874" s="2">
        <f>VLOOKUP($A874,'[2]App C Assum'!$A$4:$I$917,7,FALSE)</f>
        <v>1609</v>
      </c>
      <c r="Z874" s="2">
        <f>VLOOKUP($A874,'[2]App C Assum'!$A$4:$I$917,8,FALSE)</f>
        <v>0</v>
      </c>
      <c r="AA874" s="2">
        <f>VLOOKUP($A874,'[2]App C Assum'!$A$4:$I$917,9,FALSE)</f>
        <v>0</v>
      </c>
      <c r="AB874" s="2"/>
      <c r="AC874" s="2">
        <f>VLOOKUP($A874,'[2]App C Share Outflows'!$A$4:$I$917,5,FALSE)</f>
        <v>302</v>
      </c>
      <c r="AD874" s="2">
        <f>VLOOKUP($A874,'[2]App C Share Outflows'!$A$4:$I$917,6,FALSE)</f>
        <v>302</v>
      </c>
      <c r="AE874" s="2">
        <f>VLOOKUP($A874,'[2]App C Share Outflows'!$A$4:$I$917,7,FALSE)</f>
        <v>303</v>
      </c>
      <c r="AF874" s="2">
        <f>VLOOKUP($A874,'[2]App C Share Outflows'!$A$4:$I$917,8,FALSE)</f>
        <v>72</v>
      </c>
      <c r="AG874" s="2">
        <f>VLOOKUP($A874,'[2]App C Share Outflows'!$A$4:$I$917,9,FALSE)</f>
        <v>0</v>
      </c>
      <c r="AH874" s="2"/>
      <c r="AI874" s="2">
        <f>VLOOKUP($A874,'[2]App C Share Inflows'!$A$4:$I$917,5,FALSE)</f>
        <v>-1270</v>
      </c>
      <c r="AJ874" s="2">
        <f>VLOOKUP($A874,'[2]App C Share Inflows'!$A$4:$I$917,6,FALSE)</f>
        <v>-482</v>
      </c>
      <c r="AK874" s="2">
        <f>VLOOKUP($A874,'[2]App C Share Inflows'!$A$4:$I$917,7,FALSE)</f>
        <v>0</v>
      </c>
      <c r="AL874" s="2">
        <f>VLOOKUP($A874,'[2]App C Share Inflows'!$A$4:$I$917,8,FALSE)</f>
        <v>0</v>
      </c>
      <c r="AM874" s="2">
        <f>VLOOKUP($A874,'[2]App C Share Inflows'!$A$4:$I$917,6,FALSE)</f>
        <v>-482</v>
      </c>
    </row>
    <row r="875" spans="1:39">
      <c r="A875" s="351">
        <v>99431</v>
      </c>
      <c r="B875" s="344" t="s">
        <v>1573</v>
      </c>
      <c r="C875" s="235" t="e">
        <f>VLOOKUP(A875,#REF!,10,FALSE)</f>
        <v>#REF!</v>
      </c>
      <c r="E875" s="2">
        <f>VLOOKUP($A875,'[2]App C Total'!$A$4:$I$917,5,FALSE)</f>
        <v>4526</v>
      </c>
      <c r="F875" s="2">
        <f>VLOOKUP($A875,'[2]App C Total'!$A$4:$I$917,6,FALSE)</f>
        <v>-188</v>
      </c>
      <c r="G875" s="2">
        <f>VLOOKUP($A875,'[2]App C Total'!$A$4:$I$917,7,FALSE)</f>
        <v>1917</v>
      </c>
      <c r="H875" s="2">
        <f>VLOOKUP($A875,'[2]App C Total'!$A$4:$I$917,8,FALSE)</f>
        <v>-342</v>
      </c>
      <c r="I875" s="2">
        <f>VLOOKUP($A875,'[2]App C Total'!$A$4:$I$917,9,FALSE)</f>
        <v>0</v>
      </c>
      <c r="J875" s="2"/>
      <c r="K875" s="2">
        <f>VLOOKUP($A875,'[2]App C Exp'!$A$4:$I$917,5,FALSE)</f>
        <v>2217</v>
      </c>
      <c r="L875" s="2">
        <f>VLOOKUP($A875,'[2]App C Exp'!$A$4:$I$917,6,FALSE)</f>
        <v>2086</v>
      </c>
      <c r="M875" s="2">
        <f>VLOOKUP($A875,'[2]App C Exp'!$A$4:$I$917,7,FALSE)</f>
        <v>1869</v>
      </c>
      <c r="N875" s="2">
        <f>VLOOKUP($A875,'[2]App C Exp'!$A$4:$I$917,8,FALSE)</f>
        <v>748</v>
      </c>
      <c r="O875" s="2">
        <f>VLOOKUP($A875,'[2]App C Exp'!$A$4:$I$917,9,FALSE)</f>
        <v>0</v>
      </c>
      <c r="P875" s="2"/>
      <c r="Q875" s="2">
        <f>VLOOKUP($A875,'[2]App C Inv'!$A$4:$I$917,5,FALSE)</f>
        <v>2354</v>
      </c>
      <c r="R875" s="2">
        <f>VLOOKUP($A875,'[2]App C Inv'!$A$4:$I$917,6,FALSE)</f>
        <v>-2025</v>
      </c>
      <c r="S875" s="2">
        <f>VLOOKUP($A875,'[2]App C Inv'!$A$4:$I$917,7,FALSE)</f>
        <v>285</v>
      </c>
      <c r="T875" s="2">
        <f>VLOOKUP($A875,'[2]App C Inv'!$A$4:$I$917,8,FALSE)</f>
        <v>371</v>
      </c>
      <c r="U875" s="2">
        <f>VLOOKUP($A875,'[2]App C Inv'!$A$4:$I$917,9,FALSE)</f>
        <v>0</v>
      </c>
      <c r="V875" s="2"/>
      <c r="W875" s="2">
        <f>VLOOKUP($A875,'[2]App C Assum'!$A$4:$I$917,5,FALSE)</f>
        <v>2652</v>
      </c>
      <c r="X875" s="2">
        <f>VLOOKUP($A875,'[2]App C Assum'!$A$4:$I$917,6,FALSE)</f>
        <v>2172</v>
      </c>
      <c r="Y875" s="2">
        <f>VLOOKUP($A875,'[2]App C Assum'!$A$4:$I$917,7,FALSE)</f>
        <v>1764</v>
      </c>
      <c r="Z875" s="2">
        <f>VLOOKUP($A875,'[2]App C Assum'!$A$4:$I$917,8,FALSE)</f>
        <v>0</v>
      </c>
      <c r="AA875" s="2">
        <f>VLOOKUP($A875,'[2]App C Assum'!$A$4:$I$917,9,FALSE)</f>
        <v>0</v>
      </c>
      <c r="AB875" s="2"/>
      <c r="AC875" s="2">
        <f>VLOOKUP($A875,'[2]App C Share Outflows'!$A$4:$I$917,5,FALSE)</f>
        <v>0</v>
      </c>
      <c r="AD875" s="2">
        <f>VLOOKUP($A875,'[2]App C Share Outflows'!$A$4:$I$917,6,FALSE)</f>
        <v>0</v>
      </c>
      <c r="AE875" s="2">
        <f>VLOOKUP($A875,'[2]App C Share Outflows'!$A$4:$I$917,7,FALSE)</f>
        <v>0</v>
      </c>
      <c r="AF875" s="2">
        <f>VLOOKUP($A875,'[2]App C Share Outflows'!$A$4:$I$917,8,FALSE)</f>
        <v>0</v>
      </c>
      <c r="AG875" s="2">
        <f>VLOOKUP($A875,'[2]App C Share Outflows'!$A$4:$I$917,9,FALSE)</f>
        <v>0</v>
      </c>
      <c r="AH875" s="2"/>
      <c r="AI875" s="2">
        <f>VLOOKUP($A875,'[2]App C Share Inflows'!$A$4:$I$917,5,FALSE)</f>
        <v>-2697</v>
      </c>
      <c r="AJ875" s="2">
        <f>VLOOKUP($A875,'[2]App C Share Inflows'!$A$4:$I$917,6,FALSE)</f>
        <v>-2421</v>
      </c>
      <c r="AK875" s="2">
        <f>VLOOKUP($A875,'[2]App C Share Inflows'!$A$4:$I$917,7,FALSE)</f>
        <v>-2001</v>
      </c>
      <c r="AL875" s="2">
        <f>VLOOKUP($A875,'[2]App C Share Inflows'!$A$4:$I$917,8,FALSE)</f>
        <v>-1461</v>
      </c>
      <c r="AM875" s="2">
        <f>VLOOKUP($A875,'[2]App C Share Inflows'!$A$4:$I$917,6,FALSE)</f>
        <v>-2421</v>
      </c>
    </row>
    <row r="876" spans="1:39">
      <c r="A876" s="351">
        <v>99501</v>
      </c>
      <c r="B876" s="344" t="s">
        <v>1574</v>
      </c>
      <c r="C876" s="235" t="e">
        <f>VLOOKUP(A876,#REF!,10,FALSE)</f>
        <v>#REF!</v>
      </c>
      <c r="E876" s="2">
        <f>VLOOKUP($A876,'[2]App C Total'!$A$4:$I$917,5,FALSE)</f>
        <v>815227</v>
      </c>
      <c r="F876" s="2">
        <f>VLOOKUP($A876,'[2]App C Total'!$A$4:$I$917,6,FALSE)</f>
        <v>259403</v>
      </c>
      <c r="G876" s="2">
        <f>VLOOKUP($A876,'[2]App C Total'!$A$4:$I$917,7,FALSE)</f>
        <v>452383</v>
      </c>
      <c r="H876" s="2">
        <f>VLOOKUP($A876,'[2]App C Total'!$A$4:$I$917,8,FALSE)</f>
        <v>134746</v>
      </c>
      <c r="I876" s="2">
        <f>VLOOKUP($A876,'[2]App C Total'!$A$4:$I$917,9,FALSE)</f>
        <v>0</v>
      </c>
      <c r="J876" s="2"/>
      <c r="K876" s="2">
        <f>VLOOKUP($A876,'[2]App C Exp'!$A$4:$I$917,5,FALSE)</f>
        <v>246852</v>
      </c>
      <c r="L876" s="2">
        <f>VLOOKUP($A876,'[2]App C Exp'!$A$4:$I$917,6,FALSE)</f>
        <v>232208</v>
      </c>
      <c r="M876" s="2">
        <f>VLOOKUP($A876,'[2]App C Exp'!$A$4:$I$917,7,FALSE)</f>
        <v>208125</v>
      </c>
      <c r="N876" s="2">
        <f>VLOOKUP($A876,'[2]App C Exp'!$A$4:$I$917,8,FALSE)</f>
        <v>83331</v>
      </c>
      <c r="O876" s="2">
        <f>VLOOKUP($A876,'[2]App C Exp'!$A$4:$I$917,9,FALSE)</f>
        <v>0</v>
      </c>
      <c r="P876" s="2"/>
      <c r="Q876" s="2">
        <f>VLOOKUP($A876,'[2]App C Inv'!$A$4:$I$917,5,FALSE)</f>
        <v>262068</v>
      </c>
      <c r="R876" s="2">
        <f>VLOOKUP($A876,'[2]App C Inv'!$A$4:$I$917,6,FALSE)</f>
        <v>-225427</v>
      </c>
      <c r="S876" s="2">
        <f>VLOOKUP($A876,'[2]App C Inv'!$A$4:$I$917,7,FALSE)</f>
        <v>31771</v>
      </c>
      <c r="T876" s="2">
        <f>VLOOKUP($A876,'[2]App C Inv'!$A$4:$I$917,8,FALSE)</f>
        <v>41350</v>
      </c>
      <c r="U876" s="2">
        <f>VLOOKUP($A876,'[2]App C Inv'!$A$4:$I$917,9,FALSE)</f>
        <v>0</v>
      </c>
      <c r="V876" s="2"/>
      <c r="W876" s="2">
        <f>VLOOKUP($A876,'[2]App C Assum'!$A$4:$I$917,5,FALSE)</f>
        <v>295223</v>
      </c>
      <c r="X876" s="2">
        <f>VLOOKUP($A876,'[2]App C Assum'!$A$4:$I$917,6,FALSE)</f>
        <v>241857</v>
      </c>
      <c r="Y876" s="2">
        <f>VLOOKUP($A876,'[2]App C Assum'!$A$4:$I$917,7,FALSE)</f>
        <v>196347</v>
      </c>
      <c r="Z876" s="2">
        <f>VLOOKUP($A876,'[2]App C Assum'!$A$4:$I$917,8,FALSE)</f>
        <v>0</v>
      </c>
      <c r="AA876" s="2">
        <f>VLOOKUP($A876,'[2]App C Assum'!$A$4:$I$917,9,FALSE)</f>
        <v>0</v>
      </c>
      <c r="AB876" s="2"/>
      <c r="AC876" s="2">
        <f>VLOOKUP($A876,'[2]App C Share Outflows'!$A$4:$I$917,5,FALSE)</f>
        <v>16460</v>
      </c>
      <c r="AD876" s="2">
        <f>VLOOKUP($A876,'[2]App C Share Outflows'!$A$4:$I$917,6,FALSE)</f>
        <v>16142</v>
      </c>
      <c r="AE876" s="2">
        <f>VLOOKUP($A876,'[2]App C Share Outflows'!$A$4:$I$917,7,FALSE)</f>
        <v>16140</v>
      </c>
      <c r="AF876" s="2">
        <f>VLOOKUP($A876,'[2]App C Share Outflows'!$A$4:$I$917,8,FALSE)</f>
        <v>10065</v>
      </c>
      <c r="AG876" s="2">
        <f>VLOOKUP($A876,'[2]App C Share Outflows'!$A$4:$I$917,9,FALSE)</f>
        <v>0</v>
      </c>
      <c r="AH876" s="2"/>
      <c r="AI876" s="2">
        <f>VLOOKUP($A876,'[2]App C Share Inflows'!$A$4:$I$917,5,FALSE)</f>
        <v>-5376</v>
      </c>
      <c r="AJ876" s="2">
        <f>VLOOKUP($A876,'[2]App C Share Inflows'!$A$4:$I$917,6,FALSE)</f>
        <v>-5377</v>
      </c>
      <c r="AK876" s="2">
        <f>VLOOKUP($A876,'[2]App C Share Inflows'!$A$4:$I$917,7,FALSE)</f>
        <v>0</v>
      </c>
      <c r="AL876" s="2">
        <f>VLOOKUP($A876,'[2]App C Share Inflows'!$A$4:$I$917,8,FALSE)</f>
        <v>0</v>
      </c>
      <c r="AM876" s="2">
        <f>VLOOKUP($A876,'[2]App C Share Inflows'!$A$4:$I$917,6,FALSE)</f>
        <v>-5377</v>
      </c>
    </row>
    <row r="877" spans="1:39">
      <c r="A877" s="351">
        <v>99502</v>
      </c>
      <c r="B877" s="344" t="s">
        <v>1575</v>
      </c>
      <c r="C877" s="235" t="e">
        <f>VLOOKUP(A877,#REF!,10,FALSE)</f>
        <v>#REF!</v>
      </c>
      <c r="E877" s="2">
        <f>VLOOKUP($A877,'[2]App C Total'!$A$4:$I$917,5,FALSE)</f>
        <v>72571</v>
      </c>
      <c r="F877" s="2">
        <f>VLOOKUP($A877,'[2]App C Total'!$A$4:$I$917,6,FALSE)</f>
        <v>21331</v>
      </c>
      <c r="G877" s="2">
        <f>VLOOKUP($A877,'[2]App C Total'!$A$4:$I$917,7,FALSE)</f>
        <v>37318</v>
      </c>
      <c r="H877" s="2">
        <f>VLOOKUP($A877,'[2]App C Total'!$A$4:$I$917,8,FALSE)</f>
        <v>7699</v>
      </c>
      <c r="I877" s="2">
        <f>VLOOKUP($A877,'[2]App C Total'!$A$4:$I$917,9,FALSE)</f>
        <v>0</v>
      </c>
      <c r="J877" s="2"/>
      <c r="K877" s="2">
        <f>VLOOKUP($A877,'[2]App C Exp'!$A$4:$I$917,5,FALSE)</f>
        <v>21662</v>
      </c>
      <c r="L877" s="2">
        <f>VLOOKUP($A877,'[2]App C Exp'!$A$4:$I$917,6,FALSE)</f>
        <v>20377</v>
      </c>
      <c r="M877" s="2">
        <f>VLOOKUP($A877,'[2]App C Exp'!$A$4:$I$917,7,FALSE)</f>
        <v>18264</v>
      </c>
      <c r="N877" s="2">
        <f>VLOOKUP($A877,'[2]App C Exp'!$A$4:$I$917,8,FALSE)</f>
        <v>7313</v>
      </c>
      <c r="O877" s="2">
        <f>VLOOKUP($A877,'[2]App C Exp'!$A$4:$I$917,9,FALSE)</f>
        <v>0</v>
      </c>
      <c r="P877" s="2"/>
      <c r="Q877" s="2">
        <f>VLOOKUP($A877,'[2]App C Inv'!$A$4:$I$917,5,FALSE)</f>
        <v>22997</v>
      </c>
      <c r="R877" s="2">
        <f>VLOOKUP($A877,'[2]App C Inv'!$A$4:$I$917,6,FALSE)</f>
        <v>-19782</v>
      </c>
      <c r="S877" s="2">
        <f>VLOOKUP($A877,'[2]App C Inv'!$A$4:$I$917,7,FALSE)</f>
        <v>2788</v>
      </c>
      <c r="T877" s="2">
        <f>VLOOKUP($A877,'[2]App C Inv'!$A$4:$I$917,8,FALSE)</f>
        <v>3629</v>
      </c>
      <c r="U877" s="2">
        <f>VLOOKUP($A877,'[2]App C Inv'!$A$4:$I$917,9,FALSE)</f>
        <v>0</v>
      </c>
      <c r="V877" s="2"/>
      <c r="W877" s="2">
        <f>VLOOKUP($A877,'[2]App C Assum'!$A$4:$I$917,5,FALSE)</f>
        <v>25907</v>
      </c>
      <c r="X877" s="2">
        <f>VLOOKUP($A877,'[2]App C Assum'!$A$4:$I$917,6,FALSE)</f>
        <v>21224</v>
      </c>
      <c r="Y877" s="2">
        <f>VLOOKUP($A877,'[2]App C Assum'!$A$4:$I$917,7,FALSE)</f>
        <v>17230</v>
      </c>
      <c r="Z877" s="2">
        <f>VLOOKUP($A877,'[2]App C Assum'!$A$4:$I$917,8,FALSE)</f>
        <v>0</v>
      </c>
      <c r="AA877" s="2">
        <f>VLOOKUP($A877,'[2]App C Assum'!$A$4:$I$917,9,FALSE)</f>
        <v>0</v>
      </c>
      <c r="AB877" s="2"/>
      <c r="AC877" s="2">
        <f>VLOOKUP($A877,'[2]App C Share Outflows'!$A$4:$I$917,5,FALSE)</f>
        <v>5249</v>
      </c>
      <c r="AD877" s="2">
        <f>VLOOKUP($A877,'[2]App C Share Outflows'!$A$4:$I$917,6,FALSE)</f>
        <v>2756</v>
      </c>
      <c r="AE877" s="2">
        <f>VLOOKUP($A877,'[2]App C Share Outflows'!$A$4:$I$917,7,FALSE)</f>
        <v>2280</v>
      </c>
      <c r="AF877" s="2">
        <f>VLOOKUP($A877,'[2]App C Share Outflows'!$A$4:$I$917,8,FALSE)</f>
        <v>0</v>
      </c>
      <c r="AG877" s="2">
        <f>VLOOKUP($A877,'[2]App C Share Outflows'!$A$4:$I$917,9,FALSE)</f>
        <v>0</v>
      </c>
      <c r="AH877" s="2"/>
      <c r="AI877" s="2">
        <f>VLOOKUP($A877,'[2]App C Share Inflows'!$A$4:$I$917,5,FALSE)</f>
        <v>-3244</v>
      </c>
      <c r="AJ877" s="2">
        <f>VLOOKUP($A877,'[2]App C Share Inflows'!$A$4:$I$917,6,FALSE)</f>
        <v>-3244</v>
      </c>
      <c r="AK877" s="2">
        <f>VLOOKUP($A877,'[2]App C Share Inflows'!$A$4:$I$917,7,FALSE)</f>
        <v>-3244</v>
      </c>
      <c r="AL877" s="2">
        <f>VLOOKUP($A877,'[2]App C Share Inflows'!$A$4:$I$917,8,FALSE)</f>
        <v>-3243</v>
      </c>
      <c r="AM877" s="2">
        <f>VLOOKUP($A877,'[2]App C Share Inflows'!$A$4:$I$917,6,FALSE)</f>
        <v>-3244</v>
      </c>
    </row>
    <row r="878" spans="1:39">
      <c r="A878" s="351">
        <v>99508</v>
      </c>
      <c r="B878" s="344" t="s">
        <v>1576</v>
      </c>
      <c r="C878" s="235" t="e">
        <f>VLOOKUP(A878,#REF!,10,FALSE)</f>
        <v>#REF!</v>
      </c>
      <c r="E878" s="2">
        <f>VLOOKUP($A878,'[2]App C Total'!$A$4:$I$917,5,FALSE)</f>
        <v>9916</v>
      </c>
      <c r="F878" s="2">
        <f>VLOOKUP($A878,'[2]App C Total'!$A$4:$I$917,6,FALSE)</f>
        <v>3042</v>
      </c>
      <c r="G878" s="2">
        <f>VLOOKUP($A878,'[2]App C Total'!$A$4:$I$917,7,FALSE)</f>
        <v>5425</v>
      </c>
      <c r="H878" s="2">
        <f>VLOOKUP($A878,'[2]App C Total'!$A$4:$I$917,8,FALSE)</f>
        <v>1517</v>
      </c>
      <c r="I878" s="2">
        <f>VLOOKUP($A878,'[2]App C Total'!$A$4:$I$917,9,FALSE)</f>
        <v>0</v>
      </c>
      <c r="J878" s="2"/>
      <c r="K878" s="2">
        <f>VLOOKUP($A878,'[2]App C Exp'!$A$4:$I$917,5,FALSE)</f>
        <v>3146</v>
      </c>
      <c r="L878" s="2">
        <f>VLOOKUP($A878,'[2]App C Exp'!$A$4:$I$917,6,FALSE)</f>
        <v>2959</v>
      </c>
      <c r="M878" s="2">
        <f>VLOOKUP($A878,'[2]App C Exp'!$A$4:$I$917,7,FALSE)</f>
        <v>2652</v>
      </c>
      <c r="N878" s="2">
        <f>VLOOKUP($A878,'[2]App C Exp'!$A$4:$I$917,8,FALSE)</f>
        <v>1062</v>
      </c>
      <c r="O878" s="2">
        <f>VLOOKUP($A878,'[2]App C Exp'!$A$4:$I$917,9,FALSE)</f>
        <v>0</v>
      </c>
      <c r="P878" s="2"/>
      <c r="Q878" s="2">
        <f>VLOOKUP($A878,'[2]App C Inv'!$A$4:$I$917,5,FALSE)</f>
        <v>3340</v>
      </c>
      <c r="R878" s="2">
        <f>VLOOKUP($A878,'[2]App C Inv'!$A$4:$I$917,6,FALSE)</f>
        <v>-2873</v>
      </c>
      <c r="S878" s="2">
        <f>VLOOKUP($A878,'[2]App C Inv'!$A$4:$I$917,7,FALSE)</f>
        <v>405</v>
      </c>
      <c r="T878" s="2">
        <f>VLOOKUP($A878,'[2]App C Inv'!$A$4:$I$917,8,FALSE)</f>
        <v>527</v>
      </c>
      <c r="U878" s="2">
        <f>VLOOKUP($A878,'[2]App C Inv'!$A$4:$I$917,9,FALSE)</f>
        <v>0</v>
      </c>
      <c r="V878" s="2"/>
      <c r="W878" s="2">
        <f>VLOOKUP($A878,'[2]App C Assum'!$A$4:$I$917,5,FALSE)</f>
        <v>3762</v>
      </c>
      <c r="X878" s="2">
        <f>VLOOKUP($A878,'[2]App C Assum'!$A$4:$I$917,6,FALSE)</f>
        <v>3082</v>
      </c>
      <c r="Y878" s="2">
        <f>VLOOKUP($A878,'[2]App C Assum'!$A$4:$I$917,7,FALSE)</f>
        <v>2502</v>
      </c>
      <c r="Z878" s="2">
        <f>VLOOKUP($A878,'[2]App C Assum'!$A$4:$I$917,8,FALSE)</f>
        <v>0</v>
      </c>
      <c r="AA878" s="2">
        <f>VLOOKUP($A878,'[2]App C Assum'!$A$4:$I$917,9,FALSE)</f>
        <v>0</v>
      </c>
      <c r="AB878" s="2"/>
      <c r="AC878" s="2">
        <f>VLOOKUP($A878,'[2]App C Share Outflows'!$A$4:$I$917,5,FALSE)</f>
        <v>9</v>
      </c>
      <c r="AD878" s="2">
        <f>VLOOKUP($A878,'[2]App C Share Outflows'!$A$4:$I$917,6,FALSE)</f>
        <v>10</v>
      </c>
      <c r="AE878" s="2">
        <f>VLOOKUP($A878,'[2]App C Share Outflows'!$A$4:$I$917,7,FALSE)</f>
        <v>0</v>
      </c>
      <c r="AF878" s="2">
        <f>VLOOKUP($A878,'[2]App C Share Outflows'!$A$4:$I$917,8,FALSE)</f>
        <v>0</v>
      </c>
      <c r="AG878" s="2">
        <f>VLOOKUP($A878,'[2]App C Share Outflows'!$A$4:$I$917,9,FALSE)</f>
        <v>0</v>
      </c>
      <c r="AH878" s="2"/>
      <c r="AI878" s="2">
        <f>VLOOKUP($A878,'[2]App C Share Inflows'!$A$4:$I$917,5,FALSE)</f>
        <v>-341</v>
      </c>
      <c r="AJ878" s="2">
        <f>VLOOKUP($A878,'[2]App C Share Inflows'!$A$4:$I$917,6,FALSE)</f>
        <v>-136</v>
      </c>
      <c r="AK878" s="2">
        <f>VLOOKUP($A878,'[2]App C Share Inflows'!$A$4:$I$917,7,FALSE)</f>
        <v>-134</v>
      </c>
      <c r="AL878" s="2">
        <f>VLOOKUP($A878,'[2]App C Share Inflows'!$A$4:$I$917,8,FALSE)</f>
        <v>-72</v>
      </c>
      <c r="AM878" s="2">
        <f>VLOOKUP($A878,'[2]App C Share Inflows'!$A$4:$I$917,6,FALSE)</f>
        <v>-136</v>
      </c>
    </row>
    <row r="879" spans="1:39">
      <c r="A879" s="351">
        <v>99509</v>
      </c>
      <c r="B879" s="344" t="s">
        <v>3708</v>
      </c>
      <c r="C879" s="235" t="e">
        <f>VLOOKUP(A879,#REF!,10,FALSE)</f>
        <v>#REF!</v>
      </c>
      <c r="E879" s="2">
        <f>VLOOKUP($A879,'[2]App C Total'!$A$4:$I$917,5,FALSE)</f>
        <v>11034</v>
      </c>
      <c r="F879" s="2">
        <f>VLOOKUP($A879,'[2]App C Total'!$A$4:$I$917,6,FALSE)</f>
        <v>2781</v>
      </c>
      <c r="G879" s="2">
        <f>VLOOKUP($A879,'[2]App C Total'!$A$4:$I$917,7,FALSE)</f>
        <v>6120</v>
      </c>
      <c r="H879" s="2">
        <f>VLOOKUP($A879,'[2]App C Total'!$A$4:$I$917,8,FALSE)</f>
        <v>1727</v>
      </c>
      <c r="I879" s="2">
        <f>VLOOKUP($A879,'[2]App C Total'!$A$4:$I$917,9,FALSE)</f>
        <v>0</v>
      </c>
      <c r="J879" s="2"/>
      <c r="K879" s="2">
        <f>VLOOKUP($A879,'[2]App C Exp'!$A$4:$I$917,5,FALSE)</f>
        <v>3775</v>
      </c>
      <c r="L879" s="2">
        <f>VLOOKUP($A879,'[2]App C Exp'!$A$4:$I$917,6,FALSE)</f>
        <v>3551</v>
      </c>
      <c r="M879" s="2">
        <f>VLOOKUP($A879,'[2]App C Exp'!$A$4:$I$917,7,FALSE)</f>
        <v>3183</v>
      </c>
      <c r="N879" s="2">
        <f>VLOOKUP($A879,'[2]App C Exp'!$A$4:$I$917,8,FALSE)</f>
        <v>1274</v>
      </c>
      <c r="O879" s="2">
        <f>VLOOKUP($A879,'[2]App C Exp'!$A$4:$I$917,9,FALSE)</f>
        <v>0</v>
      </c>
      <c r="P879" s="2"/>
      <c r="Q879" s="2">
        <f>VLOOKUP($A879,'[2]App C Inv'!$A$4:$I$917,5,FALSE)</f>
        <v>4008</v>
      </c>
      <c r="R879" s="2">
        <f>VLOOKUP($A879,'[2]App C Inv'!$A$4:$I$917,6,FALSE)</f>
        <v>-3447</v>
      </c>
      <c r="S879" s="2">
        <f>VLOOKUP($A879,'[2]App C Inv'!$A$4:$I$917,7,FALSE)</f>
        <v>486</v>
      </c>
      <c r="T879" s="2">
        <f>VLOOKUP($A879,'[2]App C Inv'!$A$4:$I$917,8,FALSE)</f>
        <v>632</v>
      </c>
      <c r="U879" s="2">
        <f>VLOOKUP($A879,'[2]App C Inv'!$A$4:$I$917,9,FALSE)</f>
        <v>0</v>
      </c>
      <c r="V879" s="2"/>
      <c r="W879" s="2">
        <f>VLOOKUP($A879,'[2]App C Assum'!$A$4:$I$917,5,FALSE)</f>
        <v>4515</v>
      </c>
      <c r="X879" s="2">
        <f>VLOOKUP($A879,'[2]App C Assum'!$A$4:$I$917,6,FALSE)</f>
        <v>3699</v>
      </c>
      <c r="Y879" s="2">
        <f>VLOOKUP($A879,'[2]App C Assum'!$A$4:$I$917,7,FALSE)</f>
        <v>3003</v>
      </c>
      <c r="Z879" s="2">
        <f>VLOOKUP($A879,'[2]App C Assum'!$A$4:$I$917,8,FALSE)</f>
        <v>0</v>
      </c>
      <c r="AA879" s="2">
        <f>VLOOKUP($A879,'[2]App C Assum'!$A$4:$I$917,9,FALSE)</f>
        <v>0</v>
      </c>
      <c r="AB879" s="2"/>
      <c r="AC879" s="2">
        <f>VLOOKUP($A879,'[2]App C Share Outflows'!$A$4:$I$917,5,FALSE)</f>
        <v>0</v>
      </c>
      <c r="AD879" s="2">
        <f>VLOOKUP($A879,'[2]App C Share Outflows'!$A$4:$I$917,6,FALSE)</f>
        <v>0</v>
      </c>
      <c r="AE879" s="2">
        <f>VLOOKUP($A879,'[2]App C Share Outflows'!$A$4:$I$917,7,FALSE)</f>
        <v>0</v>
      </c>
      <c r="AF879" s="2">
        <f>VLOOKUP($A879,'[2]App C Share Outflows'!$A$4:$I$917,8,FALSE)</f>
        <v>0</v>
      </c>
      <c r="AG879" s="2">
        <f>VLOOKUP($A879,'[2]App C Share Outflows'!$A$4:$I$917,9,FALSE)</f>
        <v>0</v>
      </c>
      <c r="AH879" s="2"/>
      <c r="AI879" s="2">
        <f>VLOOKUP($A879,'[2]App C Share Inflows'!$A$4:$I$917,5,FALSE)</f>
        <v>-1264</v>
      </c>
      <c r="AJ879" s="2">
        <f>VLOOKUP($A879,'[2]App C Share Inflows'!$A$4:$I$917,6,FALSE)</f>
        <v>-1022</v>
      </c>
      <c r="AK879" s="2">
        <f>VLOOKUP($A879,'[2]App C Share Inflows'!$A$4:$I$917,7,FALSE)</f>
        <v>-552</v>
      </c>
      <c r="AL879" s="2">
        <f>VLOOKUP($A879,'[2]App C Share Inflows'!$A$4:$I$917,8,FALSE)</f>
        <v>-179</v>
      </c>
      <c r="AM879" s="2">
        <f>VLOOKUP($A879,'[2]App C Share Inflows'!$A$4:$I$917,6,FALSE)</f>
        <v>-1022</v>
      </c>
    </row>
    <row r="880" spans="1:39">
      <c r="A880" s="351">
        <v>99511</v>
      </c>
      <c r="B880" s="344" t="s">
        <v>1578</v>
      </c>
      <c r="C880" s="235" t="e">
        <f>VLOOKUP(A880,#REF!,10,FALSE)</f>
        <v>#REF!</v>
      </c>
      <c r="E880" s="2">
        <f>VLOOKUP($A880,'[2]App C Total'!$A$4:$I$917,5,FALSE)</f>
        <v>591884</v>
      </c>
      <c r="F880" s="2">
        <f>VLOOKUP($A880,'[2]App C Total'!$A$4:$I$917,6,FALSE)</f>
        <v>159371</v>
      </c>
      <c r="G880" s="2">
        <f>VLOOKUP($A880,'[2]App C Total'!$A$4:$I$917,7,FALSE)</f>
        <v>316887</v>
      </c>
      <c r="H880" s="2">
        <f>VLOOKUP($A880,'[2]App C Total'!$A$4:$I$917,8,FALSE)</f>
        <v>86045</v>
      </c>
      <c r="I880" s="2">
        <f>VLOOKUP($A880,'[2]App C Total'!$A$4:$I$917,9,FALSE)</f>
        <v>0</v>
      </c>
      <c r="J880" s="2"/>
      <c r="K880" s="2">
        <f>VLOOKUP($A880,'[2]App C Exp'!$A$4:$I$917,5,FALSE)</f>
        <v>199153</v>
      </c>
      <c r="L880" s="2">
        <f>VLOOKUP($A880,'[2]App C Exp'!$A$4:$I$917,6,FALSE)</f>
        <v>187339</v>
      </c>
      <c r="M880" s="2">
        <f>VLOOKUP($A880,'[2]App C Exp'!$A$4:$I$917,7,FALSE)</f>
        <v>167910</v>
      </c>
      <c r="N880" s="2">
        <f>VLOOKUP($A880,'[2]App C Exp'!$A$4:$I$917,8,FALSE)</f>
        <v>67229</v>
      </c>
      <c r="O880" s="2">
        <f>VLOOKUP($A880,'[2]App C Exp'!$A$4:$I$917,9,FALSE)</f>
        <v>0</v>
      </c>
      <c r="P880" s="2"/>
      <c r="Q880" s="2">
        <f>VLOOKUP($A880,'[2]App C Inv'!$A$4:$I$917,5,FALSE)</f>
        <v>211429</v>
      </c>
      <c r="R880" s="2">
        <f>VLOOKUP($A880,'[2]App C Inv'!$A$4:$I$917,6,FALSE)</f>
        <v>-181869</v>
      </c>
      <c r="S880" s="2">
        <f>VLOOKUP($A880,'[2]App C Inv'!$A$4:$I$917,7,FALSE)</f>
        <v>25632</v>
      </c>
      <c r="T880" s="2">
        <f>VLOOKUP($A880,'[2]App C Inv'!$A$4:$I$917,8,FALSE)</f>
        <v>33360</v>
      </c>
      <c r="U880" s="2">
        <f>VLOOKUP($A880,'[2]App C Inv'!$A$4:$I$917,9,FALSE)</f>
        <v>0</v>
      </c>
      <c r="V880" s="2"/>
      <c r="W880" s="2">
        <f>VLOOKUP($A880,'[2]App C Assum'!$A$4:$I$917,5,FALSE)</f>
        <v>238178</v>
      </c>
      <c r="X880" s="2">
        <f>VLOOKUP($A880,'[2]App C Assum'!$A$4:$I$917,6,FALSE)</f>
        <v>195124</v>
      </c>
      <c r="Y880" s="2">
        <f>VLOOKUP($A880,'[2]App C Assum'!$A$4:$I$917,7,FALSE)</f>
        <v>158407</v>
      </c>
      <c r="Z880" s="2">
        <f>VLOOKUP($A880,'[2]App C Assum'!$A$4:$I$917,8,FALSE)</f>
        <v>0</v>
      </c>
      <c r="AA880" s="2">
        <f>VLOOKUP($A880,'[2]App C Assum'!$A$4:$I$917,9,FALSE)</f>
        <v>0</v>
      </c>
      <c r="AB880" s="2"/>
      <c r="AC880" s="2">
        <f>VLOOKUP($A880,'[2]App C Share Outflows'!$A$4:$I$917,5,FALSE)</f>
        <v>0</v>
      </c>
      <c r="AD880" s="2">
        <f>VLOOKUP($A880,'[2]App C Share Outflows'!$A$4:$I$917,6,FALSE)</f>
        <v>0</v>
      </c>
      <c r="AE880" s="2">
        <f>VLOOKUP($A880,'[2]App C Share Outflows'!$A$4:$I$917,7,FALSE)</f>
        <v>0</v>
      </c>
      <c r="AF880" s="2">
        <f>VLOOKUP($A880,'[2]App C Share Outflows'!$A$4:$I$917,8,FALSE)</f>
        <v>0</v>
      </c>
      <c r="AG880" s="2">
        <f>VLOOKUP($A880,'[2]App C Share Outflows'!$A$4:$I$917,9,FALSE)</f>
        <v>0</v>
      </c>
      <c r="AH880" s="2"/>
      <c r="AI880" s="2">
        <f>VLOOKUP($A880,'[2]App C Share Inflows'!$A$4:$I$917,5,FALSE)</f>
        <v>-56876</v>
      </c>
      <c r="AJ880" s="2">
        <f>VLOOKUP($A880,'[2]App C Share Inflows'!$A$4:$I$917,6,FALSE)</f>
        <v>-41223</v>
      </c>
      <c r="AK880" s="2">
        <f>VLOOKUP($A880,'[2]App C Share Inflows'!$A$4:$I$917,7,FALSE)</f>
        <v>-35062</v>
      </c>
      <c r="AL880" s="2">
        <f>VLOOKUP($A880,'[2]App C Share Inflows'!$A$4:$I$917,8,FALSE)</f>
        <v>-14544</v>
      </c>
      <c r="AM880" s="2">
        <f>VLOOKUP($A880,'[2]App C Share Inflows'!$A$4:$I$917,6,FALSE)</f>
        <v>-41223</v>
      </c>
    </row>
    <row r="881" spans="1:39">
      <c r="A881" s="351">
        <v>99521</v>
      </c>
      <c r="B881" s="344" t="s">
        <v>1579</v>
      </c>
      <c r="C881" s="235" t="e">
        <f>VLOOKUP(A881,#REF!,10,FALSE)</f>
        <v>#REF!</v>
      </c>
      <c r="E881" s="2">
        <f>VLOOKUP($A881,'[2]App C Total'!$A$4:$I$917,5,FALSE)</f>
        <v>227351</v>
      </c>
      <c r="F881" s="2">
        <f>VLOOKUP($A881,'[2]App C Total'!$A$4:$I$917,6,FALSE)</f>
        <v>68510</v>
      </c>
      <c r="G881" s="2">
        <f>VLOOKUP($A881,'[2]App C Total'!$A$4:$I$917,7,FALSE)</f>
        <v>123062</v>
      </c>
      <c r="H881" s="2">
        <f>VLOOKUP($A881,'[2]App C Total'!$A$4:$I$917,8,FALSE)</f>
        <v>26622</v>
      </c>
      <c r="I881" s="2">
        <f>VLOOKUP($A881,'[2]App C Total'!$A$4:$I$917,9,FALSE)</f>
        <v>0</v>
      </c>
      <c r="J881" s="2"/>
      <c r="K881" s="2">
        <f>VLOOKUP($A881,'[2]App C Exp'!$A$4:$I$917,5,FALSE)</f>
        <v>72207</v>
      </c>
      <c r="L881" s="2">
        <f>VLOOKUP($A881,'[2]App C Exp'!$A$4:$I$917,6,FALSE)</f>
        <v>67923</v>
      </c>
      <c r="M881" s="2">
        <f>VLOOKUP($A881,'[2]App C Exp'!$A$4:$I$917,7,FALSE)</f>
        <v>60879</v>
      </c>
      <c r="N881" s="2">
        <f>VLOOKUP($A881,'[2]App C Exp'!$A$4:$I$917,8,FALSE)</f>
        <v>24375</v>
      </c>
      <c r="O881" s="2">
        <f>VLOOKUP($A881,'[2]App C Exp'!$A$4:$I$917,9,FALSE)</f>
        <v>0</v>
      </c>
      <c r="P881" s="2"/>
      <c r="Q881" s="2">
        <f>VLOOKUP($A881,'[2]App C Inv'!$A$4:$I$917,5,FALSE)</f>
        <v>76658</v>
      </c>
      <c r="R881" s="2">
        <f>VLOOKUP($A881,'[2]App C Inv'!$A$4:$I$917,6,FALSE)</f>
        <v>-65940</v>
      </c>
      <c r="S881" s="2">
        <f>VLOOKUP($A881,'[2]App C Inv'!$A$4:$I$917,7,FALSE)</f>
        <v>9293</v>
      </c>
      <c r="T881" s="2">
        <f>VLOOKUP($A881,'[2]App C Inv'!$A$4:$I$917,8,FALSE)</f>
        <v>12095</v>
      </c>
      <c r="U881" s="2">
        <f>VLOOKUP($A881,'[2]App C Inv'!$A$4:$I$917,9,FALSE)</f>
        <v>0</v>
      </c>
      <c r="V881" s="2"/>
      <c r="W881" s="2">
        <f>VLOOKUP($A881,'[2]App C Assum'!$A$4:$I$917,5,FALSE)</f>
        <v>86356</v>
      </c>
      <c r="X881" s="2">
        <f>VLOOKUP($A881,'[2]App C Assum'!$A$4:$I$917,6,FALSE)</f>
        <v>70746</v>
      </c>
      <c r="Y881" s="2">
        <f>VLOOKUP($A881,'[2]App C Assum'!$A$4:$I$917,7,FALSE)</f>
        <v>57434</v>
      </c>
      <c r="Z881" s="2">
        <f>VLOOKUP($A881,'[2]App C Assum'!$A$4:$I$917,8,FALSE)</f>
        <v>0</v>
      </c>
      <c r="AA881" s="2">
        <f>VLOOKUP($A881,'[2]App C Assum'!$A$4:$I$917,9,FALSE)</f>
        <v>0</v>
      </c>
      <c r="AB881" s="2"/>
      <c r="AC881" s="2">
        <f>VLOOKUP($A881,'[2]App C Share Outflows'!$A$4:$I$917,5,FALSE)</f>
        <v>5625</v>
      </c>
      <c r="AD881" s="2">
        <f>VLOOKUP($A881,'[2]App C Share Outflows'!$A$4:$I$917,6,FALSE)</f>
        <v>5627</v>
      </c>
      <c r="AE881" s="2">
        <f>VLOOKUP($A881,'[2]App C Share Outflows'!$A$4:$I$917,7,FALSE)</f>
        <v>5302</v>
      </c>
      <c r="AF881" s="2">
        <f>VLOOKUP($A881,'[2]App C Share Outflows'!$A$4:$I$917,8,FALSE)</f>
        <v>0</v>
      </c>
      <c r="AG881" s="2">
        <f>VLOOKUP($A881,'[2]App C Share Outflows'!$A$4:$I$917,9,FALSE)</f>
        <v>0</v>
      </c>
      <c r="AH881" s="2"/>
      <c r="AI881" s="2">
        <f>VLOOKUP($A881,'[2]App C Share Inflows'!$A$4:$I$917,5,FALSE)</f>
        <v>-13495</v>
      </c>
      <c r="AJ881" s="2">
        <f>VLOOKUP($A881,'[2]App C Share Inflows'!$A$4:$I$917,6,FALSE)</f>
        <v>-9846</v>
      </c>
      <c r="AK881" s="2">
        <f>VLOOKUP($A881,'[2]App C Share Inflows'!$A$4:$I$917,7,FALSE)</f>
        <v>-9846</v>
      </c>
      <c r="AL881" s="2">
        <f>VLOOKUP($A881,'[2]App C Share Inflows'!$A$4:$I$917,8,FALSE)</f>
        <v>-9848</v>
      </c>
      <c r="AM881" s="2">
        <f>VLOOKUP($A881,'[2]App C Share Inflows'!$A$4:$I$917,6,FALSE)</f>
        <v>-9846</v>
      </c>
    </row>
    <row r="882" spans="1:39">
      <c r="A882" s="351">
        <v>99527</v>
      </c>
      <c r="B882" s="344" t="s">
        <v>3709</v>
      </c>
      <c r="C882" s="235" t="e">
        <f>VLOOKUP(A882,#REF!,10,FALSE)</f>
        <v>#REF!</v>
      </c>
      <c r="E882" s="2">
        <f>VLOOKUP($A882,'[2]App C Total'!$A$4:$I$917,5,FALSE)</f>
        <v>5828</v>
      </c>
      <c r="F882" s="2">
        <f>VLOOKUP($A882,'[2]App C Total'!$A$4:$I$917,6,FALSE)</f>
        <v>2032</v>
      </c>
      <c r="G882" s="2">
        <f>VLOOKUP($A882,'[2]App C Total'!$A$4:$I$917,7,FALSE)</f>
        <v>3224</v>
      </c>
      <c r="H882" s="2">
        <f>VLOOKUP($A882,'[2]App C Total'!$A$4:$I$917,8,FALSE)</f>
        <v>1007</v>
      </c>
      <c r="I882" s="2">
        <f>VLOOKUP($A882,'[2]App C Total'!$A$4:$I$917,9,FALSE)</f>
        <v>0</v>
      </c>
      <c r="J882" s="2"/>
      <c r="K882" s="2">
        <f>VLOOKUP($A882,'[2]App C Exp'!$A$4:$I$917,5,FALSE)</f>
        <v>1648</v>
      </c>
      <c r="L882" s="2">
        <f>VLOOKUP($A882,'[2]App C Exp'!$A$4:$I$917,6,FALSE)</f>
        <v>1550</v>
      </c>
      <c r="M882" s="2">
        <f>VLOOKUP($A882,'[2]App C Exp'!$A$4:$I$917,7,FALSE)</f>
        <v>1389</v>
      </c>
      <c r="N882" s="2">
        <f>VLOOKUP($A882,'[2]App C Exp'!$A$4:$I$917,8,FALSE)</f>
        <v>556</v>
      </c>
      <c r="O882" s="2">
        <f>VLOOKUP($A882,'[2]App C Exp'!$A$4:$I$917,9,FALSE)</f>
        <v>0</v>
      </c>
      <c r="P882" s="2"/>
      <c r="Q882" s="2">
        <f>VLOOKUP($A882,'[2]App C Inv'!$A$4:$I$917,5,FALSE)</f>
        <v>1749</v>
      </c>
      <c r="R882" s="2">
        <f>VLOOKUP($A882,'[2]App C Inv'!$A$4:$I$917,6,FALSE)</f>
        <v>-1505</v>
      </c>
      <c r="S882" s="2">
        <f>VLOOKUP($A882,'[2]App C Inv'!$A$4:$I$917,7,FALSE)</f>
        <v>212</v>
      </c>
      <c r="T882" s="2">
        <f>VLOOKUP($A882,'[2]App C Inv'!$A$4:$I$917,8,FALSE)</f>
        <v>276</v>
      </c>
      <c r="U882" s="2">
        <f>VLOOKUP($A882,'[2]App C Inv'!$A$4:$I$917,9,FALSE)</f>
        <v>0</v>
      </c>
      <c r="V882" s="2"/>
      <c r="W882" s="2">
        <f>VLOOKUP($A882,'[2]App C Assum'!$A$4:$I$917,5,FALSE)</f>
        <v>1971</v>
      </c>
      <c r="X882" s="2">
        <f>VLOOKUP($A882,'[2]App C Assum'!$A$4:$I$917,6,FALSE)</f>
        <v>1615</v>
      </c>
      <c r="Y882" s="2">
        <f>VLOOKUP($A882,'[2]App C Assum'!$A$4:$I$917,7,FALSE)</f>
        <v>1311</v>
      </c>
      <c r="Z882" s="2">
        <f>VLOOKUP($A882,'[2]App C Assum'!$A$4:$I$917,8,FALSE)</f>
        <v>0</v>
      </c>
      <c r="AA882" s="2">
        <f>VLOOKUP($A882,'[2]App C Assum'!$A$4:$I$917,9,FALSE)</f>
        <v>0</v>
      </c>
      <c r="AB882" s="2"/>
      <c r="AC882" s="2">
        <f>VLOOKUP($A882,'[2]App C Share Outflows'!$A$4:$I$917,5,FALSE)</f>
        <v>460</v>
      </c>
      <c r="AD882" s="2">
        <f>VLOOKUP($A882,'[2]App C Share Outflows'!$A$4:$I$917,6,FALSE)</f>
        <v>372</v>
      </c>
      <c r="AE882" s="2">
        <f>VLOOKUP($A882,'[2]App C Share Outflows'!$A$4:$I$917,7,FALSE)</f>
        <v>312</v>
      </c>
      <c r="AF882" s="2">
        <f>VLOOKUP($A882,'[2]App C Share Outflows'!$A$4:$I$917,8,FALSE)</f>
        <v>175</v>
      </c>
      <c r="AG882" s="2">
        <f>VLOOKUP($A882,'[2]App C Share Outflows'!$A$4:$I$917,9,FALSE)</f>
        <v>0</v>
      </c>
      <c r="AH882" s="2"/>
      <c r="AI882" s="2">
        <f>VLOOKUP($A882,'[2]App C Share Inflows'!$A$4:$I$917,5,FALSE)</f>
        <v>0</v>
      </c>
      <c r="AJ882" s="2">
        <f>VLOOKUP($A882,'[2]App C Share Inflows'!$A$4:$I$917,6,FALSE)</f>
        <v>0</v>
      </c>
      <c r="AK882" s="2">
        <f>VLOOKUP($A882,'[2]App C Share Inflows'!$A$4:$I$917,7,FALSE)</f>
        <v>0</v>
      </c>
      <c r="AL882" s="2">
        <f>VLOOKUP($A882,'[2]App C Share Inflows'!$A$4:$I$917,8,FALSE)</f>
        <v>0</v>
      </c>
      <c r="AM882" s="2">
        <f>VLOOKUP($A882,'[2]App C Share Inflows'!$A$4:$I$917,6,FALSE)</f>
        <v>0</v>
      </c>
    </row>
    <row r="883" spans="1:39">
      <c r="A883" s="351">
        <v>99531</v>
      </c>
      <c r="B883" s="344" t="s">
        <v>1581</v>
      </c>
      <c r="C883" s="235" t="e">
        <f>VLOOKUP(A883,#REF!,10,FALSE)</f>
        <v>#REF!</v>
      </c>
      <c r="E883" s="2">
        <f>VLOOKUP($A883,'[2]App C Total'!$A$4:$I$917,5,FALSE)</f>
        <v>66713</v>
      </c>
      <c r="F883" s="2">
        <f>VLOOKUP($A883,'[2]App C Total'!$A$4:$I$917,6,FALSE)</f>
        <v>32125</v>
      </c>
      <c r="G883" s="2">
        <f>VLOOKUP($A883,'[2]App C Total'!$A$4:$I$917,7,FALSE)</f>
        <v>35069</v>
      </c>
      <c r="H883" s="2">
        <f>VLOOKUP($A883,'[2]App C Total'!$A$4:$I$917,8,FALSE)</f>
        <v>12967</v>
      </c>
      <c r="I883" s="2">
        <f>VLOOKUP($A883,'[2]App C Total'!$A$4:$I$917,9,FALSE)</f>
        <v>0</v>
      </c>
      <c r="J883" s="2"/>
      <c r="K883" s="2">
        <f>VLOOKUP($A883,'[2]App C Exp'!$A$4:$I$917,5,FALSE)</f>
        <v>12928</v>
      </c>
      <c r="L883" s="2">
        <f>VLOOKUP($A883,'[2]App C Exp'!$A$4:$I$917,6,FALSE)</f>
        <v>12161</v>
      </c>
      <c r="M883" s="2">
        <f>VLOOKUP($A883,'[2]App C Exp'!$A$4:$I$917,7,FALSE)</f>
        <v>10900</v>
      </c>
      <c r="N883" s="2">
        <f>VLOOKUP($A883,'[2]App C Exp'!$A$4:$I$917,8,FALSE)</f>
        <v>4364</v>
      </c>
      <c r="O883" s="2">
        <f>VLOOKUP($A883,'[2]App C Exp'!$A$4:$I$917,9,FALSE)</f>
        <v>0</v>
      </c>
      <c r="P883" s="2"/>
      <c r="Q883" s="2">
        <f>VLOOKUP($A883,'[2]App C Inv'!$A$4:$I$917,5,FALSE)</f>
        <v>13725</v>
      </c>
      <c r="R883" s="2">
        <f>VLOOKUP($A883,'[2]App C Inv'!$A$4:$I$917,6,FALSE)</f>
        <v>-11806</v>
      </c>
      <c r="S883" s="2">
        <f>VLOOKUP($A883,'[2]App C Inv'!$A$4:$I$917,7,FALSE)</f>
        <v>1664</v>
      </c>
      <c r="T883" s="2">
        <f>VLOOKUP($A883,'[2]App C Inv'!$A$4:$I$917,8,FALSE)</f>
        <v>2166</v>
      </c>
      <c r="U883" s="2">
        <f>VLOOKUP($A883,'[2]App C Inv'!$A$4:$I$917,9,FALSE)</f>
        <v>0</v>
      </c>
      <c r="V883" s="2"/>
      <c r="W883" s="2">
        <f>VLOOKUP($A883,'[2]App C Assum'!$A$4:$I$917,5,FALSE)</f>
        <v>15462</v>
      </c>
      <c r="X883" s="2">
        <f>VLOOKUP($A883,'[2]App C Assum'!$A$4:$I$917,6,FALSE)</f>
        <v>12667</v>
      </c>
      <c r="Y883" s="2">
        <f>VLOOKUP($A883,'[2]App C Assum'!$A$4:$I$917,7,FALSE)</f>
        <v>10283</v>
      </c>
      <c r="Z883" s="2">
        <f>VLOOKUP($A883,'[2]App C Assum'!$A$4:$I$917,8,FALSE)</f>
        <v>0</v>
      </c>
      <c r="AA883" s="2">
        <f>VLOOKUP($A883,'[2]App C Assum'!$A$4:$I$917,9,FALSE)</f>
        <v>0</v>
      </c>
      <c r="AB883" s="2"/>
      <c r="AC883" s="2">
        <f>VLOOKUP($A883,'[2]App C Share Outflows'!$A$4:$I$917,5,FALSE)</f>
        <v>24598</v>
      </c>
      <c r="AD883" s="2">
        <f>VLOOKUP($A883,'[2]App C Share Outflows'!$A$4:$I$917,6,FALSE)</f>
        <v>19103</v>
      </c>
      <c r="AE883" s="2">
        <f>VLOOKUP($A883,'[2]App C Share Outflows'!$A$4:$I$917,7,FALSE)</f>
        <v>12222</v>
      </c>
      <c r="AF883" s="2">
        <f>VLOOKUP($A883,'[2]App C Share Outflows'!$A$4:$I$917,8,FALSE)</f>
        <v>6437</v>
      </c>
      <c r="AG883" s="2">
        <f>VLOOKUP($A883,'[2]App C Share Outflows'!$A$4:$I$917,9,FALSE)</f>
        <v>0</v>
      </c>
      <c r="AH883" s="2"/>
      <c r="AI883" s="2">
        <f>VLOOKUP($A883,'[2]App C Share Inflows'!$A$4:$I$917,5,FALSE)</f>
        <v>0</v>
      </c>
      <c r="AJ883" s="2">
        <f>VLOOKUP($A883,'[2]App C Share Inflows'!$A$4:$I$917,6,FALSE)</f>
        <v>0</v>
      </c>
      <c r="AK883" s="2">
        <f>VLOOKUP($A883,'[2]App C Share Inflows'!$A$4:$I$917,7,FALSE)</f>
        <v>0</v>
      </c>
      <c r="AL883" s="2">
        <f>VLOOKUP($A883,'[2]App C Share Inflows'!$A$4:$I$917,8,FALSE)</f>
        <v>0</v>
      </c>
      <c r="AM883" s="2">
        <f>VLOOKUP($A883,'[2]App C Share Inflows'!$A$4:$I$917,6,FALSE)</f>
        <v>0</v>
      </c>
    </row>
    <row r="884" spans="1:39">
      <c r="A884" s="351">
        <v>99601</v>
      </c>
      <c r="B884" s="344" t="s">
        <v>1582</v>
      </c>
      <c r="C884" s="235" t="e">
        <f>VLOOKUP(A884,#REF!,10,FALSE)</f>
        <v>#REF!</v>
      </c>
      <c r="E884" s="2">
        <f>VLOOKUP($A884,'[2]App C Total'!$A$4:$I$917,5,FALSE)</f>
        <v>2873336</v>
      </c>
      <c r="F884" s="2">
        <f>VLOOKUP($A884,'[2]App C Total'!$A$4:$I$917,6,FALSE)</f>
        <v>904051</v>
      </c>
      <c r="G884" s="2">
        <f>VLOOKUP($A884,'[2]App C Total'!$A$4:$I$917,7,FALSE)</f>
        <v>1513458</v>
      </c>
      <c r="H884" s="2">
        <f>VLOOKUP($A884,'[2]App C Total'!$A$4:$I$917,8,FALSE)</f>
        <v>396143</v>
      </c>
      <c r="I884" s="2">
        <f>VLOOKUP($A884,'[2]App C Total'!$A$4:$I$917,9,FALSE)</f>
        <v>0</v>
      </c>
      <c r="J884" s="2"/>
      <c r="K884" s="2">
        <f>VLOOKUP($A884,'[2]App C Exp'!$A$4:$I$917,5,FALSE)</f>
        <v>884191</v>
      </c>
      <c r="L884" s="2">
        <f>VLOOKUP($A884,'[2]App C Exp'!$A$4:$I$917,6,FALSE)</f>
        <v>831738</v>
      </c>
      <c r="M884" s="2">
        <f>VLOOKUP($A884,'[2]App C Exp'!$A$4:$I$917,7,FALSE)</f>
        <v>745477</v>
      </c>
      <c r="N884" s="2">
        <f>VLOOKUP($A884,'[2]App C Exp'!$A$4:$I$917,8,FALSE)</f>
        <v>298480</v>
      </c>
      <c r="O884" s="2">
        <f>VLOOKUP($A884,'[2]App C Exp'!$A$4:$I$917,9,FALSE)</f>
        <v>0</v>
      </c>
      <c r="P884" s="2"/>
      <c r="Q884" s="2">
        <f>VLOOKUP($A884,'[2]App C Inv'!$A$4:$I$917,5,FALSE)</f>
        <v>938692</v>
      </c>
      <c r="R884" s="2">
        <f>VLOOKUP($A884,'[2]App C Inv'!$A$4:$I$917,6,FALSE)</f>
        <v>-807450</v>
      </c>
      <c r="S884" s="2">
        <f>VLOOKUP($A884,'[2]App C Inv'!$A$4:$I$917,7,FALSE)</f>
        <v>113800</v>
      </c>
      <c r="T884" s="2">
        <f>VLOOKUP($A884,'[2]App C Inv'!$A$4:$I$917,8,FALSE)</f>
        <v>148110</v>
      </c>
      <c r="U884" s="2">
        <f>VLOOKUP($A884,'[2]App C Inv'!$A$4:$I$917,9,FALSE)</f>
        <v>0</v>
      </c>
      <c r="V884" s="2"/>
      <c r="W884" s="2">
        <f>VLOOKUP($A884,'[2]App C Assum'!$A$4:$I$917,5,FALSE)</f>
        <v>1057450</v>
      </c>
      <c r="X884" s="2">
        <f>VLOOKUP($A884,'[2]App C Assum'!$A$4:$I$917,6,FALSE)</f>
        <v>866301</v>
      </c>
      <c r="Y884" s="2">
        <f>VLOOKUP($A884,'[2]App C Assum'!$A$4:$I$917,7,FALSE)</f>
        <v>703288</v>
      </c>
      <c r="Z884" s="2">
        <f>VLOOKUP($A884,'[2]App C Assum'!$A$4:$I$917,8,FALSE)</f>
        <v>0</v>
      </c>
      <c r="AA884" s="2">
        <f>VLOOKUP($A884,'[2]App C Assum'!$A$4:$I$917,9,FALSE)</f>
        <v>0</v>
      </c>
      <c r="AB884" s="2"/>
      <c r="AC884" s="2">
        <f>VLOOKUP($A884,'[2]App C Share Outflows'!$A$4:$I$917,5,FALSE)</f>
        <v>63907</v>
      </c>
      <c r="AD884" s="2">
        <f>VLOOKUP($A884,'[2]App C Share Outflows'!$A$4:$I$917,6,FALSE)</f>
        <v>63908</v>
      </c>
      <c r="AE884" s="2">
        <f>VLOOKUP($A884,'[2]App C Share Outflows'!$A$4:$I$917,7,FALSE)</f>
        <v>1339</v>
      </c>
      <c r="AF884" s="2">
        <f>VLOOKUP($A884,'[2]App C Share Outflows'!$A$4:$I$917,8,FALSE)</f>
        <v>0</v>
      </c>
      <c r="AG884" s="2">
        <f>VLOOKUP($A884,'[2]App C Share Outflows'!$A$4:$I$917,9,FALSE)</f>
        <v>0</v>
      </c>
      <c r="AH884" s="2"/>
      <c r="AI884" s="2">
        <f>VLOOKUP($A884,'[2]App C Share Inflows'!$A$4:$I$917,5,FALSE)</f>
        <v>-70904</v>
      </c>
      <c r="AJ884" s="2">
        <f>VLOOKUP($A884,'[2]App C Share Inflows'!$A$4:$I$917,6,FALSE)</f>
        <v>-50446</v>
      </c>
      <c r="AK884" s="2">
        <f>VLOOKUP($A884,'[2]App C Share Inflows'!$A$4:$I$917,7,FALSE)</f>
        <v>-50446</v>
      </c>
      <c r="AL884" s="2">
        <f>VLOOKUP($A884,'[2]App C Share Inflows'!$A$4:$I$917,8,FALSE)</f>
        <v>-50447</v>
      </c>
      <c r="AM884" s="2">
        <f>VLOOKUP($A884,'[2]App C Share Inflows'!$A$4:$I$917,6,FALSE)</f>
        <v>-50446</v>
      </c>
    </row>
    <row r="885" spans="1:39">
      <c r="A885" s="351">
        <v>99602</v>
      </c>
      <c r="B885" s="344" t="s">
        <v>3710</v>
      </c>
      <c r="C885" s="235" t="e">
        <f>VLOOKUP(A885,#REF!,10,FALSE)</f>
        <v>#REF!</v>
      </c>
      <c r="E885" s="2">
        <f>VLOOKUP($A885,'[2]App C Total'!$A$4:$I$917,5,FALSE)</f>
        <v>31065</v>
      </c>
      <c r="F885" s="2">
        <f>VLOOKUP($A885,'[2]App C Total'!$A$4:$I$917,6,FALSE)</f>
        <v>9893</v>
      </c>
      <c r="G885" s="2">
        <f>VLOOKUP($A885,'[2]App C Total'!$A$4:$I$917,7,FALSE)</f>
        <v>15235</v>
      </c>
      <c r="H885" s="2">
        <f>VLOOKUP($A885,'[2]App C Total'!$A$4:$I$917,8,FALSE)</f>
        <v>3712</v>
      </c>
      <c r="I885" s="2">
        <f>VLOOKUP($A885,'[2]App C Total'!$A$4:$I$917,9,FALSE)</f>
        <v>0</v>
      </c>
      <c r="J885" s="2"/>
      <c r="K885" s="2">
        <f>VLOOKUP($A885,'[2]App C Exp'!$A$4:$I$917,5,FALSE)</f>
        <v>9213</v>
      </c>
      <c r="L885" s="2">
        <f>VLOOKUP($A885,'[2]App C Exp'!$A$4:$I$917,6,FALSE)</f>
        <v>8667</v>
      </c>
      <c r="M885" s="2">
        <f>VLOOKUP($A885,'[2]App C Exp'!$A$4:$I$917,7,FALSE)</f>
        <v>7768</v>
      </c>
      <c r="N885" s="2">
        <f>VLOOKUP($A885,'[2]App C Exp'!$A$4:$I$917,8,FALSE)</f>
        <v>3110</v>
      </c>
      <c r="O885" s="2">
        <f>VLOOKUP($A885,'[2]App C Exp'!$A$4:$I$917,9,FALSE)</f>
        <v>0</v>
      </c>
      <c r="P885" s="2"/>
      <c r="Q885" s="2">
        <f>VLOOKUP($A885,'[2]App C Inv'!$A$4:$I$917,5,FALSE)</f>
        <v>9781</v>
      </c>
      <c r="R885" s="2">
        <f>VLOOKUP($A885,'[2]App C Inv'!$A$4:$I$917,6,FALSE)</f>
        <v>-8414</v>
      </c>
      <c r="S885" s="2">
        <f>VLOOKUP($A885,'[2]App C Inv'!$A$4:$I$917,7,FALSE)</f>
        <v>1186</v>
      </c>
      <c r="T885" s="2">
        <f>VLOOKUP($A885,'[2]App C Inv'!$A$4:$I$917,8,FALSE)</f>
        <v>1543</v>
      </c>
      <c r="U885" s="2">
        <f>VLOOKUP($A885,'[2]App C Inv'!$A$4:$I$917,9,FALSE)</f>
        <v>0</v>
      </c>
      <c r="V885" s="2"/>
      <c r="W885" s="2">
        <f>VLOOKUP($A885,'[2]App C Assum'!$A$4:$I$917,5,FALSE)</f>
        <v>11018</v>
      </c>
      <c r="X885" s="2">
        <f>VLOOKUP($A885,'[2]App C Assum'!$A$4:$I$917,6,FALSE)</f>
        <v>9027</v>
      </c>
      <c r="Y885" s="2">
        <f>VLOOKUP($A885,'[2]App C Assum'!$A$4:$I$917,7,FALSE)</f>
        <v>7328</v>
      </c>
      <c r="Z885" s="2">
        <f>VLOOKUP($A885,'[2]App C Assum'!$A$4:$I$917,8,FALSE)</f>
        <v>0</v>
      </c>
      <c r="AA885" s="2">
        <f>VLOOKUP($A885,'[2]App C Assum'!$A$4:$I$917,9,FALSE)</f>
        <v>0</v>
      </c>
      <c r="AB885" s="2"/>
      <c r="AC885" s="2">
        <f>VLOOKUP($A885,'[2]App C Share Outflows'!$A$4:$I$917,5,FALSE)</f>
        <v>2098</v>
      </c>
      <c r="AD885" s="2">
        <f>VLOOKUP($A885,'[2]App C Share Outflows'!$A$4:$I$917,6,FALSE)</f>
        <v>1658</v>
      </c>
      <c r="AE885" s="2">
        <f>VLOOKUP($A885,'[2]App C Share Outflows'!$A$4:$I$917,7,FALSE)</f>
        <v>0</v>
      </c>
      <c r="AF885" s="2">
        <f>VLOOKUP($A885,'[2]App C Share Outflows'!$A$4:$I$917,8,FALSE)</f>
        <v>0</v>
      </c>
      <c r="AG885" s="2">
        <f>VLOOKUP($A885,'[2]App C Share Outflows'!$A$4:$I$917,9,FALSE)</f>
        <v>0</v>
      </c>
      <c r="AH885" s="2"/>
      <c r="AI885" s="2">
        <f>VLOOKUP($A885,'[2]App C Share Inflows'!$A$4:$I$917,5,FALSE)</f>
        <v>-1045</v>
      </c>
      <c r="AJ885" s="2">
        <f>VLOOKUP($A885,'[2]App C Share Inflows'!$A$4:$I$917,6,FALSE)</f>
        <v>-1045</v>
      </c>
      <c r="AK885" s="2">
        <f>VLOOKUP($A885,'[2]App C Share Inflows'!$A$4:$I$917,7,FALSE)</f>
        <v>-1047</v>
      </c>
      <c r="AL885" s="2">
        <f>VLOOKUP($A885,'[2]App C Share Inflows'!$A$4:$I$917,8,FALSE)</f>
        <v>-941</v>
      </c>
      <c r="AM885" s="2">
        <f>VLOOKUP($A885,'[2]App C Share Inflows'!$A$4:$I$917,6,FALSE)</f>
        <v>-1045</v>
      </c>
    </row>
    <row r="886" spans="1:39">
      <c r="A886" s="351">
        <v>99603</v>
      </c>
      <c r="B886" s="344" t="s">
        <v>3711</v>
      </c>
      <c r="C886" s="235" t="e">
        <f>VLOOKUP(A886,#REF!,10,FALSE)</f>
        <v>#REF!</v>
      </c>
      <c r="E886" s="2">
        <f>VLOOKUP($A886,'[2]App C Total'!$A$4:$I$917,5,FALSE)</f>
        <v>97613</v>
      </c>
      <c r="F886" s="2">
        <f>VLOOKUP($A886,'[2]App C Total'!$A$4:$I$917,6,FALSE)</f>
        <v>31848</v>
      </c>
      <c r="G886" s="2">
        <f>VLOOKUP($A886,'[2]App C Total'!$A$4:$I$917,7,FALSE)</f>
        <v>43685</v>
      </c>
      <c r="H886" s="2">
        <f>VLOOKUP($A886,'[2]App C Total'!$A$4:$I$917,8,FALSE)</f>
        <v>9855</v>
      </c>
      <c r="I886" s="2">
        <f>VLOOKUP($A886,'[2]App C Total'!$A$4:$I$917,9,FALSE)</f>
        <v>0</v>
      </c>
      <c r="J886" s="2"/>
      <c r="K886" s="2">
        <f>VLOOKUP($A886,'[2]App C Exp'!$A$4:$I$917,5,FALSE)</f>
        <v>23280</v>
      </c>
      <c r="L886" s="2">
        <f>VLOOKUP($A886,'[2]App C Exp'!$A$4:$I$917,6,FALSE)</f>
        <v>21899</v>
      </c>
      <c r="M886" s="2">
        <f>VLOOKUP($A886,'[2]App C Exp'!$A$4:$I$917,7,FALSE)</f>
        <v>19628</v>
      </c>
      <c r="N886" s="2">
        <f>VLOOKUP($A886,'[2]App C Exp'!$A$4:$I$917,8,FALSE)</f>
        <v>7859</v>
      </c>
      <c r="O886" s="2">
        <f>VLOOKUP($A886,'[2]App C Exp'!$A$4:$I$917,9,FALSE)</f>
        <v>0</v>
      </c>
      <c r="P886" s="2"/>
      <c r="Q886" s="2">
        <f>VLOOKUP($A886,'[2]App C Inv'!$A$4:$I$917,5,FALSE)</f>
        <v>24715</v>
      </c>
      <c r="R886" s="2">
        <f>VLOOKUP($A886,'[2]App C Inv'!$A$4:$I$917,6,FALSE)</f>
        <v>-21259</v>
      </c>
      <c r="S886" s="2">
        <f>VLOOKUP($A886,'[2]App C Inv'!$A$4:$I$917,7,FALSE)</f>
        <v>2996</v>
      </c>
      <c r="T886" s="2">
        <f>VLOOKUP($A886,'[2]App C Inv'!$A$4:$I$917,8,FALSE)</f>
        <v>3900</v>
      </c>
      <c r="U886" s="2">
        <f>VLOOKUP($A886,'[2]App C Inv'!$A$4:$I$917,9,FALSE)</f>
        <v>0</v>
      </c>
      <c r="V886" s="2"/>
      <c r="W886" s="2">
        <f>VLOOKUP($A886,'[2]App C Assum'!$A$4:$I$917,5,FALSE)</f>
        <v>27842</v>
      </c>
      <c r="X886" s="2">
        <f>VLOOKUP($A886,'[2]App C Assum'!$A$4:$I$917,6,FALSE)</f>
        <v>22809</v>
      </c>
      <c r="Y886" s="2">
        <f>VLOOKUP($A886,'[2]App C Assum'!$A$4:$I$917,7,FALSE)</f>
        <v>18517</v>
      </c>
      <c r="Z886" s="2">
        <f>VLOOKUP($A886,'[2]App C Assum'!$A$4:$I$917,8,FALSE)</f>
        <v>0</v>
      </c>
      <c r="AA886" s="2">
        <f>VLOOKUP($A886,'[2]App C Assum'!$A$4:$I$917,9,FALSE)</f>
        <v>0</v>
      </c>
      <c r="AB886" s="2"/>
      <c r="AC886" s="2">
        <f>VLOOKUP($A886,'[2]App C Share Outflows'!$A$4:$I$917,5,FALSE)</f>
        <v>23681</v>
      </c>
      <c r="AD886" s="2">
        <f>VLOOKUP($A886,'[2]App C Share Outflows'!$A$4:$I$917,6,FALSE)</f>
        <v>10304</v>
      </c>
      <c r="AE886" s="2">
        <f>VLOOKUP($A886,'[2]App C Share Outflows'!$A$4:$I$917,7,FALSE)</f>
        <v>4449</v>
      </c>
      <c r="AF886" s="2">
        <f>VLOOKUP($A886,'[2]App C Share Outflows'!$A$4:$I$917,8,FALSE)</f>
        <v>0</v>
      </c>
      <c r="AG886" s="2">
        <f>VLOOKUP($A886,'[2]App C Share Outflows'!$A$4:$I$917,9,FALSE)</f>
        <v>0</v>
      </c>
      <c r="AH886" s="2"/>
      <c r="AI886" s="2">
        <f>VLOOKUP($A886,'[2]App C Share Inflows'!$A$4:$I$917,5,FALSE)</f>
        <v>-1905</v>
      </c>
      <c r="AJ886" s="2">
        <f>VLOOKUP($A886,'[2]App C Share Inflows'!$A$4:$I$917,6,FALSE)</f>
        <v>-1905</v>
      </c>
      <c r="AK886" s="2">
        <f>VLOOKUP($A886,'[2]App C Share Inflows'!$A$4:$I$917,7,FALSE)</f>
        <v>-1905</v>
      </c>
      <c r="AL886" s="2">
        <f>VLOOKUP($A886,'[2]App C Share Inflows'!$A$4:$I$917,8,FALSE)</f>
        <v>-1904</v>
      </c>
      <c r="AM886" s="2">
        <f>VLOOKUP($A886,'[2]App C Share Inflows'!$A$4:$I$917,6,FALSE)</f>
        <v>-1905</v>
      </c>
    </row>
    <row r="887" spans="1:39">
      <c r="A887" s="351">
        <v>99604</v>
      </c>
      <c r="B887" s="344" t="s">
        <v>1585</v>
      </c>
      <c r="C887" s="235" t="e">
        <f>VLOOKUP(A887,#REF!,10,FALSE)</f>
        <v>#REF!</v>
      </c>
      <c r="E887" s="2">
        <f>VLOOKUP($A887,'[2]App C Total'!$A$4:$I$917,5,FALSE)</f>
        <v>50410</v>
      </c>
      <c r="F887" s="2">
        <f>VLOOKUP($A887,'[2]App C Total'!$A$4:$I$917,6,FALSE)</f>
        <v>18244</v>
      </c>
      <c r="G887" s="2">
        <f>VLOOKUP($A887,'[2]App C Total'!$A$4:$I$917,7,FALSE)</f>
        <v>26737</v>
      </c>
      <c r="H887" s="2">
        <f>VLOOKUP($A887,'[2]App C Total'!$A$4:$I$917,8,FALSE)</f>
        <v>7098</v>
      </c>
      <c r="I887" s="2">
        <f>VLOOKUP($A887,'[2]App C Total'!$A$4:$I$917,9,FALSE)</f>
        <v>0</v>
      </c>
      <c r="J887" s="2"/>
      <c r="K887" s="2">
        <f>VLOOKUP($A887,'[2]App C Exp'!$A$4:$I$917,5,FALSE)</f>
        <v>13647</v>
      </c>
      <c r="L887" s="2">
        <f>VLOOKUP($A887,'[2]App C Exp'!$A$4:$I$917,6,FALSE)</f>
        <v>12838</v>
      </c>
      <c r="M887" s="2">
        <f>VLOOKUP($A887,'[2]App C Exp'!$A$4:$I$917,7,FALSE)</f>
        <v>11506</v>
      </c>
      <c r="N887" s="2">
        <f>VLOOKUP($A887,'[2]App C Exp'!$A$4:$I$917,8,FALSE)</f>
        <v>4607</v>
      </c>
      <c r="O887" s="2">
        <f>VLOOKUP($A887,'[2]App C Exp'!$A$4:$I$917,9,FALSE)</f>
        <v>0</v>
      </c>
      <c r="P887" s="2"/>
      <c r="Q887" s="2">
        <f>VLOOKUP($A887,'[2]App C Inv'!$A$4:$I$917,5,FALSE)</f>
        <v>14489</v>
      </c>
      <c r="R887" s="2">
        <f>VLOOKUP($A887,'[2]App C Inv'!$A$4:$I$917,6,FALSE)</f>
        <v>-12463</v>
      </c>
      <c r="S887" s="2">
        <f>VLOOKUP($A887,'[2]App C Inv'!$A$4:$I$917,7,FALSE)</f>
        <v>1756</v>
      </c>
      <c r="T887" s="2">
        <f>VLOOKUP($A887,'[2]App C Inv'!$A$4:$I$917,8,FALSE)</f>
        <v>2286</v>
      </c>
      <c r="U887" s="2">
        <f>VLOOKUP($A887,'[2]App C Inv'!$A$4:$I$917,9,FALSE)</f>
        <v>0</v>
      </c>
      <c r="V887" s="2"/>
      <c r="W887" s="2">
        <f>VLOOKUP($A887,'[2]App C Assum'!$A$4:$I$917,5,FALSE)</f>
        <v>16322</v>
      </c>
      <c r="X887" s="2">
        <f>VLOOKUP($A887,'[2]App C Assum'!$A$4:$I$917,6,FALSE)</f>
        <v>13371</v>
      </c>
      <c r="Y887" s="2">
        <f>VLOOKUP($A887,'[2]App C Assum'!$A$4:$I$917,7,FALSE)</f>
        <v>10855</v>
      </c>
      <c r="Z887" s="2">
        <f>VLOOKUP($A887,'[2]App C Assum'!$A$4:$I$917,8,FALSE)</f>
        <v>0</v>
      </c>
      <c r="AA887" s="2">
        <f>VLOOKUP($A887,'[2]App C Assum'!$A$4:$I$917,9,FALSE)</f>
        <v>0</v>
      </c>
      <c r="AB887" s="2"/>
      <c r="AC887" s="2">
        <f>VLOOKUP($A887,'[2]App C Share Outflows'!$A$4:$I$917,5,FALSE)</f>
        <v>5952</v>
      </c>
      <c r="AD887" s="2">
        <f>VLOOKUP($A887,'[2]App C Share Outflows'!$A$4:$I$917,6,FALSE)</f>
        <v>4498</v>
      </c>
      <c r="AE887" s="2">
        <f>VLOOKUP($A887,'[2]App C Share Outflows'!$A$4:$I$917,7,FALSE)</f>
        <v>2620</v>
      </c>
      <c r="AF887" s="2">
        <f>VLOOKUP($A887,'[2]App C Share Outflows'!$A$4:$I$917,8,FALSE)</f>
        <v>205</v>
      </c>
      <c r="AG887" s="2">
        <f>VLOOKUP($A887,'[2]App C Share Outflows'!$A$4:$I$917,9,FALSE)</f>
        <v>0</v>
      </c>
      <c r="AH887" s="2"/>
      <c r="AI887" s="2">
        <f>VLOOKUP($A887,'[2]App C Share Inflows'!$A$4:$I$917,5,FALSE)</f>
        <v>0</v>
      </c>
      <c r="AJ887" s="2">
        <f>VLOOKUP($A887,'[2]App C Share Inflows'!$A$4:$I$917,6,FALSE)</f>
        <v>0</v>
      </c>
      <c r="AK887" s="2">
        <f>VLOOKUP($A887,'[2]App C Share Inflows'!$A$4:$I$917,7,FALSE)</f>
        <v>0</v>
      </c>
      <c r="AL887" s="2">
        <f>VLOOKUP($A887,'[2]App C Share Inflows'!$A$4:$I$917,8,FALSE)</f>
        <v>0</v>
      </c>
      <c r="AM887" s="2">
        <f>VLOOKUP($A887,'[2]App C Share Inflows'!$A$4:$I$917,6,FALSE)</f>
        <v>0</v>
      </c>
    </row>
    <row r="888" spans="1:39">
      <c r="A888" s="351">
        <v>99609</v>
      </c>
      <c r="B888" s="344" t="s">
        <v>1586</v>
      </c>
      <c r="C888" s="235" t="e">
        <f>VLOOKUP(A888,#REF!,10,FALSE)</f>
        <v>#REF!</v>
      </c>
      <c r="E888" s="2">
        <f>VLOOKUP($A888,'[2]App C Total'!$A$4:$I$917,5,FALSE)</f>
        <v>16485</v>
      </c>
      <c r="F888" s="2">
        <f>VLOOKUP($A888,'[2]App C Total'!$A$4:$I$917,6,FALSE)</f>
        <v>6251</v>
      </c>
      <c r="G888" s="2">
        <f>VLOOKUP($A888,'[2]App C Total'!$A$4:$I$917,7,FALSE)</f>
        <v>9911</v>
      </c>
      <c r="H888" s="2">
        <f>VLOOKUP($A888,'[2]App C Total'!$A$4:$I$917,8,FALSE)</f>
        <v>3429</v>
      </c>
      <c r="I888" s="2">
        <f>VLOOKUP($A888,'[2]App C Total'!$A$4:$I$917,9,FALSE)</f>
        <v>0</v>
      </c>
      <c r="J888" s="2"/>
      <c r="K888" s="2">
        <f>VLOOKUP($A888,'[2]App C Exp'!$A$4:$I$917,5,FALSE)</f>
        <v>4314</v>
      </c>
      <c r="L888" s="2">
        <f>VLOOKUP($A888,'[2]App C Exp'!$A$4:$I$917,6,FALSE)</f>
        <v>4058</v>
      </c>
      <c r="M888" s="2">
        <f>VLOOKUP($A888,'[2]App C Exp'!$A$4:$I$917,7,FALSE)</f>
        <v>3638</v>
      </c>
      <c r="N888" s="2">
        <f>VLOOKUP($A888,'[2]App C Exp'!$A$4:$I$917,8,FALSE)</f>
        <v>1456</v>
      </c>
      <c r="O888" s="2">
        <f>VLOOKUP($A888,'[2]App C Exp'!$A$4:$I$917,9,FALSE)</f>
        <v>0</v>
      </c>
      <c r="P888" s="2"/>
      <c r="Q888" s="2">
        <f>VLOOKUP($A888,'[2]App C Inv'!$A$4:$I$917,5,FALSE)</f>
        <v>4580</v>
      </c>
      <c r="R888" s="2">
        <f>VLOOKUP($A888,'[2]App C Inv'!$A$4:$I$917,6,FALSE)</f>
        <v>-3940</v>
      </c>
      <c r="S888" s="2">
        <f>VLOOKUP($A888,'[2]App C Inv'!$A$4:$I$917,7,FALSE)</f>
        <v>555</v>
      </c>
      <c r="T888" s="2">
        <f>VLOOKUP($A888,'[2]App C Inv'!$A$4:$I$917,8,FALSE)</f>
        <v>723</v>
      </c>
      <c r="U888" s="2">
        <f>VLOOKUP($A888,'[2]App C Inv'!$A$4:$I$917,9,FALSE)</f>
        <v>0</v>
      </c>
      <c r="V888" s="2"/>
      <c r="W888" s="2">
        <f>VLOOKUP($A888,'[2]App C Assum'!$A$4:$I$917,5,FALSE)</f>
        <v>5160</v>
      </c>
      <c r="X888" s="2">
        <f>VLOOKUP($A888,'[2]App C Assum'!$A$4:$I$917,6,FALSE)</f>
        <v>4227</v>
      </c>
      <c r="Y888" s="2">
        <f>VLOOKUP($A888,'[2]App C Assum'!$A$4:$I$917,7,FALSE)</f>
        <v>3432</v>
      </c>
      <c r="Z888" s="2">
        <f>VLOOKUP($A888,'[2]App C Assum'!$A$4:$I$917,8,FALSE)</f>
        <v>0</v>
      </c>
      <c r="AA888" s="2">
        <f>VLOOKUP($A888,'[2]App C Assum'!$A$4:$I$917,9,FALSE)</f>
        <v>0</v>
      </c>
      <c r="AB888" s="2"/>
      <c r="AC888" s="2">
        <f>VLOOKUP($A888,'[2]App C Share Outflows'!$A$4:$I$917,5,FALSE)</f>
        <v>2812</v>
      </c>
      <c r="AD888" s="2">
        <f>VLOOKUP($A888,'[2]App C Share Outflows'!$A$4:$I$917,6,FALSE)</f>
        <v>2286</v>
      </c>
      <c r="AE888" s="2">
        <f>VLOOKUP($A888,'[2]App C Share Outflows'!$A$4:$I$917,7,FALSE)</f>
        <v>2286</v>
      </c>
      <c r="AF888" s="2">
        <f>VLOOKUP($A888,'[2]App C Share Outflows'!$A$4:$I$917,8,FALSE)</f>
        <v>1250</v>
      </c>
      <c r="AG888" s="2">
        <f>VLOOKUP($A888,'[2]App C Share Outflows'!$A$4:$I$917,9,FALSE)</f>
        <v>0</v>
      </c>
      <c r="AH888" s="2"/>
      <c r="AI888" s="2">
        <f>VLOOKUP($A888,'[2]App C Share Inflows'!$A$4:$I$917,5,FALSE)</f>
        <v>-381</v>
      </c>
      <c r="AJ888" s="2">
        <f>VLOOKUP($A888,'[2]App C Share Inflows'!$A$4:$I$917,6,FALSE)</f>
        <v>-380</v>
      </c>
      <c r="AK888" s="2">
        <f>VLOOKUP($A888,'[2]App C Share Inflows'!$A$4:$I$917,7,FALSE)</f>
        <v>0</v>
      </c>
      <c r="AL888" s="2">
        <f>VLOOKUP($A888,'[2]App C Share Inflows'!$A$4:$I$917,8,FALSE)</f>
        <v>0</v>
      </c>
      <c r="AM888" s="2">
        <f>VLOOKUP($A888,'[2]App C Share Inflows'!$A$4:$I$917,6,FALSE)</f>
        <v>-380</v>
      </c>
    </row>
    <row r="889" spans="1:39">
      <c r="A889" s="351">
        <v>99610</v>
      </c>
      <c r="B889" s="344" t="s">
        <v>3712</v>
      </c>
      <c r="C889" s="235" t="e">
        <f>VLOOKUP(A889,#REF!,10,FALSE)</f>
        <v>#REF!</v>
      </c>
      <c r="E889" s="2">
        <f>VLOOKUP($A889,'[2]App C Total'!$A$4:$I$917,5,FALSE)</f>
        <v>77978</v>
      </c>
      <c r="F889" s="2">
        <f>VLOOKUP($A889,'[2]App C Total'!$A$4:$I$917,6,FALSE)</f>
        <v>20843</v>
      </c>
      <c r="G889" s="2">
        <f>VLOOKUP($A889,'[2]App C Total'!$A$4:$I$917,7,FALSE)</f>
        <v>40836</v>
      </c>
      <c r="H889" s="2">
        <f>VLOOKUP($A889,'[2]App C Total'!$A$4:$I$917,8,FALSE)</f>
        <v>10312</v>
      </c>
      <c r="I889" s="2">
        <f>VLOOKUP($A889,'[2]App C Total'!$A$4:$I$917,9,FALSE)</f>
        <v>0</v>
      </c>
      <c r="J889" s="2"/>
      <c r="K889" s="2">
        <f>VLOOKUP($A889,'[2]App C Exp'!$A$4:$I$917,5,FALSE)</f>
        <v>25213</v>
      </c>
      <c r="L889" s="2">
        <f>VLOOKUP($A889,'[2]App C Exp'!$A$4:$I$917,6,FALSE)</f>
        <v>23717</v>
      </c>
      <c r="M889" s="2">
        <f>VLOOKUP($A889,'[2]App C Exp'!$A$4:$I$917,7,FALSE)</f>
        <v>21257</v>
      </c>
      <c r="N889" s="2">
        <f>VLOOKUP($A889,'[2]App C Exp'!$A$4:$I$917,8,FALSE)</f>
        <v>8511</v>
      </c>
      <c r="O889" s="2">
        <f>VLOOKUP($A889,'[2]App C Exp'!$A$4:$I$917,9,FALSE)</f>
        <v>0</v>
      </c>
      <c r="P889" s="2"/>
      <c r="Q889" s="2">
        <f>VLOOKUP($A889,'[2]App C Inv'!$A$4:$I$917,5,FALSE)</f>
        <v>26767</v>
      </c>
      <c r="R889" s="2">
        <f>VLOOKUP($A889,'[2]App C Inv'!$A$4:$I$917,6,FALSE)</f>
        <v>-23024</v>
      </c>
      <c r="S889" s="2">
        <f>VLOOKUP($A889,'[2]App C Inv'!$A$4:$I$917,7,FALSE)</f>
        <v>3245</v>
      </c>
      <c r="T889" s="2">
        <f>VLOOKUP($A889,'[2]App C Inv'!$A$4:$I$917,8,FALSE)</f>
        <v>4223</v>
      </c>
      <c r="U889" s="2">
        <f>VLOOKUP($A889,'[2]App C Inv'!$A$4:$I$917,9,FALSE)</f>
        <v>0</v>
      </c>
      <c r="V889" s="2"/>
      <c r="W889" s="2">
        <f>VLOOKUP($A889,'[2]App C Assum'!$A$4:$I$917,5,FALSE)</f>
        <v>30153</v>
      </c>
      <c r="X889" s="2">
        <f>VLOOKUP($A889,'[2]App C Assum'!$A$4:$I$917,6,FALSE)</f>
        <v>24702</v>
      </c>
      <c r="Y889" s="2">
        <f>VLOOKUP($A889,'[2]App C Assum'!$A$4:$I$917,7,FALSE)</f>
        <v>20054</v>
      </c>
      <c r="Z889" s="2">
        <f>VLOOKUP($A889,'[2]App C Assum'!$A$4:$I$917,8,FALSE)</f>
        <v>0</v>
      </c>
      <c r="AA889" s="2">
        <f>VLOOKUP($A889,'[2]App C Assum'!$A$4:$I$917,9,FALSE)</f>
        <v>0</v>
      </c>
      <c r="AB889" s="2"/>
      <c r="AC889" s="2">
        <f>VLOOKUP($A889,'[2]App C Share Outflows'!$A$4:$I$917,5,FALSE)</f>
        <v>396</v>
      </c>
      <c r="AD889" s="2">
        <f>VLOOKUP($A889,'[2]App C Share Outflows'!$A$4:$I$917,6,FALSE)</f>
        <v>0</v>
      </c>
      <c r="AE889" s="2">
        <f>VLOOKUP($A889,'[2]App C Share Outflows'!$A$4:$I$917,7,FALSE)</f>
        <v>0</v>
      </c>
      <c r="AF889" s="2">
        <f>VLOOKUP($A889,'[2]App C Share Outflows'!$A$4:$I$917,8,FALSE)</f>
        <v>0</v>
      </c>
      <c r="AG889" s="2">
        <f>VLOOKUP($A889,'[2]App C Share Outflows'!$A$4:$I$917,9,FALSE)</f>
        <v>0</v>
      </c>
      <c r="AH889" s="2"/>
      <c r="AI889" s="2">
        <f>VLOOKUP($A889,'[2]App C Share Inflows'!$A$4:$I$917,5,FALSE)</f>
        <v>-4551</v>
      </c>
      <c r="AJ889" s="2">
        <f>VLOOKUP($A889,'[2]App C Share Inflows'!$A$4:$I$917,6,FALSE)</f>
        <v>-4552</v>
      </c>
      <c r="AK889" s="2">
        <f>VLOOKUP($A889,'[2]App C Share Inflows'!$A$4:$I$917,7,FALSE)</f>
        <v>-3720</v>
      </c>
      <c r="AL889" s="2">
        <f>VLOOKUP($A889,'[2]App C Share Inflows'!$A$4:$I$917,8,FALSE)</f>
        <v>-2422</v>
      </c>
      <c r="AM889" s="2">
        <f>VLOOKUP($A889,'[2]App C Share Inflows'!$A$4:$I$917,6,FALSE)</f>
        <v>-4552</v>
      </c>
    </row>
    <row r="890" spans="1:39">
      <c r="A890" s="351">
        <v>99611</v>
      </c>
      <c r="B890" s="344" t="s">
        <v>1588</v>
      </c>
      <c r="C890" s="235" t="e">
        <f>VLOOKUP(A890,#REF!,10,FALSE)</f>
        <v>#REF!</v>
      </c>
      <c r="E890" s="2">
        <f>VLOOKUP($A890,'[2]App C Total'!$A$4:$I$917,5,FALSE)</f>
        <v>1514058</v>
      </c>
      <c r="F890" s="2">
        <f>VLOOKUP($A890,'[2]App C Total'!$A$4:$I$917,6,FALSE)</f>
        <v>474049</v>
      </c>
      <c r="G890" s="2">
        <f>VLOOKUP($A890,'[2]App C Total'!$A$4:$I$917,7,FALSE)</f>
        <v>829499</v>
      </c>
      <c r="H890" s="2">
        <f>VLOOKUP($A890,'[2]App C Total'!$A$4:$I$917,8,FALSE)</f>
        <v>215424</v>
      </c>
      <c r="I890" s="2">
        <f>VLOOKUP($A890,'[2]App C Total'!$A$4:$I$917,9,FALSE)</f>
        <v>0</v>
      </c>
      <c r="J890" s="2"/>
      <c r="K890" s="2">
        <f>VLOOKUP($A890,'[2]App C Exp'!$A$4:$I$917,5,FALSE)</f>
        <v>479712</v>
      </c>
      <c r="L890" s="2">
        <f>VLOOKUP($A890,'[2]App C Exp'!$A$4:$I$917,6,FALSE)</f>
        <v>451254</v>
      </c>
      <c r="M890" s="2">
        <f>VLOOKUP($A890,'[2]App C Exp'!$A$4:$I$917,7,FALSE)</f>
        <v>404454</v>
      </c>
      <c r="N890" s="2">
        <f>VLOOKUP($A890,'[2]App C Exp'!$A$4:$I$917,8,FALSE)</f>
        <v>161938</v>
      </c>
      <c r="O890" s="2">
        <f>VLOOKUP($A890,'[2]App C Exp'!$A$4:$I$917,9,FALSE)</f>
        <v>0</v>
      </c>
      <c r="P890" s="2"/>
      <c r="Q890" s="2">
        <f>VLOOKUP($A890,'[2]App C Inv'!$A$4:$I$917,5,FALSE)</f>
        <v>509281</v>
      </c>
      <c r="R890" s="2">
        <f>VLOOKUP($A890,'[2]App C Inv'!$A$4:$I$917,6,FALSE)</f>
        <v>-438077</v>
      </c>
      <c r="S890" s="2">
        <f>VLOOKUP($A890,'[2]App C Inv'!$A$4:$I$917,7,FALSE)</f>
        <v>61742</v>
      </c>
      <c r="T890" s="2">
        <f>VLOOKUP($A890,'[2]App C Inv'!$A$4:$I$917,8,FALSE)</f>
        <v>80356</v>
      </c>
      <c r="U890" s="2">
        <f>VLOOKUP($A890,'[2]App C Inv'!$A$4:$I$917,9,FALSE)</f>
        <v>0</v>
      </c>
      <c r="V890" s="2"/>
      <c r="W890" s="2">
        <f>VLOOKUP($A890,'[2]App C Assum'!$A$4:$I$917,5,FALSE)</f>
        <v>573713</v>
      </c>
      <c r="X890" s="2">
        <f>VLOOKUP($A890,'[2]App C Assum'!$A$4:$I$917,6,FALSE)</f>
        <v>470006</v>
      </c>
      <c r="Y890" s="2">
        <f>VLOOKUP($A890,'[2]App C Assum'!$A$4:$I$917,7,FALSE)</f>
        <v>381565</v>
      </c>
      <c r="Z890" s="2">
        <f>VLOOKUP($A890,'[2]App C Assum'!$A$4:$I$917,8,FALSE)</f>
        <v>0</v>
      </c>
      <c r="AA890" s="2">
        <f>VLOOKUP($A890,'[2]App C Assum'!$A$4:$I$917,9,FALSE)</f>
        <v>0</v>
      </c>
      <c r="AB890" s="2"/>
      <c r="AC890" s="2">
        <f>VLOOKUP($A890,'[2]App C Share Outflows'!$A$4:$I$917,5,FALSE)</f>
        <v>17737</v>
      </c>
      <c r="AD890" s="2">
        <f>VLOOKUP($A890,'[2]App C Share Outflows'!$A$4:$I$917,6,FALSE)</f>
        <v>17736</v>
      </c>
      <c r="AE890" s="2">
        <f>VLOOKUP($A890,'[2]App C Share Outflows'!$A$4:$I$917,7,FALSE)</f>
        <v>8608</v>
      </c>
      <c r="AF890" s="2">
        <f>VLOOKUP($A890,'[2]App C Share Outflows'!$A$4:$I$917,8,FALSE)</f>
        <v>0</v>
      </c>
      <c r="AG890" s="2">
        <f>VLOOKUP($A890,'[2]App C Share Outflows'!$A$4:$I$917,9,FALSE)</f>
        <v>0</v>
      </c>
      <c r="AH890" s="2"/>
      <c r="AI890" s="2">
        <f>VLOOKUP($A890,'[2]App C Share Inflows'!$A$4:$I$917,5,FALSE)</f>
        <v>-66385</v>
      </c>
      <c r="AJ890" s="2">
        <f>VLOOKUP($A890,'[2]App C Share Inflows'!$A$4:$I$917,6,FALSE)</f>
        <v>-26870</v>
      </c>
      <c r="AK890" s="2">
        <f>VLOOKUP($A890,'[2]App C Share Inflows'!$A$4:$I$917,7,FALSE)</f>
        <v>-26870</v>
      </c>
      <c r="AL890" s="2">
        <f>VLOOKUP($A890,'[2]App C Share Inflows'!$A$4:$I$917,8,FALSE)</f>
        <v>-26870</v>
      </c>
      <c r="AM890" s="2">
        <f>VLOOKUP($A890,'[2]App C Share Inflows'!$A$4:$I$917,6,FALSE)</f>
        <v>-26870</v>
      </c>
    </row>
    <row r="891" spans="1:39">
      <c r="A891" s="351">
        <v>99613</v>
      </c>
      <c r="B891" s="344" t="s">
        <v>1589</v>
      </c>
      <c r="C891" s="235" t="e">
        <f>VLOOKUP(A891,#REF!,10,FALSE)</f>
        <v>#REF!</v>
      </c>
      <c r="E891" s="2">
        <f>VLOOKUP($A891,'[2]App C Total'!$A$4:$I$917,5,FALSE)</f>
        <v>265698</v>
      </c>
      <c r="F891" s="2">
        <f>VLOOKUP($A891,'[2]App C Total'!$A$4:$I$917,6,FALSE)</f>
        <v>116770</v>
      </c>
      <c r="G891" s="2">
        <f>VLOOKUP($A891,'[2]App C Total'!$A$4:$I$917,7,FALSE)</f>
        <v>124505</v>
      </c>
      <c r="H891" s="2">
        <f>VLOOKUP($A891,'[2]App C Total'!$A$4:$I$917,8,FALSE)</f>
        <v>21918</v>
      </c>
      <c r="I891" s="2">
        <f>VLOOKUP($A891,'[2]App C Total'!$A$4:$I$917,9,FALSE)</f>
        <v>0</v>
      </c>
      <c r="J891" s="2"/>
      <c r="K891" s="2">
        <f>VLOOKUP($A891,'[2]App C Exp'!$A$4:$I$917,5,FALSE)</f>
        <v>50515</v>
      </c>
      <c r="L891" s="2">
        <f>VLOOKUP($A891,'[2]App C Exp'!$A$4:$I$917,6,FALSE)</f>
        <v>47518</v>
      </c>
      <c r="M891" s="2">
        <f>VLOOKUP($A891,'[2]App C Exp'!$A$4:$I$917,7,FALSE)</f>
        <v>42590</v>
      </c>
      <c r="N891" s="2">
        <f>VLOOKUP($A891,'[2]App C Exp'!$A$4:$I$917,8,FALSE)</f>
        <v>17053</v>
      </c>
      <c r="O891" s="2">
        <f>VLOOKUP($A891,'[2]App C Exp'!$A$4:$I$917,9,FALSE)</f>
        <v>0</v>
      </c>
      <c r="P891" s="2"/>
      <c r="Q891" s="2">
        <f>VLOOKUP($A891,'[2]App C Inv'!$A$4:$I$917,5,FALSE)</f>
        <v>53629</v>
      </c>
      <c r="R891" s="2">
        <f>VLOOKUP($A891,'[2]App C Inv'!$A$4:$I$917,6,FALSE)</f>
        <v>-46131</v>
      </c>
      <c r="S891" s="2">
        <f>VLOOKUP($A891,'[2]App C Inv'!$A$4:$I$917,7,FALSE)</f>
        <v>6502</v>
      </c>
      <c r="T891" s="2">
        <f>VLOOKUP($A891,'[2]App C Inv'!$A$4:$I$917,8,FALSE)</f>
        <v>8462</v>
      </c>
      <c r="U891" s="2">
        <f>VLOOKUP($A891,'[2]App C Inv'!$A$4:$I$917,9,FALSE)</f>
        <v>0</v>
      </c>
      <c r="V891" s="2"/>
      <c r="W891" s="2">
        <f>VLOOKUP($A891,'[2]App C Assum'!$A$4:$I$917,5,FALSE)</f>
        <v>60413</v>
      </c>
      <c r="X891" s="2">
        <f>VLOOKUP($A891,'[2]App C Assum'!$A$4:$I$917,6,FALSE)</f>
        <v>49493</v>
      </c>
      <c r="Y891" s="2">
        <f>VLOOKUP($A891,'[2]App C Assum'!$A$4:$I$917,7,FALSE)</f>
        <v>40180</v>
      </c>
      <c r="Z891" s="2">
        <f>VLOOKUP($A891,'[2]App C Assum'!$A$4:$I$917,8,FALSE)</f>
        <v>0</v>
      </c>
      <c r="AA891" s="2">
        <f>VLOOKUP($A891,'[2]App C Assum'!$A$4:$I$917,9,FALSE)</f>
        <v>0</v>
      </c>
      <c r="AB891" s="2"/>
      <c r="AC891" s="2">
        <f>VLOOKUP($A891,'[2]App C Share Outflows'!$A$4:$I$917,5,FALSE)</f>
        <v>104740</v>
      </c>
      <c r="AD891" s="2">
        <f>VLOOKUP($A891,'[2]App C Share Outflows'!$A$4:$I$917,6,FALSE)</f>
        <v>69489</v>
      </c>
      <c r="AE891" s="2">
        <f>VLOOKUP($A891,'[2]App C Share Outflows'!$A$4:$I$917,7,FALSE)</f>
        <v>38832</v>
      </c>
      <c r="AF891" s="2">
        <f>VLOOKUP($A891,'[2]App C Share Outflows'!$A$4:$I$917,8,FALSE)</f>
        <v>0</v>
      </c>
      <c r="AG891" s="2">
        <f>VLOOKUP($A891,'[2]App C Share Outflows'!$A$4:$I$917,9,FALSE)</f>
        <v>0</v>
      </c>
      <c r="AH891" s="2"/>
      <c r="AI891" s="2">
        <f>VLOOKUP($A891,'[2]App C Share Inflows'!$A$4:$I$917,5,FALSE)</f>
        <v>-3599</v>
      </c>
      <c r="AJ891" s="2">
        <f>VLOOKUP($A891,'[2]App C Share Inflows'!$A$4:$I$917,6,FALSE)</f>
        <v>-3599</v>
      </c>
      <c r="AK891" s="2">
        <f>VLOOKUP($A891,'[2]App C Share Inflows'!$A$4:$I$917,7,FALSE)</f>
        <v>-3599</v>
      </c>
      <c r="AL891" s="2">
        <f>VLOOKUP($A891,'[2]App C Share Inflows'!$A$4:$I$917,8,FALSE)</f>
        <v>-3597</v>
      </c>
      <c r="AM891" s="2">
        <f>VLOOKUP($A891,'[2]App C Share Inflows'!$A$4:$I$917,6,FALSE)</f>
        <v>-3599</v>
      </c>
    </row>
    <row r="892" spans="1:39">
      <c r="A892" s="351">
        <v>99621</v>
      </c>
      <c r="B892" s="344" t="s">
        <v>1590</v>
      </c>
      <c r="C892" s="235" t="e">
        <f>VLOOKUP(A892,#REF!,10,FALSE)</f>
        <v>#REF!</v>
      </c>
      <c r="E892" s="2">
        <f>VLOOKUP($A892,'[2]App C Total'!$A$4:$I$917,5,FALSE)</f>
        <v>177338</v>
      </c>
      <c r="F892" s="2">
        <f>VLOOKUP($A892,'[2]App C Total'!$A$4:$I$917,6,FALSE)</f>
        <v>53918</v>
      </c>
      <c r="G892" s="2">
        <f>VLOOKUP($A892,'[2]App C Total'!$A$4:$I$917,7,FALSE)</f>
        <v>88048</v>
      </c>
      <c r="H892" s="2">
        <f>VLOOKUP($A892,'[2]App C Total'!$A$4:$I$917,8,FALSE)</f>
        <v>21302</v>
      </c>
      <c r="I892" s="2">
        <f>VLOOKUP($A892,'[2]App C Total'!$A$4:$I$917,9,FALSE)</f>
        <v>0</v>
      </c>
      <c r="J892" s="2"/>
      <c r="K892" s="2">
        <f>VLOOKUP($A892,'[2]App C Exp'!$A$4:$I$917,5,FALSE)</f>
        <v>53226</v>
      </c>
      <c r="L892" s="2">
        <f>VLOOKUP($A892,'[2]App C Exp'!$A$4:$I$917,6,FALSE)</f>
        <v>50069</v>
      </c>
      <c r="M892" s="2">
        <f>VLOOKUP($A892,'[2]App C Exp'!$A$4:$I$917,7,FALSE)</f>
        <v>44876</v>
      </c>
      <c r="N892" s="2">
        <f>VLOOKUP($A892,'[2]App C Exp'!$A$4:$I$917,8,FALSE)</f>
        <v>17968</v>
      </c>
      <c r="O892" s="2">
        <f>VLOOKUP($A892,'[2]App C Exp'!$A$4:$I$917,9,FALSE)</f>
        <v>0</v>
      </c>
      <c r="P892" s="2"/>
      <c r="Q892" s="2">
        <f>VLOOKUP($A892,'[2]App C Inv'!$A$4:$I$917,5,FALSE)</f>
        <v>56507</v>
      </c>
      <c r="R892" s="2">
        <f>VLOOKUP($A892,'[2]App C Inv'!$A$4:$I$917,6,FALSE)</f>
        <v>-48607</v>
      </c>
      <c r="S892" s="2">
        <f>VLOOKUP($A892,'[2]App C Inv'!$A$4:$I$917,7,FALSE)</f>
        <v>6851</v>
      </c>
      <c r="T892" s="2">
        <f>VLOOKUP($A892,'[2]App C Inv'!$A$4:$I$917,8,FALSE)</f>
        <v>8916</v>
      </c>
      <c r="U892" s="2">
        <f>VLOOKUP($A892,'[2]App C Inv'!$A$4:$I$917,9,FALSE)</f>
        <v>0</v>
      </c>
      <c r="V892" s="2"/>
      <c r="W892" s="2">
        <f>VLOOKUP($A892,'[2]App C Assum'!$A$4:$I$917,5,FALSE)</f>
        <v>63656</v>
      </c>
      <c r="X892" s="2">
        <f>VLOOKUP($A892,'[2]App C Assum'!$A$4:$I$917,6,FALSE)</f>
        <v>52150</v>
      </c>
      <c r="Y892" s="2">
        <f>VLOOKUP($A892,'[2]App C Assum'!$A$4:$I$917,7,FALSE)</f>
        <v>42336</v>
      </c>
      <c r="Z892" s="2">
        <f>VLOOKUP($A892,'[2]App C Assum'!$A$4:$I$917,8,FALSE)</f>
        <v>0</v>
      </c>
      <c r="AA892" s="2">
        <f>VLOOKUP($A892,'[2]App C Assum'!$A$4:$I$917,9,FALSE)</f>
        <v>0</v>
      </c>
      <c r="AB892" s="2"/>
      <c r="AC892" s="2">
        <f>VLOOKUP($A892,'[2]App C Share Outflows'!$A$4:$I$917,5,FALSE)</f>
        <v>9962</v>
      </c>
      <c r="AD892" s="2">
        <f>VLOOKUP($A892,'[2]App C Share Outflows'!$A$4:$I$917,6,FALSE)</f>
        <v>6319</v>
      </c>
      <c r="AE892" s="2">
        <f>VLOOKUP($A892,'[2]App C Share Outflows'!$A$4:$I$917,7,FALSE)</f>
        <v>0</v>
      </c>
      <c r="AF892" s="2">
        <f>VLOOKUP($A892,'[2]App C Share Outflows'!$A$4:$I$917,8,FALSE)</f>
        <v>0</v>
      </c>
      <c r="AG892" s="2">
        <f>VLOOKUP($A892,'[2]App C Share Outflows'!$A$4:$I$917,9,FALSE)</f>
        <v>0</v>
      </c>
      <c r="AH892" s="2"/>
      <c r="AI892" s="2">
        <f>VLOOKUP($A892,'[2]App C Share Inflows'!$A$4:$I$917,5,FALSE)</f>
        <v>-6013</v>
      </c>
      <c r="AJ892" s="2">
        <f>VLOOKUP($A892,'[2]App C Share Inflows'!$A$4:$I$917,6,FALSE)</f>
        <v>-6013</v>
      </c>
      <c r="AK892" s="2">
        <f>VLOOKUP($A892,'[2]App C Share Inflows'!$A$4:$I$917,7,FALSE)</f>
        <v>-6015</v>
      </c>
      <c r="AL892" s="2">
        <f>VLOOKUP($A892,'[2]App C Share Inflows'!$A$4:$I$917,8,FALSE)</f>
        <v>-5582</v>
      </c>
      <c r="AM892" s="2">
        <f>VLOOKUP($A892,'[2]App C Share Inflows'!$A$4:$I$917,6,FALSE)</f>
        <v>-6013</v>
      </c>
    </row>
    <row r="893" spans="1:39">
      <c r="A893" s="351">
        <v>99623</v>
      </c>
      <c r="B893" s="344" t="s">
        <v>3504</v>
      </c>
      <c r="C893" s="235" t="e">
        <f>VLOOKUP(A893,#REF!,10,FALSE)</f>
        <v>#REF!</v>
      </c>
      <c r="E893" s="2">
        <f>VLOOKUP($A893,'[2]App C Total'!$A$4:$I$917,5,FALSE)</f>
        <v>54</v>
      </c>
      <c r="F893" s="2">
        <f>VLOOKUP($A893,'[2]App C Total'!$A$4:$I$917,6,FALSE)</f>
        <v>-3884</v>
      </c>
      <c r="G893" s="2">
        <f>VLOOKUP($A893,'[2]App C Total'!$A$4:$I$917,7,FALSE)</f>
        <v>-1983</v>
      </c>
      <c r="H893" s="2">
        <f>VLOOKUP($A893,'[2]App C Total'!$A$4:$I$917,8,FALSE)</f>
        <v>-4016</v>
      </c>
      <c r="I893" s="2">
        <f>VLOOKUP($A893,'[2]App C Total'!$A$4:$I$917,9,FALSE)</f>
        <v>0</v>
      </c>
      <c r="J893" s="2"/>
      <c r="K893" s="2">
        <f>VLOOKUP($A893,'[2]App C Exp'!$A$4:$I$917,5,FALSE)</f>
        <v>1618</v>
      </c>
      <c r="L893" s="2">
        <f>VLOOKUP($A893,'[2]App C Exp'!$A$4:$I$917,6,FALSE)</f>
        <v>1522</v>
      </c>
      <c r="M893" s="2">
        <f>VLOOKUP($A893,'[2]App C Exp'!$A$4:$I$917,7,FALSE)</f>
        <v>1364</v>
      </c>
      <c r="N893" s="2">
        <f>VLOOKUP($A893,'[2]App C Exp'!$A$4:$I$917,8,FALSE)</f>
        <v>546</v>
      </c>
      <c r="O893" s="2">
        <f>VLOOKUP($A893,'[2]App C Exp'!$A$4:$I$917,9,FALSE)</f>
        <v>0</v>
      </c>
      <c r="P893" s="2"/>
      <c r="Q893" s="2">
        <f>VLOOKUP($A893,'[2]App C Inv'!$A$4:$I$917,5,FALSE)</f>
        <v>1718</v>
      </c>
      <c r="R893" s="2">
        <f>VLOOKUP($A893,'[2]App C Inv'!$A$4:$I$917,6,FALSE)</f>
        <v>-1477</v>
      </c>
      <c r="S893" s="2">
        <f>VLOOKUP($A893,'[2]App C Inv'!$A$4:$I$917,7,FALSE)</f>
        <v>208</v>
      </c>
      <c r="T893" s="2">
        <f>VLOOKUP($A893,'[2]App C Inv'!$A$4:$I$917,8,FALSE)</f>
        <v>271</v>
      </c>
      <c r="U893" s="2">
        <f>VLOOKUP($A893,'[2]App C Inv'!$A$4:$I$917,9,FALSE)</f>
        <v>0</v>
      </c>
      <c r="V893" s="2"/>
      <c r="W893" s="2">
        <f>VLOOKUP($A893,'[2]App C Assum'!$A$4:$I$917,5,FALSE)</f>
        <v>1935</v>
      </c>
      <c r="X893" s="2">
        <f>VLOOKUP($A893,'[2]App C Assum'!$A$4:$I$917,6,FALSE)</f>
        <v>1585</v>
      </c>
      <c r="Y893" s="2">
        <f>VLOOKUP($A893,'[2]App C Assum'!$A$4:$I$917,7,FALSE)</f>
        <v>1287</v>
      </c>
      <c r="Z893" s="2">
        <f>VLOOKUP($A893,'[2]App C Assum'!$A$4:$I$917,8,FALSE)</f>
        <v>0</v>
      </c>
      <c r="AA893" s="2">
        <f>VLOOKUP($A893,'[2]App C Assum'!$A$4:$I$917,9,FALSE)</f>
        <v>0</v>
      </c>
      <c r="AB893" s="2"/>
      <c r="AC893" s="2">
        <f>VLOOKUP($A893,'[2]App C Share Outflows'!$A$4:$I$917,5,FALSE)</f>
        <v>298</v>
      </c>
      <c r="AD893" s="2">
        <f>VLOOKUP($A893,'[2]App C Share Outflows'!$A$4:$I$917,6,FALSE)</f>
        <v>0</v>
      </c>
      <c r="AE893" s="2">
        <f>VLOOKUP($A893,'[2]App C Share Outflows'!$A$4:$I$917,7,FALSE)</f>
        <v>0</v>
      </c>
      <c r="AF893" s="2">
        <f>VLOOKUP($A893,'[2]App C Share Outflows'!$A$4:$I$917,8,FALSE)</f>
        <v>0</v>
      </c>
      <c r="AG893" s="2">
        <f>VLOOKUP($A893,'[2]App C Share Outflows'!$A$4:$I$917,9,FALSE)</f>
        <v>0</v>
      </c>
      <c r="AH893" s="2"/>
      <c r="AI893" s="2">
        <f>VLOOKUP($A893,'[2]App C Share Inflows'!$A$4:$I$917,5,FALSE)</f>
        <v>-5515</v>
      </c>
      <c r="AJ893" s="2">
        <f>VLOOKUP($A893,'[2]App C Share Inflows'!$A$4:$I$917,6,FALSE)</f>
        <v>-5514</v>
      </c>
      <c r="AK893" s="2">
        <f>VLOOKUP($A893,'[2]App C Share Inflows'!$A$4:$I$917,7,FALSE)</f>
        <v>-4842</v>
      </c>
      <c r="AL893" s="2">
        <f>VLOOKUP($A893,'[2]App C Share Inflows'!$A$4:$I$917,8,FALSE)</f>
        <v>-4833</v>
      </c>
      <c r="AM893" s="2">
        <f>VLOOKUP($A893,'[2]App C Share Inflows'!$A$4:$I$917,6,FALSE)</f>
        <v>-5514</v>
      </c>
    </row>
    <row r="894" spans="1:39">
      <c r="A894" s="351">
        <v>99631</v>
      </c>
      <c r="B894" s="344" t="s">
        <v>1592</v>
      </c>
      <c r="C894" s="235" t="e">
        <f>VLOOKUP(A894,#REF!,10,FALSE)</f>
        <v>#REF!</v>
      </c>
      <c r="E894" s="2">
        <f>VLOOKUP($A894,'[2]App C Total'!$A$4:$I$917,5,FALSE)</f>
        <v>49802</v>
      </c>
      <c r="F894" s="2">
        <f>VLOOKUP($A894,'[2]App C Total'!$A$4:$I$917,6,FALSE)</f>
        <v>13740</v>
      </c>
      <c r="G894" s="2">
        <f>VLOOKUP($A894,'[2]App C Total'!$A$4:$I$917,7,FALSE)</f>
        <v>25749</v>
      </c>
      <c r="H894" s="2">
        <f>VLOOKUP($A894,'[2]App C Total'!$A$4:$I$917,8,FALSE)</f>
        <v>5747</v>
      </c>
      <c r="I894" s="2">
        <f>VLOOKUP($A894,'[2]App C Total'!$A$4:$I$917,9,FALSE)</f>
        <v>0</v>
      </c>
      <c r="J894" s="2"/>
      <c r="K894" s="2">
        <f>VLOOKUP($A894,'[2]App C Exp'!$A$4:$I$917,5,FALSE)</f>
        <v>16149</v>
      </c>
      <c r="L894" s="2">
        <f>VLOOKUP($A894,'[2]App C Exp'!$A$4:$I$917,6,FALSE)</f>
        <v>15191</v>
      </c>
      <c r="M894" s="2">
        <f>VLOOKUP($A894,'[2]App C Exp'!$A$4:$I$917,7,FALSE)</f>
        <v>13616</v>
      </c>
      <c r="N894" s="2">
        <f>VLOOKUP($A894,'[2]App C Exp'!$A$4:$I$917,8,FALSE)</f>
        <v>5452</v>
      </c>
      <c r="O894" s="2">
        <f>VLOOKUP($A894,'[2]App C Exp'!$A$4:$I$917,9,FALSE)</f>
        <v>0</v>
      </c>
      <c r="P894" s="2"/>
      <c r="Q894" s="2">
        <f>VLOOKUP($A894,'[2]App C Inv'!$A$4:$I$917,5,FALSE)</f>
        <v>17145</v>
      </c>
      <c r="R894" s="2">
        <f>VLOOKUP($A894,'[2]App C Inv'!$A$4:$I$917,6,FALSE)</f>
        <v>-14748</v>
      </c>
      <c r="S894" s="2">
        <f>VLOOKUP($A894,'[2]App C Inv'!$A$4:$I$917,7,FALSE)</f>
        <v>2078</v>
      </c>
      <c r="T894" s="2">
        <f>VLOOKUP($A894,'[2]App C Inv'!$A$4:$I$917,8,FALSE)</f>
        <v>2705</v>
      </c>
      <c r="U894" s="2">
        <f>VLOOKUP($A894,'[2]App C Inv'!$A$4:$I$917,9,FALSE)</f>
        <v>0</v>
      </c>
      <c r="V894" s="2"/>
      <c r="W894" s="2">
        <f>VLOOKUP($A894,'[2]App C Assum'!$A$4:$I$917,5,FALSE)</f>
        <v>19314</v>
      </c>
      <c r="X894" s="2">
        <f>VLOOKUP($A894,'[2]App C Assum'!$A$4:$I$917,6,FALSE)</f>
        <v>15822</v>
      </c>
      <c r="Y894" s="2">
        <f>VLOOKUP($A894,'[2]App C Assum'!$A$4:$I$917,7,FALSE)</f>
        <v>12845</v>
      </c>
      <c r="Z894" s="2">
        <f>VLOOKUP($A894,'[2]App C Assum'!$A$4:$I$917,8,FALSE)</f>
        <v>0</v>
      </c>
      <c r="AA894" s="2">
        <f>VLOOKUP($A894,'[2]App C Assum'!$A$4:$I$917,9,FALSE)</f>
        <v>0</v>
      </c>
      <c r="AB894" s="2"/>
      <c r="AC894" s="2">
        <f>VLOOKUP($A894,'[2]App C Share Outflows'!$A$4:$I$917,5,FALSE)</f>
        <v>268</v>
      </c>
      <c r="AD894" s="2">
        <f>VLOOKUP($A894,'[2]App C Share Outflows'!$A$4:$I$917,6,FALSE)</f>
        <v>267</v>
      </c>
      <c r="AE894" s="2">
        <f>VLOOKUP($A894,'[2]App C Share Outflows'!$A$4:$I$917,7,FALSE)</f>
        <v>0</v>
      </c>
      <c r="AF894" s="2">
        <f>VLOOKUP($A894,'[2]App C Share Outflows'!$A$4:$I$917,8,FALSE)</f>
        <v>0</v>
      </c>
      <c r="AG894" s="2">
        <f>VLOOKUP($A894,'[2]App C Share Outflows'!$A$4:$I$917,9,FALSE)</f>
        <v>0</v>
      </c>
      <c r="AH894" s="2"/>
      <c r="AI894" s="2">
        <f>VLOOKUP($A894,'[2]App C Share Inflows'!$A$4:$I$917,5,FALSE)</f>
        <v>-3074</v>
      </c>
      <c r="AJ894" s="2">
        <f>VLOOKUP($A894,'[2]App C Share Inflows'!$A$4:$I$917,6,FALSE)</f>
        <v>-2792</v>
      </c>
      <c r="AK894" s="2">
        <f>VLOOKUP($A894,'[2]App C Share Inflows'!$A$4:$I$917,7,FALSE)</f>
        <v>-2790</v>
      </c>
      <c r="AL894" s="2">
        <f>VLOOKUP($A894,'[2]App C Share Inflows'!$A$4:$I$917,8,FALSE)</f>
        <v>-2410</v>
      </c>
      <c r="AM894" s="2">
        <f>VLOOKUP($A894,'[2]App C Share Inflows'!$A$4:$I$917,6,FALSE)</f>
        <v>-2792</v>
      </c>
    </row>
    <row r="895" spans="1:39">
      <c r="A895" s="351">
        <v>99651</v>
      </c>
      <c r="B895" s="344" t="s">
        <v>1593</v>
      </c>
      <c r="C895" s="235" t="e">
        <f>VLOOKUP(A895,#REF!,10,FALSE)</f>
        <v>#REF!</v>
      </c>
      <c r="E895" s="2">
        <f>VLOOKUP($A895,'[2]App C Total'!$A$4:$I$917,5,FALSE)</f>
        <v>32749</v>
      </c>
      <c r="F895" s="2">
        <f>VLOOKUP($A895,'[2]App C Total'!$A$4:$I$917,6,FALSE)</f>
        <v>10104</v>
      </c>
      <c r="G895" s="2">
        <f>VLOOKUP($A895,'[2]App C Total'!$A$4:$I$917,7,FALSE)</f>
        <v>17644</v>
      </c>
      <c r="H895" s="2">
        <f>VLOOKUP($A895,'[2]App C Total'!$A$4:$I$917,8,FALSE)</f>
        <v>6852</v>
      </c>
      <c r="I895" s="2">
        <f>VLOOKUP($A895,'[2]App C Total'!$A$4:$I$917,9,FALSE)</f>
        <v>0</v>
      </c>
      <c r="J895" s="2"/>
      <c r="K895" s="2">
        <f>VLOOKUP($A895,'[2]App C Exp'!$A$4:$I$917,5,FALSE)</f>
        <v>9782</v>
      </c>
      <c r="L895" s="2">
        <f>VLOOKUP($A895,'[2]App C Exp'!$A$4:$I$917,6,FALSE)</f>
        <v>9202</v>
      </c>
      <c r="M895" s="2">
        <f>VLOOKUP($A895,'[2]App C Exp'!$A$4:$I$917,7,FALSE)</f>
        <v>8248</v>
      </c>
      <c r="N895" s="2">
        <f>VLOOKUP($A895,'[2]App C Exp'!$A$4:$I$917,8,FALSE)</f>
        <v>3302</v>
      </c>
      <c r="O895" s="2">
        <f>VLOOKUP($A895,'[2]App C Exp'!$A$4:$I$917,9,FALSE)</f>
        <v>0</v>
      </c>
      <c r="P895" s="2"/>
      <c r="Q895" s="2">
        <f>VLOOKUP($A895,'[2]App C Inv'!$A$4:$I$917,5,FALSE)</f>
        <v>10385</v>
      </c>
      <c r="R895" s="2">
        <f>VLOOKUP($A895,'[2]App C Inv'!$A$4:$I$917,6,FALSE)</f>
        <v>-8933</v>
      </c>
      <c r="S895" s="2">
        <f>VLOOKUP($A895,'[2]App C Inv'!$A$4:$I$917,7,FALSE)</f>
        <v>1259</v>
      </c>
      <c r="T895" s="2">
        <f>VLOOKUP($A895,'[2]App C Inv'!$A$4:$I$917,8,FALSE)</f>
        <v>1639</v>
      </c>
      <c r="U895" s="2">
        <f>VLOOKUP($A895,'[2]App C Inv'!$A$4:$I$917,9,FALSE)</f>
        <v>0</v>
      </c>
      <c r="V895" s="2"/>
      <c r="W895" s="2">
        <f>VLOOKUP($A895,'[2]App C Assum'!$A$4:$I$917,5,FALSE)</f>
        <v>11699</v>
      </c>
      <c r="X895" s="2">
        <f>VLOOKUP($A895,'[2]App C Assum'!$A$4:$I$917,6,FALSE)</f>
        <v>9584</v>
      </c>
      <c r="Y895" s="2">
        <f>VLOOKUP($A895,'[2]App C Assum'!$A$4:$I$917,7,FALSE)</f>
        <v>7781</v>
      </c>
      <c r="Z895" s="2">
        <f>VLOOKUP($A895,'[2]App C Assum'!$A$4:$I$917,8,FALSE)</f>
        <v>0</v>
      </c>
      <c r="AA895" s="2">
        <f>VLOOKUP($A895,'[2]App C Assum'!$A$4:$I$917,9,FALSE)</f>
        <v>0</v>
      </c>
      <c r="AB895" s="2"/>
      <c r="AC895" s="2">
        <f>VLOOKUP($A895,'[2]App C Share Outflows'!$A$4:$I$917,5,FALSE)</f>
        <v>2544</v>
      </c>
      <c r="AD895" s="2">
        <f>VLOOKUP($A895,'[2]App C Share Outflows'!$A$4:$I$917,6,FALSE)</f>
        <v>1912</v>
      </c>
      <c r="AE895" s="2">
        <f>VLOOKUP($A895,'[2]App C Share Outflows'!$A$4:$I$917,7,FALSE)</f>
        <v>1912</v>
      </c>
      <c r="AF895" s="2">
        <f>VLOOKUP($A895,'[2]App C Share Outflows'!$A$4:$I$917,8,FALSE)</f>
        <v>1911</v>
      </c>
      <c r="AG895" s="2">
        <f>VLOOKUP($A895,'[2]App C Share Outflows'!$A$4:$I$917,9,FALSE)</f>
        <v>0</v>
      </c>
      <c r="AH895" s="2"/>
      <c r="AI895" s="2">
        <f>VLOOKUP($A895,'[2]App C Share Inflows'!$A$4:$I$917,5,FALSE)</f>
        <v>-1661</v>
      </c>
      <c r="AJ895" s="2">
        <f>VLOOKUP($A895,'[2]App C Share Inflows'!$A$4:$I$917,6,FALSE)</f>
        <v>-1661</v>
      </c>
      <c r="AK895" s="2">
        <f>VLOOKUP($A895,'[2]App C Share Inflows'!$A$4:$I$917,7,FALSE)</f>
        <v>-1556</v>
      </c>
      <c r="AL895" s="2">
        <f>VLOOKUP($A895,'[2]App C Share Inflows'!$A$4:$I$917,8,FALSE)</f>
        <v>0</v>
      </c>
      <c r="AM895" s="2">
        <f>VLOOKUP($A895,'[2]App C Share Inflows'!$A$4:$I$917,6,FALSE)</f>
        <v>-1661</v>
      </c>
    </row>
    <row r="896" spans="1:39">
      <c r="A896" s="351">
        <v>99661</v>
      </c>
      <c r="B896" s="344" t="s">
        <v>1594</v>
      </c>
      <c r="C896" s="235" t="e">
        <f>VLOOKUP(A896,#REF!,10,FALSE)</f>
        <v>#REF!</v>
      </c>
      <c r="E896" s="2">
        <f>VLOOKUP($A896,'[2]App C Total'!$A$4:$I$917,5,FALSE)</f>
        <v>37088</v>
      </c>
      <c r="F896" s="2">
        <f>VLOOKUP($A896,'[2]App C Total'!$A$4:$I$917,6,FALSE)</f>
        <v>21797</v>
      </c>
      <c r="G896" s="2">
        <f>VLOOKUP($A896,'[2]App C Total'!$A$4:$I$917,7,FALSE)</f>
        <v>22335</v>
      </c>
      <c r="H896" s="2">
        <f>VLOOKUP($A896,'[2]App C Total'!$A$4:$I$917,8,FALSE)</f>
        <v>10851</v>
      </c>
      <c r="I896" s="2">
        <f>VLOOKUP($A896,'[2]App C Total'!$A$4:$I$917,9,FALSE)</f>
        <v>0</v>
      </c>
      <c r="J896" s="2"/>
      <c r="K896" s="2">
        <f>VLOOKUP($A896,'[2]App C Exp'!$A$4:$I$917,5,FALSE)</f>
        <v>5213</v>
      </c>
      <c r="L896" s="2">
        <f>VLOOKUP($A896,'[2]App C Exp'!$A$4:$I$917,6,FALSE)</f>
        <v>4904</v>
      </c>
      <c r="M896" s="2">
        <f>VLOOKUP($A896,'[2]App C Exp'!$A$4:$I$917,7,FALSE)</f>
        <v>4395</v>
      </c>
      <c r="N896" s="2">
        <f>VLOOKUP($A896,'[2]App C Exp'!$A$4:$I$917,8,FALSE)</f>
        <v>1760</v>
      </c>
      <c r="O896" s="2">
        <f>VLOOKUP($A896,'[2]App C Exp'!$A$4:$I$917,9,FALSE)</f>
        <v>0</v>
      </c>
      <c r="P896" s="2"/>
      <c r="Q896" s="2">
        <f>VLOOKUP($A896,'[2]App C Inv'!$A$4:$I$917,5,FALSE)</f>
        <v>5535</v>
      </c>
      <c r="R896" s="2">
        <f>VLOOKUP($A896,'[2]App C Inv'!$A$4:$I$917,6,FALSE)</f>
        <v>-4761</v>
      </c>
      <c r="S896" s="2">
        <f>VLOOKUP($A896,'[2]App C Inv'!$A$4:$I$917,7,FALSE)</f>
        <v>671</v>
      </c>
      <c r="T896" s="2">
        <f>VLOOKUP($A896,'[2]App C Inv'!$A$4:$I$917,8,FALSE)</f>
        <v>873</v>
      </c>
      <c r="U896" s="2">
        <f>VLOOKUP($A896,'[2]App C Inv'!$A$4:$I$917,9,FALSE)</f>
        <v>0</v>
      </c>
      <c r="V896" s="2"/>
      <c r="W896" s="2">
        <f>VLOOKUP($A896,'[2]App C Assum'!$A$4:$I$917,5,FALSE)</f>
        <v>6235</v>
      </c>
      <c r="X896" s="2">
        <f>VLOOKUP($A896,'[2]App C Assum'!$A$4:$I$917,6,FALSE)</f>
        <v>5108</v>
      </c>
      <c r="Y896" s="2">
        <f>VLOOKUP($A896,'[2]App C Assum'!$A$4:$I$917,7,FALSE)</f>
        <v>4147</v>
      </c>
      <c r="Z896" s="2">
        <f>VLOOKUP($A896,'[2]App C Assum'!$A$4:$I$917,8,FALSE)</f>
        <v>0</v>
      </c>
      <c r="AA896" s="2">
        <f>VLOOKUP($A896,'[2]App C Assum'!$A$4:$I$917,9,FALSE)</f>
        <v>0</v>
      </c>
      <c r="AB896" s="2"/>
      <c r="AC896" s="2">
        <f>VLOOKUP($A896,'[2]App C Share Outflows'!$A$4:$I$917,5,FALSE)</f>
        <v>20105</v>
      </c>
      <c r="AD896" s="2">
        <f>VLOOKUP($A896,'[2]App C Share Outflows'!$A$4:$I$917,6,FALSE)</f>
        <v>16546</v>
      </c>
      <c r="AE896" s="2">
        <f>VLOOKUP($A896,'[2]App C Share Outflows'!$A$4:$I$917,7,FALSE)</f>
        <v>13122</v>
      </c>
      <c r="AF896" s="2">
        <f>VLOOKUP($A896,'[2]App C Share Outflows'!$A$4:$I$917,8,FALSE)</f>
        <v>8218</v>
      </c>
      <c r="AG896" s="2">
        <f>VLOOKUP($A896,'[2]App C Share Outflows'!$A$4:$I$917,9,FALSE)</f>
        <v>0</v>
      </c>
      <c r="AH896" s="2"/>
      <c r="AI896" s="2">
        <f>VLOOKUP($A896,'[2]App C Share Inflows'!$A$4:$I$917,5,FALSE)</f>
        <v>0</v>
      </c>
      <c r="AJ896" s="2">
        <f>VLOOKUP($A896,'[2]App C Share Inflows'!$A$4:$I$917,6,FALSE)</f>
        <v>0</v>
      </c>
      <c r="AK896" s="2">
        <f>VLOOKUP($A896,'[2]App C Share Inflows'!$A$4:$I$917,7,FALSE)</f>
        <v>0</v>
      </c>
      <c r="AL896" s="2">
        <f>VLOOKUP($A896,'[2]App C Share Inflows'!$A$4:$I$917,8,FALSE)</f>
        <v>0</v>
      </c>
      <c r="AM896" s="2">
        <f>VLOOKUP($A896,'[2]App C Share Inflows'!$A$4:$I$917,6,FALSE)</f>
        <v>0</v>
      </c>
    </row>
    <row r="897" spans="1:39">
      <c r="A897" s="351">
        <v>99701</v>
      </c>
      <c r="B897" s="344" t="s">
        <v>1595</v>
      </c>
      <c r="C897" s="235" t="e">
        <f>VLOOKUP(A897,#REF!,10,FALSE)</f>
        <v>#REF!</v>
      </c>
      <c r="E897" s="2">
        <f>VLOOKUP($A897,'[2]App C Total'!$A$4:$I$917,5,FALSE)</f>
        <v>1454277</v>
      </c>
      <c r="F897" s="2">
        <f>VLOOKUP($A897,'[2]App C Total'!$A$4:$I$917,6,FALSE)</f>
        <v>442609</v>
      </c>
      <c r="G897" s="2">
        <f>VLOOKUP($A897,'[2]App C Total'!$A$4:$I$917,7,FALSE)</f>
        <v>785344</v>
      </c>
      <c r="H897" s="2">
        <f>VLOOKUP($A897,'[2]App C Total'!$A$4:$I$917,8,FALSE)</f>
        <v>223062</v>
      </c>
      <c r="I897" s="2">
        <f>VLOOKUP($A897,'[2]App C Total'!$A$4:$I$917,9,FALSE)</f>
        <v>0</v>
      </c>
      <c r="J897" s="2"/>
      <c r="K897" s="2">
        <f>VLOOKUP($A897,'[2]App C Exp'!$A$4:$I$917,5,FALSE)</f>
        <v>448387</v>
      </c>
      <c r="L897" s="2">
        <f>VLOOKUP($A897,'[2]App C Exp'!$A$4:$I$917,6,FALSE)</f>
        <v>421788</v>
      </c>
      <c r="M897" s="2">
        <f>VLOOKUP($A897,'[2]App C Exp'!$A$4:$I$917,7,FALSE)</f>
        <v>378043</v>
      </c>
      <c r="N897" s="2">
        <f>VLOOKUP($A897,'[2]App C Exp'!$A$4:$I$917,8,FALSE)</f>
        <v>151364</v>
      </c>
      <c r="O897" s="2">
        <f>VLOOKUP($A897,'[2]App C Exp'!$A$4:$I$917,9,FALSE)</f>
        <v>0</v>
      </c>
      <c r="P897" s="2"/>
      <c r="Q897" s="2">
        <f>VLOOKUP($A897,'[2]App C Inv'!$A$4:$I$917,5,FALSE)</f>
        <v>476026</v>
      </c>
      <c r="R897" s="2">
        <f>VLOOKUP($A897,'[2]App C Inv'!$A$4:$I$917,6,FALSE)</f>
        <v>-409471</v>
      </c>
      <c r="S897" s="2">
        <f>VLOOKUP($A897,'[2]App C Inv'!$A$4:$I$917,7,FALSE)</f>
        <v>57710</v>
      </c>
      <c r="T897" s="2">
        <f>VLOOKUP($A897,'[2]App C Inv'!$A$4:$I$917,8,FALSE)</f>
        <v>75109</v>
      </c>
      <c r="U897" s="2">
        <f>VLOOKUP($A897,'[2]App C Inv'!$A$4:$I$917,9,FALSE)</f>
        <v>0</v>
      </c>
      <c r="V897" s="2"/>
      <c r="W897" s="2">
        <f>VLOOKUP($A897,'[2]App C Assum'!$A$4:$I$917,5,FALSE)</f>
        <v>536250</v>
      </c>
      <c r="X897" s="2">
        <f>VLOOKUP($A897,'[2]App C Assum'!$A$4:$I$917,6,FALSE)</f>
        <v>439315</v>
      </c>
      <c r="Y897" s="2">
        <f>VLOOKUP($A897,'[2]App C Assum'!$A$4:$I$917,7,FALSE)</f>
        <v>356649</v>
      </c>
      <c r="Z897" s="2">
        <f>VLOOKUP($A897,'[2]App C Assum'!$A$4:$I$917,8,FALSE)</f>
        <v>0</v>
      </c>
      <c r="AA897" s="2">
        <f>VLOOKUP($A897,'[2]App C Assum'!$A$4:$I$917,9,FALSE)</f>
        <v>0</v>
      </c>
      <c r="AB897" s="2"/>
      <c r="AC897" s="2">
        <f>VLOOKUP($A897,'[2]App C Share Outflows'!$A$4:$I$917,5,FALSE)</f>
        <v>2637</v>
      </c>
      <c r="AD897" s="2">
        <f>VLOOKUP($A897,'[2]App C Share Outflows'!$A$4:$I$917,6,FALSE)</f>
        <v>0</v>
      </c>
      <c r="AE897" s="2">
        <f>VLOOKUP($A897,'[2]App C Share Outflows'!$A$4:$I$917,7,FALSE)</f>
        <v>0</v>
      </c>
      <c r="AF897" s="2">
        <f>VLOOKUP($A897,'[2]App C Share Outflows'!$A$4:$I$917,8,FALSE)</f>
        <v>0</v>
      </c>
      <c r="AG897" s="2">
        <f>VLOOKUP($A897,'[2]App C Share Outflows'!$A$4:$I$917,9,FALSE)</f>
        <v>0</v>
      </c>
      <c r="AH897" s="2"/>
      <c r="AI897" s="2">
        <f>VLOOKUP($A897,'[2]App C Share Inflows'!$A$4:$I$917,5,FALSE)</f>
        <v>-9023</v>
      </c>
      <c r="AJ897" s="2">
        <f>VLOOKUP($A897,'[2]App C Share Inflows'!$A$4:$I$917,6,FALSE)</f>
        <v>-9023</v>
      </c>
      <c r="AK897" s="2">
        <f>VLOOKUP($A897,'[2]App C Share Inflows'!$A$4:$I$917,7,FALSE)</f>
        <v>-7058</v>
      </c>
      <c r="AL897" s="2">
        <f>VLOOKUP($A897,'[2]App C Share Inflows'!$A$4:$I$917,8,FALSE)</f>
        <v>-3411</v>
      </c>
      <c r="AM897" s="2">
        <f>VLOOKUP($A897,'[2]App C Share Inflows'!$A$4:$I$917,6,FALSE)</f>
        <v>-9023</v>
      </c>
    </row>
    <row r="898" spans="1:39">
      <c r="A898" s="351">
        <v>99705</v>
      </c>
      <c r="B898" s="344" t="s">
        <v>1596</v>
      </c>
      <c r="C898" s="235" t="e">
        <f>VLOOKUP(A898,#REF!,10,FALSE)</f>
        <v>#REF!</v>
      </c>
      <c r="E898" s="2">
        <f>VLOOKUP($A898,'[2]App C Total'!$A$4:$I$917,5,FALSE)</f>
        <v>81153</v>
      </c>
      <c r="F898" s="2">
        <f>VLOOKUP($A898,'[2]App C Total'!$A$4:$I$917,6,FALSE)</f>
        <v>28266</v>
      </c>
      <c r="G898" s="2">
        <f>VLOOKUP($A898,'[2]App C Total'!$A$4:$I$917,7,FALSE)</f>
        <v>44728</v>
      </c>
      <c r="H898" s="2">
        <f>VLOOKUP($A898,'[2]App C Total'!$A$4:$I$917,8,FALSE)</f>
        <v>14288</v>
      </c>
      <c r="I898" s="2">
        <f>VLOOKUP($A898,'[2]App C Total'!$A$4:$I$917,9,FALSE)</f>
        <v>0</v>
      </c>
      <c r="J898" s="2"/>
      <c r="K898" s="2">
        <f>VLOOKUP($A898,'[2]App C Exp'!$A$4:$I$917,5,FALSE)</f>
        <v>23265</v>
      </c>
      <c r="L898" s="2">
        <f>VLOOKUP($A898,'[2]App C Exp'!$A$4:$I$917,6,FALSE)</f>
        <v>21885</v>
      </c>
      <c r="M898" s="2">
        <f>VLOOKUP($A898,'[2]App C Exp'!$A$4:$I$917,7,FALSE)</f>
        <v>19615</v>
      </c>
      <c r="N898" s="2">
        <f>VLOOKUP($A898,'[2]App C Exp'!$A$4:$I$917,8,FALSE)</f>
        <v>7854</v>
      </c>
      <c r="O898" s="2">
        <f>VLOOKUP($A898,'[2]App C Exp'!$A$4:$I$917,9,FALSE)</f>
        <v>0</v>
      </c>
      <c r="P898" s="2"/>
      <c r="Q898" s="2">
        <f>VLOOKUP($A898,'[2]App C Inv'!$A$4:$I$917,5,FALSE)</f>
        <v>24699</v>
      </c>
      <c r="R898" s="2">
        <f>VLOOKUP($A898,'[2]App C Inv'!$A$4:$I$917,6,FALSE)</f>
        <v>-21246</v>
      </c>
      <c r="S898" s="2">
        <f>VLOOKUP($A898,'[2]App C Inv'!$A$4:$I$917,7,FALSE)</f>
        <v>2994</v>
      </c>
      <c r="T898" s="2">
        <f>VLOOKUP($A898,'[2]App C Inv'!$A$4:$I$917,8,FALSE)</f>
        <v>3897</v>
      </c>
      <c r="U898" s="2">
        <f>VLOOKUP($A898,'[2]App C Inv'!$A$4:$I$917,9,FALSE)</f>
        <v>0</v>
      </c>
      <c r="V898" s="2"/>
      <c r="W898" s="2">
        <f>VLOOKUP($A898,'[2]App C Assum'!$A$4:$I$917,5,FALSE)</f>
        <v>27824</v>
      </c>
      <c r="X898" s="2">
        <f>VLOOKUP($A898,'[2]App C Assum'!$A$4:$I$917,6,FALSE)</f>
        <v>22794</v>
      </c>
      <c r="Y898" s="2">
        <f>VLOOKUP($A898,'[2]App C Assum'!$A$4:$I$917,7,FALSE)</f>
        <v>18505</v>
      </c>
      <c r="Z898" s="2">
        <f>VLOOKUP($A898,'[2]App C Assum'!$A$4:$I$917,8,FALSE)</f>
        <v>0</v>
      </c>
      <c r="AA898" s="2">
        <f>VLOOKUP($A898,'[2]App C Assum'!$A$4:$I$917,9,FALSE)</f>
        <v>0</v>
      </c>
      <c r="AB898" s="2"/>
      <c r="AC898" s="2">
        <f>VLOOKUP($A898,'[2]App C Share Outflows'!$A$4:$I$917,5,FALSE)</f>
        <v>5365</v>
      </c>
      <c r="AD898" s="2">
        <f>VLOOKUP($A898,'[2]App C Share Outflows'!$A$4:$I$917,6,FALSE)</f>
        <v>4833</v>
      </c>
      <c r="AE898" s="2">
        <f>VLOOKUP($A898,'[2]App C Share Outflows'!$A$4:$I$917,7,FALSE)</f>
        <v>3614</v>
      </c>
      <c r="AF898" s="2">
        <f>VLOOKUP($A898,'[2]App C Share Outflows'!$A$4:$I$917,8,FALSE)</f>
        <v>2537</v>
      </c>
      <c r="AG898" s="2">
        <f>VLOOKUP($A898,'[2]App C Share Outflows'!$A$4:$I$917,9,FALSE)</f>
        <v>0</v>
      </c>
      <c r="AH898" s="2"/>
      <c r="AI898" s="2">
        <f>VLOOKUP($A898,'[2]App C Share Inflows'!$A$4:$I$917,5,FALSE)</f>
        <v>0</v>
      </c>
      <c r="AJ898" s="2">
        <f>VLOOKUP($A898,'[2]App C Share Inflows'!$A$4:$I$917,6,FALSE)</f>
        <v>0</v>
      </c>
      <c r="AK898" s="2">
        <f>VLOOKUP($A898,'[2]App C Share Inflows'!$A$4:$I$917,7,FALSE)</f>
        <v>0</v>
      </c>
      <c r="AL898" s="2">
        <f>VLOOKUP($A898,'[2]App C Share Inflows'!$A$4:$I$917,8,FALSE)</f>
        <v>0</v>
      </c>
      <c r="AM898" s="2">
        <f>VLOOKUP($A898,'[2]App C Share Inflows'!$A$4:$I$917,6,FALSE)</f>
        <v>0</v>
      </c>
    </row>
    <row r="899" spans="1:39">
      <c r="A899" s="351">
        <v>99711</v>
      </c>
      <c r="B899" s="344" t="s">
        <v>3713</v>
      </c>
      <c r="C899" s="235" t="e">
        <f>VLOOKUP(A899,#REF!,10,FALSE)</f>
        <v>#REF!</v>
      </c>
      <c r="E899" s="2">
        <f>VLOOKUP($A899,'[2]App C Total'!$A$4:$I$917,5,FALSE)</f>
        <v>207882</v>
      </c>
      <c r="F899" s="2">
        <f>VLOOKUP($A899,'[2]App C Total'!$A$4:$I$917,6,FALSE)</f>
        <v>65347</v>
      </c>
      <c r="G899" s="2">
        <f>VLOOKUP($A899,'[2]App C Total'!$A$4:$I$917,7,FALSE)</f>
        <v>110346</v>
      </c>
      <c r="H899" s="2">
        <f>VLOOKUP($A899,'[2]App C Total'!$A$4:$I$917,8,FALSE)</f>
        <v>30040</v>
      </c>
      <c r="I899" s="2">
        <f>VLOOKUP($A899,'[2]App C Total'!$A$4:$I$917,9,FALSE)</f>
        <v>0</v>
      </c>
      <c r="J899" s="2"/>
      <c r="K899" s="2">
        <f>VLOOKUP($A899,'[2]App C Exp'!$A$4:$I$917,5,FALSE)</f>
        <v>63653</v>
      </c>
      <c r="L899" s="2">
        <f>VLOOKUP($A899,'[2]App C Exp'!$A$4:$I$917,6,FALSE)</f>
        <v>59877</v>
      </c>
      <c r="M899" s="2">
        <f>VLOOKUP($A899,'[2]App C Exp'!$A$4:$I$917,7,FALSE)</f>
        <v>53667</v>
      </c>
      <c r="N899" s="2">
        <f>VLOOKUP($A899,'[2]App C Exp'!$A$4:$I$917,8,FALSE)</f>
        <v>21488</v>
      </c>
      <c r="O899" s="2">
        <f>VLOOKUP($A899,'[2]App C Exp'!$A$4:$I$917,9,FALSE)</f>
        <v>0</v>
      </c>
      <c r="P899" s="2"/>
      <c r="Q899" s="2">
        <f>VLOOKUP($A899,'[2]App C Inv'!$A$4:$I$917,5,FALSE)</f>
        <v>67577</v>
      </c>
      <c r="R899" s="2">
        <f>VLOOKUP($A899,'[2]App C Inv'!$A$4:$I$917,6,FALSE)</f>
        <v>-58128</v>
      </c>
      <c r="S899" s="2">
        <f>VLOOKUP($A899,'[2]App C Inv'!$A$4:$I$917,7,FALSE)</f>
        <v>8192</v>
      </c>
      <c r="T899" s="2">
        <f>VLOOKUP($A899,'[2]App C Inv'!$A$4:$I$917,8,FALSE)</f>
        <v>10662</v>
      </c>
      <c r="U899" s="2">
        <f>VLOOKUP($A899,'[2]App C Inv'!$A$4:$I$917,9,FALSE)</f>
        <v>0</v>
      </c>
      <c r="V899" s="2"/>
      <c r="W899" s="2">
        <f>VLOOKUP($A899,'[2]App C Assum'!$A$4:$I$917,5,FALSE)</f>
        <v>76126</v>
      </c>
      <c r="X899" s="2">
        <f>VLOOKUP($A899,'[2]App C Assum'!$A$4:$I$917,6,FALSE)</f>
        <v>62365</v>
      </c>
      <c r="Y899" s="2">
        <f>VLOOKUP($A899,'[2]App C Assum'!$A$4:$I$917,7,FALSE)</f>
        <v>50630</v>
      </c>
      <c r="Z899" s="2">
        <f>VLOOKUP($A899,'[2]App C Assum'!$A$4:$I$917,8,FALSE)</f>
        <v>0</v>
      </c>
      <c r="AA899" s="2">
        <f>VLOOKUP($A899,'[2]App C Assum'!$A$4:$I$917,9,FALSE)</f>
        <v>0</v>
      </c>
      <c r="AB899" s="2"/>
      <c r="AC899" s="2">
        <f>VLOOKUP($A899,'[2]App C Share Outflows'!$A$4:$I$917,5,FALSE)</f>
        <v>3377</v>
      </c>
      <c r="AD899" s="2">
        <f>VLOOKUP($A899,'[2]App C Share Outflows'!$A$4:$I$917,6,FALSE)</f>
        <v>3378</v>
      </c>
      <c r="AE899" s="2">
        <f>VLOOKUP($A899,'[2]App C Share Outflows'!$A$4:$I$917,7,FALSE)</f>
        <v>0</v>
      </c>
      <c r="AF899" s="2">
        <f>VLOOKUP($A899,'[2]App C Share Outflows'!$A$4:$I$917,8,FALSE)</f>
        <v>0</v>
      </c>
      <c r="AG899" s="2">
        <f>VLOOKUP($A899,'[2]App C Share Outflows'!$A$4:$I$917,9,FALSE)</f>
        <v>0</v>
      </c>
      <c r="AH899" s="2"/>
      <c r="AI899" s="2">
        <f>VLOOKUP($A899,'[2]App C Share Inflows'!$A$4:$I$917,5,FALSE)</f>
        <v>-2851</v>
      </c>
      <c r="AJ899" s="2">
        <f>VLOOKUP($A899,'[2]App C Share Inflows'!$A$4:$I$917,6,FALSE)</f>
        <v>-2145</v>
      </c>
      <c r="AK899" s="2">
        <f>VLOOKUP($A899,'[2]App C Share Inflows'!$A$4:$I$917,7,FALSE)</f>
        <v>-2143</v>
      </c>
      <c r="AL899" s="2">
        <f>VLOOKUP($A899,'[2]App C Share Inflows'!$A$4:$I$917,8,FALSE)</f>
        <v>-2110</v>
      </c>
      <c r="AM899" s="2">
        <f>VLOOKUP($A899,'[2]App C Share Inflows'!$A$4:$I$917,6,FALSE)</f>
        <v>-2145</v>
      </c>
    </row>
    <row r="900" spans="1:39">
      <c r="A900" s="351">
        <v>99717</v>
      </c>
      <c r="B900" s="344" t="s">
        <v>3714</v>
      </c>
      <c r="C900" s="235" t="e">
        <f>VLOOKUP(A900,#REF!,10,FALSE)</f>
        <v>#REF!</v>
      </c>
      <c r="E900" s="2">
        <f>VLOOKUP($A900,'[2]App C Total'!$A$4:$I$917,5,FALSE)</f>
        <v>11980</v>
      </c>
      <c r="F900" s="2">
        <f>VLOOKUP($A900,'[2]App C Total'!$A$4:$I$917,6,FALSE)</f>
        <v>3255</v>
      </c>
      <c r="G900" s="2">
        <f>VLOOKUP($A900,'[2]App C Total'!$A$4:$I$917,7,FALSE)</f>
        <v>6903</v>
      </c>
      <c r="H900" s="2">
        <f>VLOOKUP($A900,'[2]App C Total'!$A$4:$I$917,8,FALSE)</f>
        <v>2226</v>
      </c>
      <c r="I900" s="2">
        <f>VLOOKUP($A900,'[2]App C Total'!$A$4:$I$917,9,FALSE)</f>
        <v>0</v>
      </c>
      <c r="J900" s="2"/>
      <c r="K900" s="2">
        <f>VLOOKUP($A900,'[2]App C Exp'!$A$4:$I$917,5,FALSE)</f>
        <v>3985</v>
      </c>
      <c r="L900" s="2">
        <f>VLOOKUP($A900,'[2]App C Exp'!$A$4:$I$917,6,FALSE)</f>
        <v>3748</v>
      </c>
      <c r="M900" s="2">
        <f>VLOOKUP($A900,'[2]App C Exp'!$A$4:$I$917,7,FALSE)</f>
        <v>3360</v>
      </c>
      <c r="N900" s="2">
        <f>VLOOKUP($A900,'[2]App C Exp'!$A$4:$I$917,8,FALSE)</f>
        <v>1345</v>
      </c>
      <c r="O900" s="2">
        <f>VLOOKUP($A900,'[2]App C Exp'!$A$4:$I$917,9,FALSE)</f>
        <v>0</v>
      </c>
      <c r="P900" s="2"/>
      <c r="Q900" s="2">
        <f>VLOOKUP($A900,'[2]App C Inv'!$A$4:$I$917,5,FALSE)</f>
        <v>4230</v>
      </c>
      <c r="R900" s="2">
        <f>VLOOKUP($A900,'[2]App C Inv'!$A$4:$I$917,6,FALSE)</f>
        <v>-3639</v>
      </c>
      <c r="S900" s="2">
        <f>VLOOKUP($A900,'[2]App C Inv'!$A$4:$I$917,7,FALSE)</f>
        <v>513</v>
      </c>
      <c r="T900" s="2">
        <f>VLOOKUP($A900,'[2]App C Inv'!$A$4:$I$917,8,FALSE)</f>
        <v>668</v>
      </c>
      <c r="U900" s="2">
        <f>VLOOKUP($A900,'[2]App C Inv'!$A$4:$I$917,9,FALSE)</f>
        <v>0</v>
      </c>
      <c r="V900" s="2"/>
      <c r="W900" s="2">
        <f>VLOOKUP($A900,'[2]App C Assum'!$A$4:$I$917,5,FALSE)</f>
        <v>4766</v>
      </c>
      <c r="X900" s="2">
        <f>VLOOKUP($A900,'[2]App C Assum'!$A$4:$I$917,6,FALSE)</f>
        <v>3904</v>
      </c>
      <c r="Y900" s="2">
        <f>VLOOKUP($A900,'[2]App C Assum'!$A$4:$I$917,7,FALSE)</f>
        <v>3170</v>
      </c>
      <c r="Z900" s="2">
        <f>VLOOKUP($A900,'[2]App C Assum'!$A$4:$I$917,8,FALSE)</f>
        <v>0</v>
      </c>
      <c r="AA900" s="2">
        <f>VLOOKUP($A900,'[2]App C Assum'!$A$4:$I$917,9,FALSE)</f>
        <v>0</v>
      </c>
      <c r="AB900" s="2"/>
      <c r="AC900" s="2">
        <f>VLOOKUP($A900,'[2]App C Share Outflows'!$A$4:$I$917,5,FALSE)</f>
        <v>215</v>
      </c>
      <c r="AD900" s="2">
        <f>VLOOKUP($A900,'[2]App C Share Outflows'!$A$4:$I$917,6,FALSE)</f>
        <v>215</v>
      </c>
      <c r="AE900" s="2">
        <f>VLOOKUP($A900,'[2]App C Share Outflows'!$A$4:$I$917,7,FALSE)</f>
        <v>215</v>
      </c>
      <c r="AF900" s="2">
        <f>VLOOKUP($A900,'[2]App C Share Outflows'!$A$4:$I$917,8,FALSE)</f>
        <v>213</v>
      </c>
      <c r="AG900" s="2">
        <f>VLOOKUP($A900,'[2]App C Share Outflows'!$A$4:$I$917,9,FALSE)</f>
        <v>0</v>
      </c>
      <c r="AH900" s="2"/>
      <c r="AI900" s="2">
        <f>VLOOKUP($A900,'[2]App C Share Inflows'!$A$4:$I$917,5,FALSE)</f>
        <v>-1216</v>
      </c>
      <c r="AJ900" s="2">
        <f>VLOOKUP($A900,'[2]App C Share Inflows'!$A$4:$I$917,6,FALSE)</f>
        <v>-973</v>
      </c>
      <c r="AK900" s="2">
        <f>VLOOKUP($A900,'[2]App C Share Inflows'!$A$4:$I$917,7,FALSE)</f>
        <v>-355</v>
      </c>
      <c r="AL900" s="2">
        <f>VLOOKUP($A900,'[2]App C Share Inflows'!$A$4:$I$917,8,FALSE)</f>
        <v>0</v>
      </c>
      <c r="AM900" s="2">
        <f>VLOOKUP($A900,'[2]App C Share Inflows'!$A$4:$I$917,6,FALSE)</f>
        <v>-973</v>
      </c>
    </row>
    <row r="901" spans="1:39">
      <c r="A901" s="351">
        <v>99721</v>
      </c>
      <c r="B901" s="344" t="s">
        <v>1599</v>
      </c>
      <c r="C901" s="235" t="e">
        <f>VLOOKUP(A901,#REF!,10,FALSE)</f>
        <v>#REF!</v>
      </c>
      <c r="E901" s="2">
        <f>VLOOKUP($A901,'[2]App C Total'!$A$4:$I$917,5,FALSE)</f>
        <v>285667</v>
      </c>
      <c r="F901" s="2">
        <f>VLOOKUP($A901,'[2]App C Total'!$A$4:$I$917,6,FALSE)</f>
        <v>81052</v>
      </c>
      <c r="G901" s="2">
        <f>VLOOKUP($A901,'[2]App C Total'!$A$4:$I$917,7,FALSE)</f>
        <v>161017</v>
      </c>
      <c r="H901" s="2">
        <f>VLOOKUP($A901,'[2]App C Total'!$A$4:$I$917,8,FALSE)</f>
        <v>46856</v>
      </c>
      <c r="I901" s="2">
        <f>VLOOKUP($A901,'[2]App C Total'!$A$4:$I$917,9,FALSE)</f>
        <v>0</v>
      </c>
      <c r="J901" s="2"/>
      <c r="K901" s="2">
        <f>VLOOKUP($A901,'[2]App C Exp'!$A$4:$I$917,5,FALSE)</f>
        <v>91622</v>
      </c>
      <c r="L901" s="2">
        <f>VLOOKUP($A901,'[2]App C Exp'!$A$4:$I$917,6,FALSE)</f>
        <v>86187</v>
      </c>
      <c r="M901" s="2">
        <f>VLOOKUP($A901,'[2]App C Exp'!$A$4:$I$917,7,FALSE)</f>
        <v>77248</v>
      </c>
      <c r="N901" s="2">
        <f>VLOOKUP($A901,'[2]App C Exp'!$A$4:$I$917,8,FALSE)</f>
        <v>30929</v>
      </c>
      <c r="O901" s="2">
        <f>VLOOKUP($A901,'[2]App C Exp'!$A$4:$I$917,9,FALSE)</f>
        <v>0</v>
      </c>
      <c r="P901" s="2"/>
      <c r="Q901" s="2">
        <f>VLOOKUP($A901,'[2]App C Inv'!$A$4:$I$917,5,FALSE)</f>
        <v>97269</v>
      </c>
      <c r="R901" s="2">
        <f>VLOOKUP($A901,'[2]App C Inv'!$A$4:$I$917,6,FALSE)</f>
        <v>-83670</v>
      </c>
      <c r="S901" s="2">
        <f>VLOOKUP($A901,'[2]App C Inv'!$A$4:$I$917,7,FALSE)</f>
        <v>11792</v>
      </c>
      <c r="T901" s="2">
        <f>VLOOKUP($A901,'[2]App C Inv'!$A$4:$I$917,8,FALSE)</f>
        <v>15347</v>
      </c>
      <c r="U901" s="2">
        <f>VLOOKUP($A901,'[2]App C Inv'!$A$4:$I$917,9,FALSE)</f>
        <v>0</v>
      </c>
      <c r="V901" s="2"/>
      <c r="W901" s="2">
        <f>VLOOKUP($A901,'[2]App C Assum'!$A$4:$I$917,5,FALSE)</f>
        <v>109575</v>
      </c>
      <c r="X901" s="2">
        <f>VLOOKUP($A901,'[2]App C Assum'!$A$4:$I$917,6,FALSE)</f>
        <v>89768</v>
      </c>
      <c r="Y901" s="2">
        <f>VLOOKUP($A901,'[2]App C Assum'!$A$4:$I$917,7,FALSE)</f>
        <v>72876</v>
      </c>
      <c r="Z901" s="2">
        <f>VLOOKUP($A901,'[2]App C Assum'!$A$4:$I$917,8,FALSE)</f>
        <v>0</v>
      </c>
      <c r="AA901" s="2">
        <f>VLOOKUP($A901,'[2]App C Assum'!$A$4:$I$917,9,FALSE)</f>
        <v>0</v>
      </c>
      <c r="AB901" s="2"/>
      <c r="AC901" s="2">
        <f>VLOOKUP($A901,'[2]App C Share Outflows'!$A$4:$I$917,5,FALSE)</f>
        <v>579</v>
      </c>
      <c r="AD901" s="2">
        <f>VLOOKUP($A901,'[2]App C Share Outflows'!$A$4:$I$917,6,FALSE)</f>
        <v>579</v>
      </c>
      <c r="AE901" s="2">
        <f>VLOOKUP($A901,'[2]App C Share Outflows'!$A$4:$I$917,7,FALSE)</f>
        <v>579</v>
      </c>
      <c r="AF901" s="2">
        <f>VLOOKUP($A901,'[2]App C Share Outflows'!$A$4:$I$917,8,FALSE)</f>
        <v>580</v>
      </c>
      <c r="AG901" s="2">
        <f>VLOOKUP($A901,'[2]App C Share Outflows'!$A$4:$I$917,9,FALSE)</f>
        <v>0</v>
      </c>
      <c r="AH901" s="2"/>
      <c r="AI901" s="2">
        <f>VLOOKUP($A901,'[2]App C Share Inflows'!$A$4:$I$917,5,FALSE)</f>
        <v>-13378</v>
      </c>
      <c r="AJ901" s="2">
        <f>VLOOKUP($A901,'[2]App C Share Inflows'!$A$4:$I$917,6,FALSE)</f>
        <v>-11812</v>
      </c>
      <c r="AK901" s="2">
        <f>VLOOKUP($A901,'[2]App C Share Inflows'!$A$4:$I$917,7,FALSE)</f>
        <v>-1478</v>
      </c>
      <c r="AL901" s="2">
        <f>VLOOKUP($A901,'[2]App C Share Inflows'!$A$4:$I$917,8,FALSE)</f>
        <v>0</v>
      </c>
      <c r="AM901" s="2">
        <f>VLOOKUP($A901,'[2]App C Share Inflows'!$A$4:$I$917,6,FALSE)</f>
        <v>-11812</v>
      </c>
    </row>
    <row r="902" spans="1:39">
      <c r="A902" s="351">
        <v>99727</v>
      </c>
      <c r="B902" s="344" t="s">
        <v>1600</v>
      </c>
      <c r="C902" s="235" t="e">
        <f>VLOOKUP(A902,#REF!,10,FALSE)</f>
        <v>#REF!</v>
      </c>
      <c r="E902" s="2">
        <f>VLOOKUP($A902,'[2]App C Total'!$A$4:$I$917,5,FALSE)</f>
        <v>36652</v>
      </c>
      <c r="F902" s="2">
        <f>VLOOKUP($A902,'[2]App C Total'!$A$4:$I$917,6,FALSE)</f>
        <v>24187</v>
      </c>
      <c r="G902" s="2">
        <f>VLOOKUP($A902,'[2]App C Total'!$A$4:$I$917,7,FALSE)</f>
        <v>19607</v>
      </c>
      <c r="H902" s="2">
        <f>VLOOKUP($A902,'[2]App C Total'!$A$4:$I$917,8,FALSE)</f>
        <v>8489</v>
      </c>
      <c r="I902" s="2">
        <f>VLOOKUP($A902,'[2]App C Total'!$A$4:$I$917,9,FALSE)</f>
        <v>0</v>
      </c>
      <c r="J902" s="2"/>
      <c r="K902" s="2">
        <f>VLOOKUP($A902,'[2]App C Exp'!$A$4:$I$917,5,FALSE)</f>
        <v>2966</v>
      </c>
      <c r="L902" s="2">
        <f>VLOOKUP($A902,'[2]App C Exp'!$A$4:$I$917,6,FALSE)</f>
        <v>2790</v>
      </c>
      <c r="M902" s="2">
        <f>VLOOKUP($A902,'[2]App C Exp'!$A$4:$I$917,7,FALSE)</f>
        <v>2501</v>
      </c>
      <c r="N902" s="2">
        <f>VLOOKUP($A902,'[2]App C Exp'!$A$4:$I$917,8,FALSE)</f>
        <v>1001</v>
      </c>
      <c r="O902" s="2">
        <f>VLOOKUP($A902,'[2]App C Exp'!$A$4:$I$917,9,FALSE)</f>
        <v>0</v>
      </c>
      <c r="P902" s="2"/>
      <c r="Q902" s="2">
        <f>VLOOKUP($A902,'[2]App C Inv'!$A$4:$I$917,5,FALSE)</f>
        <v>3149</v>
      </c>
      <c r="R902" s="2">
        <f>VLOOKUP($A902,'[2]App C Inv'!$A$4:$I$917,6,FALSE)</f>
        <v>-2709</v>
      </c>
      <c r="S902" s="2">
        <f>VLOOKUP($A902,'[2]App C Inv'!$A$4:$I$917,7,FALSE)</f>
        <v>382</v>
      </c>
      <c r="T902" s="2">
        <f>VLOOKUP($A902,'[2]App C Inv'!$A$4:$I$917,8,FALSE)</f>
        <v>497</v>
      </c>
      <c r="U902" s="2">
        <f>VLOOKUP($A902,'[2]App C Inv'!$A$4:$I$917,9,FALSE)</f>
        <v>0</v>
      </c>
      <c r="V902" s="2"/>
      <c r="W902" s="2">
        <f>VLOOKUP($A902,'[2]App C Assum'!$A$4:$I$917,5,FALSE)</f>
        <v>3547</v>
      </c>
      <c r="X902" s="2">
        <f>VLOOKUP($A902,'[2]App C Assum'!$A$4:$I$917,6,FALSE)</f>
        <v>2906</v>
      </c>
      <c r="Y902" s="2">
        <f>VLOOKUP($A902,'[2]App C Assum'!$A$4:$I$917,7,FALSE)</f>
        <v>2359</v>
      </c>
      <c r="Z902" s="2">
        <f>VLOOKUP($A902,'[2]App C Assum'!$A$4:$I$917,8,FALSE)</f>
        <v>0</v>
      </c>
      <c r="AA902" s="2">
        <f>VLOOKUP($A902,'[2]App C Assum'!$A$4:$I$917,9,FALSE)</f>
        <v>0</v>
      </c>
      <c r="AB902" s="2"/>
      <c r="AC902" s="2">
        <f>VLOOKUP($A902,'[2]App C Share Outflows'!$A$4:$I$917,5,FALSE)</f>
        <v>26990</v>
      </c>
      <c r="AD902" s="2">
        <f>VLOOKUP($A902,'[2]App C Share Outflows'!$A$4:$I$917,6,FALSE)</f>
        <v>21200</v>
      </c>
      <c r="AE902" s="2">
        <f>VLOOKUP($A902,'[2]App C Share Outflows'!$A$4:$I$917,7,FALSE)</f>
        <v>14365</v>
      </c>
      <c r="AF902" s="2">
        <f>VLOOKUP($A902,'[2]App C Share Outflows'!$A$4:$I$917,8,FALSE)</f>
        <v>6991</v>
      </c>
      <c r="AG902" s="2">
        <f>VLOOKUP($A902,'[2]App C Share Outflows'!$A$4:$I$917,9,FALSE)</f>
        <v>0</v>
      </c>
      <c r="AH902" s="2"/>
      <c r="AI902" s="2">
        <f>VLOOKUP($A902,'[2]App C Share Inflows'!$A$4:$I$917,5,FALSE)</f>
        <v>0</v>
      </c>
      <c r="AJ902" s="2">
        <f>VLOOKUP($A902,'[2]App C Share Inflows'!$A$4:$I$917,6,FALSE)</f>
        <v>0</v>
      </c>
      <c r="AK902" s="2">
        <f>VLOOKUP($A902,'[2]App C Share Inflows'!$A$4:$I$917,7,FALSE)</f>
        <v>0</v>
      </c>
      <c r="AL902" s="2">
        <f>VLOOKUP($A902,'[2]App C Share Inflows'!$A$4:$I$917,8,FALSE)</f>
        <v>0</v>
      </c>
      <c r="AM902" s="2">
        <f>VLOOKUP($A902,'[2]App C Share Inflows'!$A$4:$I$917,6,FALSE)</f>
        <v>0</v>
      </c>
    </row>
    <row r="903" spans="1:39">
      <c r="A903" s="351">
        <v>99801</v>
      </c>
      <c r="B903" s="344" t="s">
        <v>1601</v>
      </c>
      <c r="C903" s="235" t="e">
        <f>VLOOKUP(A903,#REF!,10,FALSE)</f>
        <v>#REF!</v>
      </c>
      <c r="E903" s="2">
        <f>VLOOKUP($A903,'[2]App C Total'!$A$4:$I$917,5,FALSE)</f>
        <v>2173023</v>
      </c>
      <c r="F903" s="2">
        <f>VLOOKUP($A903,'[2]App C Total'!$A$4:$I$917,6,FALSE)</f>
        <v>570826</v>
      </c>
      <c r="G903" s="2">
        <f>VLOOKUP($A903,'[2]App C Total'!$A$4:$I$917,7,FALSE)</f>
        <v>1140152</v>
      </c>
      <c r="H903" s="2">
        <f>VLOOKUP($A903,'[2]App C Total'!$A$4:$I$917,8,FALSE)</f>
        <v>297576</v>
      </c>
      <c r="I903" s="2">
        <f>VLOOKUP($A903,'[2]App C Total'!$A$4:$I$917,9,FALSE)</f>
        <v>0</v>
      </c>
      <c r="J903" s="2"/>
      <c r="K903" s="2">
        <f>VLOOKUP($A903,'[2]App C Exp'!$A$4:$I$917,5,FALSE)</f>
        <v>715149</v>
      </c>
      <c r="L903" s="2">
        <f>VLOOKUP($A903,'[2]App C Exp'!$A$4:$I$917,6,FALSE)</f>
        <v>672724</v>
      </c>
      <c r="M903" s="2">
        <f>VLOOKUP($A903,'[2]App C Exp'!$A$4:$I$917,7,FALSE)</f>
        <v>602955</v>
      </c>
      <c r="N903" s="2">
        <f>VLOOKUP($A903,'[2]App C Exp'!$A$4:$I$917,8,FALSE)</f>
        <v>241416</v>
      </c>
      <c r="O903" s="2">
        <f>VLOOKUP($A903,'[2]App C Exp'!$A$4:$I$917,9,FALSE)</f>
        <v>0</v>
      </c>
      <c r="P903" s="2"/>
      <c r="Q903" s="2">
        <f>VLOOKUP($A903,'[2]App C Inv'!$A$4:$I$917,5,FALSE)</f>
        <v>759230</v>
      </c>
      <c r="R903" s="2">
        <f>VLOOKUP($A903,'[2]App C Inv'!$A$4:$I$917,6,FALSE)</f>
        <v>-653080</v>
      </c>
      <c r="S903" s="2">
        <f>VLOOKUP($A903,'[2]App C Inv'!$A$4:$I$917,7,FALSE)</f>
        <v>92044</v>
      </c>
      <c r="T903" s="2">
        <f>VLOOKUP($A903,'[2]App C Inv'!$A$4:$I$917,8,FALSE)</f>
        <v>119794</v>
      </c>
      <c r="U903" s="2">
        <f>VLOOKUP($A903,'[2]App C Inv'!$A$4:$I$917,9,FALSE)</f>
        <v>0</v>
      </c>
      <c r="V903" s="2"/>
      <c r="W903" s="2">
        <f>VLOOKUP($A903,'[2]App C Assum'!$A$4:$I$917,5,FALSE)</f>
        <v>855284</v>
      </c>
      <c r="X903" s="2">
        <f>VLOOKUP($A903,'[2]App C Assum'!$A$4:$I$917,6,FALSE)</f>
        <v>700679</v>
      </c>
      <c r="Y903" s="2">
        <f>VLOOKUP($A903,'[2]App C Assum'!$A$4:$I$917,7,FALSE)</f>
        <v>568832</v>
      </c>
      <c r="Z903" s="2">
        <f>VLOOKUP($A903,'[2]App C Assum'!$A$4:$I$917,8,FALSE)</f>
        <v>0</v>
      </c>
      <c r="AA903" s="2">
        <f>VLOOKUP($A903,'[2]App C Assum'!$A$4:$I$917,9,FALSE)</f>
        <v>0</v>
      </c>
      <c r="AB903" s="2"/>
      <c r="AC903" s="2">
        <f>VLOOKUP($A903,'[2]App C Share Outflows'!$A$4:$I$917,5,FALSE)</f>
        <v>0</v>
      </c>
      <c r="AD903" s="2">
        <f>VLOOKUP($A903,'[2]App C Share Outflows'!$A$4:$I$917,6,FALSE)</f>
        <v>0</v>
      </c>
      <c r="AE903" s="2">
        <f>VLOOKUP($A903,'[2]App C Share Outflows'!$A$4:$I$917,7,FALSE)</f>
        <v>0</v>
      </c>
      <c r="AF903" s="2">
        <f>VLOOKUP($A903,'[2]App C Share Outflows'!$A$4:$I$917,8,FALSE)</f>
        <v>0</v>
      </c>
      <c r="AG903" s="2">
        <f>VLOOKUP($A903,'[2]App C Share Outflows'!$A$4:$I$917,9,FALSE)</f>
        <v>0</v>
      </c>
      <c r="AH903" s="2"/>
      <c r="AI903" s="2">
        <f>VLOOKUP($A903,'[2]App C Share Inflows'!$A$4:$I$917,5,FALSE)</f>
        <v>-156640</v>
      </c>
      <c r="AJ903" s="2">
        <f>VLOOKUP($A903,'[2]App C Share Inflows'!$A$4:$I$917,6,FALSE)</f>
        <v>-149497</v>
      </c>
      <c r="AK903" s="2">
        <f>VLOOKUP($A903,'[2]App C Share Inflows'!$A$4:$I$917,7,FALSE)</f>
        <v>-123679</v>
      </c>
      <c r="AL903" s="2">
        <f>VLOOKUP($A903,'[2]App C Share Inflows'!$A$4:$I$917,8,FALSE)</f>
        <v>-63634</v>
      </c>
      <c r="AM903" s="2">
        <f>VLOOKUP($A903,'[2]App C Share Inflows'!$A$4:$I$917,6,FALSE)</f>
        <v>-149497</v>
      </c>
    </row>
    <row r="904" spans="1:39">
      <c r="A904" s="351">
        <v>99802</v>
      </c>
      <c r="B904" s="344" t="s">
        <v>2773</v>
      </c>
      <c r="C904" s="235" t="e">
        <f>VLOOKUP(A904,#REF!,10,FALSE)</f>
        <v>#REF!</v>
      </c>
      <c r="E904" s="2">
        <f>VLOOKUP($A904,'[2]App C Total'!$A$4:$I$917,5,FALSE)</f>
        <v>7515</v>
      </c>
      <c r="F904" s="2">
        <f>VLOOKUP($A904,'[2]App C Total'!$A$4:$I$917,6,FALSE)</f>
        <v>3558</v>
      </c>
      <c r="G904" s="2">
        <f>VLOOKUP($A904,'[2]App C Total'!$A$4:$I$917,7,FALSE)</f>
        <v>4596</v>
      </c>
      <c r="H904" s="2">
        <f>VLOOKUP($A904,'[2]App C Total'!$A$4:$I$917,8,FALSE)</f>
        <v>1162</v>
      </c>
      <c r="I904" s="2">
        <f>VLOOKUP($A904,'[2]App C Total'!$A$4:$I$917,9,FALSE)</f>
        <v>0</v>
      </c>
      <c r="J904" s="2"/>
      <c r="K904" s="2">
        <f>VLOOKUP($A904,'[2]App C Exp'!$A$4:$I$917,5,FALSE)</f>
        <v>1738</v>
      </c>
      <c r="L904" s="2">
        <f>VLOOKUP($A904,'[2]App C Exp'!$A$4:$I$917,6,FALSE)</f>
        <v>1635</v>
      </c>
      <c r="M904" s="2">
        <f>VLOOKUP($A904,'[2]App C Exp'!$A$4:$I$917,7,FALSE)</f>
        <v>1465</v>
      </c>
      <c r="N904" s="2">
        <f>VLOOKUP($A904,'[2]App C Exp'!$A$4:$I$917,8,FALSE)</f>
        <v>587</v>
      </c>
      <c r="O904" s="2">
        <f>VLOOKUP($A904,'[2]App C Exp'!$A$4:$I$917,9,FALSE)</f>
        <v>0</v>
      </c>
      <c r="P904" s="2"/>
      <c r="Q904" s="2">
        <f>VLOOKUP($A904,'[2]App C Inv'!$A$4:$I$917,5,FALSE)</f>
        <v>1845</v>
      </c>
      <c r="R904" s="2">
        <f>VLOOKUP($A904,'[2]App C Inv'!$A$4:$I$917,6,FALSE)</f>
        <v>-1587</v>
      </c>
      <c r="S904" s="2">
        <f>VLOOKUP($A904,'[2]App C Inv'!$A$4:$I$917,7,FALSE)</f>
        <v>224</v>
      </c>
      <c r="T904" s="2">
        <f>VLOOKUP($A904,'[2]App C Inv'!$A$4:$I$917,8,FALSE)</f>
        <v>291</v>
      </c>
      <c r="U904" s="2">
        <f>VLOOKUP($A904,'[2]App C Inv'!$A$4:$I$917,9,FALSE)</f>
        <v>0</v>
      </c>
      <c r="V904" s="2"/>
      <c r="W904" s="2">
        <f>VLOOKUP($A904,'[2]App C Assum'!$A$4:$I$917,5,FALSE)</f>
        <v>2078</v>
      </c>
      <c r="X904" s="2">
        <f>VLOOKUP($A904,'[2]App C Assum'!$A$4:$I$917,6,FALSE)</f>
        <v>1703</v>
      </c>
      <c r="Y904" s="2">
        <f>VLOOKUP($A904,'[2]App C Assum'!$A$4:$I$917,7,FALSE)</f>
        <v>1382</v>
      </c>
      <c r="Z904" s="2">
        <f>VLOOKUP($A904,'[2]App C Assum'!$A$4:$I$917,8,FALSE)</f>
        <v>0</v>
      </c>
      <c r="AA904" s="2">
        <f>VLOOKUP($A904,'[2]App C Assum'!$A$4:$I$917,9,FALSE)</f>
        <v>0</v>
      </c>
      <c r="AB904" s="2"/>
      <c r="AC904" s="2">
        <f>VLOOKUP($A904,'[2]App C Share Outflows'!$A$4:$I$917,5,FALSE)</f>
        <v>1854</v>
      </c>
      <c r="AD904" s="2">
        <f>VLOOKUP($A904,'[2]App C Share Outflows'!$A$4:$I$917,6,FALSE)</f>
        <v>1807</v>
      </c>
      <c r="AE904" s="2">
        <f>VLOOKUP($A904,'[2]App C Share Outflows'!$A$4:$I$917,7,FALSE)</f>
        <v>1525</v>
      </c>
      <c r="AF904" s="2">
        <f>VLOOKUP($A904,'[2]App C Share Outflows'!$A$4:$I$917,8,FALSE)</f>
        <v>284</v>
      </c>
      <c r="AG904" s="2">
        <f>VLOOKUP($A904,'[2]App C Share Outflows'!$A$4:$I$917,9,FALSE)</f>
        <v>0</v>
      </c>
      <c r="AH904" s="2"/>
      <c r="AI904" s="2">
        <f>VLOOKUP($A904,'[2]App C Share Inflows'!$A$4:$I$917,5,FALSE)</f>
        <v>0</v>
      </c>
      <c r="AJ904" s="2">
        <f>VLOOKUP($A904,'[2]App C Share Inflows'!$A$4:$I$917,6,FALSE)</f>
        <v>0</v>
      </c>
      <c r="AK904" s="2">
        <f>VLOOKUP($A904,'[2]App C Share Inflows'!$A$4:$I$917,7,FALSE)</f>
        <v>0</v>
      </c>
      <c r="AL904" s="2">
        <f>VLOOKUP($A904,'[2]App C Share Inflows'!$A$4:$I$917,8,FALSE)</f>
        <v>0</v>
      </c>
      <c r="AM904" s="2">
        <f>VLOOKUP($A904,'[2]App C Share Inflows'!$A$4:$I$917,6,FALSE)</f>
        <v>0</v>
      </c>
    </row>
    <row r="905" spans="1:39">
      <c r="A905" s="351">
        <v>99804</v>
      </c>
      <c r="B905" s="344" t="s">
        <v>1603</v>
      </c>
      <c r="C905" s="235" t="e">
        <f>VLOOKUP(A905,#REF!,10,FALSE)</f>
        <v>#REF!</v>
      </c>
      <c r="E905" s="2">
        <f>VLOOKUP($A905,'[2]App C Total'!$A$4:$I$917,5,FALSE)</f>
        <v>38217</v>
      </c>
      <c r="F905" s="2">
        <f>VLOOKUP($A905,'[2]App C Total'!$A$4:$I$917,6,FALSE)</f>
        <v>12984</v>
      </c>
      <c r="G905" s="2">
        <f>VLOOKUP($A905,'[2]App C Total'!$A$4:$I$917,7,FALSE)</f>
        <v>19509</v>
      </c>
      <c r="H905" s="2">
        <f>VLOOKUP($A905,'[2]App C Total'!$A$4:$I$917,8,FALSE)</f>
        <v>5893</v>
      </c>
      <c r="I905" s="2">
        <f>VLOOKUP($A905,'[2]App C Total'!$A$4:$I$917,9,FALSE)</f>
        <v>0</v>
      </c>
      <c r="J905" s="2"/>
      <c r="K905" s="2">
        <f>VLOOKUP($A905,'[2]App C Exp'!$A$4:$I$917,5,FALSE)</f>
        <v>10816</v>
      </c>
      <c r="L905" s="2">
        <f>VLOOKUP($A905,'[2]App C Exp'!$A$4:$I$917,6,FALSE)</f>
        <v>10174</v>
      </c>
      <c r="M905" s="2">
        <f>VLOOKUP($A905,'[2]App C Exp'!$A$4:$I$917,7,FALSE)</f>
        <v>9119</v>
      </c>
      <c r="N905" s="2">
        <f>VLOOKUP($A905,'[2]App C Exp'!$A$4:$I$917,8,FALSE)</f>
        <v>3651</v>
      </c>
      <c r="O905" s="2">
        <f>VLOOKUP($A905,'[2]App C Exp'!$A$4:$I$917,9,FALSE)</f>
        <v>0</v>
      </c>
      <c r="P905" s="2"/>
      <c r="Q905" s="2">
        <f>VLOOKUP($A905,'[2]App C Inv'!$A$4:$I$917,5,FALSE)</f>
        <v>11483</v>
      </c>
      <c r="R905" s="2">
        <f>VLOOKUP($A905,'[2]App C Inv'!$A$4:$I$917,6,FALSE)</f>
        <v>-9877</v>
      </c>
      <c r="S905" s="2">
        <f>VLOOKUP($A905,'[2]App C Inv'!$A$4:$I$917,7,FALSE)</f>
        <v>1392</v>
      </c>
      <c r="T905" s="2">
        <f>VLOOKUP($A905,'[2]App C Inv'!$A$4:$I$917,8,FALSE)</f>
        <v>1812</v>
      </c>
      <c r="U905" s="2">
        <f>VLOOKUP($A905,'[2]App C Inv'!$A$4:$I$917,9,FALSE)</f>
        <v>0</v>
      </c>
      <c r="V905" s="2"/>
      <c r="W905" s="2">
        <f>VLOOKUP($A905,'[2]App C Assum'!$A$4:$I$917,5,FALSE)</f>
        <v>12935</v>
      </c>
      <c r="X905" s="2">
        <f>VLOOKUP($A905,'[2]App C Assum'!$A$4:$I$917,6,FALSE)</f>
        <v>10597</v>
      </c>
      <c r="Y905" s="2">
        <f>VLOOKUP($A905,'[2]App C Assum'!$A$4:$I$917,7,FALSE)</f>
        <v>8603</v>
      </c>
      <c r="Z905" s="2">
        <f>VLOOKUP($A905,'[2]App C Assum'!$A$4:$I$917,8,FALSE)</f>
        <v>0</v>
      </c>
      <c r="AA905" s="2">
        <f>VLOOKUP($A905,'[2]App C Assum'!$A$4:$I$917,9,FALSE)</f>
        <v>0</v>
      </c>
      <c r="AB905" s="2"/>
      <c r="AC905" s="2">
        <f>VLOOKUP($A905,'[2]App C Share Outflows'!$A$4:$I$917,5,FALSE)</f>
        <v>3015</v>
      </c>
      <c r="AD905" s="2">
        <f>VLOOKUP($A905,'[2]App C Share Outflows'!$A$4:$I$917,6,FALSE)</f>
        <v>2122</v>
      </c>
      <c r="AE905" s="2">
        <f>VLOOKUP($A905,'[2]App C Share Outflows'!$A$4:$I$917,7,FALSE)</f>
        <v>428</v>
      </c>
      <c r="AF905" s="2">
        <f>VLOOKUP($A905,'[2]App C Share Outflows'!$A$4:$I$917,8,FALSE)</f>
        <v>430</v>
      </c>
      <c r="AG905" s="2">
        <f>VLOOKUP($A905,'[2]App C Share Outflows'!$A$4:$I$917,9,FALSE)</f>
        <v>0</v>
      </c>
      <c r="AH905" s="2"/>
      <c r="AI905" s="2">
        <f>VLOOKUP($A905,'[2]App C Share Inflows'!$A$4:$I$917,5,FALSE)</f>
        <v>-32</v>
      </c>
      <c r="AJ905" s="2">
        <f>VLOOKUP($A905,'[2]App C Share Inflows'!$A$4:$I$917,6,FALSE)</f>
        <v>-32</v>
      </c>
      <c r="AK905" s="2">
        <f>VLOOKUP($A905,'[2]App C Share Inflows'!$A$4:$I$917,7,FALSE)</f>
        <v>-33</v>
      </c>
      <c r="AL905" s="2">
        <f>VLOOKUP($A905,'[2]App C Share Inflows'!$A$4:$I$917,8,FALSE)</f>
        <v>0</v>
      </c>
      <c r="AM905" s="2">
        <f>VLOOKUP($A905,'[2]App C Share Inflows'!$A$4:$I$917,6,FALSE)</f>
        <v>-32</v>
      </c>
    </row>
    <row r="906" spans="1:39">
      <c r="A906" s="351">
        <v>99811</v>
      </c>
      <c r="B906" s="344" t="s">
        <v>1604</v>
      </c>
      <c r="C906" s="235" t="e">
        <f>VLOOKUP(A906,#REF!,10,FALSE)</f>
        <v>#REF!</v>
      </c>
      <c r="E906" s="2">
        <f>VLOOKUP($A906,'[2]App C Total'!$A$4:$I$917,5,FALSE)</f>
        <v>2914143</v>
      </c>
      <c r="F906" s="2">
        <f>VLOOKUP($A906,'[2]App C Total'!$A$4:$I$917,6,FALSE)</f>
        <v>807842</v>
      </c>
      <c r="G906" s="2">
        <f>VLOOKUP($A906,'[2]App C Total'!$A$4:$I$917,7,FALSE)</f>
        <v>1600792</v>
      </c>
      <c r="H906" s="2">
        <f>VLOOKUP($A906,'[2]App C Total'!$A$4:$I$917,8,FALSE)</f>
        <v>447394</v>
      </c>
      <c r="I906" s="2">
        <f>VLOOKUP($A906,'[2]App C Total'!$A$4:$I$917,9,FALSE)</f>
        <v>0</v>
      </c>
      <c r="J906" s="2"/>
      <c r="K906" s="2">
        <f>VLOOKUP($A906,'[2]App C Exp'!$A$4:$I$917,5,FALSE)</f>
        <v>962031</v>
      </c>
      <c r="L906" s="2">
        <f>VLOOKUP($A906,'[2]App C Exp'!$A$4:$I$917,6,FALSE)</f>
        <v>904960</v>
      </c>
      <c r="M906" s="2">
        <f>VLOOKUP($A906,'[2]App C Exp'!$A$4:$I$917,7,FALSE)</f>
        <v>811105</v>
      </c>
      <c r="N906" s="2">
        <f>VLOOKUP($A906,'[2]App C Exp'!$A$4:$I$917,8,FALSE)</f>
        <v>324757</v>
      </c>
      <c r="O906" s="2">
        <f>VLOOKUP($A906,'[2]App C Exp'!$A$4:$I$917,9,FALSE)</f>
        <v>0</v>
      </c>
      <c r="P906" s="2"/>
      <c r="Q906" s="2">
        <f>VLOOKUP($A906,'[2]App C Inv'!$A$4:$I$917,5,FALSE)</f>
        <v>1021329</v>
      </c>
      <c r="R906" s="2">
        <f>VLOOKUP($A906,'[2]App C Inv'!$A$4:$I$917,6,FALSE)</f>
        <v>-878534</v>
      </c>
      <c r="S906" s="2">
        <f>VLOOKUP($A906,'[2]App C Inv'!$A$4:$I$917,7,FALSE)</f>
        <v>123819</v>
      </c>
      <c r="T906" s="2">
        <f>VLOOKUP($A906,'[2]App C Inv'!$A$4:$I$917,8,FALSE)</f>
        <v>161149</v>
      </c>
      <c r="U906" s="2">
        <f>VLOOKUP($A906,'[2]App C Inv'!$A$4:$I$917,9,FALSE)</f>
        <v>0</v>
      </c>
      <c r="V906" s="2"/>
      <c r="W906" s="2">
        <f>VLOOKUP($A906,'[2]App C Assum'!$A$4:$I$917,5,FALSE)</f>
        <v>1150543</v>
      </c>
      <c r="X906" s="2">
        <f>VLOOKUP($A906,'[2]App C Assum'!$A$4:$I$917,6,FALSE)</f>
        <v>942566</v>
      </c>
      <c r="Y906" s="2">
        <f>VLOOKUP($A906,'[2]App C Assum'!$A$4:$I$917,7,FALSE)</f>
        <v>765202</v>
      </c>
      <c r="Z906" s="2">
        <f>VLOOKUP($A906,'[2]App C Assum'!$A$4:$I$917,8,FALSE)</f>
        <v>0</v>
      </c>
      <c r="AA906" s="2">
        <f>VLOOKUP($A906,'[2]App C Assum'!$A$4:$I$917,9,FALSE)</f>
        <v>0</v>
      </c>
      <c r="AB906" s="2"/>
      <c r="AC906" s="2">
        <f>VLOOKUP($A906,'[2]App C Share Outflows'!$A$4:$I$917,5,FALSE)</f>
        <v>0</v>
      </c>
      <c r="AD906" s="2">
        <f>VLOOKUP($A906,'[2]App C Share Outflows'!$A$4:$I$917,6,FALSE)</f>
        <v>0</v>
      </c>
      <c r="AE906" s="2">
        <f>VLOOKUP($A906,'[2]App C Share Outflows'!$A$4:$I$917,7,FALSE)</f>
        <v>0</v>
      </c>
      <c r="AF906" s="2">
        <f>VLOOKUP($A906,'[2]App C Share Outflows'!$A$4:$I$917,8,FALSE)</f>
        <v>0</v>
      </c>
      <c r="AG906" s="2">
        <f>VLOOKUP($A906,'[2]App C Share Outflows'!$A$4:$I$917,9,FALSE)</f>
        <v>0</v>
      </c>
      <c r="AH906" s="2"/>
      <c r="AI906" s="2">
        <f>VLOOKUP($A906,'[2]App C Share Inflows'!$A$4:$I$917,5,FALSE)</f>
        <v>-219760</v>
      </c>
      <c r="AJ906" s="2">
        <f>VLOOKUP($A906,'[2]App C Share Inflows'!$A$4:$I$917,6,FALSE)</f>
        <v>-161150</v>
      </c>
      <c r="AK906" s="2">
        <f>VLOOKUP($A906,'[2]App C Share Inflows'!$A$4:$I$917,7,FALSE)</f>
        <v>-99334</v>
      </c>
      <c r="AL906" s="2">
        <f>VLOOKUP($A906,'[2]App C Share Inflows'!$A$4:$I$917,8,FALSE)</f>
        <v>-38512</v>
      </c>
      <c r="AM906" s="2">
        <f>VLOOKUP($A906,'[2]App C Share Inflows'!$A$4:$I$917,6,FALSE)</f>
        <v>-161150</v>
      </c>
    </row>
    <row r="907" spans="1:39">
      <c r="A907" s="351">
        <v>99812</v>
      </c>
      <c r="B907" s="344" t="s">
        <v>3715</v>
      </c>
      <c r="C907" s="235" t="e">
        <f>VLOOKUP(A907,#REF!,10,FALSE)</f>
        <v>#REF!</v>
      </c>
      <c r="E907" s="2">
        <f>VLOOKUP($A907,'[2]App C Total'!$A$4:$I$917,5,FALSE)</f>
        <v>15941</v>
      </c>
      <c r="F907" s="2">
        <f>VLOOKUP($A907,'[2]App C Total'!$A$4:$I$917,6,FALSE)</f>
        <v>8496</v>
      </c>
      <c r="G907" s="2">
        <f>VLOOKUP($A907,'[2]App C Total'!$A$4:$I$917,7,FALSE)</f>
        <v>9240</v>
      </c>
      <c r="H907" s="2">
        <f>VLOOKUP($A907,'[2]App C Total'!$A$4:$I$917,8,FALSE)</f>
        <v>3759</v>
      </c>
      <c r="I907" s="2">
        <f>VLOOKUP($A907,'[2]App C Total'!$A$4:$I$917,9,FALSE)</f>
        <v>0</v>
      </c>
      <c r="J907" s="2"/>
      <c r="K907" s="2">
        <f>VLOOKUP($A907,'[2]App C Exp'!$A$4:$I$917,5,FALSE)</f>
        <v>2816</v>
      </c>
      <c r="L907" s="2">
        <f>VLOOKUP($A907,'[2]App C Exp'!$A$4:$I$917,6,FALSE)</f>
        <v>2649</v>
      </c>
      <c r="M907" s="2">
        <f>VLOOKUP($A907,'[2]App C Exp'!$A$4:$I$917,7,FALSE)</f>
        <v>2375</v>
      </c>
      <c r="N907" s="2">
        <f>VLOOKUP($A907,'[2]App C Exp'!$A$4:$I$917,8,FALSE)</f>
        <v>951</v>
      </c>
      <c r="O907" s="2">
        <f>VLOOKUP($A907,'[2]App C Exp'!$A$4:$I$917,9,FALSE)</f>
        <v>0</v>
      </c>
      <c r="P907" s="2"/>
      <c r="Q907" s="2">
        <f>VLOOKUP($A907,'[2]App C Inv'!$A$4:$I$917,5,FALSE)</f>
        <v>2990</v>
      </c>
      <c r="R907" s="2">
        <f>VLOOKUP($A907,'[2]App C Inv'!$A$4:$I$917,6,FALSE)</f>
        <v>-2572</v>
      </c>
      <c r="S907" s="2">
        <f>VLOOKUP($A907,'[2]App C Inv'!$A$4:$I$917,7,FALSE)</f>
        <v>362</v>
      </c>
      <c r="T907" s="2">
        <f>VLOOKUP($A907,'[2]App C Inv'!$A$4:$I$917,8,FALSE)</f>
        <v>472</v>
      </c>
      <c r="U907" s="2">
        <f>VLOOKUP($A907,'[2]App C Inv'!$A$4:$I$917,9,FALSE)</f>
        <v>0</v>
      </c>
      <c r="V907" s="2"/>
      <c r="W907" s="2">
        <f>VLOOKUP($A907,'[2]App C Assum'!$A$4:$I$917,5,FALSE)</f>
        <v>3368</v>
      </c>
      <c r="X907" s="2">
        <f>VLOOKUP($A907,'[2]App C Assum'!$A$4:$I$917,6,FALSE)</f>
        <v>2759</v>
      </c>
      <c r="Y907" s="2">
        <f>VLOOKUP($A907,'[2]App C Assum'!$A$4:$I$917,7,FALSE)</f>
        <v>2240</v>
      </c>
      <c r="Z907" s="2">
        <f>VLOOKUP($A907,'[2]App C Assum'!$A$4:$I$917,8,FALSE)</f>
        <v>0</v>
      </c>
      <c r="AA907" s="2">
        <f>VLOOKUP($A907,'[2]App C Assum'!$A$4:$I$917,9,FALSE)</f>
        <v>0</v>
      </c>
      <c r="AB907" s="2"/>
      <c r="AC907" s="2">
        <f>VLOOKUP($A907,'[2]App C Share Outflows'!$A$4:$I$917,5,FALSE)</f>
        <v>6767</v>
      </c>
      <c r="AD907" s="2">
        <f>VLOOKUP($A907,'[2]App C Share Outflows'!$A$4:$I$917,6,FALSE)</f>
        <v>5660</v>
      </c>
      <c r="AE907" s="2">
        <f>VLOOKUP($A907,'[2]App C Share Outflows'!$A$4:$I$917,7,FALSE)</f>
        <v>4263</v>
      </c>
      <c r="AF907" s="2">
        <f>VLOOKUP($A907,'[2]App C Share Outflows'!$A$4:$I$917,8,FALSE)</f>
        <v>2336</v>
      </c>
      <c r="AG907" s="2">
        <f>VLOOKUP($A907,'[2]App C Share Outflows'!$A$4:$I$917,9,FALSE)</f>
        <v>0</v>
      </c>
      <c r="AH907" s="2"/>
      <c r="AI907" s="2">
        <f>VLOOKUP($A907,'[2]App C Share Inflows'!$A$4:$I$917,5,FALSE)</f>
        <v>0</v>
      </c>
      <c r="AJ907" s="2">
        <f>VLOOKUP($A907,'[2]App C Share Inflows'!$A$4:$I$917,6,FALSE)</f>
        <v>0</v>
      </c>
      <c r="AK907" s="2">
        <f>VLOOKUP($A907,'[2]App C Share Inflows'!$A$4:$I$917,7,FALSE)</f>
        <v>0</v>
      </c>
      <c r="AL907" s="2">
        <f>VLOOKUP($A907,'[2]App C Share Inflows'!$A$4:$I$917,8,FALSE)</f>
        <v>0</v>
      </c>
      <c r="AM907" s="2">
        <f>VLOOKUP($A907,'[2]App C Share Inflows'!$A$4:$I$917,6,FALSE)</f>
        <v>0</v>
      </c>
    </row>
    <row r="908" spans="1:39">
      <c r="A908" s="351">
        <v>99818</v>
      </c>
      <c r="B908" s="344" t="s">
        <v>1606</v>
      </c>
      <c r="C908" s="235" t="e">
        <f>VLOOKUP(A908,#REF!,10,FALSE)</f>
        <v>#REF!</v>
      </c>
      <c r="E908" s="2">
        <f>VLOOKUP($A908,'[2]App C Total'!$A$4:$I$917,5,FALSE)</f>
        <v>15139</v>
      </c>
      <c r="F908" s="2">
        <f>VLOOKUP($A908,'[2]App C Total'!$A$4:$I$917,6,FALSE)</f>
        <v>3805</v>
      </c>
      <c r="G908" s="2">
        <f>VLOOKUP($A908,'[2]App C Total'!$A$4:$I$917,7,FALSE)</f>
        <v>8905</v>
      </c>
      <c r="H908" s="2">
        <f>VLOOKUP($A908,'[2]App C Total'!$A$4:$I$917,8,FALSE)</f>
        <v>2433</v>
      </c>
      <c r="I908" s="2">
        <f>VLOOKUP($A908,'[2]App C Total'!$A$4:$I$917,9,FALSE)</f>
        <v>0</v>
      </c>
      <c r="J908" s="2"/>
      <c r="K908" s="2">
        <f>VLOOKUP($A908,'[2]App C Exp'!$A$4:$I$917,5,FALSE)</f>
        <v>5333</v>
      </c>
      <c r="L908" s="2">
        <f>VLOOKUP($A908,'[2]App C Exp'!$A$4:$I$917,6,FALSE)</f>
        <v>5017</v>
      </c>
      <c r="M908" s="2">
        <f>VLOOKUP($A908,'[2]App C Exp'!$A$4:$I$917,7,FALSE)</f>
        <v>4496</v>
      </c>
      <c r="N908" s="2">
        <f>VLOOKUP($A908,'[2]App C Exp'!$A$4:$I$917,8,FALSE)</f>
        <v>1800</v>
      </c>
      <c r="O908" s="2">
        <f>VLOOKUP($A908,'[2]App C Exp'!$A$4:$I$917,9,FALSE)</f>
        <v>0</v>
      </c>
      <c r="P908" s="2"/>
      <c r="Q908" s="2">
        <f>VLOOKUP($A908,'[2]App C Inv'!$A$4:$I$917,5,FALSE)</f>
        <v>5662</v>
      </c>
      <c r="R908" s="2">
        <f>VLOOKUP($A908,'[2]App C Inv'!$A$4:$I$917,6,FALSE)</f>
        <v>-4870</v>
      </c>
      <c r="S908" s="2">
        <f>VLOOKUP($A908,'[2]App C Inv'!$A$4:$I$917,7,FALSE)</f>
        <v>686</v>
      </c>
      <c r="T908" s="2">
        <f>VLOOKUP($A908,'[2]App C Inv'!$A$4:$I$917,8,FALSE)</f>
        <v>893</v>
      </c>
      <c r="U908" s="2">
        <f>VLOOKUP($A908,'[2]App C Inv'!$A$4:$I$917,9,FALSE)</f>
        <v>0</v>
      </c>
      <c r="V908" s="2"/>
      <c r="W908" s="2">
        <f>VLOOKUP($A908,'[2]App C Assum'!$A$4:$I$917,5,FALSE)</f>
        <v>6378</v>
      </c>
      <c r="X908" s="2">
        <f>VLOOKUP($A908,'[2]App C Assum'!$A$4:$I$917,6,FALSE)</f>
        <v>5225</v>
      </c>
      <c r="Y908" s="2">
        <f>VLOOKUP($A908,'[2]App C Assum'!$A$4:$I$917,7,FALSE)</f>
        <v>4242</v>
      </c>
      <c r="Z908" s="2">
        <f>VLOOKUP($A908,'[2]App C Assum'!$A$4:$I$917,8,FALSE)</f>
        <v>0</v>
      </c>
      <c r="AA908" s="2">
        <f>VLOOKUP($A908,'[2]App C Assum'!$A$4:$I$917,9,FALSE)</f>
        <v>0</v>
      </c>
      <c r="AB908" s="2"/>
      <c r="AC908" s="2">
        <f>VLOOKUP($A908,'[2]App C Share Outflows'!$A$4:$I$917,5,FALSE)</f>
        <v>0</v>
      </c>
      <c r="AD908" s="2">
        <f>VLOOKUP($A908,'[2]App C Share Outflows'!$A$4:$I$917,6,FALSE)</f>
        <v>0</v>
      </c>
      <c r="AE908" s="2">
        <f>VLOOKUP($A908,'[2]App C Share Outflows'!$A$4:$I$917,7,FALSE)</f>
        <v>0</v>
      </c>
      <c r="AF908" s="2">
        <f>VLOOKUP($A908,'[2]App C Share Outflows'!$A$4:$I$917,8,FALSE)</f>
        <v>0</v>
      </c>
      <c r="AG908" s="2">
        <f>VLOOKUP($A908,'[2]App C Share Outflows'!$A$4:$I$917,9,FALSE)</f>
        <v>0</v>
      </c>
      <c r="AH908" s="2"/>
      <c r="AI908" s="2">
        <f>VLOOKUP($A908,'[2]App C Share Inflows'!$A$4:$I$917,5,FALSE)</f>
        <v>-2234</v>
      </c>
      <c r="AJ908" s="2">
        <f>VLOOKUP($A908,'[2]App C Share Inflows'!$A$4:$I$917,6,FALSE)</f>
        <v>-1567</v>
      </c>
      <c r="AK908" s="2">
        <f>VLOOKUP($A908,'[2]App C Share Inflows'!$A$4:$I$917,7,FALSE)</f>
        <v>-519</v>
      </c>
      <c r="AL908" s="2">
        <f>VLOOKUP($A908,'[2]App C Share Inflows'!$A$4:$I$917,8,FALSE)</f>
        <v>-260</v>
      </c>
      <c r="AM908" s="2">
        <f>VLOOKUP($A908,'[2]App C Share Inflows'!$A$4:$I$917,6,FALSE)</f>
        <v>-1567</v>
      </c>
    </row>
    <row r="909" spans="1:39">
      <c r="A909" s="351">
        <v>99821</v>
      </c>
      <c r="B909" s="344" t="s">
        <v>1607</v>
      </c>
      <c r="C909" s="235" t="e">
        <f>VLOOKUP(A909,#REF!,10,FALSE)</f>
        <v>#REF!</v>
      </c>
      <c r="E909" s="2">
        <f>VLOOKUP($A909,'[2]App C Total'!$A$4:$I$917,5,FALSE)</f>
        <v>55015</v>
      </c>
      <c r="F909" s="2">
        <f>VLOOKUP($A909,'[2]App C Total'!$A$4:$I$917,6,FALSE)</f>
        <v>20547</v>
      </c>
      <c r="G909" s="2">
        <f>VLOOKUP($A909,'[2]App C Total'!$A$4:$I$917,7,FALSE)</f>
        <v>28955</v>
      </c>
      <c r="H909" s="2">
        <f>VLOOKUP($A909,'[2]App C Total'!$A$4:$I$917,8,FALSE)</f>
        <v>9057</v>
      </c>
      <c r="I909" s="2">
        <f>VLOOKUP($A909,'[2]App C Total'!$A$4:$I$917,9,FALSE)</f>
        <v>0</v>
      </c>
      <c r="J909" s="2"/>
      <c r="K909" s="2">
        <f>VLOOKUP($A909,'[2]App C Exp'!$A$4:$I$917,5,FALSE)</f>
        <v>14711</v>
      </c>
      <c r="L909" s="2">
        <f>VLOOKUP($A909,'[2]App C Exp'!$A$4:$I$917,6,FALSE)</f>
        <v>13838</v>
      </c>
      <c r="M909" s="2">
        <f>VLOOKUP($A909,'[2]App C Exp'!$A$4:$I$917,7,FALSE)</f>
        <v>12403</v>
      </c>
      <c r="N909" s="2">
        <f>VLOOKUP($A909,'[2]App C Exp'!$A$4:$I$917,8,FALSE)</f>
        <v>4966</v>
      </c>
      <c r="O909" s="2">
        <f>VLOOKUP($A909,'[2]App C Exp'!$A$4:$I$917,9,FALSE)</f>
        <v>0</v>
      </c>
      <c r="P909" s="2"/>
      <c r="Q909" s="2">
        <f>VLOOKUP($A909,'[2]App C Inv'!$A$4:$I$917,5,FALSE)</f>
        <v>15618</v>
      </c>
      <c r="R909" s="2">
        <f>VLOOKUP($A909,'[2]App C Inv'!$A$4:$I$917,6,FALSE)</f>
        <v>-13434</v>
      </c>
      <c r="S909" s="2">
        <f>VLOOKUP($A909,'[2]App C Inv'!$A$4:$I$917,7,FALSE)</f>
        <v>1893</v>
      </c>
      <c r="T909" s="2">
        <f>VLOOKUP($A909,'[2]App C Inv'!$A$4:$I$917,8,FALSE)</f>
        <v>2464</v>
      </c>
      <c r="U909" s="2">
        <f>VLOOKUP($A909,'[2]App C Inv'!$A$4:$I$917,9,FALSE)</f>
        <v>0</v>
      </c>
      <c r="V909" s="2"/>
      <c r="W909" s="2">
        <f>VLOOKUP($A909,'[2]App C Assum'!$A$4:$I$917,5,FALSE)</f>
        <v>17594</v>
      </c>
      <c r="X909" s="2">
        <f>VLOOKUP($A909,'[2]App C Assum'!$A$4:$I$917,6,FALSE)</f>
        <v>14413</v>
      </c>
      <c r="Y909" s="2">
        <f>VLOOKUP($A909,'[2]App C Assum'!$A$4:$I$917,7,FALSE)</f>
        <v>11701</v>
      </c>
      <c r="Z909" s="2">
        <f>VLOOKUP($A909,'[2]App C Assum'!$A$4:$I$917,8,FALSE)</f>
        <v>0</v>
      </c>
      <c r="AA909" s="2">
        <f>VLOOKUP($A909,'[2]App C Assum'!$A$4:$I$917,9,FALSE)</f>
        <v>0</v>
      </c>
      <c r="AB909" s="2"/>
      <c r="AC909" s="2">
        <f>VLOOKUP($A909,'[2]App C Share Outflows'!$A$4:$I$917,5,FALSE)</f>
        <v>7092</v>
      </c>
      <c r="AD909" s="2">
        <f>VLOOKUP($A909,'[2]App C Share Outflows'!$A$4:$I$917,6,FALSE)</f>
        <v>5730</v>
      </c>
      <c r="AE909" s="2">
        <f>VLOOKUP($A909,'[2]App C Share Outflows'!$A$4:$I$917,7,FALSE)</f>
        <v>2958</v>
      </c>
      <c r="AF909" s="2">
        <f>VLOOKUP($A909,'[2]App C Share Outflows'!$A$4:$I$917,8,FALSE)</f>
        <v>1627</v>
      </c>
      <c r="AG909" s="2">
        <f>VLOOKUP($A909,'[2]App C Share Outflows'!$A$4:$I$917,9,FALSE)</f>
        <v>0</v>
      </c>
      <c r="AH909" s="2"/>
      <c r="AI909" s="2">
        <f>VLOOKUP($A909,'[2]App C Share Inflows'!$A$4:$I$917,5,FALSE)</f>
        <v>0</v>
      </c>
      <c r="AJ909" s="2">
        <f>VLOOKUP($A909,'[2]App C Share Inflows'!$A$4:$I$917,6,FALSE)</f>
        <v>0</v>
      </c>
      <c r="AK909" s="2">
        <f>VLOOKUP($A909,'[2]App C Share Inflows'!$A$4:$I$917,7,FALSE)</f>
        <v>0</v>
      </c>
      <c r="AL909" s="2">
        <f>VLOOKUP($A909,'[2]App C Share Inflows'!$A$4:$I$917,8,FALSE)</f>
        <v>0</v>
      </c>
      <c r="AM909" s="2">
        <f>VLOOKUP($A909,'[2]App C Share Inflows'!$A$4:$I$917,6,FALSE)</f>
        <v>0</v>
      </c>
    </row>
    <row r="910" spans="1:39">
      <c r="A910" s="351">
        <v>99831</v>
      </c>
      <c r="B910" s="344" t="s">
        <v>1608</v>
      </c>
      <c r="C910" s="235" t="e">
        <f>VLOOKUP(A910,#REF!,10,FALSE)</f>
        <v>#REF!</v>
      </c>
      <c r="E910" s="2">
        <f>VLOOKUP($A910,'[2]App C Total'!$A$4:$I$917,5,FALSE)</f>
        <v>28911</v>
      </c>
      <c r="F910" s="2">
        <f>VLOOKUP($A910,'[2]App C Total'!$A$4:$I$917,6,FALSE)</f>
        <v>9509</v>
      </c>
      <c r="G910" s="2">
        <f>VLOOKUP($A910,'[2]App C Total'!$A$4:$I$917,7,FALSE)</f>
        <v>14732</v>
      </c>
      <c r="H910" s="2">
        <f>VLOOKUP($A910,'[2]App C Total'!$A$4:$I$917,8,FALSE)</f>
        <v>6056</v>
      </c>
      <c r="I910" s="2">
        <f>VLOOKUP($A910,'[2]App C Total'!$A$4:$I$917,9,FALSE)</f>
        <v>0</v>
      </c>
      <c r="J910" s="2"/>
      <c r="K910" s="2">
        <f>VLOOKUP($A910,'[2]App C Exp'!$A$4:$I$917,5,FALSE)</f>
        <v>8299</v>
      </c>
      <c r="L910" s="2">
        <f>VLOOKUP($A910,'[2]App C Exp'!$A$4:$I$917,6,FALSE)</f>
        <v>7807</v>
      </c>
      <c r="M910" s="2">
        <f>VLOOKUP($A910,'[2]App C Exp'!$A$4:$I$917,7,FALSE)</f>
        <v>6997</v>
      </c>
      <c r="N910" s="2">
        <f>VLOOKUP($A910,'[2]App C Exp'!$A$4:$I$917,8,FALSE)</f>
        <v>2802</v>
      </c>
      <c r="O910" s="2">
        <f>VLOOKUP($A910,'[2]App C Exp'!$A$4:$I$917,9,FALSE)</f>
        <v>0</v>
      </c>
      <c r="P910" s="2"/>
      <c r="Q910" s="2">
        <f>VLOOKUP($A910,'[2]App C Inv'!$A$4:$I$917,5,FALSE)</f>
        <v>8811</v>
      </c>
      <c r="R910" s="2">
        <f>VLOOKUP($A910,'[2]App C Inv'!$A$4:$I$917,6,FALSE)</f>
        <v>-7579</v>
      </c>
      <c r="S910" s="2">
        <f>VLOOKUP($A910,'[2]App C Inv'!$A$4:$I$917,7,FALSE)</f>
        <v>1068</v>
      </c>
      <c r="T910" s="2">
        <f>VLOOKUP($A910,'[2]App C Inv'!$A$4:$I$917,8,FALSE)</f>
        <v>1390</v>
      </c>
      <c r="U910" s="2">
        <f>VLOOKUP($A910,'[2]App C Inv'!$A$4:$I$917,9,FALSE)</f>
        <v>0</v>
      </c>
      <c r="V910" s="2"/>
      <c r="W910" s="2">
        <f>VLOOKUP($A910,'[2]App C Assum'!$A$4:$I$917,5,FALSE)</f>
        <v>9926</v>
      </c>
      <c r="X910" s="2">
        <f>VLOOKUP($A910,'[2]App C Assum'!$A$4:$I$917,6,FALSE)</f>
        <v>8131</v>
      </c>
      <c r="Y910" s="2">
        <f>VLOOKUP($A910,'[2]App C Assum'!$A$4:$I$917,7,FALSE)</f>
        <v>6601</v>
      </c>
      <c r="Z910" s="2">
        <f>VLOOKUP($A910,'[2]App C Assum'!$A$4:$I$917,8,FALSE)</f>
        <v>0</v>
      </c>
      <c r="AA910" s="2">
        <f>VLOOKUP($A910,'[2]App C Assum'!$A$4:$I$917,9,FALSE)</f>
        <v>0</v>
      </c>
      <c r="AB910" s="2"/>
      <c r="AC910" s="2">
        <f>VLOOKUP($A910,'[2]App C Share Outflows'!$A$4:$I$917,5,FALSE)</f>
        <v>3675</v>
      </c>
      <c r="AD910" s="2">
        <f>VLOOKUP($A910,'[2]App C Share Outflows'!$A$4:$I$917,6,FALSE)</f>
        <v>2950</v>
      </c>
      <c r="AE910" s="2">
        <f>VLOOKUP($A910,'[2]App C Share Outflows'!$A$4:$I$917,7,FALSE)</f>
        <v>1866</v>
      </c>
      <c r="AF910" s="2">
        <f>VLOOKUP($A910,'[2]App C Share Outflows'!$A$4:$I$917,8,FALSE)</f>
        <v>1864</v>
      </c>
      <c r="AG910" s="2">
        <f>VLOOKUP($A910,'[2]App C Share Outflows'!$A$4:$I$917,9,FALSE)</f>
        <v>0</v>
      </c>
      <c r="AH910" s="2"/>
      <c r="AI910" s="2">
        <f>VLOOKUP($A910,'[2]App C Share Inflows'!$A$4:$I$917,5,FALSE)</f>
        <v>-1800</v>
      </c>
      <c r="AJ910" s="2">
        <f>VLOOKUP($A910,'[2]App C Share Inflows'!$A$4:$I$917,6,FALSE)</f>
        <v>-1800</v>
      </c>
      <c r="AK910" s="2">
        <f>VLOOKUP($A910,'[2]App C Share Inflows'!$A$4:$I$917,7,FALSE)</f>
        <v>-1800</v>
      </c>
      <c r="AL910" s="2">
        <f>VLOOKUP($A910,'[2]App C Share Inflows'!$A$4:$I$917,8,FALSE)</f>
        <v>0</v>
      </c>
      <c r="AM910" s="2">
        <f>VLOOKUP($A910,'[2]App C Share Inflows'!$A$4:$I$917,6,FALSE)</f>
        <v>-1800</v>
      </c>
    </row>
    <row r="911" spans="1:39">
      <c r="A911" s="351">
        <v>99841</v>
      </c>
      <c r="B911" s="344" t="s">
        <v>1609</v>
      </c>
      <c r="C911" s="235" t="e">
        <f>VLOOKUP(A911,#REF!,10,FALSE)</f>
        <v>#REF!</v>
      </c>
      <c r="E911" s="2">
        <f>VLOOKUP($A911,'[2]App C Total'!$A$4:$I$917,5,FALSE)</f>
        <v>3134</v>
      </c>
      <c r="F911" s="2">
        <f>VLOOKUP($A911,'[2]App C Total'!$A$4:$I$917,6,FALSE)</f>
        <v>-1994</v>
      </c>
      <c r="G911" s="2">
        <f>VLOOKUP($A911,'[2]App C Total'!$A$4:$I$917,7,FALSE)</f>
        <v>369</v>
      </c>
      <c r="H911" s="2">
        <f>VLOOKUP($A911,'[2]App C Total'!$A$4:$I$917,8,FALSE)</f>
        <v>-960</v>
      </c>
      <c r="I911" s="2">
        <f>VLOOKUP($A911,'[2]App C Total'!$A$4:$I$917,9,FALSE)</f>
        <v>0</v>
      </c>
      <c r="J911" s="2"/>
      <c r="K911" s="2">
        <f>VLOOKUP($A911,'[2]App C Exp'!$A$4:$I$917,5,FALSE)</f>
        <v>2382</v>
      </c>
      <c r="L911" s="2">
        <f>VLOOKUP($A911,'[2]App C Exp'!$A$4:$I$917,6,FALSE)</f>
        <v>2241</v>
      </c>
      <c r="M911" s="2">
        <f>VLOOKUP($A911,'[2]App C Exp'!$A$4:$I$917,7,FALSE)</f>
        <v>2008</v>
      </c>
      <c r="N911" s="2">
        <f>VLOOKUP($A911,'[2]App C Exp'!$A$4:$I$917,8,FALSE)</f>
        <v>804</v>
      </c>
      <c r="O911" s="2">
        <f>VLOOKUP($A911,'[2]App C Exp'!$A$4:$I$917,9,FALSE)</f>
        <v>0</v>
      </c>
      <c r="P911" s="2"/>
      <c r="Q911" s="2">
        <f>VLOOKUP($A911,'[2]App C Inv'!$A$4:$I$917,5,FALSE)</f>
        <v>2529</v>
      </c>
      <c r="R911" s="2">
        <f>VLOOKUP($A911,'[2]App C Inv'!$A$4:$I$917,6,FALSE)</f>
        <v>-2175</v>
      </c>
      <c r="S911" s="2">
        <f>VLOOKUP($A911,'[2]App C Inv'!$A$4:$I$917,7,FALSE)</f>
        <v>307</v>
      </c>
      <c r="T911" s="2">
        <f>VLOOKUP($A911,'[2]App C Inv'!$A$4:$I$917,8,FALSE)</f>
        <v>399</v>
      </c>
      <c r="U911" s="2">
        <f>VLOOKUP($A911,'[2]App C Inv'!$A$4:$I$917,9,FALSE)</f>
        <v>0</v>
      </c>
      <c r="V911" s="2"/>
      <c r="W911" s="2">
        <f>VLOOKUP($A911,'[2]App C Assum'!$A$4:$I$917,5,FALSE)</f>
        <v>2849</v>
      </c>
      <c r="X911" s="2">
        <f>VLOOKUP($A911,'[2]App C Assum'!$A$4:$I$917,6,FALSE)</f>
        <v>2334</v>
      </c>
      <c r="Y911" s="2">
        <f>VLOOKUP($A911,'[2]App C Assum'!$A$4:$I$917,7,FALSE)</f>
        <v>1895</v>
      </c>
      <c r="Z911" s="2">
        <f>VLOOKUP($A911,'[2]App C Assum'!$A$4:$I$917,8,FALSE)</f>
        <v>0</v>
      </c>
      <c r="AA911" s="2">
        <f>VLOOKUP($A911,'[2]App C Assum'!$A$4:$I$917,9,FALSE)</f>
        <v>0</v>
      </c>
      <c r="AB911" s="2"/>
      <c r="AC911" s="2">
        <f>VLOOKUP($A911,'[2]App C Share Outflows'!$A$4:$I$917,5,FALSE)</f>
        <v>0</v>
      </c>
      <c r="AD911" s="2">
        <f>VLOOKUP($A911,'[2]App C Share Outflows'!$A$4:$I$917,6,FALSE)</f>
        <v>0</v>
      </c>
      <c r="AE911" s="2">
        <f>VLOOKUP($A911,'[2]App C Share Outflows'!$A$4:$I$917,7,FALSE)</f>
        <v>0</v>
      </c>
      <c r="AF911" s="2">
        <f>VLOOKUP($A911,'[2]App C Share Outflows'!$A$4:$I$917,8,FALSE)</f>
        <v>0</v>
      </c>
      <c r="AG911" s="2">
        <f>VLOOKUP($A911,'[2]App C Share Outflows'!$A$4:$I$917,9,FALSE)</f>
        <v>0</v>
      </c>
      <c r="AH911" s="2"/>
      <c r="AI911" s="2">
        <f>VLOOKUP($A911,'[2]App C Share Inflows'!$A$4:$I$917,5,FALSE)</f>
        <v>-4626</v>
      </c>
      <c r="AJ911" s="2">
        <f>VLOOKUP($A911,'[2]App C Share Inflows'!$A$4:$I$917,6,FALSE)</f>
        <v>-4394</v>
      </c>
      <c r="AK911" s="2">
        <f>VLOOKUP($A911,'[2]App C Share Inflows'!$A$4:$I$917,7,FALSE)</f>
        <v>-3841</v>
      </c>
      <c r="AL911" s="2">
        <f>VLOOKUP($A911,'[2]App C Share Inflows'!$A$4:$I$917,8,FALSE)</f>
        <v>-2163</v>
      </c>
      <c r="AM911" s="2">
        <f>VLOOKUP($A911,'[2]App C Share Inflows'!$A$4:$I$917,6,FALSE)</f>
        <v>-4394</v>
      </c>
    </row>
    <row r="912" spans="1:39">
      <c r="A912" s="351">
        <v>99851</v>
      </c>
      <c r="B912" s="344" t="s">
        <v>1610</v>
      </c>
      <c r="C912" s="235" t="e">
        <f>VLOOKUP(A912,#REF!,10,FALSE)</f>
        <v>#REF!</v>
      </c>
      <c r="E912" s="2">
        <f>VLOOKUP($A912,'[2]App C Total'!$A$4:$I$917,5,FALSE)</f>
        <v>-437</v>
      </c>
      <c r="F912" s="2">
        <f>VLOOKUP($A912,'[2]App C Total'!$A$4:$I$917,6,FALSE)</f>
        <v>-2796</v>
      </c>
      <c r="G912" s="2">
        <f>VLOOKUP($A912,'[2]App C Total'!$A$4:$I$917,7,FALSE)</f>
        <v>-1358</v>
      </c>
      <c r="H912" s="2">
        <f>VLOOKUP($A912,'[2]App C Total'!$A$4:$I$917,8,FALSE)</f>
        <v>-2365</v>
      </c>
      <c r="I912" s="2">
        <f>VLOOKUP($A912,'[2]App C Total'!$A$4:$I$917,9,FALSE)</f>
        <v>0</v>
      </c>
      <c r="J912" s="2"/>
      <c r="K912" s="2">
        <f>VLOOKUP($A912,'[2]App C Exp'!$A$4:$I$917,5,FALSE)</f>
        <v>1183</v>
      </c>
      <c r="L912" s="2">
        <f>VLOOKUP($A912,'[2]App C Exp'!$A$4:$I$917,6,FALSE)</f>
        <v>1113</v>
      </c>
      <c r="M912" s="2">
        <f>VLOOKUP($A912,'[2]App C Exp'!$A$4:$I$917,7,FALSE)</f>
        <v>998</v>
      </c>
      <c r="N912" s="2">
        <f>VLOOKUP($A912,'[2]App C Exp'!$A$4:$I$917,8,FALSE)</f>
        <v>400</v>
      </c>
      <c r="O912" s="2">
        <f>VLOOKUP($A912,'[2]App C Exp'!$A$4:$I$917,9,FALSE)</f>
        <v>0</v>
      </c>
      <c r="P912" s="2"/>
      <c r="Q912" s="2">
        <f>VLOOKUP($A912,'[2]App C Inv'!$A$4:$I$917,5,FALSE)</f>
        <v>1256</v>
      </c>
      <c r="R912" s="2">
        <f>VLOOKUP($A912,'[2]App C Inv'!$A$4:$I$917,6,FALSE)</f>
        <v>-1081</v>
      </c>
      <c r="S912" s="2">
        <f>VLOOKUP($A912,'[2]App C Inv'!$A$4:$I$917,7,FALSE)</f>
        <v>152</v>
      </c>
      <c r="T912" s="2">
        <f>VLOOKUP($A912,'[2]App C Inv'!$A$4:$I$917,8,FALSE)</f>
        <v>198</v>
      </c>
      <c r="U912" s="2">
        <f>VLOOKUP($A912,'[2]App C Inv'!$A$4:$I$917,9,FALSE)</f>
        <v>0</v>
      </c>
      <c r="V912" s="2"/>
      <c r="W912" s="2">
        <f>VLOOKUP($A912,'[2]App C Assum'!$A$4:$I$917,5,FALSE)</f>
        <v>1415</v>
      </c>
      <c r="X912" s="2">
        <f>VLOOKUP($A912,'[2]App C Assum'!$A$4:$I$917,6,FALSE)</f>
        <v>1160</v>
      </c>
      <c r="Y912" s="2">
        <f>VLOOKUP($A912,'[2]App C Assum'!$A$4:$I$917,7,FALSE)</f>
        <v>941</v>
      </c>
      <c r="Z912" s="2">
        <f>VLOOKUP($A912,'[2]App C Assum'!$A$4:$I$917,8,FALSE)</f>
        <v>0</v>
      </c>
      <c r="AA912" s="2">
        <f>VLOOKUP($A912,'[2]App C Assum'!$A$4:$I$917,9,FALSE)</f>
        <v>0</v>
      </c>
      <c r="AB912" s="2"/>
      <c r="AC912" s="2">
        <f>VLOOKUP($A912,'[2]App C Share Outflows'!$A$4:$I$917,5,FALSE)</f>
        <v>0</v>
      </c>
      <c r="AD912" s="2">
        <f>VLOOKUP($A912,'[2]App C Share Outflows'!$A$4:$I$917,6,FALSE)</f>
        <v>0</v>
      </c>
      <c r="AE912" s="2">
        <f>VLOOKUP($A912,'[2]App C Share Outflows'!$A$4:$I$917,7,FALSE)</f>
        <v>0</v>
      </c>
      <c r="AF912" s="2">
        <f>VLOOKUP($A912,'[2]App C Share Outflows'!$A$4:$I$917,8,FALSE)</f>
        <v>0</v>
      </c>
      <c r="AG912" s="2">
        <f>VLOOKUP($A912,'[2]App C Share Outflows'!$A$4:$I$917,9,FALSE)</f>
        <v>0</v>
      </c>
      <c r="AH912" s="2"/>
      <c r="AI912" s="2">
        <f>VLOOKUP($A912,'[2]App C Share Inflows'!$A$4:$I$917,5,FALSE)</f>
        <v>-4291</v>
      </c>
      <c r="AJ912" s="2">
        <f>VLOOKUP($A912,'[2]App C Share Inflows'!$A$4:$I$917,6,FALSE)</f>
        <v>-3988</v>
      </c>
      <c r="AK912" s="2">
        <f>VLOOKUP($A912,'[2]App C Share Inflows'!$A$4:$I$917,7,FALSE)</f>
        <v>-3449</v>
      </c>
      <c r="AL912" s="2">
        <f>VLOOKUP($A912,'[2]App C Share Inflows'!$A$4:$I$917,8,FALSE)</f>
        <v>-2963</v>
      </c>
      <c r="AM912" s="2">
        <f>VLOOKUP($A912,'[2]App C Share Inflows'!$A$4:$I$917,6,FALSE)</f>
        <v>-3988</v>
      </c>
    </row>
    <row r="913" spans="1:92">
      <c r="A913" s="351">
        <v>99901</v>
      </c>
      <c r="B913" s="344" t="s">
        <v>1611</v>
      </c>
      <c r="C913" s="235" t="e">
        <f>VLOOKUP(A913,#REF!,10,FALSE)</f>
        <v>#REF!</v>
      </c>
      <c r="E913" s="2">
        <f>VLOOKUP($A913,'[2]App C Total'!$A$4:$I$917,5,FALSE)</f>
        <v>767498</v>
      </c>
      <c r="F913" s="2">
        <f>VLOOKUP($A913,'[2]App C Total'!$A$4:$I$917,6,FALSE)</f>
        <v>223386</v>
      </c>
      <c r="G913" s="2">
        <f>VLOOKUP($A913,'[2]App C Total'!$A$4:$I$917,7,FALSE)</f>
        <v>400591</v>
      </c>
      <c r="H913" s="2">
        <f>VLOOKUP($A913,'[2]App C Total'!$A$4:$I$917,8,FALSE)</f>
        <v>119172</v>
      </c>
      <c r="I913" s="2">
        <f>VLOOKUP($A913,'[2]App C Total'!$A$4:$I$917,9,FALSE)</f>
        <v>0</v>
      </c>
      <c r="J913" s="2"/>
      <c r="K913" s="2">
        <f>VLOOKUP($A913,'[2]App C Exp'!$A$4:$I$917,5,FALSE)</f>
        <v>238822</v>
      </c>
      <c r="L913" s="2">
        <f>VLOOKUP($A913,'[2]App C Exp'!$A$4:$I$917,6,FALSE)</f>
        <v>224655</v>
      </c>
      <c r="M913" s="2">
        <f>VLOOKUP($A913,'[2]App C Exp'!$A$4:$I$917,7,FALSE)</f>
        <v>201355</v>
      </c>
      <c r="N913" s="2">
        <f>VLOOKUP($A913,'[2]App C Exp'!$A$4:$I$917,8,FALSE)</f>
        <v>80620</v>
      </c>
      <c r="O913" s="2">
        <f>VLOOKUP($A913,'[2]App C Exp'!$A$4:$I$917,9,FALSE)</f>
        <v>0</v>
      </c>
      <c r="P913" s="2"/>
      <c r="Q913" s="2">
        <f>VLOOKUP($A913,'[2]App C Inv'!$A$4:$I$917,5,FALSE)</f>
        <v>253543</v>
      </c>
      <c r="R913" s="2">
        <f>VLOOKUP($A913,'[2]App C Inv'!$A$4:$I$917,6,FALSE)</f>
        <v>-218095</v>
      </c>
      <c r="S913" s="2">
        <f>VLOOKUP($A913,'[2]App C Inv'!$A$4:$I$917,7,FALSE)</f>
        <v>30738</v>
      </c>
      <c r="T913" s="2">
        <f>VLOOKUP($A913,'[2]App C Inv'!$A$4:$I$917,8,FALSE)</f>
        <v>40005</v>
      </c>
      <c r="U913" s="2">
        <f>VLOOKUP($A913,'[2]App C Inv'!$A$4:$I$917,9,FALSE)</f>
        <v>0</v>
      </c>
      <c r="V913" s="2"/>
      <c r="W913" s="2">
        <f>VLOOKUP($A913,'[2]App C Assum'!$A$4:$I$917,5,FALSE)</f>
        <v>285620</v>
      </c>
      <c r="X913" s="2">
        <f>VLOOKUP($A913,'[2]App C Assum'!$A$4:$I$917,6,FALSE)</f>
        <v>233990</v>
      </c>
      <c r="Y913" s="2">
        <f>VLOOKUP($A913,'[2]App C Assum'!$A$4:$I$917,7,FALSE)</f>
        <v>189960</v>
      </c>
      <c r="Z913" s="2">
        <f>VLOOKUP($A913,'[2]App C Assum'!$A$4:$I$917,8,FALSE)</f>
        <v>0</v>
      </c>
      <c r="AA913" s="2">
        <f>VLOOKUP($A913,'[2]App C Assum'!$A$4:$I$917,9,FALSE)</f>
        <v>0</v>
      </c>
      <c r="AB913" s="2"/>
      <c r="AC913" s="2">
        <f>VLOOKUP($A913,'[2]App C Share Outflows'!$A$4:$I$917,5,FALSE)</f>
        <v>10974</v>
      </c>
      <c r="AD913" s="2">
        <f>VLOOKUP($A913,'[2]App C Share Outflows'!$A$4:$I$917,6,FALSE)</f>
        <v>4297</v>
      </c>
      <c r="AE913" s="2">
        <f>VLOOKUP($A913,'[2]App C Share Outflows'!$A$4:$I$917,7,FALSE)</f>
        <v>0</v>
      </c>
      <c r="AF913" s="2">
        <f>VLOOKUP($A913,'[2]App C Share Outflows'!$A$4:$I$917,8,FALSE)</f>
        <v>0</v>
      </c>
      <c r="AG913" s="2">
        <f>VLOOKUP($A913,'[2]App C Share Outflows'!$A$4:$I$917,9,FALSE)</f>
        <v>0</v>
      </c>
      <c r="AH913" s="2"/>
      <c r="AI913" s="2">
        <f>VLOOKUP($A913,'[2]App C Share Inflows'!$A$4:$I$917,5,FALSE)</f>
        <v>-21461</v>
      </c>
      <c r="AJ913" s="2">
        <f>VLOOKUP($A913,'[2]App C Share Inflows'!$A$4:$I$917,6,FALSE)</f>
        <v>-21461</v>
      </c>
      <c r="AK913" s="2">
        <f>VLOOKUP($A913,'[2]App C Share Inflows'!$A$4:$I$917,7,FALSE)</f>
        <v>-21462</v>
      </c>
      <c r="AL913" s="2">
        <f>VLOOKUP($A913,'[2]App C Share Inflows'!$A$4:$I$917,8,FALSE)</f>
        <v>-1453</v>
      </c>
      <c r="AM913" s="2">
        <f>VLOOKUP($A913,'[2]App C Share Inflows'!$A$4:$I$917,6,FALSE)</f>
        <v>-21461</v>
      </c>
      <c r="AN913" s="244"/>
      <c r="AO913" s="244"/>
      <c r="AP913" s="244"/>
      <c r="AQ913" s="244"/>
      <c r="AR913" s="244"/>
      <c r="AS913" s="244"/>
      <c r="AT913" s="244"/>
      <c r="AU913" s="244"/>
      <c r="AV913" s="244"/>
      <c r="AW913" s="244"/>
      <c r="AX913" s="244"/>
      <c r="AY913" s="244"/>
      <c r="AZ913" s="244"/>
      <c r="BA913" s="244"/>
      <c r="BB913" s="244"/>
      <c r="BC913" s="244"/>
      <c r="BD913" s="244"/>
      <c r="BE913" s="244"/>
      <c r="BF913" s="244"/>
      <c r="BG913" s="244"/>
      <c r="BH913" s="244"/>
      <c r="BI913" s="244"/>
      <c r="BJ913" s="244"/>
      <c r="BK913" s="244"/>
      <c r="BL913" s="244"/>
      <c r="BM913" s="244"/>
      <c r="BN913" s="244"/>
      <c r="BO913" s="244"/>
      <c r="BP913" s="244"/>
      <c r="BQ913" s="244"/>
      <c r="BR913" s="244"/>
      <c r="BS913" s="244"/>
      <c r="BT913" s="244"/>
      <c r="BU913" s="244"/>
      <c r="BV913" s="244"/>
      <c r="BW913" s="244"/>
      <c r="BX913" s="244"/>
      <c r="BY913" s="244"/>
      <c r="BZ913" s="244"/>
      <c r="CA913" s="244"/>
      <c r="CB913" s="244"/>
      <c r="CC913" s="244"/>
      <c r="CD913" s="244"/>
      <c r="CE913" s="244"/>
      <c r="CF913" s="244"/>
      <c r="CG913" s="244"/>
      <c r="CH913" s="244"/>
      <c r="CI913" s="244"/>
      <c r="CJ913" s="244"/>
      <c r="CK913" s="244"/>
      <c r="CL913" s="244"/>
      <c r="CM913" s="244"/>
      <c r="CN913" s="244"/>
    </row>
    <row r="914" spans="1:92" s="243" customFormat="1">
      <c r="A914" s="351">
        <v>99911</v>
      </c>
      <c r="B914" s="344" t="s">
        <v>1612</v>
      </c>
      <c r="C914" s="235" t="e">
        <f>VLOOKUP(A914,#REF!,10,FALSE)</f>
        <v>#REF!</v>
      </c>
      <c r="D914"/>
      <c r="E914" s="2">
        <f>VLOOKUP($A914,'[2]App C Total'!$A$4:$I$917,5,FALSE)</f>
        <v>106678</v>
      </c>
      <c r="F914" s="2">
        <f>VLOOKUP($A914,'[2]App C Total'!$A$4:$I$917,6,FALSE)</f>
        <v>34113</v>
      </c>
      <c r="G914" s="2">
        <f>VLOOKUP($A914,'[2]App C Total'!$A$4:$I$917,7,FALSE)</f>
        <v>58044</v>
      </c>
      <c r="H914" s="2">
        <f>VLOOKUP($A914,'[2]App C Total'!$A$4:$I$917,8,FALSE)</f>
        <v>17828</v>
      </c>
      <c r="I914" s="2">
        <f>VLOOKUP($A914,'[2]App C Total'!$A$4:$I$917,9,FALSE)</f>
        <v>0</v>
      </c>
      <c r="J914" s="2"/>
      <c r="K914" s="2">
        <f>VLOOKUP($A914,'[2]App C Exp'!$A$4:$I$917,5,FALSE)</f>
        <v>33242</v>
      </c>
      <c r="L914" s="2">
        <f>VLOOKUP($A914,'[2]App C Exp'!$A$4:$I$917,6,FALSE)</f>
        <v>31270</v>
      </c>
      <c r="M914" s="2">
        <f>VLOOKUP($A914,'[2]App C Exp'!$A$4:$I$917,7,FALSE)</f>
        <v>28027</v>
      </c>
      <c r="N914" s="2">
        <f>VLOOKUP($A914,'[2]App C Exp'!$A$4:$I$917,8,FALSE)</f>
        <v>11222</v>
      </c>
      <c r="O914" s="2">
        <f>VLOOKUP($A914,'[2]App C Exp'!$A$4:$I$917,9,FALSE)</f>
        <v>0</v>
      </c>
      <c r="P914" s="2"/>
      <c r="Q914" s="2">
        <f>VLOOKUP($A914,'[2]App C Inv'!$A$4:$I$917,5,FALSE)</f>
        <v>35291</v>
      </c>
      <c r="R914" s="2">
        <f>VLOOKUP($A914,'[2]App C Inv'!$A$4:$I$917,6,FALSE)</f>
        <v>-30357</v>
      </c>
      <c r="S914" s="2">
        <f>VLOOKUP($A914,'[2]App C Inv'!$A$4:$I$917,7,FALSE)</f>
        <v>4278</v>
      </c>
      <c r="T914" s="2">
        <f>VLOOKUP($A914,'[2]App C Inv'!$A$4:$I$917,8,FALSE)</f>
        <v>5568</v>
      </c>
      <c r="U914" s="2">
        <f>VLOOKUP($A914,'[2]App C Inv'!$A$4:$I$917,9,FALSE)</f>
        <v>0</v>
      </c>
      <c r="V914" s="2"/>
      <c r="W914" s="2">
        <f>VLOOKUP($A914,'[2]App C Assum'!$A$4:$I$917,5,FALSE)</f>
        <v>39756</v>
      </c>
      <c r="X914" s="2">
        <f>VLOOKUP($A914,'[2]App C Assum'!$A$4:$I$917,6,FALSE)</f>
        <v>32570</v>
      </c>
      <c r="Y914" s="2">
        <f>VLOOKUP($A914,'[2]App C Assum'!$A$4:$I$917,7,FALSE)</f>
        <v>26441</v>
      </c>
      <c r="Z914" s="2">
        <f>VLOOKUP($A914,'[2]App C Assum'!$A$4:$I$917,8,FALSE)</f>
        <v>0</v>
      </c>
      <c r="AA914" s="2">
        <f>VLOOKUP($A914,'[2]App C Assum'!$A$4:$I$917,9,FALSE)</f>
        <v>0</v>
      </c>
      <c r="AB914" s="2"/>
      <c r="AC914" s="2">
        <f>VLOOKUP($A914,'[2]App C Share Outflows'!$A$4:$I$917,5,FALSE)</f>
        <v>2367</v>
      </c>
      <c r="AD914" s="2">
        <f>VLOOKUP($A914,'[2]App C Share Outflows'!$A$4:$I$917,6,FALSE)</f>
        <v>2368</v>
      </c>
      <c r="AE914" s="2">
        <f>VLOOKUP($A914,'[2]App C Share Outflows'!$A$4:$I$917,7,FALSE)</f>
        <v>1037</v>
      </c>
      <c r="AF914" s="2">
        <f>VLOOKUP($A914,'[2]App C Share Outflows'!$A$4:$I$917,8,FALSE)</f>
        <v>1038</v>
      </c>
      <c r="AG914" s="2">
        <f>VLOOKUP($A914,'[2]App C Share Outflows'!$A$4:$I$917,9,FALSE)</f>
        <v>0</v>
      </c>
      <c r="AH914" s="2"/>
      <c r="AI914" s="2">
        <f>VLOOKUP($A914,'[2]App C Share Inflows'!$A$4:$I$917,5,FALSE)</f>
        <v>-3978</v>
      </c>
      <c r="AJ914" s="2">
        <f>VLOOKUP($A914,'[2]App C Share Inflows'!$A$4:$I$917,6,FALSE)</f>
        <v>-1738</v>
      </c>
      <c r="AK914" s="2">
        <f>VLOOKUP($A914,'[2]App C Share Inflows'!$A$4:$I$917,7,FALSE)</f>
        <v>-1739</v>
      </c>
      <c r="AL914" s="2">
        <f>VLOOKUP($A914,'[2]App C Share Inflows'!$A$4:$I$917,8,FALSE)</f>
        <v>0</v>
      </c>
      <c r="AM914" s="2">
        <f>VLOOKUP($A914,'[2]App C Share Inflows'!$A$4:$I$917,6,FALSE)</f>
        <v>-1738</v>
      </c>
      <c r="AN914" s="245"/>
      <c r="AO914" s="245"/>
      <c r="AP914" s="245"/>
      <c r="AQ914" s="245"/>
      <c r="AR914" s="245"/>
      <c r="AS914" s="245"/>
      <c r="AT914" s="245"/>
      <c r="AU914" s="245"/>
      <c r="AV914" s="245"/>
      <c r="AW914" s="245"/>
      <c r="AX914" s="245"/>
      <c r="AY914" s="245"/>
      <c r="AZ914" s="245"/>
      <c r="BA914" s="245"/>
      <c r="BB914" s="245"/>
      <c r="BC914" s="245"/>
      <c r="BD914" s="245"/>
      <c r="BE914" s="245"/>
      <c r="BF914" s="245"/>
      <c r="BG914" s="245"/>
      <c r="BH914" s="245"/>
      <c r="BI914" s="245"/>
      <c r="BJ914" s="245"/>
      <c r="BK914" s="245"/>
      <c r="BL914" s="245"/>
      <c r="BM914" s="245"/>
      <c r="BN914" s="245"/>
      <c r="BO914" s="245"/>
      <c r="BP914" s="245"/>
      <c r="BQ914" s="245"/>
      <c r="BR914" s="245"/>
      <c r="BS914" s="245"/>
      <c r="BT914" s="245"/>
      <c r="BU914" s="245"/>
      <c r="BV914" s="245"/>
      <c r="BW914" s="245"/>
      <c r="BX914" s="245"/>
      <c r="BY914" s="245"/>
      <c r="BZ914" s="245"/>
      <c r="CA914" s="245"/>
      <c r="CB914" s="245"/>
      <c r="CC914" s="245"/>
      <c r="CD914" s="245"/>
      <c r="CE914" s="245"/>
      <c r="CF914" s="245"/>
      <c r="CG914" s="245"/>
      <c r="CH914" s="245"/>
      <c r="CI914" s="245"/>
      <c r="CJ914" s="245"/>
      <c r="CK914" s="245"/>
      <c r="CL914" s="245"/>
      <c r="CM914" s="245"/>
      <c r="CN914" s="245"/>
    </row>
    <row r="915" spans="1:92">
      <c r="A915" s="351">
        <v>99921</v>
      </c>
      <c r="B915" s="344" t="s">
        <v>1613</v>
      </c>
      <c r="C915" s="235" t="e">
        <f>VLOOKUP(A915,#REF!,10,FALSE)</f>
        <v>#REF!</v>
      </c>
      <c r="E915" s="2">
        <f>VLOOKUP($A915,'[2]App C Total'!$A$4:$I$917,5,FALSE)</f>
        <v>59792</v>
      </c>
      <c r="F915" s="2">
        <f>VLOOKUP($A915,'[2]App C Total'!$A$4:$I$917,6,FALSE)</f>
        <v>15099</v>
      </c>
      <c r="G915" s="2">
        <f>VLOOKUP($A915,'[2]App C Total'!$A$4:$I$917,7,FALSE)</f>
        <v>30984</v>
      </c>
      <c r="H915" s="2">
        <f>VLOOKUP($A915,'[2]App C Total'!$A$4:$I$917,8,FALSE)</f>
        <v>10327</v>
      </c>
      <c r="I915" s="2">
        <f>VLOOKUP($A915,'[2]App C Total'!$A$4:$I$917,9,FALSE)</f>
        <v>0</v>
      </c>
      <c r="J915" s="2"/>
      <c r="K915" s="2">
        <f>VLOOKUP($A915,'[2]App C Exp'!$A$4:$I$917,5,FALSE)</f>
        <v>19700</v>
      </c>
      <c r="L915" s="2">
        <f>VLOOKUP($A915,'[2]App C Exp'!$A$4:$I$917,6,FALSE)</f>
        <v>18531</v>
      </c>
      <c r="M915" s="2">
        <f>VLOOKUP($A915,'[2]App C Exp'!$A$4:$I$917,7,FALSE)</f>
        <v>16609</v>
      </c>
      <c r="N915" s="2">
        <f>VLOOKUP($A915,'[2]App C Exp'!$A$4:$I$917,8,FALSE)</f>
        <v>6650</v>
      </c>
      <c r="O915" s="2">
        <f>VLOOKUP($A915,'[2]App C Exp'!$A$4:$I$917,9,FALSE)</f>
        <v>0</v>
      </c>
      <c r="P915" s="2"/>
      <c r="Q915" s="2">
        <f>VLOOKUP($A915,'[2]App C Inv'!$A$4:$I$917,5,FALSE)</f>
        <v>20914</v>
      </c>
      <c r="R915" s="2">
        <f>VLOOKUP($A915,'[2]App C Inv'!$A$4:$I$917,6,FALSE)</f>
        <v>-17990</v>
      </c>
      <c r="S915" s="2">
        <f>VLOOKUP($A915,'[2]App C Inv'!$A$4:$I$917,7,FALSE)</f>
        <v>2535</v>
      </c>
      <c r="T915" s="2">
        <f>VLOOKUP($A915,'[2]App C Inv'!$A$4:$I$917,8,FALSE)</f>
        <v>3300</v>
      </c>
      <c r="U915" s="2">
        <f>VLOOKUP($A915,'[2]App C Inv'!$A$4:$I$917,9,FALSE)</f>
        <v>0</v>
      </c>
      <c r="V915" s="2"/>
      <c r="W915" s="2">
        <f>VLOOKUP($A915,'[2]App C Assum'!$A$4:$I$917,5,FALSE)</f>
        <v>23560</v>
      </c>
      <c r="X915" s="2">
        <f>VLOOKUP($A915,'[2]App C Assum'!$A$4:$I$917,6,FALSE)</f>
        <v>19301</v>
      </c>
      <c r="Y915" s="2">
        <f>VLOOKUP($A915,'[2]App C Assum'!$A$4:$I$917,7,FALSE)</f>
        <v>15669</v>
      </c>
      <c r="Z915" s="2">
        <f>VLOOKUP($A915,'[2]App C Assum'!$A$4:$I$917,8,FALSE)</f>
        <v>0</v>
      </c>
      <c r="AA915" s="2">
        <f>VLOOKUP($A915,'[2]App C Assum'!$A$4:$I$917,9,FALSE)</f>
        <v>0</v>
      </c>
      <c r="AB915" s="2"/>
      <c r="AC915" s="2">
        <f>VLOOKUP($A915,'[2]App C Share Outflows'!$A$4:$I$917,5,FALSE)</f>
        <v>736</v>
      </c>
      <c r="AD915" s="2">
        <f>VLOOKUP($A915,'[2]App C Share Outflows'!$A$4:$I$917,6,FALSE)</f>
        <v>375</v>
      </c>
      <c r="AE915" s="2">
        <f>VLOOKUP($A915,'[2]App C Share Outflows'!$A$4:$I$917,7,FALSE)</f>
        <v>375</v>
      </c>
      <c r="AF915" s="2">
        <f>VLOOKUP($A915,'[2]App C Share Outflows'!$A$4:$I$917,8,FALSE)</f>
        <v>377</v>
      </c>
      <c r="AG915" s="2">
        <f>VLOOKUP($A915,'[2]App C Share Outflows'!$A$4:$I$917,9,FALSE)</f>
        <v>0</v>
      </c>
      <c r="AH915" s="2"/>
      <c r="AI915" s="2">
        <f>VLOOKUP($A915,'[2]App C Share Inflows'!$A$4:$I$917,5,FALSE)</f>
        <v>-5118</v>
      </c>
      <c r="AJ915" s="2">
        <f>VLOOKUP($A915,'[2]App C Share Inflows'!$A$4:$I$917,6,FALSE)</f>
        <v>-5118</v>
      </c>
      <c r="AK915" s="2">
        <f>VLOOKUP($A915,'[2]App C Share Inflows'!$A$4:$I$917,7,FALSE)</f>
        <v>-4204</v>
      </c>
      <c r="AL915" s="2">
        <f>VLOOKUP($A915,'[2]App C Share Inflows'!$A$4:$I$917,8,FALSE)</f>
        <v>0</v>
      </c>
      <c r="AM915" s="2">
        <f>VLOOKUP($A915,'[2]App C Share Inflows'!$A$4:$I$917,6,FALSE)</f>
        <v>-5118</v>
      </c>
      <c r="AN915" s="244"/>
      <c r="AO915" s="244"/>
      <c r="AP915" s="244"/>
      <c r="AQ915" s="244"/>
      <c r="AR915" s="244"/>
      <c r="AS915" s="244"/>
      <c r="AT915" s="244"/>
      <c r="AU915" s="244"/>
      <c r="AV915" s="244"/>
      <c r="AW915" s="244"/>
      <c r="AX915" s="244"/>
      <c r="AY915" s="244"/>
      <c r="AZ915" s="244"/>
      <c r="BA915" s="244"/>
      <c r="BB915" s="244"/>
      <c r="BC915" s="244"/>
      <c r="BD915" s="244"/>
      <c r="BE915" s="244"/>
      <c r="BF915" s="244"/>
      <c r="BG915" s="244"/>
      <c r="BH915" s="244"/>
      <c r="BI915" s="244"/>
      <c r="BJ915" s="244"/>
      <c r="BK915" s="244"/>
      <c r="BL915" s="244"/>
      <c r="BM915" s="244"/>
      <c r="BN915" s="244"/>
      <c r="BO915" s="244"/>
      <c r="BP915" s="244"/>
      <c r="BQ915" s="244"/>
      <c r="BR915" s="244"/>
      <c r="BS915" s="244"/>
      <c r="BT915" s="244"/>
      <c r="BU915" s="244"/>
      <c r="BV915" s="244"/>
      <c r="BW915" s="244"/>
      <c r="BX915" s="244"/>
      <c r="BY915" s="244"/>
      <c r="BZ915" s="244"/>
      <c r="CA915" s="244"/>
      <c r="CB915" s="244"/>
      <c r="CC915" s="244"/>
      <c r="CD915" s="244"/>
      <c r="CE915" s="244"/>
      <c r="CF915" s="244"/>
      <c r="CG915" s="244"/>
      <c r="CH915" s="244"/>
      <c r="CI915" s="244"/>
      <c r="CJ915" s="244"/>
      <c r="CK915" s="244"/>
      <c r="CL915" s="244"/>
      <c r="CM915" s="244"/>
      <c r="CN915" s="244"/>
    </row>
    <row r="916" spans="1:92">
      <c r="A916" s="351">
        <v>99931</v>
      </c>
      <c r="B916" s="344" t="s">
        <v>1614</v>
      </c>
      <c r="C916" s="235" t="e">
        <f>VLOOKUP(A916,#REF!,10,FALSE)</f>
        <v>#REF!</v>
      </c>
      <c r="E916" s="2">
        <f>VLOOKUP($A916,'[2]App C Total'!$A$4:$I$917,5,FALSE)</f>
        <v>10777</v>
      </c>
      <c r="F916" s="2">
        <f>VLOOKUP($A916,'[2]App C Total'!$A$4:$I$917,6,FALSE)</f>
        <v>3732</v>
      </c>
      <c r="G916" s="2">
        <f>VLOOKUP($A916,'[2]App C Total'!$A$4:$I$917,7,FALSE)</f>
        <v>7436</v>
      </c>
      <c r="H916" s="2">
        <f>VLOOKUP($A916,'[2]App C Total'!$A$4:$I$917,8,FALSE)</f>
        <v>2931</v>
      </c>
      <c r="I916" s="2">
        <f>VLOOKUP($A916,'[2]App C Total'!$A$4:$I$917,9,FALSE)</f>
        <v>0</v>
      </c>
      <c r="J916" s="2"/>
      <c r="K916" s="2">
        <f>VLOOKUP($A916,'[2]App C Exp'!$A$4:$I$917,5,FALSE)</f>
        <v>3251</v>
      </c>
      <c r="L916" s="2">
        <f>VLOOKUP($A916,'[2]App C Exp'!$A$4:$I$917,6,FALSE)</f>
        <v>3058</v>
      </c>
      <c r="M916" s="2">
        <f>VLOOKUP($A916,'[2]App C Exp'!$A$4:$I$917,7,FALSE)</f>
        <v>2741</v>
      </c>
      <c r="N916" s="2">
        <f>VLOOKUP($A916,'[2]App C Exp'!$A$4:$I$917,8,FALSE)</f>
        <v>1097</v>
      </c>
      <c r="O916" s="2">
        <f>VLOOKUP($A916,'[2]App C Exp'!$A$4:$I$917,9,FALSE)</f>
        <v>0</v>
      </c>
      <c r="P916" s="2"/>
      <c r="Q916" s="2">
        <f>VLOOKUP($A916,'[2]App C Inv'!$A$4:$I$917,5,FALSE)</f>
        <v>3451</v>
      </c>
      <c r="R916" s="2">
        <f>VLOOKUP($A916,'[2]App C Inv'!$A$4:$I$917,6,FALSE)</f>
        <v>-2969</v>
      </c>
      <c r="S916" s="2">
        <f>VLOOKUP($A916,'[2]App C Inv'!$A$4:$I$917,7,FALSE)</f>
        <v>418</v>
      </c>
      <c r="T916" s="2">
        <f>VLOOKUP($A916,'[2]App C Inv'!$A$4:$I$917,8,FALSE)</f>
        <v>545</v>
      </c>
      <c r="U916" s="2">
        <f>VLOOKUP($A916,'[2]App C Inv'!$A$4:$I$917,9,FALSE)</f>
        <v>0</v>
      </c>
      <c r="V916" s="2"/>
      <c r="W916" s="2">
        <f>VLOOKUP($A916,'[2]App C Assum'!$A$4:$I$917,5,FALSE)</f>
        <v>3888</v>
      </c>
      <c r="X916" s="2">
        <f>VLOOKUP($A916,'[2]App C Assum'!$A$4:$I$917,6,FALSE)</f>
        <v>3185</v>
      </c>
      <c r="Y916" s="2">
        <f>VLOOKUP($A916,'[2]App C Assum'!$A$4:$I$917,7,FALSE)</f>
        <v>2586</v>
      </c>
      <c r="Z916" s="2">
        <f>VLOOKUP($A916,'[2]App C Assum'!$A$4:$I$917,8,FALSE)</f>
        <v>0</v>
      </c>
      <c r="AA916" s="2">
        <f>VLOOKUP($A916,'[2]App C Assum'!$A$4:$I$917,9,FALSE)</f>
        <v>0</v>
      </c>
      <c r="AB916" s="2"/>
      <c r="AC916" s="2">
        <f>VLOOKUP($A916,'[2]App C Share Outflows'!$A$4:$I$917,5,FALSE)</f>
        <v>1693</v>
      </c>
      <c r="AD916" s="2">
        <f>VLOOKUP($A916,'[2]App C Share Outflows'!$A$4:$I$917,6,FALSE)</f>
        <v>1693</v>
      </c>
      <c r="AE916" s="2">
        <f>VLOOKUP($A916,'[2]App C Share Outflows'!$A$4:$I$917,7,FALSE)</f>
        <v>1691</v>
      </c>
      <c r="AF916" s="2">
        <f>VLOOKUP($A916,'[2]App C Share Outflows'!$A$4:$I$917,8,FALSE)</f>
        <v>1289</v>
      </c>
      <c r="AG916" s="2">
        <f>VLOOKUP($A916,'[2]App C Share Outflows'!$A$4:$I$917,9,FALSE)</f>
        <v>0</v>
      </c>
      <c r="AH916" s="2"/>
      <c r="AI916" s="2">
        <f>VLOOKUP($A916,'[2]App C Share Inflows'!$A$4:$I$917,5,FALSE)</f>
        <v>-1506</v>
      </c>
      <c r="AJ916" s="2">
        <f>VLOOKUP($A916,'[2]App C Share Inflows'!$A$4:$I$917,6,FALSE)</f>
        <v>-1235</v>
      </c>
      <c r="AK916" s="2">
        <f>VLOOKUP($A916,'[2]App C Share Inflows'!$A$4:$I$917,7,FALSE)</f>
        <v>0</v>
      </c>
      <c r="AL916" s="2">
        <f>VLOOKUP($A916,'[2]App C Share Inflows'!$A$4:$I$917,8,FALSE)</f>
        <v>0</v>
      </c>
      <c r="AM916" s="2">
        <f>VLOOKUP($A916,'[2]App C Share Inflows'!$A$4:$I$917,6,FALSE)</f>
        <v>-1235</v>
      </c>
      <c r="AN916" s="244"/>
      <c r="AO916" s="244"/>
      <c r="AP916" s="244"/>
      <c r="AQ916" s="244"/>
      <c r="AR916" s="244"/>
      <c r="AS916" s="244"/>
      <c r="AT916" s="244"/>
      <c r="AU916" s="244"/>
      <c r="AV916" s="244"/>
      <c r="AW916" s="244"/>
      <c r="AX916" s="244"/>
      <c r="AY916" s="244"/>
      <c r="AZ916" s="244"/>
      <c r="BA916" s="244"/>
      <c r="BB916" s="244"/>
      <c r="BC916" s="244"/>
      <c r="BD916" s="244"/>
      <c r="BE916" s="244"/>
      <c r="BF916" s="244"/>
      <c r="BG916" s="244"/>
      <c r="BH916" s="244"/>
      <c r="BI916" s="244"/>
      <c r="BJ916" s="244"/>
      <c r="BK916" s="244"/>
      <c r="BL916" s="244"/>
      <c r="BM916" s="244"/>
      <c r="BN916" s="244"/>
      <c r="BO916" s="244"/>
      <c r="BP916" s="244"/>
      <c r="BQ916" s="244"/>
      <c r="BR916" s="244"/>
      <c r="BS916" s="244"/>
      <c r="BT916" s="244"/>
      <c r="BU916" s="244"/>
      <c r="BV916" s="244"/>
      <c r="BW916" s="244"/>
      <c r="BX916" s="244"/>
      <c r="BY916" s="244"/>
      <c r="BZ916" s="244"/>
      <c r="CA916" s="244"/>
      <c r="CB916" s="244"/>
      <c r="CC916" s="244"/>
      <c r="CD916" s="244"/>
      <c r="CE916" s="244"/>
      <c r="CF916" s="244"/>
      <c r="CG916" s="244"/>
      <c r="CH916" s="244"/>
      <c r="CI916" s="244"/>
      <c r="CJ916" s="244"/>
      <c r="CK916" s="244"/>
      <c r="CL916" s="244"/>
      <c r="CM916" s="244"/>
      <c r="CN916" s="244"/>
    </row>
    <row r="917" spans="1:92">
      <c r="A917" s="351">
        <v>99941</v>
      </c>
      <c r="B917" s="344" t="s">
        <v>1615</v>
      </c>
      <c r="C917" s="235" t="e">
        <f>VLOOKUP(A917,#REF!,10,FALSE)</f>
        <v>#REF!</v>
      </c>
      <c r="E917" s="2">
        <f>VLOOKUP($A917,'[2]App C Total'!$A$4:$I$917,5,FALSE)</f>
        <v>33492</v>
      </c>
      <c r="F917" s="2">
        <f>VLOOKUP($A917,'[2]App C Total'!$A$4:$I$917,6,FALSE)</f>
        <v>9312</v>
      </c>
      <c r="G917" s="2">
        <f>VLOOKUP($A917,'[2]App C Total'!$A$4:$I$917,7,FALSE)</f>
        <v>18984</v>
      </c>
      <c r="H917" s="2">
        <f>VLOOKUP($A917,'[2]App C Total'!$A$4:$I$917,8,FALSE)</f>
        <v>4852</v>
      </c>
      <c r="I917" s="2">
        <f>VLOOKUP($A917,'[2]App C Total'!$A$4:$I$917,9,FALSE)</f>
        <v>0</v>
      </c>
      <c r="J917" s="2"/>
      <c r="K917" s="2">
        <f>VLOOKUP($A917,'[2]App C Exp'!$A$4:$I$917,5,FALSE)</f>
        <v>11595</v>
      </c>
      <c r="L917" s="2">
        <f>VLOOKUP($A917,'[2]App C Exp'!$A$4:$I$917,6,FALSE)</f>
        <v>10907</v>
      </c>
      <c r="M917" s="2">
        <f>VLOOKUP($A917,'[2]App C Exp'!$A$4:$I$917,7,FALSE)</f>
        <v>9776</v>
      </c>
      <c r="N917" s="2">
        <f>VLOOKUP($A917,'[2]App C Exp'!$A$4:$I$917,8,FALSE)</f>
        <v>3914</v>
      </c>
      <c r="O917" s="2">
        <f>VLOOKUP($A917,'[2]App C Exp'!$A$4:$I$917,9,FALSE)</f>
        <v>0</v>
      </c>
      <c r="P917" s="2"/>
      <c r="Q917" s="2">
        <f>VLOOKUP($A917,'[2]App C Inv'!$A$4:$I$917,5,FALSE)</f>
        <v>12310</v>
      </c>
      <c r="R917" s="2">
        <f>VLOOKUP($A917,'[2]App C Inv'!$A$4:$I$917,6,FALSE)</f>
        <v>-10589</v>
      </c>
      <c r="S917" s="2">
        <f>VLOOKUP($A917,'[2]App C Inv'!$A$4:$I$917,7,FALSE)</f>
        <v>1492</v>
      </c>
      <c r="T917" s="2">
        <f>VLOOKUP($A917,'[2]App C Inv'!$A$4:$I$917,8,FALSE)</f>
        <v>1942</v>
      </c>
      <c r="U917" s="2">
        <f>VLOOKUP($A917,'[2]App C Inv'!$A$4:$I$917,9,FALSE)</f>
        <v>0</v>
      </c>
      <c r="V917" s="2"/>
      <c r="W917" s="2">
        <f>VLOOKUP($A917,'[2]App C Assum'!$A$4:$I$917,5,FALSE)</f>
        <v>13867</v>
      </c>
      <c r="X917" s="2">
        <f>VLOOKUP($A917,'[2]App C Assum'!$A$4:$I$917,6,FALSE)</f>
        <v>11360</v>
      </c>
      <c r="Y917" s="2">
        <f>VLOOKUP($A917,'[2]App C Assum'!$A$4:$I$917,7,FALSE)</f>
        <v>9223</v>
      </c>
      <c r="Z917" s="2">
        <f>VLOOKUP($A917,'[2]App C Assum'!$A$4:$I$917,8,FALSE)</f>
        <v>0</v>
      </c>
      <c r="AA917" s="2">
        <f>VLOOKUP($A917,'[2]App C Assum'!$A$4:$I$917,9,FALSE)</f>
        <v>0</v>
      </c>
      <c r="AB917" s="2"/>
      <c r="AC917" s="2">
        <f>VLOOKUP($A917,'[2]App C Share Outflows'!$A$4:$I$917,5,FALSE)</f>
        <v>0</v>
      </c>
      <c r="AD917" s="2">
        <f>VLOOKUP($A917,'[2]App C Share Outflows'!$A$4:$I$917,6,FALSE)</f>
        <v>0</v>
      </c>
      <c r="AE917" s="2">
        <f>VLOOKUP($A917,'[2]App C Share Outflows'!$A$4:$I$917,7,FALSE)</f>
        <v>0</v>
      </c>
      <c r="AF917" s="2">
        <f>VLOOKUP($A917,'[2]App C Share Outflows'!$A$4:$I$917,8,FALSE)</f>
        <v>0</v>
      </c>
      <c r="AG917" s="2">
        <f>VLOOKUP($A917,'[2]App C Share Outflows'!$A$4:$I$917,9,FALSE)</f>
        <v>0</v>
      </c>
      <c r="AH917" s="2"/>
      <c r="AI917" s="2">
        <f>VLOOKUP($A917,'[2]App C Share Inflows'!$A$4:$I$917,5,FALSE)</f>
        <v>-4280</v>
      </c>
      <c r="AJ917" s="2">
        <f>VLOOKUP($A917,'[2]App C Share Inflows'!$A$4:$I$917,6,FALSE)</f>
        <v>-2366</v>
      </c>
      <c r="AK917" s="2">
        <f>VLOOKUP($A917,'[2]App C Share Inflows'!$A$4:$I$917,7,FALSE)</f>
        <v>-1507</v>
      </c>
      <c r="AL917" s="2">
        <f>VLOOKUP($A917,'[2]App C Share Inflows'!$A$4:$I$917,8,FALSE)</f>
        <v>-1004</v>
      </c>
      <c r="AM917" s="2">
        <f>VLOOKUP($A917,'[2]App C Share Inflows'!$A$4:$I$917,6,FALSE)</f>
        <v>-2366</v>
      </c>
      <c r="AN917" s="244"/>
      <c r="AO917" s="244"/>
      <c r="AP917" s="244"/>
      <c r="AQ917" s="244"/>
      <c r="AR917" s="244"/>
      <c r="AS917" s="244"/>
      <c r="AT917" s="244"/>
      <c r="AU917" s="244"/>
      <c r="AV917" s="244"/>
      <c r="AW917" s="244"/>
      <c r="AX917" s="244"/>
      <c r="AY917" s="244"/>
      <c r="AZ917" s="244"/>
      <c r="BA917" s="244"/>
      <c r="BB917" s="244"/>
      <c r="BC917" s="244"/>
      <c r="BD917" s="244"/>
      <c r="BE917" s="244"/>
      <c r="BF917" s="244"/>
      <c r="BG917" s="244"/>
      <c r="BH917" s="244"/>
      <c r="BI917" s="244"/>
      <c r="BJ917" s="244"/>
      <c r="BK917" s="244"/>
      <c r="BL917" s="244"/>
      <c r="BM917" s="244"/>
      <c r="BN917" s="244"/>
      <c r="BO917" s="244"/>
      <c r="BP917" s="244"/>
      <c r="BQ917" s="244"/>
      <c r="BR917" s="244"/>
      <c r="BS917" s="244"/>
      <c r="BT917" s="244"/>
      <c r="BU917" s="244"/>
      <c r="BV917" s="244"/>
      <c r="BW917" s="244"/>
      <c r="BX917" s="244"/>
      <c r="BY917" s="244"/>
      <c r="BZ917" s="244"/>
      <c r="CA917" s="244"/>
      <c r="CB917" s="244"/>
      <c r="CC917" s="244"/>
      <c r="CD917" s="244"/>
      <c r="CE917" s="244"/>
      <c r="CF917" s="244"/>
      <c r="CG917" s="244"/>
      <c r="CH917" s="244"/>
      <c r="CI917" s="244"/>
      <c r="CJ917" s="244"/>
      <c r="CK917" s="244"/>
      <c r="CL917" s="244"/>
      <c r="CM917" s="244"/>
      <c r="CN917" s="244"/>
    </row>
    <row r="918" spans="1:92">
      <c r="A918" s="351">
        <v>99991</v>
      </c>
      <c r="B918" s="344" t="s">
        <v>3716</v>
      </c>
      <c r="C918" s="235" t="e">
        <f>VLOOKUP(A918,#REF!,10,FALSE)</f>
        <v>#REF!</v>
      </c>
      <c r="E918" s="2">
        <f>VLOOKUP($A918,'[2]App C Total'!$A$4:$I$917,5,FALSE)</f>
        <v>238917</v>
      </c>
      <c r="F918" s="2">
        <f>VLOOKUP($A918,'[2]App C Total'!$A$4:$I$917,6,FALSE)</f>
        <v>64313</v>
      </c>
      <c r="G918" s="2">
        <f>VLOOKUP($A918,'[2]App C Total'!$A$4:$I$917,7,FALSE)</f>
        <v>129284</v>
      </c>
      <c r="H918" s="2">
        <f>VLOOKUP($A918,'[2]App C Total'!$A$4:$I$917,8,FALSE)</f>
        <v>34714</v>
      </c>
      <c r="I918" s="2">
        <f>VLOOKUP($A918,'[2]App C Total'!$A$4:$I$917,9,FALSE)</f>
        <v>0</v>
      </c>
      <c r="J918" s="2"/>
      <c r="K918" s="2">
        <f>VLOOKUP($A918,'[2]App C Exp'!$A$4:$I$917,5,FALSE)</f>
        <v>76207</v>
      </c>
      <c r="L918" s="2">
        <f>VLOOKUP($A918,'[2]App C Exp'!$A$4:$I$917,6,FALSE)</f>
        <v>71686</v>
      </c>
      <c r="M918" s="2">
        <f>VLOOKUP($A918,'[2]App C Exp'!$A$4:$I$917,7,FALSE)</f>
        <v>64251</v>
      </c>
      <c r="N918" s="2">
        <f>VLOOKUP($A918,'[2]App C Exp'!$A$4:$I$917,8,FALSE)</f>
        <v>25725</v>
      </c>
      <c r="O918" s="2">
        <f>VLOOKUP($A918,'[2]App C Exp'!$A$4:$I$917,9,FALSE)</f>
        <v>0</v>
      </c>
      <c r="P918" s="2"/>
      <c r="Q918" s="2">
        <f>VLOOKUP($A918,'[2]App C Inv'!$A$4:$I$917,5,FALSE)</f>
        <v>80904</v>
      </c>
      <c r="R918" s="2">
        <f>VLOOKUP($A918,'[2]App C Inv'!$A$4:$I$917,6,FALSE)</f>
        <v>-69593</v>
      </c>
      <c r="S918" s="2">
        <f>VLOOKUP($A918,'[2]App C Inv'!$A$4:$I$917,7,FALSE)</f>
        <v>9808</v>
      </c>
      <c r="T918" s="2">
        <f>VLOOKUP($A918,'[2]App C Inv'!$A$4:$I$917,8,FALSE)</f>
        <v>12765</v>
      </c>
      <c r="U918" s="2">
        <f>VLOOKUP($A918,'[2]App C Inv'!$A$4:$I$917,9,FALSE)</f>
        <v>0</v>
      </c>
      <c r="V918" s="2"/>
      <c r="W918" s="2">
        <f>VLOOKUP($A918,'[2]App C Assum'!$A$4:$I$917,5,FALSE)</f>
        <v>91140</v>
      </c>
      <c r="X918" s="2">
        <f>VLOOKUP($A918,'[2]App C Assum'!$A$4:$I$917,6,FALSE)</f>
        <v>74665</v>
      </c>
      <c r="Y918" s="2">
        <f>VLOOKUP($A918,'[2]App C Assum'!$A$4:$I$917,7,FALSE)</f>
        <v>60615</v>
      </c>
      <c r="Z918" s="2">
        <f>VLOOKUP($A918,'[2]App C Assum'!$A$4:$I$917,8,FALSE)</f>
        <v>0</v>
      </c>
      <c r="AA918" s="2">
        <f>VLOOKUP($A918,'[2]App C Assum'!$A$4:$I$917,9,FALSE)</f>
        <v>0</v>
      </c>
      <c r="AB918" s="2"/>
      <c r="AC918" s="2">
        <f>VLOOKUP($A918,'[2]App C Share Outflows'!$A$4:$I$917,5,FALSE)</f>
        <v>3109</v>
      </c>
      <c r="AD918" s="2">
        <f>VLOOKUP($A918,'[2]App C Share Outflows'!$A$4:$I$917,6,FALSE)</f>
        <v>0</v>
      </c>
      <c r="AE918" s="2">
        <f>VLOOKUP($A918,'[2]App C Share Outflows'!$A$4:$I$917,7,FALSE)</f>
        <v>0</v>
      </c>
      <c r="AF918" s="2">
        <f>VLOOKUP($A918,'[2]App C Share Outflows'!$A$4:$I$917,8,FALSE)</f>
        <v>0</v>
      </c>
      <c r="AG918" s="2">
        <f>VLOOKUP($A918,'[2]App C Share Outflows'!$A$4:$I$917,9,FALSE)</f>
        <v>0</v>
      </c>
      <c r="AH918" s="2"/>
      <c r="AI918" s="2">
        <f>VLOOKUP($A918,'[2]App C Share Inflows'!$A$4:$I$917,5,FALSE)</f>
        <v>-12443</v>
      </c>
      <c r="AJ918" s="2">
        <f>VLOOKUP($A918,'[2]App C Share Inflows'!$A$4:$I$917,6,FALSE)</f>
        <v>-12445</v>
      </c>
      <c r="AK918" s="2">
        <f>VLOOKUP($A918,'[2]App C Share Inflows'!$A$4:$I$917,7,FALSE)</f>
        <v>-5390</v>
      </c>
      <c r="AL918" s="2">
        <f>VLOOKUP($A918,'[2]App C Share Inflows'!$A$4:$I$917,8,FALSE)</f>
        <v>-3776</v>
      </c>
      <c r="AM918" s="2">
        <f>VLOOKUP($A918,'[2]App C Share Inflows'!$A$4:$I$917,6,FALSE)</f>
        <v>-12445</v>
      </c>
      <c r="AN918" s="244"/>
      <c r="AO918" s="244"/>
      <c r="AP918" s="244"/>
      <c r="AQ918" s="244"/>
      <c r="AR918" s="244"/>
      <c r="AS918" s="244"/>
      <c r="AT918" s="244"/>
      <c r="AU918" s="244"/>
      <c r="AV918" s="244"/>
      <c r="AW918" s="244"/>
      <c r="AX918" s="244"/>
      <c r="AY918" s="244"/>
      <c r="AZ918" s="244"/>
      <c r="BA918" s="244"/>
      <c r="BB918" s="244"/>
      <c r="BC918" s="244"/>
      <c r="BD918" s="244"/>
      <c r="BE918" s="244"/>
      <c r="BF918" s="244"/>
      <c r="BG918" s="244"/>
      <c r="BH918" s="244"/>
      <c r="BI918" s="244"/>
      <c r="BJ918" s="244"/>
      <c r="BK918" s="244"/>
      <c r="BL918" s="244"/>
      <c r="BM918" s="244"/>
      <c r="BN918" s="244"/>
      <c r="BO918" s="244"/>
      <c r="BP918" s="244"/>
      <c r="BQ918" s="244"/>
      <c r="BR918" s="244"/>
      <c r="BS918" s="244"/>
      <c r="BT918" s="244"/>
      <c r="BU918" s="244"/>
      <c r="BV918" s="244"/>
      <c r="BW918" s="244"/>
      <c r="BX918" s="244"/>
      <c r="BY918" s="244"/>
      <c r="BZ918" s="244"/>
      <c r="CA918" s="244"/>
      <c r="CB918" s="244"/>
      <c r="CC918" s="244"/>
      <c r="CD918" s="244"/>
      <c r="CE918" s="244"/>
      <c r="CF918" s="244"/>
      <c r="CG918" s="244"/>
      <c r="CH918" s="244"/>
      <c r="CI918" s="244"/>
      <c r="CJ918" s="244"/>
      <c r="CK918" s="244"/>
      <c r="CL918" s="244"/>
      <c r="CM918" s="244"/>
      <c r="CN918" s="244"/>
    </row>
    <row r="919" spans="1:92">
      <c r="A919" s="351">
        <v>99999</v>
      </c>
      <c r="B919" s="344" t="s">
        <v>3717</v>
      </c>
      <c r="C919" s="235" t="e">
        <f>VLOOKUP(A919,#REF!,10,FALSE)</f>
        <v>#REF!</v>
      </c>
      <c r="E919" s="2">
        <f>VLOOKUP($A919,'[2]App C Total'!$A$4:$I$917,5,FALSE)</f>
        <v>560734</v>
      </c>
      <c r="F919" s="2">
        <f>VLOOKUP($A919,'[2]App C Total'!$A$4:$I$917,6,FALSE)</f>
        <v>206945</v>
      </c>
      <c r="G919" s="2">
        <f>VLOOKUP($A919,'[2]App C Total'!$A$4:$I$917,7,FALSE)</f>
        <v>322994</v>
      </c>
      <c r="H919" s="2">
        <f>VLOOKUP($A919,'[2]App C Total'!$A$4:$I$917,8,FALSE)</f>
        <v>108341</v>
      </c>
      <c r="I919" s="2">
        <f>VLOOKUP($A919,'[2]App C Total'!$A$4:$I$917,9,FALSE)</f>
        <v>0</v>
      </c>
      <c r="J919" s="2"/>
      <c r="K919" s="2">
        <f>VLOOKUP($A919,'[2]App C Exp'!$A$4:$I$917,5,FALSE)</f>
        <v>151200</v>
      </c>
      <c r="L919" s="2">
        <f>VLOOKUP($A919,'[2]App C Exp'!$A$4:$I$917,6,FALSE)</f>
        <v>142231</v>
      </c>
      <c r="M919" s="2">
        <f>VLOOKUP($A919,'[2]App C Exp'!$A$4:$I$917,7,FALSE)</f>
        <v>127480</v>
      </c>
      <c r="N919" s="2">
        <f>VLOOKUP($A919,'[2]App C Exp'!$A$4:$I$917,8,FALSE)</f>
        <v>51041</v>
      </c>
      <c r="O919" s="2">
        <f>VLOOKUP($A919,'[2]App C Exp'!$A$4:$I$917,9,FALSE)</f>
        <v>0</v>
      </c>
      <c r="P919" s="2"/>
      <c r="Q919" s="2">
        <f>VLOOKUP($A919,'[2]App C Inv'!$A$4:$I$917,5,FALSE)</f>
        <v>160520</v>
      </c>
      <c r="R919" s="2">
        <f>VLOOKUP($A919,'[2]App C Inv'!$A$4:$I$917,6,FALSE)</f>
        <v>-138077</v>
      </c>
      <c r="S919" s="2">
        <f>VLOOKUP($A919,'[2]App C Inv'!$A$4:$I$917,7,FALSE)</f>
        <v>19460</v>
      </c>
      <c r="T919" s="2">
        <f>VLOOKUP($A919,'[2]App C Inv'!$A$4:$I$917,8,FALSE)</f>
        <v>25327</v>
      </c>
      <c r="U919" s="2">
        <f>VLOOKUP($A919,'[2]App C Inv'!$A$4:$I$917,9,FALSE)</f>
        <v>0</v>
      </c>
      <c r="V919" s="2"/>
      <c r="W919" s="2">
        <f>VLOOKUP($A919,'[2]App C Assum'!$A$4:$I$917,5,FALSE)</f>
        <v>180828</v>
      </c>
      <c r="X919" s="2">
        <f>VLOOKUP($A919,'[2]App C Assum'!$A$4:$I$917,6,FALSE)</f>
        <v>148141</v>
      </c>
      <c r="Y919" s="2">
        <f>VLOOKUP($A919,'[2]App C Assum'!$A$4:$I$917,7,FALSE)</f>
        <v>120265</v>
      </c>
      <c r="Z919" s="2">
        <f>VLOOKUP($A919,'[2]App C Assum'!$A$4:$I$917,8,FALSE)</f>
        <v>0</v>
      </c>
      <c r="AA919" s="2">
        <f>VLOOKUP($A919,'[2]App C Assum'!$A$4:$I$917,9,FALSE)</f>
        <v>0</v>
      </c>
      <c r="AB919" s="2"/>
      <c r="AC919" s="2">
        <f>VLOOKUP($A919,'[2]App C Share Outflows'!$A$4:$I$917,5,FALSE)</f>
        <v>69328</v>
      </c>
      <c r="AD919" s="2">
        <f>VLOOKUP($A919,'[2]App C Share Outflows'!$A$4:$I$917,6,FALSE)</f>
        <v>55791</v>
      </c>
      <c r="AE919" s="2">
        <f>VLOOKUP($A919,'[2]App C Share Outflows'!$A$4:$I$917,7,FALSE)</f>
        <v>55789</v>
      </c>
      <c r="AF919" s="2">
        <f>VLOOKUP($A919,'[2]App C Share Outflows'!$A$4:$I$917,8,FALSE)</f>
        <v>31973</v>
      </c>
      <c r="AG919" s="2">
        <f>VLOOKUP($A919,'[2]App C Share Outflows'!$A$4:$I$917,9,FALSE)</f>
        <v>0</v>
      </c>
      <c r="AH919" s="2"/>
      <c r="AI919" s="2">
        <f>VLOOKUP($A919,'[2]App C Share Inflows'!$A$4:$I$917,5,FALSE)</f>
        <v>-1142</v>
      </c>
      <c r="AJ919" s="2">
        <f>VLOOKUP($A919,'[2]App C Share Inflows'!$A$4:$I$917,6,FALSE)</f>
        <v>-1141</v>
      </c>
      <c r="AK919" s="2">
        <f>VLOOKUP($A919,'[2]App C Share Inflows'!$A$4:$I$917,7,FALSE)</f>
        <v>0</v>
      </c>
      <c r="AL919" s="2">
        <f>VLOOKUP($A919,'[2]App C Share Inflows'!$A$4:$I$917,8,FALSE)</f>
        <v>0</v>
      </c>
      <c r="AM919" s="2">
        <f>VLOOKUP($A919,'[2]App C Share Inflows'!$A$4:$I$917,6,FALSE)</f>
        <v>-1141</v>
      </c>
      <c r="AN919" s="244"/>
      <c r="AO919" s="244"/>
      <c r="AP919" s="244"/>
      <c r="AQ919" s="244"/>
      <c r="AR919" s="244"/>
      <c r="AS919" s="244"/>
      <c r="AT919" s="244"/>
      <c r="AU919" s="244"/>
      <c r="AV919" s="244"/>
      <c r="AW919" s="244"/>
      <c r="AX919" s="244"/>
      <c r="AY919" s="244"/>
      <c r="AZ919" s="244"/>
      <c r="BA919" s="244"/>
      <c r="BB919" s="244"/>
      <c r="BC919" s="244"/>
      <c r="BD919" s="244"/>
      <c r="BE919" s="244"/>
      <c r="BF919" s="244"/>
      <c r="BG919" s="244"/>
      <c r="BH919" s="244"/>
      <c r="BI919" s="244"/>
      <c r="BJ919" s="244"/>
      <c r="BK919" s="244"/>
      <c r="BL919" s="244"/>
      <c r="BM919" s="244"/>
      <c r="BN919" s="244"/>
      <c r="BO919" s="244"/>
      <c r="BP919" s="244"/>
      <c r="BQ919" s="244"/>
      <c r="BR919" s="244"/>
      <c r="BS919" s="244"/>
      <c r="BT919" s="244"/>
      <c r="BU919" s="244"/>
      <c r="BV919" s="244"/>
      <c r="BW919" s="244"/>
      <c r="BX919" s="244"/>
      <c r="BY919" s="244"/>
      <c r="BZ919" s="244"/>
      <c r="CA919" s="244"/>
      <c r="CB919" s="244"/>
      <c r="CC919" s="244"/>
      <c r="CD919" s="244"/>
      <c r="CE919" s="244"/>
      <c r="CF919" s="244"/>
      <c r="CG919" s="244"/>
      <c r="CH919" s="244"/>
      <c r="CI919" s="244"/>
      <c r="CJ919" s="244"/>
      <c r="CK919" s="244"/>
      <c r="CL919" s="244"/>
      <c r="CM919" s="244"/>
      <c r="CN919" s="244"/>
    </row>
    <row r="920" spans="1:92">
      <c r="A920" s="7" t="s">
        <v>692</v>
      </c>
      <c r="B920" s="60" t="s">
        <v>691</v>
      </c>
      <c r="C920" s="235">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c r="AB920" s="2"/>
      <c r="AC920" s="2">
        <v>0</v>
      </c>
      <c r="AD920" s="2">
        <v>0</v>
      </c>
      <c r="AE920" s="2">
        <v>0</v>
      </c>
      <c r="AF920" s="2">
        <v>0</v>
      </c>
      <c r="AG920" s="2">
        <v>0</v>
      </c>
      <c r="AH920" s="2">
        <v>0</v>
      </c>
      <c r="AI920" s="2">
        <v>0</v>
      </c>
      <c r="AJ920" s="2">
        <v>0</v>
      </c>
      <c r="AK920" s="2">
        <v>0</v>
      </c>
      <c r="AL920" s="2">
        <v>0</v>
      </c>
      <c r="AM920" s="2">
        <v>0</v>
      </c>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44"/>
      <c r="BN920" s="244"/>
      <c r="BO920" s="244"/>
      <c r="BP920" s="244"/>
      <c r="BQ920" s="244"/>
      <c r="BR920" s="244"/>
      <c r="BS920" s="244"/>
      <c r="BT920" s="244"/>
      <c r="BU920" s="244"/>
      <c r="BV920" s="244"/>
      <c r="BW920" s="244"/>
      <c r="BX920" s="244"/>
      <c r="BY920" s="244"/>
      <c r="BZ920" s="244"/>
      <c r="CA920" s="244"/>
      <c r="CB920" s="244"/>
      <c r="CC920" s="244"/>
      <c r="CD920" s="244"/>
      <c r="CE920" s="244"/>
      <c r="CF920" s="244"/>
      <c r="CG920" s="244"/>
      <c r="CH920" s="244"/>
      <c r="CI920" s="244"/>
      <c r="CJ920" s="244"/>
      <c r="CK920" s="244"/>
      <c r="CL920" s="244"/>
      <c r="CM920" s="244"/>
      <c r="CN920" s="244"/>
    </row>
    <row r="921" spans="1:92">
      <c r="A921"/>
      <c r="B921"/>
      <c r="C921"/>
      <c r="W921" s="244"/>
      <c r="X921" s="244"/>
      <c r="Y921" s="244"/>
      <c r="Z921" s="244"/>
      <c r="AA921" s="244"/>
      <c r="AB921" s="244"/>
      <c r="AC921" s="244"/>
      <c r="AD921" s="244"/>
      <c r="AE921" s="244"/>
      <c r="AF921" s="244"/>
      <c r="AG921" s="244"/>
      <c r="AH921" s="244"/>
      <c r="AI921" s="244"/>
      <c r="AJ921" s="244"/>
      <c r="AK921" s="244"/>
      <c r="AL921" s="244"/>
      <c r="AM921" s="244"/>
      <c r="AN921" s="244"/>
      <c r="AO921" s="244"/>
      <c r="AP921" s="244"/>
      <c r="AQ921" s="244"/>
      <c r="AR921" s="244"/>
      <c r="AS921" s="244"/>
      <c r="AT921" s="244"/>
      <c r="AU921" s="244"/>
      <c r="AV921" s="244"/>
      <c r="AW921" s="244"/>
      <c r="AX921" s="244"/>
      <c r="AY921" s="244"/>
      <c r="AZ921" s="244"/>
      <c r="BA921" s="244"/>
      <c r="BB921" s="244"/>
      <c r="BC921" s="244"/>
      <c r="BD921" s="244"/>
      <c r="BE921" s="244"/>
      <c r="BF921" s="244"/>
      <c r="BG921" s="244"/>
      <c r="BH921" s="244"/>
      <c r="BI921" s="244"/>
      <c r="BJ921" s="244"/>
      <c r="BK921" s="244"/>
      <c r="BL921" s="244"/>
      <c r="BM921" s="244"/>
      <c r="BN921" s="244"/>
      <c r="BO921" s="244"/>
      <c r="BP921" s="244"/>
      <c r="BQ921" s="244"/>
      <c r="BR921" s="244"/>
      <c r="BS921" s="244"/>
      <c r="BT921" s="244"/>
      <c r="BU921" s="244"/>
      <c r="BV921" s="244"/>
      <c r="BW921" s="244"/>
      <c r="BX921" s="244"/>
      <c r="BY921" s="244"/>
      <c r="BZ921" s="244"/>
      <c r="CA921" s="244"/>
      <c r="CB921" s="244"/>
      <c r="CC921" s="244"/>
      <c r="CD921" s="244"/>
      <c r="CE921" s="244"/>
      <c r="CF921" s="244"/>
      <c r="CG921" s="244"/>
      <c r="CH921" s="244"/>
      <c r="CI921" s="244"/>
      <c r="CJ921" s="244"/>
      <c r="CK921" s="244"/>
      <c r="CL921" s="244"/>
      <c r="CM921" s="244"/>
      <c r="CN921" s="244"/>
    </row>
  </sheetData>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AF9D-E8AD-4D10-9687-A22FF688A2E0}">
  <sheetPr>
    <tabColor rgb="FFFFC000"/>
  </sheetPr>
  <dimension ref="A2:G80"/>
  <sheetViews>
    <sheetView workbookViewId="0">
      <pane xSplit="2" ySplit="2" topLeftCell="C3" activePane="bottomRight" state="frozen"/>
      <selection pane="topRight" activeCell="C1" sqref="C1"/>
      <selection pane="bottomLeft" activeCell="A3" sqref="A3"/>
      <selection pane="bottomRight" activeCell="C28" sqref="C28"/>
    </sheetView>
  </sheetViews>
  <sheetFormatPr defaultRowHeight="15"/>
  <cols>
    <col min="1" max="1" width="28.42578125" customWidth="1"/>
    <col min="2" max="2" width="16.42578125" customWidth="1"/>
    <col min="3" max="3" width="76.28515625" style="210" customWidth="1"/>
    <col min="4" max="4" width="13.5703125" customWidth="1"/>
    <col min="5" max="5" width="11.140625" bestFit="1" customWidth="1"/>
  </cols>
  <sheetData>
    <row r="2" spans="1:4">
      <c r="A2" s="301" t="s">
        <v>3523</v>
      </c>
      <c r="B2" s="301" t="s">
        <v>3596</v>
      </c>
      <c r="C2" s="301" t="s">
        <v>3598</v>
      </c>
      <c r="D2" s="301" t="s">
        <v>3597</v>
      </c>
    </row>
    <row r="3" spans="1:4">
      <c r="A3" t="s">
        <v>3524</v>
      </c>
      <c r="C3" t="s">
        <v>3607</v>
      </c>
    </row>
    <row r="4" spans="1:4">
      <c r="A4" t="s">
        <v>3524</v>
      </c>
      <c r="B4" t="s">
        <v>3525</v>
      </c>
      <c r="C4" s="128" t="s">
        <v>3746</v>
      </c>
      <c r="D4" t="s">
        <v>3578</v>
      </c>
    </row>
    <row r="5" spans="1:4" ht="39">
      <c r="A5" t="s">
        <v>3524</v>
      </c>
      <c r="B5" t="s">
        <v>3526</v>
      </c>
      <c r="C5" s="123" t="s">
        <v>3762</v>
      </c>
      <c r="D5" t="s">
        <v>3579</v>
      </c>
    </row>
    <row r="6" spans="1:4">
      <c r="A6" t="s">
        <v>3524</v>
      </c>
      <c r="B6" t="s">
        <v>3527</v>
      </c>
      <c r="C6" s="300" t="s">
        <v>3747</v>
      </c>
      <c r="D6" t="s">
        <v>3578</v>
      </c>
    </row>
    <row r="7" spans="1:4">
      <c r="A7" t="s">
        <v>3524</v>
      </c>
      <c r="B7" t="s">
        <v>3565</v>
      </c>
      <c r="C7" s="280" t="str">
        <f>CONCATENATE("Your employer contributions from 7/1/2021 through ",(TEXT(C8,"MM/DD/YYYY")))</f>
        <v>Your employer contributions from 7/1/2021 through 06/30/2022</v>
      </c>
      <c r="D7" t="s">
        <v>3578</v>
      </c>
    </row>
    <row r="8" spans="1:4">
      <c r="A8" t="s">
        <v>3524</v>
      </c>
      <c r="B8" t="s">
        <v>3529</v>
      </c>
      <c r="C8" s="297">
        <v>44742</v>
      </c>
      <c r="D8" t="s">
        <v>3569</v>
      </c>
    </row>
    <row r="9" spans="1:4">
      <c r="A9" t="s">
        <v>3524</v>
      </c>
      <c r="B9" t="s">
        <v>3624</v>
      </c>
      <c r="C9" s="297" t="s">
        <v>3625</v>
      </c>
      <c r="D9" s="228" t="s">
        <v>3629</v>
      </c>
    </row>
    <row r="10" spans="1:4">
      <c r="A10" t="s">
        <v>3524</v>
      </c>
      <c r="B10" t="s">
        <v>3626</v>
      </c>
      <c r="C10" s="297" t="s">
        <v>3625</v>
      </c>
      <c r="D10" s="228" t="s">
        <v>3630</v>
      </c>
    </row>
    <row r="11" spans="1:4">
      <c r="A11" t="s">
        <v>3524</v>
      </c>
      <c r="B11" t="s">
        <v>3627</v>
      </c>
      <c r="C11" s="297" t="s">
        <v>3625</v>
      </c>
      <c r="D11" s="228" t="s">
        <v>3631</v>
      </c>
    </row>
    <row r="12" spans="1:4">
      <c r="A12" t="s">
        <v>3524</v>
      </c>
      <c r="B12" t="s">
        <v>3628</v>
      </c>
      <c r="C12" s="297" t="s">
        <v>3625</v>
      </c>
      <c r="D12" s="228" t="s">
        <v>3632</v>
      </c>
    </row>
    <row r="13" spans="1:4">
      <c r="A13" t="s">
        <v>3524</v>
      </c>
      <c r="B13" t="s">
        <v>3530</v>
      </c>
      <c r="C13" s="297">
        <v>44469</v>
      </c>
      <c r="D13" t="s">
        <v>3572</v>
      </c>
    </row>
    <row r="14" spans="1:4">
      <c r="A14" t="s">
        <v>3524</v>
      </c>
      <c r="B14" t="s">
        <v>3531</v>
      </c>
      <c r="C14" s="297">
        <v>44561</v>
      </c>
      <c r="D14" t="s">
        <v>3571</v>
      </c>
    </row>
    <row r="15" spans="1:4">
      <c r="A15" t="s">
        <v>3524</v>
      </c>
      <c r="B15" t="s">
        <v>3532</v>
      </c>
      <c r="C15" s="297">
        <v>44651</v>
      </c>
      <c r="D15" t="s">
        <v>3570</v>
      </c>
    </row>
    <row r="16" spans="1:4">
      <c r="A16" t="s">
        <v>3524</v>
      </c>
      <c r="B16" t="s">
        <v>3533</v>
      </c>
      <c r="C16" s="226" t="s">
        <v>692</v>
      </c>
    </row>
    <row r="17" spans="1:4">
      <c r="A17" t="s">
        <v>3524</v>
      </c>
      <c r="B17" t="s">
        <v>3534</v>
      </c>
      <c r="C17" s="226" t="s">
        <v>3748</v>
      </c>
      <c r="D17" t="s">
        <v>3577</v>
      </c>
    </row>
    <row r="18" spans="1:4">
      <c r="A18" t="s">
        <v>3524</v>
      </c>
      <c r="B18" t="s">
        <v>3535</v>
      </c>
      <c r="C18" s="226" t="s">
        <v>3754</v>
      </c>
      <c r="D18" t="s">
        <v>3577</v>
      </c>
    </row>
    <row r="19" spans="1:4">
      <c r="A19" t="s">
        <v>3524</v>
      </c>
      <c r="B19" t="s">
        <v>3536</v>
      </c>
      <c r="C19" s="226" t="s">
        <v>3753</v>
      </c>
      <c r="D19" t="s">
        <v>3577</v>
      </c>
    </row>
    <row r="20" spans="1:4">
      <c r="A20" t="s">
        <v>3524</v>
      </c>
      <c r="B20" s="294" t="s">
        <v>3538</v>
      </c>
      <c r="C20" s="297">
        <v>44469</v>
      </c>
      <c r="D20" t="s">
        <v>3572</v>
      </c>
    </row>
    <row r="21" spans="1:4">
      <c r="A21" t="s">
        <v>3524</v>
      </c>
      <c r="B21" s="294" t="s">
        <v>3539</v>
      </c>
      <c r="C21" s="297">
        <v>44561</v>
      </c>
      <c r="D21" t="s">
        <v>3571</v>
      </c>
    </row>
    <row r="22" spans="1:4">
      <c r="A22" t="s">
        <v>3524</v>
      </c>
      <c r="B22" s="294" t="s">
        <v>3540</v>
      </c>
      <c r="C22" s="297">
        <v>44651</v>
      </c>
      <c r="D22" t="s">
        <v>3570</v>
      </c>
    </row>
    <row r="23" spans="1:4">
      <c r="A23" t="s">
        <v>3524</v>
      </c>
      <c r="B23" s="294" t="s">
        <v>3537</v>
      </c>
      <c r="C23" s="297">
        <v>44742</v>
      </c>
      <c r="D23" t="s">
        <v>3569</v>
      </c>
    </row>
    <row r="24" spans="1:4">
      <c r="A24" t="s">
        <v>3524</v>
      </c>
      <c r="B24" s="294" t="s">
        <v>3541</v>
      </c>
      <c r="C24" s="226" t="s">
        <v>3752</v>
      </c>
      <c r="D24" t="s">
        <v>3574</v>
      </c>
    </row>
    <row r="25" spans="1:4">
      <c r="A25" t="s">
        <v>3524</v>
      </c>
      <c r="B25" s="294" t="s">
        <v>3542</v>
      </c>
      <c r="C25" s="226" t="s">
        <v>3751</v>
      </c>
      <c r="D25" t="s">
        <v>3575</v>
      </c>
    </row>
    <row r="26" spans="1:4">
      <c r="A26" t="s">
        <v>3524</v>
      </c>
      <c r="B26" s="294" t="s">
        <v>3543</v>
      </c>
      <c r="C26" s="226" t="s">
        <v>3750</v>
      </c>
      <c r="D26" t="s">
        <v>3576</v>
      </c>
    </row>
    <row r="27" spans="1:4">
      <c r="A27" t="s">
        <v>3524</v>
      </c>
      <c r="B27" s="294" t="s">
        <v>3544</v>
      </c>
      <c r="C27" s="226" t="s">
        <v>3749</v>
      </c>
      <c r="D27" t="s">
        <v>3573</v>
      </c>
    </row>
    <row r="28" spans="1:4">
      <c r="A28" t="s">
        <v>3524</v>
      </c>
      <c r="B28" s="294" t="s">
        <v>3545</v>
      </c>
      <c r="C28" s="297">
        <v>44469</v>
      </c>
      <c r="D28" t="s">
        <v>3572</v>
      </c>
    </row>
    <row r="29" spans="1:4">
      <c r="A29" t="s">
        <v>3524</v>
      </c>
      <c r="B29" s="294" t="s">
        <v>3546</v>
      </c>
      <c r="C29" s="297">
        <v>44561</v>
      </c>
      <c r="D29" t="s">
        <v>3571</v>
      </c>
    </row>
    <row r="30" spans="1:4">
      <c r="A30" t="s">
        <v>3524</v>
      </c>
      <c r="B30" s="294" t="s">
        <v>3547</v>
      </c>
      <c r="C30" s="297">
        <v>44651</v>
      </c>
      <c r="D30" t="s">
        <v>3570</v>
      </c>
    </row>
    <row r="31" spans="1:4">
      <c r="A31" t="s">
        <v>3524</v>
      </c>
      <c r="B31" s="294" t="s">
        <v>3548</v>
      </c>
      <c r="C31" s="297">
        <v>44742</v>
      </c>
      <c r="D31" t="s">
        <v>3569</v>
      </c>
    </row>
    <row r="32" spans="1:4">
      <c r="A32" t="s">
        <v>3549</v>
      </c>
      <c r="B32" t="s">
        <v>3550</v>
      </c>
      <c r="C32" s="226" t="s">
        <v>3551</v>
      </c>
    </row>
    <row r="33" spans="1:7">
      <c r="A33" t="s">
        <v>3549</v>
      </c>
      <c r="B33" t="s">
        <v>3552</v>
      </c>
      <c r="C33" s="226" t="s">
        <v>3608</v>
      </c>
      <c r="D33" t="s">
        <v>3595</v>
      </c>
    </row>
    <row r="34" spans="1:7">
      <c r="A34" t="s">
        <v>3549</v>
      </c>
      <c r="B34" t="s">
        <v>3553</v>
      </c>
      <c r="C34" s="226" t="s">
        <v>3755</v>
      </c>
      <c r="D34" t="s">
        <v>3567</v>
      </c>
    </row>
    <row r="35" spans="1:7">
      <c r="A35" t="s">
        <v>3549</v>
      </c>
      <c r="B35" t="s">
        <v>3554</v>
      </c>
      <c r="C35" s="226" t="s">
        <v>3756</v>
      </c>
      <c r="D35" t="s">
        <v>3568</v>
      </c>
    </row>
    <row r="36" spans="1:7">
      <c r="A36" t="s">
        <v>3549</v>
      </c>
      <c r="B36" t="s">
        <v>3529</v>
      </c>
      <c r="C36" s="296">
        <v>2022</v>
      </c>
      <c r="D36" s="328" t="s">
        <v>3634</v>
      </c>
      <c r="E36" s="328"/>
      <c r="F36" s="328"/>
    </row>
    <row r="37" spans="1:7">
      <c r="A37" t="s">
        <v>3549</v>
      </c>
      <c r="B37" t="s">
        <v>3581</v>
      </c>
      <c r="C37" s="226" t="s">
        <v>3760</v>
      </c>
      <c r="D37" s="306" t="s">
        <v>3585</v>
      </c>
      <c r="E37" s="306"/>
      <c r="F37" s="306"/>
      <c r="G37" s="306"/>
    </row>
    <row r="38" spans="1:7">
      <c r="A38" t="s">
        <v>3549</v>
      </c>
      <c r="B38" t="s">
        <v>3580</v>
      </c>
      <c r="C38" s="226" t="s">
        <v>3758</v>
      </c>
      <c r="D38" s="306" t="s">
        <v>3586</v>
      </c>
      <c r="E38" s="306"/>
      <c r="F38" s="306"/>
      <c r="G38" s="306"/>
    </row>
    <row r="39" spans="1:7">
      <c r="A39" t="s">
        <v>3549</v>
      </c>
      <c r="B39" t="s">
        <v>3582</v>
      </c>
      <c r="C39" s="226" t="s">
        <v>3759</v>
      </c>
      <c r="D39" s="306" t="s">
        <v>3587</v>
      </c>
      <c r="E39" s="306"/>
      <c r="F39" s="306"/>
      <c r="G39" s="306"/>
    </row>
    <row r="40" spans="1:7">
      <c r="A40" t="s">
        <v>3549</v>
      </c>
      <c r="B40" t="s">
        <v>3583</v>
      </c>
      <c r="C40" s="298">
        <v>5953292000</v>
      </c>
      <c r="D40" s="374" t="s">
        <v>3637</v>
      </c>
    </row>
    <row r="41" spans="1:7">
      <c r="A41" t="s">
        <v>3549</v>
      </c>
      <c r="B41" t="s">
        <v>3584</v>
      </c>
      <c r="C41" s="298">
        <v>-2103557000</v>
      </c>
      <c r="D41" s="374" t="s">
        <v>3637</v>
      </c>
    </row>
    <row r="42" spans="1:7">
      <c r="A42" t="s">
        <v>3602</v>
      </c>
      <c r="C42" s="302" t="s">
        <v>3636</v>
      </c>
      <c r="D42" s="374" t="s">
        <v>3638</v>
      </c>
    </row>
    <row r="43" spans="1:7">
      <c r="A43" t="s">
        <v>3727</v>
      </c>
      <c r="B43" t="s">
        <v>3588</v>
      </c>
      <c r="C43" s="226" t="s">
        <v>3726</v>
      </c>
      <c r="D43" t="s">
        <v>3566</v>
      </c>
    </row>
    <row r="44" spans="1:7">
      <c r="A44" t="s">
        <v>3600</v>
      </c>
      <c r="C44" s="226" t="s">
        <v>3601</v>
      </c>
    </row>
    <row r="45" spans="1:7">
      <c r="A45" t="s">
        <v>3593</v>
      </c>
      <c r="B45" t="s">
        <v>3590</v>
      </c>
      <c r="C45" s="226" t="s">
        <v>3757</v>
      </c>
      <c r="D45" s="210" t="s">
        <v>3594</v>
      </c>
    </row>
    <row r="46" spans="1:7">
      <c r="A46" t="s">
        <v>3734</v>
      </c>
      <c r="B46" t="s">
        <v>3550</v>
      </c>
      <c r="C46" s="226" t="s">
        <v>3599</v>
      </c>
      <c r="D46" s="210" t="s">
        <v>3594</v>
      </c>
    </row>
    <row r="47" spans="1:7">
      <c r="A47" t="s">
        <v>3734</v>
      </c>
      <c r="B47" t="s">
        <v>3592</v>
      </c>
      <c r="C47" s="226" t="s">
        <v>3726</v>
      </c>
      <c r="D47" s="210" t="s">
        <v>3566</v>
      </c>
    </row>
    <row r="48" spans="1:7">
      <c r="A48" t="s">
        <v>3549</v>
      </c>
      <c r="B48" t="s">
        <v>3606</v>
      </c>
      <c r="C48" s="226"/>
    </row>
    <row r="49" spans="1:5">
      <c r="A49" t="s">
        <v>3549</v>
      </c>
      <c r="B49" s="307" t="s">
        <v>3555</v>
      </c>
      <c r="C49" s="226" t="s">
        <v>3558</v>
      </c>
    </row>
    <row r="50" spans="1:5">
      <c r="A50" t="s">
        <v>3549</v>
      </c>
      <c r="B50" s="311" t="s">
        <v>3556</v>
      </c>
      <c r="C50" s="226" t="s">
        <v>3557</v>
      </c>
    </row>
    <row r="51" spans="1:5">
      <c r="A51" t="s">
        <v>3549</v>
      </c>
      <c r="B51" s="306" t="s">
        <v>3561</v>
      </c>
      <c r="C51" s="226" t="s">
        <v>3560</v>
      </c>
    </row>
    <row r="52" spans="1:5">
      <c r="A52" t="s">
        <v>3549</v>
      </c>
      <c r="B52" s="311" t="s">
        <v>3562</v>
      </c>
      <c r="C52" s="226" t="s">
        <v>3564</v>
      </c>
    </row>
    <row r="53" spans="1:5">
      <c r="A53" t="s">
        <v>3549</v>
      </c>
      <c r="B53" s="308" t="s">
        <v>3563</v>
      </c>
      <c r="C53" s="226" t="s">
        <v>3559</v>
      </c>
    </row>
    <row r="54" spans="1:5">
      <c r="A54" t="s">
        <v>3549</v>
      </c>
      <c r="B54" s="306" t="s">
        <v>3563</v>
      </c>
      <c r="C54" s="226" t="s">
        <v>3560</v>
      </c>
    </row>
    <row r="55" spans="1:5">
      <c r="A55" t="s">
        <v>3549</v>
      </c>
      <c r="B55" s="309" t="s">
        <v>3605</v>
      </c>
      <c r="C55" s="226" t="s">
        <v>3735</v>
      </c>
    </row>
    <row r="56" spans="1:5" s="210" customFormat="1">
      <c r="C56" s="226"/>
    </row>
    <row r="57" spans="1:5" s="210" customFormat="1">
      <c r="C57" s="226"/>
      <c r="D57" s="74" t="s">
        <v>3764</v>
      </c>
      <c r="E57" s="74" t="s">
        <v>3728</v>
      </c>
    </row>
    <row r="58" spans="1:5">
      <c r="A58" t="s">
        <v>3609</v>
      </c>
      <c r="B58" s="310"/>
      <c r="C58" s="226" t="s">
        <v>3610</v>
      </c>
      <c r="D58" s="313">
        <v>2022</v>
      </c>
      <c r="E58" s="313">
        <v>2021</v>
      </c>
    </row>
    <row r="59" spans="1:5">
      <c r="B59" s="306"/>
      <c r="C59" s="226" t="s">
        <v>3611</v>
      </c>
      <c r="D59" s="313">
        <v>2021</v>
      </c>
      <c r="E59" s="313">
        <v>2020</v>
      </c>
    </row>
    <row r="60" spans="1:5">
      <c r="B60" s="311"/>
      <c r="C60" s="226" t="s">
        <v>3612</v>
      </c>
      <c r="D60" s="313">
        <v>2020</v>
      </c>
      <c r="E60" s="313">
        <v>2019</v>
      </c>
    </row>
    <row r="61" spans="1:5" ht="17.25" customHeight="1">
      <c r="B61" s="312"/>
      <c r="C61" s="226" t="s">
        <v>3613</v>
      </c>
      <c r="D61" s="313">
        <v>2019</v>
      </c>
      <c r="E61" s="313">
        <v>2018</v>
      </c>
    </row>
    <row r="62" spans="1:5">
      <c r="B62" s="307"/>
      <c r="C62" s="226" t="s">
        <v>3633</v>
      </c>
    </row>
    <row r="64" spans="1:5">
      <c r="C64" s="366" t="s">
        <v>702</v>
      </c>
    </row>
    <row r="65" spans="1:3" ht="30">
      <c r="A65" t="s">
        <v>3722</v>
      </c>
      <c r="C65" s="367" t="s">
        <v>3721</v>
      </c>
    </row>
    <row r="68" spans="1:3">
      <c r="C68" s="226"/>
    </row>
    <row r="69" spans="1:3">
      <c r="C69" s="226"/>
    </row>
    <row r="70" spans="1:3">
      <c r="C70" s="226"/>
    </row>
    <row r="71" spans="1:3" ht="45">
      <c r="A71" t="s">
        <v>3603</v>
      </c>
      <c r="B71" s="85" t="s">
        <v>264</v>
      </c>
      <c r="C71" s="303" t="s">
        <v>3604</v>
      </c>
    </row>
    <row r="74" spans="1:3">
      <c r="C74"/>
    </row>
    <row r="75" spans="1:3">
      <c r="C75"/>
    </row>
    <row r="76" spans="1:3">
      <c r="C76"/>
    </row>
    <row r="77" spans="1:3">
      <c r="C77"/>
    </row>
    <row r="78" spans="1:3">
      <c r="C78"/>
    </row>
    <row r="79" spans="1:3">
      <c r="C79"/>
    </row>
    <row r="80" spans="1:3">
      <c r="C8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3"/>
  <sheetViews>
    <sheetView topLeftCell="A88" zoomScaleNormal="100" workbookViewId="0"/>
  </sheetViews>
  <sheetFormatPr defaultRowHeight="15"/>
  <cols>
    <col min="1" max="1" width="15.28515625" customWidth="1"/>
    <col min="2" max="2" width="59.28515625" customWidth="1"/>
    <col min="3" max="3" width="18.7109375" customWidth="1"/>
    <col min="4" max="4" width="22.85546875" bestFit="1" customWidth="1"/>
    <col min="5" max="5" width="26.7109375" customWidth="1"/>
    <col min="6" max="6" width="28.42578125" customWidth="1"/>
    <col min="7" max="7" width="26.5703125" bestFit="1" customWidth="1"/>
    <col min="8" max="8" width="17.85546875" bestFit="1" customWidth="1"/>
    <col min="9" max="9" width="11.28515625" bestFit="1" customWidth="1"/>
    <col min="10" max="10" width="17.85546875" bestFit="1"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1" spans="1:22">
      <c r="A1" s="210"/>
      <c r="B1" s="210"/>
      <c r="C1" s="210"/>
      <c r="D1" s="210"/>
      <c r="E1" s="210"/>
      <c r="F1" s="210"/>
      <c r="G1" s="210"/>
      <c r="H1" s="210"/>
      <c r="I1" s="210"/>
      <c r="J1" s="210"/>
      <c r="K1" s="210"/>
      <c r="L1" s="210"/>
      <c r="M1" s="210"/>
      <c r="N1" s="210"/>
      <c r="O1" s="210"/>
      <c r="P1" s="210"/>
      <c r="Q1" s="210"/>
      <c r="R1" s="210"/>
      <c r="S1" s="210"/>
      <c r="T1" s="210"/>
      <c r="U1" s="210"/>
      <c r="V1" s="210"/>
    </row>
    <row r="2" spans="1:22">
      <c r="A2" s="210"/>
      <c r="B2" s="5" t="s">
        <v>687</v>
      </c>
      <c r="C2" s="61" t="str">
        <f>Info!C23</f>
        <v>N/A</v>
      </c>
      <c r="D2" s="61"/>
      <c r="E2" s="210"/>
      <c r="F2" s="210"/>
      <c r="G2" s="210"/>
      <c r="H2" s="210"/>
      <c r="I2" s="210"/>
      <c r="J2" s="210"/>
      <c r="K2" s="210"/>
      <c r="L2" s="210"/>
      <c r="M2" s="210"/>
      <c r="N2" s="210"/>
      <c r="O2" s="210"/>
      <c r="P2" s="210"/>
      <c r="Q2" s="210"/>
      <c r="R2" s="210"/>
      <c r="S2" s="210"/>
      <c r="T2" s="210"/>
      <c r="U2" s="210"/>
      <c r="V2" s="210"/>
    </row>
    <row r="3" spans="1:22">
      <c r="A3" s="210"/>
      <c r="B3" s="5" t="s">
        <v>688</v>
      </c>
      <c r="C3" s="61" t="str">
        <f>Info!C24</f>
        <v>N/A</v>
      </c>
      <c r="D3" s="5"/>
      <c r="E3" s="210"/>
      <c r="F3" s="210"/>
      <c r="G3" s="210"/>
      <c r="H3" s="210"/>
      <c r="I3" s="210"/>
      <c r="J3" s="210"/>
      <c r="K3" s="210"/>
      <c r="L3" s="210"/>
      <c r="M3" s="210"/>
      <c r="N3" s="210"/>
      <c r="O3" s="210"/>
      <c r="P3" s="210"/>
      <c r="Q3" s="210"/>
      <c r="R3" s="210"/>
      <c r="S3" s="210"/>
      <c r="T3" s="210"/>
      <c r="U3" s="210"/>
      <c r="V3" s="210"/>
    </row>
    <row r="4" spans="1:22">
      <c r="A4" s="210"/>
      <c r="B4" s="210"/>
      <c r="C4" s="210"/>
      <c r="D4" s="210"/>
      <c r="E4" s="210"/>
      <c r="F4" s="210"/>
      <c r="G4" s="210"/>
      <c r="H4" s="210"/>
      <c r="I4" s="210"/>
      <c r="J4" s="210"/>
      <c r="K4" s="210"/>
      <c r="L4" s="210"/>
      <c r="M4" s="210"/>
      <c r="N4" s="210"/>
      <c r="O4" s="210"/>
      <c r="P4" s="210"/>
      <c r="Q4" s="210"/>
      <c r="R4" s="210"/>
      <c r="S4" s="5"/>
      <c r="T4" s="382"/>
      <c r="U4" s="382"/>
      <c r="V4" s="382"/>
    </row>
    <row r="5" spans="1:22">
      <c r="A5" s="383" t="s">
        <v>261</v>
      </c>
      <c r="B5" s="210" t="s">
        <v>262</v>
      </c>
      <c r="C5" s="210"/>
      <c r="D5" s="210"/>
      <c r="E5" s="210"/>
      <c r="F5" s="210"/>
      <c r="G5" s="210"/>
      <c r="H5" s="210"/>
      <c r="I5" s="210"/>
      <c r="J5" s="210"/>
      <c r="K5" s="210"/>
      <c r="L5" s="210"/>
      <c r="M5" s="210"/>
      <c r="N5" s="210"/>
      <c r="O5" s="6"/>
      <c r="P5" s="210"/>
      <c r="Q5" s="210"/>
      <c r="R5" s="210"/>
      <c r="S5" s="210"/>
      <c r="T5" s="382"/>
      <c r="U5" s="382"/>
      <c r="V5" s="382"/>
    </row>
    <row r="6" spans="1:22">
      <c r="A6" s="383" t="s">
        <v>261</v>
      </c>
      <c r="B6" s="210" t="s">
        <v>3767</v>
      </c>
      <c r="C6" s="210"/>
      <c r="D6" s="210"/>
      <c r="E6" s="210"/>
      <c r="F6" s="210"/>
      <c r="G6" s="210"/>
      <c r="H6" s="210"/>
      <c r="I6" s="210"/>
      <c r="J6" s="210"/>
      <c r="K6" s="210"/>
      <c r="L6" s="210"/>
      <c r="M6" s="53"/>
      <c r="N6" s="210"/>
      <c r="O6" s="210"/>
      <c r="P6" s="210"/>
      <c r="Q6" s="210"/>
      <c r="R6" s="210"/>
      <c r="S6" s="210"/>
      <c r="T6" s="382"/>
      <c r="U6" s="382"/>
      <c r="V6" s="382"/>
    </row>
    <row r="7" spans="1:22">
      <c r="A7" s="210"/>
      <c r="B7" s="210"/>
      <c r="C7" s="210"/>
      <c r="D7" s="210"/>
      <c r="E7" s="210"/>
      <c r="F7" s="210"/>
      <c r="G7" s="210"/>
      <c r="H7" s="210"/>
      <c r="I7" s="210"/>
      <c r="J7" s="210"/>
      <c r="K7" s="210"/>
      <c r="L7" s="210"/>
      <c r="M7" s="210"/>
      <c r="N7" s="210"/>
      <c r="O7" s="210"/>
      <c r="P7" s="210"/>
      <c r="Q7" s="210"/>
      <c r="R7" s="210"/>
      <c r="S7" s="210"/>
      <c r="T7" s="210"/>
      <c r="U7" s="210"/>
      <c r="V7" s="210"/>
    </row>
    <row r="8" spans="1:22" ht="15" hidden="1" customHeight="1">
      <c r="A8" s="210"/>
      <c r="B8" s="210">
        <v>2</v>
      </c>
      <c r="C8" s="210">
        <v>3</v>
      </c>
      <c r="D8" s="210">
        <v>4</v>
      </c>
      <c r="E8" s="210"/>
      <c r="F8" s="210">
        <v>5</v>
      </c>
      <c r="G8" s="210">
        <v>6</v>
      </c>
      <c r="H8" s="210">
        <v>7</v>
      </c>
      <c r="I8" s="210">
        <v>8</v>
      </c>
      <c r="J8" s="210">
        <v>9</v>
      </c>
      <c r="K8" s="210">
        <v>10</v>
      </c>
      <c r="L8" s="210">
        <v>11</v>
      </c>
      <c r="M8" s="210">
        <v>12</v>
      </c>
      <c r="N8" s="210">
        <v>13</v>
      </c>
      <c r="O8" s="210">
        <v>14</v>
      </c>
      <c r="P8" s="210">
        <v>15</v>
      </c>
      <c r="Q8" s="210">
        <v>16</v>
      </c>
      <c r="R8" s="210">
        <v>17</v>
      </c>
      <c r="S8" s="210">
        <v>19</v>
      </c>
      <c r="T8" s="210">
        <v>20</v>
      </c>
      <c r="U8" s="210">
        <v>21</v>
      </c>
      <c r="V8" s="210">
        <v>22</v>
      </c>
    </row>
    <row r="9" spans="1:22">
      <c r="A9" s="210"/>
      <c r="B9" s="210"/>
      <c r="C9" s="210"/>
      <c r="D9" s="210"/>
      <c r="E9" s="210"/>
      <c r="F9" s="24"/>
      <c r="G9" s="24"/>
      <c r="H9" s="210"/>
      <c r="I9" s="210"/>
      <c r="J9" s="257" t="s">
        <v>2</v>
      </c>
      <c r="K9" s="257"/>
      <c r="L9" s="257"/>
      <c r="M9" s="257"/>
      <c r="N9" s="210"/>
      <c r="O9" s="257" t="s">
        <v>3</v>
      </c>
      <c r="P9" s="257"/>
      <c r="Q9" s="257"/>
      <c r="R9" s="257"/>
      <c r="S9" s="210"/>
      <c r="T9" s="257" t="s">
        <v>4</v>
      </c>
      <c r="U9" s="257"/>
      <c r="V9" s="257"/>
    </row>
    <row r="10" spans="1:22" ht="120">
      <c r="A10" s="7" t="s">
        <v>0</v>
      </c>
      <c r="B10" s="7" t="s">
        <v>1</v>
      </c>
      <c r="C10" s="7" t="s">
        <v>263</v>
      </c>
      <c r="D10" s="7" t="s">
        <v>264</v>
      </c>
      <c r="E10" s="7" t="s">
        <v>265</v>
      </c>
      <c r="F10" s="7" t="s">
        <v>266</v>
      </c>
      <c r="G10" s="7" t="s">
        <v>267</v>
      </c>
      <c r="H10" s="7" t="s">
        <v>268</v>
      </c>
      <c r="I10" s="7"/>
      <c r="J10" s="7" t="s">
        <v>5</v>
      </c>
      <c r="K10" s="7" t="s">
        <v>6</v>
      </c>
      <c r="L10" s="7" t="s">
        <v>7</v>
      </c>
      <c r="M10" s="7" t="s">
        <v>8</v>
      </c>
      <c r="N10" s="7"/>
      <c r="O10" s="7" t="s">
        <v>5</v>
      </c>
      <c r="P10" s="7" t="s">
        <v>6</v>
      </c>
      <c r="Q10" s="7" t="s">
        <v>7</v>
      </c>
      <c r="R10" s="7" t="s">
        <v>8</v>
      </c>
      <c r="S10" s="7"/>
      <c r="T10" s="7" t="s">
        <v>9</v>
      </c>
      <c r="U10" s="7" t="s">
        <v>10</v>
      </c>
      <c r="V10" s="7" t="s">
        <v>11</v>
      </c>
    </row>
    <row r="11" spans="1:22" s="4" customFormat="1">
      <c r="A11" s="7"/>
      <c r="B11" s="7"/>
      <c r="C11" s="7"/>
      <c r="D11" s="7"/>
      <c r="E11" s="7"/>
      <c r="F11" s="7"/>
      <c r="G11" s="7"/>
      <c r="H11" s="7"/>
      <c r="I11" s="7"/>
      <c r="J11" s="7"/>
      <c r="K11" s="7"/>
      <c r="L11" s="7"/>
      <c r="M11" s="7"/>
      <c r="N11" s="7"/>
      <c r="O11" s="7"/>
      <c r="P11" s="7"/>
      <c r="Q11" s="7"/>
      <c r="R11" s="7"/>
      <c r="S11" s="7"/>
      <c r="T11" s="7"/>
      <c r="U11" s="7"/>
      <c r="V11" s="7"/>
    </row>
    <row r="12" spans="1:22" s="4" customFormat="1">
      <c r="A12" s="7" t="s">
        <v>269</v>
      </c>
      <c r="B12" s="7"/>
      <c r="C12" s="7"/>
      <c r="D12" s="7"/>
      <c r="E12" s="7"/>
      <c r="F12" s="7"/>
      <c r="G12" s="7"/>
      <c r="H12" s="7"/>
      <c r="I12" s="7"/>
      <c r="J12" s="7"/>
      <c r="K12" s="7"/>
      <c r="L12" s="7"/>
      <c r="M12" s="7"/>
      <c r="N12" s="7"/>
      <c r="O12" s="7"/>
      <c r="P12" s="7"/>
      <c r="Q12" s="7"/>
      <c r="R12" s="7"/>
      <c r="S12" s="7"/>
      <c r="T12" s="7"/>
      <c r="U12" s="7"/>
      <c r="V12" s="7"/>
    </row>
    <row r="13" spans="1:22" s="4" customFormat="1">
      <c r="A13" s="5" t="str">
        <f>Info!C23</f>
        <v>N/A</v>
      </c>
      <c r="B13" s="210" t="str">
        <f>VLOOKUP($A13,'2021 summary'!$A:$T,'JE Template 2021'!$B$8,FALSE)</f>
        <v>No additional agency chosen</v>
      </c>
      <c r="C13" s="52">
        <f>VLOOKUP($A13,'2022 summary'!$A:$C,3,FALSE)</f>
        <v>0</v>
      </c>
      <c r="D13" s="52">
        <f>VLOOKUP(A13,'2022 summary'!$A:$D,4,FALSE)</f>
        <v>0</v>
      </c>
      <c r="E13" s="52">
        <f>C13-D13</f>
        <v>0</v>
      </c>
      <c r="F13" s="6">
        <f>VLOOKUP(A13,'LGERS Contributions FY 2021'!$A:$C,3,FALSE)</f>
        <v>0</v>
      </c>
      <c r="G13" s="6">
        <f>VLOOKUP($A$13,'2021 summary'!$A:$E,5,FALSE)</f>
        <v>0</v>
      </c>
      <c r="H13" s="6">
        <f>VLOOKUP(A13,'2022 summary'!$A:$E,5,FALSE)</f>
        <v>0</v>
      </c>
      <c r="I13" s="53"/>
      <c r="J13" s="6">
        <f>VLOOKUP(A13,'2022 summary'!$A:$G,7,FALSE)</f>
        <v>0</v>
      </c>
      <c r="K13" s="6">
        <f>VLOOKUP(A13,'2022 summary'!$A:$H,8,FALSE)</f>
        <v>0</v>
      </c>
      <c r="L13" s="6">
        <f>VLOOKUP(A13,'2022 summary'!$A:$I,9,FALSE)</f>
        <v>0</v>
      </c>
      <c r="M13" s="6">
        <f>VLOOKUP(A13,'2022 summary'!$A:$J,10,FALSE)</f>
        <v>0</v>
      </c>
      <c r="N13" s="210"/>
      <c r="O13" s="6">
        <f>VLOOKUP(A13,'2022 summary'!$A:$M,13,FALSE)</f>
        <v>0</v>
      </c>
      <c r="P13" s="6">
        <f>VLOOKUP(A13,'2022 summary'!$A:$N,14,FALSE)</f>
        <v>0</v>
      </c>
      <c r="Q13" s="6">
        <f>VLOOKUP(A13,'2022 summary'!$A:$O,15,FALSE)</f>
        <v>0</v>
      </c>
      <c r="R13" s="6">
        <f>VLOOKUP(A13,'2022 summary'!$A:$P,16,FALSE)</f>
        <v>0</v>
      </c>
      <c r="S13" s="210"/>
      <c r="T13" s="6">
        <f>VLOOKUP(A13,'2022 summary'!$A:$S,19,FALSE)</f>
        <v>0</v>
      </c>
      <c r="U13" s="6">
        <f>VLOOKUP(A13,'2022 summary'!$A:$T,20,FALSE)</f>
        <v>0</v>
      </c>
      <c r="V13" s="6">
        <f>VLOOKUP(A13,'2022 summary'!$A:$U,21,FALSE)</f>
        <v>0</v>
      </c>
    </row>
    <row r="14" spans="1:22" s="4" customFormat="1">
      <c r="A14" s="7"/>
      <c r="B14" s="7"/>
      <c r="C14" s="7"/>
      <c r="D14" s="7"/>
      <c r="E14" s="7"/>
      <c r="F14" s="7"/>
      <c r="G14" s="7"/>
      <c r="H14" s="7"/>
      <c r="I14" s="7"/>
      <c r="J14" s="7"/>
      <c r="K14" s="7"/>
      <c r="L14" s="7"/>
      <c r="M14" s="7"/>
      <c r="N14" s="7"/>
      <c r="O14" s="7"/>
      <c r="P14" s="7"/>
      <c r="Q14" s="7"/>
      <c r="R14" s="7"/>
      <c r="S14" s="7"/>
      <c r="T14" s="7"/>
      <c r="U14" s="7"/>
      <c r="V14" s="7"/>
    </row>
    <row r="15" spans="1:22" s="4" customFormat="1">
      <c r="A15" s="5" t="str">
        <f>C3</f>
        <v>N/A</v>
      </c>
      <c r="B15" s="210" t="str">
        <f>VLOOKUP($A15,'2021 summary'!$A:$T,'JE Template 2021'!$B$8,FALSE)</f>
        <v>No additional agency chosen</v>
      </c>
      <c r="C15" s="52">
        <f>VLOOKUP($A15,'2022 summary'!$A:$C,3,FALSE)</f>
        <v>0</v>
      </c>
      <c r="D15" s="52">
        <f>VLOOKUP($A15,'2022 summary'!$A:$D,4,FALSE)</f>
        <v>0</v>
      </c>
      <c r="E15" s="52">
        <f>C15-D15</f>
        <v>0</v>
      </c>
      <c r="F15" s="6">
        <f>VLOOKUP(A15,'LGERS Contributions FY 2021'!$A:$C,3,FALSE)</f>
        <v>0</v>
      </c>
      <c r="G15" s="6">
        <f>VLOOKUP($A15,'2021 summary'!$A:$E,5,FALSE)</f>
        <v>0</v>
      </c>
      <c r="H15" s="6">
        <f>VLOOKUP($A15,'2022 summary'!$A:$E,5,FALSE)</f>
        <v>0</v>
      </c>
      <c r="I15" s="6"/>
      <c r="J15" s="6">
        <f>VLOOKUP($A15,'2022 summary'!$A:$G,7,FALSE)</f>
        <v>0</v>
      </c>
      <c r="K15" s="6">
        <f>VLOOKUP($A15,'2022 summary'!$A:$H,8,FALSE)</f>
        <v>0</v>
      </c>
      <c r="L15" s="6">
        <f>VLOOKUP($A15,'2022 summary'!A:$I,9,FALSE)</f>
        <v>0</v>
      </c>
      <c r="M15" s="6">
        <f>VLOOKUP($A15,'2022 summary'!$A:$J,10,FALSE)</f>
        <v>0</v>
      </c>
      <c r="N15" s="210"/>
      <c r="O15" s="6">
        <f>VLOOKUP($A15,'2021 summary'!$A:$O,13,FALSE)</f>
        <v>0</v>
      </c>
      <c r="P15" s="6">
        <f>VLOOKUP(A15,'2022 summary'!$A:$N,14,FALSE)</f>
        <v>0</v>
      </c>
      <c r="Q15" s="6">
        <f>VLOOKUP($A15,'2022 summary'!$A:$O,15,FALSE)</f>
        <v>0</v>
      </c>
      <c r="R15" s="6">
        <f>VLOOKUP($A15,'2022 summary'!$A:$P,16,FALSE)</f>
        <v>0</v>
      </c>
      <c r="S15" s="210"/>
      <c r="T15" s="6">
        <f>VLOOKUP($A15,'2022 summary'!$A:$S,19,FALSE)</f>
        <v>0</v>
      </c>
      <c r="U15" s="6">
        <f>VLOOKUP($A15,'2022 summary'!$A:$T,20,FALSE)</f>
        <v>0</v>
      </c>
      <c r="V15" s="6">
        <f>VLOOKUP($A15,'2022 summary'!$A:$U,21,FALSE)</f>
        <v>0</v>
      </c>
    </row>
    <row r="16" spans="1:22" s="4" customFormat="1">
      <c r="A16" s="7"/>
      <c r="B16" s="7"/>
      <c r="C16" s="7"/>
      <c r="D16" s="7"/>
      <c r="E16" s="7"/>
      <c r="F16" s="7"/>
      <c r="G16" s="7"/>
      <c r="H16" s="7"/>
      <c r="I16" s="7"/>
      <c r="J16" s="7"/>
      <c r="K16" s="7"/>
      <c r="L16" s="7"/>
      <c r="M16" s="7"/>
      <c r="N16" s="7"/>
      <c r="O16" s="7"/>
      <c r="P16" s="7"/>
      <c r="Q16" s="7"/>
      <c r="R16" s="7"/>
      <c r="S16" s="7"/>
      <c r="T16" s="7"/>
      <c r="U16" s="7"/>
      <c r="V16" s="7"/>
    </row>
    <row r="17" spans="1:23" s="4" customFormat="1">
      <c r="A17" s="210"/>
      <c r="B17" s="210" t="s">
        <v>690</v>
      </c>
      <c r="C17" s="52">
        <f>C13+C15</f>
        <v>0</v>
      </c>
      <c r="D17" s="52">
        <f t="shared" ref="D17:H17" si="0">D13+D15</f>
        <v>0</v>
      </c>
      <c r="E17" s="52">
        <f t="shared" si="0"/>
        <v>0</v>
      </c>
      <c r="F17" s="6">
        <f t="shared" si="0"/>
        <v>0</v>
      </c>
      <c r="G17" s="6">
        <f t="shared" si="0"/>
        <v>0</v>
      </c>
      <c r="H17" s="6">
        <f t="shared" si="0"/>
        <v>0</v>
      </c>
      <c r="I17" s="6"/>
      <c r="J17" s="6">
        <f>J13+J15</f>
        <v>0</v>
      </c>
      <c r="K17" s="6">
        <f>K13+K15</f>
        <v>0</v>
      </c>
      <c r="L17" s="6">
        <f>L13+L15</f>
        <v>0</v>
      </c>
      <c r="M17" s="6">
        <f>M13+M15</f>
        <v>0</v>
      </c>
      <c r="N17" s="6"/>
      <c r="O17" s="6">
        <f>O13+O15</f>
        <v>0</v>
      </c>
      <c r="P17" s="6">
        <f>P13+P15</f>
        <v>0</v>
      </c>
      <c r="Q17" s="6">
        <f>Q13+Q15</f>
        <v>0</v>
      </c>
      <c r="R17" s="6">
        <f>R13+R15</f>
        <v>0</v>
      </c>
      <c r="S17" s="6"/>
      <c r="T17" s="6">
        <f>T13+T15</f>
        <v>0</v>
      </c>
      <c r="U17" s="6">
        <f>U13+U15</f>
        <v>0</v>
      </c>
      <c r="V17" s="6">
        <f>V13+V15</f>
        <v>0</v>
      </c>
      <c r="W17" s="6"/>
    </row>
    <row r="18" spans="1:23" s="4" customFormat="1">
      <c r="A18" s="210"/>
      <c r="B18" s="210"/>
      <c r="C18" s="210"/>
      <c r="D18" s="210"/>
      <c r="E18" s="210"/>
      <c r="F18" s="210"/>
      <c r="G18" s="210"/>
      <c r="H18" s="210"/>
      <c r="I18" s="210"/>
      <c r="J18" s="210"/>
      <c r="K18" s="210"/>
      <c r="L18" s="210"/>
      <c r="M18" s="210"/>
      <c r="N18" s="210"/>
      <c r="O18" s="210"/>
      <c r="P18" s="210"/>
      <c r="Q18" s="210"/>
      <c r="R18" s="210"/>
      <c r="S18" s="210"/>
      <c r="T18" s="210"/>
      <c r="U18" s="210"/>
      <c r="V18" s="210"/>
    </row>
    <row r="19" spans="1:23" s="4" customFormat="1">
      <c r="A19" s="5"/>
      <c r="B19" s="210" t="str">
        <f>+'Changes to Update Template '!C34</f>
        <v>Plan Total for 6/30/2021 Measurement Date</v>
      </c>
      <c r="C19" s="210"/>
      <c r="D19" s="210"/>
      <c r="E19" s="210"/>
      <c r="F19" s="6">
        <f>'LGERS Contributions FY 2021'!C912</f>
        <v>741748136.1499995</v>
      </c>
      <c r="G19" s="6">
        <f>'2021 summary'!E3</f>
        <v>3573425995</v>
      </c>
      <c r="H19" s="6">
        <f>'2022 summary'!E3</f>
        <v>1533595994</v>
      </c>
      <c r="I19" s="6"/>
      <c r="J19" s="6">
        <f>'2022 summary'!G3</f>
        <v>487891992</v>
      </c>
      <c r="K19" s="6">
        <f>'2022 summary'!H3</f>
        <v>0</v>
      </c>
      <c r="L19" s="6">
        <f>'2022 summary'!I3</f>
        <v>963490006</v>
      </c>
      <c r="M19" s="6">
        <f>'2022 summary'!J3</f>
        <v>64371252</v>
      </c>
      <c r="N19" s="6"/>
      <c r="O19" s="6">
        <f>'2022 summary'!M3</f>
        <v>0</v>
      </c>
      <c r="P19" s="6">
        <f>'2022 summary'!N3</f>
        <v>2191047994</v>
      </c>
      <c r="Q19" s="6">
        <f>'2022 summary'!O3</f>
        <v>0</v>
      </c>
      <c r="R19" s="6">
        <f>'2022 summary'!P3</f>
        <v>64371095</v>
      </c>
      <c r="S19" s="6"/>
      <c r="T19" s="6">
        <f>'2022 summary'!S3</f>
        <v>661642000</v>
      </c>
      <c r="U19" s="6">
        <f>'2022 summary'!T3</f>
        <v>106</v>
      </c>
      <c r="V19" s="6">
        <f>'2022 summary'!U3</f>
        <v>661642106</v>
      </c>
    </row>
    <row r="20" spans="1:23" s="4" customFormat="1">
      <c r="A20" s="5"/>
      <c r="B20" s="210"/>
      <c r="C20" s="210"/>
      <c r="D20" s="210"/>
      <c r="E20" s="210"/>
      <c r="F20" s="6"/>
      <c r="G20" s="6"/>
      <c r="H20" s="6"/>
      <c r="I20" s="210"/>
      <c r="J20" s="6"/>
      <c r="K20" s="6"/>
      <c r="L20" s="6"/>
      <c r="M20" s="6"/>
      <c r="N20" s="6"/>
      <c r="O20" s="6"/>
      <c r="P20" s="6"/>
      <c r="Q20" s="6"/>
      <c r="R20" s="6"/>
      <c r="S20" s="6"/>
      <c r="T20" s="6"/>
      <c r="U20" s="6"/>
      <c r="V20" s="6"/>
    </row>
    <row r="21" spans="1:23" s="4" customFormat="1">
      <c r="A21" s="96" t="s">
        <v>270</v>
      </c>
      <c r="B21" s="210"/>
      <c r="C21" s="210"/>
      <c r="D21" s="210"/>
      <c r="E21" s="210"/>
      <c r="F21" s="6"/>
      <c r="G21" s="6"/>
      <c r="H21" s="6"/>
      <c r="I21" s="210"/>
      <c r="J21" s="6"/>
      <c r="K21" s="6"/>
      <c r="L21" s="6"/>
      <c r="M21" s="6"/>
      <c r="N21" s="210"/>
      <c r="O21" s="6"/>
      <c r="P21" s="6"/>
      <c r="Q21" s="6"/>
      <c r="R21" s="6"/>
      <c r="S21" s="210"/>
      <c r="T21" s="6"/>
      <c r="U21" s="6"/>
      <c r="V21" s="6"/>
    </row>
    <row r="22" spans="1:23" s="4" customFormat="1">
      <c r="A22" s="107" t="str">
        <f>Info!C23</f>
        <v>N/A</v>
      </c>
      <c r="B22" s="210" t="str">
        <f>VLOOKUP($A22,'2020 summary'!$A:$V,'JE Template 2021'!B8,FALSE)</f>
        <v>No additional agency chosen</v>
      </c>
      <c r="C22" s="52">
        <f>VLOOKUP(A22,'2021 summary'!$A:$C,3,FALSE)</f>
        <v>0</v>
      </c>
      <c r="D22" s="52">
        <f>VLOOKUP($A22,'2021 summary'!$A:$D,4,FALSE)</f>
        <v>0</v>
      </c>
      <c r="E22" s="52">
        <f>C22-D22</f>
        <v>0</v>
      </c>
      <c r="F22" s="6">
        <f>VLOOKUP($A22,'LGERS Contributions FY 2020'!$A:$C,3,FALSE)</f>
        <v>0</v>
      </c>
      <c r="G22" s="6">
        <f>VLOOKUP($A$13,'2020 summary'!$A:$G, 5, FALSE)</f>
        <v>0</v>
      </c>
      <c r="H22" s="6">
        <f>VLOOKUP($A$13,'2021 summary'!$A:$V,5,FALSE)</f>
        <v>0</v>
      </c>
      <c r="I22" s="6"/>
      <c r="J22" s="6">
        <f>VLOOKUP($A22,'2021 summary'!$A:$O,7,FALSE)</f>
        <v>0</v>
      </c>
      <c r="K22" s="6">
        <f>VLOOKUP($A22,'2021 summary'!$A:$O,8,FALSE)</f>
        <v>0</v>
      </c>
      <c r="L22" s="6">
        <f>VLOOKUP($A22,'2021 summary'!$A:$O,9,FALSE)</f>
        <v>0</v>
      </c>
      <c r="M22" s="6">
        <f>VLOOKUP($A22,'2021 summary'!$A:$J,10,FALSE)</f>
        <v>0</v>
      </c>
      <c r="N22" s="6"/>
      <c r="O22" s="6">
        <f>VLOOKUP($A22,'2021 summary'!$A:$M,13,FALSE)</f>
        <v>0</v>
      </c>
      <c r="P22" s="6">
        <v>0</v>
      </c>
      <c r="Q22" s="6">
        <f>VLOOKUP($A22,'2021 summary'!$A:$N,14,FALSE)</f>
        <v>0</v>
      </c>
      <c r="R22" s="6">
        <f>VLOOKUP($A22,'2021 summary'!$A:$O,15,FALSE)</f>
        <v>0</v>
      </c>
      <c r="S22" s="6"/>
      <c r="T22" s="6">
        <f>VLOOKUP($A22,'2021 summary'!$A:$R,18,FALSE)</f>
        <v>0</v>
      </c>
      <c r="U22" s="6">
        <f>VLOOKUP($A22,'2021 summary'!$A:$S,19,FALSE)</f>
        <v>0</v>
      </c>
      <c r="V22" s="6">
        <f>VLOOKUP($A22,'2021 summary'!$A:$T,20,FALSE)</f>
        <v>0</v>
      </c>
    </row>
    <row r="23" spans="1:23" s="4" customFormat="1">
      <c r="A23" s="107"/>
      <c r="B23" s="210"/>
      <c r="C23" s="210"/>
      <c r="D23" s="210"/>
      <c r="E23" s="210"/>
      <c r="F23" s="6"/>
      <c r="G23" s="6"/>
      <c r="H23" s="6"/>
      <c r="I23" s="210"/>
      <c r="J23" s="6"/>
      <c r="K23" s="6"/>
      <c r="L23" s="6"/>
      <c r="M23" s="6"/>
      <c r="N23" s="210"/>
      <c r="O23" s="6"/>
      <c r="P23" s="6"/>
      <c r="Q23" s="6"/>
      <c r="R23" s="6"/>
      <c r="S23" s="210"/>
      <c r="T23" s="6"/>
      <c r="U23" s="6"/>
      <c r="V23" s="6"/>
    </row>
    <row r="24" spans="1:23" s="210" customFormat="1">
      <c r="A24" s="107" t="str">
        <f>C3</f>
        <v>N/A</v>
      </c>
      <c r="B24" s="210" t="str">
        <f>VLOOKUP($A24,'2020 summary'!$A:$V,'JE Template 2021'!B8,FALSE)</f>
        <v>No additional agency chosen</v>
      </c>
      <c r="C24" s="52">
        <f>VLOOKUP($A24,'2021 summary'!A8:C923,3,FALSE)</f>
        <v>0</v>
      </c>
      <c r="D24" s="52">
        <f>VLOOKUP($A24,'2021 summary'!A8:D923,4,FALSE)</f>
        <v>0</v>
      </c>
      <c r="E24" s="52">
        <f>C24-D24</f>
        <v>0</v>
      </c>
      <c r="F24" s="6">
        <f>VLOOKUP($A24,'LGERS Contributions FY 2020'!$A:$C,3,FALSE)</f>
        <v>0</v>
      </c>
      <c r="G24" s="6">
        <f>VLOOKUP($A24,'2020 summary'!$A:$E,5,FALSE)</f>
        <v>0</v>
      </c>
      <c r="H24" s="6">
        <f>VLOOKUP($A24,'2021 summary'!$A:$E,5,FALSE)</f>
        <v>0</v>
      </c>
      <c r="I24" s="6"/>
      <c r="J24" s="6">
        <f>VLOOKUP($A24,'2021 summary'!$A:$G,7,FALSE)</f>
        <v>0</v>
      </c>
      <c r="K24" s="6">
        <f>VLOOKUP($A24,'2021 summary'!$A:$H,8,FALSE)</f>
        <v>0</v>
      </c>
      <c r="L24" s="6">
        <f>VLOOKUP($A24,'2021 summary'!$A:$I,9,FALSE)</f>
        <v>0</v>
      </c>
      <c r="M24" s="6">
        <f>VLOOKUP($A24,'2021 summary'!$A:$J,10,FALSE)</f>
        <v>0</v>
      </c>
      <c r="N24" s="6"/>
      <c r="O24" s="6">
        <f>VLOOKUP($A24,'2021 summary'!$A:$M,13,FALSE)</f>
        <v>0</v>
      </c>
      <c r="P24" s="6">
        <v>0</v>
      </c>
      <c r="Q24" s="6">
        <f>VLOOKUP($A24,'2021 summary'!$A:$N,14,FALSE)</f>
        <v>0</v>
      </c>
      <c r="R24" s="6">
        <f>VLOOKUP($A24,'2021 summary'!$A:$O,15,FALSE)</f>
        <v>0</v>
      </c>
      <c r="S24" s="6"/>
      <c r="T24" s="6">
        <f>VLOOKUP($A24,'2021 summary'!$A:$R,18,FALSE)</f>
        <v>0</v>
      </c>
      <c r="U24" s="6">
        <f>VLOOKUP($A24,'2021 summary'!$A:$S,19,FALSE)</f>
        <v>0</v>
      </c>
      <c r="V24" s="6">
        <f>VLOOKUP($A24,'2021 summary'!$A:$T,20,FALSE)</f>
        <v>0</v>
      </c>
    </row>
    <row r="25" spans="1:23" s="4" customFormat="1">
      <c r="A25" s="96"/>
      <c r="B25" s="210"/>
      <c r="C25" s="210"/>
      <c r="D25" s="210"/>
      <c r="E25" s="210"/>
      <c r="F25" s="6"/>
      <c r="G25" s="6"/>
      <c r="H25" s="6"/>
      <c r="I25" s="210"/>
      <c r="J25" s="6"/>
      <c r="K25" s="6"/>
      <c r="L25" s="6"/>
      <c r="M25" s="6"/>
      <c r="N25" s="210"/>
      <c r="O25" s="6"/>
      <c r="P25" s="6"/>
      <c r="Q25" s="6"/>
      <c r="R25" s="6"/>
      <c r="S25" s="210"/>
      <c r="T25" s="6"/>
      <c r="U25" s="6"/>
      <c r="V25" s="6"/>
    </row>
    <row r="26" spans="1:23" s="4" customFormat="1">
      <c r="A26" s="5"/>
      <c r="B26" s="210" t="s">
        <v>690</v>
      </c>
      <c r="C26" s="52">
        <f>C22+C24</f>
        <v>0</v>
      </c>
      <c r="D26" s="52">
        <f t="shared" ref="D26:H26" si="1">D22+D24</f>
        <v>0</v>
      </c>
      <c r="E26" s="52">
        <f t="shared" si="1"/>
        <v>0</v>
      </c>
      <c r="F26" s="6">
        <f t="shared" si="1"/>
        <v>0</v>
      </c>
      <c r="G26" s="6">
        <f t="shared" si="1"/>
        <v>0</v>
      </c>
      <c r="H26" s="6">
        <f t="shared" si="1"/>
        <v>0</v>
      </c>
      <c r="I26" s="6"/>
      <c r="J26" s="6">
        <f>J22+J24</f>
        <v>0</v>
      </c>
      <c r="K26" s="6">
        <f>K22+K24</f>
        <v>0</v>
      </c>
      <c r="L26" s="6">
        <f>L22+L24</f>
        <v>0</v>
      </c>
      <c r="M26" s="6">
        <f>M22+M24</f>
        <v>0</v>
      </c>
      <c r="N26" s="6"/>
      <c r="O26" s="6">
        <f>O22+O24</f>
        <v>0</v>
      </c>
      <c r="P26" s="6">
        <v>0</v>
      </c>
      <c r="Q26" s="6">
        <f>Q22+Q24</f>
        <v>0</v>
      </c>
      <c r="R26" s="6">
        <f>R22+R24</f>
        <v>0</v>
      </c>
      <c r="S26" s="6"/>
      <c r="T26" s="6">
        <f>T22+T24</f>
        <v>0</v>
      </c>
      <c r="U26" s="6">
        <f>U22+U24</f>
        <v>0</v>
      </c>
      <c r="V26" s="6">
        <f>V22+V24</f>
        <v>0</v>
      </c>
    </row>
    <row r="27" spans="1:23" s="4" customFormat="1">
      <c r="A27" s="5"/>
      <c r="B27" s="210"/>
      <c r="C27" s="210"/>
      <c r="D27" s="210"/>
      <c r="E27" s="210"/>
      <c r="F27" s="6"/>
      <c r="G27" s="6"/>
      <c r="H27" s="6"/>
      <c r="I27" s="210"/>
      <c r="J27" s="6"/>
      <c r="K27" s="6"/>
      <c r="L27" s="6"/>
      <c r="M27" s="6"/>
      <c r="N27" s="210"/>
      <c r="O27" s="6"/>
      <c r="P27" s="6"/>
      <c r="Q27" s="6"/>
      <c r="R27" s="6"/>
      <c r="S27" s="210"/>
      <c r="T27" s="6"/>
      <c r="U27" s="6"/>
      <c r="V27" s="6"/>
    </row>
    <row r="28" spans="1:23" s="4" customFormat="1">
      <c r="A28" s="5"/>
      <c r="B28" s="210" t="str">
        <f>+'Changes to Update Template '!C35</f>
        <v>Plan total for 6/30/2020 Measurement Date</v>
      </c>
      <c r="C28" s="210"/>
      <c r="D28" s="210"/>
      <c r="E28" s="210"/>
      <c r="F28" s="6">
        <f>'LGERS Contributions FY 2020'!C1</f>
        <v>627119908.3599999</v>
      </c>
      <c r="G28" s="6">
        <f>+'LGERS Contributions FY 2019'!C1</f>
        <v>528347297.84999931</v>
      </c>
      <c r="H28" s="6">
        <f>'2021 summary'!E3</f>
        <v>3573425995</v>
      </c>
      <c r="I28" s="6"/>
      <c r="J28" s="6">
        <f>'2021 summary'!G3</f>
        <v>451260991</v>
      </c>
      <c r="K28" s="6">
        <f>'2021 summary'!H3</f>
        <v>502863984</v>
      </c>
      <c r="L28" s="6">
        <f>'2021 summary'!I3</f>
        <v>265932990</v>
      </c>
      <c r="M28" s="6">
        <f>'2021 summary'!J3</f>
        <v>46013594</v>
      </c>
      <c r="N28" s="6"/>
      <c r="O28" s="6">
        <f>'2021 summary'!M3</f>
        <v>0</v>
      </c>
      <c r="P28" s="6">
        <v>0</v>
      </c>
      <c r="Q28" s="6">
        <f>'2021 summary'!N3</f>
        <v>0</v>
      </c>
      <c r="R28" s="6">
        <f>'2021 summary'!O3</f>
        <v>46013483</v>
      </c>
      <c r="S28" s="6"/>
      <c r="T28" s="6">
        <f>'2021 summary'!R3</f>
        <v>1228874981</v>
      </c>
      <c r="U28" s="6">
        <f>'2021 summary'!S3</f>
        <v>10</v>
      </c>
      <c r="V28" s="6">
        <f>'2021 summary'!T4</f>
        <v>1228874991</v>
      </c>
    </row>
    <row r="29" spans="1:23">
      <c r="A29" s="210"/>
      <c r="B29" s="210"/>
      <c r="C29" s="210"/>
      <c r="D29" s="210"/>
      <c r="E29" s="210"/>
      <c r="F29" s="210"/>
      <c r="G29" s="210"/>
      <c r="H29" s="210"/>
      <c r="I29" s="210"/>
      <c r="J29" s="210"/>
      <c r="K29" s="210"/>
      <c r="L29" s="210"/>
      <c r="M29" s="210"/>
      <c r="N29" s="210"/>
      <c r="O29" s="210"/>
      <c r="P29" s="210"/>
      <c r="Q29" s="210"/>
      <c r="R29" s="210"/>
      <c r="S29" s="210"/>
      <c r="T29" s="210"/>
      <c r="U29" s="210"/>
      <c r="V29" s="210"/>
    </row>
    <row r="30" spans="1:23">
      <c r="A30" s="8"/>
      <c r="B30" s="1"/>
      <c r="C30" s="1"/>
      <c r="D30" s="1"/>
      <c r="E30" s="1"/>
      <c r="F30" s="106"/>
      <c r="G30" s="3"/>
    </row>
    <row r="31" spans="1:23">
      <c r="A31" s="134" t="s">
        <v>719</v>
      </c>
      <c r="B31" s="135"/>
      <c r="C31" s="136">
        <f>H17</f>
        <v>0</v>
      </c>
      <c r="D31" s="1"/>
      <c r="E31" s="1"/>
      <c r="F31" s="3"/>
      <c r="G31" s="3"/>
      <c r="I31" s="4"/>
      <c r="J31" s="4"/>
      <c r="K31" s="4"/>
      <c r="L31" s="4"/>
      <c r="M31" s="4"/>
      <c r="N31" s="4"/>
      <c r="O31" s="4"/>
      <c r="P31" s="4"/>
      <c r="Q31" s="4"/>
      <c r="R31" s="4"/>
      <c r="S31" s="4"/>
      <c r="T31" s="4"/>
    </row>
    <row r="32" spans="1:23">
      <c r="A32" s="13" t="s">
        <v>720</v>
      </c>
      <c r="B32" s="14"/>
      <c r="C32" s="137">
        <f>E98</f>
        <v>0</v>
      </c>
      <c r="D32" s="1"/>
      <c r="E32" s="1"/>
      <c r="F32" s="106"/>
      <c r="G32" s="3"/>
      <c r="I32" s="4"/>
      <c r="J32" s="4"/>
      <c r="K32" s="4"/>
      <c r="L32" s="4"/>
      <c r="M32" s="4"/>
      <c r="N32" s="4"/>
      <c r="O32" s="4"/>
      <c r="P32" s="4"/>
      <c r="Q32" s="4"/>
      <c r="R32" s="4"/>
      <c r="S32" s="4"/>
      <c r="T32" s="4"/>
    </row>
    <row r="33" spans="1:20">
      <c r="A33" s="13"/>
      <c r="B33" s="14" t="s">
        <v>721</v>
      </c>
      <c r="C33" s="137">
        <f>IF(E96&gt;0,E96,-F96)</f>
        <v>0</v>
      </c>
      <c r="D33" s="1"/>
      <c r="E33" s="1"/>
      <c r="F33" s="3"/>
      <c r="G33" s="3"/>
      <c r="I33" s="4"/>
      <c r="J33" s="4"/>
      <c r="K33" s="4"/>
      <c r="M33" s="4"/>
      <c r="N33" s="4"/>
      <c r="O33" s="4"/>
      <c r="P33" s="4"/>
      <c r="Q33" s="4"/>
      <c r="R33" s="4"/>
      <c r="S33" s="4"/>
      <c r="T33" s="4"/>
    </row>
    <row r="34" spans="1:20" ht="48.75" customHeight="1">
      <c r="A34" s="20"/>
      <c r="B34" s="21" t="s">
        <v>722</v>
      </c>
      <c r="C34" s="138">
        <f>IF(E97&gt;0,E97,-F97)</f>
        <v>0</v>
      </c>
      <c r="D34" s="434" t="str">
        <f>IF(ABS(C34)&gt;0.05*F17,"The amount of contributions made during the measurement year on the Info tab differs from ORBIT's total by more than 5%.  Please ensure that the information entered on the Info tab is accurate or consider a prior period adjustment."," ")</f>
        <v xml:space="preserve"> </v>
      </c>
      <c r="E34" s="434"/>
      <c r="F34" s="434"/>
      <c r="G34" s="434"/>
      <c r="I34" s="4"/>
      <c r="J34" s="4"/>
      <c r="K34" s="4"/>
      <c r="L34" s="4"/>
      <c r="M34" s="4"/>
      <c r="N34" s="4"/>
      <c r="O34" s="4"/>
      <c r="P34" s="4"/>
      <c r="Q34" s="4"/>
      <c r="R34" s="4"/>
      <c r="S34" s="4"/>
      <c r="T34" s="4"/>
    </row>
    <row r="35" spans="1:20">
      <c r="A35" s="8"/>
      <c r="B35" s="1"/>
      <c r="C35" s="1"/>
      <c r="D35" s="1"/>
      <c r="E35" s="1"/>
      <c r="F35" s="3"/>
      <c r="G35" s="3"/>
      <c r="H35">
        <v>0</v>
      </c>
      <c r="I35" s="4"/>
      <c r="J35" s="4"/>
      <c r="K35" s="4"/>
      <c r="L35" s="4"/>
      <c r="M35" s="4"/>
      <c r="N35" s="4"/>
      <c r="O35" s="4"/>
      <c r="P35" s="4"/>
      <c r="Q35" s="4"/>
      <c r="R35" s="4"/>
      <c r="S35" s="4"/>
      <c r="T35" s="4"/>
    </row>
    <row r="36" spans="1:20">
      <c r="A36" s="134" t="s">
        <v>13</v>
      </c>
      <c r="B36" s="135"/>
      <c r="C36" s="135"/>
      <c r="D36" s="135"/>
      <c r="E36" s="139"/>
      <c r="F36" s="140"/>
      <c r="I36" s="4"/>
      <c r="J36" s="439"/>
      <c r="K36" s="439"/>
      <c r="L36" s="4"/>
      <c r="M36" s="4"/>
      <c r="N36" s="4"/>
      <c r="O36" s="4"/>
      <c r="P36" s="4"/>
      <c r="Q36" s="4"/>
      <c r="R36" s="4"/>
      <c r="S36" s="4"/>
      <c r="T36" s="4"/>
    </row>
    <row r="37" spans="1:20" ht="30">
      <c r="A37" s="13"/>
      <c r="B37" s="14"/>
      <c r="C37" s="14"/>
      <c r="D37" s="14"/>
      <c r="E37" s="25" t="s">
        <v>19</v>
      </c>
      <c r="F37" s="141" t="s">
        <v>20</v>
      </c>
      <c r="I37" s="4"/>
      <c r="J37" s="58"/>
      <c r="K37" s="4"/>
      <c r="L37" s="4"/>
      <c r="M37" s="4"/>
      <c r="N37" s="4"/>
      <c r="O37" s="77"/>
      <c r="P37" s="77"/>
      <c r="Q37" s="77"/>
      <c r="R37" s="77"/>
      <c r="S37" s="4"/>
      <c r="T37" s="4"/>
    </row>
    <row r="38" spans="1:20" ht="15" customHeight="1">
      <c r="A38" s="13"/>
      <c r="B38" s="14" t="s">
        <v>14</v>
      </c>
      <c r="C38" s="14"/>
      <c r="D38" s="14"/>
      <c r="E38" s="142">
        <f>J17</f>
        <v>0</v>
      </c>
      <c r="F38" s="16">
        <f>O17</f>
        <v>0</v>
      </c>
      <c r="H38" s="440" t="s">
        <v>273</v>
      </c>
      <c r="I38" s="441"/>
      <c r="J38" s="441"/>
      <c r="K38" s="442"/>
      <c r="M38" s="53"/>
      <c r="N38" s="4"/>
      <c r="O38" s="77"/>
      <c r="P38" s="77"/>
      <c r="Q38" s="77"/>
      <c r="R38" s="77"/>
      <c r="S38" s="4"/>
      <c r="T38" s="4"/>
    </row>
    <row r="39" spans="1:20">
      <c r="A39" s="13"/>
      <c r="B39" s="14" t="s">
        <v>15</v>
      </c>
      <c r="C39" s="14"/>
      <c r="D39" s="14"/>
      <c r="E39" s="142">
        <f>L17</f>
        <v>0</v>
      </c>
      <c r="F39" s="18">
        <f>Q17</f>
        <v>0</v>
      </c>
      <c r="H39" s="443"/>
      <c r="I39" s="444"/>
      <c r="J39" s="444"/>
      <c r="K39" s="445"/>
      <c r="M39" s="4"/>
      <c r="N39" s="4"/>
      <c r="O39" s="77"/>
      <c r="P39" s="77"/>
      <c r="Q39" s="77"/>
      <c r="R39" s="77"/>
      <c r="S39" s="4"/>
      <c r="T39" s="4"/>
    </row>
    <row r="40" spans="1:20" ht="30">
      <c r="A40" s="13"/>
      <c r="B40" s="14" t="s">
        <v>16</v>
      </c>
      <c r="C40" s="14"/>
      <c r="D40" s="14"/>
      <c r="E40" s="15">
        <f>IF(K17&gt;=P17,K17-P17,0)</f>
        <v>0</v>
      </c>
      <c r="F40" s="16">
        <f>IF(E40&gt;=0,P17+K17)</f>
        <v>0</v>
      </c>
      <c r="H40" s="443"/>
      <c r="I40" s="444"/>
      <c r="J40" s="444"/>
      <c r="K40" s="445"/>
      <c r="M40" s="53"/>
      <c r="N40" s="4"/>
      <c r="O40" s="77"/>
      <c r="P40" s="77"/>
      <c r="Q40" s="77"/>
      <c r="R40" s="77"/>
      <c r="S40" s="4"/>
      <c r="T40" s="4"/>
    </row>
    <row r="41" spans="1:20" ht="30">
      <c r="A41" s="13"/>
      <c r="B41" s="14" t="s">
        <v>17</v>
      </c>
      <c r="C41" s="14"/>
      <c r="D41" s="14"/>
      <c r="E41" s="15">
        <f>M17</f>
        <v>0</v>
      </c>
      <c r="F41" s="16">
        <f>R17</f>
        <v>0</v>
      </c>
      <c r="H41" s="446"/>
      <c r="I41" s="447"/>
      <c r="J41" s="447"/>
      <c r="K41" s="448"/>
      <c r="M41" s="53"/>
      <c r="N41" s="4"/>
      <c r="O41" s="77"/>
      <c r="P41" s="77"/>
      <c r="Q41" s="77"/>
      <c r="R41" s="77"/>
      <c r="S41" s="4"/>
      <c r="T41" s="4"/>
    </row>
    <row r="42" spans="1:20">
      <c r="A42" s="11"/>
      <c r="B42" s="14" t="s">
        <v>274</v>
      </c>
      <c r="C42" s="14"/>
      <c r="D42" s="14"/>
      <c r="E42" s="15">
        <f>Info!C33</f>
        <v>0</v>
      </c>
      <c r="F42" s="143"/>
      <c r="I42" s="4"/>
      <c r="J42" s="4"/>
      <c r="K42" s="4"/>
      <c r="L42" s="4"/>
      <c r="M42" s="4"/>
      <c r="N42" s="4"/>
      <c r="O42" s="77"/>
      <c r="P42" s="77"/>
      <c r="Q42" s="77"/>
      <c r="R42" s="77"/>
      <c r="S42" s="4"/>
      <c r="T42" s="4"/>
    </row>
    <row r="43" spans="1:20" ht="15.75" thickBot="1">
      <c r="A43" s="11"/>
      <c r="B43" s="57" t="s">
        <v>18</v>
      </c>
      <c r="C43" s="57"/>
      <c r="D43" s="57"/>
      <c r="E43" s="26">
        <f>SUM(E38:E42)</f>
        <v>0</v>
      </c>
      <c r="F43" s="144">
        <f>SUM(F38:F42)</f>
        <v>0</v>
      </c>
      <c r="G43" s="105"/>
      <c r="H43" s="36"/>
      <c r="I43" s="36"/>
      <c r="J43" s="65"/>
      <c r="K43" s="65"/>
      <c r="L43" s="65"/>
      <c r="M43" s="65"/>
      <c r="N43" s="36"/>
      <c r="O43" s="77"/>
      <c r="P43" s="77"/>
      <c r="Q43" s="77"/>
      <c r="R43" s="77"/>
      <c r="S43" s="4"/>
      <c r="T43" s="4"/>
    </row>
    <row r="44" spans="1:20" ht="15.75" thickTop="1">
      <c r="A44" s="11"/>
      <c r="B44" s="14"/>
      <c r="C44" s="14"/>
      <c r="D44" s="14"/>
      <c r="E44" s="17"/>
      <c r="F44" s="18"/>
      <c r="G44" s="70"/>
      <c r="H44" s="108"/>
      <c r="I44" s="109"/>
      <c r="J44" s="109"/>
      <c r="K44" s="109"/>
      <c r="L44" s="110"/>
      <c r="M44" s="110"/>
      <c r="N44" s="36"/>
      <c r="O44" s="77"/>
      <c r="P44" s="77"/>
      <c r="Q44" s="77"/>
      <c r="R44" s="77"/>
      <c r="S44" s="4"/>
      <c r="T44" s="4"/>
    </row>
    <row r="45" spans="1:20" ht="60">
      <c r="A45" s="55"/>
      <c r="B45" s="21" t="s">
        <v>258</v>
      </c>
      <c r="C45" s="21"/>
      <c r="D45" s="21"/>
      <c r="E45" s="22"/>
      <c r="F45" s="23"/>
      <c r="H45" s="108"/>
      <c r="I45" s="109"/>
      <c r="J45" s="109"/>
      <c r="K45" s="109"/>
      <c r="L45" s="111"/>
      <c r="M45" s="111"/>
      <c r="N45" s="36"/>
      <c r="O45" s="77"/>
      <c r="P45" s="77"/>
      <c r="Q45" s="77"/>
      <c r="R45" s="77"/>
      <c r="S45" s="4"/>
      <c r="T45" s="4"/>
    </row>
    <row r="46" spans="1:20">
      <c r="A46" s="4"/>
      <c r="B46" s="4"/>
      <c r="C46" s="4"/>
      <c r="D46" s="4"/>
      <c r="E46" s="4"/>
      <c r="F46" s="4"/>
      <c r="H46" s="108"/>
      <c r="I46" s="112"/>
      <c r="J46" s="109"/>
      <c r="K46" s="109"/>
      <c r="L46" s="113"/>
      <c r="M46" s="113"/>
      <c r="N46" s="36"/>
      <c r="O46" s="77"/>
      <c r="P46" s="77"/>
      <c r="Q46" s="77"/>
      <c r="R46" s="77"/>
    </row>
    <row r="47" spans="1:20">
      <c r="A47" s="9" t="s">
        <v>21</v>
      </c>
      <c r="B47" s="10"/>
      <c r="C47" s="10"/>
      <c r="D47" s="145"/>
      <c r="E47" s="4"/>
      <c r="F47" s="4"/>
      <c r="G47" s="4"/>
      <c r="H47" s="74"/>
      <c r="I47" s="74"/>
      <c r="J47" s="74"/>
      <c r="K47" s="75"/>
      <c r="M47" s="76"/>
      <c r="N47" s="24"/>
      <c r="O47" s="77"/>
      <c r="P47" s="77"/>
      <c r="Q47" s="77"/>
      <c r="R47" s="77"/>
    </row>
    <row r="48" spans="1:20">
      <c r="A48" s="11"/>
      <c r="B48" s="12"/>
      <c r="C48" s="12"/>
      <c r="D48" s="146"/>
      <c r="E48" s="210"/>
      <c r="F48" s="4"/>
      <c r="G48" s="4"/>
      <c r="H48" s="74"/>
      <c r="I48" s="74"/>
      <c r="J48" s="74"/>
      <c r="K48" s="75"/>
      <c r="M48" s="76"/>
      <c r="N48" s="24"/>
      <c r="O48" s="77"/>
      <c r="P48" s="77"/>
      <c r="Q48" s="77"/>
      <c r="R48" s="77"/>
    </row>
    <row r="49" spans="1:18">
      <c r="A49" s="147" t="s">
        <v>22</v>
      </c>
      <c r="B49" s="148"/>
      <c r="C49" s="148"/>
      <c r="D49" s="146"/>
      <c r="E49" s="210"/>
      <c r="F49" s="210"/>
      <c r="G49" s="4"/>
      <c r="H49" s="74"/>
      <c r="I49" s="74"/>
      <c r="J49" s="74"/>
      <c r="K49" s="75"/>
      <c r="M49" s="76"/>
      <c r="N49" s="24"/>
      <c r="O49" s="77"/>
      <c r="P49" s="77"/>
      <c r="Q49" s="77"/>
      <c r="R49" s="77"/>
    </row>
    <row r="50" spans="1:18">
      <c r="A50" s="149">
        <f>+'Changes to Update Template '!C36</f>
        <v>2022</v>
      </c>
      <c r="B50" s="150"/>
      <c r="C50" s="150"/>
      <c r="D50" s="151" t="e">
        <f>IF(A15="N/A",VLOOKUP($A$13,'Deferred Amort MD 06-30-21'!$A:$I,5,FALSE),((VLOOKUP($A$13,'Deferred Amort MD 06-30-21'!$A:$I,5,FALSE))+VLOOKUP($A$15,'Deferred Amort MD 06-30-21'!$A:$I,5,FALSE)))</f>
        <v>#N/A</v>
      </c>
      <c r="E50" s="210"/>
      <c r="F50" s="105"/>
      <c r="G50" s="4"/>
      <c r="H50" s="74"/>
      <c r="I50" s="74"/>
      <c r="J50" s="74"/>
      <c r="K50" s="75"/>
      <c r="M50" s="76"/>
      <c r="N50" s="24"/>
      <c r="O50" s="77"/>
      <c r="P50" s="77"/>
      <c r="Q50" s="77"/>
      <c r="R50" s="77"/>
    </row>
    <row r="51" spans="1:18">
      <c r="A51" s="149">
        <f>+A50+1</f>
        <v>2023</v>
      </c>
      <c r="B51" s="150"/>
      <c r="C51" s="150"/>
      <c r="D51" s="151" t="e">
        <f>IF(A15="N/A",VLOOKUP($A$13,'Deferred Amort MD 06-30-21'!$A:$I,6,FALSE),((VLOOKUP($A$13,'Deferred Amort MD 06-30-21'!$A:$I,6,FALSE))+VLOOKUP($A$15,'Deferred Amort MD 06-30-21'!$A:$I,6,FALSE)))</f>
        <v>#N/A</v>
      </c>
      <c r="E51" s="210"/>
      <c r="F51" s="210"/>
      <c r="G51" s="4"/>
      <c r="H51" s="74"/>
      <c r="I51" s="74"/>
      <c r="J51" s="74"/>
      <c r="K51" s="75"/>
      <c r="M51" s="76"/>
      <c r="N51" s="24"/>
      <c r="O51" s="77"/>
      <c r="P51" s="77"/>
      <c r="Q51" s="77"/>
      <c r="R51" s="77"/>
    </row>
    <row r="52" spans="1:18">
      <c r="A52" s="149">
        <f>+A51+1</f>
        <v>2024</v>
      </c>
      <c r="B52" s="150"/>
      <c r="C52" s="150"/>
      <c r="D52" s="151" t="e">
        <f>IF(A15="N/A",VLOOKUP($A$13,'Deferred Amort MD 06-30-21'!$A:$I,7,FALSE),((VLOOKUP($A$13,'Deferred Amort MD 06-30-21'!$A:$I,7,FALSE))+VLOOKUP($A$15,'Deferred Amort MD 06-30-21'!$A:$I,7,FALSE)))</f>
        <v>#N/A</v>
      </c>
      <c r="E52" s="210"/>
      <c r="F52" s="210"/>
      <c r="G52" s="4"/>
      <c r="H52" s="74"/>
      <c r="I52" s="74"/>
      <c r="J52" s="74"/>
      <c r="K52" s="75"/>
      <c r="M52" s="76"/>
      <c r="N52" s="24"/>
      <c r="O52" s="77"/>
      <c r="P52" s="77"/>
      <c r="Q52" s="77"/>
      <c r="R52" s="77"/>
    </row>
    <row r="53" spans="1:18">
      <c r="A53" s="149">
        <f>+A52+1</f>
        <v>2025</v>
      </c>
      <c r="B53" s="150"/>
      <c r="C53" s="150"/>
      <c r="D53" s="151" t="e">
        <f>IF(A15="N/A",VLOOKUP($A$13,'Deferred Amort MD 06-30-21'!$A:$I,8,FALSE),((VLOOKUP($A$13,'Deferred Amort MD 06-30-21'!$A:$I,8,FALSE))+VLOOKUP($A$15,'Deferred Amort MD 06-30-21'!$A:$I,8,FALSE)))</f>
        <v>#N/A</v>
      </c>
      <c r="E53" s="210"/>
      <c r="F53" s="210"/>
      <c r="G53" s="4"/>
      <c r="H53" s="74"/>
      <c r="I53" s="74"/>
      <c r="J53" s="74"/>
      <c r="K53" s="75"/>
      <c r="M53" s="76"/>
      <c r="N53" s="24"/>
      <c r="O53" s="77"/>
      <c r="P53" s="77"/>
      <c r="Q53" s="77"/>
      <c r="R53" s="77"/>
    </row>
    <row r="54" spans="1:18">
      <c r="A54" s="149">
        <f>+A53+1</f>
        <v>2026</v>
      </c>
      <c r="B54" s="150"/>
      <c r="C54" s="150"/>
      <c r="D54" s="152" t="e">
        <f>IF(A15="n/a", (VLOOKUP($A$13,'Deferred Amort MD 06-30-21'!$A:$I,9,FALSE)),(VLOOKUP($A$13,'Deferred Amort MD 06-30-21'!$A:$I,9,FALSE))+VLOOKUP($A$15,'Deferred Amort MD 06-30-21'!$A:$I,9,FALSE))</f>
        <v>#N/A</v>
      </c>
      <c r="E54" s="210"/>
      <c r="F54" s="210"/>
      <c r="G54" s="4"/>
      <c r="H54" s="74"/>
      <c r="I54" s="74"/>
      <c r="J54" s="74"/>
      <c r="K54" s="75"/>
      <c r="M54" s="76"/>
      <c r="N54" s="24"/>
      <c r="O54" s="77"/>
      <c r="P54" s="77"/>
      <c r="Q54" s="6"/>
      <c r="R54" s="6"/>
    </row>
    <row r="55" spans="1:18">
      <c r="A55" s="11" t="s">
        <v>23</v>
      </c>
      <c r="B55" s="150"/>
      <c r="C55" s="150"/>
      <c r="D55" s="16"/>
      <c r="E55" s="210"/>
      <c r="F55" s="210"/>
      <c r="G55" s="4"/>
      <c r="H55" s="74"/>
      <c r="I55" s="74"/>
      <c r="J55" s="74"/>
      <c r="K55" s="75"/>
      <c r="M55" s="76"/>
      <c r="N55" s="24"/>
      <c r="O55" s="77"/>
      <c r="P55" s="77"/>
      <c r="Q55" s="6"/>
      <c r="R55" s="6"/>
    </row>
    <row r="56" spans="1:18">
      <c r="A56" s="55"/>
      <c r="B56" s="153"/>
      <c r="C56" s="153"/>
      <c r="D56" s="154" t="e">
        <f>SUM(D50:D55)</f>
        <v>#N/A</v>
      </c>
      <c r="E56" s="105"/>
      <c r="F56" s="210"/>
      <c r="G56" s="4"/>
      <c r="H56" s="74"/>
      <c r="I56" s="74"/>
      <c r="J56" s="74"/>
      <c r="K56" s="75"/>
      <c r="M56" s="76"/>
      <c r="N56" s="24"/>
      <c r="O56" s="77"/>
      <c r="P56" s="77"/>
      <c r="Q56" s="6"/>
      <c r="R56" s="6"/>
    </row>
    <row r="57" spans="1:18">
      <c r="A57" s="4"/>
      <c r="B57" s="74"/>
      <c r="C57" s="74"/>
      <c r="D57" s="4"/>
      <c r="F57" s="4"/>
      <c r="G57" s="4"/>
      <c r="H57" s="74"/>
      <c r="I57" s="74"/>
      <c r="J57" s="74"/>
      <c r="K57" s="75"/>
      <c r="M57" s="76"/>
      <c r="N57" s="24"/>
      <c r="O57" s="77"/>
      <c r="P57" s="77"/>
      <c r="Q57" s="6"/>
      <c r="R57" s="6"/>
    </row>
    <row r="58" spans="1:18">
      <c r="A58" s="155" t="s">
        <v>230</v>
      </c>
      <c r="B58" s="156"/>
      <c r="C58" s="156"/>
      <c r="D58" s="156"/>
      <c r="E58" s="157" t="s">
        <v>3758</v>
      </c>
      <c r="F58" s="157" t="s">
        <v>3760</v>
      </c>
      <c r="G58" s="158" t="s">
        <v>3759</v>
      </c>
      <c r="H58" s="210"/>
      <c r="I58" s="74"/>
      <c r="J58" s="74"/>
    </row>
    <row r="59" spans="1:18">
      <c r="A59" s="147"/>
      <c r="B59" s="159" t="s">
        <v>12</v>
      </c>
      <c r="C59" s="148"/>
      <c r="D59" s="148"/>
      <c r="E59" s="273">
        <f>+'Changes to Update Template '!C40</f>
        <v>5953292000</v>
      </c>
      <c r="F59" s="274">
        <f>H19</f>
        <v>1533595994</v>
      </c>
      <c r="G59" s="275">
        <f>+'Changes to Update Template '!C41</f>
        <v>-2103557000</v>
      </c>
      <c r="H59" s="4"/>
      <c r="I59" s="74"/>
      <c r="J59" s="74"/>
    </row>
    <row r="60" spans="1:18" ht="9" customHeight="1">
      <c r="A60" s="147"/>
      <c r="B60" s="148"/>
      <c r="C60" s="148"/>
      <c r="D60" s="148"/>
      <c r="E60" s="276"/>
      <c r="F60" s="276"/>
      <c r="G60" s="277"/>
      <c r="H60" s="4"/>
      <c r="I60" s="4"/>
      <c r="J60" s="4"/>
    </row>
    <row r="61" spans="1:18">
      <c r="A61" s="55"/>
      <c r="B61" s="160" t="s">
        <v>275</v>
      </c>
      <c r="C61" s="160"/>
      <c r="D61" s="160"/>
      <c r="E61" s="278">
        <f>C17*E59</f>
        <v>0</v>
      </c>
      <c r="F61" s="278">
        <f>H17</f>
        <v>0</v>
      </c>
      <c r="G61" s="279">
        <f>C17*G59</f>
        <v>0</v>
      </c>
      <c r="H61" s="4"/>
      <c r="I61" s="4"/>
      <c r="J61" s="4"/>
    </row>
    <row r="62" spans="1:18" s="4" customFormat="1"/>
    <row r="63" spans="1:18" hidden="1">
      <c r="A63" s="449" t="s">
        <v>235</v>
      </c>
      <c r="B63" s="450"/>
      <c r="C63" s="81"/>
      <c r="D63" s="81"/>
      <c r="E63" s="81"/>
      <c r="F63" s="37"/>
      <c r="G63" s="37"/>
      <c r="H63" s="38"/>
      <c r="I63" s="38"/>
      <c r="J63" s="39"/>
    </row>
    <row r="64" spans="1:18" ht="57.75" hidden="1" customHeight="1">
      <c r="A64" s="40" t="s">
        <v>236</v>
      </c>
      <c r="B64" s="437" t="s">
        <v>237</v>
      </c>
      <c r="C64" s="437"/>
      <c r="D64" s="437"/>
      <c r="E64" s="437"/>
      <c r="F64" s="438"/>
      <c r="G64" s="438"/>
      <c r="H64" s="438"/>
      <c r="I64" s="438"/>
      <c r="J64" s="438"/>
    </row>
    <row r="65" spans="1:10" hidden="1">
      <c r="A65" s="41"/>
      <c r="B65" s="42"/>
      <c r="C65" s="42"/>
      <c r="D65" s="42"/>
      <c r="E65" s="42"/>
      <c r="F65" s="43"/>
      <c r="G65" s="43"/>
      <c r="H65" s="43"/>
      <c r="I65" s="43"/>
      <c r="J65" s="43"/>
    </row>
    <row r="66" spans="1:10" ht="58.5" hidden="1" customHeight="1">
      <c r="A66" s="40" t="s">
        <v>238</v>
      </c>
      <c r="B66" s="437" t="s">
        <v>239</v>
      </c>
      <c r="C66" s="437"/>
      <c r="D66" s="437"/>
      <c r="E66" s="437"/>
      <c r="F66" s="437"/>
      <c r="G66" s="437"/>
      <c r="H66" s="437"/>
      <c r="I66" s="437"/>
      <c r="J66" s="437"/>
    </row>
    <row r="67" spans="1:10" hidden="1">
      <c r="A67" s="41"/>
      <c r="B67" s="42"/>
      <c r="C67" s="42"/>
      <c r="D67" s="42"/>
      <c r="E67" s="42"/>
      <c r="F67" s="43"/>
      <c r="G67" s="43"/>
      <c r="H67" s="43"/>
      <c r="I67" s="43"/>
      <c r="J67" s="43"/>
    </row>
    <row r="68" spans="1:10" ht="28.5" hidden="1" customHeight="1">
      <c r="A68" s="40" t="s">
        <v>240</v>
      </c>
      <c r="B68" s="435" t="s">
        <v>241</v>
      </c>
      <c r="C68" s="435"/>
      <c r="D68" s="435"/>
      <c r="E68" s="435"/>
      <c r="F68" s="436"/>
      <c r="G68" s="436"/>
      <c r="H68" s="436"/>
      <c r="I68" s="436"/>
      <c r="J68" s="436"/>
    </row>
    <row r="69" spans="1:10" hidden="1">
      <c r="A69" s="41"/>
      <c r="B69" s="42"/>
      <c r="C69" s="42"/>
      <c r="D69" s="42"/>
      <c r="E69" s="42"/>
      <c r="F69" s="43"/>
      <c r="G69" s="43"/>
      <c r="H69" s="43"/>
      <c r="I69" s="43"/>
      <c r="J69" s="43"/>
    </row>
    <row r="70" spans="1:10" ht="51.75" hidden="1" customHeight="1">
      <c r="A70" s="40" t="s">
        <v>242</v>
      </c>
      <c r="B70" s="437" t="s">
        <v>243</v>
      </c>
      <c r="C70" s="437"/>
      <c r="D70" s="437"/>
      <c r="E70" s="437"/>
      <c r="F70" s="436"/>
      <c r="G70" s="436"/>
      <c r="H70" s="436"/>
      <c r="I70" s="436"/>
      <c r="J70" s="436"/>
    </row>
    <row r="71" spans="1:10" hidden="1">
      <c r="A71" s="41"/>
      <c r="B71" s="80"/>
      <c r="C71" s="80"/>
      <c r="D71" s="80"/>
      <c r="E71" s="80"/>
      <c r="F71" s="80"/>
      <c r="G71" s="80"/>
      <c r="H71" s="80"/>
      <c r="I71" s="80"/>
      <c r="J71" s="80"/>
    </row>
    <row r="72" spans="1:10" hidden="1">
      <c r="A72" s="40" t="s">
        <v>244</v>
      </c>
      <c r="B72" s="435" t="s">
        <v>245</v>
      </c>
      <c r="C72" s="435"/>
      <c r="D72" s="435"/>
      <c r="E72" s="435"/>
      <c r="F72" s="436"/>
      <c r="G72" s="436"/>
      <c r="H72" s="436"/>
      <c r="I72" s="436"/>
      <c r="J72" s="436"/>
    </row>
    <row r="73" spans="1:10" hidden="1">
      <c r="A73" s="41"/>
      <c r="B73" s="43"/>
      <c r="C73" s="43"/>
      <c r="D73" s="43"/>
      <c r="E73" s="43"/>
      <c r="F73" s="80"/>
      <c r="G73" s="80"/>
      <c r="H73" s="80"/>
      <c r="I73" s="80"/>
      <c r="J73" s="80"/>
    </row>
    <row r="74" spans="1:10" ht="47.25" hidden="1" customHeight="1">
      <c r="A74" s="40" t="s">
        <v>246</v>
      </c>
      <c r="B74" s="437" t="s">
        <v>247</v>
      </c>
      <c r="C74" s="437"/>
      <c r="D74" s="437"/>
      <c r="E74" s="437"/>
      <c r="F74" s="437"/>
      <c r="G74" s="437"/>
      <c r="H74" s="437"/>
      <c r="I74" s="437"/>
      <c r="J74" s="437"/>
    </row>
    <row r="75" spans="1:10" hidden="1">
      <c r="A75" s="41"/>
      <c r="B75" s="80"/>
      <c r="C75" s="80"/>
      <c r="D75" s="80"/>
      <c r="E75" s="80"/>
      <c r="F75" s="80"/>
      <c r="G75" s="80"/>
      <c r="H75" s="80"/>
      <c r="I75" s="80"/>
      <c r="J75" s="80"/>
    </row>
    <row r="76" spans="1:10" ht="71.25" hidden="1" customHeight="1">
      <c r="A76" s="44" t="s">
        <v>248</v>
      </c>
      <c r="B76" s="437" t="s">
        <v>249</v>
      </c>
      <c r="C76" s="437"/>
      <c r="D76" s="437"/>
      <c r="E76" s="437"/>
      <c r="F76" s="438"/>
      <c r="G76" s="438"/>
      <c r="H76" s="438"/>
      <c r="I76" s="438"/>
      <c r="J76" s="438"/>
    </row>
    <row r="77" spans="1:10" ht="12" hidden="1" customHeight="1">
      <c r="A77" s="41"/>
      <c r="B77" s="80"/>
      <c r="C77" s="80"/>
      <c r="D77" s="80"/>
      <c r="E77" s="80"/>
      <c r="F77" s="80"/>
      <c r="G77" s="80"/>
      <c r="H77" s="80"/>
      <c r="I77" s="80"/>
      <c r="J77" s="80"/>
    </row>
    <row r="78" spans="1:10" ht="85.5" hidden="1" customHeight="1">
      <c r="A78" s="40" t="s">
        <v>250</v>
      </c>
      <c r="B78" s="437" t="s">
        <v>251</v>
      </c>
      <c r="C78" s="437"/>
      <c r="D78" s="437"/>
      <c r="E78" s="437"/>
      <c r="F78" s="436"/>
      <c r="G78" s="436"/>
      <c r="H78" s="436"/>
      <c r="I78" s="436"/>
      <c r="J78" s="436"/>
    </row>
    <row r="79" spans="1:10" ht="12" hidden="1" customHeight="1">
      <c r="A79" s="41"/>
      <c r="B79" s="80"/>
      <c r="C79" s="80"/>
      <c r="D79" s="80"/>
      <c r="E79" s="80"/>
      <c r="F79" s="80"/>
      <c r="G79" s="80"/>
      <c r="H79" s="80"/>
      <c r="I79" s="80"/>
      <c r="J79" s="80"/>
    </row>
    <row r="80" spans="1:10" ht="12" hidden="1" customHeight="1">
      <c r="A80" s="45" t="s">
        <v>252</v>
      </c>
      <c r="B80" s="435" t="s">
        <v>253</v>
      </c>
      <c r="C80" s="435"/>
      <c r="D80" s="435"/>
      <c r="E80" s="435"/>
      <c r="F80" s="436"/>
      <c r="G80" s="436"/>
      <c r="H80" s="436"/>
      <c r="I80" s="436"/>
      <c r="J80" s="436"/>
    </row>
    <row r="81" spans="1:11" hidden="1">
      <c r="A81" s="41"/>
      <c r="B81" s="80"/>
      <c r="C81" s="80"/>
      <c r="D81" s="80"/>
      <c r="E81" s="80"/>
      <c r="F81" s="80"/>
      <c r="G81" s="80"/>
      <c r="H81" s="80"/>
      <c r="I81" s="80"/>
      <c r="J81" s="80"/>
    </row>
    <row r="82" spans="1:11" ht="27.75" hidden="1" customHeight="1">
      <c r="A82" s="45" t="s">
        <v>254</v>
      </c>
      <c r="B82" s="435" t="s">
        <v>255</v>
      </c>
      <c r="C82" s="435"/>
      <c r="D82" s="435"/>
      <c r="E82" s="435"/>
      <c r="F82" s="436"/>
      <c r="G82" s="436"/>
      <c r="H82" s="436"/>
      <c r="I82" s="436"/>
      <c r="J82" s="436"/>
    </row>
    <row r="83" spans="1:11" ht="12" hidden="1" customHeight="1">
      <c r="A83" s="45"/>
      <c r="B83" s="78"/>
      <c r="C83" s="78"/>
      <c r="D83" s="78"/>
      <c r="E83" s="78"/>
      <c r="F83" s="79"/>
      <c r="G83" s="79"/>
      <c r="H83" s="79"/>
      <c r="I83" s="79"/>
      <c r="J83" s="79"/>
    </row>
    <row r="84" spans="1:11" ht="45" hidden="1" customHeight="1">
      <c r="A84" s="45" t="s">
        <v>256</v>
      </c>
      <c r="B84" s="435" t="s">
        <v>257</v>
      </c>
      <c r="C84" s="435"/>
      <c r="D84" s="435"/>
      <c r="E84" s="435"/>
      <c r="F84" s="436"/>
      <c r="G84" s="436"/>
      <c r="H84" s="436"/>
      <c r="I84" s="436"/>
      <c r="J84" s="436"/>
    </row>
    <row r="85" spans="1:11">
      <c r="A85" s="164" t="s">
        <v>1920</v>
      </c>
      <c r="B85" s="165"/>
      <c r="C85" s="165"/>
      <c r="D85" s="165"/>
      <c r="E85" s="166" t="s">
        <v>705</v>
      </c>
      <c r="F85" s="167" t="s">
        <v>706</v>
      </c>
      <c r="G85" s="4"/>
    </row>
    <row r="86" spans="1:11">
      <c r="A86" s="161" t="s">
        <v>707</v>
      </c>
      <c r="B86" s="14"/>
      <c r="C86" s="14"/>
      <c r="D86" s="14"/>
      <c r="E86" s="168">
        <f>ROUND(IF(J17&gt;J26,J17-J26,0),0)</f>
        <v>0</v>
      </c>
      <c r="F86" s="170">
        <f>ROUND(IF(J26&gt;J17,J26-J17,0),0)</f>
        <v>0</v>
      </c>
      <c r="G86" s="4"/>
      <c r="H86" s="2"/>
      <c r="K86" s="2"/>
    </row>
    <row r="87" spans="1:11">
      <c r="A87" s="161" t="s">
        <v>708</v>
      </c>
      <c r="B87" s="19"/>
      <c r="C87" s="14"/>
      <c r="D87" s="14"/>
      <c r="E87" s="168">
        <f>ROUND(IF(L17&gt;L26,L17-L26,0),0)</f>
        <v>0</v>
      </c>
      <c r="F87" s="170">
        <f>ROUND(IF(L26&gt;L17,L26-L17,0),0)</f>
        <v>0</v>
      </c>
      <c r="G87" s="4"/>
      <c r="H87" s="2"/>
    </row>
    <row r="88" spans="1:11">
      <c r="A88" s="161" t="s">
        <v>709</v>
      </c>
      <c r="B88" s="19"/>
      <c r="C88" s="14"/>
      <c r="D88" s="14"/>
      <c r="E88" s="168">
        <f>ROUND(IF(K17&gt;(K26-P26),(K17-K26-P26),0),0)</f>
        <v>0</v>
      </c>
      <c r="F88" s="170">
        <f>K22-K13</f>
        <v>0</v>
      </c>
      <c r="G88" s="4"/>
      <c r="K88" s="2"/>
    </row>
    <row r="89" spans="1:11">
      <c r="A89" s="161" t="s">
        <v>710</v>
      </c>
      <c r="B89" s="19"/>
      <c r="C89" s="14"/>
      <c r="D89" s="14"/>
      <c r="E89" s="168">
        <f>ROUND(IF(M17&gt;M26,M17-M26,0),0)</f>
        <v>0</v>
      </c>
      <c r="F89" s="170">
        <f>ROUND(IF(M26&gt;M17,M26-M17,0),0)</f>
        <v>0</v>
      </c>
      <c r="G89" s="4"/>
      <c r="I89" s="2"/>
    </row>
    <row r="90" spans="1:11">
      <c r="A90" s="161" t="s">
        <v>711</v>
      </c>
      <c r="B90" s="19"/>
      <c r="C90" s="14"/>
      <c r="D90" s="14"/>
      <c r="E90" s="168">
        <f>ROUND(IF(O26&gt;O17,O26-O17,0),0)</f>
        <v>0</v>
      </c>
      <c r="F90" s="170">
        <f>ROUND(IF(O17&gt;O26,O17-O26,0),0)</f>
        <v>0</v>
      </c>
      <c r="G90" s="4"/>
    </row>
    <row r="91" spans="1:11">
      <c r="A91" s="161" t="s">
        <v>712</v>
      </c>
      <c r="B91" s="19"/>
      <c r="C91" s="14"/>
      <c r="D91" s="14"/>
      <c r="E91" s="168">
        <f>ROUND(IF(Q26&gt;Q17,Q26-Q17,0),0)</f>
        <v>0</v>
      </c>
      <c r="F91" s="170">
        <f>ROUND(IF(Q19&gt;Q26,Q19-Q26,0),0)</f>
        <v>0</v>
      </c>
      <c r="G91" s="4"/>
    </row>
    <row r="92" spans="1:11">
      <c r="A92" s="161" t="s">
        <v>713</v>
      </c>
      <c r="B92" s="57"/>
      <c r="C92" s="57"/>
      <c r="D92" s="57"/>
      <c r="E92" s="168">
        <f>IF((P26-K26)&gt;P17,P26-K26-P17,0)</f>
        <v>0</v>
      </c>
      <c r="F92" s="170">
        <f>P13-P22</f>
        <v>0</v>
      </c>
      <c r="G92" s="4"/>
    </row>
    <row r="93" spans="1:11">
      <c r="A93" s="161" t="s">
        <v>714</v>
      </c>
      <c r="B93" s="12"/>
      <c r="C93" s="12"/>
      <c r="D93" s="12"/>
      <c r="E93" s="168">
        <f>ROUND(IF(R17&lt;R26,R26-R17,0),0)</f>
        <v>0</v>
      </c>
      <c r="F93" s="170">
        <f>ROUND(IF(R17&gt;R26,R17-R26,0),0)</f>
        <v>0</v>
      </c>
      <c r="G93" s="4"/>
    </row>
    <row r="94" spans="1:11">
      <c r="A94" s="161" t="s">
        <v>718</v>
      </c>
      <c r="B94" s="12"/>
      <c r="C94" s="12"/>
      <c r="D94" s="12"/>
      <c r="E94" s="168">
        <f>Info!C33</f>
        <v>0</v>
      </c>
      <c r="F94" s="171">
        <f>Info!C29</f>
        <v>0</v>
      </c>
      <c r="G94" s="4"/>
    </row>
    <row r="95" spans="1:11">
      <c r="A95" s="161" t="s">
        <v>723</v>
      </c>
      <c r="B95" s="12"/>
      <c r="C95" s="12"/>
      <c r="D95" s="12"/>
      <c r="E95" s="168">
        <v>0</v>
      </c>
      <c r="F95" s="170">
        <f>Info!C33+Info!C31</f>
        <v>0</v>
      </c>
      <c r="G95" s="4"/>
    </row>
    <row r="96" spans="1:11" hidden="1">
      <c r="A96" s="161" t="s">
        <v>716</v>
      </c>
      <c r="B96" s="12"/>
      <c r="C96" s="12"/>
      <c r="D96" s="12"/>
      <c r="E96" s="168">
        <f>IF(V17&gt;=0,V17,0)</f>
        <v>0</v>
      </c>
      <c r="F96" s="172">
        <f>IF(V17&lt;0,-V17,0)</f>
        <v>0</v>
      </c>
      <c r="G96" s="4"/>
    </row>
    <row r="97" spans="1:8" hidden="1">
      <c r="A97" s="161" t="s">
        <v>717</v>
      </c>
      <c r="B97" s="12"/>
      <c r="C97" s="12"/>
      <c r="D97" s="12"/>
      <c r="E97" s="168">
        <f>IF((Info!C29+Info!C31)&gt;'JE Template 2021'!F17,(Info!C29+Info!C31-'JE Template 2021'!F17),0)</f>
        <v>0</v>
      </c>
      <c r="F97" s="173">
        <f>IF((Info!C29+Info!C31)&lt;'JE Template 2021'!F17,'JE Template 2021'!F17-(Info!C29+Info!C31),0)</f>
        <v>0</v>
      </c>
      <c r="G97" s="4"/>
    </row>
    <row r="98" spans="1:8">
      <c r="A98" s="161" t="s">
        <v>272</v>
      </c>
      <c r="B98" s="12"/>
      <c r="C98" s="12"/>
      <c r="D98" s="12"/>
      <c r="E98" s="168">
        <f>ROUND(IF(SUM((E96:E97))&gt;SUM((F96:F97)),(SUM(E96:E97))-(SUM(F96:F97)),0),0)</f>
        <v>0</v>
      </c>
      <c r="F98" s="170">
        <f>ROUND(IF((SUM(F96:F97))&gt;(SUM(E96:E97)), (SUM(F96:F97))-(SUM(E96:E97)),0),0)</f>
        <v>0</v>
      </c>
      <c r="G98" s="4"/>
    </row>
    <row r="99" spans="1:8">
      <c r="A99" s="161" t="s">
        <v>271</v>
      </c>
      <c r="B99" s="12"/>
      <c r="C99" s="12"/>
      <c r="D99" s="12"/>
      <c r="E99" s="168">
        <f>ROUND(IF(G17&gt;H17,G17-H17,0),0)</f>
        <v>0</v>
      </c>
      <c r="F99" s="171">
        <f>ROUND(IF(H17&lt;G17,0,H17-G17),0)</f>
        <v>0</v>
      </c>
      <c r="G99" s="4"/>
    </row>
    <row r="100" spans="1:8">
      <c r="A100" s="162" t="s">
        <v>715</v>
      </c>
      <c r="B100" s="56"/>
      <c r="C100" s="56"/>
      <c r="D100" s="56"/>
      <c r="E100" s="169">
        <f>SUM(E86:E99)-E96-E97</f>
        <v>0</v>
      </c>
      <c r="F100" s="163">
        <f>SUM(F86:F99)-F96-F97</f>
        <v>0</v>
      </c>
      <c r="G100" s="71" t="str">
        <f>IF((ROUND(E100,0)=(ROUND(F100,0)))," ",CONCATENATE((TEXT((ABS(E100-F100)),"$#,##_);($#,##)"))," rounding"))</f>
        <v xml:space="preserve"> </v>
      </c>
      <c r="H100" s="295"/>
    </row>
    <row r="101" spans="1:8">
      <c r="G101" s="69"/>
    </row>
    <row r="102" spans="1:8">
      <c r="E102" s="70"/>
      <c r="F102" s="70"/>
    </row>
    <row r="103" spans="1:8">
      <c r="G103" s="69"/>
    </row>
  </sheetData>
  <sheetProtection algorithmName="SHA-512" hashValue="UgwRIb9ysQeJaVjueHmiimUYjQS74gCGjhE60BZJjl7RD1OtD9s0FhmUm4/T+IMU8XvIz58fVKWG1RXLNGBdcw==" saltValue="wrmuZOwjM1x7+DuW5a5Gpw==" spinCount="100000" sheet="1" objects="1" scenarios="1"/>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58:G61">
    <cfRule type="expression" dxfId="18" priority="2">
      <formula>MOD(ROW(),2)</formula>
    </cfRule>
  </conditionalFormatting>
  <conditionalFormatting sqref="A36:F45">
    <cfRule type="expression" dxfId="17" priority="8">
      <formula>MOD(ROW(),2)</formula>
    </cfRule>
  </conditionalFormatting>
  <conditionalFormatting sqref="A47:D56">
    <cfRule type="expression" dxfId="16" priority="4">
      <formula>MOD(ROW(),2)=0</formula>
    </cfRule>
  </conditionalFormatting>
  <conditionalFormatting sqref="A31:C34">
    <cfRule type="expression" dxfId="15" priority="3">
      <formula>MOD(ROW(),2)=0</formula>
    </cfRule>
  </conditionalFormatting>
  <conditionalFormatting sqref="A85:F100">
    <cfRule type="expression" dxfId="14" priority="1">
      <formula>MOD(ROW(),2)=0</formula>
    </cfRule>
  </conditionalFormatting>
  <pageMargins left="0.7" right="0.7" top="0.75" bottom="0.75" header="0.3" footer="0.3"/>
  <pageSetup scale="72"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4097A-4DC7-4C98-A992-5E70DC390C14}">
  <sheetPr>
    <pageSetUpPr fitToPage="1"/>
  </sheetPr>
  <dimension ref="A1:XFC1929"/>
  <sheetViews>
    <sheetView zoomScale="90" zoomScaleNormal="90" workbookViewId="0"/>
  </sheetViews>
  <sheetFormatPr defaultColWidth="9.140625" defaultRowHeight="15"/>
  <cols>
    <col min="1" max="1" width="10.5703125" style="302" customWidth="1"/>
    <col min="2" max="2" width="48.85546875" style="302" customWidth="1"/>
    <col min="3" max="3" width="13.85546875" style="302" customWidth="1"/>
    <col min="4" max="4" width="13.85546875" style="235" customWidth="1"/>
    <col min="5" max="5" width="30.140625" style="302" customWidth="1"/>
    <col min="6" max="6" width="3.85546875" style="302" customWidth="1"/>
    <col min="7" max="7" width="18.28515625" style="302" customWidth="1"/>
    <col min="8" max="8" width="20" style="89" customWidth="1"/>
    <col min="9" max="9" width="16.85546875" style="302" customWidth="1"/>
    <col min="10" max="10" width="19.42578125" style="302" customWidth="1"/>
    <col min="11" max="11" width="20" style="89" customWidth="1"/>
    <col min="12" max="12" width="3.85546875" style="302" customWidth="1"/>
    <col min="13" max="14" width="18.28515625" style="302" customWidth="1"/>
    <col min="15" max="15" width="14.28515625" style="302" customWidth="1"/>
    <col min="16" max="16" width="19.42578125" style="302" customWidth="1"/>
    <col min="17" max="17" width="20" style="89" customWidth="1"/>
    <col min="18" max="18" width="3.85546875" style="302" customWidth="1"/>
    <col min="19" max="19" width="21.140625" style="302" bestFit="1" customWidth="1"/>
    <col min="20" max="20" width="22.42578125" style="302" customWidth="1"/>
    <col min="21" max="21" width="19.140625" style="302" bestFit="1" customWidth="1"/>
    <col min="22" max="22" width="13.28515625" style="302" bestFit="1" customWidth="1"/>
    <col min="23" max="23" width="17.7109375" style="302" customWidth="1"/>
    <col min="24" max="24" width="18.28515625" style="302" customWidth="1"/>
    <col min="25" max="25" width="14.85546875" style="302" customWidth="1"/>
    <col min="26" max="26" width="17.140625" style="302" customWidth="1"/>
    <col min="27" max="16384" width="9.140625" style="302"/>
  </cols>
  <sheetData>
    <row r="1" spans="1:26" ht="30">
      <c r="A1" s="302" t="s">
        <v>3726</v>
      </c>
      <c r="C1" s="372" t="s">
        <v>3723</v>
      </c>
      <c r="D1" s="384" t="s">
        <v>3737</v>
      </c>
      <c r="H1" s="302"/>
    </row>
    <row r="2" spans="1:26">
      <c r="A2" s="302" t="s">
        <v>1926</v>
      </c>
      <c r="C2" s="399">
        <v>0</v>
      </c>
      <c r="D2" s="399">
        <v>0</v>
      </c>
      <c r="E2" s="394">
        <v>0</v>
      </c>
      <c r="G2" s="394">
        <v>0</v>
      </c>
      <c r="H2" s="394">
        <v>0</v>
      </c>
      <c r="I2" s="394">
        <v>0</v>
      </c>
      <c r="J2" s="394">
        <v>0</v>
      </c>
      <c r="K2" s="394">
        <v>0</v>
      </c>
      <c r="M2" s="394">
        <v>0</v>
      </c>
      <c r="N2" s="394">
        <v>0</v>
      </c>
      <c r="O2" s="394">
        <v>0</v>
      </c>
      <c r="P2" s="394">
        <v>0</v>
      </c>
      <c r="Q2" s="394">
        <v>0</v>
      </c>
      <c r="S2" s="394">
        <v>0</v>
      </c>
      <c r="T2" s="394">
        <v>0</v>
      </c>
      <c r="U2" s="394">
        <v>0</v>
      </c>
    </row>
    <row r="3" spans="1:26" s="402" customFormat="1">
      <c r="A3" s="400"/>
      <c r="B3" s="401" t="s">
        <v>715</v>
      </c>
      <c r="C3" s="343">
        <v>1.0000000000000004</v>
      </c>
      <c r="D3" s="343">
        <v>1.0000000000000002</v>
      </c>
      <c r="E3" s="394">
        <f>SUM(E8:E920)</f>
        <v>1533595994</v>
      </c>
      <c r="F3" s="394"/>
      <c r="G3" s="394">
        <f t="shared" ref="G3:X3" si="0">SUM(G8:G920)</f>
        <v>487891992</v>
      </c>
      <c r="H3" s="394">
        <f t="shared" si="0"/>
        <v>0</v>
      </c>
      <c r="I3" s="394">
        <f t="shared" si="0"/>
        <v>963490006</v>
      </c>
      <c r="J3" s="394">
        <f t="shared" si="0"/>
        <v>64371252</v>
      </c>
      <c r="K3" s="394">
        <f t="shared" si="0"/>
        <v>1515753250</v>
      </c>
      <c r="L3" s="394">
        <f t="shared" si="0"/>
        <v>0</v>
      </c>
      <c r="M3" s="394">
        <f t="shared" si="0"/>
        <v>0</v>
      </c>
      <c r="N3" s="394">
        <f t="shared" si="0"/>
        <v>2191047994</v>
      </c>
      <c r="O3" s="394">
        <f t="shared" si="0"/>
        <v>0</v>
      </c>
      <c r="P3" s="394">
        <f t="shared" si="0"/>
        <v>64371095</v>
      </c>
      <c r="Q3" s="394">
        <f t="shared" si="0"/>
        <v>2255419089</v>
      </c>
      <c r="R3" s="394">
        <f t="shared" si="0"/>
        <v>0</v>
      </c>
      <c r="S3" s="394">
        <f t="shared" si="0"/>
        <v>661642000</v>
      </c>
      <c r="T3" s="394">
        <f t="shared" si="0"/>
        <v>106</v>
      </c>
      <c r="U3" s="394">
        <f t="shared" si="0"/>
        <v>661642106</v>
      </c>
      <c r="V3" s="394">
        <f t="shared" si="0"/>
        <v>0</v>
      </c>
      <c r="W3" s="394">
        <f t="shared" si="0"/>
        <v>5953292006</v>
      </c>
      <c r="X3" s="394">
        <f t="shared" si="0"/>
        <v>-2103576987</v>
      </c>
    </row>
    <row r="4" spans="1:26" s="402" customFormat="1" ht="15.75" thickBot="1">
      <c r="A4" s="400"/>
      <c r="B4" s="401" t="s">
        <v>3519</v>
      </c>
      <c r="C4" s="343">
        <v>1</v>
      </c>
      <c r="D4" s="343">
        <v>1</v>
      </c>
      <c r="E4" s="304">
        <v>1533595994</v>
      </c>
      <c r="F4" s="92"/>
      <c r="G4" s="387">
        <v>487891992</v>
      </c>
      <c r="H4" s="386">
        <v>0</v>
      </c>
      <c r="I4" s="387">
        <v>963490006</v>
      </c>
      <c r="J4" s="387">
        <v>64371252</v>
      </c>
      <c r="K4" s="391">
        <v>1515753250</v>
      </c>
      <c r="L4" s="388"/>
      <c r="M4" s="391">
        <v>0</v>
      </c>
      <c r="N4" s="391">
        <v>2191047994</v>
      </c>
      <c r="O4" s="391">
        <v>0</v>
      </c>
      <c r="P4" s="388">
        <v>64371095</v>
      </c>
      <c r="Q4" s="391">
        <v>2255419089</v>
      </c>
      <c r="R4" s="391"/>
      <c r="S4" s="388">
        <v>661642000</v>
      </c>
      <c r="T4" s="387">
        <v>106</v>
      </c>
      <c r="U4" s="387">
        <v>661642106</v>
      </c>
      <c r="W4" s="402">
        <v>5953292006</v>
      </c>
      <c r="X4" s="402">
        <v>-2103576987</v>
      </c>
    </row>
    <row r="5" spans="1:26" ht="15.75" thickTop="1">
      <c r="B5">
        <v>0</v>
      </c>
      <c r="C5" s="399">
        <v>0</v>
      </c>
      <c r="D5" s="399">
        <v>0</v>
      </c>
      <c r="E5" s="394"/>
      <c r="H5" s="302"/>
    </row>
    <row r="6" spans="1:26">
      <c r="G6" s="403" t="s">
        <v>2</v>
      </c>
      <c r="H6" s="403"/>
      <c r="I6" s="403"/>
      <c r="J6" s="403"/>
      <c r="K6" s="84"/>
      <c r="M6" s="403" t="s">
        <v>3</v>
      </c>
      <c r="N6" s="403"/>
      <c r="O6" s="403"/>
      <c r="P6" s="403"/>
      <c r="Q6" s="84"/>
      <c r="S6" s="403" t="s">
        <v>4</v>
      </c>
      <c r="T6" s="403"/>
      <c r="U6" s="403"/>
    </row>
    <row r="7" spans="1:26" ht="120">
      <c r="A7" s="404" t="s">
        <v>0</v>
      </c>
      <c r="B7" s="404" t="s">
        <v>1</v>
      </c>
      <c r="C7" s="404" t="s">
        <v>263</v>
      </c>
      <c r="D7" s="404" t="s">
        <v>264</v>
      </c>
      <c r="E7" s="404" t="s">
        <v>724</v>
      </c>
      <c r="F7" s="404"/>
      <c r="G7" s="404" t="s">
        <v>5</v>
      </c>
      <c r="H7" s="418" t="s">
        <v>6</v>
      </c>
      <c r="I7" s="404" t="s">
        <v>7</v>
      </c>
      <c r="J7" s="404" t="s">
        <v>8</v>
      </c>
      <c r="K7" s="404" t="s">
        <v>725</v>
      </c>
      <c r="L7" s="404"/>
      <c r="M7" s="404" t="s">
        <v>5</v>
      </c>
      <c r="N7" s="418" t="s">
        <v>3741</v>
      </c>
      <c r="O7" s="404" t="s">
        <v>7</v>
      </c>
      <c r="P7" s="404" t="s">
        <v>8</v>
      </c>
      <c r="Q7" s="404" t="s">
        <v>726</v>
      </c>
      <c r="R7" s="404"/>
      <c r="S7" s="404" t="s">
        <v>9</v>
      </c>
      <c r="T7" s="404" t="s">
        <v>10</v>
      </c>
      <c r="U7" s="404" t="s">
        <v>11</v>
      </c>
      <c r="W7" s="404" t="s">
        <v>3765</v>
      </c>
      <c r="X7" s="404" t="s">
        <v>3766</v>
      </c>
    </row>
    <row r="8" spans="1:26">
      <c r="A8" s="392">
        <v>70505</v>
      </c>
      <c r="B8" s="393" t="s">
        <v>727</v>
      </c>
      <c r="C8" s="235">
        <v>2.8729999999999999E-4</v>
      </c>
      <c r="D8" s="235">
        <v>2.9159999999999999E-4</v>
      </c>
      <c r="E8" s="232">
        <v>440602</v>
      </c>
      <c r="F8" s="232" t="s">
        <v>1930</v>
      </c>
      <c r="G8" s="394">
        <v>140171</v>
      </c>
      <c r="H8" s="394">
        <v>0</v>
      </c>
      <c r="I8" s="394">
        <v>276811</v>
      </c>
      <c r="J8" s="232">
        <v>0</v>
      </c>
      <c r="K8" s="232">
        <v>416982</v>
      </c>
      <c r="L8" s="232"/>
      <c r="M8" s="302">
        <v>0</v>
      </c>
      <c r="N8" s="302">
        <v>629488</v>
      </c>
      <c r="O8" s="302">
        <v>0</v>
      </c>
      <c r="P8" s="232">
        <v>40638</v>
      </c>
      <c r="Q8" s="232">
        <v>670126</v>
      </c>
      <c r="R8" s="232"/>
      <c r="S8" s="394">
        <v>190090</v>
      </c>
      <c r="T8" s="232">
        <v>-28247</v>
      </c>
      <c r="U8" s="398">
        <v>161843</v>
      </c>
      <c r="V8" s="232"/>
      <c r="W8" s="398">
        <v>1710381</v>
      </c>
      <c r="X8" s="398">
        <v>-604358</v>
      </c>
      <c r="Y8" s="398"/>
      <c r="Z8" s="398"/>
    </row>
    <row r="9" spans="1:26">
      <c r="A9" s="392">
        <v>72265</v>
      </c>
      <c r="B9" s="393" t="s">
        <v>728</v>
      </c>
      <c r="C9" s="235">
        <v>1.5090000000000001E-4</v>
      </c>
      <c r="D9" s="235">
        <v>1.5550000000000001E-4</v>
      </c>
      <c r="E9" s="232">
        <v>231420</v>
      </c>
      <c r="F9" s="232" t="s">
        <v>1930</v>
      </c>
      <c r="G9" s="394">
        <v>73623</v>
      </c>
      <c r="H9" s="394">
        <v>0</v>
      </c>
      <c r="I9" s="394">
        <v>145391</v>
      </c>
      <c r="J9" s="232">
        <v>18922</v>
      </c>
      <c r="K9" s="232">
        <v>237936</v>
      </c>
      <c r="L9" s="232"/>
      <c r="M9" s="302">
        <v>0</v>
      </c>
      <c r="N9" s="302">
        <v>330629</v>
      </c>
      <c r="O9" s="302">
        <v>0</v>
      </c>
      <c r="P9" s="232">
        <v>2881</v>
      </c>
      <c r="Q9" s="232">
        <v>333510</v>
      </c>
      <c r="R9" s="232"/>
      <c r="S9" s="394">
        <v>99842</v>
      </c>
      <c r="T9" s="232">
        <v>8764</v>
      </c>
      <c r="U9" s="398">
        <v>108606</v>
      </c>
      <c r="V9" s="232"/>
      <c r="W9" s="398">
        <v>898352</v>
      </c>
      <c r="X9" s="398">
        <v>-317430</v>
      </c>
      <c r="Y9" s="398"/>
      <c r="Z9" s="398"/>
    </row>
    <row r="10" spans="1:26">
      <c r="A10" s="395">
        <v>72593</v>
      </c>
      <c r="B10" s="396" t="s">
        <v>729</v>
      </c>
      <c r="C10" s="235">
        <v>6.7000000000000002E-6</v>
      </c>
      <c r="D10" s="235">
        <v>6.7000000000000002E-6</v>
      </c>
      <c r="E10" s="232">
        <v>10275</v>
      </c>
      <c r="F10" s="232" t="s">
        <v>1930</v>
      </c>
      <c r="G10" s="394">
        <v>3269</v>
      </c>
      <c r="H10" s="394">
        <v>0</v>
      </c>
      <c r="I10" s="394">
        <v>6455</v>
      </c>
      <c r="J10" s="232">
        <v>109</v>
      </c>
      <c r="K10" s="232">
        <v>9833</v>
      </c>
      <c r="L10" s="232"/>
      <c r="M10" s="302">
        <v>0</v>
      </c>
      <c r="N10" s="302">
        <v>14680</v>
      </c>
      <c r="O10" s="302">
        <v>0</v>
      </c>
      <c r="P10" s="232">
        <v>1289</v>
      </c>
      <c r="Q10" s="232">
        <v>15969</v>
      </c>
      <c r="R10" s="232"/>
      <c r="S10" s="394">
        <v>4433</v>
      </c>
      <c r="T10" s="232">
        <v>247</v>
      </c>
      <c r="U10" s="398">
        <v>4680</v>
      </c>
      <c r="V10" s="232"/>
      <c r="W10" s="398">
        <v>39887</v>
      </c>
      <c r="X10" s="398">
        <v>-14094</v>
      </c>
      <c r="Y10" s="398"/>
      <c r="Z10" s="398"/>
    </row>
    <row r="11" spans="1:26">
      <c r="A11" s="392">
        <v>72657</v>
      </c>
      <c r="B11" s="393" t="s">
        <v>730</v>
      </c>
      <c r="C11" s="235">
        <v>3.0800000000000003E-5</v>
      </c>
      <c r="D11" s="235">
        <v>3.8000000000000002E-5</v>
      </c>
      <c r="E11" s="232">
        <v>47235</v>
      </c>
      <c r="F11" s="232" t="s">
        <v>1930</v>
      </c>
      <c r="G11" s="394">
        <v>15027</v>
      </c>
      <c r="H11" s="394">
        <v>0</v>
      </c>
      <c r="I11" s="394">
        <v>29675</v>
      </c>
      <c r="J11" s="232">
        <v>0</v>
      </c>
      <c r="K11" s="232">
        <v>44702</v>
      </c>
      <c r="L11" s="232"/>
      <c r="M11" s="302">
        <v>0</v>
      </c>
      <c r="N11" s="302">
        <v>67484</v>
      </c>
      <c r="O11" s="302">
        <v>0</v>
      </c>
      <c r="P11" s="232">
        <v>16162</v>
      </c>
      <c r="Q11" s="232">
        <v>83646</v>
      </c>
      <c r="R11" s="232"/>
      <c r="S11" s="394">
        <v>20379</v>
      </c>
      <c r="T11" s="232">
        <v>-7007</v>
      </c>
      <c r="U11" s="398">
        <v>13372</v>
      </c>
      <c r="V11" s="232"/>
      <c r="W11" s="398">
        <v>183361</v>
      </c>
      <c r="X11" s="398">
        <v>-64790</v>
      </c>
      <c r="Y11" s="398"/>
      <c r="Z11" s="398"/>
    </row>
    <row r="12" spans="1:26">
      <c r="A12" s="392">
        <v>90001</v>
      </c>
      <c r="B12" s="393" t="s">
        <v>731</v>
      </c>
      <c r="C12" s="235">
        <v>1.0636E-3</v>
      </c>
      <c r="D12" s="235">
        <v>8.8630000000000002E-4</v>
      </c>
      <c r="E12" s="232">
        <v>1631133</v>
      </c>
      <c r="F12" s="232" t="s">
        <v>1930</v>
      </c>
      <c r="G12" s="394">
        <v>518922</v>
      </c>
      <c r="H12" s="394">
        <v>0</v>
      </c>
      <c r="I12" s="394">
        <v>1024768</v>
      </c>
      <c r="J12" s="232">
        <v>359992</v>
      </c>
      <c r="K12" s="232">
        <v>1903682</v>
      </c>
      <c r="L12" s="232"/>
      <c r="M12" s="302">
        <v>0</v>
      </c>
      <c r="N12" s="302">
        <v>2330399</v>
      </c>
      <c r="O12" s="302">
        <v>0</v>
      </c>
      <c r="P12" s="232">
        <v>0</v>
      </c>
      <c r="Q12" s="232">
        <v>2330399</v>
      </c>
      <c r="R12" s="232"/>
      <c r="S12" s="394">
        <v>703722</v>
      </c>
      <c r="T12" s="232">
        <v>122539</v>
      </c>
      <c r="U12" s="398">
        <v>826261</v>
      </c>
      <c r="V12" s="232"/>
      <c r="W12" s="398">
        <v>6331921</v>
      </c>
      <c r="X12" s="398">
        <v>-2237364</v>
      </c>
      <c r="Y12" s="398"/>
      <c r="Z12" s="398"/>
    </row>
    <row r="13" spans="1:26">
      <c r="A13" s="392">
        <v>90002</v>
      </c>
      <c r="B13" s="393" t="s">
        <v>732</v>
      </c>
      <c r="C13" s="235">
        <v>6.9E-6</v>
      </c>
      <c r="D13" s="235">
        <v>7.7999999999999999E-6</v>
      </c>
      <c r="E13" s="232">
        <v>10582</v>
      </c>
      <c r="F13" s="232" t="s">
        <v>1930</v>
      </c>
      <c r="G13" s="394">
        <v>3366</v>
      </c>
      <c r="H13" s="394">
        <v>0</v>
      </c>
      <c r="I13" s="394">
        <v>6648</v>
      </c>
      <c r="J13" s="232">
        <v>3011</v>
      </c>
      <c r="K13" s="232">
        <v>13025</v>
      </c>
      <c r="L13" s="232"/>
      <c r="M13" s="302">
        <v>0</v>
      </c>
      <c r="N13" s="302">
        <v>15118</v>
      </c>
      <c r="O13" s="302">
        <v>0</v>
      </c>
      <c r="P13" s="232">
        <v>0</v>
      </c>
      <c r="Q13" s="232">
        <v>15118</v>
      </c>
      <c r="R13" s="232"/>
      <c r="S13" s="394">
        <v>4565</v>
      </c>
      <c r="T13" s="232">
        <v>1490</v>
      </c>
      <c r="U13" s="398">
        <v>6055</v>
      </c>
      <c r="V13" s="232"/>
      <c r="W13" s="398">
        <v>41078</v>
      </c>
      <c r="X13" s="398">
        <v>-14515</v>
      </c>
      <c r="Y13" s="398"/>
      <c r="Z13" s="398"/>
    </row>
    <row r="14" spans="1:26">
      <c r="A14" s="392">
        <v>90011</v>
      </c>
      <c r="B14" s="393" t="s">
        <v>733</v>
      </c>
      <c r="C14" s="235">
        <v>1.7770000000000001E-4</v>
      </c>
      <c r="D14" s="235">
        <v>1.6799999999999999E-4</v>
      </c>
      <c r="E14" s="232">
        <v>272520</v>
      </c>
      <c r="F14" s="232" t="s">
        <v>1930</v>
      </c>
      <c r="G14" s="394">
        <v>86698</v>
      </c>
      <c r="H14" s="394">
        <v>0</v>
      </c>
      <c r="I14" s="394">
        <v>171212</v>
      </c>
      <c r="J14" s="232">
        <v>25560</v>
      </c>
      <c r="K14" s="232">
        <v>283470</v>
      </c>
      <c r="L14" s="232"/>
      <c r="M14" s="302">
        <v>0</v>
      </c>
      <c r="N14" s="302">
        <v>389349</v>
      </c>
      <c r="O14" s="302">
        <v>0</v>
      </c>
      <c r="P14" s="232">
        <v>12209</v>
      </c>
      <c r="Q14" s="232">
        <v>401558</v>
      </c>
      <c r="R14" s="232"/>
      <c r="S14" s="394">
        <v>117574</v>
      </c>
      <c r="T14" s="232">
        <v>-1623</v>
      </c>
      <c r="U14" s="398">
        <v>115951</v>
      </c>
      <c r="V14" s="232"/>
      <c r="W14" s="398">
        <v>1057900</v>
      </c>
      <c r="X14" s="398">
        <v>-373806</v>
      </c>
      <c r="Y14" s="398"/>
      <c r="Z14" s="398"/>
    </row>
    <row r="15" spans="1:26">
      <c r="A15" s="392">
        <v>90092</v>
      </c>
      <c r="B15" s="393" t="s">
        <v>734</v>
      </c>
      <c r="C15" s="235">
        <v>3.882E-4</v>
      </c>
      <c r="D15" s="235">
        <v>4.2119999999999999E-4</v>
      </c>
      <c r="E15" s="232">
        <v>595342</v>
      </c>
      <c r="F15" s="232" t="s">
        <v>1930</v>
      </c>
      <c r="G15" s="394">
        <v>189400</v>
      </c>
      <c r="H15" s="394">
        <v>0</v>
      </c>
      <c r="I15" s="394">
        <v>374027</v>
      </c>
      <c r="J15" s="232">
        <v>48640</v>
      </c>
      <c r="K15" s="232">
        <v>612067</v>
      </c>
      <c r="L15" s="232"/>
      <c r="M15" s="302">
        <v>0</v>
      </c>
      <c r="N15" s="302">
        <v>850565</v>
      </c>
      <c r="O15" s="302">
        <v>0</v>
      </c>
      <c r="P15" s="232">
        <v>52042</v>
      </c>
      <c r="Q15" s="232">
        <v>902607</v>
      </c>
      <c r="R15" s="232"/>
      <c r="S15" s="394">
        <v>256849</v>
      </c>
      <c r="T15" s="232">
        <v>6791</v>
      </c>
      <c r="U15" s="398">
        <v>263640</v>
      </c>
      <c r="V15" s="232"/>
      <c r="W15" s="398">
        <v>2311068</v>
      </c>
      <c r="X15" s="398">
        <v>-816609</v>
      </c>
      <c r="Y15" s="398"/>
      <c r="Z15" s="398"/>
    </row>
    <row r="16" spans="1:26">
      <c r="A16" s="392">
        <v>90096</v>
      </c>
      <c r="B16" s="393" t="s">
        <v>735</v>
      </c>
      <c r="C16" s="235">
        <v>9.4720000000000004E-4</v>
      </c>
      <c r="D16" s="235">
        <v>9.6089999999999999E-4</v>
      </c>
      <c r="E16" s="232">
        <v>1452622</v>
      </c>
      <c r="F16" s="232" t="s">
        <v>1930</v>
      </c>
      <c r="G16" s="394">
        <v>462131</v>
      </c>
      <c r="H16" s="394">
        <v>0</v>
      </c>
      <c r="I16" s="394">
        <v>912618</v>
      </c>
      <c r="J16" s="232">
        <v>228274</v>
      </c>
      <c r="K16" s="232">
        <v>1603023</v>
      </c>
      <c r="L16" s="232"/>
      <c r="M16" s="302">
        <v>0</v>
      </c>
      <c r="N16" s="302">
        <v>2075361</v>
      </c>
      <c r="O16" s="302">
        <v>0</v>
      </c>
      <c r="P16" s="232">
        <v>0</v>
      </c>
      <c r="Q16" s="232">
        <v>2075361</v>
      </c>
      <c r="R16" s="232"/>
      <c r="S16" s="394">
        <v>626707</v>
      </c>
      <c r="T16" s="232">
        <v>49567</v>
      </c>
      <c r="U16" s="398">
        <v>676274</v>
      </c>
      <c r="V16" s="232"/>
      <c r="W16" s="398">
        <v>5638958</v>
      </c>
      <c r="X16" s="398">
        <v>-1992508</v>
      </c>
      <c r="Y16" s="398"/>
      <c r="Z16" s="398"/>
    </row>
    <row r="17" spans="1:26">
      <c r="A17" s="392">
        <v>90098</v>
      </c>
      <c r="B17" s="393" t="s">
        <v>736</v>
      </c>
      <c r="C17" s="235">
        <v>2.4110000000000001E-4</v>
      </c>
      <c r="D17" s="235">
        <v>2.5950000000000002E-4</v>
      </c>
      <c r="E17" s="232">
        <v>369750</v>
      </c>
      <c r="F17" s="232" t="s">
        <v>1930</v>
      </c>
      <c r="G17" s="394">
        <v>117631</v>
      </c>
      <c r="H17" s="394">
        <v>0</v>
      </c>
      <c r="I17" s="394">
        <v>232297</v>
      </c>
      <c r="J17" s="232">
        <v>14684</v>
      </c>
      <c r="K17" s="232">
        <v>364612</v>
      </c>
      <c r="L17" s="232"/>
      <c r="M17" s="302">
        <v>0</v>
      </c>
      <c r="N17" s="302">
        <v>528262</v>
      </c>
      <c r="O17" s="302">
        <v>0</v>
      </c>
      <c r="P17" s="232">
        <v>45389</v>
      </c>
      <c r="Q17" s="232">
        <v>573651</v>
      </c>
      <c r="R17" s="232"/>
      <c r="S17" s="394">
        <v>159522</v>
      </c>
      <c r="T17" s="232">
        <v>-8257</v>
      </c>
      <c r="U17" s="398">
        <v>151265</v>
      </c>
      <c r="V17" s="232"/>
      <c r="W17" s="398">
        <v>1435339</v>
      </c>
      <c r="X17" s="398">
        <v>-507172</v>
      </c>
      <c r="Y17" s="398"/>
      <c r="Z17" s="398"/>
    </row>
    <row r="18" spans="1:26">
      <c r="A18" s="392">
        <v>90099</v>
      </c>
      <c r="B18" s="393" t="s">
        <v>737</v>
      </c>
      <c r="C18" s="235">
        <v>7.6309999999999995E-4</v>
      </c>
      <c r="D18" s="235">
        <v>6.7920000000000003E-4</v>
      </c>
      <c r="E18" s="232">
        <v>1170287</v>
      </c>
      <c r="F18" s="232" t="s">
        <v>1930</v>
      </c>
      <c r="G18" s="394">
        <v>372310</v>
      </c>
      <c r="H18" s="394">
        <v>0</v>
      </c>
      <c r="I18" s="394">
        <v>735239</v>
      </c>
      <c r="J18" s="232">
        <v>110770</v>
      </c>
      <c r="K18" s="232">
        <v>1218319</v>
      </c>
      <c r="L18" s="232"/>
      <c r="M18" s="302">
        <v>0</v>
      </c>
      <c r="N18" s="302">
        <v>1671989</v>
      </c>
      <c r="O18" s="302">
        <v>0</v>
      </c>
      <c r="P18" s="232">
        <v>38029</v>
      </c>
      <c r="Q18" s="232">
        <v>1710018</v>
      </c>
      <c r="R18" s="232"/>
      <c r="S18" s="394">
        <v>504899</v>
      </c>
      <c r="T18" s="232">
        <v>39239</v>
      </c>
      <c r="U18" s="398">
        <v>544138</v>
      </c>
      <c r="V18" s="232"/>
      <c r="W18" s="398">
        <v>4542957</v>
      </c>
      <c r="X18" s="398">
        <v>-1605240</v>
      </c>
      <c r="Y18" s="398"/>
      <c r="Z18" s="398"/>
    </row>
    <row r="19" spans="1:26">
      <c r="A19" s="392">
        <v>90101</v>
      </c>
      <c r="B19" s="393" t="s">
        <v>738</v>
      </c>
      <c r="C19" s="235">
        <v>6.2402999999999998E-3</v>
      </c>
      <c r="D19" s="235">
        <v>6.2649999999999997E-3</v>
      </c>
      <c r="E19" s="232">
        <v>9570099</v>
      </c>
      <c r="F19" s="232" t="s">
        <v>1930</v>
      </c>
      <c r="G19" s="394">
        <v>3044592</v>
      </c>
      <c r="H19" s="394">
        <v>0</v>
      </c>
      <c r="I19" s="394">
        <v>6012467</v>
      </c>
      <c r="J19" s="232">
        <v>45239</v>
      </c>
      <c r="K19" s="232">
        <v>9102298</v>
      </c>
      <c r="L19" s="232"/>
      <c r="M19" s="302">
        <v>0</v>
      </c>
      <c r="N19" s="302">
        <v>13672797</v>
      </c>
      <c r="O19" s="302">
        <v>0</v>
      </c>
      <c r="P19" s="232">
        <v>224982</v>
      </c>
      <c r="Q19" s="232">
        <v>13897779</v>
      </c>
      <c r="R19" s="232"/>
      <c r="S19" s="394">
        <v>4128845</v>
      </c>
      <c r="T19" s="232">
        <v>-73020</v>
      </c>
      <c r="U19" s="398">
        <v>4055825</v>
      </c>
      <c r="V19" s="232"/>
      <c r="W19" s="398">
        <v>37150328</v>
      </c>
      <c r="X19" s="398">
        <v>-13126952</v>
      </c>
      <c r="Y19" s="398"/>
      <c r="Z19" s="398"/>
    </row>
    <row r="20" spans="1:26">
      <c r="A20" s="392">
        <v>90111</v>
      </c>
      <c r="B20" s="393" t="s">
        <v>739</v>
      </c>
      <c r="C20" s="235">
        <v>4.7771000000000003E-3</v>
      </c>
      <c r="D20" s="235">
        <v>4.9195999999999997E-3</v>
      </c>
      <c r="E20" s="232">
        <v>7326141</v>
      </c>
      <c r="F20" s="232" t="s">
        <v>1930</v>
      </c>
      <c r="G20" s="394">
        <v>2330709</v>
      </c>
      <c r="H20" s="394">
        <v>0</v>
      </c>
      <c r="I20" s="394">
        <v>4602688</v>
      </c>
      <c r="J20" s="232">
        <v>1750</v>
      </c>
      <c r="K20" s="232">
        <v>6935147</v>
      </c>
      <c r="L20" s="232"/>
      <c r="M20" s="302">
        <v>0</v>
      </c>
      <c r="N20" s="302">
        <v>10466855</v>
      </c>
      <c r="O20" s="302">
        <v>0</v>
      </c>
      <c r="P20" s="232">
        <v>527792</v>
      </c>
      <c r="Q20" s="232">
        <v>10994647</v>
      </c>
      <c r="R20" s="232"/>
      <c r="S20" s="394">
        <v>3160730</v>
      </c>
      <c r="T20" s="232">
        <v>-195940</v>
      </c>
      <c r="U20" s="398">
        <v>2964790</v>
      </c>
      <c r="V20" s="232"/>
      <c r="W20" s="398">
        <v>28439471</v>
      </c>
      <c r="X20" s="398">
        <v>-10048998</v>
      </c>
      <c r="Y20" s="398"/>
      <c r="Z20" s="398"/>
    </row>
    <row r="21" spans="1:26">
      <c r="A21" s="392">
        <v>90114</v>
      </c>
      <c r="B21" s="393" t="s">
        <v>740</v>
      </c>
      <c r="C21" s="235">
        <v>1.1787E-3</v>
      </c>
      <c r="D21" s="235">
        <v>1.1237E-3</v>
      </c>
      <c r="E21" s="232">
        <v>1807650</v>
      </c>
      <c r="F21" s="232" t="s">
        <v>1930</v>
      </c>
      <c r="G21" s="394">
        <v>575078</v>
      </c>
      <c r="H21" s="394">
        <v>0</v>
      </c>
      <c r="I21" s="394">
        <v>1135666</v>
      </c>
      <c r="J21" s="232">
        <v>1128407</v>
      </c>
      <c r="K21" s="232">
        <v>2839151</v>
      </c>
      <c r="L21" s="232"/>
      <c r="M21" s="302">
        <v>0</v>
      </c>
      <c r="N21" s="302">
        <v>2582588</v>
      </c>
      <c r="O21" s="302">
        <v>0</v>
      </c>
      <c r="P21" s="232">
        <v>123</v>
      </c>
      <c r="Q21" s="232">
        <v>2582711</v>
      </c>
      <c r="R21" s="232"/>
      <c r="S21" s="394">
        <v>779877</v>
      </c>
      <c r="T21" s="232">
        <v>641527</v>
      </c>
      <c r="U21" s="398">
        <v>1421404</v>
      </c>
      <c r="V21" s="232"/>
      <c r="W21" s="398">
        <v>7017145</v>
      </c>
      <c r="X21" s="398">
        <v>-2479486</v>
      </c>
      <c r="Y21" s="398"/>
      <c r="Z21" s="398"/>
    </row>
    <row r="22" spans="1:26">
      <c r="A22" s="392">
        <v>90117</v>
      </c>
      <c r="B22" s="393" t="s">
        <v>741</v>
      </c>
      <c r="C22" s="235">
        <v>1.5009999999999999E-4</v>
      </c>
      <c r="D22" s="235">
        <v>1.3799999999999999E-4</v>
      </c>
      <c r="E22" s="232">
        <v>230193</v>
      </c>
      <c r="F22" s="232" t="s">
        <v>1930</v>
      </c>
      <c r="G22" s="394">
        <v>73233</v>
      </c>
      <c r="H22" s="394">
        <v>0</v>
      </c>
      <c r="I22" s="394">
        <v>144620</v>
      </c>
      <c r="J22" s="232">
        <v>62386</v>
      </c>
      <c r="K22" s="232">
        <v>280239</v>
      </c>
      <c r="L22" s="232"/>
      <c r="M22" s="302">
        <v>0</v>
      </c>
      <c r="N22" s="302">
        <v>328876</v>
      </c>
      <c r="O22" s="302">
        <v>0</v>
      </c>
      <c r="P22" s="232">
        <v>0</v>
      </c>
      <c r="Q22" s="232">
        <v>328876</v>
      </c>
      <c r="R22" s="232"/>
      <c r="S22" s="394">
        <v>99312</v>
      </c>
      <c r="T22" s="232">
        <v>31441</v>
      </c>
      <c r="U22" s="398">
        <v>130753</v>
      </c>
      <c r="V22" s="232"/>
      <c r="W22" s="398">
        <v>893589</v>
      </c>
      <c r="X22" s="398">
        <v>-315747</v>
      </c>
      <c r="Y22" s="398"/>
      <c r="Z22" s="398"/>
    </row>
    <row r="23" spans="1:26">
      <c r="A23" s="392">
        <v>90121</v>
      </c>
      <c r="B23" s="393" t="s">
        <v>742</v>
      </c>
      <c r="C23" s="235">
        <v>1.016E-3</v>
      </c>
      <c r="D23" s="235">
        <v>1.0861E-3</v>
      </c>
      <c r="E23" s="232">
        <v>1558134</v>
      </c>
      <c r="F23" s="232" t="s">
        <v>1930</v>
      </c>
      <c r="G23" s="394">
        <v>495698</v>
      </c>
      <c r="H23" s="394">
        <v>0</v>
      </c>
      <c r="I23" s="394">
        <v>978906</v>
      </c>
      <c r="J23" s="232">
        <v>0</v>
      </c>
      <c r="K23" s="232">
        <v>1474604</v>
      </c>
      <c r="L23" s="232"/>
      <c r="M23" s="302">
        <v>0</v>
      </c>
      <c r="N23" s="302">
        <v>2226105</v>
      </c>
      <c r="O23" s="302">
        <v>0</v>
      </c>
      <c r="P23" s="232">
        <v>196504</v>
      </c>
      <c r="Q23" s="232">
        <v>2422609</v>
      </c>
      <c r="R23" s="232"/>
      <c r="S23" s="394">
        <v>672228</v>
      </c>
      <c r="T23" s="232">
        <v>-91718</v>
      </c>
      <c r="U23" s="398">
        <v>580510</v>
      </c>
      <c r="V23" s="232"/>
      <c r="W23" s="398">
        <v>6048545</v>
      </c>
      <c r="X23" s="398">
        <v>-2137234</v>
      </c>
      <c r="Y23" s="398"/>
      <c r="Z23" s="398"/>
    </row>
    <row r="24" spans="1:26">
      <c r="A24" s="392">
        <v>90131</v>
      </c>
      <c r="B24" s="393" t="s">
        <v>743</v>
      </c>
      <c r="C24" s="235">
        <v>4.8430000000000001E-4</v>
      </c>
      <c r="D24" s="235">
        <v>4.9819999999999997E-4</v>
      </c>
      <c r="E24" s="232">
        <v>742721</v>
      </c>
      <c r="F24" s="232" t="s">
        <v>1930</v>
      </c>
      <c r="G24" s="394">
        <v>236286</v>
      </c>
      <c r="H24" s="394">
        <v>0</v>
      </c>
      <c r="I24" s="394">
        <v>466618</v>
      </c>
      <c r="J24" s="232">
        <v>2313</v>
      </c>
      <c r="K24" s="232">
        <v>705217</v>
      </c>
      <c r="L24" s="232"/>
      <c r="M24" s="302">
        <v>0</v>
      </c>
      <c r="N24" s="302">
        <v>1061125</v>
      </c>
      <c r="O24" s="302">
        <v>0</v>
      </c>
      <c r="P24" s="232">
        <v>26681</v>
      </c>
      <c r="Q24" s="232">
        <v>1087806</v>
      </c>
      <c r="R24" s="232"/>
      <c r="S24" s="394">
        <v>320433</v>
      </c>
      <c r="T24" s="232">
        <v>-16422</v>
      </c>
      <c r="U24" s="398">
        <v>304011</v>
      </c>
      <c r="V24" s="232"/>
      <c r="W24" s="398">
        <v>2883179</v>
      </c>
      <c r="X24" s="398">
        <v>-1018762</v>
      </c>
      <c r="Y24" s="398"/>
      <c r="Z24" s="398"/>
    </row>
    <row r="25" spans="1:26">
      <c r="A25" s="392">
        <v>90141</v>
      </c>
      <c r="B25" s="393" t="s">
        <v>744</v>
      </c>
      <c r="C25" s="235">
        <v>1.54E-4</v>
      </c>
      <c r="D25" s="235">
        <v>1.6770000000000001E-4</v>
      </c>
      <c r="E25" s="232">
        <v>236174</v>
      </c>
      <c r="F25" s="232" t="s">
        <v>1930</v>
      </c>
      <c r="G25" s="394">
        <v>75135</v>
      </c>
      <c r="H25" s="394">
        <v>0</v>
      </c>
      <c r="I25" s="394">
        <v>148377</v>
      </c>
      <c r="J25" s="232">
        <v>13391</v>
      </c>
      <c r="K25" s="232">
        <v>236903</v>
      </c>
      <c r="L25" s="232"/>
      <c r="M25" s="302">
        <v>0</v>
      </c>
      <c r="N25" s="302">
        <v>337421</v>
      </c>
      <c r="O25" s="302">
        <v>0</v>
      </c>
      <c r="P25" s="232">
        <v>33382</v>
      </c>
      <c r="Q25" s="232">
        <v>370803</v>
      </c>
      <c r="R25" s="232"/>
      <c r="S25" s="394">
        <v>101893</v>
      </c>
      <c r="T25" s="232">
        <v>-3052</v>
      </c>
      <c r="U25" s="398">
        <v>98841</v>
      </c>
      <c r="V25" s="232"/>
      <c r="W25" s="398">
        <v>916807</v>
      </c>
      <c r="X25" s="398">
        <v>-323951</v>
      </c>
      <c r="Y25" s="398"/>
      <c r="Z25" s="398"/>
    </row>
    <row r="26" spans="1:26">
      <c r="A26" s="392">
        <v>90151</v>
      </c>
      <c r="B26" s="393" t="s">
        <v>745</v>
      </c>
      <c r="C26" s="235">
        <v>8.3999999999999992E-6</v>
      </c>
      <c r="D26" s="235">
        <v>8.8999999999999995E-6</v>
      </c>
      <c r="E26" s="232">
        <v>12882</v>
      </c>
      <c r="F26" s="232" t="s">
        <v>1930</v>
      </c>
      <c r="G26" s="394">
        <v>4098</v>
      </c>
      <c r="H26" s="394">
        <v>0</v>
      </c>
      <c r="I26" s="394">
        <v>8093</v>
      </c>
      <c r="J26" s="232">
        <v>0</v>
      </c>
      <c r="K26" s="232">
        <v>12191</v>
      </c>
      <c r="L26" s="232"/>
      <c r="M26" s="302">
        <v>0</v>
      </c>
      <c r="N26" s="302">
        <v>18405</v>
      </c>
      <c r="O26" s="302">
        <v>0</v>
      </c>
      <c r="P26" s="232">
        <v>4065</v>
      </c>
      <c r="Q26" s="232">
        <v>22470</v>
      </c>
      <c r="R26" s="232"/>
      <c r="S26" s="394">
        <v>5558</v>
      </c>
      <c r="T26" s="232">
        <v>-2182</v>
      </c>
      <c r="U26" s="398">
        <v>3376</v>
      </c>
      <c r="V26" s="232"/>
      <c r="W26" s="398">
        <v>50008</v>
      </c>
      <c r="X26" s="398">
        <v>-17670</v>
      </c>
      <c r="Y26" s="398"/>
      <c r="Z26" s="398"/>
    </row>
    <row r="27" spans="1:26">
      <c r="A27" s="392">
        <v>90161</v>
      </c>
      <c r="B27" s="393" t="s">
        <v>746</v>
      </c>
      <c r="C27" s="235">
        <v>2.26E-5</v>
      </c>
      <c r="D27" s="235">
        <v>2.73E-5</v>
      </c>
      <c r="E27" s="232">
        <v>34659</v>
      </c>
      <c r="F27" s="232" t="s">
        <v>1930</v>
      </c>
      <c r="G27" s="394">
        <v>11026</v>
      </c>
      <c r="H27" s="394">
        <v>0</v>
      </c>
      <c r="I27" s="394">
        <v>21775</v>
      </c>
      <c r="J27" s="232">
        <v>666</v>
      </c>
      <c r="K27" s="232">
        <v>33467</v>
      </c>
      <c r="L27" s="232"/>
      <c r="M27" s="302">
        <v>0</v>
      </c>
      <c r="N27" s="302">
        <v>49518</v>
      </c>
      <c r="O27" s="302">
        <v>0</v>
      </c>
      <c r="P27" s="232">
        <v>18097</v>
      </c>
      <c r="Q27" s="232">
        <v>67615</v>
      </c>
      <c r="R27" s="232"/>
      <c r="S27" s="394">
        <v>14953</v>
      </c>
      <c r="T27" s="232">
        <v>-7175</v>
      </c>
      <c r="U27" s="398">
        <v>7778</v>
      </c>
      <c r="V27" s="232"/>
      <c r="W27" s="398">
        <v>134544</v>
      </c>
      <c r="X27" s="398">
        <v>-47541</v>
      </c>
      <c r="Y27" s="398"/>
      <c r="Z27" s="398"/>
    </row>
    <row r="28" spans="1:26">
      <c r="A28" s="392">
        <v>90201</v>
      </c>
      <c r="B28" s="393" t="s">
        <v>747</v>
      </c>
      <c r="C28" s="235">
        <v>1.3133000000000001E-3</v>
      </c>
      <c r="D28" s="235">
        <v>1.3292E-3</v>
      </c>
      <c r="E28" s="232">
        <v>2014072</v>
      </c>
      <c r="F28" s="232" t="s">
        <v>1930</v>
      </c>
      <c r="G28" s="394">
        <v>640749</v>
      </c>
      <c r="H28" s="394">
        <v>0</v>
      </c>
      <c r="I28" s="394">
        <v>1265351</v>
      </c>
      <c r="J28" s="232">
        <v>76376</v>
      </c>
      <c r="K28" s="232">
        <v>1982476</v>
      </c>
      <c r="L28" s="232"/>
      <c r="M28" s="302">
        <v>0</v>
      </c>
      <c r="N28" s="302">
        <v>2877503</v>
      </c>
      <c r="O28" s="302">
        <v>0</v>
      </c>
      <c r="P28" s="232">
        <v>80484</v>
      </c>
      <c r="Q28" s="232">
        <v>2957987</v>
      </c>
      <c r="R28" s="232"/>
      <c r="S28" s="394">
        <v>868934</v>
      </c>
      <c r="T28" s="232">
        <v>-1943</v>
      </c>
      <c r="U28" s="398">
        <v>866991</v>
      </c>
      <c r="V28" s="232"/>
      <c r="W28" s="398">
        <v>7818458</v>
      </c>
      <c r="X28" s="398">
        <v>-2762628</v>
      </c>
      <c r="Y28" s="398"/>
      <c r="Z28" s="398"/>
    </row>
    <row r="29" spans="1:26">
      <c r="A29" s="392">
        <v>90203</v>
      </c>
      <c r="B29" s="393" t="s">
        <v>748</v>
      </c>
      <c r="C29" s="235">
        <v>1.8679999999999999E-4</v>
      </c>
      <c r="D29" s="235">
        <v>1.8110000000000001E-4</v>
      </c>
      <c r="E29" s="232">
        <v>286476</v>
      </c>
      <c r="F29" s="232" t="s">
        <v>1930</v>
      </c>
      <c r="G29" s="394">
        <v>91138</v>
      </c>
      <c r="H29" s="394">
        <v>0</v>
      </c>
      <c r="I29" s="394">
        <v>179980</v>
      </c>
      <c r="J29" s="232">
        <v>14644</v>
      </c>
      <c r="K29" s="232">
        <v>285762</v>
      </c>
      <c r="L29" s="232"/>
      <c r="M29" s="302">
        <v>0</v>
      </c>
      <c r="N29" s="302">
        <v>409288</v>
      </c>
      <c r="O29" s="302">
        <v>0</v>
      </c>
      <c r="P29" s="232">
        <v>12473</v>
      </c>
      <c r="Q29" s="232">
        <v>421761</v>
      </c>
      <c r="R29" s="232"/>
      <c r="S29" s="394">
        <v>123595</v>
      </c>
      <c r="T29" s="232">
        <v>-6957</v>
      </c>
      <c r="U29" s="398">
        <v>116638</v>
      </c>
      <c r="V29" s="232"/>
      <c r="W29" s="398">
        <v>1112075</v>
      </c>
      <c r="X29" s="398">
        <v>-392948</v>
      </c>
      <c r="Y29" s="398"/>
      <c r="Z29" s="398"/>
    </row>
    <row r="30" spans="1:26">
      <c r="A30" s="392">
        <v>90205</v>
      </c>
      <c r="B30" s="393" t="s">
        <v>749</v>
      </c>
      <c r="C30" s="235">
        <v>3.3800000000000002E-5</v>
      </c>
      <c r="D30" s="235">
        <v>3.0199999999999999E-5</v>
      </c>
      <c r="E30" s="232">
        <v>51836</v>
      </c>
      <c r="F30" s="232" t="s">
        <v>1930</v>
      </c>
      <c r="G30" s="394">
        <v>16491</v>
      </c>
      <c r="H30" s="394">
        <v>0</v>
      </c>
      <c r="I30" s="394">
        <v>32566</v>
      </c>
      <c r="J30" s="232">
        <v>5023</v>
      </c>
      <c r="K30" s="232">
        <v>54080</v>
      </c>
      <c r="L30" s="232"/>
      <c r="M30" s="302">
        <v>0</v>
      </c>
      <c r="N30" s="302">
        <v>74057</v>
      </c>
      <c r="O30" s="302">
        <v>0</v>
      </c>
      <c r="P30" s="232">
        <v>282</v>
      </c>
      <c r="Q30" s="232">
        <v>74339</v>
      </c>
      <c r="R30" s="232"/>
      <c r="S30" s="394">
        <v>22363</v>
      </c>
      <c r="T30" s="232">
        <v>1504</v>
      </c>
      <c r="U30" s="398">
        <v>23867</v>
      </c>
      <c r="V30" s="232"/>
      <c r="W30" s="398">
        <v>201221</v>
      </c>
      <c r="X30" s="398">
        <v>-71101</v>
      </c>
      <c r="Y30" s="398"/>
      <c r="Z30" s="398"/>
    </row>
    <row r="31" spans="1:26">
      <c r="A31" s="392">
        <v>90206</v>
      </c>
      <c r="B31" s="393" t="s">
        <v>750</v>
      </c>
      <c r="C31" s="235">
        <v>4.3609999999999998E-4</v>
      </c>
      <c r="D31" s="235">
        <v>3.6870000000000002E-4</v>
      </c>
      <c r="E31" s="232">
        <v>668801</v>
      </c>
      <c r="F31" s="232" t="s">
        <v>1930</v>
      </c>
      <c r="G31" s="394">
        <v>212770</v>
      </c>
      <c r="H31" s="394">
        <v>0</v>
      </c>
      <c r="I31" s="394">
        <v>420178</v>
      </c>
      <c r="J31" s="232">
        <v>117702</v>
      </c>
      <c r="K31" s="232">
        <v>750650</v>
      </c>
      <c r="L31" s="232"/>
      <c r="M31" s="302">
        <v>0</v>
      </c>
      <c r="N31" s="302">
        <v>955516</v>
      </c>
      <c r="O31" s="302">
        <v>0</v>
      </c>
      <c r="P31" s="232">
        <v>23001</v>
      </c>
      <c r="Q31" s="232">
        <v>978517</v>
      </c>
      <c r="R31" s="232"/>
      <c r="S31" s="394">
        <v>288542</v>
      </c>
      <c r="T31" s="232">
        <v>25921</v>
      </c>
      <c r="U31" s="398">
        <v>314463</v>
      </c>
      <c r="V31" s="232"/>
      <c r="W31" s="398">
        <v>2596231</v>
      </c>
      <c r="X31" s="398">
        <v>-917370</v>
      </c>
      <c r="Y31" s="398"/>
      <c r="Z31" s="398"/>
    </row>
    <row r="32" spans="1:26">
      <c r="A32" s="392">
        <v>90211</v>
      </c>
      <c r="B32" s="393" t="s">
        <v>751</v>
      </c>
      <c r="C32" s="235">
        <v>1.2120000000000001E-4</v>
      </c>
      <c r="D32" s="235">
        <v>1.473E-4</v>
      </c>
      <c r="E32" s="232">
        <v>185872</v>
      </c>
      <c r="F32" s="232" t="s">
        <v>1930</v>
      </c>
      <c r="G32" s="394">
        <v>59133</v>
      </c>
      <c r="H32" s="394">
        <v>0</v>
      </c>
      <c r="I32" s="394">
        <v>116775</v>
      </c>
      <c r="J32" s="232">
        <v>4141</v>
      </c>
      <c r="K32" s="232">
        <v>180049</v>
      </c>
      <c r="L32" s="232"/>
      <c r="M32" s="302">
        <v>0</v>
      </c>
      <c r="N32" s="302">
        <v>265555</v>
      </c>
      <c r="O32" s="302">
        <v>0</v>
      </c>
      <c r="P32" s="232">
        <v>38869</v>
      </c>
      <c r="Q32" s="232">
        <v>304424</v>
      </c>
      <c r="R32" s="232"/>
      <c r="S32" s="394">
        <v>80191</v>
      </c>
      <c r="T32" s="232">
        <v>-11477</v>
      </c>
      <c r="U32" s="398">
        <v>68714</v>
      </c>
      <c r="V32" s="232"/>
      <c r="W32" s="398">
        <v>721539</v>
      </c>
      <c r="X32" s="398">
        <v>-254954</v>
      </c>
      <c r="Y32" s="398"/>
      <c r="Z32" s="398"/>
    </row>
    <row r="33" spans="1:26">
      <c r="A33" s="392">
        <v>90301</v>
      </c>
      <c r="B33" s="393" t="s">
        <v>752</v>
      </c>
      <c r="C33" s="235">
        <v>6.4340000000000003E-4</v>
      </c>
      <c r="D33" s="235">
        <v>7.2150000000000003E-4</v>
      </c>
      <c r="E33" s="232">
        <v>986716</v>
      </c>
      <c r="F33" s="232" t="s">
        <v>1930</v>
      </c>
      <c r="G33" s="394">
        <v>313910</v>
      </c>
      <c r="H33" s="394">
        <v>0</v>
      </c>
      <c r="I33" s="394">
        <v>619909</v>
      </c>
      <c r="J33" s="232">
        <v>0</v>
      </c>
      <c r="K33" s="232">
        <v>933819</v>
      </c>
      <c r="L33" s="232"/>
      <c r="M33" s="302">
        <v>0</v>
      </c>
      <c r="N33" s="302">
        <v>1409720</v>
      </c>
      <c r="O33" s="302">
        <v>0</v>
      </c>
      <c r="P33" s="232">
        <v>145611</v>
      </c>
      <c r="Q33" s="232">
        <v>1555331</v>
      </c>
      <c r="R33" s="232"/>
      <c r="S33" s="394">
        <v>425700</v>
      </c>
      <c r="T33" s="232">
        <v>-51516</v>
      </c>
      <c r="U33" s="398">
        <v>374184</v>
      </c>
      <c r="V33" s="232"/>
      <c r="W33" s="398">
        <v>3830348</v>
      </c>
      <c r="X33" s="398">
        <v>-1353441</v>
      </c>
      <c r="Y33" s="398"/>
      <c r="Z33" s="398"/>
    </row>
    <row r="34" spans="1:26">
      <c r="A34" s="392">
        <v>90305</v>
      </c>
      <c r="B34" s="393" t="s">
        <v>753</v>
      </c>
      <c r="C34" s="235">
        <v>1.449E-4</v>
      </c>
      <c r="D34" s="235">
        <v>1.4750000000000001E-4</v>
      </c>
      <c r="E34" s="232">
        <v>222218</v>
      </c>
      <c r="F34" s="232" t="s">
        <v>1930</v>
      </c>
      <c r="G34" s="394">
        <v>70696</v>
      </c>
      <c r="H34" s="394">
        <v>0</v>
      </c>
      <c r="I34" s="394">
        <v>139610</v>
      </c>
      <c r="J34" s="232">
        <v>28824</v>
      </c>
      <c r="K34" s="232">
        <v>239130</v>
      </c>
      <c r="L34" s="232"/>
      <c r="M34" s="302">
        <v>0</v>
      </c>
      <c r="N34" s="302">
        <v>317483</v>
      </c>
      <c r="O34" s="302">
        <v>0</v>
      </c>
      <c r="P34" s="232">
        <v>0</v>
      </c>
      <c r="Q34" s="232">
        <v>317483</v>
      </c>
      <c r="R34" s="232"/>
      <c r="S34" s="394">
        <v>95872</v>
      </c>
      <c r="T34" s="232">
        <v>13882</v>
      </c>
      <c r="U34" s="398">
        <v>109754</v>
      </c>
      <c r="V34" s="232"/>
      <c r="W34" s="398">
        <v>862632</v>
      </c>
      <c r="X34" s="398">
        <v>-304808</v>
      </c>
      <c r="Y34" s="398"/>
      <c r="Z34" s="398"/>
    </row>
    <row r="35" spans="1:26">
      <c r="A35" s="392">
        <v>90307</v>
      </c>
      <c r="B35" s="393" t="s">
        <v>754</v>
      </c>
      <c r="C35" s="235">
        <v>5.0000000000000004E-6</v>
      </c>
      <c r="D35" s="235">
        <v>5.1000000000000003E-6</v>
      </c>
      <c r="E35" s="232">
        <v>7668</v>
      </c>
      <c r="F35" s="232" t="s">
        <v>1930</v>
      </c>
      <c r="G35" s="394">
        <v>2439</v>
      </c>
      <c r="H35" s="394">
        <v>0</v>
      </c>
      <c r="I35" s="394">
        <v>4817</v>
      </c>
      <c r="J35" s="232">
        <v>1653</v>
      </c>
      <c r="K35" s="232">
        <v>8909</v>
      </c>
      <c r="L35" s="232"/>
      <c r="M35" s="302">
        <v>0</v>
      </c>
      <c r="N35" s="302">
        <v>10955</v>
      </c>
      <c r="O35" s="302">
        <v>0</v>
      </c>
      <c r="P35" s="232">
        <v>8</v>
      </c>
      <c r="Q35" s="232">
        <v>10963</v>
      </c>
      <c r="R35" s="232"/>
      <c r="S35" s="394">
        <v>3308</v>
      </c>
      <c r="T35" s="232">
        <v>766</v>
      </c>
      <c r="U35" s="398">
        <v>4074</v>
      </c>
      <c r="V35" s="232"/>
      <c r="W35" s="398">
        <v>29766</v>
      </c>
      <c r="X35" s="398">
        <v>-10518</v>
      </c>
      <c r="Y35" s="398"/>
      <c r="Z35" s="398"/>
    </row>
    <row r="36" spans="1:26">
      <c r="A36" s="392">
        <v>90401</v>
      </c>
      <c r="B36" s="393" t="s">
        <v>755</v>
      </c>
      <c r="C36" s="235">
        <v>1.4093E-3</v>
      </c>
      <c r="D36" s="235">
        <v>1.3274000000000001E-3</v>
      </c>
      <c r="E36" s="232">
        <v>2161297</v>
      </c>
      <c r="F36" s="232" t="s">
        <v>1930</v>
      </c>
      <c r="G36" s="394">
        <v>687586</v>
      </c>
      <c r="H36" s="394">
        <v>0</v>
      </c>
      <c r="I36" s="394">
        <v>1357846</v>
      </c>
      <c r="J36" s="232">
        <v>311175</v>
      </c>
      <c r="K36" s="232">
        <v>2356607</v>
      </c>
      <c r="L36" s="232"/>
      <c r="M36" s="302">
        <v>0</v>
      </c>
      <c r="N36" s="302">
        <v>3087844</v>
      </c>
      <c r="O36" s="302">
        <v>0</v>
      </c>
      <c r="P36" s="232">
        <v>2416</v>
      </c>
      <c r="Q36" s="232">
        <v>3090260</v>
      </c>
      <c r="R36" s="232"/>
      <c r="S36" s="394">
        <v>932452</v>
      </c>
      <c r="T36" s="232">
        <v>117853</v>
      </c>
      <c r="U36" s="398">
        <v>1050305</v>
      </c>
      <c r="V36" s="232"/>
      <c r="W36" s="398">
        <v>8389974</v>
      </c>
      <c r="X36" s="398">
        <v>-2964571</v>
      </c>
      <c r="Y36" s="398"/>
      <c r="Z36" s="398"/>
    </row>
    <row r="37" spans="1:26">
      <c r="A37" s="392">
        <v>90411</v>
      </c>
      <c r="B37" s="393" t="s">
        <v>756</v>
      </c>
      <c r="C37" s="235">
        <v>3.3819999999999998E-4</v>
      </c>
      <c r="D37" s="235">
        <v>3.4289999999999999E-4</v>
      </c>
      <c r="E37" s="232">
        <v>518662</v>
      </c>
      <c r="F37" s="232" t="s">
        <v>1930</v>
      </c>
      <c r="G37" s="394">
        <v>165005</v>
      </c>
      <c r="H37" s="394">
        <v>0</v>
      </c>
      <c r="I37" s="394">
        <v>325852</v>
      </c>
      <c r="J37" s="232">
        <v>13017</v>
      </c>
      <c r="K37" s="232">
        <v>503874</v>
      </c>
      <c r="L37" s="232"/>
      <c r="M37" s="302">
        <v>0</v>
      </c>
      <c r="N37" s="302">
        <v>741012</v>
      </c>
      <c r="O37" s="302">
        <v>0</v>
      </c>
      <c r="P37" s="232">
        <v>16071</v>
      </c>
      <c r="Q37" s="232">
        <v>757083</v>
      </c>
      <c r="R37" s="232"/>
      <c r="S37" s="394">
        <v>223767</v>
      </c>
      <c r="T37" s="232">
        <v>-4649</v>
      </c>
      <c r="U37" s="398">
        <v>219118</v>
      </c>
      <c r="V37" s="232"/>
      <c r="W37" s="398">
        <v>2013403</v>
      </c>
      <c r="X37" s="398">
        <v>-711430</v>
      </c>
      <c r="Y37" s="398"/>
      <c r="Z37" s="398"/>
    </row>
    <row r="38" spans="1:26">
      <c r="A38" s="392">
        <v>90413</v>
      </c>
      <c r="B38" s="393" t="s">
        <v>757</v>
      </c>
      <c r="C38" s="235">
        <v>3.4600000000000001E-5</v>
      </c>
      <c r="D38" s="235">
        <v>3.3899999999999997E-5</v>
      </c>
      <c r="E38" s="232">
        <v>53062</v>
      </c>
      <c r="F38" s="232" t="s">
        <v>1930</v>
      </c>
      <c r="G38" s="394">
        <v>16881</v>
      </c>
      <c r="H38" s="394">
        <v>0</v>
      </c>
      <c r="I38" s="394">
        <v>33337</v>
      </c>
      <c r="J38" s="232">
        <v>5116</v>
      </c>
      <c r="K38" s="232">
        <v>55334</v>
      </c>
      <c r="L38" s="232"/>
      <c r="M38" s="302">
        <v>0</v>
      </c>
      <c r="N38" s="302">
        <v>75810</v>
      </c>
      <c r="O38" s="302">
        <v>0</v>
      </c>
      <c r="P38" s="232">
        <v>0</v>
      </c>
      <c r="Q38" s="232">
        <v>75810</v>
      </c>
      <c r="R38" s="232"/>
      <c r="S38" s="394">
        <v>22893</v>
      </c>
      <c r="T38" s="232">
        <v>2007</v>
      </c>
      <c r="U38" s="398">
        <v>24900</v>
      </c>
      <c r="V38" s="232"/>
      <c r="W38" s="398">
        <v>205984</v>
      </c>
      <c r="X38" s="398">
        <v>-72784</v>
      </c>
      <c r="Y38" s="398"/>
      <c r="Z38" s="398"/>
    </row>
    <row r="39" spans="1:26">
      <c r="A39" s="392">
        <v>90417</v>
      </c>
      <c r="B39" s="393" t="s">
        <v>758</v>
      </c>
      <c r="C39" s="235">
        <v>1.0200000000000001E-5</v>
      </c>
      <c r="D39" s="235">
        <v>9.5999999999999996E-6</v>
      </c>
      <c r="E39" s="232">
        <v>15643</v>
      </c>
      <c r="F39" s="232" t="s">
        <v>1930</v>
      </c>
      <c r="G39" s="394">
        <v>4976</v>
      </c>
      <c r="H39" s="394">
        <v>0</v>
      </c>
      <c r="I39" s="394">
        <v>9828</v>
      </c>
      <c r="J39" s="232">
        <v>8354</v>
      </c>
      <c r="K39" s="232">
        <v>23158</v>
      </c>
      <c r="L39" s="232"/>
      <c r="M39" s="302">
        <v>0</v>
      </c>
      <c r="N39" s="302">
        <v>22349</v>
      </c>
      <c r="O39" s="302">
        <v>0</v>
      </c>
      <c r="P39" s="232">
        <v>0</v>
      </c>
      <c r="Q39" s="232">
        <v>22349</v>
      </c>
      <c r="R39" s="232"/>
      <c r="S39" s="394">
        <v>6749</v>
      </c>
      <c r="T39" s="232">
        <v>4109</v>
      </c>
      <c r="U39" s="398">
        <v>10858</v>
      </c>
      <c r="V39" s="232"/>
      <c r="W39" s="398">
        <v>60724</v>
      </c>
      <c r="X39" s="398">
        <v>-21456</v>
      </c>
      <c r="Y39" s="398"/>
      <c r="Z39" s="398"/>
    </row>
    <row r="40" spans="1:26">
      <c r="A40" s="392">
        <v>90421</v>
      </c>
      <c r="B40" s="393" t="s">
        <v>759</v>
      </c>
      <c r="C40" s="235">
        <v>2.6699999999999998E-5</v>
      </c>
      <c r="D40" s="235">
        <v>2.5199999999999999E-5</v>
      </c>
      <c r="E40" s="232">
        <v>40947</v>
      </c>
      <c r="F40" s="232" t="s">
        <v>1930</v>
      </c>
      <c r="G40" s="394">
        <v>13027</v>
      </c>
      <c r="H40" s="394">
        <v>0</v>
      </c>
      <c r="I40" s="394">
        <v>25725</v>
      </c>
      <c r="J40" s="232">
        <v>7369</v>
      </c>
      <c r="K40" s="232">
        <v>46121</v>
      </c>
      <c r="L40" s="232"/>
      <c r="M40" s="302">
        <v>0</v>
      </c>
      <c r="N40" s="302">
        <v>58501</v>
      </c>
      <c r="O40" s="302">
        <v>0</v>
      </c>
      <c r="P40" s="232">
        <v>1109</v>
      </c>
      <c r="Q40" s="232">
        <v>59610</v>
      </c>
      <c r="R40" s="232"/>
      <c r="S40" s="394">
        <v>17666</v>
      </c>
      <c r="T40" s="232">
        <v>2053</v>
      </c>
      <c r="U40" s="398">
        <v>19719</v>
      </c>
      <c r="V40" s="232"/>
      <c r="W40" s="398">
        <v>158953</v>
      </c>
      <c r="X40" s="398">
        <v>-56166</v>
      </c>
      <c r="Y40" s="398"/>
      <c r="Z40" s="398"/>
    </row>
    <row r="41" spans="1:26">
      <c r="A41" s="392">
        <v>90431</v>
      </c>
      <c r="B41" s="393" t="s">
        <v>760</v>
      </c>
      <c r="C41" s="235">
        <v>3.8000000000000002E-5</v>
      </c>
      <c r="D41" s="235">
        <v>4.85E-5</v>
      </c>
      <c r="E41" s="232">
        <v>58277</v>
      </c>
      <c r="F41" s="232" t="s">
        <v>1930</v>
      </c>
      <c r="G41" s="394">
        <v>18540</v>
      </c>
      <c r="H41" s="394">
        <v>0</v>
      </c>
      <c r="I41" s="394">
        <v>36613</v>
      </c>
      <c r="J41" s="232">
        <v>1300</v>
      </c>
      <c r="K41" s="232">
        <v>56453</v>
      </c>
      <c r="L41" s="232"/>
      <c r="M41" s="302">
        <v>0</v>
      </c>
      <c r="N41" s="302">
        <v>83260</v>
      </c>
      <c r="O41" s="302">
        <v>0</v>
      </c>
      <c r="P41" s="232">
        <v>17196</v>
      </c>
      <c r="Q41" s="232">
        <v>100456</v>
      </c>
      <c r="R41" s="232"/>
      <c r="S41" s="394">
        <v>25142</v>
      </c>
      <c r="T41" s="232">
        <v>-4478</v>
      </c>
      <c r="U41" s="398">
        <v>20664</v>
      </c>
      <c r="V41" s="232"/>
      <c r="W41" s="398">
        <v>226225</v>
      </c>
      <c r="X41" s="398">
        <v>-79936</v>
      </c>
      <c r="Y41" s="398"/>
      <c r="Z41" s="398"/>
    </row>
    <row r="42" spans="1:26">
      <c r="A42" s="392">
        <v>90441</v>
      </c>
      <c r="B42" s="393" t="s">
        <v>761</v>
      </c>
      <c r="C42" s="235">
        <v>5.0000000000000004E-6</v>
      </c>
      <c r="D42" s="235">
        <v>5.8000000000000004E-6</v>
      </c>
      <c r="E42" s="232">
        <v>7668</v>
      </c>
      <c r="F42" s="232" t="s">
        <v>1930</v>
      </c>
      <c r="G42" s="394">
        <v>2439</v>
      </c>
      <c r="H42" s="394">
        <v>0</v>
      </c>
      <c r="I42" s="394">
        <v>4817</v>
      </c>
      <c r="J42" s="232">
        <v>2757</v>
      </c>
      <c r="K42" s="232">
        <v>10013</v>
      </c>
      <c r="L42" s="232"/>
      <c r="M42" s="302">
        <v>0</v>
      </c>
      <c r="N42" s="302">
        <v>10955</v>
      </c>
      <c r="O42" s="302">
        <v>0</v>
      </c>
      <c r="P42" s="232">
        <v>0</v>
      </c>
      <c r="Q42" s="232">
        <v>10955</v>
      </c>
      <c r="R42" s="232"/>
      <c r="S42" s="394">
        <v>3308</v>
      </c>
      <c r="T42" s="232">
        <v>1239</v>
      </c>
      <c r="U42" s="398">
        <v>4547</v>
      </c>
      <c r="V42" s="232"/>
      <c r="W42" s="398">
        <v>29766</v>
      </c>
      <c r="X42" s="398">
        <v>-10518</v>
      </c>
      <c r="Y42" s="398"/>
      <c r="Z42" s="398"/>
    </row>
    <row r="43" spans="1:26">
      <c r="A43" s="392">
        <v>90451</v>
      </c>
      <c r="B43" s="393" t="s">
        <v>762</v>
      </c>
      <c r="C43" s="235">
        <v>1.08E-5</v>
      </c>
      <c r="D43" s="235">
        <v>2.2399999999999999E-5</v>
      </c>
      <c r="E43" s="232">
        <v>16563</v>
      </c>
      <c r="F43" s="232" t="s">
        <v>1930</v>
      </c>
      <c r="G43" s="394">
        <v>5269</v>
      </c>
      <c r="H43" s="394">
        <v>0</v>
      </c>
      <c r="I43" s="394">
        <v>10406</v>
      </c>
      <c r="J43" s="232">
        <v>1573</v>
      </c>
      <c r="K43" s="232">
        <v>17248</v>
      </c>
      <c r="L43" s="232"/>
      <c r="M43" s="302">
        <v>0</v>
      </c>
      <c r="N43" s="302">
        <v>23663</v>
      </c>
      <c r="O43" s="302">
        <v>0</v>
      </c>
      <c r="P43" s="232">
        <v>18813</v>
      </c>
      <c r="Q43" s="232">
        <v>42476</v>
      </c>
      <c r="R43" s="232"/>
      <c r="S43" s="394">
        <v>7146</v>
      </c>
      <c r="T43" s="232">
        <v>-5515</v>
      </c>
      <c r="U43" s="398">
        <v>1631</v>
      </c>
      <c r="V43" s="232"/>
      <c r="W43" s="398">
        <v>64296</v>
      </c>
      <c r="X43" s="398">
        <v>-22719</v>
      </c>
      <c r="Y43" s="398"/>
      <c r="Z43" s="398"/>
    </row>
    <row r="44" spans="1:26">
      <c r="A44" s="392">
        <v>90461</v>
      </c>
      <c r="B44" s="393" t="s">
        <v>763</v>
      </c>
      <c r="C44" s="235">
        <v>1.1399999999999999E-5</v>
      </c>
      <c r="D44" s="235">
        <v>1.9E-6</v>
      </c>
      <c r="E44" s="232">
        <v>17483</v>
      </c>
      <c r="F44" s="232" t="s">
        <v>1930</v>
      </c>
      <c r="G44" s="394">
        <v>5562</v>
      </c>
      <c r="H44" s="394">
        <v>0</v>
      </c>
      <c r="I44" s="394">
        <v>10984</v>
      </c>
      <c r="J44" s="232">
        <v>15146</v>
      </c>
      <c r="K44" s="232">
        <v>31692</v>
      </c>
      <c r="L44" s="232"/>
      <c r="M44" s="302">
        <v>0</v>
      </c>
      <c r="N44" s="302">
        <v>24978</v>
      </c>
      <c r="O44" s="302">
        <v>0</v>
      </c>
      <c r="P44" s="232">
        <v>1311</v>
      </c>
      <c r="Q44" s="232">
        <v>26289</v>
      </c>
      <c r="R44" s="232"/>
      <c r="S44" s="394">
        <v>7543</v>
      </c>
      <c r="T44" s="232">
        <v>3388</v>
      </c>
      <c r="U44" s="398">
        <v>10931</v>
      </c>
      <c r="V44" s="232"/>
      <c r="W44" s="398">
        <v>67868</v>
      </c>
      <c r="X44" s="398">
        <v>-23981</v>
      </c>
      <c r="Y44" s="398"/>
      <c r="Z44" s="398"/>
    </row>
    <row r="45" spans="1:26">
      <c r="A45" s="392">
        <v>90501</v>
      </c>
      <c r="B45" s="393" t="s">
        <v>764</v>
      </c>
      <c r="C45" s="235">
        <v>1.4752000000000001E-3</v>
      </c>
      <c r="D45" s="235">
        <v>1.4997999999999999E-3</v>
      </c>
      <c r="E45" s="232">
        <v>2262361</v>
      </c>
      <c r="F45" s="232" t="s">
        <v>1930</v>
      </c>
      <c r="G45" s="394">
        <v>719738</v>
      </c>
      <c r="H45" s="394">
        <v>0</v>
      </c>
      <c r="I45" s="394">
        <v>1421340</v>
      </c>
      <c r="J45" s="232">
        <v>83136</v>
      </c>
      <c r="K45" s="232">
        <v>2224214</v>
      </c>
      <c r="L45" s="232"/>
      <c r="M45" s="302">
        <v>0</v>
      </c>
      <c r="N45" s="302">
        <v>3232234</v>
      </c>
      <c r="O45" s="302">
        <v>0</v>
      </c>
      <c r="P45" s="232">
        <v>46796</v>
      </c>
      <c r="Q45" s="232">
        <v>3279030</v>
      </c>
      <c r="R45" s="232"/>
      <c r="S45" s="394">
        <v>976054</v>
      </c>
      <c r="T45" s="232">
        <v>31794</v>
      </c>
      <c r="U45" s="398">
        <v>1007848</v>
      </c>
      <c r="V45" s="232"/>
      <c r="W45" s="398">
        <v>8782296</v>
      </c>
      <c r="X45" s="398">
        <v>-3103197</v>
      </c>
      <c r="Y45" s="398"/>
      <c r="Z45" s="398"/>
    </row>
    <row r="46" spans="1:26">
      <c r="A46" s="392">
        <v>90507</v>
      </c>
      <c r="B46" s="393" t="s">
        <v>34</v>
      </c>
      <c r="C46" s="235">
        <v>1.6099999999999998E-5</v>
      </c>
      <c r="D46" s="235">
        <v>1.1199999999999999E-5</v>
      </c>
      <c r="E46" s="232">
        <v>24691</v>
      </c>
      <c r="F46" s="232" t="s">
        <v>1930</v>
      </c>
      <c r="G46" s="394">
        <v>7855</v>
      </c>
      <c r="H46" s="394">
        <v>0</v>
      </c>
      <c r="I46" s="394">
        <v>15512</v>
      </c>
      <c r="J46" s="232">
        <v>28349</v>
      </c>
      <c r="K46" s="232">
        <v>51716</v>
      </c>
      <c r="L46" s="232"/>
      <c r="M46" s="302">
        <v>0</v>
      </c>
      <c r="N46" s="302">
        <v>35276</v>
      </c>
      <c r="O46" s="302">
        <v>0</v>
      </c>
      <c r="P46" s="232">
        <v>0</v>
      </c>
      <c r="Q46" s="232">
        <v>35276</v>
      </c>
      <c r="R46" s="232"/>
      <c r="S46" s="394">
        <v>10652</v>
      </c>
      <c r="T46" s="232">
        <v>13529</v>
      </c>
      <c r="U46" s="398">
        <v>24181</v>
      </c>
      <c r="V46" s="232"/>
      <c r="W46" s="398">
        <v>95848</v>
      </c>
      <c r="X46" s="398">
        <v>-33868</v>
      </c>
      <c r="Y46" s="398"/>
      <c r="Z46" s="398"/>
    </row>
    <row r="47" spans="1:26">
      <c r="A47" s="392">
        <v>90511</v>
      </c>
      <c r="B47" s="393" t="s">
        <v>765</v>
      </c>
      <c r="C47" s="235">
        <v>1.004E-4</v>
      </c>
      <c r="D47" s="235">
        <v>9.2200000000000005E-5</v>
      </c>
      <c r="E47" s="232">
        <v>153973</v>
      </c>
      <c r="F47" s="232" t="s">
        <v>1930</v>
      </c>
      <c r="G47" s="394">
        <v>48984</v>
      </c>
      <c r="H47" s="394">
        <v>0</v>
      </c>
      <c r="I47" s="394">
        <v>96734</v>
      </c>
      <c r="J47" s="232">
        <v>32045</v>
      </c>
      <c r="K47" s="232">
        <v>177763</v>
      </c>
      <c r="L47" s="232"/>
      <c r="M47" s="302">
        <v>0</v>
      </c>
      <c r="N47" s="302">
        <v>219981</v>
      </c>
      <c r="O47" s="302">
        <v>0</v>
      </c>
      <c r="P47" s="232">
        <v>1770</v>
      </c>
      <c r="Q47" s="232">
        <v>221751</v>
      </c>
      <c r="R47" s="232"/>
      <c r="S47" s="394">
        <v>66429</v>
      </c>
      <c r="T47" s="232">
        <v>14023</v>
      </c>
      <c r="U47" s="398">
        <v>80452</v>
      </c>
      <c r="V47" s="232"/>
      <c r="W47" s="398">
        <v>597711</v>
      </c>
      <c r="X47" s="398">
        <v>-211199</v>
      </c>
      <c r="Y47" s="398"/>
      <c r="Z47" s="398"/>
    </row>
    <row r="48" spans="1:26">
      <c r="A48" s="392">
        <v>90521</v>
      </c>
      <c r="B48" s="393" t="s">
        <v>766</v>
      </c>
      <c r="C48" s="235">
        <v>1.451E-4</v>
      </c>
      <c r="D48" s="235">
        <v>1.4129999999999999E-4</v>
      </c>
      <c r="E48" s="232">
        <v>222525</v>
      </c>
      <c r="F48" s="232" t="s">
        <v>1930</v>
      </c>
      <c r="G48" s="394">
        <v>70793</v>
      </c>
      <c r="H48" s="394">
        <v>0</v>
      </c>
      <c r="I48" s="394">
        <v>139802</v>
      </c>
      <c r="J48" s="232">
        <v>0</v>
      </c>
      <c r="K48" s="232">
        <v>210595</v>
      </c>
      <c r="L48" s="232"/>
      <c r="M48" s="302">
        <v>0</v>
      </c>
      <c r="N48" s="302">
        <v>317921</v>
      </c>
      <c r="O48" s="302">
        <v>0</v>
      </c>
      <c r="P48" s="232">
        <v>12656</v>
      </c>
      <c r="Q48" s="232">
        <v>330577</v>
      </c>
      <c r="R48" s="232"/>
      <c r="S48" s="394">
        <v>96004</v>
      </c>
      <c r="T48" s="232">
        <v>-8576</v>
      </c>
      <c r="U48" s="398">
        <v>87428</v>
      </c>
      <c r="V48" s="232"/>
      <c r="W48" s="398">
        <v>863823</v>
      </c>
      <c r="X48" s="398">
        <v>-305229</v>
      </c>
      <c r="Y48" s="398"/>
      <c r="Z48" s="398"/>
    </row>
    <row r="49" spans="1:26">
      <c r="A49" s="392">
        <v>90601</v>
      </c>
      <c r="B49" s="393" t="s">
        <v>767</v>
      </c>
      <c r="C49" s="235">
        <v>1.1405E-3</v>
      </c>
      <c r="D49" s="235">
        <v>1.242E-3</v>
      </c>
      <c r="E49" s="232">
        <v>1749066</v>
      </c>
      <c r="F49" s="232" t="s">
        <v>1930</v>
      </c>
      <c r="G49" s="394">
        <v>556441</v>
      </c>
      <c r="H49" s="394">
        <v>0</v>
      </c>
      <c r="I49" s="394">
        <v>1098860</v>
      </c>
      <c r="J49" s="232">
        <v>106589</v>
      </c>
      <c r="K49" s="232">
        <v>1761890</v>
      </c>
      <c r="L49" s="232"/>
      <c r="M49" s="302">
        <v>0</v>
      </c>
      <c r="N49" s="302">
        <v>2498890</v>
      </c>
      <c r="O49" s="302">
        <v>0</v>
      </c>
      <c r="P49" s="232">
        <v>156191</v>
      </c>
      <c r="Q49" s="232">
        <v>2655081</v>
      </c>
      <c r="R49" s="232"/>
      <c r="S49" s="394">
        <v>754603</v>
      </c>
      <c r="T49" s="232">
        <v>-2353</v>
      </c>
      <c r="U49" s="398">
        <v>752250</v>
      </c>
      <c r="V49" s="232"/>
      <c r="W49" s="398">
        <v>6789730</v>
      </c>
      <c r="X49" s="398">
        <v>-2399130</v>
      </c>
      <c r="Y49" s="398"/>
      <c r="Z49" s="398"/>
    </row>
    <row r="50" spans="1:26">
      <c r="A50" s="392">
        <v>90602</v>
      </c>
      <c r="B50" s="393" t="s">
        <v>259</v>
      </c>
      <c r="C50" s="235">
        <v>7.4999999999999993E-5</v>
      </c>
      <c r="D50" s="235">
        <v>8.0099999999999995E-5</v>
      </c>
      <c r="E50" s="232">
        <v>115020</v>
      </c>
      <c r="F50" s="232" t="s">
        <v>1930</v>
      </c>
      <c r="G50" s="394">
        <v>36592</v>
      </c>
      <c r="H50" s="394">
        <v>0</v>
      </c>
      <c r="I50" s="394">
        <v>72262</v>
      </c>
      <c r="J50" s="232">
        <v>18538</v>
      </c>
      <c r="K50" s="232">
        <v>127392</v>
      </c>
      <c r="L50" s="232"/>
      <c r="M50" s="302">
        <v>0</v>
      </c>
      <c r="N50" s="302">
        <v>164329</v>
      </c>
      <c r="O50" s="302">
        <v>0</v>
      </c>
      <c r="P50" s="232">
        <v>19151</v>
      </c>
      <c r="Q50" s="232">
        <v>183480</v>
      </c>
      <c r="R50" s="232"/>
      <c r="S50" s="394">
        <v>49623</v>
      </c>
      <c r="T50" s="232">
        <v>1986</v>
      </c>
      <c r="U50" s="398">
        <v>51609</v>
      </c>
      <c r="V50" s="232"/>
      <c r="W50" s="398">
        <v>446497</v>
      </c>
      <c r="X50" s="398">
        <v>-157768</v>
      </c>
      <c r="Y50" s="398"/>
      <c r="Z50" s="398"/>
    </row>
    <row r="51" spans="1:26">
      <c r="A51" s="392">
        <v>90605</v>
      </c>
      <c r="B51" s="393" t="s">
        <v>768</v>
      </c>
      <c r="C51" s="235">
        <v>4.6300000000000001E-5</v>
      </c>
      <c r="D51" s="235">
        <v>4.8399999999999997E-5</v>
      </c>
      <c r="E51" s="232">
        <v>71005</v>
      </c>
      <c r="F51" s="232" t="s">
        <v>1930</v>
      </c>
      <c r="G51" s="394">
        <v>22589</v>
      </c>
      <c r="H51" s="394">
        <v>0</v>
      </c>
      <c r="I51" s="394">
        <v>44610</v>
      </c>
      <c r="J51" s="232">
        <v>6655</v>
      </c>
      <c r="K51" s="232">
        <v>73854</v>
      </c>
      <c r="L51" s="232"/>
      <c r="M51" s="302">
        <v>0</v>
      </c>
      <c r="N51" s="302">
        <v>101446</v>
      </c>
      <c r="O51" s="302">
        <v>0</v>
      </c>
      <c r="P51" s="232">
        <v>2585</v>
      </c>
      <c r="Q51" s="232">
        <v>104031</v>
      </c>
      <c r="R51" s="232"/>
      <c r="S51" s="394">
        <v>30634</v>
      </c>
      <c r="T51" s="232">
        <v>4838</v>
      </c>
      <c r="U51" s="398">
        <v>35472</v>
      </c>
      <c r="V51" s="232"/>
      <c r="W51" s="398">
        <v>275637</v>
      </c>
      <c r="X51" s="398">
        <v>-97396</v>
      </c>
      <c r="Y51" s="398"/>
      <c r="Z51" s="398"/>
    </row>
    <row r="52" spans="1:26">
      <c r="A52" s="392">
        <v>90611</v>
      </c>
      <c r="B52" s="393" t="s">
        <v>769</v>
      </c>
      <c r="C52" s="235">
        <v>1.429E-4</v>
      </c>
      <c r="D52" s="235">
        <v>1.4320000000000001E-4</v>
      </c>
      <c r="E52" s="232">
        <v>219151</v>
      </c>
      <c r="F52" s="232" t="s">
        <v>1930</v>
      </c>
      <c r="G52" s="394">
        <v>69720</v>
      </c>
      <c r="H52" s="394">
        <v>0</v>
      </c>
      <c r="I52" s="394">
        <v>137683</v>
      </c>
      <c r="J52" s="232">
        <v>2486</v>
      </c>
      <c r="K52" s="232">
        <v>209889</v>
      </c>
      <c r="L52" s="232"/>
      <c r="M52" s="302">
        <v>0</v>
      </c>
      <c r="N52" s="302">
        <v>313101</v>
      </c>
      <c r="O52" s="302">
        <v>0</v>
      </c>
      <c r="P52" s="232">
        <v>19550</v>
      </c>
      <c r="Q52" s="232">
        <v>332651</v>
      </c>
      <c r="R52" s="232"/>
      <c r="S52" s="394">
        <v>94549</v>
      </c>
      <c r="T52" s="232">
        <v>-10739</v>
      </c>
      <c r="U52" s="398">
        <v>83810</v>
      </c>
      <c r="V52" s="232"/>
      <c r="W52" s="398">
        <v>850725</v>
      </c>
      <c r="X52" s="398">
        <v>-300601</v>
      </c>
      <c r="Y52" s="398"/>
      <c r="Z52" s="398"/>
    </row>
    <row r="53" spans="1:26">
      <c r="A53" s="392">
        <v>90617</v>
      </c>
      <c r="B53" s="393" t="s">
        <v>770</v>
      </c>
      <c r="C53" s="235">
        <v>1.9599999999999999E-5</v>
      </c>
      <c r="D53" s="235">
        <v>2.94E-5</v>
      </c>
      <c r="E53" s="232">
        <v>30058</v>
      </c>
      <c r="F53" s="232" t="s">
        <v>1930</v>
      </c>
      <c r="G53" s="394">
        <v>9563</v>
      </c>
      <c r="H53" s="394">
        <v>0</v>
      </c>
      <c r="I53" s="394">
        <v>18884</v>
      </c>
      <c r="J53" s="232">
        <v>4568</v>
      </c>
      <c r="K53" s="232">
        <v>33015</v>
      </c>
      <c r="L53" s="232"/>
      <c r="M53" s="302">
        <v>0</v>
      </c>
      <c r="N53" s="302">
        <v>42945</v>
      </c>
      <c r="O53" s="302">
        <v>0</v>
      </c>
      <c r="P53" s="232">
        <v>12415</v>
      </c>
      <c r="Q53" s="232">
        <v>55360</v>
      </c>
      <c r="R53" s="232"/>
      <c r="S53" s="394">
        <v>12968</v>
      </c>
      <c r="T53" s="232">
        <v>-967</v>
      </c>
      <c r="U53" s="398">
        <v>12001</v>
      </c>
      <c r="V53" s="232"/>
      <c r="W53" s="398">
        <v>116685</v>
      </c>
      <c r="X53" s="398">
        <v>-41230</v>
      </c>
      <c r="Y53" s="398"/>
      <c r="Z53" s="398"/>
    </row>
    <row r="54" spans="1:26">
      <c r="A54" s="392">
        <v>90621</v>
      </c>
      <c r="B54" s="393" t="s">
        <v>771</v>
      </c>
      <c r="C54" s="235">
        <v>5.4299999999999998E-5</v>
      </c>
      <c r="D54" s="235">
        <v>6.9300000000000004E-5</v>
      </c>
      <c r="E54" s="232">
        <v>83274</v>
      </c>
      <c r="F54" s="232" t="s">
        <v>1930</v>
      </c>
      <c r="G54" s="394">
        <v>26493</v>
      </c>
      <c r="H54" s="394">
        <v>0</v>
      </c>
      <c r="I54" s="394">
        <v>52318</v>
      </c>
      <c r="J54" s="232">
        <v>1104</v>
      </c>
      <c r="K54" s="232">
        <v>79915</v>
      </c>
      <c r="L54" s="232"/>
      <c r="M54" s="302">
        <v>0</v>
      </c>
      <c r="N54" s="302">
        <v>118974</v>
      </c>
      <c r="O54" s="302">
        <v>0</v>
      </c>
      <c r="P54" s="232">
        <v>21533</v>
      </c>
      <c r="Q54" s="232">
        <v>140507</v>
      </c>
      <c r="R54" s="232"/>
      <c r="S54" s="394">
        <v>35927</v>
      </c>
      <c r="T54" s="232">
        <v>-10544</v>
      </c>
      <c r="U54" s="398">
        <v>25383</v>
      </c>
      <c r="V54" s="232"/>
      <c r="W54" s="398">
        <v>323264</v>
      </c>
      <c r="X54" s="398">
        <v>-114224</v>
      </c>
      <c r="Y54" s="398"/>
      <c r="Z54" s="398"/>
    </row>
    <row r="55" spans="1:26">
      <c r="A55" s="392">
        <v>90631</v>
      </c>
      <c r="B55" s="393" t="s">
        <v>772</v>
      </c>
      <c r="C55" s="235">
        <v>3.9360000000000003E-4</v>
      </c>
      <c r="D55" s="235">
        <v>3.636E-4</v>
      </c>
      <c r="E55" s="232">
        <v>603623</v>
      </c>
      <c r="F55" s="232" t="s">
        <v>1930</v>
      </c>
      <c r="G55" s="394">
        <v>192034</v>
      </c>
      <c r="H55" s="394">
        <v>0</v>
      </c>
      <c r="I55" s="394">
        <v>379230</v>
      </c>
      <c r="J55" s="232">
        <v>62852</v>
      </c>
      <c r="K55" s="232">
        <v>634116</v>
      </c>
      <c r="L55" s="232"/>
      <c r="M55" s="302">
        <v>0</v>
      </c>
      <c r="N55" s="302">
        <v>862396</v>
      </c>
      <c r="O55" s="302">
        <v>0</v>
      </c>
      <c r="P55" s="232">
        <v>4056</v>
      </c>
      <c r="Q55" s="232">
        <v>866452</v>
      </c>
      <c r="R55" s="232"/>
      <c r="S55" s="394">
        <v>260422</v>
      </c>
      <c r="T55" s="232">
        <v>19342</v>
      </c>
      <c r="U55" s="398">
        <v>279764</v>
      </c>
      <c r="V55" s="232"/>
      <c r="W55" s="398">
        <v>2343216</v>
      </c>
      <c r="X55" s="398">
        <v>-827968</v>
      </c>
      <c r="Y55" s="398"/>
      <c r="Z55" s="398"/>
    </row>
    <row r="56" spans="1:26">
      <c r="A56" s="392">
        <v>90641</v>
      </c>
      <c r="B56" s="393" t="s">
        <v>773</v>
      </c>
      <c r="C56" s="235">
        <v>1.04E-5</v>
      </c>
      <c r="D56" s="235">
        <v>1.1E-5</v>
      </c>
      <c r="E56" s="232">
        <v>15949</v>
      </c>
      <c r="F56" s="232" t="s">
        <v>1930</v>
      </c>
      <c r="G56" s="394">
        <v>5074</v>
      </c>
      <c r="H56" s="394">
        <v>0</v>
      </c>
      <c r="I56" s="394">
        <v>10020</v>
      </c>
      <c r="J56" s="232">
        <v>113</v>
      </c>
      <c r="K56" s="232">
        <v>15207</v>
      </c>
      <c r="L56" s="232"/>
      <c r="M56" s="302">
        <v>0</v>
      </c>
      <c r="N56" s="302">
        <v>22787</v>
      </c>
      <c r="O56" s="302">
        <v>0</v>
      </c>
      <c r="P56" s="232">
        <v>208</v>
      </c>
      <c r="Q56" s="232">
        <v>22995</v>
      </c>
      <c r="R56" s="232"/>
      <c r="S56" s="394">
        <v>6881</v>
      </c>
      <c r="T56" s="232">
        <v>-23</v>
      </c>
      <c r="U56" s="398">
        <v>6858</v>
      </c>
      <c r="V56" s="232"/>
      <c r="W56" s="398">
        <v>61914</v>
      </c>
      <c r="X56" s="398">
        <v>-21877</v>
      </c>
      <c r="Y56" s="398"/>
      <c r="Z56" s="398"/>
    </row>
    <row r="57" spans="1:26">
      <c r="A57" s="392">
        <v>90651</v>
      </c>
      <c r="B57" s="393" t="s">
        <v>774</v>
      </c>
      <c r="C57" s="235">
        <v>8.9300000000000002E-5</v>
      </c>
      <c r="D57" s="235">
        <v>9.5199999999999997E-5</v>
      </c>
      <c r="E57" s="232">
        <v>136950</v>
      </c>
      <c r="F57" s="232" t="s">
        <v>1930</v>
      </c>
      <c r="G57" s="394">
        <v>43569</v>
      </c>
      <c r="H57" s="394">
        <v>0</v>
      </c>
      <c r="I57" s="394">
        <v>86040</v>
      </c>
      <c r="J57" s="232">
        <v>77083</v>
      </c>
      <c r="K57" s="232">
        <v>206692</v>
      </c>
      <c r="L57" s="232"/>
      <c r="M57" s="302">
        <v>0</v>
      </c>
      <c r="N57" s="302">
        <v>195661</v>
      </c>
      <c r="O57" s="302">
        <v>0</v>
      </c>
      <c r="P57" s="232">
        <v>1566</v>
      </c>
      <c r="Q57" s="232">
        <v>197227</v>
      </c>
      <c r="R57" s="232"/>
      <c r="S57" s="394">
        <v>59085</v>
      </c>
      <c r="T57" s="232">
        <v>44565</v>
      </c>
      <c r="U57" s="398">
        <v>103650</v>
      </c>
      <c r="V57" s="232"/>
      <c r="W57" s="398">
        <v>531629</v>
      </c>
      <c r="X57" s="398">
        <v>-187849</v>
      </c>
      <c r="Y57" s="398"/>
      <c r="Z57" s="398"/>
    </row>
    <row r="58" spans="1:26">
      <c r="A58" s="392">
        <v>90701</v>
      </c>
      <c r="B58" s="393" t="s">
        <v>1937</v>
      </c>
      <c r="C58" s="235">
        <v>2.5387999999999999E-3</v>
      </c>
      <c r="D58" s="235">
        <v>2.5049E-3</v>
      </c>
      <c r="E58" s="232">
        <v>3893494</v>
      </c>
      <c r="F58" s="232" t="s">
        <v>1930</v>
      </c>
      <c r="G58" s="394">
        <v>1238660</v>
      </c>
      <c r="H58" s="394">
        <v>0</v>
      </c>
      <c r="I58" s="394">
        <v>2446108</v>
      </c>
      <c r="J58" s="232">
        <v>14146</v>
      </c>
      <c r="K58" s="232">
        <v>3698914</v>
      </c>
      <c r="L58" s="232"/>
      <c r="M58" s="302">
        <v>0</v>
      </c>
      <c r="N58" s="302">
        <v>5562633</v>
      </c>
      <c r="O58" s="302">
        <v>0</v>
      </c>
      <c r="P58" s="232">
        <v>212596</v>
      </c>
      <c r="Q58" s="232">
        <v>5775229</v>
      </c>
      <c r="R58" s="232"/>
      <c r="S58" s="394">
        <v>1679777</v>
      </c>
      <c r="T58" s="232">
        <v>-84639</v>
      </c>
      <c r="U58" s="398">
        <v>1595138</v>
      </c>
      <c r="V58" s="232"/>
      <c r="W58" s="398">
        <v>15114218</v>
      </c>
      <c r="X58" s="398">
        <v>-5340561</v>
      </c>
      <c r="Y58" s="398"/>
      <c r="Z58" s="398"/>
    </row>
    <row r="59" spans="1:26">
      <c r="A59" s="392">
        <v>90704</v>
      </c>
      <c r="B59" s="393" t="s">
        <v>776</v>
      </c>
      <c r="C59" s="235">
        <v>6.97E-5</v>
      </c>
      <c r="D59" s="235">
        <v>4.1999999999999998E-5</v>
      </c>
      <c r="E59" s="232">
        <v>106892</v>
      </c>
      <c r="F59" s="232" t="s">
        <v>1930</v>
      </c>
      <c r="G59" s="394">
        <v>34006</v>
      </c>
      <c r="H59" s="394">
        <v>0</v>
      </c>
      <c r="I59" s="394">
        <v>67155</v>
      </c>
      <c r="J59" s="232">
        <v>64354</v>
      </c>
      <c r="K59" s="232">
        <v>165515</v>
      </c>
      <c r="L59" s="232"/>
      <c r="M59" s="302">
        <v>0</v>
      </c>
      <c r="N59" s="302">
        <v>152716</v>
      </c>
      <c r="O59" s="302">
        <v>0</v>
      </c>
      <c r="P59" s="232">
        <v>0</v>
      </c>
      <c r="Q59" s="232">
        <v>152716</v>
      </c>
      <c r="R59" s="232"/>
      <c r="S59" s="394">
        <v>46116</v>
      </c>
      <c r="T59" s="232">
        <v>26369</v>
      </c>
      <c r="U59" s="398">
        <v>72485</v>
      </c>
      <c r="V59" s="232"/>
      <c r="W59" s="398">
        <v>414944</v>
      </c>
      <c r="X59" s="398">
        <v>-146619</v>
      </c>
      <c r="Y59" s="398"/>
      <c r="Z59" s="398"/>
    </row>
    <row r="60" spans="1:26">
      <c r="A60" s="392">
        <v>90705</v>
      </c>
      <c r="B60" s="393" t="s">
        <v>777</v>
      </c>
      <c r="C60" s="235">
        <v>4.1E-5</v>
      </c>
      <c r="D60" s="235">
        <v>3.3800000000000002E-5</v>
      </c>
      <c r="E60" s="232">
        <v>62877</v>
      </c>
      <c r="F60" s="232" t="s">
        <v>1930</v>
      </c>
      <c r="G60" s="394">
        <v>20004</v>
      </c>
      <c r="H60" s="394">
        <v>0</v>
      </c>
      <c r="I60" s="394">
        <v>39503</v>
      </c>
      <c r="J60" s="232">
        <v>18370</v>
      </c>
      <c r="K60" s="232">
        <v>77877</v>
      </c>
      <c r="L60" s="232"/>
      <c r="M60" s="302">
        <v>0</v>
      </c>
      <c r="N60" s="302">
        <v>89833</v>
      </c>
      <c r="O60" s="302">
        <v>0</v>
      </c>
      <c r="P60" s="232">
        <v>4076</v>
      </c>
      <c r="Q60" s="232">
        <v>93909</v>
      </c>
      <c r="R60" s="232"/>
      <c r="S60" s="394">
        <v>27127</v>
      </c>
      <c r="T60" s="232">
        <v>6767</v>
      </c>
      <c r="U60" s="398">
        <v>33894</v>
      </c>
      <c r="V60" s="232"/>
      <c r="W60" s="398">
        <v>244085</v>
      </c>
      <c r="X60" s="398">
        <v>-86247</v>
      </c>
      <c r="Y60" s="398"/>
      <c r="Z60" s="398"/>
    </row>
    <row r="61" spans="1:26">
      <c r="A61" s="392">
        <v>90709</v>
      </c>
      <c r="B61" s="393" t="s">
        <v>778</v>
      </c>
      <c r="C61" s="235">
        <v>1.416E-4</v>
      </c>
      <c r="D61" s="235">
        <v>1.4219999999999999E-4</v>
      </c>
      <c r="E61" s="232">
        <v>217157</v>
      </c>
      <c r="F61" s="232" t="s">
        <v>1930</v>
      </c>
      <c r="G61" s="394">
        <v>69086</v>
      </c>
      <c r="H61" s="394">
        <v>0</v>
      </c>
      <c r="I61" s="394">
        <v>136430</v>
      </c>
      <c r="J61" s="232">
        <v>19816</v>
      </c>
      <c r="K61" s="232">
        <v>225332</v>
      </c>
      <c r="L61" s="232"/>
      <c r="M61" s="302">
        <v>0</v>
      </c>
      <c r="N61" s="302">
        <v>310252</v>
      </c>
      <c r="O61" s="302">
        <v>0</v>
      </c>
      <c r="P61" s="232">
        <v>7336</v>
      </c>
      <c r="Q61" s="232">
        <v>317588</v>
      </c>
      <c r="R61" s="232"/>
      <c r="S61" s="394">
        <v>93689</v>
      </c>
      <c r="T61" s="232">
        <v>7060</v>
      </c>
      <c r="U61" s="398">
        <v>100749</v>
      </c>
      <c r="V61" s="232"/>
      <c r="W61" s="398">
        <v>842986</v>
      </c>
      <c r="X61" s="398">
        <v>-297867</v>
      </c>
      <c r="Y61" s="398"/>
      <c r="Z61" s="398"/>
    </row>
    <row r="62" spans="1:26">
      <c r="A62" s="392">
        <v>90711</v>
      </c>
      <c r="B62" s="393" t="s">
        <v>779</v>
      </c>
      <c r="C62" s="235">
        <v>1.5356E-3</v>
      </c>
      <c r="D62" s="235">
        <v>1.5904000000000001E-3</v>
      </c>
      <c r="E62" s="232">
        <v>2354990</v>
      </c>
      <c r="F62" s="232" t="s">
        <v>1930</v>
      </c>
      <c r="G62" s="394">
        <v>749207</v>
      </c>
      <c r="H62" s="394">
        <v>0</v>
      </c>
      <c r="I62" s="394">
        <v>1479535</v>
      </c>
      <c r="J62" s="232">
        <v>25760</v>
      </c>
      <c r="K62" s="232">
        <v>2254502</v>
      </c>
      <c r="L62" s="232"/>
      <c r="M62" s="302">
        <v>0</v>
      </c>
      <c r="N62" s="302">
        <v>3364573</v>
      </c>
      <c r="O62" s="302">
        <v>0</v>
      </c>
      <c r="P62" s="232">
        <v>117960</v>
      </c>
      <c r="Q62" s="232">
        <v>3482533</v>
      </c>
      <c r="R62" s="232"/>
      <c r="S62" s="394">
        <v>1016017</v>
      </c>
      <c r="T62" s="232">
        <v>-48402</v>
      </c>
      <c r="U62" s="398">
        <v>967615</v>
      </c>
      <c r="V62" s="232"/>
      <c r="W62" s="398">
        <v>9141875</v>
      </c>
      <c r="X62" s="398">
        <v>-3230253</v>
      </c>
      <c r="Y62" s="398"/>
      <c r="Z62" s="398"/>
    </row>
    <row r="63" spans="1:26">
      <c r="A63" s="392">
        <v>90721</v>
      </c>
      <c r="B63" s="393" t="s">
        <v>780</v>
      </c>
      <c r="C63" s="235">
        <v>2.27E-5</v>
      </c>
      <c r="D63" s="235">
        <v>2.12E-5</v>
      </c>
      <c r="E63" s="232">
        <v>34813</v>
      </c>
      <c r="F63" s="232" t="s">
        <v>1930</v>
      </c>
      <c r="G63" s="394">
        <v>11075</v>
      </c>
      <c r="H63" s="394">
        <v>0</v>
      </c>
      <c r="I63" s="394">
        <v>21871</v>
      </c>
      <c r="J63" s="232">
        <v>8321</v>
      </c>
      <c r="K63" s="232">
        <v>41267</v>
      </c>
      <c r="L63" s="232"/>
      <c r="M63" s="302">
        <v>0</v>
      </c>
      <c r="N63" s="302">
        <v>49737</v>
      </c>
      <c r="O63" s="302">
        <v>0</v>
      </c>
      <c r="P63" s="232">
        <v>2091</v>
      </c>
      <c r="Q63" s="232">
        <v>51828</v>
      </c>
      <c r="R63" s="232"/>
      <c r="S63" s="394">
        <v>15019</v>
      </c>
      <c r="T63" s="232">
        <v>1136</v>
      </c>
      <c r="U63" s="398">
        <v>16155</v>
      </c>
      <c r="V63" s="232"/>
      <c r="W63" s="398">
        <v>135140</v>
      </c>
      <c r="X63" s="398">
        <v>-47751</v>
      </c>
      <c r="Y63" s="398"/>
      <c r="Z63" s="398"/>
    </row>
    <row r="64" spans="1:26">
      <c r="A64" s="392">
        <v>90731</v>
      </c>
      <c r="B64" s="393" t="s">
        <v>781</v>
      </c>
      <c r="C64" s="235">
        <v>1.3540000000000001E-4</v>
      </c>
      <c r="D64" s="235">
        <v>1.5310000000000001E-4</v>
      </c>
      <c r="E64" s="232">
        <v>207649</v>
      </c>
      <c r="F64" s="232" t="s">
        <v>1930</v>
      </c>
      <c r="G64" s="394">
        <v>66061</v>
      </c>
      <c r="H64" s="394">
        <v>0</v>
      </c>
      <c r="I64" s="394">
        <v>130457</v>
      </c>
      <c r="J64" s="232">
        <v>15149</v>
      </c>
      <c r="K64" s="232">
        <v>211667</v>
      </c>
      <c r="L64" s="232"/>
      <c r="M64" s="302">
        <v>0</v>
      </c>
      <c r="N64" s="302">
        <v>296668</v>
      </c>
      <c r="O64" s="302">
        <v>0</v>
      </c>
      <c r="P64" s="232">
        <v>23479</v>
      </c>
      <c r="Q64" s="232">
        <v>320147</v>
      </c>
      <c r="R64" s="232"/>
      <c r="S64" s="394">
        <v>89586</v>
      </c>
      <c r="T64" s="232">
        <v>-5499</v>
      </c>
      <c r="U64" s="398">
        <v>84087</v>
      </c>
      <c r="V64" s="232"/>
      <c r="W64" s="398">
        <v>806076</v>
      </c>
      <c r="X64" s="398">
        <v>-284824</v>
      </c>
      <c r="Y64" s="398"/>
      <c r="Z64" s="398"/>
    </row>
    <row r="65" spans="1:26">
      <c r="A65" s="392">
        <v>90741</v>
      </c>
      <c r="B65" s="393" t="s">
        <v>782</v>
      </c>
      <c r="C65" s="235">
        <v>1.3200000000000001E-5</v>
      </c>
      <c r="D65" s="235">
        <v>1.33E-5</v>
      </c>
      <c r="E65" s="232">
        <v>20243</v>
      </c>
      <c r="F65" s="232" t="s">
        <v>1930</v>
      </c>
      <c r="G65" s="394">
        <v>6440</v>
      </c>
      <c r="H65" s="394">
        <v>0</v>
      </c>
      <c r="I65" s="394">
        <v>12718</v>
      </c>
      <c r="J65" s="232">
        <v>1480</v>
      </c>
      <c r="K65" s="232">
        <v>20638</v>
      </c>
      <c r="L65" s="232"/>
      <c r="M65" s="302">
        <v>0</v>
      </c>
      <c r="N65" s="302">
        <v>28922</v>
      </c>
      <c r="O65" s="302">
        <v>0</v>
      </c>
      <c r="P65" s="232">
        <v>589</v>
      </c>
      <c r="Q65" s="232">
        <v>29511</v>
      </c>
      <c r="R65" s="232"/>
      <c r="S65" s="394">
        <v>8734</v>
      </c>
      <c r="T65" s="232">
        <v>818</v>
      </c>
      <c r="U65" s="398">
        <v>9552</v>
      </c>
      <c r="V65" s="232"/>
      <c r="W65" s="398">
        <v>78583</v>
      </c>
      <c r="X65" s="398">
        <v>-27767</v>
      </c>
      <c r="Y65" s="398"/>
      <c r="Z65" s="398"/>
    </row>
    <row r="66" spans="1:26">
      <c r="A66" s="392">
        <v>90751</v>
      </c>
      <c r="B66" s="393" t="s">
        <v>783</v>
      </c>
      <c r="C66" s="235">
        <v>6.1199999999999997E-5</v>
      </c>
      <c r="D66" s="235">
        <v>6.2600000000000004E-5</v>
      </c>
      <c r="E66" s="232">
        <v>93856</v>
      </c>
      <c r="F66" s="232" t="s">
        <v>1930</v>
      </c>
      <c r="G66" s="394">
        <v>29859</v>
      </c>
      <c r="H66" s="394">
        <v>0</v>
      </c>
      <c r="I66" s="394">
        <v>58966</v>
      </c>
      <c r="J66" s="232">
        <v>1194</v>
      </c>
      <c r="K66" s="232">
        <v>90019</v>
      </c>
      <c r="L66" s="232"/>
      <c r="M66" s="302">
        <v>0</v>
      </c>
      <c r="N66" s="302">
        <v>134092</v>
      </c>
      <c r="O66" s="302">
        <v>0</v>
      </c>
      <c r="P66" s="232">
        <v>8389</v>
      </c>
      <c r="Q66" s="232">
        <v>142481</v>
      </c>
      <c r="R66" s="232"/>
      <c r="S66" s="394">
        <v>40492</v>
      </c>
      <c r="T66" s="232">
        <v>-3656</v>
      </c>
      <c r="U66" s="398">
        <v>36836</v>
      </c>
      <c r="V66" s="232"/>
      <c r="W66" s="398">
        <v>364341</v>
      </c>
      <c r="X66" s="398">
        <v>-128739</v>
      </c>
      <c r="Y66" s="398"/>
      <c r="Z66" s="398"/>
    </row>
    <row r="67" spans="1:26">
      <c r="A67" s="392">
        <v>90801</v>
      </c>
      <c r="B67" s="393" t="s">
        <v>784</v>
      </c>
      <c r="C67" s="235">
        <v>1.1333000000000001E-3</v>
      </c>
      <c r="D67" s="235">
        <v>1.2543000000000001E-3</v>
      </c>
      <c r="E67" s="232">
        <v>1738024</v>
      </c>
      <c r="F67" s="232" t="s">
        <v>1930</v>
      </c>
      <c r="G67" s="394">
        <v>552928</v>
      </c>
      <c r="H67" s="394">
        <v>0</v>
      </c>
      <c r="I67" s="394">
        <v>1091923</v>
      </c>
      <c r="J67" s="232">
        <v>0</v>
      </c>
      <c r="K67" s="232">
        <v>1644851</v>
      </c>
      <c r="L67" s="232"/>
      <c r="M67" s="302">
        <v>0</v>
      </c>
      <c r="N67" s="302">
        <v>2483115</v>
      </c>
      <c r="O67" s="302">
        <v>0</v>
      </c>
      <c r="P67" s="232">
        <v>351103</v>
      </c>
      <c r="Q67" s="232">
        <v>2834218</v>
      </c>
      <c r="R67" s="232"/>
      <c r="S67" s="394">
        <v>749839</v>
      </c>
      <c r="T67" s="232">
        <v>-131656</v>
      </c>
      <c r="U67" s="398">
        <v>618183</v>
      </c>
      <c r="V67" s="232"/>
      <c r="W67" s="398">
        <v>6746866</v>
      </c>
      <c r="X67" s="398">
        <v>-2383984</v>
      </c>
      <c r="Y67" s="398"/>
      <c r="Z67" s="398"/>
    </row>
    <row r="68" spans="1:26">
      <c r="A68" s="392">
        <v>90804</v>
      </c>
      <c r="B68" s="393" t="s">
        <v>785</v>
      </c>
      <c r="C68" s="235">
        <v>5.0000000000000004E-6</v>
      </c>
      <c r="D68" s="235">
        <v>5.0000000000000004E-6</v>
      </c>
      <c r="E68" s="232">
        <v>7668</v>
      </c>
      <c r="F68" s="232" t="s">
        <v>1930</v>
      </c>
      <c r="G68" s="394">
        <v>2439</v>
      </c>
      <c r="H68" s="394">
        <v>0</v>
      </c>
      <c r="I68" s="394">
        <v>4817</v>
      </c>
      <c r="J68" s="232">
        <v>379</v>
      </c>
      <c r="K68" s="232">
        <v>7635</v>
      </c>
      <c r="L68" s="232"/>
      <c r="M68" s="302">
        <v>0</v>
      </c>
      <c r="N68" s="302">
        <v>10955</v>
      </c>
      <c r="O68" s="302">
        <v>0</v>
      </c>
      <c r="P68" s="232">
        <v>493</v>
      </c>
      <c r="Q68" s="232">
        <v>11448</v>
      </c>
      <c r="R68" s="232"/>
      <c r="S68" s="394">
        <v>3308</v>
      </c>
      <c r="T68" s="232">
        <v>-137</v>
      </c>
      <c r="U68" s="398">
        <v>3171</v>
      </c>
      <c r="V68" s="232"/>
      <c r="W68" s="398">
        <v>29766</v>
      </c>
      <c r="X68" s="398">
        <v>-10518</v>
      </c>
      <c r="Y68" s="398"/>
      <c r="Z68" s="398"/>
    </row>
    <row r="69" spans="1:26">
      <c r="A69" s="392">
        <v>90805</v>
      </c>
      <c r="B69" s="393" t="s">
        <v>786</v>
      </c>
      <c r="C69" s="235">
        <v>6.0800000000000001E-5</v>
      </c>
      <c r="D69" s="235">
        <v>6.3E-5</v>
      </c>
      <c r="E69" s="232">
        <v>93243</v>
      </c>
      <c r="F69" s="232" t="s">
        <v>1930</v>
      </c>
      <c r="G69" s="394">
        <v>29664</v>
      </c>
      <c r="H69" s="394">
        <v>0</v>
      </c>
      <c r="I69" s="394">
        <v>58580</v>
      </c>
      <c r="J69" s="232">
        <v>19192</v>
      </c>
      <c r="K69" s="232">
        <v>107436</v>
      </c>
      <c r="L69" s="232"/>
      <c r="M69" s="302">
        <v>0</v>
      </c>
      <c r="N69" s="302">
        <v>133216</v>
      </c>
      <c r="O69" s="302">
        <v>0</v>
      </c>
      <c r="P69" s="232">
        <v>0</v>
      </c>
      <c r="Q69" s="232">
        <v>133216</v>
      </c>
      <c r="R69" s="232"/>
      <c r="S69" s="394">
        <v>40228</v>
      </c>
      <c r="T69" s="232">
        <v>12251</v>
      </c>
      <c r="U69" s="398">
        <v>52479</v>
      </c>
      <c r="V69" s="232"/>
      <c r="W69" s="398">
        <v>361960</v>
      </c>
      <c r="X69" s="398">
        <v>-127897</v>
      </c>
      <c r="Y69" s="398"/>
      <c r="Z69" s="398"/>
    </row>
    <row r="70" spans="1:26">
      <c r="A70" s="392">
        <v>90808</v>
      </c>
      <c r="B70" s="393" t="s">
        <v>787</v>
      </c>
      <c r="C70" s="235">
        <v>1.2530000000000001E-4</v>
      </c>
      <c r="D70" s="235">
        <v>1.4809999999999999E-4</v>
      </c>
      <c r="E70" s="232">
        <v>192160</v>
      </c>
      <c r="F70" s="232" t="s">
        <v>1930</v>
      </c>
      <c r="G70" s="394">
        <v>61133</v>
      </c>
      <c r="H70" s="394">
        <v>0</v>
      </c>
      <c r="I70" s="394">
        <v>120725</v>
      </c>
      <c r="J70" s="232">
        <v>28438</v>
      </c>
      <c r="K70" s="232">
        <v>210296</v>
      </c>
      <c r="L70" s="232"/>
      <c r="M70" s="302">
        <v>0</v>
      </c>
      <c r="N70" s="302">
        <v>274538</v>
      </c>
      <c r="O70" s="302">
        <v>0</v>
      </c>
      <c r="P70" s="232">
        <v>32768</v>
      </c>
      <c r="Q70" s="232">
        <v>307306</v>
      </c>
      <c r="R70" s="232"/>
      <c r="S70" s="394">
        <v>82904</v>
      </c>
      <c r="T70" s="232">
        <v>4440</v>
      </c>
      <c r="U70" s="398">
        <v>87344</v>
      </c>
      <c r="V70" s="232"/>
      <c r="W70" s="398">
        <v>745947</v>
      </c>
      <c r="X70" s="398">
        <v>-263578</v>
      </c>
      <c r="Y70" s="398"/>
      <c r="Z70" s="398"/>
    </row>
    <row r="71" spans="1:26">
      <c r="A71" s="392">
        <v>90811</v>
      </c>
      <c r="B71" s="393" t="s">
        <v>788</v>
      </c>
      <c r="C71" s="235">
        <v>3.3099999999999998E-5</v>
      </c>
      <c r="D71" s="235">
        <v>3.8999999999999999E-5</v>
      </c>
      <c r="E71" s="232">
        <v>50762</v>
      </c>
      <c r="F71" s="232" t="s">
        <v>1930</v>
      </c>
      <c r="G71" s="394">
        <v>16149</v>
      </c>
      <c r="H71" s="394">
        <v>0</v>
      </c>
      <c r="I71" s="394">
        <v>31892</v>
      </c>
      <c r="J71" s="232">
        <v>1910</v>
      </c>
      <c r="K71" s="232">
        <v>49951</v>
      </c>
      <c r="L71" s="232"/>
      <c r="M71" s="302">
        <v>0</v>
      </c>
      <c r="N71" s="302">
        <v>72524</v>
      </c>
      <c r="O71" s="302">
        <v>0</v>
      </c>
      <c r="P71" s="232">
        <v>14060</v>
      </c>
      <c r="Q71" s="232">
        <v>86584</v>
      </c>
      <c r="R71" s="232"/>
      <c r="S71" s="394">
        <v>21900</v>
      </c>
      <c r="T71" s="232">
        <v>-6342</v>
      </c>
      <c r="U71" s="398">
        <v>15558</v>
      </c>
      <c r="V71" s="232"/>
      <c r="W71" s="398">
        <v>197054</v>
      </c>
      <c r="X71" s="398">
        <v>-69628</v>
      </c>
      <c r="Y71" s="398"/>
      <c r="Z71" s="398"/>
    </row>
    <row r="72" spans="1:26">
      <c r="A72" s="392">
        <v>90812</v>
      </c>
      <c r="B72" s="393" t="s">
        <v>789</v>
      </c>
      <c r="C72" s="235">
        <v>2.22E-4</v>
      </c>
      <c r="D72" s="235">
        <v>2.0900000000000001E-4</v>
      </c>
      <c r="E72" s="232">
        <v>340458</v>
      </c>
      <c r="F72" s="232" t="s">
        <v>1930</v>
      </c>
      <c r="G72" s="394">
        <v>108312</v>
      </c>
      <c r="H72" s="394">
        <v>0</v>
      </c>
      <c r="I72" s="394">
        <v>213895</v>
      </c>
      <c r="J72" s="232">
        <v>16407</v>
      </c>
      <c r="K72" s="232">
        <v>338614</v>
      </c>
      <c r="L72" s="232"/>
      <c r="M72" s="302">
        <v>0</v>
      </c>
      <c r="N72" s="302">
        <v>486413</v>
      </c>
      <c r="O72" s="302">
        <v>0</v>
      </c>
      <c r="P72" s="232">
        <v>14529</v>
      </c>
      <c r="Q72" s="232">
        <v>500942</v>
      </c>
      <c r="R72" s="232"/>
      <c r="S72" s="394">
        <v>146885</v>
      </c>
      <c r="T72" s="232">
        <v>299</v>
      </c>
      <c r="U72" s="398">
        <v>147184</v>
      </c>
      <c r="V72" s="232"/>
      <c r="W72" s="398">
        <v>1321631</v>
      </c>
      <c r="X72" s="398">
        <v>-466994</v>
      </c>
      <c r="Y72" s="398"/>
      <c r="Z72" s="398"/>
    </row>
    <row r="73" spans="1:26">
      <c r="A73" s="392">
        <v>90813</v>
      </c>
      <c r="B73" s="393" t="s">
        <v>790</v>
      </c>
      <c r="C73" s="235">
        <v>0</v>
      </c>
      <c r="D73" s="235">
        <v>4.0999999999999997E-6</v>
      </c>
      <c r="E73" s="232">
        <v>0</v>
      </c>
      <c r="F73" s="232" t="s">
        <v>1930</v>
      </c>
      <c r="G73" s="394">
        <v>0</v>
      </c>
      <c r="H73" s="394">
        <v>0</v>
      </c>
      <c r="I73" s="394">
        <v>0</v>
      </c>
      <c r="J73" s="232">
        <v>0</v>
      </c>
      <c r="K73" s="232">
        <v>0</v>
      </c>
      <c r="L73" s="232"/>
      <c r="M73" s="302">
        <v>0</v>
      </c>
      <c r="N73" s="302">
        <v>0</v>
      </c>
      <c r="O73" s="302">
        <v>0</v>
      </c>
      <c r="P73" s="232">
        <v>5930</v>
      </c>
      <c r="Q73" s="232">
        <v>5930</v>
      </c>
      <c r="R73" s="232"/>
      <c r="S73" s="394">
        <v>0</v>
      </c>
      <c r="T73" s="232">
        <v>-2271</v>
      </c>
      <c r="U73" s="398">
        <v>-2271</v>
      </c>
      <c r="V73" s="232"/>
      <c r="W73" s="398">
        <v>0</v>
      </c>
      <c r="X73" s="398">
        <v>0</v>
      </c>
      <c r="Y73" s="398"/>
      <c r="Z73" s="398"/>
    </row>
    <row r="74" spans="1:26">
      <c r="A74" s="392">
        <v>90861</v>
      </c>
      <c r="B74" s="393" t="s">
        <v>791</v>
      </c>
      <c r="C74" s="235">
        <v>3.5999999999999998E-6</v>
      </c>
      <c r="D74" s="235">
        <v>2.5000000000000002E-6</v>
      </c>
      <c r="E74" s="232">
        <v>5521</v>
      </c>
      <c r="F74" s="232" t="s">
        <v>1930</v>
      </c>
      <c r="G74" s="394">
        <v>1756</v>
      </c>
      <c r="H74" s="394">
        <v>0</v>
      </c>
      <c r="I74" s="394">
        <v>3469</v>
      </c>
      <c r="J74" s="232">
        <v>7258</v>
      </c>
      <c r="K74" s="232">
        <v>12483</v>
      </c>
      <c r="L74" s="232"/>
      <c r="M74" s="302">
        <v>0</v>
      </c>
      <c r="N74" s="302">
        <v>7888</v>
      </c>
      <c r="O74" s="302">
        <v>0</v>
      </c>
      <c r="P74" s="232">
        <v>3710</v>
      </c>
      <c r="Q74" s="232">
        <v>11598</v>
      </c>
      <c r="R74" s="232"/>
      <c r="S74" s="394">
        <v>2382</v>
      </c>
      <c r="T74" s="232">
        <v>1875</v>
      </c>
      <c r="U74" s="398">
        <v>4257</v>
      </c>
      <c r="V74" s="232"/>
      <c r="W74" s="398">
        <v>21432</v>
      </c>
      <c r="X74" s="398">
        <v>-7573</v>
      </c>
      <c r="Y74" s="398"/>
      <c r="Z74" s="398"/>
    </row>
    <row r="75" spans="1:26">
      <c r="A75" s="392">
        <v>90901</v>
      </c>
      <c r="B75" s="393" t="s">
        <v>792</v>
      </c>
      <c r="C75" s="235">
        <v>2.0815E-3</v>
      </c>
      <c r="D75" s="235">
        <v>2.0888E-3</v>
      </c>
      <c r="E75" s="232">
        <v>3192180</v>
      </c>
      <c r="F75" s="232" t="s">
        <v>1930</v>
      </c>
      <c r="G75" s="394">
        <v>1015547</v>
      </c>
      <c r="H75" s="394">
        <v>0</v>
      </c>
      <c r="I75" s="394">
        <v>2005504</v>
      </c>
      <c r="J75" s="232">
        <v>48281</v>
      </c>
      <c r="K75" s="232">
        <v>3069332</v>
      </c>
      <c r="L75" s="232"/>
      <c r="M75" s="302">
        <v>0</v>
      </c>
      <c r="N75" s="302">
        <v>4560666</v>
      </c>
      <c r="O75" s="302">
        <v>0</v>
      </c>
      <c r="P75" s="232">
        <v>144481</v>
      </c>
      <c r="Q75" s="232">
        <v>4705147</v>
      </c>
      <c r="R75" s="232"/>
      <c r="S75" s="394">
        <v>1377208</v>
      </c>
      <c r="T75" s="232">
        <v>-45179</v>
      </c>
      <c r="U75" s="398">
        <v>1332029</v>
      </c>
      <c r="V75" s="232"/>
      <c r="W75" s="398">
        <v>12391777</v>
      </c>
      <c r="X75" s="398">
        <v>-4378596</v>
      </c>
      <c r="Y75" s="398"/>
      <c r="Z75" s="398"/>
    </row>
    <row r="76" spans="1:26">
      <c r="A76" s="392">
        <v>90911</v>
      </c>
      <c r="B76" s="393" t="s">
        <v>793</v>
      </c>
      <c r="C76" s="235">
        <v>3.5619999999999998E-4</v>
      </c>
      <c r="D76" s="235">
        <v>3.7490000000000001E-4</v>
      </c>
      <c r="E76" s="232">
        <v>546267</v>
      </c>
      <c r="F76" s="232" t="s">
        <v>1930</v>
      </c>
      <c r="G76" s="394">
        <v>173787</v>
      </c>
      <c r="H76" s="394">
        <v>0</v>
      </c>
      <c r="I76" s="394">
        <v>343195</v>
      </c>
      <c r="J76" s="232">
        <v>0</v>
      </c>
      <c r="K76" s="232">
        <v>516982</v>
      </c>
      <c r="L76" s="232"/>
      <c r="M76" s="302">
        <v>0</v>
      </c>
      <c r="N76" s="302">
        <v>780451</v>
      </c>
      <c r="O76" s="302">
        <v>0</v>
      </c>
      <c r="P76" s="232">
        <v>86202</v>
      </c>
      <c r="Q76" s="232">
        <v>866653</v>
      </c>
      <c r="R76" s="232"/>
      <c r="S76" s="394">
        <v>235677</v>
      </c>
      <c r="T76" s="232">
        <v>-35016</v>
      </c>
      <c r="U76" s="398">
        <v>200661</v>
      </c>
      <c r="V76" s="232"/>
      <c r="W76" s="398">
        <v>2120563</v>
      </c>
      <c r="X76" s="398">
        <v>-749294</v>
      </c>
      <c r="Y76" s="398"/>
      <c r="Z76" s="398"/>
    </row>
    <row r="77" spans="1:26">
      <c r="A77" s="392">
        <v>90917</v>
      </c>
      <c r="B77" s="393" t="s">
        <v>794</v>
      </c>
      <c r="C77" s="235">
        <v>9.5000000000000005E-6</v>
      </c>
      <c r="D77" s="235">
        <v>9.7999999999999993E-6</v>
      </c>
      <c r="E77" s="232">
        <v>14569</v>
      </c>
      <c r="F77" s="232" t="s">
        <v>1930</v>
      </c>
      <c r="G77" s="394">
        <v>4635</v>
      </c>
      <c r="H77" s="394">
        <v>0</v>
      </c>
      <c r="I77" s="394">
        <v>9153</v>
      </c>
      <c r="J77" s="232">
        <v>3492</v>
      </c>
      <c r="K77" s="232">
        <v>17280</v>
      </c>
      <c r="L77" s="232"/>
      <c r="M77" s="302">
        <v>0</v>
      </c>
      <c r="N77" s="302">
        <v>20815</v>
      </c>
      <c r="O77" s="302">
        <v>0</v>
      </c>
      <c r="P77" s="232">
        <v>1382</v>
      </c>
      <c r="Q77" s="232">
        <v>22197</v>
      </c>
      <c r="R77" s="232"/>
      <c r="S77" s="394">
        <v>6286</v>
      </c>
      <c r="T77" s="232">
        <v>574</v>
      </c>
      <c r="U77" s="398">
        <v>6860</v>
      </c>
      <c r="V77" s="232"/>
      <c r="W77" s="398">
        <v>56556</v>
      </c>
      <c r="X77" s="398">
        <v>-19984</v>
      </c>
      <c r="Y77" s="398"/>
      <c r="Z77" s="398"/>
    </row>
    <row r="78" spans="1:26">
      <c r="A78" s="392">
        <v>90918</v>
      </c>
      <c r="B78" s="393" t="s">
        <v>795</v>
      </c>
      <c r="C78" s="235">
        <v>9.3999999999999998E-6</v>
      </c>
      <c r="D78" s="235">
        <v>9.9000000000000001E-6</v>
      </c>
      <c r="E78" s="232">
        <v>14416</v>
      </c>
      <c r="F78" s="232" t="s">
        <v>1930</v>
      </c>
      <c r="G78" s="394">
        <v>4586</v>
      </c>
      <c r="H78" s="394">
        <v>0</v>
      </c>
      <c r="I78" s="394">
        <v>9057</v>
      </c>
      <c r="J78" s="232">
        <v>0</v>
      </c>
      <c r="K78" s="232">
        <v>13643</v>
      </c>
      <c r="L78" s="232"/>
      <c r="M78" s="302">
        <v>0</v>
      </c>
      <c r="N78" s="302">
        <v>20596</v>
      </c>
      <c r="O78" s="302">
        <v>0</v>
      </c>
      <c r="P78" s="232">
        <v>1843</v>
      </c>
      <c r="Q78" s="232">
        <v>22439</v>
      </c>
      <c r="R78" s="232"/>
      <c r="S78" s="394">
        <v>6219</v>
      </c>
      <c r="T78" s="232">
        <v>-1133</v>
      </c>
      <c r="U78" s="398">
        <v>5086</v>
      </c>
      <c r="V78" s="232"/>
      <c r="W78" s="398">
        <v>55961</v>
      </c>
      <c r="X78" s="398">
        <v>-19774</v>
      </c>
      <c r="Y78" s="398"/>
      <c r="Z78" s="398"/>
    </row>
    <row r="79" spans="1:26">
      <c r="A79" s="392">
        <v>90921</v>
      </c>
      <c r="B79" s="393" t="s">
        <v>796</v>
      </c>
      <c r="C79" s="235">
        <v>1.145E-4</v>
      </c>
      <c r="D79" s="235">
        <v>1.027E-4</v>
      </c>
      <c r="E79" s="232">
        <v>175597</v>
      </c>
      <c r="F79" s="232" t="s">
        <v>1930</v>
      </c>
      <c r="G79" s="394">
        <v>55864</v>
      </c>
      <c r="H79" s="394">
        <v>0</v>
      </c>
      <c r="I79" s="394">
        <v>110320</v>
      </c>
      <c r="J79" s="232">
        <v>27376</v>
      </c>
      <c r="K79" s="232">
        <v>193560</v>
      </c>
      <c r="L79" s="232"/>
      <c r="M79" s="302">
        <v>0</v>
      </c>
      <c r="N79" s="302">
        <v>250875</v>
      </c>
      <c r="O79" s="302">
        <v>0</v>
      </c>
      <c r="P79" s="232">
        <v>9017</v>
      </c>
      <c r="Q79" s="232">
        <v>259892</v>
      </c>
      <c r="R79" s="232"/>
      <c r="S79" s="394">
        <v>75758</v>
      </c>
      <c r="T79" s="232">
        <v>11566</v>
      </c>
      <c r="U79" s="398">
        <v>87324</v>
      </c>
      <c r="V79" s="232"/>
      <c r="W79" s="398">
        <v>681652</v>
      </c>
      <c r="X79" s="398">
        <v>-240860</v>
      </c>
      <c r="Y79" s="398"/>
      <c r="Z79" s="398"/>
    </row>
    <row r="80" spans="1:26">
      <c r="A80" s="392">
        <v>90931</v>
      </c>
      <c r="B80" s="393" t="s">
        <v>797</v>
      </c>
      <c r="C80" s="235">
        <v>3.2199999999999997E-5</v>
      </c>
      <c r="D80" s="235">
        <v>3.18E-5</v>
      </c>
      <c r="E80" s="232">
        <v>49382</v>
      </c>
      <c r="F80" s="232" t="s">
        <v>1930</v>
      </c>
      <c r="G80" s="394">
        <v>15710</v>
      </c>
      <c r="H80" s="394">
        <v>0</v>
      </c>
      <c r="I80" s="394">
        <v>31024</v>
      </c>
      <c r="J80" s="232">
        <v>259</v>
      </c>
      <c r="K80" s="232">
        <v>46993</v>
      </c>
      <c r="L80" s="232"/>
      <c r="M80" s="302">
        <v>0</v>
      </c>
      <c r="N80" s="302">
        <v>70552</v>
      </c>
      <c r="O80" s="302">
        <v>0</v>
      </c>
      <c r="P80" s="232">
        <v>6852</v>
      </c>
      <c r="Q80" s="232">
        <v>77404</v>
      </c>
      <c r="R80" s="232"/>
      <c r="S80" s="394">
        <v>21305</v>
      </c>
      <c r="T80" s="232">
        <v>-6181</v>
      </c>
      <c r="U80" s="398">
        <v>15124</v>
      </c>
      <c r="V80" s="232"/>
      <c r="W80" s="398">
        <v>191696</v>
      </c>
      <c r="X80" s="398">
        <v>-67735</v>
      </c>
      <c r="Y80" s="398"/>
      <c r="Z80" s="398"/>
    </row>
    <row r="81" spans="1:26">
      <c r="A81" s="392">
        <v>90941</v>
      </c>
      <c r="B81" s="393" t="s">
        <v>798</v>
      </c>
      <c r="C81" s="235">
        <v>7.3800000000000005E-5</v>
      </c>
      <c r="D81" s="235">
        <v>6.9999999999999994E-5</v>
      </c>
      <c r="E81" s="232">
        <v>113179</v>
      </c>
      <c r="F81" s="232" t="s">
        <v>1930</v>
      </c>
      <c r="G81" s="394">
        <v>36006</v>
      </c>
      <c r="H81" s="394">
        <v>0</v>
      </c>
      <c r="I81" s="394">
        <v>71106</v>
      </c>
      <c r="J81" s="232">
        <v>8968</v>
      </c>
      <c r="K81" s="232">
        <v>116080</v>
      </c>
      <c r="L81" s="232"/>
      <c r="M81" s="302">
        <v>0</v>
      </c>
      <c r="N81" s="302">
        <v>161699</v>
      </c>
      <c r="O81" s="302">
        <v>0</v>
      </c>
      <c r="P81" s="232">
        <v>10466</v>
      </c>
      <c r="Q81" s="232">
        <v>172165</v>
      </c>
      <c r="R81" s="232"/>
      <c r="S81" s="394">
        <v>48829</v>
      </c>
      <c r="T81" s="232">
        <v>-3792</v>
      </c>
      <c r="U81" s="398">
        <v>45037</v>
      </c>
      <c r="V81" s="232"/>
      <c r="W81" s="398">
        <v>439353</v>
      </c>
      <c r="X81" s="398">
        <v>-155244</v>
      </c>
      <c r="Y81" s="398"/>
      <c r="Z81" s="398"/>
    </row>
    <row r="82" spans="1:26">
      <c r="A82" s="392">
        <v>91001</v>
      </c>
      <c r="B82" s="393" t="s">
        <v>799</v>
      </c>
      <c r="C82" s="235">
        <v>7.1763E-3</v>
      </c>
      <c r="D82" s="235">
        <v>7.1149000000000004E-3</v>
      </c>
      <c r="E82" s="232">
        <v>11005545</v>
      </c>
      <c r="F82" s="232" t="s">
        <v>1930</v>
      </c>
      <c r="G82" s="394">
        <v>3501259</v>
      </c>
      <c r="H82" s="394">
        <v>0</v>
      </c>
      <c r="I82" s="394">
        <v>6914293</v>
      </c>
      <c r="J82" s="232">
        <v>174425</v>
      </c>
      <c r="K82" s="232">
        <v>10589977</v>
      </c>
      <c r="L82" s="232"/>
      <c r="M82" s="302">
        <v>0</v>
      </c>
      <c r="N82" s="302">
        <v>15723618</v>
      </c>
      <c r="O82" s="302">
        <v>0</v>
      </c>
      <c r="P82" s="232">
        <v>493777</v>
      </c>
      <c r="Q82" s="232">
        <v>16217395</v>
      </c>
      <c r="R82" s="232"/>
      <c r="S82" s="394">
        <v>4748141</v>
      </c>
      <c r="T82" s="232">
        <v>-175071</v>
      </c>
      <c r="U82" s="398">
        <v>4573070</v>
      </c>
      <c r="V82" s="232"/>
      <c r="W82" s="398">
        <v>42722609</v>
      </c>
      <c r="X82" s="398">
        <v>-15095900</v>
      </c>
      <c r="Y82" s="398"/>
      <c r="Z82" s="398"/>
    </row>
    <row r="83" spans="1:26">
      <c r="A83" s="392">
        <v>91002</v>
      </c>
      <c r="B83" s="393" t="s">
        <v>800</v>
      </c>
      <c r="C83" s="235">
        <v>1.2972000000000001E-3</v>
      </c>
      <c r="D83" s="235">
        <v>1.1846999999999999E-3</v>
      </c>
      <c r="E83" s="232">
        <v>1989381</v>
      </c>
      <c r="F83" s="232" t="s">
        <v>1930</v>
      </c>
      <c r="G83" s="394">
        <v>632894</v>
      </c>
      <c r="H83" s="394">
        <v>0</v>
      </c>
      <c r="I83" s="394">
        <v>1249839</v>
      </c>
      <c r="J83" s="232">
        <v>228370</v>
      </c>
      <c r="K83" s="232">
        <v>2111103</v>
      </c>
      <c r="L83" s="232"/>
      <c r="M83" s="302">
        <v>0</v>
      </c>
      <c r="N83" s="302">
        <v>2842227</v>
      </c>
      <c r="O83" s="302">
        <v>0</v>
      </c>
      <c r="P83" s="232">
        <v>156798</v>
      </c>
      <c r="Q83" s="232">
        <v>2999025</v>
      </c>
      <c r="R83" s="232"/>
      <c r="S83" s="394">
        <v>858282</v>
      </c>
      <c r="T83" s="232">
        <v>45331</v>
      </c>
      <c r="U83" s="398">
        <v>903613</v>
      </c>
      <c r="V83" s="232"/>
      <c r="W83" s="398">
        <v>7722610</v>
      </c>
      <c r="X83" s="398">
        <v>-2728760</v>
      </c>
      <c r="Y83" s="398"/>
      <c r="Z83" s="398"/>
    </row>
    <row r="84" spans="1:26">
      <c r="A84" s="392">
        <v>91003</v>
      </c>
      <c r="B84" s="393" t="s">
        <v>801</v>
      </c>
      <c r="C84" s="235">
        <v>6.0979999999999997E-4</v>
      </c>
      <c r="D84" s="235">
        <v>5.7609999999999996E-4</v>
      </c>
      <c r="E84" s="232">
        <v>935187</v>
      </c>
      <c r="F84" s="232" t="s">
        <v>1930</v>
      </c>
      <c r="G84" s="394">
        <v>297517</v>
      </c>
      <c r="H84" s="394">
        <v>0</v>
      </c>
      <c r="I84" s="394">
        <v>587536</v>
      </c>
      <c r="J84" s="232">
        <v>79251</v>
      </c>
      <c r="K84" s="232">
        <v>964304</v>
      </c>
      <c r="L84" s="232"/>
      <c r="M84" s="302">
        <v>0</v>
      </c>
      <c r="N84" s="302">
        <v>1336101</v>
      </c>
      <c r="O84" s="302">
        <v>0</v>
      </c>
      <c r="P84" s="232">
        <v>20074</v>
      </c>
      <c r="Q84" s="232">
        <v>1356175</v>
      </c>
      <c r="R84" s="232"/>
      <c r="S84" s="394">
        <v>403469</v>
      </c>
      <c r="T84" s="232">
        <v>20364</v>
      </c>
      <c r="U84" s="398">
        <v>423833</v>
      </c>
      <c r="V84" s="232"/>
      <c r="W84" s="398">
        <v>3630317</v>
      </c>
      <c r="X84" s="398">
        <v>-1282761</v>
      </c>
      <c r="Y84" s="398"/>
      <c r="Z84" s="398"/>
    </row>
    <row r="85" spans="1:26">
      <c r="A85" s="392">
        <v>91004</v>
      </c>
      <c r="B85" s="393" t="s">
        <v>802</v>
      </c>
      <c r="C85" s="235">
        <v>4.2299999999999998E-5</v>
      </c>
      <c r="D85" s="235">
        <v>3.6600000000000002E-5</v>
      </c>
      <c r="E85" s="232">
        <v>64871</v>
      </c>
      <c r="F85" s="232" t="s">
        <v>1930</v>
      </c>
      <c r="G85" s="394">
        <v>20638</v>
      </c>
      <c r="H85" s="394">
        <v>0</v>
      </c>
      <c r="I85" s="394">
        <v>40756</v>
      </c>
      <c r="J85" s="232">
        <v>10539</v>
      </c>
      <c r="K85" s="232">
        <v>71933</v>
      </c>
      <c r="L85" s="232"/>
      <c r="M85" s="302">
        <v>0</v>
      </c>
      <c r="N85" s="302">
        <v>92681</v>
      </c>
      <c r="O85" s="302">
        <v>0</v>
      </c>
      <c r="P85" s="232">
        <v>1684</v>
      </c>
      <c r="Q85" s="232">
        <v>94365</v>
      </c>
      <c r="R85" s="232"/>
      <c r="S85" s="394">
        <v>27987</v>
      </c>
      <c r="T85" s="232">
        <v>5882</v>
      </c>
      <c r="U85" s="398">
        <v>33869</v>
      </c>
      <c r="V85" s="232"/>
      <c r="W85" s="398">
        <v>251824</v>
      </c>
      <c r="X85" s="398">
        <v>-88981</v>
      </c>
      <c r="Y85" s="398"/>
      <c r="Z85" s="398"/>
    </row>
    <row r="86" spans="1:26">
      <c r="A86" s="392">
        <v>91006</v>
      </c>
      <c r="B86" s="393" t="s">
        <v>803</v>
      </c>
      <c r="C86" s="235">
        <v>1.0070999999999999E-3</v>
      </c>
      <c r="D86" s="235">
        <v>1.0206E-3</v>
      </c>
      <c r="E86" s="232">
        <v>1544485</v>
      </c>
      <c r="F86" s="232" t="s">
        <v>1930</v>
      </c>
      <c r="G86" s="394">
        <v>491356</v>
      </c>
      <c r="H86" s="394">
        <v>0</v>
      </c>
      <c r="I86" s="394">
        <v>970331</v>
      </c>
      <c r="J86" s="232">
        <v>0</v>
      </c>
      <c r="K86" s="232">
        <v>1461687</v>
      </c>
      <c r="L86" s="232"/>
      <c r="M86" s="302">
        <v>0</v>
      </c>
      <c r="N86" s="302">
        <v>2206604</v>
      </c>
      <c r="O86" s="302">
        <v>0</v>
      </c>
      <c r="P86" s="232">
        <v>115287</v>
      </c>
      <c r="Q86" s="232">
        <v>2321891</v>
      </c>
      <c r="R86" s="232"/>
      <c r="S86" s="394">
        <v>666340</v>
      </c>
      <c r="T86" s="232">
        <v>-52503</v>
      </c>
      <c r="U86" s="398">
        <v>613837</v>
      </c>
      <c r="V86" s="232"/>
      <c r="W86" s="398">
        <v>5995560</v>
      </c>
      <c r="X86" s="398">
        <v>-2118512</v>
      </c>
      <c r="Y86" s="398"/>
      <c r="Z86" s="398"/>
    </row>
    <row r="87" spans="1:26">
      <c r="A87" s="392">
        <v>91007</v>
      </c>
      <c r="B87" s="393" t="s">
        <v>804</v>
      </c>
      <c r="C87" s="235">
        <v>1.06E-5</v>
      </c>
      <c r="D87" s="235">
        <v>9.5000000000000005E-6</v>
      </c>
      <c r="E87" s="232">
        <v>16256</v>
      </c>
      <c r="F87" s="232" t="s">
        <v>1930</v>
      </c>
      <c r="G87" s="394">
        <v>5172</v>
      </c>
      <c r="H87" s="394">
        <v>0</v>
      </c>
      <c r="I87" s="394">
        <v>10213</v>
      </c>
      <c r="J87" s="232">
        <v>2725</v>
      </c>
      <c r="K87" s="232">
        <v>18110</v>
      </c>
      <c r="L87" s="232"/>
      <c r="M87" s="302">
        <v>0</v>
      </c>
      <c r="N87" s="302">
        <v>23225</v>
      </c>
      <c r="O87" s="302">
        <v>0</v>
      </c>
      <c r="P87" s="232">
        <v>733</v>
      </c>
      <c r="Q87" s="232">
        <v>23958</v>
      </c>
      <c r="R87" s="232"/>
      <c r="S87" s="394">
        <v>7013</v>
      </c>
      <c r="T87" s="232">
        <v>1262</v>
      </c>
      <c r="U87" s="398">
        <v>8275</v>
      </c>
      <c r="V87" s="232"/>
      <c r="W87" s="398">
        <v>63105</v>
      </c>
      <c r="X87" s="398">
        <v>-22298</v>
      </c>
      <c r="Y87" s="398"/>
      <c r="Z87" s="398"/>
    </row>
    <row r="88" spans="1:26">
      <c r="A88" s="392">
        <v>91008</v>
      </c>
      <c r="B88" s="393" t="s">
        <v>805</v>
      </c>
      <c r="C88" s="235">
        <v>1.5679999999999999E-4</v>
      </c>
      <c r="D88" s="235">
        <v>1.5430000000000001E-4</v>
      </c>
      <c r="E88" s="232">
        <v>240468</v>
      </c>
      <c r="F88" s="232" t="s">
        <v>1930</v>
      </c>
      <c r="G88" s="394">
        <v>76501</v>
      </c>
      <c r="H88" s="394">
        <v>0</v>
      </c>
      <c r="I88" s="394">
        <v>151075</v>
      </c>
      <c r="J88" s="232">
        <v>21079</v>
      </c>
      <c r="K88" s="232">
        <v>248655</v>
      </c>
      <c r="L88" s="232"/>
      <c r="M88" s="302">
        <v>0</v>
      </c>
      <c r="N88" s="302">
        <v>343556</v>
      </c>
      <c r="O88" s="302">
        <v>0</v>
      </c>
      <c r="P88" s="232">
        <v>0</v>
      </c>
      <c r="Q88" s="232">
        <v>343556</v>
      </c>
      <c r="R88" s="232"/>
      <c r="S88" s="394">
        <v>103745</v>
      </c>
      <c r="T88" s="232">
        <v>13314</v>
      </c>
      <c r="U88" s="398">
        <v>117059</v>
      </c>
      <c r="V88" s="232"/>
      <c r="W88" s="398">
        <v>933476</v>
      </c>
      <c r="X88" s="398">
        <v>-329841</v>
      </c>
      <c r="Y88" s="398"/>
      <c r="Z88" s="398"/>
    </row>
    <row r="89" spans="1:26">
      <c r="A89" s="392">
        <v>91009</v>
      </c>
      <c r="B89" s="393" t="s">
        <v>806</v>
      </c>
      <c r="C89" s="235">
        <v>1.1199999999999999E-5</v>
      </c>
      <c r="D89" s="235">
        <v>1.22E-5</v>
      </c>
      <c r="E89" s="232">
        <v>17176</v>
      </c>
      <c r="F89" s="232" t="s">
        <v>1930</v>
      </c>
      <c r="G89" s="394">
        <v>5464</v>
      </c>
      <c r="H89" s="394">
        <v>0</v>
      </c>
      <c r="I89" s="394">
        <v>10791</v>
      </c>
      <c r="J89" s="232">
        <v>9808</v>
      </c>
      <c r="K89" s="232">
        <v>26063</v>
      </c>
      <c r="L89" s="232"/>
      <c r="M89" s="302">
        <v>0</v>
      </c>
      <c r="N89" s="302">
        <v>24540</v>
      </c>
      <c r="O89" s="302">
        <v>0</v>
      </c>
      <c r="P89" s="232">
        <v>322</v>
      </c>
      <c r="Q89" s="232">
        <v>24862</v>
      </c>
      <c r="R89" s="232"/>
      <c r="S89" s="394">
        <v>7410</v>
      </c>
      <c r="T89" s="232">
        <v>4927</v>
      </c>
      <c r="U89" s="398">
        <v>12337</v>
      </c>
      <c r="V89" s="232"/>
      <c r="W89" s="398">
        <v>66677</v>
      </c>
      <c r="X89" s="398">
        <v>-23560</v>
      </c>
      <c r="Y89" s="398"/>
      <c r="Z89" s="398"/>
    </row>
    <row r="90" spans="1:26">
      <c r="A90" s="392">
        <v>91010</v>
      </c>
      <c r="B90" s="393" t="s">
        <v>807</v>
      </c>
      <c r="C90" s="235">
        <v>4.8999999999999998E-5</v>
      </c>
      <c r="D90" s="235">
        <v>4.9400000000000001E-5</v>
      </c>
      <c r="E90" s="232">
        <v>75146</v>
      </c>
      <c r="F90" s="232" t="s">
        <v>1930</v>
      </c>
      <c r="G90" s="394">
        <v>23907</v>
      </c>
      <c r="H90" s="394">
        <v>0</v>
      </c>
      <c r="I90" s="394">
        <v>47211</v>
      </c>
      <c r="J90" s="232">
        <v>9229</v>
      </c>
      <c r="K90" s="232">
        <v>80347</v>
      </c>
      <c r="L90" s="232"/>
      <c r="M90" s="302">
        <v>0</v>
      </c>
      <c r="N90" s="302">
        <v>107361</v>
      </c>
      <c r="O90" s="302">
        <v>0</v>
      </c>
      <c r="P90" s="232">
        <v>2957</v>
      </c>
      <c r="Q90" s="232">
        <v>110318</v>
      </c>
      <c r="R90" s="232"/>
      <c r="S90" s="394">
        <v>32420</v>
      </c>
      <c r="T90" s="232">
        <v>1467</v>
      </c>
      <c r="U90" s="398">
        <v>33887</v>
      </c>
      <c r="V90" s="232"/>
      <c r="W90" s="398">
        <v>291711</v>
      </c>
      <c r="X90" s="398">
        <v>-103075</v>
      </c>
      <c r="Y90" s="398"/>
      <c r="Z90" s="398"/>
    </row>
    <row r="91" spans="1:26">
      <c r="A91" s="392">
        <v>91011</v>
      </c>
      <c r="B91" s="393" t="s">
        <v>808</v>
      </c>
      <c r="C91" s="235">
        <v>4.0470000000000002E-4</v>
      </c>
      <c r="D91" s="235">
        <v>3.701E-4</v>
      </c>
      <c r="E91" s="232">
        <v>620646</v>
      </c>
      <c r="F91" s="232" t="s">
        <v>1930</v>
      </c>
      <c r="G91" s="394">
        <v>197450</v>
      </c>
      <c r="H91" s="394">
        <v>0</v>
      </c>
      <c r="I91" s="394">
        <v>389924</v>
      </c>
      <c r="J91" s="232">
        <v>129871</v>
      </c>
      <c r="K91" s="232">
        <v>717245</v>
      </c>
      <c r="L91" s="232"/>
      <c r="M91" s="302">
        <v>0</v>
      </c>
      <c r="N91" s="302">
        <v>886717</v>
      </c>
      <c r="O91" s="302">
        <v>0</v>
      </c>
      <c r="P91" s="232">
        <v>13024</v>
      </c>
      <c r="Q91" s="232">
        <v>899741</v>
      </c>
      <c r="R91" s="232"/>
      <c r="S91" s="394">
        <v>267767</v>
      </c>
      <c r="T91" s="232">
        <v>51595</v>
      </c>
      <c r="U91" s="398">
        <v>319362</v>
      </c>
      <c r="V91" s="232"/>
      <c r="W91" s="398">
        <v>2409297</v>
      </c>
      <c r="X91" s="398">
        <v>-851318</v>
      </c>
      <c r="Y91" s="398"/>
      <c r="Z91" s="398"/>
    </row>
    <row r="92" spans="1:26">
      <c r="A92" s="392">
        <v>91012</v>
      </c>
      <c r="B92" s="393" t="s">
        <v>809</v>
      </c>
      <c r="C92" s="235">
        <v>1.3900000000000001E-5</v>
      </c>
      <c r="D92" s="235">
        <v>1.1600000000000001E-5</v>
      </c>
      <c r="E92" s="232">
        <v>21317</v>
      </c>
      <c r="F92" s="232" t="s">
        <v>1930</v>
      </c>
      <c r="G92" s="394">
        <v>6782</v>
      </c>
      <c r="H92" s="394">
        <v>0</v>
      </c>
      <c r="I92" s="394">
        <v>13393</v>
      </c>
      <c r="J92" s="232">
        <v>6880</v>
      </c>
      <c r="K92" s="232">
        <v>27055</v>
      </c>
      <c r="L92" s="232"/>
      <c r="M92" s="302">
        <v>0</v>
      </c>
      <c r="N92" s="302">
        <v>30456</v>
      </c>
      <c r="O92" s="302">
        <v>0</v>
      </c>
      <c r="P92" s="232">
        <v>2853</v>
      </c>
      <c r="Q92" s="232">
        <v>33309</v>
      </c>
      <c r="R92" s="232"/>
      <c r="S92" s="394">
        <v>9197</v>
      </c>
      <c r="T92" s="232">
        <v>1337</v>
      </c>
      <c r="U92" s="398">
        <v>10534</v>
      </c>
      <c r="V92" s="232"/>
      <c r="W92" s="398">
        <v>82751</v>
      </c>
      <c r="X92" s="398">
        <v>-29240</v>
      </c>
      <c r="Y92" s="398"/>
      <c r="Z92" s="398"/>
    </row>
    <row r="93" spans="1:26">
      <c r="A93" s="392">
        <v>91013</v>
      </c>
      <c r="B93" s="393" t="s">
        <v>810</v>
      </c>
      <c r="C93" s="235">
        <v>3.6000000000000001E-5</v>
      </c>
      <c r="D93" s="235">
        <v>3.7200000000000003E-5</v>
      </c>
      <c r="E93" s="232">
        <v>55209</v>
      </c>
      <c r="F93" s="232" t="s">
        <v>1930</v>
      </c>
      <c r="G93" s="394">
        <v>17564</v>
      </c>
      <c r="H93" s="394">
        <v>0</v>
      </c>
      <c r="I93" s="394">
        <v>34686</v>
      </c>
      <c r="J93" s="232">
        <v>30162</v>
      </c>
      <c r="K93" s="232">
        <v>82412</v>
      </c>
      <c r="L93" s="232"/>
      <c r="M93" s="302">
        <v>0</v>
      </c>
      <c r="N93" s="302">
        <v>78878</v>
      </c>
      <c r="O93" s="302">
        <v>0</v>
      </c>
      <c r="P93" s="232">
        <v>0</v>
      </c>
      <c r="Q93" s="232">
        <v>78878</v>
      </c>
      <c r="R93" s="232"/>
      <c r="S93" s="394">
        <v>23819</v>
      </c>
      <c r="T93" s="232">
        <v>19205</v>
      </c>
      <c r="U93" s="398">
        <v>43024</v>
      </c>
      <c r="V93" s="232"/>
      <c r="W93" s="398">
        <v>214319</v>
      </c>
      <c r="X93" s="398">
        <v>-75729</v>
      </c>
      <c r="Y93" s="398"/>
      <c r="Z93" s="398"/>
    </row>
    <row r="94" spans="1:26">
      <c r="A94" s="392">
        <v>91014</v>
      </c>
      <c r="B94" s="393" t="s">
        <v>811</v>
      </c>
      <c r="C94" s="235">
        <v>1.8029999999999999E-4</v>
      </c>
      <c r="D94" s="235">
        <v>1.762E-4</v>
      </c>
      <c r="E94" s="232">
        <v>276507</v>
      </c>
      <c r="F94" s="232" t="s">
        <v>1930</v>
      </c>
      <c r="G94" s="394">
        <v>87967</v>
      </c>
      <c r="H94" s="394">
        <v>0</v>
      </c>
      <c r="I94" s="394">
        <v>173717</v>
      </c>
      <c r="J94" s="232">
        <v>20052</v>
      </c>
      <c r="K94" s="232">
        <v>281736</v>
      </c>
      <c r="L94" s="232"/>
      <c r="M94" s="302">
        <v>0</v>
      </c>
      <c r="N94" s="302">
        <v>395046</v>
      </c>
      <c r="O94" s="302">
        <v>0</v>
      </c>
      <c r="P94" s="232">
        <v>10561</v>
      </c>
      <c r="Q94" s="232">
        <v>405607</v>
      </c>
      <c r="R94" s="232"/>
      <c r="S94" s="394">
        <v>119294</v>
      </c>
      <c r="T94" s="232">
        <v>392</v>
      </c>
      <c r="U94" s="398">
        <v>119686</v>
      </c>
      <c r="V94" s="232"/>
      <c r="W94" s="398">
        <v>1073379</v>
      </c>
      <c r="X94" s="398">
        <v>-379275</v>
      </c>
      <c r="Y94" s="398"/>
      <c r="Z94" s="398"/>
    </row>
    <row r="95" spans="1:26">
      <c r="A95" s="392">
        <v>91015</v>
      </c>
      <c r="B95" s="397" t="s">
        <v>1640</v>
      </c>
      <c r="C95" s="235">
        <v>2.1699999999999999E-5</v>
      </c>
      <c r="D95" s="235">
        <v>1.6699999999999999E-5</v>
      </c>
      <c r="E95" s="232">
        <v>33279</v>
      </c>
      <c r="F95" s="232" t="s">
        <v>1930</v>
      </c>
      <c r="G95" s="394">
        <v>10587</v>
      </c>
      <c r="H95" s="394">
        <v>0</v>
      </c>
      <c r="I95" s="394">
        <v>20908</v>
      </c>
      <c r="J95" s="232">
        <v>31378</v>
      </c>
      <c r="K95" s="232">
        <v>62873</v>
      </c>
      <c r="L95" s="232"/>
      <c r="M95" s="302">
        <v>0</v>
      </c>
      <c r="N95" s="302">
        <v>47546</v>
      </c>
      <c r="O95" s="302">
        <v>0</v>
      </c>
      <c r="P95" s="232">
        <v>0</v>
      </c>
      <c r="Q95" s="232">
        <v>47546</v>
      </c>
      <c r="R95" s="232"/>
      <c r="S95" s="394">
        <v>14358</v>
      </c>
      <c r="T95" s="232">
        <v>15257</v>
      </c>
      <c r="U95" s="398">
        <v>29615</v>
      </c>
      <c r="V95" s="232"/>
      <c r="W95" s="398">
        <v>129186</v>
      </c>
      <c r="X95" s="398">
        <v>-45648</v>
      </c>
      <c r="Y95" s="398"/>
      <c r="Z95" s="398"/>
    </row>
    <row r="96" spans="1:26">
      <c r="A96" s="392">
        <v>91017</v>
      </c>
      <c r="B96" s="393" t="s">
        <v>812</v>
      </c>
      <c r="C96" s="235">
        <v>2.7500000000000001E-5</v>
      </c>
      <c r="D96" s="235">
        <v>2.8500000000000002E-5</v>
      </c>
      <c r="E96" s="232">
        <v>42174</v>
      </c>
      <c r="F96" s="232" t="s">
        <v>1930</v>
      </c>
      <c r="G96" s="394">
        <v>13417</v>
      </c>
      <c r="H96" s="394">
        <v>0</v>
      </c>
      <c r="I96" s="394">
        <v>26496</v>
      </c>
      <c r="J96" s="232">
        <v>4652</v>
      </c>
      <c r="K96" s="232">
        <v>44565</v>
      </c>
      <c r="L96" s="232"/>
      <c r="M96" s="302">
        <v>0</v>
      </c>
      <c r="N96" s="302">
        <v>60254</v>
      </c>
      <c r="O96" s="302">
        <v>0</v>
      </c>
      <c r="P96" s="232">
        <v>691</v>
      </c>
      <c r="Q96" s="232">
        <v>60945</v>
      </c>
      <c r="R96" s="232"/>
      <c r="S96" s="394">
        <v>18195</v>
      </c>
      <c r="T96" s="232">
        <v>2667</v>
      </c>
      <c r="U96" s="398">
        <v>20862</v>
      </c>
      <c r="V96" s="232"/>
      <c r="W96" s="398">
        <v>163716</v>
      </c>
      <c r="X96" s="398">
        <v>-57848</v>
      </c>
      <c r="Y96" s="398"/>
      <c r="Z96" s="398"/>
    </row>
    <row r="97" spans="1:26">
      <c r="A97" s="392">
        <v>91020</v>
      </c>
      <c r="B97" s="393" t="s">
        <v>813</v>
      </c>
      <c r="C97" s="235">
        <v>2.5400000000000001E-5</v>
      </c>
      <c r="D97" s="235">
        <v>2.1399999999999998E-5</v>
      </c>
      <c r="E97" s="232">
        <v>38953</v>
      </c>
      <c r="F97" s="232" t="s">
        <v>1930</v>
      </c>
      <c r="G97" s="394">
        <v>12392</v>
      </c>
      <c r="H97" s="394">
        <v>0</v>
      </c>
      <c r="I97" s="394">
        <v>24473</v>
      </c>
      <c r="J97" s="232">
        <v>8908</v>
      </c>
      <c r="K97" s="232">
        <v>45773</v>
      </c>
      <c r="L97" s="232"/>
      <c r="M97" s="302">
        <v>0</v>
      </c>
      <c r="N97" s="302">
        <v>55653</v>
      </c>
      <c r="O97" s="302">
        <v>0</v>
      </c>
      <c r="P97" s="232">
        <v>4090</v>
      </c>
      <c r="Q97" s="232">
        <v>59743</v>
      </c>
      <c r="R97" s="232"/>
      <c r="S97" s="394">
        <v>16806</v>
      </c>
      <c r="T97" s="232">
        <v>2197</v>
      </c>
      <c r="U97" s="398">
        <v>19003</v>
      </c>
      <c r="V97" s="232"/>
      <c r="W97" s="398">
        <v>151214</v>
      </c>
      <c r="X97" s="398">
        <v>-53431</v>
      </c>
      <c r="Y97" s="398"/>
      <c r="Z97" s="398"/>
    </row>
    <row r="98" spans="1:26">
      <c r="A98" s="392">
        <v>91021</v>
      </c>
      <c r="B98" s="393" t="s">
        <v>814</v>
      </c>
      <c r="C98" s="235">
        <v>9.3899999999999995E-4</v>
      </c>
      <c r="D98" s="235">
        <v>9.5620000000000004E-4</v>
      </c>
      <c r="E98" s="232">
        <v>1440047</v>
      </c>
      <c r="F98" s="232" t="s">
        <v>1930</v>
      </c>
      <c r="G98" s="394">
        <v>458131</v>
      </c>
      <c r="H98" s="394">
        <v>0</v>
      </c>
      <c r="I98" s="394">
        <v>904717</v>
      </c>
      <c r="J98" s="232">
        <v>59683</v>
      </c>
      <c r="K98" s="232">
        <v>1422531</v>
      </c>
      <c r="L98" s="232"/>
      <c r="M98" s="302">
        <v>0</v>
      </c>
      <c r="N98" s="302">
        <v>2057394</v>
      </c>
      <c r="O98" s="302">
        <v>0</v>
      </c>
      <c r="P98" s="232">
        <v>23403</v>
      </c>
      <c r="Q98" s="232">
        <v>2080797</v>
      </c>
      <c r="R98" s="232"/>
      <c r="S98" s="394">
        <v>621282</v>
      </c>
      <c r="T98" s="232">
        <v>21369</v>
      </c>
      <c r="U98" s="398">
        <v>642651</v>
      </c>
      <c r="V98" s="232"/>
      <c r="W98" s="398">
        <v>5590141</v>
      </c>
      <c r="X98" s="398">
        <v>-1975259</v>
      </c>
      <c r="Y98" s="398"/>
      <c r="Z98" s="398"/>
    </row>
    <row r="99" spans="1:26">
      <c r="A99" s="392">
        <v>91024</v>
      </c>
      <c r="B99" s="393" t="s">
        <v>815</v>
      </c>
      <c r="C99" s="235">
        <v>8.0000000000000007E-5</v>
      </c>
      <c r="D99" s="235">
        <v>1.0170000000000001E-4</v>
      </c>
      <c r="E99" s="232">
        <v>122688</v>
      </c>
      <c r="F99" s="232" t="s">
        <v>1930</v>
      </c>
      <c r="G99" s="394">
        <v>39031</v>
      </c>
      <c r="H99" s="394">
        <v>0</v>
      </c>
      <c r="I99" s="394">
        <v>77079</v>
      </c>
      <c r="J99" s="232">
        <v>14935</v>
      </c>
      <c r="K99" s="232">
        <v>131045</v>
      </c>
      <c r="L99" s="232"/>
      <c r="M99" s="302">
        <v>0</v>
      </c>
      <c r="N99" s="302">
        <v>175284</v>
      </c>
      <c r="O99" s="302">
        <v>0</v>
      </c>
      <c r="P99" s="232">
        <v>27961</v>
      </c>
      <c r="Q99" s="232">
        <v>203245</v>
      </c>
      <c r="R99" s="232"/>
      <c r="S99" s="394">
        <v>52931</v>
      </c>
      <c r="T99" s="232">
        <v>1450</v>
      </c>
      <c r="U99" s="398">
        <v>54381</v>
      </c>
      <c r="V99" s="232"/>
      <c r="W99" s="398">
        <v>476263</v>
      </c>
      <c r="X99" s="398">
        <v>-168286</v>
      </c>
      <c r="Y99" s="398"/>
      <c r="Z99" s="398"/>
    </row>
    <row r="100" spans="1:26">
      <c r="A100" s="392">
        <v>91026</v>
      </c>
      <c r="B100" s="393" t="s">
        <v>43</v>
      </c>
      <c r="C100" s="235">
        <v>3.1300000000000002E-5</v>
      </c>
      <c r="D100" s="235">
        <v>3.5800000000000003E-5</v>
      </c>
      <c r="E100" s="232">
        <v>48002</v>
      </c>
      <c r="F100" s="232" t="s">
        <v>1930</v>
      </c>
      <c r="G100" s="394">
        <v>15271</v>
      </c>
      <c r="H100" s="394">
        <v>0</v>
      </c>
      <c r="I100" s="394">
        <v>30157</v>
      </c>
      <c r="J100" s="232">
        <v>30512</v>
      </c>
      <c r="K100" s="232">
        <v>75940</v>
      </c>
      <c r="L100" s="232"/>
      <c r="M100" s="302">
        <v>0</v>
      </c>
      <c r="N100" s="302">
        <v>68580</v>
      </c>
      <c r="O100" s="302">
        <v>0</v>
      </c>
      <c r="P100" s="232">
        <v>0</v>
      </c>
      <c r="Q100" s="232">
        <v>68580</v>
      </c>
      <c r="R100" s="232"/>
      <c r="S100" s="394">
        <v>20709</v>
      </c>
      <c r="T100" s="232">
        <v>16808</v>
      </c>
      <c r="U100" s="398">
        <v>37517</v>
      </c>
      <c r="V100" s="232"/>
      <c r="W100" s="398">
        <v>186338</v>
      </c>
      <c r="X100" s="398">
        <v>-65842</v>
      </c>
      <c r="Y100" s="398"/>
      <c r="Z100" s="398"/>
    </row>
    <row r="101" spans="1:26">
      <c r="A101" s="392">
        <v>91027</v>
      </c>
      <c r="B101" s="393" t="s">
        <v>816</v>
      </c>
      <c r="C101" s="235">
        <v>1.9599999999999999E-5</v>
      </c>
      <c r="D101" s="235">
        <v>1.7099999999999999E-5</v>
      </c>
      <c r="E101" s="232">
        <v>30058</v>
      </c>
      <c r="F101" s="232" t="s">
        <v>1930</v>
      </c>
      <c r="G101" s="394">
        <v>9563</v>
      </c>
      <c r="H101" s="394">
        <v>0</v>
      </c>
      <c r="I101" s="394">
        <v>18884</v>
      </c>
      <c r="J101" s="232">
        <v>18941</v>
      </c>
      <c r="K101" s="232">
        <v>47388</v>
      </c>
      <c r="L101" s="232"/>
      <c r="M101" s="302">
        <v>0</v>
      </c>
      <c r="N101" s="302">
        <v>42945</v>
      </c>
      <c r="O101" s="302">
        <v>0</v>
      </c>
      <c r="P101" s="232">
        <v>0</v>
      </c>
      <c r="Q101" s="232">
        <v>42945</v>
      </c>
      <c r="R101" s="232"/>
      <c r="S101" s="394">
        <v>12968</v>
      </c>
      <c r="T101" s="232">
        <v>10245</v>
      </c>
      <c r="U101" s="398">
        <v>23213</v>
      </c>
      <c r="V101" s="232"/>
      <c r="W101" s="398">
        <v>116685</v>
      </c>
      <c r="X101" s="398">
        <v>-41230</v>
      </c>
      <c r="Y101" s="398"/>
      <c r="Z101" s="398"/>
    </row>
    <row r="102" spans="1:26">
      <c r="A102" s="392">
        <v>91032</v>
      </c>
      <c r="B102" s="393" t="s">
        <v>817</v>
      </c>
      <c r="C102" s="235">
        <v>3.3699999999999999E-5</v>
      </c>
      <c r="D102" s="235">
        <v>2.02E-5</v>
      </c>
      <c r="E102" s="232">
        <v>51682</v>
      </c>
      <c r="F102" s="232" t="s">
        <v>1930</v>
      </c>
      <c r="G102" s="394">
        <v>16442</v>
      </c>
      <c r="H102" s="394">
        <v>0</v>
      </c>
      <c r="I102" s="394">
        <v>32470</v>
      </c>
      <c r="J102" s="232">
        <v>46028</v>
      </c>
      <c r="K102" s="232">
        <v>94940</v>
      </c>
      <c r="L102" s="232"/>
      <c r="M102" s="302">
        <v>0</v>
      </c>
      <c r="N102" s="302">
        <v>73838</v>
      </c>
      <c r="O102" s="302">
        <v>0</v>
      </c>
      <c r="P102" s="232">
        <v>0</v>
      </c>
      <c r="Q102" s="232">
        <v>73838</v>
      </c>
      <c r="R102" s="232"/>
      <c r="S102" s="394">
        <v>22297</v>
      </c>
      <c r="T102" s="232">
        <v>20853</v>
      </c>
      <c r="U102" s="398">
        <v>43150</v>
      </c>
      <c r="V102" s="232"/>
      <c r="W102" s="398">
        <v>200626</v>
      </c>
      <c r="X102" s="398">
        <v>-70891</v>
      </c>
      <c r="Y102" s="398"/>
      <c r="Z102" s="398"/>
    </row>
    <row r="103" spans="1:26">
      <c r="A103" s="392">
        <v>91041</v>
      </c>
      <c r="B103" s="393" t="s">
        <v>818</v>
      </c>
      <c r="C103" s="235">
        <v>4.1340000000000002E-4</v>
      </c>
      <c r="D103" s="235">
        <v>4.773E-4</v>
      </c>
      <c r="E103" s="232">
        <v>633989</v>
      </c>
      <c r="F103" s="232" t="s">
        <v>1930</v>
      </c>
      <c r="G103" s="394">
        <v>201695</v>
      </c>
      <c r="H103" s="394">
        <v>0</v>
      </c>
      <c r="I103" s="394">
        <v>398307</v>
      </c>
      <c r="J103" s="232">
        <v>14787</v>
      </c>
      <c r="K103" s="232">
        <v>614789</v>
      </c>
      <c r="L103" s="232"/>
      <c r="M103" s="302">
        <v>0</v>
      </c>
      <c r="N103" s="302">
        <v>905779</v>
      </c>
      <c r="O103" s="302">
        <v>0</v>
      </c>
      <c r="P103" s="232">
        <v>142980</v>
      </c>
      <c r="Q103" s="232">
        <v>1048759</v>
      </c>
      <c r="R103" s="232"/>
      <c r="S103" s="394">
        <v>273523</v>
      </c>
      <c r="T103" s="232">
        <v>-54005</v>
      </c>
      <c r="U103" s="398">
        <v>219518</v>
      </c>
      <c r="V103" s="232"/>
      <c r="W103" s="398">
        <v>2461091</v>
      </c>
      <c r="X103" s="398">
        <v>-869619</v>
      </c>
      <c r="Y103" s="398"/>
      <c r="Z103" s="398"/>
    </row>
    <row r="104" spans="1:26">
      <c r="A104" s="392">
        <v>91042</v>
      </c>
      <c r="B104" s="393" t="s">
        <v>819</v>
      </c>
      <c r="C104" s="235">
        <v>2.9639999999999999E-4</v>
      </c>
      <c r="D104" s="235">
        <v>2.7510000000000002E-4</v>
      </c>
      <c r="E104" s="232">
        <v>454558</v>
      </c>
      <c r="F104" s="232" t="s">
        <v>1930</v>
      </c>
      <c r="G104" s="394">
        <v>144611</v>
      </c>
      <c r="H104" s="394">
        <v>0</v>
      </c>
      <c r="I104" s="394">
        <v>285578</v>
      </c>
      <c r="J104" s="232">
        <v>40493</v>
      </c>
      <c r="K104" s="232">
        <v>470682</v>
      </c>
      <c r="L104" s="232"/>
      <c r="M104" s="302">
        <v>0</v>
      </c>
      <c r="N104" s="302">
        <v>649427</v>
      </c>
      <c r="O104" s="302">
        <v>0</v>
      </c>
      <c r="P104" s="232">
        <v>6442</v>
      </c>
      <c r="Q104" s="232">
        <v>655869</v>
      </c>
      <c r="R104" s="232"/>
      <c r="S104" s="394">
        <v>196111</v>
      </c>
      <c r="T104" s="232">
        <v>16098</v>
      </c>
      <c r="U104" s="398">
        <v>212209</v>
      </c>
      <c r="V104" s="232"/>
      <c r="W104" s="398">
        <v>1764556</v>
      </c>
      <c r="X104" s="398">
        <v>-623500</v>
      </c>
      <c r="Y104" s="398"/>
      <c r="Z104" s="398"/>
    </row>
    <row r="105" spans="1:26">
      <c r="A105" s="392">
        <v>91047</v>
      </c>
      <c r="B105" s="393" t="s">
        <v>820</v>
      </c>
      <c r="C105" s="235">
        <v>1.24E-5</v>
      </c>
      <c r="D105" s="235">
        <v>1.03E-5</v>
      </c>
      <c r="E105" s="232">
        <v>19017</v>
      </c>
      <c r="F105" s="232" t="s">
        <v>1930</v>
      </c>
      <c r="G105" s="394">
        <v>6050</v>
      </c>
      <c r="H105" s="394">
        <v>0</v>
      </c>
      <c r="I105" s="394">
        <v>11947</v>
      </c>
      <c r="J105" s="232">
        <v>12966</v>
      </c>
      <c r="K105" s="232">
        <v>30963</v>
      </c>
      <c r="L105" s="232"/>
      <c r="M105" s="302">
        <v>0</v>
      </c>
      <c r="N105" s="302">
        <v>27169</v>
      </c>
      <c r="O105" s="302">
        <v>0</v>
      </c>
      <c r="P105" s="232">
        <v>13</v>
      </c>
      <c r="Q105" s="232">
        <v>27182</v>
      </c>
      <c r="R105" s="232"/>
      <c r="S105" s="394">
        <v>8204</v>
      </c>
      <c r="T105" s="232">
        <v>8679</v>
      </c>
      <c r="U105" s="398">
        <v>16883</v>
      </c>
      <c r="V105" s="232"/>
      <c r="W105" s="398">
        <v>73821</v>
      </c>
      <c r="X105" s="398">
        <v>-26084</v>
      </c>
      <c r="Y105" s="398"/>
      <c r="Z105" s="398"/>
    </row>
    <row r="106" spans="1:26">
      <c r="A106" s="392">
        <v>91051</v>
      </c>
      <c r="B106" s="393" t="s">
        <v>821</v>
      </c>
      <c r="C106" s="235">
        <v>4.7299999999999998E-5</v>
      </c>
      <c r="D106" s="235">
        <v>6.2199999999999994E-5</v>
      </c>
      <c r="E106" s="232">
        <v>72539</v>
      </c>
      <c r="F106" s="232" t="s">
        <v>1930</v>
      </c>
      <c r="G106" s="394">
        <v>23077</v>
      </c>
      <c r="H106" s="394">
        <v>0</v>
      </c>
      <c r="I106" s="394">
        <v>45573</v>
      </c>
      <c r="J106" s="232">
        <v>1687</v>
      </c>
      <c r="K106" s="232">
        <v>70337</v>
      </c>
      <c r="L106" s="232"/>
      <c r="M106" s="302">
        <v>0</v>
      </c>
      <c r="N106" s="302">
        <v>103637</v>
      </c>
      <c r="O106" s="302">
        <v>0</v>
      </c>
      <c r="P106" s="232">
        <v>14374</v>
      </c>
      <c r="Q106" s="232">
        <v>118011</v>
      </c>
      <c r="R106" s="232"/>
      <c r="S106" s="394">
        <v>31296</v>
      </c>
      <c r="T106" s="232">
        <v>-5508</v>
      </c>
      <c r="U106" s="398">
        <v>25788</v>
      </c>
      <c r="V106" s="232"/>
      <c r="W106" s="398">
        <v>281591</v>
      </c>
      <c r="X106" s="398">
        <v>-99499</v>
      </c>
      <c r="Y106" s="398"/>
      <c r="Z106" s="398"/>
    </row>
    <row r="107" spans="1:26">
      <c r="A107" s="392">
        <v>91057</v>
      </c>
      <c r="B107" s="393" t="s">
        <v>822</v>
      </c>
      <c r="C107" s="235">
        <v>1.11E-5</v>
      </c>
      <c r="D107" s="235">
        <v>1.1E-5</v>
      </c>
      <c r="E107" s="232">
        <v>17023</v>
      </c>
      <c r="F107" s="232" t="s">
        <v>1930</v>
      </c>
      <c r="G107" s="394">
        <v>5416</v>
      </c>
      <c r="H107" s="394">
        <v>0</v>
      </c>
      <c r="I107" s="394">
        <v>10695</v>
      </c>
      <c r="J107" s="232">
        <v>8319</v>
      </c>
      <c r="K107" s="232">
        <v>24430</v>
      </c>
      <c r="L107" s="232"/>
      <c r="M107" s="302">
        <v>0</v>
      </c>
      <c r="N107" s="302">
        <v>24321</v>
      </c>
      <c r="O107" s="302">
        <v>0</v>
      </c>
      <c r="P107" s="232">
        <v>1670</v>
      </c>
      <c r="Q107" s="232">
        <v>25991</v>
      </c>
      <c r="R107" s="232"/>
      <c r="S107" s="394">
        <v>7344</v>
      </c>
      <c r="T107" s="232">
        <v>3313</v>
      </c>
      <c r="U107" s="398">
        <v>10657</v>
      </c>
      <c r="V107" s="232"/>
      <c r="W107" s="398">
        <v>66082</v>
      </c>
      <c r="X107" s="398">
        <v>-23350</v>
      </c>
      <c r="Y107" s="398"/>
      <c r="Z107" s="398"/>
    </row>
    <row r="108" spans="1:26">
      <c r="A108" s="392">
        <v>91061</v>
      </c>
      <c r="B108" s="393" t="s">
        <v>823</v>
      </c>
      <c r="C108" s="235">
        <v>3.7439999999999999E-4</v>
      </c>
      <c r="D108" s="235">
        <v>3.7950000000000001E-4</v>
      </c>
      <c r="E108" s="232">
        <v>574178</v>
      </c>
      <c r="F108" s="232" t="s">
        <v>1930</v>
      </c>
      <c r="G108" s="394">
        <v>182667</v>
      </c>
      <c r="H108" s="394">
        <v>0</v>
      </c>
      <c r="I108" s="394">
        <v>360731</v>
      </c>
      <c r="J108" s="232">
        <v>2006</v>
      </c>
      <c r="K108" s="232">
        <v>545404</v>
      </c>
      <c r="L108" s="232"/>
      <c r="M108" s="302">
        <v>0</v>
      </c>
      <c r="N108" s="302">
        <v>820328</v>
      </c>
      <c r="O108" s="302">
        <v>0</v>
      </c>
      <c r="P108" s="232">
        <v>17850</v>
      </c>
      <c r="Q108" s="232">
        <v>838178</v>
      </c>
      <c r="R108" s="232"/>
      <c r="S108" s="394">
        <v>247719</v>
      </c>
      <c r="T108" s="232">
        <v>-8328</v>
      </c>
      <c r="U108" s="398">
        <v>239391</v>
      </c>
      <c r="V108" s="232"/>
      <c r="W108" s="398">
        <v>2228913</v>
      </c>
      <c r="X108" s="398">
        <v>-787579</v>
      </c>
      <c r="Y108" s="398"/>
      <c r="Z108" s="398"/>
    </row>
    <row r="109" spans="1:26">
      <c r="A109" s="392">
        <v>91067</v>
      </c>
      <c r="B109" s="393" t="s">
        <v>824</v>
      </c>
      <c r="C109" s="235">
        <v>1.5800000000000001E-5</v>
      </c>
      <c r="D109" s="235">
        <v>1.5400000000000002E-5</v>
      </c>
      <c r="E109" s="232">
        <v>24231</v>
      </c>
      <c r="F109" s="232" t="s">
        <v>1930</v>
      </c>
      <c r="G109" s="394">
        <v>7709</v>
      </c>
      <c r="H109" s="394">
        <v>0</v>
      </c>
      <c r="I109" s="394">
        <v>15223</v>
      </c>
      <c r="J109" s="232">
        <v>3885</v>
      </c>
      <c r="K109" s="232">
        <v>26817</v>
      </c>
      <c r="L109" s="232"/>
      <c r="M109" s="302">
        <v>0</v>
      </c>
      <c r="N109" s="302">
        <v>34619</v>
      </c>
      <c r="O109" s="302">
        <v>0</v>
      </c>
      <c r="P109" s="232">
        <v>0</v>
      </c>
      <c r="Q109" s="232">
        <v>34619</v>
      </c>
      <c r="R109" s="232"/>
      <c r="S109" s="394">
        <v>10454</v>
      </c>
      <c r="T109" s="232">
        <v>1563</v>
      </c>
      <c r="U109" s="398">
        <v>12017</v>
      </c>
      <c r="V109" s="232"/>
      <c r="W109" s="398">
        <v>94062</v>
      </c>
      <c r="X109" s="398">
        <v>-33237</v>
      </c>
      <c r="Y109" s="398"/>
      <c r="Z109" s="398"/>
    </row>
    <row r="110" spans="1:26">
      <c r="A110" s="392">
        <v>91071</v>
      </c>
      <c r="B110" s="393" t="s">
        <v>825</v>
      </c>
      <c r="C110" s="235">
        <v>2.1359999999999999E-4</v>
      </c>
      <c r="D110" s="235">
        <v>2.186E-4</v>
      </c>
      <c r="E110" s="232">
        <v>327576</v>
      </c>
      <c r="F110" s="232" t="s">
        <v>1930</v>
      </c>
      <c r="G110" s="394">
        <v>104214</v>
      </c>
      <c r="H110" s="394">
        <v>0</v>
      </c>
      <c r="I110" s="394">
        <v>205801</v>
      </c>
      <c r="J110" s="232">
        <v>0</v>
      </c>
      <c r="K110" s="232">
        <v>310015</v>
      </c>
      <c r="L110" s="232"/>
      <c r="M110" s="302">
        <v>0</v>
      </c>
      <c r="N110" s="302">
        <v>468008</v>
      </c>
      <c r="O110" s="302">
        <v>0</v>
      </c>
      <c r="P110" s="232">
        <v>21647</v>
      </c>
      <c r="Q110" s="232">
        <v>489655</v>
      </c>
      <c r="R110" s="232"/>
      <c r="S110" s="394">
        <v>141327</v>
      </c>
      <c r="T110" s="232">
        <v>-15519</v>
      </c>
      <c r="U110" s="398">
        <v>125808</v>
      </c>
      <c r="V110" s="232"/>
      <c r="W110" s="398">
        <v>1271623</v>
      </c>
      <c r="X110" s="398">
        <v>-449324</v>
      </c>
      <c r="Y110" s="398"/>
      <c r="Z110" s="398"/>
    </row>
    <row r="111" spans="1:26">
      <c r="A111" s="392">
        <v>91077</v>
      </c>
      <c r="B111" s="393" t="s">
        <v>826</v>
      </c>
      <c r="C111" s="235">
        <v>1.31E-5</v>
      </c>
      <c r="D111" s="235">
        <v>1.1600000000000001E-5</v>
      </c>
      <c r="E111" s="232">
        <v>20090</v>
      </c>
      <c r="F111" s="232" t="s">
        <v>1930</v>
      </c>
      <c r="G111" s="394">
        <v>6391</v>
      </c>
      <c r="H111" s="394">
        <v>0</v>
      </c>
      <c r="I111" s="394">
        <v>12622</v>
      </c>
      <c r="J111" s="232">
        <v>10095</v>
      </c>
      <c r="K111" s="232">
        <v>29108</v>
      </c>
      <c r="L111" s="232"/>
      <c r="M111" s="302">
        <v>0</v>
      </c>
      <c r="N111" s="302">
        <v>28703</v>
      </c>
      <c r="O111" s="302">
        <v>0</v>
      </c>
      <c r="P111" s="232">
        <v>0</v>
      </c>
      <c r="Q111" s="232">
        <v>28703</v>
      </c>
      <c r="R111" s="232"/>
      <c r="S111" s="394">
        <v>8668</v>
      </c>
      <c r="T111" s="232">
        <v>4906</v>
      </c>
      <c r="U111" s="398">
        <v>13574</v>
      </c>
      <c r="V111" s="232"/>
      <c r="W111" s="398">
        <v>77988</v>
      </c>
      <c r="X111" s="398">
        <v>-27557</v>
      </c>
      <c r="Y111" s="398"/>
      <c r="Z111" s="398"/>
    </row>
    <row r="112" spans="1:26">
      <c r="A112" s="392">
        <v>91081</v>
      </c>
      <c r="B112" s="393" t="s">
        <v>827</v>
      </c>
      <c r="C112" s="235">
        <v>4.3070000000000001E-4</v>
      </c>
      <c r="D112" s="235">
        <v>4.2880000000000001E-4</v>
      </c>
      <c r="E112" s="232">
        <v>660520</v>
      </c>
      <c r="F112" s="232" t="s">
        <v>1930</v>
      </c>
      <c r="G112" s="394">
        <v>210135</v>
      </c>
      <c r="H112" s="394">
        <v>0</v>
      </c>
      <c r="I112" s="394">
        <v>414975</v>
      </c>
      <c r="J112" s="232">
        <v>12510</v>
      </c>
      <c r="K112" s="232">
        <v>637620</v>
      </c>
      <c r="L112" s="232"/>
      <c r="M112" s="302">
        <v>0</v>
      </c>
      <c r="N112" s="302">
        <v>943684</v>
      </c>
      <c r="O112" s="302">
        <v>0</v>
      </c>
      <c r="P112" s="232">
        <v>10939</v>
      </c>
      <c r="Q112" s="232">
        <v>954623</v>
      </c>
      <c r="R112" s="232"/>
      <c r="S112" s="394">
        <v>284969</v>
      </c>
      <c r="T112" s="232">
        <v>4544</v>
      </c>
      <c r="U112" s="398">
        <v>289513</v>
      </c>
      <c r="V112" s="232"/>
      <c r="W112" s="398">
        <v>2564083</v>
      </c>
      <c r="X112" s="398">
        <v>-906011</v>
      </c>
      <c r="Y112" s="398"/>
      <c r="Z112" s="398"/>
    </row>
    <row r="113" spans="1:26">
      <c r="A113" s="392">
        <v>91091</v>
      </c>
      <c r="B113" s="393" t="s">
        <v>828</v>
      </c>
      <c r="C113" s="235">
        <v>5.8279999999999996E-4</v>
      </c>
      <c r="D113" s="235">
        <v>5.6079999999999997E-4</v>
      </c>
      <c r="E113" s="232">
        <v>893780</v>
      </c>
      <c r="F113" s="232" t="s">
        <v>1930</v>
      </c>
      <c r="G113" s="394">
        <v>284343</v>
      </c>
      <c r="H113" s="394">
        <v>0</v>
      </c>
      <c r="I113" s="394">
        <v>561522</v>
      </c>
      <c r="J113" s="232">
        <v>43514</v>
      </c>
      <c r="K113" s="232">
        <v>889379</v>
      </c>
      <c r="L113" s="232"/>
      <c r="M113" s="302">
        <v>0</v>
      </c>
      <c r="N113" s="302">
        <v>1276943</v>
      </c>
      <c r="O113" s="302">
        <v>0</v>
      </c>
      <c r="P113" s="232">
        <v>7024</v>
      </c>
      <c r="Q113" s="232">
        <v>1283967</v>
      </c>
      <c r="R113" s="232"/>
      <c r="S113" s="394">
        <v>385605</v>
      </c>
      <c r="T113" s="232">
        <v>3260</v>
      </c>
      <c r="U113" s="398">
        <v>388865</v>
      </c>
      <c r="V113" s="232"/>
      <c r="W113" s="398">
        <v>3469579</v>
      </c>
      <c r="X113" s="398">
        <v>-1225965</v>
      </c>
      <c r="Y113" s="398"/>
      <c r="Z113" s="398"/>
    </row>
    <row r="114" spans="1:26">
      <c r="A114" s="392">
        <v>91101</v>
      </c>
      <c r="B114" s="393" t="s">
        <v>829</v>
      </c>
      <c r="C114" s="235">
        <v>1.38049E-2</v>
      </c>
      <c r="D114" s="235">
        <v>1.2932900000000001E-2</v>
      </c>
      <c r="E114" s="232">
        <v>21171139</v>
      </c>
      <c r="F114" s="232" t="s">
        <v>1930</v>
      </c>
      <c r="G114" s="394">
        <v>6735300</v>
      </c>
      <c r="H114" s="394">
        <v>0</v>
      </c>
      <c r="I114" s="394">
        <v>13300883</v>
      </c>
      <c r="J114" s="232">
        <v>849409</v>
      </c>
      <c r="K114" s="232">
        <v>20885592</v>
      </c>
      <c r="L114" s="232"/>
      <c r="M114" s="302">
        <v>0</v>
      </c>
      <c r="N114" s="302">
        <v>30247199</v>
      </c>
      <c r="O114" s="302">
        <v>0</v>
      </c>
      <c r="P114" s="232">
        <v>740481</v>
      </c>
      <c r="Q114" s="232">
        <v>30987680</v>
      </c>
      <c r="R114" s="232"/>
      <c r="S114" s="394">
        <v>9133902</v>
      </c>
      <c r="T114" s="232">
        <v>-196056</v>
      </c>
      <c r="U114" s="398">
        <v>8937846</v>
      </c>
      <c r="V114" s="232"/>
      <c r="W114" s="398">
        <v>82184601</v>
      </c>
      <c r="X114" s="398">
        <v>-29039670</v>
      </c>
      <c r="Y114" s="398"/>
      <c r="Z114" s="398"/>
    </row>
    <row r="115" spans="1:26">
      <c r="A115" s="392">
        <v>91102</v>
      </c>
      <c r="B115" s="393" t="s">
        <v>830</v>
      </c>
      <c r="C115" s="235">
        <v>2.8889999999999997E-4</v>
      </c>
      <c r="D115" s="235">
        <v>2.8190000000000002E-4</v>
      </c>
      <c r="E115" s="232">
        <v>443056</v>
      </c>
      <c r="F115" s="232" t="s">
        <v>1930</v>
      </c>
      <c r="G115" s="394">
        <v>140952</v>
      </c>
      <c r="H115" s="394">
        <v>0</v>
      </c>
      <c r="I115" s="394">
        <v>278352</v>
      </c>
      <c r="J115" s="232">
        <v>22045</v>
      </c>
      <c r="K115" s="232">
        <v>441349</v>
      </c>
      <c r="L115" s="232"/>
      <c r="M115" s="302">
        <v>0</v>
      </c>
      <c r="N115" s="302">
        <v>632994</v>
      </c>
      <c r="O115" s="302">
        <v>0</v>
      </c>
      <c r="P115" s="232">
        <v>35027</v>
      </c>
      <c r="Q115" s="232">
        <v>668021</v>
      </c>
      <c r="R115" s="232"/>
      <c r="S115" s="394">
        <v>191148</v>
      </c>
      <c r="T115" s="232">
        <v>-4895</v>
      </c>
      <c r="U115" s="398">
        <v>186253</v>
      </c>
      <c r="V115" s="232"/>
      <c r="W115" s="398">
        <v>1719906</v>
      </c>
      <c r="X115" s="398">
        <v>-607723</v>
      </c>
      <c r="Y115" s="398"/>
      <c r="Z115" s="398"/>
    </row>
    <row r="116" spans="1:26">
      <c r="A116" s="392">
        <v>91104</v>
      </c>
      <c r="B116" s="393" t="s">
        <v>831</v>
      </c>
      <c r="C116" s="235">
        <v>1.95E-5</v>
      </c>
      <c r="D116" s="235">
        <v>1.7499999999999998E-5</v>
      </c>
      <c r="E116" s="232">
        <v>29905</v>
      </c>
      <c r="F116" s="232" t="s">
        <v>1930</v>
      </c>
      <c r="G116" s="394">
        <v>9514</v>
      </c>
      <c r="H116" s="394">
        <v>0</v>
      </c>
      <c r="I116" s="394">
        <v>18788</v>
      </c>
      <c r="J116" s="232">
        <v>15920</v>
      </c>
      <c r="K116" s="232">
        <v>44222</v>
      </c>
      <c r="L116" s="232"/>
      <c r="M116" s="302">
        <v>0</v>
      </c>
      <c r="N116" s="302">
        <v>42725</v>
      </c>
      <c r="O116" s="302">
        <v>0</v>
      </c>
      <c r="P116" s="232">
        <v>0</v>
      </c>
      <c r="Q116" s="232">
        <v>42725</v>
      </c>
      <c r="R116" s="232"/>
      <c r="S116" s="394">
        <v>12902</v>
      </c>
      <c r="T116" s="232">
        <v>7303</v>
      </c>
      <c r="U116" s="398">
        <v>20205</v>
      </c>
      <c r="V116" s="232"/>
      <c r="W116" s="398">
        <v>116089</v>
      </c>
      <c r="X116" s="398">
        <v>-41020</v>
      </c>
      <c r="Y116" s="398"/>
      <c r="Z116" s="398"/>
    </row>
    <row r="117" spans="1:26">
      <c r="A117" s="392">
        <v>91107</v>
      </c>
      <c r="B117" s="393" t="s">
        <v>1938</v>
      </c>
      <c r="C117" s="235">
        <v>4.2500000000000003E-5</v>
      </c>
      <c r="D117" s="235">
        <v>3.8999999999999999E-5</v>
      </c>
      <c r="E117" s="232">
        <v>65178</v>
      </c>
      <c r="F117" s="232" t="s">
        <v>1930</v>
      </c>
      <c r="G117" s="394">
        <v>20735</v>
      </c>
      <c r="H117" s="394">
        <v>0</v>
      </c>
      <c r="I117" s="394">
        <v>40948</v>
      </c>
      <c r="J117" s="232">
        <v>18287</v>
      </c>
      <c r="K117" s="232">
        <v>79970</v>
      </c>
      <c r="L117" s="232"/>
      <c r="M117" s="302">
        <v>0</v>
      </c>
      <c r="N117" s="302">
        <v>93120</v>
      </c>
      <c r="O117" s="302">
        <v>0</v>
      </c>
      <c r="P117" s="232">
        <v>6424</v>
      </c>
      <c r="Q117" s="232">
        <v>99544</v>
      </c>
      <c r="R117" s="232"/>
      <c r="S117" s="394">
        <v>28120</v>
      </c>
      <c r="T117" s="232">
        <v>4512</v>
      </c>
      <c r="U117" s="398">
        <v>32632</v>
      </c>
      <c r="V117" s="232"/>
      <c r="W117" s="398">
        <v>253015</v>
      </c>
      <c r="X117" s="398">
        <v>-89402</v>
      </c>
      <c r="Y117" s="398"/>
      <c r="Z117" s="398"/>
    </row>
    <row r="118" spans="1:26">
      <c r="A118" s="392">
        <v>91108</v>
      </c>
      <c r="B118" s="393" t="s">
        <v>833</v>
      </c>
      <c r="C118" s="235">
        <v>1.1758000000000001E-3</v>
      </c>
      <c r="D118" s="235">
        <v>1.1678999999999999E-3</v>
      </c>
      <c r="E118" s="232">
        <v>1803202</v>
      </c>
      <c r="F118" s="232" t="s">
        <v>1930</v>
      </c>
      <c r="G118" s="394">
        <v>573663</v>
      </c>
      <c r="H118" s="394">
        <v>0</v>
      </c>
      <c r="I118" s="394">
        <v>1132872</v>
      </c>
      <c r="J118" s="232">
        <v>80423</v>
      </c>
      <c r="K118" s="232">
        <v>1786958</v>
      </c>
      <c r="L118" s="232"/>
      <c r="M118" s="302">
        <v>0</v>
      </c>
      <c r="N118" s="302">
        <v>2576234</v>
      </c>
      <c r="O118" s="302">
        <v>0</v>
      </c>
      <c r="P118" s="232">
        <v>11200</v>
      </c>
      <c r="Q118" s="232">
        <v>2587434</v>
      </c>
      <c r="R118" s="232"/>
      <c r="S118" s="394">
        <v>777959</v>
      </c>
      <c r="T118" s="232">
        <v>34309</v>
      </c>
      <c r="U118" s="398">
        <v>812268</v>
      </c>
      <c r="V118" s="232"/>
      <c r="W118" s="398">
        <v>6999881</v>
      </c>
      <c r="X118" s="398">
        <v>-2473386</v>
      </c>
      <c r="Y118" s="398"/>
      <c r="Z118" s="398"/>
    </row>
    <row r="119" spans="1:26">
      <c r="A119" s="392">
        <v>91109</v>
      </c>
      <c r="B119" s="393" t="s">
        <v>834</v>
      </c>
      <c r="C119" s="235">
        <v>1.0069999999999999E-4</v>
      </c>
      <c r="D119" s="235">
        <v>9.8599999999999998E-5</v>
      </c>
      <c r="E119" s="232">
        <v>154433</v>
      </c>
      <c r="F119" s="232" t="s">
        <v>1930</v>
      </c>
      <c r="G119" s="394">
        <v>49131</v>
      </c>
      <c r="H119" s="394">
        <v>0</v>
      </c>
      <c r="I119" s="394">
        <v>97023</v>
      </c>
      <c r="J119" s="232">
        <v>4352</v>
      </c>
      <c r="K119" s="232">
        <v>150506</v>
      </c>
      <c r="L119" s="232"/>
      <c r="M119" s="302">
        <v>0</v>
      </c>
      <c r="N119" s="302">
        <v>220639</v>
      </c>
      <c r="O119" s="302">
        <v>0</v>
      </c>
      <c r="P119" s="232">
        <v>0</v>
      </c>
      <c r="Q119" s="232">
        <v>220639</v>
      </c>
      <c r="R119" s="232"/>
      <c r="S119" s="394">
        <v>66627</v>
      </c>
      <c r="T119" s="232">
        <v>3246</v>
      </c>
      <c r="U119" s="398">
        <v>69873</v>
      </c>
      <c r="V119" s="232"/>
      <c r="W119" s="398">
        <v>599497</v>
      </c>
      <c r="X119" s="398">
        <v>-211830</v>
      </c>
      <c r="Y119" s="398"/>
      <c r="Z119" s="398"/>
    </row>
    <row r="120" spans="1:26">
      <c r="A120" s="392">
        <v>91111</v>
      </c>
      <c r="B120" s="393" t="s">
        <v>835</v>
      </c>
      <c r="C120" s="235">
        <v>2.0819999999999999E-4</v>
      </c>
      <c r="D120" s="235">
        <v>2.0149999999999999E-4</v>
      </c>
      <c r="E120" s="232">
        <v>319295</v>
      </c>
      <c r="F120" s="232" t="s">
        <v>1930</v>
      </c>
      <c r="G120" s="394">
        <v>101579</v>
      </c>
      <c r="H120" s="394">
        <v>0</v>
      </c>
      <c r="I120" s="394">
        <v>200599</v>
      </c>
      <c r="J120" s="232">
        <v>32168</v>
      </c>
      <c r="K120" s="232">
        <v>334346</v>
      </c>
      <c r="L120" s="232"/>
      <c r="M120" s="302">
        <v>0</v>
      </c>
      <c r="N120" s="302">
        <v>456176</v>
      </c>
      <c r="O120" s="302">
        <v>0</v>
      </c>
      <c r="P120" s="232">
        <v>9646</v>
      </c>
      <c r="Q120" s="232">
        <v>465822</v>
      </c>
      <c r="R120" s="232"/>
      <c r="S120" s="394">
        <v>137754</v>
      </c>
      <c r="T120" s="232">
        <v>10682</v>
      </c>
      <c r="U120" s="398">
        <v>148436</v>
      </c>
      <c r="V120" s="232"/>
      <c r="W120" s="398">
        <v>1239475</v>
      </c>
      <c r="X120" s="398">
        <v>-437965</v>
      </c>
      <c r="Y120" s="398"/>
      <c r="Z120" s="398"/>
    </row>
    <row r="121" spans="1:26">
      <c r="A121" s="392">
        <v>91120</v>
      </c>
      <c r="B121" s="393" t="s">
        <v>836</v>
      </c>
      <c r="C121" s="235">
        <v>2.4020000000000001E-4</v>
      </c>
      <c r="D121" s="235">
        <v>2.6830000000000002E-4</v>
      </c>
      <c r="E121" s="232">
        <v>368370</v>
      </c>
      <c r="F121" s="232" t="s">
        <v>1930</v>
      </c>
      <c r="G121" s="394">
        <v>117192</v>
      </c>
      <c r="H121" s="394">
        <v>0</v>
      </c>
      <c r="I121" s="394">
        <v>231430</v>
      </c>
      <c r="J121" s="232">
        <v>61664</v>
      </c>
      <c r="K121" s="232">
        <v>410286</v>
      </c>
      <c r="L121" s="232"/>
      <c r="M121" s="302">
        <v>0</v>
      </c>
      <c r="N121" s="302">
        <v>526290</v>
      </c>
      <c r="O121" s="302">
        <v>0</v>
      </c>
      <c r="P121" s="232">
        <v>91117</v>
      </c>
      <c r="Q121" s="232">
        <v>617407</v>
      </c>
      <c r="R121" s="232"/>
      <c r="S121" s="394">
        <v>158926</v>
      </c>
      <c r="T121" s="232">
        <v>-2244</v>
      </c>
      <c r="U121" s="398">
        <v>156682</v>
      </c>
      <c r="V121" s="232"/>
      <c r="W121" s="398">
        <v>1429981</v>
      </c>
      <c r="X121" s="398">
        <v>-505279</v>
      </c>
      <c r="Y121" s="398"/>
      <c r="Z121" s="398"/>
    </row>
    <row r="122" spans="1:26">
      <c r="A122" s="392">
        <v>91121</v>
      </c>
      <c r="B122" s="393" t="s">
        <v>837</v>
      </c>
      <c r="C122" s="235">
        <v>1.01818E-2</v>
      </c>
      <c r="D122" s="235">
        <v>1.04712E-2</v>
      </c>
      <c r="E122" s="232">
        <v>15614768</v>
      </c>
      <c r="F122" s="232" t="s">
        <v>1930</v>
      </c>
      <c r="G122" s="394">
        <v>4967619</v>
      </c>
      <c r="H122" s="394">
        <v>0</v>
      </c>
      <c r="I122" s="394">
        <v>9810062</v>
      </c>
      <c r="J122" s="232">
        <v>0</v>
      </c>
      <c r="K122" s="232">
        <v>14777681</v>
      </c>
      <c r="L122" s="232"/>
      <c r="M122" s="302">
        <v>0</v>
      </c>
      <c r="N122" s="302">
        <v>22308813</v>
      </c>
      <c r="O122" s="302">
        <v>0</v>
      </c>
      <c r="P122" s="232">
        <v>1289402</v>
      </c>
      <c r="Q122" s="232">
        <v>23598215</v>
      </c>
      <c r="R122" s="232"/>
      <c r="S122" s="394">
        <v>6736707</v>
      </c>
      <c r="T122" s="232">
        <v>-518440</v>
      </c>
      <c r="U122" s="398">
        <v>6218267</v>
      </c>
      <c r="V122" s="232"/>
      <c r="W122" s="398">
        <v>60615228</v>
      </c>
      <c r="X122" s="398">
        <v>-21418200</v>
      </c>
      <c r="Y122" s="398"/>
      <c r="Z122" s="398"/>
    </row>
    <row r="123" spans="1:26">
      <c r="A123" s="392">
        <v>91127</v>
      </c>
      <c r="B123" s="393" t="s">
        <v>838</v>
      </c>
      <c r="C123" s="235">
        <v>3.1520000000000002E-4</v>
      </c>
      <c r="D123" s="235">
        <v>2.8170000000000002E-4</v>
      </c>
      <c r="E123" s="232">
        <v>483389</v>
      </c>
      <c r="F123" s="232" t="s">
        <v>1930</v>
      </c>
      <c r="G123" s="394">
        <v>153784</v>
      </c>
      <c r="H123" s="394">
        <v>0</v>
      </c>
      <c r="I123" s="394">
        <v>303692</v>
      </c>
      <c r="J123" s="232">
        <v>105399</v>
      </c>
      <c r="K123" s="232">
        <v>562875</v>
      </c>
      <c r="L123" s="232"/>
      <c r="M123" s="302">
        <v>0</v>
      </c>
      <c r="N123" s="302">
        <v>690618</v>
      </c>
      <c r="O123" s="302">
        <v>0</v>
      </c>
      <c r="P123" s="232">
        <v>0</v>
      </c>
      <c r="Q123" s="232">
        <v>690618</v>
      </c>
      <c r="R123" s="232"/>
      <c r="S123" s="394">
        <v>208550</v>
      </c>
      <c r="T123" s="232">
        <v>46239</v>
      </c>
      <c r="U123" s="398">
        <v>254789</v>
      </c>
      <c r="V123" s="232"/>
      <c r="W123" s="398">
        <v>1876478</v>
      </c>
      <c r="X123" s="398">
        <v>-663047</v>
      </c>
      <c r="Y123" s="398"/>
      <c r="Z123" s="398"/>
    </row>
    <row r="124" spans="1:26">
      <c r="A124" s="392">
        <v>91128</v>
      </c>
      <c r="B124" s="393" t="s">
        <v>839</v>
      </c>
      <c r="C124" s="235">
        <v>5.6170000000000005E-4</v>
      </c>
      <c r="D124" s="235">
        <v>5.1889999999999998E-4</v>
      </c>
      <c r="E124" s="232">
        <v>861421</v>
      </c>
      <c r="F124" s="232" t="s">
        <v>1930</v>
      </c>
      <c r="G124" s="394">
        <v>274049</v>
      </c>
      <c r="H124" s="394">
        <v>0</v>
      </c>
      <c r="I124" s="394">
        <v>541192</v>
      </c>
      <c r="J124" s="232">
        <v>111087</v>
      </c>
      <c r="K124" s="232">
        <v>926328</v>
      </c>
      <c r="L124" s="232"/>
      <c r="M124" s="302">
        <v>0</v>
      </c>
      <c r="N124" s="302">
        <v>1230712</v>
      </c>
      <c r="O124" s="302">
        <v>0</v>
      </c>
      <c r="P124" s="232">
        <v>14429</v>
      </c>
      <c r="Q124" s="232">
        <v>1245141</v>
      </c>
      <c r="R124" s="232"/>
      <c r="S124" s="394">
        <v>371644</v>
      </c>
      <c r="T124" s="232">
        <v>38845</v>
      </c>
      <c r="U124" s="398">
        <v>410489</v>
      </c>
      <c r="V124" s="232"/>
      <c r="W124" s="398">
        <v>3343964</v>
      </c>
      <c r="X124" s="398">
        <v>-1181579</v>
      </c>
      <c r="Y124" s="398"/>
      <c r="Z124" s="398"/>
    </row>
    <row r="125" spans="1:26">
      <c r="A125" s="392">
        <v>91138</v>
      </c>
      <c r="B125" s="393" t="s">
        <v>840</v>
      </c>
      <c r="C125" s="235">
        <v>4.4339999999999999E-4</v>
      </c>
      <c r="D125" s="235">
        <v>4.5300000000000001E-4</v>
      </c>
      <c r="E125" s="232">
        <v>679996</v>
      </c>
      <c r="F125" s="232" t="s">
        <v>1930</v>
      </c>
      <c r="G125" s="394">
        <v>216331</v>
      </c>
      <c r="H125" s="394">
        <v>0</v>
      </c>
      <c r="I125" s="394">
        <v>427211</v>
      </c>
      <c r="J125" s="232">
        <v>0</v>
      </c>
      <c r="K125" s="232">
        <v>643542</v>
      </c>
      <c r="L125" s="232"/>
      <c r="M125" s="302">
        <v>0</v>
      </c>
      <c r="N125" s="302">
        <v>971511</v>
      </c>
      <c r="O125" s="302">
        <v>0</v>
      </c>
      <c r="P125" s="232">
        <v>99219</v>
      </c>
      <c r="Q125" s="232">
        <v>1070730</v>
      </c>
      <c r="R125" s="232"/>
      <c r="S125" s="394">
        <v>293372</v>
      </c>
      <c r="T125" s="232">
        <v>-77615</v>
      </c>
      <c r="U125" s="398">
        <v>215757</v>
      </c>
      <c r="V125" s="232"/>
      <c r="W125" s="398">
        <v>2639690</v>
      </c>
      <c r="X125" s="398">
        <v>-932726</v>
      </c>
      <c r="Y125" s="398"/>
      <c r="Z125" s="398"/>
    </row>
    <row r="126" spans="1:26">
      <c r="A126" s="392">
        <v>91141</v>
      </c>
      <c r="B126" s="393" t="s">
        <v>841</v>
      </c>
      <c r="C126" s="235">
        <v>6.0269999999999996E-4</v>
      </c>
      <c r="D126" s="235">
        <v>6.3380000000000001E-4</v>
      </c>
      <c r="E126" s="232">
        <v>924298</v>
      </c>
      <c r="F126" s="232" t="s">
        <v>1930</v>
      </c>
      <c r="G126" s="394">
        <v>294053</v>
      </c>
      <c r="H126" s="394">
        <v>0</v>
      </c>
      <c r="I126" s="394">
        <v>580695</v>
      </c>
      <c r="J126" s="232">
        <v>15469</v>
      </c>
      <c r="K126" s="232">
        <v>890217</v>
      </c>
      <c r="L126" s="232"/>
      <c r="M126" s="302">
        <v>0</v>
      </c>
      <c r="N126" s="302">
        <v>1320545</v>
      </c>
      <c r="O126" s="302">
        <v>0</v>
      </c>
      <c r="P126" s="232">
        <v>120630</v>
      </c>
      <c r="Q126" s="232">
        <v>1441175</v>
      </c>
      <c r="R126" s="232"/>
      <c r="S126" s="394">
        <v>398772</v>
      </c>
      <c r="T126" s="232">
        <v>-44458</v>
      </c>
      <c r="U126" s="398">
        <v>354314</v>
      </c>
      <c r="V126" s="232"/>
      <c r="W126" s="398">
        <v>3588049</v>
      </c>
      <c r="X126" s="398">
        <v>-1267826</v>
      </c>
      <c r="Y126" s="398"/>
      <c r="Z126" s="398"/>
    </row>
    <row r="127" spans="1:26">
      <c r="A127" s="392">
        <v>91147</v>
      </c>
      <c r="B127" s="393" t="s">
        <v>842</v>
      </c>
      <c r="C127" s="235">
        <v>3.1600000000000002E-5</v>
      </c>
      <c r="D127" s="235">
        <v>2.8399999999999999E-5</v>
      </c>
      <c r="E127" s="232">
        <v>48462</v>
      </c>
      <c r="F127" s="232" t="s">
        <v>1930</v>
      </c>
      <c r="G127" s="394">
        <v>15417</v>
      </c>
      <c r="H127" s="394">
        <v>0</v>
      </c>
      <c r="I127" s="394">
        <v>30446</v>
      </c>
      <c r="J127" s="232">
        <v>11939</v>
      </c>
      <c r="K127" s="232">
        <v>57802</v>
      </c>
      <c r="L127" s="232"/>
      <c r="M127" s="302">
        <v>0</v>
      </c>
      <c r="N127" s="302">
        <v>69237</v>
      </c>
      <c r="O127" s="302">
        <v>0</v>
      </c>
      <c r="P127" s="232">
        <v>271</v>
      </c>
      <c r="Q127" s="232">
        <v>69508</v>
      </c>
      <c r="R127" s="232"/>
      <c r="S127" s="394">
        <v>20908</v>
      </c>
      <c r="T127" s="232">
        <v>5135</v>
      </c>
      <c r="U127" s="398">
        <v>26043</v>
      </c>
      <c r="V127" s="232"/>
      <c r="W127" s="398">
        <v>188124</v>
      </c>
      <c r="X127" s="398">
        <v>-66473</v>
      </c>
      <c r="Y127" s="398"/>
      <c r="Z127" s="398"/>
    </row>
    <row r="128" spans="1:26">
      <c r="A128" s="392">
        <v>91151</v>
      </c>
      <c r="B128" s="393" t="s">
        <v>843</v>
      </c>
      <c r="C128" s="235">
        <v>5.7740000000000005E-4</v>
      </c>
      <c r="D128" s="235">
        <v>6.0360000000000003E-4</v>
      </c>
      <c r="E128" s="232">
        <v>885498</v>
      </c>
      <c r="F128" s="232" t="s">
        <v>1930</v>
      </c>
      <c r="G128" s="394">
        <v>281709</v>
      </c>
      <c r="H128" s="394">
        <v>0</v>
      </c>
      <c r="I128" s="394">
        <v>556319</v>
      </c>
      <c r="J128" s="232">
        <v>0</v>
      </c>
      <c r="K128" s="232">
        <v>838028</v>
      </c>
      <c r="L128" s="232"/>
      <c r="M128" s="302">
        <v>0</v>
      </c>
      <c r="N128" s="302">
        <v>1265111</v>
      </c>
      <c r="O128" s="302">
        <v>0</v>
      </c>
      <c r="P128" s="232">
        <v>107796</v>
      </c>
      <c r="Q128" s="232">
        <v>1372907</v>
      </c>
      <c r="R128" s="232"/>
      <c r="S128" s="394">
        <v>382032</v>
      </c>
      <c r="T128" s="232">
        <v>-50825</v>
      </c>
      <c r="U128" s="398">
        <v>331207</v>
      </c>
      <c r="V128" s="232"/>
      <c r="W128" s="398">
        <v>3437431</v>
      </c>
      <c r="X128" s="398">
        <v>-1214605</v>
      </c>
      <c r="Y128" s="398"/>
      <c r="Z128" s="398"/>
    </row>
    <row r="129" spans="1:26">
      <c r="A129" s="392">
        <v>91154</v>
      </c>
      <c r="B129" s="393" t="s">
        <v>844</v>
      </c>
      <c r="C129" s="235">
        <v>1.9199999999999999E-5</v>
      </c>
      <c r="D129" s="235">
        <v>2.1999999999999999E-5</v>
      </c>
      <c r="E129" s="232">
        <v>29445</v>
      </c>
      <c r="F129" s="232" t="s">
        <v>1930</v>
      </c>
      <c r="G129" s="394">
        <v>9368</v>
      </c>
      <c r="H129" s="394">
        <v>0</v>
      </c>
      <c r="I129" s="394">
        <v>18499</v>
      </c>
      <c r="J129" s="232">
        <v>979</v>
      </c>
      <c r="K129" s="232">
        <v>28846</v>
      </c>
      <c r="L129" s="232"/>
      <c r="M129" s="302">
        <v>0</v>
      </c>
      <c r="N129" s="302">
        <v>42068</v>
      </c>
      <c r="O129" s="302">
        <v>0</v>
      </c>
      <c r="P129" s="232">
        <v>6666</v>
      </c>
      <c r="Q129" s="232">
        <v>48734</v>
      </c>
      <c r="R129" s="232"/>
      <c r="S129" s="394">
        <v>12704</v>
      </c>
      <c r="T129" s="232">
        <v>-1520</v>
      </c>
      <c r="U129" s="398">
        <v>11184</v>
      </c>
      <c r="V129" s="232"/>
      <c r="W129" s="398">
        <v>114303</v>
      </c>
      <c r="X129" s="398">
        <v>-40389</v>
      </c>
      <c r="Y129" s="398"/>
      <c r="Z129" s="398"/>
    </row>
    <row r="130" spans="1:26">
      <c r="A130" s="392">
        <v>91161</v>
      </c>
      <c r="B130" s="393" t="s">
        <v>845</v>
      </c>
      <c r="C130" s="235">
        <v>9.5199999999999997E-5</v>
      </c>
      <c r="D130" s="235">
        <v>9.2499999999999999E-5</v>
      </c>
      <c r="E130" s="232">
        <v>145998</v>
      </c>
      <c r="F130" s="232" t="s">
        <v>1930</v>
      </c>
      <c r="G130" s="394">
        <v>46447</v>
      </c>
      <c r="H130" s="394">
        <v>0</v>
      </c>
      <c r="I130" s="394">
        <v>91724</v>
      </c>
      <c r="J130" s="232">
        <v>6296</v>
      </c>
      <c r="K130" s="232">
        <v>144467</v>
      </c>
      <c r="L130" s="232"/>
      <c r="M130" s="302">
        <v>0</v>
      </c>
      <c r="N130" s="302">
        <v>208588</v>
      </c>
      <c r="O130" s="302">
        <v>0</v>
      </c>
      <c r="P130" s="232">
        <v>11986</v>
      </c>
      <c r="Q130" s="232">
        <v>220574</v>
      </c>
      <c r="R130" s="232"/>
      <c r="S130" s="394">
        <v>62988</v>
      </c>
      <c r="T130" s="232">
        <v>-3983</v>
      </c>
      <c r="U130" s="398">
        <v>59005</v>
      </c>
      <c r="V130" s="232"/>
      <c r="W130" s="398">
        <v>566753</v>
      </c>
      <c r="X130" s="398">
        <v>-200261</v>
      </c>
      <c r="Y130" s="398"/>
      <c r="Z130" s="398"/>
    </row>
    <row r="131" spans="1:26">
      <c r="A131" s="392">
        <v>91171</v>
      </c>
      <c r="B131" s="393" t="s">
        <v>846</v>
      </c>
      <c r="C131" s="235">
        <v>2.6140000000000001E-4</v>
      </c>
      <c r="D131" s="235">
        <v>2.6679999999999998E-4</v>
      </c>
      <c r="E131" s="232">
        <v>400882</v>
      </c>
      <c r="F131" s="232" t="s">
        <v>1930</v>
      </c>
      <c r="G131" s="394">
        <v>127535</v>
      </c>
      <c r="H131" s="394">
        <v>0</v>
      </c>
      <c r="I131" s="394">
        <v>251856</v>
      </c>
      <c r="J131" s="232">
        <v>10475</v>
      </c>
      <c r="K131" s="232">
        <v>389866</v>
      </c>
      <c r="L131" s="232"/>
      <c r="M131" s="302">
        <v>0</v>
      </c>
      <c r="N131" s="302">
        <v>572740</v>
      </c>
      <c r="O131" s="302">
        <v>0</v>
      </c>
      <c r="P131" s="232">
        <v>34910</v>
      </c>
      <c r="Q131" s="232">
        <v>607650</v>
      </c>
      <c r="R131" s="232"/>
      <c r="S131" s="394">
        <v>172953</v>
      </c>
      <c r="T131" s="232">
        <v>-14432</v>
      </c>
      <c r="U131" s="398">
        <v>158521</v>
      </c>
      <c r="V131" s="232"/>
      <c r="W131" s="398">
        <v>1556191</v>
      </c>
      <c r="X131" s="398">
        <v>-549875</v>
      </c>
      <c r="Y131" s="398"/>
      <c r="Z131" s="398"/>
    </row>
    <row r="132" spans="1:26">
      <c r="A132" s="392">
        <v>91201</v>
      </c>
      <c r="B132" s="393" t="s">
        <v>847</v>
      </c>
      <c r="C132" s="235">
        <v>2.5525999999999999E-3</v>
      </c>
      <c r="D132" s="235">
        <v>2.5533000000000001E-3</v>
      </c>
      <c r="E132" s="232">
        <v>3914657</v>
      </c>
      <c r="F132" s="232" t="s">
        <v>1930</v>
      </c>
      <c r="G132" s="394">
        <v>1245393</v>
      </c>
      <c r="H132" s="394">
        <v>0</v>
      </c>
      <c r="I132" s="394">
        <v>2459405</v>
      </c>
      <c r="J132" s="232">
        <v>186324</v>
      </c>
      <c r="K132" s="232">
        <v>3891122</v>
      </c>
      <c r="L132" s="232"/>
      <c r="M132" s="302">
        <v>0</v>
      </c>
      <c r="N132" s="302">
        <v>5592869</v>
      </c>
      <c r="O132" s="302">
        <v>0</v>
      </c>
      <c r="P132" s="232">
        <v>100681</v>
      </c>
      <c r="Q132" s="232">
        <v>5693550</v>
      </c>
      <c r="R132" s="232"/>
      <c r="S132" s="394">
        <v>1688907</v>
      </c>
      <c r="T132" s="232">
        <v>26885</v>
      </c>
      <c r="U132" s="398">
        <v>1715792</v>
      </c>
      <c r="V132" s="232"/>
      <c r="W132" s="398">
        <v>15196373</v>
      </c>
      <c r="X132" s="398">
        <v>-5369591</v>
      </c>
      <c r="Y132" s="398"/>
      <c r="Z132" s="398"/>
    </row>
    <row r="133" spans="1:26">
      <c r="A133" s="392">
        <v>91202</v>
      </c>
      <c r="B133" s="393" t="s">
        <v>848</v>
      </c>
      <c r="C133" s="235">
        <v>0</v>
      </c>
      <c r="D133" s="235">
        <v>7.0699999999999997E-5</v>
      </c>
      <c r="E133" s="232">
        <v>0</v>
      </c>
      <c r="F133" s="232" t="s">
        <v>1930</v>
      </c>
      <c r="G133" s="394">
        <v>0</v>
      </c>
      <c r="H133" s="394">
        <v>0</v>
      </c>
      <c r="I133" s="394">
        <v>0</v>
      </c>
      <c r="J133" s="232">
        <v>980</v>
      </c>
      <c r="K133" s="232">
        <v>980</v>
      </c>
      <c r="L133" s="232"/>
      <c r="M133" s="302">
        <v>0</v>
      </c>
      <c r="N133" s="302">
        <v>0</v>
      </c>
      <c r="O133" s="302">
        <v>0</v>
      </c>
      <c r="P133" s="232">
        <v>215418</v>
      </c>
      <c r="Q133" s="232">
        <v>215418</v>
      </c>
      <c r="R133" s="232"/>
      <c r="S133" s="394">
        <v>0</v>
      </c>
      <c r="T133" s="232">
        <v>-83780</v>
      </c>
      <c r="U133" s="398">
        <v>-83780</v>
      </c>
      <c r="V133" s="232"/>
      <c r="W133" s="398">
        <v>0</v>
      </c>
      <c r="X133" s="398">
        <v>0</v>
      </c>
      <c r="Y133" s="398"/>
      <c r="Z133" s="398"/>
    </row>
    <row r="134" spans="1:26">
      <c r="A134" s="392">
        <v>91203</v>
      </c>
      <c r="B134" s="393" t="s">
        <v>849</v>
      </c>
      <c r="C134" s="235">
        <v>2.453E-4</v>
      </c>
      <c r="D134" s="235">
        <v>2.3599999999999999E-4</v>
      </c>
      <c r="E134" s="232">
        <v>376191</v>
      </c>
      <c r="F134" s="232" t="s">
        <v>1930</v>
      </c>
      <c r="G134" s="394">
        <v>119680</v>
      </c>
      <c r="H134" s="394">
        <v>0</v>
      </c>
      <c r="I134" s="394">
        <v>236344</v>
      </c>
      <c r="J134" s="232">
        <v>62507</v>
      </c>
      <c r="K134" s="232">
        <v>418531</v>
      </c>
      <c r="L134" s="232"/>
      <c r="M134" s="302">
        <v>0</v>
      </c>
      <c r="N134" s="302">
        <v>537464</v>
      </c>
      <c r="O134" s="302">
        <v>0</v>
      </c>
      <c r="P134" s="232">
        <v>0</v>
      </c>
      <c r="Q134" s="232">
        <v>537464</v>
      </c>
      <c r="R134" s="232"/>
      <c r="S134" s="394">
        <v>162301</v>
      </c>
      <c r="T134" s="232">
        <v>30762</v>
      </c>
      <c r="U134" s="398">
        <v>193063</v>
      </c>
      <c r="V134" s="232"/>
      <c r="W134" s="398">
        <v>1460343</v>
      </c>
      <c r="X134" s="398">
        <v>-516007</v>
      </c>
      <c r="Y134" s="398"/>
      <c r="Z134" s="398"/>
    </row>
    <row r="135" spans="1:26">
      <c r="A135" s="392">
        <v>91206</v>
      </c>
      <c r="B135" s="393" t="s">
        <v>850</v>
      </c>
      <c r="C135" s="235">
        <v>9.9869999999999994E-4</v>
      </c>
      <c r="D135" s="235">
        <v>9.0109999999999995E-4</v>
      </c>
      <c r="E135" s="232">
        <v>1531602</v>
      </c>
      <c r="F135" s="232" t="s">
        <v>1930</v>
      </c>
      <c r="G135" s="394">
        <v>487258</v>
      </c>
      <c r="H135" s="394">
        <v>0</v>
      </c>
      <c r="I135" s="394">
        <v>962237</v>
      </c>
      <c r="J135" s="232">
        <v>144834</v>
      </c>
      <c r="K135" s="232">
        <v>1594329</v>
      </c>
      <c r="L135" s="232"/>
      <c r="M135" s="302">
        <v>0</v>
      </c>
      <c r="N135" s="302">
        <v>2188200</v>
      </c>
      <c r="O135" s="302">
        <v>0</v>
      </c>
      <c r="P135" s="232">
        <v>38823</v>
      </c>
      <c r="Q135" s="232">
        <v>2227023</v>
      </c>
      <c r="R135" s="232"/>
      <c r="S135" s="394">
        <v>660782</v>
      </c>
      <c r="T135" s="232">
        <v>41241</v>
      </c>
      <c r="U135" s="398">
        <v>702023</v>
      </c>
      <c r="V135" s="232"/>
      <c r="W135" s="398">
        <v>5945553</v>
      </c>
      <c r="X135" s="398">
        <v>-2100842</v>
      </c>
      <c r="Y135" s="398"/>
      <c r="Z135" s="398"/>
    </row>
    <row r="136" spans="1:26" s="361" customFormat="1">
      <c r="A136" s="392">
        <v>91208</v>
      </c>
      <c r="B136" s="393" t="s">
        <v>851</v>
      </c>
      <c r="C136" s="235">
        <v>1.5999999999999999E-5</v>
      </c>
      <c r="D136" s="235">
        <v>1.6200000000000001E-5</v>
      </c>
      <c r="E136" s="232">
        <v>24538</v>
      </c>
      <c r="F136" s="232" t="s">
        <v>1930</v>
      </c>
      <c r="G136" s="394">
        <v>7806</v>
      </c>
      <c r="H136" s="394">
        <v>0</v>
      </c>
      <c r="I136" s="394">
        <v>15416</v>
      </c>
      <c r="J136" s="232">
        <v>3571</v>
      </c>
      <c r="K136" s="232">
        <v>26793</v>
      </c>
      <c r="L136" s="232"/>
      <c r="M136" s="302">
        <v>0</v>
      </c>
      <c r="N136" s="302">
        <v>35057</v>
      </c>
      <c r="O136" s="302">
        <v>0</v>
      </c>
      <c r="P136" s="232">
        <v>2062</v>
      </c>
      <c r="Q136" s="232">
        <v>37119</v>
      </c>
      <c r="R136" s="232"/>
      <c r="S136" s="394">
        <v>10586</v>
      </c>
      <c r="T136" s="232">
        <v>564</v>
      </c>
      <c r="U136" s="398">
        <v>11150</v>
      </c>
      <c r="V136" s="232"/>
      <c r="W136" s="398">
        <v>95253</v>
      </c>
      <c r="X136" s="398">
        <v>-33657</v>
      </c>
      <c r="Y136" s="398"/>
      <c r="Z136" s="398"/>
    </row>
    <row r="137" spans="1:26">
      <c r="A137" s="392">
        <v>91211</v>
      </c>
      <c r="B137" s="393" t="s">
        <v>852</v>
      </c>
      <c r="C137" s="235">
        <v>4.2250000000000002E-4</v>
      </c>
      <c r="D137" s="235">
        <v>4.817E-4</v>
      </c>
      <c r="E137" s="232">
        <v>647944</v>
      </c>
      <c r="F137" s="232" t="s">
        <v>1930</v>
      </c>
      <c r="G137" s="394">
        <v>206134</v>
      </c>
      <c r="H137" s="394">
        <v>0</v>
      </c>
      <c r="I137" s="394">
        <v>407075</v>
      </c>
      <c r="J137" s="232">
        <v>21986</v>
      </c>
      <c r="K137" s="232">
        <v>635195</v>
      </c>
      <c r="L137" s="232"/>
      <c r="M137" s="302">
        <v>0</v>
      </c>
      <c r="N137" s="302">
        <v>925718</v>
      </c>
      <c r="O137" s="302">
        <v>0</v>
      </c>
      <c r="P137" s="232">
        <v>114494</v>
      </c>
      <c r="Q137" s="232">
        <v>1040212</v>
      </c>
      <c r="R137" s="232"/>
      <c r="S137" s="394">
        <v>279544</v>
      </c>
      <c r="T137" s="232">
        <v>-30497</v>
      </c>
      <c r="U137" s="398">
        <v>249047</v>
      </c>
      <c r="V137" s="232"/>
      <c r="W137" s="398">
        <v>2515266</v>
      </c>
      <c r="X137" s="398">
        <v>-888761</v>
      </c>
      <c r="Y137" s="398"/>
      <c r="Z137" s="398"/>
    </row>
    <row r="138" spans="1:26">
      <c r="A138" s="392">
        <v>91213</v>
      </c>
      <c r="B138" s="393" t="s">
        <v>853</v>
      </c>
      <c r="C138" s="235">
        <v>2.2399999999999999E-5</v>
      </c>
      <c r="D138" s="235">
        <v>2.9E-5</v>
      </c>
      <c r="E138" s="232">
        <v>34353</v>
      </c>
      <c r="F138" s="232" t="s">
        <v>1930</v>
      </c>
      <c r="G138" s="394">
        <v>10929</v>
      </c>
      <c r="H138" s="394">
        <v>0</v>
      </c>
      <c r="I138" s="394">
        <v>21582</v>
      </c>
      <c r="J138" s="232">
        <v>1292</v>
      </c>
      <c r="K138" s="232">
        <v>33803</v>
      </c>
      <c r="L138" s="232"/>
      <c r="M138" s="302">
        <v>0</v>
      </c>
      <c r="N138" s="302">
        <v>49079</v>
      </c>
      <c r="O138" s="302">
        <v>0</v>
      </c>
      <c r="P138" s="232">
        <v>11353</v>
      </c>
      <c r="Q138" s="232">
        <v>60432</v>
      </c>
      <c r="R138" s="232"/>
      <c r="S138" s="394">
        <v>14821</v>
      </c>
      <c r="T138" s="232">
        <v>-5269</v>
      </c>
      <c r="U138" s="398">
        <v>9552</v>
      </c>
      <c r="V138" s="232"/>
      <c r="W138" s="398">
        <v>133354</v>
      </c>
      <c r="X138" s="398">
        <v>-47120</v>
      </c>
      <c r="Y138" s="398"/>
      <c r="Z138" s="398"/>
    </row>
    <row r="139" spans="1:26">
      <c r="A139" s="392">
        <v>91214</v>
      </c>
      <c r="B139" s="393" t="s">
        <v>854</v>
      </c>
      <c r="C139" s="235">
        <v>3.5200000000000002E-5</v>
      </c>
      <c r="D139" s="235">
        <v>3.5899999999999998E-5</v>
      </c>
      <c r="E139" s="232">
        <v>53983</v>
      </c>
      <c r="F139" s="232" t="s">
        <v>1930</v>
      </c>
      <c r="G139" s="394">
        <v>17174</v>
      </c>
      <c r="H139" s="394">
        <v>0</v>
      </c>
      <c r="I139" s="394">
        <v>33915</v>
      </c>
      <c r="J139" s="232">
        <v>308</v>
      </c>
      <c r="K139" s="232">
        <v>51397</v>
      </c>
      <c r="L139" s="232"/>
      <c r="M139" s="302">
        <v>0</v>
      </c>
      <c r="N139" s="302">
        <v>77125</v>
      </c>
      <c r="O139" s="302">
        <v>0</v>
      </c>
      <c r="P139" s="232">
        <v>9751</v>
      </c>
      <c r="Q139" s="232">
        <v>86876</v>
      </c>
      <c r="R139" s="232"/>
      <c r="S139" s="394">
        <v>23290</v>
      </c>
      <c r="T139" s="232">
        <v>-4430</v>
      </c>
      <c r="U139" s="398">
        <v>18860</v>
      </c>
      <c r="V139" s="232"/>
      <c r="W139" s="398">
        <v>209556</v>
      </c>
      <c r="X139" s="398">
        <v>-74046</v>
      </c>
      <c r="Y139" s="398"/>
      <c r="Z139" s="398"/>
    </row>
    <row r="140" spans="1:26">
      <c r="A140" s="392">
        <v>91217</v>
      </c>
      <c r="B140" s="393" t="s">
        <v>855</v>
      </c>
      <c r="C140" s="235">
        <v>2.6699999999999998E-5</v>
      </c>
      <c r="D140" s="235">
        <v>2.12E-5</v>
      </c>
      <c r="E140" s="232">
        <v>40947</v>
      </c>
      <c r="F140" s="232" t="s">
        <v>1930</v>
      </c>
      <c r="G140" s="394">
        <v>13027</v>
      </c>
      <c r="H140" s="394">
        <v>0</v>
      </c>
      <c r="I140" s="394">
        <v>25725</v>
      </c>
      <c r="J140" s="232">
        <v>21793</v>
      </c>
      <c r="K140" s="232">
        <v>60545</v>
      </c>
      <c r="L140" s="232"/>
      <c r="M140" s="302">
        <v>0</v>
      </c>
      <c r="N140" s="302">
        <v>58501</v>
      </c>
      <c r="O140" s="302">
        <v>0</v>
      </c>
      <c r="P140" s="232">
        <v>812</v>
      </c>
      <c r="Q140" s="232">
        <v>59313</v>
      </c>
      <c r="R140" s="232"/>
      <c r="S140" s="394">
        <v>17666</v>
      </c>
      <c r="T140" s="232">
        <v>8612</v>
      </c>
      <c r="U140" s="398">
        <v>26278</v>
      </c>
      <c r="V140" s="232"/>
      <c r="W140" s="398">
        <v>158953</v>
      </c>
      <c r="X140" s="398">
        <v>-56166</v>
      </c>
      <c r="Y140" s="398"/>
      <c r="Z140" s="398"/>
    </row>
    <row r="141" spans="1:26">
      <c r="A141" s="392">
        <v>91221</v>
      </c>
      <c r="B141" s="393" t="s">
        <v>856</v>
      </c>
      <c r="C141" s="235">
        <v>9.9099999999999996E-5</v>
      </c>
      <c r="D141" s="235">
        <v>1.037E-4</v>
      </c>
      <c r="E141" s="232">
        <v>151979</v>
      </c>
      <c r="F141" s="232" t="s">
        <v>1930</v>
      </c>
      <c r="G141" s="394">
        <v>48350</v>
      </c>
      <c r="H141" s="394">
        <v>0</v>
      </c>
      <c r="I141" s="394">
        <v>95482</v>
      </c>
      <c r="J141" s="232">
        <v>0</v>
      </c>
      <c r="K141" s="232">
        <v>143832</v>
      </c>
      <c r="L141" s="232"/>
      <c r="M141" s="302">
        <v>0</v>
      </c>
      <c r="N141" s="302">
        <v>217133</v>
      </c>
      <c r="O141" s="302">
        <v>0</v>
      </c>
      <c r="P141" s="232">
        <v>13703</v>
      </c>
      <c r="Q141" s="232">
        <v>230836</v>
      </c>
      <c r="R141" s="232"/>
      <c r="S141" s="394">
        <v>65569</v>
      </c>
      <c r="T141" s="232">
        <v>-7272</v>
      </c>
      <c r="U141" s="398">
        <v>58297</v>
      </c>
      <c r="V141" s="232"/>
      <c r="W141" s="398">
        <v>589971</v>
      </c>
      <c r="X141" s="398">
        <v>-208464</v>
      </c>
      <c r="Y141" s="398"/>
      <c r="Z141" s="398"/>
    </row>
    <row r="142" spans="1:26">
      <c r="A142" s="392">
        <v>91231</v>
      </c>
      <c r="B142" s="393" t="s">
        <v>857</v>
      </c>
      <c r="C142" s="235">
        <v>1.8575E-3</v>
      </c>
      <c r="D142" s="235">
        <v>1.9138E-3</v>
      </c>
      <c r="E142" s="232">
        <v>2848655</v>
      </c>
      <c r="F142" s="232" t="s">
        <v>1930</v>
      </c>
      <c r="G142" s="394">
        <v>906259</v>
      </c>
      <c r="H142" s="394">
        <v>0</v>
      </c>
      <c r="I142" s="394">
        <v>1789683</v>
      </c>
      <c r="J142" s="232">
        <v>46351</v>
      </c>
      <c r="K142" s="232">
        <v>2742293</v>
      </c>
      <c r="L142" s="232"/>
      <c r="M142" s="302">
        <v>0</v>
      </c>
      <c r="N142" s="302">
        <v>4069872</v>
      </c>
      <c r="O142" s="302">
        <v>0</v>
      </c>
      <c r="P142" s="232">
        <v>107103</v>
      </c>
      <c r="Q142" s="232">
        <v>4176975</v>
      </c>
      <c r="R142" s="232"/>
      <c r="S142" s="394">
        <v>1229000</v>
      </c>
      <c r="T142" s="232">
        <v>-34266</v>
      </c>
      <c r="U142" s="398">
        <v>1194734</v>
      </c>
      <c r="V142" s="232"/>
      <c r="W142" s="398">
        <v>11058240</v>
      </c>
      <c r="X142" s="398">
        <v>-3907394</v>
      </c>
      <c r="Y142" s="398"/>
      <c r="Z142" s="398"/>
    </row>
    <row r="143" spans="1:26">
      <c r="A143" s="392">
        <v>91233</v>
      </c>
      <c r="B143" s="393" t="s">
        <v>858</v>
      </c>
      <c r="C143" s="235">
        <v>6.5199999999999999E-5</v>
      </c>
      <c r="D143" s="235">
        <v>6.7899999999999997E-5</v>
      </c>
      <c r="E143" s="232">
        <v>99990</v>
      </c>
      <c r="F143" s="232" t="s">
        <v>1930</v>
      </c>
      <c r="G143" s="394">
        <v>31811</v>
      </c>
      <c r="H143" s="394">
        <v>0</v>
      </c>
      <c r="I143" s="394">
        <v>62820</v>
      </c>
      <c r="J143" s="232">
        <v>4679</v>
      </c>
      <c r="K143" s="232">
        <v>99310</v>
      </c>
      <c r="L143" s="232"/>
      <c r="M143" s="302">
        <v>0</v>
      </c>
      <c r="N143" s="302">
        <v>142856</v>
      </c>
      <c r="O143" s="302">
        <v>0</v>
      </c>
      <c r="P143" s="232">
        <v>10090</v>
      </c>
      <c r="Q143" s="232">
        <v>152946</v>
      </c>
      <c r="R143" s="232"/>
      <c r="S143" s="394">
        <v>43139</v>
      </c>
      <c r="T143" s="232">
        <v>-951</v>
      </c>
      <c r="U143" s="398">
        <v>42188</v>
      </c>
      <c r="V143" s="232"/>
      <c r="W143" s="398">
        <v>388155</v>
      </c>
      <c r="X143" s="398">
        <v>-137153</v>
      </c>
      <c r="Y143" s="398"/>
      <c r="Z143" s="398"/>
    </row>
    <row r="144" spans="1:26">
      <c r="A144" s="392">
        <v>91241</v>
      </c>
      <c r="B144" s="393" t="s">
        <v>859</v>
      </c>
      <c r="C144" s="235">
        <v>3.4999999999999997E-5</v>
      </c>
      <c r="D144" s="235">
        <v>3.18E-5</v>
      </c>
      <c r="E144" s="232">
        <v>53676</v>
      </c>
      <c r="F144" s="232" t="s">
        <v>1930</v>
      </c>
      <c r="G144" s="394">
        <v>17076</v>
      </c>
      <c r="H144" s="394">
        <v>0</v>
      </c>
      <c r="I144" s="394">
        <v>33722</v>
      </c>
      <c r="J144" s="232">
        <v>9755</v>
      </c>
      <c r="K144" s="232">
        <v>60553</v>
      </c>
      <c r="L144" s="232"/>
      <c r="M144" s="302">
        <v>0</v>
      </c>
      <c r="N144" s="302">
        <v>76687</v>
      </c>
      <c r="O144" s="302">
        <v>0</v>
      </c>
      <c r="P144" s="232">
        <v>17652</v>
      </c>
      <c r="Q144" s="232">
        <v>94339</v>
      </c>
      <c r="R144" s="232"/>
      <c r="S144" s="394">
        <v>23157</v>
      </c>
      <c r="T144" s="232">
        <v>-3489</v>
      </c>
      <c r="U144" s="398">
        <v>19668</v>
      </c>
      <c r="V144" s="232"/>
      <c r="W144" s="398">
        <v>208365</v>
      </c>
      <c r="X144" s="398">
        <v>-73625</v>
      </c>
      <c r="Y144" s="398"/>
      <c r="Z144" s="398"/>
    </row>
    <row r="145" spans="1:26">
      <c r="A145" s="392">
        <v>91251</v>
      </c>
      <c r="B145" s="393" t="s">
        <v>860</v>
      </c>
      <c r="C145" s="235">
        <v>2.6999999999999999E-5</v>
      </c>
      <c r="D145" s="235">
        <v>2.6599999999999999E-5</v>
      </c>
      <c r="E145" s="232">
        <v>41407</v>
      </c>
      <c r="F145" s="232" t="s">
        <v>1930</v>
      </c>
      <c r="G145" s="394">
        <v>13173</v>
      </c>
      <c r="H145" s="394">
        <v>0</v>
      </c>
      <c r="I145" s="394">
        <v>26014</v>
      </c>
      <c r="J145" s="232">
        <v>6508</v>
      </c>
      <c r="K145" s="232">
        <v>45695</v>
      </c>
      <c r="L145" s="232"/>
      <c r="M145" s="302">
        <v>0</v>
      </c>
      <c r="N145" s="302">
        <v>59158</v>
      </c>
      <c r="O145" s="302">
        <v>0</v>
      </c>
      <c r="P145" s="232">
        <v>4124</v>
      </c>
      <c r="Q145" s="232">
        <v>63282</v>
      </c>
      <c r="R145" s="232"/>
      <c r="S145" s="394">
        <v>17864</v>
      </c>
      <c r="T145" s="232">
        <v>1748</v>
      </c>
      <c r="U145" s="398">
        <v>19612</v>
      </c>
      <c r="V145" s="232"/>
      <c r="W145" s="398">
        <v>160739</v>
      </c>
      <c r="X145" s="398">
        <v>-56797</v>
      </c>
      <c r="Y145" s="398"/>
      <c r="Z145" s="398"/>
    </row>
    <row r="146" spans="1:26">
      <c r="A146" s="392">
        <v>91261</v>
      </c>
      <c r="B146" s="393" t="s">
        <v>861</v>
      </c>
      <c r="C146" s="235">
        <v>9.7000000000000003E-6</v>
      </c>
      <c r="D146" s="235">
        <v>9.7999999999999993E-6</v>
      </c>
      <c r="E146" s="232">
        <v>14876</v>
      </c>
      <c r="F146" s="232" t="s">
        <v>1930</v>
      </c>
      <c r="G146" s="394">
        <v>4733</v>
      </c>
      <c r="H146" s="394">
        <v>0</v>
      </c>
      <c r="I146" s="394">
        <v>9346</v>
      </c>
      <c r="J146" s="232">
        <v>0</v>
      </c>
      <c r="K146" s="232">
        <v>14079</v>
      </c>
      <c r="L146" s="232"/>
      <c r="M146" s="302">
        <v>0</v>
      </c>
      <c r="N146" s="302">
        <v>21253</v>
      </c>
      <c r="O146" s="302">
        <v>0</v>
      </c>
      <c r="P146" s="232">
        <v>2712</v>
      </c>
      <c r="Q146" s="232">
        <v>23965</v>
      </c>
      <c r="R146" s="232"/>
      <c r="S146" s="394">
        <v>6418</v>
      </c>
      <c r="T146" s="232">
        <v>-1026</v>
      </c>
      <c r="U146" s="398">
        <v>5392</v>
      </c>
      <c r="V146" s="232"/>
      <c r="W146" s="398">
        <v>57747</v>
      </c>
      <c r="X146" s="398">
        <v>-20405</v>
      </c>
      <c r="Y146" s="398"/>
      <c r="Z146" s="398"/>
    </row>
    <row r="147" spans="1:26">
      <c r="A147" s="392">
        <v>91301</v>
      </c>
      <c r="B147" s="393" t="s">
        <v>862</v>
      </c>
      <c r="C147" s="235">
        <v>8.3421999999999993E-3</v>
      </c>
      <c r="D147" s="235">
        <v>8.2746E-3</v>
      </c>
      <c r="E147" s="232">
        <v>12793565</v>
      </c>
      <c r="F147" s="232" t="s">
        <v>1930</v>
      </c>
      <c r="G147" s="394">
        <v>4070093</v>
      </c>
      <c r="H147" s="394">
        <v>0</v>
      </c>
      <c r="I147" s="394">
        <v>8037626</v>
      </c>
      <c r="J147" s="232">
        <v>293553</v>
      </c>
      <c r="K147" s="232">
        <v>12401272</v>
      </c>
      <c r="L147" s="232"/>
      <c r="M147" s="302">
        <v>0</v>
      </c>
      <c r="N147" s="302">
        <v>18278161</v>
      </c>
      <c r="O147" s="302">
        <v>0</v>
      </c>
      <c r="P147" s="232">
        <v>19953</v>
      </c>
      <c r="Q147" s="232">
        <v>18298114</v>
      </c>
      <c r="R147" s="232"/>
      <c r="S147" s="394">
        <v>5519550</v>
      </c>
      <c r="T147" s="232">
        <v>82965</v>
      </c>
      <c r="U147" s="398">
        <v>5602515</v>
      </c>
      <c r="V147" s="232"/>
      <c r="W147" s="398">
        <v>49663553</v>
      </c>
      <c r="X147" s="398">
        <v>-17548460</v>
      </c>
      <c r="Y147" s="398"/>
      <c r="Z147" s="398"/>
    </row>
    <row r="148" spans="1:26">
      <c r="A148" s="392">
        <v>91302</v>
      </c>
      <c r="B148" s="393" t="s">
        <v>1939</v>
      </c>
      <c r="C148" s="235">
        <v>5.1170000000000002E-4</v>
      </c>
      <c r="D148" s="235">
        <v>5.0199999999999995E-4</v>
      </c>
      <c r="E148" s="232">
        <v>784741</v>
      </c>
      <c r="F148" s="232" t="s">
        <v>1930</v>
      </c>
      <c r="G148" s="394">
        <v>249654</v>
      </c>
      <c r="H148" s="394">
        <v>0</v>
      </c>
      <c r="I148" s="394">
        <v>493018</v>
      </c>
      <c r="J148" s="232">
        <v>19855</v>
      </c>
      <c r="K148" s="232">
        <v>762527</v>
      </c>
      <c r="L148" s="232"/>
      <c r="M148" s="302">
        <v>0</v>
      </c>
      <c r="N148" s="302">
        <v>1121159</v>
      </c>
      <c r="O148" s="302">
        <v>0</v>
      </c>
      <c r="P148" s="232">
        <v>41902</v>
      </c>
      <c r="Q148" s="232">
        <v>1163061</v>
      </c>
      <c r="R148" s="232"/>
      <c r="S148" s="394">
        <v>338562</v>
      </c>
      <c r="T148" s="232">
        <v>-22276</v>
      </c>
      <c r="U148" s="398">
        <v>316286</v>
      </c>
      <c r="V148" s="232"/>
      <c r="W148" s="398">
        <v>3046300</v>
      </c>
      <c r="X148" s="398">
        <v>-1076400</v>
      </c>
      <c r="Y148" s="398"/>
      <c r="Z148" s="398"/>
    </row>
    <row r="149" spans="1:26">
      <c r="A149" s="392">
        <v>91306</v>
      </c>
      <c r="B149" s="393" t="s">
        <v>864</v>
      </c>
      <c r="C149" s="235">
        <v>1.9042E-3</v>
      </c>
      <c r="D149" s="235">
        <v>1.82E-3</v>
      </c>
      <c r="E149" s="232">
        <v>2920274</v>
      </c>
      <c r="F149" s="232" t="s">
        <v>1930</v>
      </c>
      <c r="G149" s="394">
        <v>929044</v>
      </c>
      <c r="H149" s="394">
        <v>0</v>
      </c>
      <c r="I149" s="394">
        <v>1834678</v>
      </c>
      <c r="J149" s="232">
        <v>175578</v>
      </c>
      <c r="K149" s="232">
        <v>2939300</v>
      </c>
      <c r="L149" s="232"/>
      <c r="M149" s="302">
        <v>0</v>
      </c>
      <c r="N149" s="302">
        <v>4172194</v>
      </c>
      <c r="O149" s="302">
        <v>0</v>
      </c>
      <c r="P149" s="232">
        <v>13540</v>
      </c>
      <c r="Q149" s="232">
        <v>4185734</v>
      </c>
      <c r="R149" s="232"/>
      <c r="S149" s="394">
        <v>1259899</v>
      </c>
      <c r="T149" s="232">
        <v>75188</v>
      </c>
      <c r="U149" s="398">
        <v>1335087</v>
      </c>
      <c r="V149" s="232"/>
      <c r="W149" s="398">
        <v>11336259</v>
      </c>
      <c r="X149" s="398">
        <v>-4005631</v>
      </c>
      <c r="Y149" s="398"/>
      <c r="Z149" s="398"/>
    </row>
    <row r="150" spans="1:26">
      <c r="A150" s="392">
        <v>91308</v>
      </c>
      <c r="B150" s="393" t="s">
        <v>865</v>
      </c>
      <c r="C150" s="235">
        <v>1.0340000000000001E-4</v>
      </c>
      <c r="D150" s="235">
        <v>1.6229999999999999E-4</v>
      </c>
      <c r="E150" s="232">
        <v>158574</v>
      </c>
      <c r="F150" s="232" t="s">
        <v>1930</v>
      </c>
      <c r="G150" s="394">
        <v>50448</v>
      </c>
      <c r="H150" s="394">
        <v>0</v>
      </c>
      <c r="I150" s="394">
        <v>99625</v>
      </c>
      <c r="J150" s="232">
        <v>0</v>
      </c>
      <c r="K150" s="232">
        <v>150073</v>
      </c>
      <c r="L150" s="232"/>
      <c r="M150" s="302">
        <v>0</v>
      </c>
      <c r="N150" s="302">
        <v>226554</v>
      </c>
      <c r="O150" s="302">
        <v>0</v>
      </c>
      <c r="P150" s="232">
        <v>112568</v>
      </c>
      <c r="Q150" s="232">
        <v>339122</v>
      </c>
      <c r="R150" s="232"/>
      <c r="S150" s="394">
        <v>68414</v>
      </c>
      <c r="T150" s="232">
        <v>-45501</v>
      </c>
      <c r="U150" s="398">
        <v>22913</v>
      </c>
      <c r="V150" s="232"/>
      <c r="W150" s="398">
        <v>615570</v>
      </c>
      <c r="X150" s="398">
        <v>-217510</v>
      </c>
      <c r="Y150" s="398"/>
      <c r="Z150" s="398"/>
    </row>
    <row r="151" spans="1:26">
      <c r="A151" s="392">
        <v>91311</v>
      </c>
      <c r="B151" s="393" t="s">
        <v>866</v>
      </c>
      <c r="C151" s="235">
        <v>8.6008000000000005E-3</v>
      </c>
      <c r="D151" s="235">
        <v>8.4355999999999997E-3</v>
      </c>
      <c r="E151" s="232">
        <v>13190152</v>
      </c>
      <c r="F151" s="232" t="s">
        <v>1930</v>
      </c>
      <c r="G151" s="394">
        <v>4196262</v>
      </c>
      <c r="H151" s="394">
        <v>0</v>
      </c>
      <c r="I151" s="394">
        <v>8286785</v>
      </c>
      <c r="J151" s="232">
        <v>528534</v>
      </c>
      <c r="K151" s="232">
        <v>13011581</v>
      </c>
      <c r="L151" s="232"/>
      <c r="M151" s="302">
        <v>0</v>
      </c>
      <c r="N151" s="302">
        <v>18844766</v>
      </c>
      <c r="O151" s="302">
        <v>0</v>
      </c>
      <c r="P151" s="232">
        <v>19303</v>
      </c>
      <c r="Q151" s="232">
        <v>18864069</v>
      </c>
      <c r="R151" s="232"/>
      <c r="S151" s="394">
        <v>5690651</v>
      </c>
      <c r="T151" s="232">
        <v>184069</v>
      </c>
      <c r="U151" s="398">
        <v>5874720</v>
      </c>
      <c r="V151" s="232"/>
      <c r="W151" s="398">
        <v>51203074</v>
      </c>
      <c r="X151" s="398">
        <v>-18092445</v>
      </c>
      <c r="Y151" s="398"/>
      <c r="Z151" s="398"/>
    </row>
    <row r="152" spans="1:26">
      <c r="A152" s="392">
        <v>91317</v>
      </c>
      <c r="B152" s="393" t="s">
        <v>867</v>
      </c>
      <c r="C152" s="235">
        <v>1.416E-4</v>
      </c>
      <c r="D152" s="235">
        <v>1.27E-4</v>
      </c>
      <c r="E152" s="232">
        <v>217157</v>
      </c>
      <c r="F152" s="232" t="s">
        <v>1930</v>
      </c>
      <c r="G152" s="394">
        <v>69086</v>
      </c>
      <c r="H152" s="394">
        <v>0</v>
      </c>
      <c r="I152" s="394">
        <v>136430</v>
      </c>
      <c r="J152" s="232">
        <v>66809</v>
      </c>
      <c r="K152" s="232">
        <v>272325</v>
      </c>
      <c r="L152" s="232"/>
      <c r="M152" s="302">
        <v>0</v>
      </c>
      <c r="N152" s="302">
        <v>310252</v>
      </c>
      <c r="O152" s="302">
        <v>0</v>
      </c>
      <c r="P152" s="232">
        <v>0</v>
      </c>
      <c r="Q152" s="232">
        <v>310252</v>
      </c>
      <c r="R152" s="232"/>
      <c r="S152" s="394">
        <v>93689</v>
      </c>
      <c r="T152" s="232">
        <v>31313</v>
      </c>
      <c r="U152" s="398">
        <v>125002</v>
      </c>
      <c r="V152" s="232"/>
      <c r="W152" s="398">
        <v>842986</v>
      </c>
      <c r="X152" s="398">
        <v>-297867</v>
      </c>
      <c r="Y152" s="398"/>
      <c r="Z152" s="398"/>
    </row>
    <row r="153" spans="1:26">
      <c r="A153" s="392">
        <v>91321</v>
      </c>
      <c r="B153" s="393" t="s">
        <v>868</v>
      </c>
      <c r="C153" s="235">
        <v>6.6000000000000005E-5</v>
      </c>
      <c r="D153" s="235">
        <v>6.9300000000000004E-5</v>
      </c>
      <c r="E153" s="232">
        <v>101217</v>
      </c>
      <c r="F153" s="232" t="s">
        <v>1930</v>
      </c>
      <c r="G153" s="394">
        <v>32201</v>
      </c>
      <c r="H153" s="394">
        <v>0</v>
      </c>
      <c r="I153" s="394">
        <v>63590</v>
      </c>
      <c r="J153" s="232">
        <v>28470</v>
      </c>
      <c r="K153" s="232">
        <v>124261</v>
      </c>
      <c r="L153" s="232"/>
      <c r="M153" s="302">
        <v>0</v>
      </c>
      <c r="N153" s="302">
        <v>144609</v>
      </c>
      <c r="O153" s="302">
        <v>0</v>
      </c>
      <c r="P153" s="232">
        <v>4754</v>
      </c>
      <c r="Q153" s="232">
        <v>149363</v>
      </c>
      <c r="R153" s="232"/>
      <c r="S153" s="394">
        <v>43668</v>
      </c>
      <c r="T153" s="232">
        <v>18972</v>
      </c>
      <c r="U153" s="398">
        <v>62640</v>
      </c>
      <c r="V153" s="232"/>
      <c r="W153" s="398">
        <v>392917</v>
      </c>
      <c r="X153" s="398">
        <v>-138836</v>
      </c>
      <c r="Y153" s="398"/>
      <c r="Z153" s="398"/>
    </row>
    <row r="154" spans="1:26">
      <c r="A154" s="392">
        <v>91327</v>
      </c>
      <c r="B154" s="393" t="s">
        <v>869</v>
      </c>
      <c r="C154" s="235">
        <v>1.0499999999999999E-5</v>
      </c>
      <c r="D154" s="235">
        <v>0</v>
      </c>
      <c r="E154" s="232">
        <v>16103</v>
      </c>
      <c r="F154" s="232" t="s">
        <v>1930</v>
      </c>
      <c r="G154" s="394">
        <v>5123</v>
      </c>
      <c r="H154" s="394">
        <v>0</v>
      </c>
      <c r="I154" s="394">
        <v>10117</v>
      </c>
      <c r="J154" s="232">
        <v>19089</v>
      </c>
      <c r="K154" s="232">
        <v>34329</v>
      </c>
      <c r="L154" s="232"/>
      <c r="M154" s="302">
        <v>0</v>
      </c>
      <c r="N154" s="302">
        <v>23006</v>
      </c>
      <c r="O154" s="302">
        <v>0</v>
      </c>
      <c r="P154" s="232">
        <v>8532</v>
      </c>
      <c r="Q154" s="232">
        <v>31538</v>
      </c>
      <c r="R154" s="232"/>
      <c r="S154" s="394">
        <v>6947</v>
      </c>
      <c r="T154" s="232">
        <v>2211</v>
      </c>
      <c r="U154" s="398">
        <v>9158</v>
      </c>
      <c r="V154" s="232"/>
      <c r="W154" s="398">
        <v>62510</v>
      </c>
      <c r="X154" s="398">
        <v>-22088</v>
      </c>
      <c r="Y154" s="398"/>
      <c r="Z154" s="398"/>
    </row>
    <row r="155" spans="1:26">
      <c r="A155" s="392">
        <v>91331</v>
      </c>
      <c r="B155" s="393" t="s">
        <v>870</v>
      </c>
      <c r="C155" s="235">
        <v>3.0428999999999999E-3</v>
      </c>
      <c r="D155" s="235">
        <v>3.0620999999999999E-3</v>
      </c>
      <c r="E155" s="232">
        <v>4666579</v>
      </c>
      <c r="F155" s="232" t="s">
        <v>1930</v>
      </c>
      <c r="G155" s="394">
        <v>1484607</v>
      </c>
      <c r="H155" s="394">
        <v>0</v>
      </c>
      <c r="I155" s="394">
        <v>2931804</v>
      </c>
      <c r="J155" s="232">
        <v>41761</v>
      </c>
      <c r="K155" s="232">
        <v>4458172</v>
      </c>
      <c r="L155" s="232"/>
      <c r="M155" s="302">
        <v>0</v>
      </c>
      <c r="N155" s="302">
        <v>6667140</v>
      </c>
      <c r="O155" s="302">
        <v>0</v>
      </c>
      <c r="P155" s="232">
        <v>227733</v>
      </c>
      <c r="Q155" s="232">
        <v>6894873</v>
      </c>
      <c r="R155" s="232"/>
      <c r="S155" s="394">
        <v>2013310</v>
      </c>
      <c r="T155" s="232">
        <v>-104213</v>
      </c>
      <c r="U155" s="398">
        <v>1909097</v>
      </c>
      <c r="V155" s="232"/>
      <c r="W155" s="398">
        <v>18115272</v>
      </c>
      <c r="X155" s="398">
        <v>-6400974</v>
      </c>
      <c r="Y155" s="398"/>
      <c r="Z155" s="398"/>
    </row>
    <row r="156" spans="1:26">
      <c r="A156" s="392">
        <v>91341</v>
      </c>
      <c r="B156" s="393" t="s">
        <v>871</v>
      </c>
      <c r="C156" s="235">
        <v>3.4499999999999998E-5</v>
      </c>
      <c r="D156" s="235">
        <v>3.6900000000000002E-5</v>
      </c>
      <c r="E156" s="232">
        <v>52909</v>
      </c>
      <c r="F156" s="232" t="s">
        <v>1930</v>
      </c>
      <c r="G156" s="394">
        <v>16832</v>
      </c>
      <c r="H156" s="394">
        <v>0</v>
      </c>
      <c r="I156" s="394">
        <v>33240</v>
      </c>
      <c r="J156" s="232">
        <v>4929</v>
      </c>
      <c r="K156" s="232">
        <v>55001</v>
      </c>
      <c r="L156" s="232"/>
      <c r="M156" s="302">
        <v>0</v>
      </c>
      <c r="N156" s="302">
        <v>75591</v>
      </c>
      <c r="O156" s="302">
        <v>0</v>
      </c>
      <c r="P156" s="232">
        <v>9394</v>
      </c>
      <c r="Q156" s="232">
        <v>84985</v>
      </c>
      <c r="R156" s="232"/>
      <c r="S156" s="394">
        <v>22827</v>
      </c>
      <c r="T156" s="232">
        <v>397</v>
      </c>
      <c r="U156" s="398">
        <v>23224</v>
      </c>
      <c r="V156" s="232"/>
      <c r="W156" s="398">
        <v>205389</v>
      </c>
      <c r="X156" s="398">
        <v>-72573</v>
      </c>
      <c r="Y156" s="398"/>
      <c r="Z156" s="398"/>
    </row>
    <row r="157" spans="1:26">
      <c r="A157" s="392">
        <v>91401</v>
      </c>
      <c r="B157" s="393" t="s">
        <v>872</v>
      </c>
      <c r="C157" s="235">
        <v>3.6838000000000001E-3</v>
      </c>
      <c r="D157" s="235">
        <v>3.7696000000000001E-3</v>
      </c>
      <c r="E157" s="232">
        <v>5649461</v>
      </c>
      <c r="F157" s="232" t="s">
        <v>1930</v>
      </c>
      <c r="G157" s="394">
        <v>1797297</v>
      </c>
      <c r="H157" s="394">
        <v>0</v>
      </c>
      <c r="I157" s="394">
        <v>3549304</v>
      </c>
      <c r="J157" s="232">
        <v>304954</v>
      </c>
      <c r="K157" s="232">
        <v>5651555</v>
      </c>
      <c r="L157" s="232"/>
      <c r="M157" s="302">
        <v>0</v>
      </c>
      <c r="N157" s="302">
        <v>8071383</v>
      </c>
      <c r="O157" s="302">
        <v>0</v>
      </c>
      <c r="P157" s="232">
        <v>270615</v>
      </c>
      <c r="Q157" s="232">
        <v>8341998</v>
      </c>
      <c r="R157" s="232"/>
      <c r="S157" s="394">
        <v>2437357</v>
      </c>
      <c r="T157" s="232">
        <v>6897</v>
      </c>
      <c r="U157" s="398">
        <v>2444254</v>
      </c>
      <c r="V157" s="232"/>
      <c r="W157" s="398">
        <v>21930737</v>
      </c>
      <c r="X157" s="398">
        <v>-7749157</v>
      </c>
      <c r="Y157" s="398"/>
      <c r="Z157" s="398"/>
    </row>
    <row r="158" spans="1:26">
      <c r="A158" s="392">
        <v>91411</v>
      </c>
      <c r="B158" s="393" t="s">
        <v>873</v>
      </c>
      <c r="C158" s="235">
        <v>4.2220000000000002E-4</v>
      </c>
      <c r="D158" s="235">
        <v>4.0089999999999999E-4</v>
      </c>
      <c r="E158" s="232">
        <v>647484</v>
      </c>
      <c r="F158" s="232" t="s">
        <v>1930</v>
      </c>
      <c r="G158" s="394">
        <v>205988</v>
      </c>
      <c r="H158" s="394">
        <v>0</v>
      </c>
      <c r="I158" s="394">
        <v>406785</v>
      </c>
      <c r="J158" s="232">
        <v>39586</v>
      </c>
      <c r="K158" s="232">
        <v>652359</v>
      </c>
      <c r="L158" s="232"/>
      <c r="M158" s="302">
        <v>0</v>
      </c>
      <c r="N158" s="302">
        <v>925060</v>
      </c>
      <c r="O158" s="302">
        <v>0</v>
      </c>
      <c r="P158" s="232">
        <v>0</v>
      </c>
      <c r="Q158" s="232">
        <v>925060</v>
      </c>
      <c r="R158" s="232"/>
      <c r="S158" s="394">
        <v>279345</v>
      </c>
      <c r="T158" s="232">
        <v>17009</v>
      </c>
      <c r="U158" s="398">
        <v>296354</v>
      </c>
      <c r="V158" s="232"/>
      <c r="W158" s="398">
        <v>2513480</v>
      </c>
      <c r="X158" s="398">
        <v>-888130</v>
      </c>
      <c r="Y158" s="398"/>
      <c r="Z158" s="398"/>
    </row>
    <row r="159" spans="1:26">
      <c r="A159" s="392">
        <v>91414</v>
      </c>
      <c r="B159" s="393" t="s">
        <v>3614</v>
      </c>
      <c r="C159" s="235">
        <v>3.1199999999999999E-5</v>
      </c>
      <c r="D159" s="235">
        <v>2.4499999999999999E-5</v>
      </c>
      <c r="E159" s="232">
        <v>47848</v>
      </c>
      <c r="F159" s="232"/>
      <c r="G159" s="394">
        <v>15222</v>
      </c>
      <c r="H159" s="394">
        <v>0</v>
      </c>
      <c r="I159" s="394">
        <v>30061</v>
      </c>
      <c r="J159" s="232">
        <v>23821</v>
      </c>
      <c r="K159" s="232">
        <v>69104</v>
      </c>
      <c r="L159" s="232"/>
      <c r="M159" s="302">
        <v>0</v>
      </c>
      <c r="N159" s="302">
        <v>68361</v>
      </c>
      <c r="O159" s="302">
        <v>0</v>
      </c>
      <c r="P159" s="232">
        <v>0</v>
      </c>
      <c r="Q159" s="232">
        <v>68361</v>
      </c>
      <c r="R159" s="232"/>
      <c r="S159" s="394">
        <v>20643</v>
      </c>
      <c r="T159" s="232">
        <v>10002</v>
      </c>
      <c r="U159" s="398">
        <v>30645</v>
      </c>
      <c r="V159" s="232"/>
      <c r="W159" s="398">
        <v>185743</v>
      </c>
      <c r="X159" s="398">
        <v>-65632</v>
      </c>
      <c r="Y159" s="398"/>
      <c r="Z159" s="398"/>
    </row>
    <row r="160" spans="1:26">
      <c r="A160" s="392">
        <v>91417</v>
      </c>
      <c r="B160" s="393" t="s">
        <v>874</v>
      </c>
      <c r="C160" s="235">
        <v>7.5000000000000002E-6</v>
      </c>
      <c r="D160" s="235">
        <v>6.1E-6</v>
      </c>
      <c r="E160" s="232">
        <v>11502</v>
      </c>
      <c r="F160" s="232" t="s">
        <v>1930</v>
      </c>
      <c r="G160" s="394">
        <v>3659</v>
      </c>
      <c r="H160" s="394">
        <v>0</v>
      </c>
      <c r="I160" s="394">
        <v>7226</v>
      </c>
      <c r="J160" s="232">
        <v>7865</v>
      </c>
      <c r="K160" s="232">
        <v>18750</v>
      </c>
      <c r="L160" s="232"/>
      <c r="M160" s="302">
        <v>0</v>
      </c>
      <c r="N160" s="302">
        <v>16433</v>
      </c>
      <c r="O160" s="302">
        <v>0</v>
      </c>
      <c r="P160" s="232">
        <v>0</v>
      </c>
      <c r="Q160" s="232">
        <v>16433</v>
      </c>
      <c r="R160" s="232"/>
      <c r="S160" s="394">
        <v>4962</v>
      </c>
      <c r="T160" s="232">
        <v>2980</v>
      </c>
      <c r="U160" s="398">
        <v>7942</v>
      </c>
      <c r="V160" s="232"/>
      <c r="W160" s="398">
        <v>44650</v>
      </c>
      <c r="X160" s="398">
        <v>-15777</v>
      </c>
      <c r="Y160" s="398"/>
      <c r="Z160" s="398"/>
    </row>
    <row r="161" spans="1:26">
      <c r="A161" s="392">
        <v>91421</v>
      </c>
      <c r="B161" s="393" t="s">
        <v>875</v>
      </c>
      <c r="C161" s="235">
        <v>6.4800000000000003E-5</v>
      </c>
      <c r="D161" s="235">
        <v>6.8300000000000007E-5</v>
      </c>
      <c r="E161" s="232">
        <v>99377</v>
      </c>
      <c r="F161" s="232" t="s">
        <v>1930</v>
      </c>
      <c r="G161" s="394">
        <v>31615</v>
      </c>
      <c r="H161" s="394">
        <v>0</v>
      </c>
      <c r="I161" s="394">
        <v>62434</v>
      </c>
      <c r="J161" s="232">
        <v>4720</v>
      </c>
      <c r="K161" s="232">
        <v>98769</v>
      </c>
      <c r="L161" s="232"/>
      <c r="M161" s="302">
        <v>0</v>
      </c>
      <c r="N161" s="302">
        <v>141980</v>
      </c>
      <c r="O161" s="302">
        <v>0</v>
      </c>
      <c r="P161" s="232">
        <v>3108</v>
      </c>
      <c r="Q161" s="232">
        <v>145088</v>
      </c>
      <c r="R161" s="232"/>
      <c r="S161" s="394">
        <v>42874</v>
      </c>
      <c r="T161" s="232">
        <v>2637</v>
      </c>
      <c r="U161" s="398">
        <v>45511</v>
      </c>
      <c r="V161" s="232"/>
      <c r="W161" s="398">
        <v>385773</v>
      </c>
      <c r="X161" s="398">
        <v>-136312</v>
      </c>
      <c r="Y161" s="398"/>
      <c r="Z161" s="398"/>
    </row>
    <row r="162" spans="1:26">
      <c r="A162" s="392">
        <v>91423</v>
      </c>
      <c r="B162" s="393" t="s">
        <v>876</v>
      </c>
      <c r="C162" s="235">
        <v>6.05E-5</v>
      </c>
      <c r="D162" s="235">
        <v>5.6199999999999997E-5</v>
      </c>
      <c r="E162" s="232">
        <v>92783</v>
      </c>
      <c r="F162" s="232" t="s">
        <v>1930</v>
      </c>
      <c r="G162" s="394">
        <v>29517</v>
      </c>
      <c r="H162" s="394">
        <v>0</v>
      </c>
      <c r="I162" s="394">
        <v>58291</v>
      </c>
      <c r="J162" s="232">
        <v>4449</v>
      </c>
      <c r="K162" s="232">
        <v>92257</v>
      </c>
      <c r="L162" s="232"/>
      <c r="M162" s="302">
        <v>0</v>
      </c>
      <c r="N162" s="302">
        <v>132558</v>
      </c>
      <c r="O162" s="302">
        <v>0</v>
      </c>
      <c r="P162" s="232">
        <v>1712</v>
      </c>
      <c r="Q162" s="232">
        <v>134270</v>
      </c>
      <c r="R162" s="232"/>
      <c r="S162" s="394">
        <v>40029</v>
      </c>
      <c r="T162" s="232">
        <v>1793</v>
      </c>
      <c r="U162" s="398">
        <v>41822</v>
      </c>
      <c r="V162" s="232"/>
      <c r="W162" s="398">
        <v>360174</v>
      </c>
      <c r="X162" s="398">
        <v>-127266</v>
      </c>
      <c r="Y162" s="398"/>
      <c r="Z162" s="398"/>
    </row>
    <row r="163" spans="1:26">
      <c r="A163" s="392">
        <v>91431</v>
      </c>
      <c r="B163" s="393" t="s">
        <v>877</v>
      </c>
      <c r="C163" s="235">
        <v>1.8929999999999999E-4</v>
      </c>
      <c r="D163" s="235">
        <v>1.7760000000000001E-4</v>
      </c>
      <c r="E163" s="232">
        <v>290310</v>
      </c>
      <c r="F163" s="232" t="s">
        <v>1930</v>
      </c>
      <c r="G163" s="394">
        <v>92358</v>
      </c>
      <c r="H163" s="394">
        <v>0</v>
      </c>
      <c r="I163" s="394">
        <v>182389</v>
      </c>
      <c r="J163" s="232">
        <v>28623</v>
      </c>
      <c r="K163" s="232">
        <v>303370</v>
      </c>
      <c r="L163" s="232"/>
      <c r="M163" s="302">
        <v>0</v>
      </c>
      <c r="N163" s="302">
        <v>414765</v>
      </c>
      <c r="O163" s="302">
        <v>0</v>
      </c>
      <c r="P163" s="232">
        <v>1483</v>
      </c>
      <c r="Q163" s="232">
        <v>416248</v>
      </c>
      <c r="R163" s="232"/>
      <c r="S163" s="394">
        <v>125249</v>
      </c>
      <c r="T163" s="232">
        <v>16407</v>
      </c>
      <c r="U163" s="398">
        <v>141656</v>
      </c>
      <c r="V163" s="232"/>
      <c r="W163" s="398">
        <v>1126958</v>
      </c>
      <c r="X163" s="398">
        <v>-398207</v>
      </c>
      <c r="Y163" s="398"/>
      <c r="Z163" s="398"/>
    </row>
    <row r="164" spans="1:26">
      <c r="A164" s="392">
        <v>91441</v>
      </c>
      <c r="B164" s="393" t="s">
        <v>878</v>
      </c>
      <c r="C164" s="235">
        <v>9.4760000000000005E-4</v>
      </c>
      <c r="D164" s="235">
        <v>9.5500000000000001E-4</v>
      </c>
      <c r="E164" s="232">
        <v>1453236</v>
      </c>
      <c r="F164" s="232" t="s">
        <v>1930</v>
      </c>
      <c r="G164" s="394">
        <v>462326</v>
      </c>
      <c r="H164" s="394">
        <v>0</v>
      </c>
      <c r="I164" s="394">
        <v>913003</v>
      </c>
      <c r="J164" s="232">
        <v>0</v>
      </c>
      <c r="K164" s="232">
        <v>1375329</v>
      </c>
      <c r="L164" s="232"/>
      <c r="M164" s="302">
        <v>0</v>
      </c>
      <c r="N164" s="302">
        <v>2076237</v>
      </c>
      <c r="O164" s="302">
        <v>0</v>
      </c>
      <c r="P164" s="232">
        <v>219880</v>
      </c>
      <c r="Q164" s="232">
        <v>2296117</v>
      </c>
      <c r="R164" s="232"/>
      <c r="S164" s="394">
        <v>626972</v>
      </c>
      <c r="T164" s="232">
        <v>-95640</v>
      </c>
      <c r="U164" s="398">
        <v>531332</v>
      </c>
      <c r="V164" s="232"/>
      <c r="W164" s="398">
        <v>5641339</v>
      </c>
      <c r="X164" s="398">
        <v>-1993350</v>
      </c>
      <c r="Y164" s="398"/>
      <c r="Z164" s="398"/>
    </row>
    <row r="165" spans="1:26">
      <c r="A165" s="392">
        <v>91451</v>
      </c>
      <c r="B165" s="393" t="s">
        <v>879</v>
      </c>
      <c r="C165" s="235">
        <v>1.4920000000000001E-3</v>
      </c>
      <c r="D165" s="235">
        <v>1.5448E-3</v>
      </c>
      <c r="E165" s="232">
        <v>2288125</v>
      </c>
      <c r="F165" s="232" t="s">
        <v>1930</v>
      </c>
      <c r="G165" s="394">
        <v>727935</v>
      </c>
      <c r="H165" s="394">
        <v>0</v>
      </c>
      <c r="I165" s="394">
        <v>1437527</v>
      </c>
      <c r="J165" s="232">
        <v>16538</v>
      </c>
      <c r="K165" s="232">
        <v>2182000</v>
      </c>
      <c r="L165" s="232"/>
      <c r="M165" s="302">
        <v>0</v>
      </c>
      <c r="N165" s="302">
        <v>3269044</v>
      </c>
      <c r="O165" s="302">
        <v>0</v>
      </c>
      <c r="P165" s="232">
        <v>101169</v>
      </c>
      <c r="Q165" s="232">
        <v>3370213</v>
      </c>
      <c r="R165" s="232"/>
      <c r="S165" s="394">
        <v>987170</v>
      </c>
      <c r="T165" s="232">
        <v>-43406</v>
      </c>
      <c r="U165" s="398">
        <v>943764</v>
      </c>
      <c r="V165" s="232"/>
      <c r="W165" s="398">
        <v>8882312</v>
      </c>
      <c r="X165" s="398">
        <v>-3138537</v>
      </c>
      <c r="Y165" s="398"/>
      <c r="Z165" s="398"/>
    </row>
    <row r="166" spans="1:26">
      <c r="A166" s="392">
        <v>91457</v>
      </c>
      <c r="B166" s="393" t="s">
        <v>880</v>
      </c>
      <c r="C166" s="235">
        <v>1.8300000000000001E-5</v>
      </c>
      <c r="D166" s="235">
        <v>1.4100000000000001E-5</v>
      </c>
      <c r="E166" s="232">
        <v>28065</v>
      </c>
      <c r="F166" s="232" t="s">
        <v>1930</v>
      </c>
      <c r="G166" s="394">
        <v>8928</v>
      </c>
      <c r="H166" s="394">
        <v>0</v>
      </c>
      <c r="I166" s="394">
        <v>17632</v>
      </c>
      <c r="J166" s="232">
        <v>42156</v>
      </c>
      <c r="K166" s="232">
        <v>68716</v>
      </c>
      <c r="L166" s="232"/>
      <c r="M166" s="302">
        <v>0</v>
      </c>
      <c r="N166" s="302">
        <v>40096</v>
      </c>
      <c r="O166" s="302">
        <v>0</v>
      </c>
      <c r="P166" s="232">
        <v>0</v>
      </c>
      <c r="Q166" s="232">
        <v>40096</v>
      </c>
      <c r="R166" s="232"/>
      <c r="S166" s="394">
        <v>12108</v>
      </c>
      <c r="T166" s="232">
        <v>21627</v>
      </c>
      <c r="U166" s="398">
        <v>33735</v>
      </c>
      <c r="V166" s="232"/>
      <c r="W166" s="398">
        <v>108945</v>
      </c>
      <c r="X166" s="398">
        <v>-38495</v>
      </c>
      <c r="Y166" s="398"/>
      <c r="Z166" s="398"/>
    </row>
    <row r="167" spans="1:26">
      <c r="A167" s="392">
        <v>91461</v>
      </c>
      <c r="B167" s="393" t="s">
        <v>881</v>
      </c>
      <c r="C167" s="235">
        <v>0</v>
      </c>
      <c r="D167" s="235">
        <v>0</v>
      </c>
      <c r="E167" s="232">
        <v>0</v>
      </c>
      <c r="F167" s="232" t="s">
        <v>1930</v>
      </c>
      <c r="G167" s="394">
        <v>0</v>
      </c>
      <c r="H167" s="394">
        <v>0</v>
      </c>
      <c r="I167" s="394">
        <v>0</v>
      </c>
      <c r="J167" s="232">
        <v>0</v>
      </c>
      <c r="K167" s="232">
        <v>0</v>
      </c>
      <c r="L167" s="232"/>
      <c r="M167" s="302">
        <v>0</v>
      </c>
      <c r="N167" s="302">
        <v>0</v>
      </c>
      <c r="O167" s="302">
        <v>0</v>
      </c>
      <c r="P167" s="232">
        <v>9231</v>
      </c>
      <c r="Q167" s="232">
        <v>9231</v>
      </c>
      <c r="R167" s="232"/>
      <c r="S167" s="394">
        <v>0</v>
      </c>
      <c r="T167" s="232">
        <v>-4915</v>
      </c>
      <c r="U167" s="398">
        <v>-4915</v>
      </c>
      <c r="V167" s="232"/>
      <c r="W167" s="398">
        <v>0</v>
      </c>
      <c r="X167" s="398">
        <v>0</v>
      </c>
      <c r="Y167" s="398"/>
      <c r="Z167" s="398"/>
    </row>
    <row r="168" spans="1:26">
      <c r="A168" s="392">
        <v>91501</v>
      </c>
      <c r="B168" s="393" t="s">
        <v>882</v>
      </c>
      <c r="C168" s="235">
        <v>4.819E-4</v>
      </c>
      <c r="D168" s="235">
        <v>4.9739999999999995E-4</v>
      </c>
      <c r="E168" s="232">
        <v>739040</v>
      </c>
      <c r="F168" s="232" t="s">
        <v>1930</v>
      </c>
      <c r="G168" s="394">
        <v>235115</v>
      </c>
      <c r="H168" s="394">
        <v>0</v>
      </c>
      <c r="I168" s="394">
        <v>464306</v>
      </c>
      <c r="J168" s="232">
        <v>14847</v>
      </c>
      <c r="K168" s="232">
        <v>714268</v>
      </c>
      <c r="L168" s="232"/>
      <c r="M168" s="302">
        <v>0</v>
      </c>
      <c r="N168" s="302">
        <v>1055866</v>
      </c>
      <c r="O168" s="302">
        <v>0</v>
      </c>
      <c r="P168" s="232">
        <v>28270</v>
      </c>
      <c r="Q168" s="232">
        <v>1084136</v>
      </c>
      <c r="R168" s="232"/>
      <c r="S168" s="394">
        <v>318845</v>
      </c>
      <c r="T168" s="232">
        <v>-8233</v>
      </c>
      <c r="U168" s="398">
        <v>310612</v>
      </c>
      <c r="V168" s="232"/>
      <c r="W168" s="398">
        <v>2868891</v>
      </c>
      <c r="X168" s="398">
        <v>-1013714</v>
      </c>
      <c r="Y168" s="398"/>
      <c r="Z168" s="398"/>
    </row>
    <row r="169" spans="1:26">
      <c r="A169" s="392">
        <v>91504</v>
      </c>
      <c r="B169" s="393" t="s">
        <v>883</v>
      </c>
      <c r="C169" s="235">
        <v>8.8999999999999995E-6</v>
      </c>
      <c r="D169" s="235">
        <v>8.1000000000000004E-6</v>
      </c>
      <c r="E169" s="232">
        <v>13649</v>
      </c>
      <c r="F169" s="232" t="s">
        <v>1930</v>
      </c>
      <c r="G169" s="394">
        <v>4342</v>
      </c>
      <c r="H169" s="394">
        <v>0</v>
      </c>
      <c r="I169" s="394">
        <v>8575</v>
      </c>
      <c r="J169" s="232">
        <v>7301</v>
      </c>
      <c r="K169" s="232">
        <v>20218</v>
      </c>
      <c r="L169" s="232"/>
      <c r="M169" s="302">
        <v>0</v>
      </c>
      <c r="N169" s="302">
        <v>19500</v>
      </c>
      <c r="O169" s="302">
        <v>0</v>
      </c>
      <c r="P169" s="232">
        <v>0</v>
      </c>
      <c r="Q169" s="232">
        <v>19500</v>
      </c>
      <c r="R169" s="232"/>
      <c r="S169" s="394">
        <v>5889</v>
      </c>
      <c r="T169" s="232">
        <v>3402</v>
      </c>
      <c r="U169" s="398">
        <v>9291</v>
      </c>
      <c r="V169" s="232"/>
      <c r="W169" s="398">
        <v>52984</v>
      </c>
      <c r="X169" s="398">
        <v>-18722</v>
      </c>
      <c r="Y169" s="398"/>
      <c r="Z169" s="398"/>
    </row>
    <row r="170" spans="1:26">
      <c r="A170" s="392">
        <v>91601</v>
      </c>
      <c r="B170" s="393" t="s">
        <v>884</v>
      </c>
      <c r="C170" s="235">
        <v>2.8359000000000001E-3</v>
      </c>
      <c r="D170" s="235">
        <v>2.8121999999999999E-3</v>
      </c>
      <c r="E170" s="232">
        <v>4349125</v>
      </c>
      <c r="F170" s="232" t="s">
        <v>1930</v>
      </c>
      <c r="G170" s="394">
        <v>1383613</v>
      </c>
      <c r="H170" s="394">
        <v>0</v>
      </c>
      <c r="I170" s="394">
        <v>2732361</v>
      </c>
      <c r="J170" s="232">
        <v>285639</v>
      </c>
      <c r="K170" s="232">
        <v>4401613</v>
      </c>
      <c r="L170" s="232"/>
      <c r="M170" s="302">
        <v>0</v>
      </c>
      <c r="N170" s="302">
        <v>6213593</v>
      </c>
      <c r="O170" s="302">
        <v>0</v>
      </c>
      <c r="P170" s="232">
        <v>106723</v>
      </c>
      <c r="Q170" s="232">
        <v>6320316</v>
      </c>
      <c r="R170" s="232"/>
      <c r="S170" s="394">
        <v>1876351</v>
      </c>
      <c r="T170" s="232">
        <v>50976</v>
      </c>
      <c r="U170" s="398">
        <v>1927327</v>
      </c>
      <c r="V170" s="232"/>
      <c r="W170" s="398">
        <v>16882941</v>
      </c>
      <c r="X170" s="398">
        <v>-5965534</v>
      </c>
      <c r="Y170" s="398"/>
      <c r="Z170" s="398"/>
    </row>
    <row r="171" spans="1:26">
      <c r="A171" s="392">
        <v>91604</v>
      </c>
      <c r="B171" s="393" t="s">
        <v>885</v>
      </c>
      <c r="C171" s="235">
        <v>7.3999999999999996E-5</v>
      </c>
      <c r="D171" s="235">
        <v>8.1600000000000005E-5</v>
      </c>
      <c r="E171" s="232">
        <v>113486</v>
      </c>
      <c r="F171" s="232" t="s">
        <v>1930</v>
      </c>
      <c r="G171" s="394">
        <v>36104</v>
      </c>
      <c r="H171" s="394">
        <v>0</v>
      </c>
      <c r="I171" s="394">
        <v>71298</v>
      </c>
      <c r="J171" s="232">
        <v>21937</v>
      </c>
      <c r="K171" s="232">
        <v>129339</v>
      </c>
      <c r="L171" s="232"/>
      <c r="M171" s="302">
        <v>0</v>
      </c>
      <c r="N171" s="302">
        <v>162138</v>
      </c>
      <c r="O171" s="302">
        <v>0</v>
      </c>
      <c r="P171" s="232">
        <v>0</v>
      </c>
      <c r="Q171" s="232">
        <v>162138</v>
      </c>
      <c r="R171" s="232"/>
      <c r="S171" s="394">
        <v>48962</v>
      </c>
      <c r="T171" s="232">
        <v>13300</v>
      </c>
      <c r="U171" s="398">
        <v>62262</v>
      </c>
      <c r="V171" s="232"/>
      <c r="W171" s="398">
        <v>440544</v>
      </c>
      <c r="X171" s="398">
        <v>-155665</v>
      </c>
      <c r="Y171" s="398"/>
      <c r="Z171" s="398"/>
    </row>
    <row r="172" spans="1:26">
      <c r="A172" s="392">
        <v>91608</v>
      </c>
      <c r="B172" s="393" t="s">
        <v>886</v>
      </c>
      <c r="C172" s="235">
        <v>1.594E-4</v>
      </c>
      <c r="D172" s="235">
        <v>1.7579999999999999E-4</v>
      </c>
      <c r="E172" s="232">
        <v>244455</v>
      </c>
      <c r="F172" s="232" t="s">
        <v>1930</v>
      </c>
      <c r="G172" s="394">
        <v>77770</v>
      </c>
      <c r="H172" s="394">
        <v>0</v>
      </c>
      <c r="I172" s="394">
        <v>153580</v>
      </c>
      <c r="J172" s="232">
        <v>2388</v>
      </c>
      <c r="K172" s="232">
        <v>233738</v>
      </c>
      <c r="L172" s="232"/>
      <c r="M172" s="302">
        <v>0</v>
      </c>
      <c r="N172" s="302">
        <v>349253</v>
      </c>
      <c r="O172" s="302">
        <v>0</v>
      </c>
      <c r="P172" s="232">
        <v>59534</v>
      </c>
      <c r="Q172" s="232">
        <v>408787</v>
      </c>
      <c r="R172" s="232"/>
      <c r="S172" s="394">
        <v>105466</v>
      </c>
      <c r="T172" s="232">
        <v>-22882</v>
      </c>
      <c r="U172" s="398">
        <v>82584</v>
      </c>
      <c r="V172" s="232"/>
      <c r="W172" s="398">
        <v>948955</v>
      </c>
      <c r="X172" s="398">
        <v>-335310</v>
      </c>
      <c r="Y172" s="398"/>
      <c r="Z172" s="398"/>
    </row>
    <row r="173" spans="1:26">
      <c r="A173" s="392">
        <v>91611</v>
      </c>
      <c r="B173" s="393" t="s">
        <v>887</v>
      </c>
      <c r="C173" s="235">
        <v>1.3304E-3</v>
      </c>
      <c r="D173" s="235">
        <v>1.4962E-3</v>
      </c>
      <c r="E173" s="232">
        <v>2040296</v>
      </c>
      <c r="F173" s="232" t="s">
        <v>1930</v>
      </c>
      <c r="G173" s="394">
        <v>649092</v>
      </c>
      <c r="H173" s="394">
        <v>0</v>
      </c>
      <c r="I173" s="394">
        <v>1281827</v>
      </c>
      <c r="J173" s="232">
        <v>0</v>
      </c>
      <c r="K173" s="232">
        <v>1930919</v>
      </c>
      <c r="L173" s="232"/>
      <c r="M173" s="302">
        <v>0</v>
      </c>
      <c r="N173" s="302">
        <v>2914970</v>
      </c>
      <c r="O173" s="302">
        <v>0</v>
      </c>
      <c r="P173" s="232">
        <v>409663</v>
      </c>
      <c r="Q173" s="232">
        <v>3324633</v>
      </c>
      <c r="R173" s="232"/>
      <c r="S173" s="394">
        <v>880249</v>
      </c>
      <c r="T173" s="232">
        <v>-169028</v>
      </c>
      <c r="U173" s="398">
        <v>711221</v>
      </c>
      <c r="V173" s="232"/>
      <c r="W173" s="398">
        <v>7920260</v>
      </c>
      <c r="X173" s="398">
        <v>-2798599</v>
      </c>
      <c r="Y173" s="398"/>
      <c r="Z173" s="398"/>
    </row>
    <row r="174" spans="1:26">
      <c r="A174" s="392">
        <v>91621</v>
      </c>
      <c r="B174" s="393" t="s">
        <v>888</v>
      </c>
      <c r="C174" s="235">
        <v>3.4180000000000001E-4</v>
      </c>
      <c r="D174" s="235">
        <v>2.7169999999999999E-4</v>
      </c>
      <c r="E174" s="232">
        <v>524183</v>
      </c>
      <c r="F174" s="232" t="s">
        <v>1930</v>
      </c>
      <c r="G174" s="394">
        <v>166761</v>
      </c>
      <c r="H174" s="394">
        <v>0</v>
      </c>
      <c r="I174" s="394">
        <v>329321</v>
      </c>
      <c r="J174" s="232">
        <v>119271</v>
      </c>
      <c r="K174" s="232">
        <v>615353</v>
      </c>
      <c r="L174" s="232"/>
      <c r="M174" s="302">
        <v>0</v>
      </c>
      <c r="N174" s="302">
        <v>748900</v>
      </c>
      <c r="O174" s="302">
        <v>0</v>
      </c>
      <c r="P174" s="232">
        <v>10332</v>
      </c>
      <c r="Q174" s="232">
        <v>759232</v>
      </c>
      <c r="R174" s="232"/>
      <c r="S174" s="394">
        <v>226149</v>
      </c>
      <c r="T174" s="232">
        <v>37483</v>
      </c>
      <c r="U174" s="398">
        <v>263632</v>
      </c>
      <c r="V174" s="232"/>
      <c r="W174" s="398">
        <v>2034835</v>
      </c>
      <c r="X174" s="398">
        <v>-719003</v>
      </c>
      <c r="Y174" s="398"/>
      <c r="Z174" s="398"/>
    </row>
    <row r="175" spans="1:26">
      <c r="A175" s="392">
        <v>91631</v>
      </c>
      <c r="B175" s="393" t="s">
        <v>889</v>
      </c>
      <c r="C175" s="235">
        <v>6.3750000000000005E-4</v>
      </c>
      <c r="D175" s="235">
        <v>6.4579999999999998E-4</v>
      </c>
      <c r="E175" s="232">
        <v>977667</v>
      </c>
      <c r="F175" s="232" t="s">
        <v>1930</v>
      </c>
      <c r="G175" s="394">
        <v>311031</v>
      </c>
      <c r="H175" s="394">
        <v>0</v>
      </c>
      <c r="I175" s="394">
        <v>614225</v>
      </c>
      <c r="J175" s="232">
        <v>41276</v>
      </c>
      <c r="K175" s="232">
        <v>966532</v>
      </c>
      <c r="L175" s="232"/>
      <c r="M175" s="302">
        <v>0</v>
      </c>
      <c r="N175" s="302">
        <v>1396793</v>
      </c>
      <c r="O175" s="302">
        <v>0</v>
      </c>
      <c r="P175" s="232">
        <v>43035</v>
      </c>
      <c r="Q175" s="232">
        <v>1439828</v>
      </c>
      <c r="R175" s="232"/>
      <c r="S175" s="394">
        <v>421797</v>
      </c>
      <c r="T175" s="232">
        <v>-1088</v>
      </c>
      <c r="U175" s="398">
        <v>420709</v>
      </c>
      <c r="V175" s="232"/>
      <c r="W175" s="398">
        <v>3795224</v>
      </c>
      <c r="X175" s="398">
        <v>-1341030</v>
      </c>
      <c r="Y175" s="398"/>
      <c r="Z175" s="398"/>
    </row>
    <row r="176" spans="1:26">
      <c r="A176" s="392">
        <v>91633</v>
      </c>
      <c r="B176" s="393" t="s">
        <v>890</v>
      </c>
      <c r="C176" s="235">
        <v>0</v>
      </c>
      <c r="D176" s="235">
        <v>3.0499999999999999E-5</v>
      </c>
      <c r="E176" s="232">
        <v>0</v>
      </c>
      <c r="F176" s="232" t="s">
        <v>1930</v>
      </c>
      <c r="G176" s="394">
        <v>0</v>
      </c>
      <c r="H176" s="394">
        <v>0</v>
      </c>
      <c r="I176" s="394">
        <v>0</v>
      </c>
      <c r="J176" s="232">
        <v>4304</v>
      </c>
      <c r="K176" s="232">
        <v>4304</v>
      </c>
      <c r="L176" s="232"/>
      <c r="M176" s="302">
        <v>0</v>
      </c>
      <c r="N176" s="302">
        <v>0</v>
      </c>
      <c r="O176" s="302">
        <v>0</v>
      </c>
      <c r="P176" s="232">
        <v>42103</v>
      </c>
      <c r="Q176" s="232">
        <v>42103</v>
      </c>
      <c r="R176" s="232"/>
      <c r="S176" s="394">
        <v>0</v>
      </c>
      <c r="T176" s="232">
        <v>-12698</v>
      </c>
      <c r="U176" s="398">
        <v>-12698</v>
      </c>
      <c r="V176" s="232"/>
      <c r="W176" s="398">
        <v>0</v>
      </c>
      <c r="X176" s="398">
        <v>0</v>
      </c>
      <c r="Y176" s="398"/>
      <c r="Z176" s="398"/>
    </row>
    <row r="177" spans="1:26">
      <c r="A177" s="392">
        <v>91641</v>
      </c>
      <c r="B177" s="393" t="s">
        <v>891</v>
      </c>
      <c r="C177" s="235">
        <v>3.234E-4</v>
      </c>
      <c r="D177" s="235">
        <v>3.0420000000000002E-4</v>
      </c>
      <c r="E177" s="232">
        <v>495965</v>
      </c>
      <c r="F177" s="232" t="s">
        <v>1930</v>
      </c>
      <c r="G177" s="394">
        <v>157784</v>
      </c>
      <c r="H177" s="394">
        <v>0</v>
      </c>
      <c r="I177" s="394">
        <v>311593</v>
      </c>
      <c r="J177" s="232">
        <v>13126</v>
      </c>
      <c r="K177" s="232">
        <v>482503</v>
      </c>
      <c r="L177" s="232"/>
      <c r="M177" s="302">
        <v>0</v>
      </c>
      <c r="N177" s="302">
        <v>708585</v>
      </c>
      <c r="O177" s="302">
        <v>0</v>
      </c>
      <c r="P177" s="232">
        <v>11204</v>
      </c>
      <c r="Q177" s="232">
        <v>719789</v>
      </c>
      <c r="R177" s="232"/>
      <c r="S177" s="394">
        <v>213975</v>
      </c>
      <c r="T177" s="232">
        <v>-7698</v>
      </c>
      <c r="U177" s="398">
        <v>206277</v>
      </c>
      <c r="V177" s="232"/>
      <c r="W177" s="398">
        <v>1925295</v>
      </c>
      <c r="X177" s="398">
        <v>-680297</v>
      </c>
      <c r="Y177" s="398"/>
      <c r="Z177" s="398"/>
    </row>
    <row r="178" spans="1:26">
      <c r="A178" s="392">
        <v>91651</v>
      </c>
      <c r="B178" s="393" t="s">
        <v>892</v>
      </c>
      <c r="C178" s="235">
        <v>5.5210000000000003E-4</v>
      </c>
      <c r="D178" s="235">
        <v>5.3629999999999997E-4</v>
      </c>
      <c r="E178" s="232">
        <v>846698</v>
      </c>
      <c r="F178" s="232" t="s">
        <v>1930</v>
      </c>
      <c r="G178" s="394">
        <v>269365</v>
      </c>
      <c r="H178" s="394">
        <v>0</v>
      </c>
      <c r="I178" s="394">
        <v>531943</v>
      </c>
      <c r="J178" s="232">
        <v>56386</v>
      </c>
      <c r="K178" s="232">
        <v>857694</v>
      </c>
      <c r="L178" s="232"/>
      <c r="M178" s="302">
        <v>0</v>
      </c>
      <c r="N178" s="302">
        <v>1209678</v>
      </c>
      <c r="O178" s="302">
        <v>0</v>
      </c>
      <c r="P178" s="232">
        <v>4724</v>
      </c>
      <c r="Q178" s="232">
        <v>1214402</v>
      </c>
      <c r="R178" s="232"/>
      <c r="S178" s="394">
        <v>365293</v>
      </c>
      <c r="T178" s="232">
        <v>22565</v>
      </c>
      <c r="U178" s="398">
        <v>387858</v>
      </c>
      <c r="V178" s="232"/>
      <c r="W178" s="398">
        <v>3286813</v>
      </c>
      <c r="X178" s="398">
        <v>-1161385</v>
      </c>
      <c r="Y178" s="398"/>
      <c r="Z178" s="398"/>
    </row>
    <row r="179" spans="1:26">
      <c r="A179" s="392">
        <v>91661</v>
      </c>
      <c r="B179" s="393" t="s">
        <v>893</v>
      </c>
      <c r="C179" s="235">
        <v>1.9269999999999999E-4</v>
      </c>
      <c r="D179" s="235">
        <v>1.985E-4</v>
      </c>
      <c r="E179" s="232">
        <v>295524</v>
      </c>
      <c r="F179" s="232" t="s">
        <v>1930</v>
      </c>
      <c r="G179" s="394">
        <v>94017</v>
      </c>
      <c r="H179" s="394">
        <v>0</v>
      </c>
      <c r="I179" s="394">
        <v>185665</v>
      </c>
      <c r="J179" s="232">
        <v>0</v>
      </c>
      <c r="K179" s="232">
        <v>279682</v>
      </c>
      <c r="L179" s="232"/>
      <c r="M179" s="302">
        <v>0</v>
      </c>
      <c r="N179" s="302">
        <v>422215</v>
      </c>
      <c r="O179" s="302">
        <v>0</v>
      </c>
      <c r="P179" s="232">
        <v>46389</v>
      </c>
      <c r="Q179" s="232">
        <v>468604</v>
      </c>
      <c r="R179" s="232"/>
      <c r="S179" s="394">
        <v>127498</v>
      </c>
      <c r="T179" s="232">
        <v>-22865</v>
      </c>
      <c r="U179" s="398">
        <v>104633</v>
      </c>
      <c r="V179" s="232"/>
      <c r="W179" s="398">
        <v>1147199</v>
      </c>
      <c r="X179" s="398">
        <v>-405359</v>
      </c>
      <c r="Y179" s="398"/>
      <c r="Z179" s="398"/>
    </row>
    <row r="180" spans="1:26">
      <c r="A180" s="392">
        <v>91671</v>
      </c>
      <c r="B180" s="393" t="s">
        <v>894</v>
      </c>
      <c r="C180" s="235">
        <v>1.013E-4</v>
      </c>
      <c r="D180" s="235">
        <v>9.3700000000000001E-5</v>
      </c>
      <c r="E180" s="232">
        <v>155353</v>
      </c>
      <c r="F180" s="232" t="s">
        <v>1930</v>
      </c>
      <c r="G180" s="394">
        <v>49423</v>
      </c>
      <c r="H180" s="394">
        <v>0</v>
      </c>
      <c r="I180" s="394">
        <v>97602</v>
      </c>
      <c r="J180" s="232">
        <v>8314</v>
      </c>
      <c r="K180" s="232">
        <v>155339</v>
      </c>
      <c r="L180" s="232"/>
      <c r="M180" s="302">
        <v>0</v>
      </c>
      <c r="N180" s="302">
        <v>221953</v>
      </c>
      <c r="O180" s="302">
        <v>0</v>
      </c>
      <c r="P180" s="232">
        <v>21141</v>
      </c>
      <c r="Q180" s="232">
        <v>243094</v>
      </c>
      <c r="R180" s="232"/>
      <c r="S180" s="394">
        <v>67024</v>
      </c>
      <c r="T180" s="232">
        <v>-7219</v>
      </c>
      <c r="U180" s="398">
        <v>59805</v>
      </c>
      <c r="V180" s="232"/>
      <c r="W180" s="398">
        <v>603068</v>
      </c>
      <c r="X180" s="398">
        <v>-213092</v>
      </c>
      <c r="Y180" s="398"/>
      <c r="Z180" s="398"/>
    </row>
    <row r="181" spans="1:26">
      <c r="A181" s="392">
        <v>91681</v>
      </c>
      <c r="B181" s="393" t="s">
        <v>895</v>
      </c>
      <c r="C181" s="235">
        <v>4.5239999999999999E-4</v>
      </c>
      <c r="D181" s="235">
        <v>4.6890000000000001E-4</v>
      </c>
      <c r="E181" s="232">
        <v>693799</v>
      </c>
      <c r="F181" s="232" t="s">
        <v>1930</v>
      </c>
      <c r="G181" s="394">
        <v>220722</v>
      </c>
      <c r="H181" s="394">
        <v>0</v>
      </c>
      <c r="I181" s="394">
        <v>435883</v>
      </c>
      <c r="J181" s="232">
        <v>214231</v>
      </c>
      <c r="K181" s="232">
        <v>870836</v>
      </c>
      <c r="L181" s="232"/>
      <c r="M181" s="302">
        <v>0</v>
      </c>
      <c r="N181" s="302">
        <v>991230</v>
      </c>
      <c r="O181" s="302">
        <v>0</v>
      </c>
      <c r="P181" s="232">
        <v>2771</v>
      </c>
      <c r="Q181" s="232">
        <v>994001</v>
      </c>
      <c r="R181" s="232"/>
      <c r="S181" s="394">
        <v>299327</v>
      </c>
      <c r="T181" s="232">
        <v>137966</v>
      </c>
      <c r="U181" s="398">
        <v>437293</v>
      </c>
      <c r="V181" s="232"/>
      <c r="W181" s="398">
        <v>2693269</v>
      </c>
      <c r="X181" s="398">
        <v>-951658</v>
      </c>
      <c r="Y181" s="398"/>
      <c r="Z181" s="398"/>
    </row>
    <row r="182" spans="1:26">
      <c r="A182" s="392">
        <v>91691</v>
      </c>
      <c r="B182" s="393" t="s">
        <v>896</v>
      </c>
      <c r="C182" s="235">
        <v>2.8500000000000002E-5</v>
      </c>
      <c r="D182" s="235">
        <v>1.42E-5</v>
      </c>
      <c r="E182" s="232">
        <v>43707</v>
      </c>
      <c r="F182" s="232" t="s">
        <v>1930</v>
      </c>
      <c r="G182" s="394">
        <v>13905</v>
      </c>
      <c r="H182" s="394">
        <v>0</v>
      </c>
      <c r="I182" s="394">
        <v>27459</v>
      </c>
      <c r="J182" s="232">
        <v>26872</v>
      </c>
      <c r="K182" s="232">
        <v>68236</v>
      </c>
      <c r="L182" s="232"/>
      <c r="M182" s="302">
        <v>0</v>
      </c>
      <c r="N182" s="302">
        <v>62445</v>
      </c>
      <c r="O182" s="302">
        <v>0</v>
      </c>
      <c r="P182" s="232">
        <v>3174</v>
      </c>
      <c r="Q182" s="232">
        <v>65619</v>
      </c>
      <c r="R182" s="232"/>
      <c r="S182" s="394">
        <v>18857</v>
      </c>
      <c r="T182" s="232">
        <v>7236</v>
      </c>
      <c r="U182" s="398">
        <v>26093</v>
      </c>
      <c r="V182" s="232"/>
      <c r="W182" s="398">
        <v>169669</v>
      </c>
      <c r="X182" s="398">
        <v>-59952</v>
      </c>
      <c r="Y182" s="398"/>
      <c r="Z182" s="398"/>
    </row>
    <row r="183" spans="1:26">
      <c r="A183" s="392">
        <v>91701</v>
      </c>
      <c r="B183" s="393" t="s">
        <v>897</v>
      </c>
      <c r="C183" s="235">
        <v>1.1352999999999999E-3</v>
      </c>
      <c r="D183" s="235">
        <v>1.1245999999999999E-3</v>
      </c>
      <c r="E183" s="232">
        <v>1741092</v>
      </c>
      <c r="F183" s="232" t="s">
        <v>1930</v>
      </c>
      <c r="G183" s="394">
        <v>553904</v>
      </c>
      <c r="H183" s="394">
        <v>0</v>
      </c>
      <c r="I183" s="394">
        <v>1093850</v>
      </c>
      <c r="J183" s="232">
        <v>38135</v>
      </c>
      <c r="K183" s="232">
        <v>1685889</v>
      </c>
      <c r="L183" s="232"/>
      <c r="M183" s="302">
        <v>0</v>
      </c>
      <c r="N183" s="302">
        <v>2487497</v>
      </c>
      <c r="O183" s="302">
        <v>0</v>
      </c>
      <c r="P183" s="232">
        <v>62297</v>
      </c>
      <c r="Q183" s="232">
        <v>2549794</v>
      </c>
      <c r="R183" s="232"/>
      <c r="S183" s="394">
        <v>751162</v>
      </c>
      <c r="T183" s="232">
        <v>-3030</v>
      </c>
      <c r="U183" s="398">
        <v>748132</v>
      </c>
      <c r="V183" s="232"/>
      <c r="W183" s="398">
        <v>6758772</v>
      </c>
      <c r="X183" s="398">
        <v>-2388191</v>
      </c>
      <c r="Y183" s="398"/>
      <c r="Z183" s="398"/>
    </row>
    <row r="184" spans="1:26">
      <c r="A184" s="392">
        <v>91704</v>
      </c>
      <c r="B184" s="393" t="s">
        <v>898</v>
      </c>
      <c r="C184" s="235">
        <v>1.7600000000000001E-5</v>
      </c>
      <c r="D184" s="235">
        <v>1.66E-5</v>
      </c>
      <c r="E184" s="232">
        <v>26991</v>
      </c>
      <c r="F184" s="232" t="s">
        <v>1930</v>
      </c>
      <c r="G184" s="394">
        <v>8587</v>
      </c>
      <c r="H184" s="394">
        <v>0</v>
      </c>
      <c r="I184" s="394">
        <v>16957</v>
      </c>
      <c r="J184" s="232">
        <v>3565</v>
      </c>
      <c r="K184" s="232">
        <v>29109</v>
      </c>
      <c r="L184" s="232"/>
      <c r="M184" s="302">
        <v>0</v>
      </c>
      <c r="N184" s="302">
        <v>38562</v>
      </c>
      <c r="O184" s="302">
        <v>0</v>
      </c>
      <c r="P184" s="232">
        <v>14</v>
      </c>
      <c r="Q184" s="232">
        <v>38576</v>
      </c>
      <c r="R184" s="232"/>
      <c r="S184" s="394">
        <v>11645</v>
      </c>
      <c r="T184" s="232">
        <v>1263</v>
      </c>
      <c r="U184" s="398">
        <v>12908</v>
      </c>
      <c r="V184" s="232"/>
      <c r="W184" s="398">
        <v>104778</v>
      </c>
      <c r="X184" s="398">
        <v>-37023</v>
      </c>
      <c r="Y184" s="398"/>
      <c r="Z184" s="398"/>
    </row>
    <row r="185" spans="1:26">
      <c r="A185" s="392">
        <v>91706</v>
      </c>
      <c r="B185" s="393" t="s">
        <v>899</v>
      </c>
      <c r="C185" s="235">
        <v>1.9760000000000001E-4</v>
      </c>
      <c r="D185" s="235">
        <v>2.231E-4</v>
      </c>
      <c r="E185" s="232">
        <v>303039</v>
      </c>
      <c r="F185" s="232" t="s">
        <v>1930</v>
      </c>
      <c r="G185" s="394">
        <v>96407</v>
      </c>
      <c r="H185" s="394">
        <v>0</v>
      </c>
      <c r="I185" s="394">
        <v>190386</v>
      </c>
      <c r="J185" s="232">
        <v>22911</v>
      </c>
      <c r="K185" s="232">
        <v>309704</v>
      </c>
      <c r="L185" s="232"/>
      <c r="M185" s="302">
        <v>0</v>
      </c>
      <c r="N185" s="302">
        <v>432951</v>
      </c>
      <c r="O185" s="302">
        <v>0</v>
      </c>
      <c r="P185" s="232">
        <v>38851</v>
      </c>
      <c r="Q185" s="232">
        <v>471802</v>
      </c>
      <c r="R185" s="232"/>
      <c r="S185" s="394">
        <v>130740</v>
      </c>
      <c r="T185" s="232">
        <v>1587</v>
      </c>
      <c r="U185" s="398">
        <v>132327</v>
      </c>
      <c r="V185" s="232"/>
      <c r="W185" s="398">
        <v>1176370</v>
      </c>
      <c r="X185" s="398">
        <v>-415667</v>
      </c>
      <c r="Y185" s="398"/>
      <c r="Z185" s="398"/>
    </row>
    <row r="186" spans="1:26">
      <c r="A186" s="392">
        <v>91719</v>
      </c>
      <c r="B186" s="393" t="s">
        <v>900</v>
      </c>
      <c r="C186" s="235">
        <v>4.99E-5</v>
      </c>
      <c r="D186" s="235">
        <v>5.5999999999999999E-5</v>
      </c>
      <c r="E186" s="232">
        <v>76526</v>
      </c>
      <c r="F186" s="232" t="s">
        <v>1930</v>
      </c>
      <c r="G186" s="394">
        <v>24346</v>
      </c>
      <c r="H186" s="394">
        <v>0</v>
      </c>
      <c r="I186" s="394">
        <v>48078</v>
      </c>
      <c r="J186" s="232">
        <v>134</v>
      </c>
      <c r="K186" s="232">
        <v>72558</v>
      </c>
      <c r="L186" s="232"/>
      <c r="M186" s="302">
        <v>0</v>
      </c>
      <c r="N186" s="302">
        <v>109333</v>
      </c>
      <c r="O186" s="302">
        <v>0</v>
      </c>
      <c r="P186" s="232">
        <v>18781</v>
      </c>
      <c r="Q186" s="232">
        <v>128114</v>
      </c>
      <c r="R186" s="232"/>
      <c r="S186" s="394">
        <v>33016</v>
      </c>
      <c r="T186" s="232">
        <v>-7749</v>
      </c>
      <c r="U186" s="398">
        <v>25267</v>
      </c>
      <c r="V186" s="232"/>
      <c r="W186" s="398">
        <v>297069</v>
      </c>
      <c r="X186" s="398">
        <v>-104968</v>
      </c>
      <c r="Y186" s="398"/>
      <c r="Z186" s="398"/>
    </row>
    <row r="187" spans="1:26">
      <c r="A187" s="392">
        <v>91801</v>
      </c>
      <c r="B187" s="393" t="s">
        <v>901</v>
      </c>
      <c r="C187" s="235">
        <v>7.6772999999999997E-3</v>
      </c>
      <c r="D187" s="235">
        <v>7.6594000000000002E-3</v>
      </c>
      <c r="E187" s="232">
        <v>11773877</v>
      </c>
      <c r="F187" s="232" t="s">
        <v>1930</v>
      </c>
      <c r="G187" s="394">
        <v>3745693</v>
      </c>
      <c r="H187" s="394">
        <v>0</v>
      </c>
      <c r="I187" s="394">
        <v>7397002</v>
      </c>
      <c r="J187" s="232">
        <v>168564</v>
      </c>
      <c r="K187" s="232">
        <v>11311259</v>
      </c>
      <c r="L187" s="232"/>
      <c r="M187" s="302">
        <v>0</v>
      </c>
      <c r="N187" s="302">
        <v>16821333</v>
      </c>
      <c r="O187" s="302">
        <v>0</v>
      </c>
      <c r="P187" s="232">
        <v>169024</v>
      </c>
      <c r="Q187" s="232">
        <v>16990357</v>
      </c>
      <c r="R187" s="232"/>
      <c r="S187" s="394">
        <v>5079624</v>
      </c>
      <c r="T187" s="232">
        <v>-72493</v>
      </c>
      <c r="U187" s="398">
        <v>5007131</v>
      </c>
      <c r="V187" s="232"/>
      <c r="W187" s="398">
        <v>45705209</v>
      </c>
      <c r="X187" s="398">
        <v>-16149792</v>
      </c>
      <c r="Y187" s="398"/>
      <c r="Z187" s="398"/>
    </row>
    <row r="188" spans="1:26">
      <c r="A188" s="392">
        <v>91804</v>
      </c>
      <c r="B188" s="393" t="s">
        <v>902</v>
      </c>
      <c r="C188" s="235">
        <v>1.4300000000000001E-4</v>
      </c>
      <c r="D188" s="235">
        <v>1.382E-4</v>
      </c>
      <c r="E188" s="232">
        <v>219304</v>
      </c>
      <c r="F188" s="232" t="s">
        <v>1930</v>
      </c>
      <c r="G188" s="394">
        <v>69769</v>
      </c>
      <c r="H188" s="394">
        <v>0</v>
      </c>
      <c r="I188" s="394">
        <v>137779</v>
      </c>
      <c r="J188" s="232">
        <v>100192</v>
      </c>
      <c r="K188" s="232">
        <v>307740</v>
      </c>
      <c r="L188" s="232"/>
      <c r="M188" s="302">
        <v>0</v>
      </c>
      <c r="N188" s="302">
        <v>313320</v>
      </c>
      <c r="O188" s="302">
        <v>0</v>
      </c>
      <c r="P188" s="232">
        <v>0</v>
      </c>
      <c r="Q188" s="232">
        <v>313320</v>
      </c>
      <c r="R188" s="232"/>
      <c r="S188" s="394">
        <v>94615</v>
      </c>
      <c r="T188" s="232">
        <v>51406</v>
      </c>
      <c r="U188" s="398">
        <v>146021</v>
      </c>
      <c r="V188" s="232"/>
      <c r="W188" s="398">
        <v>851321</v>
      </c>
      <c r="X188" s="398">
        <v>-300812</v>
      </c>
      <c r="Y188" s="398"/>
      <c r="Z188" s="398"/>
    </row>
    <row r="189" spans="1:26">
      <c r="A189" s="392">
        <v>91811</v>
      </c>
      <c r="B189" s="393" t="s">
        <v>903</v>
      </c>
      <c r="C189" s="235">
        <v>4.2316999999999997E-3</v>
      </c>
      <c r="D189" s="235">
        <v>4.3679000000000001E-3</v>
      </c>
      <c r="E189" s="232">
        <v>6489718</v>
      </c>
      <c r="F189" s="232" t="s">
        <v>1930</v>
      </c>
      <c r="G189" s="394">
        <v>2064613</v>
      </c>
      <c r="H189" s="394">
        <v>0</v>
      </c>
      <c r="I189" s="394">
        <v>4077201</v>
      </c>
      <c r="J189" s="232">
        <v>74710</v>
      </c>
      <c r="K189" s="232">
        <v>6216524</v>
      </c>
      <c r="L189" s="232"/>
      <c r="M189" s="302">
        <v>0</v>
      </c>
      <c r="N189" s="302">
        <v>9271858</v>
      </c>
      <c r="O189" s="302">
        <v>0</v>
      </c>
      <c r="P189" s="232">
        <v>425526</v>
      </c>
      <c r="Q189" s="232">
        <v>9697384</v>
      </c>
      <c r="R189" s="232"/>
      <c r="S189" s="394">
        <v>2799870</v>
      </c>
      <c r="T189" s="232">
        <v>-190188</v>
      </c>
      <c r="U189" s="398">
        <v>2609682</v>
      </c>
      <c r="V189" s="232"/>
      <c r="W189" s="398">
        <v>25192546</v>
      </c>
      <c r="X189" s="398">
        <v>-8901707</v>
      </c>
      <c r="Y189" s="398"/>
      <c r="Z189" s="398"/>
    </row>
    <row r="190" spans="1:26">
      <c r="A190" s="392">
        <v>91812</v>
      </c>
      <c r="B190" s="393" t="s">
        <v>904</v>
      </c>
      <c r="C190" s="235">
        <v>5.41E-5</v>
      </c>
      <c r="D190" s="235">
        <v>5.7299999999999997E-5</v>
      </c>
      <c r="E190" s="232">
        <v>82968</v>
      </c>
      <c r="F190" s="232" t="s">
        <v>1930</v>
      </c>
      <c r="G190" s="394">
        <v>26395</v>
      </c>
      <c r="H190" s="394">
        <v>0</v>
      </c>
      <c r="I190" s="394">
        <v>52125</v>
      </c>
      <c r="J190" s="232">
        <v>14089</v>
      </c>
      <c r="K190" s="232">
        <v>92609</v>
      </c>
      <c r="L190" s="232"/>
      <c r="M190" s="302">
        <v>0</v>
      </c>
      <c r="N190" s="302">
        <v>118536</v>
      </c>
      <c r="O190" s="302">
        <v>0</v>
      </c>
      <c r="P190" s="232">
        <v>3889</v>
      </c>
      <c r="Q190" s="232">
        <v>122425</v>
      </c>
      <c r="R190" s="232"/>
      <c r="S190" s="394">
        <v>35795</v>
      </c>
      <c r="T190" s="232">
        <v>5329</v>
      </c>
      <c r="U190" s="398">
        <v>41124</v>
      </c>
      <c r="V190" s="232"/>
      <c r="W190" s="398">
        <v>322073</v>
      </c>
      <c r="X190" s="398">
        <v>-113804</v>
      </c>
      <c r="Y190" s="398"/>
      <c r="Z190" s="398"/>
    </row>
    <row r="191" spans="1:26">
      <c r="A191" s="392">
        <v>91813</v>
      </c>
      <c r="B191" s="393" t="s">
        <v>905</v>
      </c>
      <c r="C191" s="235">
        <v>7.1799999999999997E-5</v>
      </c>
      <c r="D191" s="235">
        <v>7.7299999999999995E-5</v>
      </c>
      <c r="E191" s="232">
        <v>110112</v>
      </c>
      <c r="F191" s="232" t="s">
        <v>1930</v>
      </c>
      <c r="G191" s="394">
        <v>35031</v>
      </c>
      <c r="H191" s="394">
        <v>0</v>
      </c>
      <c r="I191" s="394">
        <v>69179</v>
      </c>
      <c r="J191" s="232">
        <v>8542</v>
      </c>
      <c r="K191" s="232">
        <v>112752</v>
      </c>
      <c r="L191" s="232"/>
      <c r="M191" s="302">
        <v>0</v>
      </c>
      <c r="N191" s="302">
        <v>157317</v>
      </c>
      <c r="O191" s="302">
        <v>0</v>
      </c>
      <c r="P191" s="232">
        <v>10448</v>
      </c>
      <c r="Q191" s="232">
        <v>167765</v>
      </c>
      <c r="R191" s="232"/>
      <c r="S191" s="394">
        <v>47506</v>
      </c>
      <c r="T191" s="232">
        <v>-2799</v>
      </c>
      <c r="U191" s="398">
        <v>44707</v>
      </c>
      <c r="V191" s="232"/>
      <c r="W191" s="398">
        <v>427446</v>
      </c>
      <c r="X191" s="398">
        <v>-151037</v>
      </c>
      <c r="Y191" s="398"/>
      <c r="Z191" s="398"/>
    </row>
    <row r="192" spans="1:26">
      <c r="A192" s="392">
        <v>91818</v>
      </c>
      <c r="B192" s="393" t="s">
        <v>906</v>
      </c>
      <c r="C192" s="235">
        <v>4.683E-4</v>
      </c>
      <c r="D192" s="235">
        <v>4.2240000000000002E-4</v>
      </c>
      <c r="E192" s="232">
        <v>718183</v>
      </c>
      <c r="F192" s="232" t="s">
        <v>1930</v>
      </c>
      <c r="G192" s="394">
        <v>228480</v>
      </c>
      <c r="H192" s="394">
        <v>0</v>
      </c>
      <c r="I192" s="394">
        <v>451202</v>
      </c>
      <c r="J192" s="232">
        <v>169773</v>
      </c>
      <c r="K192" s="232">
        <v>849455</v>
      </c>
      <c r="L192" s="232"/>
      <c r="M192" s="302">
        <v>0</v>
      </c>
      <c r="N192" s="302">
        <v>1026068</v>
      </c>
      <c r="O192" s="302">
        <v>0</v>
      </c>
      <c r="P192" s="232">
        <v>0</v>
      </c>
      <c r="Q192" s="232">
        <v>1026068</v>
      </c>
      <c r="R192" s="232"/>
      <c r="S192" s="394">
        <v>309847</v>
      </c>
      <c r="T192" s="232">
        <v>154692</v>
      </c>
      <c r="U192" s="398">
        <v>464539</v>
      </c>
      <c r="V192" s="232"/>
      <c r="W192" s="398">
        <v>2787927</v>
      </c>
      <c r="X192" s="398">
        <v>-985105</v>
      </c>
      <c r="Y192" s="398"/>
      <c r="Z192" s="398"/>
    </row>
    <row r="193" spans="1:26">
      <c r="A193" s="392">
        <v>91819</v>
      </c>
      <c r="B193" s="393" t="s">
        <v>907</v>
      </c>
      <c r="C193" s="235">
        <v>2.6840000000000002E-4</v>
      </c>
      <c r="D193" s="235">
        <v>2.8850000000000002E-4</v>
      </c>
      <c r="E193" s="232">
        <v>411617</v>
      </c>
      <c r="F193" s="232" t="s">
        <v>1930</v>
      </c>
      <c r="G193" s="394">
        <v>130950</v>
      </c>
      <c r="H193" s="394">
        <v>0</v>
      </c>
      <c r="I193" s="394">
        <v>258601</v>
      </c>
      <c r="J193" s="232">
        <v>14921</v>
      </c>
      <c r="K193" s="232">
        <v>404472</v>
      </c>
      <c r="L193" s="232"/>
      <c r="M193" s="302">
        <v>0</v>
      </c>
      <c r="N193" s="302">
        <v>588077</v>
      </c>
      <c r="O193" s="302">
        <v>0</v>
      </c>
      <c r="P193" s="232">
        <v>53119</v>
      </c>
      <c r="Q193" s="232">
        <v>641196</v>
      </c>
      <c r="R193" s="232"/>
      <c r="S193" s="394">
        <v>177585</v>
      </c>
      <c r="T193" s="232">
        <v>-8511</v>
      </c>
      <c r="U193" s="398">
        <v>169074</v>
      </c>
      <c r="V193" s="232"/>
      <c r="W193" s="398">
        <v>1597864</v>
      </c>
      <c r="X193" s="398">
        <v>-564600</v>
      </c>
      <c r="Y193" s="398"/>
      <c r="Z193" s="398"/>
    </row>
    <row r="194" spans="1:26">
      <c r="A194" s="392">
        <v>91821</v>
      </c>
      <c r="B194" s="393" t="s">
        <v>908</v>
      </c>
      <c r="C194" s="235">
        <v>1.617E-4</v>
      </c>
      <c r="D194" s="235">
        <v>1.4750000000000001E-4</v>
      </c>
      <c r="E194" s="232">
        <v>247982</v>
      </c>
      <c r="F194" s="232" t="s">
        <v>1930</v>
      </c>
      <c r="G194" s="394">
        <v>78892</v>
      </c>
      <c r="H194" s="394">
        <v>0</v>
      </c>
      <c r="I194" s="394">
        <v>155796</v>
      </c>
      <c r="J194" s="232">
        <v>23401</v>
      </c>
      <c r="K194" s="232">
        <v>258089</v>
      </c>
      <c r="L194" s="232"/>
      <c r="M194" s="302">
        <v>0</v>
      </c>
      <c r="N194" s="302">
        <v>354292</v>
      </c>
      <c r="O194" s="302">
        <v>0</v>
      </c>
      <c r="P194" s="232">
        <v>18948</v>
      </c>
      <c r="Q194" s="232">
        <v>373240</v>
      </c>
      <c r="R194" s="232"/>
      <c r="S194" s="394">
        <v>106988</v>
      </c>
      <c r="T194" s="232">
        <v>-2786</v>
      </c>
      <c r="U194" s="398">
        <v>104202</v>
      </c>
      <c r="V194" s="232"/>
      <c r="W194" s="398">
        <v>962647</v>
      </c>
      <c r="X194" s="398">
        <v>-340148</v>
      </c>
      <c r="Y194" s="398"/>
      <c r="Z194" s="398"/>
    </row>
    <row r="195" spans="1:26">
      <c r="A195" s="392">
        <v>91831</v>
      </c>
      <c r="B195" s="393" t="s">
        <v>909</v>
      </c>
      <c r="C195" s="235">
        <v>4.0200000000000001E-4</v>
      </c>
      <c r="D195" s="235">
        <v>4.3399999999999998E-4</v>
      </c>
      <c r="E195" s="232">
        <v>616506</v>
      </c>
      <c r="F195" s="232" t="s">
        <v>1930</v>
      </c>
      <c r="G195" s="394">
        <v>196133</v>
      </c>
      <c r="H195" s="394">
        <v>0</v>
      </c>
      <c r="I195" s="394">
        <v>387323</v>
      </c>
      <c r="J195" s="232">
        <v>41268</v>
      </c>
      <c r="K195" s="232">
        <v>624724</v>
      </c>
      <c r="L195" s="232"/>
      <c r="M195" s="302">
        <v>0</v>
      </c>
      <c r="N195" s="302">
        <v>880801</v>
      </c>
      <c r="O195" s="302">
        <v>0</v>
      </c>
      <c r="P195" s="232">
        <v>66646</v>
      </c>
      <c r="Q195" s="232">
        <v>947447</v>
      </c>
      <c r="R195" s="232"/>
      <c r="S195" s="394">
        <v>265980</v>
      </c>
      <c r="T195" s="232">
        <v>-1691</v>
      </c>
      <c r="U195" s="398">
        <v>264289</v>
      </c>
      <c r="V195" s="232"/>
      <c r="W195" s="398">
        <v>2393223</v>
      </c>
      <c r="X195" s="398">
        <v>-845638</v>
      </c>
      <c r="Y195" s="398"/>
      <c r="Z195" s="398"/>
    </row>
    <row r="196" spans="1:26">
      <c r="A196" s="392">
        <v>91841</v>
      </c>
      <c r="B196" s="393" t="s">
        <v>910</v>
      </c>
      <c r="C196" s="235">
        <v>2.8810000000000001E-4</v>
      </c>
      <c r="D196" s="235">
        <v>2.7809999999999998E-4</v>
      </c>
      <c r="E196" s="232">
        <v>441829</v>
      </c>
      <c r="F196" s="232" t="s">
        <v>1930</v>
      </c>
      <c r="G196" s="394">
        <v>140562</v>
      </c>
      <c r="H196" s="394">
        <v>0</v>
      </c>
      <c r="I196" s="394">
        <v>277581</v>
      </c>
      <c r="J196" s="232">
        <v>33856</v>
      </c>
      <c r="K196" s="232">
        <v>451999</v>
      </c>
      <c r="L196" s="232"/>
      <c r="M196" s="302">
        <v>0</v>
      </c>
      <c r="N196" s="302">
        <v>631241</v>
      </c>
      <c r="O196" s="302">
        <v>0</v>
      </c>
      <c r="P196" s="232">
        <v>3719</v>
      </c>
      <c r="Q196" s="232">
        <v>634960</v>
      </c>
      <c r="R196" s="232"/>
      <c r="S196" s="394">
        <v>190619</v>
      </c>
      <c r="T196" s="232">
        <v>14250</v>
      </c>
      <c r="U196" s="398">
        <v>204869</v>
      </c>
      <c r="V196" s="232"/>
      <c r="W196" s="398">
        <v>1715143</v>
      </c>
      <c r="X196" s="398">
        <v>-606041</v>
      </c>
      <c r="Y196" s="398"/>
      <c r="Z196" s="398"/>
    </row>
    <row r="197" spans="1:26">
      <c r="A197" s="392">
        <v>91851</v>
      </c>
      <c r="B197" s="393" t="s">
        <v>911</v>
      </c>
      <c r="C197" s="235">
        <v>6.7020000000000003E-4</v>
      </c>
      <c r="D197" s="235">
        <v>6.7429999999999996E-4</v>
      </c>
      <c r="E197" s="232">
        <v>1027816</v>
      </c>
      <c r="F197" s="232" t="s">
        <v>1930</v>
      </c>
      <c r="G197" s="394">
        <v>326985</v>
      </c>
      <c r="H197" s="394">
        <v>0</v>
      </c>
      <c r="I197" s="394">
        <v>645731</v>
      </c>
      <c r="J197" s="232">
        <v>15440</v>
      </c>
      <c r="K197" s="232">
        <v>988156</v>
      </c>
      <c r="L197" s="232"/>
      <c r="M197" s="302">
        <v>0</v>
      </c>
      <c r="N197" s="302">
        <v>1468440</v>
      </c>
      <c r="O197" s="302">
        <v>0</v>
      </c>
      <c r="P197" s="232">
        <v>16456</v>
      </c>
      <c r="Q197" s="232">
        <v>1484896</v>
      </c>
      <c r="R197" s="232"/>
      <c r="S197" s="394">
        <v>443432</v>
      </c>
      <c r="T197" s="232">
        <v>-2910</v>
      </c>
      <c r="U197" s="398">
        <v>440522</v>
      </c>
      <c r="V197" s="232"/>
      <c r="W197" s="398">
        <v>3989896</v>
      </c>
      <c r="X197" s="398">
        <v>-1409817</v>
      </c>
      <c r="Y197" s="398"/>
      <c r="Z197" s="398"/>
    </row>
    <row r="198" spans="1:26">
      <c r="A198" s="392">
        <v>91861</v>
      </c>
      <c r="B198" s="393" t="s">
        <v>912</v>
      </c>
      <c r="C198" s="235">
        <v>6.4999999999999996E-6</v>
      </c>
      <c r="D198" s="235">
        <v>6.9999999999999999E-6</v>
      </c>
      <c r="E198" s="232">
        <v>9968</v>
      </c>
      <c r="F198" s="232" t="s">
        <v>1930</v>
      </c>
      <c r="G198" s="394">
        <v>3171</v>
      </c>
      <c r="H198" s="394">
        <v>0</v>
      </c>
      <c r="I198" s="394">
        <v>6263</v>
      </c>
      <c r="J198" s="232">
        <v>0</v>
      </c>
      <c r="K198" s="232">
        <v>9434</v>
      </c>
      <c r="L198" s="232"/>
      <c r="M198" s="302">
        <v>0</v>
      </c>
      <c r="N198" s="302">
        <v>14242</v>
      </c>
      <c r="O198" s="302">
        <v>0</v>
      </c>
      <c r="P198" s="232">
        <v>4445</v>
      </c>
      <c r="Q198" s="232">
        <v>18687</v>
      </c>
      <c r="R198" s="232"/>
      <c r="S198" s="394">
        <v>4301</v>
      </c>
      <c r="T198" s="232">
        <v>-2871</v>
      </c>
      <c r="U198" s="398">
        <v>1430</v>
      </c>
      <c r="V198" s="232"/>
      <c r="W198" s="398">
        <v>38696</v>
      </c>
      <c r="X198" s="398">
        <v>-13673</v>
      </c>
      <c r="Y198" s="398"/>
      <c r="Z198" s="398"/>
    </row>
    <row r="199" spans="1:26">
      <c r="A199" s="392">
        <v>91871</v>
      </c>
      <c r="B199" s="393" t="s">
        <v>913</v>
      </c>
      <c r="C199" s="235">
        <v>1.2749E-3</v>
      </c>
      <c r="D199" s="235">
        <v>1.3648E-3</v>
      </c>
      <c r="E199" s="232">
        <v>1955182</v>
      </c>
      <c r="F199" s="232" t="s">
        <v>1930</v>
      </c>
      <c r="G199" s="394">
        <v>622014</v>
      </c>
      <c r="H199" s="394">
        <v>0</v>
      </c>
      <c r="I199" s="394">
        <v>1228353</v>
      </c>
      <c r="J199" s="232">
        <v>30277</v>
      </c>
      <c r="K199" s="232">
        <v>1880644</v>
      </c>
      <c r="L199" s="232"/>
      <c r="M199" s="302">
        <v>0</v>
      </c>
      <c r="N199" s="302">
        <v>2793367</v>
      </c>
      <c r="O199" s="302">
        <v>0</v>
      </c>
      <c r="P199" s="232">
        <v>178706</v>
      </c>
      <c r="Q199" s="232">
        <v>2972073</v>
      </c>
      <c r="R199" s="232"/>
      <c r="S199" s="394">
        <v>843527</v>
      </c>
      <c r="T199" s="232">
        <v>-45584</v>
      </c>
      <c r="U199" s="398">
        <v>797943</v>
      </c>
      <c r="V199" s="232"/>
      <c r="W199" s="398">
        <v>7589852</v>
      </c>
      <c r="X199" s="398">
        <v>-2681850</v>
      </c>
      <c r="Y199" s="398"/>
      <c r="Z199" s="398"/>
    </row>
    <row r="200" spans="1:26">
      <c r="A200" s="392">
        <v>91881</v>
      </c>
      <c r="B200" s="393" t="s">
        <v>914</v>
      </c>
      <c r="C200" s="235">
        <v>1.6900000000000001E-5</v>
      </c>
      <c r="D200" s="235">
        <v>1.5E-5</v>
      </c>
      <c r="E200" s="232">
        <v>25918</v>
      </c>
      <c r="F200" s="232" t="s">
        <v>1930</v>
      </c>
      <c r="G200" s="394">
        <v>8245</v>
      </c>
      <c r="H200" s="394">
        <v>0</v>
      </c>
      <c r="I200" s="394">
        <v>16283</v>
      </c>
      <c r="J200" s="232">
        <v>7078</v>
      </c>
      <c r="K200" s="232">
        <v>31606</v>
      </c>
      <c r="L200" s="232"/>
      <c r="M200" s="302">
        <v>0</v>
      </c>
      <c r="N200" s="302">
        <v>37029</v>
      </c>
      <c r="O200" s="302">
        <v>0</v>
      </c>
      <c r="P200" s="232">
        <v>4744</v>
      </c>
      <c r="Q200" s="232">
        <v>41773</v>
      </c>
      <c r="R200" s="232"/>
      <c r="S200" s="394">
        <v>11182</v>
      </c>
      <c r="T200" s="232">
        <v>1041</v>
      </c>
      <c r="U200" s="398">
        <v>12223</v>
      </c>
      <c r="V200" s="232"/>
      <c r="W200" s="398">
        <v>100611</v>
      </c>
      <c r="X200" s="398">
        <v>-35550</v>
      </c>
      <c r="Y200" s="398"/>
      <c r="Z200" s="398"/>
    </row>
    <row r="201" spans="1:26">
      <c r="A201" s="392">
        <v>91901</v>
      </c>
      <c r="B201" s="393" t="s">
        <v>915</v>
      </c>
      <c r="C201" s="235">
        <v>3.6871999999999999E-3</v>
      </c>
      <c r="D201" s="235">
        <v>3.7631000000000001E-3</v>
      </c>
      <c r="E201" s="232">
        <v>5654675</v>
      </c>
      <c r="F201" s="232" t="s">
        <v>1930</v>
      </c>
      <c r="G201" s="394">
        <v>1798955</v>
      </c>
      <c r="H201" s="394">
        <v>0</v>
      </c>
      <c r="I201" s="394">
        <v>3552580</v>
      </c>
      <c r="J201" s="232">
        <v>18614</v>
      </c>
      <c r="K201" s="232">
        <v>5370149</v>
      </c>
      <c r="L201" s="232"/>
      <c r="M201" s="302">
        <v>0</v>
      </c>
      <c r="N201" s="302">
        <v>8078832</v>
      </c>
      <c r="O201" s="302">
        <v>0</v>
      </c>
      <c r="P201" s="232">
        <v>235157</v>
      </c>
      <c r="Q201" s="232">
        <v>8313989</v>
      </c>
      <c r="R201" s="232"/>
      <c r="S201" s="394">
        <v>2439606</v>
      </c>
      <c r="T201" s="232">
        <v>-82843</v>
      </c>
      <c r="U201" s="398">
        <v>2356763</v>
      </c>
      <c r="V201" s="232"/>
      <c r="W201" s="398">
        <v>21950978</v>
      </c>
      <c r="X201" s="398">
        <v>-7756309</v>
      </c>
      <c r="Y201" s="398"/>
      <c r="Z201" s="398"/>
    </row>
    <row r="202" spans="1:26">
      <c r="A202" s="392">
        <v>91903</v>
      </c>
      <c r="B202" s="393" t="s">
        <v>916</v>
      </c>
      <c r="C202" s="235">
        <v>6.4999999999999996E-6</v>
      </c>
      <c r="D202" s="235">
        <v>6.1999999999999999E-6</v>
      </c>
      <c r="E202" s="232">
        <v>9968</v>
      </c>
      <c r="F202" s="232" t="s">
        <v>1930</v>
      </c>
      <c r="G202" s="394">
        <v>3171</v>
      </c>
      <c r="H202" s="394">
        <v>0</v>
      </c>
      <c r="I202" s="394">
        <v>6263</v>
      </c>
      <c r="J202" s="232">
        <v>5595</v>
      </c>
      <c r="K202" s="232">
        <v>15029</v>
      </c>
      <c r="L202" s="232"/>
      <c r="M202" s="302">
        <v>0</v>
      </c>
      <c r="N202" s="302">
        <v>14242</v>
      </c>
      <c r="O202" s="302">
        <v>0</v>
      </c>
      <c r="P202" s="232">
        <v>0</v>
      </c>
      <c r="Q202" s="232">
        <v>14242</v>
      </c>
      <c r="R202" s="232"/>
      <c r="S202" s="394">
        <v>4301</v>
      </c>
      <c r="T202" s="232">
        <v>2839</v>
      </c>
      <c r="U202" s="398">
        <v>7140</v>
      </c>
      <c r="V202" s="232"/>
      <c r="W202" s="398">
        <v>38696</v>
      </c>
      <c r="X202" s="398">
        <v>-13673</v>
      </c>
      <c r="Y202" s="398"/>
      <c r="Z202" s="398"/>
    </row>
    <row r="203" spans="1:26">
      <c r="A203" s="392">
        <v>91904</v>
      </c>
      <c r="B203" s="393" t="s">
        <v>917</v>
      </c>
      <c r="C203" s="235">
        <v>4.9599999999999999E-5</v>
      </c>
      <c r="D203" s="235">
        <v>4.1699999999999997E-5</v>
      </c>
      <c r="E203" s="232">
        <v>76066</v>
      </c>
      <c r="F203" s="232" t="s">
        <v>1930</v>
      </c>
      <c r="G203" s="394">
        <v>24199</v>
      </c>
      <c r="H203" s="394">
        <v>0</v>
      </c>
      <c r="I203" s="394">
        <v>47789</v>
      </c>
      <c r="J203" s="232">
        <v>29811</v>
      </c>
      <c r="K203" s="232">
        <v>101799</v>
      </c>
      <c r="L203" s="232"/>
      <c r="M203" s="302">
        <v>0</v>
      </c>
      <c r="N203" s="302">
        <v>108676</v>
      </c>
      <c r="O203" s="302">
        <v>0</v>
      </c>
      <c r="P203" s="232">
        <v>110</v>
      </c>
      <c r="Q203" s="232">
        <v>108786</v>
      </c>
      <c r="R203" s="232"/>
      <c r="S203" s="394">
        <v>32817</v>
      </c>
      <c r="T203" s="232">
        <v>12793</v>
      </c>
      <c r="U203" s="398">
        <v>45610</v>
      </c>
      <c r="V203" s="232"/>
      <c r="W203" s="398">
        <v>295283</v>
      </c>
      <c r="X203" s="398">
        <v>-104337</v>
      </c>
      <c r="Y203" s="398"/>
      <c r="Z203" s="398"/>
    </row>
    <row r="204" spans="1:26">
      <c r="A204" s="392">
        <v>91908</v>
      </c>
      <c r="B204" s="393" t="s">
        <v>918</v>
      </c>
      <c r="C204" s="235">
        <v>1.4E-5</v>
      </c>
      <c r="D204" s="235">
        <v>1.56E-5</v>
      </c>
      <c r="E204" s="232">
        <v>21470</v>
      </c>
      <c r="F204" s="232" t="s">
        <v>1930</v>
      </c>
      <c r="G204" s="394">
        <v>6830</v>
      </c>
      <c r="H204" s="394">
        <v>0</v>
      </c>
      <c r="I204" s="394">
        <v>13489</v>
      </c>
      <c r="J204" s="232">
        <v>0</v>
      </c>
      <c r="K204" s="232">
        <v>20319</v>
      </c>
      <c r="L204" s="232"/>
      <c r="M204" s="302">
        <v>0</v>
      </c>
      <c r="N204" s="302">
        <v>30675</v>
      </c>
      <c r="O204" s="302">
        <v>0</v>
      </c>
      <c r="P204" s="232">
        <v>8111</v>
      </c>
      <c r="Q204" s="232">
        <v>38786</v>
      </c>
      <c r="R204" s="232"/>
      <c r="S204" s="394">
        <v>9263</v>
      </c>
      <c r="T204" s="232">
        <v>-3661</v>
      </c>
      <c r="U204" s="398">
        <v>5602</v>
      </c>
      <c r="V204" s="232"/>
      <c r="W204" s="398">
        <v>83346</v>
      </c>
      <c r="X204" s="398">
        <v>-29450</v>
      </c>
      <c r="Y204" s="398"/>
      <c r="Z204" s="398"/>
    </row>
    <row r="205" spans="1:26">
      <c r="A205" s="392">
        <v>91911</v>
      </c>
      <c r="B205" s="393" t="s">
        <v>919</v>
      </c>
      <c r="C205" s="235">
        <v>5.6570000000000004E-4</v>
      </c>
      <c r="D205" s="235">
        <v>5.4620000000000005E-4</v>
      </c>
      <c r="E205" s="232">
        <v>867555</v>
      </c>
      <c r="F205" s="232" t="s">
        <v>1930</v>
      </c>
      <c r="G205" s="394">
        <v>276001</v>
      </c>
      <c r="H205" s="394">
        <v>0</v>
      </c>
      <c r="I205" s="394">
        <v>545046</v>
      </c>
      <c r="J205" s="232">
        <v>104318</v>
      </c>
      <c r="K205" s="232">
        <v>925365</v>
      </c>
      <c r="L205" s="232"/>
      <c r="M205" s="302">
        <v>0</v>
      </c>
      <c r="N205" s="302">
        <v>1239476</v>
      </c>
      <c r="O205" s="302">
        <v>0</v>
      </c>
      <c r="P205" s="232">
        <v>15485</v>
      </c>
      <c r="Q205" s="232">
        <v>1254961</v>
      </c>
      <c r="R205" s="232"/>
      <c r="S205" s="394">
        <v>374291</v>
      </c>
      <c r="T205" s="232">
        <v>45074</v>
      </c>
      <c r="U205" s="398">
        <v>419365</v>
      </c>
      <c r="V205" s="232"/>
      <c r="W205" s="398">
        <v>3367777</v>
      </c>
      <c r="X205" s="398">
        <v>-1189994</v>
      </c>
      <c r="Y205" s="398"/>
      <c r="Z205" s="398"/>
    </row>
    <row r="206" spans="1:26">
      <c r="A206" s="392">
        <v>91917</v>
      </c>
      <c r="B206" s="393" t="s">
        <v>920</v>
      </c>
      <c r="C206" s="235">
        <v>1.4600000000000001E-5</v>
      </c>
      <c r="D206" s="235">
        <v>1.22E-5</v>
      </c>
      <c r="E206" s="232">
        <v>22391</v>
      </c>
      <c r="F206" s="232" t="s">
        <v>1930</v>
      </c>
      <c r="G206" s="394">
        <v>7123</v>
      </c>
      <c r="H206" s="394">
        <v>0</v>
      </c>
      <c r="I206" s="394">
        <v>14067</v>
      </c>
      <c r="J206" s="232">
        <v>8390</v>
      </c>
      <c r="K206" s="232">
        <v>29580</v>
      </c>
      <c r="L206" s="232"/>
      <c r="M206" s="302">
        <v>0</v>
      </c>
      <c r="N206" s="302">
        <v>31989</v>
      </c>
      <c r="O206" s="302">
        <v>0</v>
      </c>
      <c r="P206" s="232">
        <v>0</v>
      </c>
      <c r="Q206" s="232">
        <v>31989</v>
      </c>
      <c r="R206" s="232"/>
      <c r="S206" s="394">
        <v>9660</v>
      </c>
      <c r="T206" s="232">
        <v>3079</v>
      </c>
      <c r="U206" s="398">
        <v>12739</v>
      </c>
      <c r="V206" s="232"/>
      <c r="W206" s="398">
        <v>86918</v>
      </c>
      <c r="X206" s="398">
        <v>-30712</v>
      </c>
      <c r="Y206" s="398"/>
      <c r="Z206" s="398"/>
    </row>
    <row r="207" spans="1:26">
      <c r="A207" s="392">
        <v>91921</v>
      </c>
      <c r="B207" s="393" t="s">
        <v>921</v>
      </c>
      <c r="C207" s="235">
        <v>3.7800000000000003E-4</v>
      </c>
      <c r="D207" s="235">
        <v>3.9310000000000001E-4</v>
      </c>
      <c r="E207" s="232">
        <v>579699</v>
      </c>
      <c r="F207" s="232" t="s">
        <v>1930</v>
      </c>
      <c r="G207" s="394">
        <v>184423</v>
      </c>
      <c r="H207" s="394">
        <v>0</v>
      </c>
      <c r="I207" s="394">
        <v>364199</v>
      </c>
      <c r="J207" s="232">
        <v>7604</v>
      </c>
      <c r="K207" s="232">
        <v>556226</v>
      </c>
      <c r="L207" s="232"/>
      <c r="M207" s="302">
        <v>0</v>
      </c>
      <c r="N207" s="302">
        <v>828216</v>
      </c>
      <c r="O207" s="302">
        <v>0</v>
      </c>
      <c r="P207" s="232">
        <v>54473</v>
      </c>
      <c r="Q207" s="232">
        <v>882689</v>
      </c>
      <c r="R207" s="232"/>
      <c r="S207" s="394">
        <v>250101</v>
      </c>
      <c r="T207" s="232">
        <v>-18606</v>
      </c>
      <c r="U207" s="398">
        <v>231495</v>
      </c>
      <c r="V207" s="232"/>
      <c r="W207" s="398">
        <v>2250344</v>
      </c>
      <c r="X207" s="398">
        <v>-795152</v>
      </c>
      <c r="Y207" s="398"/>
      <c r="Z207" s="398"/>
    </row>
    <row r="208" spans="1:26" ht="14.25" customHeight="1">
      <c r="A208" s="392">
        <v>92001</v>
      </c>
      <c r="B208" s="393" t="s">
        <v>922</v>
      </c>
      <c r="C208" s="235">
        <v>1.7407E-3</v>
      </c>
      <c r="D208" s="235">
        <v>1.8089E-3</v>
      </c>
      <c r="E208" s="232">
        <v>2669531</v>
      </c>
      <c r="F208" s="232" t="s">
        <v>1930</v>
      </c>
      <c r="G208" s="394">
        <v>849274</v>
      </c>
      <c r="H208" s="394">
        <v>0</v>
      </c>
      <c r="I208" s="394">
        <v>1677147</v>
      </c>
      <c r="J208" s="232">
        <v>16245</v>
      </c>
      <c r="K208" s="232">
        <v>2542666</v>
      </c>
      <c r="L208" s="232"/>
      <c r="M208" s="302">
        <v>0</v>
      </c>
      <c r="N208" s="302">
        <v>3813957</v>
      </c>
      <c r="O208" s="302">
        <v>0</v>
      </c>
      <c r="P208" s="232">
        <v>126488</v>
      </c>
      <c r="Q208" s="232">
        <v>3940445</v>
      </c>
      <c r="R208" s="232"/>
      <c r="S208" s="394">
        <v>1151720</v>
      </c>
      <c r="T208" s="232">
        <v>-73829</v>
      </c>
      <c r="U208" s="398">
        <v>1077891</v>
      </c>
      <c r="V208" s="232"/>
      <c r="W208" s="398">
        <v>10362895</v>
      </c>
      <c r="X208" s="398">
        <v>-3661696</v>
      </c>
      <c r="Y208" s="398"/>
      <c r="Z208" s="398"/>
    </row>
    <row r="209" spans="1:26">
      <c r="A209" s="392">
        <v>92005</v>
      </c>
      <c r="B209" s="393" t="s">
        <v>923</v>
      </c>
      <c r="C209" s="235">
        <v>3.43E-5</v>
      </c>
      <c r="D209" s="235">
        <v>3.43E-5</v>
      </c>
      <c r="E209" s="232">
        <v>52602</v>
      </c>
      <c r="F209" s="232" t="s">
        <v>1930</v>
      </c>
      <c r="G209" s="394">
        <v>16735</v>
      </c>
      <c r="H209" s="394">
        <v>0</v>
      </c>
      <c r="I209" s="394">
        <v>33048</v>
      </c>
      <c r="J209" s="232">
        <v>5467</v>
      </c>
      <c r="K209" s="232">
        <v>55250</v>
      </c>
      <c r="L209" s="232"/>
      <c r="M209" s="302">
        <v>0</v>
      </c>
      <c r="N209" s="302">
        <v>75153</v>
      </c>
      <c r="O209" s="302">
        <v>0</v>
      </c>
      <c r="P209" s="232">
        <v>1330</v>
      </c>
      <c r="Q209" s="232">
        <v>76483</v>
      </c>
      <c r="R209" s="232"/>
      <c r="S209" s="394">
        <v>22694</v>
      </c>
      <c r="T209" s="232">
        <v>1444</v>
      </c>
      <c r="U209" s="398">
        <v>24138</v>
      </c>
      <c r="V209" s="232"/>
      <c r="W209" s="398">
        <v>204198</v>
      </c>
      <c r="X209" s="398">
        <v>-72153</v>
      </c>
      <c r="Y209" s="398"/>
      <c r="Z209" s="398"/>
    </row>
    <row r="210" spans="1:26">
      <c r="A210" s="392">
        <v>92011</v>
      </c>
      <c r="B210" s="393" t="s">
        <v>924</v>
      </c>
      <c r="C210" s="235">
        <v>1.996E-4</v>
      </c>
      <c r="D210" s="235">
        <v>2.0900000000000001E-4</v>
      </c>
      <c r="E210" s="232">
        <v>306106</v>
      </c>
      <c r="F210" s="232" t="s">
        <v>1930</v>
      </c>
      <c r="G210" s="394">
        <v>97383</v>
      </c>
      <c r="H210" s="394">
        <v>0</v>
      </c>
      <c r="I210" s="394">
        <v>192313</v>
      </c>
      <c r="J210" s="232">
        <v>9942</v>
      </c>
      <c r="K210" s="232">
        <v>299638</v>
      </c>
      <c r="L210" s="232"/>
      <c r="M210" s="302">
        <v>0</v>
      </c>
      <c r="N210" s="302">
        <v>437333</v>
      </c>
      <c r="O210" s="302">
        <v>0</v>
      </c>
      <c r="P210" s="232">
        <v>28682</v>
      </c>
      <c r="Q210" s="232">
        <v>466015</v>
      </c>
      <c r="R210" s="232"/>
      <c r="S210" s="394">
        <v>132064</v>
      </c>
      <c r="T210" s="232">
        <v>-3987</v>
      </c>
      <c r="U210" s="398">
        <v>128077</v>
      </c>
      <c r="V210" s="232"/>
      <c r="W210" s="398">
        <v>1188277</v>
      </c>
      <c r="X210" s="398">
        <v>-419874</v>
      </c>
      <c r="Y210" s="398"/>
      <c r="Z210" s="398"/>
    </row>
    <row r="211" spans="1:26">
      <c r="A211" s="392">
        <v>92017</v>
      </c>
      <c r="B211" s="393" t="s">
        <v>925</v>
      </c>
      <c r="C211" s="235">
        <v>2.9200000000000002E-5</v>
      </c>
      <c r="D211" s="235">
        <v>3.0000000000000001E-5</v>
      </c>
      <c r="E211" s="232">
        <v>44781</v>
      </c>
      <c r="F211" s="232" t="s">
        <v>1930</v>
      </c>
      <c r="G211" s="394">
        <v>14246</v>
      </c>
      <c r="H211" s="394">
        <v>0</v>
      </c>
      <c r="I211" s="394">
        <v>28134</v>
      </c>
      <c r="J211" s="232">
        <v>5012</v>
      </c>
      <c r="K211" s="232">
        <v>47392</v>
      </c>
      <c r="L211" s="232"/>
      <c r="M211" s="302">
        <v>0</v>
      </c>
      <c r="N211" s="302">
        <v>63979</v>
      </c>
      <c r="O211" s="302">
        <v>0</v>
      </c>
      <c r="P211" s="232">
        <v>0</v>
      </c>
      <c r="Q211" s="232">
        <v>63979</v>
      </c>
      <c r="R211" s="232"/>
      <c r="S211" s="394">
        <v>19320</v>
      </c>
      <c r="T211" s="232">
        <v>2220</v>
      </c>
      <c r="U211" s="398">
        <v>21540</v>
      </c>
      <c r="V211" s="232"/>
      <c r="W211" s="398">
        <v>173836</v>
      </c>
      <c r="X211" s="398">
        <v>-61424</v>
      </c>
      <c r="Y211" s="398"/>
      <c r="Z211" s="398"/>
    </row>
    <row r="212" spans="1:26">
      <c r="A212" s="392">
        <v>92021</v>
      </c>
      <c r="B212" s="393" t="s">
        <v>926</v>
      </c>
      <c r="C212" s="235">
        <v>1.2799999999999999E-4</v>
      </c>
      <c r="D212" s="235">
        <v>1.1519999999999999E-4</v>
      </c>
      <c r="E212" s="232">
        <v>196300</v>
      </c>
      <c r="F212" s="232" t="s">
        <v>1930</v>
      </c>
      <c r="G212" s="394">
        <v>62450</v>
      </c>
      <c r="H212" s="394">
        <v>0</v>
      </c>
      <c r="I212" s="394">
        <v>123327</v>
      </c>
      <c r="J212" s="232">
        <v>14616</v>
      </c>
      <c r="K212" s="232">
        <v>200393</v>
      </c>
      <c r="L212" s="232"/>
      <c r="M212" s="302">
        <v>0</v>
      </c>
      <c r="N212" s="302">
        <v>280454</v>
      </c>
      <c r="O212" s="302">
        <v>0</v>
      </c>
      <c r="P212" s="232">
        <v>22960</v>
      </c>
      <c r="Q212" s="232">
        <v>303414</v>
      </c>
      <c r="R212" s="232"/>
      <c r="S212" s="394">
        <v>84690</v>
      </c>
      <c r="T212" s="232">
        <v>-5689</v>
      </c>
      <c r="U212" s="398">
        <v>79001</v>
      </c>
      <c r="V212" s="232"/>
      <c r="W212" s="398">
        <v>762021</v>
      </c>
      <c r="X212" s="398">
        <v>-269258</v>
      </c>
      <c r="Y212" s="398"/>
      <c r="Z212" s="398"/>
    </row>
    <row r="213" spans="1:26">
      <c r="A213" s="392">
        <v>92101</v>
      </c>
      <c r="B213" s="393" t="s">
        <v>927</v>
      </c>
      <c r="C213" s="235">
        <v>7.0399999999999998E-4</v>
      </c>
      <c r="D213" s="235">
        <v>7.6869999999999998E-4</v>
      </c>
      <c r="E213" s="232">
        <v>1079652</v>
      </c>
      <c r="F213" s="232" t="s">
        <v>1930</v>
      </c>
      <c r="G213" s="394">
        <v>343476</v>
      </c>
      <c r="H213" s="394">
        <v>0</v>
      </c>
      <c r="I213" s="394">
        <v>678297</v>
      </c>
      <c r="J213" s="232">
        <v>0</v>
      </c>
      <c r="K213" s="232">
        <v>1021773</v>
      </c>
      <c r="L213" s="232"/>
      <c r="M213" s="302">
        <v>0</v>
      </c>
      <c r="N213" s="302">
        <v>1542498</v>
      </c>
      <c r="O213" s="302">
        <v>0</v>
      </c>
      <c r="P213" s="232">
        <v>139961</v>
      </c>
      <c r="Q213" s="232">
        <v>1682459</v>
      </c>
      <c r="R213" s="232"/>
      <c r="S213" s="394">
        <v>465796</v>
      </c>
      <c r="T213" s="232">
        <v>-64893</v>
      </c>
      <c r="U213" s="398">
        <v>400903</v>
      </c>
      <c r="V213" s="232"/>
      <c r="W213" s="398">
        <v>4191118</v>
      </c>
      <c r="X213" s="398">
        <v>-1480918</v>
      </c>
      <c r="Y213" s="398"/>
      <c r="Z213" s="398"/>
    </row>
    <row r="214" spans="1:26">
      <c r="A214" s="392">
        <v>92104</v>
      </c>
      <c r="B214" s="393" t="s">
        <v>928</v>
      </c>
      <c r="C214" s="235">
        <v>7.7999999999999999E-6</v>
      </c>
      <c r="D214" s="235">
        <v>7.1999999999999997E-6</v>
      </c>
      <c r="E214" s="232">
        <v>11962</v>
      </c>
      <c r="F214" s="232" t="s">
        <v>1930</v>
      </c>
      <c r="G214" s="394">
        <v>3806</v>
      </c>
      <c r="H214" s="394">
        <v>0</v>
      </c>
      <c r="I214" s="394">
        <v>7515</v>
      </c>
      <c r="J214" s="232">
        <v>4423</v>
      </c>
      <c r="K214" s="232">
        <v>15744</v>
      </c>
      <c r="L214" s="232"/>
      <c r="M214" s="302">
        <v>0</v>
      </c>
      <c r="N214" s="302">
        <v>17090</v>
      </c>
      <c r="O214" s="302">
        <v>0</v>
      </c>
      <c r="P214" s="232">
        <v>0</v>
      </c>
      <c r="Q214" s="232">
        <v>17090</v>
      </c>
      <c r="R214" s="232"/>
      <c r="S214" s="394">
        <v>5161</v>
      </c>
      <c r="T214" s="232">
        <v>2084</v>
      </c>
      <c r="U214" s="398">
        <v>7245</v>
      </c>
      <c r="V214" s="232"/>
      <c r="W214" s="398">
        <v>46436</v>
      </c>
      <c r="X214" s="398">
        <v>-16408</v>
      </c>
      <c r="Y214" s="398"/>
      <c r="Z214" s="398"/>
    </row>
    <row r="215" spans="1:26">
      <c r="A215" s="392">
        <v>92109</v>
      </c>
      <c r="B215" s="393" t="s">
        <v>929</v>
      </c>
      <c r="C215" s="235">
        <v>1.95E-4</v>
      </c>
      <c r="D215" s="235">
        <v>1.8359999999999999E-4</v>
      </c>
      <c r="E215" s="232">
        <v>299051</v>
      </c>
      <c r="F215" s="232" t="s">
        <v>1930</v>
      </c>
      <c r="G215" s="394">
        <v>95139</v>
      </c>
      <c r="H215" s="394">
        <v>0</v>
      </c>
      <c r="I215" s="394">
        <v>187881</v>
      </c>
      <c r="J215" s="232">
        <v>32486</v>
      </c>
      <c r="K215" s="232">
        <v>315506</v>
      </c>
      <c r="L215" s="232"/>
      <c r="M215" s="302">
        <v>0</v>
      </c>
      <c r="N215" s="302">
        <v>427254</v>
      </c>
      <c r="O215" s="302">
        <v>0</v>
      </c>
      <c r="P215" s="232">
        <v>5818</v>
      </c>
      <c r="Q215" s="232">
        <v>433072</v>
      </c>
      <c r="R215" s="232"/>
      <c r="S215" s="394">
        <v>129020</v>
      </c>
      <c r="T215" s="232">
        <v>8396</v>
      </c>
      <c r="U215" s="398">
        <v>137416</v>
      </c>
      <c r="V215" s="232"/>
      <c r="W215" s="398">
        <v>1160892</v>
      </c>
      <c r="X215" s="398">
        <v>-410198</v>
      </c>
      <c r="Y215" s="398"/>
      <c r="Z215" s="398"/>
    </row>
    <row r="216" spans="1:26">
      <c r="A216" s="392">
        <v>92111</v>
      </c>
      <c r="B216" s="393" t="s">
        <v>930</v>
      </c>
      <c r="C216" s="235">
        <v>5.3620000000000002E-4</v>
      </c>
      <c r="D216" s="235">
        <v>5.4140000000000004E-4</v>
      </c>
      <c r="E216" s="232">
        <v>822314</v>
      </c>
      <c r="F216" s="232" t="s">
        <v>1930</v>
      </c>
      <c r="G216" s="394">
        <v>261608</v>
      </c>
      <c r="H216" s="394">
        <v>0</v>
      </c>
      <c r="I216" s="394">
        <v>516623</v>
      </c>
      <c r="J216" s="232">
        <v>33695</v>
      </c>
      <c r="K216" s="232">
        <v>811926</v>
      </c>
      <c r="L216" s="232"/>
      <c r="M216" s="302">
        <v>0</v>
      </c>
      <c r="N216" s="302">
        <v>1174840</v>
      </c>
      <c r="O216" s="302">
        <v>0</v>
      </c>
      <c r="P216" s="232">
        <v>37475</v>
      </c>
      <c r="Q216" s="232">
        <v>1212315</v>
      </c>
      <c r="R216" s="232"/>
      <c r="S216" s="394">
        <v>354772</v>
      </c>
      <c r="T216" s="232">
        <v>2787</v>
      </c>
      <c r="U216" s="398">
        <v>357559</v>
      </c>
      <c r="V216" s="232"/>
      <c r="W216" s="398">
        <v>3192155</v>
      </c>
      <c r="X216" s="398">
        <v>-1127938</v>
      </c>
      <c r="Y216" s="398"/>
      <c r="Z216" s="398"/>
    </row>
    <row r="217" spans="1:26">
      <c r="A217" s="392">
        <v>92113</v>
      </c>
      <c r="B217" s="393" t="s">
        <v>931</v>
      </c>
      <c r="C217" s="235">
        <v>1.8899999999999999E-5</v>
      </c>
      <c r="D217" s="235">
        <v>1.73E-5</v>
      </c>
      <c r="E217" s="232">
        <v>28985</v>
      </c>
      <c r="F217" s="232" t="s">
        <v>1930</v>
      </c>
      <c r="G217" s="394">
        <v>9221</v>
      </c>
      <c r="H217" s="394">
        <v>0</v>
      </c>
      <c r="I217" s="394">
        <v>18210</v>
      </c>
      <c r="J217" s="232">
        <v>12338</v>
      </c>
      <c r="K217" s="232">
        <v>39769</v>
      </c>
      <c r="L217" s="232"/>
      <c r="M217" s="302">
        <v>0</v>
      </c>
      <c r="N217" s="302">
        <v>41411</v>
      </c>
      <c r="O217" s="302">
        <v>0</v>
      </c>
      <c r="P217" s="232">
        <v>0</v>
      </c>
      <c r="Q217" s="232">
        <v>41411</v>
      </c>
      <c r="R217" s="232"/>
      <c r="S217" s="394">
        <v>12505</v>
      </c>
      <c r="T217" s="232">
        <v>5294</v>
      </c>
      <c r="U217" s="398">
        <v>17799</v>
      </c>
      <c r="V217" s="232"/>
      <c r="W217" s="398">
        <v>112517</v>
      </c>
      <c r="X217" s="398">
        <v>-39758</v>
      </c>
      <c r="Y217" s="398"/>
      <c r="Z217" s="398"/>
    </row>
    <row r="218" spans="1:26">
      <c r="A218" s="392">
        <v>92201</v>
      </c>
      <c r="B218" s="393" t="s">
        <v>932</v>
      </c>
      <c r="C218" s="235">
        <v>9.5560000000000003E-4</v>
      </c>
      <c r="D218" s="235">
        <v>9.3099999999999997E-4</v>
      </c>
      <c r="E218" s="232">
        <v>1465504</v>
      </c>
      <c r="F218" s="232" t="s">
        <v>1930</v>
      </c>
      <c r="G218" s="394">
        <v>466230</v>
      </c>
      <c r="H218" s="394">
        <v>0</v>
      </c>
      <c r="I218" s="394">
        <v>920711</v>
      </c>
      <c r="J218" s="232">
        <v>134189</v>
      </c>
      <c r="K218" s="232">
        <v>1521130</v>
      </c>
      <c r="L218" s="232"/>
      <c r="M218" s="302">
        <v>0</v>
      </c>
      <c r="N218" s="302">
        <v>2093765</v>
      </c>
      <c r="O218" s="302">
        <v>0</v>
      </c>
      <c r="P218" s="232">
        <v>19678</v>
      </c>
      <c r="Q218" s="232">
        <v>2113443</v>
      </c>
      <c r="R218" s="232"/>
      <c r="S218" s="394">
        <v>632265</v>
      </c>
      <c r="T218" s="232">
        <v>39351</v>
      </c>
      <c r="U218" s="398">
        <v>671616</v>
      </c>
      <c r="V218" s="232"/>
      <c r="W218" s="398">
        <v>5688966</v>
      </c>
      <c r="X218" s="398">
        <v>-2010178</v>
      </c>
      <c r="Y218" s="398"/>
      <c r="Z218" s="398"/>
    </row>
    <row r="219" spans="1:26">
      <c r="A219" s="392">
        <v>92214</v>
      </c>
      <c r="B219" t="s">
        <v>1931</v>
      </c>
      <c r="C219" s="235">
        <v>2.0599999999999999E-5</v>
      </c>
      <c r="D219" s="235">
        <v>1.9000000000000001E-5</v>
      </c>
      <c r="E219" s="232">
        <v>31592</v>
      </c>
      <c r="F219" s="232" t="s">
        <v>1930</v>
      </c>
      <c r="G219" s="394">
        <v>10051</v>
      </c>
      <c r="H219" s="394">
        <v>0</v>
      </c>
      <c r="I219" s="394">
        <v>19848</v>
      </c>
      <c r="J219" s="232">
        <v>7808</v>
      </c>
      <c r="K219" s="232">
        <v>37707</v>
      </c>
      <c r="L219" s="232"/>
      <c r="M219" s="302">
        <v>0</v>
      </c>
      <c r="N219" s="302">
        <v>45136</v>
      </c>
      <c r="O219" s="302">
        <v>0</v>
      </c>
      <c r="P219" s="232">
        <v>1009</v>
      </c>
      <c r="Q219" s="232">
        <v>46145</v>
      </c>
      <c r="R219" s="232"/>
      <c r="S219" s="394">
        <v>13630</v>
      </c>
      <c r="T219" s="232">
        <v>4494</v>
      </c>
      <c r="U219" s="398">
        <v>18124</v>
      </c>
      <c r="V219" s="232"/>
      <c r="W219" s="398">
        <v>122638</v>
      </c>
      <c r="X219" s="398">
        <v>-43334</v>
      </c>
      <c r="Y219" s="398"/>
      <c r="Z219" s="398"/>
    </row>
    <row r="220" spans="1:26">
      <c r="A220" s="392">
        <v>92301</v>
      </c>
      <c r="B220" s="393" t="s">
        <v>933</v>
      </c>
      <c r="C220" s="235">
        <v>5.0848000000000004E-3</v>
      </c>
      <c r="D220" s="235">
        <v>5.2855000000000003E-3</v>
      </c>
      <c r="E220" s="232">
        <v>7798029</v>
      </c>
      <c r="F220" s="232" t="s">
        <v>1930</v>
      </c>
      <c r="G220" s="394">
        <v>2480833</v>
      </c>
      <c r="H220" s="394">
        <v>0</v>
      </c>
      <c r="I220" s="394">
        <v>4899154</v>
      </c>
      <c r="J220" s="232">
        <v>65174</v>
      </c>
      <c r="K220" s="232">
        <v>7445161</v>
      </c>
      <c r="L220" s="232"/>
      <c r="M220" s="302">
        <v>0</v>
      </c>
      <c r="N220" s="302">
        <v>11141041</v>
      </c>
      <c r="O220" s="302">
        <v>0</v>
      </c>
      <c r="P220" s="232">
        <v>813379</v>
      </c>
      <c r="Q220" s="232">
        <v>11954420</v>
      </c>
      <c r="R220" s="232"/>
      <c r="S220" s="394">
        <v>3364317</v>
      </c>
      <c r="T220" s="232">
        <v>-290121</v>
      </c>
      <c r="U220" s="398">
        <v>3074196</v>
      </c>
      <c r="V220" s="232"/>
      <c r="W220" s="398">
        <v>30271299</v>
      </c>
      <c r="X220" s="398">
        <v>-10696268</v>
      </c>
      <c r="Y220" s="398"/>
      <c r="Z220" s="398"/>
    </row>
    <row r="221" spans="1:26">
      <c r="A221" s="392">
        <v>92302</v>
      </c>
      <c r="B221" s="393" t="s">
        <v>1940</v>
      </c>
      <c r="C221" s="235">
        <v>2.8669999999999998E-4</v>
      </c>
      <c r="D221" s="235">
        <v>2.9990000000000003E-4</v>
      </c>
      <c r="E221" s="232">
        <v>439682</v>
      </c>
      <c r="F221" s="232" t="s">
        <v>1930</v>
      </c>
      <c r="G221" s="394">
        <v>139879</v>
      </c>
      <c r="H221" s="394">
        <v>0</v>
      </c>
      <c r="I221" s="394">
        <v>276233</v>
      </c>
      <c r="J221" s="232">
        <v>1616</v>
      </c>
      <c r="K221" s="232">
        <v>417728</v>
      </c>
      <c r="L221" s="232"/>
      <c r="M221" s="302">
        <v>0</v>
      </c>
      <c r="N221" s="302">
        <v>628173</v>
      </c>
      <c r="O221" s="302">
        <v>0</v>
      </c>
      <c r="P221" s="232">
        <v>37618</v>
      </c>
      <c r="Q221" s="232">
        <v>665791</v>
      </c>
      <c r="R221" s="232"/>
      <c r="S221" s="394">
        <v>189693</v>
      </c>
      <c r="T221" s="232">
        <v>-19124</v>
      </c>
      <c r="U221" s="398">
        <v>170569</v>
      </c>
      <c r="V221" s="232"/>
      <c r="W221" s="398">
        <v>1706809</v>
      </c>
      <c r="X221" s="398">
        <v>-603096</v>
      </c>
      <c r="Y221" s="398"/>
      <c r="Z221" s="398"/>
    </row>
    <row r="222" spans="1:26">
      <c r="A222" s="392">
        <v>92311</v>
      </c>
      <c r="B222" s="393" t="s">
        <v>935</v>
      </c>
      <c r="C222" s="235">
        <v>2.2017E-3</v>
      </c>
      <c r="D222" s="235">
        <v>2.3205999999999999E-3</v>
      </c>
      <c r="E222" s="232">
        <v>3376518</v>
      </c>
      <c r="F222" s="232" t="s">
        <v>1930</v>
      </c>
      <c r="G222" s="394">
        <v>1074192</v>
      </c>
      <c r="H222" s="394">
        <v>0</v>
      </c>
      <c r="I222" s="394">
        <v>2121316</v>
      </c>
      <c r="J222" s="232">
        <v>28135</v>
      </c>
      <c r="K222" s="232">
        <v>3223643</v>
      </c>
      <c r="L222" s="232"/>
      <c r="M222" s="302">
        <v>0</v>
      </c>
      <c r="N222" s="302">
        <v>4824030</v>
      </c>
      <c r="O222" s="302">
        <v>0</v>
      </c>
      <c r="P222" s="232">
        <v>282210</v>
      </c>
      <c r="Q222" s="232">
        <v>5106240</v>
      </c>
      <c r="R222" s="232"/>
      <c r="S222" s="394">
        <v>1456737</v>
      </c>
      <c r="T222" s="232">
        <v>-88204</v>
      </c>
      <c r="U222" s="398">
        <v>1368533</v>
      </c>
      <c r="V222" s="232"/>
      <c r="W222" s="398">
        <v>13107363</v>
      </c>
      <c r="X222" s="398">
        <v>-4631445</v>
      </c>
      <c r="Y222" s="398"/>
      <c r="Z222" s="398"/>
    </row>
    <row r="223" spans="1:26">
      <c r="A223" s="392">
        <v>92317</v>
      </c>
      <c r="B223" s="393" t="s">
        <v>936</v>
      </c>
      <c r="C223" s="235">
        <v>3.6399999999999997E-5</v>
      </c>
      <c r="D223" s="235">
        <v>3.3800000000000002E-5</v>
      </c>
      <c r="E223" s="232">
        <v>55823</v>
      </c>
      <c r="F223" s="232" t="s">
        <v>1930</v>
      </c>
      <c r="G223" s="394">
        <v>17759</v>
      </c>
      <c r="H223" s="394">
        <v>0</v>
      </c>
      <c r="I223" s="394">
        <v>35071</v>
      </c>
      <c r="J223" s="232">
        <v>27738</v>
      </c>
      <c r="K223" s="232">
        <v>80568</v>
      </c>
      <c r="L223" s="232"/>
      <c r="M223" s="302">
        <v>0</v>
      </c>
      <c r="N223" s="302">
        <v>79754</v>
      </c>
      <c r="O223" s="302">
        <v>0</v>
      </c>
      <c r="P223" s="232">
        <v>0</v>
      </c>
      <c r="Q223" s="232">
        <v>79754</v>
      </c>
      <c r="R223" s="232"/>
      <c r="S223" s="394">
        <v>24084</v>
      </c>
      <c r="T223" s="232">
        <v>14305</v>
      </c>
      <c r="U223" s="398">
        <v>38389</v>
      </c>
      <c r="V223" s="232"/>
      <c r="W223" s="398">
        <v>216700</v>
      </c>
      <c r="X223" s="398">
        <v>-76570</v>
      </c>
      <c r="Y223" s="398"/>
      <c r="Z223" s="398"/>
    </row>
    <row r="224" spans="1:26">
      <c r="A224" s="392">
        <v>92321</v>
      </c>
      <c r="B224" s="393" t="s">
        <v>937</v>
      </c>
      <c r="C224" s="235">
        <v>1.2914999999999999E-3</v>
      </c>
      <c r="D224" s="235">
        <v>1.3334E-3</v>
      </c>
      <c r="E224" s="232">
        <v>1980639</v>
      </c>
      <c r="F224" s="232" t="s">
        <v>1930</v>
      </c>
      <c r="G224" s="394">
        <v>630113</v>
      </c>
      <c r="H224" s="394">
        <v>0</v>
      </c>
      <c r="I224" s="394">
        <v>1244347</v>
      </c>
      <c r="J224" s="232">
        <v>116256</v>
      </c>
      <c r="K224" s="232">
        <v>1990716</v>
      </c>
      <c r="L224" s="232"/>
      <c r="M224" s="302">
        <v>0</v>
      </c>
      <c r="N224" s="302">
        <v>2829738</v>
      </c>
      <c r="O224" s="302">
        <v>0</v>
      </c>
      <c r="P224" s="232">
        <v>87290</v>
      </c>
      <c r="Q224" s="232">
        <v>2917028</v>
      </c>
      <c r="R224" s="232"/>
      <c r="S224" s="394">
        <v>854511</v>
      </c>
      <c r="T224" s="232">
        <v>28446</v>
      </c>
      <c r="U224" s="398">
        <v>882957</v>
      </c>
      <c r="V224" s="232"/>
      <c r="W224" s="398">
        <v>7688677</v>
      </c>
      <c r="X224" s="398">
        <v>-2716770</v>
      </c>
      <c r="Y224" s="398"/>
      <c r="Z224" s="398"/>
    </row>
    <row r="225" spans="1:26">
      <c r="A225" s="392">
        <v>92327</v>
      </c>
      <c r="B225" s="393" t="s">
        <v>938</v>
      </c>
      <c r="C225" s="235">
        <v>6.8000000000000001E-6</v>
      </c>
      <c r="D225" s="235">
        <v>6.2999999999999998E-6</v>
      </c>
      <c r="E225" s="232">
        <v>10428</v>
      </c>
      <c r="F225" s="232" t="s">
        <v>1930</v>
      </c>
      <c r="G225" s="394">
        <v>3318</v>
      </c>
      <c r="H225" s="394">
        <v>0</v>
      </c>
      <c r="I225" s="394">
        <v>6552</v>
      </c>
      <c r="J225" s="232">
        <v>9721</v>
      </c>
      <c r="K225" s="232">
        <v>19591</v>
      </c>
      <c r="L225" s="232"/>
      <c r="M225" s="302">
        <v>0</v>
      </c>
      <c r="N225" s="302">
        <v>14899</v>
      </c>
      <c r="O225" s="302">
        <v>0</v>
      </c>
      <c r="P225" s="232">
        <v>0</v>
      </c>
      <c r="Q225" s="232">
        <v>14899</v>
      </c>
      <c r="R225" s="232"/>
      <c r="S225" s="394">
        <v>4499</v>
      </c>
      <c r="T225" s="232">
        <v>4821</v>
      </c>
      <c r="U225" s="398">
        <v>9320</v>
      </c>
      <c r="V225" s="232"/>
      <c r="W225" s="398">
        <v>40482</v>
      </c>
      <c r="X225" s="398">
        <v>-14304</v>
      </c>
      <c r="Y225" s="398"/>
      <c r="Z225" s="398"/>
    </row>
    <row r="226" spans="1:26">
      <c r="A226" s="392">
        <v>92331</v>
      </c>
      <c r="B226" s="393" t="s">
        <v>939</v>
      </c>
      <c r="C226" s="235">
        <v>1.6119999999999999E-4</v>
      </c>
      <c r="D226" s="235">
        <v>1.381E-4</v>
      </c>
      <c r="E226" s="232">
        <v>247216</v>
      </c>
      <c r="F226" s="232" t="s">
        <v>1930</v>
      </c>
      <c r="G226" s="394">
        <v>78648</v>
      </c>
      <c r="H226" s="394">
        <v>0</v>
      </c>
      <c r="I226" s="394">
        <v>155315</v>
      </c>
      <c r="J226" s="232">
        <v>58414</v>
      </c>
      <c r="K226" s="232">
        <v>292377</v>
      </c>
      <c r="L226" s="232"/>
      <c r="M226" s="302">
        <v>0</v>
      </c>
      <c r="N226" s="302">
        <v>353197</v>
      </c>
      <c r="O226" s="302">
        <v>0</v>
      </c>
      <c r="P226" s="232">
        <v>1091</v>
      </c>
      <c r="Q226" s="232">
        <v>354288</v>
      </c>
      <c r="R226" s="232"/>
      <c r="S226" s="394">
        <v>106657</v>
      </c>
      <c r="T226" s="232">
        <v>20503</v>
      </c>
      <c r="U226" s="398">
        <v>127160</v>
      </c>
      <c r="V226" s="232"/>
      <c r="W226" s="398">
        <v>959671</v>
      </c>
      <c r="X226" s="398">
        <v>-339097</v>
      </c>
      <c r="Y226" s="398"/>
      <c r="Z226" s="398"/>
    </row>
    <row r="227" spans="1:26">
      <c r="A227" s="392">
        <v>92341</v>
      </c>
      <c r="B227" s="393" t="s">
        <v>940</v>
      </c>
      <c r="C227" s="235">
        <v>7.9999999999999996E-6</v>
      </c>
      <c r="D227" s="235">
        <v>7.7999999999999999E-6</v>
      </c>
      <c r="E227" s="232">
        <v>12269</v>
      </c>
      <c r="F227" s="232" t="s">
        <v>1930</v>
      </c>
      <c r="G227" s="394">
        <v>3903</v>
      </c>
      <c r="H227" s="394">
        <v>0</v>
      </c>
      <c r="I227" s="394">
        <v>7708</v>
      </c>
      <c r="J227" s="232">
        <v>0</v>
      </c>
      <c r="K227" s="232">
        <v>11611</v>
      </c>
      <c r="L227" s="232"/>
      <c r="M227" s="302">
        <v>0</v>
      </c>
      <c r="N227" s="302">
        <v>17528</v>
      </c>
      <c r="O227" s="302">
        <v>0</v>
      </c>
      <c r="P227" s="232">
        <v>2727</v>
      </c>
      <c r="Q227" s="232">
        <v>20255</v>
      </c>
      <c r="R227" s="232"/>
      <c r="S227" s="394">
        <v>5293</v>
      </c>
      <c r="T227" s="232">
        <v>-1391</v>
      </c>
      <c r="U227" s="398">
        <v>3902</v>
      </c>
      <c r="V227" s="232"/>
      <c r="W227" s="398">
        <v>47626</v>
      </c>
      <c r="X227" s="398">
        <v>-16829</v>
      </c>
      <c r="Y227" s="398"/>
      <c r="Z227" s="398"/>
    </row>
    <row r="228" spans="1:26">
      <c r="A228" s="392">
        <v>92351</v>
      </c>
      <c r="B228" s="393" t="s">
        <v>941</v>
      </c>
      <c r="C228" s="235">
        <v>2.55E-5</v>
      </c>
      <c r="D228" s="235">
        <v>2.48E-5</v>
      </c>
      <c r="E228" s="232">
        <v>39107</v>
      </c>
      <c r="F228" s="232" t="s">
        <v>1930</v>
      </c>
      <c r="G228" s="394">
        <v>12441</v>
      </c>
      <c r="H228" s="394">
        <v>0</v>
      </c>
      <c r="I228" s="394">
        <v>24569</v>
      </c>
      <c r="J228" s="232">
        <v>8716</v>
      </c>
      <c r="K228" s="232">
        <v>45726</v>
      </c>
      <c r="L228" s="232"/>
      <c r="M228" s="302">
        <v>0</v>
      </c>
      <c r="N228" s="302">
        <v>55872</v>
      </c>
      <c r="O228" s="302">
        <v>0</v>
      </c>
      <c r="P228" s="232">
        <v>362</v>
      </c>
      <c r="Q228" s="232">
        <v>56234</v>
      </c>
      <c r="R228" s="232"/>
      <c r="S228" s="394">
        <v>16872</v>
      </c>
      <c r="T228" s="232">
        <v>4445</v>
      </c>
      <c r="U228" s="398">
        <v>21317</v>
      </c>
      <c r="V228" s="232"/>
      <c r="W228" s="398">
        <v>151809</v>
      </c>
      <c r="X228" s="398">
        <v>-53641</v>
      </c>
      <c r="Y228" s="398"/>
      <c r="Z228" s="398"/>
    </row>
    <row r="229" spans="1:26">
      <c r="A229" s="392">
        <v>92401</v>
      </c>
      <c r="B229" s="393" t="s">
        <v>942</v>
      </c>
      <c r="C229" s="235">
        <v>2.5695000000000002E-3</v>
      </c>
      <c r="D229" s="235">
        <v>2.5820999999999999E-3</v>
      </c>
      <c r="E229" s="232">
        <v>3940575</v>
      </c>
      <c r="F229" s="232" t="s">
        <v>1930</v>
      </c>
      <c r="G229" s="394">
        <v>1253638</v>
      </c>
      <c r="H229" s="394">
        <v>0</v>
      </c>
      <c r="I229" s="394">
        <v>2475688</v>
      </c>
      <c r="J229" s="232">
        <v>181138</v>
      </c>
      <c r="K229" s="232">
        <v>3910464</v>
      </c>
      <c r="L229" s="232"/>
      <c r="M229" s="302">
        <v>0</v>
      </c>
      <c r="N229" s="302">
        <v>5629898</v>
      </c>
      <c r="O229" s="302">
        <v>0</v>
      </c>
      <c r="P229" s="232">
        <v>58506</v>
      </c>
      <c r="Q229" s="232">
        <v>5688404</v>
      </c>
      <c r="R229" s="232"/>
      <c r="S229" s="394">
        <v>1700089</v>
      </c>
      <c r="T229" s="232">
        <v>46993</v>
      </c>
      <c r="U229" s="398">
        <v>1747082</v>
      </c>
      <c r="V229" s="232"/>
      <c r="W229" s="398">
        <v>15296984</v>
      </c>
      <c r="X229" s="398">
        <v>-5405141</v>
      </c>
      <c r="Y229" s="398"/>
      <c r="Z229" s="398"/>
    </row>
    <row r="230" spans="1:26">
      <c r="A230" s="392">
        <v>92403</v>
      </c>
      <c r="B230" s="393" t="s">
        <v>943</v>
      </c>
      <c r="C230" s="235">
        <v>1.45E-5</v>
      </c>
      <c r="D230" s="235">
        <v>8.3000000000000002E-6</v>
      </c>
      <c r="E230" s="232">
        <v>22237</v>
      </c>
      <c r="F230" s="232" t="s">
        <v>1930</v>
      </c>
      <c r="G230" s="394">
        <v>7074</v>
      </c>
      <c r="H230" s="394">
        <v>0</v>
      </c>
      <c r="I230" s="394">
        <v>13971</v>
      </c>
      <c r="J230" s="232">
        <v>15712</v>
      </c>
      <c r="K230" s="232">
        <v>36757</v>
      </c>
      <c r="L230" s="232"/>
      <c r="M230" s="302">
        <v>0</v>
      </c>
      <c r="N230" s="302">
        <v>31770</v>
      </c>
      <c r="O230" s="302">
        <v>0</v>
      </c>
      <c r="P230" s="232">
        <v>0</v>
      </c>
      <c r="Q230" s="232">
        <v>31770</v>
      </c>
      <c r="R230" s="232"/>
      <c r="S230" s="394">
        <v>9594</v>
      </c>
      <c r="T230" s="232">
        <v>5973</v>
      </c>
      <c r="U230" s="398">
        <v>15567</v>
      </c>
      <c r="V230" s="232"/>
      <c r="W230" s="398">
        <v>86323</v>
      </c>
      <c r="X230" s="398">
        <v>-30502</v>
      </c>
      <c r="Y230" s="398"/>
      <c r="Z230" s="398"/>
    </row>
    <row r="231" spans="1:26">
      <c r="A231" s="392">
        <v>92411</v>
      </c>
      <c r="B231" s="393" t="s">
        <v>944</v>
      </c>
      <c r="C231" s="235">
        <v>4.5340000000000002E-4</v>
      </c>
      <c r="D231" s="235">
        <v>4.8109999999999998E-4</v>
      </c>
      <c r="E231" s="232">
        <v>695332</v>
      </c>
      <c r="F231" s="232" t="s">
        <v>1930</v>
      </c>
      <c r="G231" s="394">
        <v>221210</v>
      </c>
      <c r="H231" s="394">
        <v>0</v>
      </c>
      <c r="I231" s="394">
        <v>436846</v>
      </c>
      <c r="J231" s="232">
        <v>17494</v>
      </c>
      <c r="K231" s="232">
        <v>675550</v>
      </c>
      <c r="L231" s="232"/>
      <c r="M231" s="302">
        <v>0</v>
      </c>
      <c r="N231" s="302">
        <v>993421</v>
      </c>
      <c r="O231" s="302">
        <v>0</v>
      </c>
      <c r="P231" s="232">
        <v>65275</v>
      </c>
      <c r="Q231" s="232">
        <v>1058696</v>
      </c>
      <c r="R231" s="232"/>
      <c r="S231" s="394">
        <v>299988</v>
      </c>
      <c r="T231" s="232">
        <v>-22259</v>
      </c>
      <c r="U231" s="398">
        <v>277729</v>
      </c>
      <c r="V231" s="232"/>
      <c r="W231" s="398">
        <v>2699223</v>
      </c>
      <c r="X231" s="398">
        <v>-953762</v>
      </c>
      <c r="Y231" s="398"/>
      <c r="Z231" s="398"/>
    </row>
    <row r="232" spans="1:26">
      <c r="A232" s="392">
        <v>92414</v>
      </c>
      <c r="B232" s="393" t="s">
        <v>70</v>
      </c>
      <c r="C232" s="235">
        <v>0</v>
      </c>
      <c r="D232" s="235">
        <v>0</v>
      </c>
      <c r="E232" s="232">
        <v>0</v>
      </c>
      <c r="F232" s="232"/>
      <c r="G232" s="232">
        <v>0</v>
      </c>
      <c r="H232" s="232">
        <v>0</v>
      </c>
      <c r="I232" s="232">
        <v>0</v>
      </c>
      <c r="J232" s="232">
        <v>0</v>
      </c>
      <c r="K232" s="232">
        <v>0</v>
      </c>
      <c r="L232" s="232">
        <v>0</v>
      </c>
      <c r="M232" s="232">
        <v>0</v>
      </c>
      <c r="N232" s="232">
        <v>0</v>
      </c>
      <c r="O232" s="232">
        <v>0</v>
      </c>
      <c r="P232" s="232">
        <v>0</v>
      </c>
      <c r="Q232" s="232">
        <v>0</v>
      </c>
      <c r="R232" s="232">
        <v>0</v>
      </c>
      <c r="S232" s="232">
        <v>0</v>
      </c>
      <c r="T232" s="232">
        <v>0</v>
      </c>
      <c r="U232" s="232">
        <v>0</v>
      </c>
      <c r="V232" s="232">
        <v>0</v>
      </c>
      <c r="W232" s="232">
        <v>0</v>
      </c>
      <c r="X232" s="232">
        <v>0</v>
      </c>
      <c r="Y232" s="398"/>
      <c r="Z232" s="398"/>
    </row>
    <row r="233" spans="1:26">
      <c r="A233" s="392">
        <v>92417</v>
      </c>
      <c r="B233" s="393" t="s">
        <v>945</v>
      </c>
      <c r="C233" s="235">
        <v>7.9999999999999996E-6</v>
      </c>
      <c r="D233" s="235">
        <v>1.15E-5</v>
      </c>
      <c r="E233" s="232">
        <v>12269</v>
      </c>
      <c r="F233" s="232" t="s">
        <v>1930</v>
      </c>
      <c r="G233" s="394">
        <v>3903</v>
      </c>
      <c r="H233" s="394">
        <v>0</v>
      </c>
      <c r="I233" s="394">
        <v>7708</v>
      </c>
      <c r="J233" s="232">
        <v>0</v>
      </c>
      <c r="K233" s="232">
        <v>11611</v>
      </c>
      <c r="L233" s="232"/>
      <c r="M233" s="302">
        <v>0</v>
      </c>
      <c r="N233" s="302">
        <v>17528</v>
      </c>
      <c r="O233" s="302">
        <v>0</v>
      </c>
      <c r="P233" s="232">
        <v>14529</v>
      </c>
      <c r="Q233" s="232">
        <v>32057</v>
      </c>
      <c r="R233" s="232"/>
      <c r="S233" s="394">
        <v>5293</v>
      </c>
      <c r="T233" s="232">
        <v>-6744</v>
      </c>
      <c r="U233" s="398">
        <v>-1451</v>
      </c>
      <c r="V233" s="232"/>
      <c r="W233" s="398">
        <v>47626</v>
      </c>
      <c r="X233" s="398">
        <v>-16829</v>
      </c>
      <c r="Y233" s="398"/>
      <c r="Z233" s="398"/>
    </row>
    <row r="234" spans="1:26">
      <c r="A234" s="392">
        <v>92421</v>
      </c>
      <c r="B234" s="393" t="s">
        <v>946</v>
      </c>
      <c r="C234" s="235">
        <v>1.45E-5</v>
      </c>
      <c r="D234" s="235">
        <v>1.7900000000000001E-5</v>
      </c>
      <c r="E234" s="232">
        <v>22237</v>
      </c>
      <c r="F234" s="232" t="s">
        <v>1930</v>
      </c>
      <c r="G234" s="394">
        <v>7074</v>
      </c>
      <c r="H234" s="394">
        <v>0</v>
      </c>
      <c r="I234" s="394">
        <v>13971</v>
      </c>
      <c r="J234" s="232">
        <v>5007</v>
      </c>
      <c r="K234" s="232">
        <v>26052</v>
      </c>
      <c r="L234" s="232"/>
      <c r="M234" s="302">
        <v>0</v>
      </c>
      <c r="N234" s="302">
        <v>31770</v>
      </c>
      <c r="O234" s="302">
        <v>0</v>
      </c>
      <c r="P234" s="232">
        <v>4654</v>
      </c>
      <c r="Q234" s="232">
        <v>36424</v>
      </c>
      <c r="R234" s="232"/>
      <c r="S234" s="394">
        <v>9594</v>
      </c>
      <c r="T234" s="232">
        <v>2126</v>
      </c>
      <c r="U234" s="398">
        <v>11720</v>
      </c>
      <c r="V234" s="232"/>
      <c r="W234" s="398">
        <v>86323</v>
      </c>
      <c r="X234" s="398">
        <v>-30502</v>
      </c>
      <c r="Y234" s="398"/>
      <c r="Z234" s="398"/>
    </row>
    <row r="235" spans="1:26">
      <c r="A235" s="392">
        <v>92427</v>
      </c>
      <c r="B235" s="393" t="s">
        <v>947</v>
      </c>
      <c r="C235" s="235">
        <v>1.7E-6</v>
      </c>
      <c r="D235" s="235">
        <v>1.7E-6</v>
      </c>
      <c r="E235" s="232">
        <v>2607</v>
      </c>
      <c r="F235" s="232" t="s">
        <v>1930</v>
      </c>
      <c r="G235" s="394">
        <v>829</v>
      </c>
      <c r="H235" s="394">
        <v>0</v>
      </c>
      <c r="I235" s="394">
        <v>1638</v>
      </c>
      <c r="J235" s="232">
        <v>1849</v>
      </c>
      <c r="K235" s="232">
        <v>4316</v>
      </c>
      <c r="L235" s="232"/>
      <c r="M235" s="302">
        <v>0</v>
      </c>
      <c r="N235" s="302">
        <v>3725</v>
      </c>
      <c r="O235" s="302">
        <v>0</v>
      </c>
      <c r="P235" s="232">
        <v>0</v>
      </c>
      <c r="Q235" s="232">
        <v>3725</v>
      </c>
      <c r="R235" s="232"/>
      <c r="S235" s="394">
        <v>1125</v>
      </c>
      <c r="T235" s="232">
        <v>1208</v>
      </c>
      <c r="U235" s="398">
        <v>2333</v>
      </c>
      <c r="V235" s="232"/>
      <c r="W235" s="398">
        <v>10121</v>
      </c>
      <c r="X235" s="398">
        <v>-3576</v>
      </c>
      <c r="Y235" s="398"/>
      <c r="Z235" s="398"/>
    </row>
    <row r="236" spans="1:26" ht="14.25" customHeight="1">
      <c r="A236" s="392">
        <v>92431</v>
      </c>
      <c r="B236" s="393" t="s">
        <v>948</v>
      </c>
      <c r="C236" s="235">
        <v>1.6500000000000001E-5</v>
      </c>
      <c r="D236" s="235">
        <v>2.34E-5</v>
      </c>
      <c r="E236" s="232">
        <v>25304</v>
      </c>
      <c r="F236" s="232" t="s">
        <v>1930</v>
      </c>
      <c r="G236" s="394">
        <v>8050</v>
      </c>
      <c r="H236" s="394">
        <v>0</v>
      </c>
      <c r="I236" s="394">
        <v>15898</v>
      </c>
      <c r="J236" s="232">
        <v>4071</v>
      </c>
      <c r="K236" s="232">
        <v>28019</v>
      </c>
      <c r="L236" s="232"/>
      <c r="M236" s="302">
        <v>0</v>
      </c>
      <c r="N236" s="302">
        <v>36152</v>
      </c>
      <c r="O236" s="302">
        <v>0</v>
      </c>
      <c r="P236" s="232">
        <v>3046</v>
      </c>
      <c r="Q236" s="232">
        <v>39198</v>
      </c>
      <c r="R236" s="232"/>
      <c r="S236" s="394">
        <v>10917</v>
      </c>
      <c r="T236" s="232">
        <v>4464</v>
      </c>
      <c r="U236" s="398">
        <v>15381</v>
      </c>
      <c r="V236" s="232"/>
      <c r="W236" s="398">
        <v>98229</v>
      </c>
      <c r="X236" s="398">
        <v>-34709</v>
      </c>
      <c r="Y236" s="398"/>
      <c r="Z236" s="398"/>
    </row>
    <row r="237" spans="1:26">
      <c r="A237" s="392">
        <v>92441</v>
      </c>
      <c r="B237" s="393" t="s">
        <v>949</v>
      </c>
      <c r="C237" s="235">
        <v>1.004E-4</v>
      </c>
      <c r="D237" s="235">
        <v>1.054E-4</v>
      </c>
      <c r="E237" s="232">
        <v>153973</v>
      </c>
      <c r="F237" s="232" t="s">
        <v>1930</v>
      </c>
      <c r="G237" s="394">
        <v>48984</v>
      </c>
      <c r="H237" s="394">
        <v>0</v>
      </c>
      <c r="I237" s="394">
        <v>96734</v>
      </c>
      <c r="J237" s="232">
        <v>17613</v>
      </c>
      <c r="K237" s="232">
        <v>163331</v>
      </c>
      <c r="L237" s="232"/>
      <c r="M237" s="302">
        <v>0</v>
      </c>
      <c r="N237" s="302">
        <v>219981</v>
      </c>
      <c r="O237" s="302">
        <v>0</v>
      </c>
      <c r="P237" s="232">
        <v>19126</v>
      </c>
      <c r="Q237" s="232">
        <v>239107</v>
      </c>
      <c r="R237" s="232"/>
      <c r="S237" s="394">
        <v>66429</v>
      </c>
      <c r="T237" s="232">
        <v>1357</v>
      </c>
      <c r="U237" s="398">
        <v>67786</v>
      </c>
      <c r="V237" s="232"/>
      <c r="W237" s="398">
        <v>597711</v>
      </c>
      <c r="X237" s="398">
        <v>-211199</v>
      </c>
      <c r="Y237" s="398"/>
      <c r="Z237" s="398"/>
    </row>
    <row r="238" spans="1:26">
      <c r="A238" s="392">
        <v>92444</v>
      </c>
      <c r="B238" s="393" t="s">
        <v>950</v>
      </c>
      <c r="C238" s="235">
        <v>9.2E-6</v>
      </c>
      <c r="D238" s="235">
        <v>5.2000000000000002E-6</v>
      </c>
      <c r="E238" s="232">
        <v>14109</v>
      </c>
      <c r="F238" s="232" t="s">
        <v>1930</v>
      </c>
      <c r="G238" s="394">
        <v>4489</v>
      </c>
      <c r="H238" s="394">
        <v>0</v>
      </c>
      <c r="I238" s="394">
        <v>8864</v>
      </c>
      <c r="J238" s="232">
        <v>10679</v>
      </c>
      <c r="K238" s="232">
        <v>24032</v>
      </c>
      <c r="L238" s="232"/>
      <c r="M238" s="302">
        <v>0</v>
      </c>
      <c r="N238" s="302">
        <v>20158</v>
      </c>
      <c r="O238" s="302">
        <v>0</v>
      </c>
      <c r="P238" s="232">
        <v>0</v>
      </c>
      <c r="Q238" s="232">
        <v>20158</v>
      </c>
      <c r="R238" s="232"/>
      <c r="S238" s="394">
        <v>6087</v>
      </c>
      <c r="T238" s="232">
        <v>4615</v>
      </c>
      <c r="U238" s="398">
        <v>10702</v>
      </c>
      <c r="V238" s="232"/>
      <c r="W238" s="398">
        <v>54770</v>
      </c>
      <c r="X238" s="398">
        <v>-19353</v>
      </c>
      <c r="Y238" s="398"/>
      <c r="Z238" s="398"/>
    </row>
    <row r="239" spans="1:26">
      <c r="A239" s="392">
        <v>92451</v>
      </c>
      <c r="B239" s="393" t="s">
        <v>951</v>
      </c>
      <c r="C239" s="235">
        <v>1.044E-4</v>
      </c>
      <c r="D239" s="235">
        <v>1.049E-4</v>
      </c>
      <c r="E239" s="232">
        <v>160107</v>
      </c>
      <c r="F239" s="232" t="s">
        <v>1930</v>
      </c>
      <c r="G239" s="394">
        <v>50936</v>
      </c>
      <c r="H239" s="394">
        <v>0</v>
      </c>
      <c r="I239" s="394">
        <v>100588</v>
      </c>
      <c r="J239" s="232">
        <v>36056</v>
      </c>
      <c r="K239" s="232">
        <v>187580</v>
      </c>
      <c r="L239" s="232"/>
      <c r="M239" s="302">
        <v>0</v>
      </c>
      <c r="N239" s="302">
        <v>228745</v>
      </c>
      <c r="O239" s="302">
        <v>0</v>
      </c>
      <c r="P239" s="232">
        <v>0</v>
      </c>
      <c r="Q239" s="232">
        <v>228745</v>
      </c>
      <c r="R239" s="232"/>
      <c r="S239" s="394">
        <v>69075</v>
      </c>
      <c r="T239" s="232">
        <v>16829</v>
      </c>
      <c r="U239" s="398">
        <v>85904</v>
      </c>
      <c r="V239" s="232"/>
      <c r="W239" s="398">
        <v>621524</v>
      </c>
      <c r="X239" s="398">
        <v>-219613</v>
      </c>
      <c r="Y239" s="398"/>
      <c r="Z239" s="398"/>
    </row>
    <row r="240" spans="1:26">
      <c r="A240" s="392">
        <v>92461</v>
      </c>
      <c r="B240" s="393" t="s">
        <v>952</v>
      </c>
      <c r="C240" s="235">
        <v>8.1699999999999994E-5</v>
      </c>
      <c r="D240" s="235">
        <v>5.3300000000000001E-5</v>
      </c>
      <c r="E240" s="232">
        <v>125295</v>
      </c>
      <c r="F240" s="232" t="s">
        <v>1930</v>
      </c>
      <c r="G240" s="394">
        <v>39861</v>
      </c>
      <c r="H240" s="394">
        <v>0</v>
      </c>
      <c r="I240" s="394">
        <v>78717</v>
      </c>
      <c r="J240" s="232">
        <v>57053</v>
      </c>
      <c r="K240" s="232">
        <v>175631</v>
      </c>
      <c r="L240" s="232"/>
      <c r="M240" s="302">
        <v>0</v>
      </c>
      <c r="N240" s="302">
        <v>179009</v>
      </c>
      <c r="O240" s="302">
        <v>0</v>
      </c>
      <c r="P240" s="232">
        <v>0</v>
      </c>
      <c r="Q240" s="232">
        <v>179009</v>
      </c>
      <c r="R240" s="232"/>
      <c r="S240" s="394">
        <v>54056</v>
      </c>
      <c r="T240" s="232">
        <v>21966</v>
      </c>
      <c r="U240" s="398">
        <v>76022</v>
      </c>
      <c r="V240" s="232"/>
      <c r="W240" s="398">
        <v>486384</v>
      </c>
      <c r="X240" s="398">
        <v>-171862</v>
      </c>
      <c r="Y240" s="398"/>
      <c r="Z240" s="398"/>
    </row>
    <row r="241" spans="1:26">
      <c r="A241" s="392">
        <v>92501</v>
      </c>
      <c r="B241" s="393" t="s">
        <v>953</v>
      </c>
      <c r="C241" s="235">
        <v>3.9338999999999997E-3</v>
      </c>
      <c r="D241" s="235">
        <v>4.0159999999999996E-3</v>
      </c>
      <c r="E241" s="232">
        <v>6033013</v>
      </c>
      <c r="F241" s="232" t="s">
        <v>1930</v>
      </c>
      <c r="G241" s="394">
        <v>1919318</v>
      </c>
      <c r="H241" s="394">
        <v>0</v>
      </c>
      <c r="I241" s="394">
        <v>3790273</v>
      </c>
      <c r="J241" s="232">
        <v>429923</v>
      </c>
      <c r="K241" s="232">
        <v>6139514</v>
      </c>
      <c r="L241" s="232"/>
      <c r="M241" s="302">
        <v>0</v>
      </c>
      <c r="N241" s="302">
        <v>8619364</v>
      </c>
      <c r="O241" s="302">
        <v>0</v>
      </c>
      <c r="P241" s="232">
        <v>59545</v>
      </c>
      <c r="Q241" s="232">
        <v>8678909</v>
      </c>
      <c r="R241" s="232"/>
      <c r="S241" s="394">
        <v>2602833</v>
      </c>
      <c r="T241" s="232">
        <v>230856</v>
      </c>
      <c r="U241" s="398">
        <v>2833689</v>
      </c>
      <c r="V241" s="232"/>
      <c r="W241" s="398">
        <v>23419655</v>
      </c>
      <c r="X241" s="398">
        <v>-8275262</v>
      </c>
      <c r="Y241" s="398"/>
      <c r="Z241" s="398"/>
    </row>
    <row r="242" spans="1:26">
      <c r="A242" s="392">
        <v>92502</v>
      </c>
      <c r="B242" s="393" t="s">
        <v>954</v>
      </c>
      <c r="C242" s="235">
        <v>2.1100000000000001E-5</v>
      </c>
      <c r="D242" s="235">
        <v>2.1299999999999999E-5</v>
      </c>
      <c r="E242" s="232">
        <v>32359</v>
      </c>
      <c r="F242" s="232" t="s">
        <v>1930</v>
      </c>
      <c r="G242" s="394">
        <v>10295</v>
      </c>
      <c r="H242" s="394">
        <v>0</v>
      </c>
      <c r="I242" s="394">
        <v>20330</v>
      </c>
      <c r="J242" s="232">
        <v>6791</v>
      </c>
      <c r="K242" s="232">
        <v>37416</v>
      </c>
      <c r="L242" s="232"/>
      <c r="M242" s="302">
        <v>0</v>
      </c>
      <c r="N242" s="302">
        <v>46231</v>
      </c>
      <c r="O242" s="302">
        <v>0</v>
      </c>
      <c r="P242" s="232">
        <v>0</v>
      </c>
      <c r="Q242" s="232">
        <v>46231</v>
      </c>
      <c r="R242" s="232"/>
      <c r="S242" s="394">
        <v>13961</v>
      </c>
      <c r="T242" s="232">
        <v>2656</v>
      </c>
      <c r="U242" s="398">
        <v>16617</v>
      </c>
      <c r="V242" s="232"/>
      <c r="W242" s="398">
        <v>125614</v>
      </c>
      <c r="X242" s="398">
        <v>-44385</v>
      </c>
      <c r="Y242" s="398"/>
      <c r="Z242" s="398"/>
    </row>
    <row r="243" spans="1:26">
      <c r="A243" s="392">
        <v>92504</v>
      </c>
      <c r="B243" s="393" t="s">
        <v>955</v>
      </c>
      <c r="C243" s="235">
        <v>9.1100000000000005E-5</v>
      </c>
      <c r="D243" s="235">
        <v>9.0799999999999998E-5</v>
      </c>
      <c r="E243" s="232">
        <v>139711</v>
      </c>
      <c r="F243" s="232" t="s">
        <v>1930</v>
      </c>
      <c r="G243" s="394">
        <v>44447</v>
      </c>
      <c r="H243" s="394">
        <v>0</v>
      </c>
      <c r="I243" s="394">
        <v>87774</v>
      </c>
      <c r="J243" s="232">
        <v>34173</v>
      </c>
      <c r="K243" s="232">
        <v>166394</v>
      </c>
      <c r="L243" s="232"/>
      <c r="M243" s="302">
        <v>0</v>
      </c>
      <c r="N243" s="302">
        <v>199604</v>
      </c>
      <c r="O243" s="302">
        <v>0</v>
      </c>
      <c r="P243" s="232">
        <v>0</v>
      </c>
      <c r="Q243" s="232">
        <v>199604</v>
      </c>
      <c r="R243" s="232"/>
      <c r="S243" s="394">
        <v>60276</v>
      </c>
      <c r="T243" s="232">
        <v>20266</v>
      </c>
      <c r="U243" s="398">
        <v>80542</v>
      </c>
      <c r="V243" s="232"/>
      <c r="W243" s="398">
        <v>542345</v>
      </c>
      <c r="X243" s="398">
        <v>-191636</v>
      </c>
      <c r="Y243" s="398"/>
      <c r="Z243" s="398"/>
    </row>
    <row r="244" spans="1:26">
      <c r="A244" s="392">
        <v>92505</v>
      </c>
      <c r="B244" s="393" t="s">
        <v>956</v>
      </c>
      <c r="C244" s="235">
        <v>9.9099999999999996E-5</v>
      </c>
      <c r="D244" s="235">
        <v>1.674E-4</v>
      </c>
      <c r="E244" s="232">
        <v>151979</v>
      </c>
      <c r="F244" s="232" t="s">
        <v>1930</v>
      </c>
      <c r="G244" s="394">
        <v>48350</v>
      </c>
      <c r="H244" s="394">
        <v>0</v>
      </c>
      <c r="I244" s="394">
        <v>95482</v>
      </c>
      <c r="J244" s="232">
        <v>44239</v>
      </c>
      <c r="K244" s="232">
        <v>188071</v>
      </c>
      <c r="L244" s="232"/>
      <c r="M244" s="302">
        <v>0</v>
      </c>
      <c r="N244" s="302">
        <v>217133</v>
      </c>
      <c r="O244" s="302">
        <v>0</v>
      </c>
      <c r="P244" s="232">
        <v>110457</v>
      </c>
      <c r="Q244" s="232">
        <v>327590</v>
      </c>
      <c r="R244" s="232"/>
      <c r="S244" s="394">
        <v>65569</v>
      </c>
      <c r="T244" s="232">
        <v>-4649</v>
      </c>
      <c r="U244" s="398">
        <v>60920</v>
      </c>
      <c r="V244" s="232"/>
      <c r="W244" s="398">
        <v>589971</v>
      </c>
      <c r="X244" s="398">
        <v>-208464</v>
      </c>
      <c r="Y244" s="398"/>
      <c r="Z244" s="398"/>
    </row>
    <row r="245" spans="1:26">
      <c r="A245" s="392">
        <v>92506</v>
      </c>
      <c r="B245" s="393" t="s">
        <v>957</v>
      </c>
      <c r="C245" s="235">
        <v>6.4999999999999994E-5</v>
      </c>
      <c r="D245" s="235">
        <v>6.0600000000000003E-5</v>
      </c>
      <c r="E245" s="232">
        <v>99684</v>
      </c>
      <c r="F245" s="232" t="s">
        <v>1930</v>
      </c>
      <c r="G245" s="394">
        <v>31713</v>
      </c>
      <c r="H245" s="394">
        <v>0</v>
      </c>
      <c r="I245" s="394">
        <v>62627</v>
      </c>
      <c r="J245" s="232">
        <v>31242</v>
      </c>
      <c r="K245" s="232">
        <v>125582</v>
      </c>
      <c r="L245" s="232"/>
      <c r="M245" s="302">
        <v>0</v>
      </c>
      <c r="N245" s="302">
        <v>142418</v>
      </c>
      <c r="O245" s="302">
        <v>0</v>
      </c>
      <c r="P245" s="232">
        <v>667</v>
      </c>
      <c r="Q245" s="232">
        <v>143085</v>
      </c>
      <c r="R245" s="232"/>
      <c r="S245" s="394">
        <v>43007</v>
      </c>
      <c r="T245" s="232">
        <v>15727</v>
      </c>
      <c r="U245" s="398">
        <v>58734</v>
      </c>
      <c r="V245" s="232"/>
      <c r="W245" s="398">
        <v>386964</v>
      </c>
      <c r="X245" s="398">
        <v>-136733</v>
      </c>
      <c r="Y245" s="398"/>
      <c r="Z245" s="398"/>
    </row>
    <row r="246" spans="1:26">
      <c r="A246" s="392">
        <v>92507</v>
      </c>
      <c r="B246" s="393" t="s">
        <v>958</v>
      </c>
      <c r="C246" s="235">
        <v>1.033E-4</v>
      </c>
      <c r="D246" s="235">
        <v>9.0799999999999998E-5</v>
      </c>
      <c r="E246" s="232">
        <v>158420</v>
      </c>
      <c r="F246" s="232" t="s">
        <v>1930</v>
      </c>
      <c r="G246" s="394">
        <v>50399</v>
      </c>
      <c r="H246" s="394">
        <v>0</v>
      </c>
      <c r="I246" s="394">
        <v>99529</v>
      </c>
      <c r="J246" s="232">
        <v>18241</v>
      </c>
      <c r="K246" s="232">
        <v>168169</v>
      </c>
      <c r="L246" s="232"/>
      <c r="M246" s="302">
        <v>0</v>
      </c>
      <c r="N246" s="302">
        <v>226335</v>
      </c>
      <c r="O246" s="302">
        <v>0</v>
      </c>
      <c r="P246" s="232">
        <v>8952</v>
      </c>
      <c r="Q246" s="232">
        <v>235287</v>
      </c>
      <c r="R246" s="232"/>
      <c r="S246" s="394">
        <v>68348</v>
      </c>
      <c r="T246" s="232">
        <v>3355</v>
      </c>
      <c r="U246" s="398">
        <v>71703</v>
      </c>
      <c r="V246" s="232"/>
      <c r="W246" s="398">
        <v>614975</v>
      </c>
      <c r="X246" s="398">
        <v>-217300</v>
      </c>
      <c r="Y246" s="398"/>
      <c r="Z246" s="398"/>
    </row>
    <row r="247" spans="1:26">
      <c r="A247" s="392">
        <v>92508</v>
      </c>
      <c r="B247" s="393" t="s">
        <v>959</v>
      </c>
      <c r="C247" s="235">
        <v>2.809E-4</v>
      </c>
      <c r="D247" s="235">
        <v>3.057E-4</v>
      </c>
      <c r="E247" s="232">
        <v>430787</v>
      </c>
      <c r="F247" s="232" t="s">
        <v>1930</v>
      </c>
      <c r="G247" s="394">
        <v>137049</v>
      </c>
      <c r="H247" s="394">
        <v>0</v>
      </c>
      <c r="I247" s="394">
        <v>270644</v>
      </c>
      <c r="J247" s="232">
        <v>27988</v>
      </c>
      <c r="K247" s="232">
        <v>435681</v>
      </c>
      <c r="L247" s="232"/>
      <c r="M247" s="302">
        <v>0</v>
      </c>
      <c r="N247" s="302">
        <v>615465</v>
      </c>
      <c r="O247" s="302">
        <v>0</v>
      </c>
      <c r="P247" s="232">
        <v>14726</v>
      </c>
      <c r="Q247" s="232">
        <v>630191</v>
      </c>
      <c r="R247" s="232"/>
      <c r="S247" s="394">
        <v>185855</v>
      </c>
      <c r="T247" s="232">
        <v>10181</v>
      </c>
      <c r="U247" s="398">
        <v>196036</v>
      </c>
      <c r="V247" s="232"/>
      <c r="W247" s="398">
        <v>1672280</v>
      </c>
      <c r="X247" s="398">
        <v>-590895</v>
      </c>
      <c r="Y247" s="398"/>
      <c r="Z247" s="398"/>
    </row>
    <row r="248" spans="1:26">
      <c r="A248" s="392">
        <v>92509</v>
      </c>
      <c r="B248" s="393" t="s">
        <v>1618</v>
      </c>
      <c r="C248" s="235">
        <v>0</v>
      </c>
      <c r="D248" s="235">
        <v>0</v>
      </c>
      <c r="E248" s="232">
        <v>0</v>
      </c>
      <c r="F248" s="232">
        <v>0</v>
      </c>
      <c r="G248" s="394">
        <v>0</v>
      </c>
      <c r="H248" s="394">
        <v>0</v>
      </c>
      <c r="I248" s="394">
        <v>0</v>
      </c>
      <c r="J248" s="232">
        <v>0</v>
      </c>
      <c r="K248" s="232">
        <v>0</v>
      </c>
      <c r="L248" s="232">
        <v>0</v>
      </c>
      <c r="M248" s="302">
        <v>0</v>
      </c>
      <c r="N248" s="302">
        <v>0</v>
      </c>
      <c r="O248" s="302">
        <v>0</v>
      </c>
      <c r="P248" s="232">
        <v>0</v>
      </c>
      <c r="Q248" s="232">
        <v>0</v>
      </c>
      <c r="R248" s="232">
        <v>0</v>
      </c>
      <c r="S248" s="394">
        <v>0</v>
      </c>
      <c r="T248" s="232">
        <v>0</v>
      </c>
      <c r="U248" s="398">
        <v>0</v>
      </c>
      <c r="V248" s="232">
        <v>0</v>
      </c>
      <c r="W248" s="398">
        <v>0</v>
      </c>
      <c r="X248" s="398">
        <v>0</v>
      </c>
      <c r="Y248" s="398">
        <v>0</v>
      </c>
      <c r="Z248" s="398">
        <v>0</v>
      </c>
    </row>
    <row r="249" spans="1:26">
      <c r="A249" s="392">
        <v>92511</v>
      </c>
      <c r="B249" s="393" t="s">
        <v>960</v>
      </c>
      <c r="C249" s="235">
        <v>3.346E-3</v>
      </c>
      <c r="D249" s="235">
        <v>3.3302000000000002E-3</v>
      </c>
      <c r="E249" s="232">
        <v>5131412</v>
      </c>
      <c r="F249" s="232" t="s">
        <v>1930</v>
      </c>
      <c r="G249" s="394">
        <v>1632487</v>
      </c>
      <c r="H249" s="394">
        <v>0</v>
      </c>
      <c r="I249" s="394">
        <v>3223838</v>
      </c>
      <c r="J249" s="232">
        <v>89809</v>
      </c>
      <c r="K249" s="232">
        <v>4946134</v>
      </c>
      <c r="L249" s="232"/>
      <c r="M249" s="302">
        <v>0</v>
      </c>
      <c r="N249" s="302">
        <v>7331247</v>
      </c>
      <c r="O249" s="302">
        <v>0</v>
      </c>
      <c r="P249" s="232">
        <v>244283</v>
      </c>
      <c r="Q249" s="232">
        <v>7575530</v>
      </c>
      <c r="R249" s="232"/>
      <c r="S249" s="394">
        <v>2213854</v>
      </c>
      <c r="T249" s="232">
        <v>-84918</v>
      </c>
      <c r="U249" s="398">
        <v>2128936</v>
      </c>
      <c r="V249" s="232"/>
      <c r="W249" s="398">
        <v>19919715</v>
      </c>
      <c r="X249" s="398">
        <v>-7038569</v>
      </c>
      <c r="Y249" s="398"/>
      <c r="Z249" s="398"/>
    </row>
    <row r="250" spans="1:26">
      <c r="A250" s="392">
        <v>92513</v>
      </c>
      <c r="B250" s="393" t="s">
        <v>961</v>
      </c>
      <c r="C250" s="235">
        <v>4.0124000000000002E-3</v>
      </c>
      <c r="D250" s="235">
        <v>3.8999999999999998E-3</v>
      </c>
      <c r="E250" s="232">
        <v>6153401</v>
      </c>
      <c r="F250" s="232" t="s">
        <v>1930</v>
      </c>
      <c r="G250" s="394">
        <v>1957618</v>
      </c>
      <c r="H250" s="394">
        <v>0</v>
      </c>
      <c r="I250" s="394">
        <v>3865907</v>
      </c>
      <c r="J250" s="232">
        <v>84951</v>
      </c>
      <c r="K250" s="232">
        <v>5908476</v>
      </c>
      <c r="L250" s="232"/>
      <c r="M250" s="302">
        <v>0</v>
      </c>
      <c r="N250" s="302">
        <v>8791361</v>
      </c>
      <c r="O250" s="302">
        <v>0</v>
      </c>
      <c r="P250" s="232">
        <v>196279</v>
      </c>
      <c r="Q250" s="232">
        <v>8987640</v>
      </c>
      <c r="R250" s="232"/>
      <c r="S250" s="394">
        <v>2654772</v>
      </c>
      <c r="T250" s="232">
        <v>-122515</v>
      </c>
      <c r="U250" s="398">
        <v>2532257</v>
      </c>
      <c r="V250" s="232"/>
      <c r="W250" s="398">
        <v>23886989</v>
      </c>
      <c r="X250" s="398">
        <v>-8440392</v>
      </c>
      <c r="Y250" s="398"/>
      <c r="Z250" s="398"/>
    </row>
    <row r="251" spans="1:26">
      <c r="A251" s="392">
        <v>92521</v>
      </c>
      <c r="B251" s="393" t="s">
        <v>962</v>
      </c>
      <c r="C251" s="235">
        <v>6.9599999999999998E-5</v>
      </c>
      <c r="D251" s="235">
        <v>6.7100000000000005E-5</v>
      </c>
      <c r="E251" s="232">
        <v>106738</v>
      </c>
      <c r="F251" s="232" t="s">
        <v>1930</v>
      </c>
      <c r="G251" s="394">
        <v>33957</v>
      </c>
      <c r="H251" s="394">
        <v>0</v>
      </c>
      <c r="I251" s="394">
        <v>67059</v>
      </c>
      <c r="J251" s="232">
        <v>7734</v>
      </c>
      <c r="K251" s="232">
        <v>108750</v>
      </c>
      <c r="L251" s="232"/>
      <c r="M251" s="302">
        <v>0</v>
      </c>
      <c r="N251" s="302">
        <v>152497</v>
      </c>
      <c r="O251" s="302">
        <v>0</v>
      </c>
      <c r="P251" s="232">
        <v>9371</v>
      </c>
      <c r="Q251" s="232">
        <v>161868</v>
      </c>
      <c r="R251" s="232"/>
      <c r="S251" s="394">
        <v>46050</v>
      </c>
      <c r="T251" s="232">
        <v>-3316</v>
      </c>
      <c r="U251" s="398">
        <v>42734</v>
      </c>
      <c r="V251" s="232"/>
      <c r="W251" s="398">
        <v>414349</v>
      </c>
      <c r="X251" s="398">
        <v>-146409</v>
      </c>
      <c r="Y251" s="398"/>
      <c r="Z251" s="398"/>
    </row>
    <row r="252" spans="1:26">
      <c r="A252" s="392">
        <v>92531</v>
      </c>
      <c r="B252" s="393" t="s">
        <v>963</v>
      </c>
      <c r="C252" s="235">
        <v>7.8069999999999995E-4</v>
      </c>
      <c r="D252" s="235">
        <v>8.4690000000000004E-4</v>
      </c>
      <c r="E252" s="232">
        <v>1197278</v>
      </c>
      <c r="F252" s="232" t="s">
        <v>1930</v>
      </c>
      <c r="G252" s="394">
        <v>380897</v>
      </c>
      <c r="H252" s="394">
        <v>0</v>
      </c>
      <c r="I252" s="394">
        <v>752197</v>
      </c>
      <c r="J252" s="232">
        <v>0</v>
      </c>
      <c r="K252" s="232">
        <v>1133094</v>
      </c>
      <c r="L252" s="232"/>
      <c r="M252" s="302">
        <v>0</v>
      </c>
      <c r="N252" s="302">
        <v>1710551</v>
      </c>
      <c r="O252" s="302">
        <v>0</v>
      </c>
      <c r="P252" s="232">
        <v>164835</v>
      </c>
      <c r="Q252" s="232">
        <v>1875386</v>
      </c>
      <c r="R252" s="232"/>
      <c r="S252" s="394">
        <v>516544</v>
      </c>
      <c r="T252" s="232">
        <v>-69695</v>
      </c>
      <c r="U252" s="398">
        <v>446849</v>
      </c>
      <c r="V252" s="232"/>
      <c r="W252" s="398">
        <v>4647735</v>
      </c>
      <c r="X252" s="398">
        <v>-1642263</v>
      </c>
      <c r="Y252" s="398"/>
      <c r="Z252" s="398"/>
    </row>
    <row r="253" spans="1:26">
      <c r="A253" s="392">
        <v>92541</v>
      </c>
      <c r="B253" s="393" t="s">
        <v>964</v>
      </c>
      <c r="C253" s="235">
        <v>1.4630000000000001E-4</v>
      </c>
      <c r="D253" s="235">
        <v>1.462E-4</v>
      </c>
      <c r="E253" s="232">
        <v>224365</v>
      </c>
      <c r="F253" s="232" t="s">
        <v>1930</v>
      </c>
      <c r="G253" s="394">
        <v>71379</v>
      </c>
      <c r="H253" s="394">
        <v>0</v>
      </c>
      <c r="I253" s="394">
        <v>140959</v>
      </c>
      <c r="J253" s="232">
        <v>11638</v>
      </c>
      <c r="K253" s="232">
        <v>223976</v>
      </c>
      <c r="L253" s="232"/>
      <c r="M253" s="302">
        <v>0</v>
      </c>
      <c r="N253" s="302">
        <v>320550</v>
      </c>
      <c r="O253" s="302">
        <v>0</v>
      </c>
      <c r="P253" s="232">
        <v>5368</v>
      </c>
      <c r="Q253" s="232">
        <v>325918</v>
      </c>
      <c r="R253" s="232"/>
      <c r="S253" s="394">
        <v>96798</v>
      </c>
      <c r="T253" s="232">
        <v>315</v>
      </c>
      <c r="U253" s="398">
        <v>97113</v>
      </c>
      <c r="V253" s="232"/>
      <c r="W253" s="398">
        <v>870967</v>
      </c>
      <c r="X253" s="398">
        <v>-307753</v>
      </c>
      <c r="Y253" s="398"/>
      <c r="Z253" s="398"/>
    </row>
    <row r="254" spans="1:26">
      <c r="A254" s="392">
        <v>92551</v>
      </c>
      <c r="B254" s="393" t="s">
        <v>965</v>
      </c>
      <c r="C254" s="235">
        <v>6.2199999999999994E-5</v>
      </c>
      <c r="D254" s="235">
        <v>5.49E-5</v>
      </c>
      <c r="E254" s="232">
        <v>95390</v>
      </c>
      <c r="F254" s="232" t="s">
        <v>1930</v>
      </c>
      <c r="G254" s="394">
        <v>30347</v>
      </c>
      <c r="H254" s="394">
        <v>0</v>
      </c>
      <c r="I254" s="394">
        <v>59929</v>
      </c>
      <c r="J254" s="232">
        <v>8626</v>
      </c>
      <c r="K254" s="232">
        <v>98902</v>
      </c>
      <c r="L254" s="232"/>
      <c r="M254" s="302">
        <v>0</v>
      </c>
      <c r="N254" s="302">
        <v>136283</v>
      </c>
      <c r="O254" s="302">
        <v>0</v>
      </c>
      <c r="P254" s="232">
        <v>6188</v>
      </c>
      <c r="Q254" s="232">
        <v>142471</v>
      </c>
      <c r="R254" s="232"/>
      <c r="S254" s="394">
        <v>41154</v>
      </c>
      <c r="T254" s="232">
        <v>530</v>
      </c>
      <c r="U254" s="398">
        <v>41684</v>
      </c>
      <c r="V254" s="232"/>
      <c r="W254" s="398">
        <v>370295</v>
      </c>
      <c r="X254" s="398">
        <v>-130842</v>
      </c>
      <c r="Y254" s="398"/>
      <c r="Z254" s="398"/>
    </row>
    <row r="255" spans="1:26">
      <c r="A255" s="392">
        <v>92561</v>
      </c>
      <c r="B255" s="393" t="s">
        <v>966</v>
      </c>
      <c r="C255" s="235">
        <v>1.5699999999999999E-5</v>
      </c>
      <c r="D255" s="235">
        <v>1.2999999999999999E-5</v>
      </c>
      <c r="E255" s="232">
        <v>24077</v>
      </c>
      <c r="F255" s="232" t="s">
        <v>1930</v>
      </c>
      <c r="G255" s="394">
        <v>7660</v>
      </c>
      <c r="H255" s="394">
        <v>0</v>
      </c>
      <c r="I255" s="394">
        <v>15127</v>
      </c>
      <c r="J255" s="232">
        <v>7236</v>
      </c>
      <c r="K255" s="232">
        <v>30023</v>
      </c>
      <c r="L255" s="232"/>
      <c r="M255" s="302">
        <v>0</v>
      </c>
      <c r="N255" s="302">
        <v>34399</v>
      </c>
      <c r="O255" s="302">
        <v>0</v>
      </c>
      <c r="P255" s="232">
        <v>4460</v>
      </c>
      <c r="Q255" s="232">
        <v>38859</v>
      </c>
      <c r="R255" s="232"/>
      <c r="S255" s="394">
        <v>10388</v>
      </c>
      <c r="T255" s="232">
        <v>353</v>
      </c>
      <c r="U255" s="398">
        <v>10741</v>
      </c>
      <c r="V255" s="232"/>
      <c r="W255" s="398">
        <v>93467</v>
      </c>
      <c r="X255" s="398">
        <v>-33026</v>
      </c>
      <c r="Y255" s="398"/>
      <c r="Z255" s="398"/>
    </row>
    <row r="256" spans="1:26">
      <c r="A256" s="392">
        <v>92571</v>
      </c>
      <c r="B256" s="393" t="s">
        <v>967</v>
      </c>
      <c r="C256" s="235">
        <v>5.3000000000000001E-6</v>
      </c>
      <c r="D256" s="235">
        <v>4.4000000000000002E-6</v>
      </c>
      <c r="E256" s="232">
        <v>8128</v>
      </c>
      <c r="F256" s="232" t="s">
        <v>1930</v>
      </c>
      <c r="G256" s="394">
        <v>2586</v>
      </c>
      <c r="H256" s="394">
        <v>0</v>
      </c>
      <c r="I256" s="394">
        <v>5106</v>
      </c>
      <c r="J256" s="232">
        <v>3434</v>
      </c>
      <c r="K256" s="232">
        <v>11126</v>
      </c>
      <c r="L256" s="232"/>
      <c r="M256" s="302">
        <v>0</v>
      </c>
      <c r="N256" s="302">
        <v>11613</v>
      </c>
      <c r="O256" s="302">
        <v>0</v>
      </c>
      <c r="P256" s="232">
        <v>2189</v>
      </c>
      <c r="Q256" s="232">
        <v>13802</v>
      </c>
      <c r="R256" s="232"/>
      <c r="S256" s="394">
        <v>3507</v>
      </c>
      <c r="T256" s="232">
        <v>1790</v>
      </c>
      <c r="U256" s="398">
        <v>5297</v>
      </c>
      <c r="V256" s="232"/>
      <c r="W256" s="398">
        <v>31552</v>
      </c>
      <c r="X256" s="398">
        <v>-11149</v>
      </c>
      <c r="Y256" s="398"/>
      <c r="Z256" s="398"/>
    </row>
    <row r="257" spans="1:26">
      <c r="A257" s="392">
        <v>92601</v>
      </c>
      <c r="B257" s="393" t="s">
        <v>968</v>
      </c>
      <c r="C257" s="235">
        <v>1.2883E-2</v>
      </c>
      <c r="D257" s="235">
        <v>1.27283E-2</v>
      </c>
      <c r="E257" s="232">
        <v>19757317</v>
      </c>
      <c r="F257" s="232" t="s">
        <v>1930</v>
      </c>
      <c r="G257" s="394">
        <v>6285513</v>
      </c>
      <c r="H257" s="394">
        <v>0</v>
      </c>
      <c r="I257" s="394">
        <v>12412642</v>
      </c>
      <c r="J257" s="232">
        <v>316873</v>
      </c>
      <c r="K257" s="232">
        <v>19015028</v>
      </c>
      <c r="L257" s="232"/>
      <c r="M257" s="302">
        <v>0</v>
      </c>
      <c r="N257" s="302">
        <v>28227271</v>
      </c>
      <c r="O257" s="302">
        <v>0</v>
      </c>
      <c r="P257" s="232">
        <v>572844</v>
      </c>
      <c r="Q257" s="232">
        <v>28800115</v>
      </c>
      <c r="R257" s="232"/>
      <c r="S257" s="394">
        <v>8523934</v>
      </c>
      <c r="T257" s="232">
        <v>-336826</v>
      </c>
      <c r="U257" s="398">
        <v>8187108</v>
      </c>
      <c r="V257" s="232"/>
      <c r="W257" s="398">
        <v>76696261</v>
      </c>
      <c r="X257" s="398">
        <v>-27100382</v>
      </c>
      <c r="Y257" s="398"/>
      <c r="Z257" s="398"/>
    </row>
    <row r="258" spans="1:26">
      <c r="A258" s="392">
        <v>92602</v>
      </c>
      <c r="B258" s="393" t="s">
        <v>969</v>
      </c>
      <c r="C258" s="235">
        <v>5.2000000000000002E-6</v>
      </c>
      <c r="D258" s="235">
        <v>4.5000000000000001E-6</v>
      </c>
      <c r="E258" s="232">
        <v>7975</v>
      </c>
      <c r="F258" s="232" t="s">
        <v>1930</v>
      </c>
      <c r="G258" s="394">
        <v>2537</v>
      </c>
      <c r="H258" s="394">
        <v>0</v>
      </c>
      <c r="I258" s="394">
        <v>5010</v>
      </c>
      <c r="J258" s="232">
        <v>1005</v>
      </c>
      <c r="K258" s="232">
        <v>8552</v>
      </c>
      <c r="L258" s="232"/>
      <c r="M258" s="302">
        <v>0</v>
      </c>
      <c r="N258" s="302">
        <v>11393</v>
      </c>
      <c r="O258" s="302">
        <v>0</v>
      </c>
      <c r="P258" s="232">
        <v>1715</v>
      </c>
      <c r="Q258" s="232">
        <v>13108</v>
      </c>
      <c r="R258" s="232"/>
      <c r="S258" s="394">
        <v>3441</v>
      </c>
      <c r="T258" s="232">
        <v>-786</v>
      </c>
      <c r="U258" s="398">
        <v>2655</v>
      </c>
      <c r="V258" s="232"/>
      <c r="W258" s="398">
        <v>30957</v>
      </c>
      <c r="X258" s="398">
        <v>-10939</v>
      </c>
      <c r="Y258" s="398"/>
      <c r="Z258" s="398"/>
    </row>
    <row r="259" spans="1:26">
      <c r="A259" s="392">
        <v>92604</v>
      </c>
      <c r="B259" s="393" t="s">
        <v>970</v>
      </c>
      <c r="C259" s="235">
        <v>3.392E-4</v>
      </c>
      <c r="D259" s="235">
        <v>3.6390000000000001E-4</v>
      </c>
      <c r="E259" s="232">
        <v>520196</v>
      </c>
      <c r="F259" s="232" t="s">
        <v>1930</v>
      </c>
      <c r="G259" s="394">
        <v>165493</v>
      </c>
      <c r="H259" s="394">
        <v>0</v>
      </c>
      <c r="I259" s="394">
        <v>326816</v>
      </c>
      <c r="J259" s="232">
        <v>42193</v>
      </c>
      <c r="K259" s="232">
        <v>534502</v>
      </c>
      <c r="L259" s="232"/>
      <c r="M259" s="302">
        <v>0</v>
      </c>
      <c r="N259" s="302">
        <v>743203</v>
      </c>
      <c r="O259" s="302">
        <v>0</v>
      </c>
      <c r="P259" s="232">
        <v>44026</v>
      </c>
      <c r="Q259" s="232">
        <v>787229</v>
      </c>
      <c r="R259" s="232"/>
      <c r="S259" s="394">
        <v>224429</v>
      </c>
      <c r="T259" s="232">
        <v>12874</v>
      </c>
      <c r="U259" s="398">
        <v>237303</v>
      </c>
      <c r="V259" s="232"/>
      <c r="W259" s="398">
        <v>2019357</v>
      </c>
      <c r="X259" s="398">
        <v>-713533</v>
      </c>
      <c r="Y259" s="398"/>
      <c r="Z259" s="398"/>
    </row>
    <row r="260" spans="1:26">
      <c r="A260" s="392">
        <v>92607</v>
      </c>
      <c r="B260" s="393" t="s">
        <v>971</v>
      </c>
      <c r="C260" s="235">
        <v>7.25E-5</v>
      </c>
      <c r="D260" s="235">
        <v>7.08E-5</v>
      </c>
      <c r="E260" s="232">
        <v>111186</v>
      </c>
      <c r="F260" s="232" t="s">
        <v>1930</v>
      </c>
      <c r="G260" s="394">
        <v>35372</v>
      </c>
      <c r="H260" s="394">
        <v>0</v>
      </c>
      <c r="I260" s="394">
        <v>69853</v>
      </c>
      <c r="J260" s="232">
        <v>26551</v>
      </c>
      <c r="K260" s="232">
        <v>131776</v>
      </c>
      <c r="L260" s="232"/>
      <c r="M260" s="302">
        <v>0</v>
      </c>
      <c r="N260" s="302">
        <v>158851</v>
      </c>
      <c r="O260" s="302">
        <v>0</v>
      </c>
      <c r="P260" s="232">
        <v>380</v>
      </c>
      <c r="Q260" s="232">
        <v>159231</v>
      </c>
      <c r="R260" s="232"/>
      <c r="S260" s="394">
        <v>47969</v>
      </c>
      <c r="T260" s="232">
        <v>12785</v>
      </c>
      <c r="U260" s="398">
        <v>60754</v>
      </c>
      <c r="V260" s="232"/>
      <c r="W260" s="398">
        <v>431614</v>
      </c>
      <c r="X260" s="398">
        <v>-152509</v>
      </c>
      <c r="Y260" s="398"/>
      <c r="Z260" s="398"/>
    </row>
    <row r="261" spans="1:26">
      <c r="A261" s="392">
        <v>92608</v>
      </c>
      <c r="B261" s="393" t="s">
        <v>3776</v>
      </c>
      <c r="C261" s="235">
        <v>0</v>
      </c>
      <c r="D261" s="235">
        <v>0</v>
      </c>
      <c r="E261" s="232">
        <v>0</v>
      </c>
      <c r="F261" s="232">
        <v>0</v>
      </c>
      <c r="G261" s="232">
        <v>0</v>
      </c>
      <c r="H261" s="232">
        <v>0</v>
      </c>
      <c r="I261" s="232">
        <v>0</v>
      </c>
      <c r="J261" s="232">
        <v>0</v>
      </c>
      <c r="K261" s="232">
        <v>0</v>
      </c>
      <c r="L261" s="232">
        <v>0</v>
      </c>
      <c r="M261" s="232">
        <v>0</v>
      </c>
      <c r="N261" s="232">
        <v>0</v>
      </c>
      <c r="O261" s="232">
        <v>0</v>
      </c>
      <c r="P261" s="232">
        <v>0</v>
      </c>
      <c r="Q261" s="232">
        <v>0</v>
      </c>
      <c r="R261" s="232">
        <v>0</v>
      </c>
      <c r="S261" s="232">
        <v>0</v>
      </c>
      <c r="T261" s="232">
        <v>0</v>
      </c>
      <c r="U261" s="232">
        <v>0</v>
      </c>
      <c r="V261" s="232">
        <v>0</v>
      </c>
      <c r="W261" s="232">
        <v>0</v>
      </c>
      <c r="X261" s="232">
        <v>0</v>
      </c>
      <c r="Y261" s="398"/>
      <c r="Z261" s="398"/>
    </row>
    <row r="262" spans="1:26">
      <c r="A262" s="392">
        <v>92611</v>
      </c>
      <c r="B262" s="393" t="s">
        <v>973</v>
      </c>
      <c r="C262" s="235">
        <v>1.0895E-2</v>
      </c>
      <c r="D262" s="235">
        <v>1.13896E-2</v>
      </c>
      <c r="E262" s="232">
        <v>16708528</v>
      </c>
      <c r="F262" s="232" t="s">
        <v>1930</v>
      </c>
      <c r="G262" s="394">
        <v>5315583</v>
      </c>
      <c r="H262" s="394">
        <v>0</v>
      </c>
      <c r="I262" s="394">
        <v>10497224</v>
      </c>
      <c r="J262" s="232">
        <v>0</v>
      </c>
      <c r="K262" s="232">
        <v>15812807</v>
      </c>
      <c r="L262" s="232"/>
      <c r="M262" s="302">
        <v>0</v>
      </c>
      <c r="N262" s="302">
        <v>23871468</v>
      </c>
      <c r="O262" s="302">
        <v>0</v>
      </c>
      <c r="P262" s="232">
        <v>1991940</v>
      </c>
      <c r="Q262" s="232">
        <v>25863408</v>
      </c>
      <c r="R262" s="232"/>
      <c r="S262" s="394">
        <v>7208590</v>
      </c>
      <c r="T262" s="232">
        <v>-1052199</v>
      </c>
      <c r="U262" s="398">
        <v>6156391</v>
      </c>
      <c r="V262" s="232"/>
      <c r="W262" s="398">
        <v>64861116</v>
      </c>
      <c r="X262" s="398">
        <v>-22918471</v>
      </c>
      <c r="Y262" s="398"/>
      <c r="Z262" s="398"/>
    </row>
    <row r="263" spans="1:26">
      <c r="A263" s="392">
        <v>92613</v>
      </c>
      <c r="B263" s="393" t="s">
        <v>974</v>
      </c>
      <c r="C263" s="235">
        <v>2.265E-4</v>
      </c>
      <c r="D263" s="235">
        <v>2.2249999999999999E-4</v>
      </c>
      <c r="E263" s="232">
        <v>347359</v>
      </c>
      <c r="F263" s="232" t="s">
        <v>1930</v>
      </c>
      <c r="G263" s="394">
        <v>110508</v>
      </c>
      <c r="H263" s="394">
        <v>0</v>
      </c>
      <c r="I263" s="394">
        <v>218230</v>
      </c>
      <c r="J263" s="232">
        <v>57453</v>
      </c>
      <c r="K263" s="232">
        <v>386191</v>
      </c>
      <c r="L263" s="232"/>
      <c r="M263" s="302">
        <v>0</v>
      </c>
      <c r="N263" s="302">
        <v>496272</v>
      </c>
      <c r="O263" s="302">
        <v>0</v>
      </c>
      <c r="P263" s="232">
        <v>273</v>
      </c>
      <c r="Q263" s="232">
        <v>496545</v>
      </c>
      <c r="R263" s="232"/>
      <c r="S263" s="394">
        <v>149862</v>
      </c>
      <c r="T263" s="232">
        <v>24104</v>
      </c>
      <c r="U263" s="398">
        <v>173966</v>
      </c>
      <c r="V263" s="232"/>
      <c r="W263" s="398">
        <v>1348421</v>
      </c>
      <c r="X263" s="398">
        <v>-476460</v>
      </c>
      <c r="Y263" s="398"/>
      <c r="Z263" s="398"/>
    </row>
    <row r="264" spans="1:26">
      <c r="A264" s="392">
        <v>92614</v>
      </c>
      <c r="B264" s="393" t="s">
        <v>975</v>
      </c>
      <c r="C264" s="235">
        <v>6.1628999999999998E-3</v>
      </c>
      <c r="D264" s="235">
        <v>5.7264000000000004E-3</v>
      </c>
      <c r="E264" s="232">
        <v>9451399</v>
      </c>
      <c r="F264" s="232" t="s">
        <v>1930</v>
      </c>
      <c r="G264" s="394">
        <v>3006830</v>
      </c>
      <c r="H264" s="394">
        <v>0</v>
      </c>
      <c r="I264" s="394">
        <v>5937893</v>
      </c>
      <c r="J264" s="232">
        <v>4358096</v>
      </c>
      <c r="K264" s="232">
        <v>13302819</v>
      </c>
      <c r="L264" s="232"/>
      <c r="M264" s="302">
        <v>0</v>
      </c>
      <c r="N264" s="302">
        <v>13503210</v>
      </c>
      <c r="O264" s="302">
        <v>0</v>
      </c>
      <c r="P264" s="232">
        <v>0</v>
      </c>
      <c r="Q264" s="232">
        <v>13503210</v>
      </c>
      <c r="R264" s="232"/>
      <c r="S264" s="394">
        <v>4077633</v>
      </c>
      <c r="T264" s="232">
        <v>2378737</v>
      </c>
      <c r="U264" s="398">
        <v>6456370</v>
      </c>
      <c r="V264" s="232"/>
      <c r="W264" s="398">
        <v>36689543</v>
      </c>
      <c r="X264" s="398">
        <v>-12964135</v>
      </c>
      <c r="Y264" s="398"/>
      <c r="Z264" s="398"/>
    </row>
    <row r="265" spans="1:26">
      <c r="A265" s="392">
        <v>92621</v>
      </c>
      <c r="B265" s="393" t="s">
        <v>976</v>
      </c>
      <c r="C265" s="235">
        <v>2.7900000000000001E-5</v>
      </c>
      <c r="D265" s="235">
        <v>2.6999999999999999E-5</v>
      </c>
      <c r="E265" s="232">
        <v>42787</v>
      </c>
      <c r="F265" s="232" t="s">
        <v>1930</v>
      </c>
      <c r="G265" s="394">
        <v>13612</v>
      </c>
      <c r="H265" s="394">
        <v>0</v>
      </c>
      <c r="I265" s="394">
        <v>26881</v>
      </c>
      <c r="J265" s="232">
        <v>4979</v>
      </c>
      <c r="K265" s="232">
        <v>45472</v>
      </c>
      <c r="L265" s="232"/>
      <c r="M265" s="302">
        <v>0</v>
      </c>
      <c r="N265" s="302">
        <v>61130</v>
      </c>
      <c r="O265" s="302">
        <v>0</v>
      </c>
      <c r="P265" s="232">
        <v>756</v>
      </c>
      <c r="Q265" s="232">
        <v>61886</v>
      </c>
      <c r="R265" s="232"/>
      <c r="S265" s="394">
        <v>18460</v>
      </c>
      <c r="T265" s="232">
        <v>290</v>
      </c>
      <c r="U265" s="398">
        <v>18750</v>
      </c>
      <c r="V265" s="232"/>
      <c r="W265" s="398">
        <v>166097</v>
      </c>
      <c r="X265" s="398">
        <v>-58690</v>
      </c>
      <c r="Y265" s="398"/>
      <c r="Z265" s="398"/>
    </row>
    <row r="266" spans="1:26">
      <c r="A266" s="392">
        <v>92631</v>
      </c>
      <c r="B266" s="393" t="s">
        <v>977</v>
      </c>
      <c r="C266" s="235">
        <v>8.4230000000000004E-4</v>
      </c>
      <c r="D266" s="235">
        <v>9.0229999999999998E-4</v>
      </c>
      <c r="E266" s="232">
        <v>1291748</v>
      </c>
      <c r="F266" s="232" t="s">
        <v>1930</v>
      </c>
      <c r="G266" s="394">
        <v>410951</v>
      </c>
      <c r="H266" s="394">
        <v>0</v>
      </c>
      <c r="I266" s="394">
        <v>811548</v>
      </c>
      <c r="J266" s="232">
        <v>0</v>
      </c>
      <c r="K266" s="232">
        <v>1222499</v>
      </c>
      <c r="L266" s="232"/>
      <c r="M266" s="302">
        <v>0</v>
      </c>
      <c r="N266" s="302">
        <v>1845520</v>
      </c>
      <c r="O266" s="302">
        <v>0</v>
      </c>
      <c r="P266" s="232">
        <v>172892</v>
      </c>
      <c r="Q266" s="232">
        <v>2018412</v>
      </c>
      <c r="R266" s="232"/>
      <c r="S266" s="394">
        <v>557301</v>
      </c>
      <c r="T266" s="232">
        <v>-90676</v>
      </c>
      <c r="U266" s="398">
        <v>466625</v>
      </c>
      <c r="V266" s="232"/>
      <c r="W266" s="398">
        <v>5014458</v>
      </c>
      <c r="X266" s="398">
        <v>-1771843</v>
      </c>
      <c r="Y266" s="398"/>
      <c r="Z266" s="398"/>
    </row>
    <row r="267" spans="1:26">
      <c r="A267" s="392">
        <v>92641</v>
      </c>
      <c r="B267" s="393" t="s">
        <v>978</v>
      </c>
      <c r="C267" s="235">
        <v>9.5999999999999996E-6</v>
      </c>
      <c r="D267" s="235">
        <v>9.9000000000000001E-6</v>
      </c>
      <c r="E267" s="232">
        <v>14723</v>
      </c>
      <c r="F267" s="232" t="s">
        <v>1930</v>
      </c>
      <c r="G267" s="394">
        <v>4684</v>
      </c>
      <c r="H267" s="394">
        <v>0</v>
      </c>
      <c r="I267" s="394">
        <v>9250</v>
      </c>
      <c r="J267" s="232">
        <v>5111</v>
      </c>
      <c r="K267" s="232">
        <v>19045</v>
      </c>
      <c r="L267" s="232"/>
      <c r="M267" s="302">
        <v>0</v>
      </c>
      <c r="N267" s="302">
        <v>21034</v>
      </c>
      <c r="O267" s="302">
        <v>0</v>
      </c>
      <c r="P267" s="232">
        <v>0</v>
      </c>
      <c r="Q267" s="232">
        <v>21034</v>
      </c>
      <c r="R267" s="232"/>
      <c r="S267" s="394">
        <v>6352</v>
      </c>
      <c r="T267" s="232">
        <v>2498</v>
      </c>
      <c r="U267" s="398">
        <v>8850</v>
      </c>
      <c r="V267" s="232"/>
      <c r="W267" s="398">
        <v>57152</v>
      </c>
      <c r="X267" s="398">
        <v>-20194</v>
      </c>
      <c r="Y267" s="398"/>
      <c r="Z267" s="398"/>
    </row>
    <row r="268" spans="1:26">
      <c r="A268" s="392">
        <v>92651</v>
      </c>
      <c r="B268" s="393" t="s">
        <v>979</v>
      </c>
      <c r="C268" s="235">
        <v>4.7999999999999998E-6</v>
      </c>
      <c r="D268" s="235">
        <v>4.3000000000000003E-6</v>
      </c>
      <c r="E268" s="232">
        <v>7361</v>
      </c>
      <c r="F268" s="232" t="s">
        <v>1930</v>
      </c>
      <c r="G268" s="394">
        <v>2342</v>
      </c>
      <c r="H268" s="394">
        <v>0</v>
      </c>
      <c r="I268" s="394">
        <v>4625</v>
      </c>
      <c r="J268" s="232">
        <v>1941</v>
      </c>
      <c r="K268" s="232">
        <v>8908</v>
      </c>
      <c r="L268" s="232"/>
      <c r="M268" s="302">
        <v>0</v>
      </c>
      <c r="N268" s="302">
        <v>10517</v>
      </c>
      <c r="O268" s="302">
        <v>0</v>
      </c>
      <c r="P268" s="232">
        <v>0</v>
      </c>
      <c r="Q268" s="232">
        <v>10517</v>
      </c>
      <c r="R268" s="232"/>
      <c r="S268" s="394">
        <v>3176</v>
      </c>
      <c r="T268" s="232">
        <v>1365</v>
      </c>
      <c r="U268" s="398">
        <v>4541</v>
      </c>
      <c r="V268" s="232"/>
      <c r="W268" s="398">
        <v>28576</v>
      </c>
      <c r="X268" s="398">
        <v>-10097</v>
      </c>
      <c r="Y268" s="398"/>
      <c r="Z268" s="398"/>
    </row>
    <row r="269" spans="1:26" ht="14.25" customHeight="1">
      <c r="A269" s="392">
        <v>92661</v>
      </c>
      <c r="B269" s="393" t="s">
        <v>980</v>
      </c>
      <c r="C269" s="235">
        <v>6.3690000000000003E-4</v>
      </c>
      <c r="D269" s="235">
        <v>6.4720000000000001E-4</v>
      </c>
      <c r="E269" s="232">
        <v>976747</v>
      </c>
      <c r="F269" s="232" t="s">
        <v>1930</v>
      </c>
      <c r="G269" s="394">
        <v>310738</v>
      </c>
      <c r="H269" s="394">
        <v>0</v>
      </c>
      <c r="I269" s="394">
        <v>613647</v>
      </c>
      <c r="J269" s="232">
        <v>302609</v>
      </c>
      <c r="K269" s="232">
        <v>1226994</v>
      </c>
      <c r="L269" s="232"/>
      <c r="M269" s="302">
        <v>0</v>
      </c>
      <c r="N269" s="302">
        <v>1395478</v>
      </c>
      <c r="O269" s="302">
        <v>0</v>
      </c>
      <c r="P269" s="232">
        <v>0</v>
      </c>
      <c r="Q269" s="232">
        <v>1395478</v>
      </c>
      <c r="R269" s="232"/>
      <c r="S269" s="394">
        <v>421400</v>
      </c>
      <c r="T269" s="232">
        <v>202378</v>
      </c>
      <c r="U269" s="398">
        <v>623778</v>
      </c>
      <c r="V269" s="232"/>
      <c r="W269" s="398">
        <v>3791652</v>
      </c>
      <c r="X269" s="398">
        <v>-1339768</v>
      </c>
      <c r="Y269" s="398"/>
      <c r="Z269" s="398"/>
    </row>
    <row r="270" spans="1:26" s="364" customFormat="1" ht="14.25" customHeight="1">
      <c r="A270" s="392">
        <v>92671</v>
      </c>
      <c r="B270" s="393" t="s">
        <v>981</v>
      </c>
      <c r="C270" s="235">
        <v>1.9999999999999999E-6</v>
      </c>
      <c r="D270" s="235">
        <v>1.9E-6</v>
      </c>
      <c r="E270" s="232">
        <v>3067</v>
      </c>
      <c r="F270" s="232" t="s">
        <v>1930</v>
      </c>
      <c r="G270" s="394">
        <v>976</v>
      </c>
      <c r="H270" s="394">
        <v>0</v>
      </c>
      <c r="I270" s="394">
        <v>1927</v>
      </c>
      <c r="J270" s="232">
        <v>7928</v>
      </c>
      <c r="K270" s="232">
        <v>10831</v>
      </c>
      <c r="L270" s="232"/>
      <c r="M270" s="302">
        <v>0</v>
      </c>
      <c r="N270" s="302">
        <v>4382</v>
      </c>
      <c r="O270" s="302">
        <v>0</v>
      </c>
      <c r="P270" s="232">
        <v>0</v>
      </c>
      <c r="Q270" s="232">
        <v>4382</v>
      </c>
      <c r="R270" s="232"/>
      <c r="S270" s="394">
        <v>1323</v>
      </c>
      <c r="T270" s="232">
        <v>4410</v>
      </c>
      <c r="U270" s="398">
        <v>5733</v>
      </c>
      <c r="V270" s="232"/>
      <c r="W270" s="398">
        <v>11907</v>
      </c>
      <c r="X270" s="398">
        <v>-4207</v>
      </c>
      <c r="Y270" s="398"/>
      <c r="Z270" s="398"/>
    </row>
    <row r="271" spans="1:26" s="364" customFormat="1" ht="14.25" customHeight="1">
      <c r="A271" s="392">
        <v>92681</v>
      </c>
      <c r="B271" s="393" t="s">
        <v>982</v>
      </c>
      <c r="C271" s="235">
        <v>9.5999999999999996E-6</v>
      </c>
      <c r="D271" s="235">
        <v>8.8000000000000004E-6</v>
      </c>
      <c r="E271" s="232">
        <v>14723</v>
      </c>
      <c r="F271" s="232" t="s">
        <v>1930</v>
      </c>
      <c r="G271" s="394">
        <v>4684</v>
      </c>
      <c r="H271" s="394">
        <v>0</v>
      </c>
      <c r="I271" s="394">
        <v>9250</v>
      </c>
      <c r="J271" s="232">
        <v>2419</v>
      </c>
      <c r="K271" s="232">
        <v>16353</v>
      </c>
      <c r="L271" s="232"/>
      <c r="M271" s="302">
        <v>0</v>
      </c>
      <c r="N271" s="302">
        <v>21034</v>
      </c>
      <c r="O271" s="302">
        <v>0</v>
      </c>
      <c r="P271" s="232">
        <v>3085</v>
      </c>
      <c r="Q271" s="232">
        <v>24119</v>
      </c>
      <c r="R271" s="232"/>
      <c r="S271" s="394">
        <v>6352</v>
      </c>
      <c r="T271" s="232">
        <v>1916</v>
      </c>
      <c r="U271" s="398">
        <v>8268</v>
      </c>
      <c r="V271" s="232"/>
      <c r="W271" s="398">
        <v>57152</v>
      </c>
      <c r="X271" s="398">
        <v>-20194</v>
      </c>
      <c r="Y271" s="398"/>
      <c r="Z271" s="398"/>
    </row>
    <row r="272" spans="1:26">
      <c r="A272" s="392">
        <v>92701</v>
      </c>
      <c r="B272" s="393" t="s">
        <v>983</v>
      </c>
      <c r="C272" s="235">
        <v>2.9215999999999999E-3</v>
      </c>
      <c r="D272" s="235">
        <v>3.0401E-3</v>
      </c>
      <c r="E272" s="232">
        <v>4480554</v>
      </c>
      <c r="F272" s="232" t="s">
        <v>1930</v>
      </c>
      <c r="G272" s="394">
        <v>1425425</v>
      </c>
      <c r="H272" s="394">
        <v>0</v>
      </c>
      <c r="I272" s="394">
        <v>2814932</v>
      </c>
      <c r="J272" s="232">
        <v>50540</v>
      </c>
      <c r="K272" s="232">
        <v>4290897</v>
      </c>
      <c r="L272" s="232"/>
      <c r="M272" s="302">
        <v>0</v>
      </c>
      <c r="N272" s="302">
        <v>6401366</v>
      </c>
      <c r="O272" s="302">
        <v>0</v>
      </c>
      <c r="P272" s="232">
        <v>231151</v>
      </c>
      <c r="Q272" s="232">
        <v>6632517</v>
      </c>
      <c r="R272" s="232"/>
      <c r="S272" s="394">
        <v>1933053</v>
      </c>
      <c r="T272" s="232">
        <v>-83132</v>
      </c>
      <c r="U272" s="398">
        <v>1849921</v>
      </c>
      <c r="V272" s="232"/>
      <c r="W272" s="398">
        <v>17393138</v>
      </c>
      <c r="X272" s="398">
        <v>-6145811</v>
      </c>
      <c r="Y272" s="398"/>
      <c r="Z272" s="398"/>
    </row>
    <row r="273" spans="1:26">
      <c r="A273" s="392">
        <v>92704</v>
      </c>
      <c r="B273" s="393" t="s">
        <v>984</v>
      </c>
      <c r="C273" s="235">
        <v>4.0299999999999997E-5</v>
      </c>
      <c r="D273" s="235">
        <v>3.6199999999999999E-5</v>
      </c>
      <c r="E273" s="232">
        <v>61804</v>
      </c>
      <c r="F273" s="232" t="s">
        <v>1930</v>
      </c>
      <c r="G273" s="394">
        <v>19662</v>
      </c>
      <c r="H273" s="394">
        <v>0</v>
      </c>
      <c r="I273" s="394">
        <v>38829</v>
      </c>
      <c r="J273" s="232">
        <v>8744</v>
      </c>
      <c r="K273" s="232">
        <v>67235</v>
      </c>
      <c r="L273" s="232"/>
      <c r="M273" s="302">
        <v>0</v>
      </c>
      <c r="N273" s="302">
        <v>88299</v>
      </c>
      <c r="O273" s="302">
        <v>0</v>
      </c>
      <c r="P273" s="232">
        <v>1097</v>
      </c>
      <c r="Q273" s="232">
        <v>89396</v>
      </c>
      <c r="R273" s="232"/>
      <c r="S273" s="394">
        <v>26664</v>
      </c>
      <c r="T273" s="232">
        <v>1191</v>
      </c>
      <c r="U273" s="398">
        <v>27855</v>
      </c>
      <c r="V273" s="232"/>
      <c r="W273" s="398">
        <v>239918</v>
      </c>
      <c r="X273" s="398">
        <v>-84774</v>
      </c>
      <c r="Y273" s="398"/>
      <c r="Z273" s="398"/>
    </row>
    <row r="274" spans="1:26">
      <c r="A274" s="392">
        <v>92801</v>
      </c>
      <c r="B274" s="393" t="s">
        <v>985</v>
      </c>
      <c r="C274" s="235">
        <v>5.1568999999999999E-3</v>
      </c>
      <c r="D274" s="235">
        <v>5.4752000000000004E-3</v>
      </c>
      <c r="E274" s="232">
        <v>7908601</v>
      </c>
      <c r="F274" s="232" t="s">
        <v>1930</v>
      </c>
      <c r="G274" s="394">
        <v>2516010</v>
      </c>
      <c r="H274" s="394">
        <v>0</v>
      </c>
      <c r="I274" s="394">
        <v>4968622</v>
      </c>
      <c r="J274" s="232">
        <v>223409</v>
      </c>
      <c r="K274" s="232">
        <v>7708041</v>
      </c>
      <c r="L274" s="232"/>
      <c r="M274" s="302">
        <v>0</v>
      </c>
      <c r="N274" s="302">
        <v>11299015</v>
      </c>
      <c r="O274" s="302">
        <v>0</v>
      </c>
      <c r="P274" s="232">
        <v>333091</v>
      </c>
      <c r="Q274" s="232">
        <v>11632106</v>
      </c>
      <c r="R274" s="232"/>
      <c r="S274" s="394">
        <v>3412022</v>
      </c>
      <c r="T274" s="232">
        <v>24478</v>
      </c>
      <c r="U274" s="398">
        <v>3436500</v>
      </c>
      <c r="V274" s="232"/>
      <c r="W274" s="398">
        <v>30700532</v>
      </c>
      <c r="X274" s="398">
        <v>-10847936</v>
      </c>
      <c r="Y274" s="398"/>
      <c r="Z274" s="398"/>
    </row>
    <row r="275" spans="1:26">
      <c r="A275" s="392">
        <v>92802</v>
      </c>
      <c r="B275" s="393" t="s">
        <v>986</v>
      </c>
      <c r="C275" s="235">
        <v>9.9099999999999996E-5</v>
      </c>
      <c r="D275" s="235">
        <v>1.133E-4</v>
      </c>
      <c r="E275" s="232">
        <v>151979</v>
      </c>
      <c r="F275" s="232" t="s">
        <v>1930</v>
      </c>
      <c r="G275" s="394">
        <v>48350</v>
      </c>
      <c r="H275" s="394">
        <v>0</v>
      </c>
      <c r="I275" s="394">
        <v>95482</v>
      </c>
      <c r="J275" s="232">
        <v>0</v>
      </c>
      <c r="K275" s="232">
        <v>143832</v>
      </c>
      <c r="L275" s="232"/>
      <c r="M275" s="302">
        <v>0</v>
      </c>
      <c r="N275" s="302">
        <v>217133</v>
      </c>
      <c r="O275" s="302">
        <v>0</v>
      </c>
      <c r="P275" s="232">
        <v>36183</v>
      </c>
      <c r="Q275" s="232">
        <v>253316</v>
      </c>
      <c r="R275" s="232"/>
      <c r="S275" s="394">
        <v>65569</v>
      </c>
      <c r="T275" s="232">
        <v>-16176</v>
      </c>
      <c r="U275" s="398">
        <v>49393</v>
      </c>
      <c r="V275" s="232"/>
      <c r="W275" s="398">
        <v>589971</v>
      </c>
      <c r="X275" s="398">
        <v>-208464</v>
      </c>
      <c r="Y275" s="398"/>
      <c r="Z275" s="398"/>
    </row>
    <row r="276" spans="1:26">
      <c r="A276" s="392">
        <v>92804</v>
      </c>
      <c r="B276" s="393" t="s">
        <v>987</v>
      </c>
      <c r="C276" s="235">
        <v>1.371E-4</v>
      </c>
      <c r="D276" s="235">
        <v>1.493E-4</v>
      </c>
      <c r="E276" s="232">
        <v>210256</v>
      </c>
      <c r="F276" s="232" t="s">
        <v>1930</v>
      </c>
      <c r="G276" s="394">
        <v>66890</v>
      </c>
      <c r="H276" s="394">
        <v>0</v>
      </c>
      <c r="I276" s="394">
        <v>132094</v>
      </c>
      <c r="J276" s="232">
        <v>4071</v>
      </c>
      <c r="K276" s="232">
        <v>203055</v>
      </c>
      <c r="L276" s="232"/>
      <c r="M276" s="302">
        <v>0</v>
      </c>
      <c r="N276" s="302">
        <v>300393</v>
      </c>
      <c r="O276" s="302">
        <v>0</v>
      </c>
      <c r="P276" s="232">
        <v>30317</v>
      </c>
      <c r="Q276" s="232">
        <v>330710</v>
      </c>
      <c r="R276" s="232"/>
      <c r="S276" s="394">
        <v>90711</v>
      </c>
      <c r="T276" s="232">
        <v>-11092</v>
      </c>
      <c r="U276" s="398">
        <v>79619</v>
      </c>
      <c r="V276" s="232"/>
      <c r="W276" s="398">
        <v>816196</v>
      </c>
      <c r="X276" s="398">
        <v>-288400</v>
      </c>
      <c r="Y276" s="398"/>
      <c r="Z276" s="398"/>
    </row>
    <row r="277" spans="1:26">
      <c r="A277" s="392">
        <v>92811</v>
      </c>
      <c r="B277" s="393" t="s">
        <v>988</v>
      </c>
      <c r="C277" s="235">
        <v>9.3099999999999997E-4</v>
      </c>
      <c r="D277" s="235">
        <v>9.6020000000000003E-4</v>
      </c>
      <c r="E277" s="232">
        <v>1427778</v>
      </c>
      <c r="F277" s="232" t="s">
        <v>1930</v>
      </c>
      <c r="G277" s="394">
        <v>454227</v>
      </c>
      <c r="H277" s="394">
        <v>0</v>
      </c>
      <c r="I277" s="394">
        <v>897009</v>
      </c>
      <c r="J277" s="232">
        <v>44384</v>
      </c>
      <c r="K277" s="232">
        <v>1395620</v>
      </c>
      <c r="L277" s="232"/>
      <c r="M277" s="302">
        <v>0</v>
      </c>
      <c r="N277" s="302">
        <v>2039866</v>
      </c>
      <c r="O277" s="302">
        <v>0</v>
      </c>
      <c r="P277" s="232">
        <v>65274</v>
      </c>
      <c r="Q277" s="232">
        <v>2105140</v>
      </c>
      <c r="R277" s="232"/>
      <c r="S277" s="394">
        <v>615989</v>
      </c>
      <c r="T277" s="232">
        <v>-6298</v>
      </c>
      <c r="U277" s="398">
        <v>609691</v>
      </c>
      <c r="V277" s="232"/>
      <c r="W277" s="398">
        <v>5542515</v>
      </c>
      <c r="X277" s="398">
        <v>-1958430</v>
      </c>
      <c r="Y277" s="398"/>
      <c r="Z277" s="398"/>
    </row>
    <row r="278" spans="1:26">
      <c r="A278" s="392">
        <v>92821</v>
      </c>
      <c r="B278" s="393" t="s">
        <v>989</v>
      </c>
      <c r="C278" s="235">
        <v>9.634E-4</v>
      </c>
      <c r="D278" s="235">
        <v>9.9109999999999997E-4</v>
      </c>
      <c r="E278" s="232">
        <v>1477466</v>
      </c>
      <c r="F278" s="232" t="s">
        <v>1930</v>
      </c>
      <c r="G278" s="394">
        <v>470035</v>
      </c>
      <c r="H278" s="394">
        <v>0</v>
      </c>
      <c r="I278" s="394">
        <v>928226</v>
      </c>
      <c r="J278" s="232">
        <v>43843</v>
      </c>
      <c r="K278" s="232">
        <v>1442104</v>
      </c>
      <c r="L278" s="232"/>
      <c r="M278" s="302">
        <v>0</v>
      </c>
      <c r="N278" s="302">
        <v>2110856</v>
      </c>
      <c r="O278" s="302">
        <v>0</v>
      </c>
      <c r="P278" s="232">
        <v>0</v>
      </c>
      <c r="Q278" s="232">
        <v>2110856</v>
      </c>
      <c r="R278" s="232"/>
      <c r="S278" s="394">
        <v>637426</v>
      </c>
      <c r="T278" s="232">
        <v>23499</v>
      </c>
      <c r="U278" s="398">
        <v>660925</v>
      </c>
      <c r="V278" s="232"/>
      <c r="W278" s="398">
        <v>5735402</v>
      </c>
      <c r="X278" s="398">
        <v>-2026586</v>
      </c>
      <c r="Y278" s="398"/>
      <c r="Z278" s="398"/>
    </row>
    <row r="279" spans="1:26">
      <c r="A279" s="392">
        <v>92831</v>
      </c>
      <c r="B279" s="393" t="s">
        <v>990</v>
      </c>
      <c r="C279" s="235">
        <v>2.5819999999999999E-4</v>
      </c>
      <c r="D279" s="235">
        <v>2.6449999999999998E-4</v>
      </c>
      <c r="E279" s="232">
        <v>395974</v>
      </c>
      <c r="F279" s="232" t="s">
        <v>1930</v>
      </c>
      <c r="G279" s="394">
        <v>125974</v>
      </c>
      <c r="H279" s="394">
        <v>0</v>
      </c>
      <c r="I279" s="394">
        <v>248773</v>
      </c>
      <c r="J279" s="232">
        <v>43529</v>
      </c>
      <c r="K279" s="232">
        <v>418276</v>
      </c>
      <c r="L279" s="232"/>
      <c r="M279" s="302">
        <v>0</v>
      </c>
      <c r="N279" s="302">
        <v>565729</v>
      </c>
      <c r="O279" s="302">
        <v>0</v>
      </c>
      <c r="P279" s="232">
        <v>0</v>
      </c>
      <c r="Q279" s="232">
        <v>565729</v>
      </c>
      <c r="R279" s="232"/>
      <c r="S279" s="394">
        <v>170836</v>
      </c>
      <c r="T279" s="232">
        <v>24254</v>
      </c>
      <c r="U279" s="398">
        <v>195090</v>
      </c>
      <c r="V279" s="232"/>
      <c r="W279" s="398">
        <v>1537140</v>
      </c>
      <c r="X279" s="398">
        <v>-543144</v>
      </c>
      <c r="Y279" s="398"/>
      <c r="Z279" s="398"/>
    </row>
    <row r="280" spans="1:26">
      <c r="A280" s="392">
        <v>92841</v>
      </c>
      <c r="B280" s="393" t="s">
        <v>991</v>
      </c>
      <c r="C280" s="235">
        <v>2.6180000000000002E-4</v>
      </c>
      <c r="D280" s="235">
        <v>2.2110000000000001E-4</v>
      </c>
      <c r="E280" s="232">
        <v>401495</v>
      </c>
      <c r="F280" s="232" t="s">
        <v>1930</v>
      </c>
      <c r="G280" s="394">
        <v>127730</v>
      </c>
      <c r="H280" s="394">
        <v>0</v>
      </c>
      <c r="I280" s="394">
        <v>252242</v>
      </c>
      <c r="J280" s="232">
        <v>61532</v>
      </c>
      <c r="K280" s="232">
        <v>441504</v>
      </c>
      <c r="L280" s="232"/>
      <c r="M280" s="302">
        <v>0</v>
      </c>
      <c r="N280" s="302">
        <v>573616</v>
      </c>
      <c r="O280" s="302">
        <v>0</v>
      </c>
      <c r="P280" s="232">
        <v>24704</v>
      </c>
      <c r="Q280" s="232">
        <v>598320</v>
      </c>
      <c r="R280" s="232"/>
      <c r="S280" s="394">
        <v>173218</v>
      </c>
      <c r="T280" s="232">
        <v>3505</v>
      </c>
      <c r="U280" s="398">
        <v>176723</v>
      </c>
      <c r="V280" s="232"/>
      <c r="W280" s="398">
        <v>1558572</v>
      </c>
      <c r="X280" s="398">
        <v>-550716</v>
      </c>
      <c r="Y280" s="398"/>
      <c r="Z280" s="398"/>
    </row>
    <row r="281" spans="1:26">
      <c r="A281" s="392">
        <v>92851</v>
      </c>
      <c r="B281" s="393" t="s">
        <v>992</v>
      </c>
      <c r="C281" s="235">
        <v>3.7429999999999999E-4</v>
      </c>
      <c r="D281" s="235">
        <v>3.9360000000000003E-4</v>
      </c>
      <c r="E281" s="232">
        <v>574025</v>
      </c>
      <c r="F281" s="232" t="s">
        <v>1930</v>
      </c>
      <c r="G281" s="394">
        <v>182618</v>
      </c>
      <c r="H281" s="394">
        <v>0</v>
      </c>
      <c r="I281" s="394">
        <v>360634</v>
      </c>
      <c r="J281" s="232">
        <v>0</v>
      </c>
      <c r="K281" s="232">
        <v>543252</v>
      </c>
      <c r="L281" s="232"/>
      <c r="M281" s="302">
        <v>0</v>
      </c>
      <c r="N281" s="302">
        <v>820109</v>
      </c>
      <c r="O281" s="302">
        <v>0</v>
      </c>
      <c r="P281" s="232">
        <v>94668</v>
      </c>
      <c r="Q281" s="232">
        <v>914777</v>
      </c>
      <c r="R281" s="232"/>
      <c r="S281" s="394">
        <v>247653</v>
      </c>
      <c r="T281" s="232">
        <v>-47004</v>
      </c>
      <c r="U281" s="398">
        <v>200649</v>
      </c>
      <c r="V281" s="232"/>
      <c r="W281" s="398">
        <v>2228317</v>
      </c>
      <c r="X281" s="398">
        <v>-787369</v>
      </c>
      <c r="Y281" s="398"/>
      <c r="Z281" s="398"/>
    </row>
    <row r="282" spans="1:26">
      <c r="A282" s="392">
        <v>92861</v>
      </c>
      <c r="B282" s="393" t="s">
        <v>993</v>
      </c>
      <c r="C282" s="235">
        <v>3.4749999999999999E-4</v>
      </c>
      <c r="D282" s="235">
        <v>3.7579999999999997E-4</v>
      </c>
      <c r="E282" s="232">
        <v>532925</v>
      </c>
      <c r="F282" s="232" t="s">
        <v>1930</v>
      </c>
      <c r="G282" s="394">
        <v>169542</v>
      </c>
      <c r="H282" s="394">
        <v>0</v>
      </c>
      <c r="I282" s="394">
        <v>334813</v>
      </c>
      <c r="J282" s="232">
        <v>0</v>
      </c>
      <c r="K282" s="232">
        <v>504355</v>
      </c>
      <c r="L282" s="232"/>
      <c r="M282" s="302">
        <v>0</v>
      </c>
      <c r="N282" s="302">
        <v>761389</v>
      </c>
      <c r="O282" s="302">
        <v>0</v>
      </c>
      <c r="P282" s="232">
        <v>102095</v>
      </c>
      <c r="Q282" s="232">
        <v>863484</v>
      </c>
      <c r="R282" s="232"/>
      <c r="S282" s="394">
        <v>229921</v>
      </c>
      <c r="T282" s="232">
        <v>-46962</v>
      </c>
      <c r="U282" s="398">
        <v>182959</v>
      </c>
      <c r="V282" s="232"/>
      <c r="W282" s="398">
        <v>2068769</v>
      </c>
      <c r="X282" s="398">
        <v>-730993</v>
      </c>
      <c r="Y282" s="398"/>
      <c r="Z282" s="398"/>
    </row>
    <row r="283" spans="1:26">
      <c r="A283" s="392">
        <v>92901</v>
      </c>
      <c r="B283" s="393" t="s">
        <v>994</v>
      </c>
      <c r="C283" s="235">
        <v>5.2097000000000003E-3</v>
      </c>
      <c r="D283" s="235">
        <v>5.4431999999999996E-3</v>
      </c>
      <c r="E283" s="232">
        <v>7989575</v>
      </c>
      <c r="F283" s="232" t="s">
        <v>1930</v>
      </c>
      <c r="G283" s="394">
        <v>2541771</v>
      </c>
      <c r="H283" s="394">
        <v>0</v>
      </c>
      <c r="I283" s="394">
        <v>5019494</v>
      </c>
      <c r="J283" s="232">
        <v>82643</v>
      </c>
      <c r="K283" s="232">
        <v>7643908</v>
      </c>
      <c r="L283" s="232"/>
      <c r="M283" s="302">
        <v>0</v>
      </c>
      <c r="N283" s="302">
        <v>11414703</v>
      </c>
      <c r="O283" s="302">
        <v>0</v>
      </c>
      <c r="P283" s="232">
        <v>253192</v>
      </c>
      <c r="Q283" s="232">
        <v>11667895</v>
      </c>
      <c r="R283" s="232"/>
      <c r="S283" s="394">
        <v>3446956</v>
      </c>
      <c r="T283" s="232">
        <v>-62007</v>
      </c>
      <c r="U283" s="398">
        <v>3384949</v>
      </c>
      <c r="V283" s="232"/>
      <c r="W283" s="398">
        <v>31014865</v>
      </c>
      <c r="X283" s="398">
        <v>-10959005</v>
      </c>
      <c r="Y283" s="398"/>
      <c r="Z283" s="398"/>
    </row>
    <row r="284" spans="1:26">
      <c r="A284" s="392">
        <v>92911</v>
      </c>
      <c r="B284" s="393" t="s">
        <v>995</v>
      </c>
      <c r="C284" s="235">
        <v>1.8693E-3</v>
      </c>
      <c r="D284" s="235">
        <v>1.8653000000000001E-3</v>
      </c>
      <c r="E284" s="232">
        <v>2866751</v>
      </c>
      <c r="F284" s="232" t="s">
        <v>1930</v>
      </c>
      <c r="G284" s="394">
        <v>912017</v>
      </c>
      <c r="H284" s="394">
        <v>0</v>
      </c>
      <c r="I284" s="394">
        <v>1801052</v>
      </c>
      <c r="J284" s="232">
        <v>101714</v>
      </c>
      <c r="K284" s="232">
        <v>2814783</v>
      </c>
      <c r="L284" s="232"/>
      <c r="M284" s="302">
        <v>0</v>
      </c>
      <c r="N284" s="302">
        <v>4095726</v>
      </c>
      <c r="O284" s="302">
        <v>0</v>
      </c>
      <c r="P284" s="232">
        <v>0</v>
      </c>
      <c r="Q284" s="232">
        <v>4095726</v>
      </c>
      <c r="R284" s="232"/>
      <c r="S284" s="394">
        <v>1236807</v>
      </c>
      <c r="T284" s="232">
        <v>47533</v>
      </c>
      <c r="U284" s="398">
        <v>1284340</v>
      </c>
      <c r="V284" s="232"/>
      <c r="W284" s="398">
        <v>11128489</v>
      </c>
      <c r="X284" s="398">
        <v>-3932216</v>
      </c>
      <c r="Y284" s="398"/>
      <c r="Z284" s="398"/>
    </row>
    <row r="285" spans="1:26">
      <c r="A285" s="392">
        <v>92913</v>
      </c>
      <c r="B285" s="393" t="s">
        <v>996</v>
      </c>
      <c r="C285" s="235">
        <v>2.2099999999999998E-5</v>
      </c>
      <c r="D285" s="235">
        <v>1.88E-5</v>
      </c>
      <c r="E285" s="232">
        <v>33892</v>
      </c>
      <c r="F285" s="232" t="s">
        <v>1930</v>
      </c>
      <c r="G285" s="394">
        <v>10782</v>
      </c>
      <c r="H285" s="394">
        <v>0</v>
      </c>
      <c r="I285" s="394">
        <v>21293</v>
      </c>
      <c r="J285" s="232">
        <v>82982</v>
      </c>
      <c r="K285" s="232">
        <v>115057</v>
      </c>
      <c r="L285" s="232"/>
      <c r="M285" s="302">
        <v>0</v>
      </c>
      <c r="N285" s="302">
        <v>48422</v>
      </c>
      <c r="O285" s="302">
        <v>0</v>
      </c>
      <c r="P285" s="232">
        <v>0</v>
      </c>
      <c r="Q285" s="232">
        <v>48422</v>
      </c>
      <c r="R285" s="232"/>
      <c r="S285" s="394">
        <v>14622</v>
      </c>
      <c r="T285" s="232">
        <v>47176</v>
      </c>
      <c r="U285" s="398">
        <v>61798</v>
      </c>
      <c r="V285" s="232"/>
      <c r="W285" s="398">
        <v>131568</v>
      </c>
      <c r="X285" s="398">
        <v>-46489</v>
      </c>
      <c r="Y285" s="398"/>
      <c r="Z285" s="398"/>
    </row>
    <row r="286" spans="1:26">
      <c r="A286" s="392">
        <v>92914</v>
      </c>
      <c r="B286" s="397" t="s">
        <v>997</v>
      </c>
      <c r="C286" s="235">
        <v>3.5500000000000002E-5</v>
      </c>
      <c r="D286" s="235">
        <v>2.6999999999999999E-5</v>
      </c>
      <c r="E286" s="232">
        <v>54443</v>
      </c>
      <c r="F286" s="232" t="s">
        <v>1930</v>
      </c>
      <c r="G286" s="394">
        <v>17320</v>
      </c>
      <c r="H286" s="394">
        <v>0</v>
      </c>
      <c r="I286" s="394">
        <v>34204</v>
      </c>
      <c r="J286" s="232">
        <v>22171</v>
      </c>
      <c r="K286" s="232">
        <v>73695</v>
      </c>
      <c r="L286" s="232"/>
      <c r="M286" s="302">
        <v>0</v>
      </c>
      <c r="N286" s="302">
        <v>77782</v>
      </c>
      <c r="O286" s="302">
        <v>0</v>
      </c>
      <c r="P286" s="232">
        <v>310</v>
      </c>
      <c r="Q286" s="232">
        <v>78092</v>
      </c>
      <c r="R286" s="232"/>
      <c r="S286" s="394">
        <v>23488</v>
      </c>
      <c r="T286" s="232">
        <v>12162</v>
      </c>
      <c r="U286" s="398">
        <v>35650</v>
      </c>
      <c r="V286" s="232"/>
      <c r="W286" s="398">
        <v>211342</v>
      </c>
      <c r="X286" s="398">
        <v>-74677</v>
      </c>
      <c r="Y286" s="398"/>
      <c r="Z286" s="398"/>
    </row>
    <row r="287" spans="1:26">
      <c r="A287" s="392">
        <v>92917</v>
      </c>
      <c r="B287" s="393" t="s">
        <v>998</v>
      </c>
      <c r="C287" s="235">
        <v>2.3E-5</v>
      </c>
      <c r="D287" s="235">
        <v>1.2999999999999999E-5</v>
      </c>
      <c r="E287" s="232">
        <v>35273</v>
      </c>
      <c r="F287" s="232" t="s">
        <v>1930</v>
      </c>
      <c r="G287" s="394">
        <v>11222</v>
      </c>
      <c r="H287" s="394">
        <v>0</v>
      </c>
      <c r="I287" s="394">
        <v>22160</v>
      </c>
      <c r="J287" s="232">
        <v>30193</v>
      </c>
      <c r="K287" s="232">
        <v>63575</v>
      </c>
      <c r="L287" s="232"/>
      <c r="M287" s="302">
        <v>0</v>
      </c>
      <c r="N287" s="302">
        <v>50394</v>
      </c>
      <c r="O287" s="302">
        <v>0</v>
      </c>
      <c r="P287" s="232">
        <v>0</v>
      </c>
      <c r="Q287" s="232">
        <v>50394</v>
      </c>
      <c r="R287" s="232"/>
      <c r="S287" s="394">
        <v>15218</v>
      </c>
      <c r="T287" s="232">
        <v>12932</v>
      </c>
      <c r="U287" s="398">
        <v>28150</v>
      </c>
      <c r="V287" s="232"/>
      <c r="W287" s="398">
        <v>136926</v>
      </c>
      <c r="X287" s="398">
        <v>-48382</v>
      </c>
      <c r="Y287" s="398"/>
      <c r="Z287" s="398"/>
    </row>
    <row r="288" spans="1:26">
      <c r="A288" s="392">
        <v>92921</v>
      </c>
      <c r="B288" s="393" t="s">
        <v>999</v>
      </c>
      <c r="C288" s="235">
        <v>8.8599999999999999E-5</v>
      </c>
      <c r="D288" s="235">
        <v>9.31E-5</v>
      </c>
      <c r="E288" s="232">
        <v>135877</v>
      </c>
      <c r="F288" s="232" t="s">
        <v>1930</v>
      </c>
      <c r="G288" s="394">
        <v>43227</v>
      </c>
      <c r="H288" s="394">
        <v>0</v>
      </c>
      <c r="I288" s="394">
        <v>85365</v>
      </c>
      <c r="J288" s="232">
        <v>10052</v>
      </c>
      <c r="K288" s="232">
        <v>138644</v>
      </c>
      <c r="L288" s="232"/>
      <c r="M288" s="302">
        <v>0</v>
      </c>
      <c r="N288" s="302">
        <v>194127</v>
      </c>
      <c r="O288" s="302">
        <v>0</v>
      </c>
      <c r="P288" s="232">
        <v>5090</v>
      </c>
      <c r="Q288" s="232">
        <v>199217</v>
      </c>
      <c r="R288" s="232"/>
      <c r="S288" s="394">
        <v>58621</v>
      </c>
      <c r="T288" s="232">
        <v>8480</v>
      </c>
      <c r="U288" s="398">
        <v>67101</v>
      </c>
      <c r="V288" s="232"/>
      <c r="W288" s="398">
        <v>527462</v>
      </c>
      <c r="X288" s="398">
        <v>-186377</v>
      </c>
      <c r="Y288" s="398"/>
      <c r="Z288" s="398"/>
    </row>
    <row r="289" spans="1:26" ht="14.25" customHeight="1">
      <c r="A289" s="392">
        <v>92931</v>
      </c>
      <c r="B289" s="393" t="s">
        <v>1000</v>
      </c>
      <c r="C289" s="235">
        <v>2.1461000000000002E-3</v>
      </c>
      <c r="D289" s="235">
        <v>2.33E-3</v>
      </c>
      <c r="E289" s="232">
        <v>3291250</v>
      </c>
      <c r="F289" s="232" t="s">
        <v>1930</v>
      </c>
      <c r="G289" s="394">
        <v>1047065</v>
      </c>
      <c r="H289" s="394">
        <v>0</v>
      </c>
      <c r="I289" s="394">
        <v>2067746</v>
      </c>
      <c r="J289" s="232">
        <v>57542</v>
      </c>
      <c r="K289" s="232">
        <v>3172353</v>
      </c>
      <c r="L289" s="232"/>
      <c r="M289" s="302">
        <v>0</v>
      </c>
      <c r="N289" s="302">
        <v>4702208</v>
      </c>
      <c r="O289" s="302">
        <v>0</v>
      </c>
      <c r="P289" s="232">
        <v>394081</v>
      </c>
      <c r="Q289" s="232">
        <v>5096289</v>
      </c>
      <c r="R289" s="232"/>
      <c r="S289" s="394">
        <v>1419950</v>
      </c>
      <c r="T289" s="232">
        <v>-131079</v>
      </c>
      <c r="U289" s="398">
        <v>1288871</v>
      </c>
      <c r="V289" s="232"/>
      <c r="W289" s="398">
        <v>12776360</v>
      </c>
      <c r="X289" s="398">
        <v>-4514487</v>
      </c>
      <c r="Y289" s="398"/>
      <c r="Z289" s="398"/>
    </row>
    <row r="290" spans="1:26">
      <c r="A290" s="392">
        <v>92941</v>
      </c>
      <c r="B290" s="393" t="s">
        <v>81</v>
      </c>
      <c r="C290" s="235">
        <v>4.5000000000000001E-6</v>
      </c>
      <c r="D290" s="235">
        <v>4.3000000000000003E-6</v>
      </c>
      <c r="E290" s="232">
        <v>6901</v>
      </c>
      <c r="F290" s="232" t="s">
        <v>1930</v>
      </c>
      <c r="G290" s="394">
        <v>2196</v>
      </c>
      <c r="H290" s="394">
        <v>0</v>
      </c>
      <c r="I290" s="394">
        <v>4336</v>
      </c>
      <c r="J290" s="232">
        <v>2323</v>
      </c>
      <c r="K290" s="232">
        <v>8855</v>
      </c>
      <c r="L290" s="232"/>
      <c r="M290" s="302">
        <v>0</v>
      </c>
      <c r="N290" s="302">
        <v>9860</v>
      </c>
      <c r="O290" s="302">
        <v>0</v>
      </c>
      <c r="P290" s="232">
        <v>691</v>
      </c>
      <c r="Q290" s="232">
        <v>10551</v>
      </c>
      <c r="R290" s="232"/>
      <c r="S290" s="394">
        <v>2977</v>
      </c>
      <c r="T290" s="232">
        <v>-199</v>
      </c>
      <c r="U290" s="398">
        <v>2778</v>
      </c>
      <c r="V290" s="232"/>
      <c r="W290" s="398">
        <v>26790</v>
      </c>
      <c r="X290" s="398">
        <v>-9466</v>
      </c>
      <c r="Y290" s="398"/>
      <c r="Z290" s="398"/>
    </row>
    <row r="291" spans="1:26">
      <c r="A291" s="392">
        <v>93001</v>
      </c>
      <c r="B291" s="393" t="s">
        <v>1001</v>
      </c>
      <c r="C291" s="235">
        <v>2.2403000000000002E-3</v>
      </c>
      <c r="D291" s="235">
        <v>2.1771E-3</v>
      </c>
      <c r="E291" s="232">
        <v>3435715</v>
      </c>
      <c r="F291" s="232" t="s">
        <v>1930</v>
      </c>
      <c r="G291" s="394">
        <v>1093024</v>
      </c>
      <c r="H291" s="394">
        <v>0</v>
      </c>
      <c r="I291" s="394">
        <v>2158507</v>
      </c>
      <c r="J291" s="232">
        <v>122800</v>
      </c>
      <c r="K291" s="232">
        <v>3374331</v>
      </c>
      <c r="L291" s="232"/>
      <c r="M291" s="302">
        <v>0</v>
      </c>
      <c r="N291" s="302">
        <v>4908605</v>
      </c>
      <c r="O291" s="302">
        <v>0</v>
      </c>
      <c r="P291" s="232">
        <v>67089</v>
      </c>
      <c r="Q291" s="232">
        <v>4975694</v>
      </c>
      <c r="R291" s="232"/>
      <c r="S291" s="394">
        <v>1482277</v>
      </c>
      <c r="T291" s="232">
        <v>-7268</v>
      </c>
      <c r="U291" s="398">
        <v>1475009</v>
      </c>
      <c r="V291" s="232"/>
      <c r="W291" s="398">
        <v>13337160</v>
      </c>
      <c r="X291" s="398">
        <v>-4712644</v>
      </c>
      <c r="Y291" s="398"/>
      <c r="Z291" s="398"/>
    </row>
    <row r="292" spans="1:26">
      <c r="A292" s="392">
        <v>93009</v>
      </c>
      <c r="B292" s="393" t="s">
        <v>1002</v>
      </c>
      <c r="C292" s="235">
        <v>5.9000000000000003E-6</v>
      </c>
      <c r="D292" s="235">
        <v>1.19E-5</v>
      </c>
      <c r="E292" s="232">
        <v>9048</v>
      </c>
      <c r="F292" s="232" t="s">
        <v>1930</v>
      </c>
      <c r="G292" s="394">
        <v>2879</v>
      </c>
      <c r="H292" s="394">
        <v>0</v>
      </c>
      <c r="I292" s="394">
        <v>5685</v>
      </c>
      <c r="J292" s="232">
        <v>0</v>
      </c>
      <c r="K292" s="232">
        <v>8564</v>
      </c>
      <c r="L292" s="232"/>
      <c r="M292" s="302">
        <v>0</v>
      </c>
      <c r="N292" s="302">
        <v>12927</v>
      </c>
      <c r="O292" s="302">
        <v>0</v>
      </c>
      <c r="P292" s="232">
        <v>13119</v>
      </c>
      <c r="Q292" s="232">
        <v>26046</v>
      </c>
      <c r="R292" s="232"/>
      <c r="S292" s="394">
        <v>3904</v>
      </c>
      <c r="T292" s="232">
        <v>-5362</v>
      </c>
      <c r="U292" s="398">
        <v>-1458</v>
      </c>
      <c r="V292" s="232"/>
      <c r="W292" s="398">
        <v>35124</v>
      </c>
      <c r="X292" s="398">
        <v>-12411</v>
      </c>
      <c r="Y292" s="398"/>
      <c r="Z292" s="398"/>
    </row>
    <row r="293" spans="1:26">
      <c r="A293" s="392">
        <v>93011</v>
      </c>
      <c r="B293" s="393" t="s">
        <v>1003</v>
      </c>
      <c r="C293" s="235">
        <v>2.809E-4</v>
      </c>
      <c r="D293" s="235">
        <v>3.121E-4</v>
      </c>
      <c r="E293" s="232">
        <v>430787</v>
      </c>
      <c r="F293" s="232" t="s">
        <v>1930</v>
      </c>
      <c r="G293" s="394">
        <v>137049</v>
      </c>
      <c r="H293" s="394">
        <v>0</v>
      </c>
      <c r="I293" s="394">
        <v>270644</v>
      </c>
      <c r="J293" s="232">
        <v>26050</v>
      </c>
      <c r="K293" s="232">
        <v>433743</v>
      </c>
      <c r="L293" s="232"/>
      <c r="M293" s="302">
        <v>0</v>
      </c>
      <c r="N293" s="302">
        <v>615465</v>
      </c>
      <c r="O293" s="302">
        <v>0</v>
      </c>
      <c r="P293" s="232">
        <v>58257</v>
      </c>
      <c r="Q293" s="232">
        <v>673722</v>
      </c>
      <c r="R293" s="232"/>
      <c r="S293" s="394">
        <v>185855</v>
      </c>
      <c r="T293" s="232">
        <v>-3442</v>
      </c>
      <c r="U293" s="398">
        <v>182413</v>
      </c>
      <c r="V293" s="232"/>
      <c r="W293" s="398">
        <v>1672280</v>
      </c>
      <c r="X293" s="398">
        <v>-590895</v>
      </c>
      <c r="Y293" s="398"/>
      <c r="Z293" s="398"/>
    </row>
    <row r="294" spans="1:26">
      <c r="A294" s="392">
        <v>93021</v>
      </c>
      <c r="B294" s="393" t="s">
        <v>1004</v>
      </c>
      <c r="C294" s="235">
        <v>2.6299999999999999E-5</v>
      </c>
      <c r="D294" s="235">
        <v>3.0300000000000001E-5</v>
      </c>
      <c r="E294" s="232">
        <v>40334</v>
      </c>
      <c r="F294" s="232" t="s">
        <v>1930</v>
      </c>
      <c r="G294" s="394">
        <v>12832</v>
      </c>
      <c r="H294" s="394">
        <v>0</v>
      </c>
      <c r="I294" s="394">
        <v>25340</v>
      </c>
      <c r="J294" s="232">
        <v>0</v>
      </c>
      <c r="K294" s="232">
        <v>38172</v>
      </c>
      <c r="L294" s="232"/>
      <c r="M294" s="302">
        <v>0</v>
      </c>
      <c r="N294" s="302">
        <v>57625</v>
      </c>
      <c r="O294" s="302">
        <v>0</v>
      </c>
      <c r="P294" s="232">
        <v>9402</v>
      </c>
      <c r="Q294" s="232">
        <v>67027</v>
      </c>
      <c r="R294" s="232"/>
      <c r="S294" s="394">
        <v>17401</v>
      </c>
      <c r="T294" s="232">
        <v>-3597</v>
      </c>
      <c r="U294" s="398">
        <v>13804</v>
      </c>
      <c r="V294" s="232"/>
      <c r="W294" s="398">
        <v>156572</v>
      </c>
      <c r="X294" s="398">
        <v>-55324</v>
      </c>
      <c r="Y294" s="398"/>
      <c r="Z294" s="398"/>
    </row>
    <row r="295" spans="1:26">
      <c r="A295" s="392">
        <v>93027</v>
      </c>
      <c r="B295" s="393" t="s">
        <v>1005</v>
      </c>
      <c r="C295" s="235">
        <v>0</v>
      </c>
      <c r="D295" s="235">
        <v>0</v>
      </c>
      <c r="E295" s="232">
        <v>0</v>
      </c>
      <c r="F295" s="232" t="s">
        <v>1930</v>
      </c>
      <c r="G295" s="394">
        <v>0</v>
      </c>
      <c r="H295" s="394">
        <v>0</v>
      </c>
      <c r="I295" s="394">
        <v>0</v>
      </c>
      <c r="J295" s="232">
        <v>0</v>
      </c>
      <c r="K295" s="232">
        <v>0</v>
      </c>
      <c r="L295" s="232"/>
      <c r="M295" s="302">
        <v>0</v>
      </c>
      <c r="N295" s="302">
        <v>0</v>
      </c>
      <c r="O295" s="302">
        <v>0</v>
      </c>
      <c r="P295" s="232">
        <v>6912</v>
      </c>
      <c r="Q295" s="232">
        <v>6912</v>
      </c>
      <c r="R295" s="232"/>
      <c r="S295" s="394">
        <v>0</v>
      </c>
      <c r="T295" s="232">
        <v>-3601</v>
      </c>
      <c r="U295" s="398">
        <v>-3601</v>
      </c>
      <c r="V295" s="232"/>
      <c r="W295" s="398">
        <v>0</v>
      </c>
      <c r="X295" s="398">
        <v>0</v>
      </c>
      <c r="Y295" s="398"/>
      <c r="Z295" s="398"/>
    </row>
    <row r="296" spans="1:26">
      <c r="A296" s="392">
        <v>93028</v>
      </c>
      <c r="B296" s="393" t="s">
        <v>3615</v>
      </c>
      <c r="C296" s="235">
        <v>1.9199999999999999E-5</v>
      </c>
      <c r="D296" s="235">
        <v>2.16E-5</v>
      </c>
      <c r="E296" s="232">
        <v>29445</v>
      </c>
      <c r="F296" s="232" t="s">
        <v>1930</v>
      </c>
      <c r="G296" s="394">
        <v>9368</v>
      </c>
      <c r="H296" s="394">
        <v>0</v>
      </c>
      <c r="I296" s="394">
        <v>18499</v>
      </c>
      <c r="J296" s="232">
        <v>19642</v>
      </c>
      <c r="K296" s="232">
        <v>47509</v>
      </c>
      <c r="L296" s="232"/>
      <c r="M296" s="302">
        <v>0</v>
      </c>
      <c r="N296" s="302">
        <v>42068</v>
      </c>
      <c r="O296" s="302">
        <v>0</v>
      </c>
      <c r="P296" s="232">
        <v>5968</v>
      </c>
      <c r="Q296" s="232">
        <v>48036</v>
      </c>
      <c r="R296" s="232"/>
      <c r="S296" s="394">
        <v>12704</v>
      </c>
      <c r="T296" s="232">
        <v>7832</v>
      </c>
      <c r="U296" s="398">
        <v>20536</v>
      </c>
      <c r="V296" s="232"/>
      <c r="W296" s="398">
        <v>114303</v>
      </c>
      <c r="X296" s="398">
        <v>-40389</v>
      </c>
      <c r="Y296" s="398"/>
      <c r="Z296" s="398"/>
    </row>
    <row r="297" spans="1:26">
      <c r="A297" s="392">
        <v>93031</v>
      </c>
      <c r="B297" s="393" t="s">
        <v>1006</v>
      </c>
      <c r="C297" s="235">
        <v>3.8999999999999999E-6</v>
      </c>
      <c r="D297" s="235">
        <v>4.6E-6</v>
      </c>
      <c r="E297" s="232">
        <v>5981</v>
      </c>
      <c r="F297" s="232" t="s">
        <v>1930</v>
      </c>
      <c r="G297" s="394">
        <v>1903</v>
      </c>
      <c r="H297" s="394">
        <v>0</v>
      </c>
      <c r="I297" s="394">
        <v>3758</v>
      </c>
      <c r="J297" s="232">
        <v>4338</v>
      </c>
      <c r="K297" s="232">
        <v>9999</v>
      </c>
      <c r="L297" s="232"/>
      <c r="M297" s="302">
        <v>0</v>
      </c>
      <c r="N297" s="302">
        <v>8545</v>
      </c>
      <c r="O297" s="302">
        <v>0</v>
      </c>
      <c r="P297" s="232">
        <v>2424</v>
      </c>
      <c r="Q297" s="232">
        <v>10969</v>
      </c>
      <c r="R297" s="232"/>
      <c r="S297" s="394">
        <v>2580</v>
      </c>
      <c r="T297" s="232">
        <v>3570</v>
      </c>
      <c r="U297" s="398">
        <v>6150</v>
      </c>
      <c r="V297" s="232"/>
      <c r="W297" s="398">
        <v>23218</v>
      </c>
      <c r="X297" s="398">
        <v>-8204</v>
      </c>
      <c r="Y297" s="398"/>
      <c r="Z297" s="398"/>
    </row>
    <row r="298" spans="1:26">
      <c r="A298" s="392">
        <v>93101</v>
      </c>
      <c r="B298" s="393" t="s">
        <v>1007</v>
      </c>
      <c r="C298" s="235">
        <v>2.8521000000000002E-3</v>
      </c>
      <c r="D298" s="235">
        <v>2.9229999999999998E-3</v>
      </c>
      <c r="E298" s="232">
        <v>4373969</v>
      </c>
      <c r="F298" s="232" t="s">
        <v>1930</v>
      </c>
      <c r="G298" s="394">
        <v>1391517</v>
      </c>
      <c r="H298" s="394">
        <v>0</v>
      </c>
      <c r="I298" s="394">
        <v>2747970</v>
      </c>
      <c r="J298" s="232">
        <v>0</v>
      </c>
      <c r="K298" s="232">
        <v>4139487</v>
      </c>
      <c r="L298" s="232"/>
      <c r="M298" s="302">
        <v>0</v>
      </c>
      <c r="N298" s="302">
        <v>6249088</v>
      </c>
      <c r="O298" s="302">
        <v>0</v>
      </c>
      <c r="P298" s="232">
        <v>484959</v>
      </c>
      <c r="Q298" s="232">
        <v>6734047</v>
      </c>
      <c r="R298" s="232"/>
      <c r="S298" s="394">
        <v>1887069</v>
      </c>
      <c r="T298" s="232">
        <v>-273525</v>
      </c>
      <c r="U298" s="398">
        <v>1613544</v>
      </c>
      <c r="V298" s="232"/>
      <c r="W298" s="398">
        <v>16979384</v>
      </c>
      <c r="X298" s="398">
        <v>-5999612</v>
      </c>
      <c r="Y298" s="398"/>
      <c r="Z298" s="398"/>
    </row>
    <row r="299" spans="1:26">
      <c r="A299" s="392">
        <v>93103</v>
      </c>
      <c r="B299" s="393" t="s">
        <v>260</v>
      </c>
      <c r="C299" s="235">
        <v>0</v>
      </c>
      <c r="D299" s="235">
        <v>1.6200000000000001E-5</v>
      </c>
      <c r="E299" s="232">
        <v>0</v>
      </c>
      <c r="F299" s="232" t="s">
        <v>1930</v>
      </c>
      <c r="G299" s="394">
        <v>0</v>
      </c>
      <c r="H299" s="394">
        <v>0</v>
      </c>
      <c r="I299" s="394">
        <v>0</v>
      </c>
      <c r="J299" s="232">
        <v>0</v>
      </c>
      <c r="K299" s="232">
        <v>0</v>
      </c>
      <c r="L299" s="232"/>
      <c r="M299" s="302">
        <v>0</v>
      </c>
      <c r="N299" s="302">
        <v>0</v>
      </c>
      <c r="O299" s="302">
        <v>0</v>
      </c>
      <c r="P299" s="232">
        <v>32695</v>
      </c>
      <c r="Q299" s="232">
        <v>32695</v>
      </c>
      <c r="R299" s="232"/>
      <c r="S299" s="394">
        <v>0</v>
      </c>
      <c r="T299" s="232">
        <v>-12283</v>
      </c>
      <c r="U299" s="398">
        <v>-12283</v>
      </c>
      <c r="V299" s="232"/>
      <c r="W299" s="398">
        <v>0</v>
      </c>
      <c r="X299" s="398">
        <v>0</v>
      </c>
      <c r="Y299" s="398"/>
      <c r="Z299" s="398"/>
    </row>
    <row r="300" spans="1:26">
      <c r="A300" s="392">
        <v>93108</v>
      </c>
      <c r="B300" s="393" t="s">
        <v>1008</v>
      </c>
      <c r="C300" s="235">
        <v>2.3987000000000001E-3</v>
      </c>
      <c r="D300" s="235">
        <v>2.1960999999999999E-3</v>
      </c>
      <c r="E300" s="232">
        <v>3678637</v>
      </c>
      <c r="F300" s="232" t="s">
        <v>1930</v>
      </c>
      <c r="G300" s="394">
        <v>1170307</v>
      </c>
      <c r="H300" s="394">
        <v>0</v>
      </c>
      <c r="I300" s="394">
        <v>2311123</v>
      </c>
      <c r="J300" s="232">
        <v>370558</v>
      </c>
      <c r="K300" s="232">
        <v>3851988</v>
      </c>
      <c r="L300" s="232"/>
      <c r="M300" s="302">
        <v>0</v>
      </c>
      <c r="N300" s="302">
        <v>5255667</v>
      </c>
      <c r="O300" s="302">
        <v>0</v>
      </c>
      <c r="P300" s="232">
        <v>123297</v>
      </c>
      <c r="Q300" s="232">
        <v>5378964</v>
      </c>
      <c r="R300" s="232"/>
      <c r="S300" s="394">
        <v>1587081</v>
      </c>
      <c r="T300" s="232">
        <v>48683</v>
      </c>
      <c r="U300" s="398">
        <v>1635764</v>
      </c>
      <c r="V300" s="232"/>
      <c r="W300" s="398">
        <v>14280162</v>
      </c>
      <c r="X300" s="398">
        <v>-5045850</v>
      </c>
      <c r="Y300" s="398"/>
      <c r="Z300" s="398"/>
    </row>
    <row r="301" spans="1:26">
      <c r="A301" s="392">
        <v>93111</v>
      </c>
      <c r="B301" s="393" t="s">
        <v>1009</v>
      </c>
      <c r="C301" s="235">
        <v>5.7899999999999998E-5</v>
      </c>
      <c r="D301" s="235">
        <v>5.4400000000000001E-5</v>
      </c>
      <c r="E301" s="232">
        <v>88795</v>
      </c>
      <c r="F301" s="232" t="s">
        <v>1930</v>
      </c>
      <c r="G301" s="394">
        <v>28249</v>
      </c>
      <c r="H301" s="394">
        <v>0</v>
      </c>
      <c r="I301" s="394">
        <v>55786</v>
      </c>
      <c r="J301" s="232">
        <v>7865</v>
      </c>
      <c r="K301" s="232">
        <v>91900</v>
      </c>
      <c r="L301" s="232"/>
      <c r="M301" s="302">
        <v>0</v>
      </c>
      <c r="N301" s="302">
        <v>126862</v>
      </c>
      <c r="O301" s="302">
        <v>0</v>
      </c>
      <c r="P301" s="232">
        <v>4699</v>
      </c>
      <c r="Q301" s="232">
        <v>131561</v>
      </c>
      <c r="R301" s="232"/>
      <c r="S301" s="394">
        <v>38309</v>
      </c>
      <c r="T301" s="232">
        <v>-1633</v>
      </c>
      <c r="U301" s="398">
        <v>36676</v>
      </c>
      <c r="V301" s="232"/>
      <c r="W301" s="398">
        <v>344696</v>
      </c>
      <c r="X301" s="398">
        <v>-121797</v>
      </c>
      <c r="Y301" s="398"/>
      <c r="Z301" s="398"/>
    </row>
    <row r="302" spans="1:26">
      <c r="A302" s="392">
        <v>93121</v>
      </c>
      <c r="B302" s="393" t="s">
        <v>1010</v>
      </c>
      <c r="C302" s="235">
        <v>4.8000000000000001E-5</v>
      </c>
      <c r="D302" s="235">
        <v>5.38E-5</v>
      </c>
      <c r="E302" s="232">
        <v>73613</v>
      </c>
      <c r="F302" s="232" t="s">
        <v>1930</v>
      </c>
      <c r="G302" s="394">
        <v>23419</v>
      </c>
      <c r="H302" s="394">
        <v>0</v>
      </c>
      <c r="I302" s="394">
        <v>46248</v>
      </c>
      <c r="J302" s="232">
        <v>4391</v>
      </c>
      <c r="K302" s="232">
        <v>74058</v>
      </c>
      <c r="L302" s="232"/>
      <c r="M302" s="302">
        <v>0</v>
      </c>
      <c r="N302" s="302">
        <v>105170</v>
      </c>
      <c r="O302" s="302">
        <v>0</v>
      </c>
      <c r="P302" s="232">
        <v>7881</v>
      </c>
      <c r="Q302" s="232">
        <v>113051</v>
      </c>
      <c r="R302" s="232"/>
      <c r="S302" s="394">
        <v>31759</v>
      </c>
      <c r="T302" s="232">
        <v>-1041</v>
      </c>
      <c r="U302" s="398">
        <v>30718</v>
      </c>
      <c r="V302" s="232"/>
      <c r="W302" s="398">
        <v>285758</v>
      </c>
      <c r="X302" s="398">
        <v>-100972</v>
      </c>
      <c r="Y302" s="398"/>
      <c r="Z302" s="398"/>
    </row>
    <row r="303" spans="1:26">
      <c r="A303" s="392">
        <v>93127</v>
      </c>
      <c r="B303" s="393" t="s">
        <v>1011</v>
      </c>
      <c r="C303" s="235">
        <v>4.1999999999999996E-6</v>
      </c>
      <c r="D303" s="235">
        <v>5.8000000000000004E-6</v>
      </c>
      <c r="E303" s="232">
        <v>6441</v>
      </c>
      <c r="F303" s="232" t="s">
        <v>1930</v>
      </c>
      <c r="G303" s="394">
        <v>2049</v>
      </c>
      <c r="H303" s="394">
        <v>0</v>
      </c>
      <c r="I303" s="394">
        <v>4047</v>
      </c>
      <c r="J303" s="232">
        <v>176</v>
      </c>
      <c r="K303" s="232">
        <v>6272</v>
      </c>
      <c r="L303" s="232"/>
      <c r="M303" s="302">
        <v>0</v>
      </c>
      <c r="N303" s="302">
        <v>9202</v>
      </c>
      <c r="O303" s="302">
        <v>0</v>
      </c>
      <c r="P303" s="232">
        <v>2867</v>
      </c>
      <c r="Q303" s="232">
        <v>12069</v>
      </c>
      <c r="R303" s="232"/>
      <c r="S303" s="394">
        <v>2779</v>
      </c>
      <c r="T303" s="232">
        <v>-927</v>
      </c>
      <c r="U303" s="398">
        <v>1852</v>
      </c>
      <c r="V303" s="232"/>
      <c r="W303" s="398">
        <v>25004</v>
      </c>
      <c r="X303" s="398">
        <v>-8835</v>
      </c>
      <c r="Y303" s="398"/>
      <c r="Z303" s="398"/>
    </row>
    <row r="304" spans="1:26">
      <c r="A304" s="392">
        <v>93131</v>
      </c>
      <c r="B304" s="393" t="s">
        <v>1012</v>
      </c>
      <c r="C304" s="235">
        <v>1.706E-4</v>
      </c>
      <c r="D304" s="235">
        <v>1.727E-4</v>
      </c>
      <c r="E304" s="232">
        <v>261631</v>
      </c>
      <c r="F304" s="232" t="s">
        <v>1930</v>
      </c>
      <c r="G304" s="394">
        <v>83234</v>
      </c>
      <c r="H304" s="394">
        <v>0</v>
      </c>
      <c r="I304" s="394">
        <v>164371</v>
      </c>
      <c r="J304" s="232">
        <v>4666</v>
      </c>
      <c r="K304" s="232">
        <v>252271</v>
      </c>
      <c r="L304" s="232"/>
      <c r="M304" s="302">
        <v>0</v>
      </c>
      <c r="N304" s="302">
        <v>373793</v>
      </c>
      <c r="O304" s="302">
        <v>0</v>
      </c>
      <c r="P304" s="232">
        <v>12392</v>
      </c>
      <c r="Q304" s="232">
        <v>386185</v>
      </c>
      <c r="R304" s="232"/>
      <c r="S304" s="394">
        <v>112876</v>
      </c>
      <c r="T304" s="232">
        <v>-11126</v>
      </c>
      <c r="U304" s="398">
        <v>101750</v>
      </c>
      <c r="V304" s="232"/>
      <c r="W304" s="398">
        <v>1015632</v>
      </c>
      <c r="X304" s="398">
        <v>-358870</v>
      </c>
      <c r="Y304" s="398"/>
      <c r="Z304" s="398"/>
    </row>
    <row r="305" spans="1:26">
      <c r="A305" s="392">
        <v>93137</v>
      </c>
      <c r="B305" s="393" t="s">
        <v>1013</v>
      </c>
      <c r="C305" s="235">
        <v>6.1E-6</v>
      </c>
      <c r="D305" s="235">
        <v>5.0000000000000004E-6</v>
      </c>
      <c r="E305" s="232">
        <v>9355</v>
      </c>
      <c r="F305" s="232" t="s">
        <v>1930</v>
      </c>
      <c r="G305" s="394">
        <v>2976</v>
      </c>
      <c r="H305" s="394">
        <v>0</v>
      </c>
      <c r="I305" s="394">
        <v>5877</v>
      </c>
      <c r="J305" s="232">
        <v>3812</v>
      </c>
      <c r="K305" s="232">
        <v>12665</v>
      </c>
      <c r="L305" s="232"/>
      <c r="M305" s="302">
        <v>0</v>
      </c>
      <c r="N305" s="302">
        <v>13365</v>
      </c>
      <c r="O305" s="302">
        <v>0</v>
      </c>
      <c r="P305" s="232">
        <v>0</v>
      </c>
      <c r="Q305" s="232">
        <v>13365</v>
      </c>
      <c r="R305" s="232"/>
      <c r="S305" s="394">
        <v>4036</v>
      </c>
      <c r="T305" s="232">
        <v>2093</v>
      </c>
      <c r="U305" s="398">
        <v>6129</v>
      </c>
      <c r="V305" s="232"/>
      <c r="W305" s="398">
        <v>36315</v>
      </c>
      <c r="X305" s="398">
        <v>-12832</v>
      </c>
      <c r="Y305" s="398"/>
      <c r="Z305" s="398"/>
    </row>
    <row r="306" spans="1:26">
      <c r="A306" s="392">
        <v>93141</v>
      </c>
      <c r="B306" s="393" t="s">
        <v>1014</v>
      </c>
      <c r="C306" s="235">
        <v>3.26E-5</v>
      </c>
      <c r="D306" s="235">
        <v>3.6900000000000002E-5</v>
      </c>
      <c r="E306" s="232">
        <v>49995</v>
      </c>
      <c r="F306" s="232" t="s">
        <v>1930</v>
      </c>
      <c r="G306" s="394">
        <v>15905</v>
      </c>
      <c r="H306" s="394">
        <v>0</v>
      </c>
      <c r="I306" s="394">
        <v>31410</v>
      </c>
      <c r="J306" s="232">
        <v>3868</v>
      </c>
      <c r="K306" s="232">
        <v>51183</v>
      </c>
      <c r="L306" s="232"/>
      <c r="M306" s="302">
        <v>0</v>
      </c>
      <c r="N306" s="302">
        <v>71428</v>
      </c>
      <c r="O306" s="302">
        <v>0</v>
      </c>
      <c r="P306" s="232">
        <v>9131</v>
      </c>
      <c r="Q306" s="232">
        <v>80559</v>
      </c>
      <c r="R306" s="232"/>
      <c r="S306" s="394">
        <v>21570</v>
      </c>
      <c r="T306" s="232">
        <v>-3392</v>
      </c>
      <c r="U306" s="398">
        <v>18178</v>
      </c>
      <c r="V306" s="232"/>
      <c r="W306" s="398">
        <v>194077</v>
      </c>
      <c r="X306" s="398">
        <v>-68577</v>
      </c>
      <c r="Y306" s="398"/>
      <c r="Z306" s="398"/>
    </row>
    <row r="307" spans="1:26">
      <c r="A307" s="392">
        <v>93151</v>
      </c>
      <c r="B307" s="393" t="s">
        <v>1015</v>
      </c>
      <c r="C307" s="235">
        <v>3.6019999999999997E-4</v>
      </c>
      <c r="D307" s="235">
        <v>3.5359999999999998E-4</v>
      </c>
      <c r="E307" s="232">
        <v>552401</v>
      </c>
      <c r="F307" s="232" t="s">
        <v>1930</v>
      </c>
      <c r="G307" s="394">
        <v>175739</v>
      </c>
      <c r="H307" s="394">
        <v>0</v>
      </c>
      <c r="I307" s="394">
        <v>347049</v>
      </c>
      <c r="J307" s="232">
        <v>14829</v>
      </c>
      <c r="K307" s="232">
        <v>537617</v>
      </c>
      <c r="L307" s="232"/>
      <c r="M307" s="302">
        <v>0</v>
      </c>
      <c r="N307" s="302">
        <v>789215</v>
      </c>
      <c r="O307" s="302">
        <v>0</v>
      </c>
      <c r="P307" s="232">
        <v>28963</v>
      </c>
      <c r="Q307" s="232">
        <v>818178</v>
      </c>
      <c r="R307" s="232"/>
      <c r="S307" s="394">
        <v>238323</v>
      </c>
      <c r="T307" s="232">
        <v>-13518</v>
      </c>
      <c r="U307" s="398">
        <v>224805</v>
      </c>
      <c r="V307" s="232"/>
      <c r="W307" s="398">
        <v>2144376</v>
      </c>
      <c r="X307" s="398">
        <v>-757708</v>
      </c>
      <c r="Y307" s="398"/>
      <c r="Z307" s="398"/>
    </row>
    <row r="308" spans="1:26">
      <c r="A308" s="392">
        <v>93157</v>
      </c>
      <c r="B308" s="393" t="s">
        <v>1016</v>
      </c>
      <c r="C308" s="235">
        <v>8.8000000000000004E-6</v>
      </c>
      <c r="D308" s="235">
        <v>1.2799999999999999E-5</v>
      </c>
      <c r="E308" s="232">
        <v>13496</v>
      </c>
      <c r="F308" s="232" t="s">
        <v>1930</v>
      </c>
      <c r="G308" s="394">
        <v>4293</v>
      </c>
      <c r="H308" s="394">
        <v>0</v>
      </c>
      <c r="I308" s="394">
        <v>8479</v>
      </c>
      <c r="J308" s="232">
        <v>7819</v>
      </c>
      <c r="K308" s="232">
        <v>20591</v>
      </c>
      <c r="L308" s="232"/>
      <c r="M308" s="302">
        <v>0</v>
      </c>
      <c r="N308" s="302">
        <v>19281</v>
      </c>
      <c r="O308" s="302">
        <v>0</v>
      </c>
      <c r="P308" s="232">
        <v>5692</v>
      </c>
      <c r="Q308" s="232">
        <v>24973</v>
      </c>
      <c r="R308" s="232"/>
      <c r="S308" s="394">
        <v>5822</v>
      </c>
      <c r="T308" s="232">
        <v>3357</v>
      </c>
      <c r="U308" s="398">
        <v>9179</v>
      </c>
      <c r="V308" s="232"/>
      <c r="W308" s="398">
        <v>52389</v>
      </c>
      <c r="X308" s="398">
        <v>-18511</v>
      </c>
      <c r="Y308" s="398"/>
      <c r="Z308" s="398"/>
    </row>
    <row r="309" spans="1:26">
      <c r="A309" s="392">
        <v>93161</v>
      </c>
      <c r="B309" s="393" t="s">
        <v>1017</v>
      </c>
      <c r="C309" s="235">
        <v>9.7800000000000006E-5</v>
      </c>
      <c r="D309" s="235">
        <v>1.037E-4</v>
      </c>
      <c r="E309" s="232">
        <v>149986</v>
      </c>
      <c r="F309" s="232" t="s">
        <v>1930</v>
      </c>
      <c r="G309" s="394">
        <v>47716</v>
      </c>
      <c r="H309" s="394">
        <v>0</v>
      </c>
      <c r="I309" s="394">
        <v>94229</v>
      </c>
      <c r="J309" s="232">
        <v>2757</v>
      </c>
      <c r="K309" s="232">
        <v>144702</v>
      </c>
      <c r="L309" s="232"/>
      <c r="M309" s="302">
        <v>0</v>
      </c>
      <c r="N309" s="302">
        <v>214284</v>
      </c>
      <c r="O309" s="302">
        <v>0</v>
      </c>
      <c r="P309" s="232">
        <v>32886</v>
      </c>
      <c r="Q309" s="232">
        <v>247170</v>
      </c>
      <c r="R309" s="232"/>
      <c r="S309" s="394">
        <v>64709</v>
      </c>
      <c r="T309" s="232">
        <v>-4959</v>
      </c>
      <c r="U309" s="398">
        <v>59750</v>
      </c>
      <c r="V309" s="232"/>
      <c r="W309" s="398">
        <v>582232</v>
      </c>
      <c r="X309" s="398">
        <v>-205730</v>
      </c>
      <c r="Y309" s="398"/>
      <c r="Z309" s="398"/>
    </row>
    <row r="310" spans="1:26" ht="14.25" customHeight="1">
      <c r="A310" s="392">
        <v>93171</v>
      </c>
      <c r="B310" s="393" t="s">
        <v>1018</v>
      </c>
      <c r="C310" s="235">
        <v>1.03E-5</v>
      </c>
      <c r="D310" s="235">
        <v>9.0999999999999993E-6</v>
      </c>
      <c r="E310" s="232">
        <v>15796</v>
      </c>
      <c r="F310" s="232" t="s">
        <v>1930</v>
      </c>
      <c r="G310" s="394">
        <v>5025</v>
      </c>
      <c r="H310" s="394">
        <v>0</v>
      </c>
      <c r="I310" s="394">
        <v>9924</v>
      </c>
      <c r="J310" s="232">
        <v>8496</v>
      </c>
      <c r="K310" s="232">
        <v>23445</v>
      </c>
      <c r="L310" s="232"/>
      <c r="M310" s="302">
        <v>0</v>
      </c>
      <c r="N310" s="302">
        <v>22568</v>
      </c>
      <c r="O310" s="302">
        <v>0</v>
      </c>
      <c r="P310" s="232">
        <v>246</v>
      </c>
      <c r="Q310" s="232">
        <v>22814</v>
      </c>
      <c r="R310" s="232"/>
      <c r="S310" s="394">
        <v>6815</v>
      </c>
      <c r="T310" s="232">
        <v>3782</v>
      </c>
      <c r="U310" s="398">
        <v>10597</v>
      </c>
      <c r="V310" s="232"/>
      <c r="W310" s="398">
        <v>61319</v>
      </c>
      <c r="X310" s="398">
        <v>-21667</v>
      </c>
      <c r="Y310" s="398"/>
      <c r="Z310" s="398"/>
    </row>
    <row r="311" spans="1:26">
      <c r="A311" s="392">
        <v>93181</v>
      </c>
      <c r="B311" s="393" t="s">
        <v>1019</v>
      </c>
      <c r="C311" s="235">
        <v>1.06E-5</v>
      </c>
      <c r="D311" s="235">
        <v>1.0000000000000001E-5</v>
      </c>
      <c r="E311" s="232">
        <v>16256</v>
      </c>
      <c r="F311" s="232" t="s">
        <v>1930</v>
      </c>
      <c r="G311" s="394">
        <v>5172</v>
      </c>
      <c r="H311" s="394">
        <v>0</v>
      </c>
      <c r="I311" s="394">
        <v>10213</v>
      </c>
      <c r="J311" s="232">
        <v>2863</v>
      </c>
      <c r="K311" s="232">
        <v>18248</v>
      </c>
      <c r="L311" s="232"/>
      <c r="M311" s="302">
        <v>0</v>
      </c>
      <c r="N311" s="302">
        <v>23225</v>
      </c>
      <c r="O311" s="302">
        <v>0</v>
      </c>
      <c r="P311" s="232">
        <v>0</v>
      </c>
      <c r="Q311" s="232">
        <v>23225</v>
      </c>
      <c r="R311" s="232"/>
      <c r="S311" s="394">
        <v>7013</v>
      </c>
      <c r="T311" s="232">
        <v>1126</v>
      </c>
      <c r="U311" s="398">
        <v>8139</v>
      </c>
      <c r="V311" s="232"/>
      <c r="W311" s="398">
        <v>63105</v>
      </c>
      <c r="X311" s="398">
        <v>-22298</v>
      </c>
      <c r="Y311" s="398"/>
      <c r="Z311" s="398"/>
    </row>
    <row r="312" spans="1:26">
      <c r="A312" s="392">
        <v>93191</v>
      </c>
      <c r="B312" s="393" t="s">
        <v>1020</v>
      </c>
      <c r="C312" s="235">
        <v>2.48E-5</v>
      </c>
      <c r="D312" s="235">
        <v>2.8900000000000001E-5</v>
      </c>
      <c r="E312" s="232">
        <v>38033</v>
      </c>
      <c r="F312" s="232" t="s">
        <v>1930</v>
      </c>
      <c r="G312" s="394">
        <v>12100</v>
      </c>
      <c r="H312" s="394">
        <v>0</v>
      </c>
      <c r="I312" s="394">
        <v>23895</v>
      </c>
      <c r="J312" s="232">
        <v>11807</v>
      </c>
      <c r="K312" s="232">
        <v>47802</v>
      </c>
      <c r="L312" s="232"/>
      <c r="M312" s="302">
        <v>0</v>
      </c>
      <c r="N312" s="302">
        <v>54338</v>
      </c>
      <c r="O312" s="302">
        <v>0</v>
      </c>
      <c r="P312" s="232">
        <v>0</v>
      </c>
      <c r="Q312" s="232">
        <v>54338</v>
      </c>
      <c r="R312" s="232"/>
      <c r="S312" s="394">
        <v>16409</v>
      </c>
      <c r="T312" s="232">
        <v>5641</v>
      </c>
      <c r="U312" s="398">
        <v>22050</v>
      </c>
      <c r="V312" s="232"/>
      <c r="W312" s="398">
        <v>147642</v>
      </c>
      <c r="X312" s="398">
        <v>-52169</v>
      </c>
      <c r="Y312" s="398"/>
      <c r="Z312" s="398"/>
    </row>
    <row r="313" spans="1:26">
      <c r="A313" s="392">
        <v>93201</v>
      </c>
      <c r="B313" s="393" t="s">
        <v>1021</v>
      </c>
      <c r="C313" s="235">
        <v>1.54521E-2</v>
      </c>
      <c r="D313" s="235">
        <v>1.5223E-2</v>
      </c>
      <c r="E313" s="232">
        <v>23697279</v>
      </c>
      <c r="F313" s="232" t="s">
        <v>1930</v>
      </c>
      <c r="G313" s="394">
        <v>7538956</v>
      </c>
      <c r="H313" s="394">
        <v>0</v>
      </c>
      <c r="I313" s="394">
        <v>14887944</v>
      </c>
      <c r="J313" s="232">
        <v>636726</v>
      </c>
      <c r="K313" s="232">
        <v>23063626</v>
      </c>
      <c r="L313" s="232"/>
      <c r="M313" s="302">
        <v>0</v>
      </c>
      <c r="N313" s="302">
        <v>33856293</v>
      </c>
      <c r="O313" s="302">
        <v>0</v>
      </c>
      <c r="P313" s="232">
        <v>341542</v>
      </c>
      <c r="Q313" s="232">
        <v>34197835</v>
      </c>
      <c r="R313" s="232"/>
      <c r="S313" s="394">
        <v>10223758</v>
      </c>
      <c r="T313" s="232">
        <v>29156</v>
      </c>
      <c r="U313" s="398">
        <v>10252914</v>
      </c>
      <c r="V313" s="232"/>
      <c r="W313" s="398">
        <v>91990863</v>
      </c>
      <c r="X313" s="398">
        <v>-32504682</v>
      </c>
      <c r="Y313" s="398"/>
      <c r="Z313" s="398"/>
    </row>
    <row r="314" spans="1:26">
      <c r="A314" s="392">
        <v>93202</v>
      </c>
      <c r="B314" s="393" t="s">
        <v>1022</v>
      </c>
      <c r="C314" s="235">
        <v>0</v>
      </c>
      <c r="D314" s="235">
        <v>0</v>
      </c>
      <c r="E314" s="232">
        <v>0</v>
      </c>
      <c r="F314" s="232">
        <v>0</v>
      </c>
      <c r="G314" s="232">
        <v>0</v>
      </c>
      <c r="H314" s="232">
        <v>0</v>
      </c>
      <c r="I314" s="232">
        <v>0</v>
      </c>
      <c r="J314" s="232">
        <v>0</v>
      </c>
      <c r="K314" s="232">
        <v>0</v>
      </c>
      <c r="L314" s="232">
        <v>0</v>
      </c>
      <c r="M314" s="232">
        <v>0</v>
      </c>
      <c r="N314" s="232">
        <v>0</v>
      </c>
      <c r="O314" s="232">
        <v>0</v>
      </c>
      <c r="P314" s="232">
        <v>0</v>
      </c>
      <c r="Q314" s="232">
        <v>0</v>
      </c>
      <c r="R314" s="232">
        <v>0</v>
      </c>
      <c r="S314" s="232">
        <v>0</v>
      </c>
      <c r="T314" s="232">
        <v>0</v>
      </c>
      <c r="U314" s="232">
        <v>0</v>
      </c>
      <c r="V314" s="232">
        <v>0</v>
      </c>
      <c r="W314" s="232">
        <v>0</v>
      </c>
      <c r="X314" s="232">
        <v>0</v>
      </c>
      <c r="Y314" s="398"/>
      <c r="Z314" s="398"/>
    </row>
    <row r="315" spans="1:26">
      <c r="A315" s="392">
        <v>93204</v>
      </c>
      <c r="B315" s="393" t="s">
        <v>1023</v>
      </c>
      <c r="C315" s="235">
        <v>3.0600000000000001E-4</v>
      </c>
      <c r="D315" s="235">
        <v>2.6400000000000002E-4</v>
      </c>
      <c r="E315" s="232">
        <v>469280</v>
      </c>
      <c r="F315" s="232" t="s">
        <v>1930</v>
      </c>
      <c r="G315" s="394">
        <v>149295</v>
      </c>
      <c r="H315" s="394">
        <v>0</v>
      </c>
      <c r="I315" s="394">
        <v>294828</v>
      </c>
      <c r="J315" s="232">
        <v>93611</v>
      </c>
      <c r="K315" s="232">
        <v>537734</v>
      </c>
      <c r="L315" s="232"/>
      <c r="M315" s="302">
        <v>0</v>
      </c>
      <c r="N315" s="302">
        <v>670461</v>
      </c>
      <c r="O315" s="302">
        <v>0</v>
      </c>
      <c r="P315" s="232">
        <v>19857</v>
      </c>
      <c r="Q315" s="232">
        <v>690318</v>
      </c>
      <c r="R315" s="232"/>
      <c r="S315" s="394">
        <v>202462</v>
      </c>
      <c r="T315" s="232">
        <v>30565</v>
      </c>
      <c r="U315" s="398">
        <v>233027</v>
      </c>
      <c r="V315" s="232"/>
      <c r="W315" s="398">
        <v>1821707</v>
      </c>
      <c r="X315" s="398">
        <v>-643695</v>
      </c>
      <c r="Y315" s="398"/>
      <c r="Z315" s="398"/>
    </row>
    <row r="316" spans="1:26">
      <c r="A316" s="392">
        <v>93209</v>
      </c>
      <c r="B316" s="393" t="s">
        <v>1024</v>
      </c>
      <c r="C316" s="235">
        <v>5.6934999999999998E-3</v>
      </c>
      <c r="D316" s="235">
        <v>5.2969000000000002E-3</v>
      </c>
      <c r="E316" s="232">
        <v>8731529</v>
      </c>
      <c r="F316" s="232" t="s">
        <v>1930</v>
      </c>
      <c r="G316" s="394">
        <v>2777813</v>
      </c>
      <c r="H316" s="394">
        <v>0</v>
      </c>
      <c r="I316" s="394">
        <v>5485630</v>
      </c>
      <c r="J316" s="232">
        <v>573315</v>
      </c>
      <c r="K316" s="232">
        <v>8836758</v>
      </c>
      <c r="L316" s="232"/>
      <c r="M316" s="302">
        <v>0</v>
      </c>
      <c r="N316" s="302">
        <v>12474732</v>
      </c>
      <c r="O316" s="302">
        <v>0</v>
      </c>
      <c r="P316" s="232">
        <v>346980</v>
      </c>
      <c r="Q316" s="232">
        <v>12821712</v>
      </c>
      <c r="R316" s="232"/>
      <c r="S316" s="394">
        <v>3767059</v>
      </c>
      <c r="T316" s="232">
        <v>74486</v>
      </c>
      <c r="U316" s="398">
        <v>3841545</v>
      </c>
      <c r="V316" s="232"/>
      <c r="W316" s="398">
        <v>33895068</v>
      </c>
      <c r="X316" s="398">
        <v>-11976716</v>
      </c>
      <c r="Y316" s="398"/>
      <c r="Z316" s="398"/>
    </row>
    <row r="317" spans="1:26">
      <c r="A317" s="392">
        <v>93211</v>
      </c>
      <c r="B317" s="393" t="s">
        <v>1025</v>
      </c>
      <c r="C317" s="235">
        <v>2.2281100000000002E-2</v>
      </c>
      <c r="D317" s="235">
        <v>2.2128599999999998E-2</v>
      </c>
      <c r="E317" s="232">
        <v>34170206</v>
      </c>
      <c r="F317" s="232" t="s">
        <v>1930</v>
      </c>
      <c r="G317" s="394">
        <v>10870770</v>
      </c>
      <c r="H317" s="394">
        <v>0</v>
      </c>
      <c r="I317" s="394">
        <v>21467617</v>
      </c>
      <c r="J317" s="232">
        <v>990588</v>
      </c>
      <c r="K317" s="232">
        <v>33328975</v>
      </c>
      <c r="L317" s="232"/>
      <c r="M317" s="302">
        <v>0</v>
      </c>
      <c r="N317" s="302">
        <v>48818960</v>
      </c>
      <c r="O317" s="302">
        <v>0</v>
      </c>
      <c r="P317" s="232">
        <v>0</v>
      </c>
      <c r="Q317" s="232">
        <v>48818960</v>
      </c>
      <c r="R317" s="232"/>
      <c r="S317" s="394">
        <v>14742112</v>
      </c>
      <c r="T317" s="232">
        <v>511714</v>
      </c>
      <c r="U317" s="398">
        <v>15253826</v>
      </c>
      <c r="V317" s="232"/>
      <c r="W317" s="398">
        <v>132645894</v>
      </c>
      <c r="X317" s="398">
        <v>-46870009</v>
      </c>
      <c r="Y317" s="398"/>
      <c r="Z317" s="398"/>
    </row>
    <row r="318" spans="1:26">
      <c r="A318" s="392">
        <v>93212</v>
      </c>
      <c r="B318" s="393" t="s">
        <v>1026</v>
      </c>
      <c r="C318" s="235">
        <v>2.231E-4</v>
      </c>
      <c r="D318" s="235">
        <v>2.8699999999999998E-4</v>
      </c>
      <c r="E318" s="232">
        <v>342145</v>
      </c>
      <c r="F318" s="232" t="s">
        <v>1930</v>
      </c>
      <c r="G318" s="394">
        <v>108849</v>
      </c>
      <c r="H318" s="394">
        <v>0</v>
      </c>
      <c r="I318" s="394">
        <v>214955</v>
      </c>
      <c r="J318" s="232">
        <v>97315</v>
      </c>
      <c r="K318" s="232">
        <v>421119</v>
      </c>
      <c r="L318" s="232"/>
      <c r="M318" s="302">
        <v>0</v>
      </c>
      <c r="N318" s="302">
        <v>488823</v>
      </c>
      <c r="O318" s="302">
        <v>0</v>
      </c>
      <c r="P318" s="232">
        <v>69779</v>
      </c>
      <c r="Q318" s="232">
        <v>558602</v>
      </c>
      <c r="R318" s="232"/>
      <c r="S318" s="394">
        <v>147612</v>
      </c>
      <c r="T318" s="232">
        <v>62340</v>
      </c>
      <c r="U318" s="398">
        <v>209952</v>
      </c>
      <c r="V318" s="232"/>
      <c r="W318" s="398">
        <v>1328179</v>
      </c>
      <c r="X318" s="398">
        <v>-469308</v>
      </c>
      <c r="Y318" s="398"/>
      <c r="Z318" s="398"/>
    </row>
    <row r="319" spans="1:26">
      <c r="A319" s="392">
        <v>93219</v>
      </c>
      <c r="B319" s="393" t="s">
        <v>1027</v>
      </c>
      <c r="C319" s="235">
        <v>2.6029999999999998E-4</v>
      </c>
      <c r="D319" s="235">
        <v>2.5789999999999998E-4</v>
      </c>
      <c r="E319" s="232">
        <v>399195</v>
      </c>
      <c r="F319" s="232" t="s">
        <v>1930</v>
      </c>
      <c r="G319" s="394">
        <v>126998</v>
      </c>
      <c r="H319" s="394">
        <v>0</v>
      </c>
      <c r="I319" s="394">
        <v>250796</v>
      </c>
      <c r="J319" s="232">
        <v>28160</v>
      </c>
      <c r="K319" s="232">
        <v>405954</v>
      </c>
      <c r="L319" s="232"/>
      <c r="M319" s="302">
        <v>0</v>
      </c>
      <c r="N319" s="302">
        <v>570330</v>
      </c>
      <c r="O319" s="302">
        <v>0</v>
      </c>
      <c r="P319" s="232">
        <v>615</v>
      </c>
      <c r="Q319" s="232">
        <v>570945</v>
      </c>
      <c r="R319" s="232"/>
      <c r="S319" s="394">
        <v>172225</v>
      </c>
      <c r="T319" s="232">
        <v>16361</v>
      </c>
      <c r="U319" s="398">
        <v>188586</v>
      </c>
      <c r="V319" s="232"/>
      <c r="W319" s="398">
        <v>1549642</v>
      </c>
      <c r="X319" s="398">
        <v>-547561</v>
      </c>
      <c r="Y319" s="398"/>
      <c r="Z319" s="398"/>
    </row>
    <row r="320" spans="1:26">
      <c r="A320" s="392">
        <v>93301</v>
      </c>
      <c r="B320" s="393" t="s">
        <v>1028</v>
      </c>
      <c r="C320" s="235">
        <v>2.1727000000000001E-3</v>
      </c>
      <c r="D320" s="235">
        <v>2.1819999999999999E-3</v>
      </c>
      <c r="E320" s="232">
        <v>3332044</v>
      </c>
      <c r="F320" s="232" t="s">
        <v>1930</v>
      </c>
      <c r="G320" s="394">
        <v>1060043</v>
      </c>
      <c r="H320" s="394">
        <v>0</v>
      </c>
      <c r="I320" s="394">
        <v>2093375</v>
      </c>
      <c r="J320" s="232">
        <v>131889</v>
      </c>
      <c r="K320" s="232">
        <v>3285307</v>
      </c>
      <c r="L320" s="232"/>
      <c r="M320" s="302">
        <v>0</v>
      </c>
      <c r="N320" s="302">
        <v>4760490</v>
      </c>
      <c r="O320" s="302">
        <v>0</v>
      </c>
      <c r="P320" s="232">
        <v>75087</v>
      </c>
      <c r="Q320" s="232">
        <v>4835577</v>
      </c>
      <c r="R320" s="232"/>
      <c r="S320" s="394">
        <v>1437550</v>
      </c>
      <c r="T320" s="232">
        <v>-16332</v>
      </c>
      <c r="U320" s="398">
        <v>1421218</v>
      </c>
      <c r="V320" s="232"/>
      <c r="W320" s="398">
        <v>12934718</v>
      </c>
      <c r="X320" s="398">
        <v>-4570442</v>
      </c>
      <c r="Y320" s="398"/>
      <c r="Z320" s="398"/>
    </row>
    <row r="321" spans="1:26">
      <c r="A321" s="392">
        <v>93304</v>
      </c>
      <c r="B321" s="393" t="s">
        <v>1029</v>
      </c>
      <c r="C321" s="235">
        <v>4.5300000000000003E-5</v>
      </c>
      <c r="D321" s="235">
        <v>3.8099999999999998E-5</v>
      </c>
      <c r="E321" s="232">
        <v>69472</v>
      </c>
      <c r="F321" s="232" t="s">
        <v>1930</v>
      </c>
      <c r="G321" s="394">
        <v>22102</v>
      </c>
      <c r="H321" s="394">
        <v>0</v>
      </c>
      <c r="I321" s="394">
        <v>43646</v>
      </c>
      <c r="J321" s="232">
        <v>25742</v>
      </c>
      <c r="K321" s="232">
        <v>91490</v>
      </c>
      <c r="L321" s="232"/>
      <c r="M321" s="302">
        <v>0</v>
      </c>
      <c r="N321" s="302">
        <v>99254</v>
      </c>
      <c r="O321" s="302">
        <v>0</v>
      </c>
      <c r="P321" s="232">
        <v>0</v>
      </c>
      <c r="Q321" s="232">
        <v>99254</v>
      </c>
      <c r="R321" s="232"/>
      <c r="S321" s="394">
        <v>29972</v>
      </c>
      <c r="T321" s="232">
        <v>10980</v>
      </c>
      <c r="U321" s="398">
        <v>40952</v>
      </c>
      <c r="V321" s="232"/>
      <c r="W321" s="398">
        <v>269684</v>
      </c>
      <c r="X321" s="398">
        <v>-95292</v>
      </c>
      <c r="Y321" s="398"/>
      <c r="Z321" s="398"/>
    </row>
    <row r="322" spans="1:26">
      <c r="A322" s="392">
        <v>93305</v>
      </c>
      <c r="B322" s="393" t="s">
        <v>1030</v>
      </c>
      <c r="C322" s="235">
        <v>3.0199999999999999E-5</v>
      </c>
      <c r="D322" s="235">
        <v>3.43E-5</v>
      </c>
      <c r="E322" s="232">
        <v>46315</v>
      </c>
      <c r="F322" s="232" t="s">
        <v>1930</v>
      </c>
      <c r="G322" s="394">
        <v>14734</v>
      </c>
      <c r="H322" s="394">
        <v>0</v>
      </c>
      <c r="I322" s="394">
        <v>29097</v>
      </c>
      <c r="J322" s="232">
        <v>0</v>
      </c>
      <c r="K322" s="232">
        <v>43831</v>
      </c>
      <c r="L322" s="232"/>
      <c r="M322" s="302">
        <v>0</v>
      </c>
      <c r="N322" s="302">
        <v>66170</v>
      </c>
      <c r="O322" s="302">
        <v>0</v>
      </c>
      <c r="P322" s="232">
        <v>12928</v>
      </c>
      <c r="Q322" s="232">
        <v>79098</v>
      </c>
      <c r="R322" s="232"/>
      <c r="S322" s="394">
        <v>19982</v>
      </c>
      <c r="T322" s="232">
        <v>-6568</v>
      </c>
      <c r="U322" s="398">
        <v>13414</v>
      </c>
      <c r="V322" s="232"/>
      <c r="W322" s="398">
        <v>179789</v>
      </c>
      <c r="X322" s="398">
        <v>-63528</v>
      </c>
      <c r="Y322" s="398"/>
      <c r="Z322" s="398"/>
    </row>
    <row r="323" spans="1:26">
      <c r="A323" s="392">
        <v>93309</v>
      </c>
      <c r="B323" s="393" t="s">
        <v>1031</v>
      </c>
      <c r="C323" s="235">
        <v>1.6750000000000001E-4</v>
      </c>
      <c r="D323" s="235">
        <v>1.6670000000000001E-4</v>
      </c>
      <c r="E323" s="232">
        <v>256877</v>
      </c>
      <c r="F323" s="232" t="s">
        <v>1930</v>
      </c>
      <c r="G323" s="394">
        <v>81722</v>
      </c>
      <c r="H323" s="394">
        <v>0</v>
      </c>
      <c r="I323" s="394">
        <v>161385</v>
      </c>
      <c r="J323" s="232">
        <v>28570</v>
      </c>
      <c r="K323" s="232">
        <v>271677</v>
      </c>
      <c r="L323" s="232"/>
      <c r="M323" s="302">
        <v>0</v>
      </c>
      <c r="N323" s="302">
        <v>367001</v>
      </c>
      <c r="O323" s="302">
        <v>0</v>
      </c>
      <c r="P323" s="232">
        <v>0</v>
      </c>
      <c r="Q323" s="232">
        <v>367001</v>
      </c>
      <c r="R323" s="232"/>
      <c r="S323" s="394">
        <v>110825</v>
      </c>
      <c r="T323" s="232">
        <v>16228</v>
      </c>
      <c r="U323" s="398">
        <v>127053</v>
      </c>
      <c r="V323" s="232"/>
      <c r="W323" s="398">
        <v>997176</v>
      </c>
      <c r="X323" s="398">
        <v>-352349</v>
      </c>
      <c r="Y323" s="398"/>
      <c r="Z323" s="398"/>
    </row>
    <row r="324" spans="1:26">
      <c r="A324" s="392">
        <v>93311</v>
      </c>
      <c r="B324" s="393" t="s">
        <v>1032</v>
      </c>
      <c r="C324" s="235">
        <v>1.1885000000000001E-3</v>
      </c>
      <c r="D324" s="235">
        <v>1.3213000000000001E-3</v>
      </c>
      <c r="E324" s="232">
        <v>1822679</v>
      </c>
      <c r="F324" s="232" t="s">
        <v>1930</v>
      </c>
      <c r="G324" s="394">
        <v>579860</v>
      </c>
      <c r="H324" s="394">
        <v>0</v>
      </c>
      <c r="I324" s="394">
        <v>1145108</v>
      </c>
      <c r="J324" s="232">
        <v>39697</v>
      </c>
      <c r="K324" s="232">
        <v>1764665</v>
      </c>
      <c r="L324" s="232"/>
      <c r="M324" s="302">
        <v>0</v>
      </c>
      <c r="N324" s="302">
        <v>2604061</v>
      </c>
      <c r="O324" s="302">
        <v>0</v>
      </c>
      <c r="P324" s="232">
        <v>319217</v>
      </c>
      <c r="Q324" s="232">
        <v>2923278</v>
      </c>
      <c r="R324" s="232"/>
      <c r="S324" s="394">
        <v>786362</v>
      </c>
      <c r="T324" s="232">
        <v>-88214</v>
      </c>
      <c r="U324" s="398">
        <v>698148</v>
      </c>
      <c r="V324" s="232"/>
      <c r="W324" s="398">
        <v>7075488</v>
      </c>
      <c r="X324" s="398">
        <v>-2500101</v>
      </c>
      <c r="Y324" s="398"/>
      <c r="Z324" s="398"/>
    </row>
    <row r="325" spans="1:26">
      <c r="A325" s="392">
        <v>93317</v>
      </c>
      <c r="B325" s="393" t="s">
        <v>1033</v>
      </c>
      <c r="C325" s="235">
        <v>4.0099999999999999E-5</v>
      </c>
      <c r="D325" s="235">
        <v>4.5300000000000003E-5</v>
      </c>
      <c r="E325" s="232">
        <v>61497</v>
      </c>
      <c r="F325" s="232" t="s">
        <v>1930</v>
      </c>
      <c r="G325" s="394">
        <v>19564</v>
      </c>
      <c r="H325" s="394">
        <v>0</v>
      </c>
      <c r="I325" s="394">
        <v>38636</v>
      </c>
      <c r="J325" s="232">
        <v>4789</v>
      </c>
      <c r="K325" s="232">
        <v>62989</v>
      </c>
      <c r="L325" s="232"/>
      <c r="M325" s="302">
        <v>0</v>
      </c>
      <c r="N325" s="302">
        <v>87861</v>
      </c>
      <c r="O325" s="302">
        <v>0</v>
      </c>
      <c r="P325" s="232">
        <v>7400</v>
      </c>
      <c r="Q325" s="232">
        <v>95261</v>
      </c>
      <c r="R325" s="232"/>
      <c r="S325" s="394">
        <v>26532</v>
      </c>
      <c r="T325" s="232">
        <v>-787</v>
      </c>
      <c r="U325" s="398">
        <v>25745</v>
      </c>
      <c r="V325" s="232"/>
      <c r="W325" s="398">
        <v>238727</v>
      </c>
      <c r="X325" s="398">
        <v>-84353</v>
      </c>
      <c r="Y325" s="398"/>
      <c r="Z325" s="398"/>
    </row>
    <row r="326" spans="1:26">
      <c r="A326" s="392">
        <v>93321</v>
      </c>
      <c r="B326" s="393" t="s">
        <v>1034</v>
      </c>
      <c r="C326" s="235">
        <v>6.6814999999999999E-3</v>
      </c>
      <c r="D326" s="235">
        <v>6.6553999999999997E-3</v>
      </c>
      <c r="E326" s="232">
        <v>10246722</v>
      </c>
      <c r="F326" s="232" t="s">
        <v>1930</v>
      </c>
      <c r="G326" s="394">
        <v>3259850</v>
      </c>
      <c r="H326" s="394">
        <v>0</v>
      </c>
      <c r="I326" s="394">
        <v>6437558</v>
      </c>
      <c r="J326" s="232">
        <v>0</v>
      </c>
      <c r="K326" s="232">
        <v>9697408</v>
      </c>
      <c r="L326" s="232"/>
      <c r="M326" s="302">
        <v>0</v>
      </c>
      <c r="N326" s="302">
        <v>14639487</v>
      </c>
      <c r="O326" s="302">
        <v>0</v>
      </c>
      <c r="P326" s="232">
        <v>322313</v>
      </c>
      <c r="Q326" s="232">
        <v>14961800</v>
      </c>
      <c r="R326" s="232"/>
      <c r="S326" s="394">
        <v>4420761</v>
      </c>
      <c r="T326" s="232">
        <v>-247151</v>
      </c>
      <c r="U326" s="398">
        <v>4173610</v>
      </c>
      <c r="V326" s="232"/>
      <c r="W326" s="398">
        <v>39776920</v>
      </c>
      <c r="X326" s="398">
        <v>-14055050</v>
      </c>
      <c r="Y326" s="398"/>
      <c r="Z326" s="398"/>
    </row>
    <row r="327" spans="1:26">
      <c r="A327" s="392">
        <v>93323</v>
      </c>
      <c r="B327" s="393" t="s">
        <v>1035</v>
      </c>
      <c r="C327" s="235">
        <v>4.57E-5</v>
      </c>
      <c r="D327" s="235">
        <v>3.2199999999999997E-5</v>
      </c>
      <c r="E327" s="232">
        <v>70085</v>
      </c>
      <c r="F327" s="232" t="s">
        <v>1930</v>
      </c>
      <c r="G327" s="394">
        <v>22297</v>
      </c>
      <c r="H327" s="394">
        <v>0</v>
      </c>
      <c r="I327" s="394">
        <v>44031</v>
      </c>
      <c r="J327" s="232">
        <v>34780</v>
      </c>
      <c r="K327" s="232">
        <v>101108</v>
      </c>
      <c r="L327" s="232"/>
      <c r="M327" s="302">
        <v>0</v>
      </c>
      <c r="N327" s="302">
        <v>100131</v>
      </c>
      <c r="O327" s="302">
        <v>0</v>
      </c>
      <c r="P327" s="232">
        <v>797</v>
      </c>
      <c r="Q327" s="232">
        <v>100928</v>
      </c>
      <c r="R327" s="232"/>
      <c r="S327" s="394">
        <v>30237</v>
      </c>
      <c r="T327" s="232">
        <v>14568</v>
      </c>
      <c r="U327" s="398">
        <v>44805</v>
      </c>
      <c r="V327" s="232"/>
      <c r="W327" s="398">
        <v>272065</v>
      </c>
      <c r="X327" s="398">
        <v>-96133</v>
      </c>
      <c r="Y327" s="398"/>
      <c r="Z327" s="398"/>
    </row>
    <row r="328" spans="1:26">
      <c r="A328" s="392">
        <v>93331</v>
      </c>
      <c r="B328" s="393" t="s">
        <v>1036</v>
      </c>
      <c r="C328" s="235">
        <v>9.1700000000000006E-5</v>
      </c>
      <c r="D328" s="235">
        <v>1.3310000000000001E-4</v>
      </c>
      <c r="E328" s="232">
        <v>140631</v>
      </c>
      <c r="F328" s="232" t="s">
        <v>1930</v>
      </c>
      <c r="G328" s="394">
        <v>44740</v>
      </c>
      <c r="H328" s="394">
        <v>0</v>
      </c>
      <c r="I328" s="394">
        <v>88352</v>
      </c>
      <c r="J328" s="232">
        <v>17170</v>
      </c>
      <c r="K328" s="232">
        <v>150262</v>
      </c>
      <c r="L328" s="232"/>
      <c r="M328" s="302">
        <v>0</v>
      </c>
      <c r="N328" s="302">
        <v>200919</v>
      </c>
      <c r="O328" s="302">
        <v>0</v>
      </c>
      <c r="P328" s="232">
        <v>64512</v>
      </c>
      <c r="Q328" s="232">
        <v>265431</v>
      </c>
      <c r="R328" s="232"/>
      <c r="S328" s="394">
        <v>60673</v>
      </c>
      <c r="T328" s="232">
        <v>-14197</v>
      </c>
      <c r="U328" s="398">
        <v>46476</v>
      </c>
      <c r="V328" s="232"/>
      <c r="W328" s="398">
        <v>545917</v>
      </c>
      <c r="X328" s="398">
        <v>-192898</v>
      </c>
      <c r="Y328" s="398"/>
      <c r="Z328" s="398"/>
    </row>
    <row r="329" spans="1:26">
      <c r="A329" s="392">
        <v>93333</v>
      </c>
      <c r="B329" s="393" t="s">
        <v>1037</v>
      </c>
      <c r="C329" s="235">
        <v>1.9090000000000001E-4</v>
      </c>
      <c r="D329" s="235">
        <v>1.7919999999999999E-4</v>
      </c>
      <c r="E329" s="232">
        <v>292763</v>
      </c>
      <c r="F329" s="232" t="s">
        <v>1930</v>
      </c>
      <c r="G329" s="394">
        <v>93139</v>
      </c>
      <c r="H329" s="394">
        <v>0</v>
      </c>
      <c r="I329" s="394">
        <v>183930</v>
      </c>
      <c r="J329" s="232">
        <v>99061</v>
      </c>
      <c r="K329" s="232">
        <v>376130</v>
      </c>
      <c r="L329" s="232"/>
      <c r="M329" s="302">
        <v>0</v>
      </c>
      <c r="N329" s="302">
        <v>418271</v>
      </c>
      <c r="O329" s="302">
        <v>0</v>
      </c>
      <c r="P329" s="232">
        <v>0</v>
      </c>
      <c r="Q329" s="232">
        <v>418271</v>
      </c>
      <c r="R329" s="232"/>
      <c r="S329" s="394">
        <v>126307</v>
      </c>
      <c r="T329" s="232">
        <v>60519</v>
      </c>
      <c r="U329" s="398">
        <v>186826</v>
      </c>
      <c r="V329" s="232"/>
      <c r="W329" s="398">
        <v>1136483</v>
      </c>
      <c r="X329" s="398">
        <v>-401573</v>
      </c>
      <c r="Y329" s="398"/>
      <c r="Z329" s="398"/>
    </row>
    <row r="330" spans="1:26">
      <c r="A330" s="392">
        <v>93341</v>
      </c>
      <c r="B330" s="393" t="s">
        <v>1038</v>
      </c>
      <c r="C330" s="235">
        <v>3.43E-5</v>
      </c>
      <c r="D330" s="235">
        <v>2.6100000000000001E-5</v>
      </c>
      <c r="E330" s="232">
        <v>52602</v>
      </c>
      <c r="F330" s="232" t="s">
        <v>1930</v>
      </c>
      <c r="G330" s="394">
        <v>16735</v>
      </c>
      <c r="H330" s="394">
        <v>0</v>
      </c>
      <c r="I330" s="394">
        <v>33048</v>
      </c>
      <c r="J330" s="232">
        <v>14367</v>
      </c>
      <c r="K330" s="232">
        <v>64150</v>
      </c>
      <c r="L330" s="232"/>
      <c r="M330" s="302">
        <v>0</v>
      </c>
      <c r="N330" s="302">
        <v>75153</v>
      </c>
      <c r="O330" s="302">
        <v>0</v>
      </c>
      <c r="P330" s="232">
        <v>2072</v>
      </c>
      <c r="Q330" s="232">
        <v>77225</v>
      </c>
      <c r="R330" s="232"/>
      <c r="S330" s="394">
        <v>22694</v>
      </c>
      <c r="T330" s="232">
        <v>4300</v>
      </c>
      <c r="U330" s="398">
        <v>26994</v>
      </c>
      <c r="V330" s="232"/>
      <c r="W330" s="398">
        <v>204198</v>
      </c>
      <c r="X330" s="398">
        <v>-72153</v>
      </c>
      <c r="Y330" s="398"/>
      <c r="Z330" s="398"/>
    </row>
    <row r="331" spans="1:26">
      <c r="A331" s="392">
        <v>93351</v>
      </c>
      <c r="B331" s="393" t="s">
        <v>1039</v>
      </c>
      <c r="C331" s="235">
        <v>3.0000000000000001E-5</v>
      </c>
      <c r="D331" s="235">
        <v>3.1000000000000001E-5</v>
      </c>
      <c r="E331" s="232">
        <v>46008</v>
      </c>
      <c r="F331" s="232" t="s">
        <v>1930</v>
      </c>
      <c r="G331" s="394">
        <v>14637</v>
      </c>
      <c r="H331" s="394">
        <v>0</v>
      </c>
      <c r="I331" s="394">
        <v>28905</v>
      </c>
      <c r="J331" s="232">
        <v>3218</v>
      </c>
      <c r="K331" s="232">
        <v>46760</v>
      </c>
      <c r="L331" s="232"/>
      <c r="M331" s="302">
        <v>0</v>
      </c>
      <c r="N331" s="302">
        <v>65731</v>
      </c>
      <c r="O331" s="302">
        <v>0</v>
      </c>
      <c r="P331" s="232">
        <v>7983</v>
      </c>
      <c r="Q331" s="232">
        <v>73714</v>
      </c>
      <c r="R331" s="232"/>
      <c r="S331" s="394">
        <v>19849</v>
      </c>
      <c r="T331" s="232">
        <v>141</v>
      </c>
      <c r="U331" s="398">
        <v>19990</v>
      </c>
      <c r="V331" s="232"/>
      <c r="W331" s="398">
        <v>178599</v>
      </c>
      <c r="X331" s="398">
        <v>-63107</v>
      </c>
      <c r="Y331" s="398"/>
      <c r="Z331" s="398"/>
    </row>
    <row r="332" spans="1:26">
      <c r="A332" s="392">
        <v>93401</v>
      </c>
      <c r="B332" s="393" t="s">
        <v>1040</v>
      </c>
      <c r="C332" s="235">
        <v>1.37733E-2</v>
      </c>
      <c r="D332" s="235">
        <v>1.37587E-2</v>
      </c>
      <c r="E332" s="232">
        <v>21122678</v>
      </c>
      <c r="F332" s="232" t="s">
        <v>1930</v>
      </c>
      <c r="G332" s="394">
        <v>6719883</v>
      </c>
      <c r="H332" s="394">
        <v>0</v>
      </c>
      <c r="I332" s="394">
        <v>13270437</v>
      </c>
      <c r="J332" s="232">
        <v>160925</v>
      </c>
      <c r="K332" s="232">
        <v>20151245</v>
      </c>
      <c r="L332" s="232"/>
      <c r="M332" s="302">
        <v>0</v>
      </c>
      <c r="N332" s="302">
        <v>30177961</v>
      </c>
      <c r="O332" s="302">
        <v>0</v>
      </c>
      <c r="P332" s="232">
        <v>338477</v>
      </c>
      <c r="Q332" s="232">
        <v>30516438</v>
      </c>
      <c r="R332" s="232"/>
      <c r="S332" s="394">
        <v>9112994</v>
      </c>
      <c r="T332" s="232">
        <v>-32221</v>
      </c>
      <c r="U332" s="398">
        <v>9080773</v>
      </c>
      <c r="V332" s="232"/>
      <c r="W332" s="398">
        <v>81996477</v>
      </c>
      <c r="X332" s="398">
        <v>-28973197</v>
      </c>
      <c r="Y332" s="398"/>
      <c r="Z332" s="398"/>
    </row>
    <row r="333" spans="1:26">
      <c r="A333" s="392">
        <v>93402</v>
      </c>
      <c r="B333" s="393" t="s">
        <v>1041</v>
      </c>
      <c r="C333" s="235">
        <v>0</v>
      </c>
      <c r="D333" s="235">
        <v>0</v>
      </c>
      <c r="E333" s="232">
        <v>0</v>
      </c>
      <c r="F333" s="232" t="s">
        <v>1930</v>
      </c>
      <c r="G333" s="394">
        <v>0</v>
      </c>
      <c r="H333" s="394">
        <v>0</v>
      </c>
      <c r="I333" s="394">
        <v>0</v>
      </c>
      <c r="J333" s="232">
        <v>0</v>
      </c>
      <c r="K333" s="232">
        <v>0</v>
      </c>
      <c r="L333" s="232"/>
      <c r="M333" s="302">
        <v>0</v>
      </c>
      <c r="N333" s="302">
        <v>0</v>
      </c>
      <c r="O333" s="302">
        <v>0</v>
      </c>
      <c r="P333" s="232">
        <v>34376</v>
      </c>
      <c r="Q333" s="232">
        <v>34376</v>
      </c>
      <c r="R333" s="232"/>
      <c r="S333" s="394">
        <v>0</v>
      </c>
      <c r="T333" s="232">
        <v>-18552</v>
      </c>
      <c r="U333" s="398">
        <v>-18552</v>
      </c>
      <c r="V333" s="232"/>
      <c r="W333" s="398">
        <v>0</v>
      </c>
      <c r="X333" s="398">
        <v>0</v>
      </c>
      <c r="Y333" s="398"/>
      <c r="Z333" s="398"/>
    </row>
    <row r="334" spans="1:26">
      <c r="A334" s="392">
        <v>93406</v>
      </c>
      <c r="B334" s="393" t="s">
        <v>1042</v>
      </c>
      <c r="C334" s="235">
        <v>5.7970000000000005E-4</v>
      </c>
      <c r="D334" s="235">
        <v>4.996E-4</v>
      </c>
      <c r="E334" s="232">
        <v>889026</v>
      </c>
      <c r="F334" s="232" t="s">
        <v>1930</v>
      </c>
      <c r="G334" s="394">
        <v>282831</v>
      </c>
      <c r="H334" s="394">
        <v>0</v>
      </c>
      <c r="I334" s="394">
        <v>558535</v>
      </c>
      <c r="J334" s="232">
        <v>175905</v>
      </c>
      <c r="K334" s="232">
        <v>1017271</v>
      </c>
      <c r="L334" s="232"/>
      <c r="M334" s="302">
        <v>0</v>
      </c>
      <c r="N334" s="302">
        <v>1270151</v>
      </c>
      <c r="O334" s="302">
        <v>0</v>
      </c>
      <c r="P334" s="232">
        <v>23432</v>
      </c>
      <c r="Q334" s="232">
        <v>1293583</v>
      </c>
      <c r="R334" s="232"/>
      <c r="S334" s="394">
        <v>383554</v>
      </c>
      <c r="T334" s="232">
        <v>27589</v>
      </c>
      <c r="U334" s="398">
        <v>411143</v>
      </c>
      <c r="V334" s="232"/>
      <c r="W334" s="398">
        <v>3451123</v>
      </c>
      <c r="X334" s="398">
        <v>-1219444</v>
      </c>
      <c r="Y334" s="398"/>
      <c r="Z334" s="398"/>
    </row>
    <row r="335" spans="1:26">
      <c r="A335" s="392">
        <v>93408</v>
      </c>
      <c r="B335" s="393" t="s">
        <v>1043</v>
      </c>
      <c r="C335" s="235">
        <v>0</v>
      </c>
      <c r="D335" s="235">
        <v>0</v>
      </c>
      <c r="E335" s="232">
        <v>0</v>
      </c>
      <c r="F335" s="232" t="s">
        <v>1930</v>
      </c>
      <c r="G335" s="394">
        <v>0</v>
      </c>
      <c r="H335" s="394">
        <v>0</v>
      </c>
      <c r="I335" s="394">
        <v>0</v>
      </c>
      <c r="J335" s="232">
        <v>0</v>
      </c>
      <c r="K335" s="232">
        <v>0</v>
      </c>
      <c r="L335" s="232"/>
      <c r="M335" s="302">
        <v>0</v>
      </c>
      <c r="N335" s="302">
        <v>0</v>
      </c>
      <c r="O335" s="302">
        <v>0</v>
      </c>
      <c r="P335" s="232">
        <v>0</v>
      </c>
      <c r="Q335" s="232">
        <v>0</v>
      </c>
      <c r="R335" s="232"/>
      <c r="S335" s="394">
        <v>0</v>
      </c>
      <c r="T335" s="232">
        <v>-303143</v>
      </c>
      <c r="U335" s="398">
        <v>-303143</v>
      </c>
      <c r="V335" s="232"/>
      <c r="W335" s="398">
        <v>0</v>
      </c>
      <c r="X335" s="398">
        <v>0</v>
      </c>
      <c r="Y335" s="398"/>
      <c r="Z335" s="398"/>
    </row>
    <row r="336" spans="1:26">
      <c r="A336" s="392">
        <v>93411</v>
      </c>
      <c r="B336" s="393" t="s">
        <v>1044</v>
      </c>
      <c r="C336" s="235">
        <v>1.7717E-2</v>
      </c>
      <c r="D336" s="235">
        <v>1.78316E-2</v>
      </c>
      <c r="E336" s="232">
        <v>27170720</v>
      </c>
      <c r="F336" s="232" t="s">
        <v>1930</v>
      </c>
      <c r="G336" s="394">
        <v>8643983</v>
      </c>
      <c r="H336" s="394">
        <v>0</v>
      </c>
      <c r="I336" s="394">
        <v>17070152</v>
      </c>
      <c r="J336" s="232">
        <v>334022</v>
      </c>
      <c r="K336" s="232">
        <v>26048157</v>
      </c>
      <c r="L336" s="232"/>
      <c r="M336" s="302">
        <v>0</v>
      </c>
      <c r="N336" s="302">
        <v>38818797</v>
      </c>
      <c r="O336" s="302">
        <v>0</v>
      </c>
      <c r="P336" s="232">
        <v>662914</v>
      </c>
      <c r="Q336" s="232">
        <v>39481711</v>
      </c>
      <c r="R336" s="232"/>
      <c r="S336" s="394">
        <v>11722311</v>
      </c>
      <c r="T336" s="232">
        <v>55796</v>
      </c>
      <c r="U336" s="398">
        <v>11778107</v>
      </c>
      <c r="V336" s="232"/>
      <c r="W336" s="398">
        <v>105474474</v>
      </c>
      <c r="X336" s="398">
        <v>-37269074</v>
      </c>
      <c r="Y336" s="398"/>
      <c r="Z336" s="398"/>
    </row>
    <row r="337" spans="1:26">
      <c r="A337" s="392">
        <v>93413</v>
      </c>
      <c r="B337" s="393" t="s">
        <v>1045</v>
      </c>
      <c r="C337" s="235">
        <v>7.1159999999999995E-4</v>
      </c>
      <c r="D337" s="235">
        <v>6.7969999999999999E-4</v>
      </c>
      <c r="E337" s="232">
        <v>1091307</v>
      </c>
      <c r="F337" s="232" t="s">
        <v>1930</v>
      </c>
      <c r="G337" s="394">
        <v>347184</v>
      </c>
      <c r="H337" s="394">
        <v>0</v>
      </c>
      <c r="I337" s="394">
        <v>685619</v>
      </c>
      <c r="J337" s="232">
        <v>51343</v>
      </c>
      <c r="K337" s="232">
        <v>1084146</v>
      </c>
      <c r="L337" s="232"/>
      <c r="M337" s="302">
        <v>0</v>
      </c>
      <c r="N337" s="302">
        <v>1559150</v>
      </c>
      <c r="O337" s="302">
        <v>0</v>
      </c>
      <c r="P337" s="232">
        <v>9798</v>
      </c>
      <c r="Q337" s="232">
        <v>1568948</v>
      </c>
      <c r="R337" s="232"/>
      <c r="S337" s="394">
        <v>470824</v>
      </c>
      <c r="T337" s="232">
        <v>10415</v>
      </c>
      <c r="U337" s="398">
        <v>481239</v>
      </c>
      <c r="V337" s="232"/>
      <c r="W337" s="398">
        <v>4236363</v>
      </c>
      <c r="X337" s="398">
        <v>-1496905</v>
      </c>
      <c r="Y337" s="398"/>
      <c r="Z337" s="398"/>
    </row>
    <row r="338" spans="1:26">
      <c r="A338" s="392">
        <v>93417</v>
      </c>
      <c r="B338" s="393" t="s">
        <v>1046</v>
      </c>
      <c r="C338" s="235">
        <v>2.9250000000000001E-4</v>
      </c>
      <c r="D338" s="235">
        <v>2.876E-4</v>
      </c>
      <c r="E338" s="232">
        <v>448577</v>
      </c>
      <c r="F338" s="232" t="s">
        <v>1930</v>
      </c>
      <c r="G338" s="394">
        <v>142708</v>
      </c>
      <c r="H338" s="394">
        <v>0</v>
      </c>
      <c r="I338" s="394">
        <v>281821</v>
      </c>
      <c r="J338" s="232">
        <v>72985</v>
      </c>
      <c r="K338" s="232">
        <v>497514</v>
      </c>
      <c r="L338" s="232"/>
      <c r="M338" s="302">
        <v>0</v>
      </c>
      <c r="N338" s="302">
        <v>640882</v>
      </c>
      <c r="O338" s="302">
        <v>0</v>
      </c>
      <c r="P338" s="232">
        <v>1530</v>
      </c>
      <c r="Q338" s="232">
        <v>642412</v>
      </c>
      <c r="R338" s="232"/>
      <c r="S338" s="394">
        <v>193530</v>
      </c>
      <c r="T338" s="232">
        <v>21259</v>
      </c>
      <c r="U338" s="398">
        <v>214789</v>
      </c>
      <c r="V338" s="232"/>
      <c r="W338" s="398">
        <v>1741338</v>
      </c>
      <c r="X338" s="398">
        <v>-615296</v>
      </c>
      <c r="Y338" s="398"/>
      <c r="Z338" s="398"/>
    </row>
    <row r="339" spans="1:26">
      <c r="A339" s="392">
        <v>93421</v>
      </c>
      <c r="B339" s="393" t="s">
        <v>1047</v>
      </c>
      <c r="C339" s="235">
        <v>1.8813E-3</v>
      </c>
      <c r="D339" s="235">
        <v>2.0282999999999998E-3</v>
      </c>
      <c r="E339" s="232">
        <v>2885154</v>
      </c>
      <c r="F339" s="232" t="s">
        <v>1930</v>
      </c>
      <c r="G339" s="394">
        <v>917871</v>
      </c>
      <c r="H339" s="394">
        <v>0</v>
      </c>
      <c r="I339" s="394">
        <v>1812614</v>
      </c>
      <c r="J339" s="232">
        <v>0</v>
      </c>
      <c r="K339" s="232">
        <v>2730485</v>
      </c>
      <c r="L339" s="232"/>
      <c r="M339" s="302">
        <v>0</v>
      </c>
      <c r="N339" s="302">
        <v>4122019</v>
      </c>
      <c r="O339" s="302">
        <v>0</v>
      </c>
      <c r="P339" s="232">
        <v>417431</v>
      </c>
      <c r="Q339" s="232">
        <v>4539450</v>
      </c>
      <c r="R339" s="232"/>
      <c r="S339" s="394">
        <v>1244747</v>
      </c>
      <c r="T339" s="232">
        <v>-193757</v>
      </c>
      <c r="U339" s="398">
        <v>1050990</v>
      </c>
      <c r="V339" s="232"/>
      <c r="W339" s="398">
        <v>11199928</v>
      </c>
      <c r="X339" s="398">
        <v>-3957459</v>
      </c>
      <c r="Y339" s="398"/>
      <c r="Z339" s="398"/>
    </row>
    <row r="340" spans="1:26">
      <c r="A340" s="392">
        <v>93431</v>
      </c>
      <c r="B340" s="393" t="s">
        <v>1048</v>
      </c>
      <c r="C340" s="235">
        <v>1.5009999999999999E-4</v>
      </c>
      <c r="D340" s="235">
        <v>1.349E-4</v>
      </c>
      <c r="E340" s="232">
        <v>230193</v>
      </c>
      <c r="F340" s="232" t="s">
        <v>1930</v>
      </c>
      <c r="G340" s="394">
        <v>73233</v>
      </c>
      <c r="H340" s="394">
        <v>0</v>
      </c>
      <c r="I340" s="394">
        <v>144620</v>
      </c>
      <c r="J340" s="232">
        <v>33641</v>
      </c>
      <c r="K340" s="232">
        <v>251494</v>
      </c>
      <c r="L340" s="232"/>
      <c r="M340" s="302">
        <v>0</v>
      </c>
      <c r="N340" s="302">
        <v>328876</v>
      </c>
      <c r="O340" s="302">
        <v>0</v>
      </c>
      <c r="P340" s="232">
        <v>2741</v>
      </c>
      <c r="Q340" s="232">
        <v>331617</v>
      </c>
      <c r="R340" s="232"/>
      <c r="S340" s="394">
        <v>99312</v>
      </c>
      <c r="T340" s="232">
        <v>14256</v>
      </c>
      <c r="U340" s="398">
        <v>113568</v>
      </c>
      <c r="V340" s="232"/>
      <c r="W340" s="398">
        <v>893589</v>
      </c>
      <c r="X340" s="398">
        <v>-315747</v>
      </c>
      <c r="Y340" s="398"/>
      <c r="Z340" s="398"/>
    </row>
    <row r="341" spans="1:26">
      <c r="A341" s="392">
        <v>93441</v>
      </c>
      <c r="B341" s="393" t="s">
        <v>1049</v>
      </c>
      <c r="C341" s="235">
        <v>1.573E-4</v>
      </c>
      <c r="D341" s="235">
        <v>1.6789999999999999E-4</v>
      </c>
      <c r="E341" s="232">
        <v>241235</v>
      </c>
      <c r="F341" s="232" t="s">
        <v>1930</v>
      </c>
      <c r="G341" s="394">
        <v>76745</v>
      </c>
      <c r="H341" s="394">
        <v>0</v>
      </c>
      <c r="I341" s="394">
        <v>151557</v>
      </c>
      <c r="J341" s="232">
        <v>1826</v>
      </c>
      <c r="K341" s="232">
        <v>230128</v>
      </c>
      <c r="L341" s="232"/>
      <c r="M341" s="302">
        <v>0</v>
      </c>
      <c r="N341" s="302">
        <v>344652</v>
      </c>
      <c r="O341" s="302">
        <v>0</v>
      </c>
      <c r="P341" s="232">
        <v>17788</v>
      </c>
      <c r="Q341" s="232">
        <v>362440</v>
      </c>
      <c r="R341" s="232"/>
      <c r="S341" s="394">
        <v>104076</v>
      </c>
      <c r="T341" s="232">
        <v>-2448</v>
      </c>
      <c r="U341" s="398">
        <v>101628</v>
      </c>
      <c r="V341" s="232"/>
      <c r="W341" s="398">
        <v>936453</v>
      </c>
      <c r="X341" s="398">
        <v>-330893</v>
      </c>
      <c r="Y341" s="398"/>
      <c r="Z341" s="398"/>
    </row>
    <row r="342" spans="1:26">
      <c r="A342" s="392">
        <v>93442</v>
      </c>
      <c r="B342" s="393" t="s">
        <v>1050</v>
      </c>
      <c r="C342" s="235">
        <v>1.3750000000000001E-4</v>
      </c>
      <c r="D342" s="235">
        <v>1.507E-4</v>
      </c>
      <c r="E342" s="232">
        <v>210869</v>
      </c>
      <c r="F342" s="232" t="s">
        <v>1930</v>
      </c>
      <c r="G342" s="394">
        <v>67085</v>
      </c>
      <c r="H342" s="394">
        <v>0</v>
      </c>
      <c r="I342" s="394">
        <v>132480</v>
      </c>
      <c r="J342" s="232">
        <v>0</v>
      </c>
      <c r="K342" s="232">
        <v>199565</v>
      </c>
      <c r="L342" s="232"/>
      <c r="M342" s="302">
        <v>0</v>
      </c>
      <c r="N342" s="302">
        <v>301269</v>
      </c>
      <c r="O342" s="302">
        <v>0</v>
      </c>
      <c r="P342" s="232">
        <v>41363</v>
      </c>
      <c r="Q342" s="232">
        <v>342632</v>
      </c>
      <c r="R342" s="232"/>
      <c r="S342" s="394">
        <v>90976</v>
      </c>
      <c r="T342" s="232">
        <v>-17072</v>
      </c>
      <c r="U342" s="398">
        <v>73904</v>
      </c>
      <c r="V342" s="232"/>
      <c r="W342" s="398">
        <v>818578</v>
      </c>
      <c r="X342" s="398">
        <v>-289242</v>
      </c>
      <c r="Y342" s="398"/>
      <c r="Z342" s="398"/>
    </row>
    <row r="343" spans="1:26">
      <c r="A343" s="392">
        <v>93451</v>
      </c>
      <c r="B343" s="393" t="s">
        <v>1051</v>
      </c>
      <c r="C343" s="235">
        <v>6.3E-5</v>
      </c>
      <c r="D343" s="235">
        <v>6.6299999999999999E-5</v>
      </c>
      <c r="E343" s="232">
        <v>96617</v>
      </c>
      <c r="F343" s="232" t="s">
        <v>1930</v>
      </c>
      <c r="G343" s="394">
        <v>30737</v>
      </c>
      <c r="H343" s="394">
        <v>0</v>
      </c>
      <c r="I343" s="394">
        <v>60700</v>
      </c>
      <c r="J343" s="232">
        <v>13731</v>
      </c>
      <c r="K343" s="232">
        <v>105168</v>
      </c>
      <c r="L343" s="232"/>
      <c r="M343" s="302">
        <v>0</v>
      </c>
      <c r="N343" s="302">
        <v>138036</v>
      </c>
      <c r="O343" s="302">
        <v>0</v>
      </c>
      <c r="P343" s="232">
        <v>496</v>
      </c>
      <c r="Q343" s="232">
        <v>138532</v>
      </c>
      <c r="R343" s="232"/>
      <c r="S343" s="394">
        <v>41683</v>
      </c>
      <c r="T343" s="232">
        <v>8255</v>
      </c>
      <c r="U343" s="398">
        <v>49938</v>
      </c>
      <c r="V343" s="232"/>
      <c r="W343" s="398">
        <v>375057</v>
      </c>
      <c r="X343" s="398">
        <v>-132525</v>
      </c>
      <c r="Y343" s="398"/>
      <c r="Z343" s="398"/>
    </row>
    <row r="344" spans="1:26">
      <c r="A344" s="392">
        <v>93461</v>
      </c>
      <c r="B344" s="393" t="s">
        <v>1052</v>
      </c>
      <c r="C344" s="235">
        <v>1.5699999999999999E-5</v>
      </c>
      <c r="D344" s="235">
        <v>1.49E-5</v>
      </c>
      <c r="E344" s="232">
        <v>24077</v>
      </c>
      <c r="F344" s="232" t="s">
        <v>1930</v>
      </c>
      <c r="G344" s="394">
        <v>7660</v>
      </c>
      <c r="H344" s="394">
        <v>0</v>
      </c>
      <c r="I344" s="394">
        <v>15127</v>
      </c>
      <c r="J344" s="232">
        <v>1196</v>
      </c>
      <c r="K344" s="232">
        <v>23983</v>
      </c>
      <c r="L344" s="232"/>
      <c r="M344" s="302">
        <v>0</v>
      </c>
      <c r="N344" s="302">
        <v>34399</v>
      </c>
      <c r="O344" s="302">
        <v>0</v>
      </c>
      <c r="P344" s="232">
        <v>522</v>
      </c>
      <c r="Q344" s="232">
        <v>34921</v>
      </c>
      <c r="R344" s="232"/>
      <c r="S344" s="394">
        <v>10388</v>
      </c>
      <c r="T344" s="232">
        <v>232</v>
      </c>
      <c r="U344" s="398">
        <v>10620</v>
      </c>
      <c r="V344" s="232"/>
      <c r="W344" s="398">
        <v>93467</v>
      </c>
      <c r="X344" s="398">
        <v>-33026</v>
      </c>
      <c r="Y344" s="398"/>
      <c r="Z344" s="398"/>
    </row>
    <row r="345" spans="1:26">
      <c r="A345" s="392">
        <v>93471</v>
      </c>
      <c r="B345" s="393" t="s">
        <v>1053</v>
      </c>
      <c r="C345" s="235">
        <v>1.2099999999999999E-5</v>
      </c>
      <c r="D345" s="235">
        <v>1.24E-5</v>
      </c>
      <c r="E345" s="232">
        <v>18557</v>
      </c>
      <c r="F345" s="232" t="s">
        <v>1930</v>
      </c>
      <c r="G345" s="394">
        <v>5903</v>
      </c>
      <c r="H345" s="394">
        <v>0</v>
      </c>
      <c r="I345" s="394">
        <v>11658</v>
      </c>
      <c r="J345" s="232">
        <v>8559</v>
      </c>
      <c r="K345" s="232">
        <v>26120</v>
      </c>
      <c r="L345" s="232"/>
      <c r="M345" s="302">
        <v>0</v>
      </c>
      <c r="N345" s="302">
        <v>26512</v>
      </c>
      <c r="O345" s="302">
        <v>0</v>
      </c>
      <c r="P345" s="232">
        <v>0</v>
      </c>
      <c r="Q345" s="232">
        <v>26512</v>
      </c>
      <c r="R345" s="232"/>
      <c r="S345" s="394">
        <v>8006</v>
      </c>
      <c r="T345" s="232">
        <v>4550</v>
      </c>
      <c r="U345" s="398">
        <v>12556</v>
      </c>
      <c r="V345" s="232"/>
      <c r="W345" s="398">
        <v>72035</v>
      </c>
      <c r="X345" s="398">
        <v>-25453</v>
      </c>
      <c r="Y345" s="398"/>
      <c r="Z345" s="398"/>
    </row>
    <row r="346" spans="1:26">
      <c r="A346" s="392">
        <v>93501</v>
      </c>
      <c r="B346" s="393" t="s">
        <v>1054</v>
      </c>
      <c r="C346" s="235">
        <v>3.5084999999999999E-3</v>
      </c>
      <c r="D346" s="235">
        <v>3.7423999999999999E-3</v>
      </c>
      <c r="E346" s="232">
        <v>5380622</v>
      </c>
      <c r="F346" s="232" t="s">
        <v>1930</v>
      </c>
      <c r="G346" s="394">
        <v>1711769</v>
      </c>
      <c r="H346" s="394">
        <v>0</v>
      </c>
      <c r="I346" s="394">
        <v>3380405</v>
      </c>
      <c r="J346" s="232">
        <v>55472</v>
      </c>
      <c r="K346" s="232">
        <v>5147646</v>
      </c>
      <c r="L346" s="232"/>
      <c r="M346" s="302">
        <v>0</v>
      </c>
      <c r="N346" s="302">
        <v>7687292</v>
      </c>
      <c r="O346" s="302">
        <v>0</v>
      </c>
      <c r="P346" s="232">
        <v>441439</v>
      </c>
      <c r="Q346" s="232">
        <v>8128731</v>
      </c>
      <c r="R346" s="232"/>
      <c r="S346" s="394">
        <v>2321371</v>
      </c>
      <c r="T346" s="232">
        <v>-94980</v>
      </c>
      <c r="U346" s="398">
        <v>2226391</v>
      </c>
      <c r="V346" s="232"/>
      <c r="W346" s="398">
        <v>20887125</v>
      </c>
      <c r="X346" s="398">
        <v>-7380400</v>
      </c>
      <c r="Y346" s="398"/>
      <c r="Z346" s="398"/>
    </row>
    <row r="347" spans="1:26">
      <c r="A347" s="392">
        <v>93511</v>
      </c>
      <c r="B347" s="393" t="s">
        <v>1055</v>
      </c>
      <c r="C347" s="235">
        <v>8.2100000000000003E-5</v>
      </c>
      <c r="D347" s="235">
        <v>8.6100000000000006E-5</v>
      </c>
      <c r="E347" s="232">
        <v>125908</v>
      </c>
      <c r="F347" s="232" t="s">
        <v>1930</v>
      </c>
      <c r="G347" s="394">
        <v>40056</v>
      </c>
      <c r="H347" s="394">
        <v>0</v>
      </c>
      <c r="I347" s="394">
        <v>79103</v>
      </c>
      <c r="J347" s="232">
        <v>6848</v>
      </c>
      <c r="K347" s="232">
        <v>126007</v>
      </c>
      <c r="L347" s="232"/>
      <c r="M347" s="302">
        <v>0</v>
      </c>
      <c r="N347" s="302">
        <v>179885</v>
      </c>
      <c r="O347" s="302">
        <v>0</v>
      </c>
      <c r="P347" s="232">
        <v>1215</v>
      </c>
      <c r="Q347" s="232">
        <v>181100</v>
      </c>
      <c r="R347" s="232"/>
      <c r="S347" s="394">
        <v>54321</v>
      </c>
      <c r="T347" s="232">
        <v>2208</v>
      </c>
      <c r="U347" s="398">
        <v>56529</v>
      </c>
      <c r="V347" s="232"/>
      <c r="W347" s="398">
        <v>488765</v>
      </c>
      <c r="X347" s="398">
        <v>-172704</v>
      </c>
      <c r="Y347" s="398"/>
      <c r="Z347" s="398"/>
    </row>
    <row r="348" spans="1:26">
      <c r="A348" s="392">
        <v>93517</v>
      </c>
      <c r="B348" s="393" t="s">
        <v>1056</v>
      </c>
      <c r="C348" s="235">
        <v>4.5000000000000001E-6</v>
      </c>
      <c r="D348" s="235">
        <v>3.7000000000000002E-6</v>
      </c>
      <c r="E348" s="232">
        <v>6901</v>
      </c>
      <c r="F348" s="232" t="s">
        <v>1930</v>
      </c>
      <c r="G348" s="394">
        <v>2196</v>
      </c>
      <c r="H348" s="394">
        <v>0</v>
      </c>
      <c r="I348" s="394">
        <v>4336</v>
      </c>
      <c r="J348" s="232">
        <v>6271</v>
      </c>
      <c r="K348" s="232">
        <v>12803</v>
      </c>
      <c r="L348" s="232"/>
      <c r="M348" s="302">
        <v>0</v>
      </c>
      <c r="N348" s="302">
        <v>9860</v>
      </c>
      <c r="O348" s="302">
        <v>0</v>
      </c>
      <c r="P348" s="232">
        <v>0</v>
      </c>
      <c r="Q348" s="232">
        <v>9860</v>
      </c>
      <c r="R348" s="232"/>
      <c r="S348" s="394">
        <v>2977</v>
      </c>
      <c r="T348" s="232">
        <v>2812</v>
      </c>
      <c r="U348" s="398">
        <v>5789</v>
      </c>
      <c r="V348" s="232"/>
      <c r="W348" s="398">
        <v>26790</v>
      </c>
      <c r="X348" s="398">
        <v>-9466</v>
      </c>
      <c r="Y348" s="398"/>
      <c r="Z348" s="398"/>
    </row>
    <row r="349" spans="1:26">
      <c r="A349" s="392">
        <v>93521</v>
      </c>
      <c r="B349" s="393" t="s">
        <v>1057</v>
      </c>
      <c r="C349" s="235">
        <v>4.5629999999999998E-4</v>
      </c>
      <c r="D349" s="235">
        <v>4.7459999999999999E-4</v>
      </c>
      <c r="E349" s="232">
        <v>699780</v>
      </c>
      <c r="F349" s="232" t="s">
        <v>1930</v>
      </c>
      <c r="G349" s="394">
        <v>222625</v>
      </c>
      <c r="H349" s="394">
        <v>0</v>
      </c>
      <c r="I349" s="394">
        <v>439640</v>
      </c>
      <c r="J349" s="232">
        <v>6522</v>
      </c>
      <c r="K349" s="232">
        <v>668787</v>
      </c>
      <c r="L349" s="232"/>
      <c r="M349" s="302">
        <v>0</v>
      </c>
      <c r="N349" s="302">
        <v>999775</v>
      </c>
      <c r="O349" s="302">
        <v>0</v>
      </c>
      <c r="P349" s="232">
        <v>23547</v>
      </c>
      <c r="Q349" s="232">
        <v>1023322</v>
      </c>
      <c r="R349" s="232"/>
      <c r="S349" s="394">
        <v>301907</v>
      </c>
      <c r="T349" s="232">
        <v>-22961</v>
      </c>
      <c r="U349" s="398">
        <v>278946</v>
      </c>
      <c r="V349" s="232"/>
      <c r="W349" s="398">
        <v>2716487</v>
      </c>
      <c r="X349" s="398">
        <v>-959862</v>
      </c>
      <c r="Y349" s="398"/>
      <c r="Z349" s="398"/>
    </row>
    <row r="350" spans="1:26">
      <c r="A350" s="392">
        <v>93527</v>
      </c>
      <c r="B350" s="393" t="s">
        <v>1058</v>
      </c>
      <c r="C350" s="235">
        <v>1.4800000000000001E-5</v>
      </c>
      <c r="D350" s="235">
        <v>8.8999999999999995E-6</v>
      </c>
      <c r="E350" s="232">
        <v>22697</v>
      </c>
      <c r="F350" s="232" t="s">
        <v>1930</v>
      </c>
      <c r="G350" s="394">
        <v>7221</v>
      </c>
      <c r="H350" s="394">
        <v>0</v>
      </c>
      <c r="I350" s="394">
        <v>14260</v>
      </c>
      <c r="J350" s="232">
        <v>19144</v>
      </c>
      <c r="K350" s="232">
        <v>40625</v>
      </c>
      <c r="L350" s="232"/>
      <c r="M350" s="302">
        <v>0</v>
      </c>
      <c r="N350" s="302">
        <v>32428</v>
      </c>
      <c r="O350" s="302">
        <v>0</v>
      </c>
      <c r="P350" s="232">
        <v>0</v>
      </c>
      <c r="Q350" s="232">
        <v>32428</v>
      </c>
      <c r="R350" s="232"/>
      <c r="S350" s="394">
        <v>9792</v>
      </c>
      <c r="T350" s="232">
        <v>9548</v>
      </c>
      <c r="U350" s="398">
        <v>19340</v>
      </c>
      <c r="V350" s="232"/>
      <c r="W350" s="398">
        <v>88109</v>
      </c>
      <c r="X350" s="398">
        <v>-31133</v>
      </c>
      <c r="Y350" s="398"/>
      <c r="Z350" s="398"/>
    </row>
    <row r="351" spans="1:26">
      <c r="A351" s="392">
        <v>93531</v>
      </c>
      <c r="B351" s="393" t="s">
        <v>1059</v>
      </c>
      <c r="C351" s="235">
        <v>2.5400000000000001E-5</v>
      </c>
      <c r="D351" s="235">
        <v>2.4899999999999999E-5</v>
      </c>
      <c r="E351" s="232">
        <v>38953</v>
      </c>
      <c r="F351" s="232" t="s">
        <v>1930</v>
      </c>
      <c r="G351" s="394">
        <v>12392</v>
      </c>
      <c r="H351" s="394">
        <v>0</v>
      </c>
      <c r="I351" s="394">
        <v>24473</v>
      </c>
      <c r="J351" s="232">
        <v>8317</v>
      </c>
      <c r="K351" s="232">
        <v>45182</v>
      </c>
      <c r="L351" s="232"/>
      <c r="M351" s="302">
        <v>0</v>
      </c>
      <c r="N351" s="302">
        <v>55653</v>
      </c>
      <c r="O351" s="302">
        <v>0</v>
      </c>
      <c r="P351" s="232">
        <v>3060</v>
      </c>
      <c r="Q351" s="232">
        <v>58713</v>
      </c>
      <c r="R351" s="232"/>
      <c r="S351" s="394">
        <v>16806</v>
      </c>
      <c r="T351" s="232">
        <v>2613</v>
      </c>
      <c r="U351" s="398">
        <v>19419</v>
      </c>
      <c r="V351" s="232"/>
      <c r="W351" s="398">
        <v>151214</v>
      </c>
      <c r="X351" s="398">
        <v>-53431</v>
      </c>
      <c r="Y351" s="398"/>
      <c r="Z351" s="398"/>
    </row>
    <row r="352" spans="1:26">
      <c r="A352" s="392">
        <v>93537</v>
      </c>
      <c r="B352" s="393" t="s">
        <v>1060</v>
      </c>
      <c r="C352" s="235">
        <v>9.7999999999999993E-6</v>
      </c>
      <c r="D352" s="235">
        <v>1.04E-5</v>
      </c>
      <c r="E352" s="232">
        <v>15029</v>
      </c>
      <c r="F352" s="232" t="s">
        <v>1930</v>
      </c>
      <c r="G352" s="394">
        <v>4781</v>
      </c>
      <c r="H352" s="394">
        <v>0</v>
      </c>
      <c r="I352" s="394">
        <v>9442</v>
      </c>
      <c r="J352" s="232">
        <v>0</v>
      </c>
      <c r="K352" s="232">
        <v>14223</v>
      </c>
      <c r="L352" s="232"/>
      <c r="M352" s="302">
        <v>0</v>
      </c>
      <c r="N352" s="302">
        <v>21472</v>
      </c>
      <c r="O352" s="302">
        <v>0</v>
      </c>
      <c r="P352" s="232">
        <v>3965</v>
      </c>
      <c r="Q352" s="232">
        <v>25437</v>
      </c>
      <c r="R352" s="232"/>
      <c r="S352" s="394">
        <v>6484</v>
      </c>
      <c r="T352" s="232">
        <v>-2079</v>
      </c>
      <c r="U352" s="398">
        <v>4405</v>
      </c>
      <c r="V352" s="232"/>
      <c r="W352" s="398">
        <v>58342</v>
      </c>
      <c r="X352" s="398">
        <v>-20615</v>
      </c>
      <c r="Y352" s="398"/>
      <c r="Z352" s="398"/>
    </row>
    <row r="353" spans="1:26">
      <c r="A353" s="392">
        <v>93541</v>
      </c>
      <c r="B353" s="393" t="s">
        <v>1061</v>
      </c>
      <c r="C353" s="235">
        <v>1.8760000000000001E-4</v>
      </c>
      <c r="D353" s="235">
        <v>1.6339999999999999E-4</v>
      </c>
      <c r="E353" s="232">
        <v>287703</v>
      </c>
      <c r="F353" s="232" t="s">
        <v>1930</v>
      </c>
      <c r="G353" s="394">
        <v>91529</v>
      </c>
      <c r="H353" s="394">
        <v>0</v>
      </c>
      <c r="I353" s="394">
        <v>180751</v>
      </c>
      <c r="J353" s="232">
        <v>81024</v>
      </c>
      <c r="K353" s="232">
        <v>353304</v>
      </c>
      <c r="L353" s="232"/>
      <c r="M353" s="302">
        <v>0</v>
      </c>
      <c r="N353" s="302">
        <v>411041</v>
      </c>
      <c r="O353" s="302">
        <v>0</v>
      </c>
      <c r="P353" s="232">
        <v>1186</v>
      </c>
      <c r="Q353" s="232">
        <v>412227</v>
      </c>
      <c r="R353" s="232"/>
      <c r="S353" s="394">
        <v>124124</v>
      </c>
      <c r="T353" s="232">
        <v>34784</v>
      </c>
      <c r="U353" s="398">
        <v>158908</v>
      </c>
      <c r="V353" s="232"/>
      <c r="W353" s="398">
        <v>1116838</v>
      </c>
      <c r="X353" s="398">
        <v>-394631</v>
      </c>
      <c r="Y353" s="398"/>
      <c r="Z353" s="398"/>
    </row>
    <row r="354" spans="1:26">
      <c r="A354" s="392">
        <v>93601</v>
      </c>
      <c r="B354" s="393" t="s">
        <v>1062</v>
      </c>
      <c r="C354" s="235">
        <v>1.1387599999999999E-2</v>
      </c>
      <c r="D354" s="235">
        <v>1.0955299999999999E-2</v>
      </c>
      <c r="E354" s="232">
        <v>17463978</v>
      </c>
      <c r="F354" s="232" t="s">
        <v>1930</v>
      </c>
      <c r="G354" s="394">
        <v>5555919</v>
      </c>
      <c r="H354" s="394">
        <v>0</v>
      </c>
      <c r="I354" s="394">
        <v>10971839</v>
      </c>
      <c r="J354" s="232">
        <v>836642</v>
      </c>
      <c r="K354" s="232">
        <v>17364400</v>
      </c>
      <c r="L354" s="232"/>
      <c r="M354" s="302">
        <v>0</v>
      </c>
      <c r="N354" s="302">
        <v>24950778</v>
      </c>
      <c r="O354" s="302">
        <v>0</v>
      </c>
      <c r="P354" s="232">
        <v>113925</v>
      </c>
      <c r="Q354" s="232">
        <v>25064703</v>
      </c>
      <c r="R354" s="232"/>
      <c r="S354" s="394">
        <v>7534514</v>
      </c>
      <c r="T354" s="232">
        <v>248989</v>
      </c>
      <c r="U354" s="398">
        <v>7783503</v>
      </c>
      <c r="V354" s="232"/>
      <c r="W354" s="398">
        <v>67793708</v>
      </c>
      <c r="X354" s="398">
        <v>-23954693</v>
      </c>
      <c r="Y354" s="398"/>
      <c r="Z354" s="398"/>
    </row>
    <row r="355" spans="1:26">
      <c r="A355" s="392">
        <v>93602</v>
      </c>
      <c r="B355" s="393" t="s">
        <v>1063</v>
      </c>
      <c r="C355" s="235">
        <v>1.7000000000000001E-4</v>
      </c>
      <c r="D355" s="235">
        <v>1.5779999999999999E-4</v>
      </c>
      <c r="E355" s="232">
        <v>260711</v>
      </c>
      <c r="F355" s="232" t="s">
        <v>1930</v>
      </c>
      <c r="G355" s="394">
        <v>82942</v>
      </c>
      <c r="H355" s="394">
        <v>0</v>
      </c>
      <c r="I355" s="394">
        <v>163793</v>
      </c>
      <c r="J355" s="232">
        <v>45247</v>
      </c>
      <c r="K355" s="232">
        <v>291982</v>
      </c>
      <c r="L355" s="232"/>
      <c r="M355" s="302">
        <v>0</v>
      </c>
      <c r="N355" s="302">
        <v>372478</v>
      </c>
      <c r="O355" s="302">
        <v>0</v>
      </c>
      <c r="P355" s="232">
        <v>16749</v>
      </c>
      <c r="Q355" s="232">
        <v>389227</v>
      </c>
      <c r="R355" s="232"/>
      <c r="S355" s="394">
        <v>112479</v>
      </c>
      <c r="T355" s="232">
        <v>9885</v>
      </c>
      <c r="U355" s="398">
        <v>122364</v>
      </c>
      <c r="V355" s="232"/>
      <c r="W355" s="398">
        <v>1012060</v>
      </c>
      <c r="X355" s="398">
        <v>-357608</v>
      </c>
      <c r="Y355" s="398"/>
      <c r="Z355" s="398"/>
    </row>
    <row r="356" spans="1:26">
      <c r="A356" s="392">
        <v>93604</v>
      </c>
      <c r="B356" t="s">
        <v>1932</v>
      </c>
      <c r="C356" s="235">
        <v>1.3900000000000001E-5</v>
      </c>
      <c r="D356" s="235">
        <v>1.31E-5</v>
      </c>
      <c r="E356" s="232">
        <v>21317</v>
      </c>
      <c r="F356" s="232" t="s">
        <v>1930</v>
      </c>
      <c r="G356" s="394">
        <v>6782</v>
      </c>
      <c r="H356" s="394">
        <v>0</v>
      </c>
      <c r="I356" s="394">
        <v>13393</v>
      </c>
      <c r="J356" s="232">
        <v>13787</v>
      </c>
      <c r="K356" s="232">
        <v>33962</v>
      </c>
      <c r="L356" s="232"/>
      <c r="M356" s="302">
        <v>0</v>
      </c>
      <c r="N356" s="302">
        <v>30456</v>
      </c>
      <c r="O356" s="302">
        <v>0</v>
      </c>
      <c r="P356" s="232">
        <v>9099</v>
      </c>
      <c r="Q356" s="232">
        <v>39555</v>
      </c>
      <c r="R356" s="232"/>
      <c r="S356" s="394">
        <v>9197</v>
      </c>
      <c r="T356" s="232">
        <v>3917</v>
      </c>
      <c r="U356" s="398">
        <v>13114</v>
      </c>
      <c r="V356" s="232"/>
      <c r="W356" s="398">
        <v>82751</v>
      </c>
      <c r="X356" s="398">
        <v>-29240</v>
      </c>
      <c r="Y356" s="398"/>
      <c r="Z356" s="398"/>
    </row>
    <row r="357" spans="1:26">
      <c r="A357" s="392">
        <v>93609</v>
      </c>
      <c r="B357" s="393" t="s">
        <v>1064</v>
      </c>
      <c r="C357" s="235">
        <v>3.9456999999999999E-3</v>
      </c>
      <c r="D357" s="235">
        <v>3.6703E-3</v>
      </c>
      <c r="E357" s="232">
        <v>6051110</v>
      </c>
      <c r="F357" s="232" t="s">
        <v>1930</v>
      </c>
      <c r="G357" s="394">
        <v>1925075</v>
      </c>
      <c r="H357" s="394">
        <v>0</v>
      </c>
      <c r="I357" s="394">
        <v>3801642</v>
      </c>
      <c r="J357" s="232">
        <v>455902</v>
      </c>
      <c r="K357" s="232">
        <v>6182619</v>
      </c>
      <c r="L357" s="232"/>
      <c r="M357" s="302">
        <v>0</v>
      </c>
      <c r="N357" s="302">
        <v>8645218</v>
      </c>
      <c r="O357" s="302">
        <v>0</v>
      </c>
      <c r="P357" s="232">
        <v>166744</v>
      </c>
      <c r="Q357" s="232">
        <v>8811962</v>
      </c>
      <c r="R357" s="232"/>
      <c r="S357" s="394">
        <v>2610641</v>
      </c>
      <c r="T357" s="232">
        <v>196431</v>
      </c>
      <c r="U357" s="398">
        <v>2807072</v>
      </c>
      <c r="V357" s="232"/>
      <c r="W357" s="398">
        <v>23489904</v>
      </c>
      <c r="X357" s="398">
        <v>-8300084</v>
      </c>
      <c r="Y357" s="398"/>
      <c r="Z357" s="398"/>
    </row>
    <row r="358" spans="1:26">
      <c r="A358" s="392">
        <v>93610</v>
      </c>
      <c r="B358" s="393" t="s">
        <v>1065</v>
      </c>
      <c r="C358" s="235">
        <v>1.6099999999999998E-5</v>
      </c>
      <c r="D358" s="235">
        <v>1.63E-5</v>
      </c>
      <c r="E358" s="232">
        <v>24691</v>
      </c>
      <c r="F358" s="232" t="s">
        <v>1930</v>
      </c>
      <c r="G358" s="394">
        <v>7855</v>
      </c>
      <c r="H358" s="394">
        <v>0</v>
      </c>
      <c r="I358" s="394">
        <v>15512</v>
      </c>
      <c r="J358" s="232">
        <v>168</v>
      </c>
      <c r="K358" s="232">
        <v>23535</v>
      </c>
      <c r="L358" s="232"/>
      <c r="M358" s="302">
        <v>0</v>
      </c>
      <c r="N358" s="302">
        <v>35276</v>
      </c>
      <c r="O358" s="302">
        <v>0</v>
      </c>
      <c r="P358" s="232">
        <v>2101</v>
      </c>
      <c r="Q358" s="232">
        <v>37377</v>
      </c>
      <c r="R358" s="232"/>
      <c r="S358" s="394">
        <v>10652</v>
      </c>
      <c r="T358" s="232">
        <v>390</v>
      </c>
      <c r="U358" s="398">
        <v>11042</v>
      </c>
      <c r="V358" s="232"/>
      <c r="W358" s="398">
        <v>95848</v>
      </c>
      <c r="X358" s="398">
        <v>-33868</v>
      </c>
      <c r="Y358" s="398"/>
      <c r="Z358" s="398"/>
    </row>
    <row r="359" spans="1:26">
      <c r="A359" s="392">
        <v>93611</v>
      </c>
      <c r="B359" s="393" t="s">
        <v>1066</v>
      </c>
      <c r="C359" s="235">
        <v>6.4822999999999999E-3</v>
      </c>
      <c r="D359" s="235">
        <v>6.7793000000000003E-3</v>
      </c>
      <c r="E359" s="232">
        <v>9941229</v>
      </c>
      <c r="F359" s="232" t="s">
        <v>1930</v>
      </c>
      <c r="G359" s="394">
        <v>3162662</v>
      </c>
      <c r="H359" s="394">
        <v>0</v>
      </c>
      <c r="I359" s="394">
        <v>6245631</v>
      </c>
      <c r="J359" s="232">
        <v>0</v>
      </c>
      <c r="K359" s="232">
        <v>9408293</v>
      </c>
      <c r="L359" s="232"/>
      <c r="M359" s="302">
        <v>0</v>
      </c>
      <c r="N359" s="302">
        <v>14203030</v>
      </c>
      <c r="O359" s="302">
        <v>0</v>
      </c>
      <c r="P359" s="232">
        <v>531016</v>
      </c>
      <c r="Q359" s="232">
        <v>14734046</v>
      </c>
      <c r="R359" s="232"/>
      <c r="S359" s="394">
        <v>4288962</v>
      </c>
      <c r="T359" s="232">
        <v>-182488</v>
      </c>
      <c r="U359" s="398">
        <v>4106474</v>
      </c>
      <c r="V359" s="232"/>
      <c r="W359" s="398">
        <v>38591025</v>
      </c>
      <c r="X359" s="398">
        <v>-13636017</v>
      </c>
      <c r="Y359" s="398"/>
      <c r="Z359" s="398"/>
    </row>
    <row r="360" spans="1:26">
      <c r="A360" s="392">
        <v>93617</v>
      </c>
      <c r="B360" s="393" t="s">
        <v>1067</v>
      </c>
      <c r="C360" s="235">
        <v>9.7700000000000003E-5</v>
      </c>
      <c r="D360" s="235">
        <v>7.64E-5</v>
      </c>
      <c r="E360" s="232">
        <v>149832</v>
      </c>
      <c r="F360" s="232" t="s">
        <v>1930</v>
      </c>
      <c r="G360" s="394">
        <v>47667</v>
      </c>
      <c r="H360" s="394">
        <v>0</v>
      </c>
      <c r="I360" s="394">
        <v>94133</v>
      </c>
      <c r="J360" s="232">
        <v>63953</v>
      </c>
      <c r="K360" s="232">
        <v>205753</v>
      </c>
      <c r="L360" s="232"/>
      <c r="M360" s="302">
        <v>0</v>
      </c>
      <c r="N360" s="302">
        <v>214065</v>
      </c>
      <c r="O360" s="302">
        <v>0</v>
      </c>
      <c r="P360" s="232">
        <v>0</v>
      </c>
      <c r="Q360" s="232">
        <v>214065</v>
      </c>
      <c r="R360" s="232"/>
      <c r="S360" s="394">
        <v>64642</v>
      </c>
      <c r="T360" s="232">
        <v>25453</v>
      </c>
      <c r="U360" s="398">
        <v>90095</v>
      </c>
      <c r="V360" s="232"/>
      <c r="W360" s="398">
        <v>581637</v>
      </c>
      <c r="X360" s="398">
        <v>-205519</v>
      </c>
      <c r="Y360" s="398"/>
      <c r="Z360" s="398"/>
    </row>
    <row r="361" spans="1:26">
      <c r="A361" s="392">
        <v>93618</v>
      </c>
      <c r="B361" s="393" t="s">
        <v>1068</v>
      </c>
      <c r="C361" s="235">
        <v>7.7999999999999999E-6</v>
      </c>
      <c r="D361" s="235">
        <v>8.3000000000000002E-6</v>
      </c>
      <c r="E361" s="232">
        <v>11962</v>
      </c>
      <c r="F361" s="232" t="s">
        <v>1930</v>
      </c>
      <c r="G361" s="394">
        <v>3806</v>
      </c>
      <c r="H361" s="394">
        <v>0</v>
      </c>
      <c r="I361" s="394">
        <v>7515</v>
      </c>
      <c r="J361" s="232">
        <v>33396</v>
      </c>
      <c r="K361" s="232">
        <v>44717</v>
      </c>
      <c r="L361" s="232"/>
      <c r="M361" s="302">
        <v>0</v>
      </c>
      <c r="N361" s="302">
        <v>17090</v>
      </c>
      <c r="O361" s="302">
        <v>0</v>
      </c>
      <c r="P361" s="232">
        <v>0</v>
      </c>
      <c r="Q361" s="232">
        <v>17090</v>
      </c>
      <c r="R361" s="232"/>
      <c r="S361" s="394">
        <v>5161</v>
      </c>
      <c r="T361" s="232">
        <v>19266</v>
      </c>
      <c r="U361" s="398">
        <v>24427</v>
      </c>
      <c r="V361" s="232"/>
      <c r="W361" s="398">
        <v>46436</v>
      </c>
      <c r="X361" s="398">
        <v>-16408</v>
      </c>
      <c r="Y361" s="398"/>
      <c r="Z361" s="398"/>
    </row>
    <row r="362" spans="1:26">
      <c r="A362" s="392">
        <v>93621</v>
      </c>
      <c r="B362" s="393" t="s">
        <v>1069</v>
      </c>
      <c r="C362" s="235">
        <v>1.1558E-3</v>
      </c>
      <c r="D362" s="235">
        <v>1.1447E-3</v>
      </c>
      <c r="E362" s="232">
        <v>1772530</v>
      </c>
      <c r="F362" s="232" t="s">
        <v>1930</v>
      </c>
      <c r="G362" s="394">
        <v>563906</v>
      </c>
      <c r="H362" s="394">
        <v>0</v>
      </c>
      <c r="I362" s="394">
        <v>1113602</v>
      </c>
      <c r="J362" s="232">
        <v>55010</v>
      </c>
      <c r="K362" s="232">
        <v>1732518</v>
      </c>
      <c r="L362" s="232"/>
      <c r="M362" s="302">
        <v>0</v>
      </c>
      <c r="N362" s="302">
        <v>2532413</v>
      </c>
      <c r="O362" s="302">
        <v>0</v>
      </c>
      <c r="P362" s="232">
        <v>18324</v>
      </c>
      <c r="Q362" s="232">
        <v>2550737</v>
      </c>
      <c r="R362" s="232"/>
      <c r="S362" s="394">
        <v>764726</v>
      </c>
      <c r="T362" s="232">
        <v>34771</v>
      </c>
      <c r="U362" s="398">
        <v>799497</v>
      </c>
      <c r="V362" s="232"/>
      <c r="W362" s="398">
        <v>6880815</v>
      </c>
      <c r="X362" s="398">
        <v>-2431314</v>
      </c>
      <c r="Y362" s="398"/>
      <c r="Z362" s="398"/>
    </row>
    <row r="363" spans="1:26">
      <c r="A363" s="392">
        <v>93623</v>
      </c>
      <c r="B363" s="393" t="s">
        <v>1070</v>
      </c>
      <c r="C363" s="235">
        <v>1.04E-5</v>
      </c>
      <c r="D363" s="235">
        <v>1.17E-5</v>
      </c>
      <c r="E363" s="232">
        <v>15949</v>
      </c>
      <c r="F363" s="232" t="s">
        <v>1930</v>
      </c>
      <c r="G363" s="394">
        <v>5074</v>
      </c>
      <c r="H363" s="394">
        <v>0</v>
      </c>
      <c r="I363" s="394">
        <v>10020</v>
      </c>
      <c r="J363" s="232">
        <v>1519</v>
      </c>
      <c r="K363" s="232">
        <v>16613</v>
      </c>
      <c r="L363" s="232"/>
      <c r="M363" s="302">
        <v>0</v>
      </c>
      <c r="N363" s="302">
        <v>22787</v>
      </c>
      <c r="O363" s="302">
        <v>0</v>
      </c>
      <c r="P363" s="232">
        <v>667</v>
      </c>
      <c r="Q363" s="232">
        <v>23454</v>
      </c>
      <c r="R363" s="232"/>
      <c r="S363" s="394">
        <v>6881</v>
      </c>
      <c r="T363" s="232">
        <v>1335</v>
      </c>
      <c r="U363" s="398">
        <v>8216</v>
      </c>
      <c r="V363" s="232"/>
      <c r="W363" s="398">
        <v>61914</v>
      </c>
      <c r="X363" s="398">
        <v>-21877</v>
      </c>
      <c r="Y363" s="398"/>
      <c r="Z363" s="398"/>
    </row>
    <row r="364" spans="1:26">
      <c r="A364" s="392">
        <v>93631</v>
      </c>
      <c r="B364" s="393" t="s">
        <v>1071</v>
      </c>
      <c r="C364" s="235">
        <v>2.4949999999999999E-4</v>
      </c>
      <c r="D364" s="235">
        <v>2.8699999999999998E-4</v>
      </c>
      <c r="E364" s="232">
        <v>382632</v>
      </c>
      <c r="F364" s="232" t="s">
        <v>1930</v>
      </c>
      <c r="G364" s="394">
        <v>121729</v>
      </c>
      <c r="H364" s="394">
        <v>0</v>
      </c>
      <c r="I364" s="394">
        <v>240391</v>
      </c>
      <c r="J364" s="232">
        <v>27452</v>
      </c>
      <c r="K364" s="232">
        <v>389572</v>
      </c>
      <c r="L364" s="232"/>
      <c r="M364" s="302">
        <v>0</v>
      </c>
      <c r="N364" s="302">
        <v>546666</v>
      </c>
      <c r="O364" s="302">
        <v>0</v>
      </c>
      <c r="P364" s="232">
        <v>71855</v>
      </c>
      <c r="Q364" s="232">
        <v>618521</v>
      </c>
      <c r="R364" s="232"/>
      <c r="S364" s="394">
        <v>165080</v>
      </c>
      <c r="T364" s="232">
        <v>-13046</v>
      </c>
      <c r="U364" s="398">
        <v>152034</v>
      </c>
      <c r="V364" s="232"/>
      <c r="W364" s="398">
        <v>1485346</v>
      </c>
      <c r="X364" s="398">
        <v>-524842</v>
      </c>
      <c r="Y364" s="398"/>
      <c r="Z364" s="398"/>
    </row>
    <row r="365" spans="1:26">
      <c r="A365" s="392">
        <v>93641</v>
      </c>
      <c r="B365" s="393" t="s">
        <v>1072</v>
      </c>
      <c r="C365" s="235">
        <v>3.881E-4</v>
      </c>
      <c r="D365" s="235">
        <v>3.724E-4</v>
      </c>
      <c r="E365" s="232">
        <v>595189</v>
      </c>
      <c r="F365" s="232" t="s">
        <v>1930</v>
      </c>
      <c r="G365" s="394">
        <v>189351</v>
      </c>
      <c r="H365" s="394">
        <v>0</v>
      </c>
      <c r="I365" s="394">
        <v>373930</v>
      </c>
      <c r="J365" s="232">
        <v>84679</v>
      </c>
      <c r="K365" s="232">
        <v>647960</v>
      </c>
      <c r="L365" s="232"/>
      <c r="M365" s="302">
        <v>0</v>
      </c>
      <c r="N365" s="302">
        <v>850346</v>
      </c>
      <c r="O365" s="302">
        <v>0</v>
      </c>
      <c r="P365" s="232">
        <v>545</v>
      </c>
      <c r="Q365" s="232">
        <v>850891</v>
      </c>
      <c r="R365" s="232"/>
      <c r="S365" s="394">
        <v>256783</v>
      </c>
      <c r="T365" s="232">
        <v>29923</v>
      </c>
      <c r="U365" s="398">
        <v>286706</v>
      </c>
      <c r="V365" s="232"/>
      <c r="W365" s="398">
        <v>2310473</v>
      </c>
      <c r="X365" s="398">
        <v>-816398</v>
      </c>
      <c r="Y365" s="398"/>
      <c r="Z365" s="398"/>
    </row>
    <row r="366" spans="1:26">
      <c r="A366" s="392">
        <v>93647</v>
      </c>
      <c r="B366" s="393" t="s">
        <v>1073</v>
      </c>
      <c r="C366" s="235">
        <v>4.6999999999999999E-6</v>
      </c>
      <c r="D366" s="235">
        <v>4.6E-6</v>
      </c>
      <c r="E366" s="232">
        <v>7208</v>
      </c>
      <c r="F366" s="232" t="s">
        <v>1930</v>
      </c>
      <c r="G366" s="394">
        <v>2293</v>
      </c>
      <c r="H366" s="394">
        <v>0</v>
      </c>
      <c r="I366" s="394">
        <v>4528</v>
      </c>
      <c r="J366" s="232">
        <v>11440</v>
      </c>
      <c r="K366" s="232">
        <v>18261</v>
      </c>
      <c r="L366" s="232"/>
      <c r="M366" s="302">
        <v>0</v>
      </c>
      <c r="N366" s="302">
        <v>10298</v>
      </c>
      <c r="O366" s="302">
        <v>0</v>
      </c>
      <c r="P366" s="232">
        <v>0</v>
      </c>
      <c r="Q366" s="232">
        <v>10298</v>
      </c>
      <c r="R366" s="232"/>
      <c r="S366" s="394">
        <v>3110</v>
      </c>
      <c r="T366" s="232">
        <v>6482</v>
      </c>
      <c r="U366" s="398">
        <v>9592</v>
      </c>
      <c r="V366" s="232"/>
      <c r="W366" s="398">
        <v>27980</v>
      </c>
      <c r="X366" s="398">
        <v>-9887</v>
      </c>
      <c r="Y366" s="398"/>
      <c r="Z366" s="398"/>
    </row>
    <row r="367" spans="1:26">
      <c r="A367" s="392">
        <v>93651</v>
      </c>
      <c r="B367" s="393" t="s">
        <v>1074</v>
      </c>
      <c r="C367" s="235">
        <v>4.462E-4</v>
      </c>
      <c r="D367" s="235">
        <v>4.4680000000000002E-4</v>
      </c>
      <c r="E367" s="232">
        <v>684291</v>
      </c>
      <c r="F367" s="232" t="s">
        <v>1930</v>
      </c>
      <c r="G367" s="394">
        <v>217697</v>
      </c>
      <c r="H367" s="394">
        <v>0</v>
      </c>
      <c r="I367" s="394">
        <v>429909</v>
      </c>
      <c r="J367" s="232">
        <v>1723</v>
      </c>
      <c r="K367" s="232">
        <v>649329</v>
      </c>
      <c r="L367" s="232"/>
      <c r="M367" s="302">
        <v>0</v>
      </c>
      <c r="N367" s="302">
        <v>977646</v>
      </c>
      <c r="O367" s="302">
        <v>0</v>
      </c>
      <c r="P367" s="232">
        <v>38771</v>
      </c>
      <c r="Q367" s="232">
        <v>1016417</v>
      </c>
      <c r="R367" s="232"/>
      <c r="S367" s="394">
        <v>295225</v>
      </c>
      <c r="T367" s="232">
        <v>-16011</v>
      </c>
      <c r="U367" s="398">
        <v>279214</v>
      </c>
      <c r="V367" s="232"/>
      <c r="W367" s="398">
        <v>2656359</v>
      </c>
      <c r="X367" s="398">
        <v>-938616</v>
      </c>
      <c r="Y367" s="398"/>
      <c r="Z367" s="398"/>
    </row>
    <row r="368" spans="1:26">
      <c r="A368" s="392">
        <v>93661</v>
      </c>
      <c r="B368" s="393" t="s">
        <v>1075</v>
      </c>
      <c r="C368" s="235">
        <v>1.3999999999999999E-4</v>
      </c>
      <c r="D368" s="235">
        <v>1.4679999999999999E-4</v>
      </c>
      <c r="E368" s="232">
        <v>214703</v>
      </c>
      <c r="F368" s="232" t="s">
        <v>1930</v>
      </c>
      <c r="G368" s="394">
        <v>68305</v>
      </c>
      <c r="H368" s="394">
        <v>0</v>
      </c>
      <c r="I368" s="394">
        <v>134889</v>
      </c>
      <c r="J368" s="232">
        <v>18979</v>
      </c>
      <c r="K368" s="232">
        <v>222173</v>
      </c>
      <c r="L368" s="232"/>
      <c r="M368" s="302">
        <v>0</v>
      </c>
      <c r="N368" s="302">
        <v>306747</v>
      </c>
      <c r="O368" s="302">
        <v>0</v>
      </c>
      <c r="P368" s="232">
        <v>14508</v>
      </c>
      <c r="Q368" s="232">
        <v>321255</v>
      </c>
      <c r="R368" s="232"/>
      <c r="S368" s="394">
        <v>92630</v>
      </c>
      <c r="T368" s="232">
        <v>5305</v>
      </c>
      <c r="U368" s="398">
        <v>97935</v>
      </c>
      <c r="V368" s="232"/>
      <c r="W368" s="398">
        <v>833461</v>
      </c>
      <c r="X368" s="398">
        <v>-294501</v>
      </c>
      <c r="Y368" s="398"/>
      <c r="Z368" s="398"/>
    </row>
    <row r="369" spans="1:26">
      <c r="A369" s="392">
        <v>93671</v>
      </c>
      <c r="B369" s="393" t="s">
        <v>1076</v>
      </c>
      <c r="C369" s="235">
        <v>3.6230000000000002E-4</v>
      </c>
      <c r="D369" s="235">
        <v>3.5520000000000001E-4</v>
      </c>
      <c r="E369" s="232">
        <v>555622</v>
      </c>
      <c r="F369" s="232" t="s">
        <v>1930</v>
      </c>
      <c r="G369" s="394">
        <v>176763</v>
      </c>
      <c r="H369" s="394">
        <v>0</v>
      </c>
      <c r="I369" s="394">
        <v>349072</v>
      </c>
      <c r="J369" s="232">
        <v>54371</v>
      </c>
      <c r="K369" s="232">
        <v>580206</v>
      </c>
      <c r="L369" s="232"/>
      <c r="M369" s="302">
        <v>0</v>
      </c>
      <c r="N369" s="302">
        <v>793817</v>
      </c>
      <c r="O369" s="302">
        <v>0</v>
      </c>
      <c r="P369" s="232">
        <v>0</v>
      </c>
      <c r="Q369" s="232">
        <v>793817</v>
      </c>
      <c r="R369" s="232"/>
      <c r="S369" s="394">
        <v>239713</v>
      </c>
      <c r="T369" s="232">
        <v>23960</v>
      </c>
      <c r="U369" s="398">
        <v>263673</v>
      </c>
      <c r="V369" s="232"/>
      <c r="W369" s="398">
        <v>2156878</v>
      </c>
      <c r="X369" s="398">
        <v>-762126</v>
      </c>
      <c r="Y369" s="398"/>
      <c r="Z369" s="398"/>
    </row>
    <row r="370" spans="1:26">
      <c r="A370" s="392">
        <v>93681</v>
      </c>
      <c r="B370" s="393" t="s">
        <v>1077</v>
      </c>
      <c r="C370" s="235">
        <v>1.9430000000000001E-4</v>
      </c>
      <c r="D370" s="235">
        <v>1.5789999999999999E-4</v>
      </c>
      <c r="E370" s="232">
        <v>297978</v>
      </c>
      <c r="F370" s="232" t="s">
        <v>1930</v>
      </c>
      <c r="G370" s="394">
        <v>94797</v>
      </c>
      <c r="H370" s="394">
        <v>0</v>
      </c>
      <c r="I370" s="394">
        <v>187206</v>
      </c>
      <c r="J370" s="232">
        <v>79220</v>
      </c>
      <c r="K370" s="232">
        <v>361223</v>
      </c>
      <c r="L370" s="232"/>
      <c r="M370" s="302">
        <v>0</v>
      </c>
      <c r="N370" s="302">
        <v>425721</v>
      </c>
      <c r="O370" s="302">
        <v>0</v>
      </c>
      <c r="P370" s="232">
        <v>0</v>
      </c>
      <c r="Q370" s="232">
        <v>425721</v>
      </c>
      <c r="R370" s="232"/>
      <c r="S370" s="394">
        <v>128557</v>
      </c>
      <c r="T370" s="232">
        <v>31313</v>
      </c>
      <c r="U370" s="398">
        <v>159870</v>
      </c>
      <c r="V370" s="232"/>
      <c r="W370" s="398">
        <v>1156725</v>
      </c>
      <c r="X370" s="398">
        <v>-408725</v>
      </c>
      <c r="Y370" s="398"/>
      <c r="Z370" s="398"/>
    </row>
    <row r="371" spans="1:26">
      <c r="A371" s="392">
        <v>93691</v>
      </c>
      <c r="B371" s="393" t="s">
        <v>1078</v>
      </c>
      <c r="C371" s="235">
        <v>9.9149999999999998E-4</v>
      </c>
      <c r="D371" s="235">
        <v>1.0933E-3</v>
      </c>
      <c r="E371" s="232">
        <v>1520560</v>
      </c>
      <c r="F371" s="232" t="s">
        <v>1930</v>
      </c>
      <c r="G371" s="394">
        <v>483745</v>
      </c>
      <c r="H371" s="394">
        <v>0</v>
      </c>
      <c r="I371" s="394">
        <v>955300</v>
      </c>
      <c r="J371" s="232">
        <v>11304</v>
      </c>
      <c r="K371" s="232">
        <v>1450349</v>
      </c>
      <c r="L371" s="232"/>
      <c r="M371" s="302">
        <v>0</v>
      </c>
      <c r="N371" s="302">
        <v>2172424</v>
      </c>
      <c r="O371" s="302">
        <v>0</v>
      </c>
      <c r="P371" s="232">
        <v>234272</v>
      </c>
      <c r="Q371" s="232">
        <v>2406696</v>
      </c>
      <c r="R371" s="232"/>
      <c r="S371" s="394">
        <v>656018</v>
      </c>
      <c r="T371" s="232">
        <v>-95728</v>
      </c>
      <c r="U371" s="398">
        <v>560290</v>
      </c>
      <c r="V371" s="232"/>
      <c r="W371" s="398">
        <v>5902689</v>
      </c>
      <c r="X371" s="398">
        <v>-2085697</v>
      </c>
      <c r="Y371" s="398"/>
      <c r="Z371" s="398"/>
    </row>
    <row r="372" spans="1:26">
      <c r="A372" s="392">
        <v>93701</v>
      </c>
      <c r="B372" s="393" t="s">
        <v>1941</v>
      </c>
      <c r="C372" s="235">
        <v>4.0969999999999998E-4</v>
      </c>
      <c r="D372" s="235">
        <v>4.2969999999999998E-4</v>
      </c>
      <c r="E372" s="232">
        <v>628314</v>
      </c>
      <c r="F372" s="232" t="s">
        <v>1930</v>
      </c>
      <c r="G372" s="394">
        <v>199889</v>
      </c>
      <c r="H372" s="394">
        <v>0</v>
      </c>
      <c r="I372" s="394">
        <v>394742</v>
      </c>
      <c r="J372" s="232">
        <v>0</v>
      </c>
      <c r="K372" s="232">
        <v>594631</v>
      </c>
      <c r="L372" s="232"/>
      <c r="M372" s="302">
        <v>0</v>
      </c>
      <c r="N372" s="302">
        <v>897672</v>
      </c>
      <c r="O372" s="302">
        <v>0</v>
      </c>
      <c r="P372" s="232">
        <v>48121</v>
      </c>
      <c r="Q372" s="232">
        <v>945793</v>
      </c>
      <c r="R372" s="232"/>
      <c r="S372" s="394">
        <v>271075</v>
      </c>
      <c r="T372" s="232">
        <v>-21403</v>
      </c>
      <c r="U372" s="398">
        <v>249672</v>
      </c>
      <c r="V372" s="232"/>
      <c r="W372" s="398">
        <v>2439064</v>
      </c>
      <c r="X372" s="398">
        <v>-861835</v>
      </c>
      <c r="Y372" s="398"/>
      <c r="Z372" s="398"/>
    </row>
    <row r="373" spans="1:26">
      <c r="A373" s="392">
        <v>93704</v>
      </c>
      <c r="B373" s="393" t="s">
        <v>1080</v>
      </c>
      <c r="C373" s="235">
        <v>1.7999999999999999E-6</v>
      </c>
      <c r="D373" s="235">
        <v>1.9999999999999999E-6</v>
      </c>
      <c r="E373" s="232">
        <v>2760</v>
      </c>
      <c r="F373" s="232" t="s">
        <v>1930</v>
      </c>
      <c r="G373" s="394">
        <v>878</v>
      </c>
      <c r="H373" s="394">
        <v>0</v>
      </c>
      <c r="I373" s="394">
        <v>1734</v>
      </c>
      <c r="J373" s="232">
        <v>1796</v>
      </c>
      <c r="K373" s="232">
        <v>4408</v>
      </c>
      <c r="L373" s="232"/>
      <c r="M373" s="302">
        <v>0</v>
      </c>
      <c r="N373" s="302">
        <v>3944</v>
      </c>
      <c r="O373" s="302">
        <v>0</v>
      </c>
      <c r="P373" s="232">
        <v>0</v>
      </c>
      <c r="Q373" s="232">
        <v>3944</v>
      </c>
      <c r="R373" s="232"/>
      <c r="S373" s="394">
        <v>1191</v>
      </c>
      <c r="T373" s="232">
        <v>842</v>
      </c>
      <c r="U373" s="398">
        <v>2033</v>
      </c>
      <c r="V373" s="232"/>
      <c r="W373" s="398">
        <v>10716</v>
      </c>
      <c r="X373" s="398">
        <v>-3786</v>
      </c>
      <c r="Y373" s="398"/>
      <c r="Z373" s="398"/>
    </row>
    <row r="374" spans="1:26">
      <c r="A374" s="392">
        <v>93801</v>
      </c>
      <c r="B374" s="393" t="s">
        <v>1081</v>
      </c>
      <c r="C374" s="235">
        <v>4.4470000000000002E-4</v>
      </c>
      <c r="D374" s="235">
        <v>4.3399999999999998E-4</v>
      </c>
      <c r="E374" s="232">
        <v>681990</v>
      </c>
      <c r="F374" s="232" t="s">
        <v>1930</v>
      </c>
      <c r="G374" s="394">
        <v>216966</v>
      </c>
      <c r="H374" s="394">
        <v>0</v>
      </c>
      <c r="I374" s="394">
        <v>428464</v>
      </c>
      <c r="J374" s="232">
        <v>31230</v>
      </c>
      <c r="K374" s="232">
        <v>676660</v>
      </c>
      <c r="L374" s="232"/>
      <c r="M374" s="302">
        <v>0</v>
      </c>
      <c r="N374" s="302">
        <v>974359</v>
      </c>
      <c r="O374" s="302">
        <v>0</v>
      </c>
      <c r="P374" s="232">
        <v>12577</v>
      </c>
      <c r="Q374" s="232">
        <v>986936</v>
      </c>
      <c r="R374" s="232"/>
      <c r="S374" s="394">
        <v>294232</v>
      </c>
      <c r="T374" s="232">
        <v>-11879</v>
      </c>
      <c r="U374" s="398">
        <v>282353</v>
      </c>
      <c r="V374" s="232"/>
      <c r="W374" s="398">
        <v>2647429</v>
      </c>
      <c r="X374" s="398">
        <v>-935461</v>
      </c>
      <c r="Y374" s="398"/>
      <c r="Z374" s="398"/>
    </row>
    <row r="375" spans="1:26">
      <c r="A375" s="392">
        <v>93803</v>
      </c>
      <c r="B375" s="393" t="s">
        <v>1082</v>
      </c>
      <c r="C375" s="235">
        <v>1.138E-4</v>
      </c>
      <c r="D375" s="235">
        <v>1.039E-4</v>
      </c>
      <c r="E375" s="232">
        <v>174523</v>
      </c>
      <c r="F375" s="232" t="s">
        <v>1930</v>
      </c>
      <c r="G375" s="394">
        <v>55522</v>
      </c>
      <c r="H375" s="394">
        <v>0</v>
      </c>
      <c r="I375" s="394">
        <v>109645</v>
      </c>
      <c r="J375" s="232">
        <v>28181</v>
      </c>
      <c r="K375" s="232">
        <v>193348</v>
      </c>
      <c r="L375" s="232"/>
      <c r="M375" s="302">
        <v>0</v>
      </c>
      <c r="N375" s="302">
        <v>249341</v>
      </c>
      <c r="O375" s="302">
        <v>0</v>
      </c>
      <c r="P375" s="232">
        <v>11453</v>
      </c>
      <c r="Q375" s="232">
        <v>260794</v>
      </c>
      <c r="R375" s="232"/>
      <c r="S375" s="394">
        <v>75295</v>
      </c>
      <c r="T375" s="232">
        <v>-936</v>
      </c>
      <c r="U375" s="398">
        <v>74359</v>
      </c>
      <c r="V375" s="232"/>
      <c r="W375" s="398">
        <v>677485</v>
      </c>
      <c r="X375" s="398">
        <v>-239387</v>
      </c>
      <c r="Y375" s="398"/>
      <c r="Z375" s="398"/>
    </row>
    <row r="376" spans="1:26">
      <c r="A376" s="392">
        <v>93806</v>
      </c>
      <c r="B376" s="393" t="s">
        <v>1083</v>
      </c>
      <c r="C376" s="235">
        <v>7.5599999999999994E-5</v>
      </c>
      <c r="D376" s="235">
        <v>7.0599999999999995E-5</v>
      </c>
      <c r="E376" s="232">
        <v>115940</v>
      </c>
      <c r="F376" s="232" t="s">
        <v>1930</v>
      </c>
      <c r="G376" s="394">
        <v>36885</v>
      </c>
      <c r="H376" s="394">
        <v>0</v>
      </c>
      <c r="I376" s="394">
        <v>72840</v>
      </c>
      <c r="J376" s="232">
        <v>13899</v>
      </c>
      <c r="K376" s="232">
        <v>123624</v>
      </c>
      <c r="L376" s="232"/>
      <c r="M376" s="302">
        <v>0</v>
      </c>
      <c r="N376" s="302">
        <v>165643</v>
      </c>
      <c r="O376" s="302">
        <v>0</v>
      </c>
      <c r="P376" s="232">
        <v>12452</v>
      </c>
      <c r="Q376" s="232">
        <v>178095</v>
      </c>
      <c r="R376" s="232"/>
      <c r="S376" s="394">
        <v>50020</v>
      </c>
      <c r="T376" s="232">
        <v>517</v>
      </c>
      <c r="U376" s="398">
        <v>50537</v>
      </c>
      <c r="V376" s="232"/>
      <c r="W376" s="398">
        <v>450069</v>
      </c>
      <c r="X376" s="398">
        <v>-159030</v>
      </c>
      <c r="Y376" s="398"/>
      <c r="Z376" s="398"/>
    </row>
    <row r="377" spans="1:26">
      <c r="A377" s="392">
        <v>93821</v>
      </c>
      <c r="B377" s="393" t="s">
        <v>1084</v>
      </c>
      <c r="C377" s="235">
        <v>6.8899999999999994E-5</v>
      </c>
      <c r="D377" s="235">
        <v>6.2199999999999994E-5</v>
      </c>
      <c r="E377" s="232">
        <v>105665</v>
      </c>
      <c r="F377" s="232" t="s">
        <v>1930</v>
      </c>
      <c r="G377" s="394">
        <v>33616</v>
      </c>
      <c r="H377" s="394">
        <v>0</v>
      </c>
      <c r="I377" s="394">
        <v>66384</v>
      </c>
      <c r="J377" s="232">
        <v>23000</v>
      </c>
      <c r="K377" s="232">
        <v>123000</v>
      </c>
      <c r="L377" s="232"/>
      <c r="M377" s="302">
        <v>0</v>
      </c>
      <c r="N377" s="302">
        <v>150963</v>
      </c>
      <c r="O377" s="302">
        <v>0</v>
      </c>
      <c r="P377" s="232">
        <v>6409</v>
      </c>
      <c r="Q377" s="232">
        <v>157372</v>
      </c>
      <c r="R377" s="232"/>
      <c r="S377" s="394">
        <v>45587</v>
      </c>
      <c r="T377" s="232">
        <v>11893</v>
      </c>
      <c r="U377" s="398">
        <v>57480</v>
      </c>
      <c r="V377" s="232"/>
      <c r="W377" s="398">
        <v>410182</v>
      </c>
      <c r="X377" s="398">
        <v>-144936</v>
      </c>
      <c r="Y377" s="398"/>
      <c r="Z377" s="398"/>
    </row>
    <row r="378" spans="1:26">
      <c r="A378" s="392">
        <v>93901</v>
      </c>
      <c r="B378" s="393" t="s">
        <v>1085</v>
      </c>
      <c r="C378" s="235">
        <v>1.8913999999999999E-3</v>
      </c>
      <c r="D378" s="235">
        <v>1.8209999999999999E-3</v>
      </c>
      <c r="E378" s="232">
        <v>2900643</v>
      </c>
      <c r="F378" s="232" t="s">
        <v>1930</v>
      </c>
      <c r="G378" s="394">
        <v>922799</v>
      </c>
      <c r="H378" s="394">
        <v>0</v>
      </c>
      <c r="I378" s="394">
        <v>1822345</v>
      </c>
      <c r="J378" s="232">
        <v>350997</v>
      </c>
      <c r="K378" s="232">
        <v>3096141</v>
      </c>
      <c r="L378" s="232"/>
      <c r="M378" s="302">
        <v>0</v>
      </c>
      <c r="N378" s="302">
        <v>4144148</v>
      </c>
      <c r="O378" s="302">
        <v>0</v>
      </c>
      <c r="P378" s="232">
        <v>0</v>
      </c>
      <c r="Q378" s="232">
        <v>4144148</v>
      </c>
      <c r="R378" s="232"/>
      <c r="S378" s="394">
        <v>1251430</v>
      </c>
      <c r="T378" s="232">
        <v>159956</v>
      </c>
      <c r="U378" s="398">
        <v>1411386</v>
      </c>
      <c r="V378" s="232"/>
      <c r="W378" s="398">
        <v>11260056</v>
      </c>
      <c r="X378" s="398">
        <v>-3978706</v>
      </c>
      <c r="Y378" s="398"/>
      <c r="Z378" s="398"/>
    </row>
    <row r="379" spans="1:26">
      <c r="A379" s="392">
        <v>93904</v>
      </c>
      <c r="B379" s="393" t="s">
        <v>1086</v>
      </c>
      <c r="C379" s="235">
        <v>3.2700000000000002E-5</v>
      </c>
      <c r="D379" s="235">
        <v>3.1900000000000003E-5</v>
      </c>
      <c r="E379" s="232">
        <v>50149</v>
      </c>
      <c r="F379" s="232" t="s">
        <v>1930</v>
      </c>
      <c r="G379" s="394">
        <v>15954</v>
      </c>
      <c r="H379" s="394">
        <v>0</v>
      </c>
      <c r="I379" s="394">
        <v>31506</v>
      </c>
      <c r="J379" s="232">
        <v>16439</v>
      </c>
      <c r="K379" s="232">
        <v>63899</v>
      </c>
      <c r="L379" s="232"/>
      <c r="M379" s="302">
        <v>0</v>
      </c>
      <c r="N379" s="302">
        <v>71647</v>
      </c>
      <c r="O379" s="302">
        <v>0</v>
      </c>
      <c r="P379" s="232">
        <v>0</v>
      </c>
      <c r="Q379" s="232">
        <v>71647</v>
      </c>
      <c r="R379" s="232"/>
      <c r="S379" s="394">
        <v>21636</v>
      </c>
      <c r="T379" s="232">
        <v>9214</v>
      </c>
      <c r="U379" s="398">
        <v>30850</v>
      </c>
      <c r="V379" s="232"/>
      <c r="W379" s="398">
        <v>194673</v>
      </c>
      <c r="X379" s="398">
        <v>-68787</v>
      </c>
      <c r="Y379" s="398"/>
      <c r="Z379" s="398"/>
    </row>
    <row r="380" spans="1:26">
      <c r="A380" s="392">
        <v>93906</v>
      </c>
      <c r="B380" s="393" t="s">
        <v>1087</v>
      </c>
      <c r="C380" s="235">
        <v>3.3013999999999999E-3</v>
      </c>
      <c r="D380" s="235">
        <v>3.0739999999999999E-3</v>
      </c>
      <c r="E380" s="232">
        <v>5063014</v>
      </c>
      <c r="F380" s="232" t="s">
        <v>1930</v>
      </c>
      <c r="G380" s="394">
        <v>1610727</v>
      </c>
      <c r="H380" s="394">
        <v>0</v>
      </c>
      <c r="I380" s="394">
        <v>3180866</v>
      </c>
      <c r="J380" s="232">
        <v>304924</v>
      </c>
      <c r="K380" s="232">
        <v>5096517</v>
      </c>
      <c r="L380" s="232"/>
      <c r="M380" s="302">
        <v>0</v>
      </c>
      <c r="N380" s="302">
        <v>7233526</v>
      </c>
      <c r="O380" s="302">
        <v>0</v>
      </c>
      <c r="P380" s="232">
        <v>120545</v>
      </c>
      <c r="Q380" s="232">
        <v>7354071</v>
      </c>
      <c r="R380" s="232"/>
      <c r="S380" s="394">
        <v>2184345</v>
      </c>
      <c r="T380" s="232">
        <v>-4655</v>
      </c>
      <c r="U380" s="398">
        <v>2179690</v>
      </c>
      <c r="V380" s="232"/>
      <c r="W380" s="398">
        <v>19654198</v>
      </c>
      <c r="X380" s="398">
        <v>-6944749</v>
      </c>
      <c r="Y380" s="398"/>
      <c r="Z380" s="398"/>
    </row>
    <row r="381" spans="1:26">
      <c r="A381" s="392">
        <v>93908</v>
      </c>
      <c r="B381" s="393" t="s">
        <v>1942</v>
      </c>
      <c r="C381" s="235">
        <v>6.1220000000000003E-4</v>
      </c>
      <c r="D381" s="235">
        <v>5.1579999999999996E-4</v>
      </c>
      <c r="E381" s="232">
        <v>938867</v>
      </c>
      <c r="F381" s="232" t="s">
        <v>1930</v>
      </c>
      <c r="G381" s="394">
        <v>298687</v>
      </c>
      <c r="H381" s="394">
        <v>0</v>
      </c>
      <c r="I381" s="394">
        <v>589849</v>
      </c>
      <c r="J381" s="232">
        <v>192598</v>
      </c>
      <c r="K381" s="232">
        <v>1081134</v>
      </c>
      <c r="L381" s="232"/>
      <c r="M381" s="302">
        <v>0</v>
      </c>
      <c r="N381" s="302">
        <v>1341360</v>
      </c>
      <c r="O381" s="302">
        <v>0</v>
      </c>
      <c r="P381" s="232">
        <v>4872</v>
      </c>
      <c r="Q381" s="232">
        <v>1346232</v>
      </c>
      <c r="R381" s="232"/>
      <c r="S381" s="394">
        <v>405057</v>
      </c>
      <c r="T381" s="232">
        <v>65655</v>
      </c>
      <c r="U381" s="398">
        <v>470712</v>
      </c>
      <c r="V381" s="232"/>
      <c r="W381" s="398">
        <v>3644605</v>
      </c>
      <c r="X381" s="398">
        <v>-1287810</v>
      </c>
      <c r="Y381" s="398"/>
      <c r="Z381" s="398"/>
    </row>
    <row r="382" spans="1:26">
      <c r="A382" s="392">
        <v>93910</v>
      </c>
      <c r="B382" s="393" t="s">
        <v>1089</v>
      </c>
      <c r="C382" s="235">
        <v>3.3369999999999998E-4</v>
      </c>
      <c r="D382" s="235">
        <v>2.6459999999999998E-4</v>
      </c>
      <c r="E382" s="232">
        <v>511761</v>
      </c>
      <c r="F382" s="232" t="s">
        <v>1930</v>
      </c>
      <c r="G382" s="394">
        <v>162810</v>
      </c>
      <c r="H382" s="394">
        <v>0</v>
      </c>
      <c r="I382" s="394">
        <v>321517</v>
      </c>
      <c r="J382" s="232">
        <v>156228</v>
      </c>
      <c r="K382" s="232">
        <v>640555</v>
      </c>
      <c r="L382" s="232"/>
      <c r="M382" s="302">
        <v>0</v>
      </c>
      <c r="N382" s="302">
        <v>731153</v>
      </c>
      <c r="O382" s="302">
        <v>0</v>
      </c>
      <c r="P382" s="232">
        <v>13176</v>
      </c>
      <c r="Q382" s="232">
        <v>744329</v>
      </c>
      <c r="R382" s="232"/>
      <c r="S382" s="394">
        <v>220790</v>
      </c>
      <c r="T382" s="232">
        <v>45625</v>
      </c>
      <c r="U382" s="398">
        <v>266415</v>
      </c>
      <c r="V382" s="232"/>
      <c r="W382" s="398">
        <v>1986614</v>
      </c>
      <c r="X382" s="398">
        <v>-701964</v>
      </c>
      <c r="Y382" s="398"/>
      <c r="Z382" s="398"/>
    </row>
    <row r="383" spans="1:26">
      <c r="A383" s="392">
        <v>93911</v>
      </c>
      <c r="B383" s="393" t="s">
        <v>1090</v>
      </c>
      <c r="C383" s="235">
        <v>5.5719999999999999E-4</v>
      </c>
      <c r="D383" s="235">
        <v>6.1660000000000003E-4</v>
      </c>
      <c r="E383" s="232">
        <v>854520</v>
      </c>
      <c r="F383" s="232" t="s">
        <v>1930</v>
      </c>
      <c r="G383" s="394">
        <v>271853</v>
      </c>
      <c r="H383" s="394">
        <v>0</v>
      </c>
      <c r="I383" s="394">
        <v>536857</v>
      </c>
      <c r="J383" s="232">
        <v>3569</v>
      </c>
      <c r="K383" s="232">
        <v>812279</v>
      </c>
      <c r="L383" s="232"/>
      <c r="M383" s="302">
        <v>0</v>
      </c>
      <c r="N383" s="302">
        <v>1220852</v>
      </c>
      <c r="O383" s="302">
        <v>0</v>
      </c>
      <c r="P383" s="232">
        <v>99930</v>
      </c>
      <c r="Q383" s="232">
        <v>1320782</v>
      </c>
      <c r="R383" s="232"/>
      <c r="S383" s="394">
        <v>368667</v>
      </c>
      <c r="T383" s="232">
        <v>-41636</v>
      </c>
      <c r="U383" s="398">
        <v>327031</v>
      </c>
      <c r="V383" s="232"/>
      <c r="W383" s="398">
        <v>3317174</v>
      </c>
      <c r="X383" s="398">
        <v>-1172113</v>
      </c>
      <c r="Y383" s="398"/>
      <c r="Z383" s="398"/>
    </row>
    <row r="384" spans="1:26">
      <c r="A384" s="392">
        <v>93913</v>
      </c>
      <c r="B384" s="393" t="s">
        <v>1091</v>
      </c>
      <c r="C384" s="235">
        <v>4.07E-5</v>
      </c>
      <c r="D384" s="235">
        <v>4.6699999999999997E-5</v>
      </c>
      <c r="E384" s="232">
        <v>62417</v>
      </c>
      <c r="F384" s="232" t="s">
        <v>1930</v>
      </c>
      <c r="G384" s="394">
        <v>19857</v>
      </c>
      <c r="H384" s="394">
        <v>0</v>
      </c>
      <c r="I384" s="394">
        <v>39214</v>
      </c>
      <c r="J384" s="232">
        <v>3647</v>
      </c>
      <c r="K384" s="232">
        <v>62718</v>
      </c>
      <c r="L384" s="232"/>
      <c r="M384" s="302">
        <v>0</v>
      </c>
      <c r="N384" s="302">
        <v>89176</v>
      </c>
      <c r="O384" s="302">
        <v>0</v>
      </c>
      <c r="P384" s="232">
        <v>1069</v>
      </c>
      <c r="Q384" s="232">
        <v>90245</v>
      </c>
      <c r="R384" s="232"/>
      <c r="S384" s="394">
        <v>26929</v>
      </c>
      <c r="T384" s="232">
        <v>1499</v>
      </c>
      <c r="U384" s="398">
        <v>28428</v>
      </c>
      <c r="V384" s="232"/>
      <c r="W384" s="398">
        <v>242299</v>
      </c>
      <c r="X384" s="398">
        <v>-85616</v>
      </c>
      <c r="Y384" s="398"/>
      <c r="Z384" s="398"/>
    </row>
    <row r="385" spans="1:26">
      <c r="A385" s="392">
        <v>93914</v>
      </c>
      <c r="B385" s="393" t="s">
        <v>1092</v>
      </c>
      <c r="C385" s="235">
        <v>5.1000000000000003E-6</v>
      </c>
      <c r="D385" s="235">
        <v>5.2000000000000002E-6</v>
      </c>
      <c r="E385" s="232">
        <v>7821</v>
      </c>
      <c r="F385" s="232" t="s">
        <v>1930</v>
      </c>
      <c r="G385" s="394">
        <v>2488</v>
      </c>
      <c r="H385" s="394">
        <v>0</v>
      </c>
      <c r="I385" s="394">
        <v>4914</v>
      </c>
      <c r="J385" s="232">
        <v>4466</v>
      </c>
      <c r="K385" s="232">
        <v>11868</v>
      </c>
      <c r="L385" s="232"/>
      <c r="M385" s="302">
        <v>0</v>
      </c>
      <c r="N385" s="302">
        <v>11174</v>
      </c>
      <c r="O385" s="302">
        <v>0</v>
      </c>
      <c r="P385" s="232">
        <v>0</v>
      </c>
      <c r="Q385" s="232">
        <v>11174</v>
      </c>
      <c r="R385" s="232"/>
      <c r="S385" s="394">
        <v>3374</v>
      </c>
      <c r="T385" s="232">
        <v>2538</v>
      </c>
      <c r="U385" s="398">
        <v>5912</v>
      </c>
      <c r="V385" s="232"/>
      <c r="W385" s="398">
        <v>30362</v>
      </c>
      <c r="X385" s="398">
        <v>-10728</v>
      </c>
      <c r="Y385" s="398"/>
      <c r="Z385" s="398"/>
    </row>
    <row r="386" spans="1:26">
      <c r="A386" s="392">
        <v>93921</v>
      </c>
      <c r="B386" s="393" t="s">
        <v>1093</v>
      </c>
      <c r="C386" s="235">
        <v>2.6479999999999999E-4</v>
      </c>
      <c r="D386" s="235">
        <v>2.7060000000000002E-4</v>
      </c>
      <c r="E386" s="232">
        <v>406096</v>
      </c>
      <c r="F386" s="232" t="s">
        <v>1930</v>
      </c>
      <c r="G386" s="394">
        <v>129194</v>
      </c>
      <c r="H386" s="394">
        <v>0</v>
      </c>
      <c r="I386" s="394">
        <v>255132</v>
      </c>
      <c r="J386" s="232">
        <v>34658</v>
      </c>
      <c r="K386" s="232">
        <v>418984</v>
      </c>
      <c r="L386" s="232"/>
      <c r="M386" s="302">
        <v>0</v>
      </c>
      <c r="N386" s="302">
        <v>580190</v>
      </c>
      <c r="O386" s="302">
        <v>0</v>
      </c>
      <c r="P386" s="232">
        <v>28804</v>
      </c>
      <c r="Q386" s="232">
        <v>608994</v>
      </c>
      <c r="R386" s="232"/>
      <c r="S386" s="394">
        <v>175203</v>
      </c>
      <c r="T386" s="232">
        <v>5533</v>
      </c>
      <c r="U386" s="398">
        <v>180736</v>
      </c>
      <c r="V386" s="232"/>
      <c r="W386" s="398">
        <v>1576432</v>
      </c>
      <c r="X386" s="398">
        <v>-557027</v>
      </c>
      <c r="Y386" s="398"/>
      <c r="Z386" s="398"/>
    </row>
    <row r="387" spans="1:26">
      <c r="A387" s="392">
        <v>93931</v>
      </c>
      <c r="B387" s="393" t="s">
        <v>1094</v>
      </c>
      <c r="C387" s="235">
        <v>5.4149999999999999E-4</v>
      </c>
      <c r="D387" s="235">
        <v>5.3470000000000004E-4</v>
      </c>
      <c r="E387" s="232">
        <v>830442</v>
      </c>
      <c r="F387" s="232" t="s">
        <v>1930</v>
      </c>
      <c r="G387" s="394">
        <v>264194</v>
      </c>
      <c r="H387" s="394">
        <v>0</v>
      </c>
      <c r="I387" s="394">
        <v>521730</v>
      </c>
      <c r="J387" s="232">
        <v>3239</v>
      </c>
      <c r="K387" s="232">
        <v>789163</v>
      </c>
      <c r="L387" s="232"/>
      <c r="M387" s="302">
        <v>0</v>
      </c>
      <c r="N387" s="302">
        <v>1186452</v>
      </c>
      <c r="O387" s="302">
        <v>0</v>
      </c>
      <c r="P387" s="232">
        <v>42280</v>
      </c>
      <c r="Q387" s="232">
        <v>1228732</v>
      </c>
      <c r="R387" s="232"/>
      <c r="S387" s="394">
        <v>358279</v>
      </c>
      <c r="T387" s="232">
        <v>-21880</v>
      </c>
      <c r="U387" s="398">
        <v>336399</v>
      </c>
      <c r="V387" s="232"/>
      <c r="W387" s="398">
        <v>3223708</v>
      </c>
      <c r="X387" s="398">
        <v>-1139087</v>
      </c>
      <c r="Y387" s="398"/>
      <c r="Z387" s="398"/>
    </row>
    <row r="388" spans="1:26">
      <c r="A388" s="392">
        <v>94001</v>
      </c>
      <c r="B388" s="393" t="s">
        <v>1095</v>
      </c>
      <c r="C388" s="235">
        <v>1.0621999999999999E-3</v>
      </c>
      <c r="D388" s="235">
        <v>1.0497E-3</v>
      </c>
      <c r="E388" s="232">
        <v>1628986</v>
      </c>
      <c r="F388" s="232" t="s">
        <v>1930</v>
      </c>
      <c r="G388" s="394">
        <v>518239</v>
      </c>
      <c r="H388" s="394">
        <v>0</v>
      </c>
      <c r="I388" s="394">
        <v>1023419</v>
      </c>
      <c r="J388" s="232">
        <v>105807</v>
      </c>
      <c r="K388" s="232">
        <v>1647465</v>
      </c>
      <c r="L388" s="232"/>
      <c r="M388" s="302">
        <v>0</v>
      </c>
      <c r="N388" s="302">
        <v>2327331</v>
      </c>
      <c r="O388" s="302">
        <v>0</v>
      </c>
      <c r="P388" s="232">
        <v>4531</v>
      </c>
      <c r="Q388" s="232">
        <v>2331862</v>
      </c>
      <c r="R388" s="232"/>
      <c r="S388" s="394">
        <v>702796</v>
      </c>
      <c r="T388" s="232">
        <v>57739</v>
      </c>
      <c r="U388" s="398">
        <v>760535</v>
      </c>
      <c r="V388" s="232"/>
      <c r="W388" s="398">
        <v>6323587</v>
      </c>
      <c r="X388" s="398">
        <v>-2234419</v>
      </c>
      <c r="Y388" s="398"/>
      <c r="Z388" s="398"/>
    </row>
    <row r="389" spans="1:26">
      <c r="A389" s="392">
        <v>94002</v>
      </c>
      <c r="B389" s="393" t="s">
        <v>1096</v>
      </c>
      <c r="C389" s="235">
        <v>4.1999999999999996E-6</v>
      </c>
      <c r="D389" s="235">
        <v>4.5000000000000001E-6</v>
      </c>
      <c r="E389" s="232">
        <v>6441</v>
      </c>
      <c r="F389" s="232" t="s">
        <v>1930</v>
      </c>
      <c r="G389" s="394">
        <v>2049</v>
      </c>
      <c r="H389" s="394">
        <v>0</v>
      </c>
      <c r="I389" s="394">
        <v>4047</v>
      </c>
      <c r="J389" s="232">
        <v>3139</v>
      </c>
      <c r="K389" s="232">
        <v>9235</v>
      </c>
      <c r="L389" s="232"/>
      <c r="M389" s="302">
        <v>0</v>
      </c>
      <c r="N389" s="302">
        <v>9202</v>
      </c>
      <c r="O389" s="302">
        <v>0</v>
      </c>
      <c r="P389" s="232">
        <v>0</v>
      </c>
      <c r="Q389" s="232">
        <v>9202</v>
      </c>
      <c r="R389" s="232"/>
      <c r="S389" s="394">
        <v>2779</v>
      </c>
      <c r="T389" s="232">
        <v>1565</v>
      </c>
      <c r="U389" s="398">
        <v>4344</v>
      </c>
      <c r="V389" s="232"/>
      <c r="W389" s="398">
        <v>25004</v>
      </c>
      <c r="X389" s="398">
        <v>-8835</v>
      </c>
      <c r="Y389" s="398"/>
      <c r="Z389" s="398"/>
    </row>
    <row r="390" spans="1:26">
      <c r="A390" s="392">
        <v>94004</v>
      </c>
      <c r="B390" s="393" t="s">
        <v>1097</v>
      </c>
      <c r="C390" s="235">
        <v>1.0200000000000001E-5</v>
      </c>
      <c r="D390" s="235">
        <v>6.8000000000000001E-6</v>
      </c>
      <c r="E390" s="232">
        <v>15643</v>
      </c>
      <c r="F390" s="232" t="s">
        <v>1930</v>
      </c>
      <c r="G390" s="394">
        <v>4976</v>
      </c>
      <c r="H390" s="394">
        <v>0</v>
      </c>
      <c r="I390" s="394">
        <v>9828</v>
      </c>
      <c r="J390" s="232">
        <v>8826</v>
      </c>
      <c r="K390" s="232">
        <v>23630</v>
      </c>
      <c r="L390" s="232"/>
      <c r="M390" s="302">
        <v>0</v>
      </c>
      <c r="N390" s="302">
        <v>22349</v>
      </c>
      <c r="O390" s="302">
        <v>0</v>
      </c>
      <c r="P390" s="232">
        <v>0</v>
      </c>
      <c r="Q390" s="232">
        <v>22349</v>
      </c>
      <c r="R390" s="232"/>
      <c r="S390" s="394">
        <v>6749</v>
      </c>
      <c r="T390" s="232">
        <v>4182</v>
      </c>
      <c r="U390" s="398">
        <v>10931</v>
      </c>
      <c r="V390" s="232"/>
      <c r="W390" s="398">
        <v>60724</v>
      </c>
      <c r="X390" s="398">
        <v>-21456</v>
      </c>
      <c r="Y390" s="398"/>
      <c r="Z390" s="398"/>
    </row>
    <row r="391" spans="1:26">
      <c r="A391" s="392">
        <v>94005</v>
      </c>
      <c r="B391" s="393" t="s">
        <v>1098</v>
      </c>
      <c r="C391" s="235">
        <v>6.2999999999999998E-6</v>
      </c>
      <c r="D391" s="235">
        <v>1.9E-6</v>
      </c>
      <c r="E391" s="232">
        <v>9662</v>
      </c>
      <c r="F391" s="232" t="s">
        <v>1930</v>
      </c>
      <c r="G391" s="394">
        <v>3074</v>
      </c>
      <c r="H391" s="394">
        <v>0</v>
      </c>
      <c r="I391" s="394">
        <v>6070</v>
      </c>
      <c r="J391" s="232">
        <v>10207</v>
      </c>
      <c r="K391" s="232">
        <v>19351</v>
      </c>
      <c r="L391" s="232"/>
      <c r="M391" s="302">
        <v>0</v>
      </c>
      <c r="N391" s="302">
        <v>13804</v>
      </c>
      <c r="O391" s="302">
        <v>0</v>
      </c>
      <c r="P391" s="232">
        <v>683</v>
      </c>
      <c r="Q391" s="232">
        <v>14487</v>
      </c>
      <c r="R391" s="232"/>
      <c r="S391" s="394">
        <v>4168</v>
      </c>
      <c r="T391" s="232">
        <v>2976</v>
      </c>
      <c r="U391" s="398">
        <v>7144</v>
      </c>
      <c r="V391" s="232"/>
      <c r="W391" s="398">
        <v>37506</v>
      </c>
      <c r="X391" s="398">
        <v>-13253</v>
      </c>
      <c r="Y391" s="398"/>
      <c r="Z391" s="398"/>
    </row>
    <row r="392" spans="1:26">
      <c r="A392" s="392">
        <v>94011</v>
      </c>
      <c r="B392" s="393" t="s">
        <v>1099</v>
      </c>
      <c r="C392" s="235">
        <v>2.8900000000000001E-5</v>
      </c>
      <c r="D392" s="235">
        <v>2.7900000000000001E-5</v>
      </c>
      <c r="E392" s="232">
        <v>44321</v>
      </c>
      <c r="F392" s="232" t="s">
        <v>1930</v>
      </c>
      <c r="G392" s="394">
        <v>14100</v>
      </c>
      <c r="H392" s="394">
        <v>0</v>
      </c>
      <c r="I392" s="394">
        <v>27845</v>
      </c>
      <c r="J392" s="232">
        <v>450</v>
      </c>
      <c r="K392" s="232">
        <v>42395</v>
      </c>
      <c r="L392" s="232"/>
      <c r="M392" s="302">
        <v>0</v>
      </c>
      <c r="N392" s="302">
        <v>63321</v>
      </c>
      <c r="O392" s="302">
        <v>0</v>
      </c>
      <c r="P392" s="232">
        <v>2455</v>
      </c>
      <c r="Q392" s="232">
        <v>65776</v>
      </c>
      <c r="R392" s="232"/>
      <c r="S392" s="394">
        <v>19121</v>
      </c>
      <c r="T392" s="232">
        <v>-1342</v>
      </c>
      <c r="U392" s="398">
        <v>17779</v>
      </c>
      <c r="V392" s="232"/>
      <c r="W392" s="398">
        <v>172050</v>
      </c>
      <c r="X392" s="398">
        <v>-60793</v>
      </c>
      <c r="Y392" s="398"/>
      <c r="Z392" s="398"/>
    </row>
    <row r="393" spans="1:26">
      <c r="A393" s="392">
        <v>94021</v>
      </c>
      <c r="B393" s="393" t="s">
        <v>1100</v>
      </c>
      <c r="C393" s="235">
        <v>8.6000000000000003E-5</v>
      </c>
      <c r="D393" s="235">
        <v>1.031E-4</v>
      </c>
      <c r="E393" s="232">
        <v>131889</v>
      </c>
      <c r="F393" s="232" t="s">
        <v>1930</v>
      </c>
      <c r="G393" s="394">
        <v>41959</v>
      </c>
      <c r="H393" s="394">
        <v>0</v>
      </c>
      <c r="I393" s="394">
        <v>82860</v>
      </c>
      <c r="J393" s="232">
        <v>18678</v>
      </c>
      <c r="K393" s="232">
        <v>143497</v>
      </c>
      <c r="L393" s="232"/>
      <c r="M393" s="302">
        <v>0</v>
      </c>
      <c r="N393" s="302">
        <v>188430</v>
      </c>
      <c r="O393" s="302">
        <v>0</v>
      </c>
      <c r="P393" s="232">
        <v>26202</v>
      </c>
      <c r="Q393" s="232">
        <v>214632</v>
      </c>
      <c r="R393" s="232"/>
      <c r="S393" s="394">
        <v>56901</v>
      </c>
      <c r="T393" s="232">
        <v>3510</v>
      </c>
      <c r="U393" s="398">
        <v>60411</v>
      </c>
      <c r="V393" s="232"/>
      <c r="W393" s="398">
        <v>511983</v>
      </c>
      <c r="X393" s="398">
        <v>-180908</v>
      </c>
      <c r="Y393" s="398"/>
      <c r="Z393" s="398"/>
    </row>
    <row r="394" spans="1:26">
      <c r="A394" s="392">
        <v>94031</v>
      </c>
      <c r="B394" s="393" t="s">
        <v>1101</v>
      </c>
      <c r="C394" s="235">
        <v>4.8999999999999997E-6</v>
      </c>
      <c r="D394" s="235">
        <v>4.4000000000000002E-6</v>
      </c>
      <c r="E394" s="232">
        <v>7515</v>
      </c>
      <c r="F394" s="232" t="s">
        <v>1930</v>
      </c>
      <c r="G394" s="394">
        <v>2391</v>
      </c>
      <c r="H394" s="394">
        <v>0</v>
      </c>
      <c r="I394" s="394">
        <v>4721</v>
      </c>
      <c r="J394" s="232">
        <v>9281</v>
      </c>
      <c r="K394" s="232">
        <v>16393</v>
      </c>
      <c r="L394" s="232"/>
      <c r="M394" s="302">
        <v>0</v>
      </c>
      <c r="N394" s="302">
        <v>10736</v>
      </c>
      <c r="O394" s="302">
        <v>0</v>
      </c>
      <c r="P394" s="232">
        <v>0</v>
      </c>
      <c r="Q394" s="232">
        <v>10736</v>
      </c>
      <c r="R394" s="232"/>
      <c r="S394" s="394">
        <v>3242</v>
      </c>
      <c r="T394" s="232">
        <v>4542</v>
      </c>
      <c r="U394" s="398">
        <v>7784</v>
      </c>
      <c r="V394" s="232"/>
      <c r="W394" s="398">
        <v>29171</v>
      </c>
      <c r="X394" s="398">
        <v>-10308</v>
      </c>
      <c r="Y394" s="398"/>
      <c r="Z394" s="398"/>
    </row>
    <row r="395" spans="1:26">
      <c r="A395" s="392">
        <v>94101</v>
      </c>
      <c r="B395" s="393" t="s">
        <v>1102</v>
      </c>
      <c r="C395" s="235">
        <v>1.7842E-2</v>
      </c>
      <c r="D395" s="235">
        <v>1.7262900000000001E-2</v>
      </c>
      <c r="E395" s="232">
        <v>27362420</v>
      </c>
      <c r="F395" s="232" t="s">
        <v>1930</v>
      </c>
      <c r="G395" s="394">
        <v>8704969</v>
      </c>
      <c r="H395" s="394">
        <v>0</v>
      </c>
      <c r="I395" s="394">
        <v>17190589</v>
      </c>
      <c r="J395" s="232">
        <v>1357604</v>
      </c>
      <c r="K395" s="232">
        <v>27253162</v>
      </c>
      <c r="L395" s="232"/>
      <c r="M395" s="302">
        <v>0</v>
      </c>
      <c r="N395" s="302">
        <v>39092678</v>
      </c>
      <c r="O395" s="302">
        <v>0</v>
      </c>
      <c r="P395" s="232">
        <v>203347</v>
      </c>
      <c r="Q395" s="232">
        <v>39296025</v>
      </c>
      <c r="R395" s="232"/>
      <c r="S395" s="394">
        <v>11805017</v>
      </c>
      <c r="T395" s="232">
        <v>347056</v>
      </c>
      <c r="U395" s="398">
        <v>12152073</v>
      </c>
      <c r="V395" s="232"/>
      <c r="W395" s="398">
        <v>106218636</v>
      </c>
      <c r="X395" s="398">
        <v>-37532021</v>
      </c>
      <c r="Y395" s="398"/>
      <c r="Z395" s="398"/>
    </row>
    <row r="396" spans="1:26">
      <c r="A396" s="392">
        <v>94102</v>
      </c>
      <c r="B396" s="393" t="s">
        <v>1103</v>
      </c>
      <c r="C396" s="235">
        <v>3.4259999999999998E-4</v>
      </c>
      <c r="D396" s="235">
        <v>3.8249999999999997E-4</v>
      </c>
      <c r="E396" s="232">
        <v>525410</v>
      </c>
      <c r="F396" s="232" t="s">
        <v>1930</v>
      </c>
      <c r="G396" s="394">
        <v>167152</v>
      </c>
      <c r="H396" s="394">
        <v>0</v>
      </c>
      <c r="I396" s="394">
        <v>330092</v>
      </c>
      <c r="J396" s="232">
        <v>12567</v>
      </c>
      <c r="K396" s="232">
        <v>509811</v>
      </c>
      <c r="L396" s="232"/>
      <c r="M396" s="302">
        <v>0</v>
      </c>
      <c r="N396" s="302">
        <v>750653</v>
      </c>
      <c r="O396" s="302">
        <v>0</v>
      </c>
      <c r="P396" s="232">
        <v>113818</v>
      </c>
      <c r="Q396" s="232">
        <v>864471</v>
      </c>
      <c r="R396" s="232"/>
      <c r="S396" s="394">
        <v>226679</v>
      </c>
      <c r="T396" s="232">
        <v>-39583</v>
      </c>
      <c r="U396" s="398">
        <v>187096</v>
      </c>
      <c r="V396" s="232"/>
      <c r="W396" s="398">
        <v>2039598</v>
      </c>
      <c r="X396" s="398">
        <v>-720685</v>
      </c>
      <c r="Y396" s="398"/>
      <c r="Z396" s="398"/>
    </row>
    <row r="397" spans="1:26">
      <c r="A397" s="392">
        <v>94108</v>
      </c>
      <c r="B397" s="393" t="s">
        <v>1104</v>
      </c>
      <c r="C397" s="235">
        <v>3.9619999999999998E-4</v>
      </c>
      <c r="D397" s="235">
        <v>4.2030000000000002E-4</v>
      </c>
      <c r="E397" s="232">
        <v>607611</v>
      </c>
      <c r="F397" s="232" t="s">
        <v>1930</v>
      </c>
      <c r="G397" s="394">
        <v>193303</v>
      </c>
      <c r="H397" s="394">
        <v>0</v>
      </c>
      <c r="I397" s="394">
        <v>381735</v>
      </c>
      <c r="J397" s="232">
        <v>3398</v>
      </c>
      <c r="K397" s="232">
        <v>578436</v>
      </c>
      <c r="L397" s="232"/>
      <c r="M397" s="302">
        <v>0</v>
      </c>
      <c r="N397" s="302">
        <v>868093</v>
      </c>
      <c r="O397" s="302">
        <v>0</v>
      </c>
      <c r="P397" s="232">
        <v>113350</v>
      </c>
      <c r="Q397" s="232">
        <v>981443</v>
      </c>
      <c r="R397" s="232"/>
      <c r="S397" s="394">
        <v>262143</v>
      </c>
      <c r="T397" s="232">
        <v>-45417</v>
      </c>
      <c r="U397" s="398">
        <v>216726</v>
      </c>
      <c r="V397" s="232"/>
      <c r="W397" s="398">
        <v>2358694</v>
      </c>
      <c r="X397" s="398">
        <v>-833437</v>
      </c>
      <c r="Y397" s="398"/>
      <c r="Z397" s="398"/>
    </row>
    <row r="398" spans="1:26">
      <c r="A398" s="392">
        <v>94109</v>
      </c>
      <c r="B398" s="393" t="s">
        <v>1105</v>
      </c>
      <c r="C398" s="235">
        <v>9.7399999999999996E-5</v>
      </c>
      <c r="D398" s="235">
        <v>1.059E-4</v>
      </c>
      <c r="E398" s="232">
        <v>149372</v>
      </c>
      <c r="F398" s="232" t="s">
        <v>1930</v>
      </c>
      <c r="G398" s="394">
        <v>47521</v>
      </c>
      <c r="H398" s="394">
        <v>0</v>
      </c>
      <c r="I398" s="394">
        <v>93844</v>
      </c>
      <c r="J398" s="232">
        <v>0</v>
      </c>
      <c r="K398" s="232">
        <v>141365</v>
      </c>
      <c r="L398" s="232"/>
      <c r="M398" s="302">
        <v>0</v>
      </c>
      <c r="N398" s="302">
        <v>213408</v>
      </c>
      <c r="O398" s="302">
        <v>0</v>
      </c>
      <c r="P398" s="232">
        <v>35327</v>
      </c>
      <c r="Q398" s="232">
        <v>248735</v>
      </c>
      <c r="R398" s="232"/>
      <c r="S398" s="394">
        <v>64444</v>
      </c>
      <c r="T398" s="232">
        <v>-18609</v>
      </c>
      <c r="U398" s="398">
        <v>45835</v>
      </c>
      <c r="V398" s="232"/>
      <c r="W398" s="398">
        <v>579851</v>
      </c>
      <c r="X398" s="398">
        <v>-204888</v>
      </c>
      <c r="Y398" s="398"/>
      <c r="Z398" s="398"/>
    </row>
    <row r="399" spans="1:26">
      <c r="A399" s="392">
        <v>94111</v>
      </c>
      <c r="B399" s="393" t="s">
        <v>1106</v>
      </c>
      <c r="C399" s="235">
        <v>2.33067E-2</v>
      </c>
      <c r="D399" s="235">
        <v>2.4351600000000001E-2</v>
      </c>
      <c r="E399" s="232">
        <v>35743062</v>
      </c>
      <c r="F399" s="232" t="s">
        <v>1930</v>
      </c>
      <c r="G399" s="394">
        <v>11371152</v>
      </c>
      <c r="H399" s="394">
        <v>0</v>
      </c>
      <c r="I399" s="394">
        <v>22455772</v>
      </c>
      <c r="J399" s="232">
        <v>0</v>
      </c>
      <c r="K399" s="232">
        <v>33826924</v>
      </c>
      <c r="L399" s="232"/>
      <c r="M399" s="302">
        <v>0</v>
      </c>
      <c r="N399" s="302">
        <v>51066098</v>
      </c>
      <c r="O399" s="302">
        <v>0</v>
      </c>
      <c r="P399" s="232">
        <v>2213314</v>
      </c>
      <c r="Q399" s="232">
        <v>53279412</v>
      </c>
      <c r="R399" s="232"/>
      <c r="S399" s="394">
        <v>15420692</v>
      </c>
      <c r="T399" s="232">
        <v>-1047764</v>
      </c>
      <c r="U399" s="398">
        <v>14372928</v>
      </c>
      <c r="V399" s="232"/>
      <c r="W399" s="398">
        <v>138751591</v>
      </c>
      <c r="X399" s="398">
        <v>-49027438</v>
      </c>
      <c r="Y399" s="398"/>
      <c r="Z399" s="398"/>
    </row>
    <row r="400" spans="1:26">
      <c r="A400" s="392">
        <v>94112</v>
      </c>
      <c r="B400" s="393" t="s">
        <v>1107</v>
      </c>
      <c r="C400" s="235">
        <v>1.429E-4</v>
      </c>
      <c r="D400" s="235">
        <v>1.4980000000000001E-4</v>
      </c>
      <c r="E400" s="232">
        <v>219151</v>
      </c>
      <c r="F400" s="232" t="s">
        <v>1930</v>
      </c>
      <c r="G400" s="394">
        <v>69720</v>
      </c>
      <c r="H400" s="394">
        <v>0</v>
      </c>
      <c r="I400" s="394">
        <v>137683</v>
      </c>
      <c r="J400" s="232">
        <v>0</v>
      </c>
      <c r="K400" s="232">
        <v>207403</v>
      </c>
      <c r="L400" s="232"/>
      <c r="M400" s="302">
        <v>0</v>
      </c>
      <c r="N400" s="302">
        <v>313101</v>
      </c>
      <c r="O400" s="302">
        <v>0</v>
      </c>
      <c r="P400" s="232">
        <v>35228</v>
      </c>
      <c r="Q400" s="232">
        <v>348329</v>
      </c>
      <c r="R400" s="232"/>
      <c r="S400" s="394">
        <v>94549</v>
      </c>
      <c r="T400" s="232">
        <v>-16696</v>
      </c>
      <c r="U400" s="398">
        <v>77853</v>
      </c>
      <c r="V400" s="232"/>
      <c r="W400" s="398">
        <v>850725</v>
      </c>
      <c r="X400" s="398">
        <v>-300601</v>
      </c>
      <c r="Y400" s="398"/>
      <c r="Z400" s="398"/>
    </row>
    <row r="401" spans="1:26">
      <c r="A401" s="392">
        <v>94117</v>
      </c>
      <c r="B401" s="393" t="s">
        <v>1108</v>
      </c>
      <c r="C401" s="235">
        <v>3.5599999999999998E-4</v>
      </c>
      <c r="D401" s="235">
        <v>3.1700000000000001E-4</v>
      </c>
      <c r="E401" s="232">
        <v>545960</v>
      </c>
      <c r="F401" s="232" t="s">
        <v>1930</v>
      </c>
      <c r="G401" s="394">
        <v>173690</v>
      </c>
      <c r="H401" s="394">
        <v>0</v>
      </c>
      <c r="I401" s="394">
        <v>343002</v>
      </c>
      <c r="J401" s="232">
        <v>116962</v>
      </c>
      <c r="K401" s="232">
        <v>633654</v>
      </c>
      <c r="L401" s="232"/>
      <c r="M401" s="302">
        <v>0</v>
      </c>
      <c r="N401" s="302">
        <v>780013</v>
      </c>
      <c r="O401" s="302">
        <v>0</v>
      </c>
      <c r="P401" s="232">
        <v>9736</v>
      </c>
      <c r="Q401" s="232">
        <v>789749</v>
      </c>
      <c r="R401" s="232"/>
      <c r="S401" s="394">
        <v>235545</v>
      </c>
      <c r="T401" s="232">
        <v>32302</v>
      </c>
      <c r="U401" s="398">
        <v>267847</v>
      </c>
      <c r="V401" s="232"/>
      <c r="W401" s="398">
        <v>2119372</v>
      </c>
      <c r="X401" s="398">
        <v>-748873</v>
      </c>
      <c r="Y401" s="398"/>
      <c r="Z401" s="398"/>
    </row>
    <row r="402" spans="1:26">
      <c r="A402" s="392">
        <v>94118</v>
      </c>
      <c r="B402" s="393" t="s">
        <v>1109</v>
      </c>
      <c r="C402" s="235">
        <v>1.5090000000000001E-4</v>
      </c>
      <c r="D402" s="235">
        <v>1.5530000000000001E-4</v>
      </c>
      <c r="E402" s="232">
        <v>231420</v>
      </c>
      <c r="F402" s="232" t="s">
        <v>1930</v>
      </c>
      <c r="G402" s="394">
        <v>73623</v>
      </c>
      <c r="H402" s="394">
        <v>0</v>
      </c>
      <c r="I402" s="394">
        <v>145391</v>
      </c>
      <c r="J402" s="232">
        <v>0</v>
      </c>
      <c r="K402" s="232">
        <v>219014</v>
      </c>
      <c r="L402" s="232"/>
      <c r="M402" s="302">
        <v>0</v>
      </c>
      <c r="N402" s="302">
        <v>330629</v>
      </c>
      <c r="O402" s="302">
        <v>0</v>
      </c>
      <c r="P402" s="232">
        <v>31824</v>
      </c>
      <c r="Q402" s="232">
        <v>362453</v>
      </c>
      <c r="R402" s="232"/>
      <c r="S402" s="394">
        <v>99842</v>
      </c>
      <c r="T402" s="232">
        <v>-18731</v>
      </c>
      <c r="U402" s="398">
        <v>81111</v>
      </c>
      <c r="V402" s="232"/>
      <c r="W402" s="398">
        <v>898352</v>
      </c>
      <c r="X402" s="398">
        <v>-317430</v>
      </c>
      <c r="Y402" s="398"/>
      <c r="Z402" s="398"/>
    </row>
    <row r="403" spans="1:26">
      <c r="A403" s="392">
        <v>94121</v>
      </c>
      <c r="B403" s="393" t="s">
        <v>1110</v>
      </c>
      <c r="C403" s="235">
        <v>1.06166E-2</v>
      </c>
      <c r="D403" s="235">
        <v>1.1174099999999999E-2</v>
      </c>
      <c r="E403" s="232">
        <v>16281575</v>
      </c>
      <c r="F403" s="232" t="s">
        <v>1930</v>
      </c>
      <c r="G403" s="394">
        <v>5179754</v>
      </c>
      <c r="H403" s="394">
        <v>0</v>
      </c>
      <c r="I403" s="394">
        <v>10228988</v>
      </c>
      <c r="J403" s="232">
        <v>231424</v>
      </c>
      <c r="K403" s="232">
        <v>15640166</v>
      </c>
      <c r="L403" s="232"/>
      <c r="M403" s="302">
        <v>0</v>
      </c>
      <c r="N403" s="302">
        <v>23261480</v>
      </c>
      <c r="O403" s="302">
        <v>0</v>
      </c>
      <c r="P403" s="232">
        <v>467401</v>
      </c>
      <c r="Q403" s="232">
        <v>23728881</v>
      </c>
      <c r="R403" s="232"/>
      <c r="S403" s="394">
        <v>7024388</v>
      </c>
      <c r="T403" s="232">
        <v>-13375</v>
      </c>
      <c r="U403" s="398">
        <v>7011013</v>
      </c>
      <c r="V403" s="232"/>
      <c r="W403" s="398">
        <v>63203720</v>
      </c>
      <c r="X403" s="398">
        <v>-22332836</v>
      </c>
      <c r="Y403" s="398"/>
      <c r="Z403" s="398"/>
    </row>
    <row r="404" spans="1:26">
      <c r="A404" s="392">
        <v>94127</v>
      </c>
      <c r="B404" s="393" t="s">
        <v>1111</v>
      </c>
      <c r="C404" s="235">
        <v>1.9210000000000001E-4</v>
      </c>
      <c r="D404" s="235">
        <v>1.46E-4</v>
      </c>
      <c r="E404" s="232">
        <v>294604</v>
      </c>
      <c r="F404" s="232" t="s">
        <v>1930</v>
      </c>
      <c r="G404" s="394">
        <v>93724</v>
      </c>
      <c r="H404" s="394">
        <v>0</v>
      </c>
      <c r="I404" s="394">
        <v>185086</v>
      </c>
      <c r="J404" s="232">
        <v>90216</v>
      </c>
      <c r="K404" s="232">
        <v>369026</v>
      </c>
      <c r="L404" s="232"/>
      <c r="M404" s="302">
        <v>0</v>
      </c>
      <c r="N404" s="302">
        <v>420900</v>
      </c>
      <c r="O404" s="302">
        <v>0</v>
      </c>
      <c r="P404" s="232">
        <v>6083</v>
      </c>
      <c r="Q404" s="232">
        <v>426983</v>
      </c>
      <c r="R404" s="232"/>
      <c r="S404" s="394">
        <v>127101</v>
      </c>
      <c r="T404" s="232">
        <v>28438</v>
      </c>
      <c r="U404" s="398">
        <v>155539</v>
      </c>
      <c r="V404" s="232"/>
      <c r="W404" s="398">
        <v>1143627</v>
      </c>
      <c r="X404" s="398">
        <v>-404097</v>
      </c>
      <c r="Y404" s="398"/>
      <c r="Z404" s="398"/>
    </row>
    <row r="405" spans="1:26">
      <c r="A405" s="392">
        <v>94131</v>
      </c>
      <c r="B405" s="393" t="s">
        <v>1112</v>
      </c>
      <c r="C405" s="235">
        <v>2.0560000000000001E-4</v>
      </c>
      <c r="D405" s="235">
        <v>2.1269999999999999E-4</v>
      </c>
      <c r="E405" s="232">
        <v>315307</v>
      </c>
      <c r="F405" s="232" t="s">
        <v>1930</v>
      </c>
      <c r="G405" s="394">
        <v>100311</v>
      </c>
      <c r="H405" s="394">
        <v>0</v>
      </c>
      <c r="I405" s="394">
        <v>198094</v>
      </c>
      <c r="J405" s="232">
        <v>11651</v>
      </c>
      <c r="K405" s="232">
        <v>310056</v>
      </c>
      <c r="L405" s="232"/>
      <c r="M405" s="302">
        <v>0</v>
      </c>
      <c r="N405" s="302">
        <v>450479</v>
      </c>
      <c r="O405" s="302">
        <v>0</v>
      </c>
      <c r="P405" s="232">
        <v>7537</v>
      </c>
      <c r="Q405" s="232">
        <v>458016</v>
      </c>
      <c r="R405" s="232"/>
      <c r="S405" s="394">
        <v>136034</v>
      </c>
      <c r="T405" s="232">
        <v>4271</v>
      </c>
      <c r="U405" s="398">
        <v>140305</v>
      </c>
      <c r="V405" s="232"/>
      <c r="W405" s="398">
        <v>1223997</v>
      </c>
      <c r="X405" s="398">
        <v>-432495</v>
      </c>
      <c r="Y405" s="398"/>
      <c r="Z405" s="398"/>
    </row>
    <row r="406" spans="1:26" ht="14.25" customHeight="1">
      <c r="A406" s="392">
        <v>94151</v>
      </c>
      <c r="B406" s="393" t="s">
        <v>1113</v>
      </c>
      <c r="C406" s="235">
        <v>4.5780000000000001E-4</v>
      </c>
      <c r="D406" s="235">
        <v>4.3360000000000002E-4</v>
      </c>
      <c r="E406" s="232">
        <v>702080</v>
      </c>
      <c r="F406" s="232" t="s">
        <v>1930</v>
      </c>
      <c r="G406" s="394">
        <v>223357</v>
      </c>
      <c r="H406" s="394">
        <v>0</v>
      </c>
      <c r="I406" s="394">
        <v>441086</v>
      </c>
      <c r="J406" s="232">
        <v>28967</v>
      </c>
      <c r="K406" s="232">
        <v>693410</v>
      </c>
      <c r="L406" s="232"/>
      <c r="M406" s="302">
        <v>0</v>
      </c>
      <c r="N406" s="302">
        <v>1003062</v>
      </c>
      <c r="O406" s="302">
        <v>0</v>
      </c>
      <c r="P406" s="232">
        <v>42770</v>
      </c>
      <c r="Q406" s="232">
        <v>1045832</v>
      </c>
      <c r="R406" s="232"/>
      <c r="S406" s="394">
        <v>302900</v>
      </c>
      <c r="T406" s="232">
        <v>-15791</v>
      </c>
      <c r="U406" s="398">
        <v>287109</v>
      </c>
      <c r="V406" s="232"/>
      <c r="W406" s="398">
        <v>2725417</v>
      </c>
      <c r="X406" s="398">
        <v>-963018</v>
      </c>
      <c r="Y406" s="398"/>
      <c r="Z406" s="398"/>
    </row>
    <row r="407" spans="1:26">
      <c r="A407" s="392">
        <v>94157</v>
      </c>
      <c r="B407" s="393" t="s">
        <v>1114</v>
      </c>
      <c r="C407" s="235">
        <v>1.84E-5</v>
      </c>
      <c r="D407" s="235">
        <v>9.7000000000000003E-6</v>
      </c>
      <c r="E407" s="232">
        <v>28218</v>
      </c>
      <c r="F407" s="232" t="s">
        <v>1930</v>
      </c>
      <c r="G407" s="394">
        <v>8977</v>
      </c>
      <c r="H407" s="394">
        <v>0</v>
      </c>
      <c r="I407" s="394">
        <v>17728</v>
      </c>
      <c r="J407" s="232">
        <v>14467</v>
      </c>
      <c r="K407" s="232">
        <v>41172</v>
      </c>
      <c r="L407" s="232"/>
      <c r="M407" s="302">
        <v>0</v>
      </c>
      <c r="N407" s="302">
        <v>40315</v>
      </c>
      <c r="O407" s="302">
        <v>0</v>
      </c>
      <c r="P407" s="232">
        <v>0</v>
      </c>
      <c r="Q407" s="232">
        <v>40315</v>
      </c>
      <c r="R407" s="232"/>
      <c r="S407" s="394">
        <v>12174</v>
      </c>
      <c r="T407" s="232">
        <v>5396</v>
      </c>
      <c r="U407" s="398">
        <v>17570</v>
      </c>
      <c r="V407" s="232"/>
      <c r="W407" s="398">
        <v>109541</v>
      </c>
      <c r="X407" s="398">
        <v>-38706</v>
      </c>
      <c r="Y407" s="398"/>
      <c r="Z407" s="398"/>
    </row>
    <row r="408" spans="1:26">
      <c r="A408" s="392">
        <v>94161</v>
      </c>
      <c r="B408" s="393" t="s">
        <v>1115</v>
      </c>
      <c r="C408" s="235">
        <v>5.3900000000000002E-5</v>
      </c>
      <c r="D408" s="235">
        <v>4.9200000000000003E-5</v>
      </c>
      <c r="E408" s="232">
        <v>82661</v>
      </c>
      <c r="F408" s="232" t="s">
        <v>1930</v>
      </c>
      <c r="G408" s="394">
        <v>26297</v>
      </c>
      <c r="H408" s="394">
        <v>0</v>
      </c>
      <c r="I408" s="394">
        <v>51932</v>
      </c>
      <c r="J408" s="232">
        <v>19406</v>
      </c>
      <c r="K408" s="232">
        <v>97635</v>
      </c>
      <c r="L408" s="232"/>
      <c r="M408" s="302">
        <v>0</v>
      </c>
      <c r="N408" s="302">
        <v>118097</v>
      </c>
      <c r="O408" s="302">
        <v>0</v>
      </c>
      <c r="P408" s="232">
        <v>1865</v>
      </c>
      <c r="Q408" s="232">
        <v>119962</v>
      </c>
      <c r="R408" s="232"/>
      <c r="S408" s="394">
        <v>35663</v>
      </c>
      <c r="T408" s="232">
        <v>5278</v>
      </c>
      <c r="U408" s="398">
        <v>40941</v>
      </c>
      <c r="V408" s="232"/>
      <c r="W408" s="398">
        <v>320882</v>
      </c>
      <c r="X408" s="398">
        <v>-113383</v>
      </c>
      <c r="Y408" s="398"/>
      <c r="Z408" s="398"/>
    </row>
    <row r="409" spans="1:26">
      <c r="A409" s="392">
        <v>94168</v>
      </c>
      <c r="B409" s="393" t="s">
        <v>1116</v>
      </c>
      <c r="C409" s="235">
        <v>7.7999999999999999E-5</v>
      </c>
      <c r="D409" s="235">
        <v>6.6600000000000006E-5</v>
      </c>
      <c r="E409" s="232">
        <v>119620</v>
      </c>
      <c r="F409" s="232" t="s">
        <v>1930</v>
      </c>
      <c r="G409" s="394">
        <v>38056</v>
      </c>
      <c r="H409" s="394">
        <v>0</v>
      </c>
      <c r="I409" s="394">
        <v>75152</v>
      </c>
      <c r="J409" s="232">
        <v>25325</v>
      </c>
      <c r="K409" s="232">
        <v>138533</v>
      </c>
      <c r="L409" s="232"/>
      <c r="M409" s="302">
        <v>0</v>
      </c>
      <c r="N409" s="302">
        <v>170902</v>
      </c>
      <c r="O409" s="302">
        <v>0</v>
      </c>
      <c r="P409" s="232">
        <v>0</v>
      </c>
      <c r="Q409" s="232">
        <v>170902</v>
      </c>
      <c r="R409" s="232"/>
      <c r="S409" s="394">
        <v>51608</v>
      </c>
      <c r="T409" s="232">
        <v>11752</v>
      </c>
      <c r="U409" s="398">
        <v>63360</v>
      </c>
      <c r="V409" s="232"/>
      <c r="W409" s="398">
        <v>464357</v>
      </c>
      <c r="X409" s="398">
        <v>-164079</v>
      </c>
      <c r="Y409" s="398"/>
      <c r="Z409" s="398"/>
    </row>
    <row r="410" spans="1:26">
      <c r="A410" s="392">
        <v>94171</v>
      </c>
      <c r="B410" s="393" t="s">
        <v>1117</v>
      </c>
      <c r="C410" s="235">
        <v>7.6500000000000003E-5</v>
      </c>
      <c r="D410" s="235">
        <v>6.9999999999999994E-5</v>
      </c>
      <c r="E410" s="232">
        <v>117320</v>
      </c>
      <c r="F410" s="232" t="s">
        <v>1930</v>
      </c>
      <c r="G410" s="394">
        <v>37324</v>
      </c>
      <c r="H410" s="394">
        <v>0</v>
      </c>
      <c r="I410" s="394">
        <v>73707</v>
      </c>
      <c r="J410" s="232">
        <v>9321</v>
      </c>
      <c r="K410" s="232">
        <v>120352</v>
      </c>
      <c r="L410" s="232"/>
      <c r="M410" s="302">
        <v>0</v>
      </c>
      <c r="N410" s="302">
        <v>167615</v>
      </c>
      <c r="O410" s="302">
        <v>0</v>
      </c>
      <c r="P410" s="232">
        <v>8293</v>
      </c>
      <c r="Q410" s="232">
        <v>175908</v>
      </c>
      <c r="R410" s="232"/>
      <c r="S410" s="394">
        <v>50616</v>
      </c>
      <c r="T410" s="232">
        <v>1383</v>
      </c>
      <c r="U410" s="398">
        <v>51999</v>
      </c>
      <c r="V410" s="232"/>
      <c r="W410" s="398">
        <v>455427</v>
      </c>
      <c r="X410" s="398">
        <v>-160924</v>
      </c>
      <c r="Y410" s="398"/>
      <c r="Z410" s="398"/>
    </row>
    <row r="411" spans="1:26">
      <c r="A411" s="392">
        <v>94172</v>
      </c>
      <c r="B411" s="393" t="s">
        <v>1118</v>
      </c>
      <c r="C411" s="235">
        <v>2.9910000000000001E-4</v>
      </c>
      <c r="D411" s="235">
        <v>2.7050000000000002E-4</v>
      </c>
      <c r="E411" s="232">
        <v>458699</v>
      </c>
      <c r="F411" s="232" t="s">
        <v>1930</v>
      </c>
      <c r="G411" s="394">
        <v>145928</v>
      </c>
      <c r="H411" s="394">
        <v>0</v>
      </c>
      <c r="I411" s="394">
        <v>288180</v>
      </c>
      <c r="J411" s="232">
        <v>20872</v>
      </c>
      <c r="K411" s="232">
        <v>454980</v>
      </c>
      <c r="L411" s="232"/>
      <c r="M411" s="302">
        <v>0</v>
      </c>
      <c r="N411" s="302">
        <v>655342</v>
      </c>
      <c r="O411" s="302">
        <v>0</v>
      </c>
      <c r="P411" s="232">
        <v>44319</v>
      </c>
      <c r="Q411" s="232">
        <v>699661</v>
      </c>
      <c r="R411" s="232"/>
      <c r="S411" s="394">
        <v>197897</v>
      </c>
      <c r="T411" s="232">
        <v>-23333</v>
      </c>
      <c r="U411" s="398">
        <v>174564</v>
      </c>
      <c r="V411" s="232"/>
      <c r="W411" s="398">
        <v>1780630</v>
      </c>
      <c r="X411" s="398">
        <v>-629180</v>
      </c>
      <c r="Y411" s="398"/>
      <c r="Z411" s="398"/>
    </row>
    <row r="412" spans="1:26">
      <c r="A412" s="392">
        <v>94201</v>
      </c>
      <c r="B412" s="393" t="s">
        <v>1119</v>
      </c>
      <c r="C412" s="235">
        <v>2.9031E-3</v>
      </c>
      <c r="D412" s="235">
        <v>3.0286000000000002E-3</v>
      </c>
      <c r="E412" s="232">
        <v>4452183</v>
      </c>
      <c r="F412" s="232" t="s">
        <v>1930</v>
      </c>
      <c r="G412" s="394">
        <v>1416399</v>
      </c>
      <c r="H412" s="394">
        <v>0</v>
      </c>
      <c r="I412" s="394">
        <v>2797108</v>
      </c>
      <c r="J412" s="232">
        <v>5230</v>
      </c>
      <c r="K412" s="232">
        <v>4218737</v>
      </c>
      <c r="L412" s="232"/>
      <c r="M412" s="302">
        <v>0</v>
      </c>
      <c r="N412" s="302">
        <v>6360831</v>
      </c>
      <c r="O412" s="302">
        <v>0</v>
      </c>
      <c r="P412" s="232">
        <v>262468</v>
      </c>
      <c r="Q412" s="232">
        <v>6623299</v>
      </c>
      <c r="R412" s="232"/>
      <c r="S412" s="394">
        <v>1920813</v>
      </c>
      <c r="T412" s="232">
        <v>-132699</v>
      </c>
      <c r="U412" s="398">
        <v>1788114</v>
      </c>
      <c r="V412" s="232"/>
      <c r="W412" s="398">
        <v>17283002</v>
      </c>
      <c r="X412" s="398">
        <v>-6106894</v>
      </c>
      <c r="Y412" s="398"/>
      <c r="Z412" s="398"/>
    </row>
    <row r="413" spans="1:26">
      <c r="A413" s="392">
        <v>94204</v>
      </c>
      <c r="B413" s="393" t="s">
        <v>1120</v>
      </c>
      <c r="C413" s="235">
        <v>3.8999999999999999E-5</v>
      </c>
      <c r="D413" s="235">
        <v>3.3500000000000001E-5</v>
      </c>
      <c r="E413" s="232">
        <v>59810</v>
      </c>
      <c r="F413" s="232" t="s">
        <v>1930</v>
      </c>
      <c r="G413" s="394">
        <v>19028</v>
      </c>
      <c r="H413" s="394">
        <v>0</v>
      </c>
      <c r="I413" s="394">
        <v>37576</v>
      </c>
      <c r="J413" s="232">
        <v>20914</v>
      </c>
      <c r="K413" s="232">
        <v>77518</v>
      </c>
      <c r="L413" s="232"/>
      <c r="M413" s="302">
        <v>0</v>
      </c>
      <c r="N413" s="302">
        <v>85451</v>
      </c>
      <c r="O413" s="302">
        <v>0</v>
      </c>
      <c r="P413" s="232">
        <v>0</v>
      </c>
      <c r="Q413" s="232">
        <v>85451</v>
      </c>
      <c r="R413" s="232"/>
      <c r="S413" s="394">
        <v>25804</v>
      </c>
      <c r="T413" s="232">
        <v>10448</v>
      </c>
      <c r="U413" s="398">
        <v>36252</v>
      </c>
      <c r="V413" s="232"/>
      <c r="W413" s="398">
        <v>232178</v>
      </c>
      <c r="X413" s="398">
        <v>-82040</v>
      </c>
      <c r="Y413" s="398"/>
      <c r="Z413" s="398"/>
    </row>
    <row r="414" spans="1:26">
      <c r="A414" s="392">
        <v>94205</v>
      </c>
      <c r="B414" s="393" t="s">
        <v>1121</v>
      </c>
      <c r="C414" s="235">
        <v>1.31E-5</v>
      </c>
      <c r="D414" s="235">
        <v>1.49E-5</v>
      </c>
      <c r="E414" s="232">
        <v>20090</v>
      </c>
      <c r="F414" s="232" t="s">
        <v>1930</v>
      </c>
      <c r="G414" s="394">
        <v>6391</v>
      </c>
      <c r="H414" s="394">
        <v>0</v>
      </c>
      <c r="I414" s="394">
        <v>12622</v>
      </c>
      <c r="J414" s="232">
        <v>3946</v>
      </c>
      <c r="K414" s="232">
        <v>22959</v>
      </c>
      <c r="L414" s="232"/>
      <c r="M414" s="302">
        <v>0</v>
      </c>
      <c r="N414" s="302">
        <v>28703</v>
      </c>
      <c r="O414" s="302">
        <v>0</v>
      </c>
      <c r="P414" s="232">
        <v>0</v>
      </c>
      <c r="Q414" s="232">
        <v>28703</v>
      </c>
      <c r="R414" s="232"/>
      <c r="S414" s="394">
        <v>8668</v>
      </c>
      <c r="T414" s="232">
        <v>1284</v>
      </c>
      <c r="U414" s="398">
        <v>9952</v>
      </c>
      <c r="V414" s="232"/>
      <c r="W414" s="398">
        <v>77988</v>
      </c>
      <c r="X414" s="398">
        <v>-27557</v>
      </c>
      <c r="Y414" s="398"/>
      <c r="Z414" s="398"/>
    </row>
    <row r="415" spans="1:26">
      <c r="A415" s="392">
        <v>94209</v>
      </c>
      <c r="B415" s="393" t="s">
        <v>1122</v>
      </c>
      <c r="C415" s="235">
        <v>2.9789999999999998E-4</v>
      </c>
      <c r="D415" s="235">
        <v>3.1399999999999999E-4</v>
      </c>
      <c r="E415" s="232">
        <v>456858</v>
      </c>
      <c r="F415" s="232" t="s">
        <v>1930</v>
      </c>
      <c r="G415" s="394">
        <v>145343</v>
      </c>
      <c r="H415" s="394">
        <v>0</v>
      </c>
      <c r="I415" s="394">
        <v>287024</v>
      </c>
      <c r="J415" s="232">
        <v>3561</v>
      </c>
      <c r="K415" s="232">
        <v>435928</v>
      </c>
      <c r="L415" s="232"/>
      <c r="M415" s="302">
        <v>0</v>
      </c>
      <c r="N415" s="302">
        <v>652713</v>
      </c>
      <c r="O415" s="302">
        <v>0</v>
      </c>
      <c r="P415" s="232">
        <v>30219</v>
      </c>
      <c r="Q415" s="232">
        <v>682932</v>
      </c>
      <c r="R415" s="232"/>
      <c r="S415" s="394">
        <v>197103</v>
      </c>
      <c r="T415" s="232">
        <v>-10072</v>
      </c>
      <c r="U415" s="398">
        <v>187031</v>
      </c>
      <c r="V415" s="232"/>
      <c r="W415" s="398">
        <v>1773486</v>
      </c>
      <c r="X415" s="398">
        <v>-626656</v>
      </c>
      <c r="Y415" s="398"/>
      <c r="Z415" s="398"/>
    </row>
    <row r="416" spans="1:26">
      <c r="A416" s="392">
        <v>94211</v>
      </c>
      <c r="B416" s="393" t="s">
        <v>1123</v>
      </c>
      <c r="C416" s="235">
        <v>1.225E-4</v>
      </c>
      <c r="D416" s="235">
        <v>1.4660000000000001E-4</v>
      </c>
      <c r="E416" s="232">
        <v>187866</v>
      </c>
      <c r="F416" s="232" t="s">
        <v>1930</v>
      </c>
      <c r="G416" s="394">
        <v>59767</v>
      </c>
      <c r="H416" s="394">
        <v>0</v>
      </c>
      <c r="I416" s="394">
        <v>118028</v>
      </c>
      <c r="J416" s="232">
        <v>1432</v>
      </c>
      <c r="K416" s="232">
        <v>179227</v>
      </c>
      <c r="L416" s="232"/>
      <c r="M416" s="302">
        <v>0</v>
      </c>
      <c r="N416" s="302">
        <v>268403</v>
      </c>
      <c r="O416" s="302">
        <v>0</v>
      </c>
      <c r="P416" s="232">
        <v>39832</v>
      </c>
      <c r="Q416" s="232">
        <v>308235</v>
      </c>
      <c r="R416" s="232"/>
      <c r="S416" s="394">
        <v>81051</v>
      </c>
      <c r="T416" s="232">
        <v>-11225</v>
      </c>
      <c r="U416" s="398">
        <v>69826</v>
      </c>
      <c r="V416" s="232"/>
      <c r="W416" s="398">
        <v>729278</v>
      </c>
      <c r="X416" s="398">
        <v>-257688</v>
      </c>
      <c r="Y416" s="398"/>
      <c r="Z416" s="398"/>
    </row>
    <row r="417" spans="1:26">
      <c r="A417" s="392">
        <v>94221</v>
      </c>
      <c r="B417" s="393" t="s">
        <v>1124</v>
      </c>
      <c r="C417" s="235">
        <v>8.476E-4</v>
      </c>
      <c r="D417" s="235">
        <v>9.7799999999999992E-4</v>
      </c>
      <c r="E417" s="232">
        <v>1299876</v>
      </c>
      <c r="F417" s="232" t="s">
        <v>1930</v>
      </c>
      <c r="G417" s="394">
        <v>413537</v>
      </c>
      <c r="H417" s="394">
        <v>0</v>
      </c>
      <c r="I417" s="394">
        <v>816654</v>
      </c>
      <c r="J417" s="232">
        <v>0</v>
      </c>
      <c r="K417" s="232">
        <v>1230191</v>
      </c>
      <c r="L417" s="232"/>
      <c r="M417" s="302">
        <v>0</v>
      </c>
      <c r="N417" s="302">
        <v>1857132</v>
      </c>
      <c r="O417" s="302">
        <v>0</v>
      </c>
      <c r="P417" s="232">
        <v>289230</v>
      </c>
      <c r="Q417" s="232">
        <v>2146362</v>
      </c>
      <c r="R417" s="232"/>
      <c r="S417" s="394">
        <v>560808</v>
      </c>
      <c r="T417" s="232">
        <v>-117120</v>
      </c>
      <c r="U417" s="398">
        <v>443688</v>
      </c>
      <c r="V417" s="232"/>
      <c r="W417" s="398">
        <v>5046010</v>
      </c>
      <c r="X417" s="398">
        <v>-1782992</v>
      </c>
      <c r="Y417" s="398"/>
      <c r="Z417" s="398"/>
    </row>
    <row r="418" spans="1:26" ht="14.25" customHeight="1">
      <c r="A418" s="392">
        <v>94231</v>
      </c>
      <c r="B418" s="393" t="s">
        <v>1125</v>
      </c>
      <c r="C418" s="235">
        <v>1.438E-4</v>
      </c>
      <c r="D418" s="235">
        <v>1.2640000000000001E-4</v>
      </c>
      <c r="E418" s="232">
        <v>220531</v>
      </c>
      <c r="F418" s="232" t="s">
        <v>1930</v>
      </c>
      <c r="G418" s="394">
        <v>70159</v>
      </c>
      <c r="H418" s="394">
        <v>0</v>
      </c>
      <c r="I418" s="394">
        <v>138550</v>
      </c>
      <c r="J418" s="232">
        <v>37807</v>
      </c>
      <c r="K418" s="232">
        <v>246516</v>
      </c>
      <c r="L418" s="232"/>
      <c r="M418" s="302">
        <v>0</v>
      </c>
      <c r="N418" s="302">
        <v>315073</v>
      </c>
      <c r="O418" s="302">
        <v>0</v>
      </c>
      <c r="P418" s="232">
        <v>37545</v>
      </c>
      <c r="Q418" s="232">
        <v>352618</v>
      </c>
      <c r="R418" s="232"/>
      <c r="S418" s="394">
        <v>95144</v>
      </c>
      <c r="T418" s="232">
        <v>-7541</v>
      </c>
      <c r="U418" s="398">
        <v>87603</v>
      </c>
      <c r="V418" s="232"/>
      <c r="W418" s="398">
        <v>856083</v>
      </c>
      <c r="X418" s="398">
        <v>-302494</v>
      </c>
      <c r="Y418" s="398"/>
      <c r="Z418" s="398"/>
    </row>
    <row r="419" spans="1:26">
      <c r="A419" s="392">
        <v>94241</v>
      </c>
      <c r="B419" s="393" t="s">
        <v>1126</v>
      </c>
      <c r="C419" s="235">
        <v>1.6980000000000001E-4</v>
      </c>
      <c r="D419" s="235">
        <v>1.3630000000000001E-4</v>
      </c>
      <c r="E419" s="232">
        <v>260405</v>
      </c>
      <c r="F419" s="232" t="s">
        <v>1930</v>
      </c>
      <c r="G419" s="394">
        <v>82844</v>
      </c>
      <c r="H419" s="394">
        <v>0</v>
      </c>
      <c r="I419" s="394">
        <v>163601</v>
      </c>
      <c r="J419" s="232">
        <v>85053</v>
      </c>
      <c r="K419" s="232">
        <v>331498</v>
      </c>
      <c r="L419" s="232"/>
      <c r="M419" s="302">
        <v>0</v>
      </c>
      <c r="N419" s="302">
        <v>372040</v>
      </c>
      <c r="O419" s="302">
        <v>0</v>
      </c>
      <c r="P419" s="232">
        <v>6236</v>
      </c>
      <c r="Q419" s="232">
        <v>378276</v>
      </c>
      <c r="R419" s="232"/>
      <c r="S419" s="394">
        <v>112347</v>
      </c>
      <c r="T419" s="232">
        <v>35502</v>
      </c>
      <c r="U419" s="398">
        <v>147849</v>
      </c>
      <c r="V419" s="232"/>
      <c r="W419" s="398">
        <v>1010869</v>
      </c>
      <c r="X419" s="398">
        <v>-357187</v>
      </c>
      <c r="Y419" s="398"/>
      <c r="Z419" s="398"/>
    </row>
    <row r="420" spans="1:26">
      <c r="A420" s="392">
        <v>94251</v>
      </c>
      <c r="B420" s="393" t="s">
        <v>1127</v>
      </c>
      <c r="C420" s="235">
        <v>1.91E-5</v>
      </c>
      <c r="D420" s="235">
        <v>1.7799999999999999E-5</v>
      </c>
      <c r="E420" s="232">
        <v>29292</v>
      </c>
      <c r="F420" s="232" t="s">
        <v>1930</v>
      </c>
      <c r="G420" s="394">
        <v>9319</v>
      </c>
      <c r="H420" s="394">
        <v>0</v>
      </c>
      <c r="I420" s="394">
        <v>18403</v>
      </c>
      <c r="J420" s="232">
        <v>2342</v>
      </c>
      <c r="K420" s="232">
        <v>30064</v>
      </c>
      <c r="L420" s="232"/>
      <c r="M420" s="302">
        <v>0</v>
      </c>
      <c r="N420" s="302">
        <v>41849</v>
      </c>
      <c r="O420" s="302">
        <v>0</v>
      </c>
      <c r="P420" s="232">
        <v>265</v>
      </c>
      <c r="Q420" s="232">
        <v>42114</v>
      </c>
      <c r="R420" s="232"/>
      <c r="S420" s="394">
        <v>12637</v>
      </c>
      <c r="T420" s="232">
        <v>1527</v>
      </c>
      <c r="U420" s="398">
        <v>14164</v>
      </c>
      <c r="V420" s="232"/>
      <c r="W420" s="398">
        <v>113708</v>
      </c>
      <c r="X420" s="398">
        <v>-40178</v>
      </c>
      <c r="Y420" s="398"/>
      <c r="Z420" s="398"/>
    </row>
    <row r="421" spans="1:26">
      <c r="A421" s="392">
        <v>94261</v>
      </c>
      <c r="B421" s="393" t="s">
        <v>1128</v>
      </c>
      <c r="C421" s="235">
        <v>4.1E-5</v>
      </c>
      <c r="D421" s="235">
        <v>3.7100000000000001E-5</v>
      </c>
      <c r="E421" s="232">
        <v>62877</v>
      </c>
      <c r="F421" s="232" t="s">
        <v>1930</v>
      </c>
      <c r="G421" s="394">
        <v>20004</v>
      </c>
      <c r="H421" s="394">
        <v>0</v>
      </c>
      <c r="I421" s="394">
        <v>39503</v>
      </c>
      <c r="J421" s="232">
        <v>6414</v>
      </c>
      <c r="K421" s="232">
        <v>65921</v>
      </c>
      <c r="L421" s="232"/>
      <c r="M421" s="302">
        <v>0</v>
      </c>
      <c r="N421" s="302">
        <v>89833</v>
      </c>
      <c r="O421" s="302">
        <v>0</v>
      </c>
      <c r="P421" s="232">
        <v>7929</v>
      </c>
      <c r="Q421" s="232">
        <v>97762</v>
      </c>
      <c r="R421" s="232"/>
      <c r="S421" s="394">
        <v>27127</v>
      </c>
      <c r="T421" s="232">
        <v>409</v>
      </c>
      <c r="U421" s="398">
        <v>27536</v>
      </c>
      <c r="V421" s="232"/>
      <c r="W421" s="398">
        <v>244085</v>
      </c>
      <c r="X421" s="398">
        <v>-86247</v>
      </c>
      <c r="Y421" s="398"/>
      <c r="Z421" s="398"/>
    </row>
    <row r="422" spans="1:26">
      <c r="A422" s="392">
        <v>94301</v>
      </c>
      <c r="B422" s="393" t="s">
        <v>1129</v>
      </c>
      <c r="C422" s="235">
        <v>5.8427000000000002E-3</v>
      </c>
      <c r="D422" s="235">
        <v>6.1066999999999996E-3</v>
      </c>
      <c r="E422" s="232">
        <v>8960341</v>
      </c>
      <c r="F422" s="232" t="s">
        <v>1930</v>
      </c>
      <c r="G422" s="394">
        <v>2850607</v>
      </c>
      <c r="H422" s="394">
        <v>0</v>
      </c>
      <c r="I422" s="394">
        <v>5629383</v>
      </c>
      <c r="J422" s="232">
        <v>1190</v>
      </c>
      <c r="K422" s="232">
        <v>8481180</v>
      </c>
      <c r="L422" s="232"/>
      <c r="M422" s="302">
        <v>0</v>
      </c>
      <c r="N422" s="302">
        <v>12801636</v>
      </c>
      <c r="O422" s="302">
        <v>0</v>
      </c>
      <c r="P422" s="232">
        <v>711159</v>
      </c>
      <c r="Q422" s="232">
        <v>13512795</v>
      </c>
      <c r="R422" s="232"/>
      <c r="S422" s="394">
        <v>3865776</v>
      </c>
      <c r="T422" s="232">
        <v>-257181</v>
      </c>
      <c r="U422" s="398">
        <v>3608595</v>
      </c>
      <c r="V422" s="232"/>
      <c r="W422" s="398">
        <v>34783299</v>
      </c>
      <c r="X422" s="398">
        <v>-12290569</v>
      </c>
      <c r="Y422" s="398"/>
      <c r="Z422" s="398"/>
    </row>
    <row r="423" spans="1:26">
      <c r="A423" s="392">
        <v>94311</v>
      </c>
      <c r="B423" s="393" t="s">
        <v>1130</v>
      </c>
      <c r="C423" s="235">
        <v>7.9109999999999998E-4</v>
      </c>
      <c r="D423" s="235">
        <v>7.85E-4</v>
      </c>
      <c r="E423" s="232">
        <v>1213228</v>
      </c>
      <c r="F423" s="232" t="s">
        <v>1930</v>
      </c>
      <c r="G423" s="394">
        <v>385971</v>
      </c>
      <c r="H423" s="394">
        <v>0</v>
      </c>
      <c r="I423" s="394">
        <v>762217</v>
      </c>
      <c r="J423" s="232">
        <v>36182</v>
      </c>
      <c r="K423" s="232">
        <v>1184370</v>
      </c>
      <c r="L423" s="232"/>
      <c r="M423" s="302">
        <v>0</v>
      </c>
      <c r="N423" s="302">
        <v>1733338</v>
      </c>
      <c r="O423" s="302">
        <v>0</v>
      </c>
      <c r="P423" s="232">
        <v>5939</v>
      </c>
      <c r="Q423" s="232">
        <v>1739277</v>
      </c>
      <c r="R423" s="232"/>
      <c r="S423" s="394">
        <v>523425</v>
      </c>
      <c r="T423" s="232">
        <v>17000</v>
      </c>
      <c r="U423" s="398">
        <v>540425</v>
      </c>
      <c r="V423" s="232"/>
      <c r="W423" s="398">
        <v>4709649</v>
      </c>
      <c r="X423" s="398">
        <v>-1664140</v>
      </c>
      <c r="Y423" s="398"/>
      <c r="Z423" s="398"/>
    </row>
    <row r="424" spans="1:26">
      <c r="A424" s="392">
        <v>94313</v>
      </c>
      <c r="B424" s="393" t="s">
        <v>1131</v>
      </c>
      <c r="C424" s="235">
        <v>1.98E-5</v>
      </c>
      <c r="D424" s="235">
        <v>1.7099999999999999E-5</v>
      </c>
      <c r="E424" s="232">
        <v>30365</v>
      </c>
      <c r="F424" s="232" t="s">
        <v>1930</v>
      </c>
      <c r="G424" s="394">
        <v>9660</v>
      </c>
      <c r="H424" s="394">
        <v>0</v>
      </c>
      <c r="I424" s="394">
        <v>19077</v>
      </c>
      <c r="J424" s="232">
        <v>16435</v>
      </c>
      <c r="K424" s="232">
        <v>45172</v>
      </c>
      <c r="L424" s="232"/>
      <c r="M424" s="302">
        <v>0</v>
      </c>
      <c r="N424" s="302">
        <v>43383</v>
      </c>
      <c r="O424" s="302">
        <v>0</v>
      </c>
      <c r="P424" s="232">
        <v>203</v>
      </c>
      <c r="Q424" s="232">
        <v>43586</v>
      </c>
      <c r="R424" s="232"/>
      <c r="S424" s="394">
        <v>13101</v>
      </c>
      <c r="T424" s="232">
        <v>7560</v>
      </c>
      <c r="U424" s="398">
        <v>20661</v>
      </c>
      <c r="V424" s="232"/>
      <c r="W424" s="398">
        <v>117875</v>
      </c>
      <c r="X424" s="398">
        <v>-41651</v>
      </c>
      <c r="Y424" s="398"/>
      <c r="Z424" s="398"/>
    </row>
    <row r="425" spans="1:26">
      <c r="A425" s="392">
        <v>94317</v>
      </c>
      <c r="B425" s="393" t="s">
        <v>1132</v>
      </c>
      <c r="C425" s="235">
        <v>1.3200000000000001E-5</v>
      </c>
      <c r="D425" s="235">
        <v>4.7999999999999998E-6</v>
      </c>
      <c r="E425" s="232">
        <v>20243</v>
      </c>
      <c r="F425" s="232" t="s">
        <v>1930</v>
      </c>
      <c r="G425" s="394">
        <v>6440</v>
      </c>
      <c r="H425" s="394">
        <v>0</v>
      </c>
      <c r="I425" s="394">
        <v>12718</v>
      </c>
      <c r="J425" s="232">
        <v>21811</v>
      </c>
      <c r="K425" s="232">
        <v>40969</v>
      </c>
      <c r="L425" s="232"/>
      <c r="M425" s="302">
        <v>0</v>
      </c>
      <c r="N425" s="302">
        <v>28922</v>
      </c>
      <c r="O425" s="302">
        <v>0</v>
      </c>
      <c r="P425" s="232">
        <v>968</v>
      </c>
      <c r="Q425" s="232">
        <v>29890</v>
      </c>
      <c r="R425" s="232"/>
      <c r="S425" s="394">
        <v>8734</v>
      </c>
      <c r="T425" s="232">
        <v>8519</v>
      </c>
      <c r="U425" s="398">
        <v>17253</v>
      </c>
      <c r="V425" s="232"/>
      <c r="W425" s="398">
        <v>78583</v>
      </c>
      <c r="X425" s="398">
        <v>-27767</v>
      </c>
      <c r="Y425" s="398"/>
      <c r="Z425" s="398"/>
    </row>
    <row r="426" spans="1:26">
      <c r="A426" s="392">
        <v>94321</v>
      </c>
      <c r="B426" s="393" t="s">
        <v>1133</v>
      </c>
      <c r="C426" s="235">
        <v>3.0529999999999999E-4</v>
      </c>
      <c r="D426" s="235">
        <v>3.1559999999999997E-4</v>
      </c>
      <c r="E426" s="232">
        <v>468207</v>
      </c>
      <c r="F426" s="232" t="s">
        <v>1930</v>
      </c>
      <c r="G426" s="394">
        <v>148953</v>
      </c>
      <c r="H426" s="394">
        <v>0</v>
      </c>
      <c r="I426" s="394">
        <v>294153</v>
      </c>
      <c r="J426" s="232">
        <v>25286</v>
      </c>
      <c r="K426" s="232">
        <v>468392</v>
      </c>
      <c r="L426" s="232"/>
      <c r="M426" s="302">
        <v>0</v>
      </c>
      <c r="N426" s="302">
        <v>668927</v>
      </c>
      <c r="O426" s="302">
        <v>0</v>
      </c>
      <c r="P426" s="232">
        <v>19081</v>
      </c>
      <c r="Q426" s="232">
        <v>688008</v>
      </c>
      <c r="R426" s="232"/>
      <c r="S426" s="394">
        <v>201999</v>
      </c>
      <c r="T426" s="232">
        <v>2968</v>
      </c>
      <c r="U426" s="398">
        <v>204967</v>
      </c>
      <c r="V426" s="232"/>
      <c r="W426" s="398">
        <v>1817540</v>
      </c>
      <c r="X426" s="398">
        <v>-642222</v>
      </c>
      <c r="Y426" s="398"/>
      <c r="Z426" s="398"/>
    </row>
    <row r="427" spans="1:26">
      <c r="A427" s="392">
        <v>94331</v>
      </c>
      <c r="B427" s="393" t="s">
        <v>1134</v>
      </c>
      <c r="C427" s="235">
        <v>1.392E-4</v>
      </c>
      <c r="D427" s="235">
        <v>1.5080000000000001E-4</v>
      </c>
      <c r="E427" s="232">
        <v>213477</v>
      </c>
      <c r="F427" s="232" t="s">
        <v>1930</v>
      </c>
      <c r="G427" s="394">
        <v>67915</v>
      </c>
      <c r="H427" s="394">
        <v>0</v>
      </c>
      <c r="I427" s="394">
        <v>134118</v>
      </c>
      <c r="J427" s="232">
        <v>5862</v>
      </c>
      <c r="K427" s="232">
        <v>207895</v>
      </c>
      <c r="L427" s="232"/>
      <c r="M427" s="302">
        <v>0</v>
      </c>
      <c r="N427" s="302">
        <v>304994</v>
      </c>
      <c r="O427" s="302">
        <v>0</v>
      </c>
      <c r="P427" s="232">
        <v>21226</v>
      </c>
      <c r="Q427" s="232">
        <v>326220</v>
      </c>
      <c r="R427" s="232"/>
      <c r="S427" s="394">
        <v>92101</v>
      </c>
      <c r="T427" s="232">
        <v>-3942</v>
      </c>
      <c r="U427" s="398">
        <v>88159</v>
      </c>
      <c r="V427" s="232"/>
      <c r="W427" s="398">
        <v>828698</v>
      </c>
      <c r="X427" s="398">
        <v>-292818</v>
      </c>
      <c r="Y427" s="398"/>
      <c r="Z427" s="398"/>
    </row>
    <row r="428" spans="1:26">
      <c r="A428" s="392">
        <v>94341</v>
      </c>
      <c r="B428" s="393" t="s">
        <v>1135</v>
      </c>
      <c r="C428" s="235">
        <v>8.8499999999999996E-5</v>
      </c>
      <c r="D428" s="235">
        <v>9.2700000000000004E-5</v>
      </c>
      <c r="E428" s="232">
        <v>135723</v>
      </c>
      <c r="F428" s="232" t="s">
        <v>1930</v>
      </c>
      <c r="G428" s="394">
        <v>43178</v>
      </c>
      <c r="H428" s="394">
        <v>0</v>
      </c>
      <c r="I428" s="394">
        <v>85269</v>
      </c>
      <c r="J428" s="232">
        <v>3300</v>
      </c>
      <c r="K428" s="232">
        <v>131747</v>
      </c>
      <c r="L428" s="232"/>
      <c r="M428" s="302">
        <v>0</v>
      </c>
      <c r="N428" s="302">
        <v>193908</v>
      </c>
      <c r="O428" s="302">
        <v>0</v>
      </c>
      <c r="P428" s="232">
        <v>22546</v>
      </c>
      <c r="Q428" s="232">
        <v>216454</v>
      </c>
      <c r="R428" s="232"/>
      <c r="S428" s="394">
        <v>58555</v>
      </c>
      <c r="T428" s="232">
        <v>-7354</v>
      </c>
      <c r="U428" s="398">
        <v>51201</v>
      </c>
      <c r="V428" s="232"/>
      <c r="W428" s="398">
        <v>526866</v>
      </c>
      <c r="X428" s="398">
        <v>-186167</v>
      </c>
      <c r="Y428" s="398"/>
      <c r="Z428" s="398"/>
    </row>
    <row r="429" spans="1:26">
      <c r="A429" s="392">
        <v>94347</v>
      </c>
      <c r="B429" s="393" t="s">
        <v>1136</v>
      </c>
      <c r="C429" s="235">
        <v>1.6099999999999998E-5</v>
      </c>
      <c r="D429" s="235">
        <v>1.5E-5</v>
      </c>
      <c r="E429" s="232">
        <v>24691</v>
      </c>
      <c r="F429" s="232" t="s">
        <v>1930</v>
      </c>
      <c r="G429" s="394">
        <v>7855</v>
      </c>
      <c r="H429" s="394">
        <v>0</v>
      </c>
      <c r="I429" s="394">
        <v>15512</v>
      </c>
      <c r="J429" s="232">
        <v>10296</v>
      </c>
      <c r="K429" s="232">
        <v>33663</v>
      </c>
      <c r="L429" s="232"/>
      <c r="M429" s="302">
        <v>0</v>
      </c>
      <c r="N429" s="302">
        <v>35276</v>
      </c>
      <c r="O429" s="302">
        <v>0</v>
      </c>
      <c r="P429" s="232">
        <v>237</v>
      </c>
      <c r="Q429" s="232">
        <v>35513</v>
      </c>
      <c r="R429" s="232"/>
      <c r="S429" s="394">
        <v>10652</v>
      </c>
      <c r="T429" s="232">
        <v>5266</v>
      </c>
      <c r="U429" s="398">
        <v>15918</v>
      </c>
      <c r="V429" s="232"/>
      <c r="W429" s="398">
        <v>95848</v>
      </c>
      <c r="X429" s="398">
        <v>-33868</v>
      </c>
      <c r="Y429" s="398"/>
      <c r="Z429" s="398"/>
    </row>
    <row r="430" spans="1:26">
      <c r="A430" s="392">
        <v>94351</v>
      </c>
      <c r="B430" s="393" t="s">
        <v>1137</v>
      </c>
      <c r="C430" s="235">
        <v>3.1760000000000002E-4</v>
      </c>
      <c r="D430" s="235">
        <v>2.9090000000000002E-4</v>
      </c>
      <c r="E430" s="232">
        <v>487070</v>
      </c>
      <c r="F430" s="232" t="s">
        <v>1930</v>
      </c>
      <c r="G430" s="394">
        <v>154954</v>
      </c>
      <c r="H430" s="394">
        <v>0</v>
      </c>
      <c r="I430" s="394">
        <v>306004</v>
      </c>
      <c r="J430" s="232">
        <v>85018</v>
      </c>
      <c r="K430" s="232">
        <v>545976</v>
      </c>
      <c r="L430" s="232"/>
      <c r="M430" s="302">
        <v>0</v>
      </c>
      <c r="N430" s="302">
        <v>695877</v>
      </c>
      <c r="O430" s="302">
        <v>0</v>
      </c>
      <c r="P430" s="232">
        <v>9429</v>
      </c>
      <c r="Q430" s="232">
        <v>705306</v>
      </c>
      <c r="R430" s="232"/>
      <c r="S430" s="394">
        <v>210137</v>
      </c>
      <c r="T430" s="232">
        <v>31393</v>
      </c>
      <c r="U430" s="398">
        <v>241530</v>
      </c>
      <c r="V430" s="232"/>
      <c r="W430" s="398">
        <v>1890766</v>
      </c>
      <c r="X430" s="398">
        <v>-668096</v>
      </c>
      <c r="Y430" s="398"/>
      <c r="Z430" s="398"/>
    </row>
    <row r="431" spans="1:26">
      <c r="A431" s="392">
        <v>94401</v>
      </c>
      <c r="B431" s="393" t="s">
        <v>1943</v>
      </c>
      <c r="C431" s="235">
        <v>3.2978999999999999E-3</v>
      </c>
      <c r="D431" s="235">
        <v>3.5389000000000002E-3</v>
      </c>
      <c r="E431" s="232">
        <v>5057646</v>
      </c>
      <c r="F431" s="232" t="s">
        <v>1930</v>
      </c>
      <c r="G431" s="394">
        <v>1609019</v>
      </c>
      <c r="H431" s="394">
        <v>0</v>
      </c>
      <c r="I431" s="394">
        <v>3177494</v>
      </c>
      <c r="J431" s="232">
        <v>72333</v>
      </c>
      <c r="K431" s="232">
        <v>4858846</v>
      </c>
      <c r="L431" s="232"/>
      <c r="M431" s="302">
        <v>0</v>
      </c>
      <c r="N431" s="302">
        <v>7225857</v>
      </c>
      <c r="O431" s="302">
        <v>0</v>
      </c>
      <c r="P431" s="232">
        <v>445355</v>
      </c>
      <c r="Q431" s="232">
        <v>7671212</v>
      </c>
      <c r="R431" s="232"/>
      <c r="S431" s="394">
        <v>2182029</v>
      </c>
      <c r="T431" s="232">
        <v>-132015</v>
      </c>
      <c r="U431" s="398">
        <v>2050014</v>
      </c>
      <c r="V431" s="232"/>
      <c r="W431" s="398">
        <v>19633362</v>
      </c>
      <c r="X431" s="398">
        <v>-6937387</v>
      </c>
      <c r="Y431" s="398"/>
      <c r="Z431" s="398"/>
    </row>
    <row r="432" spans="1:26">
      <c r="A432" s="392">
        <v>94402</v>
      </c>
      <c r="B432" s="393" t="s">
        <v>1139</v>
      </c>
      <c r="C432" s="235">
        <v>0</v>
      </c>
      <c r="D432" s="235">
        <v>0</v>
      </c>
      <c r="E432" s="232">
        <v>0</v>
      </c>
      <c r="F432" s="232"/>
      <c r="G432" s="232">
        <v>0</v>
      </c>
      <c r="H432" s="232">
        <v>0</v>
      </c>
      <c r="I432" s="232">
        <v>0</v>
      </c>
      <c r="J432" s="232">
        <v>0</v>
      </c>
      <c r="K432" s="232">
        <v>0</v>
      </c>
      <c r="L432" s="232">
        <v>0</v>
      </c>
      <c r="M432" s="232">
        <v>0</v>
      </c>
      <c r="N432" s="232">
        <v>0</v>
      </c>
      <c r="O432" s="232">
        <v>0</v>
      </c>
      <c r="P432" s="232">
        <v>0</v>
      </c>
      <c r="Q432" s="232">
        <v>0</v>
      </c>
      <c r="R432" s="232">
        <v>0</v>
      </c>
      <c r="S432" s="232">
        <v>0</v>
      </c>
      <c r="T432" s="232">
        <v>0</v>
      </c>
      <c r="U432" s="232">
        <v>0</v>
      </c>
      <c r="V432" s="232">
        <v>0</v>
      </c>
      <c r="W432" s="232">
        <v>0</v>
      </c>
      <c r="X432" s="232">
        <v>0</v>
      </c>
      <c r="Y432" s="398"/>
      <c r="Z432" s="398"/>
    </row>
    <row r="433" spans="1:26">
      <c r="A433" s="395">
        <v>94403</v>
      </c>
      <c r="B433" s="396" t="s">
        <v>1140</v>
      </c>
      <c r="C433" s="235">
        <v>4.46E-5</v>
      </c>
      <c r="D433" s="235">
        <v>3.9199999999999997E-5</v>
      </c>
      <c r="E433" s="232">
        <v>68398</v>
      </c>
      <c r="F433" s="232" t="s">
        <v>1930</v>
      </c>
      <c r="G433" s="394">
        <v>21760</v>
      </c>
      <c r="H433" s="394">
        <v>0</v>
      </c>
      <c r="I433" s="394">
        <v>42972</v>
      </c>
      <c r="J433" s="232">
        <v>17350</v>
      </c>
      <c r="K433" s="232">
        <v>82082</v>
      </c>
      <c r="L433" s="232"/>
      <c r="M433" s="302">
        <v>0</v>
      </c>
      <c r="N433" s="302">
        <v>97721</v>
      </c>
      <c r="O433" s="302">
        <v>0</v>
      </c>
      <c r="P433" s="232">
        <v>0</v>
      </c>
      <c r="Q433" s="232">
        <v>97721</v>
      </c>
      <c r="R433" s="232"/>
      <c r="S433" s="394">
        <v>29509</v>
      </c>
      <c r="T433" s="232">
        <v>11893</v>
      </c>
      <c r="U433" s="398">
        <v>41402</v>
      </c>
      <c r="V433" s="232"/>
      <c r="W433" s="398">
        <v>265517</v>
      </c>
      <c r="X433" s="398">
        <v>-93820</v>
      </c>
      <c r="Y433" s="398"/>
      <c r="Z433" s="398"/>
    </row>
    <row r="434" spans="1:26">
      <c r="A434" s="392">
        <v>94408</v>
      </c>
      <c r="B434" s="393" t="s">
        <v>1141</v>
      </c>
      <c r="C434" s="235">
        <v>6.6799999999999997E-5</v>
      </c>
      <c r="D434" s="235">
        <v>5.4400000000000001E-5</v>
      </c>
      <c r="E434" s="232">
        <v>102444</v>
      </c>
      <c r="F434" s="232" t="s">
        <v>1930</v>
      </c>
      <c r="G434" s="394">
        <v>32591</v>
      </c>
      <c r="H434" s="394">
        <v>0</v>
      </c>
      <c r="I434" s="394">
        <v>64361</v>
      </c>
      <c r="J434" s="232">
        <v>21578</v>
      </c>
      <c r="K434" s="232">
        <v>118530</v>
      </c>
      <c r="L434" s="232"/>
      <c r="M434" s="302">
        <v>0</v>
      </c>
      <c r="N434" s="302">
        <v>146362</v>
      </c>
      <c r="O434" s="302">
        <v>0</v>
      </c>
      <c r="P434" s="232">
        <v>8777</v>
      </c>
      <c r="Q434" s="232">
        <v>155139</v>
      </c>
      <c r="R434" s="232"/>
      <c r="S434" s="394">
        <v>44198</v>
      </c>
      <c r="T434" s="232">
        <v>2857</v>
      </c>
      <c r="U434" s="398">
        <v>47055</v>
      </c>
      <c r="V434" s="232"/>
      <c r="W434" s="398">
        <v>397680</v>
      </c>
      <c r="X434" s="398">
        <v>-140519</v>
      </c>
      <c r="Y434" s="398"/>
      <c r="Z434" s="398"/>
    </row>
    <row r="435" spans="1:26">
      <c r="A435" s="392">
        <v>94411</v>
      </c>
      <c r="B435" s="393" t="s">
        <v>1142</v>
      </c>
      <c r="C435" s="235">
        <v>1.0996000000000001E-3</v>
      </c>
      <c r="D435" s="235">
        <v>1.1728999999999999E-3</v>
      </c>
      <c r="E435" s="232">
        <v>1686342</v>
      </c>
      <c r="F435" s="232" t="s">
        <v>1930</v>
      </c>
      <c r="G435" s="394">
        <v>536486</v>
      </c>
      <c r="H435" s="394">
        <v>0</v>
      </c>
      <c r="I435" s="394">
        <v>1059454</v>
      </c>
      <c r="J435" s="232">
        <v>0</v>
      </c>
      <c r="K435" s="232">
        <v>1595940</v>
      </c>
      <c r="L435" s="232"/>
      <c r="M435" s="302">
        <v>0</v>
      </c>
      <c r="N435" s="302">
        <v>2409276</v>
      </c>
      <c r="O435" s="302">
        <v>0</v>
      </c>
      <c r="P435" s="232">
        <v>241267</v>
      </c>
      <c r="Q435" s="232">
        <v>2650543</v>
      </c>
      <c r="R435" s="232"/>
      <c r="S435" s="394">
        <v>727542</v>
      </c>
      <c r="T435" s="232">
        <v>-88702</v>
      </c>
      <c r="U435" s="398">
        <v>638840</v>
      </c>
      <c r="V435" s="232"/>
      <c r="W435" s="398">
        <v>6546240</v>
      </c>
      <c r="X435" s="398">
        <v>-2313093</v>
      </c>
      <c r="Y435" s="398"/>
      <c r="Z435" s="398"/>
    </row>
    <row r="436" spans="1:26">
      <c r="A436" s="392">
        <v>94412</v>
      </c>
      <c r="B436" s="393" t="s">
        <v>1143</v>
      </c>
      <c r="C436" s="235">
        <v>1.9899999999999999E-5</v>
      </c>
      <c r="D436" s="235">
        <v>1.6399999999999999E-5</v>
      </c>
      <c r="E436" s="232">
        <v>30519</v>
      </c>
      <c r="F436" s="232" t="s">
        <v>1930</v>
      </c>
      <c r="G436" s="394">
        <v>9709</v>
      </c>
      <c r="H436" s="394">
        <v>0</v>
      </c>
      <c r="I436" s="394">
        <v>19173</v>
      </c>
      <c r="J436" s="232">
        <v>17172</v>
      </c>
      <c r="K436" s="232">
        <v>46054</v>
      </c>
      <c r="L436" s="232"/>
      <c r="M436" s="302">
        <v>0</v>
      </c>
      <c r="N436" s="302">
        <v>43602</v>
      </c>
      <c r="O436" s="302">
        <v>0</v>
      </c>
      <c r="P436" s="232">
        <v>0</v>
      </c>
      <c r="Q436" s="232">
        <v>43602</v>
      </c>
      <c r="R436" s="232"/>
      <c r="S436" s="394">
        <v>13167</v>
      </c>
      <c r="T436" s="232">
        <v>8784</v>
      </c>
      <c r="U436" s="398">
        <v>21951</v>
      </c>
      <c r="V436" s="232"/>
      <c r="W436" s="398">
        <v>118471</v>
      </c>
      <c r="X436" s="398">
        <v>-41861</v>
      </c>
      <c r="Y436" s="398"/>
      <c r="Z436" s="398"/>
    </row>
    <row r="437" spans="1:26">
      <c r="A437" s="392">
        <v>94421</v>
      </c>
      <c r="B437" s="393" t="s">
        <v>1144</v>
      </c>
      <c r="C437" s="235">
        <v>1.56E-4</v>
      </c>
      <c r="D437" s="235">
        <v>1.172E-4</v>
      </c>
      <c r="E437" s="232">
        <v>239241</v>
      </c>
      <c r="F437" s="232" t="s">
        <v>1930</v>
      </c>
      <c r="G437" s="394">
        <v>76111</v>
      </c>
      <c r="H437" s="394">
        <v>0</v>
      </c>
      <c r="I437" s="394">
        <v>150304</v>
      </c>
      <c r="J437" s="232">
        <v>70908</v>
      </c>
      <c r="K437" s="232">
        <v>297323</v>
      </c>
      <c r="L437" s="232"/>
      <c r="M437" s="302">
        <v>0</v>
      </c>
      <c r="N437" s="302">
        <v>341803</v>
      </c>
      <c r="O437" s="302">
        <v>0</v>
      </c>
      <c r="P437" s="232">
        <v>15844</v>
      </c>
      <c r="Q437" s="232">
        <v>357647</v>
      </c>
      <c r="R437" s="232"/>
      <c r="S437" s="394">
        <v>103216</v>
      </c>
      <c r="T437" s="232">
        <v>15548</v>
      </c>
      <c r="U437" s="398">
        <v>118764</v>
      </c>
      <c r="V437" s="232"/>
      <c r="W437" s="398">
        <v>928714</v>
      </c>
      <c r="X437" s="398">
        <v>-328158</v>
      </c>
      <c r="Y437" s="398"/>
      <c r="Z437" s="398"/>
    </row>
    <row r="438" spans="1:26">
      <c r="A438" s="392">
        <v>94427</v>
      </c>
      <c r="B438" s="393" t="s">
        <v>1145</v>
      </c>
      <c r="C438" s="235">
        <v>2.5899999999999999E-5</v>
      </c>
      <c r="D438" s="235">
        <v>2.5999999999999998E-5</v>
      </c>
      <c r="E438" s="232">
        <v>39720</v>
      </c>
      <c r="F438" s="232" t="s">
        <v>1930</v>
      </c>
      <c r="G438" s="394">
        <v>12636</v>
      </c>
      <c r="H438" s="394">
        <v>0</v>
      </c>
      <c r="I438" s="394">
        <v>24954</v>
      </c>
      <c r="J438" s="232">
        <v>10900</v>
      </c>
      <c r="K438" s="232">
        <v>48490</v>
      </c>
      <c r="L438" s="232"/>
      <c r="M438" s="302">
        <v>0</v>
      </c>
      <c r="N438" s="302">
        <v>56748</v>
      </c>
      <c r="O438" s="302">
        <v>0</v>
      </c>
      <c r="P438" s="232">
        <v>0</v>
      </c>
      <c r="Q438" s="232">
        <v>56748</v>
      </c>
      <c r="R438" s="232"/>
      <c r="S438" s="394">
        <v>17137</v>
      </c>
      <c r="T438" s="232">
        <v>6073</v>
      </c>
      <c r="U438" s="398">
        <v>23210</v>
      </c>
      <c r="V438" s="232"/>
      <c r="W438" s="398">
        <v>154190</v>
      </c>
      <c r="X438" s="398">
        <v>-54483</v>
      </c>
      <c r="Y438" s="398"/>
      <c r="Z438" s="398"/>
    </row>
    <row r="439" spans="1:26">
      <c r="A439" s="392">
        <v>94428</v>
      </c>
      <c r="B439" s="393" t="s">
        <v>1146</v>
      </c>
      <c r="C439" s="235">
        <v>7.5300000000000001E-5</v>
      </c>
      <c r="D439" s="235">
        <v>7.2299999999999996E-5</v>
      </c>
      <c r="E439" s="232">
        <v>115480</v>
      </c>
      <c r="F439" s="232" t="s">
        <v>1930</v>
      </c>
      <c r="G439" s="394">
        <v>36738</v>
      </c>
      <c r="H439" s="394">
        <v>0</v>
      </c>
      <c r="I439" s="394">
        <v>72551</v>
      </c>
      <c r="J439" s="232">
        <v>11721</v>
      </c>
      <c r="K439" s="232">
        <v>121010</v>
      </c>
      <c r="L439" s="232"/>
      <c r="M439" s="302">
        <v>0</v>
      </c>
      <c r="N439" s="302">
        <v>164986</v>
      </c>
      <c r="O439" s="302">
        <v>0</v>
      </c>
      <c r="P439" s="232">
        <v>0</v>
      </c>
      <c r="Q439" s="232">
        <v>164986</v>
      </c>
      <c r="R439" s="232"/>
      <c r="S439" s="394">
        <v>49822</v>
      </c>
      <c r="T439" s="232">
        <v>4691</v>
      </c>
      <c r="U439" s="398">
        <v>54513</v>
      </c>
      <c r="V439" s="232"/>
      <c r="W439" s="398">
        <v>448283</v>
      </c>
      <c r="X439" s="398">
        <v>-158399</v>
      </c>
      <c r="Y439" s="398"/>
      <c r="Z439" s="398"/>
    </row>
    <row r="440" spans="1:26">
      <c r="A440" s="392">
        <v>94431</v>
      </c>
      <c r="B440" s="393" t="s">
        <v>1147</v>
      </c>
      <c r="C440" s="235">
        <v>3.6440000000000002E-4</v>
      </c>
      <c r="D440" s="235">
        <v>3.8200000000000002E-4</v>
      </c>
      <c r="E440" s="232">
        <v>558842</v>
      </c>
      <c r="F440" s="232" t="s">
        <v>1930</v>
      </c>
      <c r="G440" s="394">
        <v>177788</v>
      </c>
      <c r="H440" s="394">
        <v>0</v>
      </c>
      <c r="I440" s="394">
        <v>351096</v>
      </c>
      <c r="J440" s="232">
        <v>71110</v>
      </c>
      <c r="K440" s="232">
        <v>599994</v>
      </c>
      <c r="L440" s="232"/>
      <c r="M440" s="302">
        <v>0</v>
      </c>
      <c r="N440" s="302">
        <v>798418</v>
      </c>
      <c r="O440" s="302">
        <v>0</v>
      </c>
      <c r="P440" s="232">
        <v>59153</v>
      </c>
      <c r="Q440" s="232">
        <v>857571</v>
      </c>
      <c r="R440" s="232"/>
      <c r="S440" s="394">
        <v>241102</v>
      </c>
      <c r="T440" s="232">
        <v>46117</v>
      </c>
      <c r="U440" s="398">
        <v>287219</v>
      </c>
      <c r="V440" s="232"/>
      <c r="W440" s="398">
        <v>2169380</v>
      </c>
      <c r="X440" s="398">
        <v>-766543</v>
      </c>
      <c r="Y440" s="398"/>
      <c r="Z440" s="398"/>
    </row>
    <row r="441" spans="1:26">
      <c r="A441" s="392">
        <v>94437</v>
      </c>
      <c r="B441" s="393" t="s">
        <v>1148</v>
      </c>
      <c r="C441" s="235">
        <v>1.5099999999999999E-5</v>
      </c>
      <c r="D441" s="235">
        <v>1.4E-5</v>
      </c>
      <c r="E441" s="232">
        <v>23157</v>
      </c>
      <c r="F441" s="232" t="s">
        <v>1930</v>
      </c>
      <c r="G441" s="394">
        <v>7367</v>
      </c>
      <c r="H441" s="394">
        <v>0</v>
      </c>
      <c r="I441" s="394">
        <v>14549</v>
      </c>
      <c r="J441" s="232">
        <v>11598</v>
      </c>
      <c r="K441" s="232">
        <v>33514</v>
      </c>
      <c r="L441" s="232"/>
      <c r="M441" s="302">
        <v>0</v>
      </c>
      <c r="N441" s="302">
        <v>33085</v>
      </c>
      <c r="O441" s="302">
        <v>0</v>
      </c>
      <c r="P441" s="232">
        <v>0</v>
      </c>
      <c r="Q441" s="232">
        <v>33085</v>
      </c>
      <c r="R441" s="232"/>
      <c r="S441" s="394">
        <v>9991</v>
      </c>
      <c r="T441" s="232">
        <v>6500</v>
      </c>
      <c r="U441" s="398">
        <v>16491</v>
      </c>
      <c r="V441" s="232"/>
      <c r="W441" s="398">
        <v>89895</v>
      </c>
      <c r="X441" s="398">
        <v>-31764</v>
      </c>
      <c r="Y441" s="398"/>
      <c r="Z441" s="398"/>
    </row>
    <row r="442" spans="1:26">
      <c r="A442" s="392">
        <v>94501</v>
      </c>
      <c r="B442" s="393" t="s">
        <v>1149</v>
      </c>
      <c r="C442" s="235">
        <v>5.8125E-3</v>
      </c>
      <c r="D442" s="235">
        <v>5.9300000000000004E-3</v>
      </c>
      <c r="E442" s="232">
        <v>8914027</v>
      </c>
      <c r="F442" s="232" t="s">
        <v>1930</v>
      </c>
      <c r="G442" s="394">
        <v>2835872</v>
      </c>
      <c r="H442" s="394">
        <v>0</v>
      </c>
      <c r="I442" s="394">
        <v>5600286</v>
      </c>
      <c r="J442" s="232">
        <v>61751</v>
      </c>
      <c r="K442" s="232">
        <v>8497909</v>
      </c>
      <c r="L442" s="232"/>
      <c r="M442" s="302">
        <v>0</v>
      </c>
      <c r="N442" s="302">
        <v>12735467</v>
      </c>
      <c r="O442" s="302">
        <v>0</v>
      </c>
      <c r="P442" s="232">
        <v>168954</v>
      </c>
      <c r="Q442" s="232">
        <v>12904421</v>
      </c>
      <c r="R442" s="232"/>
      <c r="S442" s="394">
        <v>3845794</v>
      </c>
      <c r="T442" s="232">
        <v>-16045</v>
      </c>
      <c r="U442" s="398">
        <v>3829749</v>
      </c>
      <c r="V442" s="232"/>
      <c r="W442" s="398">
        <v>34603510</v>
      </c>
      <c r="X442" s="398">
        <v>-12227041</v>
      </c>
      <c r="Y442" s="398"/>
      <c r="Z442" s="398"/>
    </row>
    <row r="443" spans="1:26">
      <c r="A443" s="392">
        <v>94511</v>
      </c>
      <c r="B443" s="393" t="s">
        <v>1150</v>
      </c>
      <c r="C443" s="235">
        <v>1.9949999999999998E-3</v>
      </c>
      <c r="D443" s="235">
        <v>2.0052E-3</v>
      </c>
      <c r="E443" s="232">
        <v>3059524</v>
      </c>
      <c r="F443" s="232" t="s">
        <v>1930</v>
      </c>
      <c r="G443" s="394">
        <v>973345</v>
      </c>
      <c r="H443" s="394">
        <v>0</v>
      </c>
      <c r="I443" s="394">
        <v>1922163</v>
      </c>
      <c r="J443" s="232">
        <v>4788</v>
      </c>
      <c r="K443" s="232">
        <v>2900296</v>
      </c>
      <c r="L443" s="232"/>
      <c r="M443" s="302">
        <v>0</v>
      </c>
      <c r="N443" s="302">
        <v>4371141</v>
      </c>
      <c r="O443" s="302">
        <v>0</v>
      </c>
      <c r="P443" s="232">
        <v>224123</v>
      </c>
      <c r="Q443" s="232">
        <v>4595264</v>
      </c>
      <c r="R443" s="232"/>
      <c r="S443" s="394">
        <v>1319976</v>
      </c>
      <c r="T443" s="232">
        <v>-92540</v>
      </c>
      <c r="U443" s="398">
        <v>1227436</v>
      </c>
      <c r="V443" s="232"/>
      <c r="W443" s="398">
        <v>11876818</v>
      </c>
      <c r="X443" s="398">
        <v>-4196636</v>
      </c>
      <c r="Y443" s="398"/>
      <c r="Z443" s="398"/>
    </row>
    <row r="444" spans="1:26">
      <c r="A444" s="392">
        <v>94512</v>
      </c>
      <c r="B444" s="393" t="s">
        <v>3774</v>
      </c>
      <c r="C444" s="235">
        <v>0</v>
      </c>
      <c r="D444" s="235">
        <v>0</v>
      </c>
      <c r="E444" s="232">
        <v>0</v>
      </c>
      <c r="F444" s="232"/>
      <c r="G444" s="232">
        <v>0</v>
      </c>
      <c r="H444" s="232">
        <v>0</v>
      </c>
      <c r="I444" s="232">
        <v>0</v>
      </c>
      <c r="J444" s="232">
        <v>0</v>
      </c>
      <c r="K444" s="232">
        <v>0</v>
      </c>
      <c r="L444" s="232">
        <v>0</v>
      </c>
      <c r="M444" s="232">
        <v>0</v>
      </c>
      <c r="N444" s="232">
        <v>0</v>
      </c>
      <c r="O444" s="232">
        <v>0</v>
      </c>
      <c r="P444" s="232">
        <v>0</v>
      </c>
      <c r="Q444" s="232">
        <v>0</v>
      </c>
      <c r="R444" s="232">
        <v>0</v>
      </c>
      <c r="S444" s="232">
        <v>0</v>
      </c>
      <c r="T444" s="232">
        <v>0</v>
      </c>
      <c r="U444" s="232">
        <v>0</v>
      </c>
      <c r="V444" s="232">
        <v>0</v>
      </c>
      <c r="W444" s="232">
        <v>0</v>
      </c>
      <c r="X444" s="232">
        <v>0</v>
      </c>
      <c r="Y444" s="398"/>
      <c r="Z444" s="398"/>
    </row>
    <row r="445" spans="1:26">
      <c r="A445" s="392">
        <v>94517</v>
      </c>
      <c r="B445" s="393" t="s">
        <v>1152</v>
      </c>
      <c r="C445" s="235">
        <v>6.3800000000000006E-5</v>
      </c>
      <c r="D445" s="235">
        <v>5.8100000000000003E-5</v>
      </c>
      <c r="E445" s="232">
        <v>97843</v>
      </c>
      <c r="F445" s="232" t="s">
        <v>1930</v>
      </c>
      <c r="G445" s="394">
        <v>31128</v>
      </c>
      <c r="H445" s="394">
        <v>0</v>
      </c>
      <c r="I445" s="394">
        <v>61471</v>
      </c>
      <c r="J445" s="232">
        <v>40668</v>
      </c>
      <c r="K445" s="232">
        <v>133267</v>
      </c>
      <c r="L445" s="232"/>
      <c r="M445" s="302">
        <v>0</v>
      </c>
      <c r="N445" s="302">
        <v>139789</v>
      </c>
      <c r="O445" s="302">
        <v>0</v>
      </c>
      <c r="P445" s="232">
        <v>0</v>
      </c>
      <c r="Q445" s="232">
        <v>139789</v>
      </c>
      <c r="R445" s="232"/>
      <c r="S445" s="394">
        <v>42213</v>
      </c>
      <c r="T445" s="232">
        <v>19092</v>
      </c>
      <c r="U445" s="398">
        <v>61305</v>
      </c>
      <c r="V445" s="232"/>
      <c r="W445" s="398">
        <v>379820</v>
      </c>
      <c r="X445" s="398">
        <v>-134208</v>
      </c>
      <c r="Y445" s="398"/>
      <c r="Z445" s="398"/>
    </row>
    <row r="446" spans="1:26">
      <c r="A446" s="392">
        <v>94521</v>
      </c>
      <c r="B446" s="393" t="s">
        <v>1153</v>
      </c>
      <c r="C446" s="235">
        <v>1.3880000000000001E-4</v>
      </c>
      <c r="D446" s="235">
        <v>1.484E-4</v>
      </c>
      <c r="E446" s="232">
        <v>212863</v>
      </c>
      <c r="F446" s="232" t="s">
        <v>1930</v>
      </c>
      <c r="G446" s="394">
        <v>67719</v>
      </c>
      <c r="H446" s="394">
        <v>0</v>
      </c>
      <c r="I446" s="394">
        <v>133732</v>
      </c>
      <c r="J446" s="232">
        <v>0</v>
      </c>
      <c r="K446" s="232">
        <v>201451</v>
      </c>
      <c r="L446" s="232"/>
      <c r="M446" s="302">
        <v>0</v>
      </c>
      <c r="N446" s="302">
        <v>304117</v>
      </c>
      <c r="O446" s="302">
        <v>0</v>
      </c>
      <c r="P446" s="232">
        <v>43081</v>
      </c>
      <c r="Q446" s="232">
        <v>347198</v>
      </c>
      <c r="R446" s="232"/>
      <c r="S446" s="394">
        <v>91836</v>
      </c>
      <c r="T446" s="232">
        <v>-15053</v>
      </c>
      <c r="U446" s="398">
        <v>76783</v>
      </c>
      <c r="V446" s="232"/>
      <c r="W446" s="398">
        <v>826317</v>
      </c>
      <c r="X446" s="398">
        <v>-291976</v>
      </c>
      <c r="Y446" s="398"/>
      <c r="Z446" s="398"/>
    </row>
    <row r="447" spans="1:26">
      <c r="A447" s="392">
        <v>94527</v>
      </c>
      <c r="B447" s="393" t="s">
        <v>1154</v>
      </c>
      <c r="C447" s="235">
        <v>7.4000000000000003E-6</v>
      </c>
      <c r="D447" s="235">
        <v>6.9E-6</v>
      </c>
      <c r="E447" s="232">
        <v>11349</v>
      </c>
      <c r="F447" s="232" t="s">
        <v>1930</v>
      </c>
      <c r="G447" s="394">
        <v>3610</v>
      </c>
      <c r="H447" s="394">
        <v>0</v>
      </c>
      <c r="I447" s="394">
        <v>7130</v>
      </c>
      <c r="J447" s="232">
        <v>837</v>
      </c>
      <c r="K447" s="232">
        <v>11577</v>
      </c>
      <c r="L447" s="232"/>
      <c r="M447" s="302">
        <v>0</v>
      </c>
      <c r="N447" s="302">
        <v>16214</v>
      </c>
      <c r="O447" s="302">
        <v>0</v>
      </c>
      <c r="P447" s="232">
        <v>0</v>
      </c>
      <c r="Q447" s="232">
        <v>16214</v>
      </c>
      <c r="R447" s="232"/>
      <c r="S447" s="394">
        <v>4896</v>
      </c>
      <c r="T447" s="232">
        <v>230</v>
      </c>
      <c r="U447" s="398">
        <v>5126</v>
      </c>
      <c r="V447" s="232"/>
      <c r="W447" s="398">
        <v>44054</v>
      </c>
      <c r="X447" s="398">
        <v>-15566</v>
      </c>
      <c r="Y447" s="398"/>
      <c r="Z447" s="398"/>
    </row>
    <row r="448" spans="1:26">
      <c r="A448" s="392">
        <v>94531</v>
      </c>
      <c r="B448" s="393" t="s">
        <v>1155</v>
      </c>
      <c r="C448" s="235">
        <v>2.16E-5</v>
      </c>
      <c r="D448" s="235">
        <v>2.0999999999999999E-5</v>
      </c>
      <c r="E448" s="232">
        <v>33126</v>
      </c>
      <c r="F448" s="232" t="s">
        <v>1930</v>
      </c>
      <c r="G448" s="394">
        <v>10538</v>
      </c>
      <c r="H448" s="394">
        <v>0</v>
      </c>
      <c r="I448" s="394">
        <v>20811</v>
      </c>
      <c r="J448" s="232">
        <v>13036</v>
      </c>
      <c r="K448" s="232">
        <v>44385</v>
      </c>
      <c r="L448" s="232"/>
      <c r="M448" s="302">
        <v>0</v>
      </c>
      <c r="N448" s="302">
        <v>47327</v>
      </c>
      <c r="O448" s="302">
        <v>0</v>
      </c>
      <c r="P448" s="232">
        <v>0</v>
      </c>
      <c r="Q448" s="232">
        <v>47327</v>
      </c>
      <c r="R448" s="232"/>
      <c r="S448" s="394">
        <v>14291</v>
      </c>
      <c r="T448" s="232">
        <v>6896</v>
      </c>
      <c r="U448" s="398">
        <v>21187</v>
      </c>
      <c r="V448" s="232"/>
      <c r="W448" s="398">
        <v>128591</v>
      </c>
      <c r="X448" s="398">
        <v>-45437</v>
      </c>
      <c r="Y448" s="398"/>
      <c r="Z448" s="398"/>
    </row>
    <row r="449" spans="1:26">
      <c r="A449" s="392">
        <v>94532</v>
      </c>
      <c r="B449" s="393" t="s">
        <v>1156</v>
      </c>
      <c r="C449" s="235">
        <v>1.1010000000000001E-4</v>
      </c>
      <c r="D449" s="235">
        <v>1.339E-4</v>
      </c>
      <c r="E449" s="232">
        <v>168849</v>
      </c>
      <c r="F449" s="232" t="s">
        <v>1930</v>
      </c>
      <c r="G449" s="394">
        <v>53717</v>
      </c>
      <c r="H449" s="394">
        <v>0</v>
      </c>
      <c r="I449" s="394">
        <v>106080</v>
      </c>
      <c r="J449" s="232">
        <v>27490</v>
      </c>
      <c r="K449" s="232">
        <v>187287</v>
      </c>
      <c r="L449" s="232"/>
      <c r="M449" s="302">
        <v>0</v>
      </c>
      <c r="N449" s="302">
        <v>241234</v>
      </c>
      <c r="O449" s="302">
        <v>0</v>
      </c>
      <c r="P449" s="232">
        <v>39277</v>
      </c>
      <c r="Q449" s="232">
        <v>280511</v>
      </c>
      <c r="R449" s="232"/>
      <c r="S449" s="394">
        <v>72847</v>
      </c>
      <c r="T449" s="232">
        <v>1734</v>
      </c>
      <c r="U449" s="398">
        <v>74581</v>
      </c>
      <c r="V449" s="232"/>
      <c r="W449" s="398">
        <v>655457</v>
      </c>
      <c r="X449" s="398">
        <v>-231604</v>
      </c>
      <c r="Y449" s="398"/>
      <c r="Z449" s="398"/>
    </row>
    <row r="450" spans="1:26">
      <c r="A450" s="392">
        <v>94541</v>
      </c>
      <c r="B450" s="393" t="s">
        <v>1157</v>
      </c>
      <c r="C450" s="235">
        <v>2.7490000000000001E-4</v>
      </c>
      <c r="D450" s="235">
        <v>2.7849999999999999E-4</v>
      </c>
      <c r="E450" s="232">
        <v>421586</v>
      </c>
      <c r="F450" s="232" t="s">
        <v>1930</v>
      </c>
      <c r="G450" s="394">
        <v>134122</v>
      </c>
      <c r="H450" s="394">
        <v>0</v>
      </c>
      <c r="I450" s="394">
        <v>264863</v>
      </c>
      <c r="J450" s="232">
        <v>1280</v>
      </c>
      <c r="K450" s="232">
        <v>400265</v>
      </c>
      <c r="L450" s="232"/>
      <c r="M450" s="302">
        <v>0</v>
      </c>
      <c r="N450" s="302">
        <v>602319</v>
      </c>
      <c r="O450" s="302">
        <v>0</v>
      </c>
      <c r="P450" s="232">
        <v>16700</v>
      </c>
      <c r="Q450" s="232">
        <v>619019</v>
      </c>
      <c r="R450" s="232"/>
      <c r="S450" s="394">
        <v>181885</v>
      </c>
      <c r="T450" s="232">
        <v>-11101</v>
      </c>
      <c r="U450" s="398">
        <v>170784</v>
      </c>
      <c r="V450" s="232"/>
      <c r="W450" s="398">
        <v>1636560</v>
      </c>
      <c r="X450" s="398">
        <v>-578273</v>
      </c>
      <c r="Y450" s="398"/>
      <c r="Z450" s="398"/>
    </row>
    <row r="451" spans="1:26">
      <c r="A451" s="392">
        <v>94547</v>
      </c>
      <c r="B451" s="393" t="s">
        <v>1158</v>
      </c>
      <c r="C451" s="235">
        <v>1.7E-5</v>
      </c>
      <c r="D451" s="235">
        <v>1.2500000000000001E-5</v>
      </c>
      <c r="E451" s="232">
        <v>26071</v>
      </c>
      <c r="F451" s="232" t="s">
        <v>1930</v>
      </c>
      <c r="G451" s="394">
        <v>8294</v>
      </c>
      <c r="H451" s="394">
        <v>0</v>
      </c>
      <c r="I451" s="394">
        <v>16379</v>
      </c>
      <c r="J451" s="232">
        <v>21331</v>
      </c>
      <c r="K451" s="232">
        <v>46004</v>
      </c>
      <c r="L451" s="232"/>
      <c r="M451" s="302">
        <v>0</v>
      </c>
      <c r="N451" s="302">
        <v>37248</v>
      </c>
      <c r="O451" s="302">
        <v>0</v>
      </c>
      <c r="P451" s="232">
        <v>0</v>
      </c>
      <c r="Q451" s="232">
        <v>37248</v>
      </c>
      <c r="R451" s="232"/>
      <c r="S451" s="394">
        <v>11248</v>
      </c>
      <c r="T451" s="232">
        <v>9082</v>
      </c>
      <c r="U451" s="398">
        <v>20330</v>
      </c>
      <c r="V451" s="232"/>
      <c r="W451" s="398">
        <v>101206</v>
      </c>
      <c r="X451" s="398">
        <v>-35761</v>
      </c>
      <c r="Y451" s="398"/>
      <c r="Z451" s="398"/>
    </row>
    <row r="452" spans="1:26">
      <c r="A452" s="392">
        <v>94551</v>
      </c>
      <c r="B452" s="393" t="s">
        <v>1159</v>
      </c>
      <c r="C452" s="235">
        <v>5.0800000000000002E-5</v>
      </c>
      <c r="D452" s="235">
        <v>5.8199999999999998E-5</v>
      </c>
      <c r="E452" s="232">
        <v>77907</v>
      </c>
      <c r="F452" s="232" t="s">
        <v>1930</v>
      </c>
      <c r="G452" s="394">
        <v>24785</v>
      </c>
      <c r="H452" s="394">
        <v>0</v>
      </c>
      <c r="I452" s="394">
        <v>48945</v>
      </c>
      <c r="J452" s="232">
        <v>7585</v>
      </c>
      <c r="K452" s="232">
        <v>81315</v>
      </c>
      <c r="L452" s="232"/>
      <c r="M452" s="302">
        <v>0</v>
      </c>
      <c r="N452" s="302">
        <v>111305</v>
      </c>
      <c r="O452" s="302">
        <v>0</v>
      </c>
      <c r="P452" s="232">
        <v>8804</v>
      </c>
      <c r="Q452" s="232">
        <v>120109</v>
      </c>
      <c r="R452" s="232"/>
      <c r="S452" s="394">
        <v>33611</v>
      </c>
      <c r="T452" s="232">
        <v>2144</v>
      </c>
      <c r="U452" s="398">
        <v>35755</v>
      </c>
      <c r="V452" s="232"/>
      <c r="W452" s="398">
        <v>302427</v>
      </c>
      <c r="X452" s="398">
        <v>-106862</v>
      </c>
      <c r="Y452" s="398"/>
      <c r="Z452" s="398"/>
    </row>
    <row r="453" spans="1:26">
      <c r="A453" s="392">
        <v>94601</v>
      </c>
      <c r="B453" s="393" t="s">
        <v>1160</v>
      </c>
      <c r="C453" s="235">
        <v>9.6500000000000004E-4</v>
      </c>
      <c r="D453" s="235">
        <v>9.234E-4</v>
      </c>
      <c r="E453" s="232">
        <v>1479920</v>
      </c>
      <c r="F453" s="232" t="s">
        <v>1930</v>
      </c>
      <c r="G453" s="394">
        <v>470816</v>
      </c>
      <c r="H453" s="394">
        <v>0</v>
      </c>
      <c r="I453" s="394">
        <v>929768</v>
      </c>
      <c r="J453" s="232">
        <v>110764</v>
      </c>
      <c r="K453" s="232">
        <v>1511348</v>
      </c>
      <c r="L453" s="232"/>
      <c r="M453" s="302">
        <v>0</v>
      </c>
      <c r="N453" s="302">
        <v>2114361</v>
      </c>
      <c r="O453" s="302">
        <v>0</v>
      </c>
      <c r="P453" s="232">
        <v>51986</v>
      </c>
      <c r="Q453" s="232">
        <v>2166347</v>
      </c>
      <c r="R453" s="232"/>
      <c r="S453" s="394">
        <v>638485</v>
      </c>
      <c r="T453" s="232">
        <v>30528</v>
      </c>
      <c r="U453" s="398">
        <v>669013</v>
      </c>
      <c r="V453" s="232"/>
      <c r="W453" s="398">
        <v>5744927</v>
      </c>
      <c r="X453" s="398">
        <v>-2029952</v>
      </c>
      <c r="Y453" s="398"/>
      <c r="Z453" s="398"/>
    </row>
    <row r="454" spans="1:26">
      <c r="A454" s="392">
        <v>94604</v>
      </c>
      <c r="B454" s="393" t="s">
        <v>1161</v>
      </c>
      <c r="C454" s="235">
        <v>2.65E-5</v>
      </c>
      <c r="D454" s="235">
        <v>2.0299999999999999E-5</v>
      </c>
      <c r="E454" s="232">
        <v>40640</v>
      </c>
      <c r="F454" s="232" t="s">
        <v>1930</v>
      </c>
      <c r="G454" s="394">
        <v>12929</v>
      </c>
      <c r="H454" s="394">
        <v>0</v>
      </c>
      <c r="I454" s="394">
        <v>25532</v>
      </c>
      <c r="J454" s="232">
        <v>12944</v>
      </c>
      <c r="K454" s="232">
        <v>51405</v>
      </c>
      <c r="L454" s="232"/>
      <c r="M454" s="302">
        <v>0</v>
      </c>
      <c r="N454" s="302">
        <v>58063</v>
      </c>
      <c r="O454" s="302">
        <v>0</v>
      </c>
      <c r="P454" s="232">
        <v>1838</v>
      </c>
      <c r="Q454" s="232">
        <v>59901</v>
      </c>
      <c r="R454" s="232"/>
      <c r="S454" s="394">
        <v>17534</v>
      </c>
      <c r="T454" s="232">
        <v>4124</v>
      </c>
      <c r="U454" s="398">
        <v>21658</v>
      </c>
      <c r="V454" s="232"/>
      <c r="W454" s="398">
        <v>157762</v>
      </c>
      <c r="X454" s="398">
        <v>-55745</v>
      </c>
      <c r="Y454" s="398"/>
      <c r="Z454" s="398"/>
    </row>
    <row r="455" spans="1:26">
      <c r="A455" s="392">
        <v>94606</v>
      </c>
      <c r="B455" s="393" t="s">
        <v>1162</v>
      </c>
      <c r="C455" s="235">
        <v>0</v>
      </c>
      <c r="D455" s="235">
        <v>0</v>
      </c>
      <c r="E455" s="232">
        <v>0</v>
      </c>
      <c r="F455" s="232" t="s">
        <v>1930</v>
      </c>
      <c r="G455" s="394">
        <v>0</v>
      </c>
      <c r="H455" s="394">
        <v>0</v>
      </c>
      <c r="I455" s="394">
        <v>0</v>
      </c>
      <c r="J455" s="232">
        <v>0</v>
      </c>
      <c r="K455" s="232">
        <v>0</v>
      </c>
      <c r="L455" s="232"/>
      <c r="M455" s="302">
        <v>0</v>
      </c>
      <c r="N455" s="302">
        <v>0</v>
      </c>
      <c r="O455" s="302">
        <v>0</v>
      </c>
      <c r="P455" s="232">
        <v>87213</v>
      </c>
      <c r="Q455" s="232">
        <v>87213</v>
      </c>
      <c r="R455" s="232"/>
      <c r="S455" s="394">
        <v>0</v>
      </c>
      <c r="T455" s="232">
        <v>-51492</v>
      </c>
      <c r="U455" s="398">
        <v>-51492</v>
      </c>
      <c r="V455" s="232"/>
      <c r="W455" s="398">
        <v>0</v>
      </c>
      <c r="X455" s="398">
        <v>0</v>
      </c>
      <c r="Y455" s="398"/>
      <c r="Z455" s="398"/>
    </row>
    <row r="456" spans="1:26">
      <c r="A456" s="392">
        <v>94611</v>
      </c>
      <c r="B456" s="393" t="s">
        <v>1163</v>
      </c>
      <c r="C456" s="235">
        <v>2.8889999999999997E-4</v>
      </c>
      <c r="D456" s="235">
        <v>3.0679999999999998E-4</v>
      </c>
      <c r="E456" s="232">
        <v>443056</v>
      </c>
      <c r="F456" s="232" t="s">
        <v>1930</v>
      </c>
      <c r="G456" s="394">
        <v>140952</v>
      </c>
      <c r="H456" s="394">
        <v>0</v>
      </c>
      <c r="I456" s="394">
        <v>278352</v>
      </c>
      <c r="J456" s="232">
        <v>0</v>
      </c>
      <c r="K456" s="232">
        <v>419304</v>
      </c>
      <c r="L456" s="232"/>
      <c r="M456" s="302">
        <v>0</v>
      </c>
      <c r="N456" s="302">
        <v>632994</v>
      </c>
      <c r="O456" s="302">
        <v>0</v>
      </c>
      <c r="P456" s="232">
        <v>33856</v>
      </c>
      <c r="Q456" s="232">
        <v>666850</v>
      </c>
      <c r="R456" s="232"/>
      <c r="S456" s="394">
        <v>191148</v>
      </c>
      <c r="T456" s="232">
        <v>-23545</v>
      </c>
      <c r="U456" s="398">
        <v>167603</v>
      </c>
      <c r="V456" s="232"/>
      <c r="W456" s="398">
        <v>1719906</v>
      </c>
      <c r="X456" s="398">
        <v>-607723</v>
      </c>
      <c r="Y456" s="398"/>
      <c r="Z456" s="398"/>
    </row>
    <row r="457" spans="1:26">
      <c r="A457" s="392">
        <v>94621</v>
      </c>
      <c r="B457" s="393" t="s">
        <v>1164</v>
      </c>
      <c r="C457" s="235">
        <v>1.1120000000000001E-4</v>
      </c>
      <c r="D457" s="235">
        <v>1.104E-4</v>
      </c>
      <c r="E457" s="232">
        <v>170536</v>
      </c>
      <c r="F457" s="232" t="s">
        <v>1930</v>
      </c>
      <c r="G457" s="394">
        <v>54254</v>
      </c>
      <c r="H457" s="394">
        <v>0</v>
      </c>
      <c r="I457" s="394">
        <v>107140</v>
      </c>
      <c r="J457" s="232">
        <v>19038</v>
      </c>
      <c r="K457" s="232">
        <v>180432</v>
      </c>
      <c r="L457" s="232"/>
      <c r="M457" s="302">
        <v>0</v>
      </c>
      <c r="N457" s="302">
        <v>243645</v>
      </c>
      <c r="O457" s="302">
        <v>0</v>
      </c>
      <c r="P457" s="232">
        <v>16938</v>
      </c>
      <c r="Q457" s="232">
        <v>260583</v>
      </c>
      <c r="R457" s="232"/>
      <c r="S457" s="394">
        <v>73575</v>
      </c>
      <c r="T457" s="232">
        <v>2051</v>
      </c>
      <c r="U457" s="398">
        <v>75626</v>
      </c>
      <c r="V457" s="232"/>
      <c r="W457" s="398">
        <v>662006</v>
      </c>
      <c r="X457" s="398">
        <v>-233918</v>
      </c>
      <c r="Y457" s="398"/>
      <c r="Z457" s="398"/>
    </row>
    <row r="458" spans="1:26">
      <c r="A458" s="392">
        <v>94631</v>
      </c>
      <c r="B458" s="393" t="s">
        <v>1165</v>
      </c>
      <c r="C458" s="235">
        <v>4.0200000000000001E-5</v>
      </c>
      <c r="D458" s="235">
        <v>4.2899999999999999E-5</v>
      </c>
      <c r="E458" s="232">
        <v>61651</v>
      </c>
      <c r="F458" s="232" t="s">
        <v>1930</v>
      </c>
      <c r="G458" s="394">
        <v>19613</v>
      </c>
      <c r="H458" s="394">
        <v>0</v>
      </c>
      <c r="I458" s="394">
        <v>38732</v>
      </c>
      <c r="J458" s="232">
        <v>745</v>
      </c>
      <c r="K458" s="232">
        <v>59090</v>
      </c>
      <c r="L458" s="232"/>
      <c r="M458" s="302">
        <v>0</v>
      </c>
      <c r="N458" s="302">
        <v>88080</v>
      </c>
      <c r="O458" s="302">
        <v>0</v>
      </c>
      <c r="P458" s="232">
        <v>5047</v>
      </c>
      <c r="Q458" s="232">
        <v>93127</v>
      </c>
      <c r="R458" s="232"/>
      <c r="S458" s="394">
        <v>26598</v>
      </c>
      <c r="T458" s="232">
        <v>-329</v>
      </c>
      <c r="U458" s="398">
        <v>26269</v>
      </c>
      <c r="V458" s="232"/>
      <c r="W458" s="398">
        <v>239322</v>
      </c>
      <c r="X458" s="398">
        <v>-84564</v>
      </c>
      <c r="Y458" s="398"/>
      <c r="Z458" s="398"/>
    </row>
    <row r="459" spans="1:26">
      <c r="A459" s="392">
        <v>94641</v>
      </c>
      <c r="B459" s="393" t="s">
        <v>1166</v>
      </c>
      <c r="C459" s="235">
        <v>1.3499999999999999E-5</v>
      </c>
      <c r="D459" s="235">
        <v>1.4399999999999999E-5</v>
      </c>
      <c r="E459" s="232">
        <v>20704</v>
      </c>
      <c r="F459" s="232" t="s">
        <v>1930</v>
      </c>
      <c r="G459" s="394">
        <v>6587</v>
      </c>
      <c r="H459" s="394">
        <v>0</v>
      </c>
      <c r="I459" s="394">
        <v>13007</v>
      </c>
      <c r="J459" s="232">
        <v>10701</v>
      </c>
      <c r="K459" s="232">
        <v>30295</v>
      </c>
      <c r="L459" s="232"/>
      <c r="M459" s="302">
        <v>0</v>
      </c>
      <c r="N459" s="302">
        <v>29579</v>
      </c>
      <c r="O459" s="302">
        <v>0</v>
      </c>
      <c r="P459" s="232">
        <v>0</v>
      </c>
      <c r="Q459" s="232">
        <v>29579</v>
      </c>
      <c r="R459" s="232"/>
      <c r="S459" s="394">
        <v>8932</v>
      </c>
      <c r="T459" s="232">
        <v>5791</v>
      </c>
      <c r="U459" s="398">
        <v>14723</v>
      </c>
      <c r="V459" s="232"/>
      <c r="W459" s="398">
        <v>80369</v>
      </c>
      <c r="X459" s="398">
        <v>-28398</v>
      </c>
      <c r="Y459" s="398"/>
      <c r="Z459" s="398"/>
    </row>
    <row r="460" spans="1:26">
      <c r="A460" s="392">
        <v>94701</v>
      </c>
      <c r="B460" s="393" t="s">
        <v>1167</v>
      </c>
      <c r="C460" s="235">
        <v>2.3996999999999998E-3</v>
      </c>
      <c r="D460" s="235">
        <v>2.4697999999999999E-3</v>
      </c>
      <c r="E460" s="232">
        <v>3680170</v>
      </c>
      <c r="F460" s="232" t="s">
        <v>1930</v>
      </c>
      <c r="G460" s="394">
        <v>1170794</v>
      </c>
      <c r="H460" s="394">
        <v>0</v>
      </c>
      <c r="I460" s="394">
        <v>2312087</v>
      </c>
      <c r="J460" s="232">
        <v>90808</v>
      </c>
      <c r="K460" s="232">
        <v>3573689</v>
      </c>
      <c r="L460" s="232"/>
      <c r="M460" s="302">
        <v>0</v>
      </c>
      <c r="N460" s="302">
        <v>5257858</v>
      </c>
      <c r="O460" s="302">
        <v>0</v>
      </c>
      <c r="P460" s="232">
        <v>143141</v>
      </c>
      <c r="Q460" s="232">
        <v>5400999</v>
      </c>
      <c r="R460" s="232"/>
      <c r="S460" s="394">
        <v>1587742</v>
      </c>
      <c r="T460" s="232">
        <v>-29155</v>
      </c>
      <c r="U460" s="398">
        <v>1558587</v>
      </c>
      <c r="V460" s="232"/>
      <c r="W460" s="398">
        <v>14286115</v>
      </c>
      <c r="X460" s="398">
        <v>-5047954</v>
      </c>
      <c r="Y460" s="398"/>
      <c r="Z460" s="398"/>
    </row>
    <row r="461" spans="1:26">
      <c r="A461" s="392">
        <v>94704</v>
      </c>
      <c r="B461" s="393" t="s">
        <v>1168</v>
      </c>
      <c r="C461" s="235">
        <v>1.7099999999999999E-5</v>
      </c>
      <c r="D461" s="235">
        <v>1.5500000000000001E-5</v>
      </c>
      <c r="E461" s="232">
        <v>26224</v>
      </c>
      <c r="F461" s="232" t="s">
        <v>1930</v>
      </c>
      <c r="G461" s="394">
        <v>8343</v>
      </c>
      <c r="H461" s="394">
        <v>0</v>
      </c>
      <c r="I461" s="394">
        <v>16476</v>
      </c>
      <c r="J461" s="232">
        <v>7229</v>
      </c>
      <c r="K461" s="232">
        <v>32048</v>
      </c>
      <c r="L461" s="232"/>
      <c r="M461" s="302">
        <v>0</v>
      </c>
      <c r="N461" s="302">
        <v>37467</v>
      </c>
      <c r="O461" s="302">
        <v>0</v>
      </c>
      <c r="P461" s="232">
        <v>21</v>
      </c>
      <c r="Q461" s="232">
        <v>37488</v>
      </c>
      <c r="R461" s="232"/>
      <c r="S461" s="394">
        <v>11314</v>
      </c>
      <c r="T461" s="232">
        <v>3440</v>
      </c>
      <c r="U461" s="398">
        <v>14754</v>
      </c>
      <c r="V461" s="232"/>
      <c r="W461" s="398">
        <v>101801</v>
      </c>
      <c r="X461" s="398">
        <v>-35971</v>
      </c>
      <c r="Y461" s="398"/>
      <c r="Z461" s="398"/>
    </row>
    <row r="462" spans="1:26">
      <c r="A462" s="392">
        <v>94711</v>
      </c>
      <c r="B462" s="393" t="s">
        <v>1169</v>
      </c>
      <c r="C462" s="235">
        <v>3.344E-4</v>
      </c>
      <c r="D462" s="235">
        <v>3.1080000000000002E-4</v>
      </c>
      <c r="E462" s="232">
        <v>512835</v>
      </c>
      <c r="F462" s="232" t="s">
        <v>1930</v>
      </c>
      <c r="G462" s="394">
        <v>163151</v>
      </c>
      <c r="H462" s="394">
        <v>0</v>
      </c>
      <c r="I462" s="394">
        <v>322191</v>
      </c>
      <c r="J462" s="232">
        <v>61058</v>
      </c>
      <c r="K462" s="232">
        <v>546400</v>
      </c>
      <c r="L462" s="232"/>
      <c r="M462" s="302">
        <v>0</v>
      </c>
      <c r="N462" s="302">
        <v>732686</v>
      </c>
      <c r="O462" s="302">
        <v>0</v>
      </c>
      <c r="P462" s="232">
        <v>12506</v>
      </c>
      <c r="Q462" s="232">
        <v>745192</v>
      </c>
      <c r="R462" s="232"/>
      <c r="S462" s="394">
        <v>221253</v>
      </c>
      <c r="T462" s="232">
        <v>14995</v>
      </c>
      <c r="U462" s="398">
        <v>236248</v>
      </c>
      <c r="V462" s="232"/>
      <c r="W462" s="398">
        <v>1990781</v>
      </c>
      <c r="X462" s="398">
        <v>-703436</v>
      </c>
      <c r="Y462" s="398"/>
      <c r="Z462" s="398"/>
    </row>
    <row r="463" spans="1:26">
      <c r="A463" s="392">
        <v>94801</v>
      </c>
      <c r="B463" s="393" t="s">
        <v>1170</v>
      </c>
      <c r="C463" s="235">
        <v>6.2790000000000003E-4</v>
      </c>
      <c r="D463" s="235">
        <v>6.8409999999999999E-4</v>
      </c>
      <c r="E463" s="232">
        <v>962945</v>
      </c>
      <c r="F463" s="232" t="s">
        <v>1930</v>
      </c>
      <c r="G463" s="394">
        <v>306347</v>
      </c>
      <c r="H463" s="394">
        <v>0</v>
      </c>
      <c r="I463" s="394">
        <v>604975</v>
      </c>
      <c r="J463" s="232">
        <v>15384</v>
      </c>
      <c r="K463" s="232">
        <v>926706</v>
      </c>
      <c r="L463" s="232"/>
      <c r="M463" s="302">
        <v>0</v>
      </c>
      <c r="N463" s="302">
        <v>1375759</v>
      </c>
      <c r="O463" s="302">
        <v>0</v>
      </c>
      <c r="P463" s="232">
        <v>89189</v>
      </c>
      <c r="Q463" s="232">
        <v>1464948</v>
      </c>
      <c r="R463" s="232"/>
      <c r="S463" s="394">
        <v>415445</v>
      </c>
      <c r="T463" s="232">
        <v>-30651</v>
      </c>
      <c r="U463" s="398">
        <v>384794</v>
      </c>
      <c r="V463" s="232"/>
      <c r="W463" s="398">
        <v>3738072</v>
      </c>
      <c r="X463" s="398">
        <v>-1320836</v>
      </c>
      <c r="Y463" s="398"/>
      <c r="Z463" s="398"/>
    </row>
    <row r="464" spans="1:26">
      <c r="A464" s="392">
        <v>94804</v>
      </c>
      <c r="B464" s="393" t="s">
        <v>1171</v>
      </c>
      <c r="C464" s="235">
        <v>2.7E-6</v>
      </c>
      <c r="D464" s="235">
        <v>3.4000000000000001E-6</v>
      </c>
      <c r="E464" s="232">
        <v>4141</v>
      </c>
      <c r="F464" s="232" t="s">
        <v>1930</v>
      </c>
      <c r="G464" s="394">
        <v>1317</v>
      </c>
      <c r="H464" s="394">
        <v>0</v>
      </c>
      <c r="I464" s="394">
        <v>2601</v>
      </c>
      <c r="J464" s="232">
        <v>3381</v>
      </c>
      <c r="K464" s="232">
        <v>7299</v>
      </c>
      <c r="L464" s="232"/>
      <c r="M464" s="302">
        <v>0</v>
      </c>
      <c r="N464" s="302">
        <v>5916</v>
      </c>
      <c r="O464" s="302">
        <v>0</v>
      </c>
      <c r="P464" s="232">
        <v>0</v>
      </c>
      <c r="Q464" s="232">
        <v>5916</v>
      </c>
      <c r="R464" s="232"/>
      <c r="S464" s="394">
        <v>1786</v>
      </c>
      <c r="T464" s="232">
        <v>1709</v>
      </c>
      <c r="U464" s="398">
        <v>3495</v>
      </c>
      <c r="V464" s="232"/>
      <c r="W464" s="398">
        <v>16074</v>
      </c>
      <c r="X464" s="398">
        <v>-5680</v>
      </c>
      <c r="Y464" s="398"/>
      <c r="Z464" s="398"/>
    </row>
    <row r="465" spans="1:26">
      <c r="A465" s="392">
        <v>94812</v>
      </c>
      <c r="B465" s="393" t="s">
        <v>1172</v>
      </c>
      <c r="C465" s="235">
        <v>2.5599999999999999E-5</v>
      </c>
      <c r="D465" s="235">
        <v>2.8399999999999999E-5</v>
      </c>
      <c r="E465" s="232">
        <v>39260</v>
      </c>
      <c r="F465" s="232" t="s">
        <v>1930</v>
      </c>
      <c r="G465" s="394">
        <v>12490</v>
      </c>
      <c r="H465" s="394">
        <v>0</v>
      </c>
      <c r="I465" s="394">
        <v>24665</v>
      </c>
      <c r="J465" s="232">
        <v>5004</v>
      </c>
      <c r="K465" s="232">
        <v>42159</v>
      </c>
      <c r="L465" s="232"/>
      <c r="M465" s="302">
        <v>0</v>
      </c>
      <c r="N465" s="302">
        <v>56091</v>
      </c>
      <c r="O465" s="302">
        <v>0</v>
      </c>
      <c r="P465" s="232">
        <v>490</v>
      </c>
      <c r="Q465" s="232">
        <v>56581</v>
      </c>
      <c r="R465" s="232"/>
      <c r="S465" s="394">
        <v>16938</v>
      </c>
      <c r="T465" s="232">
        <v>3580</v>
      </c>
      <c r="U465" s="398">
        <v>20518</v>
      </c>
      <c r="V465" s="232"/>
      <c r="W465" s="398">
        <v>152404</v>
      </c>
      <c r="X465" s="398">
        <v>-53852</v>
      </c>
      <c r="Y465" s="398"/>
      <c r="Z465" s="398"/>
    </row>
    <row r="466" spans="1:26">
      <c r="A466" s="392">
        <v>94901</v>
      </c>
      <c r="B466" s="393" t="s">
        <v>1173</v>
      </c>
      <c r="C466" s="235">
        <v>7.1942000000000004E-3</v>
      </c>
      <c r="D466" s="235">
        <v>7.2741999999999998E-3</v>
      </c>
      <c r="E466" s="232">
        <v>11032996</v>
      </c>
      <c r="F466" s="232" t="s">
        <v>1930</v>
      </c>
      <c r="G466" s="394">
        <v>3509993</v>
      </c>
      <c r="H466" s="394">
        <v>0</v>
      </c>
      <c r="I466" s="394">
        <v>6931540</v>
      </c>
      <c r="J466" s="232">
        <v>156924</v>
      </c>
      <c r="K466" s="232">
        <v>10598457</v>
      </c>
      <c r="L466" s="232"/>
      <c r="M466" s="302">
        <v>0</v>
      </c>
      <c r="N466" s="302">
        <v>15762838</v>
      </c>
      <c r="O466" s="302">
        <v>0</v>
      </c>
      <c r="P466" s="232">
        <v>106923</v>
      </c>
      <c r="Q466" s="232">
        <v>15869761</v>
      </c>
      <c r="R466" s="232"/>
      <c r="S466" s="394">
        <v>4759985</v>
      </c>
      <c r="T466" s="232">
        <v>51243</v>
      </c>
      <c r="U466" s="398">
        <v>4811228</v>
      </c>
      <c r="V466" s="232"/>
      <c r="W466" s="398">
        <v>42829173</v>
      </c>
      <c r="X466" s="398">
        <v>-15133554</v>
      </c>
      <c r="Y466" s="398"/>
      <c r="Z466" s="398"/>
    </row>
    <row r="467" spans="1:26">
      <c r="A467" s="392">
        <v>94908</v>
      </c>
      <c r="B467" s="393" t="s">
        <v>1174</v>
      </c>
      <c r="C467" s="235">
        <v>6.0999999999999999E-5</v>
      </c>
      <c r="D467" s="235">
        <v>6.5400000000000004E-5</v>
      </c>
      <c r="E467" s="232">
        <v>93549</v>
      </c>
      <c r="F467" s="232" t="s">
        <v>1930</v>
      </c>
      <c r="G467" s="394">
        <v>29761</v>
      </c>
      <c r="H467" s="394">
        <v>0</v>
      </c>
      <c r="I467" s="394">
        <v>58773</v>
      </c>
      <c r="J467" s="232">
        <v>55264</v>
      </c>
      <c r="K467" s="232">
        <v>143798</v>
      </c>
      <c r="L467" s="232"/>
      <c r="M467" s="302">
        <v>0</v>
      </c>
      <c r="N467" s="302">
        <v>133654</v>
      </c>
      <c r="O467" s="302">
        <v>0</v>
      </c>
      <c r="P467" s="232">
        <v>9511</v>
      </c>
      <c r="Q467" s="232">
        <v>143165</v>
      </c>
      <c r="R467" s="232"/>
      <c r="S467" s="394">
        <v>40360</v>
      </c>
      <c r="T467" s="232">
        <v>19881</v>
      </c>
      <c r="U467" s="398">
        <v>60241</v>
      </c>
      <c r="V467" s="232"/>
      <c r="W467" s="398">
        <v>363151</v>
      </c>
      <c r="X467" s="398">
        <v>-128318</v>
      </c>
      <c r="Y467" s="398"/>
      <c r="Z467" s="398"/>
    </row>
    <row r="468" spans="1:26">
      <c r="A468" s="392">
        <v>94911</v>
      </c>
      <c r="B468" s="393" t="s">
        <v>1175</v>
      </c>
      <c r="C468" s="235">
        <v>2.9751999999999999E-3</v>
      </c>
      <c r="D468" s="235">
        <v>2.9137999999999998E-3</v>
      </c>
      <c r="E468" s="232">
        <v>4562755</v>
      </c>
      <c r="F468" s="232" t="s">
        <v>1930</v>
      </c>
      <c r="G468" s="394">
        <v>1451576</v>
      </c>
      <c r="H468" s="394">
        <v>0</v>
      </c>
      <c r="I468" s="394">
        <v>2866575</v>
      </c>
      <c r="J468" s="232">
        <v>121213</v>
      </c>
      <c r="K468" s="232">
        <v>4439364</v>
      </c>
      <c r="L468" s="232"/>
      <c r="M468" s="302">
        <v>0</v>
      </c>
      <c r="N468" s="302">
        <v>6518806</v>
      </c>
      <c r="O468" s="302">
        <v>0</v>
      </c>
      <c r="P468" s="232">
        <v>43198</v>
      </c>
      <c r="Q468" s="232">
        <v>6562004</v>
      </c>
      <c r="R468" s="232"/>
      <c r="S468" s="394">
        <v>1968517</v>
      </c>
      <c r="T468" s="232">
        <v>49644</v>
      </c>
      <c r="U468" s="398">
        <v>2018161</v>
      </c>
      <c r="V468" s="232"/>
      <c r="W468" s="398">
        <v>17712234</v>
      </c>
      <c r="X468" s="398">
        <v>-6258562</v>
      </c>
      <c r="Y468" s="398"/>
      <c r="Z468" s="398"/>
    </row>
    <row r="469" spans="1:26">
      <c r="A469" s="392">
        <v>94917</v>
      </c>
      <c r="B469" s="393" t="s">
        <v>1176</v>
      </c>
      <c r="C469" s="235">
        <v>3.6900000000000002E-5</v>
      </c>
      <c r="D469" s="235">
        <v>3.1099999999999997E-5</v>
      </c>
      <c r="E469" s="232">
        <v>56590</v>
      </c>
      <c r="F469" s="232" t="s">
        <v>1930</v>
      </c>
      <c r="G469" s="394">
        <v>18003</v>
      </c>
      <c r="H469" s="394">
        <v>0</v>
      </c>
      <c r="I469" s="394">
        <v>35553</v>
      </c>
      <c r="J469" s="232">
        <v>36764</v>
      </c>
      <c r="K469" s="232">
        <v>90320</v>
      </c>
      <c r="L469" s="232"/>
      <c r="M469" s="302">
        <v>0</v>
      </c>
      <c r="N469" s="302">
        <v>80850</v>
      </c>
      <c r="O469" s="302">
        <v>0</v>
      </c>
      <c r="P469" s="232">
        <v>0</v>
      </c>
      <c r="Q469" s="232">
        <v>80850</v>
      </c>
      <c r="R469" s="232"/>
      <c r="S469" s="394">
        <v>24415</v>
      </c>
      <c r="T469" s="232">
        <v>17538</v>
      </c>
      <c r="U469" s="398">
        <v>41953</v>
      </c>
      <c r="V469" s="232"/>
      <c r="W469" s="398">
        <v>219676</v>
      </c>
      <c r="X469" s="398">
        <v>-77622</v>
      </c>
      <c r="Y469" s="398"/>
      <c r="Z469" s="398"/>
    </row>
    <row r="470" spans="1:26">
      <c r="A470" s="392">
        <v>94921</v>
      </c>
      <c r="B470" s="393" t="s">
        <v>1177</v>
      </c>
      <c r="C470" s="235">
        <v>4.0705999999999997E-3</v>
      </c>
      <c r="D470" s="235">
        <v>3.7566000000000001E-3</v>
      </c>
      <c r="E470" s="232">
        <v>6242656</v>
      </c>
      <c r="F470" s="232" t="s">
        <v>1930</v>
      </c>
      <c r="G470" s="394">
        <v>1986013</v>
      </c>
      <c r="H470" s="394">
        <v>0</v>
      </c>
      <c r="I470" s="394">
        <v>3921982</v>
      </c>
      <c r="J470" s="232">
        <v>364084</v>
      </c>
      <c r="K470" s="232">
        <v>6272079</v>
      </c>
      <c r="L470" s="232"/>
      <c r="M470" s="302">
        <v>0</v>
      </c>
      <c r="N470" s="302">
        <v>8918880</v>
      </c>
      <c r="O470" s="302">
        <v>0</v>
      </c>
      <c r="P470" s="232">
        <v>219655</v>
      </c>
      <c r="Q470" s="232">
        <v>9138535</v>
      </c>
      <c r="R470" s="232"/>
      <c r="S470" s="394">
        <v>2693280</v>
      </c>
      <c r="T470" s="232">
        <v>-1663</v>
      </c>
      <c r="U470" s="398">
        <v>2691617</v>
      </c>
      <c r="V470" s="232"/>
      <c r="W470" s="398">
        <v>24233470</v>
      </c>
      <c r="X470" s="398">
        <v>-8562821</v>
      </c>
      <c r="Y470" s="398"/>
      <c r="Z470" s="398"/>
    </row>
    <row r="471" spans="1:26">
      <c r="A471" s="392">
        <v>94923</v>
      </c>
      <c r="B471" s="393" t="s">
        <v>1178</v>
      </c>
      <c r="C471" s="235">
        <v>2.41E-5</v>
      </c>
      <c r="D471" s="235">
        <v>2.6299999999999999E-5</v>
      </c>
      <c r="E471" s="232">
        <v>36960</v>
      </c>
      <c r="F471" s="232" t="s">
        <v>1930</v>
      </c>
      <c r="G471" s="394">
        <v>11758</v>
      </c>
      <c r="H471" s="394">
        <v>0</v>
      </c>
      <c r="I471" s="394">
        <v>23220</v>
      </c>
      <c r="J471" s="232">
        <v>3451</v>
      </c>
      <c r="K471" s="232">
        <v>38429</v>
      </c>
      <c r="L471" s="232"/>
      <c r="M471" s="302">
        <v>0</v>
      </c>
      <c r="N471" s="302">
        <v>52804</v>
      </c>
      <c r="O471" s="302">
        <v>0</v>
      </c>
      <c r="P471" s="232">
        <v>0</v>
      </c>
      <c r="Q471" s="232">
        <v>52804</v>
      </c>
      <c r="R471" s="232"/>
      <c r="S471" s="394">
        <v>15946</v>
      </c>
      <c r="T471" s="232">
        <v>2599</v>
      </c>
      <c r="U471" s="398">
        <v>18545</v>
      </c>
      <c r="V471" s="232"/>
      <c r="W471" s="398">
        <v>143474</v>
      </c>
      <c r="X471" s="398">
        <v>-50696</v>
      </c>
      <c r="Y471" s="398"/>
      <c r="Z471" s="398"/>
    </row>
    <row r="472" spans="1:26">
      <c r="A472" s="392">
        <v>94927</v>
      </c>
      <c r="B472" s="393" t="s">
        <v>1179</v>
      </c>
      <c r="C472" s="235">
        <v>2.3600000000000001E-5</v>
      </c>
      <c r="D472" s="235">
        <v>2.26E-5</v>
      </c>
      <c r="E472" s="232">
        <v>36193</v>
      </c>
      <c r="F472" s="232" t="s">
        <v>1930</v>
      </c>
      <c r="G472" s="394">
        <v>11514</v>
      </c>
      <c r="H472" s="394">
        <v>0</v>
      </c>
      <c r="I472" s="394">
        <v>22738</v>
      </c>
      <c r="J472" s="232">
        <v>24485</v>
      </c>
      <c r="K472" s="232">
        <v>58737</v>
      </c>
      <c r="L472" s="232"/>
      <c r="M472" s="302">
        <v>0</v>
      </c>
      <c r="N472" s="302">
        <v>51709</v>
      </c>
      <c r="O472" s="302">
        <v>0</v>
      </c>
      <c r="P472" s="232">
        <v>0</v>
      </c>
      <c r="Q472" s="232">
        <v>51709</v>
      </c>
      <c r="R472" s="232"/>
      <c r="S472" s="394">
        <v>15615</v>
      </c>
      <c r="T472" s="232">
        <v>9872</v>
      </c>
      <c r="U472" s="398">
        <v>25487</v>
      </c>
      <c r="V472" s="232"/>
      <c r="W472" s="398">
        <v>140498</v>
      </c>
      <c r="X472" s="398">
        <v>-49644</v>
      </c>
      <c r="Y472" s="398"/>
      <c r="Z472" s="398"/>
    </row>
    <row r="473" spans="1:26">
      <c r="A473" s="392">
        <v>94931</v>
      </c>
      <c r="B473" s="393" t="s">
        <v>1180</v>
      </c>
      <c r="C473" s="235">
        <v>2.1660000000000001E-4</v>
      </c>
      <c r="D473" s="235">
        <v>1.9909999999999999E-4</v>
      </c>
      <c r="E473" s="232">
        <v>332177</v>
      </c>
      <c r="F473" s="232" t="s">
        <v>1930</v>
      </c>
      <c r="G473" s="394">
        <v>105677</v>
      </c>
      <c r="H473" s="394">
        <v>0</v>
      </c>
      <c r="I473" s="394">
        <v>208692</v>
      </c>
      <c r="J473" s="232">
        <v>33711</v>
      </c>
      <c r="K473" s="232">
        <v>348080</v>
      </c>
      <c r="L473" s="232"/>
      <c r="M473" s="302">
        <v>0</v>
      </c>
      <c r="N473" s="302">
        <v>474581</v>
      </c>
      <c r="O473" s="302">
        <v>0</v>
      </c>
      <c r="P473" s="232">
        <v>12246</v>
      </c>
      <c r="Q473" s="232">
        <v>486827</v>
      </c>
      <c r="R473" s="232"/>
      <c r="S473" s="394">
        <v>143312</v>
      </c>
      <c r="T473" s="232">
        <v>5175</v>
      </c>
      <c r="U473" s="398">
        <v>148487</v>
      </c>
      <c r="V473" s="232"/>
      <c r="W473" s="398">
        <v>1289483</v>
      </c>
      <c r="X473" s="398">
        <v>-455635</v>
      </c>
      <c r="Y473" s="398"/>
      <c r="Z473" s="398"/>
    </row>
    <row r="474" spans="1:26">
      <c r="A474" s="392">
        <v>94937</v>
      </c>
      <c r="B474" t="s">
        <v>1933</v>
      </c>
      <c r="C474" s="235">
        <v>8.6999999999999997E-6</v>
      </c>
      <c r="D474" s="235">
        <v>7.5000000000000002E-6</v>
      </c>
      <c r="E474" s="232">
        <v>13342</v>
      </c>
      <c r="F474" s="232" t="s">
        <v>1930</v>
      </c>
      <c r="G474" s="394">
        <v>4245</v>
      </c>
      <c r="H474" s="394">
        <v>0</v>
      </c>
      <c r="I474" s="394">
        <v>8382</v>
      </c>
      <c r="J474" s="232">
        <v>4963</v>
      </c>
      <c r="K474" s="232">
        <v>17590</v>
      </c>
      <c r="L474" s="232"/>
      <c r="M474" s="302">
        <v>0</v>
      </c>
      <c r="N474" s="302">
        <v>19062</v>
      </c>
      <c r="O474" s="302">
        <v>0</v>
      </c>
      <c r="P474" s="232">
        <v>0</v>
      </c>
      <c r="Q474" s="232">
        <v>19062</v>
      </c>
      <c r="R474" s="232"/>
      <c r="S474" s="394">
        <v>5756</v>
      </c>
      <c r="T474" s="232">
        <v>2238</v>
      </c>
      <c r="U474" s="398">
        <v>7994</v>
      </c>
      <c r="V474" s="232"/>
      <c r="W474" s="398">
        <v>51794</v>
      </c>
      <c r="X474" s="398">
        <v>-18301</v>
      </c>
      <c r="Y474" s="398"/>
      <c r="Z474" s="398"/>
    </row>
    <row r="475" spans="1:26">
      <c r="A475" s="392">
        <v>94941</v>
      </c>
      <c r="B475" s="393" t="s">
        <v>1181</v>
      </c>
      <c r="C475" s="235">
        <v>7.9999999999999996E-6</v>
      </c>
      <c r="D475" s="235">
        <v>5.5029999999999999E-4</v>
      </c>
      <c r="E475" s="232">
        <v>12269</v>
      </c>
      <c r="F475" s="232" t="s">
        <v>1930</v>
      </c>
      <c r="G475" s="394">
        <v>3903</v>
      </c>
      <c r="H475" s="394">
        <v>0</v>
      </c>
      <c r="I475" s="394">
        <v>7708</v>
      </c>
      <c r="J475" s="232">
        <v>7399</v>
      </c>
      <c r="K475" s="232">
        <v>19010</v>
      </c>
      <c r="L475" s="232"/>
      <c r="M475" s="302">
        <v>0</v>
      </c>
      <c r="N475" s="302">
        <v>17528</v>
      </c>
      <c r="O475" s="302">
        <v>0</v>
      </c>
      <c r="P475" s="232">
        <v>1072951</v>
      </c>
      <c r="Q475" s="232">
        <v>1090479</v>
      </c>
      <c r="R475" s="232"/>
      <c r="S475" s="394">
        <v>5293</v>
      </c>
      <c r="T475" s="232">
        <v>-374887</v>
      </c>
      <c r="U475" s="398">
        <v>-369594</v>
      </c>
      <c r="V475" s="232"/>
      <c r="W475" s="398">
        <v>47626</v>
      </c>
      <c r="X475" s="398">
        <v>-16829</v>
      </c>
      <c r="Y475" s="398"/>
      <c r="Z475" s="398"/>
    </row>
    <row r="476" spans="1:26">
      <c r="A476" s="392">
        <v>94947</v>
      </c>
      <c r="B476" t="s">
        <v>1934</v>
      </c>
      <c r="C476" s="235">
        <v>6.0000000000000002E-6</v>
      </c>
      <c r="D476" s="235">
        <v>5.4E-6</v>
      </c>
      <c r="E476" s="232">
        <v>9202</v>
      </c>
      <c r="F476" s="232" t="s">
        <v>1930</v>
      </c>
      <c r="G476" s="394">
        <v>2927</v>
      </c>
      <c r="H476" s="394">
        <v>0</v>
      </c>
      <c r="I476" s="394">
        <v>5781</v>
      </c>
      <c r="J476" s="232">
        <v>6432</v>
      </c>
      <c r="K476" s="232">
        <v>15140</v>
      </c>
      <c r="L476" s="232"/>
      <c r="M476" s="302">
        <v>0</v>
      </c>
      <c r="N476" s="302">
        <v>13146</v>
      </c>
      <c r="O476" s="302">
        <v>0</v>
      </c>
      <c r="P476" s="232">
        <v>0</v>
      </c>
      <c r="Q476" s="232">
        <v>13146</v>
      </c>
      <c r="R476" s="232"/>
      <c r="S476" s="394">
        <v>3970</v>
      </c>
      <c r="T476" s="232">
        <v>2783</v>
      </c>
      <c r="U476" s="398">
        <v>6753</v>
      </c>
      <c r="V476" s="232"/>
      <c r="W476" s="398">
        <v>35720</v>
      </c>
      <c r="X476" s="398">
        <v>-12621</v>
      </c>
      <c r="Y476" s="398"/>
      <c r="Z476" s="398"/>
    </row>
    <row r="477" spans="1:26">
      <c r="A477" s="392">
        <v>95001</v>
      </c>
      <c r="B477" s="393" t="s">
        <v>1182</v>
      </c>
      <c r="C477" s="235">
        <v>2.1762000000000001E-3</v>
      </c>
      <c r="D477" s="235">
        <v>2.2097000000000002E-3</v>
      </c>
      <c r="E477" s="232">
        <v>3337412</v>
      </c>
      <c r="F477" s="232" t="s">
        <v>1930</v>
      </c>
      <c r="G477" s="394">
        <v>1061751</v>
      </c>
      <c r="H477" s="394">
        <v>0</v>
      </c>
      <c r="I477" s="394">
        <v>2096747</v>
      </c>
      <c r="J477" s="232">
        <v>143326</v>
      </c>
      <c r="K477" s="232">
        <v>3301824</v>
      </c>
      <c r="L477" s="232"/>
      <c r="M477" s="302">
        <v>0</v>
      </c>
      <c r="N477" s="302">
        <v>4768159</v>
      </c>
      <c r="O477" s="302">
        <v>0</v>
      </c>
      <c r="P477" s="232">
        <v>12366</v>
      </c>
      <c r="Q477" s="232">
        <v>4780525</v>
      </c>
      <c r="R477" s="232"/>
      <c r="S477" s="394">
        <v>1439865</v>
      </c>
      <c r="T477" s="232">
        <v>75407</v>
      </c>
      <c r="U477" s="398">
        <v>1515272</v>
      </c>
      <c r="V477" s="232"/>
      <c r="W477" s="398">
        <v>12955554</v>
      </c>
      <c r="X477" s="398">
        <v>-4577804</v>
      </c>
      <c r="Y477" s="398"/>
      <c r="Z477" s="398"/>
    </row>
    <row r="478" spans="1:26">
      <c r="A478" s="392">
        <v>95002</v>
      </c>
      <c r="B478" s="393" t="s">
        <v>1183</v>
      </c>
      <c r="C478" s="235">
        <v>1.716E-4</v>
      </c>
      <c r="D478" s="235">
        <v>1.6760000000000001E-4</v>
      </c>
      <c r="E478" s="232">
        <v>263165</v>
      </c>
      <c r="F478" s="232" t="s">
        <v>1930</v>
      </c>
      <c r="G478" s="394">
        <v>83722</v>
      </c>
      <c r="H478" s="394">
        <v>0</v>
      </c>
      <c r="I478" s="394">
        <v>165335</v>
      </c>
      <c r="J478" s="232">
        <v>43907</v>
      </c>
      <c r="K478" s="232">
        <v>292964</v>
      </c>
      <c r="L478" s="232"/>
      <c r="M478" s="302">
        <v>0</v>
      </c>
      <c r="N478" s="302">
        <v>375984</v>
      </c>
      <c r="O478" s="302">
        <v>0</v>
      </c>
      <c r="P478" s="232">
        <v>0</v>
      </c>
      <c r="Q478" s="232">
        <v>375984</v>
      </c>
      <c r="R478" s="232"/>
      <c r="S478" s="394">
        <v>113538</v>
      </c>
      <c r="T478" s="232">
        <v>19081</v>
      </c>
      <c r="U478" s="398">
        <v>132619</v>
      </c>
      <c r="V478" s="232"/>
      <c r="W478" s="398">
        <v>1021585</v>
      </c>
      <c r="X478" s="398">
        <v>-360974</v>
      </c>
      <c r="Y478" s="398"/>
      <c r="Z478" s="398"/>
    </row>
    <row r="479" spans="1:26">
      <c r="A479" s="392">
        <v>95005</v>
      </c>
      <c r="B479" s="393" t="s">
        <v>1184</v>
      </c>
      <c r="C479" s="235">
        <v>1.874E-4</v>
      </c>
      <c r="D479" s="235">
        <v>1.6770000000000001E-4</v>
      </c>
      <c r="E479" s="232">
        <v>287396</v>
      </c>
      <c r="F479" s="232" t="s">
        <v>1930</v>
      </c>
      <c r="G479" s="394">
        <v>91431</v>
      </c>
      <c r="H479" s="394">
        <v>0</v>
      </c>
      <c r="I479" s="394">
        <v>180558</v>
      </c>
      <c r="J479" s="232">
        <v>50254</v>
      </c>
      <c r="K479" s="232">
        <v>322243</v>
      </c>
      <c r="L479" s="232"/>
      <c r="M479" s="302">
        <v>0</v>
      </c>
      <c r="N479" s="302">
        <v>410602</v>
      </c>
      <c r="O479" s="302">
        <v>0</v>
      </c>
      <c r="P479" s="232">
        <v>12088</v>
      </c>
      <c r="Q479" s="232">
        <v>422690</v>
      </c>
      <c r="R479" s="232"/>
      <c r="S479" s="394">
        <v>123992</v>
      </c>
      <c r="T479" s="232">
        <v>10020</v>
      </c>
      <c r="U479" s="398">
        <v>134012</v>
      </c>
      <c r="V479" s="232"/>
      <c r="W479" s="398">
        <v>1115647</v>
      </c>
      <c r="X479" s="398">
        <v>-394210</v>
      </c>
      <c r="Y479" s="398"/>
      <c r="Z479" s="398"/>
    </row>
    <row r="480" spans="1:26">
      <c r="A480" s="392">
        <v>95008</v>
      </c>
      <c r="B480" s="393" t="s">
        <v>1185</v>
      </c>
      <c r="C480" s="235">
        <v>1.228E-4</v>
      </c>
      <c r="D480" s="235">
        <v>1.225E-4</v>
      </c>
      <c r="E480" s="232">
        <v>188326</v>
      </c>
      <c r="F480" s="232" t="s">
        <v>1930</v>
      </c>
      <c r="G480" s="394">
        <v>59913</v>
      </c>
      <c r="H480" s="394">
        <v>0</v>
      </c>
      <c r="I480" s="394">
        <v>118317</v>
      </c>
      <c r="J480" s="232">
        <v>22115</v>
      </c>
      <c r="K480" s="232">
        <v>200345</v>
      </c>
      <c r="L480" s="232"/>
      <c r="M480" s="302">
        <v>0</v>
      </c>
      <c r="N480" s="302">
        <v>269061</v>
      </c>
      <c r="O480" s="302">
        <v>0</v>
      </c>
      <c r="P480" s="232">
        <v>0</v>
      </c>
      <c r="Q480" s="232">
        <v>269061</v>
      </c>
      <c r="R480" s="232"/>
      <c r="S480" s="394">
        <v>81250</v>
      </c>
      <c r="T480" s="232">
        <v>12949</v>
      </c>
      <c r="U480" s="398">
        <v>94199</v>
      </c>
      <c r="V480" s="232"/>
      <c r="W480" s="398">
        <v>731064</v>
      </c>
      <c r="X480" s="398">
        <v>-258319</v>
      </c>
      <c r="Y480" s="398"/>
      <c r="Z480" s="398"/>
    </row>
    <row r="481" spans="1:26">
      <c r="A481" s="392">
        <v>95009</v>
      </c>
      <c r="B481" s="393" t="s">
        <v>1186</v>
      </c>
      <c r="C481" s="235">
        <v>4.0679999999999996E-3</v>
      </c>
      <c r="D481" s="235">
        <v>3.8095E-3</v>
      </c>
      <c r="E481" s="232">
        <v>6238669</v>
      </c>
      <c r="F481" s="232" t="s">
        <v>1930</v>
      </c>
      <c r="G481" s="394">
        <v>1984745</v>
      </c>
      <c r="H481" s="394">
        <v>0</v>
      </c>
      <c r="I481" s="394">
        <v>3919477</v>
      </c>
      <c r="J481" s="232">
        <v>366382</v>
      </c>
      <c r="K481" s="232">
        <v>6270604</v>
      </c>
      <c r="L481" s="232"/>
      <c r="M481" s="302">
        <v>0</v>
      </c>
      <c r="N481" s="302">
        <v>8913183</v>
      </c>
      <c r="O481" s="302">
        <v>0</v>
      </c>
      <c r="P481" s="232">
        <v>385647</v>
      </c>
      <c r="Q481" s="232">
        <v>9298830</v>
      </c>
      <c r="R481" s="232"/>
      <c r="S481" s="394">
        <v>2691560</v>
      </c>
      <c r="T481" s="232">
        <v>-50144</v>
      </c>
      <c r="U481" s="398">
        <v>2641416</v>
      </c>
      <c r="V481" s="232"/>
      <c r="W481" s="398">
        <v>24217992</v>
      </c>
      <c r="X481" s="398">
        <v>-8557351</v>
      </c>
      <c r="Y481" s="398"/>
      <c r="Z481" s="398"/>
    </row>
    <row r="482" spans="1:26">
      <c r="A482" s="392">
        <v>95010</v>
      </c>
      <c r="B482" s="393" t="s">
        <v>3725</v>
      </c>
      <c r="C482" s="235">
        <v>2.2399999999999999E-5</v>
      </c>
      <c r="D482" s="235">
        <v>2.1299999999999999E-5</v>
      </c>
      <c r="E482" s="232">
        <v>34353</v>
      </c>
      <c r="F482" s="232" t="s">
        <v>1930</v>
      </c>
      <c r="G482" s="394">
        <v>10929</v>
      </c>
      <c r="H482" s="394">
        <v>0</v>
      </c>
      <c r="I482" s="394">
        <v>21582</v>
      </c>
      <c r="J482" s="232">
        <v>15790</v>
      </c>
      <c r="K482" s="232">
        <v>48301</v>
      </c>
      <c r="L482" s="232"/>
      <c r="M482" s="302">
        <v>0</v>
      </c>
      <c r="N482" s="302">
        <v>49079</v>
      </c>
      <c r="O482" s="302">
        <v>0</v>
      </c>
      <c r="P482" s="232">
        <v>1365</v>
      </c>
      <c r="Q482" s="232">
        <v>50444</v>
      </c>
      <c r="R482" s="232"/>
      <c r="S482" s="394">
        <v>14821</v>
      </c>
      <c r="T482" s="232">
        <v>7440</v>
      </c>
      <c r="U482" s="398">
        <v>22261</v>
      </c>
      <c r="V482" s="232"/>
      <c r="W482" s="398">
        <v>133354</v>
      </c>
      <c r="X482" s="398">
        <v>-47120</v>
      </c>
      <c r="Y482" s="398"/>
      <c r="Z482" s="398"/>
    </row>
    <row r="483" spans="1:26">
      <c r="A483" s="392">
        <v>95011</v>
      </c>
      <c r="B483" s="393" t="s">
        <v>1187</v>
      </c>
      <c r="C483" s="235">
        <v>1.808E-4</v>
      </c>
      <c r="D483" s="235">
        <v>1.7430000000000001E-4</v>
      </c>
      <c r="E483" s="232">
        <v>277274</v>
      </c>
      <c r="F483" s="232" t="s">
        <v>1930</v>
      </c>
      <c r="G483" s="394">
        <v>88211</v>
      </c>
      <c r="H483" s="394">
        <v>0</v>
      </c>
      <c r="I483" s="394">
        <v>174199</v>
      </c>
      <c r="J483" s="232">
        <v>8841</v>
      </c>
      <c r="K483" s="232">
        <v>271251</v>
      </c>
      <c r="L483" s="232"/>
      <c r="M483" s="302">
        <v>0</v>
      </c>
      <c r="N483" s="302">
        <v>396141</v>
      </c>
      <c r="O483" s="302">
        <v>0</v>
      </c>
      <c r="P483" s="232">
        <v>16087</v>
      </c>
      <c r="Q483" s="232">
        <v>412228</v>
      </c>
      <c r="R483" s="232"/>
      <c r="S483" s="394">
        <v>119625</v>
      </c>
      <c r="T483" s="232">
        <v>-3648</v>
      </c>
      <c r="U483" s="398">
        <v>115977</v>
      </c>
      <c r="V483" s="232"/>
      <c r="W483" s="398">
        <v>1076355</v>
      </c>
      <c r="X483" s="398">
        <v>-380327</v>
      </c>
      <c r="Y483" s="398"/>
      <c r="Z483" s="398"/>
    </row>
    <row r="484" spans="1:26">
      <c r="A484" s="392">
        <v>95017</v>
      </c>
      <c r="B484" s="393" t="s">
        <v>1188</v>
      </c>
      <c r="C484" s="235">
        <v>0</v>
      </c>
      <c r="D484" s="235">
        <v>4.2599999999999999E-5</v>
      </c>
      <c r="E484" s="232">
        <v>0</v>
      </c>
      <c r="F484" s="232" t="s">
        <v>1930</v>
      </c>
      <c r="G484" s="394">
        <v>0</v>
      </c>
      <c r="H484" s="394">
        <v>0</v>
      </c>
      <c r="I484" s="394">
        <v>0</v>
      </c>
      <c r="J484" s="232">
        <v>283</v>
      </c>
      <c r="K484" s="232">
        <v>283</v>
      </c>
      <c r="L484" s="232"/>
      <c r="M484" s="302">
        <v>0</v>
      </c>
      <c r="N484" s="302">
        <v>0</v>
      </c>
      <c r="O484" s="302">
        <v>0</v>
      </c>
      <c r="P484" s="232">
        <v>62258</v>
      </c>
      <c r="Q484" s="232">
        <v>62258</v>
      </c>
      <c r="R484" s="232"/>
      <c r="S484" s="394">
        <v>0</v>
      </c>
      <c r="T484" s="232">
        <v>-21934</v>
      </c>
      <c r="U484" s="398">
        <v>-21934</v>
      </c>
      <c r="V484" s="232"/>
      <c r="W484" s="398">
        <v>0</v>
      </c>
      <c r="X484" s="398">
        <v>0</v>
      </c>
      <c r="Y484" s="398"/>
      <c r="Z484" s="398"/>
    </row>
    <row r="485" spans="1:26">
      <c r="A485" s="392">
        <v>95101</v>
      </c>
      <c r="B485" s="393" t="s">
        <v>1189</v>
      </c>
      <c r="C485" s="235">
        <v>8.7860999999999998E-3</v>
      </c>
      <c r="D485" s="235">
        <v>8.9332000000000005E-3</v>
      </c>
      <c r="E485" s="232">
        <v>13474328</v>
      </c>
      <c r="F485" s="232" t="s">
        <v>1930</v>
      </c>
      <c r="G485" s="394">
        <v>4286668</v>
      </c>
      <c r="H485" s="394">
        <v>0</v>
      </c>
      <c r="I485" s="394">
        <v>8465319</v>
      </c>
      <c r="J485" s="232">
        <v>21360</v>
      </c>
      <c r="K485" s="232">
        <v>12773347</v>
      </c>
      <c r="L485" s="232"/>
      <c r="M485" s="302">
        <v>0</v>
      </c>
      <c r="N485" s="302">
        <v>19250767</v>
      </c>
      <c r="O485" s="302">
        <v>0</v>
      </c>
      <c r="P485" s="232">
        <v>425904</v>
      </c>
      <c r="Q485" s="232">
        <v>19676671</v>
      </c>
      <c r="R485" s="232"/>
      <c r="S485" s="394">
        <v>5813253</v>
      </c>
      <c r="T485" s="232">
        <v>-157097</v>
      </c>
      <c r="U485" s="398">
        <v>5656156</v>
      </c>
      <c r="V485" s="232"/>
      <c r="W485" s="398">
        <v>52306219</v>
      </c>
      <c r="X485" s="398">
        <v>-18482238</v>
      </c>
      <c r="Y485" s="398"/>
      <c r="Z485" s="398"/>
    </row>
    <row r="486" spans="1:26">
      <c r="A486" s="392">
        <v>95103</v>
      </c>
      <c r="B486" s="393" t="s">
        <v>1190</v>
      </c>
      <c r="C486" s="235">
        <v>4.7700000000000001E-5</v>
      </c>
      <c r="D486" s="235">
        <v>5.0000000000000002E-5</v>
      </c>
      <c r="E486" s="232">
        <v>73153</v>
      </c>
      <c r="F486" s="232" t="s">
        <v>1930</v>
      </c>
      <c r="G486" s="394">
        <v>23272</v>
      </c>
      <c r="H486" s="394">
        <v>0</v>
      </c>
      <c r="I486" s="394">
        <v>45958</v>
      </c>
      <c r="J486" s="232">
        <v>10986</v>
      </c>
      <c r="K486" s="232">
        <v>80216</v>
      </c>
      <c r="L486" s="232"/>
      <c r="M486" s="302">
        <v>0</v>
      </c>
      <c r="N486" s="302">
        <v>104513</v>
      </c>
      <c r="O486" s="302">
        <v>0</v>
      </c>
      <c r="P486" s="232">
        <v>2345</v>
      </c>
      <c r="Q486" s="232">
        <v>106858</v>
      </c>
      <c r="R486" s="232"/>
      <c r="S486" s="394">
        <v>31560</v>
      </c>
      <c r="T486" s="232">
        <v>4329</v>
      </c>
      <c r="U486" s="398">
        <v>35889</v>
      </c>
      <c r="V486" s="232"/>
      <c r="W486" s="398">
        <v>283972</v>
      </c>
      <c r="X486" s="398">
        <v>-100341</v>
      </c>
      <c r="Y486" s="398"/>
      <c r="Z486" s="398"/>
    </row>
    <row r="487" spans="1:26">
      <c r="A487" s="392">
        <v>95104</v>
      </c>
      <c r="B487" s="393" t="s">
        <v>1191</v>
      </c>
      <c r="C487" s="235">
        <v>1.271E-4</v>
      </c>
      <c r="D487" s="235">
        <v>1.1400000000000001E-4</v>
      </c>
      <c r="E487" s="232">
        <v>194920</v>
      </c>
      <c r="F487" s="232" t="s">
        <v>1930</v>
      </c>
      <c r="G487" s="394">
        <v>62011</v>
      </c>
      <c r="H487" s="394">
        <v>0</v>
      </c>
      <c r="I487" s="394">
        <v>122460</v>
      </c>
      <c r="J487" s="232">
        <v>82255</v>
      </c>
      <c r="K487" s="232">
        <v>266726</v>
      </c>
      <c r="L487" s="232"/>
      <c r="M487" s="302">
        <v>0</v>
      </c>
      <c r="N487" s="302">
        <v>278482</v>
      </c>
      <c r="O487" s="302">
        <v>0</v>
      </c>
      <c r="P487" s="232">
        <v>0</v>
      </c>
      <c r="Q487" s="232">
        <v>278482</v>
      </c>
      <c r="R487" s="232"/>
      <c r="S487" s="394">
        <v>84095</v>
      </c>
      <c r="T487" s="232">
        <v>35421</v>
      </c>
      <c r="U487" s="398">
        <v>119516</v>
      </c>
      <c r="V487" s="232"/>
      <c r="W487" s="398">
        <v>756663</v>
      </c>
      <c r="X487" s="398">
        <v>-267365</v>
      </c>
      <c r="Y487" s="398"/>
      <c r="Z487" s="398"/>
    </row>
    <row r="488" spans="1:26" ht="14.25" customHeight="1">
      <c r="A488" s="392">
        <v>95105</v>
      </c>
      <c r="B488" s="393" t="s">
        <v>1192</v>
      </c>
      <c r="C488" s="235">
        <v>5.63E-5</v>
      </c>
      <c r="D488" s="235">
        <v>8.0900000000000001E-5</v>
      </c>
      <c r="E488" s="232">
        <v>86341</v>
      </c>
      <c r="F488" s="232" t="s">
        <v>1930</v>
      </c>
      <c r="G488" s="394">
        <v>27468</v>
      </c>
      <c r="H488" s="394">
        <v>0</v>
      </c>
      <c r="I488" s="394">
        <v>54244</v>
      </c>
      <c r="J488" s="232">
        <v>10885</v>
      </c>
      <c r="K488" s="232">
        <v>92597</v>
      </c>
      <c r="L488" s="232"/>
      <c r="M488" s="302">
        <v>0</v>
      </c>
      <c r="N488" s="302">
        <v>123356</v>
      </c>
      <c r="O488" s="302">
        <v>0</v>
      </c>
      <c r="P488" s="232">
        <v>43414</v>
      </c>
      <c r="Q488" s="232">
        <v>166770</v>
      </c>
      <c r="R488" s="232"/>
      <c r="S488" s="394">
        <v>37250</v>
      </c>
      <c r="T488" s="232">
        <v>-7628</v>
      </c>
      <c r="U488" s="398">
        <v>29622</v>
      </c>
      <c r="V488" s="232"/>
      <c r="W488" s="398">
        <v>335170</v>
      </c>
      <c r="X488" s="398">
        <v>-118431</v>
      </c>
      <c r="Y488" s="398"/>
      <c r="Z488" s="398"/>
    </row>
    <row r="489" spans="1:26" ht="14.25" customHeight="1">
      <c r="A489" s="392">
        <v>95106</v>
      </c>
      <c r="B489" s="393" t="s">
        <v>1193</v>
      </c>
      <c r="C489" s="235">
        <v>1.5800000000000001E-5</v>
      </c>
      <c r="D489" s="235">
        <v>1.1800000000000001E-5</v>
      </c>
      <c r="E489" s="232">
        <v>24231</v>
      </c>
      <c r="F489" s="232" t="s">
        <v>1930</v>
      </c>
      <c r="G489" s="394">
        <v>7709</v>
      </c>
      <c r="H489" s="394">
        <v>0</v>
      </c>
      <c r="I489" s="394">
        <v>15223</v>
      </c>
      <c r="J489" s="232">
        <v>12820</v>
      </c>
      <c r="K489" s="232">
        <v>35752</v>
      </c>
      <c r="L489" s="232"/>
      <c r="M489" s="302">
        <v>0</v>
      </c>
      <c r="N489" s="302">
        <v>34619</v>
      </c>
      <c r="O489" s="302">
        <v>0</v>
      </c>
      <c r="P489" s="232">
        <v>0</v>
      </c>
      <c r="Q489" s="232">
        <v>34619</v>
      </c>
      <c r="R489" s="232"/>
      <c r="S489" s="394">
        <v>10454</v>
      </c>
      <c r="T489" s="232">
        <v>4468</v>
      </c>
      <c r="U489" s="398">
        <v>14922</v>
      </c>
      <c r="V489" s="232"/>
      <c r="W489" s="398">
        <v>94062</v>
      </c>
      <c r="X489" s="398">
        <v>-33237</v>
      </c>
      <c r="Y489" s="398"/>
      <c r="Z489" s="398"/>
    </row>
    <row r="490" spans="1:26">
      <c r="A490" s="392">
        <v>95110</v>
      </c>
      <c r="B490" s="393" t="s">
        <v>1194</v>
      </c>
      <c r="C490" s="235">
        <v>2.4620000000000002E-3</v>
      </c>
      <c r="D490" s="235">
        <v>2.7829999999999999E-3</v>
      </c>
      <c r="E490" s="232">
        <v>3775713</v>
      </c>
      <c r="F490" s="232" t="s">
        <v>1930</v>
      </c>
      <c r="G490" s="394">
        <v>1201190</v>
      </c>
      <c r="H490" s="394">
        <v>0</v>
      </c>
      <c r="I490" s="394">
        <v>2372112</v>
      </c>
      <c r="J490" s="232">
        <v>0</v>
      </c>
      <c r="K490" s="232">
        <v>3573302</v>
      </c>
      <c r="L490" s="232"/>
      <c r="M490" s="302">
        <v>0</v>
      </c>
      <c r="N490" s="302">
        <v>5394360</v>
      </c>
      <c r="O490" s="302">
        <v>0</v>
      </c>
      <c r="P490" s="232">
        <v>658498</v>
      </c>
      <c r="Q490" s="232">
        <v>6052858</v>
      </c>
      <c r="R490" s="232"/>
      <c r="S490" s="394">
        <v>1628963</v>
      </c>
      <c r="T490" s="232">
        <v>-354566</v>
      </c>
      <c r="U490" s="398">
        <v>1274397</v>
      </c>
      <c r="V490" s="232"/>
      <c r="W490" s="398">
        <v>14657005</v>
      </c>
      <c r="X490" s="398">
        <v>-5179007</v>
      </c>
      <c r="Y490" s="398"/>
      <c r="Z490" s="398"/>
    </row>
    <row r="491" spans="1:26">
      <c r="A491" s="392">
        <v>95111</v>
      </c>
      <c r="B491" s="393" t="s">
        <v>1195</v>
      </c>
      <c r="C491" s="235">
        <v>9.366E-4</v>
      </c>
      <c r="D491" s="235">
        <v>9.9339999999999997E-4</v>
      </c>
      <c r="E491" s="232">
        <v>1436366</v>
      </c>
      <c r="F491" s="232" t="s">
        <v>1930</v>
      </c>
      <c r="G491" s="394">
        <v>456960</v>
      </c>
      <c r="H491" s="394">
        <v>0</v>
      </c>
      <c r="I491" s="394">
        <v>902405</v>
      </c>
      <c r="J491" s="232">
        <v>0</v>
      </c>
      <c r="K491" s="232">
        <v>1359365</v>
      </c>
      <c r="L491" s="232"/>
      <c r="M491" s="302">
        <v>0</v>
      </c>
      <c r="N491" s="302">
        <v>2052136</v>
      </c>
      <c r="O491" s="302">
        <v>0</v>
      </c>
      <c r="P491" s="232">
        <v>150612</v>
      </c>
      <c r="Q491" s="232">
        <v>2202748</v>
      </c>
      <c r="R491" s="232"/>
      <c r="S491" s="394">
        <v>619694</v>
      </c>
      <c r="T491" s="232">
        <v>-69831</v>
      </c>
      <c r="U491" s="398">
        <v>549863</v>
      </c>
      <c r="V491" s="232"/>
      <c r="W491" s="398">
        <v>5575853</v>
      </c>
      <c r="X491" s="398">
        <v>-1970210</v>
      </c>
      <c r="Y491" s="398"/>
      <c r="Z491" s="398"/>
    </row>
    <row r="492" spans="1:26">
      <c r="A492" s="392">
        <v>95113</v>
      </c>
      <c r="B492" s="393" t="s">
        <v>1196</v>
      </c>
      <c r="C492" s="235">
        <v>4.9599999999999999E-5</v>
      </c>
      <c r="D492" s="235">
        <v>4.4799999999999998E-5</v>
      </c>
      <c r="E492" s="232">
        <v>76066</v>
      </c>
      <c r="F492" s="232" t="s">
        <v>1930</v>
      </c>
      <c r="G492" s="394">
        <v>24199</v>
      </c>
      <c r="H492" s="394">
        <v>0</v>
      </c>
      <c r="I492" s="394">
        <v>47789</v>
      </c>
      <c r="J492" s="232">
        <v>89831</v>
      </c>
      <c r="K492" s="232">
        <v>161819</v>
      </c>
      <c r="L492" s="232"/>
      <c r="M492" s="302">
        <v>0</v>
      </c>
      <c r="N492" s="302">
        <v>108676</v>
      </c>
      <c r="O492" s="302">
        <v>0</v>
      </c>
      <c r="P492" s="232">
        <v>0</v>
      </c>
      <c r="Q492" s="232">
        <v>108676</v>
      </c>
      <c r="R492" s="232"/>
      <c r="S492" s="394">
        <v>32817</v>
      </c>
      <c r="T492" s="232">
        <v>49971</v>
      </c>
      <c r="U492" s="398">
        <v>82788</v>
      </c>
      <c r="V492" s="232"/>
      <c r="W492" s="398">
        <v>295283</v>
      </c>
      <c r="X492" s="398">
        <v>-104337</v>
      </c>
      <c r="Y492" s="398"/>
      <c r="Z492" s="398"/>
    </row>
    <row r="493" spans="1:26">
      <c r="A493" s="392">
        <v>95121</v>
      </c>
      <c r="B493" s="393" t="s">
        <v>1197</v>
      </c>
      <c r="C493" s="235">
        <v>5.1400000000000003E-4</v>
      </c>
      <c r="D493" s="235">
        <v>5.107E-4</v>
      </c>
      <c r="E493" s="232">
        <v>788268</v>
      </c>
      <c r="F493" s="232" t="s">
        <v>1930</v>
      </c>
      <c r="G493" s="394">
        <v>250776</v>
      </c>
      <c r="H493" s="394">
        <v>0</v>
      </c>
      <c r="I493" s="394">
        <v>495234</v>
      </c>
      <c r="J493" s="232">
        <v>30633</v>
      </c>
      <c r="K493" s="232">
        <v>776643</v>
      </c>
      <c r="L493" s="232"/>
      <c r="M493" s="302">
        <v>0</v>
      </c>
      <c r="N493" s="302">
        <v>1126199</v>
      </c>
      <c r="O493" s="302">
        <v>0</v>
      </c>
      <c r="P493" s="232">
        <v>29802</v>
      </c>
      <c r="Q493" s="232">
        <v>1156001</v>
      </c>
      <c r="R493" s="232"/>
      <c r="S493" s="394">
        <v>340084</v>
      </c>
      <c r="T493" s="232">
        <v>2321</v>
      </c>
      <c r="U493" s="398">
        <v>342405</v>
      </c>
      <c r="V493" s="232"/>
      <c r="W493" s="398">
        <v>3059992</v>
      </c>
      <c r="X493" s="398">
        <v>-1081239</v>
      </c>
      <c r="Y493" s="398"/>
      <c r="Z493" s="398"/>
    </row>
    <row r="494" spans="1:26">
      <c r="A494" s="392">
        <v>95122</v>
      </c>
      <c r="B494" s="393" t="s">
        <v>1198</v>
      </c>
      <c r="C494" s="235">
        <v>2.34E-5</v>
      </c>
      <c r="D494" s="235">
        <v>1.73E-5</v>
      </c>
      <c r="E494" s="232">
        <v>35886</v>
      </c>
      <c r="F494" s="232" t="s">
        <v>1930</v>
      </c>
      <c r="G494" s="394">
        <v>11417</v>
      </c>
      <c r="H494" s="394">
        <v>0</v>
      </c>
      <c r="I494" s="394">
        <v>22546</v>
      </c>
      <c r="J494" s="232">
        <v>22693</v>
      </c>
      <c r="K494" s="232">
        <v>56656</v>
      </c>
      <c r="L494" s="232"/>
      <c r="M494" s="302">
        <v>0</v>
      </c>
      <c r="N494" s="302">
        <v>51271</v>
      </c>
      <c r="O494" s="302">
        <v>0</v>
      </c>
      <c r="P494" s="232">
        <v>0</v>
      </c>
      <c r="Q494" s="232">
        <v>51271</v>
      </c>
      <c r="R494" s="232"/>
      <c r="S494" s="394">
        <v>15482</v>
      </c>
      <c r="T494" s="232">
        <v>9755</v>
      </c>
      <c r="U494" s="398">
        <v>25237</v>
      </c>
      <c r="V494" s="232"/>
      <c r="W494" s="398">
        <v>139307</v>
      </c>
      <c r="X494" s="398">
        <v>-49224</v>
      </c>
      <c r="Y494" s="398"/>
      <c r="Z494" s="398"/>
    </row>
    <row r="495" spans="1:26">
      <c r="A495" s="392">
        <v>95123</v>
      </c>
      <c r="B495" s="393" t="s">
        <v>1199</v>
      </c>
      <c r="C495" s="235">
        <v>5.6799999999999998E-5</v>
      </c>
      <c r="D495" s="235">
        <v>5.3399999999999997E-5</v>
      </c>
      <c r="E495" s="232">
        <v>87108</v>
      </c>
      <c r="F495" s="232" t="s">
        <v>1930</v>
      </c>
      <c r="G495" s="394">
        <v>27712</v>
      </c>
      <c r="H495" s="394">
        <v>0</v>
      </c>
      <c r="I495" s="394">
        <v>54726</v>
      </c>
      <c r="J495" s="232">
        <v>2320</v>
      </c>
      <c r="K495" s="232">
        <v>84758</v>
      </c>
      <c r="L495" s="232"/>
      <c r="M495" s="302">
        <v>0</v>
      </c>
      <c r="N495" s="302">
        <v>124452</v>
      </c>
      <c r="O495" s="302">
        <v>0</v>
      </c>
      <c r="P495" s="232">
        <v>825</v>
      </c>
      <c r="Q495" s="232">
        <v>125277</v>
      </c>
      <c r="R495" s="232"/>
      <c r="S495" s="394">
        <v>37581</v>
      </c>
      <c r="T495" s="232">
        <v>1444</v>
      </c>
      <c r="U495" s="398">
        <v>39025</v>
      </c>
      <c r="V495" s="232"/>
      <c r="W495" s="398">
        <v>338147</v>
      </c>
      <c r="X495" s="398">
        <v>-119483</v>
      </c>
      <c r="Y495" s="398"/>
      <c r="Z495" s="398"/>
    </row>
    <row r="496" spans="1:26">
      <c r="A496" s="392">
        <v>95131</v>
      </c>
      <c r="B496" s="393" t="s">
        <v>1200</v>
      </c>
      <c r="C496" s="235">
        <v>1.8209000000000001E-3</v>
      </c>
      <c r="D496" s="235">
        <v>1.8569999999999999E-3</v>
      </c>
      <c r="E496" s="232">
        <v>2792525</v>
      </c>
      <c r="F496" s="232" t="s">
        <v>1930</v>
      </c>
      <c r="G496" s="394">
        <v>888403</v>
      </c>
      <c r="H496" s="394">
        <v>0</v>
      </c>
      <c r="I496" s="394">
        <v>1754419</v>
      </c>
      <c r="J496" s="232">
        <v>68438</v>
      </c>
      <c r="K496" s="232">
        <v>2711260</v>
      </c>
      <c r="L496" s="232"/>
      <c r="M496" s="302">
        <v>0</v>
      </c>
      <c r="N496" s="302">
        <v>3989679</v>
      </c>
      <c r="O496" s="302">
        <v>0</v>
      </c>
      <c r="P496" s="232">
        <v>47591</v>
      </c>
      <c r="Q496" s="232">
        <v>4037270</v>
      </c>
      <c r="R496" s="232"/>
      <c r="S496" s="394">
        <v>1204784</v>
      </c>
      <c r="T496" s="232">
        <v>38863</v>
      </c>
      <c r="U496" s="398">
        <v>1243647</v>
      </c>
      <c r="V496" s="232"/>
      <c r="W496" s="398">
        <v>10840349</v>
      </c>
      <c r="X496" s="398">
        <v>-3830403</v>
      </c>
      <c r="Y496" s="398"/>
      <c r="Z496" s="398"/>
    </row>
    <row r="497" spans="1:26">
      <c r="A497" s="392">
        <v>95141</v>
      </c>
      <c r="B497" s="393" t="s">
        <v>1201</v>
      </c>
      <c r="C497" s="235">
        <v>4.2129999999999999E-4</v>
      </c>
      <c r="D497" s="235">
        <v>3.8630000000000001E-4</v>
      </c>
      <c r="E497" s="232">
        <v>646104</v>
      </c>
      <c r="F497" s="232" t="s">
        <v>1930</v>
      </c>
      <c r="G497" s="394">
        <v>205549</v>
      </c>
      <c r="H497" s="394">
        <v>0</v>
      </c>
      <c r="I497" s="394">
        <v>405918</v>
      </c>
      <c r="J497" s="232">
        <v>41617</v>
      </c>
      <c r="K497" s="232">
        <v>653084</v>
      </c>
      <c r="L497" s="232"/>
      <c r="M497" s="302">
        <v>0</v>
      </c>
      <c r="N497" s="302">
        <v>923089</v>
      </c>
      <c r="O497" s="302">
        <v>0</v>
      </c>
      <c r="P497" s="232">
        <v>1719</v>
      </c>
      <c r="Q497" s="232">
        <v>924808</v>
      </c>
      <c r="R497" s="232"/>
      <c r="S497" s="394">
        <v>278750</v>
      </c>
      <c r="T497" s="232">
        <v>13075</v>
      </c>
      <c r="U497" s="398">
        <v>291825</v>
      </c>
      <c r="V497" s="232"/>
      <c r="W497" s="398">
        <v>2508122</v>
      </c>
      <c r="X497" s="398">
        <v>-886237</v>
      </c>
      <c r="Y497" s="398"/>
      <c r="Z497" s="398"/>
    </row>
    <row r="498" spans="1:26">
      <c r="A498" s="392">
        <v>95151</v>
      </c>
      <c r="B498" s="393" t="s">
        <v>1202</v>
      </c>
      <c r="C498" s="235">
        <v>1.2540000000000001E-4</v>
      </c>
      <c r="D498" s="235">
        <v>1.197E-4</v>
      </c>
      <c r="E498" s="232">
        <v>192313</v>
      </c>
      <c r="F498" s="232" t="s">
        <v>1930</v>
      </c>
      <c r="G498" s="394">
        <v>61182</v>
      </c>
      <c r="H498" s="394">
        <v>0</v>
      </c>
      <c r="I498" s="394">
        <v>120822</v>
      </c>
      <c r="J498" s="232">
        <v>5934</v>
      </c>
      <c r="K498" s="232">
        <v>187938</v>
      </c>
      <c r="L498" s="232"/>
      <c r="M498" s="302">
        <v>0</v>
      </c>
      <c r="N498" s="302">
        <v>274757</v>
      </c>
      <c r="O498" s="302">
        <v>0</v>
      </c>
      <c r="P498" s="232">
        <v>3255</v>
      </c>
      <c r="Q498" s="232">
        <v>278012</v>
      </c>
      <c r="R498" s="232"/>
      <c r="S498" s="394">
        <v>82970</v>
      </c>
      <c r="T498" s="232">
        <v>-589</v>
      </c>
      <c r="U498" s="398">
        <v>82381</v>
      </c>
      <c r="V498" s="232"/>
      <c r="W498" s="398">
        <v>746543</v>
      </c>
      <c r="X498" s="398">
        <v>-263789</v>
      </c>
      <c r="Y498" s="398"/>
      <c r="Z498" s="398"/>
    </row>
    <row r="499" spans="1:26">
      <c r="A499" s="392">
        <v>95161</v>
      </c>
      <c r="B499" s="393" t="s">
        <v>1203</v>
      </c>
      <c r="C499" s="235">
        <v>6.8200000000000004E-5</v>
      </c>
      <c r="D499" s="235">
        <v>7.36E-5</v>
      </c>
      <c r="E499" s="232">
        <v>104591</v>
      </c>
      <c r="F499" s="232" t="s">
        <v>1930</v>
      </c>
      <c r="G499" s="394">
        <v>33274</v>
      </c>
      <c r="H499" s="394">
        <v>0</v>
      </c>
      <c r="I499" s="394">
        <v>65710</v>
      </c>
      <c r="J499" s="232">
        <v>7570</v>
      </c>
      <c r="K499" s="232">
        <v>106554</v>
      </c>
      <c r="L499" s="232"/>
      <c r="M499" s="302">
        <v>0</v>
      </c>
      <c r="N499" s="302">
        <v>149429</v>
      </c>
      <c r="O499" s="302">
        <v>0</v>
      </c>
      <c r="P499" s="232">
        <v>7730</v>
      </c>
      <c r="Q499" s="232">
        <v>157159</v>
      </c>
      <c r="R499" s="232"/>
      <c r="S499" s="394">
        <v>45124</v>
      </c>
      <c r="T499" s="232">
        <v>2277</v>
      </c>
      <c r="U499" s="398">
        <v>47401</v>
      </c>
      <c r="V499" s="232"/>
      <c r="W499" s="398">
        <v>406015</v>
      </c>
      <c r="X499" s="398">
        <v>-143464</v>
      </c>
      <c r="Y499" s="398"/>
      <c r="Z499" s="398"/>
    </row>
    <row r="500" spans="1:26">
      <c r="A500" s="392">
        <v>95171</v>
      </c>
      <c r="B500" s="393" t="s">
        <v>1204</v>
      </c>
      <c r="C500" s="235">
        <v>1.0009999999999999E-4</v>
      </c>
      <c r="D500" s="235">
        <v>1.2229999999999999E-4</v>
      </c>
      <c r="E500" s="232">
        <v>153513</v>
      </c>
      <c r="F500" s="232" t="s">
        <v>1930</v>
      </c>
      <c r="G500" s="394">
        <v>48838</v>
      </c>
      <c r="H500" s="394">
        <v>0</v>
      </c>
      <c r="I500" s="394">
        <v>96445</v>
      </c>
      <c r="J500" s="232">
        <v>21422</v>
      </c>
      <c r="K500" s="232">
        <v>166705</v>
      </c>
      <c r="L500" s="232"/>
      <c r="M500" s="302">
        <v>0</v>
      </c>
      <c r="N500" s="302">
        <v>219324</v>
      </c>
      <c r="O500" s="302">
        <v>0</v>
      </c>
      <c r="P500" s="232">
        <v>39069</v>
      </c>
      <c r="Q500" s="232">
        <v>258393</v>
      </c>
      <c r="R500" s="232"/>
      <c r="S500" s="394">
        <v>66230</v>
      </c>
      <c r="T500" s="232">
        <v>-5590</v>
      </c>
      <c r="U500" s="398">
        <v>60640</v>
      </c>
      <c r="V500" s="232"/>
      <c r="W500" s="398">
        <v>595925</v>
      </c>
      <c r="X500" s="398">
        <v>-210568</v>
      </c>
      <c r="Y500" s="398"/>
      <c r="Z500" s="398"/>
    </row>
    <row r="501" spans="1:26">
      <c r="A501" s="392">
        <v>95181</v>
      </c>
      <c r="B501" s="393" t="s">
        <v>1205</v>
      </c>
      <c r="C501" s="235">
        <v>7.36E-5</v>
      </c>
      <c r="D501" s="235">
        <v>7.2100000000000004E-5</v>
      </c>
      <c r="E501" s="232">
        <v>112873</v>
      </c>
      <c r="F501" s="232" t="s">
        <v>1930</v>
      </c>
      <c r="G501" s="394">
        <v>35909</v>
      </c>
      <c r="H501" s="394">
        <v>0</v>
      </c>
      <c r="I501" s="394">
        <v>70913</v>
      </c>
      <c r="J501" s="232">
        <v>13247</v>
      </c>
      <c r="K501" s="232">
        <v>120069</v>
      </c>
      <c r="L501" s="232"/>
      <c r="M501" s="302">
        <v>0</v>
      </c>
      <c r="N501" s="302">
        <v>161261</v>
      </c>
      <c r="O501" s="302">
        <v>0</v>
      </c>
      <c r="P501" s="232">
        <v>7111</v>
      </c>
      <c r="Q501" s="232">
        <v>168372</v>
      </c>
      <c r="R501" s="232"/>
      <c r="S501" s="394">
        <v>48697</v>
      </c>
      <c r="T501" s="232">
        <v>915</v>
      </c>
      <c r="U501" s="398">
        <v>49612</v>
      </c>
      <c r="V501" s="232"/>
      <c r="W501" s="398">
        <v>438162</v>
      </c>
      <c r="X501" s="398">
        <v>-154823</v>
      </c>
      <c r="Y501" s="398"/>
      <c r="Z501" s="398"/>
    </row>
    <row r="502" spans="1:26">
      <c r="A502" s="392">
        <v>95191</v>
      </c>
      <c r="B502" s="393" t="s">
        <v>1206</v>
      </c>
      <c r="C502" s="235">
        <v>7.0400000000000004E-5</v>
      </c>
      <c r="D502" s="235">
        <v>7.36E-5</v>
      </c>
      <c r="E502" s="232">
        <v>107965</v>
      </c>
      <c r="F502" s="232" t="s">
        <v>1930</v>
      </c>
      <c r="G502" s="394">
        <v>34348</v>
      </c>
      <c r="H502" s="394">
        <v>0</v>
      </c>
      <c r="I502" s="394">
        <v>67830</v>
      </c>
      <c r="J502" s="232">
        <v>25508</v>
      </c>
      <c r="K502" s="232">
        <v>127686</v>
      </c>
      <c r="L502" s="232"/>
      <c r="M502" s="302">
        <v>0</v>
      </c>
      <c r="N502" s="302">
        <v>154250</v>
      </c>
      <c r="O502" s="302">
        <v>0</v>
      </c>
      <c r="P502" s="232">
        <v>0</v>
      </c>
      <c r="Q502" s="232">
        <v>154250</v>
      </c>
      <c r="R502" s="232"/>
      <c r="S502" s="394">
        <v>46580</v>
      </c>
      <c r="T502" s="232">
        <v>13190</v>
      </c>
      <c r="U502" s="398">
        <v>59770</v>
      </c>
      <c r="V502" s="232"/>
      <c r="W502" s="398">
        <v>419112</v>
      </c>
      <c r="X502" s="398">
        <v>-148092</v>
      </c>
      <c r="Y502" s="398"/>
      <c r="Z502" s="398"/>
    </row>
    <row r="503" spans="1:26">
      <c r="A503" s="392">
        <v>95201</v>
      </c>
      <c r="B503" s="393" t="s">
        <v>1207</v>
      </c>
      <c r="C503" s="235">
        <v>6.3869999999999997E-4</v>
      </c>
      <c r="D503" s="235">
        <v>7.048E-4</v>
      </c>
      <c r="E503" s="232">
        <v>979508</v>
      </c>
      <c r="F503" s="232" t="s">
        <v>1930</v>
      </c>
      <c r="G503" s="394">
        <v>311617</v>
      </c>
      <c r="H503" s="394">
        <v>0</v>
      </c>
      <c r="I503" s="394">
        <v>615381</v>
      </c>
      <c r="J503" s="232">
        <v>28834</v>
      </c>
      <c r="K503" s="232">
        <v>955832</v>
      </c>
      <c r="L503" s="232"/>
      <c r="M503" s="302">
        <v>0</v>
      </c>
      <c r="N503" s="302">
        <v>1399422</v>
      </c>
      <c r="O503" s="302">
        <v>0</v>
      </c>
      <c r="P503" s="232">
        <v>148537</v>
      </c>
      <c r="Q503" s="232">
        <v>1547959</v>
      </c>
      <c r="R503" s="232"/>
      <c r="S503" s="394">
        <v>422591</v>
      </c>
      <c r="T503" s="232">
        <v>-41950</v>
      </c>
      <c r="U503" s="398">
        <v>380641</v>
      </c>
      <c r="V503" s="232"/>
      <c r="W503" s="398">
        <v>3802368</v>
      </c>
      <c r="X503" s="398">
        <v>-1343555</v>
      </c>
      <c r="Y503" s="398"/>
      <c r="Z503" s="398"/>
    </row>
    <row r="504" spans="1:26">
      <c r="A504" s="392">
        <v>95204</v>
      </c>
      <c r="B504" s="393" t="s">
        <v>1208</v>
      </c>
      <c r="C504" s="235">
        <v>4.7999999999999998E-6</v>
      </c>
      <c r="D504" s="235">
        <v>8.6000000000000007E-6</v>
      </c>
      <c r="E504" s="232">
        <v>7361</v>
      </c>
      <c r="F504" s="232" t="s">
        <v>1930</v>
      </c>
      <c r="G504" s="394">
        <v>2342</v>
      </c>
      <c r="H504" s="394">
        <v>0</v>
      </c>
      <c r="I504" s="394">
        <v>4625</v>
      </c>
      <c r="J504" s="232">
        <v>3285</v>
      </c>
      <c r="K504" s="232">
        <v>10252</v>
      </c>
      <c r="L504" s="232"/>
      <c r="M504" s="302">
        <v>0</v>
      </c>
      <c r="N504" s="302">
        <v>10517</v>
      </c>
      <c r="O504" s="302">
        <v>0</v>
      </c>
      <c r="P504" s="232">
        <v>7002</v>
      </c>
      <c r="Q504" s="232">
        <v>17519</v>
      </c>
      <c r="R504" s="232"/>
      <c r="S504" s="394">
        <v>3176</v>
      </c>
      <c r="T504" s="232">
        <v>-440</v>
      </c>
      <c r="U504" s="398">
        <v>2736</v>
      </c>
      <c r="V504" s="232"/>
      <c r="W504" s="398">
        <v>28576</v>
      </c>
      <c r="X504" s="398">
        <v>-10097</v>
      </c>
      <c r="Y504" s="398"/>
      <c r="Z504" s="398"/>
    </row>
    <row r="505" spans="1:26">
      <c r="A505" s="392">
        <v>95205</v>
      </c>
      <c r="B505" s="393" t="s">
        <v>1209</v>
      </c>
      <c r="C505" s="235">
        <v>3.8999999999999999E-6</v>
      </c>
      <c r="D505" s="235">
        <v>2.6000000000000001E-6</v>
      </c>
      <c r="E505" s="232">
        <v>5981</v>
      </c>
      <c r="F505" s="232" t="s">
        <v>1930</v>
      </c>
      <c r="G505" s="394">
        <v>1903</v>
      </c>
      <c r="H505" s="394">
        <v>0</v>
      </c>
      <c r="I505" s="394">
        <v>3758</v>
      </c>
      <c r="J505" s="232">
        <v>4012</v>
      </c>
      <c r="K505" s="232">
        <v>9673</v>
      </c>
      <c r="L505" s="232"/>
      <c r="M505" s="302">
        <v>0</v>
      </c>
      <c r="N505" s="302">
        <v>8545</v>
      </c>
      <c r="O505" s="302">
        <v>0</v>
      </c>
      <c r="P505" s="232">
        <v>238</v>
      </c>
      <c r="Q505" s="232">
        <v>8783</v>
      </c>
      <c r="R505" s="232"/>
      <c r="S505" s="394">
        <v>2580</v>
      </c>
      <c r="T505" s="232">
        <v>1418</v>
      </c>
      <c r="U505" s="398">
        <v>3998</v>
      </c>
      <c r="V505" s="232"/>
      <c r="W505" s="398">
        <v>23218</v>
      </c>
      <c r="X505" s="398">
        <v>-8204</v>
      </c>
      <c r="Y505" s="398"/>
      <c r="Z505" s="398"/>
    </row>
    <row r="506" spans="1:26">
      <c r="A506" s="392">
        <v>95211</v>
      </c>
      <c r="B506" s="393" t="s">
        <v>1210</v>
      </c>
      <c r="C506" s="235">
        <v>1.7E-6</v>
      </c>
      <c r="D506" s="235">
        <v>1.7E-6</v>
      </c>
      <c r="E506" s="232">
        <v>2607</v>
      </c>
      <c r="F506" s="232" t="s">
        <v>1930</v>
      </c>
      <c r="G506" s="394">
        <v>829</v>
      </c>
      <c r="H506" s="394">
        <v>0</v>
      </c>
      <c r="I506" s="394">
        <v>1638</v>
      </c>
      <c r="J506" s="232">
        <v>801</v>
      </c>
      <c r="K506" s="232">
        <v>3268</v>
      </c>
      <c r="L506" s="232"/>
      <c r="M506" s="302">
        <v>0</v>
      </c>
      <c r="N506" s="302">
        <v>3725</v>
      </c>
      <c r="O506" s="302">
        <v>0</v>
      </c>
      <c r="P506" s="232">
        <v>2693</v>
      </c>
      <c r="Q506" s="232">
        <v>6418</v>
      </c>
      <c r="R506" s="232"/>
      <c r="S506" s="394">
        <v>1125</v>
      </c>
      <c r="T506" s="232">
        <v>-1329</v>
      </c>
      <c r="U506" s="398">
        <v>-204</v>
      </c>
      <c r="V506" s="232"/>
      <c r="W506" s="398">
        <v>10121</v>
      </c>
      <c r="X506" s="398">
        <v>-3576</v>
      </c>
      <c r="Y506" s="398"/>
      <c r="Z506" s="398"/>
    </row>
    <row r="507" spans="1:26">
      <c r="A507" s="392">
        <v>95221</v>
      </c>
      <c r="B507" s="393" t="s">
        <v>1211</v>
      </c>
      <c r="C507" s="235">
        <v>5.0599999999999997E-5</v>
      </c>
      <c r="D507" s="235">
        <v>4.2599999999999999E-5</v>
      </c>
      <c r="E507" s="232">
        <v>77600</v>
      </c>
      <c r="F507" s="232" t="s">
        <v>1930</v>
      </c>
      <c r="G507" s="394">
        <v>24687</v>
      </c>
      <c r="H507" s="394">
        <v>0</v>
      </c>
      <c r="I507" s="394">
        <v>48753</v>
      </c>
      <c r="J507" s="232">
        <v>12329</v>
      </c>
      <c r="K507" s="232">
        <v>85769</v>
      </c>
      <c r="L507" s="232"/>
      <c r="M507" s="302">
        <v>0</v>
      </c>
      <c r="N507" s="302">
        <v>110867</v>
      </c>
      <c r="O507" s="302">
        <v>0</v>
      </c>
      <c r="P507" s="232">
        <v>14366</v>
      </c>
      <c r="Q507" s="232">
        <v>125233</v>
      </c>
      <c r="R507" s="232"/>
      <c r="S507" s="394">
        <v>33479</v>
      </c>
      <c r="T507" s="232">
        <v>2585</v>
      </c>
      <c r="U507" s="398">
        <v>36064</v>
      </c>
      <c r="V507" s="232"/>
      <c r="W507" s="398">
        <v>301237</v>
      </c>
      <c r="X507" s="398">
        <v>-106441</v>
      </c>
      <c r="Y507" s="398"/>
      <c r="Z507" s="398"/>
    </row>
    <row r="508" spans="1:26">
      <c r="A508" s="392">
        <v>95301</v>
      </c>
      <c r="B508" s="393" t="s">
        <v>1212</v>
      </c>
      <c r="C508" s="235">
        <v>2.2288999999999998E-3</v>
      </c>
      <c r="D508" s="235">
        <v>2.2263999999999999E-3</v>
      </c>
      <c r="E508" s="232">
        <v>3418232</v>
      </c>
      <c r="F508" s="232" t="s">
        <v>1930</v>
      </c>
      <c r="G508" s="394">
        <v>1087462</v>
      </c>
      <c r="H508" s="394">
        <v>0</v>
      </c>
      <c r="I508" s="394">
        <v>2147523</v>
      </c>
      <c r="J508" s="232">
        <v>212865</v>
      </c>
      <c r="K508" s="232">
        <v>3447850</v>
      </c>
      <c r="L508" s="232"/>
      <c r="M508" s="302">
        <v>0</v>
      </c>
      <c r="N508" s="302">
        <v>4883627</v>
      </c>
      <c r="O508" s="302">
        <v>0</v>
      </c>
      <c r="P508" s="232">
        <v>48997</v>
      </c>
      <c r="Q508" s="232">
        <v>4932624</v>
      </c>
      <c r="R508" s="232"/>
      <c r="S508" s="394">
        <v>1474734</v>
      </c>
      <c r="T508" s="232">
        <v>66212</v>
      </c>
      <c r="U508" s="398">
        <v>1540946</v>
      </c>
      <c r="V508" s="232"/>
      <c r="W508" s="398">
        <v>13269293</v>
      </c>
      <c r="X508" s="398">
        <v>-4688663</v>
      </c>
      <c r="Y508" s="398"/>
      <c r="Z508" s="398"/>
    </row>
    <row r="509" spans="1:26">
      <c r="A509" s="392">
        <v>95311</v>
      </c>
      <c r="B509" s="393" t="s">
        <v>1213</v>
      </c>
      <c r="C509" s="235">
        <v>2.3481000000000001E-3</v>
      </c>
      <c r="D509" s="235">
        <v>2.4442000000000001E-3</v>
      </c>
      <c r="E509" s="232">
        <v>3601037</v>
      </c>
      <c r="F509" s="232" t="s">
        <v>1930</v>
      </c>
      <c r="G509" s="394">
        <v>1145619</v>
      </c>
      <c r="H509" s="394">
        <v>0</v>
      </c>
      <c r="I509" s="394">
        <v>2262371</v>
      </c>
      <c r="J509" s="232">
        <v>3113</v>
      </c>
      <c r="K509" s="232">
        <v>3411103</v>
      </c>
      <c r="L509" s="232"/>
      <c r="M509" s="302">
        <v>0</v>
      </c>
      <c r="N509" s="302">
        <v>5144800</v>
      </c>
      <c r="O509" s="302">
        <v>0</v>
      </c>
      <c r="P509" s="232">
        <v>119493</v>
      </c>
      <c r="Q509" s="232">
        <v>5264293</v>
      </c>
      <c r="R509" s="232"/>
      <c r="S509" s="394">
        <v>1553602</v>
      </c>
      <c r="T509" s="232">
        <v>-37872</v>
      </c>
      <c r="U509" s="398">
        <v>1515730</v>
      </c>
      <c r="V509" s="232"/>
      <c r="W509" s="398">
        <v>13978925</v>
      </c>
      <c r="X509" s="398">
        <v>-4939409</v>
      </c>
      <c r="Y509" s="398"/>
      <c r="Z509" s="398"/>
    </row>
    <row r="510" spans="1:26">
      <c r="A510" s="392">
        <v>95317</v>
      </c>
      <c r="B510" s="393" t="s">
        <v>1214</v>
      </c>
      <c r="C510" s="235">
        <v>4.3699999999999998E-5</v>
      </c>
      <c r="D510" s="235">
        <v>4.1699999999999997E-5</v>
      </c>
      <c r="E510" s="232">
        <v>67018</v>
      </c>
      <c r="F510" s="232" t="s">
        <v>1930</v>
      </c>
      <c r="G510" s="394">
        <v>21321</v>
      </c>
      <c r="H510" s="394">
        <v>0</v>
      </c>
      <c r="I510" s="394">
        <v>42105</v>
      </c>
      <c r="J510" s="232">
        <v>23819</v>
      </c>
      <c r="K510" s="232">
        <v>87245</v>
      </c>
      <c r="L510" s="232"/>
      <c r="M510" s="302">
        <v>0</v>
      </c>
      <c r="N510" s="302">
        <v>95749</v>
      </c>
      <c r="O510" s="302">
        <v>0</v>
      </c>
      <c r="P510" s="232">
        <v>0</v>
      </c>
      <c r="Q510" s="232">
        <v>95749</v>
      </c>
      <c r="R510" s="232"/>
      <c r="S510" s="394">
        <v>28914</v>
      </c>
      <c r="T510" s="232">
        <v>10040</v>
      </c>
      <c r="U510" s="398">
        <v>38954</v>
      </c>
      <c r="V510" s="232"/>
      <c r="W510" s="398">
        <v>260159</v>
      </c>
      <c r="X510" s="398">
        <v>-91926</v>
      </c>
      <c r="Y510" s="398"/>
      <c r="Z510" s="398"/>
    </row>
    <row r="511" spans="1:26">
      <c r="A511" s="392">
        <v>95321</v>
      </c>
      <c r="B511" s="393" t="s">
        <v>1215</v>
      </c>
      <c r="C511" s="235">
        <v>3.65E-5</v>
      </c>
      <c r="D511" s="235">
        <v>4.4199999999999997E-5</v>
      </c>
      <c r="E511" s="232">
        <v>55976</v>
      </c>
      <c r="F511" s="232" t="s">
        <v>1930</v>
      </c>
      <c r="G511" s="394">
        <v>17808</v>
      </c>
      <c r="H511" s="394">
        <v>0</v>
      </c>
      <c r="I511" s="394">
        <v>35167</v>
      </c>
      <c r="J511" s="232">
        <v>1900</v>
      </c>
      <c r="K511" s="232">
        <v>54875</v>
      </c>
      <c r="L511" s="232"/>
      <c r="M511" s="302">
        <v>0</v>
      </c>
      <c r="N511" s="302">
        <v>79973</v>
      </c>
      <c r="O511" s="302">
        <v>0</v>
      </c>
      <c r="P511" s="232">
        <v>118</v>
      </c>
      <c r="Q511" s="232">
        <v>80091</v>
      </c>
      <c r="R511" s="232"/>
      <c r="S511" s="394">
        <v>24150</v>
      </c>
      <c r="T511" s="232">
        <v>1014</v>
      </c>
      <c r="U511" s="398">
        <v>25164</v>
      </c>
      <c r="V511" s="232"/>
      <c r="W511" s="398">
        <v>217295</v>
      </c>
      <c r="X511" s="398">
        <v>-76781</v>
      </c>
      <c r="Y511" s="398"/>
      <c r="Z511" s="398"/>
    </row>
    <row r="512" spans="1:26">
      <c r="A512" s="392">
        <v>95401</v>
      </c>
      <c r="B512" s="393" t="s">
        <v>1216</v>
      </c>
      <c r="C512" s="235">
        <v>2.5170000000000001E-3</v>
      </c>
      <c r="D512" s="235">
        <v>2.6316999999999998E-3</v>
      </c>
      <c r="E512" s="232">
        <v>3860061</v>
      </c>
      <c r="F512" s="232" t="s">
        <v>1930</v>
      </c>
      <c r="G512" s="394">
        <v>1228024</v>
      </c>
      <c r="H512" s="394">
        <v>0</v>
      </c>
      <c r="I512" s="394">
        <v>2425104</v>
      </c>
      <c r="J512" s="232">
        <v>0</v>
      </c>
      <c r="K512" s="232">
        <v>3653128</v>
      </c>
      <c r="L512" s="232"/>
      <c r="M512" s="302">
        <v>0</v>
      </c>
      <c r="N512" s="302">
        <v>5514868</v>
      </c>
      <c r="O512" s="302">
        <v>0</v>
      </c>
      <c r="P512" s="232">
        <v>527826</v>
      </c>
      <c r="Q512" s="232">
        <v>6042694</v>
      </c>
      <c r="R512" s="232"/>
      <c r="S512" s="394">
        <v>1665353</v>
      </c>
      <c r="T512" s="232">
        <v>-239377</v>
      </c>
      <c r="U512" s="398">
        <v>1425976</v>
      </c>
      <c r="V512" s="232"/>
      <c r="W512" s="398">
        <v>14984436</v>
      </c>
      <c r="X512" s="398">
        <v>-5294703</v>
      </c>
      <c r="Y512" s="398"/>
      <c r="Z512" s="398"/>
    </row>
    <row r="513" spans="1:26">
      <c r="A513" s="392">
        <v>95404</v>
      </c>
      <c r="B513" s="393" t="s">
        <v>1217</v>
      </c>
      <c r="C513" s="235">
        <v>4.6900000000000002E-5</v>
      </c>
      <c r="D513" s="235">
        <v>4.8699999999999998E-5</v>
      </c>
      <c r="E513" s="232">
        <v>71926</v>
      </c>
      <c r="F513" s="232" t="s">
        <v>1930</v>
      </c>
      <c r="G513" s="394">
        <v>22882</v>
      </c>
      <c r="H513" s="394">
        <v>0</v>
      </c>
      <c r="I513" s="394">
        <v>45188</v>
      </c>
      <c r="J513" s="232">
        <v>3419</v>
      </c>
      <c r="K513" s="232">
        <v>71489</v>
      </c>
      <c r="L513" s="232"/>
      <c r="M513" s="302">
        <v>0</v>
      </c>
      <c r="N513" s="302">
        <v>102760</v>
      </c>
      <c r="O513" s="302">
        <v>0</v>
      </c>
      <c r="P513" s="232">
        <v>6388</v>
      </c>
      <c r="Q513" s="232">
        <v>109148</v>
      </c>
      <c r="R513" s="232"/>
      <c r="S513" s="394">
        <v>31031</v>
      </c>
      <c r="T513" s="232">
        <v>-1206</v>
      </c>
      <c r="U513" s="398">
        <v>29825</v>
      </c>
      <c r="V513" s="232"/>
      <c r="W513" s="398">
        <v>279209</v>
      </c>
      <c r="X513" s="398">
        <v>-98658</v>
      </c>
      <c r="Y513" s="398"/>
      <c r="Z513" s="398"/>
    </row>
    <row r="514" spans="1:26">
      <c r="A514" s="392">
        <v>95405</v>
      </c>
      <c r="B514" s="393" t="s">
        <v>1218</v>
      </c>
      <c r="C514" s="235">
        <v>4.5300000000000003E-5</v>
      </c>
      <c r="D514" s="235">
        <v>4.5500000000000001E-5</v>
      </c>
      <c r="E514" s="232">
        <v>69472</v>
      </c>
      <c r="F514" s="232" t="s">
        <v>1930</v>
      </c>
      <c r="G514" s="394">
        <v>22102</v>
      </c>
      <c r="H514" s="394">
        <v>0</v>
      </c>
      <c r="I514" s="394">
        <v>43646</v>
      </c>
      <c r="J514" s="232">
        <v>16573</v>
      </c>
      <c r="K514" s="232">
        <v>82321</v>
      </c>
      <c r="L514" s="232"/>
      <c r="M514" s="302">
        <v>0</v>
      </c>
      <c r="N514" s="302">
        <v>99254</v>
      </c>
      <c r="O514" s="302">
        <v>0</v>
      </c>
      <c r="P514" s="232">
        <v>7020</v>
      </c>
      <c r="Q514" s="232">
        <v>106274</v>
      </c>
      <c r="R514" s="232"/>
      <c r="S514" s="394">
        <v>29972</v>
      </c>
      <c r="T514" s="232">
        <v>8690</v>
      </c>
      <c r="U514" s="398">
        <v>38662</v>
      </c>
      <c r="V514" s="232"/>
      <c r="W514" s="398">
        <v>269684</v>
      </c>
      <c r="X514" s="398">
        <v>-95292</v>
      </c>
      <c r="Y514" s="398"/>
      <c r="Z514" s="398"/>
    </row>
    <row r="515" spans="1:26">
      <c r="A515" s="392">
        <v>95411</v>
      </c>
      <c r="B515" s="393" t="s">
        <v>1219</v>
      </c>
      <c r="C515" s="235">
        <v>2.0901000000000001E-3</v>
      </c>
      <c r="D515" s="235">
        <v>2.0525999999999999E-3</v>
      </c>
      <c r="E515" s="232">
        <v>3205369</v>
      </c>
      <c r="F515" s="232" t="s">
        <v>1930</v>
      </c>
      <c r="G515" s="394">
        <v>1019743</v>
      </c>
      <c r="H515" s="394">
        <v>0</v>
      </c>
      <c r="I515" s="394">
        <v>2013790</v>
      </c>
      <c r="J515" s="232">
        <v>65597</v>
      </c>
      <c r="K515" s="232">
        <v>3099130</v>
      </c>
      <c r="L515" s="232"/>
      <c r="M515" s="302">
        <v>0</v>
      </c>
      <c r="N515" s="302">
        <v>4579509</v>
      </c>
      <c r="O515" s="302">
        <v>0</v>
      </c>
      <c r="P515" s="232">
        <v>31164</v>
      </c>
      <c r="Q515" s="232">
        <v>4610673</v>
      </c>
      <c r="R515" s="232"/>
      <c r="S515" s="394">
        <v>1382898</v>
      </c>
      <c r="T515" s="232">
        <v>-4935</v>
      </c>
      <c r="U515" s="398">
        <v>1377963</v>
      </c>
      <c r="V515" s="232"/>
      <c r="W515" s="398">
        <v>12442976</v>
      </c>
      <c r="X515" s="398">
        <v>-4396686</v>
      </c>
      <c r="Y515" s="398"/>
      <c r="Z515" s="398"/>
    </row>
    <row r="516" spans="1:26">
      <c r="A516" s="392">
        <v>95412</v>
      </c>
      <c r="B516" s="393" t="s">
        <v>3719</v>
      </c>
      <c r="C516" s="235">
        <v>0</v>
      </c>
      <c r="D516" s="235">
        <v>0</v>
      </c>
      <c r="E516" s="232">
        <v>0</v>
      </c>
      <c r="F516" s="232">
        <v>0</v>
      </c>
      <c r="G516" s="394">
        <v>0</v>
      </c>
      <c r="H516" s="394">
        <v>0</v>
      </c>
      <c r="I516" s="394">
        <v>0</v>
      </c>
      <c r="J516" s="232">
        <v>0</v>
      </c>
      <c r="K516" s="232">
        <v>0</v>
      </c>
      <c r="L516" s="232">
        <v>0</v>
      </c>
      <c r="M516" s="302">
        <v>0</v>
      </c>
      <c r="N516" s="302">
        <v>0</v>
      </c>
      <c r="O516" s="302">
        <v>0</v>
      </c>
      <c r="P516" s="232">
        <v>0</v>
      </c>
      <c r="Q516" s="232">
        <v>0</v>
      </c>
      <c r="R516" s="232">
        <v>0</v>
      </c>
      <c r="S516" s="394">
        <v>0</v>
      </c>
      <c r="T516" s="232">
        <v>0</v>
      </c>
      <c r="U516" s="398">
        <v>0</v>
      </c>
      <c r="V516" s="232">
        <v>0</v>
      </c>
      <c r="W516" s="398">
        <v>0</v>
      </c>
      <c r="X516" s="398">
        <v>0</v>
      </c>
      <c r="Y516" s="398"/>
      <c r="Z516" s="398"/>
    </row>
    <row r="517" spans="1:26">
      <c r="A517" s="392">
        <v>95413</v>
      </c>
      <c r="B517" s="393" t="s">
        <v>1221</v>
      </c>
      <c r="C517" s="235">
        <v>2.3369999999999999E-4</v>
      </c>
      <c r="D517" s="235">
        <v>2.5369999999999999E-4</v>
      </c>
      <c r="E517" s="232">
        <v>358401</v>
      </c>
      <c r="F517" s="232" t="s">
        <v>1930</v>
      </c>
      <c r="G517" s="394">
        <v>114020</v>
      </c>
      <c r="H517" s="394">
        <v>0</v>
      </c>
      <c r="I517" s="394">
        <v>225168</v>
      </c>
      <c r="J517" s="232">
        <v>11389</v>
      </c>
      <c r="K517" s="232">
        <v>350577</v>
      </c>
      <c r="L517" s="232"/>
      <c r="M517" s="302">
        <v>0</v>
      </c>
      <c r="N517" s="302">
        <v>512048</v>
      </c>
      <c r="O517" s="302">
        <v>0</v>
      </c>
      <c r="P517" s="232">
        <v>36989</v>
      </c>
      <c r="Q517" s="232">
        <v>549037</v>
      </c>
      <c r="R517" s="232"/>
      <c r="S517" s="394">
        <v>154626</v>
      </c>
      <c r="T517" s="232">
        <v>20381</v>
      </c>
      <c r="U517" s="398">
        <v>175007</v>
      </c>
      <c r="V517" s="232"/>
      <c r="W517" s="398">
        <v>1391284</v>
      </c>
      <c r="X517" s="398">
        <v>-491606</v>
      </c>
      <c r="Y517" s="398"/>
      <c r="Z517" s="398"/>
    </row>
    <row r="518" spans="1:26">
      <c r="A518" s="392">
        <v>95415</v>
      </c>
      <c r="B518" s="393" t="s">
        <v>1222</v>
      </c>
      <c r="C518" s="235">
        <v>5.9500000000000003E-5</v>
      </c>
      <c r="D518" s="235">
        <v>6.2700000000000006E-5</v>
      </c>
      <c r="E518" s="232">
        <v>91249</v>
      </c>
      <c r="F518" s="232" t="s">
        <v>1930</v>
      </c>
      <c r="G518" s="394">
        <v>29030</v>
      </c>
      <c r="H518" s="394">
        <v>0</v>
      </c>
      <c r="I518" s="394">
        <v>57328</v>
      </c>
      <c r="J518" s="232">
        <v>5222</v>
      </c>
      <c r="K518" s="232">
        <v>91580</v>
      </c>
      <c r="L518" s="232"/>
      <c r="M518" s="302">
        <v>0</v>
      </c>
      <c r="N518" s="302">
        <v>130367</v>
      </c>
      <c r="O518" s="302">
        <v>0</v>
      </c>
      <c r="P518" s="232">
        <v>12339</v>
      </c>
      <c r="Q518" s="232">
        <v>142706</v>
      </c>
      <c r="R518" s="232"/>
      <c r="S518" s="394">
        <v>39368</v>
      </c>
      <c r="T518" s="232">
        <v>-4869</v>
      </c>
      <c r="U518" s="398">
        <v>34499</v>
      </c>
      <c r="V518" s="232"/>
      <c r="W518" s="398">
        <v>354221</v>
      </c>
      <c r="X518" s="398">
        <v>-125163</v>
      </c>
      <c r="Y518" s="398"/>
      <c r="Z518" s="398"/>
    </row>
    <row r="519" spans="1:26">
      <c r="A519" s="392">
        <v>95421</v>
      </c>
      <c r="B519" s="393" t="s">
        <v>1223</v>
      </c>
      <c r="C519" s="235">
        <v>3.0899999999999999E-5</v>
      </c>
      <c r="D519" s="235">
        <v>2.5199999999999999E-5</v>
      </c>
      <c r="E519" s="232">
        <v>47388</v>
      </c>
      <c r="F519" s="232" t="s">
        <v>1930</v>
      </c>
      <c r="G519" s="394">
        <v>15076</v>
      </c>
      <c r="H519" s="394">
        <v>0</v>
      </c>
      <c r="I519" s="394">
        <v>29772</v>
      </c>
      <c r="J519" s="232">
        <v>8233</v>
      </c>
      <c r="K519" s="232">
        <v>53081</v>
      </c>
      <c r="L519" s="232"/>
      <c r="M519" s="302">
        <v>0</v>
      </c>
      <c r="N519" s="302">
        <v>67703</v>
      </c>
      <c r="O519" s="302">
        <v>0</v>
      </c>
      <c r="P519" s="232">
        <v>9123</v>
      </c>
      <c r="Q519" s="232">
        <v>76826</v>
      </c>
      <c r="R519" s="232"/>
      <c r="S519" s="394">
        <v>20445</v>
      </c>
      <c r="T519" s="232">
        <v>-1664</v>
      </c>
      <c r="U519" s="398">
        <v>18781</v>
      </c>
      <c r="V519" s="232"/>
      <c r="W519" s="398">
        <v>183957</v>
      </c>
      <c r="X519" s="398">
        <v>-65001</v>
      </c>
      <c r="Y519" s="398"/>
      <c r="Z519" s="398"/>
    </row>
    <row r="520" spans="1:26">
      <c r="A520" s="392">
        <v>95431</v>
      </c>
      <c r="B520" s="393" t="s">
        <v>1224</v>
      </c>
      <c r="C520" s="235">
        <v>1.3229999999999999E-4</v>
      </c>
      <c r="D520" s="235">
        <v>1.2349999999999999E-4</v>
      </c>
      <c r="E520" s="232">
        <v>202895</v>
      </c>
      <c r="F520" s="232" t="s">
        <v>1930</v>
      </c>
      <c r="G520" s="394">
        <v>64548</v>
      </c>
      <c r="H520" s="394">
        <v>0</v>
      </c>
      <c r="I520" s="394">
        <v>127470</v>
      </c>
      <c r="J520" s="232">
        <v>27874</v>
      </c>
      <c r="K520" s="232">
        <v>219892</v>
      </c>
      <c r="L520" s="232"/>
      <c r="M520" s="302">
        <v>0</v>
      </c>
      <c r="N520" s="302">
        <v>289876</v>
      </c>
      <c r="O520" s="302">
        <v>0</v>
      </c>
      <c r="P520" s="232">
        <v>17727</v>
      </c>
      <c r="Q520" s="232">
        <v>307603</v>
      </c>
      <c r="R520" s="232"/>
      <c r="S520" s="394">
        <v>87535</v>
      </c>
      <c r="T520" s="232">
        <v>-6934</v>
      </c>
      <c r="U520" s="398">
        <v>80601</v>
      </c>
      <c r="V520" s="232"/>
      <c r="W520" s="398">
        <v>787621</v>
      </c>
      <c r="X520" s="398">
        <v>-278303</v>
      </c>
      <c r="Y520" s="398"/>
      <c r="Z520" s="398"/>
    </row>
    <row r="521" spans="1:26">
      <c r="A521" s="392">
        <v>95501</v>
      </c>
      <c r="B521" s="393" t="s">
        <v>1225</v>
      </c>
      <c r="C521" s="235">
        <v>5.1955999999999999E-3</v>
      </c>
      <c r="D521" s="235">
        <v>5.3182000000000004E-3</v>
      </c>
      <c r="E521" s="232">
        <v>7967951</v>
      </c>
      <c r="F521" s="232" t="s">
        <v>1930</v>
      </c>
      <c r="G521" s="394">
        <v>2534892</v>
      </c>
      <c r="H521" s="394">
        <v>0</v>
      </c>
      <c r="I521" s="394">
        <v>5005909</v>
      </c>
      <c r="J521" s="232">
        <v>278548</v>
      </c>
      <c r="K521" s="232">
        <v>7819349</v>
      </c>
      <c r="L521" s="232"/>
      <c r="M521" s="302">
        <v>0</v>
      </c>
      <c r="N521" s="302">
        <v>11383809</v>
      </c>
      <c r="O521" s="302">
        <v>0</v>
      </c>
      <c r="P521" s="232">
        <v>261337</v>
      </c>
      <c r="Q521" s="232">
        <v>11645146</v>
      </c>
      <c r="R521" s="232"/>
      <c r="S521" s="394">
        <v>3437627</v>
      </c>
      <c r="T521" s="232">
        <v>30022</v>
      </c>
      <c r="U521" s="398">
        <v>3467649</v>
      </c>
      <c r="V521" s="232"/>
      <c r="W521" s="398">
        <v>30930924</v>
      </c>
      <c r="X521" s="398">
        <v>-10929345</v>
      </c>
      <c r="Y521" s="398"/>
      <c r="Z521" s="398"/>
    </row>
    <row r="522" spans="1:26">
      <c r="A522" s="392">
        <v>95504</v>
      </c>
      <c r="B522" s="393" t="s">
        <v>1226</v>
      </c>
      <c r="C522" s="235">
        <v>1.8099999999999999E-5</v>
      </c>
      <c r="D522" s="235">
        <v>1.7399999999999999E-5</v>
      </c>
      <c r="E522" s="232">
        <v>27758</v>
      </c>
      <c r="F522" s="232" t="s">
        <v>1930</v>
      </c>
      <c r="G522" s="394">
        <v>8831</v>
      </c>
      <c r="H522" s="394">
        <v>0</v>
      </c>
      <c r="I522" s="394">
        <v>17439</v>
      </c>
      <c r="J522" s="232">
        <v>22349</v>
      </c>
      <c r="K522" s="232">
        <v>48619</v>
      </c>
      <c r="L522" s="232"/>
      <c r="M522" s="302">
        <v>0</v>
      </c>
      <c r="N522" s="302">
        <v>39658</v>
      </c>
      <c r="O522" s="302">
        <v>0</v>
      </c>
      <c r="P522" s="232">
        <v>0</v>
      </c>
      <c r="Q522" s="232">
        <v>39658</v>
      </c>
      <c r="R522" s="232"/>
      <c r="S522" s="394">
        <v>11976</v>
      </c>
      <c r="T522" s="232">
        <v>11236</v>
      </c>
      <c r="U522" s="398">
        <v>23212</v>
      </c>
      <c r="V522" s="232"/>
      <c r="W522" s="398">
        <v>107755</v>
      </c>
      <c r="X522" s="398">
        <v>-38075</v>
      </c>
      <c r="Y522" s="398"/>
      <c r="Z522" s="398"/>
    </row>
    <row r="523" spans="1:26">
      <c r="A523" s="392">
        <v>95511</v>
      </c>
      <c r="B523" s="393" t="s">
        <v>1227</v>
      </c>
      <c r="C523" s="235">
        <v>1.0248E-3</v>
      </c>
      <c r="D523" s="235">
        <v>1.0361000000000001E-3</v>
      </c>
      <c r="E523" s="232">
        <v>1571629</v>
      </c>
      <c r="F523" s="232" t="s">
        <v>1930</v>
      </c>
      <c r="G523" s="394">
        <v>499992</v>
      </c>
      <c r="H523" s="394">
        <v>0</v>
      </c>
      <c r="I523" s="394">
        <v>987385</v>
      </c>
      <c r="J523" s="232">
        <v>132724</v>
      </c>
      <c r="K523" s="232">
        <v>1620101</v>
      </c>
      <c r="L523" s="232"/>
      <c r="M523" s="302">
        <v>0</v>
      </c>
      <c r="N523" s="302">
        <v>2245386</v>
      </c>
      <c r="O523" s="302">
        <v>0</v>
      </c>
      <c r="P523" s="232">
        <v>0</v>
      </c>
      <c r="Q523" s="232">
        <v>2245386</v>
      </c>
      <c r="R523" s="232"/>
      <c r="S523" s="394">
        <v>678051</v>
      </c>
      <c r="T523" s="232">
        <v>75502</v>
      </c>
      <c r="U523" s="398">
        <v>753553</v>
      </c>
      <c r="V523" s="232"/>
      <c r="W523" s="398">
        <v>6100934</v>
      </c>
      <c r="X523" s="398">
        <v>-2155746</v>
      </c>
      <c r="Y523" s="398"/>
      <c r="Z523" s="398"/>
    </row>
    <row r="524" spans="1:26">
      <c r="A524" s="392">
        <v>95513</v>
      </c>
      <c r="B524" s="393" t="s">
        <v>1228</v>
      </c>
      <c r="C524" s="235">
        <v>5.0699999999999999E-5</v>
      </c>
      <c r="D524" s="235">
        <v>4.6900000000000002E-5</v>
      </c>
      <c r="E524" s="232">
        <v>77753</v>
      </c>
      <c r="F524" s="232" t="s">
        <v>1930</v>
      </c>
      <c r="G524" s="394">
        <v>24736</v>
      </c>
      <c r="H524" s="394">
        <v>0</v>
      </c>
      <c r="I524" s="394">
        <v>48849</v>
      </c>
      <c r="J524" s="232">
        <v>36253</v>
      </c>
      <c r="K524" s="232">
        <v>109838</v>
      </c>
      <c r="L524" s="232"/>
      <c r="M524" s="302">
        <v>0</v>
      </c>
      <c r="N524" s="302">
        <v>111086</v>
      </c>
      <c r="O524" s="302">
        <v>0</v>
      </c>
      <c r="P524" s="232">
        <v>0</v>
      </c>
      <c r="Q524" s="232">
        <v>111086</v>
      </c>
      <c r="R524" s="232"/>
      <c r="S524" s="394">
        <v>33545</v>
      </c>
      <c r="T524" s="232">
        <v>18743</v>
      </c>
      <c r="U524" s="398">
        <v>52288</v>
      </c>
      <c r="V524" s="232"/>
      <c r="W524" s="398">
        <v>301832</v>
      </c>
      <c r="X524" s="398">
        <v>-106651</v>
      </c>
      <c r="Y524" s="398"/>
      <c r="Z524" s="398"/>
    </row>
    <row r="525" spans="1:26">
      <c r="A525" s="392">
        <v>95517</v>
      </c>
      <c r="B525" s="393" t="s">
        <v>1229</v>
      </c>
      <c r="C525" s="235">
        <v>1.6200000000000001E-5</v>
      </c>
      <c r="D525" s="235">
        <v>1.84E-5</v>
      </c>
      <c r="E525" s="232">
        <v>24844</v>
      </c>
      <c r="F525" s="232" t="s">
        <v>1930</v>
      </c>
      <c r="G525" s="394">
        <v>7904</v>
      </c>
      <c r="H525" s="394">
        <v>0</v>
      </c>
      <c r="I525" s="394">
        <v>15609</v>
      </c>
      <c r="J525" s="232">
        <v>648</v>
      </c>
      <c r="K525" s="232">
        <v>24161</v>
      </c>
      <c r="L525" s="232"/>
      <c r="M525" s="302">
        <v>0</v>
      </c>
      <c r="N525" s="302">
        <v>35495</v>
      </c>
      <c r="O525" s="302">
        <v>0</v>
      </c>
      <c r="P525" s="232">
        <v>3640</v>
      </c>
      <c r="Q525" s="232">
        <v>39135</v>
      </c>
      <c r="R525" s="232"/>
      <c r="S525" s="394">
        <v>10719</v>
      </c>
      <c r="T525" s="232">
        <v>896</v>
      </c>
      <c r="U525" s="398">
        <v>11615</v>
      </c>
      <c r="V525" s="232"/>
      <c r="W525" s="398">
        <v>96443</v>
      </c>
      <c r="X525" s="398">
        <v>-34078</v>
      </c>
      <c r="Y525" s="398"/>
      <c r="Z525" s="398"/>
    </row>
    <row r="526" spans="1:26">
      <c r="A526" s="392">
        <v>95601</v>
      </c>
      <c r="B526" s="393" t="s">
        <v>1230</v>
      </c>
      <c r="C526" s="235">
        <v>2.2501999999999999E-3</v>
      </c>
      <c r="D526" s="235">
        <v>2.3888999999999998E-3</v>
      </c>
      <c r="E526" s="232">
        <v>3450898</v>
      </c>
      <c r="F526" s="232" t="s">
        <v>1930</v>
      </c>
      <c r="G526" s="394">
        <v>1097855</v>
      </c>
      <c r="H526" s="394">
        <v>0</v>
      </c>
      <c r="I526" s="394">
        <v>2168045</v>
      </c>
      <c r="J526" s="232">
        <v>0</v>
      </c>
      <c r="K526" s="232">
        <v>3265900</v>
      </c>
      <c r="L526" s="232"/>
      <c r="M526" s="302">
        <v>0</v>
      </c>
      <c r="N526" s="302">
        <v>4930296</v>
      </c>
      <c r="O526" s="302">
        <v>0</v>
      </c>
      <c r="P526" s="232">
        <v>316062</v>
      </c>
      <c r="Q526" s="232">
        <v>5246358</v>
      </c>
      <c r="R526" s="232"/>
      <c r="S526" s="394">
        <v>1488827</v>
      </c>
      <c r="T526" s="232">
        <v>-131117</v>
      </c>
      <c r="U526" s="398">
        <v>1357710</v>
      </c>
      <c r="V526" s="232"/>
      <c r="W526" s="398">
        <v>13396098</v>
      </c>
      <c r="X526" s="398">
        <v>-4733469</v>
      </c>
      <c r="Y526" s="398"/>
      <c r="Z526" s="398"/>
    </row>
    <row r="527" spans="1:26">
      <c r="A527" s="392">
        <v>95611</v>
      </c>
      <c r="B527" s="393" t="s">
        <v>1231</v>
      </c>
      <c r="C527" s="235">
        <v>3.4969999999999999E-4</v>
      </c>
      <c r="D527" s="235">
        <v>3.3310000000000002E-4</v>
      </c>
      <c r="E527" s="232">
        <v>536299</v>
      </c>
      <c r="F527" s="232" t="s">
        <v>1930</v>
      </c>
      <c r="G527" s="394">
        <v>170616</v>
      </c>
      <c r="H527" s="394">
        <v>0</v>
      </c>
      <c r="I527" s="394">
        <v>336932</v>
      </c>
      <c r="J527" s="232">
        <v>29381</v>
      </c>
      <c r="K527" s="232">
        <v>536929</v>
      </c>
      <c r="L527" s="232"/>
      <c r="M527" s="302">
        <v>0</v>
      </c>
      <c r="N527" s="302">
        <v>766209</v>
      </c>
      <c r="O527" s="302">
        <v>0</v>
      </c>
      <c r="P527" s="232">
        <v>29203</v>
      </c>
      <c r="Q527" s="232">
        <v>795412</v>
      </c>
      <c r="R527" s="232"/>
      <c r="S527" s="394">
        <v>231376</v>
      </c>
      <c r="T527" s="232">
        <v>-3040</v>
      </c>
      <c r="U527" s="398">
        <v>228336</v>
      </c>
      <c r="V527" s="232"/>
      <c r="W527" s="398">
        <v>2081866</v>
      </c>
      <c r="X527" s="398">
        <v>-735621</v>
      </c>
      <c r="Y527" s="398"/>
      <c r="Z527" s="398"/>
    </row>
    <row r="528" spans="1:26">
      <c r="A528" s="392">
        <v>95617</v>
      </c>
      <c r="B528" s="393" t="s">
        <v>1232</v>
      </c>
      <c r="C528" s="235">
        <v>1.8199999999999999E-5</v>
      </c>
      <c r="D528" s="235">
        <v>1.3900000000000001E-5</v>
      </c>
      <c r="E528" s="232">
        <v>27911</v>
      </c>
      <c r="F528" s="232" t="s">
        <v>1930</v>
      </c>
      <c r="G528" s="394">
        <v>8880</v>
      </c>
      <c r="H528" s="394">
        <v>0</v>
      </c>
      <c r="I528" s="394">
        <v>17536</v>
      </c>
      <c r="J528" s="232">
        <v>9219</v>
      </c>
      <c r="K528" s="232">
        <v>35635</v>
      </c>
      <c r="L528" s="232"/>
      <c r="M528" s="302">
        <v>0</v>
      </c>
      <c r="N528" s="302">
        <v>39877</v>
      </c>
      <c r="O528" s="302">
        <v>0</v>
      </c>
      <c r="P528" s="232">
        <v>0</v>
      </c>
      <c r="Q528" s="232">
        <v>39877</v>
      </c>
      <c r="R528" s="232"/>
      <c r="S528" s="394">
        <v>12042</v>
      </c>
      <c r="T528" s="232">
        <v>3361</v>
      </c>
      <c r="U528" s="398">
        <v>15403</v>
      </c>
      <c r="V528" s="232"/>
      <c r="W528" s="398">
        <v>108350</v>
      </c>
      <c r="X528" s="398">
        <v>-38285</v>
      </c>
      <c r="Y528" s="398"/>
      <c r="Z528" s="398"/>
    </row>
    <row r="529" spans="1:27">
      <c r="A529" s="392">
        <v>95621</v>
      </c>
      <c r="B529" s="393" t="s">
        <v>1233</v>
      </c>
      <c r="C529" s="235">
        <v>4.793E-4</v>
      </c>
      <c r="D529" s="235">
        <v>4.6490000000000002E-4</v>
      </c>
      <c r="E529" s="232">
        <v>735053</v>
      </c>
      <c r="F529" s="232" t="s">
        <v>1930</v>
      </c>
      <c r="G529" s="394">
        <v>233847</v>
      </c>
      <c r="H529" s="394">
        <v>0</v>
      </c>
      <c r="I529" s="394">
        <v>461801</v>
      </c>
      <c r="J529" s="232">
        <v>68244</v>
      </c>
      <c r="K529" s="232">
        <v>763892</v>
      </c>
      <c r="L529" s="232"/>
      <c r="M529" s="302">
        <v>0</v>
      </c>
      <c r="N529" s="302">
        <v>1050169</v>
      </c>
      <c r="O529" s="302">
        <v>0</v>
      </c>
      <c r="P529" s="232">
        <v>10925</v>
      </c>
      <c r="Q529" s="232">
        <v>1061094</v>
      </c>
      <c r="R529" s="232"/>
      <c r="S529" s="394">
        <v>317125</v>
      </c>
      <c r="T529" s="232">
        <v>27462</v>
      </c>
      <c r="U529" s="398">
        <v>344587</v>
      </c>
      <c r="V529" s="232"/>
      <c r="W529" s="398">
        <v>2853413</v>
      </c>
      <c r="X529" s="398">
        <v>-1008244</v>
      </c>
      <c r="Y529" s="398"/>
      <c r="Z529" s="398"/>
    </row>
    <row r="530" spans="1:27">
      <c r="A530" s="392">
        <v>95701</v>
      </c>
      <c r="B530" s="393" t="s">
        <v>1234</v>
      </c>
      <c r="C530" s="235">
        <v>1.1892999999999999E-3</v>
      </c>
      <c r="D530" s="235">
        <v>1.2185E-3</v>
      </c>
      <c r="E530" s="232">
        <v>1823906</v>
      </c>
      <c r="F530" s="232" t="s">
        <v>1930</v>
      </c>
      <c r="G530" s="394">
        <v>580250</v>
      </c>
      <c r="H530" s="394">
        <v>0</v>
      </c>
      <c r="I530" s="394">
        <v>1145879</v>
      </c>
      <c r="J530" s="232">
        <v>0</v>
      </c>
      <c r="K530" s="232">
        <v>1726129</v>
      </c>
      <c r="L530" s="232"/>
      <c r="M530" s="302">
        <v>0</v>
      </c>
      <c r="N530" s="302">
        <v>2605813</v>
      </c>
      <c r="O530" s="302">
        <v>0</v>
      </c>
      <c r="P530" s="232">
        <v>152851</v>
      </c>
      <c r="Q530" s="232">
        <v>2758664</v>
      </c>
      <c r="R530" s="232"/>
      <c r="S530" s="394">
        <v>786891</v>
      </c>
      <c r="T530" s="232">
        <v>-67675</v>
      </c>
      <c r="U530" s="398">
        <v>719216</v>
      </c>
      <c r="V530" s="232"/>
      <c r="W530" s="398">
        <v>7080250</v>
      </c>
      <c r="X530" s="398">
        <v>-2501784</v>
      </c>
      <c r="Y530" s="398"/>
      <c r="Z530" s="398"/>
    </row>
    <row r="531" spans="1:27">
      <c r="A531" s="392">
        <v>95711</v>
      </c>
      <c r="B531" s="393" t="s">
        <v>1235</v>
      </c>
      <c r="C531" s="235">
        <v>1.6249999999999999E-4</v>
      </c>
      <c r="D531" s="235">
        <v>1.4889999999999999E-4</v>
      </c>
      <c r="E531" s="232">
        <v>249209</v>
      </c>
      <c r="F531" s="232" t="s">
        <v>1930</v>
      </c>
      <c r="G531" s="394">
        <v>79282</v>
      </c>
      <c r="H531" s="394">
        <v>0</v>
      </c>
      <c r="I531" s="394">
        <v>156567</v>
      </c>
      <c r="J531" s="232">
        <v>12106</v>
      </c>
      <c r="K531" s="232">
        <v>247955</v>
      </c>
      <c r="L531" s="232"/>
      <c r="M531" s="302">
        <v>0</v>
      </c>
      <c r="N531" s="302">
        <v>356045</v>
      </c>
      <c r="O531" s="302">
        <v>0</v>
      </c>
      <c r="P531" s="232">
        <v>5149</v>
      </c>
      <c r="Q531" s="232">
        <v>361194</v>
      </c>
      <c r="R531" s="232"/>
      <c r="S531" s="394">
        <v>107517</v>
      </c>
      <c r="T531" s="232">
        <v>-580</v>
      </c>
      <c r="U531" s="398">
        <v>106937</v>
      </c>
      <c r="V531" s="232"/>
      <c r="W531" s="398">
        <v>967410</v>
      </c>
      <c r="X531" s="398">
        <v>-341831</v>
      </c>
      <c r="Y531" s="398"/>
      <c r="Z531" s="398"/>
    </row>
    <row r="532" spans="1:27">
      <c r="A532" s="392">
        <v>95721</v>
      </c>
      <c r="B532" s="393" t="s">
        <v>1236</v>
      </c>
      <c r="C532" s="235">
        <v>6.1799999999999998E-5</v>
      </c>
      <c r="D532" s="235">
        <v>5.1400000000000003E-5</v>
      </c>
      <c r="E532" s="232">
        <v>94776</v>
      </c>
      <c r="F532" s="232" t="s">
        <v>1930</v>
      </c>
      <c r="G532" s="394">
        <v>30152</v>
      </c>
      <c r="H532" s="394">
        <v>0</v>
      </c>
      <c r="I532" s="394">
        <v>59544</v>
      </c>
      <c r="J532" s="232">
        <v>20596</v>
      </c>
      <c r="K532" s="232">
        <v>110292</v>
      </c>
      <c r="L532" s="232"/>
      <c r="M532" s="302">
        <v>0</v>
      </c>
      <c r="N532" s="302">
        <v>135407</v>
      </c>
      <c r="O532" s="302">
        <v>0</v>
      </c>
      <c r="P532" s="232">
        <v>11651</v>
      </c>
      <c r="Q532" s="232">
        <v>147058</v>
      </c>
      <c r="R532" s="232"/>
      <c r="S532" s="394">
        <v>40889</v>
      </c>
      <c r="T532" s="232">
        <v>-107</v>
      </c>
      <c r="U532" s="398">
        <v>40782</v>
      </c>
      <c r="V532" s="232"/>
      <c r="W532" s="398">
        <v>367913</v>
      </c>
      <c r="X532" s="398">
        <v>-130001</v>
      </c>
      <c r="Y532" s="398"/>
      <c r="Z532" s="398"/>
    </row>
    <row r="533" spans="1:27">
      <c r="A533" s="392">
        <v>95733</v>
      </c>
      <c r="B533" s="393" t="s">
        <v>1237</v>
      </c>
      <c r="C533" s="235">
        <v>1.36E-5</v>
      </c>
      <c r="D533" s="235">
        <v>1.33E-5</v>
      </c>
      <c r="E533" s="232">
        <v>20857</v>
      </c>
      <c r="F533" s="232" t="s">
        <v>1930</v>
      </c>
      <c r="G533" s="394">
        <v>6635</v>
      </c>
      <c r="H533" s="394">
        <v>0</v>
      </c>
      <c r="I533" s="394">
        <v>13103</v>
      </c>
      <c r="J533" s="232">
        <v>1382</v>
      </c>
      <c r="K533" s="232">
        <v>21120</v>
      </c>
      <c r="L533" s="232"/>
      <c r="M533" s="302">
        <v>0</v>
      </c>
      <c r="N533" s="302">
        <v>29798</v>
      </c>
      <c r="O533" s="302">
        <v>0</v>
      </c>
      <c r="P533" s="232">
        <v>688</v>
      </c>
      <c r="Q533" s="232">
        <v>30486</v>
      </c>
      <c r="R533" s="232"/>
      <c r="S533" s="394">
        <v>8998</v>
      </c>
      <c r="T533" s="232">
        <v>58</v>
      </c>
      <c r="U533" s="398">
        <v>9056</v>
      </c>
      <c r="V533" s="232"/>
      <c r="W533" s="398">
        <v>80965</v>
      </c>
      <c r="X533" s="398">
        <v>-28609</v>
      </c>
      <c r="Y533" s="398"/>
      <c r="Z533" s="398"/>
    </row>
    <row r="534" spans="1:27">
      <c r="A534" s="392">
        <v>95801</v>
      </c>
      <c r="B534" s="393" t="s">
        <v>1238</v>
      </c>
      <c r="C534" s="235">
        <v>8.8820000000000001E-4</v>
      </c>
      <c r="D534" s="235">
        <v>9.2270000000000004E-4</v>
      </c>
      <c r="E534" s="232">
        <v>1362140</v>
      </c>
      <c r="F534" s="232" t="s">
        <v>1930</v>
      </c>
      <c r="G534" s="394">
        <v>433346</v>
      </c>
      <c r="H534" s="394">
        <v>0</v>
      </c>
      <c r="I534" s="394">
        <v>855772</v>
      </c>
      <c r="J534" s="232">
        <v>5634</v>
      </c>
      <c r="K534" s="232">
        <v>1294752</v>
      </c>
      <c r="L534" s="232"/>
      <c r="M534" s="302">
        <v>0</v>
      </c>
      <c r="N534" s="302">
        <v>1946089</v>
      </c>
      <c r="O534" s="302">
        <v>0</v>
      </c>
      <c r="P534" s="232">
        <v>23547</v>
      </c>
      <c r="Q534" s="232">
        <v>1969636</v>
      </c>
      <c r="R534" s="232"/>
      <c r="S534" s="394">
        <v>587670</v>
      </c>
      <c r="T534" s="232">
        <v>10615</v>
      </c>
      <c r="U534" s="398">
        <v>598285</v>
      </c>
      <c r="V534" s="232"/>
      <c r="W534" s="398">
        <v>5287714</v>
      </c>
      <c r="X534" s="398">
        <v>-1868397</v>
      </c>
      <c r="Y534" s="398"/>
      <c r="Z534" s="398"/>
    </row>
    <row r="535" spans="1:27">
      <c r="A535" s="392">
        <v>95802</v>
      </c>
      <c r="B535" s="393" t="s">
        <v>1239</v>
      </c>
      <c r="C535" s="235">
        <v>6.9E-6</v>
      </c>
      <c r="D535" s="235">
        <v>4.6999999999999999E-6</v>
      </c>
      <c r="E535" s="232">
        <v>10582</v>
      </c>
      <c r="F535" s="232" t="s">
        <v>1930</v>
      </c>
      <c r="G535" s="394">
        <v>3366</v>
      </c>
      <c r="H535" s="394">
        <v>0</v>
      </c>
      <c r="I535" s="394">
        <v>6648</v>
      </c>
      <c r="J535" s="232">
        <v>10100</v>
      </c>
      <c r="K535" s="232">
        <v>20114</v>
      </c>
      <c r="L535" s="232"/>
      <c r="M535" s="302">
        <v>0</v>
      </c>
      <c r="N535" s="302">
        <v>15118</v>
      </c>
      <c r="O535" s="302">
        <v>0</v>
      </c>
      <c r="P535" s="232">
        <v>0</v>
      </c>
      <c r="Q535" s="232">
        <v>15118</v>
      </c>
      <c r="R535" s="232"/>
      <c r="S535" s="394">
        <v>4565</v>
      </c>
      <c r="T535" s="232">
        <v>4618</v>
      </c>
      <c r="U535" s="398">
        <v>9183</v>
      </c>
      <c r="V535" s="232"/>
      <c r="W535" s="398">
        <v>41078</v>
      </c>
      <c r="X535" s="398">
        <v>-14515</v>
      </c>
      <c r="Y535" s="398"/>
      <c r="Z535" s="398"/>
    </row>
    <row r="536" spans="1:27">
      <c r="A536" s="392">
        <v>95804</v>
      </c>
      <c r="B536" s="393" t="s">
        <v>1240</v>
      </c>
      <c r="C536" s="235">
        <v>2.5299999999999998E-5</v>
      </c>
      <c r="D536" s="235">
        <v>2.6100000000000001E-5</v>
      </c>
      <c r="E536" s="232">
        <v>38800</v>
      </c>
      <c r="F536" s="232" t="s">
        <v>1930</v>
      </c>
      <c r="G536" s="394">
        <v>12344</v>
      </c>
      <c r="H536" s="394">
        <v>0</v>
      </c>
      <c r="I536" s="394">
        <v>24376</v>
      </c>
      <c r="J536" s="232">
        <v>426</v>
      </c>
      <c r="K536" s="232">
        <v>37146</v>
      </c>
      <c r="L536" s="232"/>
      <c r="M536" s="302">
        <v>0</v>
      </c>
      <c r="N536" s="302">
        <v>55434</v>
      </c>
      <c r="O536" s="302">
        <v>0</v>
      </c>
      <c r="P536" s="232">
        <v>5562</v>
      </c>
      <c r="Q536" s="232">
        <v>60996</v>
      </c>
      <c r="R536" s="232"/>
      <c r="S536" s="394">
        <v>16740</v>
      </c>
      <c r="T536" s="232">
        <v>-1838</v>
      </c>
      <c r="U536" s="398">
        <v>14902</v>
      </c>
      <c r="V536" s="232"/>
      <c r="W536" s="398">
        <v>150618</v>
      </c>
      <c r="X536" s="398">
        <v>-53220</v>
      </c>
      <c r="Y536" s="398"/>
      <c r="Z536" s="398"/>
    </row>
    <row r="537" spans="1:27">
      <c r="A537" s="392">
        <v>95811</v>
      </c>
      <c r="B537" s="393" t="s">
        <v>1241</v>
      </c>
      <c r="C537" s="235">
        <v>5.2939999999999997E-4</v>
      </c>
      <c r="D537" s="235">
        <v>5.5400000000000002E-4</v>
      </c>
      <c r="E537" s="232">
        <v>811886</v>
      </c>
      <c r="F537" s="232" t="s">
        <v>1930</v>
      </c>
      <c r="G537" s="394">
        <v>258290</v>
      </c>
      <c r="H537" s="394">
        <v>0</v>
      </c>
      <c r="I537" s="394">
        <v>510072</v>
      </c>
      <c r="J537" s="232">
        <v>14243</v>
      </c>
      <c r="K537" s="232">
        <v>782605</v>
      </c>
      <c r="L537" s="232"/>
      <c r="M537" s="302">
        <v>0</v>
      </c>
      <c r="N537" s="302">
        <v>1159941</v>
      </c>
      <c r="O537" s="302">
        <v>0</v>
      </c>
      <c r="P537" s="232">
        <v>50647</v>
      </c>
      <c r="Q537" s="232">
        <v>1210588</v>
      </c>
      <c r="R537" s="232"/>
      <c r="S537" s="394">
        <v>350273</v>
      </c>
      <c r="T537" s="232">
        <v>-10132</v>
      </c>
      <c r="U537" s="398">
        <v>340141</v>
      </c>
      <c r="V537" s="232"/>
      <c r="W537" s="398">
        <v>3151673</v>
      </c>
      <c r="X537" s="398">
        <v>-1113634</v>
      </c>
      <c r="Y537" s="398"/>
      <c r="Z537" s="398"/>
    </row>
    <row r="538" spans="1:27">
      <c r="A538" s="392">
        <v>95813</v>
      </c>
      <c r="B538" s="393" t="s">
        <v>1242</v>
      </c>
      <c r="C538" s="235">
        <v>4.6100000000000002E-5</v>
      </c>
      <c r="D538" s="235">
        <v>4.21E-5</v>
      </c>
      <c r="E538" s="232">
        <v>70699</v>
      </c>
      <c r="F538" s="232" t="s">
        <v>1930</v>
      </c>
      <c r="G538" s="394">
        <v>22492</v>
      </c>
      <c r="H538" s="394">
        <v>0</v>
      </c>
      <c r="I538" s="394">
        <v>44417</v>
      </c>
      <c r="J538" s="232">
        <v>40043</v>
      </c>
      <c r="K538" s="232">
        <v>106952</v>
      </c>
      <c r="L538" s="232"/>
      <c r="M538" s="302">
        <v>0</v>
      </c>
      <c r="N538" s="302">
        <v>101007</v>
      </c>
      <c r="O538" s="302">
        <v>0</v>
      </c>
      <c r="P538" s="232">
        <v>0</v>
      </c>
      <c r="Q538" s="232">
        <v>101007</v>
      </c>
      <c r="R538" s="232"/>
      <c r="S538" s="394">
        <v>30502</v>
      </c>
      <c r="T538" s="232">
        <v>31298</v>
      </c>
      <c r="U538" s="398">
        <v>61800</v>
      </c>
      <c r="V538" s="232"/>
      <c r="W538" s="398">
        <v>274447</v>
      </c>
      <c r="X538" s="398">
        <v>-96975</v>
      </c>
      <c r="Y538" s="398"/>
      <c r="Z538" s="398"/>
    </row>
    <row r="539" spans="1:27">
      <c r="A539" s="392">
        <v>95821</v>
      </c>
      <c r="B539" s="393" t="s">
        <v>1243</v>
      </c>
      <c r="C539" s="235">
        <v>7.0999999999999998E-6</v>
      </c>
      <c r="D539" s="235">
        <v>5.9000000000000003E-6</v>
      </c>
      <c r="E539" s="232">
        <v>10889</v>
      </c>
      <c r="F539" s="232" t="s">
        <v>1930</v>
      </c>
      <c r="G539" s="394">
        <v>3464</v>
      </c>
      <c r="H539" s="394">
        <v>0</v>
      </c>
      <c r="I539" s="394">
        <v>6841</v>
      </c>
      <c r="J539" s="232">
        <v>4082</v>
      </c>
      <c r="K539" s="232">
        <v>14387</v>
      </c>
      <c r="L539" s="232"/>
      <c r="M539" s="302">
        <v>0</v>
      </c>
      <c r="N539" s="302">
        <v>15556</v>
      </c>
      <c r="O539" s="302">
        <v>0</v>
      </c>
      <c r="P539" s="232">
        <v>461</v>
      </c>
      <c r="Q539" s="232">
        <v>16017</v>
      </c>
      <c r="R539" s="232"/>
      <c r="S539" s="394">
        <v>4698</v>
      </c>
      <c r="T539" s="232">
        <v>1642</v>
      </c>
      <c r="U539" s="398">
        <v>6340</v>
      </c>
      <c r="V539" s="232"/>
      <c r="W539" s="398">
        <v>42268</v>
      </c>
      <c r="X539" s="398">
        <v>-14935</v>
      </c>
      <c r="Y539" s="398"/>
      <c r="Z539" s="398"/>
    </row>
    <row r="540" spans="1:27">
      <c r="A540" s="392">
        <v>95831</v>
      </c>
      <c r="B540" s="393" t="s">
        <v>1244</v>
      </c>
      <c r="C540" s="235">
        <v>2.02E-5</v>
      </c>
      <c r="D540" s="235">
        <v>1.3699999999999999E-5</v>
      </c>
      <c r="E540" s="232">
        <v>30979</v>
      </c>
      <c r="F540" s="232" t="s">
        <v>1930</v>
      </c>
      <c r="G540" s="394">
        <v>9855</v>
      </c>
      <c r="H540" s="394">
        <v>0</v>
      </c>
      <c r="I540" s="394">
        <v>19462</v>
      </c>
      <c r="J540" s="232">
        <v>21668</v>
      </c>
      <c r="K540" s="232">
        <v>50985</v>
      </c>
      <c r="L540" s="232"/>
      <c r="M540" s="302">
        <v>0</v>
      </c>
      <c r="N540" s="302">
        <v>44259</v>
      </c>
      <c r="O540" s="302">
        <v>0</v>
      </c>
      <c r="P540" s="232">
        <v>0</v>
      </c>
      <c r="Q540" s="232">
        <v>44259</v>
      </c>
      <c r="R540" s="232"/>
      <c r="S540" s="394">
        <v>13365</v>
      </c>
      <c r="T540" s="232">
        <v>12964</v>
      </c>
      <c r="U540" s="398">
        <v>26329</v>
      </c>
      <c r="V540" s="232"/>
      <c r="W540" s="398">
        <v>120256</v>
      </c>
      <c r="X540" s="398">
        <v>-42492</v>
      </c>
      <c r="Y540" s="398"/>
      <c r="Z540" s="398"/>
    </row>
    <row r="541" spans="1:27">
      <c r="A541" s="392">
        <v>95841</v>
      </c>
      <c r="B541" s="393" t="s">
        <v>1245</v>
      </c>
      <c r="C541" s="235">
        <v>2.5299999999999998E-5</v>
      </c>
      <c r="D541" s="235">
        <v>2.6400000000000001E-5</v>
      </c>
      <c r="E541" s="232">
        <v>38800</v>
      </c>
      <c r="F541" s="232" t="s">
        <v>1930</v>
      </c>
      <c r="G541" s="394">
        <v>12344</v>
      </c>
      <c r="H541" s="394">
        <v>0</v>
      </c>
      <c r="I541" s="394">
        <v>24376</v>
      </c>
      <c r="J541" s="232">
        <v>2430</v>
      </c>
      <c r="K541" s="232">
        <v>39150</v>
      </c>
      <c r="L541" s="232"/>
      <c r="M541" s="302">
        <v>0</v>
      </c>
      <c r="N541" s="302">
        <v>55434</v>
      </c>
      <c r="O541" s="302">
        <v>0</v>
      </c>
      <c r="P541" s="232">
        <v>4327</v>
      </c>
      <c r="Q541" s="232">
        <v>59761</v>
      </c>
      <c r="R541" s="232"/>
      <c r="S541" s="394">
        <v>16740</v>
      </c>
      <c r="T541" s="232">
        <v>109</v>
      </c>
      <c r="U541" s="398">
        <v>16849</v>
      </c>
      <c r="V541" s="232"/>
      <c r="W541" s="398">
        <v>150618</v>
      </c>
      <c r="X541" s="398">
        <v>-53220</v>
      </c>
      <c r="Y541" s="398"/>
      <c r="Z541" s="398"/>
    </row>
    <row r="542" spans="1:27">
      <c r="A542" s="392">
        <v>95851</v>
      </c>
      <c r="B542" s="393" t="s">
        <v>1246</v>
      </c>
      <c r="C542" s="235">
        <v>1.0840000000000001E-4</v>
      </c>
      <c r="D542" s="235">
        <v>1.261E-4</v>
      </c>
      <c r="E542" s="232">
        <v>166242</v>
      </c>
      <c r="F542" s="232" t="s">
        <v>1930</v>
      </c>
      <c r="G542" s="394">
        <v>52887</v>
      </c>
      <c r="H542" s="394">
        <v>0</v>
      </c>
      <c r="I542" s="394">
        <v>104442</v>
      </c>
      <c r="J542" s="232">
        <v>39909</v>
      </c>
      <c r="K542" s="232">
        <v>197238</v>
      </c>
      <c r="L542" s="232"/>
      <c r="M542" s="302">
        <v>0</v>
      </c>
      <c r="N542" s="302">
        <v>237510</v>
      </c>
      <c r="O542" s="302">
        <v>0</v>
      </c>
      <c r="P542" s="232">
        <v>33144</v>
      </c>
      <c r="Q542" s="232">
        <v>270654</v>
      </c>
      <c r="R542" s="232"/>
      <c r="S542" s="394">
        <v>71722</v>
      </c>
      <c r="T542" s="232">
        <v>33603</v>
      </c>
      <c r="U542" s="398">
        <v>105325</v>
      </c>
      <c r="V542" s="232"/>
      <c r="W542" s="398">
        <v>645337</v>
      </c>
      <c r="X542" s="398">
        <v>-228028</v>
      </c>
      <c r="Y542" s="398"/>
      <c r="Z542" s="398"/>
    </row>
    <row r="543" spans="1:27">
      <c r="A543" s="51">
        <v>95853</v>
      </c>
      <c r="B543" s="296" t="s">
        <v>1247</v>
      </c>
      <c r="C543" s="235">
        <v>2.8E-5</v>
      </c>
      <c r="D543" s="235">
        <v>2.97E-5</v>
      </c>
      <c r="E543" s="232">
        <v>42941</v>
      </c>
      <c r="F543" s="232" t="s">
        <v>1930</v>
      </c>
      <c r="G543" s="233">
        <v>13661</v>
      </c>
      <c r="H543" s="233">
        <v>0</v>
      </c>
      <c r="I543" s="233">
        <v>26978</v>
      </c>
      <c r="J543" s="232">
        <v>913</v>
      </c>
      <c r="K543" s="232">
        <v>41552</v>
      </c>
      <c r="L543" s="232"/>
      <c r="M543" s="226">
        <v>0</v>
      </c>
      <c r="N543" s="226">
        <v>61349</v>
      </c>
      <c r="O543" s="226">
        <v>0</v>
      </c>
      <c r="P543" s="232">
        <v>2349</v>
      </c>
      <c r="Q543" s="232">
        <v>63698</v>
      </c>
      <c r="R543" s="232"/>
      <c r="S543" s="233">
        <v>18526</v>
      </c>
      <c r="T543" s="232">
        <v>950</v>
      </c>
      <c r="U543" s="234">
        <v>19476</v>
      </c>
      <c r="V543" s="232"/>
      <c r="W543" s="234">
        <v>166692</v>
      </c>
      <c r="X543" s="234">
        <v>-58900</v>
      </c>
      <c r="Y543" s="234"/>
      <c r="Z543" s="234"/>
      <c r="AA543" s="226"/>
    </row>
    <row r="544" spans="1:27">
      <c r="A544" s="392">
        <v>95901</v>
      </c>
      <c r="B544" s="393" t="s">
        <v>1248</v>
      </c>
      <c r="C544" s="235">
        <v>2.0098999999999998E-3</v>
      </c>
      <c r="D544" s="235">
        <v>1.9843999999999999E-3</v>
      </c>
      <c r="E544" s="232">
        <v>3082375</v>
      </c>
      <c r="F544" s="232" t="s">
        <v>1930</v>
      </c>
      <c r="G544" s="394">
        <v>980614</v>
      </c>
      <c r="H544" s="394">
        <v>0</v>
      </c>
      <c r="I544" s="394">
        <v>1936519</v>
      </c>
      <c r="J544" s="232">
        <v>42318</v>
      </c>
      <c r="K544" s="232">
        <v>2959451</v>
      </c>
      <c r="L544" s="232"/>
      <c r="M544" s="302">
        <v>0</v>
      </c>
      <c r="N544" s="302">
        <v>4403787</v>
      </c>
      <c r="O544" s="302">
        <v>0</v>
      </c>
      <c r="P544" s="232">
        <v>21661</v>
      </c>
      <c r="Q544" s="232">
        <v>4425448</v>
      </c>
      <c r="R544" s="232"/>
      <c r="S544" s="394">
        <v>1329834</v>
      </c>
      <c r="T544" s="232">
        <v>1771</v>
      </c>
      <c r="U544" s="398">
        <v>1331605</v>
      </c>
      <c r="V544" s="232"/>
      <c r="W544" s="398">
        <v>11965522</v>
      </c>
      <c r="X544" s="398">
        <v>-4227979</v>
      </c>
      <c r="Y544" s="398"/>
      <c r="Z544" s="398"/>
    </row>
    <row r="545" spans="1:26">
      <c r="A545" s="392">
        <v>95908</v>
      </c>
      <c r="B545" s="393" t="s">
        <v>1249</v>
      </c>
      <c r="C545" s="235">
        <v>5.8999999999999998E-5</v>
      </c>
      <c r="D545" s="235">
        <v>5.7399999999999999E-5</v>
      </c>
      <c r="E545" s="232">
        <v>90482</v>
      </c>
      <c r="F545" s="232" t="s">
        <v>1930</v>
      </c>
      <c r="G545" s="394">
        <v>28786</v>
      </c>
      <c r="H545" s="394">
        <v>0</v>
      </c>
      <c r="I545" s="394">
        <v>56846</v>
      </c>
      <c r="J545" s="232">
        <v>1554</v>
      </c>
      <c r="K545" s="232">
        <v>87186</v>
      </c>
      <c r="L545" s="232"/>
      <c r="M545" s="302">
        <v>0</v>
      </c>
      <c r="N545" s="302">
        <v>129272</v>
      </c>
      <c r="O545" s="302">
        <v>0</v>
      </c>
      <c r="P545" s="232">
        <v>16080</v>
      </c>
      <c r="Q545" s="232">
        <v>145352</v>
      </c>
      <c r="R545" s="232"/>
      <c r="S545" s="394">
        <v>39037</v>
      </c>
      <c r="T545" s="232">
        <v>-10334</v>
      </c>
      <c r="U545" s="398">
        <v>28703</v>
      </c>
      <c r="V545" s="232"/>
      <c r="W545" s="398">
        <v>351244</v>
      </c>
      <c r="X545" s="398">
        <v>-124111</v>
      </c>
      <c r="Y545" s="398"/>
      <c r="Z545" s="398"/>
    </row>
    <row r="546" spans="1:26">
      <c r="A546" s="392">
        <v>95911</v>
      </c>
      <c r="B546" s="393" t="s">
        <v>1250</v>
      </c>
      <c r="C546" s="235">
        <v>5.1449999999999998E-4</v>
      </c>
      <c r="D546" s="235">
        <v>5.5429999999999998E-4</v>
      </c>
      <c r="E546" s="232">
        <v>789035</v>
      </c>
      <c r="F546" s="232" t="s">
        <v>1930</v>
      </c>
      <c r="G546" s="394">
        <v>251020</v>
      </c>
      <c r="H546" s="394">
        <v>0</v>
      </c>
      <c r="I546" s="394">
        <v>495716</v>
      </c>
      <c r="J546" s="232">
        <v>0</v>
      </c>
      <c r="K546" s="232">
        <v>746736</v>
      </c>
      <c r="L546" s="232"/>
      <c r="M546" s="302">
        <v>0</v>
      </c>
      <c r="N546" s="302">
        <v>1127294</v>
      </c>
      <c r="O546" s="302">
        <v>0</v>
      </c>
      <c r="P546" s="232">
        <v>95691</v>
      </c>
      <c r="Q546" s="232">
        <v>1222985</v>
      </c>
      <c r="R546" s="232"/>
      <c r="S546" s="394">
        <v>340415</v>
      </c>
      <c r="T546" s="232">
        <v>-42651</v>
      </c>
      <c r="U546" s="398">
        <v>297764</v>
      </c>
      <c r="V546" s="232"/>
      <c r="W546" s="398">
        <v>3062969</v>
      </c>
      <c r="X546" s="398">
        <v>-1082290</v>
      </c>
      <c r="Y546" s="398"/>
      <c r="Z546" s="398"/>
    </row>
    <row r="547" spans="1:26">
      <c r="A547" s="392">
        <v>95917</v>
      </c>
      <c r="B547" s="393" t="s">
        <v>1251</v>
      </c>
      <c r="C547" s="235">
        <v>3.0899999999999999E-5</v>
      </c>
      <c r="D547" s="235">
        <v>2.2099999999999998E-5</v>
      </c>
      <c r="E547" s="232">
        <v>47388</v>
      </c>
      <c r="F547" s="232" t="s">
        <v>1930</v>
      </c>
      <c r="G547" s="394">
        <v>15076</v>
      </c>
      <c r="H547" s="394">
        <v>0</v>
      </c>
      <c r="I547" s="394">
        <v>29772</v>
      </c>
      <c r="J547" s="232">
        <v>18912</v>
      </c>
      <c r="K547" s="232">
        <v>63760</v>
      </c>
      <c r="L547" s="232"/>
      <c r="M547" s="302">
        <v>0</v>
      </c>
      <c r="N547" s="302">
        <v>67703</v>
      </c>
      <c r="O547" s="302">
        <v>0</v>
      </c>
      <c r="P547" s="232">
        <v>795</v>
      </c>
      <c r="Q547" s="232">
        <v>68498</v>
      </c>
      <c r="R547" s="232"/>
      <c r="S547" s="394">
        <v>20445</v>
      </c>
      <c r="T547" s="232">
        <v>6743</v>
      </c>
      <c r="U547" s="398">
        <v>27188</v>
      </c>
      <c r="V547" s="232"/>
      <c r="W547" s="398">
        <v>183957</v>
      </c>
      <c r="X547" s="398">
        <v>-65001</v>
      </c>
      <c r="Y547" s="398"/>
      <c r="Z547" s="398"/>
    </row>
    <row r="548" spans="1:26">
      <c r="A548" s="392">
        <v>95921</v>
      </c>
      <c r="B548" s="393" t="s">
        <v>1252</v>
      </c>
      <c r="C548" s="235">
        <v>3.7200000000000003E-5</v>
      </c>
      <c r="D548" s="235">
        <v>5.0099999999999998E-5</v>
      </c>
      <c r="E548" s="232">
        <v>57050</v>
      </c>
      <c r="F548" s="232" t="s">
        <v>1930</v>
      </c>
      <c r="G548" s="394">
        <v>18150</v>
      </c>
      <c r="H548" s="394">
        <v>0</v>
      </c>
      <c r="I548" s="394">
        <v>35842</v>
      </c>
      <c r="J548" s="232">
        <v>2900</v>
      </c>
      <c r="K548" s="232">
        <v>56892</v>
      </c>
      <c r="L548" s="232"/>
      <c r="M548" s="302">
        <v>0</v>
      </c>
      <c r="N548" s="302">
        <v>81507</v>
      </c>
      <c r="O548" s="302">
        <v>0</v>
      </c>
      <c r="P548" s="232">
        <v>18108</v>
      </c>
      <c r="Q548" s="232">
        <v>99615</v>
      </c>
      <c r="R548" s="232"/>
      <c r="S548" s="394">
        <v>24613</v>
      </c>
      <c r="T548" s="232">
        <v>-4456</v>
      </c>
      <c r="U548" s="398">
        <v>20157</v>
      </c>
      <c r="V548" s="232"/>
      <c r="W548" s="398">
        <v>221462</v>
      </c>
      <c r="X548" s="398">
        <v>-78253</v>
      </c>
      <c r="Y548" s="398"/>
      <c r="Z548" s="398"/>
    </row>
    <row r="549" spans="1:26">
      <c r="A549" s="392">
        <v>96001</v>
      </c>
      <c r="B549" s="393" t="s">
        <v>1253</v>
      </c>
      <c r="C549" s="235">
        <v>4.5452399999999997E-2</v>
      </c>
      <c r="D549" s="235">
        <v>4.6503500000000003E-2</v>
      </c>
      <c r="E549" s="232">
        <v>69705619</v>
      </c>
      <c r="F549" s="232" t="s">
        <v>1930</v>
      </c>
      <c r="G549" s="394">
        <v>22175862</v>
      </c>
      <c r="H549" s="394">
        <v>0</v>
      </c>
      <c r="I549" s="394">
        <v>43792933</v>
      </c>
      <c r="J549" s="232">
        <v>1396255</v>
      </c>
      <c r="K549" s="232">
        <v>67365050</v>
      </c>
      <c r="L549" s="232"/>
      <c r="M549" s="302">
        <v>0</v>
      </c>
      <c r="N549" s="302">
        <v>99588390</v>
      </c>
      <c r="O549" s="302">
        <v>0</v>
      </c>
      <c r="P549" s="232">
        <v>2179254</v>
      </c>
      <c r="Q549" s="232">
        <v>101767644</v>
      </c>
      <c r="R549" s="232"/>
      <c r="S549" s="394">
        <v>30073217</v>
      </c>
      <c r="T549" s="232">
        <v>-172381</v>
      </c>
      <c r="U549" s="398">
        <v>29900836</v>
      </c>
      <c r="V549" s="232"/>
      <c r="W549" s="398">
        <v>270591409</v>
      </c>
      <c r="X549" s="398">
        <v>-95612623</v>
      </c>
      <c r="Y549" s="398"/>
      <c r="Z549" s="398"/>
    </row>
    <row r="550" spans="1:26">
      <c r="A550" s="392">
        <v>96003</v>
      </c>
      <c r="B550" s="393" t="s">
        <v>1254</v>
      </c>
      <c r="C550" s="235">
        <v>2.0500000000000002E-3</v>
      </c>
      <c r="D550" s="235">
        <v>1.781E-3</v>
      </c>
      <c r="E550" s="232">
        <v>3143872</v>
      </c>
      <c r="F550" s="232" t="s">
        <v>1930</v>
      </c>
      <c r="G550" s="394">
        <v>1000179</v>
      </c>
      <c r="H550" s="394">
        <v>0</v>
      </c>
      <c r="I550" s="394">
        <v>1975155</v>
      </c>
      <c r="J550" s="232">
        <v>515550</v>
      </c>
      <c r="K550" s="232">
        <v>3490884</v>
      </c>
      <c r="L550" s="232"/>
      <c r="M550" s="302">
        <v>0</v>
      </c>
      <c r="N550" s="302">
        <v>4491648</v>
      </c>
      <c r="O550" s="302">
        <v>0</v>
      </c>
      <c r="P550" s="232">
        <v>20883</v>
      </c>
      <c r="Q550" s="232">
        <v>4512531</v>
      </c>
      <c r="R550" s="232"/>
      <c r="S550" s="394">
        <v>1356366</v>
      </c>
      <c r="T550" s="232">
        <v>157487</v>
      </c>
      <c r="U550" s="398">
        <v>1513853</v>
      </c>
      <c r="V550" s="232"/>
      <c r="W550" s="398">
        <v>12204249</v>
      </c>
      <c r="X550" s="398">
        <v>-4312333</v>
      </c>
      <c r="Y550" s="398"/>
      <c r="Z550" s="398"/>
    </row>
    <row r="551" spans="1:26">
      <c r="A551" s="392">
        <v>96004</v>
      </c>
      <c r="B551" s="393" t="s">
        <v>1255</v>
      </c>
      <c r="C551" s="235">
        <v>1.0675999999999999E-3</v>
      </c>
      <c r="D551" s="235">
        <v>9.8489999999999992E-4</v>
      </c>
      <c r="E551" s="232">
        <v>1637267</v>
      </c>
      <c r="F551" s="232" t="s">
        <v>1930</v>
      </c>
      <c r="G551" s="394">
        <v>520873</v>
      </c>
      <c r="H551" s="394">
        <v>0</v>
      </c>
      <c r="I551" s="394">
        <v>1028622</v>
      </c>
      <c r="J551" s="232">
        <v>399177</v>
      </c>
      <c r="K551" s="232">
        <v>1948672</v>
      </c>
      <c r="L551" s="232"/>
      <c r="M551" s="302">
        <v>0</v>
      </c>
      <c r="N551" s="302">
        <v>2339163</v>
      </c>
      <c r="O551" s="302">
        <v>0</v>
      </c>
      <c r="P551" s="232">
        <v>0</v>
      </c>
      <c r="Q551" s="232">
        <v>2339163</v>
      </c>
      <c r="R551" s="232"/>
      <c r="S551" s="394">
        <v>706369</v>
      </c>
      <c r="T551" s="232">
        <v>175216</v>
      </c>
      <c r="U551" s="398">
        <v>881585</v>
      </c>
      <c r="V551" s="232"/>
      <c r="W551" s="398">
        <v>6355735</v>
      </c>
      <c r="X551" s="398">
        <v>-2245779</v>
      </c>
      <c r="Y551" s="398"/>
      <c r="Z551" s="398"/>
    </row>
    <row r="552" spans="1:26">
      <c r="A552" s="392">
        <v>96005</v>
      </c>
      <c r="B552" s="393" t="s">
        <v>1256</v>
      </c>
      <c r="C552" s="235">
        <v>2.6773999999999999E-3</v>
      </c>
      <c r="D552" s="235">
        <v>2.4903999999999998E-3</v>
      </c>
      <c r="E552" s="232">
        <v>4106050</v>
      </c>
      <c r="F552" s="232" t="s">
        <v>1930</v>
      </c>
      <c r="G552" s="394">
        <v>1306282</v>
      </c>
      <c r="H552" s="394">
        <v>0</v>
      </c>
      <c r="I552" s="394">
        <v>2579648</v>
      </c>
      <c r="J552" s="232">
        <v>354737</v>
      </c>
      <c r="K552" s="232">
        <v>4240667</v>
      </c>
      <c r="L552" s="232"/>
      <c r="M552" s="302">
        <v>0</v>
      </c>
      <c r="N552" s="302">
        <v>5866312</v>
      </c>
      <c r="O552" s="302">
        <v>0</v>
      </c>
      <c r="P552" s="232">
        <v>50310</v>
      </c>
      <c r="Q552" s="232">
        <v>5916622</v>
      </c>
      <c r="R552" s="232"/>
      <c r="S552" s="394">
        <v>1771480</v>
      </c>
      <c r="T552" s="232">
        <v>112317</v>
      </c>
      <c r="U552" s="398">
        <v>1883797</v>
      </c>
      <c r="V552" s="232"/>
      <c r="W552" s="398">
        <v>15939344</v>
      </c>
      <c r="X552" s="398">
        <v>-5632117</v>
      </c>
      <c r="Y552" s="398"/>
      <c r="Z552" s="398"/>
    </row>
    <row r="553" spans="1:26">
      <c r="A553" s="392">
        <v>96008</v>
      </c>
      <c r="B553" s="393" t="s">
        <v>1257</v>
      </c>
      <c r="C553" s="235">
        <v>5.5976000000000003E-3</v>
      </c>
      <c r="D553" s="235">
        <v>6.1444999999999998E-3</v>
      </c>
      <c r="E553" s="232">
        <v>8584457</v>
      </c>
      <c r="F553" s="232" t="s">
        <v>1930</v>
      </c>
      <c r="G553" s="394">
        <v>2731024</v>
      </c>
      <c r="H553" s="394">
        <v>0</v>
      </c>
      <c r="I553" s="394">
        <v>5393232</v>
      </c>
      <c r="J553" s="232">
        <v>0</v>
      </c>
      <c r="K553" s="232">
        <v>8124256</v>
      </c>
      <c r="L553" s="232"/>
      <c r="M553" s="302">
        <v>0</v>
      </c>
      <c r="N553" s="302">
        <v>12264610</v>
      </c>
      <c r="O553" s="302">
        <v>0</v>
      </c>
      <c r="P553" s="232">
        <v>2426673</v>
      </c>
      <c r="Q553" s="232">
        <v>14691283</v>
      </c>
      <c r="R553" s="232"/>
      <c r="S553" s="394">
        <v>3703607</v>
      </c>
      <c r="T553" s="232">
        <v>-1134445</v>
      </c>
      <c r="U553" s="398">
        <v>2569162</v>
      </c>
      <c r="V553" s="232"/>
      <c r="W553" s="398">
        <v>33324147</v>
      </c>
      <c r="X553" s="398">
        <v>-11774983</v>
      </c>
      <c r="Y553" s="398"/>
      <c r="Z553" s="398"/>
    </row>
    <row r="554" spans="1:26">
      <c r="A554" s="392">
        <v>96009</v>
      </c>
      <c r="B554" s="393" t="s">
        <v>1258</v>
      </c>
      <c r="C554" s="235">
        <v>3.8479999999999997E-4</v>
      </c>
      <c r="D554" s="235">
        <v>3.814E-4</v>
      </c>
      <c r="E554" s="232">
        <v>590128</v>
      </c>
      <c r="F554" s="232" t="s">
        <v>1930</v>
      </c>
      <c r="G554" s="394">
        <v>187741</v>
      </c>
      <c r="H554" s="394">
        <v>0</v>
      </c>
      <c r="I554" s="394">
        <v>370751</v>
      </c>
      <c r="J554" s="232">
        <v>46237</v>
      </c>
      <c r="K554" s="232">
        <v>604729</v>
      </c>
      <c r="L554" s="232"/>
      <c r="M554" s="302">
        <v>0</v>
      </c>
      <c r="N554" s="302">
        <v>843115</v>
      </c>
      <c r="O554" s="302">
        <v>0</v>
      </c>
      <c r="P554" s="232">
        <v>2708</v>
      </c>
      <c r="Q554" s="232">
        <v>845823</v>
      </c>
      <c r="R554" s="232"/>
      <c r="S554" s="394">
        <v>254600</v>
      </c>
      <c r="T554" s="232">
        <v>30007</v>
      </c>
      <c r="U554" s="398">
        <v>284607</v>
      </c>
      <c r="V554" s="232"/>
      <c r="W554" s="398">
        <v>2290827</v>
      </c>
      <c r="X554" s="398">
        <v>-809456</v>
      </c>
      <c r="Y554" s="398"/>
      <c r="Z554" s="398"/>
    </row>
    <row r="555" spans="1:26">
      <c r="A555" s="392">
        <v>96011</v>
      </c>
      <c r="B555" s="393" t="s">
        <v>1259</v>
      </c>
      <c r="C555" s="235">
        <v>6.8435399999999993E-2</v>
      </c>
      <c r="D555" s="235">
        <v>6.4782000000000006E-2</v>
      </c>
      <c r="E555" s="232">
        <v>104952256</v>
      </c>
      <c r="F555" s="232" t="s">
        <v>1930</v>
      </c>
      <c r="G555" s="394">
        <v>33389084</v>
      </c>
      <c r="H555" s="394">
        <v>0</v>
      </c>
      <c r="I555" s="394">
        <v>65936824</v>
      </c>
      <c r="J555" s="232">
        <v>7985539</v>
      </c>
      <c r="K555" s="232">
        <v>107311447</v>
      </c>
      <c r="L555" s="232"/>
      <c r="M555" s="302">
        <v>0</v>
      </c>
      <c r="N555" s="302">
        <v>149945246</v>
      </c>
      <c r="O555" s="302">
        <v>0</v>
      </c>
      <c r="P555" s="232">
        <v>0</v>
      </c>
      <c r="Q555" s="232">
        <v>149945246</v>
      </c>
      <c r="R555" s="232"/>
      <c r="S555" s="394">
        <v>45279735</v>
      </c>
      <c r="T555" s="232">
        <v>3368098</v>
      </c>
      <c r="U555" s="398">
        <v>48647833</v>
      </c>
      <c r="V555" s="232"/>
      <c r="W555" s="398">
        <v>407415919</v>
      </c>
      <c r="X555" s="398">
        <v>-143959133</v>
      </c>
      <c r="Y555" s="398"/>
      <c r="Z555" s="398"/>
    </row>
    <row r="556" spans="1:26">
      <c r="A556" s="392">
        <v>96012</v>
      </c>
      <c r="B556" s="393" t="s">
        <v>1260</v>
      </c>
      <c r="C556" s="235">
        <v>2.3944000000000001E-3</v>
      </c>
      <c r="D556" s="235">
        <v>2.4705999999999999E-3</v>
      </c>
      <c r="E556" s="232">
        <v>3672042</v>
      </c>
      <c r="F556" s="232" t="s">
        <v>1930</v>
      </c>
      <c r="G556" s="394">
        <v>1168209</v>
      </c>
      <c r="H556" s="394">
        <v>0</v>
      </c>
      <c r="I556" s="394">
        <v>2306980</v>
      </c>
      <c r="J556" s="232">
        <v>13644</v>
      </c>
      <c r="K556" s="232">
        <v>3488833</v>
      </c>
      <c r="L556" s="232"/>
      <c r="M556" s="302">
        <v>0</v>
      </c>
      <c r="N556" s="302">
        <v>5246245</v>
      </c>
      <c r="O556" s="302">
        <v>0</v>
      </c>
      <c r="P556" s="232">
        <v>312979</v>
      </c>
      <c r="Q556" s="232">
        <v>5559224</v>
      </c>
      <c r="R556" s="232"/>
      <c r="S556" s="394">
        <v>1584236</v>
      </c>
      <c r="T556" s="232">
        <v>-103298</v>
      </c>
      <c r="U556" s="398">
        <v>1480938</v>
      </c>
      <c r="V556" s="232"/>
      <c r="W556" s="398">
        <v>14254562</v>
      </c>
      <c r="X556" s="398">
        <v>-5036805</v>
      </c>
      <c r="Y556" s="398"/>
      <c r="Z556" s="398"/>
    </row>
    <row r="557" spans="1:26">
      <c r="A557" s="392">
        <v>96018</v>
      </c>
      <c r="B557" s="393" t="s">
        <v>1261</v>
      </c>
      <c r="C557" s="235">
        <v>4.1100000000000003E-5</v>
      </c>
      <c r="D557" s="235">
        <v>3.57E-5</v>
      </c>
      <c r="E557" s="232">
        <v>63031</v>
      </c>
      <c r="F557" s="232" t="s">
        <v>1930</v>
      </c>
      <c r="G557" s="394">
        <v>20052</v>
      </c>
      <c r="H557" s="394">
        <v>0</v>
      </c>
      <c r="I557" s="394">
        <v>39599</v>
      </c>
      <c r="J557" s="232">
        <v>14688</v>
      </c>
      <c r="K557" s="232">
        <v>74339</v>
      </c>
      <c r="L557" s="232"/>
      <c r="M557" s="302">
        <v>0</v>
      </c>
      <c r="N557" s="302">
        <v>90052</v>
      </c>
      <c r="O557" s="302">
        <v>0</v>
      </c>
      <c r="P557" s="232">
        <v>4411</v>
      </c>
      <c r="Q557" s="232">
        <v>94463</v>
      </c>
      <c r="R557" s="232"/>
      <c r="S557" s="394">
        <v>27193</v>
      </c>
      <c r="T557" s="232">
        <v>4072</v>
      </c>
      <c r="U557" s="398">
        <v>31265</v>
      </c>
      <c r="V557" s="232"/>
      <c r="W557" s="398">
        <v>244680</v>
      </c>
      <c r="X557" s="398">
        <v>-86457</v>
      </c>
      <c r="Y557" s="398"/>
      <c r="Z557" s="398"/>
    </row>
    <row r="558" spans="1:26">
      <c r="A558" s="392">
        <v>96021</v>
      </c>
      <c r="B558" s="393" t="s">
        <v>1262</v>
      </c>
      <c r="C558" s="235">
        <v>7.0790000000000002E-4</v>
      </c>
      <c r="D558" s="235">
        <v>7.0450000000000005E-4</v>
      </c>
      <c r="E558" s="232">
        <v>1085633</v>
      </c>
      <c r="F558" s="232" t="s">
        <v>1930</v>
      </c>
      <c r="G558" s="394">
        <v>345379</v>
      </c>
      <c r="H558" s="394">
        <v>0</v>
      </c>
      <c r="I558" s="394">
        <v>682055</v>
      </c>
      <c r="J558" s="232">
        <v>4446</v>
      </c>
      <c r="K558" s="232">
        <v>1031880</v>
      </c>
      <c r="L558" s="232"/>
      <c r="M558" s="302">
        <v>0</v>
      </c>
      <c r="N558" s="302">
        <v>1551043</v>
      </c>
      <c r="O558" s="302">
        <v>0</v>
      </c>
      <c r="P558" s="232">
        <v>60090</v>
      </c>
      <c r="Q558" s="232">
        <v>1611133</v>
      </c>
      <c r="R558" s="232"/>
      <c r="S558" s="394">
        <v>468376</v>
      </c>
      <c r="T558" s="232">
        <v>-50515</v>
      </c>
      <c r="U558" s="398">
        <v>417861</v>
      </c>
      <c r="V558" s="232"/>
      <c r="W558" s="398">
        <v>4214335</v>
      </c>
      <c r="X558" s="398">
        <v>-1489122</v>
      </c>
      <c r="Y558" s="398"/>
      <c r="Z558" s="398"/>
    </row>
    <row r="559" spans="1:26">
      <c r="A559" s="392">
        <v>96031</v>
      </c>
      <c r="B559" s="393" t="s">
        <v>1263</v>
      </c>
      <c r="C559" s="235">
        <v>7.9569999999999999E-4</v>
      </c>
      <c r="D559" s="235">
        <v>8.2890000000000004E-4</v>
      </c>
      <c r="E559" s="232">
        <v>1220282</v>
      </c>
      <c r="F559" s="232" t="s">
        <v>1930</v>
      </c>
      <c r="G559" s="394">
        <v>388216</v>
      </c>
      <c r="H559" s="394">
        <v>0</v>
      </c>
      <c r="I559" s="394">
        <v>766649</v>
      </c>
      <c r="J559" s="232">
        <v>0</v>
      </c>
      <c r="K559" s="232">
        <v>1154865</v>
      </c>
      <c r="L559" s="232"/>
      <c r="M559" s="302">
        <v>0</v>
      </c>
      <c r="N559" s="302">
        <v>1743417</v>
      </c>
      <c r="O559" s="302">
        <v>0</v>
      </c>
      <c r="P559" s="232">
        <v>180031</v>
      </c>
      <c r="Q559" s="232">
        <v>1923448</v>
      </c>
      <c r="R559" s="232"/>
      <c r="S559" s="394">
        <v>526469</v>
      </c>
      <c r="T559" s="232">
        <v>-103378</v>
      </c>
      <c r="U559" s="398">
        <v>423091</v>
      </c>
      <c r="V559" s="232"/>
      <c r="W559" s="398">
        <v>4737034</v>
      </c>
      <c r="X559" s="398">
        <v>-1673816</v>
      </c>
      <c r="Y559" s="398"/>
      <c r="Z559" s="398"/>
    </row>
    <row r="560" spans="1:26">
      <c r="A560" s="392">
        <v>96041</v>
      </c>
      <c r="B560" s="393" t="s">
        <v>1264</v>
      </c>
      <c r="C560" s="235">
        <v>1.8835E-3</v>
      </c>
      <c r="D560" s="235">
        <v>1.7784000000000001E-3</v>
      </c>
      <c r="E560" s="232">
        <v>2888528</v>
      </c>
      <c r="F560" s="232" t="s">
        <v>1930</v>
      </c>
      <c r="G560" s="394">
        <v>918945</v>
      </c>
      <c r="H560" s="394">
        <v>0</v>
      </c>
      <c r="I560" s="394">
        <v>1814733</v>
      </c>
      <c r="J560" s="232">
        <v>109427</v>
      </c>
      <c r="K560" s="232">
        <v>2843105</v>
      </c>
      <c r="L560" s="232"/>
      <c r="M560" s="302">
        <v>0</v>
      </c>
      <c r="N560" s="302">
        <v>4126839</v>
      </c>
      <c r="O560" s="302">
        <v>0</v>
      </c>
      <c r="P560" s="232">
        <v>20740</v>
      </c>
      <c r="Q560" s="232">
        <v>4147579</v>
      </c>
      <c r="R560" s="232"/>
      <c r="S560" s="394">
        <v>1246203</v>
      </c>
      <c r="T560" s="232">
        <v>3569</v>
      </c>
      <c r="U560" s="398">
        <v>1249772</v>
      </c>
      <c r="V560" s="232"/>
      <c r="W560" s="398">
        <v>11213025</v>
      </c>
      <c r="X560" s="398">
        <v>-3962087</v>
      </c>
      <c r="Y560" s="398"/>
      <c r="Z560" s="398"/>
    </row>
    <row r="561" spans="1:26">
      <c r="A561" s="392">
        <v>96051</v>
      </c>
      <c r="B561" s="393" t="s">
        <v>1265</v>
      </c>
      <c r="C561" s="235">
        <v>1.0357000000000001E-3</v>
      </c>
      <c r="D561" s="235">
        <v>1.0357000000000001E-3</v>
      </c>
      <c r="E561" s="232">
        <v>1588345</v>
      </c>
      <c r="F561" s="232" t="s">
        <v>1930</v>
      </c>
      <c r="G561" s="394">
        <v>505310</v>
      </c>
      <c r="H561" s="394">
        <v>0</v>
      </c>
      <c r="I561" s="394">
        <v>997887</v>
      </c>
      <c r="J561" s="232">
        <v>34354</v>
      </c>
      <c r="K561" s="232">
        <v>1537551</v>
      </c>
      <c r="L561" s="232"/>
      <c r="M561" s="302">
        <v>0</v>
      </c>
      <c r="N561" s="302">
        <v>2269268</v>
      </c>
      <c r="O561" s="302">
        <v>0</v>
      </c>
      <c r="P561" s="232">
        <v>103043</v>
      </c>
      <c r="Q561" s="232">
        <v>2372311</v>
      </c>
      <c r="R561" s="232"/>
      <c r="S561" s="394">
        <v>685263</v>
      </c>
      <c r="T561" s="232">
        <v>-41028</v>
      </c>
      <c r="U561" s="398">
        <v>644235</v>
      </c>
      <c r="V561" s="232"/>
      <c r="W561" s="398">
        <v>6165825</v>
      </c>
      <c r="X561" s="398">
        <v>-2178675</v>
      </c>
      <c r="Y561" s="398"/>
      <c r="Z561" s="398"/>
    </row>
    <row r="562" spans="1:26">
      <c r="A562" s="392">
        <v>96061</v>
      </c>
      <c r="B562" s="393" t="s">
        <v>1266</v>
      </c>
      <c r="C562" s="235">
        <v>3.411E-4</v>
      </c>
      <c r="D562" s="235">
        <v>3.2640000000000002E-4</v>
      </c>
      <c r="E562" s="232">
        <v>523110</v>
      </c>
      <c r="F562" s="232" t="s">
        <v>1930</v>
      </c>
      <c r="G562" s="394">
        <v>166420</v>
      </c>
      <c r="H562" s="394">
        <v>0</v>
      </c>
      <c r="I562" s="394">
        <v>328646</v>
      </c>
      <c r="J562" s="232">
        <v>21290</v>
      </c>
      <c r="K562" s="232">
        <v>516356</v>
      </c>
      <c r="L562" s="232"/>
      <c r="M562" s="302">
        <v>0</v>
      </c>
      <c r="N562" s="302">
        <v>747366</v>
      </c>
      <c r="O562" s="302">
        <v>0</v>
      </c>
      <c r="P562" s="232">
        <v>17442</v>
      </c>
      <c r="Q562" s="232">
        <v>764808</v>
      </c>
      <c r="R562" s="232"/>
      <c r="S562" s="394">
        <v>225686</v>
      </c>
      <c r="T562" s="232">
        <v>3884</v>
      </c>
      <c r="U562" s="398">
        <v>229570</v>
      </c>
      <c r="V562" s="232"/>
      <c r="W562" s="398">
        <v>2030668</v>
      </c>
      <c r="X562" s="398">
        <v>-717530</v>
      </c>
      <c r="Y562" s="398"/>
      <c r="Z562" s="398"/>
    </row>
    <row r="563" spans="1:26">
      <c r="A563" s="392">
        <v>96071</v>
      </c>
      <c r="B563" s="393" t="s">
        <v>1267</v>
      </c>
      <c r="C563" s="235">
        <v>1.3278000000000001E-3</v>
      </c>
      <c r="D563" s="235">
        <v>1.3179000000000001E-3</v>
      </c>
      <c r="E563" s="232">
        <v>2036309</v>
      </c>
      <c r="F563" s="232" t="s">
        <v>1930</v>
      </c>
      <c r="G563" s="394">
        <v>647823</v>
      </c>
      <c r="H563" s="394">
        <v>0</v>
      </c>
      <c r="I563" s="394">
        <v>1279322</v>
      </c>
      <c r="J563" s="232">
        <v>121237</v>
      </c>
      <c r="K563" s="232">
        <v>2048382</v>
      </c>
      <c r="L563" s="232"/>
      <c r="M563" s="302">
        <v>0</v>
      </c>
      <c r="N563" s="302">
        <v>2909274</v>
      </c>
      <c r="O563" s="302">
        <v>0</v>
      </c>
      <c r="P563" s="232">
        <v>0</v>
      </c>
      <c r="Q563" s="232">
        <v>2909274</v>
      </c>
      <c r="R563" s="232"/>
      <c r="S563" s="394">
        <v>878528</v>
      </c>
      <c r="T563" s="232">
        <v>72641</v>
      </c>
      <c r="U563" s="398">
        <v>951169</v>
      </c>
      <c r="V563" s="232"/>
      <c r="W563" s="398">
        <v>7904781</v>
      </c>
      <c r="X563" s="398">
        <v>-2793130</v>
      </c>
      <c r="Y563" s="398"/>
      <c r="Z563" s="398"/>
    </row>
    <row r="564" spans="1:26">
      <c r="A564" s="392">
        <v>96081</v>
      </c>
      <c r="B564" s="393" t="s">
        <v>1268</v>
      </c>
      <c r="C564" s="235">
        <v>6.2560000000000003E-4</v>
      </c>
      <c r="D564" s="235">
        <v>5.5960000000000005E-4</v>
      </c>
      <c r="E564" s="232">
        <v>959418</v>
      </c>
      <c r="F564" s="232" t="s">
        <v>1930</v>
      </c>
      <c r="G564" s="394">
        <v>305225</v>
      </c>
      <c r="H564" s="394">
        <v>0</v>
      </c>
      <c r="I564" s="394">
        <v>602759</v>
      </c>
      <c r="J564" s="232">
        <v>91230</v>
      </c>
      <c r="K564" s="232">
        <v>999214</v>
      </c>
      <c r="L564" s="232"/>
      <c r="M564" s="302">
        <v>0</v>
      </c>
      <c r="N564" s="302">
        <v>1370720</v>
      </c>
      <c r="O564" s="302">
        <v>0</v>
      </c>
      <c r="P564" s="232">
        <v>9575</v>
      </c>
      <c r="Q564" s="232">
        <v>1380295</v>
      </c>
      <c r="R564" s="232"/>
      <c r="S564" s="394">
        <v>413923</v>
      </c>
      <c r="T564" s="232">
        <v>28939</v>
      </c>
      <c r="U564" s="398">
        <v>442862</v>
      </c>
      <c r="V564" s="232"/>
      <c r="W564" s="398">
        <v>3724379</v>
      </c>
      <c r="X564" s="398">
        <v>-1315998</v>
      </c>
      <c r="Y564" s="398"/>
      <c r="Z564" s="398"/>
    </row>
    <row r="565" spans="1:26">
      <c r="A565" s="392">
        <v>96101</v>
      </c>
      <c r="B565" s="393" t="s">
        <v>1269</v>
      </c>
      <c r="C565" s="235">
        <v>6.6339999999999997E-4</v>
      </c>
      <c r="D565" s="235">
        <v>6.2960000000000002E-4</v>
      </c>
      <c r="E565" s="232">
        <v>1017388</v>
      </c>
      <c r="F565" s="232" t="s">
        <v>1930</v>
      </c>
      <c r="G565" s="394">
        <v>323668</v>
      </c>
      <c r="H565" s="394">
        <v>0</v>
      </c>
      <c r="I565" s="394">
        <v>639179</v>
      </c>
      <c r="J565" s="232">
        <v>104967</v>
      </c>
      <c r="K565" s="232">
        <v>1067814</v>
      </c>
      <c r="L565" s="232"/>
      <c r="M565" s="302">
        <v>0</v>
      </c>
      <c r="N565" s="302">
        <v>1453541</v>
      </c>
      <c r="O565" s="302">
        <v>0</v>
      </c>
      <c r="P565" s="232">
        <v>50885</v>
      </c>
      <c r="Q565" s="232">
        <v>1504426</v>
      </c>
      <c r="R565" s="232"/>
      <c r="S565" s="394">
        <v>438933</v>
      </c>
      <c r="T565" s="232">
        <v>20551</v>
      </c>
      <c r="U565" s="398">
        <v>459484</v>
      </c>
      <c r="V565" s="232"/>
      <c r="W565" s="398">
        <v>3949414</v>
      </c>
      <c r="X565" s="398">
        <v>-1395513</v>
      </c>
      <c r="Y565" s="398"/>
      <c r="Z565" s="398"/>
    </row>
    <row r="566" spans="1:26">
      <c r="A566" s="392">
        <v>96102</v>
      </c>
      <c r="B566" s="393" t="s">
        <v>1270</v>
      </c>
      <c r="C566" s="235">
        <v>1.0699999999999999E-5</v>
      </c>
      <c r="D566" s="235">
        <v>1.1399999999999999E-5</v>
      </c>
      <c r="E566" s="232">
        <v>16409</v>
      </c>
      <c r="F566" s="232" t="s">
        <v>1930</v>
      </c>
      <c r="G566" s="394">
        <v>5220</v>
      </c>
      <c r="H566" s="394">
        <v>0</v>
      </c>
      <c r="I566" s="394">
        <v>10309</v>
      </c>
      <c r="J566" s="232">
        <v>0</v>
      </c>
      <c r="K566" s="232">
        <v>15529</v>
      </c>
      <c r="L566" s="232"/>
      <c r="M566" s="302">
        <v>0</v>
      </c>
      <c r="N566" s="302">
        <v>23444</v>
      </c>
      <c r="O566" s="302">
        <v>0</v>
      </c>
      <c r="P566" s="232">
        <v>3135</v>
      </c>
      <c r="Q566" s="232">
        <v>26579</v>
      </c>
      <c r="R566" s="232"/>
      <c r="S566" s="394">
        <v>7080</v>
      </c>
      <c r="T566" s="232">
        <v>-1982</v>
      </c>
      <c r="U566" s="398">
        <v>5098</v>
      </c>
      <c r="V566" s="232"/>
      <c r="W566" s="398">
        <v>63700</v>
      </c>
      <c r="X566" s="398">
        <v>-22508</v>
      </c>
      <c r="Y566" s="398"/>
      <c r="Z566" s="398"/>
    </row>
    <row r="567" spans="1:26">
      <c r="A567" s="392">
        <v>96111</v>
      </c>
      <c r="B567" s="393" t="s">
        <v>1271</v>
      </c>
      <c r="C567" s="235">
        <v>1.6789999999999999E-4</v>
      </c>
      <c r="D567" s="235">
        <v>1.6689999999999999E-4</v>
      </c>
      <c r="E567" s="232">
        <v>257491</v>
      </c>
      <c r="F567" s="232" t="s">
        <v>1930</v>
      </c>
      <c r="G567" s="394">
        <v>81917</v>
      </c>
      <c r="H567" s="394">
        <v>0</v>
      </c>
      <c r="I567" s="394">
        <v>161770</v>
      </c>
      <c r="J567" s="232">
        <v>36958</v>
      </c>
      <c r="K567" s="232">
        <v>280645</v>
      </c>
      <c r="L567" s="232"/>
      <c r="M567" s="302">
        <v>0</v>
      </c>
      <c r="N567" s="302">
        <v>367877</v>
      </c>
      <c r="O567" s="302">
        <v>0</v>
      </c>
      <c r="P567" s="232">
        <v>0</v>
      </c>
      <c r="Q567" s="232">
        <v>367877</v>
      </c>
      <c r="R567" s="232"/>
      <c r="S567" s="394">
        <v>111090</v>
      </c>
      <c r="T567" s="232">
        <v>17061</v>
      </c>
      <c r="U567" s="398">
        <v>128151</v>
      </c>
      <c r="V567" s="232"/>
      <c r="W567" s="398">
        <v>999558</v>
      </c>
      <c r="X567" s="398">
        <v>-353191</v>
      </c>
      <c r="Y567" s="398"/>
      <c r="Z567" s="398"/>
    </row>
    <row r="568" spans="1:26">
      <c r="A568" s="392">
        <v>96121</v>
      </c>
      <c r="B568" s="393" t="s">
        <v>1272</v>
      </c>
      <c r="C568" s="235">
        <v>1.77E-5</v>
      </c>
      <c r="D568" s="235">
        <v>1.6699999999999999E-5</v>
      </c>
      <c r="E568" s="232">
        <v>27145</v>
      </c>
      <c r="F568" s="232" t="s">
        <v>1930</v>
      </c>
      <c r="G568" s="394">
        <v>8636</v>
      </c>
      <c r="H568" s="394">
        <v>0</v>
      </c>
      <c r="I568" s="394">
        <v>17054</v>
      </c>
      <c r="J568" s="232">
        <v>960</v>
      </c>
      <c r="K568" s="232">
        <v>26650</v>
      </c>
      <c r="L568" s="232"/>
      <c r="M568" s="302">
        <v>0</v>
      </c>
      <c r="N568" s="302">
        <v>38782</v>
      </c>
      <c r="O568" s="302">
        <v>0</v>
      </c>
      <c r="P568" s="232">
        <v>6919</v>
      </c>
      <c r="Q568" s="232">
        <v>45701</v>
      </c>
      <c r="R568" s="232"/>
      <c r="S568" s="394">
        <v>11711</v>
      </c>
      <c r="T568" s="232">
        <v>-3479</v>
      </c>
      <c r="U568" s="398">
        <v>8232</v>
      </c>
      <c r="V568" s="232"/>
      <c r="W568" s="398">
        <v>105373</v>
      </c>
      <c r="X568" s="398">
        <v>-37233</v>
      </c>
      <c r="Y568" s="398"/>
      <c r="Z568" s="398"/>
    </row>
    <row r="569" spans="1:26">
      <c r="A569" s="392">
        <v>96201</v>
      </c>
      <c r="B569" s="393" t="s">
        <v>1273</v>
      </c>
      <c r="C569" s="235">
        <v>1.0398E-3</v>
      </c>
      <c r="D569" s="235">
        <v>9.7280000000000001E-4</v>
      </c>
      <c r="E569" s="232">
        <v>1594633</v>
      </c>
      <c r="F569" s="232" t="s">
        <v>1930</v>
      </c>
      <c r="G569" s="394">
        <v>507310</v>
      </c>
      <c r="H569" s="394">
        <v>0</v>
      </c>
      <c r="I569" s="394">
        <v>1001837</v>
      </c>
      <c r="J569" s="232">
        <v>145540</v>
      </c>
      <c r="K569" s="232">
        <v>1654687</v>
      </c>
      <c r="L569" s="232"/>
      <c r="M569" s="302">
        <v>0</v>
      </c>
      <c r="N569" s="302">
        <v>2278252</v>
      </c>
      <c r="O569" s="302">
        <v>0</v>
      </c>
      <c r="P569" s="232">
        <v>72585</v>
      </c>
      <c r="Q569" s="232">
        <v>2350837</v>
      </c>
      <c r="R569" s="232"/>
      <c r="S569" s="394">
        <v>687975</v>
      </c>
      <c r="T569" s="232">
        <v>-5445</v>
      </c>
      <c r="U569" s="398">
        <v>682530</v>
      </c>
      <c r="V569" s="232"/>
      <c r="W569" s="398">
        <v>6190233</v>
      </c>
      <c r="X569" s="398">
        <v>-2187299</v>
      </c>
      <c r="Y569" s="398"/>
      <c r="Z569" s="398"/>
    </row>
    <row r="570" spans="1:26">
      <c r="A570" s="392">
        <v>96204</v>
      </c>
      <c r="B570" s="393" t="s">
        <v>1274</v>
      </c>
      <c r="C570" s="235">
        <v>1.6200000000000001E-5</v>
      </c>
      <c r="D570" s="235">
        <v>1.3699999999999999E-5</v>
      </c>
      <c r="E570" s="232">
        <v>24844</v>
      </c>
      <c r="F570" s="232" t="s">
        <v>1930</v>
      </c>
      <c r="G570" s="394">
        <v>7904</v>
      </c>
      <c r="H570" s="394">
        <v>0</v>
      </c>
      <c r="I570" s="394">
        <v>15609</v>
      </c>
      <c r="J570" s="232">
        <v>9630</v>
      </c>
      <c r="K570" s="232">
        <v>33143</v>
      </c>
      <c r="L570" s="232"/>
      <c r="M570" s="302">
        <v>0</v>
      </c>
      <c r="N570" s="302">
        <v>35495</v>
      </c>
      <c r="O570" s="302">
        <v>0</v>
      </c>
      <c r="P570" s="232">
        <v>0</v>
      </c>
      <c r="Q570" s="232">
        <v>35495</v>
      </c>
      <c r="R570" s="232"/>
      <c r="S570" s="394">
        <v>10719</v>
      </c>
      <c r="T570" s="232">
        <v>4174</v>
      </c>
      <c r="U570" s="398">
        <v>14893</v>
      </c>
      <c r="V570" s="232"/>
      <c r="W570" s="398">
        <v>96443</v>
      </c>
      <c r="X570" s="398">
        <v>-34078</v>
      </c>
      <c r="Y570" s="398"/>
      <c r="Z570" s="398"/>
    </row>
    <row r="571" spans="1:26">
      <c r="A571" s="392">
        <v>96211</v>
      </c>
      <c r="B571" s="393" t="s">
        <v>1275</v>
      </c>
      <c r="C571" s="235">
        <v>2.0299999999999999E-5</v>
      </c>
      <c r="D571" s="235">
        <v>2.1999999999999999E-5</v>
      </c>
      <c r="E571" s="232">
        <v>31132</v>
      </c>
      <c r="F571" s="232" t="s">
        <v>1930</v>
      </c>
      <c r="G571" s="394">
        <v>9904</v>
      </c>
      <c r="H571" s="394">
        <v>0</v>
      </c>
      <c r="I571" s="394">
        <v>19559</v>
      </c>
      <c r="J571" s="232">
        <v>8150</v>
      </c>
      <c r="K571" s="232">
        <v>37613</v>
      </c>
      <c r="L571" s="232"/>
      <c r="M571" s="302">
        <v>0</v>
      </c>
      <c r="N571" s="302">
        <v>44478</v>
      </c>
      <c r="O571" s="302">
        <v>0</v>
      </c>
      <c r="P571" s="232">
        <v>0</v>
      </c>
      <c r="Q571" s="232">
        <v>44478</v>
      </c>
      <c r="R571" s="232"/>
      <c r="S571" s="394">
        <v>13431</v>
      </c>
      <c r="T571" s="232">
        <v>4068</v>
      </c>
      <c r="U571" s="398">
        <v>17499</v>
      </c>
      <c r="V571" s="232"/>
      <c r="W571" s="398">
        <v>120852</v>
      </c>
      <c r="X571" s="398">
        <v>-42703</v>
      </c>
      <c r="Y571" s="398"/>
      <c r="Z571" s="398"/>
    </row>
    <row r="572" spans="1:26">
      <c r="A572" s="392">
        <v>96221</v>
      </c>
      <c r="B572" s="393" t="s">
        <v>1276</v>
      </c>
      <c r="C572" s="235">
        <v>1.8440000000000001E-4</v>
      </c>
      <c r="D572" s="235">
        <v>1.964E-4</v>
      </c>
      <c r="E572" s="232">
        <v>282795</v>
      </c>
      <c r="F572" s="232" t="s">
        <v>1930</v>
      </c>
      <c r="G572" s="394">
        <v>89967</v>
      </c>
      <c r="H572" s="394">
        <v>0</v>
      </c>
      <c r="I572" s="394">
        <v>177668</v>
      </c>
      <c r="J572" s="232">
        <v>0</v>
      </c>
      <c r="K572" s="232">
        <v>267635</v>
      </c>
      <c r="L572" s="232"/>
      <c r="M572" s="302">
        <v>0</v>
      </c>
      <c r="N572" s="302">
        <v>404029</v>
      </c>
      <c r="O572" s="302">
        <v>0</v>
      </c>
      <c r="P572" s="232">
        <v>41340</v>
      </c>
      <c r="Q572" s="232">
        <v>445369</v>
      </c>
      <c r="R572" s="232"/>
      <c r="S572" s="394">
        <v>122007</v>
      </c>
      <c r="T572" s="232">
        <v>-19581</v>
      </c>
      <c r="U572" s="398">
        <v>102426</v>
      </c>
      <c r="V572" s="232"/>
      <c r="W572" s="398">
        <v>1097787</v>
      </c>
      <c r="X572" s="398">
        <v>-387900</v>
      </c>
      <c r="Y572" s="398"/>
      <c r="Z572" s="398"/>
    </row>
    <row r="573" spans="1:26">
      <c r="A573" s="392">
        <v>96231</v>
      </c>
      <c r="B573" s="393" t="s">
        <v>1277</v>
      </c>
      <c r="C573" s="235">
        <v>1.086E-4</v>
      </c>
      <c r="D573" s="235">
        <v>1.058E-4</v>
      </c>
      <c r="E573" s="232">
        <v>166549</v>
      </c>
      <c r="F573" s="232" t="s">
        <v>1930</v>
      </c>
      <c r="G573" s="394">
        <v>52985</v>
      </c>
      <c r="H573" s="394">
        <v>0</v>
      </c>
      <c r="I573" s="394">
        <v>104635</v>
      </c>
      <c r="J573" s="232">
        <v>653</v>
      </c>
      <c r="K573" s="232">
        <v>158273</v>
      </c>
      <c r="L573" s="232"/>
      <c r="M573" s="302">
        <v>0</v>
      </c>
      <c r="N573" s="302">
        <v>237948</v>
      </c>
      <c r="O573" s="302">
        <v>0</v>
      </c>
      <c r="P573" s="232">
        <v>28633</v>
      </c>
      <c r="Q573" s="232">
        <v>266581</v>
      </c>
      <c r="R573" s="232"/>
      <c r="S573" s="394">
        <v>71854</v>
      </c>
      <c r="T573" s="232">
        <v>-15345</v>
      </c>
      <c r="U573" s="398">
        <v>56509</v>
      </c>
      <c r="V573" s="232"/>
      <c r="W573" s="398">
        <v>646528</v>
      </c>
      <c r="X573" s="398">
        <v>-228448</v>
      </c>
      <c r="Y573" s="398"/>
      <c r="Z573" s="398"/>
    </row>
    <row r="574" spans="1:26">
      <c r="A574" s="392">
        <v>96241</v>
      </c>
      <c r="B574" s="393" t="s">
        <v>1278</v>
      </c>
      <c r="C574" s="235">
        <v>5.5600000000000003E-5</v>
      </c>
      <c r="D574" s="235">
        <v>5.9599999999999999E-5</v>
      </c>
      <c r="E574" s="232">
        <v>85268</v>
      </c>
      <c r="F574" s="232" t="s">
        <v>1930</v>
      </c>
      <c r="G574" s="394">
        <v>27127</v>
      </c>
      <c r="H574" s="394">
        <v>0</v>
      </c>
      <c r="I574" s="394">
        <v>53570</v>
      </c>
      <c r="J574" s="232">
        <v>2705</v>
      </c>
      <c r="K574" s="232">
        <v>83402</v>
      </c>
      <c r="L574" s="232"/>
      <c r="M574" s="302">
        <v>0</v>
      </c>
      <c r="N574" s="302">
        <v>121822</v>
      </c>
      <c r="O574" s="302">
        <v>0</v>
      </c>
      <c r="P574" s="232">
        <v>21006</v>
      </c>
      <c r="Q574" s="232">
        <v>142828</v>
      </c>
      <c r="R574" s="232"/>
      <c r="S574" s="394">
        <v>36787</v>
      </c>
      <c r="T574" s="232">
        <v>-6208</v>
      </c>
      <c r="U574" s="398">
        <v>30579</v>
      </c>
      <c r="V574" s="232"/>
      <c r="W574" s="398">
        <v>331003</v>
      </c>
      <c r="X574" s="398">
        <v>-116959</v>
      </c>
      <c r="Y574" s="398"/>
      <c r="Z574" s="398"/>
    </row>
    <row r="575" spans="1:26">
      <c r="A575" s="392">
        <v>96251</v>
      </c>
      <c r="B575" s="393" t="s">
        <v>1279</v>
      </c>
      <c r="C575" s="235">
        <v>1.0340000000000001E-4</v>
      </c>
      <c r="D575" s="235">
        <v>8.8399999999999994E-5</v>
      </c>
      <c r="E575" s="232">
        <v>158574</v>
      </c>
      <c r="F575" s="232" t="s">
        <v>1930</v>
      </c>
      <c r="G575" s="394">
        <v>50448</v>
      </c>
      <c r="H575" s="394">
        <v>0</v>
      </c>
      <c r="I575" s="394">
        <v>99625</v>
      </c>
      <c r="J575" s="232">
        <v>17534</v>
      </c>
      <c r="K575" s="232">
        <v>167607</v>
      </c>
      <c r="L575" s="232"/>
      <c r="M575" s="302">
        <v>0</v>
      </c>
      <c r="N575" s="302">
        <v>226554</v>
      </c>
      <c r="O575" s="302">
        <v>0</v>
      </c>
      <c r="P575" s="232">
        <v>19859</v>
      </c>
      <c r="Q575" s="232">
        <v>246413</v>
      </c>
      <c r="R575" s="232"/>
      <c r="S575" s="394">
        <v>68414</v>
      </c>
      <c r="T575" s="232">
        <v>-2806</v>
      </c>
      <c r="U575" s="398">
        <v>65608</v>
      </c>
      <c r="V575" s="232"/>
      <c r="W575" s="398">
        <v>615570</v>
      </c>
      <c r="X575" s="398">
        <v>-217510</v>
      </c>
      <c r="Y575" s="398"/>
      <c r="Z575" s="398"/>
    </row>
    <row r="576" spans="1:26">
      <c r="A576" s="392">
        <v>96301</v>
      </c>
      <c r="B576" s="393" t="s">
        <v>1280</v>
      </c>
      <c r="C576" s="235">
        <v>4.7479999999999996E-3</v>
      </c>
      <c r="D576" s="235">
        <v>4.7971999999999997E-3</v>
      </c>
      <c r="E576" s="232">
        <v>7281514</v>
      </c>
      <c r="F576" s="232" t="s">
        <v>1930</v>
      </c>
      <c r="G576" s="394">
        <v>2316511</v>
      </c>
      <c r="H576" s="394">
        <v>0</v>
      </c>
      <c r="I576" s="394">
        <v>4574651</v>
      </c>
      <c r="J576" s="232">
        <v>148066</v>
      </c>
      <c r="K576" s="232">
        <v>7039228</v>
      </c>
      <c r="L576" s="232"/>
      <c r="M576" s="302">
        <v>0</v>
      </c>
      <c r="N576" s="302">
        <v>10403096</v>
      </c>
      <c r="O576" s="302">
        <v>0</v>
      </c>
      <c r="P576" s="232">
        <v>163949</v>
      </c>
      <c r="Q576" s="232">
        <v>10567045</v>
      </c>
      <c r="R576" s="232"/>
      <c r="S576" s="394">
        <v>3141476</v>
      </c>
      <c r="T576" s="232">
        <v>-170</v>
      </c>
      <c r="U576" s="398">
        <v>3141306</v>
      </c>
      <c r="V576" s="232"/>
      <c r="W576" s="398">
        <v>28266230</v>
      </c>
      <c r="X576" s="398">
        <v>-9987784</v>
      </c>
      <c r="Y576" s="398"/>
      <c r="Z576" s="398"/>
    </row>
    <row r="577" spans="1:26">
      <c r="A577" s="392">
        <v>96302</v>
      </c>
      <c r="B577" s="393" t="s">
        <v>1281</v>
      </c>
      <c r="C577" s="235">
        <v>2.2500000000000001E-5</v>
      </c>
      <c r="D577" s="235">
        <v>5.2200000000000002E-5</v>
      </c>
      <c r="E577" s="232">
        <v>34506</v>
      </c>
      <c r="F577" s="232" t="s">
        <v>1930</v>
      </c>
      <c r="G577" s="394">
        <v>10978</v>
      </c>
      <c r="H577" s="394">
        <v>0</v>
      </c>
      <c r="I577" s="394">
        <v>21679</v>
      </c>
      <c r="J577" s="232">
        <v>19033</v>
      </c>
      <c r="K577" s="232">
        <v>51690</v>
      </c>
      <c r="L577" s="232"/>
      <c r="M577" s="302">
        <v>0</v>
      </c>
      <c r="N577" s="302">
        <v>49299</v>
      </c>
      <c r="O577" s="302">
        <v>0</v>
      </c>
      <c r="P577" s="232">
        <v>48321</v>
      </c>
      <c r="Q577" s="232">
        <v>97620</v>
      </c>
      <c r="R577" s="232"/>
      <c r="S577" s="394">
        <v>14887</v>
      </c>
      <c r="T577" s="232">
        <v>-5599</v>
      </c>
      <c r="U577" s="398">
        <v>9288</v>
      </c>
      <c r="V577" s="232"/>
      <c r="W577" s="398">
        <v>133949</v>
      </c>
      <c r="X577" s="398">
        <v>-47330</v>
      </c>
      <c r="Y577" s="398"/>
      <c r="Z577" s="398"/>
    </row>
    <row r="578" spans="1:26">
      <c r="A578" s="392">
        <v>96304</v>
      </c>
      <c r="B578" s="393" t="s">
        <v>1282</v>
      </c>
      <c r="C578" s="235">
        <v>5.1400000000000003E-5</v>
      </c>
      <c r="D578" s="235">
        <v>4.6400000000000003E-5</v>
      </c>
      <c r="E578" s="232">
        <v>78827</v>
      </c>
      <c r="F578" s="232" t="s">
        <v>1930</v>
      </c>
      <c r="G578" s="394">
        <v>25078</v>
      </c>
      <c r="H578" s="394">
        <v>0</v>
      </c>
      <c r="I578" s="394">
        <v>49523</v>
      </c>
      <c r="J578" s="232">
        <v>16209</v>
      </c>
      <c r="K578" s="232">
        <v>90810</v>
      </c>
      <c r="L578" s="232"/>
      <c r="M578" s="302">
        <v>0</v>
      </c>
      <c r="N578" s="302">
        <v>112620</v>
      </c>
      <c r="O578" s="302">
        <v>0</v>
      </c>
      <c r="P578" s="232">
        <v>0</v>
      </c>
      <c r="Q578" s="232">
        <v>112620</v>
      </c>
      <c r="R578" s="232"/>
      <c r="S578" s="394">
        <v>34008</v>
      </c>
      <c r="T578" s="232">
        <v>7178</v>
      </c>
      <c r="U578" s="398">
        <v>41186</v>
      </c>
      <c r="V578" s="232"/>
      <c r="W578" s="398">
        <v>305999</v>
      </c>
      <c r="X578" s="398">
        <v>-108124</v>
      </c>
      <c r="Y578" s="398"/>
      <c r="Z578" s="398"/>
    </row>
    <row r="579" spans="1:26">
      <c r="A579" s="392">
        <v>96305</v>
      </c>
      <c r="B579" s="393" t="s">
        <v>1283</v>
      </c>
      <c r="C579" s="235">
        <v>3.8699999999999999E-5</v>
      </c>
      <c r="D579" s="235">
        <v>4.2799999999999997E-5</v>
      </c>
      <c r="E579" s="232">
        <v>59350</v>
      </c>
      <c r="F579" s="232" t="s">
        <v>1930</v>
      </c>
      <c r="G579" s="394">
        <v>18881</v>
      </c>
      <c r="H579" s="394">
        <v>0</v>
      </c>
      <c r="I579" s="394">
        <v>37287</v>
      </c>
      <c r="J579" s="232">
        <v>14100</v>
      </c>
      <c r="K579" s="232">
        <v>70268</v>
      </c>
      <c r="L579" s="232"/>
      <c r="M579" s="302">
        <v>0</v>
      </c>
      <c r="N579" s="302">
        <v>84794</v>
      </c>
      <c r="O579" s="302">
        <v>0</v>
      </c>
      <c r="P579" s="232">
        <v>0</v>
      </c>
      <c r="Q579" s="232">
        <v>84794</v>
      </c>
      <c r="R579" s="232"/>
      <c r="S579" s="394">
        <v>25606</v>
      </c>
      <c r="T579" s="232">
        <v>9192</v>
      </c>
      <c r="U579" s="398">
        <v>34798</v>
      </c>
      <c r="V579" s="232"/>
      <c r="W579" s="398">
        <v>230392</v>
      </c>
      <c r="X579" s="398">
        <v>-81408</v>
      </c>
      <c r="Y579" s="398"/>
      <c r="Z579" s="398"/>
    </row>
    <row r="580" spans="1:26">
      <c r="A580" s="392">
        <v>96310</v>
      </c>
      <c r="B580" s="393" t="s">
        <v>1284</v>
      </c>
      <c r="C580" s="235">
        <v>5.6700000000000003E-5</v>
      </c>
      <c r="D580" s="235">
        <v>4.5300000000000003E-5</v>
      </c>
      <c r="E580" s="232">
        <v>86955</v>
      </c>
      <c r="F580" s="232" t="s">
        <v>1930</v>
      </c>
      <c r="G580" s="394">
        <v>27663</v>
      </c>
      <c r="H580" s="394">
        <v>0</v>
      </c>
      <c r="I580" s="394">
        <v>54630</v>
      </c>
      <c r="J580" s="232">
        <v>30613</v>
      </c>
      <c r="K580" s="232">
        <v>112906</v>
      </c>
      <c r="L580" s="232"/>
      <c r="M580" s="302">
        <v>0</v>
      </c>
      <c r="N580" s="302">
        <v>124232</v>
      </c>
      <c r="O580" s="302">
        <v>0</v>
      </c>
      <c r="P580" s="232">
        <v>1309</v>
      </c>
      <c r="Q580" s="232">
        <v>125541</v>
      </c>
      <c r="R580" s="232"/>
      <c r="S580" s="394">
        <v>37515</v>
      </c>
      <c r="T580" s="232">
        <v>11672</v>
      </c>
      <c r="U580" s="398">
        <v>49187</v>
      </c>
      <c r="V580" s="232"/>
      <c r="W580" s="398">
        <v>337552</v>
      </c>
      <c r="X580" s="398">
        <v>-119273</v>
      </c>
      <c r="Y580" s="398"/>
      <c r="Z580" s="398"/>
    </row>
    <row r="581" spans="1:26">
      <c r="A581" s="392">
        <v>96311</v>
      </c>
      <c r="B581" s="393" t="s">
        <v>1285</v>
      </c>
      <c r="C581" s="235">
        <v>1.3083000000000001E-3</v>
      </c>
      <c r="D581" s="235">
        <v>1.3810000000000001E-3</v>
      </c>
      <c r="E581" s="232">
        <v>2006404</v>
      </c>
      <c r="F581" s="232" t="s">
        <v>1930</v>
      </c>
      <c r="G581" s="394">
        <v>638309</v>
      </c>
      <c r="H581" s="394">
        <v>0</v>
      </c>
      <c r="I581" s="394">
        <v>1260534</v>
      </c>
      <c r="J581" s="232">
        <v>45287</v>
      </c>
      <c r="K581" s="232">
        <v>1944130</v>
      </c>
      <c r="L581" s="232"/>
      <c r="M581" s="302">
        <v>0</v>
      </c>
      <c r="N581" s="302">
        <v>2866548</v>
      </c>
      <c r="O581" s="302">
        <v>0</v>
      </c>
      <c r="P581" s="232">
        <v>173973</v>
      </c>
      <c r="Q581" s="232">
        <v>3040521</v>
      </c>
      <c r="R581" s="232"/>
      <c r="S581" s="394">
        <v>865626</v>
      </c>
      <c r="T581" s="232">
        <v>-59544</v>
      </c>
      <c r="U581" s="398">
        <v>806082</v>
      </c>
      <c r="V581" s="232"/>
      <c r="W581" s="398">
        <v>7788692</v>
      </c>
      <c r="X581" s="398">
        <v>-2752110</v>
      </c>
      <c r="Y581" s="398"/>
      <c r="Z581" s="398"/>
    </row>
    <row r="582" spans="1:26">
      <c r="A582" s="392">
        <v>96312</v>
      </c>
      <c r="B582" s="393" t="s">
        <v>1286</v>
      </c>
      <c r="C582" s="235">
        <v>8.6000000000000007E-6</v>
      </c>
      <c r="D582" s="235">
        <v>1.7799999999999999E-5</v>
      </c>
      <c r="E582" s="232">
        <v>13189</v>
      </c>
      <c r="F582" s="232" t="s">
        <v>1930</v>
      </c>
      <c r="G582" s="394">
        <v>4196</v>
      </c>
      <c r="H582" s="394">
        <v>0</v>
      </c>
      <c r="I582" s="394">
        <v>8286</v>
      </c>
      <c r="J582" s="232">
        <v>7864</v>
      </c>
      <c r="K582" s="232">
        <v>20346</v>
      </c>
      <c r="L582" s="232"/>
      <c r="M582" s="302">
        <v>0</v>
      </c>
      <c r="N582" s="302">
        <v>18843</v>
      </c>
      <c r="O582" s="302">
        <v>0</v>
      </c>
      <c r="P582" s="232">
        <v>18439</v>
      </c>
      <c r="Q582" s="232">
        <v>37282</v>
      </c>
      <c r="R582" s="232"/>
      <c r="S582" s="394">
        <v>5690</v>
      </c>
      <c r="T582" s="232">
        <v>-1422</v>
      </c>
      <c r="U582" s="398">
        <v>4268</v>
      </c>
      <c r="V582" s="232"/>
      <c r="W582" s="398">
        <v>51198</v>
      </c>
      <c r="X582" s="398">
        <v>-18091</v>
      </c>
      <c r="Y582" s="398"/>
      <c r="Z582" s="398"/>
    </row>
    <row r="583" spans="1:26">
      <c r="A583" s="392">
        <v>96318</v>
      </c>
      <c r="B583" s="393" t="s">
        <v>1287</v>
      </c>
      <c r="C583" s="235">
        <v>2.3858E-3</v>
      </c>
      <c r="D583" s="235">
        <v>2.3511999999999999E-3</v>
      </c>
      <c r="E583" s="232">
        <v>3658853</v>
      </c>
      <c r="F583" s="232" t="s">
        <v>1930</v>
      </c>
      <c r="G583" s="394">
        <v>1164013</v>
      </c>
      <c r="H583" s="394">
        <v>0</v>
      </c>
      <c r="I583" s="394">
        <v>2298694</v>
      </c>
      <c r="J583" s="232">
        <v>373702</v>
      </c>
      <c r="K583" s="232">
        <v>3836409</v>
      </c>
      <c r="L583" s="232"/>
      <c r="M583" s="302">
        <v>0</v>
      </c>
      <c r="N583" s="302">
        <v>5227402</v>
      </c>
      <c r="O583" s="302">
        <v>0</v>
      </c>
      <c r="P583" s="232">
        <v>0</v>
      </c>
      <c r="Q583" s="232">
        <v>5227402</v>
      </c>
      <c r="R583" s="232"/>
      <c r="S583" s="394">
        <v>1578545</v>
      </c>
      <c r="T583" s="232">
        <v>258942</v>
      </c>
      <c r="U583" s="398">
        <v>1837487</v>
      </c>
      <c r="V583" s="232"/>
      <c r="W583" s="398">
        <v>14203364</v>
      </c>
      <c r="X583" s="398">
        <v>-5018714</v>
      </c>
      <c r="Y583" s="398"/>
      <c r="Z583" s="398"/>
    </row>
    <row r="584" spans="1:26">
      <c r="A584" s="392">
        <v>96321</v>
      </c>
      <c r="B584" s="393" t="s">
        <v>1288</v>
      </c>
      <c r="C584" s="235">
        <v>4.2299999999999998E-5</v>
      </c>
      <c r="D584" s="235">
        <v>5.0000000000000002E-5</v>
      </c>
      <c r="E584" s="232">
        <v>64871</v>
      </c>
      <c r="F584" s="232" t="s">
        <v>1930</v>
      </c>
      <c r="G584" s="394">
        <v>20638</v>
      </c>
      <c r="H584" s="394">
        <v>0</v>
      </c>
      <c r="I584" s="394">
        <v>40756</v>
      </c>
      <c r="J584" s="232">
        <v>8788</v>
      </c>
      <c r="K584" s="232">
        <v>70182</v>
      </c>
      <c r="L584" s="232"/>
      <c r="M584" s="302">
        <v>0</v>
      </c>
      <c r="N584" s="302">
        <v>92681</v>
      </c>
      <c r="O584" s="302">
        <v>0</v>
      </c>
      <c r="P584" s="232">
        <v>14809</v>
      </c>
      <c r="Q584" s="232">
        <v>107490</v>
      </c>
      <c r="R584" s="232"/>
      <c r="S584" s="394">
        <v>27987</v>
      </c>
      <c r="T584" s="232">
        <v>-148</v>
      </c>
      <c r="U584" s="398">
        <v>27839</v>
      </c>
      <c r="V584" s="232"/>
      <c r="W584" s="398">
        <v>251824</v>
      </c>
      <c r="X584" s="398">
        <v>-88981</v>
      </c>
      <c r="Y584" s="398"/>
      <c r="Z584" s="398"/>
    </row>
    <row r="585" spans="1:26">
      <c r="A585" s="392">
        <v>96331</v>
      </c>
      <c r="B585" s="393" t="s">
        <v>1289</v>
      </c>
      <c r="C585" s="235">
        <v>6.6549999999999997E-4</v>
      </c>
      <c r="D585" s="235">
        <v>6.9510000000000004E-4</v>
      </c>
      <c r="E585" s="232">
        <v>1020608</v>
      </c>
      <c r="F585" s="232" t="s">
        <v>1930</v>
      </c>
      <c r="G585" s="394">
        <v>324692</v>
      </c>
      <c r="H585" s="394">
        <v>0</v>
      </c>
      <c r="I585" s="394">
        <v>641203</v>
      </c>
      <c r="J585" s="232">
        <v>0</v>
      </c>
      <c r="K585" s="232">
        <v>965895</v>
      </c>
      <c r="L585" s="232"/>
      <c r="M585" s="302">
        <v>0</v>
      </c>
      <c r="N585" s="302">
        <v>1458142</v>
      </c>
      <c r="O585" s="302">
        <v>0</v>
      </c>
      <c r="P585" s="232">
        <v>136949</v>
      </c>
      <c r="Q585" s="232">
        <v>1595091</v>
      </c>
      <c r="R585" s="232"/>
      <c r="S585" s="394">
        <v>440323</v>
      </c>
      <c r="T585" s="232">
        <v>-64233</v>
      </c>
      <c r="U585" s="398">
        <v>376090</v>
      </c>
      <c r="V585" s="232"/>
      <c r="W585" s="398">
        <v>3961916</v>
      </c>
      <c r="X585" s="398">
        <v>-1399930</v>
      </c>
      <c r="Y585" s="398"/>
      <c r="Z585" s="398"/>
    </row>
    <row r="586" spans="1:26">
      <c r="A586" s="392">
        <v>96341</v>
      </c>
      <c r="B586" s="393" t="s">
        <v>1290</v>
      </c>
      <c r="C586" s="235">
        <v>7.8499999999999997E-5</v>
      </c>
      <c r="D586" s="235">
        <v>5.9599999999999999E-5</v>
      </c>
      <c r="E586" s="232">
        <v>120387</v>
      </c>
      <c r="F586" s="232" t="s">
        <v>1930</v>
      </c>
      <c r="G586" s="394">
        <v>38300</v>
      </c>
      <c r="H586" s="394">
        <v>0</v>
      </c>
      <c r="I586" s="394">
        <v>75634</v>
      </c>
      <c r="J586" s="232">
        <v>26130</v>
      </c>
      <c r="K586" s="232">
        <v>140064</v>
      </c>
      <c r="L586" s="232"/>
      <c r="M586" s="302">
        <v>0</v>
      </c>
      <c r="N586" s="302">
        <v>171997</v>
      </c>
      <c r="O586" s="302">
        <v>0</v>
      </c>
      <c r="P586" s="232">
        <v>19457</v>
      </c>
      <c r="Q586" s="232">
        <v>191454</v>
      </c>
      <c r="R586" s="232"/>
      <c r="S586" s="394">
        <v>51939</v>
      </c>
      <c r="T586" s="232">
        <v>-2483</v>
      </c>
      <c r="U586" s="398">
        <v>49456</v>
      </c>
      <c r="V586" s="232"/>
      <c r="W586" s="398">
        <v>467333</v>
      </c>
      <c r="X586" s="398">
        <v>-165131</v>
      </c>
      <c r="Y586" s="398"/>
      <c r="Z586" s="398"/>
    </row>
    <row r="587" spans="1:26">
      <c r="A587" s="392">
        <v>96351</v>
      </c>
      <c r="B587" s="393" t="s">
        <v>1291</v>
      </c>
      <c r="C587" s="235">
        <v>1.0480000000000001E-3</v>
      </c>
      <c r="D587" s="235">
        <v>1.0456E-3</v>
      </c>
      <c r="E587" s="232">
        <v>1607209</v>
      </c>
      <c r="F587" s="232" t="s">
        <v>1930</v>
      </c>
      <c r="G587" s="394">
        <v>511311</v>
      </c>
      <c r="H587" s="394">
        <v>0</v>
      </c>
      <c r="I587" s="394">
        <v>1009738</v>
      </c>
      <c r="J587" s="232">
        <v>32597</v>
      </c>
      <c r="K587" s="232">
        <v>1553646</v>
      </c>
      <c r="L587" s="232"/>
      <c r="M587" s="302">
        <v>0</v>
      </c>
      <c r="N587" s="302">
        <v>2296218</v>
      </c>
      <c r="O587" s="302">
        <v>0</v>
      </c>
      <c r="P587" s="232">
        <v>20343</v>
      </c>
      <c r="Q587" s="232">
        <v>2316561</v>
      </c>
      <c r="R587" s="232"/>
      <c r="S587" s="394">
        <v>693401</v>
      </c>
      <c r="T587" s="232">
        <v>3125</v>
      </c>
      <c r="U587" s="398">
        <v>696526</v>
      </c>
      <c r="V587" s="232"/>
      <c r="W587" s="398">
        <v>6239050</v>
      </c>
      <c r="X587" s="398">
        <v>-2204549</v>
      </c>
      <c r="Y587" s="398"/>
      <c r="Z587" s="398"/>
    </row>
    <row r="588" spans="1:26">
      <c r="A588" s="392">
        <v>96361</v>
      </c>
      <c r="B588" s="393" t="s">
        <v>1292</v>
      </c>
      <c r="C588" s="235">
        <v>4.5000000000000003E-5</v>
      </c>
      <c r="D588" s="235">
        <v>4.7299999999999998E-5</v>
      </c>
      <c r="E588" s="232">
        <v>69012</v>
      </c>
      <c r="F588" s="232" t="s">
        <v>1930</v>
      </c>
      <c r="G588" s="394">
        <v>21955</v>
      </c>
      <c r="H588" s="394">
        <v>0</v>
      </c>
      <c r="I588" s="394">
        <v>43357</v>
      </c>
      <c r="J588" s="232">
        <v>5803</v>
      </c>
      <c r="K588" s="232">
        <v>71115</v>
      </c>
      <c r="L588" s="232"/>
      <c r="M588" s="302">
        <v>0</v>
      </c>
      <c r="N588" s="302">
        <v>98597</v>
      </c>
      <c r="O588" s="302">
        <v>0</v>
      </c>
      <c r="P588" s="232">
        <v>5337</v>
      </c>
      <c r="Q588" s="232">
        <v>103934</v>
      </c>
      <c r="R588" s="232"/>
      <c r="S588" s="394">
        <v>29774</v>
      </c>
      <c r="T588" s="232">
        <v>-531</v>
      </c>
      <c r="U588" s="398">
        <v>29243</v>
      </c>
      <c r="V588" s="232"/>
      <c r="W588" s="398">
        <v>267898</v>
      </c>
      <c r="X588" s="398">
        <v>-94661</v>
      </c>
      <c r="Y588" s="398"/>
      <c r="Z588" s="398"/>
    </row>
    <row r="589" spans="1:26">
      <c r="A589" s="392">
        <v>96371</v>
      </c>
      <c r="B589" s="393" t="s">
        <v>1293</v>
      </c>
      <c r="C589" s="235">
        <v>1.384E-4</v>
      </c>
      <c r="D589" s="235">
        <v>1.5330000000000001E-4</v>
      </c>
      <c r="E589" s="232">
        <v>212250</v>
      </c>
      <c r="F589" s="232" t="s">
        <v>1930</v>
      </c>
      <c r="G589" s="394">
        <v>67524</v>
      </c>
      <c r="H589" s="394">
        <v>0</v>
      </c>
      <c r="I589" s="394">
        <v>133347</v>
      </c>
      <c r="J589" s="232">
        <v>7700</v>
      </c>
      <c r="K589" s="232">
        <v>208571</v>
      </c>
      <c r="L589" s="232"/>
      <c r="M589" s="302">
        <v>0</v>
      </c>
      <c r="N589" s="302">
        <v>303241</v>
      </c>
      <c r="O589" s="302">
        <v>0</v>
      </c>
      <c r="P589" s="232">
        <v>23194</v>
      </c>
      <c r="Q589" s="232">
        <v>326435</v>
      </c>
      <c r="R589" s="232"/>
      <c r="S589" s="394">
        <v>91571</v>
      </c>
      <c r="T589" s="232">
        <v>-7225</v>
      </c>
      <c r="U589" s="398">
        <v>84346</v>
      </c>
      <c r="V589" s="232"/>
      <c r="W589" s="398">
        <v>823936</v>
      </c>
      <c r="X589" s="398">
        <v>-291135</v>
      </c>
      <c r="Y589" s="398"/>
      <c r="Z589" s="398"/>
    </row>
    <row r="590" spans="1:26">
      <c r="A590" s="392">
        <v>96381</v>
      </c>
      <c r="B590" s="393" t="s">
        <v>1294</v>
      </c>
      <c r="C590" s="235">
        <v>2.4300000000000001E-5</v>
      </c>
      <c r="D590" s="235">
        <v>3.0700000000000001E-5</v>
      </c>
      <c r="E590" s="232">
        <v>37266</v>
      </c>
      <c r="F590" s="232" t="s">
        <v>1930</v>
      </c>
      <c r="G590" s="394">
        <v>11856</v>
      </c>
      <c r="H590" s="394">
        <v>0</v>
      </c>
      <c r="I590" s="394">
        <v>23413</v>
      </c>
      <c r="J590" s="232">
        <v>386</v>
      </c>
      <c r="K590" s="232">
        <v>35655</v>
      </c>
      <c r="L590" s="232"/>
      <c r="M590" s="302">
        <v>0</v>
      </c>
      <c r="N590" s="302">
        <v>53242</v>
      </c>
      <c r="O590" s="302">
        <v>0</v>
      </c>
      <c r="P590" s="232">
        <v>8854</v>
      </c>
      <c r="Q590" s="232">
        <v>62096</v>
      </c>
      <c r="R590" s="232"/>
      <c r="S590" s="394">
        <v>16078</v>
      </c>
      <c r="T590" s="232">
        <v>-2867</v>
      </c>
      <c r="U590" s="398">
        <v>13211</v>
      </c>
      <c r="V590" s="232"/>
      <c r="W590" s="398">
        <v>144665</v>
      </c>
      <c r="X590" s="398">
        <v>-51117</v>
      </c>
      <c r="Y590" s="398"/>
      <c r="Z590" s="398"/>
    </row>
    <row r="591" spans="1:26">
      <c r="A591" s="392">
        <v>96391</v>
      </c>
      <c r="B591" s="393" t="s">
        <v>1295</v>
      </c>
      <c r="C591" s="235">
        <v>1.696E-4</v>
      </c>
      <c r="D591" s="235">
        <v>2.14E-4</v>
      </c>
      <c r="E591" s="232">
        <v>260098</v>
      </c>
      <c r="F591" s="232" t="s">
        <v>1930</v>
      </c>
      <c r="G591" s="394">
        <v>82746</v>
      </c>
      <c r="H591" s="394">
        <v>0</v>
      </c>
      <c r="I591" s="394">
        <v>163408</v>
      </c>
      <c r="J591" s="232">
        <v>0</v>
      </c>
      <c r="K591" s="232">
        <v>246154</v>
      </c>
      <c r="L591" s="232"/>
      <c r="M591" s="302">
        <v>0</v>
      </c>
      <c r="N591" s="302">
        <v>371602</v>
      </c>
      <c r="O591" s="302">
        <v>0</v>
      </c>
      <c r="P591" s="232">
        <v>108129</v>
      </c>
      <c r="Q591" s="232">
        <v>479731</v>
      </c>
      <c r="R591" s="232"/>
      <c r="S591" s="394">
        <v>112214</v>
      </c>
      <c r="T591" s="232">
        <v>-40985</v>
      </c>
      <c r="U591" s="398">
        <v>71229</v>
      </c>
      <c r="V591" s="232"/>
      <c r="W591" s="398">
        <v>1009678</v>
      </c>
      <c r="X591" s="398">
        <v>-356767</v>
      </c>
      <c r="Y591" s="398"/>
      <c r="Z591" s="398"/>
    </row>
    <row r="592" spans="1:26">
      <c r="A592" s="392">
        <v>96401</v>
      </c>
      <c r="B592" s="393" t="s">
        <v>1296</v>
      </c>
      <c r="C592" s="235">
        <v>4.0784000000000003E-3</v>
      </c>
      <c r="D592" s="235">
        <v>4.3227999999999999E-3</v>
      </c>
      <c r="E592" s="232">
        <v>6254618</v>
      </c>
      <c r="F592" s="232" t="s">
        <v>1930</v>
      </c>
      <c r="G592" s="394">
        <v>1989819</v>
      </c>
      <c r="H592" s="394">
        <v>0</v>
      </c>
      <c r="I592" s="394">
        <v>3929498</v>
      </c>
      <c r="J592" s="232">
        <v>0</v>
      </c>
      <c r="K592" s="232">
        <v>5919317</v>
      </c>
      <c r="L592" s="232"/>
      <c r="M592" s="302">
        <v>0</v>
      </c>
      <c r="N592" s="302">
        <v>8935970</v>
      </c>
      <c r="O592" s="302">
        <v>0</v>
      </c>
      <c r="P592" s="232">
        <v>394198</v>
      </c>
      <c r="Q592" s="232">
        <v>9330168</v>
      </c>
      <c r="R592" s="232"/>
      <c r="S592" s="394">
        <v>2698441</v>
      </c>
      <c r="T592" s="232">
        <v>-172456</v>
      </c>
      <c r="U592" s="398">
        <v>2525985</v>
      </c>
      <c r="V592" s="232"/>
      <c r="W592" s="398">
        <v>24279906</v>
      </c>
      <c r="X592" s="398">
        <v>-8579228</v>
      </c>
      <c r="Y592" s="398"/>
      <c r="Z592" s="398"/>
    </row>
    <row r="593" spans="1:26">
      <c r="A593" s="392">
        <v>96404</v>
      </c>
      <c r="B593" s="393" t="s">
        <v>1297</v>
      </c>
      <c r="C593" s="235">
        <v>1.032E-4</v>
      </c>
      <c r="D593" s="235">
        <v>9.4300000000000002E-5</v>
      </c>
      <c r="E593" s="232">
        <v>158267</v>
      </c>
      <c r="F593" s="232" t="s">
        <v>1930</v>
      </c>
      <c r="G593" s="394">
        <v>50350</v>
      </c>
      <c r="H593" s="394">
        <v>0</v>
      </c>
      <c r="I593" s="394">
        <v>99432</v>
      </c>
      <c r="J593" s="232">
        <v>45633</v>
      </c>
      <c r="K593" s="232">
        <v>195415</v>
      </c>
      <c r="L593" s="232"/>
      <c r="M593" s="302">
        <v>0</v>
      </c>
      <c r="N593" s="302">
        <v>226116</v>
      </c>
      <c r="O593" s="302">
        <v>0</v>
      </c>
      <c r="P593" s="232">
        <v>0</v>
      </c>
      <c r="Q593" s="232">
        <v>226116</v>
      </c>
      <c r="R593" s="232"/>
      <c r="S593" s="394">
        <v>68281</v>
      </c>
      <c r="T593" s="232">
        <v>21535</v>
      </c>
      <c r="U593" s="398">
        <v>89816</v>
      </c>
      <c r="V593" s="232"/>
      <c r="W593" s="398">
        <v>614380</v>
      </c>
      <c r="X593" s="398">
        <v>-217089</v>
      </c>
      <c r="Y593" s="398"/>
      <c r="Z593" s="398"/>
    </row>
    <row r="594" spans="1:26">
      <c r="A594" s="392">
        <v>96405</v>
      </c>
      <c r="B594" s="393" t="s">
        <v>1298</v>
      </c>
      <c r="C594" s="235">
        <v>1.3880000000000001E-4</v>
      </c>
      <c r="D594" s="235">
        <v>1.2889999999999999E-4</v>
      </c>
      <c r="E594" s="232">
        <v>212863</v>
      </c>
      <c r="F594" s="232" t="s">
        <v>1930</v>
      </c>
      <c r="G594" s="394">
        <v>67719</v>
      </c>
      <c r="H594" s="394">
        <v>0</v>
      </c>
      <c r="I594" s="394">
        <v>133732</v>
      </c>
      <c r="J594" s="232">
        <v>43598</v>
      </c>
      <c r="K594" s="232">
        <v>245049</v>
      </c>
      <c r="L594" s="232"/>
      <c r="M594" s="302">
        <v>0</v>
      </c>
      <c r="N594" s="302">
        <v>304117</v>
      </c>
      <c r="O594" s="302">
        <v>0</v>
      </c>
      <c r="P594" s="232">
        <v>9856</v>
      </c>
      <c r="Q594" s="232">
        <v>313973</v>
      </c>
      <c r="R594" s="232"/>
      <c r="S594" s="394">
        <v>91836</v>
      </c>
      <c r="T594" s="232">
        <v>11422</v>
      </c>
      <c r="U594" s="398">
        <v>103258</v>
      </c>
      <c r="V594" s="232"/>
      <c r="W594" s="398">
        <v>826317</v>
      </c>
      <c r="X594" s="398">
        <v>-291976</v>
      </c>
      <c r="Y594" s="398"/>
      <c r="Z594" s="398"/>
    </row>
    <row r="595" spans="1:26">
      <c r="A595" s="392">
        <v>96411</v>
      </c>
      <c r="B595" s="393" t="s">
        <v>1299</v>
      </c>
      <c r="C595" s="235">
        <v>6.8200000000000004E-5</v>
      </c>
      <c r="D595" s="235">
        <v>6.8200000000000004E-5</v>
      </c>
      <c r="E595" s="232">
        <v>104591</v>
      </c>
      <c r="F595" s="232" t="s">
        <v>1930</v>
      </c>
      <c r="G595" s="394">
        <v>33274</v>
      </c>
      <c r="H595" s="394">
        <v>0</v>
      </c>
      <c r="I595" s="394">
        <v>65710</v>
      </c>
      <c r="J595" s="232">
        <v>0</v>
      </c>
      <c r="K595" s="232">
        <v>98984</v>
      </c>
      <c r="L595" s="232"/>
      <c r="M595" s="302">
        <v>0</v>
      </c>
      <c r="N595" s="302">
        <v>149429</v>
      </c>
      <c r="O595" s="302">
        <v>0</v>
      </c>
      <c r="P595" s="232">
        <v>11814</v>
      </c>
      <c r="Q595" s="232">
        <v>161243</v>
      </c>
      <c r="R595" s="232"/>
      <c r="S595" s="394">
        <v>45124</v>
      </c>
      <c r="T595" s="232">
        <v>-3869</v>
      </c>
      <c r="U595" s="398">
        <v>41255</v>
      </c>
      <c r="V595" s="232"/>
      <c r="W595" s="398">
        <v>406015</v>
      </c>
      <c r="X595" s="398">
        <v>-143464</v>
      </c>
      <c r="Y595" s="398"/>
      <c r="Z595" s="398"/>
    </row>
    <row r="596" spans="1:26">
      <c r="A596" s="392">
        <v>96421</v>
      </c>
      <c r="B596" s="393" t="s">
        <v>1300</v>
      </c>
      <c r="C596" s="235">
        <v>4.5800000000000002E-4</v>
      </c>
      <c r="D596" s="235">
        <v>4.2299999999999998E-4</v>
      </c>
      <c r="E596" s="232">
        <v>702387</v>
      </c>
      <c r="F596" s="232" t="s">
        <v>1930</v>
      </c>
      <c r="G596" s="394">
        <v>223455</v>
      </c>
      <c r="H596" s="394">
        <v>0</v>
      </c>
      <c r="I596" s="394">
        <v>441278</v>
      </c>
      <c r="J596" s="232">
        <v>33645</v>
      </c>
      <c r="K596" s="232">
        <v>698378</v>
      </c>
      <c r="L596" s="232"/>
      <c r="M596" s="302">
        <v>0</v>
      </c>
      <c r="N596" s="302">
        <v>1003500</v>
      </c>
      <c r="O596" s="302">
        <v>0</v>
      </c>
      <c r="P596" s="232">
        <v>32957</v>
      </c>
      <c r="Q596" s="232">
        <v>1036457</v>
      </c>
      <c r="R596" s="232"/>
      <c r="S596" s="394">
        <v>303032</v>
      </c>
      <c r="T596" s="232">
        <v>-10878</v>
      </c>
      <c r="U596" s="398">
        <v>292154</v>
      </c>
      <c r="V596" s="232"/>
      <c r="W596" s="398">
        <v>2726608</v>
      </c>
      <c r="X596" s="398">
        <v>-963438</v>
      </c>
      <c r="Y596" s="398"/>
      <c r="Z596" s="398"/>
    </row>
    <row r="597" spans="1:26">
      <c r="A597" s="392">
        <v>96431</v>
      </c>
      <c r="B597" s="393" t="s">
        <v>1301</v>
      </c>
      <c r="C597" s="235">
        <v>4.4400000000000002E-5</v>
      </c>
      <c r="D597" s="235">
        <v>4.85E-5</v>
      </c>
      <c r="E597" s="232">
        <v>68092</v>
      </c>
      <c r="F597" s="232" t="s">
        <v>1930</v>
      </c>
      <c r="G597" s="394">
        <v>21662</v>
      </c>
      <c r="H597" s="394">
        <v>0</v>
      </c>
      <c r="I597" s="394">
        <v>42779</v>
      </c>
      <c r="J597" s="232">
        <v>18843</v>
      </c>
      <c r="K597" s="232">
        <v>83284</v>
      </c>
      <c r="L597" s="232"/>
      <c r="M597" s="302">
        <v>0</v>
      </c>
      <c r="N597" s="302">
        <v>97283</v>
      </c>
      <c r="O597" s="302">
        <v>0</v>
      </c>
      <c r="P597" s="232">
        <v>2077</v>
      </c>
      <c r="Q597" s="232">
        <v>99360</v>
      </c>
      <c r="R597" s="232"/>
      <c r="S597" s="394">
        <v>29377</v>
      </c>
      <c r="T597" s="232">
        <v>6289</v>
      </c>
      <c r="U597" s="398">
        <v>35666</v>
      </c>
      <c r="V597" s="232"/>
      <c r="W597" s="398">
        <v>264326</v>
      </c>
      <c r="X597" s="398">
        <v>-93399</v>
      </c>
      <c r="Y597" s="398"/>
      <c r="Z597" s="398"/>
    </row>
    <row r="598" spans="1:26">
      <c r="A598" s="392">
        <v>96441</v>
      </c>
      <c r="B598" s="393" t="s">
        <v>1302</v>
      </c>
      <c r="C598" s="235">
        <v>2.97E-5</v>
      </c>
      <c r="D598" s="235">
        <v>2.9300000000000001E-5</v>
      </c>
      <c r="E598" s="232">
        <v>45548</v>
      </c>
      <c r="F598" s="232" t="s">
        <v>1930</v>
      </c>
      <c r="G598" s="394">
        <v>14490</v>
      </c>
      <c r="H598" s="394">
        <v>0</v>
      </c>
      <c r="I598" s="394">
        <v>28616</v>
      </c>
      <c r="J598" s="232">
        <v>9105</v>
      </c>
      <c r="K598" s="232">
        <v>52211</v>
      </c>
      <c r="L598" s="232"/>
      <c r="M598" s="302">
        <v>0</v>
      </c>
      <c r="N598" s="302">
        <v>65074</v>
      </c>
      <c r="O598" s="302">
        <v>0</v>
      </c>
      <c r="P598" s="232">
        <v>1999</v>
      </c>
      <c r="Q598" s="232">
        <v>67073</v>
      </c>
      <c r="R598" s="232"/>
      <c r="S598" s="394">
        <v>19651</v>
      </c>
      <c r="T598" s="232">
        <v>4268</v>
      </c>
      <c r="U598" s="398">
        <v>23919</v>
      </c>
      <c r="V598" s="232"/>
      <c r="W598" s="398">
        <v>176813</v>
      </c>
      <c r="X598" s="398">
        <v>-62476</v>
      </c>
      <c r="Y598" s="398"/>
      <c r="Z598" s="398"/>
    </row>
    <row r="599" spans="1:26">
      <c r="A599" s="392">
        <v>96451</v>
      </c>
      <c r="B599" s="393" t="s">
        <v>1303</v>
      </c>
      <c r="C599" s="235">
        <v>1.2300000000000001E-5</v>
      </c>
      <c r="D599" s="235">
        <v>1.31E-5</v>
      </c>
      <c r="E599" s="232">
        <v>18863</v>
      </c>
      <c r="F599" s="232" t="s">
        <v>1930</v>
      </c>
      <c r="G599" s="394">
        <v>6001</v>
      </c>
      <c r="H599" s="394">
        <v>0</v>
      </c>
      <c r="I599" s="394">
        <v>11851</v>
      </c>
      <c r="J599" s="232">
        <v>6747</v>
      </c>
      <c r="K599" s="232">
        <v>24599</v>
      </c>
      <c r="L599" s="232"/>
      <c r="M599" s="302">
        <v>0</v>
      </c>
      <c r="N599" s="302">
        <v>26950</v>
      </c>
      <c r="O599" s="302">
        <v>0</v>
      </c>
      <c r="P599" s="232">
        <v>3867</v>
      </c>
      <c r="Q599" s="232">
        <v>30817</v>
      </c>
      <c r="R599" s="232"/>
      <c r="S599" s="394">
        <v>8138</v>
      </c>
      <c r="T599" s="232">
        <v>2229</v>
      </c>
      <c r="U599" s="398">
        <v>10367</v>
      </c>
      <c r="V599" s="232"/>
      <c r="W599" s="398">
        <v>73225</v>
      </c>
      <c r="X599" s="398">
        <v>-25874</v>
      </c>
      <c r="Y599" s="398"/>
      <c r="Z599" s="398"/>
    </row>
    <row r="600" spans="1:26">
      <c r="A600" s="392">
        <v>96461</v>
      </c>
      <c r="B600" s="393" t="s">
        <v>1304</v>
      </c>
      <c r="C600" s="235">
        <v>1.5970000000000001E-4</v>
      </c>
      <c r="D600" s="235">
        <v>1.294E-4</v>
      </c>
      <c r="E600" s="232">
        <v>244915</v>
      </c>
      <c r="F600" s="232" t="s">
        <v>1930</v>
      </c>
      <c r="G600" s="394">
        <v>77916</v>
      </c>
      <c r="H600" s="394">
        <v>0</v>
      </c>
      <c r="I600" s="394">
        <v>153869</v>
      </c>
      <c r="J600" s="232">
        <v>47715</v>
      </c>
      <c r="K600" s="232">
        <v>279500</v>
      </c>
      <c r="L600" s="232"/>
      <c r="M600" s="302">
        <v>0</v>
      </c>
      <c r="N600" s="302">
        <v>349910</v>
      </c>
      <c r="O600" s="302">
        <v>0</v>
      </c>
      <c r="P600" s="232">
        <v>17768</v>
      </c>
      <c r="Q600" s="232">
        <v>367678</v>
      </c>
      <c r="R600" s="232"/>
      <c r="S600" s="394">
        <v>105664</v>
      </c>
      <c r="T600" s="232">
        <v>9327</v>
      </c>
      <c r="U600" s="398">
        <v>114991</v>
      </c>
      <c r="V600" s="232"/>
      <c r="W600" s="398">
        <v>950741</v>
      </c>
      <c r="X600" s="398">
        <v>-335941</v>
      </c>
      <c r="Y600" s="398"/>
      <c r="Z600" s="398"/>
    </row>
    <row r="601" spans="1:26">
      <c r="A601" s="392">
        <v>96501</v>
      </c>
      <c r="B601" s="393" t="s">
        <v>1305</v>
      </c>
      <c r="C601" s="235">
        <v>1.42842E-2</v>
      </c>
      <c r="D601" s="235">
        <v>1.4739800000000001E-2</v>
      </c>
      <c r="E601" s="232">
        <v>21906192</v>
      </c>
      <c r="F601" s="232" t="s">
        <v>1930</v>
      </c>
      <c r="G601" s="394">
        <v>6969147</v>
      </c>
      <c r="H601" s="394">
        <v>0</v>
      </c>
      <c r="I601" s="394">
        <v>13762684</v>
      </c>
      <c r="J601" s="232">
        <v>117426</v>
      </c>
      <c r="K601" s="232">
        <v>20849257</v>
      </c>
      <c r="L601" s="232"/>
      <c r="M601" s="302">
        <v>0</v>
      </c>
      <c r="N601" s="302">
        <v>31297368</v>
      </c>
      <c r="O601" s="302">
        <v>0</v>
      </c>
      <c r="P601" s="232">
        <v>810571</v>
      </c>
      <c r="Q601" s="232">
        <v>32107939</v>
      </c>
      <c r="R601" s="232"/>
      <c r="S601" s="394">
        <v>9451027</v>
      </c>
      <c r="T601" s="232">
        <v>-222453</v>
      </c>
      <c r="U601" s="398">
        <v>9228574</v>
      </c>
      <c r="V601" s="232"/>
      <c r="W601" s="398">
        <v>85038014</v>
      </c>
      <c r="X601" s="398">
        <v>-30047915</v>
      </c>
      <c r="Y601" s="398"/>
      <c r="Z601" s="398"/>
    </row>
    <row r="602" spans="1:26">
      <c r="A602" s="392">
        <v>96502</v>
      </c>
      <c r="B602" s="393" t="s">
        <v>1306</v>
      </c>
      <c r="C602" s="235">
        <v>3.366E-4</v>
      </c>
      <c r="D602" s="235">
        <v>3.3369999999999998E-4</v>
      </c>
      <c r="E602" s="232">
        <v>516208</v>
      </c>
      <c r="F602" s="232" t="s">
        <v>1930</v>
      </c>
      <c r="G602" s="394">
        <v>164224</v>
      </c>
      <c r="H602" s="394">
        <v>0</v>
      </c>
      <c r="I602" s="394">
        <v>324311</v>
      </c>
      <c r="J602" s="232">
        <v>35271</v>
      </c>
      <c r="K602" s="232">
        <v>523806</v>
      </c>
      <c r="L602" s="232"/>
      <c r="M602" s="302">
        <v>0</v>
      </c>
      <c r="N602" s="302">
        <v>737507</v>
      </c>
      <c r="O602" s="302">
        <v>0</v>
      </c>
      <c r="P602" s="232">
        <v>48551</v>
      </c>
      <c r="Q602" s="232">
        <v>786058</v>
      </c>
      <c r="R602" s="232"/>
      <c r="S602" s="394">
        <v>222709</v>
      </c>
      <c r="T602" s="232">
        <v>-10474</v>
      </c>
      <c r="U602" s="398">
        <v>212235</v>
      </c>
      <c r="V602" s="232"/>
      <c r="W602" s="398">
        <v>2003878</v>
      </c>
      <c r="X602" s="398">
        <v>-708064</v>
      </c>
      <c r="Y602" s="398"/>
      <c r="Z602" s="398"/>
    </row>
    <row r="603" spans="1:26">
      <c r="A603" s="392">
        <v>96503</v>
      </c>
      <c r="B603" s="393" t="s">
        <v>1945</v>
      </c>
      <c r="C603" s="235">
        <v>2.9750000000000002E-4</v>
      </c>
      <c r="D603" s="235">
        <v>2.81E-4</v>
      </c>
      <c r="E603" s="232">
        <v>456245</v>
      </c>
      <c r="F603" s="232" t="s">
        <v>1930</v>
      </c>
      <c r="G603" s="394">
        <v>145148</v>
      </c>
      <c r="H603" s="394">
        <v>0</v>
      </c>
      <c r="I603" s="394">
        <v>286638</v>
      </c>
      <c r="J603" s="232">
        <v>366514</v>
      </c>
      <c r="K603" s="232">
        <v>798300</v>
      </c>
      <c r="L603" s="232"/>
      <c r="M603" s="302">
        <v>0</v>
      </c>
      <c r="N603" s="302">
        <v>651837</v>
      </c>
      <c r="O603" s="302">
        <v>0</v>
      </c>
      <c r="P603" s="232">
        <v>6344</v>
      </c>
      <c r="Q603" s="232">
        <v>658181</v>
      </c>
      <c r="R603" s="232"/>
      <c r="S603" s="394">
        <v>196838</v>
      </c>
      <c r="T603" s="232">
        <v>182551</v>
      </c>
      <c r="U603" s="398">
        <v>379389</v>
      </c>
      <c r="V603" s="232"/>
      <c r="W603" s="398">
        <v>1771104</v>
      </c>
      <c r="X603" s="398">
        <v>-625814</v>
      </c>
      <c r="Y603" s="398"/>
      <c r="Z603" s="398"/>
    </row>
    <row r="604" spans="1:26">
      <c r="A604" s="392">
        <v>96504</v>
      </c>
      <c r="B604" s="393" t="s">
        <v>1308</v>
      </c>
      <c r="C604" s="235">
        <v>3.7270000000000001E-4</v>
      </c>
      <c r="D604" s="235">
        <v>3.8099999999999999E-4</v>
      </c>
      <c r="E604" s="232">
        <v>571571</v>
      </c>
      <c r="F604" s="232" t="s">
        <v>1930</v>
      </c>
      <c r="G604" s="394">
        <v>181837</v>
      </c>
      <c r="H604" s="394">
        <v>0</v>
      </c>
      <c r="I604" s="394">
        <v>359093</v>
      </c>
      <c r="J604" s="232">
        <v>10232</v>
      </c>
      <c r="K604" s="232">
        <v>551162</v>
      </c>
      <c r="L604" s="232"/>
      <c r="M604" s="302">
        <v>0</v>
      </c>
      <c r="N604" s="302">
        <v>816604</v>
      </c>
      <c r="O604" s="302">
        <v>0</v>
      </c>
      <c r="P604" s="232">
        <v>41903</v>
      </c>
      <c r="Q604" s="232">
        <v>858507</v>
      </c>
      <c r="R604" s="232"/>
      <c r="S604" s="394">
        <v>246594</v>
      </c>
      <c r="T604" s="232">
        <v>-5605</v>
      </c>
      <c r="U604" s="398">
        <v>240989</v>
      </c>
      <c r="V604" s="232"/>
      <c r="W604" s="398">
        <v>2218792</v>
      </c>
      <c r="X604" s="398">
        <v>-784003</v>
      </c>
      <c r="Y604" s="398"/>
      <c r="Z604" s="398"/>
    </row>
    <row r="605" spans="1:26">
      <c r="A605" s="392">
        <v>96507</v>
      </c>
      <c r="B605" s="393" t="s">
        <v>1309</v>
      </c>
      <c r="C605" s="235">
        <v>2.418E-3</v>
      </c>
      <c r="D605" s="235">
        <v>2.2848999999999999E-3</v>
      </c>
      <c r="E605" s="232">
        <v>3708235</v>
      </c>
      <c r="F605" s="232" t="s">
        <v>1930</v>
      </c>
      <c r="G605" s="394">
        <v>1179723</v>
      </c>
      <c r="H605" s="394">
        <v>0</v>
      </c>
      <c r="I605" s="394">
        <v>2329719</v>
      </c>
      <c r="J605" s="232">
        <v>349659</v>
      </c>
      <c r="K605" s="232">
        <v>3859101</v>
      </c>
      <c r="L605" s="232"/>
      <c r="M605" s="302">
        <v>0</v>
      </c>
      <c r="N605" s="302">
        <v>5297954</v>
      </c>
      <c r="O605" s="302">
        <v>0</v>
      </c>
      <c r="P605" s="232">
        <v>0</v>
      </c>
      <c r="Q605" s="232">
        <v>5297954</v>
      </c>
      <c r="R605" s="232"/>
      <c r="S605" s="394">
        <v>1599850</v>
      </c>
      <c r="T605" s="232">
        <v>128496</v>
      </c>
      <c r="U605" s="398">
        <v>1728346</v>
      </c>
      <c r="V605" s="232"/>
      <c r="W605" s="398">
        <v>14395060</v>
      </c>
      <c r="X605" s="398">
        <v>-5086449</v>
      </c>
      <c r="Y605" s="398"/>
      <c r="Z605" s="398"/>
    </row>
    <row r="606" spans="1:26">
      <c r="A606" s="392">
        <v>96508</v>
      </c>
      <c r="B606" s="393" t="s">
        <v>1310</v>
      </c>
      <c r="C606" s="235">
        <v>8.3000000000000002E-6</v>
      </c>
      <c r="D606" s="235">
        <v>2.3999999999999999E-6</v>
      </c>
      <c r="E606" s="232">
        <v>12729</v>
      </c>
      <c r="F606" s="232" t="s">
        <v>1930</v>
      </c>
      <c r="G606" s="394">
        <v>4050</v>
      </c>
      <c r="H606" s="394">
        <v>0</v>
      </c>
      <c r="I606" s="394">
        <v>7997</v>
      </c>
      <c r="J606" s="232">
        <v>24735</v>
      </c>
      <c r="K606" s="232">
        <v>36782</v>
      </c>
      <c r="L606" s="232"/>
      <c r="M606" s="302">
        <v>0</v>
      </c>
      <c r="N606" s="302">
        <v>18186</v>
      </c>
      <c r="O606" s="302">
        <v>0</v>
      </c>
      <c r="P606" s="232">
        <v>0</v>
      </c>
      <c r="Q606" s="232">
        <v>18186</v>
      </c>
      <c r="R606" s="232"/>
      <c r="S606" s="394">
        <v>5492</v>
      </c>
      <c r="T606" s="232">
        <v>11286</v>
      </c>
      <c r="U606" s="398">
        <v>16778</v>
      </c>
      <c r="V606" s="232"/>
      <c r="W606" s="398">
        <v>49412</v>
      </c>
      <c r="X606" s="398">
        <v>-17460</v>
      </c>
      <c r="Y606" s="398"/>
      <c r="Z606" s="398"/>
    </row>
    <row r="607" spans="1:26">
      <c r="A607" s="392">
        <v>96511</v>
      </c>
      <c r="B607" s="393" t="s">
        <v>1311</v>
      </c>
      <c r="C607" s="235">
        <v>5.6360000000000004E-4</v>
      </c>
      <c r="D607" s="235">
        <v>5.5500000000000005E-4</v>
      </c>
      <c r="E607" s="232">
        <v>864335</v>
      </c>
      <c r="F607" s="232" t="s">
        <v>1930</v>
      </c>
      <c r="G607" s="394">
        <v>274976</v>
      </c>
      <c r="H607" s="394">
        <v>0</v>
      </c>
      <c r="I607" s="394">
        <v>543023</v>
      </c>
      <c r="J607" s="232">
        <v>9470</v>
      </c>
      <c r="K607" s="232">
        <v>827469</v>
      </c>
      <c r="L607" s="232"/>
      <c r="M607" s="302">
        <v>0</v>
      </c>
      <c r="N607" s="302">
        <v>1234875</v>
      </c>
      <c r="O607" s="302">
        <v>0</v>
      </c>
      <c r="P607" s="232">
        <v>48615</v>
      </c>
      <c r="Q607" s="232">
        <v>1283490</v>
      </c>
      <c r="R607" s="232"/>
      <c r="S607" s="394">
        <v>372901</v>
      </c>
      <c r="T607" s="232">
        <v>-24307</v>
      </c>
      <c r="U607" s="398">
        <v>348594</v>
      </c>
      <c r="V607" s="232"/>
      <c r="W607" s="398">
        <v>3355275</v>
      </c>
      <c r="X607" s="398">
        <v>-1185576</v>
      </c>
      <c r="Y607" s="398"/>
      <c r="Z607" s="398"/>
    </row>
    <row r="608" spans="1:26">
      <c r="A608" s="392">
        <v>96512</v>
      </c>
      <c r="B608" s="393" t="s">
        <v>1312</v>
      </c>
      <c r="C608" s="235">
        <v>1.3870000000000001E-4</v>
      </c>
      <c r="D608" s="235">
        <v>1.3689999999999999E-4</v>
      </c>
      <c r="E608" s="232">
        <v>212710</v>
      </c>
      <c r="F608" s="232" t="s">
        <v>1930</v>
      </c>
      <c r="G608" s="394">
        <v>67671</v>
      </c>
      <c r="H608" s="394">
        <v>0</v>
      </c>
      <c r="I608" s="394">
        <v>133636</v>
      </c>
      <c r="J608" s="232">
        <v>16270</v>
      </c>
      <c r="K608" s="232">
        <v>217577</v>
      </c>
      <c r="L608" s="232"/>
      <c r="M608" s="302">
        <v>0</v>
      </c>
      <c r="N608" s="302">
        <v>303898</v>
      </c>
      <c r="O608" s="302">
        <v>0</v>
      </c>
      <c r="P608" s="232">
        <v>8517</v>
      </c>
      <c r="Q608" s="232">
        <v>312415</v>
      </c>
      <c r="R608" s="232"/>
      <c r="S608" s="394">
        <v>91770</v>
      </c>
      <c r="T608" s="232">
        <v>-141</v>
      </c>
      <c r="U608" s="398">
        <v>91629</v>
      </c>
      <c r="V608" s="232"/>
      <c r="W608" s="398">
        <v>825722</v>
      </c>
      <c r="X608" s="398">
        <v>-291766</v>
      </c>
      <c r="Y608" s="398"/>
      <c r="Z608" s="398"/>
    </row>
    <row r="609" spans="1:26">
      <c r="A609" s="392">
        <v>96519</v>
      </c>
      <c r="B609" s="393" t="s">
        <v>1619</v>
      </c>
      <c r="C609" s="235">
        <v>0</v>
      </c>
      <c r="D609" s="235">
        <v>0</v>
      </c>
      <c r="E609" s="232">
        <v>0</v>
      </c>
      <c r="F609" s="232">
        <v>0</v>
      </c>
      <c r="G609" s="394">
        <v>0</v>
      </c>
      <c r="H609" s="394">
        <v>0</v>
      </c>
      <c r="I609" s="394">
        <v>0</v>
      </c>
      <c r="J609" s="232">
        <v>0</v>
      </c>
      <c r="K609" s="232">
        <v>0</v>
      </c>
      <c r="L609" s="232">
        <v>0</v>
      </c>
      <c r="M609" s="302">
        <v>0</v>
      </c>
      <c r="N609" s="302">
        <v>0</v>
      </c>
      <c r="O609" s="302">
        <v>0</v>
      </c>
      <c r="P609" s="232">
        <v>0</v>
      </c>
      <c r="Q609" s="232">
        <v>0</v>
      </c>
      <c r="R609" s="232"/>
      <c r="S609" s="232">
        <v>0</v>
      </c>
      <c r="T609" s="232">
        <v>0</v>
      </c>
      <c r="U609" s="232">
        <v>0</v>
      </c>
      <c r="V609" s="232">
        <v>0</v>
      </c>
      <c r="W609" s="232">
        <v>0</v>
      </c>
      <c r="X609" s="232">
        <v>0</v>
      </c>
      <c r="Y609" s="398"/>
      <c r="Z609" s="398"/>
    </row>
    <row r="610" spans="1:26">
      <c r="A610" s="392">
        <v>96521</v>
      </c>
      <c r="B610" s="393" t="s">
        <v>1313</v>
      </c>
      <c r="C610" s="235">
        <v>9.5069999999999996E-4</v>
      </c>
      <c r="D610" s="235">
        <v>8.9309999999999997E-4</v>
      </c>
      <c r="E610" s="232">
        <v>1457990</v>
      </c>
      <c r="F610" s="232" t="s">
        <v>1930</v>
      </c>
      <c r="G610" s="394">
        <v>463839</v>
      </c>
      <c r="H610" s="394">
        <v>0</v>
      </c>
      <c r="I610" s="394">
        <v>915990</v>
      </c>
      <c r="J610" s="232">
        <v>63766</v>
      </c>
      <c r="K610" s="232">
        <v>1443595</v>
      </c>
      <c r="L610" s="232"/>
      <c r="M610" s="302">
        <v>0</v>
      </c>
      <c r="N610" s="302">
        <v>2083029</v>
      </c>
      <c r="O610" s="302">
        <v>0</v>
      </c>
      <c r="P610" s="232">
        <v>90752</v>
      </c>
      <c r="Q610" s="232">
        <v>2173781</v>
      </c>
      <c r="R610" s="232"/>
      <c r="S610" s="394">
        <v>629023</v>
      </c>
      <c r="T610" s="232">
        <v>-31958</v>
      </c>
      <c r="U610" s="398">
        <v>597065</v>
      </c>
      <c r="V610" s="232"/>
      <c r="W610" s="398">
        <v>5659795</v>
      </c>
      <c r="X610" s="398">
        <v>-1999871</v>
      </c>
      <c r="Y610" s="398"/>
      <c r="Z610" s="398"/>
    </row>
    <row r="611" spans="1:26">
      <c r="A611" s="392">
        <v>96531</v>
      </c>
      <c r="B611" s="393" t="s">
        <v>1314</v>
      </c>
      <c r="C611" s="235">
        <v>7.9558000000000007E-3</v>
      </c>
      <c r="D611" s="235">
        <v>8.2658999999999996E-3</v>
      </c>
      <c r="E611" s="232">
        <v>12200983</v>
      </c>
      <c r="F611" s="232" t="s">
        <v>1930</v>
      </c>
      <c r="G611" s="394">
        <v>3881571</v>
      </c>
      <c r="H611" s="394">
        <v>0</v>
      </c>
      <c r="I611" s="394">
        <v>7665334</v>
      </c>
      <c r="J611" s="232">
        <v>0</v>
      </c>
      <c r="K611" s="232">
        <v>11546905</v>
      </c>
      <c r="L611" s="232"/>
      <c r="M611" s="302">
        <v>0</v>
      </c>
      <c r="N611" s="302">
        <v>17431540</v>
      </c>
      <c r="O611" s="302">
        <v>0</v>
      </c>
      <c r="P611" s="232">
        <v>1003027</v>
      </c>
      <c r="Q611" s="232">
        <v>18434567</v>
      </c>
      <c r="R611" s="232"/>
      <c r="S611" s="394">
        <v>5263891</v>
      </c>
      <c r="T611" s="232">
        <v>-454700</v>
      </c>
      <c r="U611" s="398">
        <v>4809191</v>
      </c>
      <c r="V611" s="232"/>
      <c r="W611" s="398">
        <v>47363200</v>
      </c>
      <c r="X611" s="398">
        <v>-16735638</v>
      </c>
      <c r="Y611" s="398"/>
      <c r="Z611" s="398"/>
    </row>
    <row r="612" spans="1:26">
      <c r="A612" s="392">
        <v>96541</v>
      </c>
      <c r="B612" s="393" t="s">
        <v>1315</v>
      </c>
      <c r="C612" s="235">
        <v>4.0220000000000002E-4</v>
      </c>
      <c r="D612" s="235">
        <v>4.06E-4</v>
      </c>
      <c r="E612" s="232">
        <v>616812</v>
      </c>
      <c r="F612" s="232" t="s">
        <v>1930</v>
      </c>
      <c r="G612" s="394">
        <v>196230</v>
      </c>
      <c r="H612" s="394">
        <v>0</v>
      </c>
      <c r="I612" s="394">
        <v>387516</v>
      </c>
      <c r="J612" s="232">
        <v>11043</v>
      </c>
      <c r="K612" s="232">
        <v>594789</v>
      </c>
      <c r="L612" s="232"/>
      <c r="M612" s="302">
        <v>0</v>
      </c>
      <c r="N612" s="302">
        <v>881240</v>
      </c>
      <c r="O612" s="302">
        <v>0</v>
      </c>
      <c r="P612" s="232">
        <v>26835</v>
      </c>
      <c r="Q612" s="232">
        <v>908075</v>
      </c>
      <c r="R612" s="232"/>
      <c r="S612" s="394">
        <v>266112</v>
      </c>
      <c r="T612" s="232">
        <v>-1270</v>
      </c>
      <c r="U612" s="398">
        <v>264842</v>
      </c>
      <c r="V612" s="232"/>
      <c r="W612" s="398">
        <v>2394414</v>
      </c>
      <c r="X612" s="398">
        <v>-846059</v>
      </c>
      <c r="Y612" s="398"/>
      <c r="Z612" s="398"/>
    </row>
    <row r="613" spans="1:26">
      <c r="A613" s="392">
        <v>96601</v>
      </c>
      <c r="B613" s="393" t="s">
        <v>1316</v>
      </c>
      <c r="C613" s="235">
        <v>1.5223999999999999E-3</v>
      </c>
      <c r="D613" s="235">
        <v>1.5973000000000001E-3</v>
      </c>
      <c r="E613" s="232">
        <v>2334747</v>
      </c>
      <c r="F613" s="232" t="s">
        <v>1930</v>
      </c>
      <c r="G613" s="394">
        <v>742767</v>
      </c>
      <c r="H613" s="394">
        <v>0</v>
      </c>
      <c r="I613" s="394">
        <v>1466817</v>
      </c>
      <c r="J613" s="232">
        <v>7368</v>
      </c>
      <c r="K613" s="232">
        <v>2216952</v>
      </c>
      <c r="L613" s="232"/>
      <c r="M613" s="302">
        <v>0</v>
      </c>
      <c r="N613" s="302">
        <v>3335651</v>
      </c>
      <c r="O613" s="302">
        <v>0</v>
      </c>
      <c r="P613" s="232">
        <v>197369</v>
      </c>
      <c r="Q613" s="232">
        <v>3533020</v>
      </c>
      <c r="R613" s="232"/>
      <c r="S613" s="394">
        <v>1007284</v>
      </c>
      <c r="T613" s="232">
        <v>-85810</v>
      </c>
      <c r="U613" s="398">
        <v>921474</v>
      </c>
      <c r="V613" s="232"/>
      <c r="W613" s="398">
        <v>9063292</v>
      </c>
      <c r="X613" s="398">
        <v>-3202486</v>
      </c>
      <c r="Y613" s="398"/>
      <c r="Z613" s="398"/>
    </row>
    <row r="614" spans="1:26">
      <c r="A614" s="392">
        <v>96604</v>
      </c>
      <c r="B614" s="393" t="s">
        <v>1317</v>
      </c>
      <c r="C614" s="235">
        <v>4.4000000000000002E-6</v>
      </c>
      <c r="D614" s="235">
        <v>4.6E-6</v>
      </c>
      <c r="E614" s="232">
        <v>6748</v>
      </c>
      <c r="F614" s="232" t="s">
        <v>1930</v>
      </c>
      <c r="G614" s="394">
        <v>2147</v>
      </c>
      <c r="H614" s="394">
        <v>0</v>
      </c>
      <c r="I614" s="394">
        <v>4239</v>
      </c>
      <c r="J614" s="232">
        <v>3393</v>
      </c>
      <c r="K614" s="232">
        <v>9779</v>
      </c>
      <c r="L614" s="232"/>
      <c r="M614" s="302">
        <v>0</v>
      </c>
      <c r="N614" s="302">
        <v>9641</v>
      </c>
      <c r="O614" s="302">
        <v>0</v>
      </c>
      <c r="P614" s="232">
        <v>0</v>
      </c>
      <c r="Q614" s="232">
        <v>9641</v>
      </c>
      <c r="R614" s="232"/>
      <c r="S614" s="394">
        <v>2911</v>
      </c>
      <c r="T614" s="232">
        <v>1650</v>
      </c>
      <c r="U614" s="398">
        <v>4561</v>
      </c>
      <c r="V614" s="232"/>
      <c r="W614" s="398">
        <v>26194</v>
      </c>
      <c r="X614" s="398">
        <v>-9256</v>
      </c>
      <c r="Y614" s="398"/>
      <c r="Z614" s="398"/>
    </row>
    <row r="615" spans="1:26">
      <c r="A615" s="392">
        <v>96611</v>
      </c>
      <c r="B615" s="393" t="s">
        <v>1318</v>
      </c>
      <c r="C615" s="235">
        <v>1.2799999999999999E-5</v>
      </c>
      <c r="D615" s="235">
        <v>1.95E-5</v>
      </c>
      <c r="E615" s="232">
        <v>19630</v>
      </c>
      <c r="F615" s="232" t="s">
        <v>1930</v>
      </c>
      <c r="G615" s="394">
        <v>6245</v>
      </c>
      <c r="H615" s="394">
        <v>0</v>
      </c>
      <c r="I615" s="394">
        <v>12333</v>
      </c>
      <c r="J615" s="232">
        <v>5458</v>
      </c>
      <c r="K615" s="232">
        <v>24036</v>
      </c>
      <c r="L615" s="232"/>
      <c r="M615" s="302">
        <v>0</v>
      </c>
      <c r="N615" s="302">
        <v>28045</v>
      </c>
      <c r="O615" s="302">
        <v>0</v>
      </c>
      <c r="P615" s="232">
        <v>12518</v>
      </c>
      <c r="Q615" s="232">
        <v>40563</v>
      </c>
      <c r="R615" s="232"/>
      <c r="S615" s="394">
        <v>8469</v>
      </c>
      <c r="T615" s="232">
        <v>-3113</v>
      </c>
      <c r="U615" s="398">
        <v>5356</v>
      </c>
      <c r="V615" s="232"/>
      <c r="W615" s="398">
        <v>76202</v>
      </c>
      <c r="X615" s="398">
        <v>-26926</v>
      </c>
      <c r="Y615" s="398"/>
      <c r="Z615" s="398"/>
    </row>
    <row r="616" spans="1:26">
      <c r="A616" s="392">
        <v>96612</v>
      </c>
      <c r="B616" s="393" t="s">
        <v>1319</v>
      </c>
      <c r="C616" s="235">
        <v>4.6300000000000001E-5</v>
      </c>
      <c r="D616" s="235">
        <v>4.4199999999999997E-5</v>
      </c>
      <c r="E616" s="232">
        <v>71005</v>
      </c>
      <c r="F616" s="232" t="s">
        <v>1930</v>
      </c>
      <c r="G616" s="394">
        <v>22589</v>
      </c>
      <c r="H616" s="394">
        <v>0</v>
      </c>
      <c r="I616" s="394">
        <v>44610</v>
      </c>
      <c r="J616" s="232">
        <v>14543</v>
      </c>
      <c r="K616" s="232">
        <v>81742</v>
      </c>
      <c r="L616" s="232"/>
      <c r="M616" s="302">
        <v>0</v>
      </c>
      <c r="N616" s="302">
        <v>101446</v>
      </c>
      <c r="O616" s="302">
        <v>0</v>
      </c>
      <c r="P616" s="232">
        <v>2055</v>
      </c>
      <c r="Q616" s="232">
        <v>103501</v>
      </c>
      <c r="R616" s="232"/>
      <c r="S616" s="394">
        <v>30634</v>
      </c>
      <c r="T616" s="232">
        <v>4814</v>
      </c>
      <c r="U616" s="398">
        <v>35448</v>
      </c>
      <c r="V616" s="232"/>
      <c r="W616" s="398">
        <v>275637</v>
      </c>
      <c r="X616" s="398">
        <v>-97396</v>
      </c>
      <c r="Y616" s="398"/>
      <c r="Z616" s="398"/>
    </row>
    <row r="617" spans="1:26">
      <c r="A617" s="392">
        <v>96621</v>
      </c>
      <c r="B617" s="393" t="s">
        <v>1320</v>
      </c>
      <c r="C617" s="235">
        <v>2.48E-5</v>
      </c>
      <c r="D617" s="235">
        <v>1.8600000000000001E-5</v>
      </c>
      <c r="E617" s="232">
        <v>38033</v>
      </c>
      <c r="F617" s="232" t="s">
        <v>1930</v>
      </c>
      <c r="G617" s="394">
        <v>12100</v>
      </c>
      <c r="H617" s="394">
        <v>0</v>
      </c>
      <c r="I617" s="394">
        <v>23895</v>
      </c>
      <c r="J617" s="232">
        <v>15128</v>
      </c>
      <c r="K617" s="232">
        <v>51123</v>
      </c>
      <c r="L617" s="232"/>
      <c r="M617" s="302">
        <v>0</v>
      </c>
      <c r="N617" s="302">
        <v>54338</v>
      </c>
      <c r="O617" s="302">
        <v>0</v>
      </c>
      <c r="P617" s="232">
        <v>573</v>
      </c>
      <c r="Q617" s="232">
        <v>54911</v>
      </c>
      <c r="R617" s="232"/>
      <c r="S617" s="394">
        <v>16409</v>
      </c>
      <c r="T617" s="232">
        <v>4849</v>
      </c>
      <c r="U617" s="398">
        <v>21258</v>
      </c>
      <c r="V617" s="232"/>
      <c r="W617" s="398">
        <v>147642</v>
      </c>
      <c r="X617" s="398">
        <v>-52169</v>
      </c>
      <c r="Y617" s="398"/>
      <c r="Z617" s="398"/>
    </row>
    <row r="618" spans="1:26">
      <c r="A618" s="392">
        <v>96631</v>
      </c>
      <c r="B618" s="393" t="s">
        <v>1321</v>
      </c>
      <c r="C618" s="235">
        <v>2.4700000000000001E-5</v>
      </c>
      <c r="D618" s="235">
        <v>2.3099999999999999E-5</v>
      </c>
      <c r="E618" s="232">
        <v>37880</v>
      </c>
      <c r="F618" s="232" t="s">
        <v>1930</v>
      </c>
      <c r="G618" s="394">
        <v>12051</v>
      </c>
      <c r="H618" s="394">
        <v>0</v>
      </c>
      <c r="I618" s="394">
        <v>23798</v>
      </c>
      <c r="J618" s="232">
        <v>4761</v>
      </c>
      <c r="K618" s="232">
        <v>40610</v>
      </c>
      <c r="L618" s="232"/>
      <c r="M618" s="302">
        <v>0</v>
      </c>
      <c r="N618" s="302">
        <v>54119</v>
      </c>
      <c r="O618" s="302">
        <v>0</v>
      </c>
      <c r="P618" s="232">
        <v>338</v>
      </c>
      <c r="Q618" s="232">
        <v>54457</v>
      </c>
      <c r="R618" s="232"/>
      <c r="S618" s="394">
        <v>16343</v>
      </c>
      <c r="T618" s="232">
        <v>1552</v>
      </c>
      <c r="U618" s="398">
        <v>17895</v>
      </c>
      <c r="V618" s="232"/>
      <c r="W618" s="398">
        <v>147046</v>
      </c>
      <c r="X618" s="398">
        <v>-51958</v>
      </c>
      <c r="Y618" s="398"/>
      <c r="Z618" s="398"/>
    </row>
    <row r="619" spans="1:26" ht="14.25" customHeight="1">
      <c r="A619" s="392">
        <v>96641</v>
      </c>
      <c r="B619" s="393" t="s">
        <v>1322</v>
      </c>
      <c r="C619" s="235">
        <v>4.1E-5</v>
      </c>
      <c r="D619" s="235">
        <v>2.9499999999999999E-5</v>
      </c>
      <c r="E619" s="232">
        <v>62877</v>
      </c>
      <c r="F619" s="232" t="s">
        <v>1930</v>
      </c>
      <c r="G619" s="394">
        <v>20004</v>
      </c>
      <c r="H619" s="394">
        <v>0</v>
      </c>
      <c r="I619" s="394">
        <v>39503</v>
      </c>
      <c r="J619" s="232">
        <v>26555</v>
      </c>
      <c r="K619" s="232">
        <v>86062</v>
      </c>
      <c r="L619" s="232"/>
      <c r="M619" s="302">
        <v>0</v>
      </c>
      <c r="N619" s="302">
        <v>89833</v>
      </c>
      <c r="O619" s="302">
        <v>0</v>
      </c>
      <c r="P619" s="232">
        <v>0</v>
      </c>
      <c r="Q619" s="232">
        <v>89833</v>
      </c>
      <c r="R619" s="232"/>
      <c r="S619" s="394">
        <v>27127</v>
      </c>
      <c r="T619" s="232">
        <v>12476</v>
      </c>
      <c r="U619" s="398">
        <v>39603</v>
      </c>
      <c r="V619" s="232"/>
      <c r="W619" s="398">
        <v>244085</v>
      </c>
      <c r="X619" s="398">
        <v>-86247</v>
      </c>
      <c r="Y619" s="398"/>
      <c r="Z619" s="398"/>
    </row>
    <row r="620" spans="1:26" ht="14.25" customHeight="1">
      <c r="A620" s="392">
        <v>96651</v>
      </c>
      <c r="B620" s="393" t="s">
        <v>1323</v>
      </c>
      <c r="C620" s="235">
        <v>2.23E-5</v>
      </c>
      <c r="D620" s="235">
        <v>1.5999999999999999E-5</v>
      </c>
      <c r="E620" s="232">
        <v>34199</v>
      </c>
      <c r="F620" s="232" t="s">
        <v>1930</v>
      </c>
      <c r="G620" s="394">
        <v>10880</v>
      </c>
      <c r="H620" s="394">
        <v>0</v>
      </c>
      <c r="I620" s="394">
        <v>21486</v>
      </c>
      <c r="J620" s="232">
        <v>12181</v>
      </c>
      <c r="K620" s="232">
        <v>44547</v>
      </c>
      <c r="L620" s="232"/>
      <c r="M620" s="302">
        <v>0</v>
      </c>
      <c r="N620" s="302">
        <v>48860</v>
      </c>
      <c r="O620" s="302">
        <v>0</v>
      </c>
      <c r="P620" s="232">
        <v>2942</v>
      </c>
      <c r="Q620" s="232">
        <v>51802</v>
      </c>
      <c r="R620" s="232"/>
      <c r="S620" s="394">
        <v>14755</v>
      </c>
      <c r="T620" s="232">
        <v>3187</v>
      </c>
      <c r="U620" s="398">
        <v>17942</v>
      </c>
      <c r="V620" s="232"/>
      <c r="W620" s="398">
        <v>132758</v>
      </c>
      <c r="X620" s="398">
        <v>-46910</v>
      </c>
      <c r="Y620" s="398"/>
      <c r="Z620" s="398"/>
    </row>
    <row r="621" spans="1:26">
      <c r="A621" s="392">
        <v>96661</v>
      </c>
      <c r="B621" s="393" t="s">
        <v>1324</v>
      </c>
      <c r="C621" s="235">
        <v>2.23E-5</v>
      </c>
      <c r="D621" s="235">
        <v>2.4899999999999999E-5</v>
      </c>
      <c r="E621" s="232">
        <v>34199</v>
      </c>
      <c r="F621" s="232" t="s">
        <v>1930</v>
      </c>
      <c r="G621" s="394">
        <v>10880</v>
      </c>
      <c r="H621" s="394">
        <v>0</v>
      </c>
      <c r="I621" s="394">
        <v>21486</v>
      </c>
      <c r="J621" s="232">
        <v>5774</v>
      </c>
      <c r="K621" s="232">
        <v>38140</v>
      </c>
      <c r="L621" s="232"/>
      <c r="M621" s="302">
        <v>0</v>
      </c>
      <c r="N621" s="302">
        <v>48860</v>
      </c>
      <c r="O621" s="302">
        <v>0</v>
      </c>
      <c r="P621" s="232">
        <v>6357</v>
      </c>
      <c r="Q621" s="232">
        <v>55217</v>
      </c>
      <c r="R621" s="232"/>
      <c r="S621" s="394">
        <v>14755</v>
      </c>
      <c r="T621" s="232">
        <v>1239</v>
      </c>
      <c r="U621" s="398">
        <v>15994</v>
      </c>
      <c r="V621" s="232"/>
      <c r="W621" s="398">
        <v>132758</v>
      </c>
      <c r="X621" s="398">
        <v>-46910</v>
      </c>
      <c r="Y621" s="398"/>
      <c r="Z621" s="398"/>
    </row>
    <row r="622" spans="1:26">
      <c r="A622" s="392">
        <v>96671</v>
      </c>
      <c r="B622" s="393" t="s">
        <v>1325</v>
      </c>
      <c r="C622" s="235">
        <v>1.42E-5</v>
      </c>
      <c r="D622" s="235">
        <v>1.4E-5</v>
      </c>
      <c r="E622" s="232">
        <v>21777</v>
      </c>
      <c r="F622" s="232" t="s">
        <v>1930</v>
      </c>
      <c r="G622" s="394">
        <v>6928</v>
      </c>
      <c r="H622" s="394">
        <v>0</v>
      </c>
      <c r="I622" s="394">
        <v>13682</v>
      </c>
      <c r="J622" s="232">
        <v>7782</v>
      </c>
      <c r="K622" s="232">
        <v>28392</v>
      </c>
      <c r="L622" s="232"/>
      <c r="M622" s="302">
        <v>0</v>
      </c>
      <c r="N622" s="302">
        <v>31113</v>
      </c>
      <c r="O622" s="302">
        <v>0</v>
      </c>
      <c r="P622" s="232">
        <v>0</v>
      </c>
      <c r="Q622" s="232">
        <v>31113</v>
      </c>
      <c r="R622" s="232"/>
      <c r="S622" s="394">
        <v>9395</v>
      </c>
      <c r="T622" s="232">
        <v>3570</v>
      </c>
      <c r="U622" s="398">
        <v>12965</v>
      </c>
      <c r="V622" s="232"/>
      <c r="W622" s="398">
        <v>84537</v>
      </c>
      <c r="X622" s="398">
        <v>-29871</v>
      </c>
      <c r="Y622" s="398"/>
      <c r="Z622" s="398"/>
    </row>
    <row r="623" spans="1:26">
      <c r="A623" s="392">
        <v>96681</v>
      </c>
      <c r="B623" s="393" t="s">
        <v>1326</v>
      </c>
      <c r="C623" s="235">
        <v>2.0999999999999999E-5</v>
      </c>
      <c r="D623" s="235">
        <v>1.7600000000000001E-5</v>
      </c>
      <c r="E623" s="232">
        <v>32206</v>
      </c>
      <c r="F623" s="232" t="s">
        <v>1930</v>
      </c>
      <c r="G623" s="394">
        <v>10246</v>
      </c>
      <c r="H623" s="394">
        <v>0</v>
      </c>
      <c r="I623" s="394">
        <v>20233</v>
      </c>
      <c r="J623" s="232">
        <v>15038</v>
      </c>
      <c r="K623" s="232">
        <v>45517</v>
      </c>
      <c r="L623" s="232"/>
      <c r="M623" s="302">
        <v>0</v>
      </c>
      <c r="N623" s="302">
        <v>46012</v>
      </c>
      <c r="O623" s="302">
        <v>0</v>
      </c>
      <c r="P623" s="232">
        <v>3728</v>
      </c>
      <c r="Q623" s="232">
        <v>49740</v>
      </c>
      <c r="R623" s="232"/>
      <c r="S623" s="394">
        <v>13894</v>
      </c>
      <c r="T623" s="232">
        <v>2644</v>
      </c>
      <c r="U623" s="398">
        <v>16538</v>
      </c>
      <c r="V623" s="232"/>
      <c r="W623" s="398">
        <v>125019</v>
      </c>
      <c r="X623" s="398">
        <v>-44175</v>
      </c>
      <c r="Y623" s="398"/>
      <c r="Z623" s="398"/>
    </row>
    <row r="624" spans="1:26">
      <c r="A624" s="392">
        <v>96701</v>
      </c>
      <c r="B624" s="393" t="s">
        <v>1327</v>
      </c>
      <c r="C624" s="235">
        <v>7.8210999999999992E-3</v>
      </c>
      <c r="D624" s="235">
        <v>7.9334000000000002E-3</v>
      </c>
      <c r="E624" s="232">
        <v>11994408</v>
      </c>
      <c r="F624" s="232" t="s">
        <v>1930</v>
      </c>
      <c r="G624" s="394">
        <v>3815852</v>
      </c>
      <c r="H624" s="394">
        <v>0</v>
      </c>
      <c r="I624" s="394">
        <v>7535552</v>
      </c>
      <c r="J624" s="232">
        <v>0</v>
      </c>
      <c r="K624" s="232">
        <v>11351404</v>
      </c>
      <c r="L624" s="232"/>
      <c r="M624" s="302">
        <v>0</v>
      </c>
      <c r="N624" s="302">
        <v>17136406</v>
      </c>
      <c r="O624" s="302">
        <v>0</v>
      </c>
      <c r="P624" s="232">
        <v>1213540</v>
      </c>
      <c r="Q624" s="232">
        <v>18349946</v>
      </c>
      <c r="R624" s="232"/>
      <c r="S624" s="394">
        <v>5174768</v>
      </c>
      <c r="T624" s="232">
        <v>-478491</v>
      </c>
      <c r="U624" s="398">
        <v>4696277</v>
      </c>
      <c r="V624" s="232"/>
      <c r="W624" s="398">
        <v>46561292</v>
      </c>
      <c r="X624" s="398">
        <v>-16452286</v>
      </c>
      <c r="Y624" s="398"/>
      <c r="Z624" s="398"/>
    </row>
    <row r="625" spans="1:26">
      <c r="A625" s="392">
        <v>96704</v>
      </c>
      <c r="B625" s="393" t="s">
        <v>1328</v>
      </c>
      <c r="C625" s="235">
        <v>2.2550000000000001E-4</v>
      </c>
      <c r="D625" s="235">
        <v>1.9349999999999999E-4</v>
      </c>
      <c r="E625" s="232">
        <v>345826</v>
      </c>
      <c r="F625" s="232" t="s">
        <v>1930</v>
      </c>
      <c r="G625" s="394">
        <v>110020</v>
      </c>
      <c r="H625" s="394">
        <v>0</v>
      </c>
      <c r="I625" s="394">
        <v>217267</v>
      </c>
      <c r="J625" s="232">
        <v>117517</v>
      </c>
      <c r="K625" s="232">
        <v>444804</v>
      </c>
      <c r="L625" s="232"/>
      <c r="M625" s="302">
        <v>0</v>
      </c>
      <c r="N625" s="302">
        <v>494081</v>
      </c>
      <c r="O625" s="302">
        <v>0</v>
      </c>
      <c r="P625" s="232">
        <v>0</v>
      </c>
      <c r="Q625" s="232">
        <v>494081</v>
      </c>
      <c r="R625" s="232"/>
      <c r="S625" s="394">
        <v>149200</v>
      </c>
      <c r="T625" s="232">
        <v>54826</v>
      </c>
      <c r="U625" s="398">
        <v>204026</v>
      </c>
      <c r="V625" s="232"/>
      <c r="W625" s="398">
        <v>1342467</v>
      </c>
      <c r="X625" s="398">
        <v>-474357</v>
      </c>
      <c r="Y625" s="398"/>
      <c r="Z625" s="398"/>
    </row>
    <row r="626" spans="1:26">
      <c r="A626" s="392">
        <v>96708</v>
      </c>
      <c r="B626" s="393" t="s">
        <v>1329</v>
      </c>
      <c r="C626" s="235">
        <v>8.4489999999999999E-4</v>
      </c>
      <c r="D626" s="235">
        <v>8.5760000000000003E-4</v>
      </c>
      <c r="E626" s="232">
        <v>1295735</v>
      </c>
      <c r="F626" s="232" t="s">
        <v>1930</v>
      </c>
      <c r="G626" s="394">
        <v>412220</v>
      </c>
      <c r="H626" s="394">
        <v>0</v>
      </c>
      <c r="I626" s="394">
        <v>814053</v>
      </c>
      <c r="J626" s="232">
        <v>37129</v>
      </c>
      <c r="K626" s="232">
        <v>1263402</v>
      </c>
      <c r="L626" s="232"/>
      <c r="M626" s="302">
        <v>0</v>
      </c>
      <c r="N626" s="302">
        <v>1851216</v>
      </c>
      <c r="O626" s="302">
        <v>0</v>
      </c>
      <c r="P626" s="232">
        <v>23848</v>
      </c>
      <c r="Q626" s="232">
        <v>1875064</v>
      </c>
      <c r="R626" s="232"/>
      <c r="S626" s="394">
        <v>559021</v>
      </c>
      <c r="T626" s="232">
        <v>22539</v>
      </c>
      <c r="U626" s="398">
        <v>581560</v>
      </c>
      <c r="V626" s="232"/>
      <c r="W626" s="398">
        <v>5029936</v>
      </c>
      <c r="X626" s="398">
        <v>-1777312</v>
      </c>
      <c r="Y626" s="398"/>
      <c r="Z626" s="398"/>
    </row>
    <row r="627" spans="1:26">
      <c r="A627" s="392">
        <v>96711</v>
      </c>
      <c r="B627" s="393" t="s">
        <v>1330</v>
      </c>
      <c r="C627" s="235">
        <v>3.7699000000000001E-3</v>
      </c>
      <c r="D627" s="235">
        <v>3.8658999999999998E-3</v>
      </c>
      <c r="E627" s="232">
        <v>5781504</v>
      </c>
      <c r="F627" s="232" t="s">
        <v>1930</v>
      </c>
      <c r="G627" s="394">
        <v>1839304</v>
      </c>
      <c r="H627" s="394">
        <v>0</v>
      </c>
      <c r="I627" s="394">
        <v>3632261</v>
      </c>
      <c r="J627" s="232">
        <v>23261</v>
      </c>
      <c r="K627" s="232">
        <v>5494826</v>
      </c>
      <c r="L627" s="232"/>
      <c r="M627" s="302">
        <v>0</v>
      </c>
      <c r="N627" s="302">
        <v>8260032</v>
      </c>
      <c r="O627" s="302">
        <v>0</v>
      </c>
      <c r="P627" s="232">
        <v>327735</v>
      </c>
      <c r="Q627" s="232">
        <v>8587767</v>
      </c>
      <c r="R627" s="232"/>
      <c r="S627" s="394">
        <v>2494324</v>
      </c>
      <c r="T627" s="232">
        <v>-182757</v>
      </c>
      <c r="U627" s="398">
        <v>2311567</v>
      </c>
      <c r="V627" s="232"/>
      <c r="W627" s="398">
        <v>22443316</v>
      </c>
      <c r="X627" s="398">
        <v>-7930275</v>
      </c>
      <c r="Y627" s="398"/>
      <c r="Z627" s="398"/>
    </row>
    <row r="628" spans="1:26">
      <c r="A628" s="392">
        <v>96721</v>
      </c>
      <c r="B628" s="393" t="s">
        <v>1331</v>
      </c>
      <c r="C628" s="235">
        <v>2.5119999999999998E-4</v>
      </c>
      <c r="D628" s="235">
        <v>2.3929999999999999E-4</v>
      </c>
      <c r="E628" s="232">
        <v>385239</v>
      </c>
      <c r="F628" s="232" t="s">
        <v>1930</v>
      </c>
      <c r="G628" s="394">
        <v>122558</v>
      </c>
      <c r="H628" s="394">
        <v>0</v>
      </c>
      <c r="I628" s="394">
        <v>242029</v>
      </c>
      <c r="J628" s="232">
        <v>29322</v>
      </c>
      <c r="K628" s="232">
        <v>393909</v>
      </c>
      <c r="L628" s="232"/>
      <c r="M628" s="302">
        <v>0</v>
      </c>
      <c r="N628" s="302">
        <v>550391</v>
      </c>
      <c r="O628" s="302">
        <v>0</v>
      </c>
      <c r="P628" s="232">
        <v>1777</v>
      </c>
      <c r="Q628" s="232">
        <v>552168</v>
      </c>
      <c r="R628" s="232"/>
      <c r="S628" s="394">
        <v>166204</v>
      </c>
      <c r="T628" s="232">
        <v>14532</v>
      </c>
      <c r="U628" s="398">
        <v>180736</v>
      </c>
      <c r="V628" s="232"/>
      <c r="W628" s="398">
        <v>1495467</v>
      </c>
      <c r="X628" s="398">
        <v>-528419</v>
      </c>
      <c r="Y628" s="398"/>
      <c r="Z628" s="398"/>
    </row>
    <row r="629" spans="1:26">
      <c r="A629" s="392">
        <v>96731</v>
      </c>
      <c r="B629" s="393" t="s">
        <v>1332</v>
      </c>
      <c r="C629" s="235">
        <v>2.008E-4</v>
      </c>
      <c r="D629" s="235">
        <v>1.741E-4</v>
      </c>
      <c r="E629" s="232">
        <v>307946</v>
      </c>
      <c r="F629" s="232" t="s">
        <v>1930</v>
      </c>
      <c r="G629" s="394">
        <v>97969</v>
      </c>
      <c r="H629" s="394">
        <v>0</v>
      </c>
      <c r="I629" s="394">
        <v>193469</v>
      </c>
      <c r="J629" s="232">
        <v>26373</v>
      </c>
      <c r="K629" s="232">
        <v>317811</v>
      </c>
      <c r="L629" s="232"/>
      <c r="M629" s="302">
        <v>0</v>
      </c>
      <c r="N629" s="302">
        <v>439962</v>
      </c>
      <c r="O629" s="302">
        <v>0</v>
      </c>
      <c r="P629" s="232">
        <v>4041</v>
      </c>
      <c r="Q629" s="232">
        <v>444003</v>
      </c>
      <c r="R629" s="232"/>
      <c r="S629" s="394">
        <v>132858</v>
      </c>
      <c r="T629" s="232">
        <v>8647</v>
      </c>
      <c r="U629" s="398">
        <v>141505</v>
      </c>
      <c r="V629" s="232"/>
      <c r="W629" s="398">
        <v>1195421</v>
      </c>
      <c r="X629" s="398">
        <v>-422398</v>
      </c>
      <c r="Y629" s="398"/>
      <c r="Z629" s="398"/>
    </row>
    <row r="630" spans="1:26">
      <c r="A630" s="392">
        <v>96733</v>
      </c>
      <c r="B630" s="393" t="s">
        <v>1333</v>
      </c>
      <c r="C630" s="235">
        <v>0</v>
      </c>
      <c r="D630" s="235">
        <v>0</v>
      </c>
      <c r="E630" s="232">
        <v>0</v>
      </c>
      <c r="F630" s="232" t="s">
        <v>1930</v>
      </c>
      <c r="G630" s="394">
        <v>0</v>
      </c>
      <c r="H630" s="394">
        <v>0</v>
      </c>
      <c r="I630" s="394">
        <v>0</v>
      </c>
      <c r="J630" s="232">
        <v>550</v>
      </c>
      <c r="K630" s="232">
        <v>550</v>
      </c>
      <c r="L630" s="232"/>
      <c r="M630" s="302">
        <v>0</v>
      </c>
      <c r="N630" s="302">
        <v>0</v>
      </c>
      <c r="O630" s="302">
        <v>0</v>
      </c>
      <c r="P630" s="232">
        <v>8519</v>
      </c>
      <c r="Q630" s="232">
        <v>8519</v>
      </c>
      <c r="R630" s="232"/>
      <c r="S630" s="394">
        <v>0</v>
      </c>
      <c r="T630" s="232">
        <v>-3844</v>
      </c>
      <c r="U630" s="398">
        <v>-3844</v>
      </c>
      <c r="V630" s="232"/>
      <c r="W630" s="398">
        <v>0</v>
      </c>
      <c r="X630" s="398">
        <v>0</v>
      </c>
      <c r="Y630" s="398"/>
      <c r="Z630" s="398"/>
    </row>
    <row r="631" spans="1:26">
      <c r="A631" s="392">
        <v>96741</v>
      </c>
      <c r="B631" s="393" t="s">
        <v>1334</v>
      </c>
      <c r="C631" s="235">
        <v>8.81E-5</v>
      </c>
      <c r="D631" s="235">
        <v>8.6799999999999996E-5</v>
      </c>
      <c r="E631" s="232">
        <v>135110</v>
      </c>
      <c r="F631" s="232" t="s">
        <v>1930</v>
      </c>
      <c r="G631" s="394">
        <v>42983</v>
      </c>
      <c r="H631" s="394">
        <v>0</v>
      </c>
      <c r="I631" s="394">
        <v>84883</v>
      </c>
      <c r="J631" s="232">
        <v>701</v>
      </c>
      <c r="K631" s="232">
        <v>128567</v>
      </c>
      <c r="L631" s="232"/>
      <c r="M631" s="302">
        <v>0</v>
      </c>
      <c r="N631" s="302">
        <v>193031</v>
      </c>
      <c r="O631" s="302">
        <v>0</v>
      </c>
      <c r="P631" s="232">
        <v>12538</v>
      </c>
      <c r="Q631" s="232">
        <v>205569</v>
      </c>
      <c r="R631" s="232"/>
      <c r="S631" s="394">
        <v>58291</v>
      </c>
      <c r="T631" s="232">
        <v>-5684</v>
      </c>
      <c r="U631" s="398">
        <v>52607</v>
      </c>
      <c r="V631" s="232"/>
      <c r="W631" s="398">
        <v>524485</v>
      </c>
      <c r="X631" s="398">
        <v>-185325</v>
      </c>
      <c r="Y631" s="398"/>
      <c r="Z631" s="398"/>
    </row>
    <row r="632" spans="1:26">
      <c r="A632" s="392">
        <v>96751</v>
      </c>
      <c r="B632" s="393" t="s">
        <v>1335</v>
      </c>
      <c r="C632" s="235">
        <v>3.2870000000000002E-4</v>
      </c>
      <c r="D632" s="235">
        <v>2.7139999999999998E-4</v>
      </c>
      <c r="E632" s="232">
        <v>504093</v>
      </c>
      <c r="F632" s="232" t="s">
        <v>1930</v>
      </c>
      <c r="G632" s="394">
        <v>160370</v>
      </c>
      <c r="H632" s="394">
        <v>0</v>
      </c>
      <c r="I632" s="394">
        <v>316699</v>
      </c>
      <c r="J632" s="232">
        <v>92699</v>
      </c>
      <c r="K632" s="232">
        <v>569768</v>
      </c>
      <c r="L632" s="232"/>
      <c r="M632" s="302">
        <v>0</v>
      </c>
      <c r="N632" s="302">
        <v>720197</v>
      </c>
      <c r="O632" s="302">
        <v>0</v>
      </c>
      <c r="P632" s="232">
        <v>23692</v>
      </c>
      <c r="Q632" s="232">
        <v>743889</v>
      </c>
      <c r="R632" s="232"/>
      <c r="S632" s="394">
        <v>217482</v>
      </c>
      <c r="T632" s="232">
        <v>20114</v>
      </c>
      <c r="U632" s="398">
        <v>237596</v>
      </c>
      <c r="V632" s="232"/>
      <c r="W632" s="398">
        <v>1956847</v>
      </c>
      <c r="X632" s="398">
        <v>-691446</v>
      </c>
      <c r="Y632" s="398"/>
      <c r="Z632" s="398"/>
    </row>
    <row r="633" spans="1:26">
      <c r="A633" s="392">
        <v>96801</v>
      </c>
      <c r="B633" s="393" t="s">
        <v>1336</v>
      </c>
      <c r="C633" s="235">
        <v>7.3797000000000003E-3</v>
      </c>
      <c r="D633" s="235">
        <v>7.3815E-3</v>
      </c>
      <c r="E633" s="232">
        <v>11317478</v>
      </c>
      <c r="F633" s="232" t="s">
        <v>1930</v>
      </c>
      <c r="G633" s="394">
        <v>3600497</v>
      </c>
      <c r="H633" s="394">
        <v>0</v>
      </c>
      <c r="I633" s="394">
        <v>7110267</v>
      </c>
      <c r="J633" s="232">
        <v>82064</v>
      </c>
      <c r="K633" s="232">
        <v>10792828</v>
      </c>
      <c r="L633" s="232"/>
      <c r="M633" s="302">
        <v>0</v>
      </c>
      <c r="N633" s="302">
        <v>16169277</v>
      </c>
      <c r="O633" s="302">
        <v>0</v>
      </c>
      <c r="P633" s="232">
        <v>127077</v>
      </c>
      <c r="Q633" s="232">
        <v>16296354</v>
      </c>
      <c r="R633" s="232"/>
      <c r="S633" s="394">
        <v>4882719</v>
      </c>
      <c r="T633" s="232">
        <v>-42467</v>
      </c>
      <c r="U633" s="398">
        <v>4840252</v>
      </c>
      <c r="V633" s="232"/>
      <c r="W633" s="398">
        <v>43933509</v>
      </c>
      <c r="X633" s="398">
        <v>-15523767</v>
      </c>
      <c r="Y633" s="398"/>
      <c r="Z633" s="398"/>
    </row>
    <row r="634" spans="1:26">
      <c r="A634" s="392">
        <v>96804</v>
      </c>
      <c r="B634" s="393" t="s">
        <v>1337</v>
      </c>
      <c r="C634" s="235">
        <v>2.3699999999999999E-4</v>
      </c>
      <c r="D634" s="235">
        <v>2.3499999999999999E-4</v>
      </c>
      <c r="E634" s="232">
        <v>363462</v>
      </c>
      <c r="F634" s="232" t="s">
        <v>1930</v>
      </c>
      <c r="G634" s="394">
        <v>115630</v>
      </c>
      <c r="H634" s="394">
        <v>0</v>
      </c>
      <c r="I634" s="394">
        <v>228347</v>
      </c>
      <c r="J634" s="232">
        <v>0</v>
      </c>
      <c r="K634" s="232">
        <v>343977</v>
      </c>
      <c r="L634" s="232"/>
      <c r="M634" s="302">
        <v>0</v>
      </c>
      <c r="N634" s="302">
        <v>519278</v>
      </c>
      <c r="O634" s="302">
        <v>0</v>
      </c>
      <c r="P634" s="232">
        <v>30358</v>
      </c>
      <c r="Q634" s="232">
        <v>549636</v>
      </c>
      <c r="R634" s="232"/>
      <c r="S634" s="394">
        <v>156809</v>
      </c>
      <c r="T634" s="232">
        <v>-15272</v>
      </c>
      <c r="U634" s="398">
        <v>141537</v>
      </c>
      <c r="V634" s="232"/>
      <c r="W634" s="398">
        <v>1410930</v>
      </c>
      <c r="X634" s="398">
        <v>-498548</v>
      </c>
      <c r="Y634" s="398"/>
      <c r="Z634" s="398"/>
    </row>
    <row r="635" spans="1:26">
      <c r="A635" s="392">
        <v>96808</v>
      </c>
      <c r="B635" s="393" t="s">
        <v>1338</v>
      </c>
      <c r="C635" s="235">
        <v>1.2228E-3</v>
      </c>
      <c r="D635" s="235">
        <v>1.2712999999999999E-3</v>
      </c>
      <c r="E635" s="232">
        <v>1875281</v>
      </c>
      <c r="F635" s="232" t="s">
        <v>1930</v>
      </c>
      <c r="G635" s="394">
        <v>596594</v>
      </c>
      <c r="H635" s="394">
        <v>0</v>
      </c>
      <c r="I635" s="394">
        <v>1178156</v>
      </c>
      <c r="J635" s="232">
        <v>40971</v>
      </c>
      <c r="K635" s="232">
        <v>1815721</v>
      </c>
      <c r="L635" s="232"/>
      <c r="M635" s="302">
        <v>0</v>
      </c>
      <c r="N635" s="302">
        <v>2679213</v>
      </c>
      <c r="O635" s="302">
        <v>0</v>
      </c>
      <c r="P635" s="232">
        <v>64355</v>
      </c>
      <c r="Q635" s="232">
        <v>2743568</v>
      </c>
      <c r="R635" s="232"/>
      <c r="S635" s="394">
        <v>809056</v>
      </c>
      <c r="T635" s="232">
        <v>-6330</v>
      </c>
      <c r="U635" s="398">
        <v>802726</v>
      </c>
      <c r="V635" s="232"/>
      <c r="W635" s="398">
        <v>7279685</v>
      </c>
      <c r="X635" s="398">
        <v>-2572254</v>
      </c>
      <c r="Y635" s="398"/>
      <c r="Z635" s="398"/>
    </row>
    <row r="636" spans="1:26">
      <c r="A636" s="392">
        <v>96811</v>
      </c>
      <c r="B636" s="393" t="s">
        <v>1339</v>
      </c>
      <c r="C636" s="235">
        <v>5.5815999999999999E-3</v>
      </c>
      <c r="D636" s="235">
        <v>5.7375999999999998E-3</v>
      </c>
      <c r="E636" s="232">
        <v>8559919</v>
      </c>
      <c r="F636" s="232" t="s">
        <v>1930</v>
      </c>
      <c r="G636" s="394">
        <v>2723218</v>
      </c>
      <c r="H636" s="394">
        <v>0</v>
      </c>
      <c r="I636" s="394">
        <v>5377816</v>
      </c>
      <c r="J636" s="232">
        <v>0</v>
      </c>
      <c r="K636" s="232">
        <v>8101034</v>
      </c>
      <c r="L636" s="232"/>
      <c r="M636" s="302">
        <v>0</v>
      </c>
      <c r="N636" s="302">
        <v>12229554</v>
      </c>
      <c r="O636" s="302">
        <v>0</v>
      </c>
      <c r="P636" s="232">
        <v>448746</v>
      </c>
      <c r="Q636" s="232">
        <v>12678300</v>
      </c>
      <c r="R636" s="232"/>
      <c r="S636" s="394">
        <v>3693021</v>
      </c>
      <c r="T636" s="232">
        <v>-168594</v>
      </c>
      <c r="U636" s="398">
        <v>3524427</v>
      </c>
      <c r="V636" s="232"/>
      <c r="W636" s="398">
        <v>33228895</v>
      </c>
      <c r="X636" s="398">
        <v>-11741325</v>
      </c>
      <c r="Y636" s="398"/>
      <c r="Z636" s="398"/>
    </row>
    <row r="637" spans="1:26">
      <c r="A637" s="392">
        <v>96821</v>
      </c>
      <c r="B637" s="393" t="s">
        <v>1340</v>
      </c>
      <c r="C637" s="235">
        <v>1.1953000000000001E-3</v>
      </c>
      <c r="D637" s="235">
        <v>1.2259E-3</v>
      </c>
      <c r="E637" s="232">
        <v>1833107</v>
      </c>
      <c r="F637" s="232" t="s">
        <v>1930</v>
      </c>
      <c r="G637" s="394">
        <v>583177</v>
      </c>
      <c r="H637" s="394">
        <v>0</v>
      </c>
      <c r="I637" s="394">
        <v>1151660</v>
      </c>
      <c r="J637" s="232">
        <v>63505</v>
      </c>
      <c r="K637" s="232">
        <v>1798342</v>
      </c>
      <c r="L637" s="232"/>
      <c r="M637" s="302">
        <v>0</v>
      </c>
      <c r="N637" s="302">
        <v>2618960</v>
      </c>
      <c r="O637" s="302">
        <v>0</v>
      </c>
      <c r="P637" s="232">
        <v>22329</v>
      </c>
      <c r="Q637" s="232">
        <v>2641289</v>
      </c>
      <c r="R637" s="232"/>
      <c r="S637" s="394">
        <v>790861</v>
      </c>
      <c r="T637" s="232">
        <v>1280</v>
      </c>
      <c r="U637" s="398">
        <v>792141</v>
      </c>
      <c r="V637" s="232"/>
      <c r="W637" s="398">
        <v>7115970</v>
      </c>
      <c r="X637" s="398">
        <v>-2514406</v>
      </c>
      <c r="Y637" s="398"/>
      <c r="Z637" s="398"/>
    </row>
    <row r="638" spans="1:26">
      <c r="A638" s="392">
        <v>96831</v>
      </c>
      <c r="B638" s="393" t="s">
        <v>1341</v>
      </c>
      <c r="C638" s="235">
        <v>7.9889999999999996E-4</v>
      </c>
      <c r="D638" s="235">
        <v>9.2150000000000001E-4</v>
      </c>
      <c r="E638" s="232">
        <v>1225190</v>
      </c>
      <c r="F638" s="232" t="s">
        <v>1930</v>
      </c>
      <c r="G638" s="394">
        <v>389777</v>
      </c>
      <c r="H638" s="394">
        <v>0</v>
      </c>
      <c r="I638" s="394">
        <v>769732</v>
      </c>
      <c r="J638" s="232">
        <v>17518</v>
      </c>
      <c r="K638" s="232">
        <v>1177027</v>
      </c>
      <c r="L638" s="232"/>
      <c r="M638" s="302">
        <v>0</v>
      </c>
      <c r="N638" s="302">
        <v>1750428</v>
      </c>
      <c r="O638" s="302">
        <v>0</v>
      </c>
      <c r="P638" s="232">
        <v>194422</v>
      </c>
      <c r="Q638" s="232">
        <v>1944850</v>
      </c>
      <c r="R638" s="232"/>
      <c r="S638" s="394">
        <v>528586</v>
      </c>
      <c r="T638" s="232">
        <v>-59234</v>
      </c>
      <c r="U638" s="398">
        <v>469352</v>
      </c>
      <c r="V638" s="232"/>
      <c r="W638" s="398">
        <v>4756085</v>
      </c>
      <c r="X638" s="398">
        <v>-1680548</v>
      </c>
      <c r="Y638" s="398"/>
      <c r="Z638" s="398"/>
    </row>
    <row r="639" spans="1:26">
      <c r="A639" s="392">
        <v>96901</v>
      </c>
      <c r="B639" s="393" t="s">
        <v>1342</v>
      </c>
      <c r="C639" s="235">
        <v>8.2089999999999995E-4</v>
      </c>
      <c r="D639" s="235">
        <v>8.6399999999999997E-4</v>
      </c>
      <c r="E639" s="232">
        <v>1258929</v>
      </c>
      <c r="F639" s="232" t="s">
        <v>1930</v>
      </c>
      <c r="G639" s="394">
        <v>400511</v>
      </c>
      <c r="H639" s="394">
        <v>0</v>
      </c>
      <c r="I639" s="394">
        <v>790929</v>
      </c>
      <c r="J639" s="232">
        <v>17611</v>
      </c>
      <c r="K639" s="232">
        <v>1209051</v>
      </c>
      <c r="L639" s="232"/>
      <c r="M639" s="302">
        <v>0</v>
      </c>
      <c r="N639" s="302">
        <v>1798631</v>
      </c>
      <c r="O639" s="302">
        <v>0</v>
      </c>
      <c r="P639" s="232">
        <v>152876</v>
      </c>
      <c r="Q639" s="232">
        <v>1951507</v>
      </c>
      <c r="R639" s="232"/>
      <c r="S639" s="394">
        <v>543142</v>
      </c>
      <c r="T639" s="232">
        <v>-43357</v>
      </c>
      <c r="U639" s="398">
        <v>499785</v>
      </c>
      <c r="V639" s="232"/>
      <c r="W639" s="398">
        <v>4887057</v>
      </c>
      <c r="X639" s="398">
        <v>-1726826</v>
      </c>
      <c r="Y639" s="398"/>
      <c r="Z639" s="398"/>
    </row>
    <row r="640" spans="1:26">
      <c r="A640" s="392">
        <v>96911</v>
      </c>
      <c r="B640" s="393" t="s">
        <v>1343</v>
      </c>
      <c r="C640" s="235">
        <v>2.2000000000000001E-6</v>
      </c>
      <c r="D640" s="235">
        <v>2.3E-6</v>
      </c>
      <c r="E640" s="232">
        <v>3374</v>
      </c>
      <c r="F640" s="232" t="s">
        <v>1930</v>
      </c>
      <c r="G640" s="394">
        <v>1073</v>
      </c>
      <c r="H640" s="394">
        <v>0</v>
      </c>
      <c r="I640" s="394">
        <v>2120</v>
      </c>
      <c r="J640" s="232">
        <v>3572</v>
      </c>
      <c r="K640" s="232">
        <v>6765</v>
      </c>
      <c r="L640" s="232"/>
      <c r="M640" s="302">
        <v>0</v>
      </c>
      <c r="N640" s="302">
        <v>4820</v>
      </c>
      <c r="O640" s="302">
        <v>0</v>
      </c>
      <c r="P640" s="232">
        <v>0</v>
      </c>
      <c r="Q640" s="232">
        <v>4820</v>
      </c>
      <c r="R640" s="232"/>
      <c r="S640" s="394">
        <v>1456</v>
      </c>
      <c r="T640" s="232">
        <v>1590</v>
      </c>
      <c r="U640" s="398">
        <v>3046</v>
      </c>
      <c r="V640" s="232"/>
      <c r="W640" s="398">
        <v>13097</v>
      </c>
      <c r="X640" s="398">
        <v>-4628</v>
      </c>
      <c r="Y640" s="398"/>
      <c r="Z640" s="398"/>
    </row>
    <row r="641" spans="1:26" s="357" customFormat="1">
      <c r="A641" s="392">
        <v>96912</v>
      </c>
      <c r="B641" s="393" t="s">
        <v>1344</v>
      </c>
      <c r="C641" s="235">
        <v>7.25E-5</v>
      </c>
      <c r="D641" s="235">
        <v>7.5400000000000003E-5</v>
      </c>
      <c r="E641" s="232">
        <v>111186</v>
      </c>
      <c r="F641" s="232" t="s">
        <v>1930</v>
      </c>
      <c r="G641" s="394">
        <v>35372</v>
      </c>
      <c r="H641" s="394">
        <v>0</v>
      </c>
      <c r="I641" s="394">
        <v>69853</v>
      </c>
      <c r="J641" s="232">
        <v>1421</v>
      </c>
      <c r="K641" s="232">
        <v>106646</v>
      </c>
      <c r="L641" s="232"/>
      <c r="M641" s="302">
        <v>0</v>
      </c>
      <c r="N641" s="302">
        <v>158851</v>
      </c>
      <c r="O641" s="302">
        <v>0</v>
      </c>
      <c r="P641" s="232">
        <v>9287</v>
      </c>
      <c r="Q641" s="232">
        <v>168138</v>
      </c>
      <c r="R641" s="232"/>
      <c r="S641" s="394">
        <v>47969</v>
      </c>
      <c r="T641" s="232">
        <v>-3160</v>
      </c>
      <c r="U641" s="398">
        <v>44809</v>
      </c>
      <c r="V641" s="232"/>
      <c r="W641" s="398">
        <v>431614</v>
      </c>
      <c r="X641" s="398">
        <v>-152509</v>
      </c>
      <c r="Y641" s="398"/>
      <c r="Z641" s="398"/>
    </row>
    <row r="642" spans="1:26">
      <c r="A642" s="392">
        <v>96918</v>
      </c>
      <c r="B642" s="393" t="s">
        <v>1345</v>
      </c>
      <c r="C642" s="235">
        <v>2.9200000000000002E-5</v>
      </c>
      <c r="D642" s="235">
        <v>3.1300000000000002E-5</v>
      </c>
      <c r="E642" s="232">
        <v>44781</v>
      </c>
      <c r="F642" s="232" t="s">
        <v>1930</v>
      </c>
      <c r="G642" s="394">
        <v>14246</v>
      </c>
      <c r="H642" s="394">
        <v>0</v>
      </c>
      <c r="I642" s="394">
        <v>28134</v>
      </c>
      <c r="J642" s="232">
        <v>9105</v>
      </c>
      <c r="K642" s="232">
        <v>51485</v>
      </c>
      <c r="L642" s="232"/>
      <c r="M642" s="302">
        <v>0</v>
      </c>
      <c r="N642" s="302">
        <v>63979</v>
      </c>
      <c r="O642" s="302">
        <v>0</v>
      </c>
      <c r="P642" s="232">
        <v>1029</v>
      </c>
      <c r="Q642" s="232">
        <v>65008</v>
      </c>
      <c r="R642" s="232"/>
      <c r="S642" s="394">
        <v>19320</v>
      </c>
      <c r="T642" s="232">
        <v>3125</v>
      </c>
      <c r="U642" s="398">
        <v>22445</v>
      </c>
      <c r="V642" s="232"/>
      <c r="W642" s="398">
        <v>173836</v>
      </c>
      <c r="X642" s="398">
        <v>-61424</v>
      </c>
      <c r="Y642" s="398"/>
      <c r="Z642" s="398"/>
    </row>
    <row r="643" spans="1:26">
      <c r="A643" s="392">
        <v>97001</v>
      </c>
      <c r="B643" s="393" t="s">
        <v>1346</v>
      </c>
      <c r="C643" s="235">
        <v>1.4491E-3</v>
      </c>
      <c r="D643" s="235">
        <v>1.4051999999999999E-3</v>
      </c>
      <c r="E643" s="232">
        <v>2222334</v>
      </c>
      <c r="F643" s="232" t="s">
        <v>1930</v>
      </c>
      <c r="G643" s="394">
        <v>707004</v>
      </c>
      <c r="H643" s="394">
        <v>0</v>
      </c>
      <c r="I643" s="394">
        <v>1396193</v>
      </c>
      <c r="J643" s="232">
        <v>272371</v>
      </c>
      <c r="K643" s="232">
        <v>2375568</v>
      </c>
      <c r="L643" s="232"/>
      <c r="M643" s="302">
        <v>0</v>
      </c>
      <c r="N643" s="302">
        <v>3175048</v>
      </c>
      <c r="O643" s="302">
        <v>0</v>
      </c>
      <c r="P643" s="232">
        <v>0</v>
      </c>
      <c r="Q643" s="232">
        <v>3175048</v>
      </c>
      <c r="R643" s="232"/>
      <c r="S643" s="394">
        <v>958785</v>
      </c>
      <c r="T643" s="232">
        <v>130656</v>
      </c>
      <c r="U643" s="398">
        <v>1089441</v>
      </c>
      <c r="V643" s="232"/>
      <c r="W643" s="398">
        <v>8626915</v>
      </c>
      <c r="X643" s="398">
        <v>-3048293</v>
      </c>
      <c r="Y643" s="398"/>
      <c r="Z643" s="398"/>
    </row>
    <row r="644" spans="1:26">
      <c r="A644" s="392">
        <v>97002</v>
      </c>
      <c r="B644" s="393" t="s">
        <v>1347</v>
      </c>
      <c r="C644" s="235">
        <v>4.395E-4</v>
      </c>
      <c r="D644" s="235">
        <v>4.7550000000000001E-4</v>
      </c>
      <c r="E644" s="232">
        <v>674015</v>
      </c>
      <c r="F644" s="232" t="s">
        <v>1930</v>
      </c>
      <c r="G644" s="394">
        <v>214429</v>
      </c>
      <c r="H644" s="394">
        <v>0</v>
      </c>
      <c r="I644" s="394">
        <v>423454</v>
      </c>
      <c r="J644" s="232">
        <v>0</v>
      </c>
      <c r="K644" s="232">
        <v>637883</v>
      </c>
      <c r="L644" s="232"/>
      <c r="M644" s="302">
        <v>0</v>
      </c>
      <c r="N644" s="302">
        <v>962966</v>
      </c>
      <c r="O644" s="302">
        <v>0</v>
      </c>
      <c r="P644" s="232">
        <v>192259</v>
      </c>
      <c r="Q644" s="232">
        <v>1155225</v>
      </c>
      <c r="R644" s="232"/>
      <c r="S644" s="394">
        <v>290792</v>
      </c>
      <c r="T644" s="232">
        <v>-89804</v>
      </c>
      <c r="U644" s="398">
        <v>200988</v>
      </c>
      <c r="V644" s="232"/>
      <c r="W644" s="398">
        <v>2616472</v>
      </c>
      <c r="X644" s="398">
        <v>-924522</v>
      </c>
      <c r="Y644" s="398"/>
      <c r="Z644" s="398"/>
    </row>
    <row r="645" spans="1:26">
      <c r="A645" s="392">
        <v>97004</v>
      </c>
      <c r="B645" s="393" t="s">
        <v>1348</v>
      </c>
      <c r="C645" s="235">
        <v>1.5999999999999999E-5</v>
      </c>
      <c r="D645" s="235">
        <v>1.27E-5</v>
      </c>
      <c r="E645" s="232">
        <v>24538</v>
      </c>
      <c r="F645" s="232" t="s">
        <v>1930</v>
      </c>
      <c r="G645" s="394">
        <v>7806</v>
      </c>
      <c r="H645" s="394">
        <v>0</v>
      </c>
      <c r="I645" s="394">
        <v>15416</v>
      </c>
      <c r="J645" s="232">
        <v>11155</v>
      </c>
      <c r="K645" s="232">
        <v>34377</v>
      </c>
      <c r="L645" s="232"/>
      <c r="M645" s="302">
        <v>0</v>
      </c>
      <c r="N645" s="302">
        <v>35057</v>
      </c>
      <c r="O645" s="302">
        <v>0</v>
      </c>
      <c r="P645" s="232">
        <v>609</v>
      </c>
      <c r="Q645" s="232">
        <v>35666</v>
      </c>
      <c r="R645" s="232"/>
      <c r="S645" s="394">
        <v>10586</v>
      </c>
      <c r="T645" s="232">
        <v>5087</v>
      </c>
      <c r="U645" s="398">
        <v>15673</v>
      </c>
      <c r="V645" s="232"/>
      <c r="W645" s="398">
        <v>95253</v>
      </c>
      <c r="X645" s="398">
        <v>-33657</v>
      </c>
      <c r="Y645" s="398"/>
      <c r="Z645" s="398"/>
    </row>
    <row r="646" spans="1:26">
      <c r="A646" s="392">
        <v>97005</v>
      </c>
      <c r="B646" s="393" t="s">
        <v>1349</v>
      </c>
      <c r="C646" s="235">
        <v>3.04E-5</v>
      </c>
      <c r="D646" s="235">
        <v>2.2500000000000001E-5</v>
      </c>
      <c r="E646" s="232">
        <v>46621</v>
      </c>
      <c r="F646" s="232" t="s">
        <v>1930</v>
      </c>
      <c r="G646" s="394">
        <v>14832</v>
      </c>
      <c r="H646" s="394">
        <v>0</v>
      </c>
      <c r="I646" s="394">
        <v>29290</v>
      </c>
      <c r="J646" s="232">
        <v>18906</v>
      </c>
      <c r="K646" s="232">
        <v>63028</v>
      </c>
      <c r="L646" s="232"/>
      <c r="M646" s="302">
        <v>0</v>
      </c>
      <c r="N646" s="302">
        <v>66608</v>
      </c>
      <c r="O646" s="302">
        <v>0</v>
      </c>
      <c r="P646" s="232">
        <v>901</v>
      </c>
      <c r="Q646" s="232">
        <v>67509</v>
      </c>
      <c r="R646" s="232"/>
      <c r="S646" s="394">
        <v>20114</v>
      </c>
      <c r="T646" s="232">
        <v>9452</v>
      </c>
      <c r="U646" s="398">
        <v>29566</v>
      </c>
      <c r="V646" s="232"/>
      <c r="W646" s="398">
        <v>180980</v>
      </c>
      <c r="X646" s="398">
        <v>-63949</v>
      </c>
      <c r="Y646" s="398"/>
      <c r="Z646" s="398"/>
    </row>
    <row r="647" spans="1:26">
      <c r="A647" s="392">
        <v>97008</v>
      </c>
      <c r="B647" s="393" t="s">
        <v>1350</v>
      </c>
      <c r="C647" s="235">
        <v>2.8479999999999998E-4</v>
      </c>
      <c r="D647" s="235">
        <v>2.7549999999999997E-4</v>
      </c>
      <c r="E647" s="232">
        <v>436768</v>
      </c>
      <c r="F647" s="232" t="s">
        <v>1930</v>
      </c>
      <c r="G647" s="394">
        <v>138952</v>
      </c>
      <c r="H647" s="394">
        <v>0</v>
      </c>
      <c r="I647" s="394">
        <v>274402</v>
      </c>
      <c r="J647" s="232">
        <v>32474</v>
      </c>
      <c r="K647" s="232">
        <v>445828</v>
      </c>
      <c r="L647" s="232"/>
      <c r="M647" s="302">
        <v>0</v>
      </c>
      <c r="N647" s="302">
        <v>624010</v>
      </c>
      <c r="O647" s="302">
        <v>0</v>
      </c>
      <c r="P647" s="232">
        <v>5686</v>
      </c>
      <c r="Q647" s="232">
        <v>629696</v>
      </c>
      <c r="R647" s="232"/>
      <c r="S647" s="394">
        <v>188436</v>
      </c>
      <c r="T647" s="232">
        <v>9769</v>
      </c>
      <c r="U647" s="398">
        <v>198205</v>
      </c>
      <c r="V647" s="232"/>
      <c r="W647" s="398">
        <v>1695498</v>
      </c>
      <c r="X647" s="398">
        <v>-599099</v>
      </c>
      <c r="Y647" s="398"/>
      <c r="Z647" s="398"/>
    </row>
    <row r="648" spans="1:26">
      <c r="A648" s="392">
        <v>97010</v>
      </c>
      <c r="B648" s="393" t="s">
        <v>1351</v>
      </c>
      <c r="C648" s="235">
        <v>0</v>
      </c>
      <c r="D648" s="235">
        <v>0</v>
      </c>
      <c r="E648" s="232">
        <v>0</v>
      </c>
      <c r="F648" s="232">
        <v>0</v>
      </c>
      <c r="G648" s="394">
        <v>0</v>
      </c>
      <c r="H648" s="394">
        <v>0</v>
      </c>
      <c r="I648" s="394">
        <v>0</v>
      </c>
      <c r="J648" s="232">
        <v>0</v>
      </c>
      <c r="K648" s="232">
        <v>0</v>
      </c>
      <c r="L648" s="232">
        <v>0</v>
      </c>
      <c r="M648" s="302">
        <v>0</v>
      </c>
      <c r="N648" s="302">
        <v>0</v>
      </c>
      <c r="O648" s="302">
        <v>0</v>
      </c>
      <c r="P648" s="232">
        <v>0</v>
      </c>
      <c r="Q648" s="232">
        <v>0</v>
      </c>
      <c r="R648" s="232">
        <v>0</v>
      </c>
      <c r="S648" s="394">
        <v>0</v>
      </c>
      <c r="T648" s="232">
        <v>0</v>
      </c>
      <c r="U648" s="398">
        <v>0</v>
      </c>
      <c r="V648" s="232">
        <v>0</v>
      </c>
      <c r="W648" s="398">
        <v>0</v>
      </c>
      <c r="X648" s="398">
        <v>0</v>
      </c>
      <c r="Y648" s="398">
        <v>0</v>
      </c>
      <c r="Z648" s="398">
        <v>0</v>
      </c>
    </row>
    <row r="649" spans="1:26">
      <c r="A649" s="392">
        <v>97011</v>
      </c>
      <c r="B649" s="393" t="s">
        <v>1352</v>
      </c>
      <c r="C649" s="235">
        <v>1.8075999999999999E-3</v>
      </c>
      <c r="D649" s="235">
        <v>1.8404000000000001E-3</v>
      </c>
      <c r="E649" s="232">
        <v>2772128</v>
      </c>
      <c r="F649" s="232" t="s">
        <v>1930</v>
      </c>
      <c r="G649" s="394">
        <v>881914</v>
      </c>
      <c r="H649" s="394">
        <v>0</v>
      </c>
      <c r="I649" s="394">
        <v>1741605</v>
      </c>
      <c r="J649" s="232">
        <v>11373</v>
      </c>
      <c r="K649" s="232">
        <v>2634892</v>
      </c>
      <c r="L649" s="232"/>
      <c r="M649" s="302">
        <v>0</v>
      </c>
      <c r="N649" s="302">
        <v>3960538</v>
      </c>
      <c r="O649" s="302">
        <v>0</v>
      </c>
      <c r="P649" s="232">
        <v>78695</v>
      </c>
      <c r="Q649" s="232">
        <v>4039233</v>
      </c>
      <c r="R649" s="232"/>
      <c r="S649" s="394">
        <v>1195984</v>
      </c>
      <c r="T649" s="232">
        <v>-30282</v>
      </c>
      <c r="U649" s="398">
        <v>1165702</v>
      </c>
      <c r="V649" s="232"/>
      <c r="W649" s="398">
        <v>10761171</v>
      </c>
      <c r="X649" s="398">
        <v>-3802426</v>
      </c>
      <c r="Y649" s="398"/>
      <c r="Z649" s="398"/>
    </row>
    <row r="650" spans="1:26">
      <c r="A650" s="392">
        <v>97012</v>
      </c>
      <c r="B650" s="393" t="s">
        <v>1353</v>
      </c>
      <c r="C650" s="235">
        <v>2.1999999999999999E-5</v>
      </c>
      <c r="D650" s="235">
        <v>2.8399999999999999E-5</v>
      </c>
      <c r="E650" s="232">
        <v>33739</v>
      </c>
      <c r="F650" s="232" t="s">
        <v>1930</v>
      </c>
      <c r="G650" s="394">
        <v>10734</v>
      </c>
      <c r="H650" s="394">
        <v>0</v>
      </c>
      <c r="I650" s="394">
        <v>21197</v>
      </c>
      <c r="J650" s="232">
        <v>1623</v>
      </c>
      <c r="K650" s="232">
        <v>33554</v>
      </c>
      <c r="L650" s="232"/>
      <c r="M650" s="302">
        <v>0</v>
      </c>
      <c r="N650" s="302">
        <v>48203</v>
      </c>
      <c r="O650" s="302">
        <v>0</v>
      </c>
      <c r="P650" s="232">
        <v>7751</v>
      </c>
      <c r="Q650" s="232">
        <v>55954</v>
      </c>
      <c r="R650" s="232"/>
      <c r="S650" s="394">
        <v>14556</v>
      </c>
      <c r="T650" s="232">
        <v>-1093</v>
      </c>
      <c r="U650" s="398">
        <v>13463</v>
      </c>
      <c r="V650" s="232"/>
      <c r="W650" s="398">
        <v>130972</v>
      </c>
      <c r="X650" s="398">
        <v>-46279</v>
      </c>
      <c r="Y650" s="398"/>
      <c r="Z650" s="398"/>
    </row>
    <row r="651" spans="1:26">
      <c r="A651" s="392">
        <v>97013</v>
      </c>
      <c r="B651" s="393" t="s">
        <v>1354</v>
      </c>
      <c r="C651" s="235">
        <v>2.0999999999999999E-5</v>
      </c>
      <c r="D651" s="235">
        <v>1.8899999999999999E-5</v>
      </c>
      <c r="E651" s="232">
        <v>32206</v>
      </c>
      <c r="F651" s="232" t="s">
        <v>1930</v>
      </c>
      <c r="G651" s="394">
        <v>10246</v>
      </c>
      <c r="H651" s="394">
        <v>0</v>
      </c>
      <c r="I651" s="394">
        <v>20233</v>
      </c>
      <c r="J651" s="232">
        <v>15142</v>
      </c>
      <c r="K651" s="232">
        <v>45621</v>
      </c>
      <c r="L651" s="232"/>
      <c r="M651" s="302">
        <v>0</v>
      </c>
      <c r="N651" s="302">
        <v>46012</v>
      </c>
      <c r="O651" s="302">
        <v>0</v>
      </c>
      <c r="P651" s="232">
        <v>4224</v>
      </c>
      <c r="Q651" s="232">
        <v>50236</v>
      </c>
      <c r="R651" s="232"/>
      <c r="S651" s="394">
        <v>13894</v>
      </c>
      <c r="T651" s="232">
        <v>5151</v>
      </c>
      <c r="U651" s="398">
        <v>19045</v>
      </c>
      <c r="V651" s="232"/>
      <c r="W651" s="398">
        <v>125019</v>
      </c>
      <c r="X651" s="398">
        <v>-44175</v>
      </c>
      <c r="Y651" s="398"/>
      <c r="Z651" s="398"/>
    </row>
    <row r="652" spans="1:26">
      <c r="A652" s="392">
        <v>97015</v>
      </c>
      <c r="B652" s="393" t="s">
        <v>1355</v>
      </c>
      <c r="C652" s="235">
        <v>4.6799999999999999E-5</v>
      </c>
      <c r="D652" s="235">
        <v>4.71E-5</v>
      </c>
      <c r="E652" s="232">
        <v>71772</v>
      </c>
      <c r="F652" s="232" t="s">
        <v>1930</v>
      </c>
      <c r="G652" s="394">
        <v>22833</v>
      </c>
      <c r="H652" s="394">
        <v>0</v>
      </c>
      <c r="I652" s="394">
        <v>45091</v>
      </c>
      <c r="J652" s="232">
        <v>8136</v>
      </c>
      <c r="K652" s="232">
        <v>76060</v>
      </c>
      <c r="L652" s="232"/>
      <c r="M652" s="302">
        <v>0</v>
      </c>
      <c r="N652" s="302">
        <v>102541</v>
      </c>
      <c r="O652" s="302">
        <v>0</v>
      </c>
      <c r="P652" s="232">
        <v>2300</v>
      </c>
      <c r="Q652" s="232">
        <v>104841</v>
      </c>
      <c r="R652" s="232"/>
      <c r="S652" s="394">
        <v>30965</v>
      </c>
      <c r="T652" s="232">
        <v>2345</v>
      </c>
      <c r="U652" s="398">
        <v>33310</v>
      </c>
      <c r="V652" s="232"/>
      <c r="W652" s="398">
        <v>278614</v>
      </c>
      <c r="X652" s="398">
        <v>-98447</v>
      </c>
      <c r="Y652" s="398"/>
      <c r="Z652" s="398"/>
    </row>
    <row r="653" spans="1:26">
      <c r="A653" s="392">
        <v>97018</v>
      </c>
      <c r="B653" s="393" t="s">
        <v>1356</v>
      </c>
      <c r="C653" s="235">
        <v>1.63E-5</v>
      </c>
      <c r="D653" s="235">
        <v>1.63E-5</v>
      </c>
      <c r="E653" s="232">
        <v>24998</v>
      </c>
      <c r="F653" s="232" t="s">
        <v>1930</v>
      </c>
      <c r="G653" s="394">
        <v>7953</v>
      </c>
      <c r="H653" s="394">
        <v>0</v>
      </c>
      <c r="I653" s="394">
        <v>15705</v>
      </c>
      <c r="J653" s="232">
        <v>4375</v>
      </c>
      <c r="K653" s="232">
        <v>28033</v>
      </c>
      <c r="L653" s="232"/>
      <c r="M653" s="302">
        <v>0</v>
      </c>
      <c r="N653" s="302">
        <v>35714</v>
      </c>
      <c r="O653" s="302">
        <v>0</v>
      </c>
      <c r="P653" s="232">
        <v>2719</v>
      </c>
      <c r="Q653" s="232">
        <v>38433</v>
      </c>
      <c r="R653" s="232"/>
      <c r="S653" s="394">
        <v>10785</v>
      </c>
      <c r="T653" s="232">
        <v>2375</v>
      </c>
      <c r="U653" s="398">
        <v>13160</v>
      </c>
      <c r="V653" s="232"/>
      <c r="W653" s="398">
        <v>97039</v>
      </c>
      <c r="X653" s="398">
        <v>-34288</v>
      </c>
      <c r="Y653" s="398"/>
      <c r="Z653" s="398"/>
    </row>
    <row r="654" spans="1:26">
      <c r="A654" s="392">
        <v>97101</v>
      </c>
      <c r="B654" s="393" t="s">
        <v>1357</v>
      </c>
      <c r="C654" s="235">
        <v>2.9548999999999999E-3</v>
      </c>
      <c r="D654" s="235">
        <v>2.7287000000000001E-3</v>
      </c>
      <c r="E654" s="232">
        <v>4531623</v>
      </c>
      <c r="F654" s="232" t="s">
        <v>1930</v>
      </c>
      <c r="G654" s="394">
        <v>1441672</v>
      </c>
      <c r="H654" s="394">
        <v>0</v>
      </c>
      <c r="I654" s="394">
        <v>2847017</v>
      </c>
      <c r="J654" s="232">
        <v>519777</v>
      </c>
      <c r="K654" s="232">
        <v>4808466</v>
      </c>
      <c r="L654" s="232"/>
      <c r="M654" s="302">
        <v>0</v>
      </c>
      <c r="N654" s="302">
        <v>6474328</v>
      </c>
      <c r="O654" s="302">
        <v>0</v>
      </c>
      <c r="P654" s="232">
        <v>0</v>
      </c>
      <c r="Q654" s="232">
        <v>6474328</v>
      </c>
      <c r="R654" s="232"/>
      <c r="S654" s="394">
        <v>1955086</v>
      </c>
      <c r="T654" s="232">
        <v>206520</v>
      </c>
      <c r="U654" s="398">
        <v>2161606</v>
      </c>
      <c r="V654" s="232"/>
      <c r="W654" s="398">
        <v>17591383</v>
      </c>
      <c r="X654" s="398">
        <v>-6215860</v>
      </c>
      <c r="Y654" s="398"/>
      <c r="Z654" s="398"/>
    </row>
    <row r="655" spans="1:26">
      <c r="A655" s="392">
        <v>97104</v>
      </c>
      <c r="B655" s="393" t="s">
        <v>1358</v>
      </c>
      <c r="C655" s="235">
        <v>6.2399999999999999E-5</v>
      </c>
      <c r="D655" s="235">
        <v>5.3199999999999999E-5</v>
      </c>
      <c r="E655" s="232">
        <v>95696</v>
      </c>
      <c r="F655" s="232" t="s">
        <v>1930</v>
      </c>
      <c r="G655" s="394">
        <v>30444</v>
      </c>
      <c r="H655" s="394">
        <v>0</v>
      </c>
      <c r="I655" s="394">
        <v>60122</v>
      </c>
      <c r="J655" s="232">
        <v>25775</v>
      </c>
      <c r="K655" s="232">
        <v>116341</v>
      </c>
      <c r="L655" s="232"/>
      <c r="M655" s="302">
        <v>0</v>
      </c>
      <c r="N655" s="302">
        <v>136721</v>
      </c>
      <c r="O655" s="302">
        <v>0</v>
      </c>
      <c r="P655" s="232">
        <v>0</v>
      </c>
      <c r="Q655" s="232">
        <v>136721</v>
      </c>
      <c r="R655" s="232"/>
      <c r="S655" s="394">
        <v>41286</v>
      </c>
      <c r="T655" s="232">
        <v>10444</v>
      </c>
      <c r="U655" s="398">
        <v>51730</v>
      </c>
      <c r="V655" s="232"/>
      <c r="W655" s="398">
        <v>371485</v>
      </c>
      <c r="X655" s="398">
        <v>-131263</v>
      </c>
      <c r="Y655" s="398"/>
      <c r="Z655" s="398"/>
    </row>
    <row r="656" spans="1:26">
      <c r="A656" s="392">
        <v>97111</v>
      </c>
      <c r="B656" s="393" t="s">
        <v>1359</v>
      </c>
      <c r="C656" s="235">
        <v>3.057E-4</v>
      </c>
      <c r="D656" s="235">
        <v>3.1780000000000003E-4</v>
      </c>
      <c r="E656" s="232">
        <v>468820</v>
      </c>
      <c r="F656" s="232" t="s">
        <v>1930</v>
      </c>
      <c r="G656" s="394">
        <v>149149</v>
      </c>
      <c r="H656" s="394">
        <v>0</v>
      </c>
      <c r="I656" s="394">
        <v>294539</v>
      </c>
      <c r="J656" s="232">
        <v>20058</v>
      </c>
      <c r="K656" s="232">
        <v>463746</v>
      </c>
      <c r="L656" s="232"/>
      <c r="M656" s="302">
        <v>0</v>
      </c>
      <c r="N656" s="302">
        <v>669803</v>
      </c>
      <c r="O656" s="302">
        <v>0</v>
      </c>
      <c r="P656" s="232">
        <v>49866</v>
      </c>
      <c r="Q656" s="232">
        <v>719669</v>
      </c>
      <c r="R656" s="232"/>
      <c r="S656" s="394">
        <v>202264</v>
      </c>
      <c r="T656" s="232">
        <v>-11474</v>
      </c>
      <c r="U656" s="398">
        <v>190790</v>
      </c>
      <c r="V656" s="232"/>
      <c r="W656" s="398">
        <v>1819921</v>
      </c>
      <c r="X656" s="398">
        <v>-643063</v>
      </c>
      <c r="Y656" s="398"/>
      <c r="Z656" s="398"/>
    </row>
    <row r="657" spans="1:26">
      <c r="A657" s="392">
        <v>97121</v>
      </c>
      <c r="B657" s="393" t="s">
        <v>1360</v>
      </c>
      <c r="C657" s="235">
        <v>1.516E-4</v>
      </c>
      <c r="D657" s="235">
        <v>1.4660000000000001E-4</v>
      </c>
      <c r="E657" s="232">
        <v>232493</v>
      </c>
      <c r="F657" s="232" t="s">
        <v>1930</v>
      </c>
      <c r="G657" s="394">
        <v>73964</v>
      </c>
      <c r="H657" s="394">
        <v>0</v>
      </c>
      <c r="I657" s="394">
        <v>146065</v>
      </c>
      <c r="J657" s="232">
        <v>54537</v>
      </c>
      <c r="K657" s="232">
        <v>274566</v>
      </c>
      <c r="L657" s="232"/>
      <c r="M657" s="302">
        <v>0</v>
      </c>
      <c r="N657" s="302">
        <v>332163</v>
      </c>
      <c r="O657" s="302">
        <v>0</v>
      </c>
      <c r="P657" s="232">
        <v>0</v>
      </c>
      <c r="Q657" s="232">
        <v>332163</v>
      </c>
      <c r="R657" s="232"/>
      <c r="S657" s="394">
        <v>100305</v>
      </c>
      <c r="T657" s="232">
        <v>26302</v>
      </c>
      <c r="U657" s="398">
        <v>126607</v>
      </c>
      <c r="V657" s="232"/>
      <c r="W657" s="398">
        <v>902519</v>
      </c>
      <c r="X657" s="398">
        <v>-318902</v>
      </c>
      <c r="Y657" s="398"/>
      <c r="Z657" s="398"/>
    </row>
    <row r="658" spans="1:26">
      <c r="A658" s="392">
        <v>97131</v>
      </c>
      <c r="B658" s="393" t="s">
        <v>1361</v>
      </c>
      <c r="C658" s="235">
        <v>7.1290000000000004E-4</v>
      </c>
      <c r="D658" s="235">
        <v>7.1219999999999996E-4</v>
      </c>
      <c r="E658" s="232">
        <v>1093301</v>
      </c>
      <c r="F658" s="232" t="s">
        <v>1930</v>
      </c>
      <c r="G658" s="394">
        <v>347818</v>
      </c>
      <c r="H658" s="394">
        <v>0</v>
      </c>
      <c r="I658" s="394">
        <v>686872</v>
      </c>
      <c r="J658" s="232">
        <v>20255</v>
      </c>
      <c r="K658" s="232">
        <v>1054945</v>
      </c>
      <c r="L658" s="232"/>
      <c r="M658" s="302">
        <v>0</v>
      </c>
      <c r="N658" s="302">
        <v>1561998</v>
      </c>
      <c r="O658" s="302">
        <v>0</v>
      </c>
      <c r="P658" s="232">
        <v>85766</v>
      </c>
      <c r="Q658" s="232">
        <v>1647764</v>
      </c>
      <c r="R658" s="232"/>
      <c r="S658" s="394">
        <v>471685</v>
      </c>
      <c r="T658" s="232">
        <v>-31680</v>
      </c>
      <c r="U658" s="398">
        <v>440005</v>
      </c>
      <c r="V658" s="232"/>
      <c r="W658" s="398">
        <v>4244102</v>
      </c>
      <c r="X658" s="398">
        <v>-1499640</v>
      </c>
      <c r="Y658" s="398"/>
      <c r="Z658" s="398"/>
    </row>
    <row r="659" spans="1:26">
      <c r="A659" s="392">
        <v>97201</v>
      </c>
      <c r="B659" s="393" t="s">
        <v>1362</v>
      </c>
      <c r="C659" s="235">
        <v>5.53E-4</v>
      </c>
      <c r="D659" s="235">
        <v>5.5250000000000004E-4</v>
      </c>
      <c r="E659" s="232">
        <v>848079</v>
      </c>
      <c r="F659" s="232" t="s">
        <v>1930</v>
      </c>
      <c r="G659" s="394">
        <v>269804</v>
      </c>
      <c r="H659" s="394">
        <v>0</v>
      </c>
      <c r="I659" s="394">
        <v>532810</v>
      </c>
      <c r="J659" s="232">
        <v>35618</v>
      </c>
      <c r="K659" s="232">
        <v>838232</v>
      </c>
      <c r="L659" s="232"/>
      <c r="M659" s="302">
        <v>0</v>
      </c>
      <c r="N659" s="302">
        <v>1211650</v>
      </c>
      <c r="O659" s="302">
        <v>0</v>
      </c>
      <c r="P659" s="232">
        <v>25426</v>
      </c>
      <c r="Q659" s="232">
        <v>1237076</v>
      </c>
      <c r="R659" s="232"/>
      <c r="S659" s="394">
        <v>365888</v>
      </c>
      <c r="T659" s="232">
        <v>10577</v>
      </c>
      <c r="U659" s="398">
        <v>376465</v>
      </c>
      <c r="V659" s="232"/>
      <c r="W659" s="398">
        <v>3292170</v>
      </c>
      <c r="X659" s="398">
        <v>-1163278</v>
      </c>
      <c r="Y659" s="398"/>
      <c r="Z659" s="398"/>
    </row>
    <row r="660" spans="1:26">
      <c r="A660" s="392">
        <v>97211</v>
      </c>
      <c r="B660" s="393" t="s">
        <v>1363</v>
      </c>
      <c r="C660" s="235">
        <v>1.6420000000000001E-4</v>
      </c>
      <c r="D660" s="235">
        <v>1.403E-4</v>
      </c>
      <c r="E660" s="232">
        <v>251816</v>
      </c>
      <c r="F660" s="232" t="s">
        <v>1930</v>
      </c>
      <c r="G660" s="394">
        <v>80112</v>
      </c>
      <c r="H660" s="394">
        <v>0</v>
      </c>
      <c r="I660" s="394">
        <v>158205</v>
      </c>
      <c r="J660" s="232">
        <v>95715</v>
      </c>
      <c r="K660" s="232">
        <v>334032</v>
      </c>
      <c r="L660" s="232"/>
      <c r="M660" s="302">
        <v>0</v>
      </c>
      <c r="N660" s="302">
        <v>359770</v>
      </c>
      <c r="O660" s="302">
        <v>0</v>
      </c>
      <c r="P660" s="232">
        <v>17656</v>
      </c>
      <c r="Q660" s="232">
        <v>377426</v>
      </c>
      <c r="R660" s="232"/>
      <c r="S660" s="394">
        <v>108642</v>
      </c>
      <c r="T660" s="232">
        <v>35289</v>
      </c>
      <c r="U660" s="398">
        <v>143931</v>
      </c>
      <c r="V660" s="232"/>
      <c r="W660" s="398">
        <v>977531</v>
      </c>
      <c r="X660" s="398">
        <v>-345407</v>
      </c>
      <c r="Y660" s="398"/>
      <c r="Z660" s="398"/>
    </row>
    <row r="661" spans="1:26">
      <c r="A661" s="392">
        <v>97213</v>
      </c>
      <c r="B661" s="393" t="s">
        <v>1364</v>
      </c>
      <c r="C661" s="235">
        <v>3.5099999999999999E-5</v>
      </c>
      <c r="D661" s="235">
        <v>3.5299999999999997E-5</v>
      </c>
      <c r="E661" s="232">
        <v>53829</v>
      </c>
      <c r="F661" s="232" t="s">
        <v>1930</v>
      </c>
      <c r="G661" s="394">
        <v>17125</v>
      </c>
      <c r="H661" s="394">
        <v>0</v>
      </c>
      <c r="I661" s="394">
        <v>33818</v>
      </c>
      <c r="J661" s="232">
        <v>4751</v>
      </c>
      <c r="K661" s="232">
        <v>55694</v>
      </c>
      <c r="L661" s="232"/>
      <c r="M661" s="302">
        <v>0</v>
      </c>
      <c r="N661" s="302">
        <v>76906</v>
      </c>
      <c r="O661" s="302">
        <v>0</v>
      </c>
      <c r="P661" s="232">
        <v>2476</v>
      </c>
      <c r="Q661" s="232">
        <v>79382</v>
      </c>
      <c r="R661" s="232"/>
      <c r="S661" s="394">
        <v>23224</v>
      </c>
      <c r="T661" s="232">
        <v>2907</v>
      </c>
      <c r="U661" s="398">
        <v>26131</v>
      </c>
      <c r="V661" s="232"/>
      <c r="W661" s="398">
        <v>208961</v>
      </c>
      <c r="X661" s="398">
        <v>-73836</v>
      </c>
      <c r="Y661" s="398"/>
      <c r="Z661" s="398"/>
    </row>
    <row r="662" spans="1:26">
      <c r="A662" s="392">
        <v>97217</v>
      </c>
      <c r="B662" s="393" t="s">
        <v>1365</v>
      </c>
      <c r="C662" s="235">
        <v>8.1999999999999994E-6</v>
      </c>
      <c r="D662" s="235">
        <v>5.3000000000000001E-6</v>
      </c>
      <c r="E662" s="232">
        <v>12575</v>
      </c>
      <c r="F662" s="232" t="s">
        <v>1930</v>
      </c>
      <c r="G662" s="394">
        <v>4001</v>
      </c>
      <c r="H662" s="394">
        <v>0</v>
      </c>
      <c r="I662" s="394">
        <v>7901</v>
      </c>
      <c r="J662" s="232">
        <v>10096</v>
      </c>
      <c r="K662" s="232">
        <v>21998</v>
      </c>
      <c r="L662" s="232"/>
      <c r="M662" s="302">
        <v>0</v>
      </c>
      <c r="N662" s="302">
        <v>17967</v>
      </c>
      <c r="O662" s="302">
        <v>0</v>
      </c>
      <c r="P662" s="232">
        <v>0</v>
      </c>
      <c r="Q662" s="232">
        <v>17967</v>
      </c>
      <c r="R662" s="232"/>
      <c r="S662" s="394">
        <v>5425</v>
      </c>
      <c r="T662" s="232">
        <v>5467</v>
      </c>
      <c r="U662" s="398">
        <v>10892</v>
      </c>
      <c r="V662" s="232"/>
      <c r="W662" s="398">
        <v>48817</v>
      </c>
      <c r="X662" s="398">
        <v>-17249</v>
      </c>
      <c r="Y662" s="398"/>
      <c r="Z662" s="398"/>
    </row>
    <row r="663" spans="1:26">
      <c r="A663" s="392">
        <v>97221</v>
      </c>
      <c r="B663" s="393" t="s">
        <v>1366</v>
      </c>
      <c r="C663" s="235">
        <v>1.26E-5</v>
      </c>
      <c r="D663" s="235">
        <v>2.2000000000000001E-6</v>
      </c>
      <c r="E663" s="232">
        <v>19323</v>
      </c>
      <c r="F663" s="232" t="s">
        <v>1930</v>
      </c>
      <c r="G663" s="394">
        <v>6147</v>
      </c>
      <c r="H663" s="394">
        <v>0</v>
      </c>
      <c r="I663" s="394">
        <v>12140</v>
      </c>
      <c r="J663" s="232">
        <v>22267</v>
      </c>
      <c r="K663" s="232">
        <v>40554</v>
      </c>
      <c r="L663" s="232"/>
      <c r="M663" s="302">
        <v>0</v>
      </c>
      <c r="N663" s="302">
        <v>27607</v>
      </c>
      <c r="O663" s="302">
        <v>0</v>
      </c>
      <c r="P663" s="232">
        <v>5325</v>
      </c>
      <c r="Q663" s="232">
        <v>32932</v>
      </c>
      <c r="R663" s="232"/>
      <c r="S663" s="394">
        <v>8337</v>
      </c>
      <c r="T663" s="232">
        <v>6601</v>
      </c>
      <c r="U663" s="398">
        <v>14938</v>
      </c>
      <c r="V663" s="232"/>
      <c r="W663" s="398">
        <v>75011</v>
      </c>
      <c r="X663" s="398">
        <v>-26505</v>
      </c>
      <c r="Y663" s="398"/>
      <c r="Z663" s="398"/>
    </row>
    <row r="664" spans="1:26">
      <c r="A664" s="392">
        <v>97301</v>
      </c>
      <c r="B664" s="393" t="s">
        <v>1367</v>
      </c>
      <c r="C664" s="235">
        <v>2.4133000000000002E-3</v>
      </c>
      <c r="D664" s="235">
        <v>2.4283999999999998E-3</v>
      </c>
      <c r="E664" s="232">
        <v>3701027</v>
      </c>
      <c r="F664" s="232" t="s">
        <v>1930</v>
      </c>
      <c r="G664" s="394">
        <v>1177430</v>
      </c>
      <c r="H664" s="394">
        <v>0</v>
      </c>
      <c r="I664" s="394">
        <v>2325190</v>
      </c>
      <c r="J664" s="232">
        <v>60438</v>
      </c>
      <c r="K664" s="232">
        <v>3563058</v>
      </c>
      <c r="L664" s="232"/>
      <c r="M664" s="302">
        <v>0</v>
      </c>
      <c r="N664" s="302">
        <v>5287656</v>
      </c>
      <c r="O664" s="302">
        <v>0</v>
      </c>
      <c r="P664" s="232">
        <v>97550</v>
      </c>
      <c r="Q664" s="232">
        <v>5385206</v>
      </c>
      <c r="R664" s="232"/>
      <c r="S664" s="394">
        <v>1596741</v>
      </c>
      <c r="T664" s="232">
        <v>-34198</v>
      </c>
      <c r="U664" s="398">
        <v>1562543</v>
      </c>
      <c r="V664" s="232"/>
      <c r="W664" s="398">
        <v>14367080</v>
      </c>
      <c r="X664" s="398">
        <v>-5076562</v>
      </c>
      <c r="Y664" s="398"/>
      <c r="Z664" s="398"/>
    </row>
    <row r="665" spans="1:26">
      <c r="A665" s="392">
        <v>97302</v>
      </c>
      <c r="B665" s="393" t="s">
        <v>3617</v>
      </c>
      <c r="C665" s="235">
        <v>4.6400000000000003E-5</v>
      </c>
      <c r="D665" s="235">
        <v>4.1300000000000001E-5</v>
      </c>
      <c r="E665" s="232">
        <v>71159</v>
      </c>
      <c r="F665" s="232" t="s">
        <v>1930</v>
      </c>
      <c r="G665" s="394">
        <v>22638</v>
      </c>
      <c r="H665" s="394">
        <v>0</v>
      </c>
      <c r="I665" s="394">
        <v>44706</v>
      </c>
      <c r="J665" s="232">
        <v>61757</v>
      </c>
      <c r="K665" s="232">
        <v>129101</v>
      </c>
      <c r="L665" s="232"/>
      <c r="M665" s="302">
        <v>0</v>
      </c>
      <c r="N665" s="302">
        <v>101665</v>
      </c>
      <c r="O665" s="302">
        <v>0</v>
      </c>
      <c r="P665" s="232">
        <v>0</v>
      </c>
      <c r="Q665" s="232">
        <v>101665</v>
      </c>
      <c r="R665" s="232"/>
      <c r="S665" s="394">
        <v>30700</v>
      </c>
      <c r="T665" s="232">
        <v>28357</v>
      </c>
      <c r="U665" s="398">
        <v>59057</v>
      </c>
      <c r="V665" s="232"/>
      <c r="W665" s="398">
        <v>276233</v>
      </c>
      <c r="X665" s="398">
        <v>-97606</v>
      </c>
      <c r="Y665" s="398"/>
      <c r="Z665" s="398"/>
    </row>
    <row r="666" spans="1:26">
      <c r="A666" s="392">
        <v>97304</v>
      </c>
      <c r="B666" s="393" t="s">
        <v>1368</v>
      </c>
      <c r="C666" s="235">
        <v>1.9599999999999999E-5</v>
      </c>
      <c r="D666" s="235">
        <v>1.4100000000000001E-5</v>
      </c>
      <c r="E666" s="232">
        <v>30058</v>
      </c>
      <c r="F666" s="232" t="s">
        <v>1930</v>
      </c>
      <c r="G666" s="394">
        <v>9563</v>
      </c>
      <c r="H666" s="394">
        <v>0</v>
      </c>
      <c r="I666" s="394">
        <v>18884</v>
      </c>
      <c r="J666" s="232">
        <v>28075</v>
      </c>
      <c r="K666" s="232">
        <v>56522</v>
      </c>
      <c r="L666" s="232"/>
      <c r="M666" s="302">
        <v>0</v>
      </c>
      <c r="N666" s="302">
        <v>42945</v>
      </c>
      <c r="O666" s="302">
        <v>0</v>
      </c>
      <c r="P666" s="232">
        <v>0</v>
      </c>
      <c r="Q666" s="232">
        <v>42945</v>
      </c>
      <c r="R666" s="232"/>
      <c r="S666" s="394">
        <v>12968</v>
      </c>
      <c r="T666" s="232">
        <v>12275</v>
      </c>
      <c r="U666" s="398">
        <v>25243</v>
      </c>
      <c r="V666" s="232"/>
      <c r="W666" s="398">
        <v>116685</v>
      </c>
      <c r="X666" s="398">
        <v>-41230</v>
      </c>
      <c r="Y666" s="398"/>
      <c r="Z666" s="398"/>
    </row>
    <row r="667" spans="1:26">
      <c r="A667" s="392">
        <v>97311</v>
      </c>
      <c r="B667" s="393" t="s">
        <v>1369</v>
      </c>
      <c r="C667" s="235">
        <v>8.6180000000000002E-4</v>
      </c>
      <c r="D667" s="235">
        <v>8.4060000000000005E-4</v>
      </c>
      <c r="E667" s="232">
        <v>1321653</v>
      </c>
      <c r="F667" s="232" t="s">
        <v>1930</v>
      </c>
      <c r="G667" s="394">
        <v>420465</v>
      </c>
      <c r="H667" s="394">
        <v>0</v>
      </c>
      <c r="I667" s="394">
        <v>830336</v>
      </c>
      <c r="J667" s="232">
        <v>35387</v>
      </c>
      <c r="K667" s="232">
        <v>1286188</v>
      </c>
      <c r="L667" s="232"/>
      <c r="M667" s="302">
        <v>0</v>
      </c>
      <c r="N667" s="302">
        <v>1888245</v>
      </c>
      <c r="O667" s="302">
        <v>0</v>
      </c>
      <c r="P667" s="232">
        <v>52274</v>
      </c>
      <c r="Q667" s="232">
        <v>1940519</v>
      </c>
      <c r="R667" s="232"/>
      <c r="S667" s="394">
        <v>570203</v>
      </c>
      <c r="T667" s="232">
        <v>-26059</v>
      </c>
      <c r="U667" s="398">
        <v>544144</v>
      </c>
      <c r="V667" s="232"/>
      <c r="W667" s="398">
        <v>5130547</v>
      </c>
      <c r="X667" s="398">
        <v>-1812863</v>
      </c>
      <c r="Y667" s="398"/>
      <c r="Z667" s="398"/>
    </row>
    <row r="668" spans="1:26">
      <c r="A668" s="392">
        <v>97401</v>
      </c>
      <c r="B668" s="393" t="s">
        <v>1370</v>
      </c>
      <c r="C668" s="235">
        <v>7.1457999999999999E-3</v>
      </c>
      <c r="D668" s="235">
        <v>6.9747999999999998E-3</v>
      </c>
      <c r="E668" s="232">
        <v>10958770</v>
      </c>
      <c r="F668" s="232" t="s">
        <v>1930</v>
      </c>
      <c r="G668" s="394">
        <v>3486379</v>
      </c>
      <c r="H668" s="394">
        <v>0</v>
      </c>
      <c r="I668" s="394">
        <v>6884907</v>
      </c>
      <c r="J668" s="232">
        <v>273478</v>
      </c>
      <c r="K668" s="232">
        <v>10644764</v>
      </c>
      <c r="L668" s="232"/>
      <c r="M668" s="302">
        <v>0</v>
      </c>
      <c r="N668" s="302">
        <v>15656791</v>
      </c>
      <c r="O668" s="302">
        <v>0</v>
      </c>
      <c r="P668" s="232">
        <v>154470</v>
      </c>
      <c r="Q668" s="232">
        <v>15811261</v>
      </c>
      <c r="R668" s="232"/>
      <c r="S668" s="394">
        <v>4727961</v>
      </c>
      <c r="T668" s="232">
        <v>65295</v>
      </c>
      <c r="U668" s="398">
        <v>4793256</v>
      </c>
      <c r="V668" s="232"/>
      <c r="W668" s="398">
        <v>42541034</v>
      </c>
      <c r="X668" s="398">
        <v>-15031741</v>
      </c>
      <c r="Y668" s="398"/>
      <c r="Z668" s="398"/>
    </row>
    <row r="669" spans="1:26">
      <c r="A669" s="392">
        <v>97402</v>
      </c>
      <c r="B669" s="393" t="s">
        <v>1371</v>
      </c>
      <c r="C669" s="235">
        <v>5.0399999999999999E-5</v>
      </c>
      <c r="D669" s="235">
        <v>5.1999999999999997E-5</v>
      </c>
      <c r="E669" s="232">
        <v>77293</v>
      </c>
      <c r="F669" s="232" t="s">
        <v>1930</v>
      </c>
      <c r="G669" s="394">
        <v>24590</v>
      </c>
      <c r="H669" s="394">
        <v>0</v>
      </c>
      <c r="I669" s="394">
        <v>48560</v>
      </c>
      <c r="J669" s="232">
        <v>11723</v>
      </c>
      <c r="K669" s="232">
        <v>84873</v>
      </c>
      <c r="L669" s="232"/>
      <c r="M669" s="302">
        <v>0</v>
      </c>
      <c r="N669" s="302">
        <v>110429</v>
      </c>
      <c r="O669" s="302">
        <v>0</v>
      </c>
      <c r="P669" s="232">
        <v>2369</v>
      </c>
      <c r="Q669" s="232">
        <v>112798</v>
      </c>
      <c r="R669" s="232"/>
      <c r="S669" s="394">
        <v>33347</v>
      </c>
      <c r="T669" s="232">
        <v>6569</v>
      </c>
      <c r="U669" s="398">
        <v>39916</v>
      </c>
      <c r="V669" s="232"/>
      <c r="W669" s="398">
        <v>300046</v>
      </c>
      <c r="X669" s="398">
        <v>-106020</v>
      </c>
      <c r="Y669" s="398"/>
      <c r="Z669" s="398"/>
    </row>
    <row r="670" spans="1:26">
      <c r="A670" s="392">
        <v>97404</v>
      </c>
      <c r="B670" s="393" t="s">
        <v>1372</v>
      </c>
      <c r="C670" s="235">
        <v>2.321E-4</v>
      </c>
      <c r="D670" s="235">
        <v>2.128E-4</v>
      </c>
      <c r="E670" s="232">
        <v>355948</v>
      </c>
      <c r="F670" s="232" t="s">
        <v>1930</v>
      </c>
      <c r="G670" s="394">
        <v>113240</v>
      </c>
      <c r="H670" s="394">
        <v>0</v>
      </c>
      <c r="I670" s="394">
        <v>223626</v>
      </c>
      <c r="J670" s="232">
        <v>27031</v>
      </c>
      <c r="K670" s="232">
        <v>363897</v>
      </c>
      <c r="L670" s="232"/>
      <c r="M670" s="302">
        <v>0</v>
      </c>
      <c r="N670" s="302">
        <v>508542</v>
      </c>
      <c r="O670" s="302">
        <v>0</v>
      </c>
      <c r="P670" s="232">
        <v>6893</v>
      </c>
      <c r="Q670" s="232">
        <v>515435</v>
      </c>
      <c r="R670" s="232"/>
      <c r="S670" s="394">
        <v>153567</v>
      </c>
      <c r="T670" s="232">
        <v>1710</v>
      </c>
      <c r="U670" s="398">
        <v>155277</v>
      </c>
      <c r="V670" s="232"/>
      <c r="W670" s="398">
        <v>1381759</v>
      </c>
      <c r="X670" s="398">
        <v>-488240</v>
      </c>
      <c r="Y670" s="398"/>
      <c r="Z670" s="398"/>
    </row>
    <row r="671" spans="1:26">
      <c r="A671" s="392">
        <v>97405</v>
      </c>
      <c r="B671" s="393" t="s">
        <v>1373</v>
      </c>
      <c r="C671" s="235">
        <v>9.7899999999999994E-5</v>
      </c>
      <c r="D671" s="235">
        <v>1.014E-4</v>
      </c>
      <c r="E671" s="232">
        <v>150139</v>
      </c>
      <c r="F671" s="232" t="s">
        <v>1930</v>
      </c>
      <c r="G671" s="394">
        <v>47765</v>
      </c>
      <c r="H671" s="394">
        <v>0</v>
      </c>
      <c r="I671" s="394">
        <v>94326</v>
      </c>
      <c r="J671" s="232">
        <v>18130</v>
      </c>
      <c r="K671" s="232">
        <v>160221</v>
      </c>
      <c r="L671" s="232"/>
      <c r="M671" s="302">
        <v>0</v>
      </c>
      <c r="N671" s="302">
        <v>214504</v>
      </c>
      <c r="O671" s="302">
        <v>0</v>
      </c>
      <c r="P671" s="232">
        <v>0</v>
      </c>
      <c r="Q671" s="232">
        <v>214504</v>
      </c>
      <c r="R671" s="232"/>
      <c r="S671" s="394">
        <v>64775</v>
      </c>
      <c r="T671" s="232">
        <v>12918</v>
      </c>
      <c r="U671" s="398">
        <v>77693</v>
      </c>
      <c r="V671" s="232"/>
      <c r="W671" s="398">
        <v>582827</v>
      </c>
      <c r="X671" s="398">
        <v>-205940</v>
      </c>
      <c r="Y671" s="398"/>
      <c r="Z671" s="398"/>
    </row>
    <row r="672" spans="1:26">
      <c r="A672" s="392">
        <v>97408</v>
      </c>
      <c r="B672" s="393" t="s">
        <v>1374</v>
      </c>
      <c r="C672" s="235">
        <v>3.8099999999999998E-5</v>
      </c>
      <c r="D672" s="235">
        <v>4.18E-5</v>
      </c>
      <c r="E672" s="232">
        <v>58430</v>
      </c>
      <c r="F672" s="232" t="s">
        <v>1930</v>
      </c>
      <c r="G672" s="394">
        <v>18589</v>
      </c>
      <c r="H672" s="394">
        <v>0</v>
      </c>
      <c r="I672" s="394">
        <v>36709</v>
      </c>
      <c r="J672" s="232">
        <v>8820</v>
      </c>
      <c r="K672" s="232">
        <v>64118</v>
      </c>
      <c r="L672" s="232"/>
      <c r="M672" s="302">
        <v>0</v>
      </c>
      <c r="N672" s="302">
        <v>83479</v>
      </c>
      <c r="O672" s="302">
        <v>0</v>
      </c>
      <c r="P672" s="232">
        <v>0</v>
      </c>
      <c r="Q672" s="232">
        <v>83479</v>
      </c>
      <c r="R672" s="232"/>
      <c r="S672" s="394">
        <v>25209</v>
      </c>
      <c r="T672" s="232">
        <v>5076</v>
      </c>
      <c r="U672" s="398">
        <v>30285</v>
      </c>
      <c r="V672" s="232"/>
      <c r="W672" s="398">
        <v>226820</v>
      </c>
      <c r="X672" s="398">
        <v>-80146</v>
      </c>
      <c r="Y672" s="398"/>
      <c r="Z672" s="398"/>
    </row>
    <row r="673" spans="1:26">
      <c r="A673" s="392">
        <v>97411</v>
      </c>
      <c r="B673" s="393" t="s">
        <v>1375</v>
      </c>
      <c r="C673" s="235">
        <v>5.8314999999999999E-3</v>
      </c>
      <c r="D673" s="235">
        <v>6.3677999999999998E-3</v>
      </c>
      <c r="E673" s="232">
        <v>8943165</v>
      </c>
      <c r="F673" s="232" t="s">
        <v>1930</v>
      </c>
      <c r="G673" s="394">
        <v>2845142</v>
      </c>
      <c r="H673" s="394">
        <v>0</v>
      </c>
      <c r="I673" s="394">
        <v>5618592</v>
      </c>
      <c r="J673" s="232">
        <v>16880</v>
      </c>
      <c r="K673" s="232">
        <v>8480614</v>
      </c>
      <c r="L673" s="232"/>
      <c r="M673" s="302">
        <v>0</v>
      </c>
      <c r="N673" s="302">
        <v>12777096</v>
      </c>
      <c r="O673" s="302">
        <v>0</v>
      </c>
      <c r="P673" s="232">
        <v>1227889</v>
      </c>
      <c r="Q673" s="232">
        <v>14004985</v>
      </c>
      <c r="R673" s="232"/>
      <c r="S673" s="394">
        <v>3858365</v>
      </c>
      <c r="T673" s="232">
        <v>-500900</v>
      </c>
      <c r="U673" s="398">
        <v>3357465</v>
      </c>
      <c r="V673" s="232"/>
      <c r="W673" s="398">
        <v>34716622</v>
      </c>
      <c r="X673" s="398">
        <v>-12267009</v>
      </c>
      <c r="Y673" s="398"/>
      <c r="Z673" s="398"/>
    </row>
    <row r="674" spans="1:26">
      <c r="A674" s="392">
        <v>97412</v>
      </c>
      <c r="B674" s="393" t="s">
        <v>1376</v>
      </c>
      <c r="C674" s="235">
        <v>4.1450999999999997E-3</v>
      </c>
      <c r="D674" s="235">
        <v>4.3990000000000001E-3</v>
      </c>
      <c r="E674" s="232">
        <v>6356909</v>
      </c>
      <c r="F674" s="232" t="s">
        <v>1930</v>
      </c>
      <c r="G674" s="394">
        <v>2022361</v>
      </c>
      <c r="H674" s="394">
        <v>0</v>
      </c>
      <c r="I674" s="394">
        <v>3993762</v>
      </c>
      <c r="J674" s="232">
        <v>22254</v>
      </c>
      <c r="K674" s="232">
        <v>6038377</v>
      </c>
      <c r="L674" s="232"/>
      <c r="M674" s="302">
        <v>0</v>
      </c>
      <c r="N674" s="302">
        <v>9082113</v>
      </c>
      <c r="O674" s="302">
        <v>0</v>
      </c>
      <c r="P674" s="232">
        <v>361871</v>
      </c>
      <c r="Q674" s="232">
        <v>9443984</v>
      </c>
      <c r="R674" s="232"/>
      <c r="S674" s="394">
        <v>2742572</v>
      </c>
      <c r="T674" s="232">
        <v>-80902</v>
      </c>
      <c r="U674" s="398">
        <v>2661670</v>
      </c>
      <c r="V674" s="232"/>
      <c r="W674" s="398">
        <v>24676991</v>
      </c>
      <c r="X674" s="398">
        <v>-8719537</v>
      </c>
      <c r="Y674" s="398"/>
      <c r="Z674" s="398"/>
    </row>
    <row r="675" spans="1:26">
      <c r="A675" s="392">
        <v>97413</v>
      </c>
      <c r="B675" s="393" t="s">
        <v>1377</v>
      </c>
      <c r="C675" s="235">
        <v>3.165E-4</v>
      </c>
      <c r="D675" s="235">
        <v>2.6689999999999998E-4</v>
      </c>
      <c r="E675" s="232">
        <v>485383</v>
      </c>
      <c r="F675" s="232" t="s">
        <v>1930</v>
      </c>
      <c r="G675" s="394">
        <v>154418</v>
      </c>
      <c r="H675" s="394">
        <v>0</v>
      </c>
      <c r="I675" s="394">
        <v>304945</v>
      </c>
      <c r="J675" s="232">
        <v>125767</v>
      </c>
      <c r="K675" s="232">
        <v>585130</v>
      </c>
      <c r="L675" s="232"/>
      <c r="M675" s="302">
        <v>0</v>
      </c>
      <c r="N675" s="302">
        <v>693467</v>
      </c>
      <c r="O675" s="302">
        <v>0</v>
      </c>
      <c r="P675" s="232">
        <v>0</v>
      </c>
      <c r="Q675" s="232">
        <v>693467</v>
      </c>
      <c r="R675" s="232"/>
      <c r="S675" s="394">
        <v>209410</v>
      </c>
      <c r="T675" s="232">
        <v>49417</v>
      </c>
      <c r="U675" s="398">
        <v>258827</v>
      </c>
      <c r="V675" s="232"/>
      <c r="W675" s="398">
        <v>1884217</v>
      </c>
      <c r="X675" s="398">
        <v>-665782</v>
      </c>
      <c r="Y675" s="398"/>
      <c r="Z675" s="398"/>
    </row>
    <row r="676" spans="1:26">
      <c r="A676" s="392">
        <v>97421</v>
      </c>
      <c r="B676" s="393" t="s">
        <v>1378</v>
      </c>
      <c r="C676" s="235">
        <v>4.3879999999999999E-4</v>
      </c>
      <c r="D676" s="235">
        <v>4.239E-4</v>
      </c>
      <c r="E676" s="232">
        <v>672942</v>
      </c>
      <c r="F676" s="232" t="s">
        <v>1930</v>
      </c>
      <c r="G676" s="394">
        <v>214087</v>
      </c>
      <c r="H676" s="394">
        <v>0</v>
      </c>
      <c r="I676" s="394">
        <v>422779</v>
      </c>
      <c r="J676" s="232">
        <v>8187</v>
      </c>
      <c r="K676" s="232">
        <v>645053</v>
      </c>
      <c r="L676" s="232"/>
      <c r="M676" s="302">
        <v>0</v>
      </c>
      <c r="N676" s="302">
        <v>961432</v>
      </c>
      <c r="O676" s="302">
        <v>0</v>
      </c>
      <c r="P676" s="232">
        <v>25462</v>
      </c>
      <c r="Q676" s="232">
        <v>986894</v>
      </c>
      <c r="R676" s="232"/>
      <c r="S676" s="394">
        <v>290329</v>
      </c>
      <c r="T676" s="232">
        <v>-6869</v>
      </c>
      <c r="U676" s="398">
        <v>283460</v>
      </c>
      <c r="V676" s="232"/>
      <c r="W676" s="398">
        <v>2612305</v>
      </c>
      <c r="X676" s="398">
        <v>-923050</v>
      </c>
      <c r="Y676" s="398"/>
      <c r="Z676" s="398"/>
    </row>
    <row r="677" spans="1:26">
      <c r="A677" s="392">
        <v>97423</v>
      </c>
      <c r="B677" s="393" t="s">
        <v>1379</v>
      </c>
      <c r="C677" s="235">
        <v>3.5299999999999997E-5</v>
      </c>
      <c r="D677" s="235">
        <v>4.0000000000000003E-5</v>
      </c>
      <c r="E677" s="232">
        <v>54136</v>
      </c>
      <c r="F677" s="232" t="s">
        <v>1930</v>
      </c>
      <c r="G677" s="394">
        <v>17223</v>
      </c>
      <c r="H677" s="394">
        <v>0</v>
      </c>
      <c r="I677" s="394">
        <v>34011</v>
      </c>
      <c r="J677" s="232">
        <v>17425</v>
      </c>
      <c r="K677" s="232">
        <v>68659</v>
      </c>
      <c r="L677" s="232"/>
      <c r="M677" s="302">
        <v>0</v>
      </c>
      <c r="N677" s="302">
        <v>77344</v>
      </c>
      <c r="O677" s="302">
        <v>0</v>
      </c>
      <c r="P677" s="232">
        <v>2934</v>
      </c>
      <c r="Q677" s="232">
        <v>80278</v>
      </c>
      <c r="R677" s="232"/>
      <c r="S677" s="394">
        <v>23356</v>
      </c>
      <c r="T677" s="232">
        <v>12750</v>
      </c>
      <c r="U677" s="398">
        <v>36106</v>
      </c>
      <c r="V677" s="232"/>
      <c r="W677" s="398">
        <v>210151</v>
      </c>
      <c r="X677" s="398">
        <v>-74256</v>
      </c>
      <c r="Y677" s="398"/>
      <c r="Z677" s="398"/>
    </row>
    <row r="678" spans="1:26">
      <c r="A678" s="392">
        <v>97431</v>
      </c>
      <c r="B678" s="393" t="s">
        <v>1380</v>
      </c>
      <c r="C678" s="235">
        <v>9.3900000000000006E-5</v>
      </c>
      <c r="D678" s="235">
        <v>9.2999999999999997E-5</v>
      </c>
      <c r="E678" s="232">
        <v>144005</v>
      </c>
      <c r="F678" s="232" t="s">
        <v>1930</v>
      </c>
      <c r="G678" s="394">
        <v>45813</v>
      </c>
      <c r="H678" s="394">
        <v>0</v>
      </c>
      <c r="I678" s="394">
        <v>90472</v>
      </c>
      <c r="J678" s="232">
        <v>8460</v>
      </c>
      <c r="K678" s="232">
        <v>144745</v>
      </c>
      <c r="L678" s="232"/>
      <c r="M678" s="302">
        <v>0</v>
      </c>
      <c r="N678" s="302">
        <v>205739</v>
      </c>
      <c r="O678" s="302">
        <v>0</v>
      </c>
      <c r="P678" s="232">
        <v>3554</v>
      </c>
      <c r="Q678" s="232">
        <v>209293</v>
      </c>
      <c r="R678" s="232"/>
      <c r="S678" s="394">
        <v>62128</v>
      </c>
      <c r="T678" s="232">
        <v>4958</v>
      </c>
      <c r="U678" s="398">
        <v>67086</v>
      </c>
      <c r="V678" s="232"/>
      <c r="W678" s="398">
        <v>559014</v>
      </c>
      <c r="X678" s="398">
        <v>-197526</v>
      </c>
      <c r="Y678" s="398"/>
      <c r="Z678" s="398"/>
    </row>
    <row r="679" spans="1:26">
      <c r="A679" s="392">
        <v>97441</v>
      </c>
      <c r="B679" s="393" t="s">
        <v>1381</v>
      </c>
      <c r="C679" s="235">
        <v>5.3300000000000001E-5</v>
      </c>
      <c r="D679" s="235">
        <v>6.2199999999999994E-5</v>
      </c>
      <c r="E679" s="232">
        <v>81741</v>
      </c>
      <c r="F679" s="232" t="s">
        <v>1930</v>
      </c>
      <c r="G679" s="394">
        <v>26005</v>
      </c>
      <c r="H679" s="394">
        <v>0</v>
      </c>
      <c r="I679" s="394">
        <v>51354</v>
      </c>
      <c r="J679" s="232">
        <v>0</v>
      </c>
      <c r="K679" s="232">
        <v>77359</v>
      </c>
      <c r="L679" s="232"/>
      <c r="M679" s="302">
        <v>0</v>
      </c>
      <c r="N679" s="302">
        <v>116783</v>
      </c>
      <c r="O679" s="302">
        <v>0</v>
      </c>
      <c r="P679" s="232">
        <v>28466</v>
      </c>
      <c r="Q679" s="232">
        <v>145249</v>
      </c>
      <c r="R679" s="232"/>
      <c r="S679" s="394">
        <v>35266</v>
      </c>
      <c r="T679" s="232">
        <v>-14377</v>
      </c>
      <c r="U679" s="398">
        <v>20889</v>
      </c>
      <c r="V679" s="232"/>
      <c r="W679" s="398">
        <v>317310</v>
      </c>
      <c r="X679" s="398">
        <v>-112121</v>
      </c>
      <c r="Y679" s="398"/>
      <c r="Z679" s="398"/>
    </row>
    <row r="680" spans="1:26">
      <c r="A680" s="392">
        <v>97451</v>
      </c>
      <c r="B680" s="393" t="s">
        <v>1382</v>
      </c>
      <c r="C680" s="235">
        <v>6.6299999999999996E-4</v>
      </c>
      <c r="D680" s="235">
        <v>7.5849999999999995E-4</v>
      </c>
      <c r="E680" s="232">
        <v>1016774</v>
      </c>
      <c r="F680" s="232" t="s">
        <v>1930</v>
      </c>
      <c r="G680" s="394">
        <v>323472</v>
      </c>
      <c r="H680" s="394">
        <v>0</v>
      </c>
      <c r="I680" s="394">
        <v>638794</v>
      </c>
      <c r="J680" s="232">
        <v>55436</v>
      </c>
      <c r="K680" s="232">
        <v>1017702</v>
      </c>
      <c r="L680" s="232"/>
      <c r="M680" s="302">
        <v>0</v>
      </c>
      <c r="N680" s="302">
        <v>1452665</v>
      </c>
      <c r="O680" s="302">
        <v>0</v>
      </c>
      <c r="P680" s="232">
        <v>199050</v>
      </c>
      <c r="Q680" s="232">
        <v>1651715</v>
      </c>
      <c r="R680" s="232"/>
      <c r="S680" s="394">
        <v>438669</v>
      </c>
      <c r="T680" s="232">
        <v>-48296</v>
      </c>
      <c r="U680" s="398">
        <v>390373</v>
      </c>
      <c r="V680" s="232"/>
      <c r="W680" s="398">
        <v>3947033</v>
      </c>
      <c r="X680" s="398">
        <v>-1394672</v>
      </c>
      <c r="Y680" s="398"/>
      <c r="Z680" s="398"/>
    </row>
    <row r="681" spans="1:26">
      <c r="A681" s="392">
        <v>97461</v>
      </c>
      <c r="B681" s="393" t="s">
        <v>1383</v>
      </c>
      <c r="C681" s="235">
        <v>5.3189999999999997E-4</v>
      </c>
      <c r="D681" s="235">
        <v>5.7600000000000001E-4</v>
      </c>
      <c r="E681" s="232">
        <v>815720</v>
      </c>
      <c r="F681" s="232" t="s">
        <v>1930</v>
      </c>
      <c r="G681" s="394">
        <v>259510</v>
      </c>
      <c r="H681" s="394">
        <v>0</v>
      </c>
      <c r="I681" s="394">
        <v>512480</v>
      </c>
      <c r="J681" s="232">
        <v>6376</v>
      </c>
      <c r="K681" s="232">
        <v>778366</v>
      </c>
      <c r="L681" s="232"/>
      <c r="M681" s="302">
        <v>0</v>
      </c>
      <c r="N681" s="302">
        <v>1165418</v>
      </c>
      <c r="O681" s="302">
        <v>0</v>
      </c>
      <c r="P681" s="232">
        <v>121988</v>
      </c>
      <c r="Q681" s="232">
        <v>1287406</v>
      </c>
      <c r="R681" s="232"/>
      <c r="S681" s="394">
        <v>351927</v>
      </c>
      <c r="T681" s="232">
        <v>-45899</v>
      </c>
      <c r="U681" s="398">
        <v>306028</v>
      </c>
      <c r="V681" s="232"/>
      <c r="W681" s="398">
        <v>3166556</v>
      </c>
      <c r="X681" s="398">
        <v>-1118893</v>
      </c>
      <c r="Y681" s="398"/>
      <c r="Z681" s="398"/>
    </row>
    <row r="682" spans="1:26">
      <c r="A682" s="392">
        <v>97463</v>
      </c>
      <c r="B682" s="393" t="s">
        <v>1384</v>
      </c>
      <c r="C682" s="235">
        <v>0</v>
      </c>
      <c r="D682" s="235">
        <v>0</v>
      </c>
      <c r="E682" s="232">
        <v>0</v>
      </c>
      <c r="F682" s="232" t="s">
        <v>1930</v>
      </c>
      <c r="G682" s="394">
        <v>0</v>
      </c>
      <c r="H682" s="394">
        <v>0</v>
      </c>
      <c r="I682" s="394">
        <v>0</v>
      </c>
      <c r="J682" s="232">
        <v>0</v>
      </c>
      <c r="K682" s="232">
        <v>0</v>
      </c>
      <c r="L682" s="232"/>
      <c r="M682" s="302">
        <v>0</v>
      </c>
      <c r="N682" s="302">
        <v>0</v>
      </c>
      <c r="O682" s="302">
        <v>0</v>
      </c>
      <c r="P682" s="232">
        <v>5607</v>
      </c>
      <c r="Q682" s="232">
        <v>5607</v>
      </c>
      <c r="R682" s="232"/>
      <c r="S682" s="394">
        <v>0</v>
      </c>
      <c r="T682" s="232">
        <v>-7626</v>
      </c>
      <c r="U682" s="398">
        <v>-7626</v>
      </c>
      <c r="V682" s="232"/>
      <c r="W682" s="398">
        <v>0</v>
      </c>
      <c r="X682" s="398">
        <v>0</v>
      </c>
      <c r="Y682" s="398"/>
      <c r="Z682" s="398"/>
    </row>
    <row r="683" spans="1:26">
      <c r="A683" s="392">
        <v>97471</v>
      </c>
      <c r="B683" s="393" t="s">
        <v>1385</v>
      </c>
      <c r="C683" s="235">
        <v>2.0100000000000001E-5</v>
      </c>
      <c r="D683" s="235">
        <v>1.63E-5</v>
      </c>
      <c r="E683" s="232">
        <v>30825</v>
      </c>
      <c r="F683" s="232" t="s">
        <v>1930</v>
      </c>
      <c r="G683" s="394">
        <v>9807</v>
      </c>
      <c r="H683" s="394">
        <v>0</v>
      </c>
      <c r="I683" s="394">
        <v>19366</v>
      </c>
      <c r="J683" s="232">
        <v>15877</v>
      </c>
      <c r="K683" s="232">
        <v>45050</v>
      </c>
      <c r="L683" s="232"/>
      <c r="M683" s="302">
        <v>0</v>
      </c>
      <c r="N683" s="302">
        <v>44040</v>
      </c>
      <c r="O683" s="302">
        <v>0</v>
      </c>
      <c r="P683" s="232">
        <v>0</v>
      </c>
      <c r="Q683" s="232">
        <v>44040</v>
      </c>
      <c r="R683" s="232"/>
      <c r="S683" s="394">
        <v>13299</v>
      </c>
      <c r="T683" s="232">
        <v>8046</v>
      </c>
      <c r="U683" s="398">
        <v>21345</v>
      </c>
      <c r="V683" s="232"/>
      <c r="W683" s="398">
        <v>119661</v>
      </c>
      <c r="X683" s="398">
        <v>-42282</v>
      </c>
      <c r="Y683" s="398"/>
      <c r="Z683" s="398"/>
    </row>
    <row r="684" spans="1:26">
      <c r="A684" s="392">
        <v>97481</v>
      </c>
      <c r="B684" s="393" t="s">
        <v>1386</v>
      </c>
      <c r="C684" s="235">
        <v>2.0999999999999998E-6</v>
      </c>
      <c r="D684" s="235">
        <v>1.7E-6</v>
      </c>
      <c r="E684" s="232">
        <v>3221</v>
      </c>
      <c r="F684" s="232" t="s">
        <v>1930</v>
      </c>
      <c r="G684" s="394">
        <v>1025</v>
      </c>
      <c r="H684" s="394">
        <v>0</v>
      </c>
      <c r="I684" s="394">
        <v>2023</v>
      </c>
      <c r="J684" s="232">
        <v>3231</v>
      </c>
      <c r="K684" s="232">
        <v>6279</v>
      </c>
      <c r="L684" s="232"/>
      <c r="M684" s="302">
        <v>0</v>
      </c>
      <c r="N684" s="302">
        <v>4601</v>
      </c>
      <c r="O684" s="302">
        <v>0</v>
      </c>
      <c r="P684" s="232">
        <v>4249</v>
      </c>
      <c r="Q684" s="232">
        <v>8850</v>
      </c>
      <c r="R684" s="232"/>
      <c r="S684" s="394">
        <v>1389</v>
      </c>
      <c r="T684" s="232">
        <v>-1472</v>
      </c>
      <c r="U684" s="398">
        <v>-83</v>
      </c>
      <c r="V684" s="232"/>
      <c r="W684" s="398">
        <v>12502</v>
      </c>
      <c r="X684" s="398">
        <v>-4418</v>
      </c>
      <c r="Y684" s="398"/>
      <c r="Z684" s="398"/>
    </row>
    <row r="685" spans="1:26">
      <c r="A685" s="392">
        <v>97491</v>
      </c>
      <c r="B685" s="393" t="s">
        <v>3720</v>
      </c>
      <c r="C685" s="235">
        <v>0</v>
      </c>
      <c r="D685" s="235">
        <v>0</v>
      </c>
      <c r="E685" s="232">
        <v>0</v>
      </c>
      <c r="F685" s="232">
        <v>0</v>
      </c>
      <c r="G685" s="394">
        <v>0</v>
      </c>
      <c r="H685" s="394">
        <v>0</v>
      </c>
      <c r="I685" s="394">
        <v>0</v>
      </c>
      <c r="J685" s="232">
        <v>0</v>
      </c>
      <c r="K685" s="232">
        <v>0</v>
      </c>
      <c r="L685" s="232">
        <v>0</v>
      </c>
      <c r="M685" s="302">
        <v>0</v>
      </c>
      <c r="N685" s="302">
        <v>0</v>
      </c>
      <c r="O685" s="302">
        <v>0</v>
      </c>
      <c r="P685" s="232">
        <v>0</v>
      </c>
      <c r="Q685" s="232">
        <v>0</v>
      </c>
      <c r="R685" s="232">
        <v>0</v>
      </c>
      <c r="S685" s="394">
        <v>0</v>
      </c>
      <c r="T685" s="232">
        <v>0</v>
      </c>
      <c r="U685" s="398">
        <v>0</v>
      </c>
      <c r="V685" s="232">
        <v>0</v>
      </c>
      <c r="W685" s="398">
        <v>0</v>
      </c>
      <c r="X685" s="398">
        <v>0</v>
      </c>
      <c r="Y685" s="398">
        <v>0</v>
      </c>
      <c r="Z685" s="398">
        <v>0</v>
      </c>
    </row>
    <row r="686" spans="1:26">
      <c r="A686" s="392">
        <v>97501</v>
      </c>
      <c r="B686" s="393" t="s">
        <v>1388</v>
      </c>
      <c r="C686" s="235">
        <v>1.2677999999999999E-3</v>
      </c>
      <c r="D686" s="235">
        <v>1.2210999999999999E-3</v>
      </c>
      <c r="E686" s="232">
        <v>1944293</v>
      </c>
      <c r="F686" s="232" t="s">
        <v>1930</v>
      </c>
      <c r="G686" s="394">
        <v>618549</v>
      </c>
      <c r="H686" s="394">
        <v>0</v>
      </c>
      <c r="I686" s="394">
        <v>1221513</v>
      </c>
      <c r="J686" s="232">
        <v>156512</v>
      </c>
      <c r="K686" s="232">
        <v>1996574</v>
      </c>
      <c r="L686" s="232"/>
      <c r="M686" s="302">
        <v>0</v>
      </c>
      <c r="N686" s="302">
        <v>2777811</v>
      </c>
      <c r="O686" s="302">
        <v>0</v>
      </c>
      <c r="P686" s="232">
        <v>819</v>
      </c>
      <c r="Q686" s="232">
        <v>2778630</v>
      </c>
      <c r="R686" s="232"/>
      <c r="S686" s="394">
        <v>838830</v>
      </c>
      <c r="T686" s="232">
        <v>89470</v>
      </c>
      <c r="U686" s="398">
        <v>928300</v>
      </c>
      <c r="V686" s="232"/>
      <c r="W686" s="398">
        <v>7547584</v>
      </c>
      <c r="X686" s="398">
        <v>-2666915</v>
      </c>
      <c r="Y686" s="398"/>
      <c r="Z686" s="398"/>
    </row>
    <row r="687" spans="1:26">
      <c r="A687" s="392">
        <v>97511</v>
      </c>
      <c r="B687" s="393" t="s">
        <v>1389</v>
      </c>
      <c r="C687" s="235">
        <v>2.388E-4</v>
      </c>
      <c r="D687" s="235">
        <v>2.2149999999999999E-4</v>
      </c>
      <c r="E687" s="232">
        <v>366223</v>
      </c>
      <c r="F687" s="232" t="s">
        <v>1930</v>
      </c>
      <c r="G687" s="394">
        <v>116509</v>
      </c>
      <c r="H687" s="394">
        <v>0</v>
      </c>
      <c r="I687" s="394">
        <v>230081</v>
      </c>
      <c r="J687" s="232">
        <v>76166</v>
      </c>
      <c r="K687" s="232">
        <v>422756</v>
      </c>
      <c r="L687" s="232"/>
      <c r="M687" s="302">
        <v>0</v>
      </c>
      <c r="N687" s="302">
        <v>523222</v>
      </c>
      <c r="O687" s="302">
        <v>0</v>
      </c>
      <c r="P687" s="232">
        <v>6874</v>
      </c>
      <c r="Q687" s="232">
        <v>530096</v>
      </c>
      <c r="R687" s="232"/>
      <c r="S687" s="394">
        <v>158000</v>
      </c>
      <c r="T687" s="232">
        <v>26117</v>
      </c>
      <c r="U687" s="398">
        <v>184117</v>
      </c>
      <c r="V687" s="232"/>
      <c r="W687" s="398">
        <v>1421646</v>
      </c>
      <c r="X687" s="398">
        <v>-502334</v>
      </c>
      <c r="Y687" s="398"/>
      <c r="Z687" s="398"/>
    </row>
    <row r="688" spans="1:26">
      <c r="A688" s="392">
        <v>97517</v>
      </c>
      <c r="B688" s="393" t="s">
        <v>3740</v>
      </c>
      <c r="C688" s="235">
        <v>0</v>
      </c>
      <c r="D688" s="235">
        <v>0</v>
      </c>
      <c r="E688" s="232">
        <v>0</v>
      </c>
      <c r="F688" s="232"/>
      <c r="G688" s="394">
        <v>0</v>
      </c>
      <c r="H688" s="394">
        <v>0</v>
      </c>
      <c r="I688" s="394">
        <v>0</v>
      </c>
      <c r="J688" s="232">
        <v>1078</v>
      </c>
      <c r="K688" s="232">
        <v>1078</v>
      </c>
      <c r="L688" s="232"/>
      <c r="N688" s="302">
        <v>0</v>
      </c>
      <c r="P688" s="232">
        <v>0</v>
      </c>
      <c r="Q688" s="232">
        <v>0</v>
      </c>
      <c r="R688" s="232"/>
      <c r="S688" s="394">
        <v>0</v>
      </c>
      <c r="T688" s="232">
        <v>359</v>
      </c>
      <c r="U688" s="398">
        <v>359</v>
      </c>
      <c r="V688" s="232"/>
      <c r="W688" s="398">
        <v>0</v>
      </c>
      <c r="X688" s="398">
        <v>0</v>
      </c>
      <c r="Y688" s="398"/>
      <c r="Z688" s="398"/>
    </row>
    <row r="689" spans="1:26">
      <c r="A689" s="392">
        <v>97521</v>
      </c>
      <c r="B689" s="397" t="s">
        <v>1390</v>
      </c>
      <c r="C689" s="235">
        <v>1.3080000000000001E-4</v>
      </c>
      <c r="D689" s="235">
        <v>1.295E-4</v>
      </c>
      <c r="E689" s="232">
        <v>200594</v>
      </c>
      <c r="F689" s="232" t="s">
        <v>1930</v>
      </c>
      <c r="G689" s="394">
        <v>63816</v>
      </c>
      <c r="H689" s="394">
        <v>0</v>
      </c>
      <c r="I689" s="394">
        <v>126024</v>
      </c>
      <c r="J689" s="232">
        <v>12278</v>
      </c>
      <c r="K689" s="232">
        <v>202118</v>
      </c>
      <c r="L689" s="232"/>
      <c r="M689" s="302">
        <v>0</v>
      </c>
      <c r="N689" s="302">
        <v>286589</v>
      </c>
      <c r="O689" s="302">
        <v>0</v>
      </c>
      <c r="P689" s="232">
        <v>12324</v>
      </c>
      <c r="Q689" s="232">
        <v>298913</v>
      </c>
      <c r="R689" s="232"/>
      <c r="S689" s="394">
        <v>86543</v>
      </c>
      <c r="T689" s="232">
        <v>-279</v>
      </c>
      <c r="U689" s="398">
        <v>86264</v>
      </c>
      <c r="V689" s="232"/>
      <c r="W689" s="398">
        <v>778691</v>
      </c>
      <c r="X689" s="398">
        <v>-275148</v>
      </c>
      <c r="Y689" s="398"/>
      <c r="Z689" s="398"/>
    </row>
    <row r="690" spans="1:26">
      <c r="A690" s="392">
        <v>97527</v>
      </c>
      <c r="B690" s="393" t="s">
        <v>1641</v>
      </c>
      <c r="C690" s="235">
        <v>6.0000000000000002E-6</v>
      </c>
      <c r="D690" s="235">
        <v>5.0000000000000004E-6</v>
      </c>
      <c r="E690" s="232">
        <v>9202</v>
      </c>
      <c r="F690" s="232" t="s">
        <v>1930</v>
      </c>
      <c r="G690" s="394">
        <v>2927</v>
      </c>
      <c r="H690" s="394">
        <v>0</v>
      </c>
      <c r="I690" s="394">
        <v>5781</v>
      </c>
      <c r="J690" s="232">
        <v>10091</v>
      </c>
      <c r="K690" s="232">
        <v>18799</v>
      </c>
      <c r="L690" s="232"/>
      <c r="M690" s="302">
        <v>0</v>
      </c>
      <c r="N690" s="302">
        <v>13146</v>
      </c>
      <c r="O690" s="302">
        <v>0</v>
      </c>
      <c r="P690" s="232">
        <v>9271</v>
      </c>
      <c r="Q690" s="232">
        <v>22417</v>
      </c>
      <c r="R690" s="232"/>
      <c r="S690" s="394">
        <v>3970</v>
      </c>
      <c r="T690" s="232">
        <v>161</v>
      </c>
      <c r="U690" s="398">
        <v>4131</v>
      </c>
      <c r="V690" s="232"/>
      <c r="W690" s="398">
        <v>35720</v>
      </c>
      <c r="X690" s="398">
        <v>-12621</v>
      </c>
      <c r="Y690" s="398"/>
      <c r="Z690" s="398"/>
    </row>
    <row r="691" spans="1:26">
      <c r="A691" s="392">
        <v>97531</v>
      </c>
      <c r="B691" s="393" t="s">
        <v>1391</v>
      </c>
      <c r="C691" s="235">
        <v>8.2000000000000001E-5</v>
      </c>
      <c r="D691" s="235">
        <v>6.5699999999999998E-5</v>
      </c>
      <c r="E691" s="232">
        <v>125755</v>
      </c>
      <c r="F691" s="232" t="s">
        <v>1930</v>
      </c>
      <c r="G691" s="394">
        <v>40007</v>
      </c>
      <c r="H691" s="394">
        <v>0</v>
      </c>
      <c r="I691" s="394">
        <v>79006</v>
      </c>
      <c r="J691" s="232">
        <v>33529</v>
      </c>
      <c r="K691" s="232">
        <v>152542</v>
      </c>
      <c r="L691" s="232"/>
      <c r="M691" s="302">
        <v>0</v>
      </c>
      <c r="N691" s="302">
        <v>179666</v>
      </c>
      <c r="O691" s="302">
        <v>0</v>
      </c>
      <c r="P691" s="232">
        <v>13631</v>
      </c>
      <c r="Q691" s="232">
        <v>193297</v>
      </c>
      <c r="R691" s="232"/>
      <c r="S691" s="394">
        <v>54255</v>
      </c>
      <c r="T691" s="232">
        <v>9870</v>
      </c>
      <c r="U691" s="398">
        <v>64125</v>
      </c>
      <c r="V691" s="232"/>
      <c r="W691" s="398">
        <v>488170</v>
      </c>
      <c r="X691" s="398">
        <v>-172493</v>
      </c>
      <c r="Y691" s="398"/>
      <c r="Z691" s="398"/>
    </row>
    <row r="692" spans="1:26">
      <c r="A692" s="392">
        <v>97601</v>
      </c>
      <c r="B692" s="393" t="s">
        <v>1392</v>
      </c>
      <c r="C692" s="235">
        <v>5.3641000000000001E-3</v>
      </c>
      <c r="D692" s="235">
        <v>5.2855999999999997E-3</v>
      </c>
      <c r="E692" s="232">
        <v>8226362</v>
      </c>
      <c r="F692" s="232" t="s">
        <v>1930</v>
      </c>
      <c r="G692" s="394">
        <v>2617101</v>
      </c>
      <c r="H692" s="394">
        <v>0</v>
      </c>
      <c r="I692" s="394">
        <v>5168257</v>
      </c>
      <c r="J692" s="232">
        <v>27226</v>
      </c>
      <c r="K692" s="232">
        <v>7812584</v>
      </c>
      <c r="L692" s="232"/>
      <c r="M692" s="302">
        <v>0</v>
      </c>
      <c r="N692" s="302">
        <v>11753001</v>
      </c>
      <c r="O692" s="302">
        <v>0</v>
      </c>
      <c r="P692" s="232">
        <v>75537</v>
      </c>
      <c r="Q692" s="232">
        <v>11828538</v>
      </c>
      <c r="R692" s="232"/>
      <c r="S692" s="394">
        <v>3549114</v>
      </c>
      <c r="T692" s="232">
        <v>17696</v>
      </c>
      <c r="U692" s="398">
        <v>3566810</v>
      </c>
      <c r="V692" s="232"/>
      <c r="W692" s="398">
        <v>31934054</v>
      </c>
      <c r="X692" s="398">
        <v>-11283797</v>
      </c>
      <c r="Y692" s="398"/>
      <c r="Z692" s="398"/>
    </row>
    <row r="693" spans="1:26">
      <c r="A693" s="392">
        <v>97607</v>
      </c>
      <c r="B693" s="393" t="s">
        <v>1393</v>
      </c>
      <c r="C693" s="235">
        <v>2.5599999999999999E-5</v>
      </c>
      <c r="D693" s="235">
        <v>1.6699999999999999E-5</v>
      </c>
      <c r="E693" s="232">
        <v>39260</v>
      </c>
      <c r="F693" s="232" t="s">
        <v>1930</v>
      </c>
      <c r="G693" s="394">
        <v>12490</v>
      </c>
      <c r="H693" s="394">
        <v>0</v>
      </c>
      <c r="I693" s="394">
        <v>24665</v>
      </c>
      <c r="J693" s="232">
        <v>26007</v>
      </c>
      <c r="K693" s="232">
        <v>63162</v>
      </c>
      <c r="L693" s="232"/>
      <c r="M693" s="302">
        <v>0</v>
      </c>
      <c r="N693" s="302">
        <v>56091</v>
      </c>
      <c r="O693" s="302">
        <v>0</v>
      </c>
      <c r="P693" s="232">
        <v>0</v>
      </c>
      <c r="Q693" s="232">
        <v>56091</v>
      </c>
      <c r="R693" s="232"/>
      <c r="S693" s="394">
        <v>16938</v>
      </c>
      <c r="T693" s="232">
        <v>12603</v>
      </c>
      <c r="U693" s="398">
        <v>29541</v>
      </c>
      <c r="V693" s="232"/>
      <c r="W693" s="398">
        <v>152404</v>
      </c>
      <c r="X693" s="398">
        <v>-53852</v>
      </c>
      <c r="Y693" s="398"/>
      <c r="Z693" s="398"/>
    </row>
    <row r="694" spans="1:26">
      <c r="A694" s="392">
        <v>97611</v>
      </c>
      <c r="B694" s="393" t="s">
        <v>1394</v>
      </c>
      <c r="C694" s="235">
        <v>2.4091999999999998E-3</v>
      </c>
      <c r="D694" s="235">
        <v>2.4239999999999999E-3</v>
      </c>
      <c r="E694" s="232">
        <v>3694739</v>
      </c>
      <c r="F694" s="232" t="s">
        <v>1930</v>
      </c>
      <c r="G694" s="394">
        <v>1175429</v>
      </c>
      <c r="H694" s="394">
        <v>0</v>
      </c>
      <c r="I694" s="394">
        <v>2321240</v>
      </c>
      <c r="J694" s="232">
        <v>99547</v>
      </c>
      <c r="K694" s="232">
        <v>3596216</v>
      </c>
      <c r="L694" s="232"/>
      <c r="M694" s="302">
        <v>0</v>
      </c>
      <c r="N694" s="302">
        <v>5278673</v>
      </c>
      <c r="O694" s="302">
        <v>0</v>
      </c>
      <c r="P694" s="232">
        <v>44930</v>
      </c>
      <c r="Q694" s="232">
        <v>5323603</v>
      </c>
      <c r="R694" s="232"/>
      <c r="S694" s="394">
        <v>1594028</v>
      </c>
      <c r="T694" s="232">
        <v>-5172</v>
      </c>
      <c r="U694" s="398">
        <v>1588856</v>
      </c>
      <c r="V694" s="232"/>
      <c r="W694" s="398">
        <v>14342671</v>
      </c>
      <c r="X694" s="398">
        <v>-5067938</v>
      </c>
      <c r="Y694" s="398"/>
      <c r="Z694" s="398"/>
    </row>
    <row r="695" spans="1:26">
      <c r="A695" s="392">
        <v>97613</v>
      </c>
      <c r="B695" s="393" t="s">
        <v>1395</v>
      </c>
      <c r="C695" s="235">
        <v>9.9099999999999996E-5</v>
      </c>
      <c r="D695" s="235">
        <v>8.7100000000000003E-5</v>
      </c>
      <c r="E695" s="232">
        <v>151979</v>
      </c>
      <c r="F695" s="232" t="s">
        <v>1930</v>
      </c>
      <c r="G695" s="394">
        <v>48350</v>
      </c>
      <c r="H695" s="394">
        <v>0</v>
      </c>
      <c r="I695" s="394">
        <v>95482</v>
      </c>
      <c r="J695" s="232">
        <v>46272</v>
      </c>
      <c r="K695" s="232">
        <v>190104</v>
      </c>
      <c r="L695" s="232"/>
      <c r="M695" s="302">
        <v>0</v>
      </c>
      <c r="N695" s="302">
        <v>217133</v>
      </c>
      <c r="O695" s="302">
        <v>0</v>
      </c>
      <c r="P695" s="232">
        <v>4921</v>
      </c>
      <c r="Q695" s="232">
        <v>222054</v>
      </c>
      <c r="R695" s="232"/>
      <c r="S695" s="394">
        <v>65569</v>
      </c>
      <c r="T695" s="232">
        <v>15243</v>
      </c>
      <c r="U695" s="398">
        <v>80812</v>
      </c>
      <c r="V695" s="232"/>
      <c r="W695" s="398">
        <v>589971</v>
      </c>
      <c r="X695" s="398">
        <v>-208464</v>
      </c>
      <c r="Y695" s="398"/>
      <c r="Z695" s="398"/>
    </row>
    <row r="696" spans="1:26">
      <c r="A696" s="392">
        <v>97621</v>
      </c>
      <c r="B696" s="393" t="s">
        <v>1396</v>
      </c>
      <c r="C696" s="235">
        <v>4.1300000000000001E-4</v>
      </c>
      <c r="D696" s="235">
        <v>4.2010000000000002E-4</v>
      </c>
      <c r="E696" s="232">
        <v>633375</v>
      </c>
      <c r="F696" s="232" t="s">
        <v>1930</v>
      </c>
      <c r="G696" s="394">
        <v>201499</v>
      </c>
      <c r="H696" s="394">
        <v>0</v>
      </c>
      <c r="I696" s="394">
        <v>397921</v>
      </c>
      <c r="J696" s="232">
        <v>0</v>
      </c>
      <c r="K696" s="232">
        <v>599420</v>
      </c>
      <c r="L696" s="232"/>
      <c r="M696" s="302">
        <v>0</v>
      </c>
      <c r="N696" s="302">
        <v>904903</v>
      </c>
      <c r="O696" s="302">
        <v>0</v>
      </c>
      <c r="P696" s="232">
        <v>82092</v>
      </c>
      <c r="Q696" s="232">
        <v>986995</v>
      </c>
      <c r="R696" s="232"/>
      <c r="S696" s="394">
        <v>273258</v>
      </c>
      <c r="T696" s="232">
        <v>-49912</v>
      </c>
      <c r="U696" s="398">
        <v>223346</v>
      </c>
      <c r="V696" s="232"/>
      <c r="W696" s="398">
        <v>2458710</v>
      </c>
      <c r="X696" s="398">
        <v>-868777</v>
      </c>
      <c r="Y696" s="398"/>
      <c r="Z696" s="398"/>
    </row>
    <row r="697" spans="1:26">
      <c r="A697" s="392">
        <v>97623</v>
      </c>
      <c r="B697" s="393" t="s">
        <v>1397</v>
      </c>
      <c r="C697" s="235">
        <v>2.6599999999999999E-5</v>
      </c>
      <c r="D697" s="235">
        <v>2.4499999999999999E-5</v>
      </c>
      <c r="E697" s="232">
        <v>40794</v>
      </c>
      <c r="F697" s="232" t="s">
        <v>1930</v>
      </c>
      <c r="G697" s="394">
        <v>12978</v>
      </c>
      <c r="H697" s="394">
        <v>0</v>
      </c>
      <c r="I697" s="394">
        <v>25629</v>
      </c>
      <c r="J697" s="232">
        <v>4826</v>
      </c>
      <c r="K697" s="232">
        <v>43433</v>
      </c>
      <c r="L697" s="232"/>
      <c r="M697" s="302">
        <v>0</v>
      </c>
      <c r="N697" s="302">
        <v>58282</v>
      </c>
      <c r="O697" s="302">
        <v>0</v>
      </c>
      <c r="P697" s="232">
        <v>1052</v>
      </c>
      <c r="Q697" s="232">
        <v>59334</v>
      </c>
      <c r="R697" s="232"/>
      <c r="S697" s="394">
        <v>17600</v>
      </c>
      <c r="T697" s="232">
        <v>190</v>
      </c>
      <c r="U697" s="398">
        <v>17790</v>
      </c>
      <c r="V697" s="232"/>
      <c r="W697" s="398">
        <v>158358</v>
      </c>
      <c r="X697" s="398">
        <v>-55955</v>
      </c>
      <c r="Y697" s="398"/>
      <c r="Z697" s="398"/>
    </row>
    <row r="698" spans="1:26">
      <c r="A698" s="392">
        <v>97627</v>
      </c>
      <c r="B698" s="393" t="s">
        <v>1398</v>
      </c>
      <c r="C698" s="235">
        <v>3.4999999999999999E-6</v>
      </c>
      <c r="D698" s="235">
        <v>5.4999999999999999E-6</v>
      </c>
      <c r="E698" s="232">
        <v>5368</v>
      </c>
      <c r="F698" s="232" t="s">
        <v>1930</v>
      </c>
      <c r="G698" s="394">
        <v>1708</v>
      </c>
      <c r="H698" s="394">
        <v>0</v>
      </c>
      <c r="I698" s="394">
        <v>3372</v>
      </c>
      <c r="J698" s="232">
        <v>421</v>
      </c>
      <c r="K698" s="232">
        <v>5501</v>
      </c>
      <c r="L698" s="232"/>
      <c r="M698" s="302">
        <v>0</v>
      </c>
      <c r="N698" s="302">
        <v>7669</v>
      </c>
      <c r="O698" s="302">
        <v>0</v>
      </c>
      <c r="P698" s="232">
        <v>2537</v>
      </c>
      <c r="Q698" s="232">
        <v>10206</v>
      </c>
      <c r="R698" s="232"/>
      <c r="S698" s="394">
        <v>2316</v>
      </c>
      <c r="T698" s="232">
        <v>-896</v>
      </c>
      <c r="U698" s="398">
        <v>1420</v>
      </c>
      <c r="V698" s="232"/>
      <c r="W698" s="398">
        <v>20837</v>
      </c>
      <c r="X698" s="398">
        <v>-7363</v>
      </c>
      <c r="Y698" s="398"/>
      <c r="Z698" s="398"/>
    </row>
    <row r="699" spans="1:26">
      <c r="A699" s="392">
        <v>97631</v>
      </c>
      <c r="B699" s="393" t="s">
        <v>1399</v>
      </c>
      <c r="C699" s="235">
        <v>1.984E-4</v>
      </c>
      <c r="D699" s="235">
        <v>2.118E-4</v>
      </c>
      <c r="E699" s="232">
        <v>304265</v>
      </c>
      <c r="F699" s="232" t="s">
        <v>1930</v>
      </c>
      <c r="G699" s="394">
        <v>96798</v>
      </c>
      <c r="H699" s="394">
        <v>0</v>
      </c>
      <c r="I699" s="394">
        <v>191156</v>
      </c>
      <c r="J699" s="232">
        <v>7045</v>
      </c>
      <c r="K699" s="232">
        <v>294999</v>
      </c>
      <c r="L699" s="232"/>
      <c r="M699" s="302">
        <v>0</v>
      </c>
      <c r="N699" s="302">
        <v>434704</v>
      </c>
      <c r="O699" s="302">
        <v>0</v>
      </c>
      <c r="P699" s="232">
        <v>33204</v>
      </c>
      <c r="Q699" s="232">
        <v>467908</v>
      </c>
      <c r="R699" s="232"/>
      <c r="S699" s="394">
        <v>131270</v>
      </c>
      <c r="T699" s="232">
        <v>-10472</v>
      </c>
      <c r="U699" s="398">
        <v>120798</v>
      </c>
      <c r="V699" s="232"/>
      <c r="W699" s="398">
        <v>1181133</v>
      </c>
      <c r="X699" s="398">
        <v>-417350</v>
      </c>
      <c r="Y699" s="398"/>
      <c r="Z699" s="398"/>
    </row>
    <row r="700" spans="1:26">
      <c r="A700" s="392">
        <v>97637</v>
      </c>
      <c r="B700" s="393" t="s">
        <v>1400</v>
      </c>
      <c r="C700" s="235">
        <v>0</v>
      </c>
      <c r="D700" s="235">
        <v>0</v>
      </c>
      <c r="E700" s="232">
        <v>0</v>
      </c>
      <c r="F700" s="232" t="s">
        <v>1930</v>
      </c>
      <c r="G700" s="394">
        <v>0</v>
      </c>
      <c r="H700" s="394">
        <v>0</v>
      </c>
      <c r="I700" s="394">
        <v>0</v>
      </c>
      <c r="J700" s="232">
        <v>1013</v>
      </c>
      <c r="K700" s="232">
        <v>1013</v>
      </c>
      <c r="L700" s="232"/>
      <c r="M700" s="302">
        <v>0</v>
      </c>
      <c r="N700" s="302">
        <v>0</v>
      </c>
      <c r="O700" s="302">
        <v>0</v>
      </c>
      <c r="P700" s="232">
        <v>1964</v>
      </c>
      <c r="Q700" s="232">
        <v>1964</v>
      </c>
      <c r="R700" s="232"/>
      <c r="S700" s="394">
        <v>0</v>
      </c>
      <c r="T700" s="232">
        <v>-302</v>
      </c>
      <c r="U700" s="398">
        <v>-302</v>
      </c>
      <c r="V700" s="232"/>
      <c r="W700" s="398">
        <v>0</v>
      </c>
      <c r="X700" s="398">
        <v>0</v>
      </c>
      <c r="Y700" s="398"/>
      <c r="Z700" s="398"/>
    </row>
    <row r="701" spans="1:26">
      <c r="A701" s="392">
        <v>97641</v>
      </c>
      <c r="B701" s="393" t="s">
        <v>1401</v>
      </c>
      <c r="C701" s="235">
        <v>7.7799999999999994E-5</v>
      </c>
      <c r="D701" s="235">
        <v>5.1199999999999998E-5</v>
      </c>
      <c r="E701" s="232">
        <v>119314</v>
      </c>
      <c r="F701" s="232" t="s">
        <v>1930</v>
      </c>
      <c r="G701" s="394">
        <v>37958</v>
      </c>
      <c r="H701" s="394">
        <v>0</v>
      </c>
      <c r="I701" s="394">
        <v>74960</v>
      </c>
      <c r="J701" s="232">
        <v>60032</v>
      </c>
      <c r="K701" s="232">
        <v>172950</v>
      </c>
      <c r="L701" s="232"/>
      <c r="M701" s="302">
        <v>0</v>
      </c>
      <c r="N701" s="302">
        <v>170464</v>
      </c>
      <c r="O701" s="302">
        <v>0</v>
      </c>
      <c r="P701" s="232">
        <v>2073</v>
      </c>
      <c r="Q701" s="232">
        <v>172537</v>
      </c>
      <c r="R701" s="232"/>
      <c r="S701" s="394">
        <v>51476</v>
      </c>
      <c r="T701" s="232">
        <v>19808</v>
      </c>
      <c r="U701" s="398">
        <v>71284</v>
      </c>
      <c r="V701" s="232"/>
      <c r="W701" s="398">
        <v>463166</v>
      </c>
      <c r="X701" s="398">
        <v>-163658</v>
      </c>
      <c r="Y701" s="398"/>
      <c r="Z701" s="398"/>
    </row>
    <row r="702" spans="1:26">
      <c r="A702" s="392">
        <v>97651</v>
      </c>
      <c r="B702" s="393" t="s">
        <v>1402</v>
      </c>
      <c r="C702" s="235">
        <v>4.8879999999999996E-4</v>
      </c>
      <c r="D702" s="235">
        <v>5.2769999999999998E-4</v>
      </c>
      <c r="E702" s="232">
        <v>749622</v>
      </c>
      <c r="F702" s="232" t="s">
        <v>1930</v>
      </c>
      <c r="G702" s="394">
        <v>238482</v>
      </c>
      <c r="H702" s="394">
        <v>0</v>
      </c>
      <c r="I702" s="394">
        <v>470954</v>
      </c>
      <c r="J702" s="232">
        <v>0</v>
      </c>
      <c r="K702" s="232">
        <v>709436</v>
      </c>
      <c r="L702" s="232"/>
      <c r="M702" s="302">
        <v>0</v>
      </c>
      <c r="N702" s="302">
        <v>1070984</v>
      </c>
      <c r="O702" s="302">
        <v>0</v>
      </c>
      <c r="P702" s="232">
        <v>102783</v>
      </c>
      <c r="Q702" s="232">
        <v>1173767</v>
      </c>
      <c r="R702" s="232"/>
      <c r="S702" s="394">
        <v>323411</v>
      </c>
      <c r="T702" s="232">
        <v>-43114</v>
      </c>
      <c r="U702" s="398">
        <v>280297</v>
      </c>
      <c r="V702" s="232"/>
      <c r="W702" s="398">
        <v>2909969</v>
      </c>
      <c r="X702" s="398">
        <v>-1028228</v>
      </c>
      <c r="Y702" s="398"/>
      <c r="Z702" s="398"/>
    </row>
    <row r="703" spans="1:26">
      <c r="A703" s="392">
        <v>97661</v>
      </c>
      <c r="B703" s="393" t="s">
        <v>1403</v>
      </c>
      <c r="C703" s="235">
        <v>4.74E-5</v>
      </c>
      <c r="D703" s="235">
        <v>4.2400000000000001E-5</v>
      </c>
      <c r="E703" s="232">
        <v>72692</v>
      </c>
      <c r="F703" s="232" t="s">
        <v>1930</v>
      </c>
      <c r="G703" s="394">
        <v>23126</v>
      </c>
      <c r="H703" s="394">
        <v>0</v>
      </c>
      <c r="I703" s="394">
        <v>45669</v>
      </c>
      <c r="J703" s="232">
        <v>12736</v>
      </c>
      <c r="K703" s="232">
        <v>81531</v>
      </c>
      <c r="L703" s="232"/>
      <c r="M703" s="302">
        <v>0</v>
      </c>
      <c r="N703" s="302">
        <v>103856</v>
      </c>
      <c r="O703" s="302">
        <v>0</v>
      </c>
      <c r="P703" s="232">
        <v>7233</v>
      </c>
      <c r="Q703" s="232">
        <v>111089</v>
      </c>
      <c r="R703" s="232"/>
      <c r="S703" s="394">
        <v>31362</v>
      </c>
      <c r="T703" s="232">
        <v>2423</v>
      </c>
      <c r="U703" s="398">
        <v>33785</v>
      </c>
      <c r="V703" s="232"/>
      <c r="W703" s="398">
        <v>282186</v>
      </c>
      <c r="X703" s="398">
        <v>-99710</v>
      </c>
      <c r="Y703" s="398"/>
      <c r="Z703" s="398"/>
    </row>
    <row r="704" spans="1:26">
      <c r="A704" s="392">
        <v>97701</v>
      </c>
      <c r="B704" s="393" t="s">
        <v>1404</v>
      </c>
      <c r="C704" s="235">
        <v>2.4559E-3</v>
      </c>
      <c r="D704" s="235">
        <v>2.392E-3</v>
      </c>
      <c r="E704" s="232">
        <v>3766358</v>
      </c>
      <c r="F704" s="232" t="s">
        <v>1930</v>
      </c>
      <c r="G704" s="394">
        <v>1198214</v>
      </c>
      <c r="H704" s="394">
        <v>0</v>
      </c>
      <c r="I704" s="394">
        <v>2366235</v>
      </c>
      <c r="J704" s="232">
        <v>89642</v>
      </c>
      <c r="K704" s="232">
        <v>3654091</v>
      </c>
      <c r="L704" s="232"/>
      <c r="M704" s="302">
        <v>0</v>
      </c>
      <c r="N704" s="302">
        <v>5380995</v>
      </c>
      <c r="O704" s="302">
        <v>0</v>
      </c>
      <c r="P704" s="232">
        <v>83430</v>
      </c>
      <c r="Q704" s="232">
        <v>5464425</v>
      </c>
      <c r="R704" s="232"/>
      <c r="S704" s="394">
        <v>1624927</v>
      </c>
      <c r="T704" s="232">
        <v>-5363</v>
      </c>
      <c r="U704" s="398">
        <v>1619564</v>
      </c>
      <c r="V704" s="232"/>
      <c r="W704" s="398">
        <v>14620690</v>
      </c>
      <c r="X704" s="398">
        <v>-5166175</v>
      </c>
      <c r="Y704" s="398"/>
      <c r="Z704" s="398"/>
    </row>
    <row r="705" spans="1:26">
      <c r="A705" s="392">
        <v>97705</v>
      </c>
      <c r="B705" s="393" t="s">
        <v>1405</v>
      </c>
      <c r="C705" s="235">
        <v>2.9300000000000001E-5</v>
      </c>
      <c r="D705" s="235">
        <v>3.1099999999999997E-5</v>
      </c>
      <c r="E705" s="232">
        <v>44934</v>
      </c>
      <c r="F705" s="232" t="s">
        <v>1930</v>
      </c>
      <c r="G705" s="394">
        <v>14295</v>
      </c>
      <c r="H705" s="394">
        <v>0</v>
      </c>
      <c r="I705" s="394">
        <v>28230</v>
      </c>
      <c r="J705" s="232">
        <v>8292</v>
      </c>
      <c r="K705" s="232">
        <v>50817</v>
      </c>
      <c r="L705" s="232"/>
      <c r="M705" s="302">
        <v>0</v>
      </c>
      <c r="N705" s="302">
        <v>64198</v>
      </c>
      <c r="O705" s="302">
        <v>0</v>
      </c>
      <c r="P705" s="232">
        <v>3333</v>
      </c>
      <c r="Q705" s="232">
        <v>67531</v>
      </c>
      <c r="R705" s="232"/>
      <c r="S705" s="394">
        <v>19386</v>
      </c>
      <c r="T705" s="232">
        <v>-975</v>
      </c>
      <c r="U705" s="398">
        <v>18411</v>
      </c>
      <c r="V705" s="232"/>
      <c r="W705" s="398">
        <v>174431</v>
      </c>
      <c r="X705" s="398">
        <v>-61635</v>
      </c>
      <c r="Y705" s="398"/>
      <c r="Z705" s="398"/>
    </row>
    <row r="706" spans="1:26">
      <c r="A706" s="392">
        <v>97711</v>
      </c>
      <c r="B706" s="393" t="s">
        <v>1406</v>
      </c>
      <c r="C706" s="235">
        <v>8.1419999999999995E-4</v>
      </c>
      <c r="D706" s="235">
        <v>8.3679999999999996E-4</v>
      </c>
      <c r="E706" s="232">
        <v>1248654</v>
      </c>
      <c r="F706" s="232" t="s">
        <v>1930</v>
      </c>
      <c r="G706" s="394">
        <v>397242</v>
      </c>
      <c r="H706" s="394">
        <v>0</v>
      </c>
      <c r="I706" s="394">
        <v>784474</v>
      </c>
      <c r="J706" s="232">
        <v>2747</v>
      </c>
      <c r="K706" s="232">
        <v>1184463</v>
      </c>
      <c r="L706" s="232"/>
      <c r="M706" s="302">
        <v>0</v>
      </c>
      <c r="N706" s="302">
        <v>1783951</v>
      </c>
      <c r="O706" s="302">
        <v>0</v>
      </c>
      <c r="P706" s="232">
        <v>38275</v>
      </c>
      <c r="Q706" s="232">
        <v>1822226</v>
      </c>
      <c r="R706" s="232"/>
      <c r="S706" s="394">
        <v>538709</v>
      </c>
      <c r="T706" s="232">
        <v>-17116</v>
      </c>
      <c r="U706" s="398">
        <v>521593</v>
      </c>
      <c r="V706" s="232"/>
      <c r="W706" s="398">
        <v>4847170</v>
      </c>
      <c r="X706" s="398">
        <v>-1712732</v>
      </c>
      <c r="Y706" s="398"/>
      <c r="Z706" s="398"/>
    </row>
    <row r="707" spans="1:26">
      <c r="A707" s="392">
        <v>97713</v>
      </c>
      <c r="B707" s="393" t="s">
        <v>1407</v>
      </c>
      <c r="C707" s="235">
        <v>6.1199999999999997E-5</v>
      </c>
      <c r="D707" s="235">
        <v>5.7899999999999998E-5</v>
      </c>
      <c r="E707" s="232">
        <v>93856</v>
      </c>
      <c r="F707" s="232" t="s">
        <v>1930</v>
      </c>
      <c r="G707" s="394">
        <v>29859</v>
      </c>
      <c r="H707" s="394">
        <v>0</v>
      </c>
      <c r="I707" s="394">
        <v>58966</v>
      </c>
      <c r="J707" s="232">
        <v>9610</v>
      </c>
      <c r="K707" s="232">
        <v>98435</v>
      </c>
      <c r="L707" s="232"/>
      <c r="M707" s="302">
        <v>0</v>
      </c>
      <c r="N707" s="302">
        <v>134092</v>
      </c>
      <c r="O707" s="302">
        <v>0</v>
      </c>
      <c r="P707" s="232">
        <v>344</v>
      </c>
      <c r="Q707" s="232">
        <v>134436</v>
      </c>
      <c r="R707" s="232"/>
      <c r="S707" s="394">
        <v>40492</v>
      </c>
      <c r="T707" s="232">
        <v>2105</v>
      </c>
      <c r="U707" s="398">
        <v>42597</v>
      </c>
      <c r="V707" s="232"/>
      <c r="W707" s="398">
        <v>364341</v>
      </c>
      <c r="X707" s="398">
        <v>-128739</v>
      </c>
      <c r="Y707" s="398"/>
      <c r="Z707" s="398"/>
    </row>
    <row r="708" spans="1:26">
      <c r="A708" s="392">
        <v>97717</v>
      </c>
      <c r="B708" s="393" t="s">
        <v>1408</v>
      </c>
      <c r="C708" s="235">
        <v>1.6399999999999999E-5</v>
      </c>
      <c r="D708" s="235">
        <v>5.5999999999999997E-6</v>
      </c>
      <c r="E708" s="232">
        <v>25151</v>
      </c>
      <c r="F708" s="232" t="s">
        <v>1930</v>
      </c>
      <c r="G708" s="394">
        <v>8001</v>
      </c>
      <c r="H708" s="394">
        <v>0</v>
      </c>
      <c r="I708" s="394">
        <v>15801</v>
      </c>
      <c r="J708" s="232">
        <v>19317</v>
      </c>
      <c r="K708" s="232">
        <v>43119</v>
      </c>
      <c r="L708" s="232"/>
      <c r="M708" s="302">
        <v>0</v>
      </c>
      <c r="N708" s="302">
        <v>35933</v>
      </c>
      <c r="O708" s="302">
        <v>0</v>
      </c>
      <c r="P708" s="232">
        <v>38</v>
      </c>
      <c r="Q708" s="232">
        <v>35971</v>
      </c>
      <c r="R708" s="232"/>
      <c r="S708" s="394">
        <v>10851</v>
      </c>
      <c r="T708" s="232">
        <v>6215</v>
      </c>
      <c r="U708" s="398">
        <v>17066</v>
      </c>
      <c r="V708" s="232"/>
      <c r="W708" s="398">
        <v>97634</v>
      </c>
      <c r="X708" s="398">
        <v>-34499</v>
      </c>
      <c r="Y708" s="398"/>
      <c r="Z708" s="398"/>
    </row>
    <row r="709" spans="1:26">
      <c r="A709" s="392">
        <v>97721</v>
      </c>
      <c r="B709" s="393" t="s">
        <v>1409</v>
      </c>
      <c r="C709" s="235">
        <v>4.7889999999999999E-4</v>
      </c>
      <c r="D709" s="235">
        <v>5.2959999999999997E-4</v>
      </c>
      <c r="E709" s="232">
        <v>734439</v>
      </c>
      <c r="F709" s="232" t="s">
        <v>1930</v>
      </c>
      <c r="G709" s="394">
        <v>233651</v>
      </c>
      <c r="H709" s="394">
        <v>0</v>
      </c>
      <c r="I709" s="394">
        <v>461415</v>
      </c>
      <c r="J709" s="232">
        <v>868</v>
      </c>
      <c r="K709" s="232">
        <v>695934</v>
      </c>
      <c r="L709" s="232"/>
      <c r="M709" s="302">
        <v>0</v>
      </c>
      <c r="N709" s="302">
        <v>1049293</v>
      </c>
      <c r="O709" s="302">
        <v>0</v>
      </c>
      <c r="P709" s="232">
        <v>148325</v>
      </c>
      <c r="Q709" s="232">
        <v>1197618</v>
      </c>
      <c r="R709" s="232"/>
      <c r="S709" s="394">
        <v>316860</v>
      </c>
      <c r="T709" s="232">
        <v>-59191</v>
      </c>
      <c r="U709" s="398">
        <v>257669</v>
      </c>
      <c r="V709" s="232"/>
      <c r="W709" s="398">
        <v>2851032</v>
      </c>
      <c r="X709" s="398">
        <v>-1007403</v>
      </c>
      <c r="Y709" s="398"/>
      <c r="Z709" s="398"/>
    </row>
    <row r="710" spans="1:26">
      <c r="A710" s="392">
        <v>97727</v>
      </c>
      <c r="B710" s="393" t="s">
        <v>1410</v>
      </c>
      <c r="C710" s="235">
        <v>2.0699999999999998E-5</v>
      </c>
      <c r="D710" s="235">
        <v>1.6900000000000001E-5</v>
      </c>
      <c r="E710" s="232">
        <v>31745</v>
      </c>
      <c r="F710" s="232" t="s">
        <v>1930</v>
      </c>
      <c r="G710" s="394">
        <v>10099</v>
      </c>
      <c r="H710" s="394">
        <v>0</v>
      </c>
      <c r="I710" s="394">
        <v>19944</v>
      </c>
      <c r="J710" s="232">
        <v>9762</v>
      </c>
      <c r="K710" s="232">
        <v>39805</v>
      </c>
      <c r="L710" s="232"/>
      <c r="M710" s="302">
        <v>0</v>
      </c>
      <c r="N710" s="302">
        <v>45355</v>
      </c>
      <c r="O710" s="302">
        <v>0</v>
      </c>
      <c r="P710" s="232">
        <v>177</v>
      </c>
      <c r="Q710" s="232">
        <v>45532</v>
      </c>
      <c r="R710" s="232"/>
      <c r="S710" s="394">
        <v>13696</v>
      </c>
      <c r="T710" s="232">
        <v>3083</v>
      </c>
      <c r="U710" s="398">
        <v>16779</v>
      </c>
      <c r="V710" s="232"/>
      <c r="W710" s="398">
        <v>123233</v>
      </c>
      <c r="X710" s="398">
        <v>-43544</v>
      </c>
      <c r="Y710" s="398"/>
      <c r="Z710" s="398"/>
    </row>
    <row r="711" spans="1:26">
      <c r="A711" s="392">
        <v>97731</v>
      </c>
      <c r="B711" s="393" t="s">
        <v>1411</v>
      </c>
      <c r="C711" s="235">
        <v>3.2299999999999999E-5</v>
      </c>
      <c r="D711" s="235">
        <v>3.8300000000000003E-5</v>
      </c>
      <c r="E711" s="232">
        <v>49535</v>
      </c>
      <c r="F711" s="232" t="s">
        <v>1930</v>
      </c>
      <c r="G711" s="394">
        <v>15759</v>
      </c>
      <c r="H711" s="394">
        <v>0</v>
      </c>
      <c r="I711" s="394">
        <v>31121</v>
      </c>
      <c r="J711" s="232">
        <v>3801</v>
      </c>
      <c r="K711" s="232">
        <v>50681</v>
      </c>
      <c r="L711" s="232"/>
      <c r="M711" s="302">
        <v>0</v>
      </c>
      <c r="N711" s="302">
        <v>70771</v>
      </c>
      <c r="O711" s="302">
        <v>0</v>
      </c>
      <c r="P711" s="232">
        <v>7014</v>
      </c>
      <c r="Q711" s="232">
        <v>77785</v>
      </c>
      <c r="R711" s="232"/>
      <c r="S711" s="394">
        <v>21371</v>
      </c>
      <c r="T711" s="232">
        <v>-108</v>
      </c>
      <c r="U711" s="398">
        <v>21263</v>
      </c>
      <c r="V711" s="232"/>
      <c r="W711" s="398">
        <v>192291</v>
      </c>
      <c r="X711" s="398">
        <v>-67946</v>
      </c>
      <c r="Y711" s="398"/>
      <c r="Z711" s="398"/>
    </row>
    <row r="712" spans="1:26">
      <c r="A712" s="392">
        <v>97801</v>
      </c>
      <c r="B712" s="393" t="s">
        <v>1946</v>
      </c>
      <c r="C712" s="235">
        <v>6.0962000000000004E-3</v>
      </c>
      <c r="D712" s="235">
        <v>6.2462999999999998E-3</v>
      </c>
      <c r="E712" s="232">
        <v>9349108</v>
      </c>
      <c r="F712" s="232" t="s">
        <v>1930</v>
      </c>
      <c r="G712" s="394">
        <v>2974287</v>
      </c>
      <c r="H712" s="394">
        <v>0</v>
      </c>
      <c r="I712" s="394">
        <v>5873628</v>
      </c>
      <c r="J712" s="232">
        <v>363734</v>
      </c>
      <c r="K712" s="232">
        <v>9211649</v>
      </c>
      <c r="L712" s="232"/>
      <c r="M712" s="302">
        <v>0</v>
      </c>
      <c r="N712" s="302">
        <v>13357067</v>
      </c>
      <c r="O712" s="302">
        <v>0</v>
      </c>
      <c r="P712" s="232">
        <v>223342</v>
      </c>
      <c r="Q712" s="232">
        <v>13580409</v>
      </c>
      <c r="R712" s="232"/>
      <c r="S712" s="394">
        <v>4033502</v>
      </c>
      <c r="T712" s="232">
        <v>-24543</v>
      </c>
      <c r="U712" s="398">
        <v>4008959</v>
      </c>
      <c r="V712" s="232"/>
      <c r="W712" s="398">
        <v>36292459</v>
      </c>
      <c r="X712" s="398">
        <v>-12823826</v>
      </c>
      <c r="Y712" s="398"/>
      <c r="Z712" s="398"/>
    </row>
    <row r="713" spans="1:26">
      <c r="A713" s="392">
        <v>97802</v>
      </c>
      <c r="B713" s="393" t="s">
        <v>1413</v>
      </c>
      <c r="C713" s="235">
        <v>1.5919999999999999E-4</v>
      </c>
      <c r="D713" s="235">
        <v>1.5880000000000001E-4</v>
      </c>
      <c r="E713" s="232">
        <v>244148</v>
      </c>
      <c r="F713" s="232" t="s">
        <v>1930</v>
      </c>
      <c r="G713" s="394">
        <v>77672</v>
      </c>
      <c r="H713" s="394">
        <v>0</v>
      </c>
      <c r="I713" s="394">
        <v>153388</v>
      </c>
      <c r="J713" s="232">
        <v>9635</v>
      </c>
      <c r="K713" s="232">
        <v>240695</v>
      </c>
      <c r="L713" s="232"/>
      <c r="M713" s="302">
        <v>0</v>
      </c>
      <c r="N713" s="302">
        <v>348815</v>
      </c>
      <c r="O713" s="302">
        <v>0</v>
      </c>
      <c r="P713" s="232">
        <v>27900</v>
      </c>
      <c r="Q713" s="232">
        <v>376715</v>
      </c>
      <c r="R713" s="232"/>
      <c r="S713" s="394">
        <v>105333</v>
      </c>
      <c r="T713" s="232">
        <v>-10767</v>
      </c>
      <c r="U713" s="398">
        <v>94566</v>
      </c>
      <c r="V713" s="232"/>
      <c r="W713" s="398">
        <v>947764</v>
      </c>
      <c r="X713" s="398">
        <v>-334889</v>
      </c>
      <c r="Y713" s="398"/>
      <c r="Z713" s="398"/>
    </row>
    <row r="714" spans="1:26">
      <c r="A714" s="392">
        <v>97803</v>
      </c>
      <c r="B714" s="393" t="s">
        <v>1414</v>
      </c>
      <c r="C714" s="235">
        <v>7.86E-5</v>
      </c>
      <c r="D714" s="235">
        <v>7.2999999999999999E-5</v>
      </c>
      <c r="E714" s="232">
        <v>120541</v>
      </c>
      <c r="F714" s="232" t="s">
        <v>1930</v>
      </c>
      <c r="G714" s="394">
        <v>38348</v>
      </c>
      <c r="H714" s="394">
        <v>0</v>
      </c>
      <c r="I714" s="394">
        <v>75730</v>
      </c>
      <c r="J714" s="232">
        <v>14233</v>
      </c>
      <c r="K714" s="232">
        <v>128311</v>
      </c>
      <c r="L714" s="232"/>
      <c r="M714" s="302">
        <v>0</v>
      </c>
      <c r="N714" s="302">
        <v>172216</v>
      </c>
      <c r="O714" s="302">
        <v>0</v>
      </c>
      <c r="P714" s="232">
        <v>4459</v>
      </c>
      <c r="Q714" s="232">
        <v>176675</v>
      </c>
      <c r="R714" s="232"/>
      <c r="S714" s="394">
        <v>52005</v>
      </c>
      <c r="T714" s="232">
        <v>3282</v>
      </c>
      <c r="U714" s="398">
        <v>55287</v>
      </c>
      <c r="V714" s="232"/>
      <c r="W714" s="398">
        <v>467929</v>
      </c>
      <c r="X714" s="398">
        <v>-165341</v>
      </c>
      <c r="Y714" s="398"/>
      <c r="Z714" s="398"/>
    </row>
    <row r="715" spans="1:26">
      <c r="A715" s="392">
        <v>97805</v>
      </c>
      <c r="B715" s="393" t="s">
        <v>1415</v>
      </c>
      <c r="C715" s="235">
        <v>8.0400000000000003E-5</v>
      </c>
      <c r="D715" s="235">
        <v>8.6299999999999997E-5</v>
      </c>
      <c r="E715" s="232">
        <v>123301</v>
      </c>
      <c r="F715" s="232" t="s">
        <v>1930</v>
      </c>
      <c r="G715" s="394">
        <v>39227</v>
      </c>
      <c r="H715" s="394">
        <v>0</v>
      </c>
      <c r="I715" s="394">
        <v>77465</v>
      </c>
      <c r="J715" s="232">
        <v>2566</v>
      </c>
      <c r="K715" s="232">
        <v>119258</v>
      </c>
      <c r="L715" s="232"/>
      <c r="M715" s="302">
        <v>0</v>
      </c>
      <c r="N715" s="302">
        <v>176160</v>
      </c>
      <c r="O715" s="302">
        <v>0</v>
      </c>
      <c r="P715" s="232">
        <v>12149</v>
      </c>
      <c r="Q715" s="232">
        <v>188309</v>
      </c>
      <c r="R715" s="232"/>
      <c r="S715" s="394">
        <v>53196</v>
      </c>
      <c r="T715" s="232">
        <v>-2392</v>
      </c>
      <c r="U715" s="398">
        <v>50804</v>
      </c>
      <c r="V715" s="232"/>
      <c r="W715" s="398">
        <v>478645</v>
      </c>
      <c r="X715" s="398">
        <v>-169128</v>
      </c>
      <c r="Y715" s="398"/>
      <c r="Z715" s="398"/>
    </row>
    <row r="716" spans="1:26">
      <c r="A716" s="392">
        <v>97811</v>
      </c>
      <c r="B716" s="393" t="s">
        <v>1416</v>
      </c>
      <c r="C716" s="235">
        <v>2.2604000000000001E-3</v>
      </c>
      <c r="D716" s="235">
        <v>2.2964000000000001E-3</v>
      </c>
      <c r="E716" s="232">
        <v>3466540</v>
      </c>
      <c r="F716" s="232" t="s">
        <v>1930</v>
      </c>
      <c r="G716" s="394">
        <v>1102831</v>
      </c>
      <c r="H716" s="394">
        <v>0</v>
      </c>
      <c r="I716" s="394">
        <v>2177873</v>
      </c>
      <c r="J716" s="232">
        <v>0</v>
      </c>
      <c r="K716" s="232">
        <v>3280704</v>
      </c>
      <c r="L716" s="232"/>
      <c r="M716" s="302">
        <v>0</v>
      </c>
      <c r="N716" s="302">
        <v>4952645</v>
      </c>
      <c r="O716" s="302">
        <v>0</v>
      </c>
      <c r="P716" s="232">
        <v>176018</v>
      </c>
      <c r="Q716" s="232">
        <v>5128663</v>
      </c>
      <c r="R716" s="232"/>
      <c r="S716" s="394">
        <v>1495576</v>
      </c>
      <c r="T716" s="232">
        <v>-74667</v>
      </c>
      <c r="U716" s="398">
        <v>1420909</v>
      </c>
      <c r="V716" s="232"/>
      <c r="W716" s="398">
        <v>13456821</v>
      </c>
      <c r="X716" s="398">
        <v>-4754925</v>
      </c>
      <c r="Y716" s="398"/>
      <c r="Z716" s="398"/>
    </row>
    <row r="717" spans="1:26">
      <c r="A717" s="392">
        <v>97817</v>
      </c>
      <c r="B717" s="393" t="s">
        <v>1417</v>
      </c>
      <c r="C717" s="235">
        <v>2.0400000000000001E-5</v>
      </c>
      <c r="D717" s="235">
        <v>1.9300000000000002E-5</v>
      </c>
      <c r="E717" s="232">
        <v>31285</v>
      </c>
      <c r="F717" s="232" t="s">
        <v>1930</v>
      </c>
      <c r="G717" s="394">
        <v>9953</v>
      </c>
      <c r="H717" s="394">
        <v>0</v>
      </c>
      <c r="I717" s="394">
        <v>19655</v>
      </c>
      <c r="J717" s="232">
        <v>12047</v>
      </c>
      <c r="K717" s="232">
        <v>41655</v>
      </c>
      <c r="L717" s="232"/>
      <c r="M717" s="302">
        <v>0</v>
      </c>
      <c r="N717" s="302">
        <v>44697</v>
      </c>
      <c r="O717" s="302">
        <v>0</v>
      </c>
      <c r="P717" s="232">
        <v>0</v>
      </c>
      <c r="Q717" s="232">
        <v>44697</v>
      </c>
      <c r="R717" s="232"/>
      <c r="S717" s="394">
        <v>13497</v>
      </c>
      <c r="T717" s="232">
        <v>9021</v>
      </c>
      <c r="U717" s="398">
        <v>22518</v>
      </c>
      <c r="V717" s="232"/>
      <c r="W717" s="398">
        <v>121447</v>
      </c>
      <c r="X717" s="398">
        <v>-42913</v>
      </c>
      <c r="Y717" s="398"/>
      <c r="Z717" s="398"/>
    </row>
    <row r="718" spans="1:26">
      <c r="A718" s="392">
        <v>97818</v>
      </c>
      <c r="B718" s="393" t="s">
        <v>1418</v>
      </c>
      <c r="C718" s="235">
        <v>1.49E-5</v>
      </c>
      <c r="D718" s="235">
        <v>1.6500000000000001E-5</v>
      </c>
      <c r="E718" s="232">
        <v>22851</v>
      </c>
      <c r="F718" s="232" t="s">
        <v>1930</v>
      </c>
      <c r="G718" s="394">
        <v>7270</v>
      </c>
      <c r="H718" s="394">
        <v>0</v>
      </c>
      <c r="I718" s="394">
        <v>14356</v>
      </c>
      <c r="J718" s="232">
        <v>3251</v>
      </c>
      <c r="K718" s="232">
        <v>24877</v>
      </c>
      <c r="L718" s="232"/>
      <c r="M718" s="302">
        <v>0</v>
      </c>
      <c r="N718" s="302">
        <v>32647</v>
      </c>
      <c r="O718" s="302">
        <v>0</v>
      </c>
      <c r="P718" s="232">
        <v>4694</v>
      </c>
      <c r="Q718" s="232">
        <v>37341</v>
      </c>
      <c r="R718" s="232"/>
      <c r="S718" s="394">
        <v>9858</v>
      </c>
      <c r="T718" s="232">
        <v>-998</v>
      </c>
      <c r="U718" s="398">
        <v>8860</v>
      </c>
      <c r="V718" s="232"/>
      <c r="W718" s="398">
        <v>88704</v>
      </c>
      <c r="X718" s="398">
        <v>-31343</v>
      </c>
      <c r="Y718" s="398"/>
      <c r="Z718" s="398"/>
    </row>
    <row r="719" spans="1:26">
      <c r="A719" s="392">
        <v>97821</v>
      </c>
      <c r="B719" s="393" t="s">
        <v>1419</v>
      </c>
      <c r="C719" s="235">
        <v>1.2430000000000001E-4</v>
      </c>
      <c r="D719" s="235">
        <v>1.038E-4</v>
      </c>
      <c r="E719" s="232">
        <v>190626</v>
      </c>
      <c r="F719" s="232" t="s">
        <v>1930</v>
      </c>
      <c r="G719" s="394">
        <v>60645</v>
      </c>
      <c r="H719" s="394">
        <v>0</v>
      </c>
      <c r="I719" s="394">
        <v>119762</v>
      </c>
      <c r="J719" s="232">
        <v>48874</v>
      </c>
      <c r="K719" s="232">
        <v>229281</v>
      </c>
      <c r="L719" s="232"/>
      <c r="M719" s="302">
        <v>0</v>
      </c>
      <c r="N719" s="302">
        <v>272347</v>
      </c>
      <c r="O719" s="302">
        <v>0</v>
      </c>
      <c r="P719" s="232">
        <v>18224</v>
      </c>
      <c r="Q719" s="232">
        <v>290571</v>
      </c>
      <c r="R719" s="232"/>
      <c r="S719" s="394">
        <v>82242</v>
      </c>
      <c r="T719" s="232">
        <v>11903</v>
      </c>
      <c r="U719" s="398">
        <v>94145</v>
      </c>
      <c r="V719" s="232"/>
      <c r="W719" s="398">
        <v>739994</v>
      </c>
      <c r="X719" s="398">
        <v>-261475</v>
      </c>
      <c r="Y719" s="398"/>
      <c r="Z719" s="398"/>
    </row>
    <row r="720" spans="1:26">
      <c r="A720" s="392">
        <v>97823</v>
      </c>
      <c r="B720" s="393" t="s">
        <v>1420</v>
      </c>
      <c r="C720" s="235">
        <v>1.9000000000000001E-5</v>
      </c>
      <c r="D720" s="235">
        <v>1.91E-5</v>
      </c>
      <c r="E720" s="232">
        <v>29138</v>
      </c>
      <c r="F720" s="232" t="s">
        <v>1930</v>
      </c>
      <c r="G720" s="394">
        <v>9270</v>
      </c>
      <c r="H720" s="394">
        <v>0</v>
      </c>
      <c r="I720" s="394">
        <v>18306</v>
      </c>
      <c r="J720" s="232">
        <v>8397</v>
      </c>
      <c r="K720" s="232">
        <v>35973</v>
      </c>
      <c r="L720" s="232"/>
      <c r="M720" s="302">
        <v>0</v>
      </c>
      <c r="N720" s="302">
        <v>41630</v>
      </c>
      <c r="O720" s="302">
        <v>0</v>
      </c>
      <c r="P720" s="232">
        <v>525</v>
      </c>
      <c r="Q720" s="232">
        <v>42155</v>
      </c>
      <c r="R720" s="232"/>
      <c r="S720" s="394">
        <v>12571</v>
      </c>
      <c r="T720" s="232">
        <v>3586</v>
      </c>
      <c r="U720" s="398">
        <v>16157</v>
      </c>
      <c r="V720" s="232"/>
      <c r="W720" s="398">
        <v>113113</v>
      </c>
      <c r="X720" s="398">
        <v>-39968</v>
      </c>
      <c r="Y720" s="398"/>
      <c r="Z720" s="398"/>
    </row>
    <row r="721" spans="1:26">
      <c r="A721" s="392">
        <v>97831</v>
      </c>
      <c r="B721" s="393" t="s">
        <v>1421</v>
      </c>
      <c r="C721" s="235">
        <v>1.9469999999999999E-4</v>
      </c>
      <c r="D721" s="235">
        <v>1.8760000000000001E-4</v>
      </c>
      <c r="E721" s="232">
        <v>298591</v>
      </c>
      <c r="F721" s="232" t="s">
        <v>1930</v>
      </c>
      <c r="G721" s="394">
        <v>94993</v>
      </c>
      <c r="H721" s="394">
        <v>0</v>
      </c>
      <c r="I721" s="394">
        <v>187592</v>
      </c>
      <c r="J721" s="232">
        <v>43343</v>
      </c>
      <c r="K721" s="232">
        <v>325928</v>
      </c>
      <c r="L721" s="232"/>
      <c r="M721" s="302">
        <v>0</v>
      </c>
      <c r="N721" s="302">
        <v>426597</v>
      </c>
      <c r="O721" s="302">
        <v>0</v>
      </c>
      <c r="P721" s="232">
        <v>826</v>
      </c>
      <c r="Q721" s="232">
        <v>427423</v>
      </c>
      <c r="R721" s="232"/>
      <c r="S721" s="394">
        <v>128822</v>
      </c>
      <c r="T721" s="232">
        <v>22850</v>
      </c>
      <c r="U721" s="398">
        <v>151672</v>
      </c>
      <c r="V721" s="232"/>
      <c r="W721" s="398">
        <v>1159106</v>
      </c>
      <c r="X721" s="398">
        <v>-409566</v>
      </c>
      <c r="Y721" s="398"/>
      <c r="Z721" s="398"/>
    </row>
    <row r="722" spans="1:26">
      <c r="A722" s="392">
        <v>97837</v>
      </c>
      <c r="B722" s="393" t="s">
        <v>1422</v>
      </c>
      <c r="C722" s="235">
        <v>1.3699999999999999E-5</v>
      </c>
      <c r="D722" s="235">
        <v>8.4999999999999999E-6</v>
      </c>
      <c r="E722" s="232">
        <v>21010</v>
      </c>
      <c r="F722" s="232" t="s">
        <v>1930</v>
      </c>
      <c r="G722" s="394">
        <v>6684</v>
      </c>
      <c r="H722" s="394">
        <v>0</v>
      </c>
      <c r="I722" s="394">
        <v>13200</v>
      </c>
      <c r="J722" s="232">
        <v>8270</v>
      </c>
      <c r="K722" s="232">
        <v>28154</v>
      </c>
      <c r="L722" s="232"/>
      <c r="M722" s="302">
        <v>0</v>
      </c>
      <c r="N722" s="302">
        <v>30017</v>
      </c>
      <c r="O722" s="302">
        <v>0</v>
      </c>
      <c r="P722" s="232">
        <v>1602</v>
      </c>
      <c r="Q722" s="232">
        <v>31619</v>
      </c>
      <c r="R722" s="232"/>
      <c r="S722" s="394">
        <v>9064</v>
      </c>
      <c r="T722" s="232">
        <v>2748</v>
      </c>
      <c r="U722" s="398">
        <v>11812</v>
      </c>
      <c r="V722" s="232"/>
      <c r="W722" s="398">
        <v>81560</v>
      </c>
      <c r="X722" s="398">
        <v>-28819</v>
      </c>
      <c r="Y722" s="398"/>
      <c r="Z722" s="398"/>
    </row>
    <row r="723" spans="1:26">
      <c r="A723" s="392">
        <v>97840</v>
      </c>
      <c r="B723" s="393" t="s">
        <v>1423</v>
      </c>
      <c r="C723" s="235">
        <v>1.3679999999999999E-4</v>
      </c>
      <c r="D723" s="235">
        <v>1.3219999999999999E-4</v>
      </c>
      <c r="E723" s="232">
        <v>209796</v>
      </c>
      <c r="F723" s="232" t="s">
        <v>1930</v>
      </c>
      <c r="G723" s="394">
        <v>66744</v>
      </c>
      <c r="H723" s="394">
        <v>0</v>
      </c>
      <c r="I723" s="394">
        <v>131805</v>
      </c>
      <c r="J723" s="232">
        <v>98629</v>
      </c>
      <c r="K723" s="232">
        <v>297178</v>
      </c>
      <c r="L723" s="232"/>
      <c r="M723" s="302">
        <v>0</v>
      </c>
      <c r="N723" s="302">
        <v>299735</v>
      </c>
      <c r="O723" s="302">
        <v>0</v>
      </c>
      <c r="P723" s="232">
        <v>0</v>
      </c>
      <c r="Q723" s="232">
        <v>299735</v>
      </c>
      <c r="R723" s="232"/>
      <c r="S723" s="394">
        <v>90513</v>
      </c>
      <c r="T723" s="232">
        <v>53750</v>
      </c>
      <c r="U723" s="398">
        <v>144263</v>
      </c>
      <c r="V723" s="232"/>
      <c r="W723" s="398">
        <v>814410</v>
      </c>
      <c r="X723" s="398">
        <v>-287769</v>
      </c>
      <c r="Y723" s="398"/>
      <c r="Z723" s="398"/>
    </row>
    <row r="724" spans="1:26">
      <c r="A724" s="392">
        <v>97841</v>
      </c>
      <c r="B724" s="393" t="s">
        <v>1424</v>
      </c>
      <c r="C724" s="235">
        <v>1.3499999999999999E-5</v>
      </c>
      <c r="D724" s="235">
        <v>1.4100000000000001E-5</v>
      </c>
      <c r="E724" s="232">
        <v>20704</v>
      </c>
      <c r="F724" s="232" t="s">
        <v>1930</v>
      </c>
      <c r="G724" s="394">
        <v>6587</v>
      </c>
      <c r="H724" s="394">
        <v>0</v>
      </c>
      <c r="I724" s="394">
        <v>13007</v>
      </c>
      <c r="J724" s="232">
        <v>1883</v>
      </c>
      <c r="K724" s="232">
        <v>21477</v>
      </c>
      <c r="L724" s="232"/>
      <c r="M724" s="302">
        <v>0</v>
      </c>
      <c r="N724" s="302">
        <v>29579</v>
      </c>
      <c r="O724" s="302">
        <v>0</v>
      </c>
      <c r="P724" s="232">
        <v>16</v>
      </c>
      <c r="Q724" s="232">
        <v>29595</v>
      </c>
      <c r="R724" s="232"/>
      <c r="S724" s="394">
        <v>8932</v>
      </c>
      <c r="T724" s="232">
        <v>629</v>
      </c>
      <c r="U724" s="398">
        <v>9561</v>
      </c>
      <c r="V724" s="232"/>
      <c r="W724" s="398">
        <v>80369</v>
      </c>
      <c r="X724" s="398">
        <v>-28398</v>
      </c>
      <c r="Y724" s="398"/>
      <c r="Z724" s="398"/>
    </row>
    <row r="725" spans="1:26">
      <c r="A725" s="392">
        <v>97847</v>
      </c>
      <c r="B725" s="393" t="s">
        <v>1425</v>
      </c>
      <c r="C725" s="235">
        <v>2.0999999999999998E-6</v>
      </c>
      <c r="D725" s="235">
        <v>1.7999999999999999E-6</v>
      </c>
      <c r="E725" s="232">
        <v>3221</v>
      </c>
      <c r="F725" s="232" t="s">
        <v>1930</v>
      </c>
      <c r="G725" s="394">
        <v>1025</v>
      </c>
      <c r="H725" s="394">
        <v>0</v>
      </c>
      <c r="I725" s="394">
        <v>2023</v>
      </c>
      <c r="J725" s="232">
        <v>4105</v>
      </c>
      <c r="K725" s="232">
        <v>7153</v>
      </c>
      <c r="L725" s="232"/>
      <c r="M725" s="302">
        <v>0</v>
      </c>
      <c r="N725" s="302">
        <v>4601</v>
      </c>
      <c r="O725" s="302">
        <v>0</v>
      </c>
      <c r="P725" s="232">
        <v>0</v>
      </c>
      <c r="Q725" s="232">
        <v>4601</v>
      </c>
      <c r="R725" s="232"/>
      <c r="S725" s="394">
        <v>1389</v>
      </c>
      <c r="T725" s="232">
        <v>2067</v>
      </c>
      <c r="U725" s="398">
        <v>3456</v>
      </c>
      <c r="V725" s="232"/>
      <c r="W725" s="398">
        <v>12502</v>
      </c>
      <c r="X725" s="398">
        <v>-4418</v>
      </c>
      <c r="Y725" s="398"/>
      <c r="Z725" s="398"/>
    </row>
    <row r="726" spans="1:26">
      <c r="A726" s="392">
        <v>97851</v>
      </c>
      <c r="B726" s="393" t="s">
        <v>1426</v>
      </c>
      <c r="C726" s="235">
        <v>2.6120000000000001E-4</v>
      </c>
      <c r="D726" s="235">
        <v>2.5589999999999999E-4</v>
      </c>
      <c r="E726" s="232">
        <v>400575</v>
      </c>
      <c r="F726" s="232" t="s">
        <v>1930</v>
      </c>
      <c r="G726" s="394">
        <v>127437</v>
      </c>
      <c r="H726" s="394">
        <v>0</v>
      </c>
      <c r="I726" s="394">
        <v>251664</v>
      </c>
      <c r="J726" s="232">
        <v>0</v>
      </c>
      <c r="K726" s="232">
        <v>379101</v>
      </c>
      <c r="L726" s="232"/>
      <c r="M726" s="302">
        <v>0</v>
      </c>
      <c r="N726" s="302">
        <v>572302</v>
      </c>
      <c r="O726" s="302">
        <v>0</v>
      </c>
      <c r="P726" s="232">
        <v>41328</v>
      </c>
      <c r="Q726" s="232">
        <v>613630</v>
      </c>
      <c r="R726" s="232"/>
      <c r="S726" s="394">
        <v>172821</v>
      </c>
      <c r="T726" s="232">
        <v>-23632</v>
      </c>
      <c r="U726" s="398">
        <v>149189</v>
      </c>
      <c r="V726" s="232"/>
      <c r="W726" s="398">
        <v>1555000</v>
      </c>
      <c r="X726" s="398">
        <v>-549454</v>
      </c>
      <c r="Y726" s="398"/>
      <c r="Z726" s="398"/>
    </row>
    <row r="727" spans="1:26">
      <c r="A727" s="392">
        <v>97853</v>
      </c>
      <c r="B727" s="393" t="s">
        <v>1427</v>
      </c>
      <c r="C727" s="235">
        <v>8.53E-5</v>
      </c>
      <c r="D727" s="235">
        <v>7.6600000000000005E-5</v>
      </c>
      <c r="E727" s="232">
        <v>130816</v>
      </c>
      <c r="F727" s="232" t="s">
        <v>1930</v>
      </c>
      <c r="G727" s="394">
        <v>41617</v>
      </c>
      <c r="H727" s="394">
        <v>0</v>
      </c>
      <c r="I727" s="394">
        <v>82186</v>
      </c>
      <c r="J727" s="232">
        <v>10004</v>
      </c>
      <c r="K727" s="232">
        <v>133807</v>
      </c>
      <c r="L727" s="232"/>
      <c r="M727" s="302">
        <v>0</v>
      </c>
      <c r="N727" s="302">
        <v>186896</v>
      </c>
      <c r="O727" s="302">
        <v>0</v>
      </c>
      <c r="P727" s="232">
        <v>13719</v>
      </c>
      <c r="Q727" s="232">
        <v>200615</v>
      </c>
      <c r="R727" s="232"/>
      <c r="S727" s="394">
        <v>56438</v>
      </c>
      <c r="T727" s="232">
        <v>-3730</v>
      </c>
      <c r="U727" s="398">
        <v>52708</v>
      </c>
      <c r="V727" s="232"/>
      <c r="W727" s="398">
        <v>507816</v>
      </c>
      <c r="X727" s="398">
        <v>-179435</v>
      </c>
      <c r="Y727" s="398"/>
      <c r="Z727" s="398"/>
    </row>
    <row r="728" spans="1:26">
      <c r="A728" s="392">
        <v>97861</v>
      </c>
      <c r="B728" s="393" t="s">
        <v>1428</v>
      </c>
      <c r="C728" s="235">
        <v>5.24E-5</v>
      </c>
      <c r="D728" s="235">
        <v>4.4700000000000002E-5</v>
      </c>
      <c r="E728" s="232">
        <v>80360</v>
      </c>
      <c r="F728" s="232" t="s">
        <v>1930</v>
      </c>
      <c r="G728" s="394">
        <v>25566</v>
      </c>
      <c r="H728" s="394">
        <v>0</v>
      </c>
      <c r="I728" s="394">
        <v>50487</v>
      </c>
      <c r="J728" s="232">
        <v>26180</v>
      </c>
      <c r="K728" s="232">
        <v>102233</v>
      </c>
      <c r="L728" s="232"/>
      <c r="M728" s="302">
        <v>0</v>
      </c>
      <c r="N728" s="302">
        <v>114811</v>
      </c>
      <c r="O728" s="302">
        <v>0</v>
      </c>
      <c r="P728" s="232">
        <v>3133</v>
      </c>
      <c r="Q728" s="232">
        <v>117944</v>
      </c>
      <c r="R728" s="232"/>
      <c r="S728" s="394">
        <v>34670</v>
      </c>
      <c r="T728" s="232">
        <v>6085</v>
      </c>
      <c r="U728" s="398">
        <v>40755</v>
      </c>
      <c r="V728" s="232"/>
      <c r="W728" s="398">
        <v>311953</v>
      </c>
      <c r="X728" s="398">
        <v>-110227</v>
      </c>
      <c r="Y728" s="398"/>
      <c r="Z728" s="398"/>
    </row>
    <row r="729" spans="1:26">
      <c r="A729" s="392">
        <v>97871</v>
      </c>
      <c r="B729" s="393" t="s">
        <v>1429</v>
      </c>
      <c r="C729" s="235">
        <v>3.1339999999999997E-4</v>
      </c>
      <c r="D729" s="235">
        <v>2.6209999999999997E-4</v>
      </c>
      <c r="E729" s="232">
        <v>480629</v>
      </c>
      <c r="F729" s="232" t="s">
        <v>1930</v>
      </c>
      <c r="G729" s="394">
        <v>152905</v>
      </c>
      <c r="H729" s="394">
        <v>0</v>
      </c>
      <c r="I729" s="394">
        <v>301958</v>
      </c>
      <c r="J729" s="232">
        <v>286619</v>
      </c>
      <c r="K729" s="232">
        <v>741482</v>
      </c>
      <c r="L729" s="232"/>
      <c r="M729" s="302">
        <v>0</v>
      </c>
      <c r="N729" s="302">
        <v>686674</v>
      </c>
      <c r="O729" s="302">
        <v>0</v>
      </c>
      <c r="P729" s="232">
        <v>21720</v>
      </c>
      <c r="Q729" s="232">
        <v>708394</v>
      </c>
      <c r="R729" s="232"/>
      <c r="S729" s="394">
        <v>207359</v>
      </c>
      <c r="T729" s="232">
        <v>138740</v>
      </c>
      <c r="U729" s="398">
        <v>346099</v>
      </c>
      <c r="V729" s="232"/>
      <c r="W729" s="398">
        <v>1865762</v>
      </c>
      <c r="X729" s="398">
        <v>-659261</v>
      </c>
      <c r="Y729" s="398"/>
      <c r="Z729" s="398"/>
    </row>
    <row r="730" spans="1:26">
      <c r="A730" s="392">
        <v>97877</v>
      </c>
      <c r="B730" s="393" t="s">
        <v>1430</v>
      </c>
      <c r="C730" s="235">
        <v>9.5000000000000005E-6</v>
      </c>
      <c r="D730" s="235">
        <v>8.8999999999999995E-6</v>
      </c>
      <c r="E730" s="232">
        <v>14569</v>
      </c>
      <c r="F730" s="232" t="s">
        <v>1930</v>
      </c>
      <c r="G730" s="394">
        <v>4635</v>
      </c>
      <c r="H730" s="394">
        <v>0</v>
      </c>
      <c r="I730" s="394">
        <v>9153</v>
      </c>
      <c r="J730" s="232">
        <v>6307</v>
      </c>
      <c r="K730" s="232">
        <v>20095</v>
      </c>
      <c r="L730" s="232"/>
      <c r="M730" s="302">
        <v>0</v>
      </c>
      <c r="N730" s="302">
        <v>20815</v>
      </c>
      <c r="O730" s="302">
        <v>0</v>
      </c>
      <c r="P730" s="232">
        <v>0</v>
      </c>
      <c r="Q730" s="232">
        <v>20815</v>
      </c>
      <c r="R730" s="232"/>
      <c r="S730" s="394">
        <v>6286</v>
      </c>
      <c r="T730" s="232">
        <v>3253</v>
      </c>
      <c r="U730" s="398">
        <v>9539</v>
      </c>
      <c r="V730" s="232"/>
      <c r="W730" s="398">
        <v>56556</v>
      </c>
      <c r="X730" s="398">
        <v>-19984</v>
      </c>
      <c r="Y730" s="398"/>
      <c r="Z730" s="398"/>
    </row>
    <row r="731" spans="1:26">
      <c r="A731" s="392">
        <v>97901</v>
      </c>
      <c r="B731" s="393" t="s">
        <v>1431</v>
      </c>
      <c r="C731" s="235">
        <v>3.7361E-3</v>
      </c>
      <c r="D731" s="235">
        <v>3.8295999999999998E-3</v>
      </c>
      <c r="E731" s="232">
        <v>5729668</v>
      </c>
      <c r="F731" s="232" t="s">
        <v>1930</v>
      </c>
      <c r="G731" s="394">
        <v>1822813</v>
      </c>
      <c r="H731" s="394">
        <v>0</v>
      </c>
      <c r="I731" s="394">
        <v>3599695</v>
      </c>
      <c r="J731" s="232">
        <v>0</v>
      </c>
      <c r="K731" s="232">
        <v>5422508</v>
      </c>
      <c r="L731" s="232"/>
      <c r="M731" s="302">
        <v>0</v>
      </c>
      <c r="N731" s="302">
        <v>8185974</v>
      </c>
      <c r="O731" s="302">
        <v>0</v>
      </c>
      <c r="P731" s="232">
        <v>364576</v>
      </c>
      <c r="Q731" s="232">
        <v>8550550</v>
      </c>
      <c r="R731" s="232"/>
      <c r="S731" s="394">
        <v>2471961</v>
      </c>
      <c r="T731" s="232">
        <v>-154685</v>
      </c>
      <c r="U731" s="398">
        <v>2317276</v>
      </c>
      <c r="V731" s="232"/>
      <c r="W731" s="398">
        <v>22242094</v>
      </c>
      <c r="X731" s="398">
        <v>-7859174</v>
      </c>
      <c r="Y731" s="398"/>
      <c r="Z731" s="398"/>
    </row>
    <row r="732" spans="1:26">
      <c r="A732" s="392">
        <v>97911</v>
      </c>
      <c r="B732" s="393" t="s">
        <v>1432</v>
      </c>
      <c r="C732" s="235">
        <v>1.1257999999999999E-3</v>
      </c>
      <c r="D732" s="235">
        <v>1.2029E-3</v>
      </c>
      <c r="E732" s="232">
        <v>1726522</v>
      </c>
      <c r="F732" s="232" t="s">
        <v>1930</v>
      </c>
      <c r="G732" s="394">
        <v>549269</v>
      </c>
      <c r="H732" s="394">
        <v>0</v>
      </c>
      <c r="I732" s="394">
        <v>1084697</v>
      </c>
      <c r="J732" s="232">
        <v>28129</v>
      </c>
      <c r="K732" s="232">
        <v>1662095</v>
      </c>
      <c r="L732" s="232"/>
      <c r="M732" s="302">
        <v>0</v>
      </c>
      <c r="N732" s="302">
        <v>2466682</v>
      </c>
      <c r="O732" s="302">
        <v>0</v>
      </c>
      <c r="P732" s="232">
        <v>99632</v>
      </c>
      <c r="Q732" s="232">
        <v>2566314</v>
      </c>
      <c r="R732" s="232"/>
      <c r="S732" s="394">
        <v>744877</v>
      </c>
      <c r="T732" s="232">
        <v>-20916</v>
      </c>
      <c r="U732" s="398">
        <v>723961</v>
      </c>
      <c r="V732" s="232"/>
      <c r="W732" s="398">
        <v>6702216</v>
      </c>
      <c r="X732" s="398">
        <v>-2368207</v>
      </c>
      <c r="Y732" s="398"/>
      <c r="Z732" s="398"/>
    </row>
    <row r="733" spans="1:26">
      <c r="A733" s="392">
        <v>97913</v>
      </c>
      <c r="B733" s="393" t="s">
        <v>1433</v>
      </c>
      <c r="C733" s="235">
        <v>3.4400000000000003E-5</v>
      </c>
      <c r="D733" s="235">
        <v>2.2900000000000001E-5</v>
      </c>
      <c r="E733" s="232">
        <v>52756</v>
      </c>
      <c r="F733" s="232" t="s">
        <v>1930</v>
      </c>
      <c r="G733" s="394">
        <v>16783</v>
      </c>
      <c r="H733" s="394">
        <v>0</v>
      </c>
      <c r="I733" s="394">
        <v>33144</v>
      </c>
      <c r="J733" s="232">
        <v>36021</v>
      </c>
      <c r="K733" s="232">
        <v>85948</v>
      </c>
      <c r="L733" s="232"/>
      <c r="M733" s="302">
        <v>0</v>
      </c>
      <c r="N733" s="302">
        <v>75372</v>
      </c>
      <c r="O733" s="302">
        <v>0</v>
      </c>
      <c r="P733" s="232">
        <v>0</v>
      </c>
      <c r="Q733" s="232">
        <v>75372</v>
      </c>
      <c r="R733" s="232"/>
      <c r="S733" s="394">
        <v>22760</v>
      </c>
      <c r="T733" s="232">
        <v>15792</v>
      </c>
      <c r="U733" s="398">
        <v>38552</v>
      </c>
      <c r="V733" s="232"/>
      <c r="W733" s="398">
        <v>204793</v>
      </c>
      <c r="X733" s="398">
        <v>-72363</v>
      </c>
      <c r="Y733" s="398"/>
      <c r="Z733" s="398"/>
    </row>
    <row r="734" spans="1:26">
      <c r="A734" s="392">
        <v>97917</v>
      </c>
      <c r="B734" s="393" t="s">
        <v>1434</v>
      </c>
      <c r="C734" s="235">
        <v>2.2500000000000001E-5</v>
      </c>
      <c r="D734" s="235">
        <v>1.7799999999999999E-5</v>
      </c>
      <c r="E734" s="232">
        <v>34506</v>
      </c>
      <c r="F734" s="232" t="s">
        <v>1930</v>
      </c>
      <c r="G734" s="394">
        <v>10978</v>
      </c>
      <c r="H734" s="394">
        <v>0</v>
      </c>
      <c r="I734" s="394">
        <v>21679</v>
      </c>
      <c r="J734" s="232">
        <v>18557</v>
      </c>
      <c r="K734" s="232">
        <v>51214</v>
      </c>
      <c r="L734" s="232"/>
      <c r="M734" s="302">
        <v>0</v>
      </c>
      <c r="N734" s="302">
        <v>49299</v>
      </c>
      <c r="O734" s="302">
        <v>0</v>
      </c>
      <c r="P734" s="232">
        <v>0</v>
      </c>
      <c r="Q734" s="232">
        <v>49299</v>
      </c>
      <c r="R734" s="232"/>
      <c r="S734" s="394">
        <v>14887</v>
      </c>
      <c r="T734" s="232">
        <v>8282</v>
      </c>
      <c r="U734" s="398">
        <v>23169</v>
      </c>
      <c r="V734" s="232"/>
      <c r="W734" s="398">
        <v>133949</v>
      </c>
      <c r="X734" s="398">
        <v>-47330</v>
      </c>
      <c r="Y734" s="398"/>
      <c r="Z734" s="398"/>
    </row>
    <row r="735" spans="1:26">
      <c r="A735" s="392">
        <v>97921</v>
      </c>
      <c r="B735" s="393" t="s">
        <v>1435</v>
      </c>
      <c r="C735" s="235">
        <v>2.14E-4</v>
      </c>
      <c r="D735" s="235">
        <v>2.14E-4</v>
      </c>
      <c r="E735" s="232">
        <v>328190</v>
      </c>
      <c r="F735" s="232" t="s">
        <v>1930</v>
      </c>
      <c r="G735" s="394">
        <v>104409</v>
      </c>
      <c r="H735" s="394">
        <v>0</v>
      </c>
      <c r="I735" s="394">
        <v>206187</v>
      </c>
      <c r="J735" s="232">
        <v>8144</v>
      </c>
      <c r="K735" s="232">
        <v>318740</v>
      </c>
      <c r="L735" s="232"/>
      <c r="M735" s="302">
        <v>0</v>
      </c>
      <c r="N735" s="302">
        <v>468884</v>
      </c>
      <c r="O735" s="302">
        <v>0</v>
      </c>
      <c r="P735" s="232">
        <v>6570</v>
      </c>
      <c r="Q735" s="232">
        <v>475454</v>
      </c>
      <c r="R735" s="232"/>
      <c r="S735" s="394">
        <v>141591</v>
      </c>
      <c r="T735" s="232">
        <v>1656</v>
      </c>
      <c r="U735" s="398">
        <v>143247</v>
      </c>
      <c r="V735" s="232"/>
      <c r="W735" s="398">
        <v>1274004</v>
      </c>
      <c r="X735" s="398">
        <v>-450165</v>
      </c>
      <c r="Y735" s="398"/>
      <c r="Z735" s="398"/>
    </row>
    <row r="736" spans="1:26">
      <c r="A736" s="392">
        <v>97931</v>
      </c>
      <c r="B736" s="393" t="s">
        <v>1436</v>
      </c>
      <c r="C736" s="235">
        <v>6.9499999999999995E-5</v>
      </c>
      <c r="D736" s="235">
        <v>7.7700000000000005E-5</v>
      </c>
      <c r="E736" s="232">
        <v>106585</v>
      </c>
      <c r="F736" s="232" t="s">
        <v>1930</v>
      </c>
      <c r="G736" s="394">
        <v>33908</v>
      </c>
      <c r="H736" s="394">
        <v>0</v>
      </c>
      <c r="I736" s="394">
        <v>66963</v>
      </c>
      <c r="J736" s="232">
        <v>8373</v>
      </c>
      <c r="K736" s="232">
        <v>109244</v>
      </c>
      <c r="L736" s="232"/>
      <c r="M736" s="302">
        <v>0</v>
      </c>
      <c r="N736" s="302">
        <v>152278</v>
      </c>
      <c r="O736" s="302">
        <v>0</v>
      </c>
      <c r="P736" s="232">
        <v>14765</v>
      </c>
      <c r="Q736" s="232">
        <v>167043</v>
      </c>
      <c r="R736" s="232"/>
      <c r="S736" s="394">
        <v>45984</v>
      </c>
      <c r="T736" s="232">
        <v>353</v>
      </c>
      <c r="U736" s="398">
        <v>46337</v>
      </c>
      <c r="V736" s="232"/>
      <c r="W736" s="398">
        <v>413754</v>
      </c>
      <c r="X736" s="398">
        <v>-146199</v>
      </c>
      <c r="Y736" s="398"/>
      <c r="Z736" s="398"/>
    </row>
    <row r="737" spans="1:26">
      <c r="A737" s="392">
        <v>97941</v>
      </c>
      <c r="B737" s="393" t="s">
        <v>1437</v>
      </c>
      <c r="C737" s="235">
        <v>2.106E-4</v>
      </c>
      <c r="D737" s="235">
        <v>2.195E-4</v>
      </c>
      <c r="E737" s="232">
        <v>322975</v>
      </c>
      <c r="F737" s="232" t="s">
        <v>1930</v>
      </c>
      <c r="G737" s="394">
        <v>102750</v>
      </c>
      <c r="H737" s="394">
        <v>0</v>
      </c>
      <c r="I737" s="394">
        <v>202911</v>
      </c>
      <c r="J737" s="232">
        <v>19946</v>
      </c>
      <c r="K737" s="232">
        <v>325607</v>
      </c>
      <c r="L737" s="232"/>
      <c r="M737" s="302">
        <v>0</v>
      </c>
      <c r="N737" s="302">
        <v>461435</v>
      </c>
      <c r="O737" s="302">
        <v>0</v>
      </c>
      <c r="P737" s="232">
        <v>23188</v>
      </c>
      <c r="Q737" s="232">
        <v>484623</v>
      </c>
      <c r="R737" s="232"/>
      <c r="S737" s="394">
        <v>139342</v>
      </c>
      <c r="T737" s="232">
        <v>1411</v>
      </c>
      <c r="U737" s="398">
        <v>140753</v>
      </c>
      <c r="V737" s="232"/>
      <c r="W737" s="398">
        <v>1253763</v>
      </c>
      <c r="X737" s="398">
        <v>-443013</v>
      </c>
      <c r="Y737" s="398"/>
      <c r="Z737" s="398"/>
    </row>
    <row r="738" spans="1:26">
      <c r="A738" s="392">
        <v>97947</v>
      </c>
      <c r="B738" s="393" t="s">
        <v>1438</v>
      </c>
      <c r="C738" s="235">
        <v>1.63E-5</v>
      </c>
      <c r="D738" s="235">
        <v>1.5E-5</v>
      </c>
      <c r="E738" s="232">
        <v>24998</v>
      </c>
      <c r="F738" s="232" t="s">
        <v>1930</v>
      </c>
      <c r="G738" s="394">
        <v>7953</v>
      </c>
      <c r="H738" s="394">
        <v>0</v>
      </c>
      <c r="I738" s="394">
        <v>15705</v>
      </c>
      <c r="J738" s="232">
        <v>13211</v>
      </c>
      <c r="K738" s="232">
        <v>36869</v>
      </c>
      <c r="L738" s="232"/>
      <c r="M738" s="302">
        <v>0</v>
      </c>
      <c r="N738" s="302">
        <v>35714</v>
      </c>
      <c r="O738" s="302">
        <v>0</v>
      </c>
      <c r="P738" s="232">
        <v>0</v>
      </c>
      <c r="Q738" s="232">
        <v>35714</v>
      </c>
      <c r="R738" s="232"/>
      <c r="S738" s="394">
        <v>10785</v>
      </c>
      <c r="T738" s="232">
        <v>6634</v>
      </c>
      <c r="U738" s="398">
        <v>17419</v>
      </c>
      <c r="V738" s="232"/>
      <c r="W738" s="398">
        <v>97039</v>
      </c>
      <c r="X738" s="398">
        <v>-34288</v>
      </c>
      <c r="Y738" s="398"/>
      <c r="Z738" s="398"/>
    </row>
    <row r="739" spans="1:26">
      <c r="A739" s="392">
        <v>97948</v>
      </c>
      <c r="B739" s="393" t="s">
        <v>1439</v>
      </c>
      <c r="C739" s="235">
        <v>2.6400000000000001E-5</v>
      </c>
      <c r="D739" s="235">
        <v>2.65E-5</v>
      </c>
      <c r="E739" s="232">
        <v>40487</v>
      </c>
      <c r="F739" s="232" t="s">
        <v>1930</v>
      </c>
      <c r="G739" s="394">
        <v>12880</v>
      </c>
      <c r="H739" s="394">
        <v>0</v>
      </c>
      <c r="I739" s="394">
        <v>25436</v>
      </c>
      <c r="J739" s="232">
        <v>2061</v>
      </c>
      <c r="K739" s="232">
        <v>40377</v>
      </c>
      <c r="L739" s="232"/>
      <c r="M739" s="302">
        <v>0</v>
      </c>
      <c r="N739" s="302">
        <v>57844</v>
      </c>
      <c r="O739" s="302">
        <v>0</v>
      </c>
      <c r="P739" s="232">
        <v>2764</v>
      </c>
      <c r="Q739" s="232">
        <v>60608</v>
      </c>
      <c r="R739" s="232"/>
      <c r="S739" s="394">
        <v>17467</v>
      </c>
      <c r="T739" s="232">
        <v>-1898</v>
      </c>
      <c r="U739" s="398">
        <v>15569</v>
      </c>
      <c r="V739" s="232"/>
      <c r="W739" s="398">
        <v>157167</v>
      </c>
      <c r="X739" s="398">
        <v>-55534</v>
      </c>
      <c r="Y739" s="398"/>
      <c r="Z739" s="398"/>
    </row>
    <row r="740" spans="1:26">
      <c r="A740" s="392">
        <v>97951</v>
      </c>
      <c r="B740" s="393" t="s">
        <v>1440</v>
      </c>
      <c r="C740" s="235">
        <v>1.1387999999999999E-3</v>
      </c>
      <c r="D740" s="235">
        <v>1.1284000000000001E-3</v>
      </c>
      <c r="E740" s="232">
        <v>1746459</v>
      </c>
      <c r="F740" s="232" t="s">
        <v>1930</v>
      </c>
      <c r="G740" s="394">
        <v>555611</v>
      </c>
      <c r="H740" s="394">
        <v>0</v>
      </c>
      <c r="I740" s="394">
        <v>1097222</v>
      </c>
      <c r="J740" s="232">
        <v>55381</v>
      </c>
      <c r="K740" s="232">
        <v>1708214</v>
      </c>
      <c r="L740" s="232"/>
      <c r="M740" s="302">
        <v>0</v>
      </c>
      <c r="N740" s="302">
        <v>2495165</v>
      </c>
      <c r="O740" s="302">
        <v>0</v>
      </c>
      <c r="P740" s="232">
        <v>25</v>
      </c>
      <c r="Q740" s="232">
        <v>2495190</v>
      </c>
      <c r="R740" s="232"/>
      <c r="S740" s="394">
        <v>753478</v>
      </c>
      <c r="T740" s="232">
        <v>26113</v>
      </c>
      <c r="U740" s="398">
        <v>779591</v>
      </c>
      <c r="V740" s="232"/>
      <c r="W740" s="398">
        <v>6779609</v>
      </c>
      <c r="X740" s="398">
        <v>-2395553</v>
      </c>
      <c r="Y740" s="398"/>
      <c r="Z740" s="398"/>
    </row>
    <row r="741" spans="1:26">
      <c r="A741" s="392">
        <v>97957</v>
      </c>
      <c r="B741" s="393" t="s">
        <v>1441</v>
      </c>
      <c r="C741" s="235">
        <v>1.1800000000000001E-5</v>
      </c>
      <c r="D741" s="235">
        <v>1.3900000000000001E-5</v>
      </c>
      <c r="E741" s="232">
        <v>18096</v>
      </c>
      <c r="F741" s="232" t="s">
        <v>1930</v>
      </c>
      <c r="G741" s="394">
        <v>5757</v>
      </c>
      <c r="H741" s="394">
        <v>0</v>
      </c>
      <c r="I741" s="394">
        <v>11369</v>
      </c>
      <c r="J741" s="232">
        <v>8895</v>
      </c>
      <c r="K741" s="232">
        <v>26021</v>
      </c>
      <c r="L741" s="232"/>
      <c r="M741" s="302">
        <v>0</v>
      </c>
      <c r="N741" s="302">
        <v>25854</v>
      </c>
      <c r="O741" s="302">
        <v>0</v>
      </c>
      <c r="P741" s="232">
        <v>0</v>
      </c>
      <c r="Q741" s="232">
        <v>25854</v>
      </c>
      <c r="R741" s="232"/>
      <c r="S741" s="394">
        <v>7807</v>
      </c>
      <c r="T741" s="232">
        <v>4820</v>
      </c>
      <c r="U741" s="398">
        <v>12627</v>
      </c>
      <c r="V741" s="232"/>
      <c r="W741" s="398">
        <v>70249</v>
      </c>
      <c r="X741" s="398">
        <v>-24822</v>
      </c>
      <c r="Y741" s="398"/>
      <c r="Z741" s="398"/>
    </row>
    <row r="742" spans="1:26">
      <c r="A742" s="392">
        <v>98001</v>
      </c>
      <c r="B742" s="393" t="s">
        <v>1442</v>
      </c>
      <c r="C742" s="235">
        <v>5.5972000000000001E-3</v>
      </c>
      <c r="D742" s="235">
        <v>5.3790000000000001E-3</v>
      </c>
      <c r="E742" s="232">
        <v>8583844</v>
      </c>
      <c r="F742" s="232" t="s">
        <v>1930</v>
      </c>
      <c r="G742" s="394">
        <v>2730829</v>
      </c>
      <c r="H742" s="394">
        <v>0</v>
      </c>
      <c r="I742" s="394">
        <v>5392846</v>
      </c>
      <c r="J742" s="232">
        <v>429566</v>
      </c>
      <c r="K742" s="232">
        <v>8553241</v>
      </c>
      <c r="L742" s="232"/>
      <c r="M742" s="302">
        <v>0</v>
      </c>
      <c r="N742" s="302">
        <v>12263734</v>
      </c>
      <c r="O742" s="302">
        <v>0</v>
      </c>
      <c r="P742" s="232">
        <v>27394</v>
      </c>
      <c r="Q742" s="232">
        <v>12291128</v>
      </c>
      <c r="R742" s="232"/>
      <c r="S742" s="394">
        <v>3703343</v>
      </c>
      <c r="T742" s="232">
        <v>202884</v>
      </c>
      <c r="U742" s="398">
        <v>3906227</v>
      </c>
      <c r="V742" s="232"/>
      <c r="W742" s="398">
        <v>33321766</v>
      </c>
      <c r="X742" s="398">
        <v>-11774141</v>
      </c>
      <c r="Y742" s="398"/>
      <c r="Z742" s="398"/>
    </row>
    <row r="743" spans="1:26">
      <c r="A743" s="392">
        <v>98002</v>
      </c>
      <c r="B743" s="393" t="s">
        <v>1443</v>
      </c>
      <c r="C743" s="235">
        <v>5.5999999999999997E-6</v>
      </c>
      <c r="D743" s="235">
        <v>5.5999999999999997E-6</v>
      </c>
      <c r="E743" s="232">
        <v>8588</v>
      </c>
      <c r="F743" s="232" t="s">
        <v>1930</v>
      </c>
      <c r="G743" s="394">
        <v>2732</v>
      </c>
      <c r="H743" s="394">
        <v>0</v>
      </c>
      <c r="I743" s="394">
        <v>5396</v>
      </c>
      <c r="J743" s="232">
        <v>1322</v>
      </c>
      <c r="K743" s="232">
        <v>9450</v>
      </c>
      <c r="L743" s="232"/>
      <c r="M743" s="302">
        <v>0</v>
      </c>
      <c r="N743" s="302">
        <v>12270</v>
      </c>
      <c r="O743" s="302">
        <v>0</v>
      </c>
      <c r="P743" s="232">
        <v>491</v>
      </c>
      <c r="Q743" s="232">
        <v>12761</v>
      </c>
      <c r="R743" s="232"/>
      <c r="S743" s="394">
        <v>3705</v>
      </c>
      <c r="T743" s="232">
        <v>745</v>
      </c>
      <c r="U743" s="398">
        <v>4450</v>
      </c>
      <c r="V743" s="232"/>
      <c r="W743" s="398">
        <v>33338</v>
      </c>
      <c r="X743" s="398">
        <v>-11780</v>
      </c>
      <c r="Y743" s="398"/>
      <c r="Z743" s="398"/>
    </row>
    <row r="744" spans="1:26">
      <c r="A744" s="392">
        <v>98003</v>
      </c>
      <c r="B744" s="393" t="s">
        <v>1444</v>
      </c>
      <c r="C744" s="235">
        <v>8.2000000000000001E-5</v>
      </c>
      <c r="D744" s="235">
        <v>6.9999999999999994E-5</v>
      </c>
      <c r="E744" s="232">
        <v>125755</v>
      </c>
      <c r="F744" s="232" t="s">
        <v>1930</v>
      </c>
      <c r="G744" s="394">
        <v>40007</v>
      </c>
      <c r="H744" s="394">
        <v>0</v>
      </c>
      <c r="I744" s="394">
        <v>79006</v>
      </c>
      <c r="J744" s="232">
        <v>70174</v>
      </c>
      <c r="K744" s="232">
        <v>189187</v>
      </c>
      <c r="L744" s="232"/>
      <c r="M744" s="302">
        <v>0</v>
      </c>
      <c r="N744" s="302">
        <v>179666</v>
      </c>
      <c r="O744" s="302">
        <v>0</v>
      </c>
      <c r="P744" s="232">
        <v>0</v>
      </c>
      <c r="Q744" s="232">
        <v>179666</v>
      </c>
      <c r="R744" s="232"/>
      <c r="S744" s="394">
        <v>54255</v>
      </c>
      <c r="T744" s="232">
        <v>37184</v>
      </c>
      <c r="U744" s="398">
        <v>91439</v>
      </c>
      <c r="V744" s="232"/>
      <c r="W744" s="398">
        <v>488170</v>
      </c>
      <c r="X744" s="398">
        <v>-172493</v>
      </c>
      <c r="Y744" s="398"/>
      <c r="Z744" s="398"/>
    </row>
    <row r="745" spans="1:26">
      <c r="A745" s="392">
        <v>98004</v>
      </c>
      <c r="B745" s="393" t="s">
        <v>1445</v>
      </c>
      <c r="C745" s="235">
        <v>1.74E-4</v>
      </c>
      <c r="D745" s="235">
        <v>1.3569999999999999E-4</v>
      </c>
      <c r="E745" s="232">
        <v>266846</v>
      </c>
      <c r="F745" s="232" t="s">
        <v>1930</v>
      </c>
      <c r="G745" s="394">
        <v>84893</v>
      </c>
      <c r="H745" s="394">
        <v>0</v>
      </c>
      <c r="I745" s="394">
        <v>167647</v>
      </c>
      <c r="J745" s="232">
        <v>154724</v>
      </c>
      <c r="K745" s="232">
        <v>407264</v>
      </c>
      <c r="L745" s="232"/>
      <c r="M745" s="302">
        <v>0</v>
      </c>
      <c r="N745" s="302">
        <v>381242</v>
      </c>
      <c r="O745" s="302">
        <v>0</v>
      </c>
      <c r="P745" s="232">
        <v>0</v>
      </c>
      <c r="Q745" s="232">
        <v>381242</v>
      </c>
      <c r="R745" s="232"/>
      <c r="S745" s="394">
        <v>115126</v>
      </c>
      <c r="T745" s="232">
        <v>66809</v>
      </c>
      <c r="U745" s="398">
        <v>181935</v>
      </c>
      <c r="V745" s="232"/>
      <c r="W745" s="398">
        <v>1035873</v>
      </c>
      <c r="X745" s="398">
        <v>-366022</v>
      </c>
      <c r="Y745" s="398"/>
      <c r="Z745" s="398"/>
    </row>
    <row r="746" spans="1:26">
      <c r="A746" s="392">
        <v>98008</v>
      </c>
      <c r="B746" s="393" t="s">
        <v>1446</v>
      </c>
      <c r="C746" s="235">
        <v>6.9E-6</v>
      </c>
      <c r="D746" s="235">
        <v>6.8000000000000001E-6</v>
      </c>
      <c r="E746" s="232">
        <v>10582</v>
      </c>
      <c r="F746" s="232" t="s">
        <v>1930</v>
      </c>
      <c r="G746" s="394">
        <v>3366</v>
      </c>
      <c r="H746" s="394">
        <v>0</v>
      </c>
      <c r="I746" s="394">
        <v>6648</v>
      </c>
      <c r="J746" s="232">
        <v>308</v>
      </c>
      <c r="K746" s="232">
        <v>10322</v>
      </c>
      <c r="L746" s="232"/>
      <c r="M746" s="302">
        <v>0</v>
      </c>
      <c r="N746" s="302">
        <v>15118</v>
      </c>
      <c r="O746" s="302">
        <v>0</v>
      </c>
      <c r="P746" s="232">
        <v>614</v>
      </c>
      <c r="Q746" s="232">
        <v>15732</v>
      </c>
      <c r="R746" s="232"/>
      <c r="S746" s="394">
        <v>4565</v>
      </c>
      <c r="T746" s="232">
        <v>-227</v>
      </c>
      <c r="U746" s="398">
        <v>4338</v>
      </c>
      <c r="V746" s="232"/>
      <c r="W746" s="398">
        <v>41078</v>
      </c>
      <c r="X746" s="398">
        <v>-14515</v>
      </c>
      <c r="Y746" s="398"/>
      <c r="Z746" s="398"/>
    </row>
    <row r="747" spans="1:26">
      <c r="A747" s="392">
        <v>98011</v>
      </c>
      <c r="B747" s="393" t="s">
        <v>1447</v>
      </c>
      <c r="C747" s="235">
        <v>3.2637999999999999E-3</v>
      </c>
      <c r="D747" s="235">
        <v>3.4218999999999999E-3</v>
      </c>
      <c r="E747" s="232">
        <v>5005351</v>
      </c>
      <c r="F747" s="232" t="s">
        <v>1930</v>
      </c>
      <c r="G747" s="394">
        <v>1592382</v>
      </c>
      <c r="H747" s="394">
        <v>0</v>
      </c>
      <c r="I747" s="394">
        <v>3144639</v>
      </c>
      <c r="J747" s="232">
        <v>37606</v>
      </c>
      <c r="K747" s="232">
        <v>4774627</v>
      </c>
      <c r="L747" s="232"/>
      <c r="M747" s="302">
        <v>0</v>
      </c>
      <c r="N747" s="302">
        <v>7151142</v>
      </c>
      <c r="O747" s="302">
        <v>0</v>
      </c>
      <c r="P747" s="232">
        <v>530665</v>
      </c>
      <c r="Q747" s="232">
        <v>7681807</v>
      </c>
      <c r="R747" s="232"/>
      <c r="S747" s="394">
        <v>2159467</v>
      </c>
      <c r="T747" s="232">
        <v>-171321</v>
      </c>
      <c r="U747" s="398">
        <v>1988146</v>
      </c>
      <c r="V747" s="232"/>
      <c r="W747" s="398">
        <v>19430354</v>
      </c>
      <c r="X747" s="398">
        <v>-6865655</v>
      </c>
      <c r="Y747" s="398"/>
      <c r="Z747" s="398"/>
    </row>
    <row r="748" spans="1:26">
      <c r="A748" s="392">
        <v>98013</v>
      </c>
      <c r="B748" s="393" t="s">
        <v>1448</v>
      </c>
      <c r="C748" s="235">
        <v>1.3109999999999999E-4</v>
      </c>
      <c r="D748" s="235">
        <v>1.4520000000000001E-4</v>
      </c>
      <c r="E748" s="232">
        <v>201054</v>
      </c>
      <c r="F748" s="232" t="s">
        <v>1930</v>
      </c>
      <c r="G748" s="394">
        <v>63963</v>
      </c>
      <c r="H748" s="394">
        <v>0</v>
      </c>
      <c r="I748" s="394">
        <v>126314</v>
      </c>
      <c r="J748" s="232">
        <v>51758</v>
      </c>
      <c r="K748" s="232">
        <v>242035</v>
      </c>
      <c r="L748" s="232"/>
      <c r="M748" s="302">
        <v>0</v>
      </c>
      <c r="N748" s="302">
        <v>287246</v>
      </c>
      <c r="O748" s="302">
        <v>0</v>
      </c>
      <c r="P748" s="232">
        <v>20611</v>
      </c>
      <c r="Q748" s="232">
        <v>307857</v>
      </c>
      <c r="R748" s="232"/>
      <c r="S748" s="394">
        <v>86741</v>
      </c>
      <c r="T748" s="232">
        <v>40500</v>
      </c>
      <c r="U748" s="398">
        <v>127241</v>
      </c>
      <c r="V748" s="232"/>
      <c r="W748" s="398">
        <v>780477</v>
      </c>
      <c r="X748" s="398">
        <v>-275779</v>
      </c>
      <c r="Y748" s="398"/>
      <c r="Z748" s="398"/>
    </row>
    <row r="749" spans="1:26">
      <c r="A749" s="392">
        <v>98021</v>
      </c>
      <c r="B749" s="393" t="s">
        <v>1449</v>
      </c>
      <c r="C749" s="235">
        <v>3.8399999999999998E-5</v>
      </c>
      <c r="D749" s="235">
        <v>4.0899999999999998E-5</v>
      </c>
      <c r="E749" s="232">
        <v>58890</v>
      </c>
      <c r="F749" s="232" t="s">
        <v>1930</v>
      </c>
      <c r="G749" s="394">
        <v>18735</v>
      </c>
      <c r="H749" s="394">
        <v>0</v>
      </c>
      <c r="I749" s="394">
        <v>36998</v>
      </c>
      <c r="J749" s="232">
        <v>14383</v>
      </c>
      <c r="K749" s="232">
        <v>70116</v>
      </c>
      <c r="L749" s="232"/>
      <c r="M749" s="302">
        <v>0</v>
      </c>
      <c r="N749" s="302">
        <v>84136</v>
      </c>
      <c r="O749" s="302">
        <v>0</v>
      </c>
      <c r="P749" s="232">
        <v>7039</v>
      </c>
      <c r="Q749" s="232">
        <v>91175</v>
      </c>
      <c r="R749" s="232"/>
      <c r="S749" s="394">
        <v>25407</v>
      </c>
      <c r="T749" s="232">
        <v>-1145</v>
      </c>
      <c r="U749" s="398">
        <v>24262</v>
      </c>
      <c r="V749" s="232"/>
      <c r="W749" s="398">
        <v>228606</v>
      </c>
      <c r="X749" s="398">
        <v>-80777</v>
      </c>
      <c r="Y749" s="398"/>
      <c r="Z749" s="398"/>
    </row>
    <row r="750" spans="1:26">
      <c r="A750" s="392">
        <v>98023</v>
      </c>
      <c r="B750" s="393" t="s">
        <v>1450</v>
      </c>
      <c r="C750" s="235">
        <v>6.3999999999999997E-6</v>
      </c>
      <c r="D750" s="235">
        <v>1.1800000000000001E-5</v>
      </c>
      <c r="E750" s="232">
        <v>9815</v>
      </c>
      <c r="F750" s="232" t="s">
        <v>1930</v>
      </c>
      <c r="G750" s="394">
        <v>3123</v>
      </c>
      <c r="H750" s="394">
        <v>0</v>
      </c>
      <c r="I750" s="394">
        <v>6166</v>
      </c>
      <c r="J750" s="232">
        <v>2057</v>
      </c>
      <c r="K750" s="232">
        <v>11346</v>
      </c>
      <c r="L750" s="232"/>
      <c r="M750" s="302">
        <v>0</v>
      </c>
      <c r="N750" s="302">
        <v>14023</v>
      </c>
      <c r="O750" s="302">
        <v>0</v>
      </c>
      <c r="P750" s="232">
        <v>14362</v>
      </c>
      <c r="Q750" s="232">
        <v>28385</v>
      </c>
      <c r="R750" s="232"/>
      <c r="S750" s="394">
        <v>4235</v>
      </c>
      <c r="T750" s="232">
        <v>-4244</v>
      </c>
      <c r="U750" s="398">
        <v>-9</v>
      </c>
      <c r="V750" s="232"/>
      <c r="W750" s="398">
        <v>38101</v>
      </c>
      <c r="X750" s="398">
        <v>-13463</v>
      </c>
      <c r="Y750" s="398"/>
      <c r="Z750" s="398"/>
    </row>
    <row r="751" spans="1:26">
      <c r="A751" s="392">
        <v>98031</v>
      </c>
      <c r="B751" s="393" t="s">
        <v>1451</v>
      </c>
      <c r="C751" s="235">
        <v>1.563E-4</v>
      </c>
      <c r="D751" s="235">
        <v>1.3129999999999999E-4</v>
      </c>
      <c r="E751" s="232">
        <v>239701</v>
      </c>
      <c r="F751" s="232" t="s">
        <v>1930</v>
      </c>
      <c r="G751" s="394">
        <v>76258</v>
      </c>
      <c r="H751" s="394">
        <v>0</v>
      </c>
      <c r="I751" s="394">
        <v>150593</v>
      </c>
      <c r="J751" s="232">
        <v>44807</v>
      </c>
      <c r="K751" s="232">
        <v>271658</v>
      </c>
      <c r="L751" s="232"/>
      <c r="M751" s="302">
        <v>0</v>
      </c>
      <c r="N751" s="302">
        <v>342461</v>
      </c>
      <c r="O751" s="302">
        <v>0</v>
      </c>
      <c r="P751" s="232">
        <v>28858</v>
      </c>
      <c r="Q751" s="232">
        <v>371319</v>
      </c>
      <c r="R751" s="232"/>
      <c r="S751" s="394">
        <v>103415</v>
      </c>
      <c r="T751" s="232">
        <v>535</v>
      </c>
      <c r="U751" s="398">
        <v>103950</v>
      </c>
      <c r="V751" s="232"/>
      <c r="W751" s="398">
        <v>930500</v>
      </c>
      <c r="X751" s="398">
        <v>-328789</v>
      </c>
      <c r="Y751" s="398"/>
      <c r="Z751" s="398"/>
    </row>
    <row r="752" spans="1:26">
      <c r="A752" s="392">
        <v>98041</v>
      </c>
      <c r="B752" s="393" t="s">
        <v>1452</v>
      </c>
      <c r="C752" s="235">
        <v>2.4140000000000001E-4</v>
      </c>
      <c r="D752" s="235">
        <v>2.1320000000000001E-4</v>
      </c>
      <c r="E752" s="232">
        <v>370210</v>
      </c>
      <c r="F752" s="232" t="s">
        <v>1930</v>
      </c>
      <c r="G752" s="394">
        <v>117777</v>
      </c>
      <c r="H752" s="394">
        <v>0</v>
      </c>
      <c r="I752" s="394">
        <v>232586</v>
      </c>
      <c r="J752" s="232">
        <v>33567</v>
      </c>
      <c r="K752" s="232">
        <v>383930</v>
      </c>
      <c r="L752" s="232"/>
      <c r="M752" s="302">
        <v>0</v>
      </c>
      <c r="N752" s="302">
        <v>528919</v>
      </c>
      <c r="O752" s="302">
        <v>0</v>
      </c>
      <c r="P752" s="232">
        <v>20971</v>
      </c>
      <c r="Q752" s="232">
        <v>549890</v>
      </c>
      <c r="R752" s="232"/>
      <c r="S752" s="394">
        <v>159720</v>
      </c>
      <c r="T752" s="232">
        <v>5537</v>
      </c>
      <c r="U752" s="398">
        <v>165257</v>
      </c>
      <c r="V752" s="232"/>
      <c r="W752" s="398">
        <v>1437125</v>
      </c>
      <c r="X752" s="398">
        <v>-507803</v>
      </c>
      <c r="Y752" s="398"/>
      <c r="Z752" s="398"/>
    </row>
    <row r="753" spans="1:26">
      <c r="A753" s="392">
        <v>98051</v>
      </c>
      <c r="B753" s="393" t="s">
        <v>1453</v>
      </c>
      <c r="C753" s="235">
        <v>2.499E-4</v>
      </c>
      <c r="D753" s="235">
        <v>2.4059999999999999E-4</v>
      </c>
      <c r="E753" s="232">
        <v>383246</v>
      </c>
      <c r="F753" s="232" t="s">
        <v>1930</v>
      </c>
      <c r="G753" s="394">
        <v>121924</v>
      </c>
      <c r="H753" s="394">
        <v>0</v>
      </c>
      <c r="I753" s="394">
        <v>240776</v>
      </c>
      <c r="J753" s="232">
        <v>39343</v>
      </c>
      <c r="K753" s="232">
        <v>402043</v>
      </c>
      <c r="L753" s="232"/>
      <c r="M753" s="302">
        <v>0</v>
      </c>
      <c r="N753" s="302">
        <v>547543</v>
      </c>
      <c r="O753" s="302">
        <v>0</v>
      </c>
      <c r="P753" s="232">
        <v>48517</v>
      </c>
      <c r="Q753" s="232">
        <v>596060</v>
      </c>
      <c r="R753" s="232"/>
      <c r="S753" s="394">
        <v>165344</v>
      </c>
      <c r="T753" s="232">
        <v>-11489</v>
      </c>
      <c r="U753" s="398">
        <v>153855</v>
      </c>
      <c r="V753" s="232"/>
      <c r="W753" s="398">
        <v>1487728</v>
      </c>
      <c r="X753" s="398">
        <v>-525684</v>
      </c>
      <c r="Y753" s="398"/>
      <c r="Z753" s="398"/>
    </row>
    <row r="754" spans="1:26">
      <c r="A754" s="392">
        <v>98061</v>
      </c>
      <c r="B754" s="393" t="s">
        <v>1454</v>
      </c>
      <c r="C754" s="235">
        <v>1.2410000000000001E-4</v>
      </c>
      <c r="D754" s="235">
        <v>1.2799999999999999E-4</v>
      </c>
      <c r="E754" s="232">
        <v>190319</v>
      </c>
      <c r="F754" s="232" t="s">
        <v>1930</v>
      </c>
      <c r="G754" s="394">
        <v>60547</v>
      </c>
      <c r="H754" s="394">
        <v>0</v>
      </c>
      <c r="I754" s="394">
        <v>119569</v>
      </c>
      <c r="J754" s="232">
        <v>2885</v>
      </c>
      <c r="K754" s="232">
        <v>183001</v>
      </c>
      <c r="L754" s="232"/>
      <c r="M754" s="302">
        <v>0</v>
      </c>
      <c r="N754" s="302">
        <v>271909</v>
      </c>
      <c r="O754" s="302">
        <v>0</v>
      </c>
      <c r="P754" s="232">
        <v>19645</v>
      </c>
      <c r="Q754" s="232">
        <v>291554</v>
      </c>
      <c r="R754" s="232"/>
      <c r="S754" s="394">
        <v>82110</v>
      </c>
      <c r="T754" s="232">
        <v>-4070</v>
      </c>
      <c r="U754" s="398">
        <v>78040</v>
      </c>
      <c r="V754" s="232"/>
      <c r="W754" s="398">
        <v>738804</v>
      </c>
      <c r="X754" s="398">
        <v>-261054</v>
      </c>
      <c r="Y754" s="398"/>
      <c r="Z754" s="398"/>
    </row>
    <row r="755" spans="1:26">
      <c r="A755" s="392">
        <v>98071</v>
      </c>
      <c r="B755" s="393" t="s">
        <v>1455</v>
      </c>
      <c r="C755" s="235">
        <v>6.6600000000000006E-5</v>
      </c>
      <c r="D755" s="235">
        <v>5.2899999999999998E-5</v>
      </c>
      <c r="E755" s="232">
        <v>102137</v>
      </c>
      <c r="F755" s="232" t="s">
        <v>1930</v>
      </c>
      <c r="G755" s="394">
        <v>32494</v>
      </c>
      <c r="H755" s="394">
        <v>0</v>
      </c>
      <c r="I755" s="394">
        <v>64168</v>
      </c>
      <c r="J755" s="232">
        <v>48484</v>
      </c>
      <c r="K755" s="232">
        <v>145146</v>
      </c>
      <c r="L755" s="232"/>
      <c r="M755" s="302">
        <v>0</v>
      </c>
      <c r="N755" s="302">
        <v>145924</v>
      </c>
      <c r="O755" s="302">
        <v>0</v>
      </c>
      <c r="P755" s="232">
        <v>0</v>
      </c>
      <c r="Q755" s="232">
        <v>145924</v>
      </c>
      <c r="R755" s="232"/>
      <c r="S755" s="394">
        <v>44065</v>
      </c>
      <c r="T755" s="232">
        <v>23577</v>
      </c>
      <c r="U755" s="398">
        <v>67642</v>
      </c>
      <c r="V755" s="232"/>
      <c r="W755" s="398">
        <v>396489</v>
      </c>
      <c r="X755" s="398">
        <v>-140098</v>
      </c>
      <c r="Y755" s="398"/>
      <c r="Z755" s="398"/>
    </row>
    <row r="756" spans="1:26">
      <c r="A756" s="392">
        <v>98081</v>
      </c>
      <c r="B756" s="393" t="s">
        <v>1456</v>
      </c>
      <c r="C756" s="235">
        <v>1.42E-5</v>
      </c>
      <c r="D756" s="235">
        <v>1.45E-5</v>
      </c>
      <c r="E756" s="232">
        <v>21777</v>
      </c>
      <c r="F756" s="232" t="s">
        <v>1930</v>
      </c>
      <c r="G756" s="394">
        <v>6928</v>
      </c>
      <c r="H756" s="394">
        <v>0</v>
      </c>
      <c r="I756" s="394">
        <v>13682</v>
      </c>
      <c r="J756" s="232">
        <v>226</v>
      </c>
      <c r="K756" s="232">
        <v>20836</v>
      </c>
      <c r="L756" s="232"/>
      <c r="M756" s="302">
        <v>0</v>
      </c>
      <c r="N756" s="302">
        <v>31113</v>
      </c>
      <c r="O756" s="302">
        <v>0</v>
      </c>
      <c r="P756" s="232">
        <v>1561</v>
      </c>
      <c r="Q756" s="232">
        <v>32674</v>
      </c>
      <c r="R756" s="232"/>
      <c r="S756" s="394">
        <v>9395</v>
      </c>
      <c r="T756" s="232">
        <v>-1199</v>
      </c>
      <c r="U756" s="398">
        <v>8196</v>
      </c>
      <c r="V756" s="232"/>
      <c r="W756" s="398">
        <v>84537</v>
      </c>
      <c r="X756" s="398">
        <v>-29871</v>
      </c>
      <c r="Y756" s="398"/>
      <c r="Z756" s="398"/>
    </row>
    <row r="757" spans="1:26">
      <c r="A757" s="392">
        <v>98091</v>
      </c>
      <c r="B757" s="393" t="s">
        <v>1457</v>
      </c>
      <c r="C757" s="235">
        <v>4.8000000000000001E-5</v>
      </c>
      <c r="D757" s="235">
        <v>4.8099999999999997E-5</v>
      </c>
      <c r="E757" s="232">
        <v>73613</v>
      </c>
      <c r="F757" s="232" t="s">
        <v>1930</v>
      </c>
      <c r="G757" s="394">
        <v>23419</v>
      </c>
      <c r="H757" s="394">
        <v>0</v>
      </c>
      <c r="I757" s="394">
        <v>46248</v>
      </c>
      <c r="J757" s="232">
        <v>8378</v>
      </c>
      <c r="K757" s="232">
        <v>78045</v>
      </c>
      <c r="L757" s="232"/>
      <c r="M757" s="302">
        <v>0</v>
      </c>
      <c r="N757" s="302">
        <v>105170</v>
      </c>
      <c r="O757" s="302">
        <v>0</v>
      </c>
      <c r="P757" s="232">
        <v>14565</v>
      </c>
      <c r="Q757" s="232">
        <v>119735</v>
      </c>
      <c r="R757" s="232"/>
      <c r="S757" s="394">
        <v>31759</v>
      </c>
      <c r="T757" s="232">
        <v>-2926</v>
      </c>
      <c r="U757" s="398">
        <v>28833</v>
      </c>
      <c r="V757" s="232"/>
      <c r="W757" s="398">
        <v>285758</v>
      </c>
      <c r="X757" s="398">
        <v>-100972</v>
      </c>
      <c r="Y757" s="398"/>
      <c r="Z757" s="398"/>
    </row>
    <row r="758" spans="1:26">
      <c r="A758" s="392">
        <v>98101</v>
      </c>
      <c r="B758" s="393" t="s">
        <v>1458</v>
      </c>
      <c r="C758" s="235">
        <v>2.7187000000000001E-3</v>
      </c>
      <c r="D758" s="235">
        <v>2.7560000000000002E-3</v>
      </c>
      <c r="E758" s="232">
        <v>4169387</v>
      </c>
      <c r="F758" s="232" t="s">
        <v>1930</v>
      </c>
      <c r="G758" s="394">
        <v>1326432</v>
      </c>
      <c r="H758" s="394">
        <v>0</v>
      </c>
      <c r="I758" s="394">
        <v>2619440</v>
      </c>
      <c r="J758" s="232">
        <v>87790</v>
      </c>
      <c r="K758" s="232">
        <v>4033662</v>
      </c>
      <c r="L758" s="232"/>
      <c r="M758" s="302">
        <v>0</v>
      </c>
      <c r="N758" s="302">
        <v>5956802</v>
      </c>
      <c r="O758" s="302">
        <v>0</v>
      </c>
      <c r="P758" s="232">
        <v>167987</v>
      </c>
      <c r="Q758" s="232">
        <v>6124789</v>
      </c>
      <c r="R758" s="232"/>
      <c r="S758" s="394">
        <v>1798806</v>
      </c>
      <c r="T758" s="232">
        <v>-46421</v>
      </c>
      <c r="U758" s="398">
        <v>1752385</v>
      </c>
      <c r="V758" s="232"/>
      <c r="W758" s="398">
        <v>16185215</v>
      </c>
      <c r="X758" s="398">
        <v>-5718995</v>
      </c>
      <c r="Y758" s="398"/>
      <c r="Z758" s="398"/>
    </row>
    <row r="759" spans="1:26">
      <c r="A759" s="392">
        <v>98102</v>
      </c>
      <c r="B759" s="393" t="s">
        <v>1459</v>
      </c>
      <c r="C759" s="235">
        <v>1.4760000000000001E-4</v>
      </c>
      <c r="D759" s="235">
        <v>1.56E-4</v>
      </c>
      <c r="E759" s="232">
        <v>226359</v>
      </c>
      <c r="F759" s="232" t="s">
        <v>1930</v>
      </c>
      <c r="G759" s="394">
        <v>72013</v>
      </c>
      <c r="H759" s="394">
        <v>0</v>
      </c>
      <c r="I759" s="394">
        <v>142211</v>
      </c>
      <c r="J759" s="232">
        <v>4399</v>
      </c>
      <c r="K759" s="232">
        <v>218623</v>
      </c>
      <c r="L759" s="232"/>
      <c r="M759" s="302">
        <v>0</v>
      </c>
      <c r="N759" s="302">
        <v>323399</v>
      </c>
      <c r="O759" s="302">
        <v>0</v>
      </c>
      <c r="P759" s="232">
        <v>9361</v>
      </c>
      <c r="Q759" s="232">
        <v>332760</v>
      </c>
      <c r="R759" s="232"/>
      <c r="S759" s="394">
        <v>97658</v>
      </c>
      <c r="T759" s="232">
        <v>-3934</v>
      </c>
      <c r="U759" s="398">
        <v>93724</v>
      </c>
      <c r="V759" s="232"/>
      <c r="W759" s="398">
        <v>878706</v>
      </c>
      <c r="X759" s="398">
        <v>-310488</v>
      </c>
      <c r="Y759" s="398"/>
      <c r="Z759" s="398"/>
    </row>
    <row r="760" spans="1:26">
      <c r="A760" s="392">
        <v>98103</v>
      </c>
      <c r="B760" s="393" t="s">
        <v>1460</v>
      </c>
      <c r="C760" s="235">
        <v>4.9779999999999996E-4</v>
      </c>
      <c r="D760" s="235">
        <v>5.0699999999999996E-4</v>
      </c>
      <c r="E760" s="232">
        <v>763424</v>
      </c>
      <c r="F760" s="232" t="s">
        <v>1930</v>
      </c>
      <c r="G760" s="394">
        <v>242873</v>
      </c>
      <c r="H760" s="394">
        <v>0</v>
      </c>
      <c r="I760" s="394">
        <v>479625</v>
      </c>
      <c r="J760" s="232">
        <v>13032</v>
      </c>
      <c r="K760" s="232">
        <v>735530</v>
      </c>
      <c r="L760" s="232"/>
      <c r="M760" s="302">
        <v>0</v>
      </c>
      <c r="N760" s="302">
        <v>1090704</v>
      </c>
      <c r="O760" s="302">
        <v>0</v>
      </c>
      <c r="P760" s="232">
        <v>35557</v>
      </c>
      <c r="Q760" s="232">
        <v>1126261</v>
      </c>
      <c r="R760" s="232"/>
      <c r="S760" s="394">
        <v>329365</v>
      </c>
      <c r="T760" s="232">
        <v>-9583</v>
      </c>
      <c r="U760" s="398">
        <v>319782</v>
      </c>
      <c r="V760" s="232"/>
      <c r="W760" s="398">
        <v>2963549</v>
      </c>
      <c r="X760" s="398">
        <v>-1047161</v>
      </c>
      <c r="Y760" s="398"/>
      <c r="Z760" s="398"/>
    </row>
    <row r="761" spans="1:26">
      <c r="A761" s="392">
        <v>98107</v>
      </c>
      <c r="B761" s="393" t="s">
        <v>1461</v>
      </c>
      <c r="C761" s="235">
        <v>2.4700000000000001E-5</v>
      </c>
      <c r="D761" s="235">
        <v>7.9000000000000006E-6</v>
      </c>
      <c r="E761" s="232">
        <v>37880</v>
      </c>
      <c r="F761" s="232" t="s">
        <v>1930</v>
      </c>
      <c r="G761" s="394">
        <v>12051</v>
      </c>
      <c r="H761" s="394">
        <v>0</v>
      </c>
      <c r="I761" s="394">
        <v>23798</v>
      </c>
      <c r="J761" s="232">
        <v>37936</v>
      </c>
      <c r="K761" s="232">
        <v>73785</v>
      </c>
      <c r="L761" s="232"/>
      <c r="M761" s="302">
        <v>0</v>
      </c>
      <c r="N761" s="302">
        <v>54119</v>
      </c>
      <c r="O761" s="302">
        <v>0</v>
      </c>
      <c r="P761" s="232">
        <v>0</v>
      </c>
      <c r="Q761" s="232">
        <v>54119</v>
      </c>
      <c r="R761" s="232"/>
      <c r="S761" s="394">
        <v>16343</v>
      </c>
      <c r="T761" s="232">
        <v>14873</v>
      </c>
      <c r="U761" s="398">
        <v>31216</v>
      </c>
      <c r="V761" s="232"/>
      <c r="W761" s="398">
        <v>147046</v>
      </c>
      <c r="X761" s="398">
        <v>-51958</v>
      </c>
      <c r="Y761" s="398"/>
      <c r="Z761" s="398"/>
    </row>
    <row r="762" spans="1:26">
      <c r="A762" s="392">
        <v>98109</v>
      </c>
      <c r="B762" s="393" t="s">
        <v>1462</v>
      </c>
      <c r="C762" s="235">
        <v>1.6750000000000001E-4</v>
      </c>
      <c r="D762" s="235">
        <v>1.4339999999999999E-4</v>
      </c>
      <c r="E762" s="232">
        <v>256877</v>
      </c>
      <c r="F762" s="232" t="s">
        <v>1930</v>
      </c>
      <c r="G762" s="394">
        <v>81722</v>
      </c>
      <c r="H762" s="394">
        <v>0</v>
      </c>
      <c r="I762" s="394">
        <v>161385</v>
      </c>
      <c r="J762" s="232">
        <v>58635</v>
      </c>
      <c r="K762" s="232">
        <v>301742</v>
      </c>
      <c r="L762" s="232"/>
      <c r="M762" s="302">
        <v>0</v>
      </c>
      <c r="N762" s="302">
        <v>367001</v>
      </c>
      <c r="O762" s="302">
        <v>0</v>
      </c>
      <c r="P762" s="232">
        <v>1452</v>
      </c>
      <c r="Q762" s="232">
        <v>368453</v>
      </c>
      <c r="R762" s="232"/>
      <c r="S762" s="394">
        <v>110825</v>
      </c>
      <c r="T762" s="232">
        <v>23413</v>
      </c>
      <c r="U762" s="398">
        <v>134238</v>
      </c>
      <c r="V762" s="232"/>
      <c r="W762" s="398">
        <v>997176</v>
      </c>
      <c r="X762" s="398">
        <v>-352349</v>
      </c>
      <c r="Y762" s="398"/>
      <c r="Z762" s="398"/>
    </row>
    <row r="763" spans="1:26" s="357" customFormat="1">
      <c r="A763" s="392">
        <v>98111</v>
      </c>
      <c r="B763" s="393" t="s">
        <v>1463</v>
      </c>
      <c r="C763" s="235">
        <v>9.9400000000000009E-4</v>
      </c>
      <c r="D763" s="235">
        <v>9.8539999999999999E-4</v>
      </c>
      <c r="E763" s="232">
        <v>1524394</v>
      </c>
      <c r="F763" s="232" t="s">
        <v>1930</v>
      </c>
      <c r="G763" s="394">
        <v>484965</v>
      </c>
      <c r="H763" s="394">
        <v>0</v>
      </c>
      <c r="I763" s="394">
        <v>957709</v>
      </c>
      <c r="J763" s="232">
        <v>0</v>
      </c>
      <c r="K763" s="232">
        <v>1442674</v>
      </c>
      <c r="L763" s="232"/>
      <c r="M763" s="302">
        <v>0</v>
      </c>
      <c r="N763" s="302">
        <v>2177902</v>
      </c>
      <c r="O763" s="302">
        <v>0</v>
      </c>
      <c r="P763" s="232">
        <v>98865</v>
      </c>
      <c r="Q763" s="232">
        <v>2276767</v>
      </c>
      <c r="R763" s="232"/>
      <c r="S763" s="394">
        <v>657672</v>
      </c>
      <c r="T763" s="232">
        <v>-56411</v>
      </c>
      <c r="U763" s="398">
        <v>601261</v>
      </c>
      <c r="V763" s="232"/>
      <c r="W763" s="398">
        <v>5917572</v>
      </c>
      <c r="X763" s="398">
        <v>-2090956</v>
      </c>
      <c r="Y763" s="398"/>
      <c r="Z763" s="398"/>
    </row>
    <row r="764" spans="1:26">
      <c r="A764" s="392">
        <v>98113</v>
      </c>
      <c r="B764" s="393" t="s">
        <v>1464</v>
      </c>
      <c r="C764" s="235">
        <v>3.3099999999999998E-5</v>
      </c>
      <c r="D764" s="235">
        <v>2.9099999999999999E-5</v>
      </c>
      <c r="E764" s="232">
        <v>50762</v>
      </c>
      <c r="F764" s="232" t="s">
        <v>1930</v>
      </c>
      <c r="G764" s="394">
        <v>16149</v>
      </c>
      <c r="H764" s="394">
        <v>0</v>
      </c>
      <c r="I764" s="394">
        <v>31892</v>
      </c>
      <c r="J764" s="232">
        <v>16859</v>
      </c>
      <c r="K764" s="232">
        <v>64900</v>
      </c>
      <c r="L764" s="232"/>
      <c r="M764" s="302">
        <v>0</v>
      </c>
      <c r="N764" s="302">
        <v>72524</v>
      </c>
      <c r="O764" s="302">
        <v>0</v>
      </c>
      <c r="P764" s="232">
        <v>104</v>
      </c>
      <c r="Q764" s="232">
        <v>72628</v>
      </c>
      <c r="R764" s="232"/>
      <c r="S764" s="394">
        <v>21900</v>
      </c>
      <c r="T764" s="232">
        <v>7700</v>
      </c>
      <c r="U764" s="398">
        <v>29600</v>
      </c>
      <c r="V764" s="232"/>
      <c r="W764" s="398">
        <v>197054</v>
      </c>
      <c r="X764" s="398">
        <v>-69628</v>
      </c>
      <c r="Y764" s="398"/>
      <c r="Z764" s="398"/>
    </row>
    <row r="765" spans="1:26">
      <c r="A765" s="392">
        <v>98121</v>
      </c>
      <c r="B765" s="393" t="s">
        <v>1465</v>
      </c>
      <c r="C765" s="235">
        <v>2.0699999999999999E-4</v>
      </c>
      <c r="D765" s="235">
        <v>2.0430000000000001E-4</v>
      </c>
      <c r="E765" s="232">
        <v>317454</v>
      </c>
      <c r="F765" s="232" t="s">
        <v>1930</v>
      </c>
      <c r="G765" s="394">
        <v>100994</v>
      </c>
      <c r="H765" s="394">
        <v>0</v>
      </c>
      <c r="I765" s="394">
        <v>199442</v>
      </c>
      <c r="J765" s="232">
        <v>11081</v>
      </c>
      <c r="K765" s="232">
        <v>311517</v>
      </c>
      <c r="L765" s="232"/>
      <c r="M765" s="302">
        <v>0</v>
      </c>
      <c r="N765" s="302">
        <v>453547</v>
      </c>
      <c r="O765" s="302">
        <v>0</v>
      </c>
      <c r="P765" s="232">
        <v>9777</v>
      </c>
      <c r="Q765" s="232">
        <v>463324</v>
      </c>
      <c r="R765" s="232"/>
      <c r="S765" s="394">
        <v>136960</v>
      </c>
      <c r="T765" s="232">
        <v>-5616</v>
      </c>
      <c r="U765" s="398">
        <v>131344</v>
      </c>
      <c r="V765" s="232"/>
      <c r="W765" s="398">
        <v>1232331</v>
      </c>
      <c r="X765" s="398">
        <v>-435440</v>
      </c>
      <c r="Y765" s="398"/>
      <c r="Z765" s="398"/>
    </row>
    <row r="766" spans="1:26">
      <c r="A766" s="392">
        <v>98131</v>
      </c>
      <c r="B766" s="393" t="s">
        <v>1466</v>
      </c>
      <c r="C766" s="235">
        <v>2.6879999999999997E-4</v>
      </c>
      <c r="D766" s="235">
        <v>2.5710000000000002E-4</v>
      </c>
      <c r="E766" s="232">
        <v>412231</v>
      </c>
      <c r="F766" s="232" t="s">
        <v>1930</v>
      </c>
      <c r="G766" s="394">
        <v>131145</v>
      </c>
      <c r="H766" s="394">
        <v>0</v>
      </c>
      <c r="I766" s="394">
        <v>258986</v>
      </c>
      <c r="J766" s="232">
        <v>35291</v>
      </c>
      <c r="K766" s="232">
        <v>425422</v>
      </c>
      <c r="L766" s="232"/>
      <c r="M766" s="302">
        <v>0</v>
      </c>
      <c r="N766" s="302">
        <v>588954</v>
      </c>
      <c r="O766" s="302">
        <v>0</v>
      </c>
      <c r="P766" s="232">
        <v>2707</v>
      </c>
      <c r="Q766" s="232">
        <v>591661</v>
      </c>
      <c r="R766" s="232"/>
      <c r="S766" s="394">
        <v>177849</v>
      </c>
      <c r="T766" s="232">
        <v>5805</v>
      </c>
      <c r="U766" s="398">
        <v>183654</v>
      </c>
      <c r="V766" s="232"/>
      <c r="W766" s="398">
        <v>1600245</v>
      </c>
      <c r="X766" s="398">
        <v>-565441</v>
      </c>
      <c r="Y766" s="398"/>
      <c r="Z766" s="398"/>
    </row>
    <row r="767" spans="1:26">
      <c r="A767" s="392">
        <v>98141</v>
      </c>
      <c r="B767" s="393" t="s">
        <v>1467</v>
      </c>
      <c r="C767" s="235">
        <v>2.8400000000000002E-4</v>
      </c>
      <c r="D767" s="235">
        <v>2.8600000000000001E-4</v>
      </c>
      <c r="E767" s="232">
        <v>435541</v>
      </c>
      <c r="F767" s="232" t="s">
        <v>1930</v>
      </c>
      <c r="G767" s="394">
        <v>138561</v>
      </c>
      <c r="H767" s="394">
        <v>0</v>
      </c>
      <c r="I767" s="394">
        <v>273631</v>
      </c>
      <c r="J767" s="232">
        <v>0</v>
      </c>
      <c r="K767" s="232">
        <v>412192</v>
      </c>
      <c r="L767" s="232"/>
      <c r="M767" s="302">
        <v>0</v>
      </c>
      <c r="N767" s="302">
        <v>622258</v>
      </c>
      <c r="O767" s="302">
        <v>0</v>
      </c>
      <c r="P767" s="232">
        <v>36738</v>
      </c>
      <c r="Q767" s="232">
        <v>658996</v>
      </c>
      <c r="R767" s="232"/>
      <c r="S767" s="394">
        <v>187906</v>
      </c>
      <c r="T767" s="232">
        <v>-14869</v>
      </c>
      <c r="U767" s="398">
        <v>173037</v>
      </c>
      <c r="V767" s="232"/>
      <c r="W767" s="398">
        <v>1690735</v>
      </c>
      <c r="X767" s="398">
        <v>-597416</v>
      </c>
      <c r="Y767" s="398"/>
      <c r="Z767" s="398"/>
    </row>
    <row r="768" spans="1:26">
      <c r="A768" s="392">
        <v>98147</v>
      </c>
      <c r="B768" s="393" t="s">
        <v>1468</v>
      </c>
      <c r="C768" s="235">
        <v>1.13E-5</v>
      </c>
      <c r="D768" s="235">
        <v>1.03E-5</v>
      </c>
      <c r="E768" s="232">
        <v>17330</v>
      </c>
      <c r="F768" s="232" t="s">
        <v>1930</v>
      </c>
      <c r="G768" s="394">
        <v>5513</v>
      </c>
      <c r="H768" s="394">
        <v>0</v>
      </c>
      <c r="I768" s="394">
        <v>10887</v>
      </c>
      <c r="J768" s="232">
        <v>11846</v>
      </c>
      <c r="K768" s="232">
        <v>28246</v>
      </c>
      <c r="L768" s="232"/>
      <c r="M768" s="302">
        <v>0</v>
      </c>
      <c r="N768" s="302">
        <v>24759</v>
      </c>
      <c r="O768" s="302">
        <v>0</v>
      </c>
      <c r="P768" s="232">
        <v>0</v>
      </c>
      <c r="Q768" s="232">
        <v>24759</v>
      </c>
      <c r="R768" s="232"/>
      <c r="S768" s="394">
        <v>7477</v>
      </c>
      <c r="T768" s="232">
        <v>6041</v>
      </c>
      <c r="U768" s="398">
        <v>13518</v>
      </c>
      <c r="V768" s="232"/>
      <c r="W768" s="398">
        <v>67272</v>
      </c>
      <c r="X768" s="398">
        <v>-23770</v>
      </c>
      <c r="Y768" s="398"/>
      <c r="Z768" s="398"/>
    </row>
    <row r="769" spans="1:26">
      <c r="A769" s="392">
        <v>98161</v>
      </c>
      <c r="B769" s="393" t="s">
        <v>1469</v>
      </c>
      <c r="C769" s="235">
        <v>5.5999999999999997E-6</v>
      </c>
      <c r="D769" s="235">
        <v>5.6999999999999996E-6</v>
      </c>
      <c r="E769" s="232">
        <v>8588</v>
      </c>
      <c r="F769" s="232" t="s">
        <v>1930</v>
      </c>
      <c r="G769" s="394">
        <v>2732</v>
      </c>
      <c r="H769" s="394">
        <v>0</v>
      </c>
      <c r="I769" s="394">
        <v>5396</v>
      </c>
      <c r="J769" s="232">
        <v>4414</v>
      </c>
      <c r="K769" s="232">
        <v>12542</v>
      </c>
      <c r="L769" s="232"/>
      <c r="M769" s="302">
        <v>0</v>
      </c>
      <c r="N769" s="302">
        <v>12270</v>
      </c>
      <c r="O769" s="302">
        <v>0</v>
      </c>
      <c r="P769" s="232">
        <v>0</v>
      </c>
      <c r="Q769" s="232">
        <v>12270</v>
      </c>
      <c r="R769" s="232"/>
      <c r="S769" s="394">
        <v>3705</v>
      </c>
      <c r="T769" s="232">
        <v>2322</v>
      </c>
      <c r="U769" s="398">
        <v>6027</v>
      </c>
      <c r="V769" s="232"/>
      <c r="W769" s="398">
        <v>33338</v>
      </c>
      <c r="X769" s="398">
        <v>-11780</v>
      </c>
      <c r="Y769" s="398"/>
      <c r="Z769" s="398"/>
    </row>
    <row r="770" spans="1:26">
      <c r="A770" s="392">
        <v>98201</v>
      </c>
      <c r="B770" s="393" t="s">
        <v>1470</v>
      </c>
      <c r="C770" s="235">
        <v>2.9794999999999999E-3</v>
      </c>
      <c r="D770" s="235">
        <v>3.1876000000000001E-3</v>
      </c>
      <c r="E770" s="232">
        <v>4569349</v>
      </c>
      <c r="F770" s="232" t="s">
        <v>1930</v>
      </c>
      <c r="G770" s="394">
        <v>1453674</v>
      </c>
      <c r="H770" s="394">
        <v>0</v>
      </c>
      <c r="I770" s="394">
        <v>2870718</v>
      </c>
      <c r="J770" s="232">
        <v>49114</v>
      </c>
      <c r="K770" s="232">
        <v>4373506</v>
      </c>
      <c r="L770" s="232"/>
      <c r="M770" s="302">
        <v>0</v>
      </c>
      <c r="N770" s="302">
        <v>6528228</v>
      </c>
      <c r="O770" s="302">
        <v>0</v>
      </c>
      <c r="P770" s="232">
        <v>543931</v>
      </c>
      <c r="Q770" s="232">
        <v>7072159</v>
      </c>
      <c r="R770" s="232"/>
      <c r="S770" s="394">
        <v>1971362</v>
      </c>
      <c r="T770" s="232">
        <v>-172803</v>
      </c>
      <c r="U770" s="398">
        <v>1798559</v>
      </c>
      <c r="V770" s="232"/>
      <c r="W770" s="398">
        <v>17737834</v>
      </c>
      <c r="X770" s="398">
        <v>-6267608</v>
      </c>
      <c r="Y770" s="398"/>
      <c r="Z770" s="398"/>
    </row>
    <row r="771" spans="1:26">
      <c r="A771" s="392">
        <v>98205</v>
      </c>
      <c r="B771" s="393" t="s">
        <v>1471</v>
      </c>
      <c r="C771" s="235">
        <v>3.9700000000000003E-5</v>
      </c>
      <c r="D771" s="235">
        <v>2.62E-5</v>
      </c>
      <c r="E771" s="232">
        <v>60884</v>
      </c>
      <c r="F771" s="232" t="s">
        <v>1930</v>
      </c>
      <c r="G771" s="394">
        <v>19369</v>
      </c>
      <c r="H771" s="394">
        <v>0</v>
      </c>
      <c r="I771" s="394">
        <v>38251</v>
      </c>
      <c r="J771" s="232">
        <v>22487</v>
      </c>
      <c r="K771" s="232">
        <v>80107</v>
      </c>
      <c r="L771" s="232"/>
      <c r="M771" s="302">
        <v>0</v>
      </c>
      <c r="N771" s="302">
        <v>86985</v>
      </c>
      <c r="O771" s="302">
        <v>0</v>
      </c>
      <c r="P771" s="232">
        <v>11482</v>
      </c>
      <c r="Q771" s="232">
        <v>98467</v>
      </c>
      <c r="R771" s="232"/>
      <c r="S771" s="394">
        <v>26267</v>
      </c>
      <c r="T771" s="232">
        <v>1146</v>
      </c>
      <c r="U771" s="398">
        <v>27413</v>
      </c>
      <c r="V771" s="232"/>
      <c r="W771" s="398">
        <v>236346</v>
      </c>
      <c r="X771" s="398">
        <v>-83512</v>
      </c>
      <c r="Y771" s="398"/>
      <c r="Z771" s="398"/>
    </row>
    <row r="772" spans="1:26">
      <c r="A772" s="392">
        <v>98211</v>
      </c>
      <c r="B772" s="393" t="s">
        <v>1472</v>
      </c>
      <c r="C772" s="235">
        <v>8.5130000000000004E-4</v>
      </c>
      <c r="D772" s="235">
        <v>8.8690000000000004E-4</v>
      </c>
      <c r="E772" s="232">
        <v>1305550</v>
      </c>
      <c r="F772" s="232" t="s">
        <v>1930</v>
      </c>
      <c r="G772" s="394">
        <v>415342</v>
      </c>
      <c r="H772" s="394">
        <v>0</v>
      </c>
      <c r="I772" s="394">
        <v>820219</v>
      </c>
      <c r="J772" s="232">
        <v>12610</v>
      </c>
      <c r="K772" s="232">
        <v>1248171</v>
      </c>
      <c r="L772" s="232"/>
      <c r="M772" s="302">
        <v>0</v>
      </c>
      <c r="N772" s="302">
        <v>1865239</v>
      </c>
      <c r="O772" s="302">
        <v>0</v>
      </c>
      <c r="P772" s="232">
        <v>125159</v>
      </c>
      <c r="Q772" s="232">
        <v>1990398</v>
      </c>
      <c r="R772" s="232"/>
      <c r="S772" s="394">
        <v>563256</v>
      </c>
      <c r="T772" s="232">
        <v>-60745</v>
      </c>
      <c r="U772" s="398">
        <v>502511</v>
      </c>
      <c r="V772" s="232"/>
      <c r="W772" s="398">
        <v>5068037</v>
      </c>
      <c r="X772" s="398">
        <v>-1790775</v>
      </c>
      <c r="Y772" s="398"/>
      <c r="Z772" s="398"/>
    </row>
    <row r="773" spans="1:26">
      <c r="A773" s="392">
        <v>98218</v>
      </c>
      <c r="B773" s="393" t="s">
        <v>1473</v>
      </c>
      <c r="C773" s="235">
        <v>1.91E-5</v>
      </c>
      <c r="D773" s="235">
        <v>1.77E-5</v>
      </c>
      <c r="E773" s="232">
        <v>29292</v>
      </c>
      <c r="F773" s="232" t="s">
        <v>1930</v>
      </c>
      <c r="G773" s="394">
        <v>9319</v>
      </c>
      <c r="H773" s="394">
        <v>0</v>
      </c>
      <c r="I773" s="394">
        <v>18403</v>
      </c>
      <c r="J773" s="232">
        <v>3657</v>
      </c>
      <c r="K773" s="232">
        <v>31379</v>
      </c>
      <c r="L773" s="232"/>
      <c r="M773" s="302">
        <v>0</v>
      </c>
      <c r="N773" s="302">
        <v>41849</v>
      </c>
      <c r="O773" s="302">
        <v>0</v>
      </c>
      <c r="P773" s="232">
        <v>268</v>
      </c>
      <c r="Q773" s="232">
        <v>42117</v>
      </c>
      <c r="R773" s="232"/>
      <c r="S773" s="394">
        <v>12637</v>
      </c>
      <c r="T773" s="232">
        <v>2118</v>
      </c>
      <c r="U773" s="398">
        <v>14755</v>
      </c>
      <c r="V773" s="232"/>
      <c r="W773" s="398">
        <v>113708</v>
      </c>
      <c r="X773" s="398">
        <v>-40178</v>
      </c>
      <c r="Y773" s="398"/>
      <c r="Z773" s="398"/>
    </row>
    <row r="774" spans="1:26">
      <c r="A774" s="392">
        <v>98221</v>
      </c>
      <c r="B774" s="393" t="s">
        <v>1474</v>
      </c>
      <c r="C774" s="235">
        <v>2.44E-5</v>
      </c>
      <c r="D774" s="235">
        <v>2.51E-5</v>
      </c>
      <c r="E774" s="232">
        <v>37420</v>
      </c>
      <c r="F774" s="232" t="s">
        <v>1930</v>
      </c>
      <c r="G774" s="394">
        <v>11905</v>
      </c>
      <c r="H774" s="394">
        <v>0</v>
      </c>
      <c r="I774" s="394">
        <v>23509</v>
      </c>
      <c r="J774" s="232">
        <v>3293</v>
      </c>
      <c r="K774" s="232">
        <v>38707</v>
      </c>
      <c r="L774" s="232"/>
      <c r="M774" s="302">
        <v>0</v>
      </c>
      <c r="N774" s="302">
        <v>53462</v>
      </c>
      <c r="O774" s="302">
        <v>0</v>
      </c>
      <c r="P774" s="232">
        <v>6306</v>
      </c>
      <c r="Q774" s="232">
        <v>59768</v>
      </c>
      <c r="R774" s="232"/>
      <c r="S774" s="394">
        <v>16144</v>
      </c>
      <c r="T774" s="232">
        <v>-270</v>
      </c>
      <c r="U774" s="398">
        <v>15874</v>
      </c>
      <c r="V774" s="232"/>
      <c r="W774" s="398">
        <v>145260</v>
      </c>
      <c r="X774" s="398">
        <v>-51327</v>
      </c>
      <c r="Y774" s="398"/>
      <c r="Z774" s="398"/>
    </row>
    <row r="775" spans="1:26">
      <c r="A775" s="392">
        <v>98231</v>
      </c>
      <c r="B775" s="393" t="s">
        <v>1475</v>
      </c>
      <c r="C775" s="235">
        <v>4.3099999999999997E-5</v>
      </c>
      <c r="D775" s="235">
        <v>2.9200000000000002E-5</v>
      </c>
      <c r="E775" s="232">
        <v>66098</v>
      </c>
      <c r="F775" s="232" t="s">
        <v>1930</v>
      </c>
      <c r="G775" s="394">
        <v>21028</v>
      </c>
      <c r="H775" s="394">
        <v>0</v>
      </c>
      <c r="I775" s="394">
        <v>41526</v>
      </c>
      <c r="J775" s="232">
        <v>21552</v>
      </c>
      <c r="K775" s="232">
        <v>84106</v>
      </c>
      <c r="L775" s="232"/>
      <c r="M775" s="302">
        <v>0</v>
      </c>
      <c r="N775" s="302">
        <v>94434</v>
      </c>
      <c r="O775" s="302">
        <v>0</v>
      </c>
      <c r="P775" s="232">
        <v>1461</v>
      </c>
      <c r="Q775" s="232">
        <v>95895</v>
      </c>
      <c r="R775" s="232"/>
      <c r="S775" s="394">
        <v>28517</v>
      </c>
      <c r="T775" s="232">
        <v>6348</v>
      </c>
      <c r="U775" s="398">
        <v>34865</v>
      </c>
      <c r="V775" s="232"/>
      <c r="W775" s="398">
        <v>256587</v>
      </c>
      <c r="X775" s="398">
        <v>-90664</v>
      </c>
      <c r="Y775" s="398"/>
      <c r="Z775" s="398"/>
    </row>
    <row r="776" spans="1:26">
      <c r="A776" s="392">
        <v>98237</v>
      </c>
      <c r="B776" s="393" t="s">
        <v>1476</v>
      </c>
      <c r="C776" s="235">
        <v>6.4999999999999996E-6</v>
      </c>
      <c r="D776" s="235">
        <v>6.2999999999999998E-6</v>
      </c>
      <c r="E776" s="232">
        <v>9968</v>
      </c>
      <c r="F776" s="232" t="s">
        <v>1930</v>
      </c>
      <c r="G776" s="394">
        <v>3171</v>
      </c>
      <c r="H776" s="394">
        <v>0</v>
      </c>
      <c r="I776" s="394">
        <v>6263</v>
      </c>
      <c r="J776" s="232">
        <v>1329</v>
      </c>
      <c r="K776" s="232">
        <v>10763</v>
      </c>
      <c r="L776" s="232"/>
      <c r="M776" s="302">
        <v>0</v>
      </c>
      <c r="N776" s="302">
        <v>14242</v>
      </c>
      <c r="O776" s="302">
        <v>0</v>
      </c>
      <c r="P776" s="232">
        <v>79</v>
      </c>
      <c r="Q776" s="232">
        <v>14321</v>
      </c>
      <c r="R776" s="232"/>
      <c r="S776" s="394">
        <v>4301</v>
      </c>
      <c r="T776" s="232">
        <v>1483</v>
      </c>
      <c r="U776" s="398">
        <v>5784</v>
      </c>
      <c r="V776" s="232"/>
      <c r="W776" s="398">
        <v>38696</v>
      </c>
      <c r="X776" s="398">
        <v>-13673</v>
      </c>
      <c r="Y776" s="398"/>
      <c r="Z776" s="398"/>
    </row>
    <row r="777" spans="1:26">
      <c r="A777" s="392">
        <v>98241</v>
      </c>
      <c r="B777" s="393" t="s">
        <v>1477</v>
      </c>
      <c r="C777" s="235">
        <v>6.0000000000000002E-6</v>
      </c>
      <c r="D777" s="235">
        <v>9.0999999999999993E-6</v>
      </c>
      <c r="E777" s="232">
        <v>9202</v>
      </c>
      <c r="F777" s="232" t="s">
        <v>1930</v>
      </c>
      <c r="G777" s="394">
        <v>2927</v>
      </c>
      <c r="H777" s="394">
        <v>0</v>
      </c>
      <c r="I777" s="394">
        <v>5781</v>
      </c>
      <c r="J777" s="232">
        <v>3151</v>
      </c>
      <c r="K777" s="232">
        <v>11859</v>
      </c>
      <c r="L777" s="232"/>
      <c r="M777" s="302">
        <v>0</v>
      </c>
      <c r="N777" s="302">
        <v>13146</v>
      </c>
      <c r="O777" s="302">
        <v>0</v>
      </c>
      <c r="P777" s="232">
        <v>11359</v>
      </c>
      <c r="Q777" s="232">
        <v>24505</v>
      </c>
      <c r="R777" s="232"/>
      <c r="S777" s="394">
        <v>3970</v>
      </c>
      <c r="T777" s="232">
        <v>-4003</v>
      </c>
      <c r="U777" s="398">
        <v>-33</v>
      </c>
      <c r="V777" s="232"/>
      <c r="W777" s="398">
        <v>35720</v>
      </c>
      <c r="X777" s="398">
        <v>-12621</v>
      </c>
      <c r="Y777" s="398"/>
      <c r="Z777" s="398"/>
    </row>
    <row r="778" spans="1:26">
      <c r="A778" s="392">
        <v>98251</v>
      </c>
      <c r="B778" s="393" t="s">
        <v>1478</v>
      </c>
      <c r="C778" s="235">
        <v>2.6000000000000001E-6</v>
      </c>
      <c r="D778" s="235">
        <v>2.3E-6</v>
      </c>
      <c r="E778" s="232">
        <v>3987</v>
      </c>
      <c r="F778" s="232" t="s">
        <v>1930</v>
      </c>
      <c r="G778" s="394">
        <v>1269</v>
      </c>
      <c r="H778" s="394">
        <v>0</v>
      </c>
      <c r="I778" s="394">
        <v>2505</v>
      </c>
      <c r="J778" s="232">
        <v>3256</v>
      </c>
      <c r="K778" s="232">
        <v>7030</v>
      </c>
      <c r="L778" s="232"/>
      <c r="M778" s="302">
        <v>0</v>
      </c>
      <c r="N778" s="302">
        <v>5697</v>
      </c>
      <c r="O778" s="302">
        <v>0</v>
      </c>
      <c r="P778" s="232">
        <v>0</v>
      </c>
      <c r="Q778" s="232">
        <v>5697</v>
      </c>
      <c r="R778" s="232"/>
      <c r="S778" s="394">
        <v>1720</v>
      </c>
      <c r="T778" s="232">
        <v>1545</v>
      </c>
      <c r="U778" s="398">
        <v>3265</v>
      </c>
      <c r="V778" s="232"/>
      <c r="W778" s="398">
        <v>15479</v>
      </c>
      <c r="X778" s="398">
        <v>-5469</v>
      </c>
      <c r="Y778" s="398"/>
      <c r="Z778" s="398"/>
    </row>
    <row r="779" spans="1:26">
      <c r="A779" s="392">
        <v>98261</v>
      </c>
      <c r="B779" s="393" t="s">
        <v>1479</v>
      </c>
      <c r="C779" s="235">
        <v>3.4799999999999999E-5</v>
      </c>
      <c r="D779" s="235">
        <v>3.54E-5</v>
      </c>
      <c r="E779" s="232">
        <v>53369</v>
      </c>
      <c r="F779" s="232" t="s">
        <v>1930</v>
      </c>
      <c r="G779" s="394">
        <v>16979</v>
      </c>
      <c r="H779" s="394">
        <v>0</v>
      </c>
      <c r="I779" s="394">
        <v>33529</v>
      </c>
      <c r="J779" s="232">
        <v>3154</v>
      </c>
      <c r="K779" s="232">
        <v>53662</v>
      </c>
      <c r="L779" s="232"/>
      <c r="M779" s="302">
        <v>0</v>
      </c>
      <c r="N779" s="302">
        <v>76248</v>
      </c>
      <c r="O779" s="302">
        <v>0</v>
      </c>
      <c r="P779" s="232">
        <v>810</v>
      </c>
      <c r="Q779" s="232">
        <v>77058</v>
      </c>
      <c r="R779" s="232"/>
      <c r="S779" s="394">
        <v>23025</v>
      </c>
      <c r="T779" s="232">
        <v>2530</v>
      </c>
      <c r="U779" s="398">
        <v>25555</v>
      </c>
      <c r="V779" s="232"/>
      <c r="W779" s="398">
        <v>207175</v>
      </c>
      <c r="X779" s="398">
        <v>-73204</v>
      </c>
      <c r="Y779" s="398"/>
      <c r="Z779" s="398"/>
    </row>
    <row r="780" spans="1:26">
      <c r="A780" s="392">
        <v>98271</v>
      </c>
      <c r="B780" s="393" t="s">
        <v>1480</v>
      </c>
      <c r="C780" s="235">
        <v>7.9999999999999996E-6</v>
      </c>
      <c r="D780" s="235">
        <v>6.9E-6</v>
      </c>
      <c r="E780" s="232">
        <v>12269</v>
      </c>
      <c r="F780" s="232" t="s">
        <v>1930</v>
      </c>
      <c r="G780" s="394">
        <v>3903</v>
      </c>
      <c r="H780" s="394">
        <v>0</v>
      </c>
      <c r="I780" s="394">
        <v>7708</v>
      </c>
      <c r="J780" s="232">
        <v>3533</v>
      </c>
      <c r="K780" s="232">
        <v>15144</v>
      </c>
      <c r="L780" s="232"/>
      <c r="M780" s="302">
        <v>0</v>
      </c>
      <c r="N780" s="302">
        <v>17528</v>
      </c>
      <c r="O780" s="302">
        <v>0</v>
      </c>
      <c r="P780" s="232">
        <v>0</v>
      </c>
      <c r="Q780" s="232">
        <v>17528</v>
      </c>
      <c r="R780" s="232"/>
      <c r="S780" s="394">
        <v>5293</v>
      </c>
      <c r="T780" s="232">
        <v>1876</v>
      </c>
      <c r="U780" s="398">
        <v>7169</v>
      </c>
      <c r="V780" s="232"/>
      <c r="W780" s="398">
        <v>47626</v>
      </c>
      <c r="X780" s="398">
        <v>-16829</v>
      </c>
      <c r="Y780" s="398"/>
      <c r="Z780" s="398"/>
    </row>
    <row r="781" spans="1:26">
      <c r="A781" s="392">
        <v>98301</v>
      </c>
      <c r="B781" s="393" t="s">
        <v>1481</v>
      </c>
      <c r="C781" s="235">
        <v>1.8951E-3</v>
      </c>
      <c r="D781" s="235">
        <v>1.8286999999999999E-3</v>
      </c>
      <c r="E781" s="232">
        <v>2906318</v>
      </c>
      <c r="F781" s="232" t="s">
        <v>1930</v>
      </c>
      <c r="G781" s="394">
        <v>924604</v>
      </c>
      <c r="H781" s="394">
        <v>0</v>
      </c>
      <c r="I781" s="394">
        <v>1825910</v>
      </c>
      <c r="J781" s="232">
        <v>212385</v>
      </c>
      <c r="K781" s="232">
        <v>2962899</v>
      </c>
      <c r="L781" s="232"/>
      <c r="M781" s="302">
        <v>0</v>
      </c>
      <c r="N781" s="302">
        <v>4152255</v>
      </c>
      <c r="O781" s="302">
        <v>0</v>
      </c>
      <c r="P781" s="232">
        <v>0</v>
      </c>
      <c r="Q781" s="232">
        <v>4152255</v>
      </c>
      <c r="R781" s="232"/>
      <c r="S781" s="394">
        <v>1253878</v>
      </c>
      <c r="T781" s="232">
        <v>91418</v>
      </c>
      <c r="U781" s="398">
        <v>1345296</v>
      </c>
      <c r="V781" s="232"/>
      <c r="W781" s="398">
        <v>11282084</v>
      </c>
      <c r="X781" s="398">
        <v>-3986489</v>
      </c>
      <c r="Y781" s="398"/>
      <c r="Z781" s="398"/>
    </row>
    <row r="782" spans="1:26">
      <c r="A782" s="392">
        <v>98304</v>
      </c>
      <c r="B782" s="393" t="s">
        <v>1482</v>
      </c>
      <c r="C782" s="235">
        <v>2.1699999999999999E-5</v>
      </c>
      <c r="D782" s="235">
        <v>2.02E-5</v>
      </c>
      <c r="E782" s="232">
        <v>33279</v>
      </c>
      <c r="F782" s="232" t="s">
        <v>1930</v>
      </c>
      <c r="G782" s="394">
        <v>10587</v>
      </c>
      <c r="H782" s="394">
        <v>0</v>
      </c>
      <c r="I782" s="394">
        <v>20908</v>
      </c>
      <c r="J782" s="232">
        <v>11123</v>
      </c>
      <c r="K782" s="232">
        <v>42618</v>
      </c>
      <c r="L782" s="232"/>
      <c r="M782" s="302">
        <v>0</v>
      </c>
      <c r="N782" s="302">
        <v>47546</v>
      </c>
      <c r="O782" s="302">
        <v>0</v>
      </c>
      <c r="P782" s="232">
        <v>0</v>
      </c>
      <c r="Q782" s="232">
        <v>47546</v>
      </c>
      <c r="R782" s="232"/>
      <c r="S782" s="394">
        <v>14358</v>
      </c>
      <c r="T782" s="232">
        <v>5127</v>
      </c>
      <c r="U782" s="398">
        <v>19485</v>
      </c>
      <c r="V782" s="232"/>
      <c r="W782" s="398">
        <v>129186</v>
      </c>
      <c r="X782" s="398">
        <v>-45648</v>
      </c>
      <c r="Y782" s="398"/>
      <c r="Z782" s="398"/>
    </row>
    <row r="783" spans="1:26">
      <c r="A783" s="392">
        <v>98308</v>
      </c>
      <c r="B783" s="393" t="s">
        <v>1483</v>
      </c>
      <c r="C783" s="235">
        <v>2.4199999999999999E-5</v>
      </c>
      <c r="D783" s="235">
        <v>1.56E-5</v>
      </c>
      <c r="E783" s="232">
        <v>37113</v>
      </c>
      <c r="F783" s="232" t="s">
        <v>1930</v>
      </c>
      <c r="G783" s="394">
        <v>11807</v>
      </c>
      <c r="H783" s="394">
        <v>0</v>
      </c>
      <c r="I783" s="394">
        <v>23316</v>
      </c>
      <c r="J783" s="232">
        <v>31082</v>
      </c>
      <c r="K783" s="232">
        <v>66205</v>
      </c>
      <c r="L783" s="232"/>
      <c r="M783" s="302">
        <v>0</v>
      </c>
      <c r="N783" s="302">
        <v>53023</v>
      </c>
      <c r="O783" s="302">
        <v>0</v>
      </c>
      <c r="P783" s="232">
        <v>0</v>
      </c>
      <c r="Q783" s="232">
        <v>53023</v>
      </c>
      <c r="R783" s="232"/>
      <c r="S783" s="394">
        <v>16012</v>
      </c>
      <c r="T783" s="232">
        <v>12474</v>
      </c>
      <c r="U783" s="398">
        <v>28486</v>
      </c>
      <c r="V783" s="232"/>
      <c r="W783" s="398">
        <v>144070</v>
      </c>
      <c r="X783" s="398">
        <v>-50907</v>
      </c>
      <c r="Y783" s="398"/>
      <c r="Z783" s="398"/>
    </row>
    <row r="784" spans="1:26">
      <c r="A784" s="392">
        <v>98311</v>
      </c>
      <c r="B784" s="393" t="s">
        <v>1484</v>
      </c>
      <c r="C784" s="235">
        <v>9.904E-4</v>
      </c>
      <c r="D784" s="235">
        <v>1.036E-3</v>
      </c>
      <c r="E784" s="232">
        <v>1518873</v>
      </c>
      <c r="F784" s="232" t="s">
        <v>1930</v>
      </c>
      <c r="G784" s="394">
        <v>483208</v>
      </c>
      <c r="H784" s="394">
        <v>0</v>
      </c>
      <c r="I784" s="394">
        <v>954240</v>
      </c>
      <c r="J784" s="232">
        <v>0</v>
      </c>
      <c r="K784" s="232">
        <v>1437448</v>
      </c>
      <c r="L784" s="232"/>
      <c r="M784" s="302">
        <v>0</v>
      </c>
      <c r="N784" s="302">
        <v>2170014</v>
      </c>
      <c r="O784" s="302">
        <v>0</v>
      </c>
      <c r="P784" s="232">
        <v>180599</v>
      </c>
      <c r="Q784" s="232">
        <v>2350613</v>
      </c>
      <c r="R784" s="232"/>
      <c r="S784" s="394">
        <v>655290</v>
      </c>
      <c r="T784" s="232">
        <v>-97887</v>
      </c>
      <c r="U784" s="398">
        <v>557403</v>
      </c>
      <c r="V784" s="232"/>
      <c r="W784" s="398">
        <v>5896140</v>
      </c>
      <c r="X784" s="398">
        <v>-2083383</v>
      </c>
      <c r="Y784" s="398"/>
      <c r="Z784" s="398"/>
    </row>
    <row r="785" spans="1:26">
      <c r="A785" s="392">
        <v>98313</v>
      </c>
      <c r="B785" s="393" t="s">
        <v>1485</v>
      </c>
      <c r="C785" s="235">
        <v>1.9320000000000001E-4</v>
      </c>
      <c r="D785" s="235">
        <v>1.951E-4</v>
      </c>
      <c r="E785" s="232">
        <v>296291</v>
      </c>
      <c r="F785" s="232" t="s">
        <v>1930</v>
      </c>
      <c r="G785" s="394">
        <v>94261</v>
      </c>
      <c r="H785" s="394">
        <v>0</v>
      </c>
      <c r="I785" s="394">
        <v>186146</v>
      </c>
      <c r="J785" s="232">
        <v>216464</v>
      </c>
      <c r="K785" s="232">
        <v>496871</v>
      </c>
      <c r="L785" s="232"/>
      <c r="M785" s="302">
        <v>0</v>
      </c>
      <c r="N785" s="302">
        <v>423310</v>
      </c>
      <c r="O785" s="302">
        <v>0</v>
      </c>
      <c r="P785" s="232">
        <v>0</v>
      </c>
      <c r="Q785" s="232">
        <v>423310</v>
      </c>
      <c r="R785" s="232"/>
      <c r="S785" s="394">
        <v>127829</v>
      </c>
      <c r="T785" s="232">
        <v>132135</v>
      </c>
      <c r="U785" s="398">
        <v>259964</v>
      </c>
      <c r="V785" s="232"/>
      <c r="W785" s="398">
        <v>1150176</v>
      </c>
      <c r="X785" s="398">
        <v>-406411</v>
      </c>
      <c r="Y785" s="398"/>
      <c r="Z785" s="398"/>
    </row>
    <row r="786" spans="1:26">
      <c r="A786" s="392">
        <v>98321</v>
      </c>
      <c r="B786" s="393" t="s">
        <v>1486</v>
      </c>
      <c r="C786" s="235">
        <v>1.26E-5</v>
      </c>
      <c r="D786" s="235">
        <v>1.3499999999999999E-5</v>
      </c>
      <c r="E786" s="232">
        <v>19323</v>
      </c>
      <c r="F786" s="232" t="s">
        <v>1930</v>
      </c>
      <c r="G786" s="394">
        <v>6147</v>
      </c>
      <c r="H786" s="394">
        <v>0</v>
      </c>
      <c r="I786" s="394">
        <v>12140</v>
      </c>
      <c r="J786" s="232">
        <v>262</v>
      </c>
      <c r="K786" s="232">
        <v>18549</v>
      </c>
      <c r="L786" s="232"/>
      <c r="M786" s="302">
        <v>0</v>
      </c>
      <c r="N786" s="302">
        <v>27607</v>
      </c>
      <c r="O786" s="302">
        <v>0</v>
      </c>
      <c r="P786" s="232">
        <v>2411</v>
      </c>
      <c r="Q786" s="232">
        <v>30018</v>
      </c>
      <c r="R786" s="232"/>
      <c r="S786" s="394">
        <v>8337</v>
      </c>
      <c r="T786" s="232">
        <v>-1098</v>
      </c>
      <c r="U786" s="398">
        <v>7239</v>
      </c>
      <c r="V786" s="232"/>
      <c r="W786" s="398">
        <v>75011</v>
      </c>
      <c r="X786" s="398">
        <v>-26505</v>
      </c>
      <c r="Y786" s="398"/>
      <c r="Z786" s="398"/>
    </row>
    <row r="787" spans="1:26">
      <c r="A787" s="392">
        <v>98331</v>
      </c>
      <c r="B787" s="393" t="s">
        <v>1487</v>
      </c>
      <c r="C787" s="235">
        <v>6.1E-6</v>
      </c>
      <c r="D787" s="235">
        <v>1.7E-6</v>
      </c>
      <c r="E787" s="232">
        <v>9355</v>
      </c>
      <c r="F787" s="232" t="s">
        <v>1930</v>
      </c>
      <c r="G787" s="394">
        <v>2976</v>
      </c>
      <c r="H787" s="394">
        <v>0</v>
      </c>
      <c r="I787" s="394">
        <v>5877</v>
      </c>
      <c r="J787" s="232">
        <v>10528</v>
      </c>
      <c r="K787" s="232">
        <v>19381</v>
      </c>
      <c r="L787" s="232"/>
      <c r="M787" s="302">
        <v>0</v>
      </c>
      <c r="N787" s="302">
        <v>13365</v>
      </c>
      <c r="O787" s="302">
        <v>0</v>
      </c>
      <c r="P787" s="232">
        <v>4410</v>
      </c>
      <c r="Q787" s="232">
        <v>17775</v>
      </c>
      <c r="R787" s="232"/>
      <c r="S787" s="394">
        <v>4036</v>
      </c>
      <c r="T787" s="232">
        <v>1900</v>
      </c>
      <c r="U787" s="398">
        <v>5936</v>
      </c>
      <c r="V787" s="232"/>
      <c r="W787" s="398">
        <v>36315</v>
      </c>
      <c r="X787" s="398">
        <v>-12832</v>
      </c>
      <c r="Y787" s="398"/>
      <c r="Z787" s="398"/>
    </row>
    <row r="788" spans="1:26">
      <c r="A788" s="392">
        <v>98401</v>
      </c>
      <c r="B788" s="397" t="s">
        <v>1488</v>
      </c>
      <c r="C788" s="235">
        <v>2.8972999999999998E-3</v>
      </c>
      <c r="D788" s="235">
        <v>2.9325000000000002E-3</v>
      </c>
      <c r="E788" s="232">
        <v>4443288</v>
      </c>
      <c r="F788" s="232" t="s">
        <v>1930</v>
      </c>
      <c r="G788" s="394">
        <v>1413569</v>
      </c>
      <c r="H788" s="394">
        <v>0</v>
      </c>
      <c r="I788" s="394">
        <v>2791520</v>
      </c>
      <c r="J788" s="232">
        <v>170675</v>
      </c>
      <c r="K788" s="232">
        <v>4375764</v>
      </c>
      <c r="L788" s="232"/>
      <c r="M788" s="302">
        <v>0</v>
      </c>
      <c r="N788" s="302">
        <v>6348123</v>
      </c>
      <c r="O788" s="302">
        <v>0</v>
      </c>
      <c r="P788" s="232">
        <v>0</v>
      </c>
      <c r="Q788" s="232">
        <v>6348123</v>
      </c>
      <c r="R788" s="232"/>
      <c r="S788" s="394">
        <v>1916975</v>
      </c>
      <c r="T788" s="232">
        <v>121525</v>
      </c>
      <c r="U788" s="398">
        <v>2038500</v>
      </c>
      <c r="V788" s="232"/>
      <c r="W788" s="398">
        <v>17248473</v>
      </c>
      <c r="X788" s="398">
        <v>-6094694</v>
      </c>
      <c r="Y788" s="398"/>
      <c r="Z788" s="398"/>
    </row>
    <row r="789" spans="1:26">
      <c r="A789" s="392">
        <v>98404</v>
      </c>
      <c r="B789" s="393" t="s">
        <v>1489</v>
      </c>
      <c r="C789" s="235">
        <v>2.23E-5</v>
      </c>
      <c r="D789" s="235">
        <v>1.5E-5</v>
      </c>
      <c r="E789" s="232">
        <v>34199</v>
      </c>
      <c r="F789" s="232" t="s">
        <v>1930</v>
      </c>
      <c r="G789" s="394">
        <v>10880</v>
      </c>
      <c r="H789" s="394">
        <v>0</v>
      </c>
      <c r="I789" s="394">
        <v>21486</v>
      </c>
      <c r="J789" s="232">
        <v>13723</v>
      </c>
      <c r="K789" s="232">
        <v>46089</v>
      </c>
      <c r="L789" s="232"/>
      <c r="M789" s="302">
        <v>0</v>
      </c>
      <c r="N789" s="302">
        <v>48860</v>
      </c>
      <c r="O789" s="302">
        <v>0</v>
      </c>
      <c r="P789" s="232">
        <v>168</v>
      </c>
      <c r="Q789" s="232">
        <v>49028</v>
      </c>
      <c r="R789" s="232"/>
      <c r="S789" s="394">
        <v>14755</v>
      </c>
      <c r="T789" s="232">
        <v>7071</v>
      </c>
      <c r="U789" s="398">
        <v>21826</v>
      </c>
      <c r="V789" s="232"/>
      <c r="W789" s="398">
        <v>132758</v>
      </c>
      <c r="X789" s="398">
        <v>-46910</v>
      </c>
      <c r="Y789" s="398"/>
      <c r="Z789" s="398"/>
    </row>
    <row r="790" spans="1:26">
      <c r="A790" s="392">
        <v>98411</v>
      </c>
      <c r="B790" s="397" t="s">
        <v>1490</v>
      </c>
      <c r="C790" s="235">
        <v>1.7966E-3</v>
      </c>
      <c r="D790" s="235">
        <v>1.7830999999999999E-3</v>
      </c>
      <c r="E790" s="232">
        <v>2755259</v>
      </c>
      <c r="F790" s="232" t="s">
        <v>1930</v>
      </c>
      <c r="G790" s="394">
        <v>876547</v>
      </c>
      <c r="H790" s="394">
        <v>0</v>
      </c>
      <c r="I790" s="394">
        <v>1731006</v>
      </c>
      <c r="J790" s="232">
        <v>0</v>
      </c>
      <c r="K790" s="232">
        <v>2607553</v>
      </c>
      <c r="L790" s="232"/>
      <c r="M790" s="302">
        <v>0</v>
      </c>
      <c r="N790" s="302">
        <v>3936437</v>
      </c>
      <c r="O790" s="302">
        <v>0</v>
      </c>
      <c r="P790" s="232">
        <v>189450</v>
      </c>
      <c r="Q790" s="232">
        <v>4125887</v>
      </c>
      <c r="R790" s="232"/>
      <c r="S790" s="394">
        <v>1188706</v>
      </c>
      <c r="T790" s="232">
        <v>-112882</v>
      </c>
      <c r="U790" s="398">
        <v>1075824</v>
      </c>
      <c r="V790" s="232"/>
      <c r="W790" s="398">
        <v>10695684</v>
      </c>
      <c r="X790" s="398">
        <v>-3779286</v>
      </c>
      <c r="Y790" s="398"/>
      <c r="Z790" s="398"/>
    </row>
    <row r="791" spans="1:26">
      <c r="A791" s="392">
        <v>98414</v>
      </c>
      <c r="B791" s="393" t="s">
        <v>1491</v>
      </c>
      <c r="C791" s="235">
        <v>3.9700000000000003E-5</v>
      </c>
      <c r="D791" s="235">
        <v>3.5099999999999999E-5</v>
      </c>
      <c r="E791" s="232">
        <v>60884</v>
      </c>
      <c r="F791" s="232" t="s">
        <v>1930</v>
      </c>
      <c r="G791" s="394">
        <v>19369</v>
      </c>
      <c r="H791" s="394">
        <v>0</v>
      </c>
      <c r="I791" s="394">
        <v>38251</v>
      </c>
      <c r="J791" s="232">
        <v>12382</v>
      </c>
      <c r="K791" s="232">
        <v>70002</v>
      </c>
      <c r="L791" s="232"/>
      <c r="M791" s="302">
        <v>0</v>
      </c>
      <c r="N791" s="302">
        <v>86985</v>
      </c>
      <c r="O791" s="302">
        <v>0</v>
      </c>
      <c r="P791" s="232">
        <v>5874</v>
      </c>
      <c r="Q791" s="232">
        <v>92859</v>
      </c>
      <c r="R791" s="232"/>
      <c r="S791" s="394">
        <v>26267</v>
      </c>
      <c r="T791" s="232">
        <v>880</v>
      </c>
      <c r="U791" s="398">
        <v>27147</v>
      </c>
      <c r="V791" s="232"/>
      <c r="W791" s="398">
        <v>236346</v>
      </c>
      <c r="X791" s="398">
        <v>-83512</v>
      </c>
      <c r="Y791" s="398"/>
      <c r="Z791" s="398"/>
    </row>
    <row r="792" spans="1:26">
      <c r="A792" s="392">
        <v>98417</v>
      </c>
      <c r="B792" s="393" t="s">
        <v>1492</v>
      </c>
      <c r="C792" s="235">
        <v>2.1399999999999998E-5</v>
      </c>
      <c r="D792" s="235">
        <v>2.1699999999999999E-5</v>
      </c>
      <c r="E792" s="232">
        <v>32819</v>
      </c>
      <c r="F792" s="232" t="s">
        <v>1930</v>
      </c>
      <c r="G792" s="394">
        <v>10441</v>
      </c>
      <c r="H792" s="394">
        <v>0</v>
      </c>
      <c r="I792" s="394">
        <v>20619</v>
      </c>
      <c r="J792" s="232">
        <v>12921</v>
      </c>
      <c r="K792" s="232">
        <v>43981</v>
      </c>
      <c r="L792" s="232"/>
      <c r="M792" s="302">
        <v>0</v>
      </c>
      <c r="N792" s="302">
        <v>46888</v>
      </c>
      <c r="O792" s="302">
        <v>0</v>
      </c>
      <c r="P792" s="232">
        <v>0</v>
      </c>
      <c r="Q792" s="232">
        <v>46888</v>
      </c>
      <c r="R792" s="232"/>
      <c r="S792" s="394">
        <v>14159</v>
      </c>
      <c r="T792" s="232">
        <v>5918</v>
      </c>
      <c r="U792" s="398">
        <v>20077</v>
      </c>
      <c r="V792" s="232"/>
      <c r="W792" s="398">
        <v>127400</v>
      </c>
      <c r="X792" s="398">
        <v>-45017</v>
      </c>
      <c r="Y792" s="398"/>
      <c r="Z792" s="398"/>
    </row>
    <row r="793" spans="1:26">
      <c r="A793" s="392">
        <v>98421</v>
      </c>
      <c r="B793" s="393" t="s">
        <v>1493</v>
      </c>
      <c r="C793" s="235">
        <v>1.053E-4</v>
      </c>
      <c r="D793" s="235">
        <v>1.081E-4</v>
      </c>
      <c r="E793" s="232">
        <v>161488</v>
      </c>
      <c r="F793" s="232" t="s">
        <v>1930</v>
      </c>
      <c r="G793" s="394">
        <v>51375</v>
      </c>
      <c r="H793" s="394">
        <v>0</v>
      </c>
      <c r="I793" s="394">
        <v>101455</v>
      </c>
      <c r="J793" s="232">
        <v>4722</v>
      </c>
      <c r="K793" s="232">
        <v>157552</v>
      </c>
      <c r="L793" s="232"/>
      <c r="M793" s="302">
        <v>0</v>
      </c>
      <c r="N793" s="302">
        <v>230717</v>
      </c>
      <c r="O793" s="302">
        <v>0</v>
      </c>
      <c r="P793" s="232">
        <v>11591</v>
      </c>
      <c r="Q793" s="232">
        <v>242308</v>
      </c>
      <c r="R793" s="232"/>
      <c r="S793" s="394">
        <v>69671</v>
      </c>
      <c r="T793" s="232">
        <v>-3692</v>
      </c>
      <c r="U793" s="398">
        <v>65979</v>
      </c>
      <c r="V793" s="232"/>
      <c r="W793" s="398">
        <v>626882</v>
      </c>
      <c r="X793" s="398">
        <v>-221507</v>
      </c>
      <c r="Y793" s="398"/>
      <c r="Z793" s="398"/>
    </row>
    <row r="794" spans="1:26">
      <c r="A794" s="392">
        <v>98427</v>
      </c>
      <c r="B794" s="393" t="s">
        <v>1494</v>
      </c>
      <c r="C794" s="235">
        <v>1.9E-6</v>
      </c>
      <c r="D794" s="235">
        <v>2.9000000000000002E-6</v>
      </c>
      <c r="E794" s="232">
        <v>2914</v>
      </c>
      <c r="F794" s="232" t="s">
        <v>1930</v>
      </c>
      <c r="G794" s="394">
        <v>927</v>
      </c>
      <c r="H794" s="394">
        <v>0</v>
      </c>
      <c r="I794" s="394">
        <v>1831</v>
      </c>
      <c r="J794" s="232">
        <v>2447</v>
      </c>
      <c r="K794" s="232">
        <v>5205</v>
      </c>
      <c r="L794" s="232"/>
      <c r="M794" s="302">
        <v>0</v>
      </c>
      <c r="N794" s="302">
        <v>4163</v>
      </c>
      <c r="O794" s="302">
        <v>0</v>
      </c>
      <c r="P794" s="232">
        <v>0</v>
      </c>
      <c r="Q794" s="232">
        <v>4163</v>
      </c>
      <c r="R794" s="232"/>
      <c r="S794" s="394">
        <v>1257</v>
      </c>
      <c r="T794" s="232">
        <v>1431</v>
      </c>
      <c r="U794" s="398">
        <v>2688</v>
      </c>
      <c r="V794" s="232"/>
      <c r="W794" s="398">
        <v>11311</v>
      </c>
      <c r="X794" s="398">
        <v>-3997</v>
      </c>
      <c r="Y794" s="398"/>
      <c r="Z794" s="398"/>
    </row>
    <row r="795" spans="1:26">
      <c r="A795" s="392">
        <v>98431</v>
      </c>
      <c r="B795" s="393" t="s">
        <v>1495</v>
      </c>
      <c r="C795" s="235">
        <v>2.589E-4</v>
      </c>
      <c r="D795" s="235">
        <v>2.062E-4</v>
      </c>
      <c r="E795" s="232">
        <v>397048</v>
      </c>
      <c r="F795" s="232" t="s">
        <v>1930</v>
      </c>
      <c r="G795" s="394">
        <v>126315</v>
      </c>
      <c r="H795" s="394">
        <v>0</v>
      </c>
      <c r="I795" s="394">
        <v>249448</v>
      </c>
      <c r="J795" s="232">
        <v>58864</v>
      </c>
      <c r="K795" s="232">
        <v>434627</v>
      </c>
      <c r="L795" s="232"/>
      <c r="M795" s="302">
        <v>0</v>
      </c>
      <c r="N795" s="302">
        <v>567262</v>
      </c>
      <c r="O795" s="302">
        <v>0</v>
      </c>
      <c r="P795" s="232">
        <v>7168</v>
      </c>
      <c r="Q795" s="232">
        <v>574430</v>
      </c>
      <c r="R795" s="232"/>
      <c r="S795" s="394">
        <v>171299</v>
      </c>
      <c r="T795" s="232">
        <v>11818</v>
      </c>
      <c r="U795" s="398">
        <v>183117</v>
      </c>
      <c r="V795" s="232"/>
      <c r="W795" s="398">
        <v>1541307</v>
      </c>
      <c r="X795" s="398">
        <v>-544616</v>
      </c>
      <c r="Y795" s="398"/>
      <c r="Z795" s="398"/>
    </row>
    <row r="796" spans="1:26">
      <c r="A796" s="392">
        <v>98441</v>
      </c>
      <c r="B796" s="393" t="s">
        <v>1496</v>
      </c>
      <c r="C796" s="235">
        <v>1.2449999999999999E-4</v>
      </c>
      <c r="D796" s="235">
        <v>1.1959999999999999E-4</v>
      </c>
      <c r="E796" s="232">
        <v>190933</v>
      </c>
      <c r="F796" s="232" t="s">
        <v>1930</v>
      </c>
      <c r="G796" s="394">
        <v>60743</v>
      </c>
      <c r="H796" s="394">
        <v>0</v>
      </c>
      <c r="I796" s="394">
        <v>119955</v>
      </c>
      <c r="J796" s="232">
        <v>13317</v>
      </c>
      <c r="K796" s="232">
        <v>194015</v>
      </c>
      <c r="L796" s="232"/>
      <c r="M796" s="302">
        <v>0</v>
      </c>
      <c r="N796" s="302">
        <v>272785</v>
      </c>
      <c r="O796" s="302">
        <v>0</v>
      </c>
      <c r="P796" s="232">
        <v>5779</v>
      </c>
      <c r="Q796" s="232">
        <v>278564</v>
      </c>
      <c r="R796" s="232"/>
      <c r="S796" s="394">
        <v>82374</v>
      </c>
      <c r="T796" s="232">
        <v>3567</v>
      </c>
      <c r="U796" s="398">
        <v>85941</v>
      </c>
      <c r="V796" s="232"/>
      <c r="W796" s="398">
        <v>741185</v>
      </c>
      <c r="X796" s="398">
        <v>-261895</v>
      </c>
      <c r="Y796" s="398"/>
      <c r="Z796" s="398"/>
    </row>
    <row r="797" spans="1:26">
      <c r="A797" s="392">
        <v>98451</v>
      </c>
      <c r="B797" s="397" t="s">
        <v>1497</v>
      </c>
      <c r="C797" s="235">
        <v>4.9799999999999998E-5</v>
      </c>
      <c r="D797" s="235">
        <v>3.2100000000000001E-5</v>
      </c>
      <c r="E797" s="232">
        <v>76373</v>
      </c>
      <c r="F797" s="232" t="s">
        <v>1930</v>
      </c>
      <c r="G797" s="394">
        <v>24297</v>
      </c>
      <c r="H797" s="394">
        <v>0</v>
      </c>
      <c r="I797" s="394">
        <v>47982</v>
      </c>
      <c r="J797" s="232">
        <v>33541</v>
      </c>
      <c r="K797" s="232">
        <v>105820</v>
      </c>
      <c r="L797" s="232"/>
      <c r="M797" s="302">
        <v>0</v>
      </c>
      <c r="N797" s="302">
        <v>109114</v>
      </c>
      <c r="O797" s="302">
        <v>0</v>
      </c>
      <c r="P797" s="232">
        <v>10729</v>
      </c>
      <c r="Q797" s="232">
        <v>119843</v>
      </c>
      <c r="R797" s="232"/>
      <c r="S797" s="394">
        <v>32950</v>
      </c>
      <c r="T797" s="232">
        <v>5502</v>
      </c>
      <c r="U797" s="398">
        <v>38452</v>
      </c>
      <c r="V797" s="232"/>
      <c r="W797" s="398">
        <v>296474</v>
      </c>
      <c r="X797" s="398">
        <v>-104758</v>
      </c>
      <c r="Y797" s="398"/>
      <c r="Z797" s="398"/>
    </row>
    <row r="798" spans="1:26">
      <c r="A798" s="392">
        <v>98471</v>
      </c>
      <c r="B798" s="393" t="s">
        <v>1642</v>
      </c>
      <c r="C798" s="235">
        <v>8.3999999999999992E-6</v>
      </c>
      <c r="D798" s="235">
        <v>6.7000000000000002E-6</v>
      </c>
      <c r="E798" s="232">
        <v>12882</v>
      </c>
      <c r="F798" s="232" t="s">
        <v>1930</v>
      </c>
      <c r="G798" s="394">
        <v>4098</v>
      </c>
      <c r="H798" s="394">
        <v>0</v>
      </c>
      <c r="I798" s="394">
        <v>8093</v>
      </c>
      <c r="J798" s="232">
        <v>4578</v>
      </c>
      <c r="K798" s="232">
        <v>16769</v>
      </c>
      <c r="L798" s="232"/>
      <c r="M798" s="302">
        <v>0</v>
      </c>
      <c r="N798" s="302">
        <v>18405</v>
      </c>
      <c r="O798" s="302">
        <v>0</v>
      </c>
      <c r="P798" s="232">
        <v>0</v>
      </c>
      <c r="Q798" s="232">
        <v>18405</v>
      </c>
      <c r="R798" s="232"/>
      <c r="S798" s="394">
        <v>5558</v>
      </c>
      <c r="T798" s="232">
        <v>2579</v>
      </c>
      <c r="U798" s="398">
        <v>8137</v>
      </c>
      <c r="V798" s="232"/>
      <c r="W798" s="398">
        <v>50008</v>
      </c>
      <c r="X798" s="398">
        <v>-17670</v>
      </c>
      <c r="Y798" s="398"/>
      <c r="Z798" s="398"/>
    </row>
    <row r="799" spans="1:26">
      <c r="A799" s="392">
        <v>98481</v>
      </c>
      <c r="B799" s="393" t="s">
        <v>1498</v>
      </c>
      <c r="C799" s="235">
        <v>7.0199999999999999E-5</v>
      </c>
      <c r="D799" s="235">
        <v>5.9799999999999997E-5</v>
      </c>
      <c r="E799" s="232">
        <v>107658</v>
      </c>
      <c r="F799" s="232" t="s">
        <v>1930</v>
      </c>
      <c r="G799" s="394">
        <v>34250</v>
      </c>
      <c r="H799" s="394">
        <v>0</v>
      </c>
      <c r="I799" s="394">
        <v>67637</v>
      </c>
      <c r="J799" s="232">
        <v>16074</v>
      </c>
      <c r="K799" s="232">
        <v>117961</v>
      </c>
      <c r="L799" s="232"/>
      <c r="M799" s="302">
        <v>0</v>
      </c>
      <c r="N799" s="302">
        <v>153812</v>
      </c>
      <c r="O799" s="302">
        <v>0</v>
      </c>
      <c r="P799" s="232">
        <v>4457</v>
      </c>
      <c r="Q799" s="232">
        <v>158269</v>
      </c>
      <c r="R799" s="232"/>
      <c r="S799" s="394">
        <v>46447</v>
      </c>
      <c r="T799" s="232">
        <v>2426</v>
      </c>
      <c r="U799" s="398">
        <v>48873</v>
      </c>
      <c r="V799" s="232"/>
      <c r="W799" s="398">
        <v>417921</v>
      </c>
      <c r="X799" s="398">
        <v>-147671</v>
      </c>
      <c r="Y799" s="398"/>
      <c r="Z799" s="398"/>
    </row>
    <row r="800" spans="1:26">
      <c r="A800" s="392">
        <v>98501</v>
      </c>
      <c r="B800" s="393" t="s">
        <v>1499</v>
      </c>
      <c r="C800" s="235">
        <v>2.1158000000000001E-3</v>
      </c>
      <c r="D800" s="235">
        <v>1.8075999999999999E-3</v>
      </c>
      <c r="E800" s="232">
        <v>3244782</v>
      </c>
      <c r="F800" s="232" t="s">
        <v>1930</v>
      </c>
      <c r="G800" s="394">
        <v>1032282</v>
      </c>
      <c r="H800" s="394">
        <v>0</v>
      </c>
      <c r="I800" s="394">
        <v>2038552</v>
      </c>
      <c r="J800" s="232">
        <v>704777</v>
      </c>
      <c r="K800" s="232">
        <v>3775611</v>
      </c>
      <c r="L800" s="232"/>
      <c r="M800" s="302">
        <v>0</v>
      </c>
      <c r="N800" s="302">
        <v>4635819</v>
      </c>
      <c r="O800" s="302">
        <v>0</v>
      </c>
      <c r="P800" s="232">
        <v>0</v>
      </c>
      <c r="Q800" s="232">
        <v>4635819</v>
      </c>
      <c r="R800" s="232"/>
      <c r="S800" s="394">
        <v>1399902</v>
      </c>
      <c r="T800" s="232">
        <v>288864</v>
      </c>
      <c r="U800" s="398">
        <v>1688766</v>
      </c>
      <c r="V800" s="232"/>
      <c r="W800" s="398">
        <v>12595975</v>
      </c>
      <c r="X800" s="398">
        <v>-4450748</v>
      </c>
      <c r="Y800" s="398"/>
      <c r="Z800" s="398"/>
    </row>
    <row r="801" spans="1:26">
      <c r="A801" s="392">
        <v>98511</v>
      </c>
      <c r="B801" s="393" t="s">
        <v>1500</v>
      </c>
      <c r="C801" s="235">
        <v>4.9599999999999999E-5</v>
      </c>
      <c r="D801" s="235">
        <v>4.4400000000000002E-5</v>
      </c>
      <c r="E801" s="232">
        <v>76066</v>
      </c>
      <c r="F801" s="232" t="s">
        <v>1930</v>
      </c>
      <c r="G801" s="394">
        <v>24199</v>
      </c>
      <c r="H801" s="394">
        <v>0</v>
      </c>
      <c r="I801" s="394">
        <v>47789</v>
      </c>
      <c r="J801" s="232">
        <v>14357</v>
      </c>
      <c r="K801" s="232">
        <v>86345</v>
      </c>
      <c r="L801" s="232"/>
      <c r="M801" s="302">
        <v>0</v>
      </c>
      <c r="N801" s="302">
        <v>108676</v>
      </c>
      <c r="O801" s="302">
        <v>0</v>
      </c>
      <c r="P801" s="232">
        <v>3889</v>
      </c>
      <c r="Q801" s="232">
        <v>112565</v>
      </c>
      <c r="R801" s="232"/>
      <c r="S801" s="394">
        <v>32817</v>
      </c>
      <c r="T801" s="232">
        <v>3668</v>
      </c>
      <c r="U801" s="398">
        <v>36485</v>
      </c>
      <c r="V801" s="232"/>
      <c r="W801" s="398">
        <v>295283</v>
      </c>
      <c r="X801" s="398">
        <v>-104337</v>
      </c>
      <c r="Y801" s="398"/>
      <c r="Z801" s="398"/>
    </row>
    <row r="802" spans="1:26">
      <c r="A802" s="392">
        <v>98517</v>
      </c>
      <c r="B802" s="393" t="s">
        <v>1501</v>
      </c>
      <c r="C802" s="235">
        <v>1.5999999999999999E-5</v>
      </c>
      <c r="D802" s="235">
        <v>0</v>
      </c>
      <c r="E802" s="232">
        <v>24538</v>
      </c>
      <c r="F802" s="232" t="s">
        <v>1930</v>
      </c>
      <c r="G802" s="394">
        <v>7806</v>
      </c>
      <c r="H802" s="394">
        <v>0</v>
      </c>
      <c r="I802" s="394">
        <v>15416</v>
      </c>
      <c r="J802" s="232">
        <v>23468</v>
      </c>
      <c r="K802" s="232">
        <v>46690</v>
      </c>
      <c r="L802" s="232"/>
      <c r="M802" s="302">
        <v>0</v>
      </c>
      <c r="N802" s="302">
        <v>35057</v>
      </c>
      <c r="O802" s="302">
        <v>0</v>
      </c>
      <c r="P802" s="232">
        <v>654</v>
      </c>
      <c r="Q802" s="232">
        <v>35711</v>
      </c>
      <c r="R802" s="232"/>
      <c r="S802" s="394">
        <v>10586</v>
      </c>
      <c r="T802" s="232">
        <v>8174</v>
      </c>
      <c r="U802" s="398">
        <v>18760</v>
      </c>
      <c r="V802" s="232"/>
      <c r="W802" s="398">
        <v>95253</v>
      </c>
      <c r="X802" s="398">
        <v>-33657</v>
      </c>
      <c r="Y802" s="398"/>
      <c r="Z802" s="398"/>
    </row>
    <row r="803" spans="1:26">
      <c r="A803" s="392">
        <v>98521</v>
      </c>
      <c r="B803" s="393" t="s">
        <v>1502</v>
      </c>
      <c r="C803" s="235">
        <v>6.4740000000000002E-4</v>
      </c>
      <c r="D803" s="235">
        <v>6.581E-4</v>
      </c>
      <c r="E803" s="232">
        <v>992850</v>
      </c>
      <c r="F803" s="232" t="s">
        <v>1930</v>
      </c>
      <c r="G803" s="394">
        <v>315861</v>
      </c>
      <c r="H803" s="394">
        <v>0</v>
      </c>
      <c r="I803" s="394">
        <v>623763</v>
      </c>
      <c r="J803" s="232">
        <v>18256</v>
      </c>
      <c r="K803" s="232">
        <v>957880</v>
      </c>
      <c r="L803" s="232"/>
      <c r="M803" s="302">
        <v>0</v>
      </c>
      <c r="N803" s="302">
        <v>1418484</v>
      </c>
      <c r="O803" s="302">
        <v>0</v>
      </c>
      <c r="P803" s="232">
        <v>49392</v>
      </c>
      <c r="Q803" s="232">
        <v>1467876</v>
      </c>
      <c r="R803" s="232"/>
      <c r="S803" s="394">
        <v>428347</v>
      </c>
      <c r="T803" s="232">
        <v>-4723</v>
      </c>
      <c r="U803" s="398">
        <v>423624</v>
      </c>
      <c r="V803" s="232"/>
      <c r="W803" s="398">
        <v>3854161</v>
      </c>
      <c r="X803" s="398">
        <v>-1361856</v>
      </c>
      <c r="Y803" s="398"/>
      <c r="Z803" s="398"/>
    </row>
    <row r="804" spans="1:26">
      <c r="A804" s="392">
        <v>98601</v>
      </c>
      <c r="B804" s="393" t="s">
        <v>1503</v>
      </c>
      <c r="C804" s="235">
        <v>3.5036999999999998E-3</v>
      </c>
      <c r="D804" s="235">
        <v>3.6321000000000001E-3</v>
      </c>
      <c r="E804" s="232">
        <v>5373260</v>
      </c>
      <c r="F804" s="232" t="s">
        <v>1930</v>
      </c>
      <c r="G804" s="394">
        <v>1709427</v>
      </c>
      <c r="H804" s="394">
        <v>0</v>
      </c>
      <c r="I804" s="394">
        <v>3375780</v>
      </c>
      <c r="J804" s="232">
        <v>39162</v>
      </c>
      <c r="K804" s="232">
        <v>5124369</v>
      </c>
      <c r="L804" s="232"/>
      <c r="M804" s="302">
        <v>0</v>
      </c>
      <c r="N804" s="302">
        <v>7676775</v>
      </c>
      <c r="O804" s="302">
        <v>0</v>
      </c>
      <c r="P804" s="232">
        <v>231949</v>
      </c>
      <c r="Q804" s="232">
        <v>7908724</v>
      </c>
      <c r="R804" s="232"/>
      <c r="S804" s="394">
        <v>2318195</v>
      </c>
      <c r="T804" s="232">
        <v>-89244</v>
      </c>
      <c r="U804" s="398">
        <v>2228951</v>
      </c>
      <c r="V804" s="232"/>
      <c r="W804" s="398">
        <v>20858549</v>
      </c>
      <c r="X804" s="398">
        <v>-7370303</v>
      </c>
      <c r="Y804" s="398"/>
      <c r="Z804" s="398"/>
    </row>
    <row r="805" spans="1:26">
      <c r="A805" s="392">
        <v>98604</v>
      </c>
      <c r="B805" s="393" t="s">
        <v>1504</v>
      </c>
      <c r="C805" s="235">
        <v>1.5099999999999999E-5</v>
      </c>
      <c r="D805" s="235">
        <v>1.45E-5</v>
      </c>
      <c r="E805" s="232">
        <v>23157</v>
      </c>
      <c r="F805" s="232" t="s">
        <v>1930</v>
      </c>
      <c r="G805" s="394">
        <v>7367</v>
      </c>
      <c r="H805" s="394">
        <v>0</v>
      </c>
      <c r="I805" s="394">
        <v>14549</v>
      </c>
      <c r="J805" s="232">
        <v>7011</v>
      </c>
      <c r="K805" s="232">
        <v>28927</v>
      </c>
      <c r="L805" s="232"/>
      <c r="M805" s="302">
        <v>0</v>
      </c>
      <c r="N805" s="302">
        <v>33085</v>
      </c>
      <c r="O805" s="302">
        <v>0</v>
      </c>
      <c r="P805" s="232">
        <v>0</v>
      </c>
      <c r="Q805" s="232">
        <v>33085</v>
      </c>
      <c r="R805" s="232"/>
      <c r="S805" s="394">
        <v>9991</v>
      </c>
      <c r="T805" s="232">
        <v>3043</v>
      </c>
      <c r="U805" s="398">
        <v>13034</v>
      </c>
      <c r="V805" s="232"/>
      <c r="W805" s="398">
        <v>89895</v>
      </c>
      <c r="X805" s="398">
        <v>-31764</v>
      </c>
      <c r="Y805" s="398"/>
      <c r="Z805" s="398"/>
    </row>
    <row r="806" spans="1:26">
      <c r="A806" s="392">
        <v>98607</v>
      </c>
      <c r="B806" s="393" t="s">
        <v>1505</v>
      </c>
      <c r="C806" s="235">
        <v>5.4E-6</v>
      </c>
      <c r="D806" s="235">
        <v>5.2000000000000002E-6</v>
      </c>
      <c r="E806" s="232">
        <v>8281</v>
      </c>
      <c r="F806" s="232" t="s">
        <v>1930</v>
      </c>
      <c r="G806" s="394">
        <v>2635</v>
      </c>
      <c r="H806" s="394">
        <v>0</v>
      </c>
      <c r="I806" s="394">
        <v>5203</v>
      </c>
      <c r="J806" s="232">
        <v>2151</v>
      </c>
      <c r="K806" s="232">
        <v>9989</v>
      </c>
      <c r="L806" s="232"/>
      <c r="M806" s="302">
        <v>0</v>
      </c>
      <c r="N806" s="302">
        <v>11832</v>
      </c>
      <c r="O806" s="302">
        <v>0</v>
      </c>
      <c r="P806" s="232">
        <v>380</v>
      </c>
      <c r="Q806" s="232">
        <v>12212</v>
      </c>
      <c r="R806" s="232"/>
      <c r="S806" s="394">
        <v>3573</v>
      </c>
      <c r="T806" s="232">
        <v>836</v>
      </c>
      <c r="U806" s="398">
        <v>4409</v>
      </c>
      <c r="V806" s="232"/>
      <c r="W806" s="398">
        <v>32148</v>
      </c>
      <c r="X806" s="398">
        <v>-11359</v>
      </c>
      <c r="Y806" s="398"/>
      <c r="Z806" s="398"/>
    </row>
    <row r="807" spans="1:26">
      <c r="A807" s="392">
        <v>98608</v>
      </c>
      <c r="B807" s="393" t="s">
        <v>1506</v>
      </c>
      <c r="C807" s="235">
        <v>6.9300000000000004E-5</v>
      </c>
      <c r="D807" s="235">
        <v>6.3899999999999995E-5</v>
      </c>
      <c r="E807" s="232">
        <v>106278</v>
      </c>
      <c r="F807" s="232" t="s">
        <v>1930</v>
      </c>
      <c r="G807" s="394">
        <v>33811</v>
      </c>
      <c r="H807" s="394">
        <v>0</v>
      </c>
      <c r="I807" s="394">
        <v>66770</v>
      </c>
      <c r="J807" s="232">
        <v>28263</v>
      </c>
      <c r="K807" s="232">
        <v>128844</v>
      </c>
      <c r="L807" s="232"/>
      <c r="M807" s="302">
        <v>0</v>
      </c>
      <c r="N807" s="302">
        <v>151840</v>
      </c>
      <c r="O807" s="302">
        <v>0</v>
      </c>
      <c r="P807" s="232">
        <v>252</v>
      </c>
      <c r="Q807" s="232">
        <v>152092</v>
      </c>
      <c r="R807" s="232"/>
      <c r="S807" s="394">
        <v>45852</v>
      </c>
      <c r="T807" s="232">
        <v>12799</v>
      </c>
      <c r="U807" s="398">
        <v>58651</v>
      </c>
      <c r="V807" s="232"/>
      <c r="W807" s="398">
        <v>412563</v>
      </c>
      <c r="X807" s="398">
        <v>-145778</v>
      </c>
      <c r="Y807" s="398"/>
      <c r="Z807" s="398"/>
    </row>
    <row r="808" spans="1:26">
      <c r="A808" s="392">
        <v>98611</v>
      </c>
      <c r="B808" s="393" t="s">
        <v>1507</v>
      </c>
      <c r="C808" s="235">
        <v>1.1E-4</v>
      </c>
      <c r="D808" s="235">
        <v>1.0620000000000001E-4</v>
      </c>
      <c r="E808" s="232">
        <v>168696</v>
      </c>
      <c r="F808" s="232" t="s">
        <v>1930</v>
      </c>
      <c r="G808" s="394">
        <v>53668</v>
      </c>
      <c r="H808" s="394">
        <v>0</v>
      </c>
      <c r="I808" s="394">
        <v>105984</v>
      </c>
      <c r="J808" s="232">
        <v>13774</v>
      </c>
      <c r="K808" s="232">
        <v>173426</v>
      </c>
      <c r="L808" s="232"/>
      <c r="M808" s="302">
        <v>0</v>
      </c>
      <c r="N808" s="302">
        <v>241015</v>
      </c>
      <c r="O808" s="302">
        <v>0</v>
      </c>
      <c r="P808" s="232">
        <v>8633</v>
      </c>
      <c r="Q808" s="232">
        <v>249648</v>
      </c>
      <c r="R808" s="232"/>
      <c r="S808" s="394">
        <v>72781</v>
      </c>
      <c r="T808" s="232">
        <v>6348</v>
      </c>
      <c r="U808" s="398">
        <v>79129</v>
      </c>
      <c r="V808" s="232"/>
      <c r="W808" s="398">
        <v>654862</v>
      </c>
      <c r="X808" s="398">
        <v>-231393</v>
      </c>
      <c r="Y808" s="398"/>
      <c r="Z808" s="398"/>
    </row>
    <row r="809" spans="1:26">
      <c r="A809" s="392">
        <v>98621</v>
      </c>
      <c r="B809" s="393" t="s">
        <v>1508</v>
      </c>
      <c r="C809" s="235">
        <v>1.405E-4</v>
      </c>
      <c r="D809" s="235">
        <v>1.3870000000000001E-4</v>
      </c>
      <c r="E809" s="232">
        <v>215470</v>
      </c>
      <c r="F809" s="232" t="s">
        <v>1930</v>
      </c>
      <c r="G809" s="394">
        <v>68549</v>
      </c>
      <c r="H809" s="394">
        <v>0</v>
      </c>
      <c r="I809" s="394">
        <v>135370</v>
      </c>
      <c r="J809" s="232">
        <v>7526</v>
      </c>
      <c r="K809" s="232">
        <v>211445</v>
      </c>
      <c r="L809" s="232"/>
      <c r="M809" s="302">
        <v>0</v>
      </c>
      <c r="N809" s="302">
        <v>307842</v>
      </c>
      <c r="O809" s="302">
        <v>0</v>
      </c>
      <c r="P809" s="232">
        <v>4532</v>
      </c>
      <c r="Q809" s="232">
        <v>312374</v>
      </c>
      <c r="R809" s="232"/>
      <c r="S809" s="394">
        <v>92961</v>
      </c>
      <c r="T809" s="232">
        <v>706</v>
      </c>
      <c r="U809" s="398">
        <v>93667</v>
      </c>
      <c r="V809" s="232"/>
      <c r="W809" s="398">
        <v>836438</v>
      </c>
      <c r="X809" s="398">
        <v>-295553</v>
      </c>
      <c r="Y809" s="398"/>
      <c r="Z809" s="398"/>
    </row>
    <row r="810" spans="1:26">
      <c r="A810" s="392">
        <v>98627</v>
      </c>
      <c r="B810" s="393" t="s">
        <v>1509</v>
      </c>
      <c r="C810" s="235">
        <v>1.0200000000000001E-5</v>
      </c>
      <c r="D810" s="235">
        <v>7.4000000000000003E-6</v>
      </c>
      <c r="E810" s="232">
        <v>15643</v>
      </c>
      <c r="F810" s="232" t="s">
        <v>1930</v>
      </c>
      <c r="G810" s="394">
        <v>4976</v>
      </c>
      <c r="H810" s="394">
        <v>0</v>
      </c>
      <c r="I810" s="394">
        <v>9828</v>
      </c>
      <c r="J810" s="232">
        <v>4830</v>
      </c>
      <c r="K810" s="232">
        <v>19634</v>
      </c>
      <c r="L810" s="232"/>
      <c r="M810" s="302">
        <v>0</v>
      </c>
      <c r="N810" s="302">
        <v>22349</v>
      </c>
      <c r="O810" s="302">
        <v>0</v>
      </c>
      <c r="P810" s="232">
        <v>847</v>
      </c>
      <c r="Q810" s="232">
        <v>23196</v>
      </c>
      <c r="R810" s="232"/>
      <c r="S810" s="394">
        <v>6749</v>
      </c>
      <c r="T810" s="232">
        <v>855</v>
      </c>
      <c r="U810" s="398">
        <v>7604</v>
      </c>
      <c r="V810" s="232"/>
      <c r="W810" s="398">
        <v>60724</v>
      </c>
      <c r="X810" s="398">
        <v>-21456</v>
      </c>
      <c r="Y810" s="398"/>
      <c r="Z810" s="398"/>
    </row>
    <row r="811" spans="1:26">
      <c r="A811" s="392">
        <v>98631</v>
      </c>
      <c r="B811" s="393" t="s">
        <v>1510</v>
      </c>
      <c r="C811" s="235">
        <v>8.5400000000000005E-4</v>
      </c>
      <c r="D811" s="235">
        <v>9.3860000000000005E-4</v>
      </c>
      <c r="E811" s="232">
        <v>1309691</v>
      </c>
      <c r="F811" s="232" t="s">
        <v>1930</v>
      </c>
      <c r="G811" s="394">
        <v>416660</v>
      </c>
      <c r="H811" s="394">
        <v>0</v>
      </c>
      <c r="I811" s="394">
        <v>822820</v>
      </c>
      <c r="J811" s="232">
        <v>4747</v>
      </c>
      <c r="K811" s="232">
        <v>1244227</v>
      </c>
      <c r="L811" s="232"/>
      <c r="M811" s="302">
        <v>0</v>
      </c>
      <c r="N811" s="302">
        <v>1871155</v>
      </c>
      <c r="O811" s="302">
        <v>0</v>
      </c>
      <c r="P811" s="232">
        <v>196949</v>
      </c>
      <c r="Q811" s="232">
        <v>2068104</v>
      </c>
      <c r="R811" s="232"/>
      <c r="S811" s="394">
        <v>565042</v>
      </c>
      <c r="T811" s="232">
        <v>-75223</v>
      </c>
      <c r="U811" s="398">
        <v>489819</v>
      </c>
      <c r="V811" s="232"/>
      <c r="W811" s="398">
        <v>5084111</v>
      </c>
      <c r="X811" s="398">
        <v>-1796455</v>
      </c>
      <c r="Y811" s="398"/>
      <c r="Z811" s="398"/>
    </row>
    <row r="812" spans="1:26">
      <c r="A812" s="392">
        <v>98637</v>
      </c>
      <c r="B812" s="393" t="s">
        <v>1511</v>
      </c>
      <c r="C812" s="235">
        <v>2.1299999999999999E-5</v>
      </c>
      <c r="D812" s="235">
        <v>2.3499999999999999E-5</v>
      </c>
      <c r="E812" s="232">
        <v>32666</v>
      </c>
      <c r="F812" s="232" t="s">
        <v>1930</v>
      </c>
      <c r="G812" s="394">
        <v>10392</v>
      </c>
      <c r="H812" s="394">
        <v>0</v>
      </c>
      <c r="I812" s="394">
        <v>20522</v>
      </c>
      <c r="J812" s="232">
        <v>15996</v>
      </c>
      <c r="K812" s="232">
        <v>46910</v>
      </c>
      <c r="L812" s="232"/>
      <c r="M812" s="302">
        <v>0</v>
      </c>
      <c r="N812" s="302">
        <v>46669</v>
      </c>
      <c r="O812" s="302">
        <v>0</v>
      </c>
      <c r="P812" s="232">
        <v>0</v>
      </c>
      <c r="Q812" s="232">
        <v>46669</v>
      </c>
      <c r="R812" s="232"/>
      <c r="S812" s="394">
        <v>14093</v>
      </c>
      <c r="T812" s="232">
        <v>9116</v>
      </c>
      <c r="U812" s="398">
        <v>23209</v>
      </c>
      <c r="V812" s="232"/>
      <c r="W812" s="398">
        <v>126805</v>
      </c>
      <c r="X812" s="398">
        <v>-44806</v>
      </c>
      <c r="Y812" s="398"/>
      <c r="Z812" s="398"/>
    </row>
    <row r="813" spans="1:26">
      <c r="A813" s="392">
        <v>98641</v>
      </c>
      <c r="B813" s="393" t="s">
        <v>1512</v>
      </c>
      <c r="C813" s="235">
        <v>3.1060000000000001E-4</v>
      </c>
      <c r="D813" s="235">
        <v>2.8739999999999999E-4</v>
      </c>
      <c r="E813" s="232">
        <v>476335</v>
      </c>
      <c r="F813" s="232" t="s">
        <v>1930</v>
      </c>
      <c r="G813" s="394">
        <v>151539</v>
      </c>
      <c r="H813" s="394">
        <v>0</v>
      </c>
      <c r="I813" s="394">
        <v>299260</v>
      </c>
      <c r="J813" s="232">
        <v>54083</v>
      </c>
      <c r="K813" s="232">
        <v>504882</v>
      </c>
      <c r="L813" s="232"/>
      <c r="M813" s="302">
        <v>0</v>
      </c>
      <c r="N813" s="302">
        <v>680540</v>
      </c>
      <c r="O813" s="302">
        <v>0</v>
      </c>
      <c r="P813" s="232">
        <v>3318</v>
      </c>
      <c r="Q813" s="232">
        <v>683858</v>
      </c>
      <c r="R813" s="232"/>
      <c r="S813" s="394">
        <v>205506</v>
      </c>
      <c r="T813" s="232">
        <v>19985</v>
      </c>
      <c r="U813" s="398">
        <v>225491</v>
      </c>
      <c r="V813" s="232"/>
      <c r="W813" s="398">
        <v>1849092</v>
      </c>
      <c r="X813" s="398">
        <v>-653371</v>
      </c>
      <c r="Y813" s="398"/>
      <c r="Z813" s="398"/>
    </row>
    <row r="814" spans="1:26">
      <c r="A814" s="392">
        <v>98701</v>
      </c>
      <c r="B814" s="393" t="s">
        <v>1513</v>
      </c>
      <c r="C814" s="235">
        <v>1.0554E-3</v>
      </c>
      <c r="D814" s="235">
        <v>9.9500000000000001E-4</v>
      </c>
      <c r="E814" s="232">
        <v>1618557</v>
      </c>
      <c r="F814" s="232" t="s">
        <v>1930</v>
      </c>
      <c r="G814" s="394">
        <v>514921</v>
      </c>
      <c r="H814" s="394">
        <v>0</v>
      </c>
      <c r="I814" s="394">
        <v>1016867</v>
      </c>
      <c r="J814" s="232">
        <v>154046</v>
      </c>
      <c r="K814" s="232">
        <v>1685834</v>
      </c>
      <c r="L814" s="232"/>
      <c r="M814" s="302">
        <v>0</v>
      </c>
      <c r="N814" s="302">
        <v>2312432</v>
      </c>
      <c r="O814" s="302">
        <v>0</v>
      </c>
      <c r="P814" s="232">
        <v>48658</v>
      </c>
      <c r="Q814" s="232">
        <v>2361090</v>
      </c>
      <c r="R814" s="232"/>
      <c r="S814" s="394">
        <v>698297</v>
      </c>
      <c r="T814" s="232">
        <v>18852</v>
      </c>
      <c r="U814" s="398">
        <v>717149</v>
      </c>
      <c r="V814" s="232"/>
      <c r="W814" s="398">
        <v>6283104</v>
      </c>
      <c r="X814" s="398">
        <v>-2220115</v>
      </c>
      <c r="Y814" s="398"/>
      <c r="Z814" s="398"/>
    </row>
    <row r="815" spans="1:26">
      <c r="A815" s="392">
        <v>98711</v>
      </c>
      <c r="B815" s="393" t="s">
        <v>1514</v>
      </c>
      <c r="C815" s="235">
        <v>1.6440000000000001E-4</v>
      </c>
      <c r="D815" s="235">
        <v>1.4550000000000001E-4</v>
      </c>
      <c r="E815" s="232">
        <v>252123</v>
      </c>
      <c r="F815" s="232" t="s">
        <v>1930</v>
      </c>
      <c r="G815" s="394">
        <v>80209</v>
      </c>
      <c r="H815" s="394">
        <v>0</v>
      </c>
      <c r="I815" s="394">
        <v>158398</v>
      </c>
      <c r="J815" s="232">
        <v>26882</v>
      </c>
      <c r="K815" s="232">
        <v>265489</v>
      </c>
      <c r="L815" s="232"/>
      <c r="M815" s="302">
        <v>0</v>
      </c>
      <c r="N815" s="302">
        <v>360208</v>
      </c>
      <c r="O815" s="302">
        <v>0</v>
      </c>
      <c r="P815" s="232">
        <v>28512</v>
      </c>
      <c r="Q815" s="232">
        <v>388720</v>
      </c>
      <c r="R815" s="232"/>
      <c r="S815" s="394">
        <v>108774</v>
      </c>
      <c r="T815" s="232">
        <v>-10056</v>
      </c>
      <c r="U815" s="398">
        <v>98718</v>
      </c>
      <c r="V815" s="232"/>
      <c r="W815" s="398">
        <v>978721</v>
      </c>
      <c r="X815" s="398">
        <v>-345828</v>
      </c>
      <c r="Y815" s="398"/>
      <c r="Z815" s="398"/>
    </row>
    <row r="816" spans="1:26">
      <c r="A816" s="392">
        <v>98717</v>
      </c>
      <c r="B816" s="393" t="s">
        <v>1515</v>
      </c>
      <c r="C816" s="235">
        <v>1.1600000000000001E-5</v>
      </c>
      <c r="D816" s="235">
        <v>1.6500000000000001E-5</v>
      </c>
      <c r="E816" s="232">
        <v>17790</v>
      </c>
      <c r="F816" s="232" t="s">
        <v>1930</v>
      </c>
      <c r="G816" s="394">
        <v>5660</v>
      </c>
      <c r="H816" s="394">
        <v>0</v>
      </c>
      <c r="I816" s="394">
        <v>11176</v>
      </c>
      <c r="J816" s="232">
        <v>743</v>
      </c>
      <c r="K816" s="232">
        <v>17579</v>
      </c>
      <c r="L816" s="232"/>
      <c r="M816" s="302">
        <v>0</v>
      </c>
      <c r="N816" s="302">
        <v>25416</v>
      </c>
      <c r="O816" s="302">
        <v>0</v>
      </c>
      <c r="P816" s="232">
        <v>10651</v>
      </c>
      <c r="Q816" s="232">
        <v>36067</v>
      </c>
      <c r="R816" s="232"/>
      <c r="S816" s="394">
        <v>7675</v>
      </c>
      <c r="T816" s="232">
        <v>-3940</v>
      </c>
      <c r="U816" s="398">
        <v>3735</v>
      </c>
      <c r="V816" s="232"/>
      <c r="W816" s="398">
        <v>69058</v>
      </c>
      <c r="X816" s="398">
        <v>-24401</v>
      </c>
      <c r="Y816" s="398"/>
      <c r="Z816" s="398"/>
    </row>
    <row r="817" spans="1:26">
      <c r="A817" s="392">
        <v>98801</v>
      </c>
      <c r="B817" s="393" t="s">
        <v>1516</v>
      </c>
      <c r="C817" s="235">
        <v>2.4087000000000002E-3</v>
      </c>
      <c r="D817" s="235">
        <v>2.3004000000000002E-3</v>
      </c>
      <c r="E817" s="232">
        <v>3693973</v>
      </c>
      <c r="F817" s="232" t="s">
        <v>1930</v>
      </c>
      <c r="G817" s="394">
        <v>1175185</v>
      </c>
      <c r="H817" s="394">
        <v>0</v>
      </c>
      <c r="I817" s="394">
        <v>2320758</v>
      </c>
      <c r="J817" s="232">
        <v>462048</v>
      </c>
      <c r="K817" s="232">
        <v>3957991</v>
      </c>
      <c r="L817" s="232"/>
      <c r="M817" s="302">
        <v>0</v>
      </c>
      <c r="N817" s="302">
        <v>5277577</v>
      </c>
      <c r="O817" s="302">
        <v>0</v>
      </c>
      <c r="P817" s="232">
        <v>19021</v>
      </c>
      <c r="Q817" s="232">
        <v>5296598</v>
      </c>
      <c r="R817" s="232"/>
      <c r="S817" s="394">
        <v>1593697</v>
      </c>
      <c r="T817" s="232">
        <v>192934</v>
      </c>
      <c r="U817" s="398">
        <v>1786631</v>
      </c>
      <c r="V817" s="232"/>
      <c r="W817" s="398">
        <v>14339694</v>
      </c>
      <c r="X817" s="398">
        <v>-5066886</v>
      </c>
      <c r="Y817" s="398"/>
      <c r="Z817" s="398"/>
    </row>
    <row r="818" spans="1:26">
      <c r="A818" s="392">
        <v>98811</v>
      </c>
      <c r="B818" s="393" t="s">
        <v>1517</v>
      </c>
      <c r="C818" s="235">
        <v>5.6229999999999995E-4</v>
      </c>
      <c r="D818" s="235">
        <v>6.6279999999999996E-4</v>
      </c>
      <c r="E818" s="232">
        <v>862341</v>
      </c>
      <c r="F818" s="232" t="s">
        <v>1930</v>
      </c>
      <c r="G818" s="394">
        <v>274342</v>
      </c>
      <c r="H818" s="394">
        <v>0</v>
      </c>
      <c r="I818" s="394">
        <v>541770</v>
      </c>
      <c r="J818" s="232">
        <v>30523</v>
      </c>
      <c r="K818" s="232">
        <v>846635</v>
      </c>
      <c r="L818" s="232"/>
      <c r="M818" s="302">
        <v>0</v>
      </c>
      <c r="N818" s="302">
        <v>1232026</v>
      </c>
      <c r="O818" s="302">
        <v>0</v>
      </c>
      <c r="P818" s="232">
        <v>125128</v>
      </c>
      <c r="Q818" s="232">
        <v>1357154</v>
      </c>
      <c r="R818" s="232"/>
      <c r="S818" s="394">
        <v>372041</v>
      </c>
      <c r="T818" s="232">
        <v>-30697</v>
      </c>
      <c r="U818" s="398">
        <v>341344</v>
      </c>
      <c r="V818" s="232"/>
      <c r="W818" s="398">
        <v>3347536</v>
      </c>
      <c r="X818" s="398">
        <v>-1182841</v>
      </c>
      <c r="Y818" s="398"/>
      <c r="Z818" s="398"/>
    </row>
    <row r="819" spans="1:26">
      <c r="A819" s="392">
        <v>98817</v>
      </c>
      <c r="B819" s="393" t="s">
        <v>1518</v>
      </c>
      <c r="C819" s="235">
        <v>1.5999999999999999E-5</v>
      </c>
      <c r="D819" s="235">
        <v>1.3900000000000001E-5</v>
      </c>
      <c r="E819" s="232">
        <v>24538</v>
      </c>
      <c r="F819" s="232" t="s">
        <v>1930</v>
      </c>
      <c r="G819" s="394">
        <v>7806</v>
      </c>
      <c r="H819" s="394">
        <v>0</v>
      </c>
      <c r="I819" s="394">
        <v>15416</v>
      </c>
      <c r="J819" s="232">
        <v>6613</v>
      </c>
      <c r="K819" s="232">
        <v>29835</v>
      </c>
      <c r="L819" s="232"/>
      <c r="M819" s="302">
        <v>0</v>
      </c>
      <c r="N819" s="302">
        <v>35057</v>
      </c>
      <c r="O819" s="302">
        <v>0</v>
      </c>
      <c r="P819" s="232">
        <v>2629</v>
      </c>
      <c r="Q819" s="232">
        <v>37686</v>
      </c>
      <c r="R819" s="232"/>
      <c r="S819" s="394">
        <v>10586</v>
      </c>
      <c r="T819" s="232">
        <v>1966</v>
      </c>
      <c r="U819" s="398">
        <v>12552</v>
      </c>
      <c r="V819" s="232"/>
      <c r="W819" s="398">
        <v>95253</v>
      </c>
      <c r="X819" s="398">
        <v>-33657</v>
      </c>
      <c r="Y819" s="398"/>
      <c r="Z819" s="398"/>
    </row>
    <row r="820" spans="1:26">
      <c r="A820" s="392">
        <v>98901</v>
      </c>
      <c r="B820" s="393" t="s">
        <v>1519</v>
      </c>
      <c r="C820" s="235">
        <v>2.7609999999999999E-4</v>
      </c>
      <c r="D820" s="235">
        <v>2.8689999999999998E-4</v>
      </c>
      <c r="E820" s="232">
        <v>423426</v>
      </c>
      <c r="F820" s="232" t="s">
        <v>1930</v>
      </c>
      <c r="G820" s="394">
        <v>134707</v>
      </c>
      <c r="H820" s="394">
        <v>0</v>
      </c>
      <c r="I820" s="394">
        <v>266020</v>
      </c>
      <c r="J820" s="232">
        <v>16952</v>
      </c>
      <c r="K820" s="232">
        <v>417679</v>
      </c>
      <c r="L820" s="232"/>
      <c r="M820" s="302">
        <v>0</v>
      </c>
      <c r="N820" s="302">
        <v>604948</v>
      </c>
      <c r="O820" s="302">
        <v>0</v>
      </c>
      <c r="P820" s="232">
        <v>8596</v>
      </c>
      <c r="Q820" s="232">
        <v>613544</v>
      </c>
      <c r="R820" s="232"/>
      <c r="S820" s="394">
        <v>182679</v>
      </c>
      <c r="T820" s="232">
        <v>3477</v>
      </c>
      <c r="U820" s="398">
        <v>186156</v>
      </c>
      <c r="V820" s="232"/>
      <c r="W820" s="398">
        <v>1643704</v>
      </c>
      <c r="X820" s="398">
        <v>-580798</v>
      </c>
      <c r="Y820" s="398"/>
      <c r="Z820" s="398"/>
    </row>
    <row r="821" spans="1:26">
      <c r="A821" s="392">
        <v>98904</v>
      </c>
      <c r="B821" s="393" t="s">
        <v>1520</v>
      </c>
      <c r="C821" s="235">
        <v>2.9000000000000002E-6</v>
      </c>
      <c r="D821" s="235">
        <v>4.0999999999999997E-6</v>
      </c>
      <c r="E821" s="232">
        <v>4447</v>
      </c>
      <c r="F821" s="232" t="s">
        <v>1930</v>
      </c>
      <c r="G821" s="394">
        <v>1415</v>
      </c>
      <c r="H821" s="394">
        <v>0</v>
      </c>
      <c r="I821" s="394">
        <v>2794</v>
      </c>
      <c r="J821" s="232">
        <v>151</v>
      </c>
      <c r="K821" s="232">
        <v>4360</v>
      </c>
      <c r="L821" s="232"/>
      <c r="M821" s="302">
        <v>0</v>
      </c>
      <c r="N821" s="302">
        <v>6354</v>
      </c>
      <c r="O821" s="302">
        <v>0</v>
      </c>
      <c r="P821" s="232">
        <v>2324</v>
      </c>
      <c r="Q821" s="232">
        <v>8678</v>
      </c>
      <c r="R821" s="232"/>
      <c r="S821" s="394">
        <v>1919</v>
      </c>
      <c r="T821" s="232">
        <v>-1008</v>
      </c>
      <c r="U821" s="398">
        <v>911</v>
      </c>
      <c r="V821" s="232"/>
      <c r="W821" s="398">
        <v>17265</v>
      </c>
      <c r="X821" s="398">
        <v>-6100</v>
      </c>
      <c r="Y821" s="398"/>
      <c r="Z821" s="398"/>
    </row>
    <row r="822" spans="1:26">
      <c r="A822" s="392">
        <v>98911</v>
      </c>
      <c r="B822" s="393" t="s">
        <v>1521</v>
      </c>
      <c r="C822" s="235">
        <v>2.2500000000000001E-5</v>
      </c>
      <c r="D822" s="235">
        <v>2.16E-5</v>
      </c>
      <c r="E822" s="232">
        <v>34506</v>
      </c>
      <c r="F822" s="232" t="s">
        <v>1930</v>
      </c>
      <c r="G822" s="394">
        <v>10978</v>
      </c>
      <c r="H822" s="394">
        <v>0</v>
      </c>
      <c r="I822" s="394">
        <v>21679</v>
      </c>
      <c r="J822" s="232">
        <v>16257</v>
      </c>
      <c r="K822" s="232">
        <v>48914</v>
      </c>
      <c r="L822" s="232"/>
      <c r="M822" s="302">
        <v>0</v>
      </c>
      <c r="N822" s="302">
        <v>49299</v>
      </c>
      <c r="O822" s="302">
        <v>0</v>
      </c>
      <c r="P822" s="232">
        <v>579</v>
      </c>
      <c r="Q822" s="232">
        <v>49878</v>
      </c>
      <c r="R822" s="232"/>
      <c r="S822" s="394">
        <v>14887</v>
      </c>
      <c r="T822" s="232">
        <v>8316</v>
      </c>
      <c r="U822" s="398">
        <v>23203</v>
      </c>
      <c r="V822" s="232"/>
      <c r="W822" s="398">
        <v>133949</v>
      </c>
      <c r="X822" s="398">
        <v>-47330</v>
      </c>
      <c r="Y822" s="398"/>
      <c r="Z822" s="398"/>
    </row>
    <row r="823" spans="1:26">
      <c r="A823" s="392">
        <v>99001</v>
      </c>
      <c r="B823" s="393" t="s">
        <v>1522</v>
      </c>
      <c r="C823" s="235">
        <v>9.5493999999999996E-3</v>
      </c>
      <c r="D823" s="235">
        <v>9.2741000000000004E-3</v>
      </c>
      <c r="E823" s="232">
        <v>14644922</v>
      </c>
      <c r="F823" s="232" t="s">
        <v>1930</v>
      </c>
      <c r="G823" s="394">
        <v>4659076</v>
      </c>
      <c r="H823" s="394">
        <v>0</v>
      </c>
      <c r="I823" s="394">
        <v>9200751</v>
      </c>
      <c r="J823" s="232">
        <v>1067606</v>
      </c>
      <c r="K823" s="232">
        <v>14927433</v>
      </c>
      <c r="L823" s="232"/>
      <c r="M823" s="302">
        <v>0</v>
      </c>
      <c r="N823" s="302">
        <v>20923194</v>
      </c>
      <c r="O823" s="302">
        <v>0</v>
      </c>
      <c r="P823" s="232">
        <v>0</v>
      </c>
      <c r="Q823" s="232">
        <v>20923194</v>
      </c>
      <c r="R823" s="232"/>
      <c r="S823" s="394">
        <v>6318284</v>
      </c>
      <c r="T823" s="232">
        <v>483969</v>
      </c>
      <c r="U823" s="398">
        <v>6802253</v>
      </c>
      <c r="V823" s="232"/>
      <c r="W823" s="398">
        <v>56850367</v>
      </c>
      <c r="X823" s="398">
        <v>-20087898</v>
      </c>
      <c r="Y823" s="398"/>
      <c r="Z823" s="398"/>
    </row>
    <row r="824" spans="1:26">
      <c r="A824" s="392">
        <v>99011</v>
      </c>
      <c r="B824" s="393" t="s">
        <v>1523</v>
      </c>
      <c r="C824" s="235">
        <v>3.8801E-3</v>
      </c>
      <c r="D824" s="235">
        <v>3.8425E-3</v>
      </c>
      <c r="E824" s="232">
        <v>5950506</v>
      </c>
      <c r="F824" s="232" t="s">
        <v>1930</v>
      </c>
      <c r="G824" s="394">
        <v>1893070</v>
      </c>
      <c r="H824" s="394">
        <v>0</v>
      </c>
      <c r="I824" s="394">
        <v>3738438</v>
      </c>
      <c r="J824" s="232">
        <v>121028</v>
      </c>
      <c r="K824" s="232">
        <v>5752536</v>
      </c>
      <c r="L824" s="232"/>
      <c r="M824" s="302">
        <v>0</v>
      </c>
      <c r="N824" s="302">
        <v>8501485</v>
      </c>
      <c r="O824" s="302">
        <v>0</v>
      </c>
      <c r="P824" s="232">
        <v>0</v>
      </c>
      <c r="Q824" s="232">
        <v>8501485</v>
      </c>
      <c r="R824" s="232"/>
      <c r="S824" s="394">
        <v>2567237</v>
      </c>
      <c r="T824" s="232">
        <v>40965</v>
      </c>
      <c r="U824" s="398">
        <v>2608202</v>
      </c>
      <c r="V824" s="232"/>
      <c r="W824" s="398">
        <v>23099368</v>
      </c>
      <c r="X824" s="398">
        <v>-8162089</v>
      </c>
      <c r="Y824" s="398"/>
      <c r="Z824" s="398"/>
    </row>
    <row r="825" spans="1:26">
      <c r="A825" s="392">
        <v>99013</v>
      </c>
      <c r="B825" s="393" t="s">
        <v>1524</v>
      </c>
      <c r="C825" s="235">
        <v>7.5599999999999994E-5</v>
      </c>
      <c r="D825" s="235">
        <v>4.07E-5</v>
      </c>
      <c r="E825" s="232">
        <v>115940</v>
      </c>
      <c r="F825" s="232" t="s">
        <v>1930</v>
      </c>
      <c r="G825" s="394">
        <v>36885</v>
      </c>
      <c r="H825" s="394">
        <v>0</v>
      </c>
      <c r="I825" s="394">
        <v>72840</v>
      </c>
      <c r="J825" s="232">
        <v>66351</v>
      </c>
      <c r="K825" s="232">
        <v>176076</v>
      </c>
      <c r="L825" s="232"/>
      <c r="M825" s="302">
        <v>0</v>
      </c>
      <c r="N825" s="302">
        <v>165643</v>
      </c>
      <c r="O825" s="302">
        <v>0</v>
      </c>
      <c r="P825" s="232">
        <v>359</v>
      </c>
      <c r="Q825" s="232">
        <v>166002</v>
      </c>
      <c r="R825" s="232"/>
      <c r="S825" s="394">
        <v>50020</v>
      </c>
      <c r="T825" s="232">
        <v>21963</v>
      </c>
      <c r="U825" s="398">
        <v>71983</v>
      </c>
      <c r="V825" s="232"/>
      <c r="W825" s="398">
        <v>450069</v>
      </c>
      <c r="X825" s="398">
        <v>-159030</v>
      </c>
      <c r="Y825" s="398"/>
      <c r="Z825" s="398"/>
    </row>
    <row r="826" spans="1:26">
      <c r="A826" s="392">
        <v>99014</v>
      </c>
      <c r="B826" s="393" t="s">
        <v>1525</v>
      </c>
      <c r="C826" s="235">
        <v>1.9899999999999999E-5</v>
      </c>
      <c r="D826" s="235">
        <v>2.0400000000000001E-5</v>
      </c>
      <c r="E826" s="232">
        <v>30519</v>
      </c>
      <c r="F826" s="232" t="s">
        <v>1930</v>
      </c>
      <c r="G826" s="394">
        <v>9709</v>
      </c>
      <c r="H826" s="394">
        <v>0</v>
      </c>
      <c r="I826" s="394">
        <v>19173</v>
      </c>
      <c r="J826" s="232">
        <v>7087</v>
      </c>
      <c r="K826" s="232">
        <v>35969</v>
      </c>
      <c r="L826" s="232"/>
      <c r="M826" s="302">
        <v>0</v>
      </c>
      <c r="N826" s="302">
        <v>43602</v>
      </c>
      <c r="O826" s="302">
        <v>0</v>
      </c>
      <c r="P826" s="232">
        <v>637</v>
      </c>
      <c r="Q826" s="232">
        <v>44239</v>
      </c>
      <c r="R826" s="232"/>
      <c r="S826" s="394">
        <v>13167</v>
      </c>
      <c r="T826" s="232">
        <v>3176</v>
      </c>
      <c r="U826" s="398">
        <v>16343</v>
      </c>
      <c r="V826" s="232"/>
      <c r="W826" s="398">
        <v>118471</v>
      </c>
      <c r="X826" s="398">
        <v>-41861</v>
      </c>
      <c r="Y826" s="398"/>
      <c r="Z826" s="398"/>
    </row>
    <row r="827" spans="1:26">
      <c r="A827" s="392">
        <v>99017</v>
      </c>
      <c r="B827" s="393" t="s">
        <v>1526</v>
      </c>
      <c r="C827" s="235">
        <v>4.8300000000000002E-5</v>
      </c>
      <c r="D827" s="235">
        <v>3.6199999999999999E-5</v>
      </c>
      <c r="E827" s="232">
        <v>74073</v>
      </c>
      <c r="F827" s="232" t="s">
        <v>1930</v>
      </c>
      <c r="G827" s="394">
        <v>23565</v>
      </c>
      <c r="H827" s="394">
        <v>0</v>
      </c>
      <c r="I827" s="394">
        <v>46537</v>
      </c>
      <c r="J827" s="232">
        <v>23981</v>
      </c>
      <c r="K827" s="232">
        <v>94083</v>
      </c>
      <c r="L827" s="232"/>
      <c r="M827" s="302">
        <v>0</v>
      </c>
      <c r="N827" s="302">
        <v>105828</v>
      </c>
      <c r="O827" s="302">
        <v>0</v>
      </c>
      <c r="P827" s="232">
        <v>9769</v>
      </c>
      <c r="Q827" s="232">
        <v>115597</v>
      </c>
      <c r="R827" s="232"/>
      <c r="S827" s="394">
        <v>31957</v>
      </c>
      <c r="T827" s="232">
        <v>3839</v>
      </c>
      <c r="U827" s="398">
        <v>35796</v>
      </c>
      <c r="V827" s="232"/>
      <c r="W827" s="398">
        <v>287544</v>
      </c>
      <c r="X827" s="398">
        <v>-101603</v>
      </c>
      <c r="Y827" s="398"/>
      <c r="Z827" s="398"/>
    </row>
    <row r="828" spans="1:26">
      <c r="A828" s="392">
        <v>99021</v>
      </c>
      <c r="B828" s="393" t="s">
        <v>1527</v>
      </c>
      <c r="C828" s="235">
        <v>1.3019999999999999E-4</v>
      </c>
      <c r="D828" s="235">
        <v>1.3100000000000001E-4</v>
      </c>
      <c r="E828" s="232">
        <v>199674</v>
      </c>
      <c r="F828" s="232" t="s">
        <v>1930</v>
      </c>
      <c r="G828" s="394">
        <v>63524</v>
      </c>
      <c r="H828" s="394">
        <v>0</v>
      </c>
      <c r="I828" s="394">
        <v>125446</v>
      </c>
      <c r="J828" s="232">
        <v>1846</v>
      </c>
      <c r="K828" s="232">
        <v>190816</v>
      </c>
      <c r="L828" s="232"/>
      <c r="M828" s="302">
        <v>0</v>
      </c>
      <c r="N828" s="302">
        <v>285274</v>
      </c>
      <c r="O828" s="302">
        <v>0</v>
      </c>
      <c r="P828" s="232">
        <v>11092</v>
      </c>
      <c r="Q828" s="232">
        <v>296366</v>
      </c>
      <c r="R828" s="232"/>
      <c r="S828" s="394">
        <v>86146</v>
      </c>
      <c r="T828" s="232">
        <v>-4181</v>
      </c>
      <c r="U828" s="398">
        <v>81965</v>
      </c>
      <c r="V828" s="232"/>
      <c r="W828" s="398">
        <v>775119</v>
      </c>
      <c r="X828" s="398">
        <v>-273886</v>
      </c>
      <c r="Y828" s="398"/>
      <c r="Z828" s="398"/>
    </row>
    <row r="829" spans="1:26">
      <c r="A829" s="392">
        <v>99022</v>
      </c>
      <c r="B829" s="393" t="s">
        <v>211</v>
      </c>
      <c r="C829" s="235">
        <v>7.7999999999999999E-6</v>
      </c>
      <c r="D829" s="235">
        <v>7.7000000000000008E-6</v>
      </c>
      <c r="E829" s="232">
        <v>11962</v>
      </c>
      <c r="F829" s="232" t="s">
        <v>1930</v>
      </c>
      <c r="G829" s="394">
        <v>3806</v>
      </c>
      <c r="H829" s="394">
        <v>0</v>
      </c>
      <c r="I829" s="394">
        <v>7515</v>
      </c>
      <c r="J829" s="232">
        <v>13035</v>
      </c>
      <c r="K829" s="232">
        <v>24356</v>
      </c>
      <c r="L829" s="232"/>
      <c r="M829" s="302">
        <v>0</v>
      </c>
      <c r="N829" s="302">
        <v>17090</v>
      </c>
      <c r="O829" s="302">
        <v>0</v>
      </c>
      <c r="P829" s="232">
        <v>0</v>
      </c>
      <c r="Q829" s="232">
        <v>17090</v>
      </c>
      <c r="R829" s="232"/>
      <c r="S829" s="394">
        <v>5161</v>
      </c>
      <c r="T829" s="232">
        <v>6970</v>
      </c>
      <c r="U829" s="398">
        <v>12131</v>
      </c>
      <c r="V829" s="232"/>
      <c r="W829" s="398">
        <v>46436</v>
      </c>
      <c r="X829" s="398">
        <v>-16408</v>
      </c>
      <c r="Y829" s="398"/>
      <c r="Z829" s="398"/>
    </row>
    <row r="830" spans="1:26">
      <c r="A830" s="392">
        <v>99031</v>
      </c>
      <c r="B830" s="393" t="s">
        <v>1528</v>
      </c>
      <c r="C830" s="235">
        <v>9.4400000000000004E-5</v>
      </c>
      <c r="D830" s="235">
        <v>9.7499999999999998E-5</v>
      </c>
      <c r="E830" s="232">
        <v>144771</v>
      </c>
      <c r="F830" s="232" t="s">
        <v>1930</v>
      </c>
      <c r="G830" s="394">
        <v>46057</v>
      </c>
      <c r="H830" s="394">
        <v>0</v>
      </c>
      <c r="I830" s="394">
        <v>90953</v>
      </c>
      <c r="J830" s="232">
        <v>425</v>
      </c>
      <c r="K830" s="232">
        <v>137435</v>
      </c>
      <c r="L830" s="232"/>
      <c r="M830" s="302">
        <v>0</v>
      </c>
      <c r="N830" s="302">
        <v>206835</v>
      </c>
      <c r="O830" s="302">
        <v>0</v>
      </c>
      <c r="P830" s="232">
        <v>27844</v>
      </c>
      <c r="Q830" s="232">
        <v>234679</v>
      </c>
      <c r="R830" s="232"/>
      <c r="S830" s="394">
        <v>62459</v>
      </c>
      <c r="T830" s="232">
        <v>-19154</v>
      </c>
      <c r="U830" s="398">
        <v>43305</v>
      </c>
      <c r="V830" s="232"/>
      <c r="W830" s="398">
        <v>561991</v>
      </c>
      <c r="X830" s="398">
        <v>-198578</v>
      </c>
      <c r="Y830" s="398"/>
      <c r="Z830" s="398"/>
    </row>
    <row r="831" spans="1:26">
      <c r="A831" s="392">
        <v>99041</v>
      </c>
      <c r="B831" s="393" t="s">
        <v>1529</v>
      </c>
      <c r="C831" s="235">
        <v>6.4740000000000002E-4</v>
      </c>
      <c r="D831" s="235">
        <v>6.4840000000000004E-4</v>
      </c>
      <c r="E831" s="232">
        <v>992850</v>
      </c>
      <c r="F831" s="232" t="s">
        <v>1930</v>
      </c>
      <c r="G831" s="394">
        <v>315861</v>
      </c>
      <c r="H831" s="394">
        <v>0</v>
      </c>
      <c r="I831" s="394">
        <v>623763</v>
      </c>
      <c r="J831" s="232">
        <v>7089</v>
      </c>
      <c r="K831" s="232">
        <v>946713</v>
      </c>
      <c r="L831" s="232"/>
      <c r="M831" s="302">
        <v>0</v>
      </c>
      <c r="N831" s="302">
        <v>1418484</v>
      </c>
      <c r="O831" s="302">
        <v>0</v>
      </c>
      <c r="P831" s="232">
        <v>39287</v>
      </c>
      <c r="Q831" s="232">
        <v>1457771</v>
      </c>
      <c r="R831" s="232"/>
      <c r="S831" s="394">
        <v>428347</v>
      </c>
      <c r="T831" s="232">
        <v>-10244</v>
      </c>
      <c r="U831" s="398">
        <v>418103</v>
      </c>
      <c r="V831" s="232"/>
      <c r="W831" s="398">
        <v>3854161</v>
      </c>
      <c r="X831" s="398">
        <v>-1361856</v>
      </c>
      <c r="Y831" s="398"/>
      <c r="Z831" s="398"/>
    </row>
    <row r="832" spans="1:26">
      <c r="A832" s="392">
        <v>99047</v>
      </c>
      <c r="B832" s="393" t="s">
        <v>1530</v>
      </c>
      <c r="C832" s="235">
        <v>1.98E-5</v>
      </c>
      <c r="D832" s="235">
        <v>1.38E-5</v>
      </c>
      <c r="E832" s="232">
        <v>30365</v>
      </c>
      <c r="F832" s="232" t="s">
        <v>1930</v>
      </c>
      <c r="G832" s="394">
        <v>9660</v>
      </c>
      <c r="H832" s="394">
        <v>0</v>
      </c>
      <c r="I832" s="394">
        <v>19077</v>
      </c>
      <c r="J832" s="232">
        <v>19876</v>
      </c>
      <c r="K832" s="232">
        <v>48613</v>
      </c>
      <c r="L832" s="232"/>
      <c r="M832" s="302">
        <v>0</v>
      </c>
      <c r="N832" s="302">
        <v>43383</v>
      </c>
      <c r="O832" s="302">
        <v>0</v>
      </c>
      <c r="P832" s="232">
        <v>0</v>
      </c>
      <c r="Q832" s="232">
        <v>43383</v>
      </c>
      <c r="R832" s="232"/>
      <c r="S832" s="394">
        <v>13101</v>
      </c>
      <c r="T832" s="232">
        <v>8927</v>
      </c>
      <c r="U832" s="398">
        <v>22028</v>
      </c>
      <c r="V832" s="232"/>
      <c r="W832" s="398">
        <v>117875</v>
      </c>
      <c r="X832" s="398">
        <v>-41651</v>
      </c>
      <c r="Y832" s="398"/>
      <c r="Z832" s="398"/>
    </row>
    <row r="833" spans="1:26">
      <c r="A833" s="392">
        <v>99051</v>
      </c>
      <c r="B833" s="393" t="s">
        <v>1531</v>
      </c>
      <c r="C833" s="235">
        <v>3.3849999999999999E-4</v>
      </c>
      <c r="D833" s="235">
        <v>3.592E-4</v>
      </c>
      <c r="E833" s="232">
        <v>519122</v>
      </c>
      <c r="F833" s="232" t="s">
        <v>1930</v>
      </c>
      <c r="G833" s="394">
        <v>165151</v>
      </c>
      <c r="H833" s="394">
        <v>0</v>
      </c>
      <c r="I833" s="394">
        <v>326141</v>
      </c>
      <c r="J833" s="232">
        <v>5901</v>
      </c>
      <c r="K833" s="232">
        <v>497193</v>
      </c>
      <c r="L833" s="232"/>
      <c r="M833" s="302">
        <v>0</v>
      </c>
      <c r="N833" s="302">
        <v>741670</v>
      </c>
      <c r="O833" s="302">
        <v>0</v>
      </c>
      <c r="P833" s="232">
        <v>54669</v>
      </c>
      <c r="Q833" s="232">
        <v>796339</v>
      </c>
      <c r="R833" s="232"/>
      <c r="S833" s="394">
        <v>223966</v>
      </c>
      <c r="T833" s="232">
        <v>-19218</v>
      </c>
      <c r="U833" s="398">
        <v>204748</v>
      </c>
      <c r="V833" s="232"/>
      <c r="W833" s="398">
        <v>2015189</v>
      </c>
      <c r="X833" s="398">
        <v>-712061</v>
      </c>
      <c r="Y833" s="398"/>
      <c r="Z833" s="398"/>
    </row>
    <row r="834" spans="1:26">
      <c r="A834" s="392">
        <v>99061</v>
      </c>
      <c r="B834" s="393" t="s">
        <v>1532</v>
      </c>
      <c r="C834" s="235">
        <v>5.4E-6</v>
      </c>
      <c r="D834" s="235">
        <v>5.4999999999999999E-6</v>
      </c>
      <c r="E834" s="232">
        <v>8281</v>
      </c>
      <c r="F834" s="232" t="s">
        <v>1930</v>
      </c>
      <c r="G834" s="394">
        <v>2635</v>
      </c>
      <c r="H834" s="394">
        <v>0</v>
      </c>
      <c r="I834" s="394">
        <v>5203</v>
      </c>
      <c r="J834" s="232">
        <v>3595</v>
      </c>
      <c r="K834" s="232">
        <v>11433</v>
      </c>
      <c r="L834" s="232"/>
      <c r="M834" s="302">
        <v>0</v>
      </c>
      <c r="N834" s="302">
        <v>11832</v>
      </c>
      <c r="O834" s="302">
        <v>0</v>
      </c>
      <c r="P834" s="232">
        <v>0</v>
      </c>
      <c r="Q834" s="232">
        <v>11832</v>
      </c>
      <c r="R834" s="232"/>
      <c r="S834" s="394">
        <v>3573</v>
      </c>
      <c r="T834" s="232">
        <v>2655</v>
      </c>
      <c r="U834" s="398">
        <v>6228</v>
      </c>
      <c r="V834" s="232"/>
      <c r="W834" s="398">
        <v>32148</v>
      </c>
      <c r="X834" s="398">
        <v>-11359</v>
      </c>
      <c r="Y834" s="398"/>
      <c r="Z834" s="398"/>
    </row>
    <row r="835" spans="1:26">
      <c r="A835" s="392">
        <v>99071</v>
      </c>
      <c r="B835" s="393" t="s">
        <v>1533</v>
      </c>
      <c r="C835" s="235">
        <v>2.48E-5</v>
      </c>
      <c r="D835" s="235">
        <v>2.3799999999999999E-5</v>
      </c>
      <c r="E835" s="232">
        <v>38033</v>
      </c>
      <c r="F835" s="232" t="s">
        <v>1930</v>
      </c>
      <c r="G835" s="394">
        <v>12100</v>
      </c>
      <c r="H835" s="394">
        <v>0</v>
      </c>
      <c r="I835" s="394">
        <v>23895</v>
      </c>
      <c r="J835" s="232">
        <v>7762</v>
      </c>
      <c r="K835" s="232">
        <v>43757</v>
      </c>
      <c r="L835" s="232"/>
      <c r="M835" s="302">
        <v>0</v>
      </c>
      <c r="N835" s="302">
        <v>54338</v>
      </c>
      <c r="O835" s="302">
        <v>0</v>
      </c>
      <c r="P835" s="232">
        <v>1620</v>
      </c>
      <c r="Q835" s="232">
        <v>55958</v>
      </c>
      <c r="R835" s="232"/>
      <c r="S835" s="394">
        <v>16409</v>
      </c>
      <c r="T835" s="232">
        <v>1938</v>
      </c>
      <c r="U835" s="398">
        <v>18347</v>
      </c>
      <c r="V835" s="232"/>
      <c r="W835" s="398">
        <v>147642</v>
      </c>
      <c r="X835" s="398">
        <v>-52169</v>
      </c>
      <c r="Y835" s="398"/>
      <c r="Z835" s="398"/>
    </row>
    <row r="836" spans="1:26">
      <c r="A836" s="392">
        <v>99081</v>
      </c>
      <c r="B836" s="393" t="s">
        <v>1534</v>
      </c>
      <c r="C836" s="235">
        <v>5.0699999999999999E-5</v>
      </c>
      <c r="D836" s="235">
        <v>3.8800000000000001E-5</v>
      </c>
      <c r="E836" s="232">
        <v>77753</v>
      </c>
      <c r="F836" s="232" t="s">
        <v>1930</v>
      </c>
      <c r="G836" s="394">
        <v>24736</v>
      </c>
      <c r="H836" s="394">
        <v>0</v>
      </c>
      <c r="I836" s="394">
        <v>48849</v>
      </c>
      <c r="J836" s="232">
        <v>26198</v>
      </c>
      <c r="K836" s="232">
        <v>99783</v>
      </c>
      <c r="L836" s="232"/>
      <c r="M836" s="302">
        <v>0</v>
      </c>
      <c r="N836" s="302">
        <v>111086</v>
      </c>
      <c r="O836" s="302">
        <v>0</v>
      </c>
      <c r="P836" s="232">
        <v>0</v>
      </c>
      <c r="Q836" s="232">
        <v>111086</v>
      </c>
      <c r="R836" s="232"/>
      <c r="S836" s="394">
        <v>33545</v>
      </c>
      <c r="T836" s="232">
        <v>8675</v>
      </c>
      <c r="U836" s="398">
        <v>42220</v>
      </c>
      <c r="V836" s="232"/>
      <c r="W836" s="398">
        <v>301832</v>
      </c>
      <c r="X836" s="398">
        <v>-106651</v>
      </c>
      <c r="Y836" s="398"/>
      <c r="Z836" s="398"/>
    </row>
    <row r="837" spans="1:26">
      <c r="A837" s="392">
        <v>99091</v>
      </c>
      <c r="B837" s="393" t="s">
        <v>1535</v>
      </c>
      <c r="C837" s="235">
        <v>7.4000000000000003E-6</v>
      </c>
      <c r="D837" s="235">
        <v>1.5800000000000001E-5</v>
      </c>
      <c r="E837" s="232">
        <v>11349</v>
      </c>
      <c r="F837" s="232" t="s">
        <v>1930</v>
      </c>
      <c r="G837" s="394">
        <v>3610</v>
      </c>
      <c r="H837" s="394">
        <v>0</v>
      </c>
      <c r="I837" s="394">
        <v>7130</v>
      </c>
      <c r="J837" s="232">
        <v>14273</v>
      </c>
      <c r="K837" s="232">
        <v>25013</v>
      </c>
      <c r="L837" s="232"/>
      <c r="M837" s="302">
        <v>0</v>
      </c>
      <c r="N837" s="302">
        <v>16214</v>
      </c>
      <c r="O837" s="302">
        <v>0</v>
      </c>
      <c r="P837" s="232">
        <v>10908</v>
      </c>
      <c r="Q837" s="232">
        <v>27122</v>
      </c>
      <c r="R837" s="232"/>
      <c r="S837" s="394">
        <v>4896</v>
      </c>
      <c r="T837" s="232">
        <v>4351</v>
      </c>
      <c r="U837" s="398">
        <v>9247</v>
      </c>
      <c r="V837" s="232"/>
      <c r="W837" s="398">
        <v>44054</v>
      </c>
      <c r="X837" s="398">
        <v>-15566</v>
      </c>
      <c r="Y837" s="398"/>
      <c r="Z837" s="398"/>
    </row>
    <row r="838" spans="1:26">
      <c r="A838" s="392">
        <v>99101</v>
      </c>
      <c r="B838" s="393" t="s">
        <v>1536</v>
      </c>
      <c r="C838" s="235">
        <v>1.8289000000000001E-3</v>
      </c>
      <c r="D838" s="235">
        <v>1.9082999999999999E-3</v>
      </c>
      <c r="E838" s="232">
        <v>2804794</v>
      </c>
      <c r="F838" s="232" t="s">
        <v>1930</v>
      </c>
      <c r="G838" s="394">
        <v>892306</v>
      </c>
      <c r="H838" s="394">
        <v>0</v>
      </c>
      <c r="I838" s="394">
        <v>1762127</v>
      </c>
      <c r="J838" s="232">
        <v>0</v>
      </c>
      <c r="K838" s="232">
        <v>2654433</v>
      </c>
      <c r="L838" s="232"/>
      <c r="M838" s="302">
        <v>0</v>
      </c>
      <c r="N838" s="302">
        <v>4007208</v>
      </c>
      <c r="O838" s="302">
        <v>0</v>
      </c>
      <c r="P838" s="232">
        <v>348695</v>
      </c>
      <c r="Q838" s="232">
        <v>4355903</v>
      </c>
      <c r="R838" s="232"/>
      <c r="S838" s="394">
        <v>1210077</v>
      </c>
      <c r="T838" s="232">
        <v>-150299</v>
      </c>
      <c r="U838" s="398">
        <v>1059778</v>
      </c>
      <c r="V838" s="232"/>
      <c r="W838" s="398">
        <v>10887976</v>
      </c>
      <c r="X838" s="398">
        <v>-3847232</v>
      </c>
      <c r="Y838" s="398"/>
      <c r="Z838" s="398"/>
    </row>
    <row r="839" spans="1:26">
      <c r="A839" s="392">
        <v>99104</v>
      </c>
      <c r="B839" s="393" t="s">
        <v>1537</v>
      </c>
      <c r="C839" s="235">
        <v>3.6199999999999999E-5</v>
      </c>
      <c r="D839" s="235">
        <v>3.1999999999999999E-5</v>
      </c>
      <c r="E839" s="232">
        <v>55516</v>
      </c>
      <c r="F839" s="232" t="s">
        <v>1930</v>
      </c>
      <c r="G839" s="394">
        <v>17662</v>
      </c>
      <c r="H839" s="394">
        <v>0</v>
      </c>
      <c r="I839" s="394">
        <v>34878</v>
      </c>
      <c r="J839" s="232">
        <v>32904</v>
      </c>
      <c r="K839" s="232">
        <v>85444</v>
      </c>
      <c r="L839" s="232"/>
      <c r="M839" s="302">
        <v>0</v>
      </c>
      <c r="N839" s="302">
        <v>79316</v>
      </c>
      <c r="O839" s="302">
        <v>0</v>
      </c>
      <c r="P839" s="232">
        <v>0</v>
      </c>
      <c r="Q839" s="232">
        <v>79316</v>
      </c>
      <c r="R839" s="232"/>
      <c r="S839" s="394">
        <v>23951</v>
      </c>
      <c r="T839" s="232">
        <v>15306</v>
      </c>
      <c r="U839" s="398">
        <v>39257</v>
      </c>
      <c r="V839" s="232"/>
      <c r="W839" s="398">
        <v>215509</v>
      </c>
      <c r="X839" s="398">
        <v>-76149</v>
      </c>
      <c r="Y839" s="398"/>
      <c r="Z839" s="398"/>
    </row>
    <row r="840" spans="1:26">
      <c r="A840" s="392">
        <v>99109</v>
      </c>
      <c r="B840" s="393" t="s">
        <v>1538</v>
      </c>
      <c r="C840" s="235">
        <v>1.18E-4</v>
      </c>
      <c r="D840" s="235">
        <v>1.139E-4</v>
      </c>
      <c r="E840" s="232">
        <v>180964</v>
      </c>
      <c r="F840" s="232" t="s">
        <v>1930</v>
      </c>
      <c r="G840" s="394">
        <v>57571</v>
      </c>
      <c r="H840" s="394">
        <v>0</v>
      </c>
      <c r="I840" s="394">
        <v>113692</v>
      </c>
      <c r="J840" s="232">
        <v>6418</v>
      </c>
      <c r="K840" s="232">
        <v>177681</v>
      </c>
      <c r="L840" s="232"/>
      <c r="M840" s="302">
        <v>0</v>
      </c>
      <c r="N840" s="302">
        <v>258544</v>
      </c>
      <c r="O840" s="302">
        <v>0</v>
      </c>
      <c r="P840" s="232">
        <v>6715</v>
      </c>
      <c r="Q840" s="232">
        <v>265259</v>
      </c>
      <c r="R840" s="232"/>
      <c r="S840" s="394">
        <v>78074</v>
      </c>
      <c r="T840" s="232">
        <v>-802</v>
      </c>
      <c r="U840" s="398">
        <v>77272</v>
      </c>
      <c r="V840" s="232"/>
      <c r="W840" s="398">
        <v>702488</v>
      </c>
      <c r="X840" s="398">
        <v>-248222</v>
      </c>
      <c r="Y840" s="398"/>
      <c r="Z840" s="398"/>
    </row>
    <row r="841" spans="1:26">
      <c r="A841" s="392">
        <v>99110</v>
      </c>
      <c r="B841" s="393" t="s">
        <v>1539</v>
      </c>
      <c r="C841" s="235">
        <v>2.02E-4</v>
      </c>
      <c r="D841" s="235">
        <v>1.9249999999999999E-4</v>
      </c>
      <c r="E841" s="232">
        <v>309786</v>
      </c>
      <c r="F841" s="232" t="s">
        <v>1930</v>
      </c>
      <c r="G841" s="394">
        <v>98554</v>
      </c>
      <c r="H841" s="394">
        <v>0</v>
      </c>
      <c r="I841" s="394">
        <v>194625</v>
      </c>
      <c r="J841" s="232">
        <v>130063</v>
      </c>
      <c r="K841" s="232">
        <v>423242</v>
      </c>
      <c r="L841" s="232"/>
      <c r="M841" s="302">
        <v>0</v>
      </c>
      <c r="N841" s="302">
        <v>442592</v>
      </c>
      <c r="O841" s="302">
        <v>0</v>
      </c>
      <c r="P841" s="232">
        <v>0</v>
      </c>
      <c r="Q841" s="232">
        <v>442592</v>
      </c>
      <c r="R841" s="232"/>
      <c r="S841" s="394">
        <v>133652</v>
      </c>
      <c r="T841" s="232">
        <v>67694</v>
      </c>
      <c r="U841" s="398">
        <v>201346</v>
      </c>
      <c r="V841" s="232"/>
      <c r="W841" s="398">
        <v>1202565</v>
      </c>
      <c r="X841" s="398">
        <v>-424923</v>
      </c>
      <c r="Y841" s="398"/>
      <c r="Z841" s="398"/>
    </row>
    <row r="842" spans="1:26">
      <c r="A842" s="392">
        <v>99111</v>
      </c>
      <c r="B842" s="393" t="s">
        <v>1540</v>
      </c>
      <c r="C842" s="235">
        <v>1.2878E-3</v>
      </c>
      <c r="D842" s="235">
        <v>1.3797E-3</v>
      </c>
      <c r="E842" s="232">
        <v>1974965</v>
      </c>
      <c r="F842" s="232" t="s">
        <v>1930</v>
      </c>
      <c r="G842" s="394">
        <v>628307</v>
      </c>
      <c r="H842" s="394">
        <v>0</v>
      </c>
      <c r="I842" s="394">
        <v>1240782</v>
      </c>
      <c r="J842" s="232">
        <v>42695</v>
      </c>
      <c r="K842" s="232">
        <v>1911784</v>
      </c>
      <c r="L842" s="232"/>
      <c r="M842" s="302">
        <v>0</v>
      </c>
      <c r="N842" s="302">
        <v>2821632</v>
      </c>
      <c r="O842" s="302">
        <v>0</v>
      </c>
      <c r="P842" s="232">
        <v>222639</v>
      </c>
      <c r="Q842" s="232">
        <v>3044271</v>
      </c>
      <c r="R842" s="232"/>
      <c r="S842" s="394">
        <v>852063</v>
      </c>
      <c r="T842" s="232">
        <v>-66128</v>
      </c>
      <c r="U842" s="398">
        <v>785935</v>
      </c>
      <c r="V842" s="232"/>
      <c r="W842" s="398">
        <v>7666649</v>
      </c>
      <c r="X842" s="398">
        <v>-2708986</v>
      </c>
      <c r="Y842" s="398"/>
      <c r="Z842" s="398"/>
    </row>
    <row r="843" spans="1:26">
      <c r="A843" s="392">
        <v>99201</v>
      </c>
      <c r="B843" s="393" t="s">
        <v>1541</v>
      </c>
      <c r="C843" s="235">
        <v>3.7127800000000002E-2</v>
      </c>
      <c r="D843" s="235">
        <v>3.5152000000000003E-2</v>
      </c>
      <c r="E843" s="232">
        <v>56939046</v>
      </c>
      <c r="F843" s="232" t="s">
        <v>1930</v>
      </c>
      <c r="G843" s="394">
        <v>18114357</v>
      </c>
      <c r="H843" s="394">
        <v>0</v>
      </c>
      <c r="I843" s="394">
        <v>35772264</v>
      </c>
      <c r="J843" s="232">
        <v>3395055</v>
      </c>
      <c r="K843" s="232">
        <v>57281676</v>
      </c>
      <c r="L843" s="232"/>
      <c r="M843" s="302">
        <v>0</v>
      </c>
      <c r="N843" s="302">
        <v>81348792</v>
      </c>
      <c r="O843" s="302">
        <v>0</v>
      </c>
      <c r="P843" s="232">
        <v>0</v>
      </c>
      <c r="Q843" s="232">
        <v>81348792</v>
      </c>
      <c r="R843" s="232"/>
      <c r="S843" s="394">
        <v>24565312</v>
      </c>
      <c r="T843" s="232">
        <v>1458986</v>
      </c>
      <c r="U843" s="398">
        <v>26024298</v>
      </c>
      <c r="V843" s="232"/>
      <c r="W843" s="398">
        <v>221032635</v>
      </c>
      <c r="X843" s="398">
        <v>-78101186</v>
      </c>
      <c r="Y843" s="398"/>
      <c r="Z843" s="398"/>
    </row>
    <row r="844" spans="1:26">
      <c r="A844" s="392">
        <v>99202</v>
      </c>
      <c r="B844" s="393" t="s">
        <v>1542</v>
      </c>
      <c r="C844" s="235">
        <v>3.0500000000000002E-3</v>
      </c>
      <c r="D844" s="235">
        <v>2.8838000000000002E-3</v>
      </c>
      <c r="E844" s="232">
        <v>4677468</v>
      </c>
      <c r="F844" s="232" t="s">
        <v>1930</v>
      </c>
      <c r="G844" s="394">
        <v>1488071</v>
      </c>
      <c r="H844" s="394">
        <v>0</v>
      </c>
      <c r="I844" s="394">
        <v>2938645</v>
      </c>
      <c r="J844" s="232">
        <v>107465</v>
      </c>
      <c r="K844" s="232">
        <v>4534181</v>
      </c>
      <c r="L844" s="232"/>
      <c r="M844" s="302">
        <v>0</v>
      </c>
      <c r="N844" s="302">
        <v>6682696</v>
      </c>
      <c r="O844" s="302">
        <v>0</v>
      </c>
      <c r="P844" s="232">
        <v>26319</v>
      </c>
      <c r="Q844" s="232">
        <v>6709015</v>
      </c>
      <c r="R844" s="232"/>
      <c r="S844" s="394">
        <v>2018008</v>
      </c>
      <c r="T844" s="232">
        <v>10597</v>
      </c>
      <c r="U844" s="398">
        <v>2028605</v>
      </c>
      <c r="V844" s="232"/>
      <c r="W844" s="398">
        <v>18157541</v>
      </c>
      <c r="X844" s="398">
        <v>-6415910</v>
      </c>
      <c r="Y844" s="398"/>
      <c r="Z844" s="398"/>
    </row>
    <row r="845" spans="1:26">
      <c r="A845" s="392">
        <v>99203</v>
      </c>
      <c r="B845" s="393" t="s">
        <v>1543</v>
      </c>
      <c r="C845" s="235">
        <v>3.7080000000000001E-4</v>
      </c>
      <c r="D845" s="235">
        <v>3.8450000000000002E-4</v>
      </c>
      <c r="E845" s="232">
        <v>568657</v>
      </c>
      <c r="F845" s="232" t="s">
        <v>1930</v>
      </c>
      <c r="G845" s="394">
        <v>180910</v>
      </c>
      <c r="H845" s="394">
        <v>0</v>
      </c>
      <c r="I845" s="394">
        <v>357262</v>
      </c>
      <c r="J845" s="232">
        <v>39460</v>
      </c>
      <c r="K845" s="232">
        <v>577632</v>
      </c>
      <c r="L845" s="232"/>
      <c r="M845" s="302">
        <v>0</v>
      </c>
      <c r="N845" s="302">
        <v>812441</v>
      </c>
      <c r="O845" s="302">
        <v>0</v>
      </c>
      <c r="P845" s="232">
        <v>32095</v>
      </c>
      <c r="Q845" s="232">
        <v>844536</v>
      </c>
      <c r="R845" s="232"/>
      <c r="S845" s="394">
        <v>245337</v>
      </c>
      <c r="T845" s="232">
        <v>2076</v>
      </c>
      <c r="U845" s="398">
        <v>247413</v>
      </c>
      <c r="V845" s="232"/>
      <c r="W845" s="398">
        <v>2207481</v>
      </c>
      <c r="X845" s="398">
        <v>-780006</v>
      </c>
      <c r="Y845" s="398"/>
      <c r="Z845" s="398"/>
    </row>
    <row r="846" spans="1:26">
      <c r="A846" s="392">
        <v>99204</v>
      </c>
      <c r="B846" s="393" t="s">
        <v>1544</v>
      </c>
      <c r="C846" s="235">
        <v>1.1161999999999999E-3</v>
      </c>
      <c r="D846" s="235">
        <v>1.0219999999999999E-3</v>
      </c>
      <c r="E846" s="232">
        <v>1711800</v>
      </c>
      <c r="F846" s="232" t="s">
        <v>1930</v>
      </c>
      <c r="G846" s="394">
        <v>544585</v>
      </c>
      <c r="H846" s="394">
        <v>0</v>
      </c>
      <c r="I846" s="394">
        <v>1075448</v>
      </c>
      <c r="J846" s="232">
        <v>446881</v>
      </c>
      <c r="K846" s="232">
        <v>2066914</v>
      </c>
      <c r="L846" s="232"/>
      <c r="M846" s="302">
        <v>0</v>
      </c>
      <c r="N846" s="302">
        <v>2445648</v>
      </c>
      <c r="O846" s="302">
        <v>0</v>
      </c>
      <c r="P846" s="232">
        <v>0</v>
      </c>
      <c r="Q846" s="232">
        <v>2445648</v>
      </c>
      <c r="R846" s="232"/>
      <c r="S846" s="394">
        <v>738525</v>
      </c>
      <c r="T846" s="232">
        <v>181768</v>
      </c>
      <c r="U846" s="398">
        <v>920293</v>
      </c>
      <c r="V846" s="232"/>
      <c r="W846" s="398">
        <v>6645065</v>
      </c>
      <c r="X846" s="398">
        <v>-2348013</v>
      </c>
      <c r="Y846" s="398"/>
      <c r="Z846" s="398"/>
    </row>
    <row r="847" spans="1:26">
      <c r="A847" s="392">
        <v>99206</v>
      </c>
      <c r="B847" s="393" t="s">
        <v>1545</v>
      </c>
      <c r="C847" s="235">
        <v>1.9970000000000001E-3</v>
      </c>
      <c r="D847" s="235">
        <v>1.7485999999999999E-3</v>
      </c>
      <c r="E847" s="232">
        <v>3062591</v>
      </c>
      <c r="F847" s="232" t="s">
        <v>1930</v>
      </c>
      <c r="G847" s="394">
        <v>974320</v>
      </c>
      <c r="H847" s="394">
        <v>0</v>
      </c>
      <c r="I847" s="394">
        <v>1924090</v>
      </c>
      <c r="J847" s="232">
        <v>548582</v>
      </c>
      <c r="K847" s="232">
        <v>3446992</v>
      </c>
      <c r="L847" s="232"/>
      <c r="M847" s="302">
        <v>0</v>
      </c>
      <c r="N847" s="302">
        <v>4375523</v>
      </c>
      <c r="O847" s="302">
        <v>0</v>
      </c>
      <c r="P847" s="232">
        <v>50456</v>
      </c>
      <c r="Q847" s="232">
        <v>4425979</v>
      </c>
      <c r="R847" s="232"/>
      <c r="S847" s="394">
        <v>1321299</v>
      </c>
      <c r="T847" s="232">
        <v>332412</v>
      </c>
      <c r="U847" s="398">
        <v>1653711</v>
      </c>
      <c r="V847" s="232"/>
      <c r="W847" s="398">
        <v>11888724</v>
      </c>
      <c r="X847" s="398">
        <v>-4200843</v>
      </c>
      <c r="Y847" s="398"/>
      <c r="Z847" s="398"/>
    </row>
    <row r="848" spans="1:26">
      <c r="A848" s="392">
        <v>99207</v>
      </c>
      <c r="B848" s="393" t="s">
        <v>1947</v>
      </c>
      <c r="C848" s="235">
        <v>1.4200000000000001E-4</v>
      </c>
      <c r="D848" s="235">
        <v>1.111E-4</v>
      </c>
      <c r="E848" s="232">
        <v>217771</v>
      </c>
      <c r="F848" s="232" t="s">
        <v>1930</v>
      </c>
      <c r="G848" s="394">
        <v>69281</v>
      </c>
      <c r="H848" s="394">
        <v>0</v>
      </c>
      <c r="I848" s="394">
        <v>136816</v>
      </c>
      <c r="J848" s="232">
        <v>232229</v>
      </c>
      <c r="K848" s="232">
        <v>438326</v>
      </c>
      <c r="L848" s="232"/>
      <c r="M848" s="302">
        <v>0</v>
      </c>
      <c r="N848" s="302">
        <v>311129</v>
      </c>
      <c r="O848" s="302">
        <v>0</v>
      </c>
      <c r="P848" s="232">
        <v>391</v>
      </c>
      <c r="Q848" s="232">
        <v>311520</v>
      </c>
      <c r="R848" s="232"/>
      <c r="S848" s="394">
        <v>93953</v>
      </c>
      <c r="T848" s="232">
        <v>122958</v>
      </c>
      <c r="U848" s="398">
        <v>216911</v>
      </c>
      <c r="V848" s="232"/>
      <c r="W848" s="398">
        <v>845367</v>
      </c>
      <c r="X848" s="398">
        <v>-298708</v>
      </c>
      <c r="Y848" s="398"/>
      <c r="Z848" s="398"/>
    </row>
    <row r="849" spans="1:26">
      <c r="A849" s="392">
        <v>99208</v>
      </c>
      <c r="B849" s="393" t="s">
        <v>1547</v>
      </c>
      <c r="C849" s="235">
        <v>2.9770000000000003E-4</v>
      </c>
      <c r="D849" s="235">
        <v>3.2929999999999998E-4</v>
      </c>
      <c r="E849" s="232">
        <v>456552</v>
      </c>
      <c r="F849" s="232" t="s">
        <v>1930</v>
      </c>
      <c r="G849" s="394">
        <v>145245</v>
      </c>
      <c r="H849" s="394">
        <v>0</v>
      </c>
      <c r="I849" s="394">
        <v>286831</v>
      </c>
      <c r="J849" s="232">
        <v>27596</v>
      </c>
      <c r="K849" s="232">
        <v>459672</v>
      </c>
      <c r="L849" s="232"/>
      <c r="M849" s="302">
        <v>0</v>
      </c>
      <c r="N849" s="302">
        <v>652275</v>
      </c>
      <c r="O849" s="302">
        <v>0</v>
      </c>
      <c r="P849" s="232">
        <v>81427</v>
      </c>
      <c r="Q849" s="232">
        <v>733702</v>
      </c>
      <c r="R849" s="232"/>
      <c r="S849" s="394">
        <v>196971</v>
      </c>
      <c r="T849" s="232">
        <v>-8076</v>
      </c>
      <c r="U849" s="398">
        <v>188895</v>
      </c>
      <c r="V849" s="232"/>
      <c r="W849" s="398">
        <v>1772295</v>
      </c>
      <c r="X849" s="398">
        <v>-626235</v>
      </c>
      <c r="Y849" s="398"/>
      <c r="Z849" s="398"/>
    </row>
    <row r="850" spans="1:26">
      <c r="A850" s="392">
        <v>99210</v>
      </c>
      <c r="B850" s="393" t="s">
        <v>1548</v>
      </c>
      <c r="C850" s="235">
        <v>1.9134E-3</v>
      </c>
      <c r="D850" s="235">
        <v>1.8843E-3</v>
      </c>
      <c r="E850" s="232">
        <v>2934383</v>
      </c>
      <c r="F850" s="232" t="s">
        <v>1930</v>
      </c>
      <c r="G850" s="394">
        <v>933533</v>
      </c>
      <c r="H850" s="394">
        <v>0</v>
      </c>
      <c r="I850" s="394">
        <v>1843542</v>
      </c>
      <c r="J850" s="232">
        <v>309799</v>
      </c>
      <c r="K850" s="232">
        <v>3086874</v>
      </c>
      <c r="L850" s="232"/>
      <c r="M850" s="302">
        <v>0</v>
      </c>
      <c r="N850" s="302">
        <v>4192351</v>
      </c>
      <c r="O850" s="302">
        <v>0</v>
      </c>
      <c r="P850" s="232">
        <v>0</v>
      </c>
      <c r="Q850" s="232">
        <v>4192351</v>
      </c>
      <c r="R850" s="232"/>
      <c r="S850" s="394">
        <v>1265986</v>
      </c>
      <c r="T850" s="232">
        <v>163601</v>
      </c>
      <c r="U850" s="398">
        <v>1429587</v>
      </c>
      <c r="V850" s="232"/>
      <c r="W850" s="398">
        <v>11391029</v>
      </c>
      <c r="X850" s="398">
        <v>-4024984</v>
      </c>
      <c r="Y850" s="398"/>
      <c r="Z850" s="398"/>
    </row>
    <row r="851" spans="1:26">
      <c r="A851" s="392">
        <v>99211</v>
      </c>
      <c r="B851" s="393" t="s">
        <v>1549</v>
      </c>
      <c r="C851" s="235">
        <v>3.65305E-2</v>
      </c>
      <c r="D851" s="235">
        <v>3.7671200000000002E-2</v>
      </c>
      <c r="E851" s="232">
        <v>56023029</v>
      </c>
      <c r="F851" s="232" t="s">
        <v>1930</v>
      </c>
      <c r="G851" s="394">
        <v>17822939</v>
      </c>
      <c r="H851" s="394">
        <v>0</v>
      </c>
      <c r="I851" s="394">
        <v>35196771</v>
      </c>
      <c r="J851" s="232">
        <v>162508</v>
      </c>
      <c r="K851" s="232">
        <v>53182218</v>
      </c>
      <c r="L851" s="232"/>
      <c r="M851" s="302">
        <v>0</v>
      </c>
      <c r="N851" s="302">
        <v>80040079</v>
      </c>
      <c r="O851" s="302">
        <v>0</v>
      </c>
      <c r="P851" s="232">
        <v>3671899</v>
      </c>
      <c r="Q851" s="232">
        <v>83711978</v>
      </c>
      <c r="R851" s="232"/>
      <c r="S851" s="394">
        <v>24170113</v>
      </c>
      <c r="T851" s="232">
        <v>-1494270</v>
      </c>
      <c r="U851" s="398">
        <v>22675843</v>
      </c>
      <c r="V851" s="232"/>
      <c r="W851" s="398">
        <v>217476733</v>
      </c>
      <c r="X851" s="398">
        <v>-76844720</v>
      </c>
      <c r="Y851" s="398"/>
      <c r="Z851" s="398"/>
    </row>
    <row r="852" spans="1:26">
      <c r="A852" s="392">
        <v>99212</v>
      </c>
      <c r="B852" s="393" t="s">
        <v>1550</v>
      </c>
      <c r="C852" s="235">
        <v>7.08E-5</v>
      </c>
      <c r="D852" s="235">
        <v>8.7200000000000005E-5</v>
      </c>
      <c r="E852" s="232">
        <v>108579</v>
      </c>
      <c r="F852" s="232" t="s">
        <v>1930</v>
      </c>
      <c r="G852" s="394">
        <v>34543</v>
      </c>
      <c r="H852" s="394">
        <v>0</v>
      </c>
      <c r="I852" s="394">
        <v>68215</v>
      </c>
      <c r="J852" s="232">
        <v>9366</v>
      </c>
      <c r="K852" s="232">
        <v>112124</v>
      </c>
      <c r="L852" s="232"/>
      <c r="M852" s="302">
        <v>0</v>
      </c>
      <c r="N852" s="302">
        <v>155126</v>
      </c>
      <c r="O852" s="302">
        <v>0</v>
      </c>
      <c r="P852" s="232">
        <v>40804</v>
      </c>
      <c r="Q852" s="232">
        <v>195930</v>
      </c>
      <c r="R852" s="232"/>
      <c r="S852" s="394">
        <v>46844</v>
      </c>
      <c r="T852" s="232">
        <v>-10781</v>
      </c>
      <c r="U852" s="398">
        <v>36063</v>
      </c>
      <c r="V852" s="232"/>
      <c r="W852" s="398">
        <v>421493</v>
      </c>
      <c r="X852" s="398">
        <v>-148933</v>
      </c>
      <c r="Y852" s="398"/>
      <c r="Z852" s="398"/>
    </row>
    <row r="853" spans="1:26">
      <c r="A853" s="392">
        <v>99213</v>
      </c>
      <c r="B853" s="393" t="s">
        <v>1551</v>
      </c>
      <c r="C853" s="235">
        <v>6.7599999999999995E-4</v>
      </c>
      <c r="D853" s="235">
        <v>6.6209999999999999E-4</v>
      </c>
      <c r="E853" s="232">
        <v>1036711</v>
      </c>
      <c r="F853" s="232" t="s">
        <v>1930</v>
      </c>
      <c r="G853" s="394">
        <v>329815</v>
      </c>
      <c r="H853" s="394">
        <v>0</v>
      </c>
      <c r="I853" s="394">
        <v>651319</v>
      </c>
      <c r="J853" s="232">
        <v>45702</v>
      </c>
      <c r="K853" s="232">
        <v>1026836</v>
      </c>
      <c r="L853" s="232"/>
      <c r="M853" s="302">
        <v>0</v>
      </c>
      <c r="N853" s="302">
        <v>1481148</v>
      </c>
      <c r="O853" s="302">
        <v>0</v>
      </c>
      <c r="P853" s="232">
        <v>32768</v>
      </c>
      <c r="Q853" s="232">
        <v>1513916</v>
      </c>
      <c r="R853" s="232"/>
      <c r="S853" s="394">
        <v>447270</v>
      </c>
      <c r="T853" s="232">
        <v>-5069</v>
      </c>
      <c r="U853" s="398">
        <v>442201</v>
      </c>
      <c r="V853" s="232"/>
      <c r="W853" s="398">
        <v>4024425</v>
      </c>
      <c r="X853" s="398">
        <v>-1422018</v>
      </c>
      <c r="Y853" s="398"/>
      <c r="Z853" s="398"/>
    </row>
    <row r="854" spans="1:26">
      <c r="A854" s="392">
        <v>99218</v>
      </c>
      <c r="B854" s="393" t="s">
        <v>1552</v>
      </c>
      <c r="C854" s="235">
        <v>3.7296999999999999E-3</v>
      </c>
      <c r="D854" s="235">
        <v>3.7810000000000001E-3</v>
      </c>
      <c r="E854" s="232">
        <v>5719853</v>
      </c>
      <c r="F854" s="232" t="s">
        <v>1930</v>
      </c>
      <c r="G854" s="394">
        <v>1819691</v>
      </c>
      <c r="H854" s="394">
        <v>0</v>
      </c>
      <c r="I854" s="394">
        <v>3593529</v>
      </c>
      <c r="J854" s="232">
        <v>467163</v>
      </c>
      <c r="K854" s="232">
        <v>5880383</v>
      </c>
      <c r="L854" s="232"/>
      <c r="M854" s="302">
        <v>0</v>
      </c>
      <c r="N854" s="302">
        <v>8171952</v>
      </c>
      <c r="O854" s="302">
        <v>0</v>
      </c>
      <c r="P854" s="232">
        <v>102868</v>
      </c>
      <c r="Q854" s="232">
        <v>8274820</v>
      </c>
      <c r="R854" s="232"/>
      <c r="S854" s="394">
        <v>2467726</v>
      </c>
      <c r="T854" s="232">
        <v>234194</v>
      </c>
      <c r="U854" s="398">
        <v>2701920</v>
      </c>
      <c r="V854" s="232"/>
      <c r="W854" s="398">
        <v>22203993</v>
      </c>
      <c r="X854" s="398">
        <v>-7845711</v>
      </c>
      <c r="Y854" s="398"/>
      <c r="Z854" s="398"/>
    </row>
    <row r="855" spans="1:26">
      <c r="A855" s="392">
        <v>99221</v>
      </c>
      <c r="B855" s="393" t="s">
        <v>1553</v>
      </c>
      <c r="C855" s="235">
        <v>1.21263E-2</v>
      </c>
      <c r="D855" s="235">
        <v>1.2297799999999999E-2</v>
      </c>
      <c r="E855" s="232">
        <v>18596845</v>
      </c>
      <c r="F855" s="232" t="s">
        <v>1930</v>
      </c>
      <c r="G855" s="394">
        <v>5916325</v>
      </c>
      <c r="H855" s="394">
        <v>0</v>
      </c>
      <c r="I855" s="394">
        <v>11683569</v>
      </c>
      <c r="J855" s="232">
        <v>0</v>
      </c>
      <c r="K855" s="232">
        <v>17599894</v>
      </c>
      <c r="L855" s="232"/>
      <c r="M855" s="302">
        <v>0</v>
      </c>
      <c r="N855" s="302">
        <v>26569305</v>
      </c>
      <c r="O855" s="302">
        <v>0</v>
      </c>
      <c r="P855" s="232">
        <v>542584</v>
      </c>
      <c r="Q855" s="232">
        <v>27111889</v>
      </c>
      <c r="R855" s="232"/>
      <c r="S855" s="394">
        <v>8023269</v>
      </c>
      <c r="T855" s="232">
        <v>-301762</v>
      </c>
      <c r="U855" s="398">
        <v>7721507</v>
      </c>
      <c r="V855" s="232"/>
      <c r="W855" s="398">
        <v>72191405</v>
      </c>
      <c r="X855" s="398">
        <v>-25508606</v>
      </c>
      <c r="Y855" s="398"/>
      <c r="Z855" s="398"/>
    </row>
    <row r="856" spans="1:26">
      <c r="A856" s="392">
        <v>99222</v>
      </c>
      <c r="B856" s="393" t="s">
        <v>1554</v>
      </c>
      <c r="C856" s="235">
        <v>3.3099999999999998E-5</v>
      </c>
      <c r="D856" s="235">
        <v>3.3200000000000001E-5</v>
      </c>
      <c r="E856" s="232">
        <v>50762</v>
      </c>
      <c r="F856" s="232" t="s">
        <v>1930</v>
      </c>
      <c r="G856" s="394">
        <v>16149</v>
      </c>
      <c r="H856" s="394">
        <v>0</v>
      </c>
      <c r="I856" s="394">
        <v>31892</v>
      </c>
      <c r="J856" s="232">
        <v>88</v>
      </c>
      <c r="K856" s="232">
        <v>48129</v>
      </c>
      <c r="L856" s="232"/>
      <c r="M856" s="302">
        <v>0</v>
      </c>
      <c r="N856" s="302">
        <v>72524</v>
      </c>
      <c r="O856" s="302">
        <v>0</v>
      </c>
      <c r="P856" s="232">
        <v>3935</v>
      </c>
      <c r="Q856" s="232">
        <v>76459</v>
      </c>
      <c r="R856" s="232"/>
      <c r="S856" s="394">
        <v>21900</v>
      </c>
      <c r="T856" s="232">
        <v>-2941</v>
      </c>
      <c r="U856" s="398">
        <v>18959</v>
      </c>
      <c r="V856" s="232"/>
      <c r="W856" s="398">
        <v>197054</v>
      </c>
      <c r="X856" s="398">
        <v>-69628</v>
      </c>
      <c r="Y856" s="398"/>
      <c r="Z856" s="398"/>
    </row>
    <row r="857" spans="1:26">
      <c r="A857" s="392">
        <v>99231</v>
      </c>
      <c r="B857" s="393" t="s">
        <v>1555</v>
      </c>
      <c r="C857" s="235">
        <v>4.5189999999999998E-4</v>
      </c>
      <c r="D857" s="235">
        <v>4.0339999999999999E-4</v>
      </c>
      <c r="E857" s="232">
        <v>693032</v>
      </c>
      <c r="F857" s="232" t="s">
        <v>1930</v>
      </c>
      <c r="G857" s="394">
        <v>220478</v>
      </c>
      <c r="H857" s="394">
        <v>0</v>
      </c>
      <c r="I857" s="394">
        <v>435401</v>
      </c>
      <c r="J857" s="232">
        <v>131732</v>
      </c>
      <c r="K857" s="232">
        <v>787611</v>
      </c>
      <c r="L857" s="232"/>
      <c r="M857" s="302">
        <v>0</v>
      </c>
      <c r="N857" s="302">
        <v>990135</v>
      </c>
      <c r="O857" s="302">
        <v>0</v>
      </c>
      <c r="P857" s="232">
        <v>7141</v>
      </c>
      <c r="Q857" s="232">
        <v>997276</v>
      </c>
      <c r="R857" s="232"/>
      <c r="S857" s="394">
        <v>298996</v>
      </c>
      <c r="T857" s="232">
        <v>42307</v>
      </c>
      <c r="U857" s="398">
        <v>341303</v>
      </c>
      <c r="V857" s="232"/>
      <c r="W857" s="398">
        <v>2690293</v>
      </c>
      <c r="X857" s="398">
        <v>-950606</v>
      </c>
      <c r="Y857" s="398"/>
      <c r="Z857" s="398"/>
    </row>
    <row r="858" spans="1:26">
      <c r="A858" s="392">
        <v>99241</v>
      </c>
      <c r="B858" s="393" t="s">
        <v>1556</v>
      </c>
      <c r="C858" s="235">
        <v>5.4799999999999998E-4</v>
      </c>
      <c r="D858" s="235">
        <v>5.8560000000000003E-4</v>
      </c>
      <c r="E858" s="232">
        <v>840411</v>
      </c>
      <c r="F858" s="232" t="s">
        <v>1930</v>
      </c>
      <c r="G858" s="394">
        <v>267365</v>
      </c>
      <c r="H858" s="394">
        <v>0</v>
      </c>
      <c r="I858" s="394">
        <v>527993</v>
      </c>
      <c r="J858" s="232">
        <v>7876</v>
      </c>
      <c r="K858" s="232">
        <v>803234</v>
      </c>
      <c r="L858" s="232"/>
      <c r="M858" s="302">
        <v>0</v>
      </c>
      <c r="N858" s="302">
        <v>1200694</v>
      </c>
      <c r="O858" s="302">
        <v>0</v>
      </c>
      <c r="P858" s="232">
        <v>79996</v>
      </c>
      <c r="Q858" s="232">
        <v>1280690</v>
      </c>
      <c r="R858" s="232"/>
      <c r="S858" s="394">
        <v>362580</v>
      </c>
      <c r="T858" s="232">
        <v>-32033</v>
      </c>
      <c r="U858" s="398">
        <v>330547</v>
      </c>
      <c r="V858" s="232"/>
      <c r="W858" s="398">
        <v>3262404</v>
      </c>
      <c r="X858" s="398">
        <v>-1152760</v>
      </c>
      <c r="Y858" s="398"/>
      <c r="Z858" s="398"/>
    </row>
    <row r="859" spans="1:26">
      <c r="A859" s="392">
        <v>99251</v>
      </c>
      <c r="B859" s="393" t="s">
        <v>1557</v>
      </c>
      <c r="C859" s="235">
        <v>1.6489E-3</v>
      </c>
      <c r="D859" s="235">
        <v>1.6408E-3</v>
      </c>
      <c r="E859" s="232">
        <v>2528746</v>
      </c>
      <c r="F859" s="232" t="s">
        <v>1930</v>
      </c>
      <c r="G859" s="394">
        <v>804485</v>
      </c>
      <c r="H859" s="394">
        <v>0</v>
      </c>
      <c r="I859" s="394">
        <v>1588699</v>
      </c>
      <c r="J859" s="232">
        <v>26927</v>
      </c>
      <c r="K859" s="232">
        <v>2420111</v>
      </c>
      <c r="L859" s="232"/>
      <c r="M859" s="302">
        <v>0</v>
      </c>
      <c r="N859" s="302">
        <v>3612819</v>
      </c>
      <c r="O859" s="302">
        <v>0</v>
      </c>
      <c r="P859" s="232">
        <v>3921</v>
      </c>
      <c r="Q859" s="232">
        <v>3616740</v>
      </c>
      <c r="R859" s="232"/>
      <c r="S859" s="394">
        <v>1090981</v>
      </c>
      <c r="T859" s="232">
        <v>491</v>
      </c>
      <c r="U859" s="398">
        <v>1091472</v>
      </c>
      <c r="V859" s="232"/>
      <c r="W859" s="398">
        <v>9816383</v>
      </c>
      <c r="X859" s="398">
        <v>-3468588</v>
      </c>
      <c r="Y859" s="398"/>
      <c r="Z859" s="398"/>
    </row>
    <row r="860" spans="1:26">
      <c r="A860" s="392">
        <v>99252</v>
      </c>
      <c r="B860" s="393" t="s">
        <v>1558</v>
      </c>
      <c r="C860" s="235">
        <v>6.3929999999999998E-4</v>
      </c>
      <c r="D860" s="235">
        <v>6.4139999999999998E-4</v>
      </c>
      <c r="E860" s="232">
        <v>980428</v>
      </c>
      <c r="F860" s="232" t="s">
        <v>1930</v>
      </c>
      <c r="G860" s="394">
        <v>311909</v>
      </c>
      <c r="H860" s="394">
        <v>0</v>
      </c>
      <c r="I860" s="394">
        <v>615959</v>
      </c>
      <c r="J860" s="232">
        <v>0</v>
      </c>
      <c r="K860" s="232">
        <v>927868</v>
      </c>
      <c r="L860" s="232"/>
      <c r="M860" s="302">
        <v>0</v>
      </c>
      <c r="N860" s="302">
        <v>1400737</v>
      </c>
      <c r="O860" s="302">
        <v>0</v>
      </c>
      <c r="P860" s="232">
        <v>150142</v>
      </c>
      <c r="Q860" s="232">
        <v>1550879</v>
      </c>
      <c r="R860" s="232"/>
      <c r="S860" s="394">
        <v>422988</v>
      </c>
      <c r="T860" s="232">
        <v>-81242</v>
      </c>
      <c r="U860" s="398">
        <v>341746</v>
      </c>
      <c r="V860" s="232"/>
      <c r="W860" s="398">
        <v>3805940</v>
      </c>
      <c r="X860" s="398">
        <v>-1344817</v>
      </c>
      <c r="Y860" s="398"/>
      <c r="Z860" s="398"/>
    </row>
    <row r="861" spans="1:26">
      <c r="A861" s="392">
        <v>99261</v>
      </c>
      <c r="B861" s="393" t="s">
        <v>1559</v>
      </c>
      <c r="C861" s="235">
        <v>2.2912000000000002E-3</v>
      </c>
      <c r="D861" s="235">
        <v>2.3002999999999999E-3</v>
      </c>
      <c r="E861" s="232">
        <v>3513775</v>
      </c>
      <c r="F861" s="232" t="s">
        <v>1930</v>
      </c>
      <c r="G861" s="394">
        <v>1117858</v>
      </c>
      <c r="H861" s="394">
        <v>0</v>
      </c>
      <c r="I861" s="394">
        <v>2207548</v>
      </c>
      <c r="J861" s="232">
        <v>942</v>
      </c>
      <c r="K861" s="232">
        <v>3326348</v>
      </c>
      <c r="L861" s="232"/>
      <c r="M861" s="302">
        <v>0</v>
      </c>
      <c r="N861" s="302">
        <v>5020129</v>
      </c>
      <c r="O861" s="302">
        <v>0</v>
      </c>
      <c r="P861" s="232">
        <v>140207</v>
      </c>
      <c r="Q861" s="232">
        <v>5160336</v>
      </c>
      <c r="R861" s="232"/>
      <c r="S861" s="394">
        <v>1515954</v>
      </c>
      <c r="T861" s="232">
        <v>-63570</v>
      </c>
      <c r="U861" s="398">
        <v>1452384</v>
      </c>
      <c r="V861" s="232"/>
      <c r="W861" s="398">
        <v>13640183</v>
      </c>
      <c r="X861" s="398">
        <v>-4819716</v>
      </c>
      <c r="Y861" s="398"/>
      <c r="Z861" s="398"/>
    </row>
    <row r="862" spans="1:26">
      <c r="A862" s="392">
        <v>99271</v>
      </c>
      <c r="B862" s="393" t="s">
        <v>1560</v>
      </c>
      <c r="C862" s="235">
        <v>5.0762000000000003E-3</v>
      </c>
      <c r="D862" s="235">
        <v>4.6093000000000002E-3</v>
      </c>
      <c r="E862" s="232">
        <v>7784840</v>
      </c>
      <c r="F862" s="232" t="s">
        <v>1930</v>
      </c>
      <c r="G862" s="394">
        <v>2476637</v>
      </c>
      <c r="H862" s="394">
        <v>0</v>
      </c>
      <c r="I862" s="394">
        <v>4890868</v>
      </c>
      <c r="J862" s="232">
        <v>845378</v>
      </c>
      <c r="K862" s="232">
        <v>8212883</v>
      </c>
      <c r="L862" s="232"/>
      <c r="M862" s="302">
        <v>0</v>
      </c>
      <c r="N862" s="302">
        <v>11122198</v>
      </c>
      <c r="O862" s="302">
        <v>0</v>
      </c>
      <c r="P862" s="232">
        <v>42184</v>
      </c>
      <c r="Q862" s="232">
        <v>11164382</v>
      </c>
      <c r="R862" s="232"/>
      <c r="S862" s="394">
        <v>3358627</v>
      </c>
      <c r="T862" s="232">
        <v>306674</v>
      </c>
      <c r="U862" s="398">
        <v>3665301</v>
      </c>
      <c r="V862" s="232"/>
      <c r="W862" s="398">
        <v>30220101</v>
      </c>
      <c r="X862" s="398">
        <v>-10678178</v>
      </c>
      <c r="Y862" s="398"/>
      <c r="Z862" s="398"/>
    </row>
    <row r="863" spans="1:26">
      <c r="A863" s="392">
        <v>99281</v>
      </c>
      <c r="B863" s="393" t="s">
        <v>1561</v>
      </c>
      <c r="C863" s="235">
        <v>3.4172E-3</v>
      </c>
      <c r="D863" s="235">
        <v>2.6021999999999998E-3</v>
      </c>
      <c r="E863" s="232">
        <v>5240604</v>
      </c>
      <c r="F863" s="232" t="s">
        <v>1930</v>
      </c>
      <c r="G863" s="394">
        <v>1667225</v>
      </c>
      <c r="H863" s="394">
        <v>0</v>
      </c>
      <c r="I863" s="394">
        <v>3292438</v>
      </c>
      <c r="J863" s="232">
        <v>1322209</v>
      </c>
      <c r="K863" s="232">
        <v>6281872</v>
      </c>
      <c r="L863" s="232"/>
      <c r="M863" s="302">
        <v>0</v>
      </c>
      <c r="N863" s="302">
        <v>7487249</v>
      </c>
      <c r="O863" s="302">
        <v>0</v>
      </c>
      <c r="P863" s="232">
        <v>24</v>
      </c>
      <c r="Q863" s="232">
        <v>7487273</v>
      </c>
      <c r="R863" s="232"/>
      <c r="S863" s="394">
        <v>2260963</v>
      </c>
      <c r="T863" s="232">
        <v>441943</v>
      </c>
      <c r="U863" s="398">
        <v>2702906</v>
      </c>
      <c r="V863" s="232"/>
      <c r="W863" s="398">
        <v>20343589</v>
      </c>
      <c r="X863" s="398">
        <v>-7188343</v>
      </c>
      <c r="Y863" s="398"/>
      <c r="Z863" s="398"/>
    </row>
    <row r="864" spans="1:26">
      <c r="A864" s="392">
        <v>99291</v>
      </c>
      <c r="B864" s="393" t="s">
        <v>1562</v>
      </c>
      <c r="C864" s="235">
        <v>9.6429999999999997E-4</v>
      </c>
      <c r="D864" s="235">
        <v>8.4670000000000004E-4</v>
      </c>
      <c r="E864" s="232">
        <v>1478847</v>
      </c>
      <c r="F864" s="232" t="s">
        <v>1930</v>
      </c>
      <c r="G864" s="394">
        <v>470474</v>
      </c>
      <c r="H864" s="394">
        <v>0</v>
      </c>
      <c r="I864" s="394">
        <v>929093</v>
      </c>
      <c r="J864" s="232">
        <v>186849</v>
      </c>
      <c r="K864" s="232">
        <v>1586416</v>
      </c>
      <c r="L864" s="232"/>
      <c r="M864" s="302">
        <v>0</v>
      </c>
      <c r="N864" s="302">
        <v>2112828</v>
      </c>
      <c r="O864" s="302">
        <v>0</v>
      </c>
      <c r="P864" s="232">
        <v>49146</v>
      </c>
      <c r="Q864" s="232">
        <v>2161974</v>
      </c>
      <c r="R864" s="232"/>
      <c r="S864" s="394">
        <v>638021</v>
      </c>
      <c r="T864" s="232">
        <v>25932</v>
      </c>
      <c r="U864" s="398">
        <v>663953</v>
      </c>
      <c r="V864" s="232"/>
      <c r="W864" s="398">
        <v>5740759</v>
      </c>
      <c r="X864" s="398">
        <v>-2028479</v>
      </c>
      <c r="Y864" s="398"/>
      <c r="Z864" s="398"/>
    </row>
    <row r="865" spans="1:26">
      <c r="A865" s="392">
        <v>99301</v>
      </c>
      <c r="B865" s="393" t="s">
        <v>1563</v>
      </c>
      <c r="C865" s="235">
        <v>1.4434000000000001E-3</v>
      </c>
      <c r="D865" s="235">
        <v>1.5418000000000001E-3</v>
      </c>
      <c r="E865" s="232">
        <v>2213592</v>
      </c>
      <c r="F865" s="232" t="s">
        <v>1930</v>
      </c>
      <c r="G865" s="394">
        <v>704223</v>
      </c>
      <c r="H865" s="394">
        <v>0</v>
      </c>
      <c r="I865" s="394">
        <v>1390701</v>
      </c>
      <c r="J865" s="232">
        <v>0</v>
      </c>
      <c r="K865" s="232">
        <v>2094924</v>
      </c>
      <c r="L865" s="232"/>
      <c r="M865" s="302">
        <v>0</v>
      </c>
      <c r="N865" s="302">
        <v>3162559</v>
      </c>
      <c r="O865" s="302">
        <v>0</v>
      </c>
      <c r="P865" s="232">
        <v>236785</v>
      </c>
      <c r="Q865" s="232">
        <v>3399344</v>
      </c>
      <c r="R865" s="232"/>
      <c r="S865" s="394">
        <v>955014</v>
      </c>
      <c r="T865" s="232">
        <v>-122147</v>
      </c>
      <c r="U865" s="398">
        <v>832867</v>
      </c>
      <c r="V865" s="232"/>
      <c r="W865" s="398">
        <v>8592982</v>
      </c>
      <c r="X865" s="398">
        <v>-3036303</v>
      </c>
      <c r="Y865" s="398"/>
      <c r="Z865" s="398"/>
    </row>
    <row r="866" spans="1:26">
      <c r="A866" s="392">
        <v>99304</v>
      </c>
      <c r="B866" s="393" t="s">
        <v>1564</v>
      </c>
      <c r="C866" s="235">
        <v>6.7000000000000002E-6</v>
      </c>
      <c r="D866" s="235">
        <v>6.8000000000000001E-6</v>
      </c>
      <c r="E866" s="232">
        <v>10275</v>
      </c>
      <c r="F866" s="232" t="s">
        <v>1930</v>
      </c>
      <c r="G866" s="394">
        <v>3269</v>
      </c>
      <c r="H866" s="394">
        <v>0</v>
      </c>
      <c r="I866" s="394">
        <v>6455</v>
      </c>
      <c r="J866" s="232">
        <v>9444</v>
      </c>
      <c r="K866" s="232">
        <v>19168</v>
      </c>
      <c r="L866" s="232"/>
      <c r="M866" s="302">
        <v>0</v>
      </c>
      <c r="N866" s="302">
        <v>14680</v>
      </c>
      <c r="O866" s="302">
        <v>0</v>
      </c>
      <c r="P866" s="232">
        <v>0</v>
      </c>
      <c r="Q866" s="232">
        <v>14680</v>
      </c>
      <c r="R866" s="232"/>
      <c r="S866" s="394">
        <v>4433</v>
      </c>
      <c r="T866" s="232">
        <v>4749</v>
      </c>
      <c r="U866" s="398">
        <v>9182</v>
      </c>
      <c r="V866" s="232"/>
      <c r="W866" s="398">
        <v>39887</v>
      </c>
      <c r="X866" s="398">
        <v>-14094</v>
      </c>
      <c r="Y866" s="398"/>
      <c r="Z866" s="398"/>
    </row>
    <row r="867" spans="1:26">
      <c r="A867" s="392">
        <v>99311</v>
      </c>
      <c r="B867" s="393" t="s">
        <v>1565</v>
      </c>
      <c r="C867" s="235">
        <v>5.6799999999999998E-5</v>
      </c>
      <c r="D867" s="235">
        <v>5.5099999999999998E-5</v>
      </c>
      <c r="E867" s="232">
        <v>87108</v>
      </c>
      <c r="F867" s="232" t="s">
        <v>1930</v>
      </c>
      <c r="G867" s="394">
        <v>27712</v>
      </c>
      <c r="H867" s="394">
        <v>0</v>
      </c>
      <c r="I867" s="394">
        <v>54726</v>
      </c>
      <c r="J867" s="232">
        <v>1590</v>
      </c>
      <c r="K867" s="232">
        <v>84028</v>
      </c>
      <c r="L867" s="232"/>
      <c r="M867" s="302">
        <v>0</v>
      </c>
      <c r="N867" s="302">
        <v>124452</v>
      </c>
      <c r="O867" s="302">
        <v>0</v>
      </c>
      <c r="P867" s="232">
        <v>6976</v>
      </c>
      <c r="Q867" s="232">
        <v>131428</v>
      </c>
      <c r="R867" s="232"/>
      <c r="S867" s="394">
        <v>37581</v>
      </c>
      <c r="T867" s="232">
        <v>-2744</v>
      </c>
      <c r="U867" s="398">
        <v>34837</v>
      </c>
      <c r="V867" s="232"/>
      <c r="W867" s="398">
        <v>338147</v>
      </c>
      <c r="X867" s="398">
        <v>-119483</v>
      </c>
      <c r="Y867" s="398"/>
      <c r="Z867" s="398"/>
    </row>
    <row r="868" spans="1:26">
      <c r="A868" s="392">
        <v>99321</v>
      </c>
      <c r="B868" s="393" t="s">
        <v>1566</v>
      </c>
      <c r="C868" s="235">
        <v>1.0230000000000001E-4</v>
      </c>
      <c r="D868" s="235">
        <v>1.024E-4</v>
      </c>
      <c r="E868" s="232">
        <v>156887</v>
      </c>
      <c r="F868" s="232" t="s">
        <v>1930</v>
      </c>
      <c r="G868" s="394">
        <v>49911</v>
      </c>
      <c r="H868" s="394">
        <v>0</v>
      </c>
      <c r="I868" s="394">
        <v>98565</v>
      </c>
      <c r="J868" s="232">
        <v>87435</v>
      </c>
      <c r="K868" s="232">
        <v>235911</v>
      </c>
      <c r="L868" s="232"/>
      <c r="M868" s="302">
        <v>0</v>
      </c>
      <c r="N868" s="302">
        <v>224144</v>
      </c>
      <c r="O868" s="302">
        <v>0</v>
      </c>
      <c r="P868" s="232">
        <v>0</v>
      </c>
      <c r="Q868" s="232">
        <v>224144</v>
      </c>
      <c r="R868" s="232"/>
      <c r="S868" s="394">
        <v>67686</v>
      </c>
      <c r="T868" s="232">
        <v>47975</v>
      </c>
      <c r="U868" s="398">
        <v>115661</v>
      </c>
      <c r="V868" s="232"/>
      <c r="W868" s="398">
        <v>609022</v>
      </c>
      <c r="X868" s="398">
        <v>-215196</v>
      </c>
      <c r="Y868" s="398"/>
      <c r="Z868" s="398"/>
    </row>
    <row r="869" spans="1:26">
      <c r="A869" s="392">
        <v>99401</v>
      </c>
      <c r="B869" s="393" t="s">
        <v>1567</v>
      </c>
      <c r="C869" s="235">
        <v>7.381E-4</v>
      </c>
      <c r="D869" s="235">
        <v>7.6619999999999998E-4</v>
      </c>
      <c r="E869" s="232">
        <v>1131947</v>
      </c>
      <c r="F869" s="232" t="s">
        <v>1930</v>
      </c>
      <c r="G869" s="394">
        <v>360113</v>
      </c>
      <c r="H869" s="394">
        <v>0</v>
      </c>
      <c r="I869" s="394">
        <v>711152</v>
      </c>
      <c r="J869" s="232">
        <v>4055</v>
      </c>
      <c r="K869" s="232">
        <v>1075320</v>
      </c>
      <c r="L869" s="232"/>
      <c r="M869" s="302">
        <v>0</v>
      </c>
      <c r="N869" s="302">
        <v>1617213</v>
      </c>
      <c r="O869" s="302">
        <v>0</v>
      </c>
      <c r="P869" s="232">
        <v>37571</v>
      </c>
      <c r="Q869" s="232">
        <v>1654784</v>
      </c>
      <c r="R869" s="232"/>
      <c r="S869" s="394">
        <v>488358</v>
      </c>
      <c r="T869" s="232">
        <v>-26994</v>
      </c>
      <c r="U869" s="398">
        <v>461364</v>
      </c>
      <c r="V869" s="232"/>
      <c r="W869" s="398">
        <v>4394125</v>
      </c>
      <c r="X869" s="398">
        <v>-1552650</v>
      </c>
      <c r="Y869" s="398"/>
      <c r="Z869" s="398"/>
    </row>
    <row r="870" spans="1:26">
      <c r="A870" s="392">
        <v>99404</v>
      </c>
      <c r="B870" s="393" t="s">
        <v>1568</v>
      </c>
      <c r="C870" s="235">
        <v>7.4000000000000003E-6</v>
      </c>
      <c r="D870" s="235">
        <v>8.1000000000000004E-6</v>
      </c>
      <c r="E870" s="232">
        <v>11349</v>
      </c>
      <c r="F870" s="232" t="s">
        <v>1930</v>
      </c>
      <c r="G870" s="394">
        <v>3610</v>
      </c>
      <c r="H870" s="394">
        <v>0</v>
      </c>
      <c r="I870" s="394">
        <v>7130</v>
      </c>
      <c r="J870" s="232">
        <v>2500</v>
      </c>
      <c r="K870" s="232">
        <v>13240</v>
      </c>
      <c r="L870" s="232"/>
      <c r="M870" s="302">
        <v>0</v>
      </c>
      <c r="N870" s="302">
        <v>16214</v>
      </c>
      <c r="O870" s="302">
        <v>0</v>
      </c>
      <c r="P870" s="232">
        <v>0</v>
      </c>
      <c r="Q870" s="232">
        <v>16214</v>
      </c>
      <c r="R870" s="232"/>
      <c r="S870" s="394">
        <v>4896</v>
      </c>
      <c r="T870" s="232">
        <v>1332</v>
      </c>
      <c r="U870" s="398">
        <v>6228</v>
      </c>
      <c r="V870" s="232"/>
      <c r="W870" s="398">
        <v>44054</v>
      </c>
      <c r="X870" s="398">
        <v>-15566</v>
      </c>
      <c r="Y870" s="398"/>
      <c r="Z870" s="398"/>
    </row>
    <row r="871" spans="1:26">
      <c r="A871" s="392">
        <v>99405</v>
      </c>
      <c r="B871" s="393" t="s">
        <v>1569</v>
      </c>
      <c r="C871" s="235">
        <v>5.27E-5</v>
      </c>
      <c r="D871" s="235">
        <v>5.91E-5</v>
      </c>
      <c r="E871" s="232">
        <v>80821</v>
      </c>
      <c r="F871" s="232" t="s">
        <v>1930</v>
      </c>
      <c r="G871" s="394">
        <v>25712</v>
      </c>
      <c r="H871" s="394">
        <v>0</v>
      </c>
      <c r="I871" s="394">
        <v>50776</v>
      </c>
      <c r="J871" s="232">
        <v>11857</v>
      </c>
      <c r="K871" s="232">
        <v>88345</v>
      </c>
      <c r="L871" s="232"/>
      <c r="M871" s="302">
        <v>0</v>
      </c>
      <c r="N871" s="302">
        <v>115468</v>
      </c>
      <c r="O871" s="302">
        <v>0</v>
      </c>
      <c r="P871" s="232">
        <v>3472</v>
      </c>
      <c r="Q871" s="232">
        <v>118940</v>
      </c>
      <c r="R871" s="232"/>
      <c r="S871" s="394">
        <v>34869</v>
      </c>
      <c r="T871" s="232">
        <v>7625</v>
      </c>
      <c r="U871" s="398">
        <v>42494</v>
      </c>
      <c r="V871" s="232"/>
      <c r="W871" s="398">
        <v>313738</v>
      </c>
      <c r="X871" s="398">
        <v>-110859</v>
      </c>
      <c r="Y871" s="398"/>
      <c r="Z871" s="398"/>
    </row>
    <row r="872" spans="1:26">
      <c r="A872" s="392">
        <v>99411</v>
      </c>
      <c r="B872" s="393" t="s">
        <v>1570</v>
      </c>
      <c r="C872" s="235">
        <v>1.64E-4</v>
      </c>
      <c r="D872" s="235">
        <v>1.6799999999999999E-4</v>
      </c>
      <c r="E872" s="232">
        <v>251510</v>
      </c>
      <c r="F872" s="232" t="s">
        <v>1930</v>
      </c>
      <c r="G872" s="394">
        <v>80014</v>
      </c>
      <c r="H872" s="394">
        <v>0</v>
      </c>
      <c r="I872" s="394">
        <v>158012</v>
      </c>
      <c r="J872" s="232">
        <v>9023</v>
      </c>
      <c r="K872" s="232">
        <v>247049</v>
      </c>
      <c r="L872" s="232"/>
      <c r="M872" s="302">
        <v>0</v>
      </c>
      <c r="N872" s="302">
        <v>359332</v>
      </c>
      <c r="O872" s="302">
        <v>0</v>
      </c>
      <c r="P872" s="232">
        <v>10636</v>
      </c>
      <c r="Q872" s="232">
        <v>369968</v>
      </c>
      <c r="R872" s="232"/>
      <c r="S872" s="394">
        <v>108509</v>
      </c>
      <c r="T872" s="232">
        <v>8720</v>
      </c>
      <c r="U872" s="398">
        <v>117229</v>
      </c>
      <c r="V872" s="232"/>
      <c r="W872" s="398">
        <v>976340</v>
      </c>
      <c r="X872" s="398">
        <v>-344987</v>
      </c>
      <c r="Y872" s="398"/>
      <c r="Z872" s="398"/>
    </row>
    <row r="873" spans="1:26">
      <c r="A873" s="392">
        <v>99413</v>
      </c>
      <c r="B873" s="393" t="s">
        <v>1571</v>
      </c>
      <c r="C873" s="235">
        <v>3.7299999999999999E-5</v>
      </c>
      <c r="D873" s="235">
        <v>3.3899999999999997E-5</v>
      </c>
      <c r="E873" s="232">
        <v>57203</v>
      </c>
      <c r="F873" s="232" t="s">
        <v>1930</v>
      </c>
      <c r="G873" s="394">
        <v>18198</v>
      </c>
      <c r="H873" s="394">
        <v>0</v>
      </c>
      <c r="I873" s="394">
        <v>35938</v>
      </c>
      <c r="J873" s="232">
        <v>31136</v>
      </c>
      <c r="K873" s="232">
        <v>85272</v>
      </c>
      <c r="L873" s="232"/>
      <c r="M873" s="302">
        <v>0</v>
      </c>
      <c r="N873" s="302">
        <v>81726</v>
      </c>
      <c r="O873" s="302">
        <v>0</v>
      </c>
      <c r="P873" s="232">
        <v>853</v>
      </c>
      <c r="Q873" s="232">
        <v>82579</v>
      </c>
      <c r="R873" s="232"/>
      <c r="S873" s="394">
        <v>24679</v>
      </c>
      <c r="T873" s="232">
        <v>14071</v>
      </c>
      <c r="U873" s="398">
        <v>38750</v>
      </c>
      <c r="V873" s="232"/>
      <c r="W873" s="398">
        <v>222058</v>
      </c>
      <c r="X873" s="398">
        <v>-78463</v>
      </c>
      <c r="Y873" s="398"/>
      <c r="Z873" s="398"/>
    </row>
    <row r="874" spans="1:26">
      <c r="A874" s="392">
        <v>99421</v>
      </c>
      <c r="B874" s="393" t="s">
        <v>1572</v>
      </c>
      <c r="C874" s="235">
        <v>1.2300000000000001E-5</v>
      </c>
      <c r="D874" s="235">
        <v>1.0699999999999999E-5</v>
      </c>
      <c r="E874" s="232">
        <v>18863</v>
      </c>
      <c r="F874" s="232" t="s">
        <v>1930</v>
      </c>
      <c r="G874" s="394">
        <v>6001</v>
      </c>
      <c r="H874" s="394">
        <v>0</v>
      </c>
      <c r="I874" s="394">
        <v>11851</v>
      </c>
      <c r="J874" s="232">
        <v>2257</v>
      </c>
      <c r="K874" s="232">
        <v>20109</v>
      </c>
      <c r="L874" s="232"/>
      <c r="M874" s="302">
        <v>0</v>
      </c>
      <c r="N874" s="302">
        <v>26950</v>
      </c>
      <c r="O874" s="302">
        <v>0</v>
      </c>
      <c r="P874" s="232">
        <v>2468</v>
      </c>
      <c r="Q874" s="232">
        <v>29418</v>
      </c>
      <c r="R874" s="232"/>
      <c r="S874" s="394">
        <v>8138</v>
      </c>
      <c r="T874" s="232">
        <v>-786</v>
      </c>
      <c r="U874" s="398">
        <v>7352</v>
      </c>
      <c r="V874" s="232"/>
      <c r="W874" s="398">
        <v>73225</v>
      </c>
      <c r="X874" s="398">
        <v>-25874</v>
      </c>
      <c r="Y874" s="398"/>
      <c r="Z874" s="398"/>
    </row>
    <row r="875" spans="1:26">
      <c r="A875" s="392">
        <v>99431</v>
      </c>
      <c r="B875" s="393" t="s">
        <v>1573</v>
      </c>
      <c r="C875" s="235">
        <v>1.8099999999999999E-5</v>
      </c>
      <c r="D875" s="235">
        <v>1.91E-5</v>
      </c>
      <c r="E875" s="232">
        <v>27758</v>
      </c>
      <c r="F875" s="232" t="s">
        <v>1930</v>
      </c>
      <c r="G875" s="394">
        <v>8831</v>
      </c>
      <c r="H875" s="394">
        <v>0</v>
      </c>
      <c r="I875" s="394">
        <v>17439</v>
      </c>
      <c r="J875" s="232">
        <v>2923</v>
      </c>
      <c r="K875" s="232">
        <v>29193</v>
      </c>
      <c r="L875" s="232"/>
      <c r="M875" s="302">
        <v>0</v>
      </c>
      <c r="N875" s="302">
        <v>39658</v>
      </c>
      <c r="O875" s="302">
        <v>0</v>
      </c>
      <c r="P875" s="232">
        <v>6182</v>
      </c>
      <c r="Q875" s="232">
        <v>45840</v>
      </c>
      <c r="R875" s="232"/>
      <c r="S875" s="394">
        <v>11976</v>
      </c>
      <c r="T875" s="232">
        <v>-1866</v>
      </c>
      <c r="U875" s="398">
        <v>10110</v>
      </c>
      <c r="V875" s="232"/>
      <c r="W875" s="398">
        <v>107755</v>
      </c>
      <c r="X875" s="398">
        <v>-38075</v>
      </c>
      <c r="Y875" s="398"/>
      <c r="Z875" s="398"/>
    </row>
    <row r="876" spans="1:26" customFormat="1">
      <c r="A876" s="392">
        <v>99501</v>
      </c>
      <c r="B876" s="393" t="s">
        <v>1574</v>
      </c>
      <c r="C876" s="235">
        <v>1.6647999999999999E-3</v>
      </c>
      <c r="D876" s="235">
        <v>1.6310999999999999E-3</v>
      </c>
      <c r="E876" s="232">
        <v>2553131</v>
      </c>
      <c r="F876" s="232" t="s">
        <v>1930</v>
      </c>
      <c r="G876" s="394">
        <v>812243</v>
      </c>
      <c r="H876" s="394">
        <v>0</v>
      </c>
      <c r="I876" s="394">
        <v>1604018</v>
      </c>
      <c r="J876" s="232">
        <v>145191</v>
      </c>
      <c r="K876" s="232">
        <v>2561452</v>
      </c>
      <c r="L876" s="232"/>
      <c r="M876" s="302">
        <v>0</v>
      </c>
      <c r="N876" s="302">
        <v>3647657</v>
      </c>
      <c r="O876" s="302">
        <v>0</v>
      </c>
      <c r="P876" s="232">
        <v>0</v>
      </c>
      <c r="Q876" s="232">
        <v>3647657</v>
      </c>
      <c r="R876" s="232"/>
      <c r="S876" s="394">
        <v>1101502</v>
      </c>
      <c r="T876" s="232">
        <v>55072</v>
      </c>
      <c r="U876" s="398">
        <v>1156574</v>
      </c>
      <c r="V876" s="232"/>
      <c r="W876" s="398">
        <v>9911041</v>
      </c>
      <c r="X876" s="398">
        <v>-3502035</v>
      </c>
      <c r="Y876" s="398"/>
      <c r="Z876" s="398"/>
    </row>
    <row r="877" spans="1:26" customFormat="1">
      <c r="A877" s="392">
        <v>99502</v>
      </c>
      <c r="B877" s="393" t="s">
        <v>1575</v>
      </c>
      <c r="C877" s="235">
        <v>1.5300000000000001E-4</v>
      </c>
      <c r="D877" s="235">
        <v>1.5109999999999999E-4</v>
      </c>
      <c r="E877" s="232">
        <v>234640</v>
      </c>
      <c r="F877" s="232" t="s">
        <v>1930</v>
      </c>
      <c r="G877" s="394">
        <v>74647</v>
      </c>
      <c r="H877" s="394">
        <v>0</v>
      </c>
      <c r="I877" s="394">
        <v>147414</v>
      </c>
      <c r="J877" s="232">
        <v>6342</v>
      </c>
      <c r="K877" s="232">
        <v>228403</v>
      </c>
      <c r="L877" s="232"/>
      <c r="M877" s="302">
        <v>0</v>
      </c>
      <c r="N877" s="302">
        <v>335230</v>
      </c>
      <c r="O877" s="302">
        <v>0</v>
      </c>
      <c r="P877" s="232">
        <v>6487</v>
      </c>
      <c r="Q877" s="232">
        <v>341717</v>
      </c>
      <c r="R877" s="232"/>
      <c r="S877" s="394">
        <v>101231</v>
      </c>
      <c r="T877" s="232">
        <v>1540</v>
      </c>
      <c r="U877" s="398">
        <v>102771</v>
      </c>
      <c r="V877" s="232"/>
      <c r="W877" s="398">
        <v>910854</v>
      </c>
      <c r="X877" s="398">
        <v>-321847</v>
      </c>
      <c r="Y877" s="398"/>
      <c r="Z877" s="398"/>
    </row>
    <row r="878" spans="1:26" customFormat="1">
      <c r="A878" s="392">
        <v>99508</v>
      </c>
      <c r="B878" s="393" t="s">
        <v>1576</v>
      </c>
      <c r="C878" s="235">
        <v>2.1100000000000001E-5</v>
      </c>
      <c r="D878" s="235">
        <v>2.0800000000000001E-5</v>
      </c>
      <c r="E878" s="232">
        <v>32359</v>
      </c>
      <c r="F878" s="232" t="s">
        <v>1930</v>
      </c>
      <c r="G878" s="394">
        <v>10295</v>
      </c>
      <c r="H878" s="394">
        <v>0</v>
      </c>
      <c r="I878" s="394">
        <v>20330</v>
      </c>
      <c r="J878" s="232">
        <v>1144</v>
      </c>
      <c r="K878" s="232">
        <v>31769</v>
      </c>
      <c r="L878" s="232"/>
      <c r="M878" s="302">
        <v>0</v>
      </c>
      <c r="N878" s="302">
        <v>46231</v>
      </c>
      <c r="O878" s="302">
        <v>0</v>
      </c>
      <c r="P878" s="232">
        <v>715</v>
      </c>
      <c r="Q878" s="232">
        <v>46946</v>
      </c>
      <c r="R878" s="232"/>
      <c r="S878" s="394">
        <v>13961</v>
      </c>
      <c r="T878" s="232">
        <v>1</v>
      </c>
      <c r="U878" s="398">
        <v>13962</v>
      </c>
      <c r="V878" s="232"/>
      <c r="W878" s="398">
        <v>125614</v>
      </c>
      <c r="X878" s="398">
        <v>-44385</v>
      </c>
      <c r="Y878" s="398"/>
      <c r="Z878" s="398"/>
    </row>
    <row r="879" spans="1:26" customFormat="1">
      <c r="A879" s="392">
        <v>99509</v>
      </c>
      <c r="B879" s="393" t="s">
        <v>1577</v>
      </c>
      <c r="C879" s="235">
        <v>2.1699999999999999E-5</v>
      </c>
      <c r="D879" s="235">
        <v>2.0699999999999998E-5</v>
      </c>
      <c r="E879" s="232">
        <v>33279</v>
      </c>
      <c r="F879" s="232" t="s">
        <v>1930</v>
      </c>
      <c r="G879" s="394">
        <v>10587</v>
      </c>
      <c r="H879" s="394">
        <v>0</v>
      </c>
      <c r="I879" s="394">
        <v>20908</v>
      </c>
      <c r="J879" s="232">
        <v>3426</v>
      </c>
      <c r="K879" s="232">
        <v>34921</v>
      </c>
      <c r="L879" s="232"/>
      <c r="M879" s="302">
        <v>0</v>
      </c>
      <c r="N879" s="302">
        <v>47546</v>
      </c>
      <c r="O879" s="302">
        <v>0</v>
      </c>
      <c r="P879" s="232">
        <v>3459</v>
      </c>
      <c r="Q879" s="232">
        <v>51005</v>
      </c>
      <c r="R879" s="232"/>
      <c r="S879" s="394">
        <v>14358</v>
      </c>
      <c r="T879" s="232">
        <v>-1245</v>
      </c>
      <c r="U879" s="398">
        <v>13113</v>
      </c>
      <c r="V879" s="232"/>
      <c r="W879" s="398">
        <v>129186</v>
      </c>
      <c r="X879" s="398">
        <v>-45648</v>
      </c>
      <c r="Y879" s="398"/>
      <c r="Z879" s="398"/>
    </row>
    <row r="880" spans="1:26" customFormat="1">
      <c r="A880" s="392">
        <v>99511</v>
      </c>
      <c r="B880" s="393" t="s">
        <v>1578</v>
      </c>
      <c r="C880" s="235">
        <v>1.3062E-3</v>
      </c>
      <c r="D880" s="235">
        <v>1.3119E-3</v>
      </c>
      <c r="E880" s="232">
        <v>2003183</v>
      </c>
      <c r="F880" s="232" t="s">
        <v>1930</v>
      </c>
      <c r="G880" s="394">
        <v>637285</v>
      </c>
      <c r="H880" s="394">
        <v>0</v>
      </c>
      <c r="I880" s="394">
        <v>1258511</v>
      </c>
      <c r="J880" s="232">
        <v>0</v>
      </c>
      <c r="K880" s="232">
        <v>1895796</v>
      </c>
      <c r="L880" s="232"/>
      <c r="M880" s="302">
        <v>0</v>
      </c>
      <c r="N880" s="302">
        <v>2861947</v>
      </c>
      <c r="O880" s="302">
        <v>0</v>
      </c>
      <c r="P880" s="232">
        <v>159068</v>
      </c>
      <c r="Q880" s="232">
        <v>3021015</v>
      </c>
      <c r="R880" s="232"/>
      <c r="S880" s="394">
        <v>864237</v>
      </c>
      <c r="T880" s="232">
        <v>-83936</v>
      </c>
      <c r="U880" s="398">
        <v>780301</v>
      </c>
      <c r="V880" s="232"/>
      <c r="W880" s="398">
        <v>7776190</v>
      </c>
      <c r="X880" s="398">
        <v>-2747692</v>
      </c>
      <c r="Y880" s="398"/>
      <c r="Z880" s="398"/>
    </row>
    <row r="881" spans="1:26" customFormat="1">
      <c r="A881" s="392">
        <v>99521</v>
      </c>
      <c r="B881" s="393" t="s">
        <v>1579</v>
      </c>
      <c r="C881" s="235">
        <v>5.2010000000000001E-4</v>
      </c>
      <c r="D881" s="235">
        <v>4.8440000000000001E-4</v>
      </c>
      <c r="E881" s="232">
        <v>797623</v>
      </c>
      <c r="F881" s="232" t="s">
        <v>1930</v>
      </c>
      <c r="G881" s="394">
        <v>253753</v>
      </c>
      <c r="H881" s="394">
        <v>0</v>
      </c>
      <c r="I881" s="394">
        <v>501111</v>
      </c>
      <c r="J881" s="232">
        <v>15203</v>
      </c>
      <c r="K881" s="232">
        <v>770067</v>
      </c>
      <c r="L881" s="232"/>
      <c r="M881" s="302">
        <v>0</v>
      </c>
      <c r="N881" s="302">
        <v>1139564</v>
      </c>
      <c r="O881" s="302">
        <v>0</v>
      </c>
      <c r="P881" s="232">
        <v>38976</v>
      </c>
      <c r="Q881" s="232">
        <v>1178540</v>
      </c>
      <c r="R881" s="232"/>
      <c r="S881" s="394">
        <v>344120</v>
      </c>
      <c r="T881" s="232">
        <v>-10561</v>
      </c>
      <c r="U881" s="398">
        <v>333559</v>
      </c>
      <c r="V881" s="232"/>
      <c r="W881" s="398">
        <v>3096307</v>
      </c>
      <c r="X881" s="398">
        <v>-1094070</v>
      </c>
      <c r="Y881" s="398"/>
      <c r="Z881" s="398"/>
    </row>
    <row r="882" spans="1:26" customFormat="1">
      <c r="A882" s="392">
        <v>99527</v>
      </c>
      <c r="B882" s="393" t="s">
        <v>1580</v>
      </c>
      <c r="C882" s="235">
        <v>1.04E-5</v>
      </c>
      <c r="D882" s="235">
        <v>1.03E-5</v>
      </c>
      <c r="E882" s="232">
        <v>15949</v>
      </c>
      <c r="F882" s="232" t="s">
        <v>1930</v>
      </c>
      <c r="G882" s="394">
        <v>5074</v>
      </c>
      <c r="H882" s="394">
        <v>0</v>
      </c>
      <c r="I882" s="394">
        <v>10020</v>
      </c>
      <c r="J882" s="232">
        <v>3932</v>
      </c>
      <c r="K882" s="232">
        <v>19026</v>
      </c>
      <c r="L882" s="232"/>
      <c r="M882" s="302">
        <v>0</v>
      </c>
      <c r="N882" s="302">
        <v>22787</v>
      </c>
      <c r="O882" s="302">
        <v>0</v>
      </c>
      <c r="P882" s="232">
        <v>0</v>
      </c>
      <c r="Q882" s="232">
        <v>22787</v>
      </c>
      <c r="R882" s="232"/>
      <c r="S882" s="394">
        <v>6881</v>
      </c>
      <c r="T882" s="232">
        <v>1612</v>
      </c>
      <c r="U882" s="398">
        <v>8493</v>
      </c>
      <c r="V882" s="232"/>
      <c r="W882" s="398">
        <v>61914</v>
      </c>
      <c r="X882" s="398">
        <v>-21877</v>
      </c>
      <c r="Y882" s="398"/>
      <c r="Z882" s="398"/>
    </row>
    <row r="883" spans="1:26" customFormat="1">
      <c r="A883" s="392">
        <v>99531</v>
      </c>
      <c r="B883" s="393" t="s">
        <v>1581</v>
      </c>
      <c r="C883" s="235">
        <v>8.7800000000000006E-5</v>
      </c>
      <c r="D883" s="235">
        <v>9.0500000000000004E-5</v>
      </c>
      <c r="E883" s="232">
        <v>134650</v>
      </c>
      <c r="F883" s="232" t="s">
        <v>1930</v>
      </c>
      <c r="G883" s="394">
        <v>42837</v>
      </c>
      <c r="H883" s="394">
        <v>0</v>
      </c>
      <c r="I883" s="394">
        <v>84594</v>
      </c>
      <c r="J883" s="232">
        <v>47206</v>
      </c>
      <c r="K883" s="232">
        <v>174637</v>
      </c>
      <c r="L883" s="232"/>
      <c r="M883" s="302">
        <v>0</v>
      </c>
      <c r="N883" s="302">
        <v>192374</v>
      </c>
      <c r="O883" s="302">
        <v>0</v>
      </c>
      <c r="P883" s="232">
        <v>0</v>
      </c>
      <c r="Q883" s="232">
        <v>192374</v>
      </c>
      <c r="R883" s="232"/>
      <c r="S883" s="394">
        <v>58092</v>
      </c>
      <c r="T883" s="232">
        <v>29397</v>
      </c>
      <c r="U883" s="398">
        <v>87489</v>
      </c>
      <c r="V883" s="232"/>
      <c r="W883" s="398">
        <v>522699</v>
      </c>
      <c r="X883" s="398">
        <v>-184694</v>
      </c>
      <c r="Y883" s="398"/>
      <c r="Z883" s="398"/>
    </row>
    <row r="884" spans="1:26" customFormat="1">
      <c r="A884" s="392">
        <v>99601</v>
      </c>
      <c r="B884" s="393" t="s">
        <v>1582</v>
      </c>
      <c r="C884" s="235">
        <v>5.0832000000000004E-3</v>
      </c>
      <c r="D884" s="235">
        <v>5.3302000000000002E-3</v>
      </c>
      <c r="E884" s="232">
        <v>7795575</v>
      </c>
      <c r="F884" s="232" t="s">
        <v>1930</v>
      </c>
      <c r="G884" s="394">
        <v>2480053</v>
      </c>
      <c r="H884" s="394">
        <v>0</v>
      </c>
      <c r="I884" s="394">
        <v>4897612</v>
      </c>
      <c r="J884" s="232">
        <v>1339</v>
      </c>
      <c r="K884" s="232">
        <v>7379004</v>
      </c>
      <c r="L884" s="232"/>
      <c r="M884" s="302">
        <v>0</v>
      </c>
      <c r="N884" s="302">
        <v>11137535</v>
      </c>
      <c r="O884" s="302">
        <v>0</v>
      </c>
      <c r="P884" s="232">
        <v>1014574</v>
      </c>
      <c r="Q884" s="232">
        <v>12152109</v>
      </c>
      <c r="R884" s="232"/>
      <c r="S884" s="394">
        <v>3363259</v>
      </c>
      <c r="T884" s="232">
        <v>-377463</v>
      </c>
      <c r="U884" s="398">
        <v>2985796</v>
      </c>
      <c r="V884" s="232"/>
      <c r="W884" s="398">
        <v>30261774</v>
      </c>
      <c r="X884" s="398">
        <v>-10692903</v>
      </c>
      <c r="Y884" s="398"/>
      <c r="Z884" s="398"/>
    </row>
    <row r="885" spans="1:26" customFormat="1">
      <c r="A885" s="392">
        <v>99602</v>
      </c>
      <c r="B885" s="393" t="s">
        <v>1583</v>
      </c>
      <c r="C885" s="235">
        <v>6.1600000000000007E-5</v>
      </c>
      <c r="D885" s="235">
        <v>6.1199999999999997E-5</v>
      </c>
      <c r="E885" s="232">
        <v>94470</v>
      </c>
      <c r="F885" s="232" t="s">
        <v>1930</v>
      </c>
      <c r="G885" s="394">
        <v>30054</v>
      </c>
      <c r="H885" s="394">
        <v>0</v>
      </c>
      <c r="I885" s="394">
        <v>59351</v>
      </c>
      <c r="J885" s="232">
        <v>0</v>
      </c>
      <c r="K885" s="232">
        <v>89405</v>
      </c>
      <c r="L885" s="232"/>
      <c r="M885" s="302">
        <v>0</v>
      </c>
      <c r="N885" s="302">
        <v>134969</v>
      </c>
      <c r="O885" s="302">
        <v>0</v>
      </c>
      <c r="P885" s="232">
        <v>7258</v>
      </c>
      <c r="Q885" s="232">
        <v>142227</v>
      </c>
      <c r="R885" s="232"/>
      <c r="S885" s="394">
        <v>40757</v>
      </c>
      <c r="T885" s="232">
        <v>-1531</v>
      </c>
      <c r="U885" s="398">
        <v>39226</v>
      </c>
      <c r="V885" s="232"/>
      <c r="W885" s="398">
        <v>366723</v>
      </c>
      <c r="X885" s="398">
        <v>-129580</v>
      </c>
      <c r="Y885" s="398"/>
      <c r="Z885" s="398"/>
    </row>
    <row r="886" spans="1:26" customFormat="1">
      <c r="A886" s="392">
        <v>99603</v>
      </c>
      <c r="B886" s="393" t="s">
        <v>1584</v>
      </c>
      <c r="C886" s="235">
        <v>1.6080000000000001E-4</v>
      </c>
      <c r="D886" s="235">
        <v>1.426E-4</v>
      </c>
      <c r="E886" s="232">
        <v>246602</v>
      </c>
      <c r="F886" s="232" t="s">
        <v>1930</v>
      </c>
      <c r="G886" s="394">
        <v>78453</v>
      </c>
      <c r="H886" s="394">
        <v>0</v>
      </c>
      <c r="I886" s="394">
        <v>154929</v>
      </c>
      <c r="J886" s="232">
        <v>47575</v>
      </c>
      <c r="K886" s="232">
        <v>280957</v>
      </c>
      <c r="L886" s="232"/>
      <c r="M886" s="302">
        <v>0</v>
      </c>
      <c r="N886" s="302">
        <v>352321</v>
      </c>
      <c r="O886" s="302">
        <v>0</v>
      </c>
      <c r="P886" s="232">
        <v>5500</v>
      </c>
      <c r="Q886" s="232">
        <v>357821</v>
      </c>
      <c r="R886" s="232"/>
      <c r="S886" s="394">
        <v>106392</v>
      </c>
      <c r="T886" s="232">
        <v>21929</v>
      </c>
      <c r="U886" s="398">
        <v>128321</v>
      </c>
      <c r="V886" s="232"/>
      <c r="W886" s="398">
        <v>957289</v>
      </c>
      <c r="X886" s="398">
        <v>-338255</v>
      </c>
      <c r="Y886" s="398"/>
      <c r="Z886" s="398"/>
    </row>
    <row r="887" spans="1:26" customFormat="1">
      <c r="A887" s="392">
        <v>99604</v>
      </c>
      <c r="B887" s="393" t="s">
        <v>1585</v>
      </c>
      <c r="C887" s="235">
        <v>1.142E-4</v>
      </c>
      <c r="D887" s="235">
        <v>1.043E-4</v>
      </c>
      <c r="E887" s="232">
        <v>175137</v>
      </c>
      <c r="F887" s="232" t="s">
        <v>1930</v>
      </c>
      <c r="G887" s="394">
        <v>55717</v>
      </c>
      <c r="H887" s="394">
        <v>0</v>
      </c>
      <c r="I887" s="394">
        <v>110031</v>
      </c>
      <c r="J887" s="232">
        <v>39664</v>
      </c>
      <c r="K887" s="232">
        <v>205412</v>
      </c>
      <c r="L887" s="232"/>
      <c r="M887" s="302">
        <v>0</v>
      </c>
      <c r="N887" s="302">
        <v>250218</v>
      </c>
      <c r="O887" s="302">
        <v>0</v>
      </c>
      <c r="P887" s="232">
        <v>0</v>
      </c>
      <c r="Q887" s="232">
        <v>250218</v>
      </c>
      <c r="R887" s="232"/>
      <c r="S887" s="394">
        <v>75560</v>
      </c>
      <c r="T887" s="232">
        <v>19409</v>
      </c>
      <c r="U887" s="398">
        <v>94969</v>
      </c>
      <c r="V887" s="232"/>
      <c r="W887" s="398">
        <v>679866</v>
      </c>
      <c r="X887" s="398">
        <v>-240228</v>
      </c>
      <c r="Y887" s="398"/>
      <c r="Z887" s="398"/>
    </row>
    <row r="888" spans="1:26" customFormat="1">
      <c r="A888" s="392">
        <v>99609</v>
      </c>
      <c r="B888" s="393" t="s">
        <v>1586</v>
      </c>
      <c r="C888" s="235">
        <v>3.0599999999999998E-5</v>
      </c>
      <c r="D888" s="235">
        <v>2.9499999999999999E-5</v>
      </c>
      <c r="E888" s="232">
        <v>46928</v>
      </c>
      <c r="F888" s="232" t="s">
        <v>1930</v>
      </c>
      <c r="G888" s="394">
        <v>14929</v>
      </c>
      <c r="H888" s="394">
        <v>0</v>
      </c>
      <c r="I888" s="394">
        <v>29483</v>
      </c>
      <c r="J888" s="232">
        <v>3706</v>
      </c>
      <c r="K888" s="232">
        <v>48118</v>
      </c>
      <c r="L888" s="232"/>
      <c r="M888" s="302">
        <v>0</v>
      </c>
      <c r="N888" s="302">
        <v>67046</v>
      </c>
      <c r="O888" s="302">
        <v>0</v>
      </c>
      <c r="P888" s="232">
        <v>244</v>
      </c>
      <c r="Q888" s="232">
        <v>67290</v>
      </c>
      <c r="R888" s="232"/>
      <c r="S888" s="394">
        <v>20246</v>
      </c>
      <c r="T888" s="232">
        <v>1840</v>
      </c>
      <c r="U888" s="398">
        <v>22086</v>
      </c>
      <c r="V888" s="232"/>
      <c r="W888" s="398">
        <v>182171</v>
      </c>
      <c r="X888" s="398">
        <v>-64369</v>
      </c>
      <c r="Y888" s="398"/>
      <c r="Z888" s="398"/>
    </row>
    <row r="889" spans="1:26" customFormat="1">
      <c r="A889" s="392">
        <v>99610</v>
      </c>
      <c r="B889" s="393" t="s">
        <v>1587</v>
      </c>
      <c r="C889" s="235">
        <v>1.7650000000000001E-4</v>
      </c>
      <c r="D889" s="235">
        <v>1.6770000000000001E-4</v>
      </c>
      <c r="E889" s="232">
        <v>270680</v>
      </c>
      <c r="F889" s="232" t="s">
        <v>1930</v>
      </c>
      <c r="G889" s="394">
        <v>86113</v>
      </c>
      <c r="H889" s="394">
        <v>0</v>
      </c>
      <c r="I889" s="394">
        <v>170056</v>
      </c>
      <c r="J889" s="232">
        <v>28484</v>
      </c>
      <c r="K889" s="232">
        <v>284653</v>
      </c>
      <c r="L889" s="232"/>
      <c r="M889" s="302">
        <v>0</v>
      </c>
      <c r="N889" s="302">
        <v>386720</v>
      </c>
      <c r="O889" s="302">
        <v>0</v>
      </c>
      <c r="P889" s="232">
        <v>6142</v>
      </c>
      <c r="Q889" s="232">
        <v>392862</v>
      </c>
      <c r="R889" s="232"/>
      <c r="S889" s="394">
        <v>116780</v>
      </c>
      <c r="T889" s="232">
        <v>5848</v>
      </c>
      <c r="U889" s="398">
        <v>122628</v>
      </c>
      <c r="V889" s="232"/>
      <c r="W889" s="398">
        <v>1050756</v>
      </c>
      <c r="X889" s="398">
        <v>-371281</v>
      </c>
      <c r="Y889" s="398"/>
      <c r="Z889" s="398"/>
    </row>
    <row r="890" spans="1:26" customFormat="1">
      <c r="A890" s="392">
        <v>99611</v>
      </c>
      <c r="B890" s="393" t="s">
        <v>1588</v>
      </c>
      <c r="C890" s="235">
        <v>3.1145000000000001E-3</v>
      </c>
      <c r="D890" s="235">
        <v>3.1828E-3</v>
      </c>
      <c r="E890" s="232">
        <v>4776385</v>
      </c>
      <c r="F890" s="232" t="s">
        <v>1930</v>
      </c>
      <c r="G890" s="394">
        <v>1519540</v>
      </c>
      <c r="H890" s="394">
        <v>0</v>
      </c>
      <c r="I890" s="394">
        <v>3000790</v>
      </c>
      <c r="J890" s="232">
        <v>8608</v>
      </c>
      <c r="K890" s="232">
        <v>4528938</v>
      </c>
      <c r="L890" s="232"/>
      <c r="M890" s="302">
        <v>0</v>
      </c>
      <c r="N890" s="302">
        <v>6824019</v>
      </c>
      <c r="O890" s="302">
        <v>0</v>
      </c>
      <c r="P890" s="232">
        <v>304419</v>
      </c>
      <c r="Q890" s="232">
        <v>7128438</v>
      </c>
      <c r="R890" s="232"/>
      <c r="S890" s="394">
        <v>2060684</v>
      </c>
      <c r="T890" s="232">
        <v>-99616</v>
      </c>
      <c r="U890" s="398">
        <v>1961068</v>
      </c>
      <c r="V890" s="232"/>
      <c r="W890" s="398">
        <v>18541528</v>
      </c>
      <c r="X890" s="398">
        <v>-6551591</v>
      </c>
      <c r="Y890" s="398"/>
      <c r="Z890" s="398"/>
    </row>
    <row r="891" spans="1:26" customFormat="1">
      <c r="A891" s="392">
        <v>99613</v>
      </c>
      <c r="B891" s="393" t="s">
        <v>1589</v>
      </c>
      <c r="C891" s="235">
        <v>3.5100000000000002E-4</v>
      </c>
      <c r="D891" s="235">
        <v>3.1920000000000001E-4</v>
      </c>
      <c r="E891" s="232">
        <v>538292</v>
      </c>
      <c r="F891" s="232" t="s">
        <v>1930</v>
      </c>
      <c r="G891" s="394">
        <v>171250</v>
      </c>
      <c r="H891" s="394">
        <v>0</v>
      </c>
      <c r="I891" s="394">
        <v>338185</v>
      </c>
      <c r="J891" s="232">
        <v>90618</v>
      </c>
      <c r="K891" s="232">
        <v>600053</v>
      </c>
      <c r="L891" s="232"/>
      <c r="M891" s="302">
        <v>0</v>
      </c>
      <c r="N891" s="302">
        <v>769058</v>
      </c>
      <c r="O891" s="302">
        <v>0</v>
      </c>
      <c r="P891" s="232">
        <v>18970</v>
      </c>
      <c r="Q891" s="232">
        <v>788028</v>
      </c>
      <c r="R891" s="232"/>
      <c r="S891" s="394">
        <v>232236</v>
      </c>
      <c r="T891" s="232">
        <v>77265</v>
      </c>
      <c r="U891" s="398">
        <v>309501</v>
      </c>
      <c r="V891" s="232"/>
      <c r="W891" s="398">
        <v>2089605</v>
      </c>
      <c r="X891" s="398">
        <v>-738356</v>
      </c>
      <c r="Y891" s="398"/>
      <c r="Z891" s="398"/>
    </row>
    <row r="892" spans="1:26" customFormat="1">
      <c r="A892" s="392">
        <v>99621</v>
      </c>
      <c r="B892" s="393" t="s">
        <v>1590</v>
      </c>
      <c r="C892" s="235">
        <v>3.3369999999999998E-4</v>
      </c>
      <c r="D892" s="235">
        <v>3.3040000000000001E-4</v>
      </c>
      <c r="E892" s="232">
        <v>511761</v>
      </c>
      <c r="F892" s="232" t="s">
        <v>1930</v>
      </c>
      <c r="G892" s="394">
        <v>162810</v>
      </c>
      <c r="H892" s="394">
        <v>0</v>
      </c>
      <c r="I892" s="394">
        <v>321517</v>
      </c>
      <c r="J892" s="232">
        <v>13211</v>
      </c>
      <c r="K892" s="232">
        <v>497538</v>
      </c>
      <c r="L892" s="232"/>
      <c r="M892" s="302">
        <v>0</v>
      </c>
      <c r="N892" s="302">
        <v>731153</v>
      </c>
      <c r="O892" s="302">
        <v>0</v>
      </c>
      <c r="P892" s="232">
        <v>24754</v>
      </c>
      <c r="Q892" s="232">
        <v>755907</v>
      </c>
      <c r="R892" s="232"/>
      <c r="S892" s="394">
        <v>220790</v>
      </c>
      <c r="T892" s="232">
        <v>-1869</v>
      </c>
      <c r="U892" s="398">
        <v>218921</v>
      </c>
      <c r="V892" s="232"/>
      <c r="W892" s="398">
        <v>1986614</v>
      </c>
      <c r="X892" s="398">
        <v>-701964</v>
      </c>
      <c r="Y892" s="398"/>
      <c r="Z892" s="398"/>
    </row>
    <row r="893" spans="1:26" customFormat="1">
      <c r="A893" s="392">
        <v>99623</v>
      </c>
      <c r="B893" s="393" t="s">
        <v>1591</v>
      </c>
      <c r="C893" s="235">
        <v>1.6399999999999999E-5</v>
      </c>
      <c r="D893" s="235">
        <v>1.6699999999999999E-5</v>
      </c>
      <c r="E893" s="232">
        <v>25151</v>
      </c>
      <c r="F893" s="232" t="s">
        <v>1930</v>
      </c>
      <c r="G893" s="394">
        <v>8001</v>
      </c>
      <c r="H893" s="394">
        <v>0</v>
      </c>
      <c r="I893" s="394">
        <v>15801</v>
      </c>
      <c r="J893" s="232">
        <v>5453</v>
      </c>
      <c r="K893" s="232">
        <v>29255</v>
      </c>
      <c r="L893" s="232"/>
      <c r="M893" s="302">
        <v>0</v>
      </c>
      <c r="N893" s="302">
        <v>35933</v>
      </c>
      <c r="O893" s="302">
        <v>0</v>
      </c>
      <c r="P893" s="232">
        <v>10648</v>
      </c>
      <c r="Q893" s="232">
        <v>46581</v>
      </c>
      <c r="R893" s="232"/>
      <c r="S893" s="394">
        <v>10851</v>
      </c>
      <c r="T893" s="232">
        <v>-3113</v>
      </c>
      <c r="U893" s="398">
        <v>7738</v>
      </c>
      <c r="V893" s="232"/>
      <c r="W893" s="398">
        <v>97634</v>
      </c>
      <c r="X893" s="398">
        <v>-34499</v>
      </c>
      <c r="Y893" s="398"/>
      <c r="Z893" s="398"/>
    </row>
    <row r="894" spans="1:26" customFormat="1">
      <c r="A894" s="392">
        <v>99631</v>
      </c>
      <c r="B894" s="393" t="s">
        <v>1592</v>
      </c>
      <c r="C894" s="235">
        <v>8.5699999999999996E-5</v>
      </c>
      <c r="D894" s="235">
        <v>7.6899999999999999E-5</v>
      </c>
      <c r="E894" s="232">
        <v>131429</v>
      </c>
      <c r="F894" s="232" t="s">
        <v>1930</v>
      </c>
      <c r="G894" s="394">
        <v>41812</v>
      </c>
      <c r="H894" s="394">
        <v>0</v>
      </c>
      <c r="I894" s="394">
        <v>82571</v>
      </c>
      <c r="J894" s="232">
        <v>13729</v>
      </c>
      <c r="K894" s="232">
        <v>138112</v>
      </c>
      <c r="L894" s="232"/>
      <c r="M894" s="302">
        <v>0</v>
      </c>
      <c r="N894" s="302">
        <v>187773</v>
      </c>
      <c r="O894" s="302">
        <v>0</v>
      </c>
      <c r="P894" s="232">
        <v>29909</v>
      </c>
      <c r="Q894" s="232">
        <v>217682</v>
      </c>
      <c r="R894" s="232"/>
      <c r="S894" s="394">
        <v>56703</v>
      </c>
      <c r="T894" s="232">
        <v>-10303</v>
      </c>
      <c r="U894" s="398">
        <v>46400</v>
      </c>
      <c r="V894" s="232"/>
      <c r="W894" s="398">
        <v>510197</v>
      </c>
      <c r="X894" s="398">
        <v>-180277</v>
      </c>
      <c r="Y894" s="398"/>
      <c r="Z894" s="398"/>
    </row>
    <row r="895" spans="1:26" customFormat="1">
      <c r="A895" s="392">
        <v>99651</v>
      </c>
      <c r="B895" s="393" t="s">
        <v>1593</v>
      </c>
      <c r="C895" s="235">
        <v>5.3699999999999997E-5</v>
      </c>
      <c r="D895" s="235">
        <v>6.5199999999999999E-5</v>
      </c>
      <c r="E895" s="232">
        <v>82354</v>
      </c>
      <c r="F895" s="232" t="s">
        <v>1930</v>
      </c>
      <c r="G895" s="394">
        <v>26200</v>
      </c>
      <c r="H895" s="394">
        <v>0</v>
      </c>
      <c r="I895" s="394">
        <v>51739</v>
      </c>
      <c r="J895" s="232">
        <v>3823</v>
      </c>
      <c r="K895" s="232">
        <v>81762</v>
      </c>
      <c r="L895" s="232"/>
      <c r="M895" s="302">
        <v>0</v>
      </c>
      <c r="N895" s="302">
        <v>117659</v>
      </c>
      <c r="O895" s="302">
        <v>0</v>
      </c>
      <c r="P895" s="232">
        <v>25282</v>
      </c>
      <c r="Q895" s="232">
        <v>142941</v>
      </c>
      <c r="R895" s="232"/>
      <c r="S895" s="394">
        <v>35530</v>
      </c>
      <c r="T895" s="232">
        <v>-8010</v>
      </c>
      <c r="U895" s="398">
        <v>27520</v>
      </c>
      <c r="V895" s="232"/>
      <c r="W895" s="398">
        <v>319692</v>
      </c>
      <c r="X895" s="398">
        <v>-112962</v>
      </c>
      <c r="Y895" s="398"/>
      <c r="Z895" s="398"/>
    </row>
    <row r="896" spans="1:26" customFormat="1">
      <c r="A896" s="392">
        <v>99661</v>
      </c>
      <c r="B896" s="393" t="s">
        <v>1594</v>
      </c>
      <c r="C896" s="235">
        <v>3.4199999999999998E-5</v>
      </c>
      <c r="D896" s="235">
        <v>3.4400000000000003E-5</v>
      </c>
      <c r="E896" s="232">
        <v>52449</v>
      </c>
      <c r="F896" s="232" t="s">
        <v>1930</v>
      </c>
      <c r="G896" s="394">
        <v>16686</v>
      </c>
      <c r="H896" s="394">
        <v>0</v>
      </c>
      <c r="I896" s="394">
        <v>32951</v>
      </c>
      <c r="J896" s="232">
        <v>33131</v>
      </c>
      <c r="K896" s="232">
        <v>82768</v>
      </c>
      <c r="L896" s="232"/>
      <c r="M896" s="302">
        <v>0</v>
      </c>
      <c r="N896" s="302">
        <v>74934</v>
      </c>
      <c r="O896" s="302">
        <v>0</v>
      </c>
      <c r="P896" s="232">
        <v>0</v>
      </c>
      <c r="Q896" s="232">
        <v>74934</v>
      </c>
      <c r="R896" s="232"/>
      <c r="S896" s="394">
        <v>22628</v>
      </c>
      <c r="T896" s="232">
        <v>21024</v>
      </c>
      <c r="U896" s="398">
        <v>43652</v>
      </c>
      <c r="V896" s="232"/>
      <c r="W896" s="398">
        <v>203603</v>
      </c>
      <c r="X896" s="398">
        <v>-71942</v>
      </c>
      <c r="Y896" s="398"/>
      <c r="Z896" s="398"/>
    </row>
    <row r="897" spans="1:26" customFormat="1">
      <c r="A897" s="392">
        <v>99701</v>
      </c>
      <c r="B897" s="393" t="s">
        <v>1595</v>
      </c>
      <c r="C897" s="235">
        <v>3.0317999999999999E-3</v>
      </c>
      <c r="D897" s="235">
        <v>3.0582000000000001E-3</v>
      </c>
      <c r="E897" s="232">
        <v>4649556</v>
      </c>
      <c r="F897" s="232" t="s">
        <v>1930</v>
      </c>
      <c r="G897" s="394">
        <v>1479191</v>
      </c>
      <c r="H897" s="394">
        <v>0</v>
      </c>
      <c r="I897" s="394">
        <v>2921109</v>
      </c>
      <c r="J897" s="232">
        <v>34492</v>
      </c>
      <c r="K897" s="232">
        <v>4434792</v>
      </c>
      <c r="L897" s="232"/>
      <c r="M897" s="302">
        <v>0</v>
      </c>
      <c r="N897" s="302">
        <v>6642819</v>
      </c>
      <c r="O897" s="302">
        <v>0</v>
      </c>
      <c r="P897" s="232">
        <v>143942</v>
      </c>
      <c r="Q897" s="232">
        <v>6786761</v>
      </c>
      <c r="R897" s="232"/>
      <c r="S897" s="394">
        <v>2005966</v>
      </c>
      <c r="T897" s="232">
        <v>-36268</v>
      </c>
      <c r="U897" s="398">
        <v>1969698</v>
      </c>
      <c r="V897" s="232"/>
      <c r="W897" s="398">
        <v>18049191</v>
      </c>
      <c r="X897" s="398">
        <v>-6377625</v>
      </c>
      <c r="Y897" s="398"/>
      <c r="Z897" s="398"/>
    </row>
    <row r="898" spans="1:26" customFormat="1">
      <c r="A898" s="392">
        <v>99705</v>
      </c>
      <c r="B898" s="393" t="s">
        <v>1596</v>
      </c>
      <c r="C898" s="235">
        <v>1.716E-4</v>
      </c>
      <c r="D898" s="235">
        <v>1.6310000000000001E-4</v>
      </c>
      <c r="E898" s="232">
        <v>263165</v>
      </c>
      <c r="F898" s="232" t="s">
        <v>1930</v>
      </c>
      <c r="G898" s="394">
        <v>83722</v>
      </c>
      <c r="H898" s="394">
        <v>0</v>
      </c>
      <c r="I898" s="394">
        <v>165335</v>
      </c>
      <c r="J898" s="232">
        <v>53466</v>
      </c>
      <c r="K898" s="232">
        <v>302523</v>
      </c>
      <c r="L898" s="232"/>
      <c r="M898" s="302">
        <v>0</v>
      </c>
      <c r="N898" s="302">
        <v>375984</v>
      </c>
      <c r="O898" s="302">
        <v>0</v>
      </c>
      <c r="P898" s="232">
        <v>0</v>
      </c>
      <c r="Q898" s="232">
        <v>375984</v>
      </c>
      <c r="R898" s="232"/>
      <c r="S898" s="394">
        <v>113538</v>
      </c>
      <c r="T898" s="232">
        <v>23945</v>
      </c>
      <c r="U898" s="398">
        <v>137483</v>
      </c>
      <c r="V898" s="232"/>
      <c r="W898" s="398">
        <v>1021585</v>
      </c>
      <c r="X898" s="398">
        <v>-360974</v>
      </c>
      <c r="Y898" s="398"/>
      <c r="Z898" s="398"/>
    </row>
    <row r="899" spans="1:26" customFormat="1">
      <c r="A899" s="392">
        <v>99711</v>
      </c>
      <c r="B899" s="393" t="s">
        <v>1597</v>
      </c>
      <c r="C899" s="235">
        <v>3.9609999999999998E-4</v>
      </c>
      <c r="D899" s="235">
        <v>4.2759999999999999E-4</v>
      </c>
      <c r="E899" s="232">
        <v>607457</v>
      </c>
      <c r="F899" s="232" t="s">
        <v>1930</v>
      </c>
      <c r="G899" s="394">
        <v>193254</v>
      </c>
      <c r="H899" s="394">
        <v>0</v>
      </c>
      <c r="I899" s="394">
        <v>381638</v>
      </c>
      <c r="J899" s="232">
        <v>6638</v>
      </c>
      <c r="K899" s="232">
        <v>581530</v>
      </c>
      <c r="L899" s="232"/>
      <c r="M899" s="302">
        <v>0</v>
      </c>
      <c r="N899" s="302">
        <v>867874</v>
      </c>
      <c r="O899" s="302">
        <v>0</v>
      </c>
      <c r="P899" s="232">
        <v>51921</v>
      </c>
      <c r="Q899" s="232">
        <v>919795</v>
      </c>
      <c r="R899" s="232"/>
      <c r="S899" s="394">
        <v>262076</v>
      </c>
      <c r="T899" s="232">
        <v>-11337</v>
      </c>
      <c r="U899" s="398">
        <v>250739</v>
      </c>
      <c r="V899" s="232"/>
      <c r="W899" s="398">
        <v>2358099</v>
      </c>
      <c r="X899" s="398">
        <v>-833227</v>
      </c>
      <c r="Y899" s="398"/>
      <c r="Z899" s="398"/>
    </row>
    <row r="900" spans="1:26" customFormat="1">
      <c r="A900" s="392">
        <v>99717</v>
      </c>
      <c r="B900" s="393" t="s">
        <v>1598</v>
      </c>
      <c r="C900" s="235">
        <v>1.7900000000000001E-5</v>
      </c>
      <c r="D900" s="235">
        <v>1.6099999999999998E-5</v>
      </c>
      <c r="E900" s="232">
        <v>27451</v>
      </c>
      <c r="F900" s="232" t="s">
        <v>1930</v>
      </c>
      <c r="G900" s="394">
        <v>8733</v>
      </c>
      <c r="H900" s="394">
        <v>0</v>
      </c>
      <c r="I900" s="394">
        <v>17246</v>
      </c>
      <c r="J900" s="232">
        <v>4179</v>
      </c>
      <c r="K900" s="232">
        <v>30158</v>
      </c>
      <c r="L900" s="232"/>
      <c r="M900" s="302">
        <v>0</v>
      </c>
      <c r="N900" s="302">
        <v>39220</v>
      </c>
      <c r="O900" s="302">
        <v>0</v>
      </c>
      <c r="P900" s="232">
        <v>9068</v>
      </c>
      <c r="Q900" s="232">
        <v>48288</v>
      </c>
      <c r="R900" s="232"/>
      <c r="S900" s="394">
        <v>11843</v>
      </c>
      <c r="T900" s="232">
        <v>-3864</v>
      </c>
      <c r="U900" s="398">
        <v>7979</v>
      </c>
      <c r="V900" s="232"/>
      <c r="W900" s="398">
        <v>106564</v>
      </c>
      <c r="X900" s="398">
        <v>-37654</v>
      </c>
      <c r="Y900" s="398"/>
      <c r="Z900" s="398"/>
    </row>
    <row r="901" spans="1:26" customFormat="1">
      <c r="A901" s="392">
        <v>99721</v>
      </c>
      <c r="B901" s="393" t="s">
        <v>1599</v>
      </c>
      <c r="C901" s="235">
        <v>5.8679999999999995E-4</v>
      </c>
      <c r="D901" s="235">
        <v>5.8069999999999997E-4</v>
      </c>
      <c r="E901" s="232">
        <v>899914</v>
      </c>
      <c r="F901" s="232" t="s">
        <v>1930</v>
      </c>
      <c r="G901" s="394">
        <v>286295</v>
      </c>
      <c r="H901" s="394">
        <v>0</v>
      </c>
      <c r="I901" s="394">
        <v>565376</v>
      </c>
      <c r="J901" s="232">
        <v>12086</v>
      </c>
      <c r="K901" s="232">
        <v>863757</v>
      </c>
      <c r="L901" s="232"/>
      <c r="M901" s="302">
        <v>0</v>
      </c>
      <c r="N901" s="302">
        <v>1285707</v>
      </c>
      <c r="O901" s="302">
        <v>0</v>
      </c>
      <c r="P901" s="232">
        <v>30872</v>
      </c>
      <c r="Q901" s="232">
        <v>1316579</v>
      </c>
      <c r="R901" s="232"/>
      <c r="S901" s="394">
        <v>388252</v>
      </c>
      <c r="T901" s="232">
        <v>-22288</v>
      </c>
      <c r="U901" s="398">
        <v>365964</v>
      </c>
      <c r="V901" s="232"/>
      <c r="W901" s="398">
        <v>3493392</v>
      </c>
      <c r="X901" s="398">
        <v>-1234379</v>
      </c>
      <c r="Y901" s="398"/>
      <c r="Z901" s="398"/>
    </row>
    <row r="902" spans="1:26" customFormat="1">
      <c r="A902" s="392">
        <v>99727</v>
      </c>
      <c r="B902" s="393" t="s">
        <v>1600</v>
      </c>
      <c r="C902" s="235">
        <v>1.84E-5</v>
      </c>
      <c r="D902" s="235">
        <v>1.6200000000000001E-5</v>
      </c>
      <c r="E902" s="232">
        <v>28218</v>
      </c>
      <c r="F902" s="232" t="s">
        <v>1930</v>
      </c>
      <c r="G902" s="394">
        <v>8977</v>
      </c>
      <c r="H902" s="394">
        <v>0</v>
      </c>
      <c r="I902" s="394">
        <v>17728</v>
      </c>
      <c r="J902" s="232">
        <v>30422</v>
      </c>
      <c r="K902" s="232">
        <v>57127</v>
      </c>
      <c r="L902" s="232"/>
      <c r="M902" s="302">
        <v>0</v>
      </c>
      <c r="N902" s="302">
        <v>40315</v>
      </c>
      <c r="O902" s="302">
        <v>0</v>
      </c>
      <c r="P902" s="232">
        <v>0</v>
      </c>
      <c r="Q902" s="232">
        <v>40315</v>
      </c>
      <c r="R902" s="232"/>
      <c r="S902" s="394">
        <v>12174</v>
      </c>
      <c r="T902" s="232">
        <v>24306</v>
      </c>
      <c r="U902" s="398">
        <v>36480</v>
      </c>
      <c r="V902" s="232"/>
      <c r="W902" s="398">
        <v>109541</v>
      </c>
      <c r="X902" s="398">
        <v>-38706</v>
      </c>
      <c r="Y902" s="398"/>
      <c r="Z902" s="398"/>
    </row>
    <row r="903" spans="1:26" customFormat="1">
      <c r="A903" s="392">
        <v>99801</v>
      </c>
      <c r="B903" s="393" t="s">
        <v>1601</v>
      </c>
      <c r="C903" s="235">
        <v>4.6610999999999996E-3</v>
      </c>
      <c r="D903" s="235">
        <v>4.6778000000000002E-3</v>
      </c>
      <c r="E903" s="232">
        <v>7148244</v>
      </c>
      <c r="F903" s="232" t="s">
        <v>1930</v>
      </c>
      <c r="G903" s="394">
        <v>2274113</v>
      </c>
      <c r="H903" s="394">
        <v>0</v>
      </c>
      <c r="I903" s="394">
        <v>4490923</v>
      </c>
      <c r="J903" s="232">
        <v>0</v>
      </c>
      <c r="K903" s="232">
        <v>6765036</v>
      </c>
      <c r="L903" s="232"/>
      <c r="M903" s="302">
        <v>0</v>
      </c>
      <c r="N903" s="302">
        <v>10212694</v>
      </c>
      <c r="O903" s="302">
        <v>0</v>
      </c>
      <c r="P903" s="232">
        <v>443192</v>
      </c>
      <c r="Q903" s="232">
        <v>10655886</v>
      </c>
      <c r="R903" s="232"/>
      <c r="S903" s="394">
        <v>3083980</v>
      </c>
      <c r="T903" s="232">
        <v>-255620</v>
      </c>
      <c r="U903" s="398">
        <v>2828360</v>
      </c>
      <c r="V903" s="232"/>
      <c r="W903" s="398">
        <v>27748889</v>
      </c>
      <c r="X903" s="398">
        <v>-9804983</v>
      </c>
      <c r="Y903" s="398"/>
      <c r="Z903" s="398"/>
    </row>
    <row r="904" spans="1:26" customFormat="1">
      <c r="A904" s="392">
        <v>99802</v>
      </c>
      <c r="B904" s="393" t="s">
        <v>1602</v>
      </c>
      <c r="C904" s="235">
        <v>1.0900000000000001E-5</v>
      </c>
      <c r="D904" s="235">
        <v>1.13E-5</v>
      </c>
      <c r="E904" s="232">
        <v>16716</v>
      </c>
      <c r="F904" s="232" t="s">
        <v>1930</v>
      </c>
      <c r="G904" s="394">
        <v>5318</v>
      </c>
      <c r="H904" s="394">
        <v>0</v>
      </c>
      <c r="I904" s="394">
        <v>10502</v>
      </c>
      <c r="J904" s="232">
        <v>2678</v>
      </c>
      <c r="K904" s="232">
        <v>18498</v>
      </c>
      <c r="L904" s="232"/>
      <c r="M904" s="302">
        <v>0</v>
      </c>
      <c r="N904" s="302">
        <v>23882</v>
      </c>
      <c r="O904" s="302">
        <v>0</v>
      </c>
      <c r="P904" s="232">
        <v>1408</v>
      </c>
      <c r="Q904" s="232">
        <v>25290</v>
      </c>
      <c r="R904" s="232"/>
      <c r="S904" s="394">
        <v>7212</v>
      </c>
      <c r="T904" s="232">
        <v>1772</v>
      </c>
      <c r="U904" s="398">
        <v>8984</v>
      </c>
      <c r="V904" s="232"/>
      <c r="W904" s="398">
        <v>64891</v>
      </c>
      <c r="X904" s="398">
        <v>-22929</v>
      </c>
      <c r="Y904" s="398"/>
      <c r="Z904" s="398"/>
    </row>
    <row r="905" spans="1:26" customFormat="1">
      <c r="A905" s="392">
        <v>99804</v>
      </c>
      <c r="B905" s="393" t="s">
        <v>1603</v>
      </c>
      <c r="C905" s="235">
        <v>8.8300000000000005E-5</v>
      </c>
      <c r="D905" s="235">
        <v>7.3200000000000004E-5</v>
      </c>
      <c r="E905" s="232">
        <v>135417</v>
      </c>
      <c r="F905" s="232" t="s">
        <v>1930</v>
      </c>
      <c r="G905" s="394">
        <v>43081</v>
      </c>
      <c r="H905" s="394">
        <v>0</v>
      </c>
      <c r="I905" s="394">
        <v>85076</v>
      </c>
      <c r="J905" s="232">
        <v>49377</v>
      </c>
      <c r="K905" s="232">
        <v>177534</v>
      </c>
      <c r="L905" s="232"/>
      <c r="M905" s="302">
        <v>0</v>
      </c>
      <c r="N905" s="302">
        <v>193470</v>
      </c>
      <c r="O905" s="302">
        <v>0</v>
      </c>
      <c r="P905" s="232">
        <v>33</v>
      </c>
      <c r="Q905" s="232">
        <v>193503</v>
      </c>
      <c r="R905" s="232"/>
      <c r="S905" s="394">
        <v>58423</v>
      </c>
      <c r="T905" s="232">
        <v>19796</v>
      </c>
      <c r="U905" s="398">
        <v>78219</v>
      </c>
      <c r="V905" s="232"/>
      <c r="W905" s="398">
        <v>525676</v>
      </c>
      <c r="X905" s="398">
        <v>-185746</v>
      </c>
      <c r="Y905" s="398"/>
      <c r="Z905" s="398"/>
    </row>
    <row r="906" spans="1:26" customFormat="1">
      <c r="A906" s="392">
        <v>99811</v>
      </c>
      <c r="B906" s="393" t="s">
        <v>1604</v>
      </c>
      <c r="C906" s="235">
        <v>6.2027999999999996E-3</v>
      </c>
      <c r="D906" s="235">
        <v>6.3816000000000003E-3</v>
      </c>
      <c r="E906" s="232">
        <v>9512589</v>
      </c>
      <c r="F906" s="232" t="s">
        <v>1930</v>
      </c>
      <c r="G906" s="394">
        <v>3026296</v>
      </c>
      <c r="H906" s="394">
        <v>0</v>
      </c>
      <c r="I906" s="394">
        <v>5976336</v>
      </c>
      <c r="J906" s="232">
        <v>0</v>
      </c>
      <c r="K906" s="232">
        <v>9002632</v>
      </c>
      <c r="L906" s="232"/>
      <c r="M906" s="302">
        <v>0</v>
      </c>
      <c r="N906" s="302">
        <v>13590633</v>
      </c>
      <c r="O906" s="302">
        <v>0</v>
      </c>
      <c r="P906" s="232">
        <v>584168</v>
      </c>
      <c r="Q906" s="232">
        <v>14174801</v>
      </c>
      <c r="R906" s="232"/>
      <c r="S906" s="394">
        <v>4104033</v>
      </c>
      <c r="T906" s="232">
        <v>-328514</v>
      </c>
      <c r="U906" s="398">
        <v>3775519</v>
      </c>
      <c r="V906" s="232"/>
      <c r="W906" s="398">
        <v>36927080</v>
      </c>
      <c r="X906" s="398">
        <v>-13048067</v>
      </c>
      <c r="Y906" s="398"/>
      <c r="Z906" s="398"/>
    </row>
    <row r="907" spans="1:26" customFormat="1">
      <c r="A907" s="392">
        <v>99812</v>
      </c>
      <c r="B907" s="393" t="s">
        <v>1605</v>
      </c>
      <c r="C907" s="235">
        <v>1.77E-5</v>
      </c>
      <c r="D907" s="235">
        <v>1.6900000000000001E-5</v>
      </c>
      <c r="E907" s="232">
        <v>27145</v>
      </c>
      <c r="F907" s="232" t="s">
        <v>1930</v>
      </c>
      <c r="G907" s="394">
        <v>8636</v>
      </c>
      <c r="H907" s="394">
        <v>0</v>
      </c>
      <c r="I907" s="394">
        <v>17054</v>
      </c>
      <c r="J907" s="232">
        <v>28290</v>
      </c>
      <c r="K907" s="232">
        <v>53980</v>
      </c>
      <c r="L907" s="232"/>
      <c r="M907" s="302">
        <v>0</v>
      </c>
      <c r="N907" s="302">
        <v>38782</v>
      </c>
      <c r="O907" s="302">
        <v>0</v>
      </c>
      <c r="P907" s="232">
        <v>0</v>
      </c>
      <c r="Q907" s="232">
        <v>38782</v>
      </c>
      <c r="R907" s="232"/>
      <c r="S907" s="394">
        <v>11711</v>
      </c>
      <c r="T907" s="232">
        <v>13979</v>
      </c>
      <c r="U907" s="398">
        <v>25690</v>
      </c>
      <c r="V907" s="232"/>
      <c r="W907" s="398">
        <v>105373</v>
      </c>
      <c r="X907" s="398">
        <v>-37233</v>
      </c>
      <c r="Y907" s="398"/>
      <c r="Z907" s="398"/>
    </row>
    <row r="908" spans="1:26" customFormat="1">
      <c r="A908" s="392">
        <v>99818</v>
      </c>
      <c r="B908" s="393" t="s">
        <v>1606</v>
      </c>
      <c r="C908" s="235">
        <v>2.4600000000000002E-5</v>
      </c>
      <c r="D908" s="235">
        <v>4.7500000000000003E-5</v>
      </c>
      <c r="E908" s="232">
        <v>37726</v>
      </c>
      <c r="F908" s="232" t="s">
        <v>1930</v>
      </c>
      <c r="G908" s="394">
        <v>12002</v>
      </c>
      <c r="H908" s="394">
        <v>0</v>
      </c>
      <c r="I908" s="394">
        <v>23702</v>
      </c>
      <c r="J908" s="232">
        <v>5832</v>
      </c>
      <c r="K908" s="232">
        <v>41536</v>
      </c>
      <c r="L908" s="232"/>
      <c r="M908" s="302">
        <v>0</v>
      </c>
      <c r="N908" s="302">
        <v>53900</v>
      </c>
      <c r="O908" s="302">
        <v>0</v>
      </c>
      <c r="P908" s="232">
        <v>40725</v>
      </c>
      <c r="Q908" s="232">
        <v>94625</v>
      </c>
      <c r="R908" s="232"/>
      <c r="S908" s="394">
        <v>16276</v>
      </c>
      <c r="T908" s="232">
        <v>-11965</v>
      </c>
      <c r="U908" s="398">
        <v>4311</v>
      </c>
      <c r="V908" s="232"/>
      <c r="W908" s="398">
        <v>146451</v>
      </c>
      <c r="X908" s="398">
        <v>-51748</v>
      </c>
      <c r="Y908" s="398"/>
      <c r="Z908" s="398"/>
    </row>
    <row r="909" spans="1:26" customFormat="1">
      <c r="A909" s="392">
        <v>99821</v>
      </c>
      <c r="B909" s="393" t="s">
        <v>1607</v>
      </c>
      <c r="C909" s="235">
        <v>1.089E-4</v>
      </c>
      <c r="D909" s="235">
        <v>8.81E-5</v>
      </c>
      <c r="E909" s="232">
        <v>167009</v>
      </c>
      <c r="F909" s="232" t="s">
        <v>1930</v>
      </c>
      <c r="G909" s="394">
        <v>53131</v>
      </c>
      <c r="H909" s="394">
        <v>0</v>
      </c>
      <c r="I909" s="394">
        <v>104924</v>
      </c>
      <c r="J909" s="232">
        <v>38928</v>
      </c>
      <c r="K909" s="232">
        <v>196983</v>
      </c>
      <c r="L909" s="232"/>
      <c r="M909" s="302">
        <v>0</v>
      </c>
      <c r="N909" s="302">
        <v>238605</v>
      </c>
      <c r="O909" s="302">
        <v>0</v>
      </c>
      <c r="P909" s="232">
        <v>4240</v>
      </c>
      <c r="Q909" s="232">
        <v>242845</v>
      </c>
      <c r="R909" s="232"/>
      <c r="S909" s="394">
        <v>72053</v>
      </c>
      <c r="T909" s="232">
        <v>15058</v>
      </c>
      <c r="U909" s="398">
        <v>87111</v>
      </c>
      <c r="V909" s="232"/>
      <c r="W909" s="398">
        <v>648313</v>
      </c>
      <c r="X909" s="398">
        <v>-229080</v>
      </c>
      <c r="Y909" s="398"/>
      <c r="Z909" s="398"/>
    </row>
    <row r="910" spans="1:26" customFormat="1">
      <c r="A910" s="392">
        <v>99831</v>
      </c>
      <c r="B910" s="393" t="s">
        <v>1608</v>
      </c>
      <c r="C910" s="235">
        <v>3.3500000000000001E-5</v>
      </c>
      <c r="D910" s="235">
        <v>5.5899999999999997E-5</v>
      </c>
      <c r="E910" s="232">
        <v>51375</v>
      </c>
      <c r="F910" s="232" t="s">
        <v>1930</v>
      </c>
      <c r="G910" s="394">
        <v>16344</v>
      </c>
      <c r="H910" s="394">
        <v>0</v>
      </c>
      <c r="I910" s="394">
        <v>32277</v>
      </c>
      <c r="J910" s="232">
        <v>5512</v>
      </c>
      <c r="K910" s="232">
        <v>54133</v>
      </c>
      <c r="L910" s="232"/>
      <c r="M910" s="302">
        <v>0</v>
      </c>
      <c r="N910" s="302">
        <v>73400</v>
      </c>
      <c r="O910" s="302">
        <v>0</v>
      </c>
      <c r="P910" s="232">
        <v>31650</v>
      </c>
      <c r="Q910" s="232">
        <v>105050</v>
      </c>
      <c r="R910" s="232"/>
      <c r="S910" s="394">
        <v>22165</v>
      </c>
      <c r="T910" s="232">
        <v>-7908</v>
      </c>
      <c r="U910" s="398">
        <v>14257</v>
      </c>
      <c r="V910" s="232"/>
      <c r="W910" s="398">
        <v>199435</v>
      </c>
      <c r="X910" s="398">
        <v>-70470</v>
      </c>
      <c r="Y910" s="398"/>
      <c r="Z910" s="398"/>
    </row>
    <row r="911" spans="1:26" customFormat="1">
      <c r="A911" s="392">
        <v>99841</v>
      </c>
      <c r="B911" s="393" t="s">
        <v>1609</v>
      </c>
      <c r="C911" s="235">
        <v>5.5099999999999998E-5</v>
      </c>
      <c r="D911" s="235">
        <v>5.0500000000000001E-5</v>
      </c>
      <c r="E911" s="232">
        <v>84501</v>
      </c>
      <c r="F911" s="232" t="s">
        <v>1930</v>
      </c>
      <c r="G911" s="394">
        <v>26883</v>
      </c>
      <c r="H911" s="394">
        <v>0</v>
      </c>
      <c r="I911" s="394">
        <v>53088</v>
      </c>
      <c r="J911" s="232">
        <v>37765</v>
      </c>
      <c r="K911" s="232">
        <v>117736</v>
      </c>
      <c r="L911" s="232"/>
      <c r="M911" s="302">
        <v>0</v>
      </c>
      <c r="N911" s="302">
        <v>120727</v>
      </c>
      <c r="O911" s="302">
        <v>0</v>
      </c>
      <c r="P911" s="232">
        <v>6004</v>
      </c>
      <c r="Q911" s="232">
        <v>126731</v>
      </c>
      <c r="R911" s="232"/>
      <c r="S911" s="394">
        <v>36456</v>
      </c>
      <c r="T911" s="232">
        <v>13226</v>
      </c>
      <c r="U911" s="398">
        <v>49682</v>
      </c>
      <c r="V911" s="232"/>
      <c r="W911" s="398">
        <v>328026</v>
      </c>
      <c r="X911" s="398">
        <v>-115907</v>
      </c>
      <c r="Y911" s="398"/>
      <c r="Z911" s="398"/>
    </row>
    <row r="912" spans="1:26" customFormat="1">
      <c r="A912" s="392">
        <v>99851</v>
      </c>
      <c r="B912" s="393" t="s">
        <v>1610</v>
      </c>
      <c r="C912" s="235">
        <v>7.6000000000000001E-6</v>
      </c>
      <c r="D912" s="235">
        <v>7.5000000000000002E-6</v>
      </c>
      <c r="E912" s="232">
        <v>11655</v>
      </c>
      <c r="F912" s="232" t="s">
        <v>1930</v>
      </c>
      <c r="G912" s="394">
        <v>3708</v>
      </c>
      <c r="H912" s="394">
        <v>0</v>
      </c>
      <c r="I912" s="394">
        <v>7323</v>
      </c>
      <c r="J912" s="232">
        <v>0</v>
      </c>
      <c r="K912" s="232">
        <v>11031</v>
      </c>
      <c r="L912" s="232"/>
      <c r="M912" s="302">
        <v>0</v>
      </c>
      <c r="N912" s="302">
        <v>16652</v>
      </c>
      <c r="O912" s="302">
        <v>0</v>
      </c>
      <c r="P912" s="232">
        <v>7601</v>
      </c>
      <c r="Q912" s="232">
        <v>24253</v>
      </c>
      <c r="R912" s="232"/>
      <c r="S912" s="394">
        <v>5028</v>
      </c>
      <c r="T912" s="232">
        <v>-4498</v>
      </c>
      <c r="U912" s="398">
        <v>530</v>
      </c>
      <c r="V912" s="232"/>
      <c r="W912" s="398">
        <v>45245</v>
      </c>
      <c r="X912" s="398">
        <v>-15987</v>
      </c>
      <c r="Y912" s="398"/>
      <c r="Z912" s="398"/>
    </row>
    <row r="913" spans="1:26" customFormat="1">
      <c r="A913" s="392">
        <v>99901</v>
      </c>
      <c r="B913" s="393" t="s">
        <v>1611</v>
      </c>
      <c r="C913" s="235">
        <v>1.4748999999999999E-3</v>
      </c>
      <c r="D913" s="235">
        <v>1.5862999999999999E-3</v>
      </c>
      <c r="E913" s="232">
        <v>2261901</v>
      </c>
      <c r="F913" s="232" t="s">
        <v>1930</v>
      </c>
      <c r="G913" s="394">
        <v>719592</v>
      </c>
      <c r="H913" s="394">
        <v>0</v>
      </c>
      <c r="I913" s="394">
        <v>1421051</v>
      </c>
      <c r="J913" s="232">
        <v>0</v>
      </c>
      <c r="K913" s="232">
        <v>2140643</v>
      </c>
      <c r="L913" s="232"/>
      <c r="M913" s="302">
        <v>0</v>
      </c>
      <c r="N913" s="302">
        <v>3231577</v>
      </c>
      <c r="O913" s="302">
        <v>0</v>
      </c>
      <c r="P913" s="232">
        <v>240688</v>
      </c>
      <c r="Q913" s="232">
        <v>3472265</v>
      </c>
      <c r="R913" s="232"/>
      <c r="S913" s="394">
        <v>975856</v>
      </c>
      <c r="T913" s="232">
        <v>-94319</v>
      </c>
      <c r="U913" s="398">
        <v>881537</v>
      </c>
      <c r="V913" s="232"/>
      <c r="W913" s="398">
        <v>8780510</v>
      </c>
      <c r="X913" s="398">
        <v>-3102566</v>
      </c>
      <c r="Y913" s="398"/>
      <c r="Z913" s="398"/>
    </row>
    <row r="914" spans="1:26" customFormat="1">
      <c r="A914" s="392">
        <v>99911</v>
      </c>
      <c r="B914" s="393" t="s">
        <v>1612</v>
      </c>
      <c r="C914" s="235">
        <v>2.4499999999999999E-4</v>
      </c>
      <c r="D914" s="235">
        <v>2.4049999999999999E-4</v>
      </c>
      <c r="E914" s="232">
        <v>375731</v>
      </c>
      <c r="F914" s="232" t="s">
        <v>1930</v>
      </c>
      <c r="G914" s="394">
        <v>119534</v>
      </c>
      <c r="H914" s="394">
        <v>0</v>
      </c>
      <c r="I914" s="394">
        <v>236055</v>
      </c>
      <c r="J914" s="232">
        <v>52183</v>
      </c>
      <c r="K914" s="232">
        <v>407772</v>
      </c>
      <c r="L914" s="232"/>
      <c r="M914" s="302">
        <v>0</v>
      </c>
      <c r="N914" s="302">
        <v>536807</v>
      </c>
      <c r="O914" s="302">
        <v>0</v>
      </c>
      <c r="P914" s="232">
        <v>1739</v>
      </c>
      <c r="Q914" s="232">
        <v>538546</v>
      </c>
      <c r="R914" s="232"/>
      <c r="S914" s="394">
        <v>162102</v>
      </c>
      <c r="T914" s="232">
        <v>21746</v>
      </c>
      <c r="U914" s="398">
        <v>183848</v>
      </c>
      <c r="V914" s="232"/>
      <c r="W914" s="398">
        <v>1458557</v>
      </c>
      <c r="X914" s="398">
        <v>-515376</v>
      </c>
      <c r="Y914" s="398"/>
      <c r="Z914" s="398"/>
    </row>
    <row r="915" spans="1:26" customFormat="1" ht="32.25" customHeight="1">
      <c r="A915" s="392">
        <v>99921</v>
      </c>
      <c r="B915" s="302" t="s">
        <v>1613</v>
      </c>
      <c r="C915" s="235">
        <v>1.4080000000000001E-4</v>
      </c>
      <c r="D915" s="235">
        <v>1.484E-4</v>
      </c>
      <c r="E915" s="232">
        <v>215930</v>
      </c>
      <c r="F915" s="232" t="s">
        <v>1930</v>
      </c>
      <c r="G915" s="394">
        <v>68695</v>
      </c>
      <c r="H915" s="394">
        <v>0</v>
      </c>
      <c r="I915" s="394">
        <v>135659</v>
      </c>
      <c r="J915" s="232">
        <v>14572</v>
      </c>
      <c r="K915" s="232">
        <v>218926</v>
      </c>
      <c r="L915" s="232"/>
      <c r="M915" s="302">
        <v>0</v>
      </c>
      <c r="N915" s="302">
        <v>308500</v>
      </c>
      <c r="O915" s="302">
        <v>0</v>
      </c>
      <c r="P915" s="232">
        <v>21646</v>
      </c>
      <c r="Q915" s="232">
        <v>330146</v>
      </c>
      <c r="R915" s="232"/>
      <c r="S915" s="394">
        <v>93159</v>
      </c>
      <c r="T915" s="232">
        <v>-3646</v>
      </c>
      <c r="U915" s="398">
        <v>89513</v>
      </c>
      <c r="V915" s="232"/>
      <c r="W915" s="398">
        <v>838224</v>
      </c>
      <c r="X915" s="398">
        <v>-296184</v>
      </c>
      <c r="Y915" s="398"/>
      <c r="Z915" s="398"/>
    </row>
    <row r="916" spans="1:26">
      <c r="A916" s="392">
        <v>99931</v>
      </c>
      <c r="B916" t="s">
        <v>1614</v>
      </c>
      <c r="C916" s="235">
        <v>2.7399999999999999E-5</v>
      </c>
      <c r="D916" s="235">
        <v>2.4899999999999999E-5</v>
      </c>
      <c r="E916" s="232">
        <v>42021</v>
      </c>
      <c r="F916" s="232" t="s">
        <v>1930</v>
      </c>
      <c r="G916" s="394">
        <v>13368</v>
      </c>
      <c r="H916" s="394">
        <v>0</v>
      </c>
      <c r="I916" s="394">
        <v>26400</v>
      </c>
      <c r="J916" s="232">
        <v>8343</v>
      </c>
      <c r="K916" s="232">
        <v>48111</v>
      </c>
      <c r="L916" s="232"/>
      <c r="M916" s="302">
        <v>0</v>
      </c>
      <c r="N916" s="302">
        <v>60035</v>
      </c>
      <c r="O916" s="302">
        <v>0</v>
      </c>
      <c r="P916" s="232">
        <v>0</v>
      </c>
      <c r="Q916" s="232">
        <v>60035</v>
      </c>
      <c r="R916" s="232"/>
      <c r="S916" s="394">
        <v>18129</v>
      </c>
      <c r="T916" s="232">
        <v>2684</v>
      </c>
      <c r="U916" s="398">
        <v>20813</v>
      </c>
      <c r="V916" s="232"/>
      <c r="W916" s="398">
        <v>163120</v>
      </c>
      <c r="X916" s="398">
        <v>-57638</v>
      </c>
      <c r="Y916" s="398"/>
      <c r="Z916" s="398"/>
    </row>
    <row r="917" spans="1:26" customFormat="1">
      <c r="A917" s="392">
        <v>99941</v>
      </c>
      <c r="B917" t="s">
        <v>1615</v>
      </c>
      <c r="C917" s="235">
        <v>5.52E-5</v>
      </c>
      <c r="D917" s="235">
        <v>5.9200000000000002E-5</v>
      </c>
      <c r="E917" s="232">
        <v>84654</v>
      </c>
      <c r="F917" s="232" t="s">
        <v>1930</v>
      </c>
      <c r="G917" s="394">
        <v>26932</v>
      </c>
      <c r="H917" s="394">
        <v>0</v>
      </c>
      <c r="I917" s="394">
        <v>53185</v>
      </c>
      <c r="J917" s="232">
        <v>0</v>
      </c>
      <c r="K917" s="232">
        <v>80117</v>
      </c>
      <c r="L917" s="232"/>
      <c r="M917" s="302">
        <v>0</v>
      </c>
      <c r="N917" s="302">
        <v>120946</v>
      </c>
      <c r="O917" s="302">
        <v>0</v>
      </c>
      <c r="P917" s="232">
        <v>27499</v>
      </c>
      <c r="Q917" s="232">
        <v>148445</v>
      </c>
      <c r="R917" s="232"/>
      <c r="S917" s="394">
        <v>36523</v>
      </c>
      <c r="T917" s="232">
        <v>-13532</v>
      </c>
      <c r="U917" s="398">
        <v>22991</v>
      </c>
      <c r="V917" s="232"/>
      <c r="W917" s="398">
        <v>328622</v>
      </c>
      <c r="X917" s="398">
        <v>-116117</v>
      </c>
      <c r="Y917" s="398"/>
      <c r="Z917" s="398"/>
    </row>
    <row r="918" spans="1:26" customFormat="1">
      <c r="A918" s="392">
        <v>99991</v>
      </c>
      <c r="B918" t="s">
        <v>1616</v>
      </c>
      <c r="C918" s="235">
        <v>4.4989999999999999E-4</v>
      </c>
      <c r="D918" s="235">
        <v>4.4270000000000003E-4</v>
      </c>
      <c r="E918" s="232">
        <v>689965</v>
      </c>
      <c r="F918" s="232" t="s">
        <v>1930</v>
      </c>
      <c r="G918" s="394">
        <v>219503</v>
      </c>
      <c r="H918" s="394">
        <v>0</v>
      </c>
      <c r="I918" s="394">
        <v>433474</v>
      </c>
      <c r="J918" s="232">
        <v>25150</v>
      </c>
      <c r="K918" s="232">
        <v>678127</v>
      </c>
      <c r="L918" s="232"/>
      <c r="M918" s="302">
        <v>0</v>
      </c>
      <c r="N918" s="302">
        <v>985752</v>
      </c>
      <c r="O918" s="302">
        <v>0</v>
      </c>
      <c r="P918" s="232">
        <v>53800</v>
      </c>
      <c r="Q918" s="232">
        <v>1039552</v>
      </c>
      <c r="R918" s="232"/>
      <c r="S918" s="394">
        <v>297673</v>
      </c>
      <c r="T918" s="232">
        <v>-26380</v>
      </c>
      <c r="U918" s="398">
        <v>271293</v>
      </c>
      <c r="V918" s="232"/>
      <c r="W918" s="398">
        <v>2678386</v>
      </c>
      <c r="X918" s="398">
        <v>-946399</v>
      </c>
      <c r="Y918" s="398"/>
      <c r="Z918" s="398"/>
    </row>
    <row r="919" spans="1:26" customFormat="1">
      <c r="A919" s="379">
        <v>99999</v>
      </c>
      <c r="B919" t="s">
        <v>1617</v>
      </c>
      <c r="C919" s="235">
        <v>9.9799999999999997E-4</v>
      </c>
      <c r="D919" s="235">
        <v>1.0007E-3</v>
      </c>
      <c r="E919" s="232">
        <v>1530529</v>
      </c>
      <c r="F919" t="s">
        <v>1930</v>
      </c>
      <c r="G919" s="394">
        <v>486916</v>
      </c>
      <c r="H919" s="394">
        <v>0</v>
      </c>
      <c r="I919" s="394">
        <v>961563</v>
      </c>
      <c r="J919" s="232">
        <v>198824</v>
      </c>
      <c r="K919" s="232">
        <v>1647303</v>
      </c>
      <c r="L919" s="232"/>
      <c r="M919" s="302">
        <v>0</v>
      </c>
      <c r="N919" s="302">
        <v>2186666</v>
      </c>
      <c r="O919" s="302">
        <v>0</v>
      </c>
      <c r="P919" s="232">
        <v>0</v>
      </c>
      <c r="Q919" s="232">
        <v>2186666</v>
      </c>
      <c r="R919" s="232"/>
      <c r="S919" s="394">
        <v>660319</v>
      </c>
      <c r="T919" s="232">
        <v>97779</v>
      </c>
      <c r="U919" s="398">
        <v>758098</v>
      </c>
      <c r="W919" s="398">
        <v>5941385</v>
      </c>
      <c r="X919" s="398">
        <v>-2099370</v>
      </c>
    </row>
    <row r="920" spans="1:26" customFormat="1">
      <c r="A920" s="405" t="s">
        <v>692</v>
      </c>
      <c r="B920" s="406" t="s">
        <v>691</v>
      </c>
      <c r="C920" s="235">
        <v>0</v>
      </c>
      <c r="D920" s="235">
        <v>0</v>
      </c>
      <c r="E920" s="404">
        <v>0</v>
      </c>
      <c r="F920" s="404"/>
      <c r="G920" s="404">
        <v>0</v>
      </c>
      <c r="H920" s="404">
        <v>0</v>
      </c>
      <c r="I920" s="404">
        <v>0</v>
      </c>
      <c r="J920" s="404">
        <v>0</v>
      </c>
      <c r="K920" s="404">
        <v>0</v>
      </c>
      <c r="L920" s="404"/>
      <c r="M920" s="404">
        <v>0</v>
      </c>
      <c r="N920" s="400">
        <v>0</v>
      </c>
      <c r="O920" s="404">
        <v>0</v>
      </c>
      <c r="P920" s="404">
        <v>0</v>
      </c>
      <c r="Q920" s="404">
        <v>0</v>
      </c>
      <c r="R920" s="404"/>
      <c r="S920" s="404">
        <v>0</v>
      </c>
      <c r="T920" s="404">
        <v>0</v>
      </c>
      <c r="U920" s="404">
        <v>0</v>
      </c>
    </row>
    <row r="921" spans="1:26" customFormat="1">
      <c r="A921" s="405"/>
      <c r="B921" s="406"/>
      <c r="C921" s="235"/>
      <c r="D921" s="235"/>
      <c r="E921" s="404"/>
      <c r="F921" s="404"/>
      <c r="G921" s="404"/>
      <c r="H921" s="404"/>
      <c r="I921" s="404"/>
      <c r="J921" s="404"/>
      <c r="K921" s="404"/>
      <c r="L921" s="404"/>
      <c r="M921" s="404"/>
      <c r="N921" s="400"/>
      <c r="O921" s="404"/>
      <c r="P921" s="404"/>
      <c r="Q921" s="404"/>
      <c r="R921" s="404"/>
      <c r="S921" s="404"/>
      <c r="T921" s="404"/>
      <c r="U921" s="404"/>
    </row>
    <row r="922" spans="1:26" customFormat="1">
      <c r="A922" s="405"/>
      <c r="B922" s="406"/>
      <c r="C922" s="235"/>
      <c r="D922" s="235"/>
      <c r="E922" s="404"/>
      <c r="F922" s="404"/>
      <c r="G922" s="404"/>
      <c r="H922" s="404"/>
      <c r="I922" s="404"/>
      <c r="J922" s="404"/>
      <c r="K922" s="404"/>
      <c r="L922" s="404"/>
      <c r="M922" s="404"/>
      <c r="N922" s="400"/>
      <c r="O922" s="404"/>
      <c r="P922" s="404"/>
      <c r="Q922" s="404"/>
      <c r="R922" s="404"/>
      <c r="S922" s="404"/>
      <c r="T922" s="404"/>
      <c r="U922" s="404"/>
    </row>
    <row r="923" spans="1:26" customFormat="1">
      <c r="A923" s="405"/>
      <c r="B923" s="406"/>
      <c r="C923" s="235"/>
      <c r="D923" s="235"/>
      <c r="E923" s="404"/>
      <c r="F923" s="404"/>
      <c r="G923" s="404"/>
      <c r="H923" s="404"/>
      <c r="I923" s="404"/>
      <c r="J923" s="404"/>
      <c r="K923" s="404"/>
      <c r="L923" s="404"/>
      <c r="M923" s="404"/>
      <c r="N923" s="400"/>
      <c r="O923" s="404"/>
      <c r="P923" s="404"/>
      <c r="Q923" s="404"/>
      <c r="R923" s="404"/>
      <c r="S923" s="404"/>
      <c r="T923" s="404"/>
      <c r="U923" s="404"/>
    </row>
    <row r="924" spans="1:26" customFormat="1">
      <c r="A924" s="405"/>
      <c r="B924" s="406"/>
      <c r="C924" s="235"/>
      <c r="D924" s="235"/>
      <c r="E924" s="404"/>
      <c r="F924" s="404"/>
      <c r="G924" s="404"/>
      <c r="H924" s="404"/>
      <c r="I924" s="404"/>
      <c r="J924" s="404"/>
      <c r="K924" s="404"/>
      <c r="L924" s="404"/>
      <c r="M924" s="404"/>
      <c r="N924" s="400"/>
      <c r="O924" s="404"/>
      <c r="P924" s="404"/>
      <c r="Q924" s="404"/>
      <c r="R924" s="404"/>
      <c r="S924" s="404"/>
      <c r="T924" s="404"/>
      <c r="U924" s="404"/>
    </row>
    <row r="925" spans="1:26" customFormat="1">
      <c r="A925" s="405"/>
      <c r="B925" s="406"/>
      <c r="C925" s="235"/>
      <c r="D925" s="235"/>
      <c r="E925" s="404"/>
      <c r="F925" s="404"/>
      <c r="G925" s="404"/>
      <c r="H925" s="404"/>
      <c r="I925" s="404"/>
      <c r="J925" s="404"/>
      <c r="K925" s="404"/>
      <c r="L925" s="404"/>
      <c r="M925" s="404"/>
      <c r="N925" s="400"/>
      <c r="O925" s="404"/>
      <c r="P925" s="404"/>
      <c r="Q925" s="404"/>
      <c r="R925" s="404"/>
      <c r="S925" s="404"/>
      <c r="T925" s="404"/>
      <c r="U925" s="404"/>
    </row>
    <row r="926" spans="1:26" customFormat="1">
      <c r="A926" s="405"/>
      <c r="B926" s="406"/>
      <c r="C926" s="235"/>
      <c r="D926" s="235"/>
      <c r="E926" s="404"/>
      <c r="F926" s="404"/>
      <c r="G926" s="404"/>
      <c r="H926" s="404"/>
      <c r="I926" s="404"/>
      <c r="J926" s="404"/>
      <c r="K926" s="404"/>
      <c r="L926" s="404"/>
      <c r="M926" s="404"/>
      <c r="N926" s="400"/>
      <c r="O926" s="404"/>
      <c r="P926" s="404"/>
      <c r="Q926" s="404"/>
      <c r="R926" s="404"/>
      <c r="S926" s="404"/>
      <c r="T926" s="404"/>
      <c r="U926" s="404"/>
    </row>
    <row r="927" spans="1:26" customFormat="1">
      <c r="A927" s="405"/>
      <c r="B927" s="406"/>
      <c r="C927" s="235"/>
      <c r="D927" s="235"/>
      <c r="E927" s="404"/>
      <c r="F927" s="404"/>
      <c r="G927" s="404"/>
      <c r="H927" s="404"/>
      <c r="I927" s="404"/>
      <c r="J927" s="404"/>
      <c r="K927" s="404"/>
      <c r="L927" s="404"/>
      <c r="M927" s="404"/>
      <c r="N927" s="400"/>
      <c r="O927" s="404"/>
      <c r="P927" s="404"/>
      <c r="Q927" s="404"/>
      <c r="R927" s="404"/>
      <c r="S927" s="404"/>
      <c r="T927" s="404"/>
      <c r="U927" s="404"/>
    </row>
    <row r="928" spans="1:26" customFormat="1">
      <c r="A928" s="405"/>
      <c r="B928" s="406"/>
      <c r="C928" s="235"/>
      <c r="D928" s="235"/>
      <c r="E928" s="404"/>
      <c r="F928" s="404"/>
      <c r="G928" s="404"/>
      <c r="H928" s="404"/>
      <c r="I928" s="404"/>
      <c r="J928" s="404"/>
      <c r="K928" s="404"/>
      <c r="L928" s="404"/>
      <c r="M928" s="404"/>
      <c r="N928" s="400"/>
      <c r="O928" s="404"/>
      <c r="P928" s="404"/>
      <c r="Q928" s="404"/>
      <c r="R928" s="404"/>
      <c r="S928" s="404"/>
      <c r="T928" s="404"/>
      <c r="U928" s="404"/>
    </row>
    <row r="929" spans="1:21" customFormat="1">
      <c r="A929" s="405"/>
      <c r="B929" s="406"/>
      <c r="C929" s="235"/>
      <c r="D929" s="235"/>
      <c r="E929" s="404"/>
      <c r="F929" s="404"/>
      <c r="G929" s="404"/>
      <c r="H929" s="404"/>
      <c r="I929" s="404"/>
      <c r="J929" s="404"/>
      <c r="K929" s="404"/>
      <c r="L929" s="404"/>
      <c r="M929" s="404"/>
      <c r="N929" s="400"/>
      <c r="O929" s="404"/>
      <c r="P929" s="404"/>
      <c r="Q929" s="404"/>
      <c r="R929" s="404"/>
      <c r="S929" s="404"/>
      <c r="T929" s="404"/>
      <c r="U929" s="404"/>
    </row>
    <row r="930" spans="1:21" customFormat="1">
      <c r="A930" s="405"/>
      <c r="B930" s="406"/>
      <c r="C930" s="235"/>
      <c r="D930" s="235"/>
      <c r="E930" s="404"/>
      <c r="F930" s="404"/>
      <c r="G930" s="404"/>
      <c r="H930" s="404"/>
      <c r="I930" s="404"/>
      <c r="J930" s="404"/>
      <c r="K930" s="404"/>
      <c r="L930" s="404"/>
      <c r="M930" s="404"/>
      <c r="N930" s="400"/>
      <c r="O930" s="404"/>
      <c r="P930" s="404"/>
      <c r="Q930" s="404"/>
      <c r="R930" s="404"/>
      <c r="S930" s="404"/>
      <c r="T930" s="404"/>
      <c r="U930" s="404"/>
    </row>
    <row r="931" spans="1:21" customFormat="1">
      <c r="A931" s="405"/>
      <c r="B931" s="406"/>
      <c r="C931" s="235"/>
      <c r="D931" s="235"/>
      <c r="E931" s="404"/>
      <c r="F931" s="404"/>
      <c r="G931" s="404"/>
      <c r="H931" s="404"/>
      <c r="I931" s="404"/>
      <c r="J931" s="404"/>
      <c r="K931" s="404"/>
      <c r="L931" s="404"/>
      <c r="M931" s="404"/>
      <c r="N931" s="400"/>
      <c r="O931" s="404"/>
      <c r="P931" s="404"/>
      <c r="Q931" s="404"/>
      <c r="R931" s="404"/>
      <c r="S931" s="404"/>
      <c r="T931" s="404"/>
      <c r="U931" s="404"/>
    </row>
    <row r="932" spans="1:21" customFormat="1">
      <c r="A932" s="405"/>
      <c r="B932" s="406"/>
      <c r="C932" s="235"/>
      <c r="D932" s="235"/>
      <c r="E932" s="404"/>
      <c r="F932" s="404"/>
      <c r="G932" s="404"/>
      <c r="H932" s="404"/>
      <c r="I932" s="404"/>
      <c r="J932" s="404"/>
      <c r="K932" s="404"/>
      <c r="L932" s="404"/>
      <c r="M932" s="404"/>
      <c r="N932" s="400"/>
      <c r="O932" s="404"/>
      <c r="P932" s="404"/>
      <c r="Q932" s="404"/>
      <c r="R932" s="404"/>
      <c r="S932" s="404"/>
      <c r="T932" s="404"/>
      <c r="U932" s="404"/>
    </row>
    <row r="933" spans="1:21" customFormat="1">
      <c r="A933" s="405"/>
      <c r="B933" s="406"/>
      <c r="C933" s="235"/>
      <c r="D933" s="235"/>
      <c r="E933" s="404"/>
      <c r="F933" s="404"/>
      <c r="G933" s="404"/>
      <c r="H933" s="404"/>
      <c r="I933" s="404"/>
      <c r="J933" s="404"/>
      <c r="K933" s="404"/>
      <c r="L933" s="404"/>
      <c r="M933" s="404"/>
      <c r="N933" s="400"/>
      <c r="O933" s="404"/>
      <c r="P933" s="404"/>
      <c r="Q933" s="404"/>
      <c r="R933" s="404"/>
      <c r="S933" s="404"/>
      <c r="T933" s="404"/>
      <c r="U933" s="404"/>
    </row>
    <row r="934" spans="1:21" customFormat="1">
      <c r="A934" s="405"/>
      <c r="B934" s="406"/>
      <c r="C934" s="235"/>
      <c r="D934" s="235"/>
      <c r="E934" s="404"/>
      <c r="F934" s="404"/>
      <c r="G934" s="404"/>
      <c r="H934" s="404"/>
      <c r="I934" s="404"/>
      <c r="J934" s="404"/>
      <c r="K934" s="404"/>
      <c r="L934" s="404"/>
      <c r="M934" s="404"/>
      <c r="N934" s="400"/>
      <c r="O934" s="404"/>
      <c r="P934" s="404"/>
      <c r="Q934" s="404"/>
      <c r="R934" s="404"/>
      <c r="S934" s="404"/>
      <c r="T934" s="404"/>
      <c r="U934" s="404"/>
    </row>
    <row r="935" spans="1:21" customFormat="1">
      <c r="A935" s="405"/>
      <c r="B935" s="406"/>
      <c r="C935" s="235"/>
      <c r="D935" s="235"/>
      <c r="E935" s="404"/>
      <c r="F935" s="404"/>
      <c r="G935" s="404"/>
      <c r="H935" s="404"/>
      <c r="I935" s="404"/>
      <c r="J935" s="404"/>
      <c r="K935" s="404"/>
      <c r="L935" s="404"/>
      <c r="M935" s="404"/>
      <c r="N935" s="400"/>
      <c r="O935" s="404"/>
      <c r="P935" s="404"/>
      <c r="Q935" s="404"/>
      <c r="R935" s="404"/>
      <c r="S935" s="404"/>
      <c r="T935" s="404"/>
      <c r="U935" s="404"/>
    </row>
    <row r="936" spans="1:21" customFormat="1">
      <c r="A936" s="405"/>
      <c r="B936" s="406"/>
      <c r="C936" s="235"/>
      <c r="D936" s="235"/>
      <c r="E936" s="404"/>
      <c r="F936" s="404"/>
      <c r="G936" s="404"/>
      <c r="H936" s="404"/>
      <c r="I936" s="404"/>
      <c r="J936" s="404"/>
      <c r="K936" s="404"/>
      <c r="L936" s="404"/>
      <c r="M936" s="404"/>
      <c r="N936" s="400"/>
      <c r="O936" s="404"/>
      <c r="P936" s="404"/>
      <c r="Q936" s="404"/>
      <c r="R936" s="404"/>
      <c r="S936" s="404"/>
      <c r="T936" s="404"/>
      <c r="U936" s="404"/>
    </row>
    <row r="937" spans="1:21" customFormat="1">
      <c r="A937" s="405"/>
      <c r="B937" s="406"/>
      <c r="C937" s="235"/>
      <c r="D937" s="235"/>
      <c r="E937" s="404"/>
      <c r="F937" s="404"/>
      <c r="G937" s="404"/>
      <c r="H937" s="404"/>
      <c r="I937" s="404"/>
      <c r="J937" s="404"/>
      <c r="K937" s="404"/>
      <c r="L937" s="404"/>
      <c r="M937" s="404"/>
      <c r="N937" s="400"/>
      <c r="O937" s="404"/>
      <c r="P937" s="404"/>
      <c r="Q937" s="404"/>
      <c r="R937" s="404"/>
      <c r="S937" s="404"/>
      <c r="T937" s="404"/>
      <c r="U937" s="404"/>
    </row>
    <row r="938" spans="1:21" customFormat="1">
      <c r="A938" s="405"/>
      <c r="B938" s="406"/>
      <c r="C938" s="235"/>
      <c r="D938" s="235"/>
      <c r="E938" s="404"/>
      <c r="F938" s="404"/>
      <c r="G938" s="404"/>
      <c r="H938" s="404"/>
      <c r="I938" s="404"/>
      <c r="J938" s="404"/>
      <c r="K938" s="404"/>
      <c r="L938" s="404"/>
      <c r="M938" s="404"/>
      <c r="N938" s="400"/>
      <c r="O938" s="404"/>
      <c r="P938" s="404"/>
      <c r="Q938" s="404"/>
      <c r="R938" s="404"/>
      <c r="S938" s="404"/>
      <c r="T938" s="404"/>
      <c r="U938" s="404"/>
    </row>
    <row r="939" spans="1:21" customFormat="1">
      <c r="A939" s="405"/>
      <c r="B939" s="406"/>
      <c r="C939" s="235"/>
      <c r="D939" s="235"/>
      <c r="E939" s="404"/>
      <c r="F939" s="404"/>
      <c r="G939" s="404"/>
      <c r="H939" s="404"/>
      <c r="I939" s="404"/>
      <c r="J939" s="404"/>
      <c r="K939" s="404"/>
      <c r="L939" s="404"/>
      <c r="M939" s="404"/>
      <c r="N939" s="400"/>
      <c r="O939" s="404"/>
      <c r="P939" s="404"/>
      <c r="Q939" s="404"/>
      <c r="R939" s="404"/>
      <c r="S939" s="404"/>
      <c r="T939" s="404"/>
      <c r="U939" s="404"/>
    </row>
    <row r="940" spans="1:21" customFormat="1">
      <c r="A940" s="405"/>
      <c r="B940" s="406"/>
      <c r="C940" s="235"/>
      <c r="D940" s="235"/>
      <c r="E940" s="404"/>
      <c r="F940" s="404"/>
      <c r="G940" s="404"/>
      <c r="H940" s="404"/>
      <c r="I940" s="404"/>
      <c r="J940" s="404"/>
      <c r="K940" s="404"/>
      <c r="L940" s="404"/>
      <c r="M940" s="404"/>
      <c r="N940" s="400"/>
      <c r="O940" s="404"/>
      <c r="P940" s="404"/>
      <c r="Q940" s="404"/>
      <c r="R940" s="404"/>
      <c r="S940" s="404"/>
      <c r="T940" s="404"/>
      <c r="U940" s="404"/>
    </row>
    <row r="941" spans="1:21" customFormat="1">
      <c r="A941" s="405"/>
      <c r="B941" s="406"/>
      <c r="C941" s="235"/>
      <c r="D941" s="235"/>
      <c r="E941" s="404"/>
      <c r="F941" s="404"/>
      <c r="G941" s="404"/>
      <c r="H941" s="404"/>
      <c r="I941" s="404"/>
      <c r="J941" s="404"/>
      <c r="K941" s="404"/>
      <c r="L941" s="404"/>
      <c r="M941" s="404"/>
      <c r="N941" s="400"/>
      <c r="O941" s="404"/>
      <c r="P941" s="404"/>
      <c r="Q941" s="404"/>
      <c r="R941" s="404"/>
      <c r="S941" s="404"/>
      <c r="T941" s="404"/>
      <c r="U941" s="404"/>
    </row>
    <row r="942" spans="1:21" customFormat="1">
      <c r="A942" s="405"/>
      <c r="B942" s="406"/>
      <c r="C942" s="235"/>
      <c r="D942" s="235"/>
      <c r="E942" s="404"/>
      <c r="F942" s="404"/>
      <c r="G942" s="404"/>
      <c r="H942" s="404"/>
      <c r="I942" s="404"/>
      <c r="J942" s="404"/>
      <c r="K942" s="404"/>
      <c r="L942" s="404"/>
      <c r="M942" s="404"/>
      <c r="N942" s="400"/>
      <c r="O942" s="404"/>
      <c r="P942" s="404"/>
      <c r="Q942" s="404"/>
      <c r="R942" s="404"/>
      <c r="S942" s="404"/>
      <c r="T942" s="404"/>
      <c r="U942" s="404"/>
    </row>
    <row r="943" spans="1:21">
      <c r="A943" s="392"/>
      <c r="B943" s="393"/>
      <c r="C943" s="235"/>
      <c r="J943" s="389"/>
    </row>
    <row r="944" spans="1:21" s="402" customFormat="1">
      <c r="A944" s="400"/>
      <c r="B944" s="401" t="s">
        <v>3623</v>
      </c>
      <c r="C944" s="235"/>
      <c r="D944" s="235"/>
      <c r="E944" s="92"/>
      <c r="F944" s="92"/>
      <c r="G944" s="386"/>
      <c r="H944" s="94"/>
      <c r="I944" s="386"/>
      <c r="J944" s="389"/>
      <c r="K944" s="94"/>
      <c r="L944" s="386"/>
      <c r="M944" s="386"/>
      <c r="N944" s="386"/>
      <c r="O944" s="386"/>
      <c r="P944" s="386"/>
      <c r="Q944" s="94"/>
      <c r="R944" s="386"/>
      <c r="S944" s="386"/>
      <c r="T944" s="386"/>
      <c r="U944" s="386"/>
    </row>
    <row r="945" spans="1:17">
      <c r="B945" t="s">
        <v>691</v>
      </c>
      <c r="C945" s="254" t="s">
        <v>692</v>
      </c>
      <c r="J945" s="389"/>
    </row>
    <row r="946" spans="1:17">
      <c r="B946" t="s">
        <v>3777</v>
      </c>
      <c r="C946" s="254" t="s">
        <v>692</v>
      </c>
      <c r="J946" s="389"/>
    </row>
    <row r="947" spans="1:17">
      <c r="A947" s="392"/>
      <c r="B947" s="407" t="s">
        <v>2027</v>
      </c>
      <c r="C947" s="392">
        <v>96331</v>
      </c>
      <c r="D947" s="392"/>
      <c r="H947" s="302"/>
      <c r="J947" s="389"/>
      <c r="K947" s="302"/>
      <c r="Q947" s="302"/>
    </row>
    <row r="948" spans="1:17">
      <c r="A948" s="392"/>
      <c r="B948" s="407" t="s">
        <v>2028</v>
      </c>
      <c r="C948" s="392">
        <v>94611</v>
      </c>
      <c r="D948" s="392"/>
      <c r="H948" s="302"/>
      <c r="J948" s="390"/>
      <c r="K948" s="302"/>
      <c r="Q948" s="302"/>
    </row>
    <row r="949" spans="1:17">
      <c r="A949" s="392"/>
      <c r="B949" s="407" t="s">
        <v>1041</v>
      </c>
      <c r="C949" s="392">
        <v>93402</v>
      </c>
      <c r="D949" s="392"/>
      <c r="H949" s="302"/>
      <c r="J949" s="389"/>
      <c r="K949" s="302"/>
      <c r="Q949" s="302"/>
    </row>
    <row r="950" spans="1:17">
      <c r="A950" s="392"/>
      <c r="B950" s="407" t="s">
        <v>2499</v>
      </c>
      <c r="C950" s="392">
        <v>90151</v>
      </c>
      <c r="D950" s="395"/>
      <c r="H950" s="302"/>
      <c r="J950" s="389"/>
      <c r="K950" s="302"/>
      <c r="Q950" s="302"/>
    </row>
    <row r="951" spans="1:17">
      <c r="A951" s="392"/>
      <c r="B951" s="407" t="s">
        <v>1105</v>
      </c>
      <c r="C951" s="392">
        <v>94109</v>
      </c>
      <c r="D951" s="392"/>
      <c r="H951" s="302"/>
      <c r="J951" s="390"/>
      <c r="K951" s="302"/>
      <c r="Q951" s="302"/>
    </row>
    <row r="952" spans="1:17">
      <c r="A952" s="392"/>
      <c r="B952" s="407" t="s">
        <v>738</v>
      </c>
      <c r="C952" s="392">
        <v>90101</v>
      </c>
      <c r="D952" s="392"/>
      <c r="H952" s="302"/>
      <c r="J952" s="389"/>
      <c r="K952" s="302"/>
      <c r="Q952" s="302"/>
    </row>
    <row r="953" spans="1:17">
      <c r="A953" s="392"/>
      <c r="B953" s="407" t="s">
        <v>741</v>
      </c>
      <c r="C953" s="392">
        <v>90117</v>
      </c>
      <c r="D953" s="392"/>
      <c r="H953" s="302"/>
      <c r="J953" s="389"/>
      <c r="K953" s="302"/>
      <c r="Q953" s="302"/>
    </row>
    <row r="954" spans="1:17">
      <c r="A954" s="392"/>
      <c r="B954" s="407" t="s">
        <v>1948</v>
      </c>
      <c r="C954" s="392">
        <v>98411</v>
      </c>
      <c r="D954" s="392"/>
      <c r="H954" s="302"/>
      <c r="J954" s="389"/>
      <c r="K954" s="302"/>
      <c r="Q954" s="302"/>
    </row>
    <row r="955" spans="1:17">
      <c r="A955" s="392"/>
      <c r="B955" s="407" t="s">
        <v>1492</v>
      </c>
      <c r="C955" s="392">
        <v>98417</v>
      </c>
      <c r="D955" s="392"/>
      <c r="H955" s="302"/>
      <c r="J955" s="389"/>
      <c r="K955" s="302"/>
      <c r="Q955" s="302"/>
    </row>
    <row r="956" spans="1:17">
      <c r="A956" s="392"/>
      <c r="B956" s="407" t="s">
        <v>1350</v>
      </c>
      <c r="C956" s="392">
        <v>97008</v>
      </c>
      <c r="D956" s="392"/>
      <c r="H956" s="302"/>
      <c r="J956" s="389"/>
      <c r="K956" s="302"/>
      <c r="Q956" s="302"/>
    </row>
    <row r="957" spans="1:17">
      <c r="A957" s="392"/>
      <c r="B957" s="407" t="s">
        <v>1351</v>
      </c>
      <c r="C957" s="392">
        <v>97010</v>
      </c>
      <c r="D957" s="392"/>
      <c r="H957" s="302"/>
      <c r="J957" s="389"/>
      <c r="K957" s="302"/>
      <c r="Q957" s="302"/>
    </row>
    <row r="958" spans="1:17">
      <c r="A958" s="392"/>
      <c r="B958" s="407" t="s">
        <v>735</v>
      </c>
      <c r="C958" s="392">
        <v>90096</v>
      </c>
      <c r="D958" s="392"/>
      <c r="H958" s="302"/>
      <c r="J958" s="389"/>
      <c r="K958" s="302"/>
      <c r="Q958" s="302"/>
    </row>
    <row r="959" spans="1:17">
      <c r="A959" s="392"/>
      <c r="B959" s="407" t="s">
        <v>786</v>
      </c>
      <c r="C959" s="392">
        <v>90805</v>
      </c>
      <c r="D959" s="392"/>
      <c r="H959" s="302"/>
      <c r="J959" s="389"/>
      <c r="K959" s="302"/>
      <c r="Q959" s="302"/>
    </row>
    <row r="960" spans="1:17">
      <c r="A960" s="392"/>
      <c r="B960" s="407" t="s">
        <v>929</v>
      </c>
      <c r="C960" s="392">
        <v>92109</v>
      </c>
      <c r="D960" s="392"/>
      <c r="H960" s="302"/>
      <c r="J960" s="390"/>
      <c r="K960" s="302"/>
      <c r="Q960" s="302"/>
    </row>
    <row r="961" spans="1:17">
      <c r="A961" s="392"/>
      <c r="B961" s="407" t="s">
        <v>747</v>
      </c>
      <c r="C961" s="392">
        <v>90201</v>
      </c>
      <c r="D961" s="392"/>
      <c r="H961" s="302"/>
      <c r="J961" s="389"/>
      <c r="K961" s="302"/>
      <c r="Q961" s="302"/>
    </row>
    <row r="962" spans="1:17">
      <c r="A962" s="392"/>
      <c r="B962" s="407" t="s">
        <v>750</v>
      </c>
      <c r="C962" s="392">
        <v>90206</v>
      </c>
      <c r="D962" s="392"/>
      <c r="H962" s="302"/>
      <c r="J962" s="389"/>
      <c r="K962" s="302"/>
      <c r="Q962" s="302"/>
    </row>
    <row r="963" spans="1:17">
      <c r="A963" s="392"/>
      <c r="B963" s="407" t="s">
        <v>748</v>
      </c>
      <c r="C963" s="392">
        <v>90203</v>
      </c>
      <c r="D963" s="392"/>
      <c r="H963" s="302"/>
      <c r="J963" s="390"/>
      <c r="K963" s="302"/>
      <c r="Q963" s="302"/>
    </row>
    <row r="964" spans="1:17">
      <c r="A964" s="392"/>
      <c r="B964" s="407" t="s">
        <v>749</v>
      </c>
      <c r="C964" s="392">
        <v>90205</v>
      </c>
      <c r="D964" s="392"/>
      <c r="H964" s="302"/>
      <c r="J964" s="389"/>
      <c r="K964" s="302"/>
      <c r="Q964" s="302"/>
    </row>
    <row r="965" spans="1:17">
      <c r="A965" s="392"/>
      <c r="B965" s="407" t="s">
        <v>752</v>
      </c>
      <c r="C965" s="392">
        <v>90301</v>
      </c>
      <c r="D965" s="392"/>
      <c r="H965" s="302"/>
      <c r="J965" s="389"/>
      <c r="K965" s="302"/>
      <c r="Q965" s="302"/>
    </row>
    <row r="966" spans="1:17">
      <c r="A966" s="392"/>
      <c r="B966" s="407" t="s">
        <v>1024</v>
      </c>
      <c r="C966" s="392">
        <v>93209</v>
      </c>
      <c r="D966" s="392"/>
      <c r="H966" s="302"/>
      <c r="J966" s="389"/>
      <c r="K966" s="302"/>
      <c r="Q966" s="302"/>
    </row>
    <row r="967" spans="1:17">
      <c r="A967" s="392"/>
      <c r="B967" s="407" t="s">
        <v>2029</v>
      </c>
      <c r="C967" s="392">
        <v>92021</v>
      </c>
      <c r="D967" s="392"/>
      <c r="H967" s="302"/>
      <c r="J967" s="389"/>
      <c r="K967" s="302"/>
      <c r="Q967" s="302"/>
    </row>
    <row r="968" spans="1:17">
      <c r="A968" s="392"/>
      <c r="B968" s="407" t="s">
        <v>2030</v>
      </c>
      <c r="C968" s="392">
        <v>94351</v>
      </c>
      <c r="D968" s="392"/>
      <c r="H968" s="302"/>
      <c r="J968" s="389"/>
      <c r="K968" s="302"/>
      <c r="Q968" s="302"/>
    </row>
    <row r="969" spans="1:17">
      <c r="A969" s="392"/>
      <c r="B969" s="407" t="s">
        <v>2031</v>
      </c>
      <c r="C969" s="392">
        <v>94347</v>
      </c>
      <c r="D969" s="392"/>
      <c r="H969" s="302"/>
      <c r="J969" s="389"/>
      <c r="K969" s="302"/>
      <c r="Q969" s="302"/>
    </row>
    <row r="970" spans="1:17">
      <c r="A970" s="392"/>
      <c r="B970" s="407" t="s">
        <v>755</v>
      </c>
      <c r="C970" s="392">
        <v>90401</v>
      </c>
      <c r="D970" s="392"/>
      <c r="H970" s="302"/>
      <c r="J970" s="389"/>
      <c r="K970" s="302"/>
      <c r="Q970" s="302"/>
    </row>
    <row r="971" spans="1:17">
      <c r="A971" s="392"/>
      <c r="B971" s="407" t="s">
        <v>2032</v>
      </c>
      <c r="C971" s="392">
        <v>90451</v>
      </c>
      <c r="D971" s="392"/>
      <c r="H971" s="302"/>
      <c r="J971" s="389"/>
      <c r="K971" s="302"/>
      <c r="Q971" s="302"/>
    </row>
    <row r="972" spans="1:17">
      <c r="A972" s="392"/>
      <c r="B972" s="407" t="s">
        <v>2033</v>
      </c>
      <c r="C972" s="392">
        <v>99271</v>
      </c>
      <c r="D972" s="392"/>
      <c r="H972" s="302"/>
      <c r="J972" s="390"/>
      <c r="K972" s="302"/>
      <c r="Q972" s="302"/>
    </row>
    <row r="973" spans="1:17">
      <c r="A973" s="392"/>
      <c r="B973" s="407" t="s">
        <v>737</v>
      </c>
      <c r="C973" s="392">
        <v>90099</v>
      </c>
      <c r="D973" s="392"/>
      <c r="H973" s="302"/>
      <c r="J973" s="389"/>
      <c r="K973" s="302"/>
      <c r="Q973" s="302"/>
    </row>
    <row r="974" spans="1:17">
      <c r="A974" s="392"/>
      <c r="B974" s="407" t="s">
        <v>1596</v>
      </c>
      <c r="C974" s="392">
        <v>99705</v>
      </c>
      <c r="D974" s="392"/>
      <c r="H974" s="302"/>
      <c r="J974" s="389"/>
      <c r="K974" s="302"/>
      <c r="Q974" s="302"/>
    </row>
    <row r="975" spans="1:17">
      <c r="A975" s="392"/>
      <c r="B975" s="407" t="s">
        <v>1949</v>
      </c>
      <c r="C975" s="392">
        <v>97651</v>
      </c>
      <c r="D975" s="392"/>
      <c r="H975" s="302"/>
      <c r="J975" s="390"/>
      <c r="K975" s="302"/>
      <c r="Q975" s="302"/>
    </row>
    <row r="976" spans="1:17">
      <c r="A976" s="392"/>
      <c r="B976" s="407" t="s">
        <v>2034</v>
      </c>
      <c r="C976" s="392">
        <v>95106</v>
      </c>
      <c r="D976" s="392"/>
      <c r="H976" s="302"/>
      <c r="J976" s="389"/>
      <c r="K976" s="302"/>
      <c r="Q976" s="302"/>
    </row>
    <row r="977" spans="1:17">
      <c r="A977" s="392"/>
      <c r="B977" s="407" t="s">
        <v>764</v>
      </c>
      <c r="C977" s="392">
        <v>90501</v>
      </c>
      <c r="D977" s="392"/>
      <c r="H977" s="302"/>
      <c r="J977" s="389"/>
      <c r="K977" s="302"/>
      <c r="Q977" s="302"/>
    </row>
    <row r="978" spans="1:17">
      <c r="A978" s="392"/>
      <c r="B978" s="407" t="s">
        <v>1950</v>
      </c>
      <c r="C978" s="392">
        <v>97611</v>
      </c>
      <c r="D978" s="392"/>
      <c r="H978" s="302"/>
      <c r="J978" s="389"/>
      <c r="K978" s="302"/>
      <c r="Q978" s="302"/>
    </row>
    <row r="979" spans="1:17">
      <c r="A979" s="392"/>
      <c r="B979" s="407" t="s">
        <v>1393</v>
      </c>
      <c r="C979" s="392">
        <v>97607</v>
      </c>
      <c r="D979" s="392"/>
      <c r="H979" s="302"/>
      <c r="J979" s="389"/>
      <c r="K979" s="302"/>
      <c r="Q979" s="302"/>
    </row>
    <row r="980" spans="1:17">
      <c r="A980" s="392"/>
      <c r="B980" s="407" t="s">
        <v>2753</v>
      </c>
      <c r="C980" s="392">
        <v>97613</v>
      </c>
      <c r="D980" s="392"/>
      <c r="H980" s="302"/>
      <c r="J980" s="389"/>
      <c r="K980" s="302"/>
      <c r="Q980" s="302"/>
    </row>
    <row r="981" spans="1:17">
      <c r="A981" s="392"/>
      <c r="B981" s="407" t="s">
        <v>1951</v>
      </c>
      <c r="C981" s="392">
        <v>91121</v>
      </c>
      <c r="D981" s="392"/>
      <c r="H981" s="302"/>
      <c r="J981" s="389"/>
      <c r="K981" s="302"/>
      <c r="Q981" s="302"/>
    </row>
    <row r="982" spans="1:17">
      <c r="A982" s="392"/>
      <c r="B982" s="407" t="s">
        <v>838</v>
      </c>
      <c r="C982" s="392">
        <v>91127</v>
      </c>
      <c r="D982" s="392"/>
      <c r="H982" s="302"/>
      <c r="J982" s="389"/>
      <c r="K982" s="302"/>
      <c r="Q982" s="302"/>
    </row>
    <row r="983" spans="1:17">
      <c r="A983" s="392"/>
      <c r="B983" s="407" t="s">
        <v>839</v>
      </c>
      <c r="C983" s="392">
        <v>91128</v>
      </c>
      <c r="D983" s="392"/>
      <c r="H983" s="302"/>
      <c r="J983" s="389"/>
      <c r="K983" s="302"/>
      <c r="Q983" s="302"/>
    </row>
    <row r="984" spans="1:17">
      <c r="A984" s="392"/>
      <c r="B984" s="407" t="s">
        <v>2035</v>
      </c>
      <c r="C984" s="392">
        <v>91681</v>
      </c>
      <c r="D984" s="392"/>
      <c r="H984" s="302"/>
      <c r="J984" s="390"/>
      <c r="K984" s="302"/>
      <c r="Q984" s="302"/>
    </row>
    <row r="985" spans="1:17">
      <c r="A985" s="392"/>
      <c r="B985" s="407" t="s">
        <v>2036</v>
      </c>
      <c r="C985" s="392">
        <v>90811</v>
      </c>
      <c r="D985" s="392"/>
      <c r="H985" s="302"/>
      <c r="J985" s="389"/>
      <c r="K985" s="302"/>
      <c r="Q985" s="302"/>
    </row>
    <row r="986" spans="1:17">
      <c r="A986" s="392"/>
      <c r="B986" s="407" t="s">
        <v>2038</v>
      </c>
      <c r="C986" s="392">
        <v>90721</v>
      </c>
      <c r="D986" s="392"/>
      <c r="H986" s="302"/>
      <c r="J986" s="389"/>
      <c r="K986" s="302"/>
      <c r="Q986" s="302"/>
    </row>
    <row r="987" spans="1:17">
      <c r="A987" s="392"/>
      <c r="B987" s="407" t="s">
        <v>2037</v>
      </c>
      <c r="C987" s="392">
        <v>98271</v>
      </c>
      <c r="D987" s="392"/>
      <c r="H987" s="302"/>
      <c r="J987" s="390"/>
      <c r="K987" s="302"/>
      <c r="Q987" s="302"/>
    </row>
    <row r="988" spans="1:17">
      <c r="A988" s="392"/>
      <c r="B988" s="407" t="s">
        <v>767</v>
      </c>
      <c r="C988" s="392">
        <v>90601</v>
      </c>
      <c r="D988" s="392"/>
      <c r="H988" s="302"/>
      <c r="J988" s="389"/>
      <c r="K988" s="302"/>
      <c r="Q988" s="302"/>
    </row>
    <row r="989" spans="1:17">
      <c r="A989" s="392"/>
      <c r="B989" s="407" t="s">
        <v>259</v>
      </c>
      <c r="C989" s="392">
        <v>90602</v>
      </c>
      <c r="D989" s="392"/>
      <c r="H989" s="302"/>
      <c r="J989" s="389"/>
      <c r="K989" s="302"/>
      <c r="Q989" s="302"/>
    </row>
    <row r="990" spans="1:17">
      <c r="A990" s="392"/>
      <c r="B990" s="407" t="s">
        <v>768</v>
      </c>
      <c r="C990" s="392">
        <v>90605</v>
      </c>
      <c r="D990" s="392"/>
      <c r="H990" s="302"/>
      <c r="J990" s="389"/>
      <c r="K990" s="302"/>
      <c r="Q990" s="302"/>
    </row>
    <row r="991" spans="1:17">
      <c r="A991" s="392"/>
      <c r="B991" s="407" t="s">
        <v>2039</v>
      </c>
      <c r="C991" s="392">
        <v>97461</v>
      </c>
      <c r="D991" s="392"/>
      <c r="H991" s="302"/>
      <c r="J991" s="389"/>
      <c r="K991" s="302"/>
      <c r="Q991" s="302"/>
    </row>
    <row r="992" spans="1:17">
      <c r="A992" s="392"/>
      <c r="B992" s="407" t="s">
        <v>1384</v>
      </c>
      <c r="C992" s="392">
        <v>97463</v>
      </c>
      <c r="D992" s="392"/>
      <c r="H992" s="302"/>
      <c r="J992" s="389"/>
      <c r="K992" s="302"/>
      <c r="Q992" s="302"/>
    </row>
    <row r="993" spans="1:17">
      <c r="A993" s="392"/>
      <c r="B993" s="407" t="s">
        <v>777</v>
      </c>
      <c r="C993" s="392">
        <v>90705</v>
      </c>
      <c r="D993" s="392"/>
      <c r="H993" s="302"/>
      <c r="J993" s="389"/>
      <c r="K993" s="302"/>
      <c r="Q993" s="302"/>
    </row>
    <row r="994" spans="1:17">
      <c r="A994" s="392"/>
      <c r="B994" s="407" t="s">
        <v>2040</v>
      </c>
      <c r="C994" s="392">
        <v>98451</v>
      </c>
      <c r="D994" s="392"/>
      <c r="H994" s="302"/>
      <c r="J994" s="389"/>
      <c r="K994" s="302"/>
      <c r="Q994" s="302"/>
    </row>
    <row r="995" spans="1:17">
      <c r="A995" s="392"/>
      <c r="B995" s="407" t="s">
        <v>2041</v>
      </c>
      <c r="C995" s="392">
        <v>96451</v>
      </c>
      <c r="D995" s="392"/>
      <c r="H995" s="302"/>
      <c r="J995" s="389"/>
      <c r="K995" s="302"/>
      <c r="Q995" s="302"/>
    </row>
    <row r="996" spans="1:17">
      <c r="A996" s="392"/>
      <c r="B996" s="407" t="s">
        <v>2042</v>
      </c>
      <c r="C996" s="392">
        <v>96121</v>
      </c>
      <c r="D996" s="392"/>
      <c r="H996" s="302"/>
      <c r="J996" s="390"/>
      <c r="K996" s="302"/>
      <c r="Q996" s="302"/>
    </row>
    <row r="997" spans="1:17">
      <c r="A997" s="392"/>
      <c r="B997" s="407" t="s">
        <v>2500</v>
      </c>
      <c r="C997" s="392">
        <v>91091</v>
      </c>
      <c r="D997" s="392"/>
      <c r="H997" s="302"/>
      <c r="J997" s="389"/>
      <c r="K997" s="302"/>
      <c r="Q997" s="302"/>
    </row>
    <row r="998" spans="1:17">
      <c r="A998" s="392"/>
      <c r="B998" s="407" t="s">
        <v>2043</v>
      </c>
      <c r="C998" s="392">
        <v>90611</v>
      </c>
      <c r="D998" s="392"/>
      <c r="H998" s="302"/>
      <c r="J998" s="389"/>
      <c r="K998" s="302"/>
      <c r="Q998" s="302"/>
    </row>
    <row r="999" spans="1:17">
      <c r="A999" s="392"/>
      <c r="B999" s="407" t="s">
        <v>1345</v>
      </c>
      <c r="C999" s="392">
        <v>96918</v>
      </c>
      <c r="D999" s="392"/>
      <c r="H999" s="302"/>
      <c r="J999" s="390"/>
      <c r="K999" s="302"/>
      <c r="Q999" s="302"/>
    </row>
    <row r="1000" spans="1:17">
      <c r="A1000" s="392"/>
      <c r="B1000" s="407" t="s">
        <v>2044</v>
      </c>
      <c r="C1000" s="392">
        <v>96911</v>
      </c>
      <c r="D1000" s="392"/>
      <c r="H1000" s="302"/>
      <c r="J1000" s="389"/>
      <c r="K1000" s="302"/>
      <c r="Q1000" s="302"/>
    </row>
    <row r="1001" spans="1:17">
      <c r="A1001" s="392"/>
      <c r="B1001" s="407" t="s">
        <v>1547</v>
      </c>
      <c r="C1001" s="392">
        <v>99208</v>
      </c>
      <c r="D1001" s="392"/>
      <c r="H1001" s="302"/>
      <c r="J1001" s="389"/>
      <c r="K1001" s="302"/>
      <c r="Q1001" s="302"/>
    </row>
    <row r="1002" spans="1:17">
      <c r="A1002" s="392"/>
      <c r="B1002" s="407" t="s">
        <v>2045</v>
      </c>
      <c r="C1002" s="392">
        <v>91631</v>
      </c>
      <c r="D1002" s="392"/>
      <c r="H1002" s="302"/>
      <c r="J1002" s="389"/>
      <c r="K1002" s="302"/>
      <c r="Q1002" s="302"/>
    </row>
    <row r="1003" spans="1:17">
      <c r="A1003" s="392"/>
      <c r="B1003" s="407" t="s">
        <v>775</v>
      </c>
      <c r="C1003" s="392">
        <v>90701</v>
      </c>
      <c r="D1003" s="392"/>
      <c r="H1003" s="302"/>
      <c r="J1003" s="389"/>
      <c r="K1003" s="302"/>
      <c r="Q1003" s="302"/>
    </row>
    <row r="1004" spans="1:17">
      <c r="A1004" s="392"/>
      <c r="B1004" s="407" t="s">
        <v>776</v>
      </c>
      <c r="C1004" s="392">
        <v>90704</v>
      </c>
      <c r="D1004" s="392"/>
      <c r="H1004" s="302"/>
      <c r="J1004" s="389"/>
      <c r="K1004" s="302"/>
      <c r="Q1004" s="302"/>
    </row>
    <row r="1005" spans="1:17">
      <c r="A1005" s="392"/>
      <c r="B1005" s="407" t="s">
        <v>2756</v>
      </c>
      <c r="C1005" s="392">
        <v>91633</v>
      </c>
      <c r="D1005" s="392"/>
      <c r="H1005" s="302"/>
      <c r="J1005" s="389"/>
      <c r="K1005" s="302"/>
      <c r="Q1005" s="302"/>
    </row>
    <row r="1006" spans="1:17">
      <c r="A1006" s="392"/>
      <c r="B1006" s="407" t="s">
        <v>2046</v>
      </c>
      <c r="C1006" s="392">
        <v>90631</v>
      </c>
      <c r="D1006" s="392"/>
      <c r="H1006" s="302"/>
      <c r="J1006" s="389"/>
      <c r="K1006" s="302"/>
      <c r="Q1006" s="302"/>
    </row>
    <row r="1007" spans="1:17">
      <c r="A1007" s="392"/>
      <c r="B1007" s="407" t="s">
        <v>2047</v>
      </c>
      <c r="C1007" s="392">
        <v>90731</v>
      </c>
      <c r="D1007" s="392"/>
      <c r="H1007" s="302"/>
      <c r="J1007" s="389"/>
      <c r="K1007" s="302"/>
      <c r="Q1007" s="302"/>
    </row>
    <row r="1008" spans="1:17">
      <c r="A1008" s="392"/>
      <c r="B1008" s="407" t="s">
        <v>1952</v>
      </c>
      <c r="C1008" s="392">
        <v>93621</v>
      </c>
      <c r="D1008" s="392"/>
      <c r="H1008" s="302"/>
      <c r="J1008" s="390"/>
      <c r="K1008" s="302"/>
      <c r="Q1008" s="302"/>
    </row>
    <row r="1009" spans="1:17">
      <c r="A1009" s="392"/>
      <c r="B1009" s="407" t="s">
        <v>1070</v>
      </c>
      <c r="C1009" s="392">
        <v>93623</v>
      </c>
      <c r="D1009" s="392"/>
      <c r="H1009" s="302"/>
      <c r="J1009" s="389"/>
      <c r="K1009" s="302"/>
      <c r="Q1009" s="302"/>
    </row>
    <row r="1010" spans="1:17">
      <c r="A1010" s="392"/>
      <c r="B1010" s="407" t="s">
        <v>2048</v>
      </c>
      <c r="C1010" s="392">
        <v>91020</v>
      </c>
      <c r="D1010" s="392"/>
      <c r="H1010" s="302"/>
      <c r="J1010" s="389"/>
      <c r="K1010" s="302"/>
      <c r="Q1010" s="302"/>
    </row>
    <row r="1011" spans="1:17">
      <c r="A1011" s="392"/>
      <c r="B1011" s="407" t="s">
        <v>2049</v>
      </c>
      <c r="C1011" s="392">
        <v>95141</v>
      </c>
      <c r="D1011" s="392"/>
      <c r="H1011" s="302"/>
      <c r="J1011" s="390"/>
      <c r="K1011" s="302"/>
      <c r="Q1011" s="302"/>
    </row>
    <row r="1012" spans="1:17">
      <c r="A1012" s="392"/>
      <c r="B1012" s="407" t="s">
        <v>1190</v>
      </c>
      <c r="C1012" s="392">
        <v>95103</v>
      </c>
      <c r="D1012" s="392"/>
      <c r="H1012" s="302"/>
      <c r="J1012" s="389"/>
      <c r="K1012" s="302"/>
      <c r="Q1012" s="302"/>
    </row>
    <row r="1013" spans="1:17">
      <c r="A1013" s="392"/>
      <c r="B1013" s="407" t="s">
        <v>2050</v>
      </c>
      <c r="C1013" s="392">
        <v>93021</v>
      </c>
      <c r="D1013" s="392"/>
      <c r="H1013" s="302"/>
      <c r="J1013" s="389"/>
      <c r="K1013" s="302"/>
      <c r="Q1013" s="302"/>
    </row>
    <row r="1014" spans="1:17">
      <c r="A1014" s="392"/>
      <c r="B1014" s="407" t="s">
        <v>784</v>
      </c>
      <c r="C1014" s="392">
        <v>90801</v>
      </c>
      <c r="D1014" s="392"/>
      <c r="H1014" s="302"/>
      <c r="J1014" s="389"/>
      <c r="K1014" s="302"/>
      <c r="Q1014" s="302"/>
    </row>
    <row r="1015" spans="1:17">
      <c r="A1015" s="392"/>
      <c r="B1015" s="407" t="s">
        <v>785</v>
      </c>
      <c r="C1015" s="392">
        <v>90804</v>
      </c>
      <c r="D1015" s="392"/>
      <c r="H1015" s="302"/>
      <c r="J1015" s="389"/>
      <c r="K1015" s="302"/>
      <c r="Q1015" s="302"/>
    </row>
    <row r="1016" spans="1:17">
      <c r="A1016" s="392"/>
      <c r="B1016" s="407" t="s">
        <v>787</v>
      </c>
      <c r="C1016" s="392">
        <v>90808</v>
      </c>
      <c r="D1016" s="392"/>
      <c r="H1016" s="302"/>
      <c r="J1016" s="389"/>
      <c r="K1016" s="302"/>
      <c r="Q1016" s="302"/>
    </row>
    <row r="1017" spans="1:17">
      <c r="A1017" s="392"/>
      <c r="B1017" s="407" t="s">
        <v>1076</v>
      </c>
      <c r="C1017" s="392">
        <v>93671</v>
      </c>
      <c r="D1017" s="392"/>
      <c r="H1017" s="302"/>
      <c r="J1017" s="390"/>
      <c r="K1017" s="302"/>
      <c r="Q1017" s="302"/>
    </row>
    <row r="1018" spans="1:17">
      <c r="A1018" s="392"/>
      <c r="B1018" s="407" t="s">
        <v>2776</v>
      </c>
      <c r="C1018" s="392">
        <v>93677</v>
      </c>
      <c r="D1018" s="392"/>
      <c r="H1018" s="302"/>
      <c r="J1018" s="389"/>
      <c r="K1018" s="302"/>
      <c r="Q1018" s="302"/>
    </row>
    <row r="1019" spans="1:17">
      <c r="A1019" s="392"/>
      <c r="B1019" s="407" t="s">
        <v>2051</v>
      </c>
      <c r="C1019" s="392">
        <v>97441</v>
      </c>
      <c r="D1019" s="392"/>
      <c r="H1019" s="302"/>
      <c r="J1019" s="389"/>
      <c r="K1019" s="302"/>
      <c r="Q1019" s="302"/>
    </row>
    <row r="1020" spans="1:17">
      <c r="A1020" s="392"/>
      <c r="B1020" s="407" t="s">
        <v>2052</v>
      </c>
      <c r="C1020" s="392">
        <v>93111</v>
      </c>
      <c r="D1020" s="392"/>
      <c r="H1020" s="302"/>
      <c r="J1020" s="389"/>
      <c r="K1020" s="302"/>
      <c r="Q1020" s="302"/>
    </row>
    <row r="1021" spans="1:17">
      <c r="A1021" s="392"/>
      <c r="B1021" s="407" t="s">
        <v>2053</v>
      </c>
      <c r="C1021" s="392">
        <v>91111</v>
      </c>
      <c r="D1021" s="392"/>
      <c r="H1021" s="302"/>
      <c r="J1021" s="389"/>
      <c r="K1021" s="302"/>
      <c r="Q1021" s="302"/>
    </row>
    <row r="1022" spans="1:17">
      <c r="A1022" s="392"/>
      <c r="B1022" s="407" t="s">
        <v>2054</v>
      </c>
      <c r="C1022" s="392">
        <v>96231</v>
      </c>
      <c r="D1022" s="392"/>
      <c r="H1022" s="302"/>
      <c r="J1022" s="389"/>
      <c r="K1022" s="302"/>
      <c r="Q1022" s="302"/>
    </row>
    <row r="1023" spans="1:17">
      <c r="A1023" s="392"/>
      <c r="B1023" s="407" t="s">
        <v>2055</v>
      </c>
      <c r="C1023" s="392">
        <v>99831</v>
      </c>
      <c r="D1023" s="392"/>
      <c r="H1023" s="302"/>
      <c r="J1023" s="389"/>
      <c r="K1023" s="302"/>
      <c r="Q1023" s="302"/>
    </row>
    <row r="1024" spans="1:17">
      <c r="A1024" s="392"/>
      <c r="B1024" s="407" t="s">
        <v>2056</v>
      </c>
      <c r="C1024" s="392">
        <v>91151</v>
      </c>
      <c r="D1024" s="392"/>
      <c r="H1024" s="302"/>
      <c r="J1024" s="389"/>
      <c r="K1024" s="302"/>
      <c r="Q1024" s="302"/>
    </row>
    <row r="1025" spans="1:17">
      <c r="A1025" s="392"/>
      <c r="B1025" s="407" t="s">
        <v>844</v>
      </c>
      <c r="C1025" s="392">
        <v>91154</v>
      </c>
      <c r="D1025" s="392"/>
      <c r="H1025" s="302"/>
      <c r="J1025" s="389"/>
      <c r="K1025" s="302"/>
      <c r="Q1025" s="302"/>
    </row>
    <row r="1026" spans="1:17">
      <c r="A1026" s="392"/>
      <c r="B1026" s="407" t="s">
        <v>792</v>
      </c>
      <c r="C1026" s="392">
        <v>90901</v>
      </c>
      <c r="D1026" s="392"/>
      <c r="H1026" s="302"/>
      <c r="J1026" s="390"/>
      <c r="K1026" s="302"/>
      <c r="Q1026" s="302"/>
    </row>
    <row r="1027" spans="1:17">
      <c r="A1027" s="392"/>
      <c r="B1027" s="407" t="s">
        <v>2057</v>
      </c>
      <c r="C1027" s="392">
        <v>90941</v>
      </c>
      <c r="D1027" s="392"/>
      <c r="H1027" s="302"/>
      <c r="J1027" s="389"/>
      <c r="K1027" s="302"/>
      <c r="Q1027" s="302"/>
    </row>
    <row r="1028" spans="1:17">
      <c r="A1028" s="392"/>
      <c r="B1028" s="407" t="s">
        <v>2058</v>
      </c>
      <c r="C1028" s="392">
        <v>99521</v>
      </c>
      <c r="D1028" s="392"/>
      <c r="H1028" s="302"/>
      <c r="J1028" s="389"/>
      <c r="K1028" s="302"/>
      <c r="Q1028" s="302"/>
    </row>
    <row r="1029" spans="1:17">
      <c r="A1029" s="392"/>
      <c r="B1029" s="407" t="s">
        <v>1580</v>
      </c>
      <c r="C1029" s="392">
        <v>99527</v>
      </c>
      <c r="D1029" s="392"/>
      <c r="H1029" s="302"/>
      <c r="J1029" s="390"/>
      <c r="K1029" s="302"/>
      <c r="Q1029" s="302"/>
    </row>
    <row r="1030" spans="1:17">
      <c r="A1030" s="392"/>
      <c r="B1030" s="407" t="s">
        <v>1576</v>
      </c>
      <c r="C1030" s="392">
        <v>99508</v>
      </c>
      <c r="D1030" s="392"/>
      <c r="H1030" s="302"/>
      <c r="J1030" s="389"/>
      <c r="K1030" s="302"/>
      <c r="Q1030" s="302"/>
    </row>
    <row r="1031" spans="1:17">
      <c r="A1031" s="392"/>
      <c r="B1031" s="407" t="s">
        <v>1156</v>
      </c>
      <c r="C1031" s="392">
        <v>94532</v>
      </c>
      <c r="D1031" s="392"/>
      <c r="H1031" s="302"/>
      <c r="J1031" s="389"/>
      <c r="K1031" s="302"/>
      <c r="Q1031" s="302"/>
    </row>
    <row r="1032" spans="1:17">
      <c r="A1032" s="392"/>
      <c r="B1032" s="407" t="s">
        <v>1953</v>
      </c>
      <c r="C1032" s="392">
        <v>91071</v>
      </c>
      <c r="D1032" s="392"/>
      <c r="H1032" s="302"/>
      <c r="J1032" s="389"/>
      <c r="K1032" s="302"/>
      <c r="Q1032" s="302"/>
    </row>
    <row r="1033" spans="1:17">
      <c r="A1033" s="392"/>
      <c r="B1033" s="407" t="s">
        <v>826</v>
      </c>
      <c r="C1033" s="392">
        <v>91077</v>
      </c>
      <c r="D1033" s="392"/>
      <c r="H1033" s="302"/>
      <c r="J1033" s="389"/>
      <c r="K1033" s="302"/>
      <c r="Q1033" s="302"/>
    </row>
    <row r="1034" spans="1:17">
      <c r="A1034" s="392"/>
      <c r="B1034" s="407" t="s">
        <v>2059</v>
      </c>
      <c r="C1034" s="392">
        <v>92331</v>
      </c>
      <c r="D1034" s="392"/>
      <c r="H1034" s="302"/>
      <c r="J1034" s="389"/>
      <c r="K1034" s="302"/>
      <c r="Q1034" s="302"/>
    </row>
    <row r="1035" spans="1:17">
      <c r="A1035" s="392"/>
      <c r="B1035" s="407" t="s">
        <v>2060</v>
      </c>
      <c r="C1035" s="392">
        <v>92414</v>
      </c>
      <c r="D1035" s="392"/>
      <c r="H1035" s="302"/>
      <c r="J1035" s="389"/>
      <c r="K1035" s="302"/>
      <c r="Q1035" s="302"/>
    </row>
    <row r="1036" spans="1:17">
      <c r="A1036" s="392"/>
      <c r="B1036" s="407" t="s">
        <v>2061</v>
      </c>
      <c r="C1036" s="392">
        <v>99511</v>
      </c>
      <c r="D1036" s="392"/>
      <c r="H1036" s="302"/>
      <c r="J1036" s="389"/>
      <c r="K1036" s="302"/>
      <c r="Q1036" s="302"/>
    </row>
    <row r="1037" spans="1:17">
      <c r="A1037" s="392"/>
      <c r="B1037" s="407" t="s">
        <v>2062</v>
      </c>
      <c r="C1037" s="392">
        <v>99941</v>
      </c>
      <c r="D1037" s="392"/>
      <c r="H1037" s="302"/>
      <c r="J1037" s="389"/>
      <c r="K1037" s="302"/>
      <c r="Q1037" s="302"/>
    </row>
    <row r="1038" spans="1:17">
      <c r="A1038" s="392"/>
      <c r="B1038" s="407" t="s">
        <v>1298</v>
      </c>
      <c r="C1038" s="392">
        <v>96405</v>
      </c>
      <c r="D1038" s="392"/>
      <c r="H1038" s="302"/>
      <c r="J1038" s="390"/>
      <c r="K1038" s="302"/>
      <c r="Q1038" s="302"/>
    </row>
    <row r="1039" spans="1:17">
      <c r="A1039" s="392"/>
      <c r="B1039" s="407" t="s">
        <v>1954</v>
      </c>
      <c r="C1039" s="392">
        <v>98811</v>
      </c>
      <c r="D1039" s="392"/>
      <c r="H1039" s="302"/>
      <c r="J1039" s="389"/>
      <c r="K1039" s="302"/>
      <c r="Q1039" s="302"/>
    </row>
    <row r="1040" spans="1:17">
      <c r="A1040" s="392"/>
      <c r="B1040" s="407" t="s">
        <v>1518</v>
      </c>
      <c r="C1040" s="392">
        <v>98817</v>
      </c>
      <c r="D1040" s="392"/>
      <c r="H1040" s="302"/>
      <c r="J1040" s="389"/>
      <c r="K1040" s="302"/>
      <c r="Q1040" s="302"/>
    </row>
    <row r="1041" spans="1:17">
      <c r="A1041" s="392"/>
      <c r="B1041" s="407" t="s">
        <v>2063</v>
      </c>
      <c r="C1041" s="392">
        <v>92561</v>
      </c>
      <c r="D1041" s="392"/>
      <c r="H1041" s="302"/>
      <c r="J1041" s="390"/>
      <c r="K1041" s="302"/>
      <c r="Q1041" s="302"/>
    </row>
    <row r="1042" spans="1:17">
      <c r="A1042" s="392"/>
      <c r="B1042" s="407" t="s">
        <v>1459</v>
      </c>
      <c r="C1042" s="392">
        <v>98102</v>
      </c>
      <c r="D1042" s="392"/>
      <c r="H1042" s="302"/>
      <c r="J1042" s="389"/>
      <c r="K1042" s="302"/>
      <c r="Q1042" s="302"/>
    </row>
    <row r="1043" spans="1:17">
      <c r="A1043" s="392"/>
      <c r="B1043" s="407" t="s">
        <v>2064</v>
      </c>
      <c r="C1043" s="392">
        <v>95321</v>
      </c>
      <c r="D1043" s="392"/>
      <c r="H1043" s="302"/>
      <c r="J1043" s="389"/>
      <c r="K1043" s="302"/>
      <c r="Q1043" s="302"/>
    </row>
    <row r="1044" spans="1:17">
      <c r="A1044" s="392"/>
      <c r="B1044" s="407" t="s">
        <v>2065</v>
      </c>
      <c r="C1044" s="392">
        <v>91861</v>
      </c>
      <c r="D1044" s="392"/>
      <c r="H1044" s="302"/>
      <c r="J1044" s="389"/>
      <c r="K1044" s="302"/>
      <c r="Q1044" s="302"/>
    </row>
    <row r="1045" spans="1:17">
      <c r="A1045" s="392"/>
      <c r="B1045" s="407" t="s">
        <v>2066</v>
      </c>
      <c r="C1045" s="392">
        <v>92421</v>
      </c>
      <c r="D1045" s="392"/>
      <c r="H1045" s="302"/>
      <c r="J1045" s="389"/>
      <c r="K1045" s="302"/>
      <c r="Q1045" s="302"/>
    </row>
    <row r="1046" spans="1:17">
      <c r="A1046" s="392"/>
      <c r="B1046" s="407" t="s">
        <v>799</v>
      </c>
      <c r="C1046" s="392">
        <v>91001</v>
      </c>
      <c r="D1046" s="392"/>
      <c r="H1046" s="302"/>
      <c r="J1046" s="389"/>
      <c r="K1046" s="302"/>
      <c r="Q1046" s="302"/>
    </row>
    <row r="1047" spans="1:17">
      <c r="A1047" s="392"/>
      <c r="B1047" s="407" t="s">
        <v>802</v>
      </c>
      <c r="C1047" s="392">
        <v>91004</v>
      </c>
      <c r="D1047" s="392"/>
      <c r="H1047" s="302"/>
      <c r="J1047" s="389"/>
      <c r="K1047" s="302"/>
      <c r="Q1047" s="302"/>
    </row>
    <row r="1048" spans="1:17">
      <c r="A1048" s="392"/>
      <c r="B1048" s="407" t="s">
        <v>2777</v>
      </c>
      <c r="C1048" s="392">
        <v>91006</v>
      </c>
      <c r="D1048" s="392"/>
      <c r="H1048" s="302"/>
      <c r="J1048" s="389"/>
      <c r="K1048" s="302"/>
      <c r="Q1048" s="302"/>
    </row>
    <row r="1049" spans="1:17">
      <c r="A1049" s="392"/>
      <c r="B1049" s="407" t="s">
        <v>2778</v>
      </c>
      <c r="C1049" s="392">
        <v>91003</v>
      </c>
      <c r="D1049" s="392"/>
      <c r="H1049" s="302"/>
      <c r="J1049" s="389"/>
      <c r="K1049" s="302"/>
      <c r="Q1049" s="302"/>
    </row>
    <row r="1050" spans="1:17">
      <c r="A1050" s="392"/>
      <c r="B1050" s="407" t="s">
        <v>806</v>
      </c>
      <c r="C1050" s="392">
        <v>91009</v>
      </c>
      <c r="D1050" s="392"/>
      <c r="H1050" s="302"/>
      <c r="J1050" s="390"/>
      <c r="K1050" s="302"/>
      <c r="Q1050" s="302"/>
    </row>
    <row r="1051" spans="1:17">
      <c r="A1051" s="392"/>
      <c r="B1051" s="407" t="s">
        <v>819</v>
      </c>
      <c r="C1051" s="392">
        <v>91042</v>
      </c>
      <c r="D1051" s="392"/>
      <c r="H1051" s="302"/>
      <c r="J1051" s="389"/>
      <c r="K1051" s="302"/>
      <c r="Q1051" s="302"/>
    </row>
    <row r="1052" spans="1:17">
      <c r="A1052" s="392"/>
      <c r="B1052" s="407" t="s">
        <v>2067</v>
      </c>
      <c r="C1052" s="392">
        <v>98711</v>
      </c>
      <c r="D1052" s="392"/>
      <c r="H1052" s="302"/>
      <c r="J1052" s="389"/>
      <c r="K1052" s="302"/>
      <c r="Q1052" s="302"/>
    </row>
    <row r="1053" spans="1:17">
      <c r="A1053" s="392"/>
      <c r="B1053" s="407" t="s">
        <v>1515</v>
      </c>
      <c r="C1053" s="392">
        <v>98717</v>
      </c>
      <c r="D1053" s="392"/>
      <c r="H1053" s="302"/>
      <c r="J1053" s="390"/>
      <c r="K1053" s="302"/>
      <c r="Q1053" s="302"/>
    </row>
    <row r="1054" spans="1:17">
      <c r="A1054" s="392"/>
      <c r="B1054" s="407" t="s">
        <v>829</v>
      </c>
      <c r="C1054" s="392">
        <v>91101</v>
      </c>
      <c r="D1054" s="392"/>
      <c r="H1054" s="302"/>
      <c r="J1054" s="389"/>
      <c r="K1054" s="302"/>
      <c r="Q1054" s="302"/>
    </row>
    <row r="1055" spans="1:17">
      <c r="A1055" s="392"/>
      <c r="B1055" s="407" t="s">
        <v>2068</v>
      </c>
      <c r="C1055" s="392">
        <v>93531</v>
      </c>
      <c r="D1055" s="392"/>
      <c r="H1055" s="302"/>
      <c r="J1055" s="389"/>
      <c r="K1055" s="302"/>
      <c r="Q1055" s="302"/>
    </row>
    <row r="1056" spans="1:17">
      <c r="A1056" s="392"/>
      <c r="B1056" s="407" t="s">
        <v>2751</v>
      </c>
      <c r="C1056" s="392">
        <v>93537</v>
      </c>
      <c r="D1056" s="392"/>
      <c r="H1056" s="302"/>
      <c r="J1056" s="389"/>
      <c r="K1056" s="302"/>
      <c r="Q1056" s="302"/>
    </row>
    <row r="1057" spans="1:17">
      <c r="A1057" s="392"/>
      <c r="B1057" s="407" t="s">
        <v>2069</v>
      </c>
      <c r="C1057" s="392">
        <v>97111</v>
      </c>
      <c r="D1057" s="392"/>
      <c r="H1057" s="302"/>
      <c r="J1057" s="389"/>
      <c r="K1057" s="302"/>
      <c r="Q1057" s="302"/>
    </row>
    <row r="1058" spans="1:17">
      <c r="A1058" s="392"/>
      <c r="B1058" s="407" t="s">
        <v>847</v>
      </c>
      <c r="C1058" s="392">
        <v>91201</v>
      </c>
      <c r="D1058" s="392"/>
      <c r="H1058" s="302"/>
      <c r="J1058" s="389"/>
      <c r="K1058" s="302"/>
      <c r="Q1058" s="302"/>
    </row>
    <row r="1059" spans="1:17">
      <c r="A1059" s="392"/>
      <c r="B1059" s="407" t="s">
        <v>2779</v>
      </c>
      <c r="C1059" s="392">
        <v>91206</v>
      </c>
      <c r="D1059" s="392"/>
      <c r="H1059" s="302"/>
      <c r="J1059" s="389"/>
      <c r="K1059" s="302"/>
      <c r="Q1059" s="302"/>
    </row>
    <row r="1060" spans="1:17">
      <c r="A1060" s="392"/>
      <c r="B1060" s="407" t="s">
        <v>2780</v>
      </c>
      <c r="C1060" s="392">
        <v>91203</v>
      </c>
      <c r="D1060" s="392"/>
      <c r="H1060" s="302"/>
      <c r="J1060" s="389"/>
      <c r="K1060" s="302"/>
      <c r="Q1060" s="302"/>
    </row>
    <row r="1061" spans="1:17">
      <c r="A1061" s="392"/>
      <c r="B1061" s="407" t="s">
        <v>851</v>
      </c>
      <c r="C1061" s="392">
        <v>91208</v>
      </c>
      <c r="D1061" s="392"/>
      <c r="H1061" s="302"/>
      <c r="J1061" s="389"/>
      <c r="K1061" s="302"/>
      <c r="Q1061" s="302"/>
    </row>
    <row r="1062" spans="1:17">
      <c r="A1062" s="392"/>
      <c r="B1062" s="407" t="s">
        <v>848</v>
      </c>
      <c r="C1062" s="392">
        <v>91202</v>
      </c>
      <c r="D1062" s="392"/>
      <c r="H1062" s="302"/>
      <c r="J1062" s="390"/>
      <c r="K1062" s="302"/>
      <c r="Q1062" s="302"/>
    </row>
    <row r="1063" spans="1:17">
      <c r="A1063" s="392"/>
      <c r="B1063" s="407" t="s">
        <v>1955</v>
      </c>
      <c r="C1063" s="392">
        <v>90111</v>
      </c>
      <c r="D1063" s="392"/>
      <c r="H1063" s="302"/>
      <c r="J1063" s="389"/>
      <c r="K1063" s="302"/>
      <c r="Q1063" s="302"/>
    </row>
    <row r="1064" spans="1:17">
      <c r="A1064" s="392"/>
      <c r="B1064" s="407" t="s">
        <v>2070</v>
      </c>
      <c r="C1064" s="392">
        <v>90011</v>
      </c>
      <c r="D1064" s="392"/>
      <c r="H1064" s="302"/>
      <c r="J1064" s="389"/>
      <c r="K1064" s="302"/>
      <c r="Q1064" s="302"/>
    </row>
    <row r="1065" spans="1:17">
      <c r="A1065" s="392"/>
      <c r="B1065" s="407" t="s">
        <v>2071</v>
      </c>
      <c r="C1065" s="392">
        <v>93931</v>
      </c>
      <c r="D1065" s="392"/>
      <c r="H1065" s="302"/>
      <c r="J1065" s="390"/>
      <c r="K1065" s="302"/>
      <c r="Q1065" s="302"/>
    </row>
    <row r="1066" spans="1:17">
      <c r="A1066" s="392"/>
      <c r="B1066" s="407" t="s">
        <v>862</v>
      </c>
      <c r="C1066" s="392">
        <v>91301</v>
      </c>
      <c r="D1066" s="392"/>
      <c r="H1066" s="302"/>
      <c r="J1066" s="389"/>
      <c r="K1066" s="302"/>
      <c r="Q1066" s="302"/>
    </row>
    <row r="1067" spans="1:17">
      <c r="A1067" s="392"/>
      <c r="B1067" s="407" t="s">
        <v>2781</v>
      </c>
      <c r="C1067" s="392">
        <v>91306</v>
      </c>
      <c r="D1067" s="392"/>
      <c r="H1067" s="302"/>
      <c r="J1067" s="389"/>
      <c r="K1067" s="302"/>
      <c r="Q1067" s="302"/>
    </row>
    <row r="1068" spans="1:17">
      <c r="A1068" s="392"/>
      <c r="B1068" s="407" t="s">
        <v>865</v>
      </c>
      <c r="C1068" s="392">
        <v>91308</v>
      </c>
      <c r="D1068" s="392"/>
      <c r="H1068" s="302"/>
      <c r="J1068" s="389"/>
      <c r="K1068" s="302"/>
      <c r="Q1068" s="302"/>
    </row>
    <row r="1069" spans="1:17">
      <c r="A1069" s="392"/>
      <c r="B1069" s="407" t="s">
        <v>2072</v>
      </c>
      <c r="C1069" s="392">
        <v>91461</v>
      </c>
      <c r="D1069" s="392"/>
      <c r="H1069" s="302"/>
      <c r="J1069" s="389"/>
      <c r="K1069" s="302"/>
      <c r="Q1069" s="302"/>
    </row>
    <row r="1070" spans="1:17">
      <c r="A1070" s="392"/>
      <c r="B1070" s="407" t="s">
        <v>2073</v>
      </c>
      <c r="C1070" s="392">
        <v>91010</v>
      </c>
      <c r="D1070" s="392"/>
      <c r="H1070" s="302"/>
      <c r="J1070" s="389"/>
      <c r="K1070" s="302"/>
      <c r="Q1070" s="302"/>
    </row>
    <row r="1071" spans="1:17">
      <c r="A1071" s="392"/>
      <c r="B1071" s="407" t="s">
        <v>804</v>
      </c>
      <c r="C1071" s="392">
        <v>91007</v>
      </c>
      <c r="D1071" s="392"/>
      <c r="H1071" s="302"/>
      <c r="J1071" s="389"/>
      <c r="K1071" s="302"/>
      <c r="Q1071" s="302"/>
    </row>
    <row r="1072" spans="1:17">
      <c r="A1072" s="392"/>
      <c r="B1072" s="407" t="s">
        <v>872</v>
      </c>
      <c r="C1072" s="392">
        <v>91401</v>
      </c>
      <c r="D1072" s="392"/>
      <c r="H1072" s="302"/>
      <c r="J1072" s="389"/>
      <c r="K1072" s="302"/>
      <c r="Q1072" s="302"/>
    </row>
    <row r="1073" spans="1:17">
      <c r="A1073" s="392"/>
      <c r="B1073" s="407" t="s">
        <v>2074</v>
      </c>
      <c r="C1073" s="392">
        <v>93171</v>
      </c>
      <c r="D1073" s="392"/>
      <c r="H1073" s="302"/>
      <c r="J1073" s="389"/>
      <c r="K1073" s="302"/>
      <c r="Q1073" s="302"/>
    </row>
    <row r="1074" spans="1:17">
      <c r="A1074" s="392"/>
      <c r="B1074" s="407" t="s">
        <v>882</v>
      </c>
      <c r="C1074" s="392">
        <v>91501</v>
      </c>
      <c r="D1074" s="392"/>
      <c r="H1074" s="302"/>
      <c r="J1074" s="390"/>
      <c r="K1074" s="302"/>
      <c r="Q1074" s="302"/>
    </row>
    <row r="1075" spans="1:17">
      <c r="A1075" s="392"/>
      <c r="B1075" s="407" t="s">
        <v>883</v>
      </c>
      <c r="C1075" s="392">
        <v>91504</v>
      </c>
      <c r="D1075" s="392"/>
      <c r="H1075" s="302"/>
      <c r="J1075" s="389"/>
      <c r="K1075" s="302"/>
      <c r="Q1075" s="302"/>
    </row>
    <row r="1076" spans="1:17">
      <c r="A1076" s="392"/>
      <c r="B1076" s="407" t="s">
        <v>2075</v>
      </c>
      <c r="C1076" s="392">
        <v>96312</v>
      </c>
      <c r="D1076" s="392"/>
      <c r="H1076" s="302"/>
      <c r="J1076" s="389"/>
      <c r="K1076" s="302"/>
      <c r="Q1076" s="302"/>
    </row>
    <row r="1077" spans="1:17">
      <c r="A1077" s="392"/>
      <c r="B1077" s="407" t="s">
        <v>2076</v>
      </c>
      <c r="C1077" s="392">
        <v>96241</v>
      </c>
      <c r="D1077" s="392"/>
      <c r="H1077" s="302"/>
      <c r="J1077" s="390"/>
      <c r="K1077" s="302"/>
      <c r="Q1077" s="302"/>
    </row>
    <row r="1078" spans="1:17">
      <c r="A1078" s="392"/>
      <c r="B1078" s="407" t="s">
        <v>2077</v>
      </c>
      <c r="C1078" s="392">
        <v>94431</v>
      </c>
      <c r="D1078" s="392"/>
      <c r="H1078" s="302"/>
      <c r="J1078" s="389"/>
      <c r="K1078" s="302"/>
      <c r="Q1078" s="302"/>
    </row>
    <row r="1079" spans="1:17">
      <c r="A1079" s="392"/>
      <c r="B1079" s="407" t="s">
        <v>1148</v>
      </c>
      <c r="C1079" s="392">
        <v>94437</v>
      </c>
      <c r="D1079" s="392"/>
      <c r="H1079" s="302"/>
      <c r="J1079" s="389"/>
      <c r="K1079" s="302"/>
      <c r="Q1079" s="302"/>
    </row>
    <row r="1080" spans="1:17">
      <c r="A1080" s="392"/>
      <c r="B1080" s="407" t="s">
        <v>2078</v>
      </c>
      <c r="C1080" s="392">
        <v>91671</v>
      </c>
      <c r="D1080" s="392"/>
      <c r="H1080" s="302"/>
      <c r="J1080" s="389"/>
      <c r="K1080" s="302"/>
      <c r="Q1080" s="302"/>
    </row>
    <row r="1081" spans="1:17">
      <c r="A1081" s="392"/>
      <c r="B1081" s="407" t="s">
        <v>805</v>
      </c>
      <c r="C1081" s="392">
        <v>91008</v>
      </c>
      <c r="D1081" s="392"/>
      <c r="H1081" s="302"/>
      <c r="J1081" s="389"/>
      <c r="K1081" s="302"/>
      <c r="Q1081" s="302"/>
    </row>
    <row r="1082" spans="1:17">
      <c r="A1082" s="392"/>
      <c r="B1082" s="407" t="s">
        <v>1312</v>
      </c>
      <c r="C1082" s="392">
        <v>96512</v>
      </c>
      <c r="D1082" s="392"/>
      <c r="H1082" s="302"/>
      <c r="J1082" s="389"/>
      <c r="K1082" s="302"/>
      <c r="Q1082" s="302"/>
    </row>
    <row r="1083" spans="1:17">
      <c r="A1083" s="392"/>
      <c r="B1083" s="407" t="s">
        <v>1309</v>
      </c>
      <c r="C1083" s="392">
        <v>96507</v>
      </c>
      <c r="D1083" s="392"/>
      <c r="H1083" s="302"/>
      <c r="J1083" s="389"/>
      <c r="K1083" s="302"/>
      <c r="Q1083" s="302"/>
    </row>
    <row r="1084" spans="1:17">
      <c r="A1084" s="392"/>
      <c r="B1084" s="407" t="s">
        <v>1640</v>
      </c>
      <c r="C1084" s="392">
        <v>91015</v>
      </c>
      <c r="D1084" s="392"/>
      <c r="H1084" s="302"/>
      <c r="J1084" s="389"/>
      <c r="K1084" s="302"/>
      <c r="Q1084" s="302"/>
    </row>
    <row r="1085" spans="1:17">
      <c r="A1085" s="392"/>
      <c r="B1085" s="407" t="s">
        <v>2079</v>
      </c>
      <c r="C1085" s="392">
        <v>96521</v>
      </c>
      <c r="D1085" s="392"/>
      <c r="H1085" s="302"/>
      <c r="J1085" s="389"/>
      <c r="K1085" s="302"/>
      <c r="Q1085" s="302"/>
    </row>
    <row r="1086" spans="1:17">
      <c r="A1086" s="392"/>
      <c r="B1086" s="407" t="s">
        <v>2080</v>
      </c>
      <c r="C1086" s="392">
        <v>91024</v>
      </c>
      <c r="D1086" s="392"/>
      <c r="H1086" s="302"/>
      <c r="J1086" s="390"/>
      <c r="K1086" s="302"/>
      <c r="Q1086" s="302"/>
    </row>
    <row r="1087" spans="1:17">
      <c r="A1087" s="392"/>
      <c r="B1087" s="407" t="s">
        <v>2081</v>
      </c>
      <c r="C1087" s="392">
        <v>96821</v>
      </c>
      <c r="D1087" s="392"/>
      <c r="H1087" s="302"/>
      <c r="J1087" s="389"/>
      <c r="K1087" s="302"/>
      <c r="Q1087" s="302"/>
    </row>
    <row r="1088" spans="1:17">
      <c r="A1088" s="392"/>
      <c r="B1088" s="407" t="s">
        <v>884</v>
      </c>
      <c r="C1088" s="392">
        <v>91601</v>
      </c>
      <c r="D1088" s="392"/>
      <c r="H1088" s="302"/>
      <c r="J1088" s="389"/>
      <c r="K1088" s="302"/>
      <c r="Q1088" s="302"/>
    </row>
    <row r="1089" spans="1:17">
      <c r="A1089" s="392"/>
      <c r="B1089" s="407" t="s">
        <v>885</v>
      </c>
      <c r="C1089" s="392">
        <v>91604</v>
      </c>
      <c r="D1089" s="392"/>
      <c r="H1089" s="302"/>
      <c r="J1089" s="390"/>
      <c r="K1089" s="302"/>
      <c r="Q1089" s="302"/>
    </row>
    <row r="1090" spans="1:17">
      <c r="A1090" s="392"/>
      <c r="B1090" s="407" t="s">
        <v>2082</v>
      </c>
      <c r="C1090" s="392">
        <v>96391</v>
      </c>
      <c r="D1090" s="392"/>
      <c r="H1090" s="302"/>
      <c r="J1090" s="389"/>
      <c r="K1090" s="302"/>
      <c r="Q1090" s="302"/>
    </row>
    <row r="1091" spans="1:17">
      <c r="A1091" s="392"/>
      <c r="B1091" s="407" t="s">
        <v>2083</v>
      </c>
      <c r="C1091" s="392">
        <v>99221</v>
      </c>
      <c r="D1091" s="392"/>
      <c r="H1091" s="302"/>
      <c r="J1091" s="389"/>
      <c r="K1091" s="302"/>
      <c r="Q1091" s="302"/>
    </row>
    <row r="1092" spans="1:17">
      <c r="A1092" s="392"/>
      <c r="B1092" s="407" t="s">
        <v>2084</v>
      </c>
      <c r="C1092" s="392">
        <v>91051</v>
      </c>
      <c r="D1092" s="392"/>
      <c r="H1092" s="302"/>
      <c r="J1092" s="389"/>
      <c r="K1092" s="302"/>
      <c r="Q1092" s="302"/>
    </row>
    <row r="1093" spans="1:17">
      <c r="A1093" s="392"/>
      <c r="B1093" s="407" t="s">
        <v>897</v>
      </c>
      <c r="C1093" s="392">
        <v>91701</v>
      </c>
      <c r="D1093" s="392"/>
      <c r="H1093" s="302"/>
      <c r="J1093" s="389"/>
      <c r="K1093" s="302"/>
      <c r="Q1093" s="302"/>
    </row>
    <row r="1094" spans="1:17">
      <c r="A1094" s="392"/>
      <c r="B1094" s="407" t="s">
        <v>898</v>
      </c>
      <c r="C1094" s="392">
        <v>91704</v>
      </c>
      <c r="D1094" s="392"/>
      <c r="H1094" s="302"/>
      <c r="J1094" s="389"/>
      <c r="K1094" s="302"/>
      <c r="Q1094" s="302"/>
    </row>
    <row r="1095" spans="1:17">
      <c r="A1095" s="392"/>
      <c r="B1095" s="407" t="s">
        <v>2782</v>
      </c>
      <c r="C1095" s="392">
        <v>91706</v>
      </c>
      <c r="D1095" s="392"/>
      <c r="H1095" s="302"/>
      <c r="J1095" s="390"/>
      <c r="K1095" s="302"/>
      <c r="Q1095" s="302"/>
    </row>
    <row r="1096" spans="1:17">
      <c r="A1096" s="392"/>
      <c r="B1096" s="407" t="s">
        <v>2085</v>
      </c>
      <c r="C1096" s="392">
        <v>91881</v>
      </c>
      <c r="D1096" s="392"/>
      <c r="H1096" s="302"/>
      <c r="J1096" s="389"/>
      <c r="K1096" s="302"/>
      <c r="Q1096" s="302"/>
    </row>
    <row r="1097" spans="1:17">
      <c r="A1097" s="392"/>
      <c r="B1097" s="407" t="s">
        <v>901</v>
      </c>
      <c r="C1097" s="392">
        <v>91801</v>
      </c>
      <c r="D1097" s="392"/>
      <c r="H1097" s="302"/>
      <c r="J1097" s="389"/>
      <c r="K1097" s="302"/>
      <c r="Q1097" s="302"/>
    </row>
    <row r="1098" spans="1:17">
      <c r="A1098" s="392"/>
      <c r="B1098" s="407" t="s">
        <v>902</v>
      </c>
      <c r="C1098" s="392">
        <v>91804</v>
      </c>
      <c r="D1098" s="392"/>
      <c r="H1098" s="302"/>
      <c r="J1098" s="389"/>
      <c r="K1098" s="302"/>
      <c r="Q1098" s="302"/>
    </row>
    <row r="1099" spans="1:17">
      <c r="A1099" s="392"/>
      <c r="B1099" s="407" t="s">
        <v>2086</v>
      </c>
      <c r="C1099" s="392">
        <v>91691</v>
      </c>
      <c r="D1099" s="392"/>
      <c r="H1099" s="302"/>
      <c r="J1099" s="389"/>
      <c r="K1099" s="302"/>
      <c r="Q1099" s="302"/>
    </row>
    <row r="1100" spans="1:17">
      <c r="A1100" s="392"/>
      <c r="B1100" s="407" t="s">
        <v>1554</v>
      </c>
      <c r="C1100" s="392">
        <v>99222</v>
      </c>
      <c r="D1100" s="392"/>
      <c r="H1100" s="302"/>
      <c r="J1100" s="389"/>
      <c r="K1100" s="302"/>
      <c r="Q1100" s="302"/>
    </row>
    <row r="1101" spans="1:17">
      <c r="A1101" s="392"/>
      <c r="B1101" s="407" t="s">
        <v>1043</v>
      </c>
      <c r="C1101" s="392">
        <v>93408</v>
      </c>
      <c r="D1101" s="392"/>
      <c r="H1101" s="302"/>
      <c r="J1101" s="389"/>
      <c r="K1101" s="302"/>
      <c r="Q1101" s="302"/>
    </row>
    <row r="1102" spans="1:17">
      <c r="A1102" s="392"/>
      <c r="B1102" s="407" t="s">
        <v>1258</v>
      </c>
      <c r="C1102" s="392">
        <v>96009</v>
      </c>
      <c r="D1102" s="392"/>
      <c r="H1102" s="302"/>
      <c r="J1102" s="389"/>
      <c r="K1102" s="302"/>
      <c r="Q1102" s="302"/>
    </row>
    <row r="1103" spans="1:17">
      <c r="A1103" s="392"/>
      <c r="B1103" s="407" t="s">
        <v>2087</v>
      </c>
      <c r="C1103" s="392">
        <v>92441</v>
      </c>
      <c r="D1103" s="392"/>
      <c r="H1103" s="302"/>
      <c r="J1103" s="389"/>
      <c r="K1103" s="302"/>
      <c r="Q1103" s="302"/>
    </row>
    <row r="1104" spans="1:17">
      <c r="A1104" s="392"/>
      <c r="B1104" s="407" t="s">
        <v>2088</v>
      </c>
      <c r="C1104" s="392">
        <v>96811</v>
      </c>
      <c r="D1104" s="392"/>
      <c r="H1104" s="302"/>
      <c r="J1104" s="390"/>
      <c r="K1104" s="302"/>
      <c r="Q1104" s="302"/>
    </row>
    <row r="1105" spans="1:17">
      <c r="A1105" s="392"/>
      <c r="B1105" s="407" t="s">
        <v>1956</v>
      </c>
      <c r="C1105" s="392">
        <v>96011</v>
      </c>
      <c r="D1105" s="392"/>
      <c r="H1105" s="302"/>
      <c r="J1105" s="389"/>
      <c r="K1105" s="302"/>
      <c r="Q1105" s="302"/>
    </row>
    <row r="1106" spans="1:17">
      <c r="A1106" s="392"/>
      <c r="B1106" s="407" t="s">
        <v>1261</v>
      </c>
      <c r="C1106" s="392">
        <v>96018</v>
      </c>
      <c r="D1106" s="392"/>
      <c r="H1106" s="302"/>
      <c r="J1106" s="389"/>
      <c r="K1106" s="302"/>
      <c r="Q1106" s="302"/>
    </row>
    <row r="1107" spans="1:17">
      <c r="A1107" s="392"/>
      <c r="B1107" s="407" t="s">
        <v>1254</v>
      </c>
      <c r="C1107" s="392">
        <v>96003</v>
      </c>
      <c r="D1107" s="392"/>
      <c r="H1107" s="302"/>
      <c r="J1107" s="390"/>
      <c r="K1107" s="302"/>
      <c r="Q1107" s="302"/>
    </row>
    <row r="1108" spans="1:17">
      <c r="A1108" s="392"/>
      <c r="B1108" s="407" t="s">
        <v>1256</v>
      </c>
      <c r="C1108" s="392">
        <v>96005</v>
      </c>
      <c r="D1108" s="392"/>
      <c r="H1108" s="302"/>
      <c r="J1108" s="389"/>
      <c r="K1108" s="302"/>
      <c r="Q1108" s="302"/>
    </row>
    <row r="1109" spans="1:17">
      <c r="A1109" s="392"/>
      <c r="B1109" s="407" t="s">
        <v>1260</v>
      </c>
      <c r="C1109" s="392">
        <v>96012</v>
      </c>
      <c r="D1109" s="392"/>
      <c r="H1109" s="302"/>
      <c r="J1109" s="389"/>
      <c r="K1109" s="302"/>
      <c r="Q1109" s="302"/>
    </row>
    <row r="1110" spans="1:17">
      <c r="A1110" s="392"/>
      <c r="B1110" s="407" t="s">
        <v>915</v>
      </c>
      <c r="C1110" s="392">
        <v>91901</v>
      </c>
      <c r="D1110" s="392"/>
      <c r="H1110" s="302"/>
      <c r="J1110" s="389"/>
      <c r="K1110" s="302"/>
      <c r="Q1110" s="302"/>
    </row>
    <row r="1111" spans="1:17">
      <c r="A1111" s="392"/>
      <c r="B1111" s="407" t="s">
        <v>917</v>
      </c>
      <c r="C1111" s="392">
        <v>91904</v>
      </c>
      <c r="D1111" s="392"/>
      <c r="H1111" s="302"/>
      <c r="J1111" s="389"/>
      <c r="K1111" s="302"/>
      <c r="Q1111" s="302"/>
    </row>
    <row r="1112" spans="1:17">
      <c r="A1112" s="392"/>
      <c r="B1112" s="407" t="s">
        <v>2783</v>
      </c>
      <c r="C1112" s="392">
        <v>91903</v>
      </c>
      <c r="D1112" s="392"/>
      <c r="H1112" s="302"/>
      <c r="J1112" s="389"/>
      <c r="K1112" s="302"/>
      <c r="Q1112" s="302"/>
    </row>
    <row r="1113" spans="1:17">
      <c r="A1113" s="392"/>
      <c r="B1113" s="407" t="s">
        <v>922</v>
      </c>
      <c r="C1113" s="392">
        <v>92001</v>
      </c>
      <c r="D1113" s="392"/>
      <c r="H1113" s="302"/>
      <c r="J1113" s="389"/>
      <c r="K1113" s="302"/>
      <c r="Q1113" s="302"/>
    </row>
    <row r="1114" spans="1:17">
      <c r="A1114" s="392"/>
      <c r="B1114" s="407" t="s">
        <v>1957</v>
      </c>
      <c r="C1114" s="392">
        <v>93641</v>
      </c>
      <c r="D1114" s="392"/>
      <c r="H1114" s="302"/>
      <c r="J1114" s="389"/>
      <c r="K1114" s="302"/>
      <c r="Q1114" s="302"/>
    </row>
    <row r="1115" spans="1:17">
      <c r="A1115" s="392"/>
      <c r="B1115" s="407" t="s">
        <v>1073</v>
      </c>
      <c r="C1115" s="392">
        <v>93647</v>
      </c>
      <c r="D1115" s="392"/>
      <c r="H1115" s="302"/>
      <c r="J1115" s="389"/>
      <c r="K1115" s="302"/>
      <c r="Q1115" s="302"/>
    </row>
    <row r="1116" spans="1:17">
      <c r="A1116" s="392"/>
      <c r="B1116" s="407" t="s">
        <v>2089</v>
      </c>
      <c r="C1116" s="392">
        <v>98041</v>
      </c>
      <c r="D1116" s="392"/>
      <c r="H1116" s="302"/>
      <c r="J1116" s="390"/>
      <c r="K1116" s="302"/>
      <c r="Q1116" s="302"/>
    </row>
    <row r="1117" spans="1:17">
      <c r="A1117" s="392"/>
      <c r="B1117" s="407" t="s">
        <v>2767</v>
      </c>
      <c r="C1117" s="392">
        <v>96612</v>
      </c>
      <c r="D1117" s="392"/>
      <c r="H1117" s="302"/>
      <c r="J1117" s="389"/>
      <c r="K1117" s="302"/>
      <c r="Q1117" s="302"/>
    </row>
    <row r="1118" spans="1:17">
      <c r="A1118" s="392"/>
      <c r="B1118" s="407" t="s">
        <v>2090</v>
      </c>
      <c r="C1118" s="392">
        <v>90751</v>
      </c>
      <c r="D1118" s="392"/>
      <c r="H1118" s="302"/>
      <c r="J1118" s="389"/>
      <c r="K1118" s="302"/>
      <c r="Q1118" s="302"/>
    </row>
    <row r="1119" spans="1:17">
      <c r="A1119" s="392"/>
      <c r="B1119" s="407" t="s">
        <v>927</v>
      </c>
      <c r="C1119" s="392">
        <v>92101</v>
      </c>
      <c r="D1119" s="392"/>
      <c r="H1119" s="302"/>
      <c r="J1119" s="390"/>
      <c r="K1119" s="302"/>
      <c r="Q1119" s="302"/>
    </row>
    <row r="1120" spans="1:17">
      <c r="A1120" s="392"/>
      <c r="B1120" s="407" t="s">
        <v>928</v>
      </c>
      <c r="C1120" s="392">
        <v>92104</v>
      </c>
      <c r="D1120" s="392"/>
      <c r="H1120" s="302"/>
      <c r="J1120" s="389"/>
      <c r="K1120" s="302"/>
      <c r="Q1120" s="302"/>
    </row>
    <row r="1121" spans="1:17">
      <c r="A1121" s="392"/>
      <c r="B1121" s="407" t="s">
        <v>1958</v>
      </c>
      <c r="C1121" s="392">
        <v>91821</v>
      </c>
      <c r="D1121" s="392"/>
      <c r="H1121" s="302"/>
      <c r="J1121" s="389"/>
      <c r="K1121" s="302"/>
      <c r="Q1121" s="302"/>
    </row>
    <row r="1122" spans="1:17">
      <c r="A1122" s="392"/>
      <c r="B1122" s="407" t="s">
        <v>2091</v>
      </c>
      <c r="C1122" s="392">
        <v>90931</v>
      </c>
      <c r="D1122" s="392"/>
      <c r="H1122" s="302"/>
      <c r="J1122" s="389"/>
      <c r="K1122" s="302"/>
      <c r="Q1122" s="302"/>
    </row>
    <row r="1123" spans="1:17">
      <c r="A1123" s="392"/>
      <c r="B1123" s="407" t="s">
        <v>932</v>
      </c>
      <c r="C1123" s="392">
        <v>92201</v>
      </c>
      <c r="D1123" s="392"/>
      <c r="H1123" s="302"/>
      <c r="J1123" s="389"/>
      <c r="K1123" s="302"/>
      <c r="Q1123" s="302"/>
    </row>
    <row r="1124" spans="1:17">
      <c r="A1124" s="392"/>
      <c r="B1124" s="408" t="s">
        <v>1931</v>
      </c>
      <c r="C1124" s="392">
        <v>92214</v>
      </c>
      <c r="D1124" s="392"/>
      <c r="H1124" s="302"/>
      <c r="J1124" s="389"/>
      <c r="K1124" s="302"/>
      <c r="Q1124" s="302"/>
    </row>
    <row r="1125" spans="1:17">
      <c r="A1125" s="392"/>
      <c r="B1125" s="407" t="s">
        <v>2092</v>
      </c>
      <c r="C1125" s="392">
        <v>95131</v>
      </c>
      <c r="D1125" s="392"/>
      <c r="H1125" s="302"/>
      <c r="J1125" s="389"/>
      <c r="K1125" s="302"/>
      <c r="Q1125" s="302"/>
    </row>
    <row r="1126" spans="1:17">
      <c r="A1126" s="392"/>
      <c r="B1126" s="407" t="s">
        <v>2501</v>
      </c>
      <c r="C1126" s="392">
        <v>93441</v>
      </c>
      <c r="D1126" s="392"/>
      <c r="H1126" s="302"/>
      <c r="J1126" s="389"/>
      <c r="K1126" s="302"/>
      <c r="Q1126" s="302"/>
    </row>
    <row r="1127" spans="1:17">
      <c r="A1127" s="392"/>
      <c r="B1127" s="407" t="s">
        <v>1050</v>
      </c>
      <c r="C1127" s="392">
        <v>93442</v>
      </c>
      <c r="D1127" s="392"/>
      <c r="H1127" s="302"/>
      <c r="J1127" s="389"/>
      <c r="K1127" s="302"/>
      <c r="Q1127" s="302"/>
    </row>
    <row r="1128" spans="1:17">
      <c r="A1128" s="392"/>
      <c r="B1128" s="407" t="s">
        <v>2093</v>
      </c>
      <c r="C1128" s="392">
        <v>98091</v>
      </c>
      <c r="D1128" s="392"/>
      <c r="H1128" s="302"/>
      <c r="J1128" s="390"/>
      <c r="K1128" s="302"/>
      <c r="Q1128" s="302"/>
    </row>
    <row r="1129" spans="1:17">
      <c r="A1129" s="392"/>
      <c r="B1129" s="407" t="s">
        <v>933</v>
      </c>
      <c r="C1129" s="392">
        <v>92301</v>
      </c>
      <c r="D1129" s="392"/>
      <c r="H1129" s="302"/>
      <c r="J1129" s="389"/>
      <c r="K1129" s="302"/>
      <c r="Q1129" s="302"/>
    </row>
    <row r="1130" spans="1:17">
      <c r="A1130" s="392"/>
      <c r="B1130" s="407" t="s">
        <v>934</v>
      </c>
      <c r="C1130" s="392">
        <v>92302</v>
      </c>
      <c r="D1130" s="392"/>
      <c r="H1130" s="302"/>
      <c r="J1130" s="389"/>
      <c r="K1130" s="302"/>
      <c r="Q1130" s="302"/>
    </row>
    <row r="1131" spans="1:17">
      <c r="A1131" s="392"/>
      <c r="B1131" s="407" t="s">
        <v>1959</v>
      </c>
      <c r="C1131" s="392">
        <v>98211</v>
      </c>
      <c r="D1131" s="392"/>
      <c r="H1131" s="302"/>
      <c r="J1131" s="390"/>
      <c r="K1131" s="302"/>
      <c r="Q1131" s="302"/>
    </row>
    <row r="1132" spans="1:17">
      <c r="A1132" s="392"/>
      <c r="B1132" s="407" t="s">
        <v>1473</v>
      </c>
      <c r="C1132" s="392">
        <v>98218</v>
      </c>
      <c r="D1132" s="392"/>
      <c r="H1132" s="302"/>
      <c r="J1132" s="389"/>
      <c r="K1132" s="302"/>
      <c r="Q1132" s="302"/>
    </row>
    <row r="1133" spans="1:17">
      <c r="A1133" s="392"/>
      <c r="B1133" s="407" t="s">
        <v>957</v>
      </c>
      <c r="C1133" s="392">
        <v>92506</v>
      </c>
      <c r="D1133" s="392"/>
      <c r="H1133" s="302"/>
      <c r="J1133" s="389"/>
      <c r="K1133" s="302"/>
      <c r="Q1133" s="302"/>
    </row>
    <row r="1134" spans="1:17">
      <c r="A1134" s="392"/>
      <c r="B1134" s="407" t="s">
        <v>2760</v>
      </c>
      <c r="C1134" s="392">
        <v>92508</v>
      </c>
      <c r="D1134" s="392"/>
      <c r="H1134" s="302"/>
      <c r="J1134" s="389"/>
      <c r="K1134" s="302"/>
      <c r="Q1134" s="302"/>
    </row>
    <row r="1135" spans="1:17">
      <c r="A1135" s="392"/>
      <c r="B1135" s="407" t="s">
        <v>1619</v>
      </c>
      <c r="C1135" s="392">
        <v>96519</v>
      </c>
      <c r="D1135" s="392"/>
      <c r="H1135" s="302"/>
      <c r="J1135" s="389"/>
      <c r="K1135" s="302"/>
      <c r="Q1135" s="302"/>
    </row>
    <row r="1136" spans="1:17">
      <c r="A1136" s="392"/>
      <c r="B1136" s="407" t="s">
        <v>2094</v>
      </c>
      <c r="C1136" s="392">
        <v>94341</v>
      </c>
      <c r="D1136" s="392"/>
      <c r="H1136" s="302"/>
      <c r="J1136" s="389"/>
      <c r="K1136" s="302"/>
      <c r="Q1136" s="302"/>
    </row>
    <row r="1137" spans="1:17">
      <c r="A1137" s="392"/>
      <c r="B1137" s="407" t="s">
        <v>2095</v>
      </c>
      <c r="C1137" s="392">
        <v>94641</v>
      </c>
      <c r="D1137" s="392"/>
      <c r="H1137" s="302"/>
      <c r="J1137" s="389"/>
      <c r="K1137" s="302"/>
      <c r="Q1137" s="302"/>
    </row>
    <row r="1138" spans="1:17">
      <c r="A1138" s="392"/>
      <c r="B1138" s="407" t="s">
        <v>2096</v>
      </c>
      <c r="C1138" s="392">
        <v>90813</v>
      </c>
      <c r="D1138" s="392"/>
      <c r="H1138" s="302"/>
      <c r="J1138" s="389"/>
      <c r="K1138" s="302"/>
      <c r="Q1138" s="302"/>
    </row>
    <row r="1139" spans="1:17">
      <c r="A1139" s="392"/>
      <c r="B1139" s="407" t="s">
        <v>1116</v>
      </c>
      <c r="C1139" s="392">
        <v>94168</v>
      </c>
      <c r="D1139" s="392"/>
      <c r="H1139" s="302"/>
      <c r="J1139" s="389"/>
      <c r="K1139" s="302"/>
      <c r="Q1139" s="302"/>
    </row>
    <row r="1140" spans="1:17">
      <c r="A1140" s="392"/>
      <c r="B1140" s="407" t="s">
        <v>2097</v>
      </c>
      <c r="C1140" s="392">
        <v>98911</v>
      </c>
      <c r="D1140" s="392"/>
      <c r="H1140" s="302"/>
      <c r="J1140" s="390"/>
      <c r="K1140" s="302"/>
      <c r="Q1140" s="302"/>
    </row>
    <row r="1141" spans="1:17">
      <c r="A1141" s="392"/>
      <c r="B1141" s="407" t="s">
        <v>2098</v>
      </c>
      <c r="C1141" s="392">
        <v>97521</v>
      </c>
      <c r="D1141" s="392"/>
      <c r="H1141" s="302"/>
      <c r="J1141" s="389"/>
      <c r="K1141" s="302"/>
      <c r="Q1141" s="302"/>
    </row>
    <row r="1142" spans="1:17">
      <c r="A1142" s="392"/>
      <c r="B1142" s="407" t="s">
        <v>1641</v>
      </c>
      <c r="C1142" s="392">
        <v>97527</v>
      </c>
      <c r="D1142" s="392"/>
      <c r="H1142" s="302"/>
      <c r="J1142" s="389"/>
      <c r="K1142" s="302"/>
      <c r="Q1142" s="302"/>
    </row>
    <row r="1143" spans="1:17">
      <c r="A1143" s="392"/>
      <c r="B1143" s="407" t="s">
        <v>942</v>
      </c>
      <c r="C1143" s="392">
        <v>92401</v>
      </c>
      <c r="D1143" s="392"/>
      <c r="H1143" s="302"/>
      <c r="J1143" s="390"/>
      <c r="K1143" s="302"/>
      <c r="Q1143" s="302"/>
    </row>
    <row r="1144" spans="1:17">
      <c r="A1144" s="392"/>
      <c r="B1144" s="407" t="s">
        <v>1960</v>
      </c>
      <c r="C1144" s="392">
        <v>91311</v>
      </c>
      <c r="D1144" s="392"/>
      <c r="H1144" s="302"/>
      <c r="J1144" s="389"/>
      <c r="K1144" s="302"/>
      <c r="Q1144" s="302"/>
    </row>
    <row r="1145" spans="1:17">
      <c r="A1145" s="392"/>
      <c r="B1145" s="407" t="s">
        <v>867</v>
      </c>
      <c r="C1145" s="392">
        <v>91317</v>
      </c>
      <c r="D1145" s="392"/>
      <c r="H1145" s="302"/>
      <c r="J1145" s="389"/>
      <c r="K1145" s="302"/>
      <c r="Q1145" s="302"/>
    </row>
    <row r="1146" spans="1:17">
      <c r="A1146" s="392"/>
      <c r="B1146" s="407" t="s">
        <v>2099</v>
      </c>
      <c r="C1146" s="392">
        <v>91261</v>
      </c>
      <c r="D1146" s="392"/>
      <c r="H1146" s="302"/>
      <c r="J1146" s="389"/>
      <c r="K1146" s="302"/>
      <c r="Q1146" s="302"/>
    </row>
    <row r="1147" spans="1:17">
      <c r="A1147" s="392"/>
      <c r="B1147" s="407" t="s">
        <v>2100</v>
      </c>
      <c r="C1147" s="392">
        <v>91851</v>
      </c>
      <c r="D1147" s="392"/>
      <c r="H1147" s="302"/>
      <c r="J1147" s="389"/>
      <c r="K1147" s="302"/>
      <c r="Q1147" s="302"/>
    </row>
    <row r="1148" spans="1:17">
      <c r="A1148" s="392"/>
      <c r="B1148" s="407" t="s">
        <v>1374</v>
      </c>
      <c r="C1148" s="392">
        <v>97408</v>
      </c>
      <c r="D1148" s="392"/>
      <c r="H1148" s="302"/>
      <c r="J1148" s="389"/>
      <c r="K1148" s="302"/>
      <c r="Q1148" s="302"/>
    </row>
    <row r="1149" spans="1:17">
      <c r="A1149" s="392"/>
      <c r="B1149" s="407" t="s">
        <v>2101</v>
      </c>
      <c r="C1149" s="392">
        <v>96641</v>
      </c>
      <c r="D1149" s="392"/>
      <c r="H1149" s="302"/>
      <c r="J1149" s="389"/>
      <c r="K1149" s="302"/>
      <c r="Q1149" s="302"/>
    </row>
    <row r="1150" spans="1:17">
      <c r="A1150" s="392"/>
      <c r="B1150" s="407" t="s">
        <v>2102</v>
      </c>
      <c r="C1150" s="392">
        <v>93031</v>
      </c>
      <c r="D1150" s="392"/>
      <c r="H1150" s="302"/>
      <c r="J1150" s="389"/>
      <c r="K1150" s="302"/>
      <c r="Q1150" s="302"/>
    </row>
    <row r="1151" spans="1:17">
      <c r="A1151" s="392"/>
      <c r="B1151" s="407" t="s">
        <v>1005</v>
      </c>
      <c r="C1151" s="392">
        <v>93027</v>
      </c>
      <c r="D1151" s="392"/>
      <c r="H1151" s="302"/>
      <c r="J1151" s="389"/>
      <c r="K1151" s="302"/>
      <c r="Q1151" s="302"/>
    </row>
    <row r="1152" spans="1:17">
      <c r="A1152" s="392"/>
      <c r="B1152" s="407" t="s">
        <v>2103</v>
      </c>
      <c r="C1152" s="392">
        <v>96051</v>
      </c>
      <c r="D1152" s="392"/>
      <c r="H1152" s="302"/>
      <c r="J1152" s="390"/>
      <c r="K1152" s="302"/>
      <c r="Q1152" s="302"/>
    </row>
    <row r="1153" spans="1:17">
      <c r="A1153" s="392"/>
      <c r="B1153" s="407" t="s">
        <v>2104</v>
      </c>
      <c r="C1153" s="392">
        <v>92571</v>
      </c>
      <c r="D1153" s="392"/>
      <c r="H1153" s="302"/>
      <c r="J1153" s="389"/>
      <c r="K1153" s="302"/>
      <c r="Q1153" s="302"/>
    </row>
    <row r="1154" spans="1:17">
      <c r="A1154" s="392"/>
      <c r="B1154" s="407" t="s">
        <v>2105</v>
      </c>
      <c r="C1154" s="392">
        <v>93631</v>
      </c>
      <c r="D1154" s="392"/>
      <c r="H1154" s="302"/>
      <c r="J1154" s="389"/>
      <c r="K1154" s="302"/>
      <c r="Q1154" s="302"/>
    </row>
    <row r="1155" spans="1:17">
      <c r="A1155" s="392"/>
      <c r="B1155" s="408" t="s">
        <v>1932</v>
      </c>
      <c r="C1155" s="392">
        <v>93604</v>
      </c>
      <c r="D1155" s="392"/>
      <c r="H1155" s="302"/>
      <c r="J1155" s="390"/>
      <c r="K1155" s="302"/>
      <c r="Q1155" s="302"/>
    </row>
    <row r="1156" spans="1:17">
      <c r="A1156" s="392"/>
      <c r="B1156" s="407" t="s">
        <v>955</v>
      </c>
      <c r="C1156" s="392">
        <v>92504</v>
      </c>
      <c r="D1156" s="392"/>
      <c r="H1156" s="302"/>
      <c r="J1156" s="389"/>
      <c r="K1156" s="302"/>
      <c r="Q1156" s="302"/>
    </row>
    <row r="1157" spans="1:17">
      <c r="A1157" s="392"/>
      <c r="B1157" s="407" t="s">
        <v>953</v>
      </c>
      <c r="C1157" s="392">
        <v>92501</v>
      </c>
      <c r="D1157" s="392"/>
      <c r="H1157" s="302"/>
      <c r="J1157" s="389"/>
      <c r="K1157" s="302"/>
      <c r="Q1157" s="302"/>
    </row>
    <row r="1158" spans="1:17">
      <c r="A1158" s="392"/>
      <c r="B1158" s="407" t="s">
        <v>956</v>
      </c>
      <c r="C1158" s="392">
        <v>92505</v>
      </c>
      <c r="D1158" s="392"/>
      <c r="H1158" s="302"/>
      <c r="J1158" s="389"/>
      <c r="K1158" s="302"/>
      <c r="Q1158" s="302"/>
    </row>
    <row r="1159" spans="1:17">
      <c r="A1159" s="392"/>
      <c r="B1159" s="407" t="s">
        <v>1961</v>
      </c>
      <c r="C1159" s="392">
        <v>93921</v>
      </c>
      <c r="D1159" s="392"/>
      <c r="H1159" s="302"/>
      <c r="J1159" s="389"/>
      <c r="K1159" s="302"/>
      <c r="Q1159" s="302"/>
    </row>
    <row r="1160" spans="1:17">
      <c r="A1160" s="392"/>
      <c r="B1160" s="407" t="s">
        <v>2106</v>
      </c>
      <c r="C1160" s="392">
        <v>99431</v>
      </c>
      <c r="D1160" s="392"/>
      <c r="H1160" s="302"/>
      <c r="J1160" s="389"/>
      <c r="K1160" s="302"/>
      <c r="Q1160" s="302"/>
    </row>
    <row r="1161" spans="1:17">
      <c r="A1161" s="392"/>
      <c r="B1161" s="407" t="s">
        <v>970</v>
      </c>
      <c r="C1161" s="392">
        <v>92604</v>
      </c>
      <c r="D1161" s="392"/>
      <c r="H1161" s="302"/>
      <c r="J1161" s="389"/>
      <c r="K1161" s="302"/>
      <c r="Q1161" s="302"/>
    </row>
    <row r="1162" spans="1:17">
      <c r="A1162" s="392"/>
      <c r="B1162" s="407" t="s">
        <v>968</v>
      </c>
      <c r="C1162" s="392">
        <v>92601</v>
      </c>
      <c r="D1162" s="392"/>
      <c r="H1162" s="302"/>
      <c r="J1162" s="389"/>
      <c r="K1162" s="302"/>
      <c r="Q1162" s="302"/>
    </row>
    <row r="1163" spans="1:17">
      <c r="A1163" s="392"/>
      <c r="B1163" s="407" t="s">
        <v>972</v>
      </c>
      <c r="C1163" s="392">
        <v>92608</v>
      </c>
      <c r="D1163" s="392"/>
      <c r="H1163" s="302"/>
      <c r="J1163" s="389"/>
      <c r="K1163" s="302"/>
      <c r="Q1163" s="302"/>
    </row>
    <row r="1164" spans="1:17">
      <c r="A1164" s="392"/>
      <c r="B1164" s="407" t="s">
        <v>984</v>
      </c>
      <c r="C1164" s="392">
        <v>92704</v>
      </c>
      <c r="D1164" s="392"/>
      <c r="H1164" s="302"/>
      <c r="J1164" s="390"/>
      <c r="K1164" s="302"/>
      <c r="Q1164" s="302"/>
    </row>
    <row r="1165" spans="1:17">
      <c r="A1165" s="392"/>
      <c r="B1165" s="407" t="s">
        <v>983</v>
      </c>
      <c r="C1165" s="392">
        <v>92701</v>
      </c>
      <c r="D1165" s="392"/>
      <c r="H1165" s="302"/>
      <c r="J1165" s="389"/>
      <c r="K1165" s="302"/>
      <c r="Q1165" s="302"/>
    </row>
    <row r="1166" spans="1:17">
      <c r="A1166" s="392"/>
      <c r="B1166" s="407" t="s">
        <v>2107</v>
      </c>
      <c r="C1166" s="392">
        <v>93651</v>
      </c>
      <c r="D1166" s="392"/>
      <c r="H1166" s="302"/>
      <c r="J1166" s="389"/>
      <c r="K1166" s="302"/>
      <c r="Q1166" s="302"/>
    </row>
    <row r="1167" spans="1:17">
      <c r="A1167" s="392"/>
      <c r="B1167" s="407" t="s">
        <v>985</v>
      </c>
      <c r="C1167" s="392">
        <v>92801</v>
      </c>
      <c r="D1167" s="392"/>
      <c r="H1167" s="302"/>
      <c r="J1167" s="390"/>
      <c r="K1167" s="302"/>
      <c r="Q1167" s="302"/>
    </row>
    <row r="1168" spans="1:17">
      <c r="A1168" s="392"/>
      <c r="B1168" s="407" t="s">
        <v>987</v>
      </c>
      <c r="C1168" s="392">
        <v>92804</v>
      </c>
      <c r="D1168" s="392"/>
      <c r="H1168" s="302"/>
      <c r="J1168" s="389"/>
      <c r="K1168" s="302"/>
      <c r="Q1168" s="302"/>
    </row>
    <row r="1169" spans="1:17">
      <c r="A1169" s="392"/>
      <c r="B1169" s="407" t="s">
        <v>986</v>
      </c>
      <c r="C1169" s="392">
        <v>92802</v>
      </c>
      <c r="D1169" s="392"/>
      <c r="H1169" s="302"/>
      <c r="J1169" s="389"/>
      <c r="K1169" s="302"/>
      <c r="Q1169" s="302"/>
    </row>
    <row r="1170" spans="1:17">
      <c r="A1170" s="392"/>
      <c r="B1170" s="407" t="s">
        <v>2108</v>
      </c>
      <c r="C1170" s="392">
        <v>96081</v>
      </c>
      <c r="D1170" s="392"/>
      <c r="H1170" s="302"/>
      <c r="J1170" s="389"/>
      <c r="K1170" s="302"/>
      <c r="Q1170" s="302"/>
    </row>
    <row r="1171" spans="1:17">
      <c r="A1171" s="392"/>
      <c r="B1171" s="407" t="s">
        <v>994</v>
      </c>
      <c r="C1171" s="392">
        <v>92901</v>
      </c>
      <c r="D1171" s="392"/>
      <c r="H1171" s="302"/>
      <c r="J1171" s="389"/>
      <c r="K1171" s="302"/>
      <c r="Q1171" s="302"/>
    </row>
    <row r="1172" spans="1:17">
      <c r="A1172" s="392"/>
      <c r="B1172" s="407" t="s">
        <v>1001</v>
      </c>
      <c r="C1172" s="392">
        <v>93001</v>
      </c>
      <c r="D1172" s="392"/>
      <c r="H1172" s="302"/>
      <c r="J1172" s="389"/>
      <c r="K1172" s="302"/>
      <c r="Q1172" s="302"/>
    </row>
    <row r="1173" spans="1:17">
      <c r="A1173" s="392"/>
      <c r="B1173" s="407" t="s">
        <v>1002</v>
      </c>
      <c r="C1173" s="392">
        <v>93009</v>
      </c>
      <c r="D1173" s="392"/>
      <c r="H1173" s="302"/>
      <c r="J1173" s="390"/>
      <c r="K1173" s="302"/>
      <c r="Q1173" s="302"/>
    </row>
    <row r="1174" spans="1:17">
      <c r="A1174" s="392"/>
      <c r="B1174" s="407" t="s">
        <v>2109</v>
      </c>
      <c r="C1174" s="392">
        <v>92921</v>
      </c>
      <c r="D1174" s="392"/>
      <c r="H1174" s="302"/>
      <c r="J1174" s="389"/>
      <c r="K1174" s="302"/>
      <c r="Q1174" s="302"/>
    </row>
    <row r="1175" spans="1:17">
      <c r="A1175" s="392"/>
      <c r="B1175" s="407" t="s">
        <v>2110</v>
      </c>
      <c r="C1175" s="392">
        <v>98621</v>
      </c>
      <c r="D1175" s="392"/>
      <c r="H1175" s="302"/>
      <c r="J1175" s="389"/>
      <c r="K1175" s="302"/>
      <c r="Q1175" s="302"/>
    </row>
    <row r="1176" spans="1:17">
      <c r="A1176" s="392"/>
      <c r="B1176" s="407" t="s">
        <v>1509</v>
      </c>
      <c r="C1176" s="392">
        <v>98627</v>
      </c>
      <c r="D1176" s="392"/>
      <c r="H1176" s="302"/>
      <c r="J1176" s="389"/>
      <c r="K1176" s="302"/>
      <c r="Q1176" s="302"/>
    </row>
    <row r="1177" spans="1:17">
      <c r="A1177" s="392"/>
      <c r="B1177" s="407" t="s">
        <v>2111</v>
      </c>
      <c r="C1177" s="392">
        <v>91221</v>
      </c>
      <c r="D1177" s="392"/>
      <c r="H1177" s="302"/>
      <c r="J1177" s="389"/>
      <c r="K1177" s="302"/>
      <c r="Q1177" s="302"/>
    </row>
    <row r="1178" spans="1:17">
      <c r="A1178" s="392"/>
      <c r="B1178" s="407" t="s">
        <v>2112</v>
      </c>
      <c r="C1178" s="392">
        <v>92861</v>
      </c>
      <c r="D1178" s="392"/>
      <c r="H1178" s="302"/>
      <c r="J1178" s="389"/>
      <c r="K1178" s="302"/>
      <c r="Q1178" s="302"/>
    </row>
    <row r="1179" spans="1:17">
      <c r="A1179" s="392"/>
      <c r="B1179" s="407" t="s">
        <v>1962</v>
      </c>
      <c r="C1179" s="392">
        <v>94311</v>
      </c>
      <c r="D1179" s="392"/>
      <c r="H1179" s="302"/>
      <c r="J1179" s="389"/>
      <c r="K1179" s="302"/>
      <c r="Q1179" s="302"/>
    </row>
    <row r="1180" spans="1:17">
      <c r="A1180" s="392"/>
      <c r="B1180" s="407" t="s">
        <v>1132</v>
      </c>
      <c r="C1180" s="392">
        <v>94317</v>
      </c>
      <c r="D1180" s="392"/>
      <c r="H1180" s="302"/>
      <c r="J1180" s="389"/>
      <c r="K1180" s="302"/>
      <c r="Q1180" s="302"/>
    </row>
    <row r="1181" spans="1:17">
      <c r="A1181" s="392"/>
      <c r="B1181" s="407" t="s">
        <v>1131</v>
      </c>
      <c r="C1181" s="392">
        <v>94313</v>
      </c>
      <c r="D1181" s="392"/>
      <c r="H1181" s="302"/>
      <c r="J1181" s="389"/>
      <c r="K1181" s="302"/>
      <c r="Q1181" s="302"/>
    </row>
    <row r="1182" spans="1:17">
      <c r="A1182" s="392"/>
      <c r="B1182" s="407" t="s">
        <v>1007</v>
      </c>
      <c r="C1182" s="392">
        <v>93101</v>
      </c>
      <c r="D1182" s="392"/>
      <c r="H1182" s="302"/>
      <c r="J1182" s="390"/>
      <c r="K1182" s="302"/>
      <c r="Q1182" s="302"/>
    </row>
    <row r="1183" spans="1:17">
      <c r="A1183" s="392"/>
      <c r="B1183" s="407" t="s">
        <v>260</v>
      </c>
      <c r="C1183" s="392">
        <v>93103</v>
      </c>
      <c r="D1183" s="392"/>
      <c r="H1183" s="302"/>
      <c r="J1183" s="389"/>
      <c r="K1183" s="302"/>
      <c r="Q1183" s="302"/>
    </row>
    <row r="1184" spans="1:17">
      <c r="A1184" s="392"/>
      <c r="B1184" s="407" t="s">
        <v>1963</v>
      </c>
      <c r="C1184" s="392">
        <v>93211</v>
      </c>
      <c r="D1184" s="392"/>
      <c r="H1184" s="302"/>
      <c r="J1184" s="389"/>
      <c r="K1184" s="302"/>
      <c r="Q1184" s="302"/>
    </row>
    <row r="1185" spans="1:17">
      <c r="A1185" s="392"/>
      <c r="B1185" s="407" t="s">
        <v>1026</v>
      </c>
      <c r="C1185" s="392">
        <v>93212</v>
      </c>
      <c r="D1185" s="392"/>
      <c r="H1185" s="302"/>
      <c r="J1185" s="390"/>
      <c r="K1185" s="302"/>
      <c r="Q1185" s="302"/>
    </row>
    <row r="1186" spans="1:17">
      <c r="A1186" s="392"/>
      <c r="B1186" s="407" t="s">
        <v>1021</v>
      </c>
      <c r="C1186" s="392">
        <v>93201</v>
      </c>
      <c r="D1186" s="392"/>
      <c r="H1186" s="302"/>
      <c r="J1186" s="389"/>
      <c r="K1186" s="302"/>
      <c r="Q1186" s="302"/>
    </row>
    <row r="1187" spans="1:17">
      <c r="A1187" s="392"/>
      <c r="B1187" s="407" t="s">
        <v>1023</v>
      </c>
      <c r="C1187" s="392">
        <v>93204</v>
      </c>
      <c r="D1187" s="392"/>
      <c r="H1187" s="302"/>
      <c r="J1187" s="389"/>
      <c r="K1187" s="302"/>
      <c r="Q1187" s="302"/>
    </row>
    <row r="1188" spans="1:17">
      <c r="A1188" s="392"/>
      <c r="B1188" s="407" t="s">
        <v>1550</v>
      </c>
      <c r="C1188" s="392">
        <v>99212</v>
      </c>
      <c r="D1188" s="392"/>
      <c r="H1188" s="302"/>
      <c r="J1188" s="389"/>
      <c r="K1188" s="302"/>
      <c r="Q1188" s="302"/>
    </row>
    <row r="1189" spans="1:17">
      <c r="A1189" s="392"/>
      <c r="B1189" s="407" t="s">
        <v>1349</v>
      </c>
      <c r="C1189" s="392">
        <v>97005</v>
      </c>
      <c r="D1189" s="392"/>
      <c r="H1189" s="302"/>
      <c r="J1189" s="389"/>
      <c r="K1189" s="302"/>
      <c r="Q1189" s="302"/>
    </row>
    <row r="1190" spans="1:17">
      <c r="A1190" s="392"/>
      <c r="B1190" s="407" t="s">
        <v>2113</v>
      </c>
      <c r="C1190" s="392">
        <v>99931</v>
      </c>
      <c r="D1190" s="392"/>
      <c r="H1190" s="302"/>
      <c r="J1190" s="389"/>
      <c r="K1190" s="302"/>
      <c r="Q1190" s="302"/>
    </row>
    <row r="1191" spans="1:17">
      <c r="A1191" s="392"/>
      <c r="B1191" s="407" t="s">
        <v>1618</v>
      </c>
      <c r="C1191" s="392">
        <v>92509</v>
      </c>
      <c r="D1191" s="392"/>
      <c r="H1191" s="302"/>
      <c r="J1191" s="389"/>
      <c r="K1191" s="302"/>
      <c r="Q1191" s="302"/>
    </row>
    <row r="1192" spans="1:17">
      <c r="A1192" s="392"/>
      <c r="B1192" s="407" t="s">
        <v>2114</v>
      </c>
      <c r="C1192" s="392">
        <v>98021</v>
      </c>
      <c r="D1192" s="392"/>
      <c r="H1192" s="302"/>
      <c r="J1192" s="389"/>
      <c r="K1192" s="302"/>
      <c r="Q1192" s="302"/>
    </row>
    <row r="1193" spans="1:17">
      <c r="A1193" s="392"/>
      <c r="B1193" s="407" t="s">
        <v>1450</v>
      </c>
      <c r="C1193" s="392">
        <v>98023</v>
      </c>
      <c r="D1193" s="392"/>
      <c r="H1193" s="302"/>
      <c r="J1193" s="389"/>
      <c r="K1193" s="302"/>
      <c r="Q1193" s="302"/>
    </row>
    <row r="1194" spans="1:17">
      <c r="A1194" s="392"/>
      <c r="B1194" s="407" t="s">
        <v>2026</v>
      </c>
      <c r="C1194" s="220">
        <v>70505</v>
      </c>
      <c r="D1194" s="392"/>
      <c r="H1194" s="302"/>
      <c r="J1194" s="390"/>
      <c r="K1194" s="302"/>
      <c r="Q1194" s="302"/>
    </row>
    <row r="1195" spans="1:17">
      <c r="A1195" s="392"/>
      <c r="B1195" s="407" t="s">
        <v>2772</v>
      </c>
      <c r="C1195" s="392">
        <v>99603</v>
      </c>
      <c r="D1195" s="392"/>
      <c r="H1195" s="302"/>
      <c r="J1195" s="389"/>
      <c r="K1195" s="302"/>
      <c r="Q1195" s="302"/>
    </row>
    <row r="1196" spans="1:17">
      <c r="A1196" s="392"/>
      <c r="B1196" s="407" t="s">
        <v>1587</v>
      </c>
      <c r="C1196" s="392">
        <v>99610</v>
      </c>
      <c r="D1196" s="392"/>
      <c r="H1196" s="302"/>
      <c r="J1196" s="389"/>
      <c r="K1196" s="302"/>
      <c r="Q1196" s="302"/>
    </row>
    <row r="1197" spans="1:17">
      <c r="A1197" s="392"/>
      <c r="B1197" s="407" t="s">
        <v>2115</v>
      </c>
      <c r="C1197" s="392">
        <v>92681</v>
      </c>
      <c r="D1197" s="392"/>
      <c r="H1197" s="302"/>
      <c r="J1197" s="390"/>
      <c r="K1197" s="302"/>
      <c r="Q1197" s="302"/>
    </row>
    <row r="1198" spans="1:17">
      <c r="A1198" s="392"/>
      <c r="B1198" s="407" t="s">
        <v>1008</v>
      </c>
      <c r="C1198" s="392">
        <v>93108</v>
      </c>
      <c r="D1198" s="392"/>
      <c r="H1198" s="302"/>
      <c r="J1198" s="389"/>
      <c r="K1198" s="302"/>
      <c r="Q1198" s="302"/>
    </row>
    <row r="1199" spans="1:17">
      <c r="A1199" s="392"/>
      <c r="B1199" s="407" t="s">
        <v>1964</v>
      </c>
      <c r="C1199" s="392">
        <v>97951</v>
      </c>
      <c r="D1199" s="392"/>
      <c r="H1199" s="302"/>
      <c r="J1199" s="389"/>
      <c r="K1199" s="302"/>
      <c r="Q1199" s="302"/>
    </row>
    <row r="1200" spans="1:17">
      <c r="A1200" s="392"/>
      <c r="B1200" s="407" t="s">
        <v>1441</v>
      </c>
      <c r="C1200" s="392">
        <v>97957</v>
      </c>
      <c r="D1200" s="392"/>
      <c r="H1200" s="302"/>
      <c r="J1200" s="389"/>
      <c r="K1200" s="302"/>
      <c r="Q1200" s="302"/>
    </row>
    <row r="1201" spans="1:17">
      <c r="A1201" s="392"/>
      <c r="B1201" s="407" t="s">
        <v>2116</v>
      </c>
      <c r="C1201" s="392">
        <v>92111</v>
      </c>
      <c r="D1201" s="392"/>
      <c r="H1201" s="302"/>
      <c r="J1201" s="389"/>
      <c r="K1201" s="302"/>
      <c r="Q1201" s="302"/>
    </row>
    <row r="1202" spans="1:17">
      <c r="A1202" s="392"/>
      <c r="B1202" s="407" t="s">
        <v>1028</v>
      </c>
      <c r="C1202" s="392">
        <v>93301</v>
      </c>
      <c r="D1202" s="392"/>
      <c r="H1202" s="302"/>
      <c r="J1202" s="389"/>
      <c r="K1202" s="302"/>
      <c r="Q1202" s="302"/>
    </row>
    <row r="1203" spans="1:17">
      <c r="A1203" s="392"/>
      <c r="B1203" s="407" t="s">
        <v>1029</v>
      </c>
      <c r="C1203" s="392">
        <v>93304</v>
      </c>
      <c r="D1203" s="392"/>
      <c r="H1203" s="302"/>
      <c r="J1203" s="389"/>
      <c r="K1203" s="302"/>
      <c r="Q1203" s="302"/>
    </row>
    <row r="1204" spans="1:17">
      <c r="A1204" s="392"/>
      <c r="B1204" s="407" t="s">
        <v>1030</v>
      </c>
      <c r="C1204" s="392">
        <v>93305</v>
      </c>
      <c r="D1204" s="392"/>
      <c r="H1204" s="302"/>
      <c r="J1204" s="389"/>
      <c r="K1204" s="302"/>
      <c r="Q1204" s="302"/>
    </row>
    <row r="1205" spans="1:17">
      <c r="A1205" s="392"/>
      <c r="B1205" s="407" t="s">
        <v>1548</v>
      </c>
      <c r="C1205" s="392">
        <v>99210</v>
      </c>
      <c r="D1205" s="392"/>
      <c r="H1205" s="302"/>
      <c r="J1205" s="389"/>
      <c r="K1205" s="302"/>
      <c r="Q1205" s="302"/>
    </row>
    <row r="1206" spans="1:17">
      <c r="A1206" s="392"/>
      <c r="B1206" s="407" t="s">
        <v>1352</v>
      </c>
      <c r="C1206" s="392">
        <v>97011</v>
      </c>
      <c r="D1206" s="392"/>
      <c r="H1206" s="302"/>
      <c r="J1206" s="390"/>
      <c r="K1206" s="302"/>
      <c r="Q1206" s="302"/>
    </row>
    <row r="1207" spans="1:17">
      <c r="A1207" s="392"/>
      <c r="B1207" s="407" t="s">
        <v>1354</v>
      </c>
      <c r="C1207" s="392">
        <v>97013</v>
      </c>
      <c r="D1207" s="392"/>
      <c r="H1207" s="302"/>
      <c r="J1207" s="389"/>
      <c r="K1207" s="302"/>
      <c r="Q1207" s="302"/>
    </row>
    <row r="1208" spans="1:17">
      <c r="A1208" s="392"/>
      <c r="B1208" s="407" t="s">
        <v>2768</v>
      </c>
      <c r="C1208" s="392">
        <v>97012</v>
      </c>
      <c r="D1208" s="392"/>
      <c r="H1208" s="302"/>
      <c r="J1208" s="389"/>
      <c r="K1208" s="302"/>
      <c r="Q1208" s="302"/>
    </row>
    <row r="1209" spans="1:17">
      <c r="A1209" s="392"/>
      <c r="B1209" s="407" t="s">
        <v>1356</v>
      </c>
      <c r="C1209" s="392">
        <v>97018</v>
      </c>
      <c r="D1209" s="392"/>
      <c r="H1209" s="302"/>
      <c r="J1209" s="390"/>
      <c r="K1209" s="302"/>
      <c r="Q1209" s="302"/>
    </row>
    <row r="1210" spans="1:17">
      <c r="A1210" s="392"/>
      <c r="B1210" s="407" t="s">
        <v>2117</v>
      </c>
      <c r="C1210" s="392">
        <v>90911</v>
      </c>
      <c r="D1210" s="392"/>
      <c r="H1210" s="302"/>
      <c r="J1210" s="389"/>
      <c r="K1210" s="302"/>
      <c r="Q1210" s="302"/>
    </row>
    <row r="1211" spans="1:17">
      <c r="A1211" s="392"/>
      <c r="B1211" s="407" t="s">
        <v>794</v>
      </c>
      <c r="C1211" s="392">
        <v>90917</v>
      </c>
      <c r="D1211" s="392"/>
      <c r="H1211" s="302"/>
      <c r="J1211" s="389"/>
      <c r="K1211" s="302"/>
      <c r="Q1211" s="302"/>
    </row>
    <row r="1212" spans="1:17">
      <c r="A1212" s="392"/>
      <c r="B1212" s="407" t="s">
        <v>2118</v>
      </c>
      <c r="C1212" s="392">
        <v>90641</v>
      </c>
      <c r="D1212" s="392"/>
      <c r="H1212" s="302"/>
      <c r="J1212" s="389"/>
      <c r="K1212" s="302"/>
      <c r="Q1212" s="302"/>
    </row>
    <row r="1213" spans="1:17">
      <c r="A1213" s="392"/>
      <c r="B1213" s="407" t="s">
        <v>2119</v>
      </c>
      <c r="C1213" s="392">
        <v>98641</v>
      </c>
      <c r="D1213" s="392"/>
      <c r="H1213" s="302"/>
      <c r="J1213" s="389"/>
      <c r="K1213" s="302"/>
      <c r="Q1213" s="302"/>
    </row>
    <row r="1214" spans="1:17">
      <c r="A1214" s="392"/>
      <c r="B1214" s="407" t="s">
        <v>3520</v>
      </c>
      <c r="C1214" s="392" t="s">
        <v>3518</v>
      </c>
      <c r="D1214" s="392"/>
      <c r="H1214" s="302"/>
      <c r="J1214" s="389"/>
      <c r="K1214" s="302"/>
      <c r="Q1214" s="302"/>
    </row>
    <row r="1215" spans="1:17">
      <c r="A1215" s="392"/>
      <c r="B1215" s="407" t="s">
        <v>2120</v>
      </c>
      <c r="C1215" s="392">
        <v>98161</v>
      </c>
      <c r="D1215" s="392"/>
      <c r="H1215" s="302"/>
      <c r="J1215" s="389"/>
      <c r="K1215" s="302"/>
      <c r="Q1215" s="302"/>
    </row>
    <row r="1216" spans="1:17">
      <c r="A1216" s="392"/>
      <c r="B1216" s="407" t="s">
        <v>2121</v>
      </c>
      <c r="C1216" s="392">
        <v>97731</v>
      </c>
      <c r="D1216" s="392"/>
      <c r="H1216" s="302"/>
      <c r="J1216" s="389"/>
      <c r="K1216" s="302"/>
      <c r="Q1216" s="302"/>
    </row>
    <row r="1217" spans="1:17">
      <c r="A1217" s="392"/>
      <c r="B1217" s="407" t="s">
        <v>2122</v>
      </c>
      <c r="C1217" s="392">
        <v>99851</v>
      </c>
      <c r="D1217" s="392"/>
      <c r="H1217" s="302"/>
      <c r="J1217" s="389"/>
      <c r="K1217" s="302"/>
      <c r="Q1217" s="302"/>
    </row>
    <row r="1218" spans="1:17">
      <c r="A1218" s="392"/>
      <c r="B1218" s="407" t="s">
        <v>2123</v>
      </c>
      <c r="C1218" s="392">
        <v>90131</v>
      </c>
      <c r="D1218" s="392"/>
      <c r="H1218" s="302"/>
      <c r="J1218" s="390"/>
      <c r="K1218" s="302"/>
      <c r="Q1218" s="302"/>
    </row>
    <row r="1219" spans="1:17">
      <c r="A1219" s="392"/>
      <c r="B1219" s="407" t="s">
        <v>2124</v>
      </c>
      <c r="C1219" s="392">
        <v>91651</v>
      </c>
      <c r="D1219" s="392"/>
      <c r="H1219" s="302"/>
      <c r="J1219" s="389"/>
      <c r="K1219" s="302"/>
      <c r="Q1219" s="302"/>
    </row>
    <row r="1220" spans="1:17">
      <c r="A1220" s="392"/>
      <c r="B1220" s="407" t="s">
        <v>2125</v>
      </c>
      <c r="C1220" s="392">
        <v>94211</v>
      </c>
      <c r="D1220" s="392"/>
      <c r="H1220" s="302"/>
      <c r="J1220" s="389"/>
      <c r="K1220" s="302"/>
      <c r="Q1220" s="302"/>
    </row>
    <row r="1221" spans="1:17">
      <c r="A1221" s="392"/>
      <c r="B1221" s="407" t="s">
        <v>2126</v>
      </c>
      <c r="C1221" s="392">
        <v>94331</v>
      </c>
      <c r="D1221" s="392"/>
      <c r="H1221" s="302"/>
      <c r="J1221" s="390"/>
      <c r="K1221" s="302"/>
      <c r="Q1221" s="302"/>
    </row>
    <row r="1222" spans="1:17">
      <c r="A1222" s="392"/>
      <c r="B1222" s="407" t="s">
        <v>2127</v>
      </c>
      <c r="C1222" s="392">
        <v>92431</v>
      </c>
      <c r="D1222" s="392"/>
      <c r="H1222" s="302"/>
      <c r="J1222" s="389"/>
      <c r="K1222" s="302"/>
      <c r="Q1222" s="302"/>
    </row>
    <row r="1223" spans="1:17">
      <c r="A1223" s="392"/>
      <c r="B1223" s="407" t="s">
        <v>2128</v>
      </c>
      <c r="C1223" s="392">
        <v>97821</v>
      </c>
      <c r="D1223" s="392"/>
      <c r="H1223" s="302"/>
      <c r="J1223" s="389"/>
      <c r="K1223" s="302"/>
      <c r="Q1223" s="302"/>
    </row>
    <row r="1224" spans="1:17">
      <c r="A1224" s="392"/>
      <c r="B1224" s="407" t="s">
        <v>1420</v>
      </c>
      <c r="C1224" s="392">
        <v>97823</v>
      </c>
      <c r="D1224" s="392"/>
      <c r="H1224" s="302"/>
      <c r="J1224" s="389"/>
      <c r="K1224" s="302"/>
      <c r="Q1224" s="302"/>
    </row>
    <row r="1225" spans="1:17">
      <c r="A1225" s="392"/>
      <c r="B1225" s="407" t="s">
        <v>2129</v>
      </c>
      <c r="C1225" s="392">
        <v>93141</v>
      </c>
      <c r="D1225" s="392"/>
      <c r="H1225" s="302"/>
      <c r="J1225" s="389"/>
      <c r="K1225" s="302"/>
      <c r="Q1225" s="302"/>
    </row>
    <row r="1226" spans="1:17">
      <c r="A1226" s="392"/>
      <c r="B1226" s="407" t="s">
        <v>2130</v>
      </c>
      <c r="C1226" s="392">
        <v>98081</v>
      </c>
      <c r="D1226" s="392"/>
      <c r="H1226" s="302"/>
      <c r="J1226" s="389"/>
      <c r="K1226" s="302"/>
      <c r="Q1226" s="302"/>
    </row>
    <row r="1227" spans="1:17">
      <c r="A1227" s="392"/>
      <c r="B1227" s="407" t="s">
        <v>2131</v>
      </c>
      <c r="C1227" s="392">
        <v>92671</v>
      </c>
      <c r="D1227" s="392"/>
      <c r="H1227" s="302"/>
      <c r="J1227" s="389"/>
      <c r="K1227" s="302"/>
      <c r="Q1227" s="302"/>
    </row>
    <row r="1228" spans="1:17">
      <c r="A1228" s="392"/>
      <c r="B1228" s="407" t="s">
        <v>2132</v>
      </c>
      <c r="C1228" s="392">
        <v>97421</v>
      </c>
      <c r="D1228" s="392"/>
      <c r="H1228" s="302"/>
      <c r="J1228" s="389"/>
      <c r="K1228" s="302"/>
      <c r="Q1228" s="302"/>
    </row>
    <row r="1229" spans="1:17">
      <c r="A1229" s="392"/>
      <c r="B1229" s="407" t="s">
        <v>1379</v>
      </c>
      <c r="C1229" s="392">
        <v>97423</v>
      </c>
      <c r="D1229" s="392"/>
      <c r="H1229" s="302"/>
      <c r="J1229" s="389"/>
      <c r="K1229" s="302"/>
      <c r="Q1229" s="302"/>
    </row>
    <row r="1230" spans="1:17">
      <c r="A1230" s="392"/>
      <c r="B1230" s="407" t="s">
        <v>1965</v>
      </c>
      <c r="C1230" s="392">
        <v>92611</v>
      </c>
      <c r="D1230" s="392"/>
      <c r="H1230" s="302"/>
      <c r="J1230" s="390"/>
      <c r="K1230" s="302"/>
      <c r="Q1230" s="302"/>
    </row>
    <row r="1231" spans="1:17">
      <c r="A1231" s="392"/>
      <c r="B1231" s="407" t="s">
        <v>2761</v>
      </c>
      <c r="C1231" s="392">
        <v>92613</v>
      </c>
      <c r="D1231" s="392"/>
      <c r="H1231" s="302"/>
      <c r="J1231" s="389"/>
      <c r="K1231" s="302"/>
      <c r="Q1231" s="302"/>
    </row>
    <row r="1232" spans="1:17">
      <c r="A1232" s="392"/>
      <c r="B1232" s="407" t="s">
        <v>2794</v>
      </c>
      <c r="C1232" s="392">
        <v>92614</v>
      </c>
      <c r="D1232" s="392"/>
      <c r="H1232" s="302"/>
      <c r="J1232" s="389"/>
      <c r="K1232" s="302"/>
      <c r="Q1232" s="302"/>
    </row>
    <row r="1233" spans="1:17">
      <c r="A1233" s="392"/>
      <c r="B1233" s="407" t="s">
        <v>954</v>
      </c>
      <c r="C1233" s="392">
        <v>92502</v>
      </c>
      <c r="D1233" s="392"/>
      <c r="H1233" s="302"/>
      <c r="J1233" s="390"/>
      <c r="K1233" s="302"/>
      <c r="Q1233" s="302"/>
    </row>
    <row r="1234" spans="1:17">
      <c r="A1234" s="392"/>
      <c r="B1234" s="407" t="s">
        <v>2502</v>
      </c>
      <c r="C1234" s="392">
        <v>94531</v>
      </c>
      <c r="D1234" s="392"/>
      <c r="H1234" s="302"/>
      <c r="J1234" s="389"/>
      <c r="K1234" s="302"/>
      <c r="Q1234" s="302"/>
    </row>
    <row r="1235" spans="1:17">
      <c r="A1235" s="392"/>
      <c r="B1235" s="407" t="s">
        <v>2503</v>
      </c>
      <c r="C1235" s="392">
        <v>94541</v>
      </c>
      <c r="D1235" s="392"/>
      <c r="H1235" s="302"/>
      <c r="J1235" s="389"/>
      <c r="K1235" s="302"/>
      <c r="Q1235" s="302"/>
    </row>
    <row r="1236" spans="1:17">
      <c r="A1236" s="392"/>
      <c r="B1236" s="407" t="s">
        <v>1158</v>
      </c>
      <c r="C1236" s="392">
        <v>94547</v>
      </c>
      <c r="D1236" s="392"/>
      <c r="H1236" s="302"/>
      <c r="J1236" s="389"/>
      <c r="K1236" s="302"/>
      <c r="Q1236" s="302"/>
    </row>
    <row r="1237" spans="1:17">
      <c r="A1237" s="392"/>
      <c r="B1237" s="407" t="s">
        <v>1184</v>
      </c>
      <c r="C1237" s="392">
        <v>95005</v>
      </c>
      <c r="D1237" s="392"/>
      <c r="H1237" s="302"/>
      <c r="J1237" s="389"/>
      <c r="K1237" s="302"/>
      <c r="Q1237" s="302"/>
    </row>
    <row r="1238" spans="1:17">
      <c r="A1238" s="392"/>
      <c r="B1238" s="407" t="s">
        <v>2504</v>
      </c>
      <c r="C1238" s="392">
        <v>98111</v>
      </c>
      <c r="D1238" s="392"/>
      <c r="H1238" s="302"/>
      <c r="J1238" s="389"/>
      <c r="K1238" s="302"/>
      <c r="Q1238" s="302"/>
    </row>
    <row r="1239" spans="1:17">
      <c r="A1239" s="392"/>
      <c r="B1239" s="407" t="s">
        <v>1461</v>
      </c>
      <c r="C1239" s="392">
        <v>98107</v>
      </c>
      <c r="D1239" s="392"/>
      <c r="H1239" s="302"/>
      <c r="J1239" s="389"/>
      <c r="K1239" s="302"/>
      <c r="Q1239" s="302"/>
    </row>
    <row r="1240" spans="1:17">
      <c r="A1240" s="392"/>
      <c r="B1240" s="407" t="s">
        <v>1464</v>
      </c>
      <c r="C1240" s="392">
        <v>98113</v>
      </c>
      <c r="D1240" s="392"/>
      <c r="H1240" s="302"/>
      <c r="J1240" s="389"/>
      <c r="K1240" s="302"/>
      <c r="Q1240" s="302"/>
    </row>
    <row r="1241" spans="1:17">
      <c r="A1241" s="392"/>
      <c r="B1241" s="407" t="s">
        <v>1583</v>
      </c>
      <c r="C1241" s="392">
        <v>99602</v>
      </c>
      <c r="D1241" s="392"/>
      <c r="H1241" s="302"/>
      <c r="J1241" s="389"/>
      <c r="K1241" s="302"/>
      <c r="Q1241" s="302"/>
    </row>
    <row r="1242" spans="1:17">
      <c r="A1242" s="392"/>
      <c r="B1242" s="407" t="s">
        <v>1040</v>
      </c>
      <c r="C1242" s="392">
        <v>93401</v>
      </c>
      <c r="D1242" s="392"/>
      <c r="H1242" s="302"/>
      <c r="J1242" s="390"/>
      <c r="K1242" s="302"/>
      <c r="Q1242" s="302"/>
    </row>
    <row r="1243" spans="1:17">
      <c r="A1243" s="392"/>
      <c r="B1243" s="407" t="s">
        <v>3506</v>
      </c>
      <c r="C1243" s="392">
        <v>97491</v>
      </c>
      <c r="D1243" s="392"/>
      <c r="H1243" s="302"/>
      <c r="J1243" s="389"/>
      <c r="K1243" s="302"/>
      <c r="Q1243" s="302"/>
    </row>
    <row r="1244" spans="1:17">
      <c r="A1244" s="392"/>
      <c r="B1244" s="407" t="s">
        <v>2505</v>
      </c>
      <c r="C1244" s="392">
        <v>95151</v>
      </c>
      <c r="D1244" s="392"/>
      <c r="H1244" s="302"/>
      <c r="J1244" s="389"/>
      <c r="K1244" s="302"/>
      <c r="Q1244" s="302"/>
    </row>
    <row r="1245" spans="1:17">
      <c r="A1245" s="392"/>
      <c r="B1245" s="407" t="s">
        <v>1294</v>
      </c>
      <c r="C1245" s="392">
        <v>96381</v>
      </c>
      <c r="D1245" s="392"/>
      <c r="H1245" s="302"/>
      <c r="J1245" s="390"/>
      <c r="K1245" s="302"/>
      <c r="Q1245" s="302"/>
    </row>
    <row r="1246" spans="1:17">
      <c r="A1246" s="392"/>
      <c r="B1246" s="407" t="s">
        <v>2506</v>
      </c>
      <c r="C1246" s="392">
        <v>95611</v>
      </c>
      <c r="D1246" s="392"/>
      <c r="H1246" s="302"/>
      <c r="J1246" s="389"/>
      <c r="K1246" s="302"/>
      <c r="Q1246" s="302"/>
    </row>
    <row r="1247" spans="1:17">
      <c r="A1247" s="392"/>
      <c r="B1247" s="407" t="s">
        <v>1054</v>
      </c>
      <c r="C1247" s="392">
        <v>93501</v>
      </c>
      <c r="D1247" s="392"/>
      <c r="H1247" s="302"/>
      <c r="J1247" s="389"/>
      <c r="K1247" s="302"/>
      <c r="Q1247" s="302"/>
    </row>
    <row r="1248" spans="1:17">
      <c r="A1248" s="392"/>
      <c r="B1248" s="407" t="s">
        <v>2507</v>
      </c>
      <c r="C1248" s="392">
        <v>93511</v>
      </c>
      <c r="D1248" s="392"/>
      <c r="H1248" s="302"/>
      <c r="J1248" s="389"/>
      <c r="K1248" s="302"/>
      <c r="Q1248" s="302"/>
    </row>
    <row r="1249" spans="1:17">
      <c r="A1249" s="392"/>
      <c r="B1249" s="407" t="s">
        <v>1056</v>
      </c>
      <c r="C1249" s="392">
        <v>93517</v>
      </c>
      <c r="D1249" s="392"/>
      <c r="H1249" s="302"/>
      <c r="J1249" s="389"/>
      <c r="K1249" s="302"/>
      <c r="Q1249" s="302"/>
    </row>
    <row r="1250" spans="1:17">
      <c r="A1250" s="392"/>
      <c r="B1250" s="407" t="s">
        <v>2508</v>
      </c>
      <c r="C1250" s="392">
        <v>99631</v>
      </c>
      <c r="D1250" s="392"/>
      <c r="H1250" s="302"/>
      <c r="J1250" s="389"/>
      <c r="K1250" s="302"/>
      <c r="Q1250" s="302"/>
    </row>
    <row r="1251" spans="1:17">
      <c r="A1251" s="392"/>
      <c r="B1251" s="407" t="s">
        <v>2509</v>
      </c>
      <c r="C1251" s="392">
        <v>99261</v>
      </c>
      <c r="D1251" s="392"/>
      <c r="H1251" s="302"/>
      <c r="J1251" s="390"/>
      <c r="K1251" s="302"/>
      <c r="Q1251" s="302"/>
    </row>
    <row r="1252" spans="1:17">
      <c r="A1252" s="392"/>
      <c r="B1252" s="407" t="s">
        <v>2510</v>
      </c>
      <c r="C1252" s="392">
        <v>98241</v>
      </c>
      <c r="D1252" s="392"/>
      <c r="H1252" s="302"/>
      <c r="J1252" s="389"/>
      <c r="K1252" s="302"/>
      <c r="Q1252" s="302"/>
    </row>
    <row r="1253" spans="1:17">
      <c r="A1253" s="392"/>
      <c r="B1253" s="407" t="s">
        <v>2511</v>
      </c>
      <c r="C1253" s="392">
        <v>99251</v>
      </c>
      <c r="D1253" s="392"/>
      <c r="H1253" s="302"/>
      <c r="J1253" s="389"/>
      <c r="K1253" s="302"/>
      <c r="Q1253" s="302"/>
    </row>
    <row r="1254" spans="1:17">
      <c r="A1254" s="392"/>
      <c r="B1254" s="407" t="s">
        <v>1558</v>
      </c>
      <c r="C1254" s="392">
        <v>99252</v>
      </c>
      <c r="D1254" s="392"/>
      <c r="H1254" s="302"/>
      <c r="J1254" s="389"/>
      <c r="K1254" s="302"/>
      <c r="Q1254" s="302"/>
    </row>
    <row r="1255" spans="1:17">
      <c r="A1255" s="392"/>
      <c r="B1255" s="407" t="s">
        <v>2512</v>
      </c>
      <c r="C1255" s="392">
        <v>96631</v>
      </c>
      <c r="D1255" s="392"/>
      <c r="H1255" s="302"/>
      <c r="J1255" s="389"/>
      <c r="K1255" s="302"/>
      <c r="Q1255" s="302"/>
    </row>
    <row r="1256" spans="1:17">
      <c r="A1256" s="392"/>
      <c r="B1256" s="407" t="s">
        <v>2513</v>
      </c>
      <c r="C1256" s="392">
        <v>96651</v>
      </c>
      <c r="D1256" s="392"/>
      <c r="H1256" s="302"/>
      <c r="J1256" s="389"/>
      <c r="K1256" s="302"/>
      <c r="Q1256" s="302"/>
    </row>
    <row r="1257" spans="1:17">
      <c r="A1257" s="392"/>
      <c r="B1257" s="407" t="s">
        <v>1062</v>
      </c>
      <c r="C1257" s="392">
        <v>93601</v>
      </c>
      <c r="D1257" s="392"/>
      <c r="H1257" s="302"/>
      <c r="J1257" s="389"/>
      <c r="K1257" s="302"/>
      <c r="Q1257" s="302"/>
    </row>
    <row r="1258" spans="1:17">
      <c r="A1258" s="392"/>
      <c r="B1258" s="407" t="s">
        <v>1068</v>
      </c>
      <c r="C1258" s="392">
        <v>93618</v>
      </c>
      <c r="D1258" s="392"/>
      <c r="H1258" s="302"/>
      <c r="J1258" s="389"/>
      <c r="K1258" s="302"/>
      <c r="Q1258" s="302"/>
    </row>
    <row r="1259" spans="1:17">
      <c r="A1259" s="392"/>
      <c r="B1259" s="407" t="s">
        <v>1966</v>
      </c>
      <c r="C1259" s="392">
        <v>93611</v>
      </c>
      <c r="D1259" s="392"/>
      <c r="H1259" s="302"/>
      <c r="J1259" s="389"/>
      <c r="K1259" s="302"/>
      <c r="Q1259" s="302"/>
    </row>
    <row r="1260" spans="1:17">
      <c r="A1260" s="392"/>
      <c r="B1260" s="407" t="s">
        <v>1067</v>
      </c>
      <c r="C1260" s="392">
        <v>93617</v>
      </c>
      <c r="D1260" s="392"/>
      <c r="H1260" s="302"/>
      <c r="J1260" s="390"/>
      <c r="K1260" s="302"/>
      <c r="Q1260" s="302"/>
    </row>
    <row r="1261" spans="1:17">
      <c r="A1261" s="392"/>
      <c r="B1261" s="407" t="s">
        <v>1079</v>
      </c>
      <c r="C1261" s="392">
        <v>93701</v>
      </c>
      <c r="D1261" s="392"/>
      <c r="H1261" s="302"/>
      <c r="J1261" s="389"/>
      <c r="K1261" s="302"/>
      <c r="Q1261" s="302"/>
    </row>
    <row r="1262" spans="1:17">
      <c r="A1262" s="392"/>
      <c r="B1262" s="407" t="s">
        <v>1080</v>
      </c>
      <c r="C1262" s="392">
        <v>93704</v>
      </c>
      <c r="D1262" s="392"/>
      <c r="H1262" s="302"/>
      <c r="J1262" s="389"/>
      <c r="K1262" s="302"/>
      <c r="Q1262" s="302"/>
    </row>
    <row r="1263" spans="1:17">
      <c r="A1263" s="392"/>
      <c r="B1263" s="407" t="s">
        <v>2514</v>
      </c>
      <c r="C1263" s="392">
        <v>98331</v>
      </c>
      <c r="D1263" s="392"/>
      <c r="H1263" s="302"/>
      <c r="J1263" s="390"/>
      <c r="K1263" s="302"/>
      <c r="Q1263" s="302"/>
    </row>
    <row r="1264" spans="1:17">
      <c r="A1264" s="392"/>
      <c r="B1264" s="407" t="s">
        <v>2515</v>
      </c>
      <c r="C1264" s="392">
        <v>94151</v>
      </c>
      <c r="D1264" s="392"/>
      <c r="H1264" s="302"/>
      <c r="J1264" s="389"/>
      <c r="K1264" s="302"/>
      <c r="Q1264" s="302"/>
    </row>
    <row r="1265" spans="1:17">
      <c r="A1265" s="392"/>
      <c r="B1265" s="407" t="s">
        <v>1114</v>
      </c>
      <c r="C1265" s="392">
        <v>94157</v>
      </c>
      <c r="D1265" s="392"/>
      <c r="H1265" s="302"/>
      <c r="J1265" s="389"/>
      <c r="K1265" s="302"/>
      <c r="Q1265" s="302"/>
    </row>
    <row r="1266" spans="1:17">
      <c r="A1266" s="392"/>
      <c r="B1266" s="407" t="s">
        <v>2516</v>
      </c>
      <c r="C1266" s="392">
        <v>91241</v>
      </c>
      <c r="D1266" s="392"/>
      <c r="H1266" s="302"/>
      <c r="J1266" s="389"/>
      <c r="K1266" s="302"/>
      <c r="Q1266" s="302"/>
    </row>
    <row r="1267" spans="1:17">
      <c r="A1267" s="392"/>
      <c r="B1267" s="407" t="s">
        <v>1220</v>
      </c>
      <c r="C1267" s="392">
        <v>95412</v>
      </c>
      <c r="D1267" s="392"/>
      <c r="H1267" s="302"/>
      <c r="J1267" s="389"/>
      <c r="K1267" s="302"/>
      <c r="Q1267" s="302"/>
    </row>
    <row r="1268" spans="1:17">
      <c r="A1268" s="392"/>
      <c r="B1268" s="407" t="s">
        <v>1967</v>
      </c>
      <c r="C1268" s="392">
        <v>99611</v>
      </c>
      <c r="D1268" s="392"/>
      <c r="H1268" s="302"/>
      <c r="J1268" s="389"/>
      <c r="K1268" s="302"/>
      <c r="Q1268" s="302"/>
    </row>
    <row r="1269" spans="1:17">
      <c r="A1269" s="392"/>
      <c r="B1269" s="407" t="s">
        <v>2810</v>
      </c>
      <c r="C1269" s="392">
        <v>99613</v>
      </c>
      <c r="D1269" s="392"/>
      <c r="H1269" s="302"/>
      <c r="J1269" s="389"/>
      <c r="K1269" s="302"/>
      <c r="Q1269" s="302"/>
    </row>
    <row r="1270" spans="1:17">
      <c r="A1270" s="392"/>
      <c r="B1270" s="407" t="s">
        <v>918</v>
      </c>
      <c r="C1270" s="392">
        <v>91908</v>
      </c>
      <c r="D1270" s="392"/>
      <c r="H1270" s="302"/>
      <c r="J1270" s="389"/>
      <c r="K1270" s="302"/>
      <c r="Q1270" s="302"/>
    </row>
    <row r="1271" spans="1:17">
      <c r="A1271" s="392"/>
      <c r="B1271" s="407" t="s">
        <v>1969</v>
      </c>
      <c r="C1271" s="392">
        <v>90121</v>
      </c>
      <c r="D1271" s="392"/>
      <c r="H1271" s="302"/>
      <c r="J1271" s="389"/>
      <c r="K1271" s="302"/>
      <c r="Q1271" s="302"/>
    </row>
    <row r="1272" spans="1:17">
      <c r="A1272" s="392"/>
      <c r="B1272" s="407" t="s">
        <v>1082</v>
      </c>
      <c r="C1272" s="392">
        <v>93803</v>
      </c>
      <c r="D1272" s="392"/>
      <c r="H1272" s="302"/>
      <c r="J1272" s="390"/>
      <c r="K1272" s="302"/>
      <c r="Q1272" s="302"/>
    </row>
    <row r="1273" spans="1:17">
      <c r="A1273" s="392"/>
      <c r="B1273" s="407" t="s">
        <v>1081</v>
      </c>
      <c r="C1273" s="392">
        <v>93801</v>
      </c>
      <c r="D1273" s="392"/>
      <c r="H1273" s="302"/>
      <c r="J1273" s="389"/>
      <c r="K1273" s="302"/>
      <c r="Q1273" s="302"/>
    </row>
    <row r="1274" spans="1:17">
      <c r="A1274" s="392"/>
      <c r="B1274" s="407" t="s">
        <v>1083</v>
      </c>
      <c r="C1274" s="392">
        <v>93806</v>
      </c>
      <c r="D1274" s="392"/>
      <c r="H1274" s="302"/>
      <c r="J1274" s="389"/>
      <c r="K1274" s="302"/>
      <c r="Q1274" s="302"/>
    </row>
    <row r="1275" spans="1:17">
      <c r="A1275" s="392"/>
      <c r="B1275" s="407" t="s">
        <v>2517</v>
      </c>
      <c r="C1275" s="392">
        <v>91411</v>
      </c>
      <c r="D1275" s="392"/>
      <c r="H1275" s="302"/>
      <c r="J1275" s="390"/>
      <c r="K1275" s="302"/>
      <c r="Q1275" s="302"/>
    </row>
    <row r="1276" spans="1:17">
      <c r="A1276" s="392"/>
      <c r="B1276" s="407" t="s">
        <v>874</v>
      </c>
      <c r="C1276" s="392">
        <v>91417</v>
      </c>
      <c r="D1276" s="392"/>
      <c r="H1276" s="302"/>
      <c r="J1276" s="389"/>
      <c r="K1276" s="302"/>
      <c r="Q1276" s="302"/>
    </row>
    <row r="1277" spans="1:17">
      <c r="A1277" s="392"/>
      <c r="B1277" s="407" t="s">
        <v>2518</v>
      </c>
      <c r="C1277" s="392">
        <v>98061</v>
      </c>
      <c r="D1277" s="392"/>
      <c r="H1277" s="302"/>
      <c r="J1277" s="389"/>
      <c r="K1277" s="302"/>
      <c r="Q1277" s="302"/>
    </row>
    <row r="1278" spans="1:17">
      <c r="A1278" s="392"/>
      <c r="B1278" s="407" t="s">
        <v>2815</v>
      </c>
      <c r="C1278" s="392">
        <v>93904</v>
      </c>
      <c r="D1278" s="392"/>
      <c r="H1278" s="302"/>
      <c r="J1278" s="389"/>
      <c r="K1278" s="302"/>
      <c r="Q1278" s="302"/>
    </row>
    <row r="1279" spans="1:17">
      <c r="A1279" s="392"/>
      <c r="B1279" s="407" t="s">
        <v>1085</v>
      </c>
      <c r="C1279" s="392">
        <v>93901</v>
      </c>
      <c r="D1279" s="392"/>
      <c r="H1279" s="302"/>
      <c r="J1279" s="389"/>
      <c r="K1279" s="302"/>
      <c r="Q1279" s="302"/>
    </row>
    <row r="1280" spans="1:17">
      <c r="A1280" s="392"/>
      <c r="B1280" s="407" t="s">
        <v>1087</v>
      </c>
      <c r="C1280" s="392">
        <v>93906</v>
      </c>
      <c r="D1280" s="392"/>
      <c r="H1280" s="302"/>
      <c r="J1280" s="389"/>
      <c r="K1280" s="302"/>
      <c r="Q1280" s="302"/>
    </row>
    <row r="1281" spans="1:17">
      <c r="A1281" s="392"/>
      <c r="B1281" s="407" t="s">
        <v>1088</v>
      </c>
      <c r="C1281" s="392">
        <v>93908</v>
      </c>
      <c r="D1281" s="392"/>
      <c r="H1281" s="302"/>
      <c r="J1281" s="389"/>
      <c r="K1281" s="302"/>
      <c r="Q1281" s="302"/>
    </row>
    <row r="1282" spans="1:17">
      <c r="A1282" s="392"/>
      <c r="B1282" s="407" t="s">
        <v>1174</v>
      </c>
      <c r="C1282" s="392">
        <v>94908</v>
      </c>
      <c r="D1282" s="392"/>
      <c r="H1282" s="302"/>
      <c r="J1282" s="389"/>
      <c r="K1282" s="302"/>
      <c r="Q1282" s="302"/>
    </row>
    <row r="1283" spans="1:17">
      <c r="A1283" s="392"/>
      <c r="B1283" s="407" t="s">
        <v>2519</v>
      </c>
      <c r="C1283" s="392">
        <v>90161</v>
      </c>
      <c r="D1283" s="392"/>
      <c r="H1283" s="302"/>
      <c r="J1283" s="389"/>
      <c r="K1283" s="302"/>
      <c r="Q1283" s="302"/>
    </row>
    <row r="1284" spans="1:17">
      <c r="A1284" s="392"/>
      <c r="B1284" s="407" t="s">
        <v>1095</v>
      </c>
      <c r="C1284" s="392">
        <v>94001</v>
      </c>
      <c r="D1284" s="392"/>
      <c r="H1284" s="302"/>
      <c r="J1284" s="390"/>
      <c r="K1284" s="302"/>
      <c r="Q1284" s="302"/>
    </row>
    <row r="1285" spans="1:17">
      <c r="A1285" s="392"/>
      <c r="B1285" s="407" t="s">
        <v>1097</v>
      </c>
      <c r="C1285" s="392">
        <v>94004</v>
      </c>
      <c r="D1285" s="392"/>
      <c r="H1285" s="302"/>
      <c r="J1285" s="389"/>
      <c r="K1285" s="302"/>
      <c r="Q1285" s="302"/>
    </row>
    <row r="1286" spans="1:17">
      <c r="A1286" s="392"/>
      <c r="B1286" s="407" t="s">
        <v>1968</v>
      </c>
      <c r="C1286" s="392">
        <v>94111</v>
      </c>
      <c r="D1286" s="392"/>
      <c r="H1286" s="302"/>
      <c r="J1286" s="389"/>
      <c r="K1286" s="302"/>
      <c r="Q1286" s="302"/>
    </row>
    <row r="1287" spans="1:17">
      <c r="A1287" s="392"/>
      <c r="B1287" s="407" t="s">
        <v>2814</v>
      </c>
      <c r="C1287" s="392">
        <v>94117</v>
      </c>
      <c r="D1287" s="392"/>
      <c r="H1287" s="302"/>
      <c r="J1287" s="390"/>
      <c r="K1287" s="302"/>
      <c r="Q1287" s="302"/>
    </row>
    <row r="1288" spans="1:17">
      <c r="A1288" s="392"/>
      <c r="B1288" s="407" t="s">
        <v>1970</v>
      </c>
      <c r="C1288" s="392">
        <v>97411</v>
      </c>
      <c r="D1288" s="392"/>
      <c r="H1288" s="302"/>
      <c r="J1288" s="389"/>
      <c r="K1288" s="302"/>
      <c r="Q1288" s="302"/>
    </row>
    <row r="1289" spans="1:17">
      <c r="A1289" s="392"/>
      <c r="B1289" s="407" t="s">
        <v>1377</v>
      </c>
      <c r="C1289" s="392">
        <v>97413</v>
      </c>
      <c r="D1289" s="392"/>
      <c r="H1289" s="302"/>
      <c r="J1289" s="389"/>
      <c r="K1289" s="302"/>
      <c r="Q1289" s="302"/>
    </row>
    <row r="1290" spans="1:17">
      <c r="A1290" s="392"/>
      <c r="B1290" s="407" t="s">
        <v>1376</v>
      </c>
      <c r="C1290" s="392">
        <v>97412</v>
      </c>
      <c r="D1290" s="392"/>
      <c r="H1290" s="302"/>
      <c r="J1290" s="389"/>
      <c r="K1290" s="302"/>
      <c r="Q1290" s="302"/>
    </row>
    <row r="1291" spans="1:17">
      <c r="A1291" s="392"/>
      <c r="B1291" s="407" t="s">
        <v>2520</v>
      </c>
      <c r="C1291" s="392">
        <v>97431</v>
      </c>
      <c r="D1291" s="392"/>
      <c r="H1291" s="302"/>
      <c r="J1291" s="389"/>
      <c r="K1291" s="302"/>
      <c r="Q1291" s="302"/>
    </row>
    <row r="1292" spans="1:17">
      <c r="A1292" s="392"/>
      <c r="B1292" s="407" t="s">
        <v>2521</v>
      </c>
      <c r="C1292" s="392">
        <v>97471</v>
      </c>
      <c r="D1292" s="392"/>
      <c r="H1292" s="302"/>
      <c r="J1292" s="389"/>
      <c r="K1292" s="302"/>
      <c r="Q1292" s="302"/>
    </row>
    <row r="1293" spans="1:17">
      <c r="A1293" s="392"/>
      <c r="B1293" s="407" t="s">
        <v>2522</v>
      </c>
      <c r="C1293" s="392">
        <v>92351</v>
      </c>
      <c r="D1293" s="392"/>
      <c r="H1293" s="302"/>
      <c r="J1293" s="389"/>
      <c r="K1293" s="302"/>
      <c r="Q1293" s="302"/>
    </row>
    <row r="1294" spans="1:17">
      <c r="A1294" s="392"/>
      <c r="B1294" s="407" t="s">
        <v>1102</v>
      </c>
      <c r="C1294" s="392">
        <v>94101</v>
      </c>
      <c r="D1294" s="392"/>
      <c r="H1294" s="302"/>
      <c r="J1294" s="389"/>
      <c r="K1294" s="302"/>
      <c r="Q1294" s="302"/>
    </row>
    <row r="1295" spans="1:17">
      <c r="A1295" s="392"/>
      <c r="B1295" s="407" t="s">
        <v>1109</v>
      </c>
      <c r="C1295" s="392">
        <v>94118</v>
      </c>
      <c r="D1295" s="392"/>
      <c r="H1295" s="302"/>
      <c r="J1295" s="389"/>
      <c r="K1295" s="302"/>
      <c r="Q1295" s="302"/>
    </row>
    <row r="1296" spans="1:17">
      <c r="A1296" s="392"/>
      <c r="B1296" s="407" t="s">
        <v>1103</v>
      </c>
      <c r="C1296" s="392">
        <v>94102</v>
      </c>
      <c r="D1296" s="392"/>
      <c r="H1296" s="302"/>
      <c r="J1296" s="390"/>
      <c r="K1296" s="302"/>
      <c r="Q1296" s="302"/>
    </row>
    <row r="1297" spans="1:17">
      <c r="A1297" s="392"/>
      <c r="B1297" s="407" t="s">
        <v>1119</v>
      </c>
      <c r="C1297" s="392">
        <v>94201</v>
      </c>
      <c r="D1297" s="392"/>
      <c r="H1297" s="302"/>
      <c r="J1297" s="389"/>
      <c r="K1297" s="302"/>
      <c r="Q1297" s="302"/>
    </row>
    <row r="1298" spans="1:17">
      <c r="A1298" s="392"/>
      <c r="B1298" s="407" t="s">
        <v>1120</v>
      </c>
      <c r="C1298" s="392">
        <v>94204</v>
      </c>
      <c r="D1298" s="392"/>
      <c r="H1298" s="302"/>
      <c r="J1298" s="389"/>
      <c r="K1298" s="302"/>
      <c r="Q1298" s="302"/>
    </row>
    <row r="1299" spans="1:17">
      <c r="A1299" s="392"/>
      <c r="B1299" s="407" t="s">
        <v>1121</v>
      </c>
      <c r="C1299" s="392">
        <v>94205</v>
      </c>
      <c r="D1299" s="392"/>
      <c r="H1299" s="302"/>
      <c r="J1299" s="390"/>
      <c r="K1299" s="302"/>
      <c r="Q1299" s="302"/>
    </row>
    <row r="1300" spans="1:17">
      <c r="A1300" s="392"/>
      <c r="B1300" s="407" t="s">
        <v>2523</v>
      </c>
      <c r="C1300" s="392">
        <v>95831</v>
      </c>
      <c r="D1300" s="392"/>
      <c r="H1300" s="302"/>
      <c r="J1300" s="389"/>
      <c r="K1300" s="302"/>
      <c r="Q1300" s="302"/>
    </row>
    <row r="1301" spans="1:17">
      <c r="A1301" s="392"/>
      <c r="B1301" s="407" t="s">
        <v>1971</v>
      </c>
      <c r="C1301" s="392">
        <v>97721</v>
      </c>
      <c r="D1301" s="392"/>
      <c r="H1301" s="302"/>
      <c r="J1301" s="389"/>
      <c r="K1301" s="302"/>
      <c r="Q1301" s="302"/>
    </row>
    <row r="1302" spans="1:17">
      <c r="A1302" s="392"/>
      <c r="B1302" s="407" t="s">
        <v>1408</v>
      </c>
      <c r="C1302" s="392">
        <v>97717</v>
      </c>
      <c r="D1302" s="392"/>
      <c r="H1302" s="302"/>
      <c r="J1302" s="389"/>
      <c r="K1302" s="302"/>
      <c r="Q1302" s="302"/>
    </row>
    <row r="1303" spans="1:17">
      <c r="A1303" s="392"/>
      <c r="B1303" s="407" t="s">
        <v>1129</v>
      </c>
      <c r="C1303" s="392">
        <v>94301</v>
      </c>
      <c r="D1303" s="392"/>
      <c r="H1303" s="302"/>
      <c r="J1303" s="389"/>
      <c r="K1303" s="302"/>
      <c r="Q1303" s="302"/>
    </row>
    <row r="1304" spans="1:17">
      <c r="A1304" s="392"/>
      <c r="B1304" s="407" t="s">
        <v>2524</v>
      </c>
      <c r="C1304" s="392">
        <v>91441</v>
      </c>
      <c r="D1304" s="392"/>
      <c r="H1304" s="302"/>
      <c r="J1304" s="389"/>
      <c r="K1304" s="302"/>
      <c r="Q1304" s="302"/>
    </row>
    <row r="1305" spans="1:17">
      <c r="A1305" s="392"/>
      <c r="B1305" s="407" t="s">
        <v>1972</v>
      </c>
      <c r="C1305" s="392">
        <v>92531</v>
      </c>
      <c r="D1305" s="392"/>
      <c r="H1305" s="302"/>
      <c r="J1305" s="389"/>
      <c r="K1305" s="302"/>
      <c r="Q1305" s="302"/>
    </row>
    <row r="1306" spans="1:17">
      <c r="A1306" s="392"/>
      <c r="B1306" s="407" t="s">
        <v>2525</v>
      </c>
      <c r="C1306" s="392">
        <v>90141</v>
      </c>
      <c r="D1306" s="392"/>
      <c r="H1306" s="302"/>
      <c r="J1306" s="389"/>
      <c r="K1306" s="302"/>
      <c r="Q1306" s="302"/>
    </row>
    <row r="1307" spans="1:17">
      <c r="A1307" s="392"/>
      <c r="B1307" s="407" t="s">
        <v>1138</v>
      </c>
      <c r="C1307" s="392">
        <v>94401</v>
      </c>
      <c r="D1307" s="392"/>
      <c r="H1307" s="302"/>
      <c r="J1307" s="389"/>
      <c r="K1307" s="302"/>
      <c r="Q1307" s="302"/>
    </row>
    <row r="1308" spans="1:17">
      <c r="A1308" s="392"/>
      <c r="B1308" s="407" t="s">
        <v>1140</v>
      </c>
      <c r="C1308" s="392">
        <v>94403</v>
      </c>
      <c r="D1308" s="392"/>
      <c r="H1308" s="302"/>
      <c r="J1308" s="390"/>
      <c r="K1308" s="302"/>
      <c r="Q1308" s="302"/>
    </row>
    <row r="1309" spans="1:17">
      <c r="A1309" s="392"/>
      <c r="B1309" s="407" t="s">
        <v>1139</v>
      </c>
      <c r="C1309" s="392">
        <v>94402</v>
      </c>
      <c r="D1309" s="392"/>
      <c r="H1309" s="302"/>
      <c r="J1309" s="389"/>
      <c r="K1309" s="302"/>
      <c r="Q1309" s="302"/>
    </row>
    <row r="1310" spans="1:17">
      <c r="A1310" s="392"/>
      <c r="B1310" s="407" t="s">
        <v>1973</v>
      </c>
      <c r="C1310" s="392">
        <v>99111</v>
      </c>
      <c r="D1310" s="392"/>
      <c r="H1310" s="302"/>
      <c r="J1310" s="389"/>
      <c r="K1310" s="302"/>
      <c r="Q1310" s="302"/>
    </row>
    <row r="1311" spans="1:17">
      <c r="A1311" s="392"/>
      <c r="B1311" s="407" t="s">
        <v>2025</v>
      </c>
      <c r="C1311" s="392">
        <v>94501</v>
      </c>
      <c r="D1311" s="392"/>
      <c r="H1311" s="302"/>
      <c r="J1311" s="390"/>
      <c r="K1311" s="302"/>
      <c r="Q1311" s="302"/>
    </row>
    <row r="1312" spans="1:17">
      <c r="A1312" s="392"/>
      <c r="B1312" s="407" t="s">
        <v>1974</v>
      </c>
      <c r="C1312" s="392">
        <v>94511</v>
      </c>
      <c r="D1312" s="392"/>
      <c r="H1312" s="302"/>
      <c r="J1312" s="389"/>
      <c r="K1312" s="302"/>
      <c r="Q1312" s="302"/>
    </row>
    <row r="1313" spans="1:17">
      <c r="A1313" s="392"/>
      <c r="B1313" s="407" t="s">
        <v>2813</v>
      </c>
      <c r="C1313" s="392">
        <v>94517</v>
      </c>
      <c r="D1313" s="392"/>
      <c r="H1313" s="302"/>
      <c r="J1313" s="389"/>
      <c r="K1313" s="302"/>
      <c r="Q1313" s="302"/>
    </row>
    <row r="1314" spans="1:17">
      <c r="A1314" s="392"/>
      <c r="B1314" s="407" t="s">
        <v>1151</v>
      </c>
      <c r="C1314" s="392">
        <v>94512</v>
      </c>
      <c r="D1314" s="392"/>
      <c r="H1314" s="302"/>
      <c r="J1314" s="389"/>
      <c r="K1314" s="302"/>
      <c r="Q1314" s="302"/>
    </row>
    <row r="1315" spans="1:17">
      <c r="A1315" s="392"/>
      <c r="B1315" s="407" t="s">
        <v>2526</v>
      </c>
      <c r="C1315" s="392">
        <v>97211</v>
      </c>
      <c r="D1315" s="392"/>
      <c r="H1315" s="302"/>
      <c r="J1315" s="389"/>
      <c r="K1315" s="302"/>
      <c r="Q1315" s="302"/>
    </row>
    <row r="1316" spans="1:17">
      <c r="A1316" s="392"/>
      <c r="B1316" s="407" t="s">
        <v>2527</v>
      </c>
      <c r="C1316" s="392">
        <v>97217</v>
      </c>
      <c r="D1316" s="392"/>
      <c r="H1316" s="302"/>
      <c r="J1316" s="389"/>
      <c r="K1316" s="302"/>
      <c r="Q1316" s="302"/>
    </row>
    <row r="1317" spans="1:17">
      <c r="A1317" s="392"/>
      <c r="B1317" s="407" t="s">
        <v>1160</v>
      </c>
      <c r="C1317" s="392">
        <v>94601</v>
      </c>
      <c r="D1317" s="392"/>
      <c r="H1317" s="302"/>
      <c r="J1317" s="389"/>
      <c r="K1317" s="302"/>
      <c r="Q1317" s="302"/>
    </row>
    <row r="1318" spans="1:17">
      <c r="A1318" s="392"/>
      <c r="B1318" s="407" t="s">
        <v>1161</v>
      </c>
      <c r="C1318" s="392">
        <v>94604</v>
      </c>
      <c r="D1318" s="392"/>
      <c r="H1318" s="302"/>
      <c r="J1318" s="389"/>
      <c r="K1318" s="302"/>
      <c r="Q1318" s="302"/>
    </row>
    <row r="1319" spans="1:17">
      <c r="A1319" s="392"/>
      <c r="B1319" s="407" t="s">
        <v>1162</v>
      </c>
      <c r="C1319" s="392">
        <v>94606</v>
      </c>
      <c r="D1319" s="392"/>
      <c r="H1319" s="302"/>
      <c r="J1319" s="389"/>
      <c r="K1319" s="302"/>
      <c r="Q1319" s="302"/>
    </row>
    <row r="1320" spans="1:17">
      <c r="A1320" s="392"/>
      <c r="B1320" s="407" t="s">
        <v>2769</v>
      </c>
      <c r="C1320" s="392">
        <v>97213</v>
      </c>
      <c r="D1320" s="392"/>
      <c r="H1320" s="302"/>
      <c r="J1320" s="390"/>
      <c r="K1320" s="302"/>
      <c r="Q1320" s="302"/>
    </row>
    <row r="1321" spans="1:17">
      <c r="A1321" s="392"/>
      <c r="B1321" s="407" t="s">
        <v>1975</v>
      </c>
      <c r="C1321" s="392">
        <v>91811</v>
      </c>
      <c r="D1321" s="392"/>
      <c r="H1321" s="302"/>
      <c r="J1321" s="389"/>
      <c r="K1321" s="302"/>
      <c r="Q1321" s="302"/>
    </row>
    <row r="1322" spans="1:17">
      <c r="A1322" s="392"/>
      <c r="B1322" s="407" t="s">
        <v>2757</v>
      </c>
      <c r="C1322" s="392">
        <v>91812</v>
      </c>
      <c r="D1322" s="392"/>
      <c r="H1322" s="302"/>
      <c r="J1322" s="389"/>
      <c r="K1322" s="302"/>
      <c r="Q1322" s="302"/>
    </row>
    <row r="1323" spans="1:17">
      <c r="A1323" s="392"/>
      <c r="B1323" s="407" t="s">
        <v>905</v>
      </c>
      <c r="C1323" s="392">
        <v>91813</v>
      </c>
      <c r="D1323" s="392"/>
      <c r="H1323" s="302"/>
      <c r="J1323" s="390"/>
      <c r="K1323" s="302"/>
      <c r="Q1323" s="302"/>
    </row>
    <row r="1324" spans="1:17">
      <c r="A1324" s="392"/>
      <c r="B1324" s="407" t="s">
        <v>770</v>
      </c>
      <c r="C1324" s="392">
        <v>90617</v>
      </c>
      <c r="D1324" s="392"/>
      <c r="H1324" s="302"/>
      <c r="J1324" s="389"/>
      <c r="K1324" s="302"/>
      <c r="Q1324" s="302"/>
    </row>
    <row r="1325" spans="1:17">
      <c r="A1325" s="392"/>
      <c r="B1325" s="407" t="s">
        <v>1976</v>
      </c>
      <c r="C1325" s="392">
        <v>94121</v>
      </c>
      <c r="D1325" s="392"/>
      <c r="H1325" s="302"/>
      <c r="J1325" s="389"/>
      <c r="K1325" s="302"/>
      <c r="Q1325" s="302"/>
    </row>
    <row r="1326" spans="1:17">
      <c r="A1326" s="392"/>
      <c r="B1326" s="407" t="s">
        <v>2812</v>
      </c>
      <c r="C1326" s="392">
        <v>94127</v>
      </c>
      <c r="D1326" s="392"/>
      <c r="H1326" s="302"/>
      <c r="J1326" s="389"/>
      <c r="K1326" s="302"/>
      <c r="Q1326" s="302"/>
    </row>
    <row r="1327" spans="1:17">
      <c r="A1327" s="392"/>
      <c r="B1327" s="407" t="s">
        <v>2528</v>
      </c>
      <c r="C1327" s="392">
        <v>95621</v>
      </c>
      <c r="D1327" s="392"/>
      <c r="H1327" s="302"/>
      <c r="J1327" s="389"/>
      <c r="K1327" s="302"/>
      <c r="Q1327" s="302"/>
    </row>
    <row r="1328" spans="1:17">
      <c r="A1328" s="392"/>
      <c r="B1328" s="407" t="s">
        <v>1232</v>
      </c>
      <c r="C1328" s="392">
        <v>95617</v>
      </c>
      <c r="D1328" s="392"/>
      <c r="H1328" s="302"/>
      <c r="J1328" s="389"/>
      <c r="K1328" s="302"/>
      <c r="Q1328" s="302"/>
    </row>
    <row r="1329" spans="1:17">
      <c r="A1329" s="392"/>
      <c r="B1329" s="407" t="s">
        <v>2529</v>
      </c>
      <c r="C1329" s="392">
        <v>91251</v>
      </c>
      <c r="D1329" s="392"/>
      <c r="H1329" s="302"/>
      <c r="J1329" s="390"/>
      <c r="K1329" s="302"/>
      <c r="Q1329" s="302"/>
    </row>
    <row r="1330" spans="1:17">
      <c r="A1330" s="392"/>
      <c r="B1330" s="407" t="s">
        <v>2530</v>
      </c>
      <c r="C1330" s="392">
        <v>96831</v>
      </c>
      <c r="D1330" s="392"/>
      <c r="H1330" s="302"/>
      <c r="J1330" s="389"/>
      <c r="K1330" s="302"/>
      <c r="Q1330" s="302"/>
    </row>
    <row r="1331" spans="1:17">
      <c r="A1331" s="392"/>
      <c r="B1331" s="407" t="s">
        <v>2531</v>
      </c>
      <c r="C1331" s="392">
        <v>94251</v>
      </c>
      <c r="D1331" s="392"/>
      <c r="H1331" s="302"/>
      <c r="J1331" s="389"/>
      <c r="K1331" s="302"/>
      <c r="Q1331" s="302"/>
    </row>
    <row r="1332" spans="1:17">
      <c r="A1332" s="392"/>
      <c r="B1332" s="407" t="s">
        <v>1167</v>
      </c>
      <c r="C1332" s="392">
        <v>94701</v>
      </c>
      <c r="D1332" s="392"/>
      <c r="H1332" s="302"/>
      <c r="J1332" s="389"/>
      <c r="K1332" s="302"/>
      <c r="Q1332" s="302"/>
    </row>
    <row r="1333" spans="1:17">
      <c r="A1333" s="392"/>
      <c r="B1333" s="407" t="s">
        <v>1168</v>
      </c>
      <c r="C1333" s="392">
        <v>94704</v>
      </c>
      <c r="D1333" s="392"/>
      <c r="H1333" s="302"/>
      <c r="J1333" s="389"/>
      <c r="K1333" s="302"/>
      <c r="Q1333" s="302"/>
    </row>
    <row r="1334" spans="1:17">
      <c r="A1334" s="392"/>
      <c r="B1334" s="407" t="s">
        <v>2532</v>
      </c>
      <c r="C1334" s="392">
        <v>91014</v>
      </c>
      <c r="D1334" s="392"/>
      <c r="H1334" s="302"/>
      <c r="J1334" s="389"/>
      <c r="K1334" s="302"/>
      <c r="Q1334" s="302"/>
    </row>
    <row r="1335" spans="1:17">
      <c r="A1335" s="392"/>
      <c r="B1335" s="407" t="s">
        <v>2533</v>
      </c>
      <c r="C1335" s="392">
        <v>96731</v>
      </c>
      <c r="D1335" s="392"/>
      <c r="H1335" s="302"/>
      <c r="J1335" s="389"/>
      <c r="K1335" s="302"/>
      <c r="Q1335" s="302"/>
    </row>
    <row r="1336" spans="1:17">
      <c r="A1336" s="392"/>
      <c r="B1336" s="407" t="s">
        <v>1333</v>
      </c>
      <c r="C1336" s="392">
        <v>96733</v>
      </c>
      <c r="D1336" s="392"/>
      <c r="H1336" s="302"/>
      <c r="J1336" s="389"/>
      <c r="K1336" s="302"/>
      <c r="Q1336" s="302"/>
    </row>
    <row r="1337" spans="1:17">
      <c r="A1337" s="392"/>
      <c r="B1337" s="407" t="s">
        <v>2534</v>
      </c>
      <c r="C1337" s="392">
        <v>99202</v>
      </c>
      <c r="D1337" s="392"/>
      <c r="H1337" s="302"/>
      <c r="J1337" s="389"/>
      <c r="K1337" s="302"/>
      <c r="Q1337" s="302"/>
    </row>
    <row r="1338" spans="1:17">
      <c r="A1338" s="392"/>
      <c r="B1338" s="407" t="s">
        <v>2535</v>
      </c>
      <c r="C1338" s="392">
        <v>94011</v>
      </c>
      <c r="D1338" s="392"/>
      <c r="H1338" s="302"/>
      <c r="J1338" s="390"/>
      <c r="K1338" s="302"/>
      <c r="Q1338" s="302"/>
    </row>
    <row r="1339" spans="1:17">
      <c r="A1339" s="392"/>
      <c r="B1339" s="407" t="s">
        <v>2536</v>
      </c>
      <c r="C1339" s="392">
        <v>92631</v>
      </c>
      <c r="D1339" s="392"/>
      <c r="H1339" s="302"/>
      <c r="J1339" s="389"/>
      <c r="K1339" s="302"/>
      <c r="Q1339" s="302"/>
    </row>
    <row r="1340" spans="1:17">
      <c r="A1340" s="392"/>
      <c r="B1340" s="407" t="s">
        <v>1237</v>
      </c>
      <c r="C1340" s="392">
        <v>95733</v>
      </c>
      <c r="D1340" s="392"/>
      <c r="H1340" s="302"/>
      <c r="J1340" s="389"/>
      <c r="K1340" s="302"/>
      <c r="Q1340" s="302"/>
    </row>
    <row r="1341" spans="1:17">
      <c r="A1341" s="392"/>
      <c r="B1341" s="407" t="s">
        <v>2537</v>
      </c>
      <c r="C1341" s="392">
        <v>91431</v>
      </c>
      <c r="D1341" s="392"/>
      <c r="H1341" s="302"/>
      <c r="J1341" s="390"/>
      <c r="K1341" s="302"/>
      <c r="Q1341" s="302"/>
    </row>
    <row r="1342" spans="1:17">
      <c r="A1342" s="392"/>
      <c r="B1342" s="407" t="s">
        <v>2538</v>
      </c>
      <c r="C1342" s="392">
        <v>96041</v>
      </c>
      <c r="D1342" s="392"/>
      <c r="H1342" s="302"/>
      <c r="J1342" s="389"/>
      <c r="K1342" s="302"/>
      <c r="Q1342" s="302"/>
    </row>
    <row r="1343" spans="1:17">
      <c r="A1343" s="392"/>
      <c r="B1343" s="407" t="s">
        <v>1170</v>
      </c>
      <c r="C1343" s="392">
        <v>94801</v>
      </c>
      <c r="D1343" s="392"/>
      <c r="H1343" s="302"/>
      <c r="J1343" s="389"/>
      <c r="K1343" s="302"/>
      <c r="Q1343" s="302"/>
    </row>
    <row r="1344" spans="1:17">
      <c r="A1344" s="392"/>
      <c r="B1344" s="407" t="s">
        <v>1171</v>
      </c>
      <c r="C1344" s="392">
        <v>94804</v>
      </c>
      <c r="D1344" s="392"/>
      <c r="H1344" s="302"/>
      <c r="J1344" s="389"/>
      <c r="K1344" s="302"/>
      <c r="Q1344" s="302"/>
    </row>
    <row r="1345" spans="1:17">
      <c r="A1345" s="392"/>
      <c r="B1345" s="407" t="s">
        <v>2539</v>
      </c>
      <c r="C1345" s="392">
        <v>91661</v>
      </c>
      <c r="D1345" s="392"/>
      <c r="H1345" s="302"/>
      <c r="J1345" s="389"/>
      <c r="K1345" s="302"/>
      <c r="Q1345" s="302"/>
    </row>
    <row r="1346" spans="1:17">
      <c r="A1346" s="392"/>
      <c r="B1346" s="407" t="s">
        <v>2540</v>
      </c>
      <c r="C1346" s="392">
        <v>99051</v>
      </c>
      <c r="D1346" s="392"/>
      <c r="H1346" s="302"/>
      <c r="J1346" s="389"/>
      <c r="K1346" s="302"/>
      <c r="Q1346" s="302"/>
    </row>
    <row r="1347" spans="1:17">
      <c r="A1347" s="392"/>
      <c r="B1347" s="407" t="s">
        <v>1525</v>
      </c>
      <c r="C1347" s="392">
        <v>99014</v>
      </c>
      <c r="D1347" s="392"/>
      <c r="H1347" s="302"/>
      <c r="J1347" s="389"/>
      <c r="K1347" s="302"/>
      <c r="Q1347" s="302"/>
    </row>
    <row r="1348" spans="1:17">
      <c r="A1348" s="392"/>
      <c r="B1348" s="407" t="s">
        <v>1173</v>
      </c>
      <c r="C1348" s="392">
        <v>94901</v>
      </c>
      <c r="D1348" s="392"/>
      <c r="H1348" s="302"/>
      <c r="J1348" s="389"/>
      <c r="K1348" s="302"/>
      <c r="Q1348" s="302"/>
    </row>
    <row r="1349" spans="1:17">
      <c r="A1349" s="392"/>
      <c r="B1349" s="407" t="s">
        <v>1462</v>
      </c>
      <c r="C1349" s="392">
        <v>98109</v>
      </c>
      <c r="D1349" s="392"/>
      <c r="H1349" s="302"/>
      <c r="J1349" s="389"/>
      <c r="K1349" s="302"/>
      <c r="Q1349" s="302"/>
    </row>
    <row r="1350" spans="1:17">
      <c r="A1350" s="392"/>
      <c r="B1350" s="407" t="s">
        <v>2808</v>
      </c>
      <c r="C1350" s="392">
        <v>98205</v>
      </c>
      <c r="D1350" s="392"/>
      <c r="H1350" s="302"/>
      <c r="J1350" s="390"/>
      <c r="K1350" s="302"/>
      <c r="Q1350" s="302"/>
    </row>
    <row r="1351" spans="1:17">
      <c r="A1351" s="392"/>
      <c r="B1351" s="407" t="s">
        <v>2541</v>
      </c>
      <c r="C1351" s="392">
        <v>96661</v>
      </c>
      <c r="D1351" s="392"/>
      <c r="H1351" s="302"/>
      <c r="J1351" s="389"/>
      <c r="K1351" s="302"/>
      <c r="Q1351" s="302"/>
    </row>
    <row r="1352" spans="1:17">
      <c r="A1352" s="392"/>
      <c r="B1352" s="407" t="s">
        <v>1182</v>
      </c>
      <c r="C1352" s="392">
        <v>95001</v>
      </c>
      <c r="D1352" s="392"/>
      <c r="H1352" s="302"/>
      <c r="J1352" s="389"/>
      <c r="K1352" s="302"/>
      <c r="Q1352" s="302"/>
    </row>
    <row r="1353" spans="1:17">
      <c r="A1353" s="392"/>
      <c r="B1353" s="407" t="s">
        <v>1188</v>
      </c>
      <c r="C1353" s="392">
        <v>95017</v>
      </c>
      <c r="D1353" s="392"/>
      <c r="H1353" s="302"/>
      <c r="J1353" s="390"/>
      <c r="K1353" s="302"/>
      <c r="Q1353" s="302"/>
    </row>
    <row r="1354" spans="1:17">
      <c r="A1354" s="392"/>
      <c r="B1354" s="407" t="s">
        <v>1977</v>
      </c>
      <c r="C1354" s="392">
        <v>96711</v>
      </c>
      <c r="D1354" s="392"/>
      <c r="H1354" s="302"/>
      <c r="J1354" s="389"/>
      <c r="K1354" s="302"/>
      <c r="Q1354" s="302"/>
    </row>
    <row r="1355" spans="1:17">
      <c r="A1355" s="392"/>
      <c r="B1355" s="407" t="s">
        <v>2542</v>
      </c>
      <c r="C1355" s="392">
        <v>94131</v>
      </c>
      <c r="D1355" s="392"/>
      <c r="H1355" s="302"/>
      <c r="J1355" s="389"/>
      <c r="K1355" s="302"/>
      <c r="Q1355" s="302"/>
    </row>
    <row r="1356" spans="1:17">
      <c r="A1356" s="392"/>
      <c r="B1356" s="407" t="s">
        <v>2543</v>
      </c>
      <c r="C1356" s="392">
        <v>95841</v>
      </c>
      <c r="D1356" s="392"/>
      <c r="H1356" s="302"/>
      <c r="J1356" s="389"/>
      <c r="K1356" s="302"/>
      <c r="Q1356" s="302"/>
    </row>
    <row r="1357" spans="1:17">
      <c r="A1357" s="392"/>
      <c r="B1357" s="407" t="s">
        <v>2544</v>
      </c>
      <c r="C1357" s="392">
        <v>90511</v>
      </c>
      <c r="D1357" s="392"/>
      <c r="H1357" s="302"/>
      <c r="J1357" s="389"/>
      <c r="K1357" s="302"/>
      <c r="Q1357" s="302"/>
    </row>
    <row r="1358" spans="1:17">
      <c r="A1358" s="392"/>
      <c r="B1358" s="407" t="s">
        <v>1189</v>
      </c>
      <c r="C1358" s="392">
        <v>95101</v>
      </c>
      <c r="D1358" s="392"/>
      <c r="H1358" s="302"/>
      <c r="J1358" s="389"/>
      <c r="K1358" s="302"/>
      <c r="Q1358" s="302"/>
    </row>
    <row r="1359" spans="1:17">
      <c r="A1359" s="392"/>
      <c r="B1359" s="407" t="s">
        <v>1191</v>
      </c>
      <c r="C1359" s="392">
        <v>95104</v>
      </c>
      <c r="D1359" s="392"/>
      <c r="H1359" s="302"/>
      <c r="J1359" s="389"/>
      <c r="K1359" s="302"/>
      <c r="Q1359" s="302"/>
    </row>
    <row r="1360" spans="1:17">
      <c r="A1360" s="392"/>
      <c r="B1360" s="407" t="s">
        <v>1194</v>
      </c>
      <c r="C1360" s="392">
        <v>95110</v>
      </c>
      <c r="D1360" s="392"/>
      <c r="H1360" s="302"/>
      <c r="J1360" s="389"/>
      <c r="K1360" s="302"/>
      <c r="Q1360" s="302"/>
    </row>
    <row r="1361" spans="1:17">
      <c r="A1361" s="392"/>
      <c r="B1361" s="407" t="s">
        <v>1207</v>
      </c>
      <c r="C1361" s="392">
        <v>95201</v>
      </c>
      <c r="D1361" s="392"/>
      <c r="H1361" s="302"/>
      <c r="J1361" s="389"/>
      <c r="K1361" s="302"/>
      <c r="Q1361" s="302"/>
    </row>
    <row r="1362" spans="1:17">
      <c r="A1362" s="392"/>
      <c r="B1362" s="407" t="s">
        <v>1208</v>
      </c>
      <c r="C1362" s="392">
        <v>95204</v>
      </c>
      <c r="D1362" s="392"/>
      <c r="H1362" s="302"/>
      <c r="J1362" s="390"/>
      <c r="K1362" s="302"/>
      <c r="Q1362" s="302"/>
    </row>
    <row r="1363" spans="1:17">
      <c r="A1363" s="392"/>
      <c r="B1363" s="407" t="s">
        <v>2545</v>
      </c>
      <c r="C1363" s="392">
        <v>99921</v>
      </c>
      <c r="D1363" s="392"/>
      <c r="H1363" s="302"/>
      <c r="J1363" s="389"/>
      <c r="K1363" s="302"/>
      <c r="Q1363" s="302"/>
    </row>
    <row r="1364" spans="1:17">
      <c r="A1364" s="392"/>
      <c r="B1364" s="407" t="s">
        <v>1141</v>
      </c>
      <c r="C1364" s="392">
        <v>94408</v>
      </c>
      <c r="D1364" s="392"/>
      <c r="H1364" s="302"/>
      <c r="J1364" s="389"/>
      <c r="K1364" s="302"/>
      <c r="Q1364" s="302"/>
    </row>
    <row r="1365" spans="1:17">
      <c r="A1365" s="392"/>
      <c r="B1365" s="407" t="s">
        <v>1978</v>
      </c>
      <c r="C1365" s="392">
        <v>91331</v>
      </c>
      <c r="D1365" s="392"/>
      <c r="H1365" s="302"/>
      <c r="J1365" s="390"/>
      <c r="K1365" s="302"/>
      <c r="Q1365" s="302"/>
    </row>
    <row r="1366" spans="1:17">
      <c r="A1366" s="392"/>
      <c r="B1366" s="407" t="s">
        <v>2546</v>
      </c>
      <c r="C1366" s="392">
        <v>93121</v>
      </c>
      <c r="D1366" s="392"/>
      <c r="H1366" s="302"/>
      <c r="J1366" s="389"/>
      <c r="K1366" s="302"/>
      <c r="Q1366" s="302"/>
    </row>
    <row r="1367" spans="1:17">
      <c r="A1367" s="392"/>
      <c r="B1367" s="407" t="s">
        <v>1011</v>
      </c>
      <c r="C1367" s="392">
        <v>93127</v>
      </c>
      <c r="D1367" s="392"/>
      <c r="H1367" s="302"/>
      <c r="J1367" s="389"/>
      <c r="K1367" s="302"/>
      <c r="Q1367" s="302"/>
    </row>
    <row r="1368" spans="1:17">
      <c r="A1368" s="392"/>
      <c r="B1368" s="407" t="s">
        <v>2547</v>
      </c>
      <c r="C1368" s="392">
        <v>95171</v>
      </c>
      <c r="D1368" s="392"/>
      <c r="H1368" s="302"/>
      <c r="J1368" s="389"/>
      <c r="K1368" s="302"/>
      <c r="Q1368" s="302"/>
    </row>
    <row r="1369" spans="1:17">
      <c r="A1369" s="392"/>
      <c r="B1369" s="407" t="s">
        <v>2548</v>
      </c>
      <c r="C1369" s="392">
        <v>93421</v>
      </c>
      <c r="D1369" s="392"/>
      <c r="H1369" s="302"/>
      <c r="J1369" s="389"/>
      <c r="K1369" s="302"/>
      <c r="Q1369" s="302"/>
    </row>
    <row r="1370" spans="1:17">
      <c r="A1370" s="392"/>
      <c r="B1370" s="407" t="s">
        <v>1539</v>
      </c>
      <c r="C1370" s="392">
        <v>99110</v>
      </c>
      <c r="D1370" s="392"/>
      <c r="H1370" s="302"/>
      <c r="J1370" s="389"/>
      <c r="K1370" s="302"/>
      <c r="Q1370" s="302"/>
    </row>
    <row r="1371" spans="1:17">
      <c r="A1371" s="392"/>
      <c r="B1371" s="407" t="s">
        <v>2807</v>
      </c>
      <c r="C1371" s="392">
        <v>99109</v>
      </c>
      <c r="D1371" s="392"/>
      <c r="H1371" s="302"/>
      <c r="J1371" s="389"/>
      <c r="K1371" s="302"/>
      <c r="Q1371" s="302"/>
    </row>
    <row r="1372" spans="1:17">
      <c r="A1372" s="392"/>
      <c r="B1372" s="407" t="s">
        <v>2549</v>
      </c>
      <c r="C1372" s="392">
        <v>92821</v>
      </c>
      <c r="D1372" s="392"/>
      <c r="H1372" s="302"/>
      <c r="J1372" s="389"/>
      <c r="K1372" s="302"/>
      <c r="Q1372" s="302"/>
    </row>
    <row r="1373" spans="1:17">
      <c r="A1373" s="392"/>
      <c r="B1373" s="407" t="s">
        <v>2550</v>
      </c>
      <c r="C1373" s="392">
        <v>98521</v>
      </c>
      <c r="D1373" s="392"/>
      <c r="H1373" s="302"/>
      <c r="J1373" s="389"/>
      <c r="K1373" s="302"/>
      <c r="Q1373" s="302"/>
    </row>
    <row r="1374" spans="1:17">
      <c r="A1374" s="392"/>
      <c r="B1374" s="407" t="s">
        <v>1979</v>
      </c>
      <c r="C1374" s="392">
        <v>92321</v>
      </c>
      <c r="D1374" s="392"/>
      <c r="H1374" s="302"/>
      <c r="J1374" s="390"/>
      <c r="K1374" s="302"/>
      <c r="Q1374" s="302"/>
    </row>
    <row r="1375" spans="1:17">
      <c r="A1375" s="392"/>
      <c r="B1375" s="407" t="s">
        <v>938</v>
      </c>
      <c r="C1375" s="392">
        <v>92327</v>
      </c>
      <c r="D1375" s="395"/>
      <c r="H1375" s="302"/>
      <c r="J1375" s="389"/>
      <c r="K1375" s="302"/>
      <c r="Q1375" s="302"/>
    </row>
    <row r="1376" spans="1:17">
      <c r="A1376" s="392"/>
      <c r="B1376" s="407" t="s">
        <v>1980</v>
      </c>
      <c r="C1376" s="392">
        <v>95411</v>
      </c>
      <c r="D1376" s="392"/>
      <c r="H1376" s="302"/>
      <c r="J1376" s="389"/>
      <c r="K1376" s="302"/>
      <c r="Q1376" s="302"/>
    </row>
    <row r="1377" spans="1:17">
      <c r="A1377" s="392"/>
      <c r="B1377" s="407" t="s">
        <v>2811</v>
      </c>
      <c r="C1377" s="392">
        <v>95413</v>
      </c>
      <c r="D1377" s="392"/>
      <c r="H1377" s="302"/>
      <c r="J1377" s="390"/>
      <c r="K1377" s="302"/>
      <c r="Q1377" s="302"/>
    </row>
    <row r="1378" spans="1:17">
      <c r="A1378" s="392"/>
      <c r="B1378" s="407" t="s">
        <v>2806</v>
      </c>
      <c r="C1378" s="392">
        <v>95415</v>
      </c>
      <c r="D1378" s="392"/>
      <c r="H1378" s="302"/>
      <c r="J1378" s="389"/>
      <c r="K1378" s="302"/>
      <c r="Q1378" s="302"/>
    </row>
    <row r="1379" spans="1:17">
      <c r="A1379" s="392"/>
      <c r="B1379" s="407" t="s">
        <v>2551</v>
      </c>
      <c r="C1379" s="392">
        <v>92851</v>
      </c>
      <c r="D1379" s="392"/>
      <c r="H1379" s="302"/>
      <c r="J1379" s="389"/>
      <c r="K1379" s="302"/>
      <c r="Q1379" s="302"/>
    </row>
    <row r="1380" spans="1:17">
      <c r="A1380" s="392"/>
      <c r="B1380" s="407" t="s">
        <v>2552</v>
      </c>
      <c r="C1380" s="392">
        <v>99291</v>
      </c>
      <c r="D1380" s="392"/>
      <c r="H1380" s="302"/>
      <c r="J1380" s="389"/>
      <c r="K1380" s="302"/>
      <c r="Q1380" s="302"/>
    </row>
    <row r="1381" spans="1:17">
      <c r="A1381" s="392"/>
      <c r="B1381" s="407" t="s">
        <v>2553</v>
      </c>
      <c r="C1381" s="392">
        <v>96541</v>
      </c>
      <c r="D1381" s="392"/>
      <c r="H1381" s="302"/>
      <c r="J1381" s="389"/>
      <c r="K1381" s="302"/>
      <c r="Q1381" s="302"/>
    </row>
    <row r="1382" spans="1:17">
      <c r="A1382" s="392"/>
      <c r="B1382" s="407" t="s">
        <v>2554</v>
      </c>
      <c r="C1382" s="392">
        <v>95431</v>
      </c>
      <c r="D1382" s="392"/>
      <c r="H1382" s="302"/>
      <c r="J1382" s="389"/>
      <c r="K1382" s="302"/>
      <c r="Q1382" s="302"/>
    </row>
    <row r="1383" spans="1:17">
      <c r="A1383" s="392"/>
      <c r="B1383" s="407" t="s">
        <v>2555</v>
      </c>
      <c r="C1383" s="392">
        <v>98131</v>
      </c>
      <c r="D1383" s="392"/>
      <c r="H1383" s="302"/>
      <c r="J1383" s="389"/>
      <c r="K1383" s="302"/>
      <c r="Q1383" s="302"/>
    </row>
    <row r="1384" spans="1:17">
      <c r="A1384" s="392"/>
      <c r="B1384" s="407" t="s">
        <v>2556</v>
      </c>
      <c r="C1384" s="392">
        <v>92461</v>
      </c>
      <c r="D1384" s="392"/>
      <c r="H1384" s="302"/>
      <c r="J1384" s="389"/>
      <c r="K1384" s="302"/>
      <c r="Q1384" s="302"/>
    </row>
    <row r="1385" spans="1:17">
      <c r="A1385" s="392"/>
      <c r="B1385" s="407" t="s">
        <v>947</v>
      </c>
      <c r="C1385" s="392">
        <v>92427</v>
      </c>
      <c r="D1385" s="392"/>
      <c r="H1385" s="302"/>
      <c r="J1385" s="389"/>
      <c r="K1385" s="302"/>
      <c r="Q1385" s="302"/>
    </row>
    <row r="1386" spans="1:17">
      <c r="A1386" s="392"/>
      <c r="B1386" s="407" t="s">
        <v>2557</v>
      </c>
      <c r="C1386" s="392">
        <v>98051</v>
      </c>
      <c r="D1386" s="392"/>
      <c r="H1386" s="302"/>
      <c r="J1386" s="390"/>
      <c r="K1386" s="302"/>
      <c r="Q1386" s="302"/>
    </row>
    <row r="1387" spans="1:17">
      <c r="A1387" s="392"/>
      <c r="B1387" s="407" t="s">
        <v>830</v>
      </c>
      <c r="C1387" s="392">
        <v>91102</v>
      </c>
      <c r="D1387" s="392"/>
      <c r="H1387" s="302"/>
      <c r="J1387" s="389"/>
      <c r="K1387" s="302"/>
      <c r="Q1387" s="302"/>
    </row>
    <row r="1388" spans="1:17">
      <c r="A1388" s="392"/>
      <c r="B1388" s="407" t="s">
        <v>2558</v>
      </c>
      <c r="C1388" s="392">
        <v>94521</v>
      </c>
      <c r="D1388" s="392"/>
      <c r="H1388" s="302"/>
      <c r="J1388" s="389"/>
      <c r="K1388" s="302"/>
      <c r="Q1388" s="302"/>
    </row>
    <row r="1389" spans="1:17">
      <c r="A1389" s="392"/>
      <c r="B1389" s="407" t="s">
        <v>1154</v>
      </c>
      <c r="C1389" s="392">
        <v>94527</v>
      </c>
      <c r="D1389" s="392"/>
      <c r="H1389" s="302"/>
      <c r="J1389" s="390"/>
      <c r="K1389" s="302"/>
      <c r="Q1389" s="302"/>
    </row>
    <row r="1390" spans="1:17">
      <c r="A1390" s="392"/>
      <c r="B1390" s="407" t="s">
        <v>1981</v>
      </c>
      <c r="C1390" s="392">
        <v>98311</v>
      </c>
      <c r="D1390" s="392"/>
      <c r="H1390" s="302"/>
      <c r="J1390" s="389"/>
      <c r="K1390" s="302"/>
      <c r="Q1390" s="302"/>
    </row>
    <row r="1391" spans="1:17">
      <c r="A1391" s="392"/>
      <c r="B1391" s="407" t="s">
        <v>1485</v>
      </c>
      <c r="C1391" s="392">
        <v>98313</v>
      </c>
      <c r="D1391" s="392"/>
      <c r="H1391" s="302"/>
      <c r="J1391" s="389"/>
      <c r="K1391" s="302"/>
      <c r="Q1391" s="302"/>
    </row>
    <row r="1392" spans="1:17">
      <c r="A1392" s="392"/>
      <c r="B1392" s="407" t="s">
        <v>1483</v>
      </c>
      <c r="C1392" s="392">
        <v>98308</v>
      </c>
      <c r="D1392" s="392"/>
      <c r="H1392" s="302"/>
      <c r="J1392" s="389"/>
      <c r="K1392" s="302"/>
      <c r="Q1392" s="302"/>
    </row>
    <row r="1393" spans="1:17">
      <c r="A1393" s="392"/>
      <c r="B1393" s="407" t="s">
        <v>2559</v>
      </c>
      <c r="C1393" s="392">
        <v>92341</v>
      </c>
      <c r="D1393" s="392"/>
      <c r="H1393" s="302"/>
      <c r="J1393" s="389"/>
      <c r="K1393" s="302"/>
      <c r="Q1393" s="302"/>
    </row>
    <row r="1394" spans="1:17">
      <c r="A1394" s="392"/>
      <c r="B1394" s="407" t="s">
        <v>1212</v>
      </c>
      <c r="C1394" s="392">
        <v>95301</v>
      </c>
      <c r="D1394" s="392"/>
      <c r="H1394" s="302"/>
      <c r="J1394" s="389"/>
      <c r="K1394" s="302"/>
      <c r="Q1394" s="302"/>
    </row>
    <row r="1395" spans="1:17">
      <c r="A1395" s="392"/>
      <c r="B1395" s="407" t="s">
        <v>2560</v>
      </c>
      <c r="C1395" s="392">
        <v>91002</v>
      </c>
      <c r="D1395" s="392"/>
      <c r="H1395" s="302"/>
      <c r="J1395" s="389"/>
      <c r="K1395" s="302"/>
      <c r="Q1395" s="302"/>
    </row>
    <row r="1396" spans="1:17">
      <c r="A1396" s="392"/>
      <c r="B1396" s="407" t="s">
        <v>1982</v>
      </c>
      <c r="C1396" s="392">
        <v>91451</v>
      </c>
      <c r="D1396" s="392"/>
      <c r="H1396" s="302"/>
      <c r="J1396" s="389"/>
      <c r="K1396" s="302"/>
      <c r="Q1396" s="302"/>
    </row>
    <row r="1397" spans="1:17">
      <c r="A1397" s="392"/>
      <c r="B1397" s="407" t="s">
        <v>2805</v>
      </c>
      <c r="C1397" s="392">
        <v>91457</v>
      </c>
      <c r="D1397" s="392"/>
      <c r="H1397" s="302"/>
      <c r="J1397" s="389"/>
      <c r="K1397" s="302"/>
      <c r="Q1397" s="302"/>
    </row>
    <row r="1398" spans="1:17">
      <c r="A1398" s="392"/>
      <c r="B1398" s="407" t="s">
        <v>1216</v>
      </c>
      <c r="C1398" s="392">
        <v>95401</v>
      </c>
      <c r="D1398" s="392"/>
      <c r="H1398" s="302"/>
      <c r="J1398" s="390"/>
      <c r="K1398" s="302"/>
      <c r="Q1398" s="302"/>
    </row>
    <row r="1399" spans="1:17">
      <c r="A1399" s="392"/>
      <c r="B1399" s="407" t="s">
        <v>1217</v>
      </c>
      <c r="C1399" s="392">
        <v>95404</v>
      </c>
      <c r="D1399" s="392"/>
      <c r="H1399" s="302"/>
      <c r="J1399" s="389"/>
      <c r="K1399" s="302"/>
      <c r="Q1399" s="302"/>
    </row>
    <row r="1400" spans="1:17">
      <c r="A1400" s="392"/>
      <c r="B1400" s="407" t="s">
        <v>876</v>
      </c>
      <c r="C1400" s="392">
        <v>91423</v>
      </c>
      <c r="D1400" s="392"/>
      <c r="H1400" s="302"/>
      <c r="J1400" s="389"/>
      <c r="K1400" s="302"/>
      <c r="Q1400" s="302"/>
    </row>
    <row r="1401" spans="1:17">
      <c r="A1401" s="392"/>
      <c r="B1401" s="407" t="s">
        <v>2561</v>
      </c>
      <c r="C1401" s="392">
        <v>90861</v>
      </c>
      <c r="D1401" s="392"/>
      <c r="H1401" s="302"/>
      <c r="J1401" s="390"/>
      <c r="K1401" s="302"/>
      <c r="Q1401" s="302"/>
    </row>
    <row r="1402" spans="1:17">
      <c r="A1402" s="392"/>
      <c r="B1402" s="407" t="s">
        <v>2562</v>
      </c>
      <c r="C1402" s="392">
        <v>93451</v>
      </c>
      <c r="D1402" s="392"/>
      <c r="H1402" s="302"/>
      <c r="J1402" s="389"/>
      <c r="K1402" s="302"/>
      <c r="Q1402" s="302"/>
    </row>
    <row r="1403" spans="1:17">
      <c r="A1403" s="392"/>
      <c r="B1403" s="407" t="s">
        <v>1983</v>
      </c>
      <c r="C1403" s="392">
        <v>92931</v>
      </c>
      <c r="D1403" s="392"/>
      <c r="H1403" s="302"/>
      <c r="J1403" s="389"/>
      <c r="K1403" s="302"/>
      <c r="Q1403" s="302"/>
    </row>
    <row r="1404" spans="1:17">
      <c r="A1404" s="392"/>
      <c r="B1404" s="407" t="s">
        <v>998</v>
      </c>
      <c r="C1404" s="392">
        <v>92917</v>
      </c>
      <c r="D1404" s="392"/>
      <c r="H1404" s="302"/>
      <c r="J1404" s="389"/>
      <c r="K1404" s="302"/>
      <c r="Q1404" s="302"/>
    </row>
    <row r="1405" spans="1:17">
      <c r="A1405" s="392"/>
      <c r="B1405" s="407" t="s">
        <v>2563</v>
      </c>
      <c r="C1405" s="392">
        <v>97631</v>
      </c>
      <c r="D1405" s="392"/>
      <c r="H1405" s="302"/>
      <c r="J1405" s="389"/>
      <c r="K1405" s="302"/>
      <c r="Q1405" s="302"/>
    </row>
    <row r="1406" spans="1:17">
      <c r="A1406" s="392"/>
      <c r="B1406" s="407" t="s">
        <v>1400</v>
      </c>
      <c r="C1406" s="392">
        <v>97637</v>
      </c>
      <c r="D1406" s="392"/>
      <c r="H1406" s="302"/>
      <c r="J1406" s="389"/>
      <c r="K1406" s="302"/>
      <c r="Q1406" s="302"/>
    </row>
    <row r="1407" spans="1:17">
      <c r="A1407" s="392"/>
      <c r="B1407" s="407" t="s">
        <v>2564</v>
      </c>
      <c r="C1407" s="392">
        <v>90421</v>
      </c>
      <c r="D1407" s="392"/>
      <c r="H1407" s="302"/>
      <c r="J1407" s="390"/>
      <c r="K1407" s="302"/>
      <c r="Q1407" s="302"/>
    </row>
    <row r="1408" spans="1:17">
      <c r="A1408" s="392"/>
      <c r="B1408" s="407" t="s">
        <v>2565</v>
      </c>
      <c r="C1408" s="392">
        <v>94321</v>
      </c>
      <c r="D1408" s="392"/>
      <c r="H1408" s="302"/>
      <c r="J1408" s="389"/>
      <c r="K1408" s="302"/>
      <c r="Q1408" s="302"/>
    </row>
    <row r="1409" spans="1:17">
      <c r="A1409" s="392"/>
      <c r="B1409" s="407" t="s">
        <v>1225</v>
      </c>
      <c r="C1409" s="392">
        <v>95501</v>
      </c>
      <c r="D1409" s="392"/>
      <c r="H1409" s="302"/>
      <c r="J1409" s="389"/>
      <c r="K1409" s="302"/>
      <c r="Q1409" s="302"/>
    </row>
    <row r="1410" spans="1:17">
      <c r="A1410" s="392"/>
      <c r="B1410" s="407" t="s">
        <v>1226</v>
      </c>
      <c r="C1410" s="392">
        <v>95504</v>
      </c>
      <c r="D1410" s="392"/>
      <c r="H1410" s="302"/>
      <c r="J1410" s="389"/>
      <c r="K1410" s="302"/>
      <c r="Q1410" s="302"/>
    </row>
    <row r="1411" spans="1:17">
      <c r="A1411" s="392"/>
      <c r="B1411" s="407" t="s">
        <v>1984</v>
      </c>
      <c r="C1411" s="392">
        <v>95511</v>
      </c>
      <c r="D1411" s="392"/>
      <c r="H1411" s="302"/>
      <c r="J1411" s="389"/>
      <c r="K1411" s="302"/>
      <c r="Q1411" s="302"/>
    </row>
    <row r="1412" spans="1:17">
      <c r="A1412" s="392"/>
      <c r="B1412" s="407" t="s">
        <v>2566</v>
      </c>
      <c r="C1412" s="392">
        <v>95517</v>
      </c>
      <c r="D1412" s="392"/>
      <c r="H1412" s="302"/>
      <c r="J1412" s="389"/>
      <c r="K1412" s="302"/>
      <c r="Q1412" s="302"/>
    </row>
    <row r="1413" spans="1:17">
      <c r="A1413" s="392"/>
      <c r="B1413" s="407" t="s">
        <v>1228</v>
      </c>
      <c r="C1413" s="392">
        <v>95513</v>
      </c>
      <c r="D1413" s="392"/>
      <c r="H1413" s="302"/>
      <c r="J1413" s="389"/>
      <c r="K1413" s="302"/>
      <c r="Q1413" s="302"/>
    </row>
    <row r="1414" spans="1:17">
      <c r="A1414" s="392"/>
      <c r="B1414" s="407" t="s">
        <v>2567</v>
      </c>
      <c r="C1414" s="392">
        <v>92651</v>
      </c>
      <c r="D1414" s="392"/>
      <c r="H1414" s="302"/>
      <c r="J1414" s="389"/>
      <c r="K1414" s="302"/>
      <c r="Q1414" s="302"/>
    </row>
    <row r="1415" spans="1:17">
      <c r="A1415" s="392"/>
      <c r="B1415" s="407" t="s">
        <v>2568</v>
      </c>
      <c r="C1415" s="392">
        <v>94261</v>
      </c>
      <c r="D1415" s="392"/>
      <c r="H1415" s="302"/>
      <c r="J1415" s="389"/>
      <c r="K1415" s="302"/>
      <c r="Q1415" s="302"/>
    </row>
    <row r="1416" spans="1:17">
      <c r="A1416" s="392"/>
      <c r="B1416" s="407" t="s">
        <v>1985</v>
      </c>
      <c r="C1416" s="392">
        <v>98431</v>
      </c>
      <c r="D1416" s="392"/>
      <c r="H1416" s="302"/>
      <c r="J1416" s="390"/>
      <c r="K1416" s="302"/>
      <c r="Q1416" s="302"/>
    </row>
    <row r="1417" spans="1:17">
      <c r="A1417" s="392"/>
      <c r="B1417" s="407" t="s">
        <v>1489</v>
      </c>
      <c r="C1417" s="392">
        <v>98404</v>
      </c>
      <c r="D1417" s="392"/>
      <c r="H1417" s="302"/>
      <c r="J1417" s="389"/>
      <c r="K1417" s="302"/>
      <c r="Q1417" s="302"/>
    </row>
    <row r="1418" spans="1:17">
      <c r="A1418" s="392"/>
      <c r="B1418" s="407" t="s">
        <v>2569</v>
      </c>
      <c r="C1418" s="392">
        <v>91841</v>
      </c>
      <c r="D1418" s="392"/>
      <c r="H1418" s="302"/>
      <c r="J1418" s="389"/>
      <c r="K1418" s="302"/>
      <c r="Q1418" s="302"/>
    </row>
    <row r="1419" spans="1:17">
      <c r="A1419" s="392"/>
      <c r="B1419" s="407" t="s">
        <v>2570</v>
      </c>
      <c r="C1419" s="392">
        <v>93521</v>
      </c>
      <c r="D1419" s="392"/>
      <c r="H1419" s="302"/>
      <c r="J1419" s="390"/>
      <c r="K1419" s="302"/>
      <c r="Q1419" s="302"/>
    </row>
    <row r="1420" spans="1:17">
      <c r="A1420" s="392"/>
      <c r="B1420" s="407" t="s">
        <v>1058</v>
      </c>
      <c r="C1420" s="392">
        <v>93527</v>
      </c>
      <c r="D1420" s="392"/>
      <c r="H1420" s="302"/>
      <c r="J1420" s="389"/>
      <c r="K1420" s="302"/>
      <c r="Q1420" s="302"/>
    </row>
    <row r="1421" spans="1:17">
      <c r="A1421" s="392"/>
      <c r="B1421" s="407" t="s">
        <v>1986</v>
      </c>
      <c r="C1421" s="392">
        <v>93661</v>
      </c>
      <c r="D1421" s="392"/>
      <c r="H1421" s="302"/>
      <c r="J1421" s="389"/>
      <c r="K1421" s="302"/>
      <c r="Q1421" s="302"/>
    </row>
    <row r="1422" spans="1:17">
      <c r="A1422" s="392"/>
      <c r="B1422" s="407" t="s">
        <v>2766</v>
      </c>
      <c r="C1422" s="392">
        <v>96508</v>
      </c>
      <c r="D1422" s="392"/>
      <c r="H1422" s="302"/>
      <c r="J1422" s="389"/>
      <c r="K1422" s="302"/>
      <c r="Q1422" s="302"/>
    </row>
    <row r="1423" spans="1:17">
      <c r="A1423" s="392"/>
      <c r="B1423" s="407" t="s">
        <v>2571</v>
      </c>
      <c r="C1423" s="392">
        <v>99841</v>
      </c>
      <c r="D1423" s="392"/>
      <c r="H1423" s="302"/>
      <c r="J1423" s="389"/>
      <c r="K1423" s="302"/>
      <c r="Q1423" s="302"/>
    </row>
    <row r="1424" spans="1:17">
      <c r="A1424" s="392"/>
      <c r="B1424" s="407" t="s">
        <v>1413</v>
      </c>
      <c r="C1424" s="392">
        <v>97802</v>
      </c>
      <c r="D1424" s="392"/>
      <c r="H1424" s="302"/>
      <c r="J1424" s="389"/>
      <c r="K1424" s="302"/>
      <c r="Q1424" s="302"/>
    </row>
    <row r="1425" spans="1:17">
      <c r="A1425" s="392"/>
      <c r="B1425" s="407" t="s">
        <v>1987</v>
      </c>
      <c r="C1425" s="392">
        <v>97811</v>
      </c>
      <c r="D1425" s="392"/>
      <c r="H1425" s="302"/>
      <c r="J1425" s="389"/>
      <c r="K1425" s="302"/>
      <c r="Q1425" s="302"/>
    </row>
    <row r="1426" spans="1:17">
      <c r="A1426" s="392"/>
      <c r="B1426" s="407" t="s">
        <v>1417</v>
      </c>
      <c r="C1426" s="392">
        <v>97817</v>
      </c>
      <c r="D1426" s="392"/>
      <c r="H1426" s="302"/>
      <c r="J1426" s="389"/>
      <c r="K1426" s="302"/>
      <c r="Q1426" s="302"/>
    </row>
    <row r="1427" spans="1:17">
      <c r="A1427" s="392"/>
      <c r="B1427" s="407" t="s">
        <v>2804</v>
      </c>
      <c r="C1427" s="392">
        <v>97818</v>
      </c>
      <c r="D1427" s="392"/>
      <c r="H1427" s="302"/>
      <c r="J1427" s="389"/>
      <c r="K1427" s="302"/>
      <c r="Q1427" s="302"/>
    </row>
    <row r="1428" spans="1:17">
      <c r="A1428" s="392"/>
      <c r="B1428" s="407" t="s">
        <v>2572</v>
      </c>
      <c r="C1428" s="392">
        <v>93341</v>
      </c>
      <c r="D1428" s="392"/>
      <c r="H1428" s="302"/>
      <c r="J1428" s="390"/>
      <c r="K1428" s="302"/>
      <c r="Q1428" s="302"/>
    </row>
    <row r="1429" spans="1:17">
      <c r="A1429" s="392"/>
      <c r="B1429" s="407" t="s">
        <v>1230</v>
      </c>
      <c r="C1429" s="392">
        <v>95601</v>
      </c>
      <c r="D1429" s="392"/>
      <c r="H1429" s="302"/>
      <c r="J1429" s="389"/>
      <c r="K1429" s="302"/>
      <c r="Q1429" s="302"/>
    </row>
    <row r="1430" spans="1:17">
      <c r="A1430" s="392"/>
      <c r="B1430" s="407" t="s">
        <v>2573</v>
      </c>
      <c r="C1430" s="392">
        <v>97941</v>
      </c>
      <c r="D1430" s="392"/>
      <c r="H1430" s="302"/>
      <c r="J1430" s="389"/>
      <c r="K1430" s="302"/>
      <c r="Q1430" s="302"/>
    </row>
    <row r="1431" spans="1:17">
      <c r="A1431" s="392"/>
      <c r="B1431" s="407" t="s">
        <v>1438</v>
      </c>
      <c r="C1431" s="392">
        <v>97947</v>
      </c>
      <c r="D1431" s="392"/>
      <c r="H1431" s="302"/>
      <c r="J1431" s="390"/>
      <c r="K1431" s="302"/>
      <c r="Q1431" s="302"/>
    </row>
    <row r="1432" spans="1:17">
      <c r="A1432" s="392"/>
      <c r="B1432" s="407" t="s">
        <v>1234</v>
      </c>
      <c r="C1432" s="392">
        <v>95701</v>
      </c>
      <c r="D1432" s="392"/>
      <c r="H1432" s="302"/>
      <c r="J1432" s="389"/>
      <c r="K1432" s="302"/>
      <c r="Q1432" s="302"/>
    </row>
    <row r="1433" spans="1:17">
      <c r="A1433" s="392"/>
      <c r="B1433" s="407" t="s">
        <v>1439</v>
      </c>
      <c r="C1433" s="392">
        <v>97948</v>
      </c>
      <c r="D1433" s="392"/>
      <c r="H1433" s="302"/>
      <c r="J1433" s="389"/>
      <c r="K1433" s="302"/>
      <c r="Q1433" s="302"/>
    </row>
    <row r="1434" spans="1:17">
      <c r="A1434" s="392"/>
      <c r="B1434" s="407" t="s">
        <v>2574</v>
      </c>
      <c r="C1434" s="392">
        <v>94421</v>
      </c>
      <c r="D1434" s="392"/>
      <c r="H1434" s="302"/>
      <c r="J1434" s="389"/>
      <c r="K1434" s="302"/>
      <c r="Q1434" s="302"/>
    </row>
    <row r="1435" spans="1:17">
      <c r="A1435" s="392"/>
      <c r="B1435" s="407" t="s">
        <v>1145</v>
      </c>
      <c r="C1435" s="392">
        <v>94427</v>
      </c>
      <c r="D1435" s="392"/>
      <c r="H1435" s="302"/>
      <c r="J1435" s="389"/>
      <c r="K1435" s="302"/>
      <c r="Q1435" s="302"/>
    </row>
    <row r="1436" spans="1:17">
      <c r="A1436" s="392"/>
      <c r="B1436" s="407" t="s">
        <v>2803</v>
      </c>
      <c r="C1436" s="392">
        <v>94428</v>
      </c>
      <c r="D1436" s="392"/>
      <c r="H1436" s="302"/>
      <c r="J1436" s="389"/>
      <c r="K1436" s="302"/>
      <c r="Q1436" s="302"/>
    </row>
    <row r="1437" spans="1:17">
      <c r="A1437" s="392"/>
      <c r="B1437" s="407" t="s">
        <v>2575</v>
      </c>
      <c r="C1437" s="392">
        <v>93191</v>
      </c>
      <c r="D1437" s="392"/>
      <c r="H1437" s="302"/>
      <c r="J1437" s="389"/>
      <c r="K1437" s="302"/>
      <c r="Q1437" s="302"/>
    </row>
    <row r="1438" spans="1:17">
      <c r="A1438" s="392"/>
      <c r="B1438" s="407" t="s">
        <v>2576</v>
      </c>
      <c r="C1438" s="392">
        <v>91831</v>
      </c>
      <c r="D1438" s="392"/>
      <c r="H1438" s="302"/>
      <c r="J1438" s="389"/>
      <c r="K1438" s="302"/>
      <c r="Q1438" s="302"/>
    </row>
    <row r="1439" spans="1:17">
      <c r="A1439" s="392"/>
      <c r="B1439" s="407" t="s">
        <v>2577</v>
      </c>
      <c r="C1439" s="392">
        <v>92831</v>
      </c>
      <c r="D1439" s="392"/>
      <c r="H1439" s="302"/>
      <c r="J1439" s="389"/>
      <c r="K1439" s="302"/>
      <c r="Q1439" s="302"/>
    </row>
    <row r="1440" spans="1:17">
      <c r="A1440" s="392"/>
      <c r="B1440" s="407" t="s">
        <v>2578</v>
      </c>
      <c r="C1440" s="392">
        <v>95911</v>
      </c>
      <c r="D1440" s="392"/>
      <c r="H1440" s="302"/>
      <c r="J1440" s="390"/>
      <c r="K1440" s="302"/>
      <c r="Q1440" s="302"/>
    </row>
    <row r="1441" spans="1:17">
      <c r="A1441" s="392"/>
      <c r="B1441" s="407" t="s">
        <v>1251</v>
      </c>
      <c r="C1441" s="392">
        <v>95917</v>
      </c>
      <c r="D1441" s="392"/>
      <c r="H1441" s="302"/>
      <c r="J1441" s="389"/>
      <c r="K1441" s="302"/>
      <c r="Q1441" s="302"/>
    </row>
    <row r="1442" spans="1:17">
      <c r="A1442" s="392"/>
      <c r="B1442" s="407" t="s">
        <v>2579</v>
      </c>
      <c r="C1442" s="392">
        <v>95711</v>
      </c>
      <c r="D1442" s="392"/>
      <c r="H1442" s="302"/>
      <c r="J1442" s="389"/>
      <c r="K1442" s="302"/>
      <c r="Q1442" s="302"/>
    </row>
    <row r="1443" spans="1:17">
      <c r="A1443" s="392"/>
      <c r="B1443" s="407" t="s">
        <v>2580</v>
      </c>
      <c r="C1443" s="392">
        <v>95721</v>
      </c>
      <c r="D1443" s="392"/>
      <c r="H1443" s="302"/>
      <c r="J1443" s="390"/>
      <c r="K1443" s="302"/>
      <c r="Q1443" s="302"/>
    </row>
    <row r="1444" spans="1:17">
      <c r="A1444" s="392"/>
      <c r="B1444" s="407" t="s">
        <v>2581</v>
      </c>
      <c r="C1444" s="392">
        <v>99021</v>
      </c>
      <c r="D1444" s="392"/>
      <c r="H1444" s="302"/>
      <c r="J1444" s="389"/>
      <c r="K1444" s="302"/>
      <c r="Q1444" s="302"/>
    </row>
    <row r="1445" spans="1:17">
      <c r="A1445" s="392"/>
      <c r="B1445" s="407" t="s">
        <v>2764</v>
      </c>
      <c r="C1445" s="392">
        <v>95802</v>
      </c>
      <c r="D1445" s="392"/>
      <c r="H1445" s="302"/>
      <c r="J1445" s="389"/>
      <c r="K1445" s="302"/>
      <c r="Q1445" s="302"/>
    </row>
    <row r="1446" spans="1:17">
      <c r="A1446" s="392"/>
      <c r="B1446" s="407" t="s">
        <v>1238</v>
      </c>
      <c r="C1446" s="392">
        <v>95801</v>
      </c>
      <c r="D1446" s="392"/>
      <c r="H1446" s="302"/>
      <c r="J1446" s="389"/>
      <c r="K1446" s="302"/>
      <c r="Q1446" s="302"/>
    </row>
    <row r="1447" spans="1:17">
      <c r="A1447" s="392"/>
      <c r="B1447" s="407" t="s">
        <v>1240</v>
      </c>
      <c r="C1447" s="392">
        <v>95804</v>
      </c>
      <c r="D1447" s="392"/>
      <c r="H1447" s="302"/>
      <c r="J1447" s="389"/>
      <c r="K1447" s="302"/>
      <c r="Q1447" s="302"/>
    </row>
    <row r="1448" spans="1:17">
      <c r="A1448" s="392"/>
      <c r="B1448" s="407" t="s">
        <v>2802</v>
      </c>
      <c r="C1448" s="392">
        <v>90092</v>
      </c>
      <c r="D1448" s="392"/>
      <c r="H1448" s="302"/>
      <c r="J1448" s="389"/>
      <c r="K1448" s="302"/>
      <c r="Q1448" s="302"/>
    </row>
    <row r="1449" spans="1:17">
      <c r="A1449" s="392"/>
      <c r="B1449" s="407" t="s">
        <v>2582</v>
      </c>
      <c r="C1449" s="392">
        <v>99081</v>
      </c>
      <c r="D1449" s="392"/>
      <c r="H1449" s="302"/>
      <c r="J1449" s="389"/>
      <c r="K1449" s="302"/>
      <c r="Q1449" s="302"/>
    </row>
    <row r="1450" spans="1:17">
      <c r="A1450" s="392"/>
      <c r="B1450" s="407" t="s">
        <v>2583</v>
      </c>
      <c r="C1450" s="392">
        <v>96071</v>
      </c>
      <c r="D1450" s="392"/>
      <c r="H1450" s="302"/>
      <c r="J1450" s="389"/>
      <c r="K1450" s="302"/>
      <c r="Q1450" s="302"/>
    </row>
    <row r="1451" spans="1:17">
      <c r="A1451" s="392"/>
      <c r="B1451" s="407" t="s">
        <v>1096</v>
      </c>
      <c r="C1451" s="392">
        <v>94002</v>
      </c>
      <c r="D1451" s="392"/>
      <c r="H1451" s="302"/>
      <c r="J1451" s="389"/>
      <c r="K1451" s="302"/>
      <c r="Q1451" s="302"/>
    </row>
    <row r="1452" spans="1:17">
      <c r="A1452" s="392"/>
      <c r="B1452" s="407" t="s">
        <v>2584</v>
      </c>
      <c r="C1452" s="392">
        <v>97840</v>
      </c>
      <c r="D1452" s="392"/>
      <c r="H1452" s="302"/>
      <c r="J1452" s="390"/>
      <c r="K1452" s="302"/>
      <c r="Q1452" s="302"/>
    </row>
    <row r="1453" spans="1:17">
      <c r="A1453" s="392"/>
      <c r="B1453" s="407" t="s">
        <v>1425</v>
      </c>
      <c r="C1453" s="392">
        <v>97847</v>
      </c>
      <c r="D1453" s="392"/>
      <c r="H1453" s="302"/>
      <c r="J1453" s="389"/>
      <c r="K1453" s="302"/>
      <c r="Q1453" s="302"/>
    </row>
    <row r="1454" spans="1:17">
      <c r="A1454" s="392"/>
      <c r="B1454" s="407" t="s">
        <v>2585</v>
      </c>
      <c r="C1454" s="392">
        <v>97921</v>
      </c>
      <c r="D1454" s="392"/>
      <c r="H1454" s="302"/>
      <c r="J1454" s="389"/>
      <c r="K1454" s="302"/>
      <c r="Q1454" s="302"/>
    </row>
    <row r="1455" spans="1:17">
      <c r="A1455" s="392"/>
      <c r="B1455" s="407" t="s">
        <v>2586</v>
      </c>
      <c r="C1455" s="392">
        <v>95221</v>
      </c>
      <c r="D1455" s="392"/>
      <c r="H1455" s="302"/>
      <c r="J1455" s="390"/>
      <c r="K1455" s="302"/>
      <c r="Q1455" s="302"/>
    </row>
    <row r="1456" spans="1:17">
      <c r="A1456" s="392"/>
      <c r="B1456" s="407" t="s">
        <v>2587</v>
      </c>
      <c r="C1456" s="392">
        <v>93610</v>
      </c>
      <c r="D1456" s="392"/>
      <c r="H1456" s="302"/>
      <c r="J1456" s="389"/>
      <c r="K1456" s="302"/>
      <c r="Q1456" s="302"/>
    </row>
    <row r="1457" spans="1:17">
      <c r="A1457" s="392"/>
      <c r="B1457" s="407" t="s">
        <v>1248</v>
      </c>
      <c r="C1457" s="392">
        <v>95901</v>
      </c>
      <c r="D1457" s="392"/>
      <c r="H1457" s="302"/>
      <c r="J1457" s="389"/>
      <c r="K1457" s="302"/>
      <c r="Q1457" s="302"/>
    </row>
    <row r="1458" spans="1:17">
      <c r="A1458" s="392"/>
      <c r="B1458" s="407" t="s">
        <v>1988</v>
      </c>
      <c r="C1458" s="392">
        <v>90114</v>
      </c>
      <c r="D1458" s="392"/>
      <c r="H1458" s="302"/>
      <c r="J1458" s="389"/>
      <c r="K1458" s="302"/>
      <c r="Q1458" s="302"/>
    </row>
    <row r="1459" spans="1:17">
      <c r="A1459" s="392"/>
      <c r="B1459" s="407" t="s">
        <v>1253</v>
      </c>
      <c r="C1459" s="392">
        <v>96001</v>
      </c>
      <c r="D1459" s="392"/>
      <c r="H1459" s="302"/>
      <c r="J1459" s="389"/>
      <c r="K1459" s="302"/>
      <c r="Q1459" s="302"/>
    </row>
    <row r="1460" spans="1:17">
      <c r="A1460" s="392"/>
      <c r="B1460" s="407" t="s">
        <v>1255</v>
      </c>
      <c r="C1460" s="392">
        <v>96004</v>
      </c>
      <c r="D1460" s="392"/>
      <c r="H1460" s="302"/>
      <c r="J1460" s="389"/>
      <c r="K1460" s="302"/>
      <c r="Q1460" s="302"/>
    </row>
    <row r="1461" spans="1:17">
      <c r="A1461" s="392"/>
      <c r="B1461" s="407" t="s">
        <v>2801</v>
      </c>
      <c r="C1461" s="392">
        <v>96008</v>
      </c>
      <c r="D1461" s="392"/>
      <c r="H1461" s="302"/>
      <c r="J1461" s="389"/>
      <c r="K1461" s="302"/>
      <c r="Q1461" s="302"/>
    </row>
    <row r="1462" spans="1:17">
      <c r="A1462" s="392"/>
      <c r="B1462" s="407" t="s">
        <v>833</v>
      </c>
      <c r="C1462" s="392">
        <v>91108</v>
      </c>
      <c r="D1462" s="392"/>
      <c r="H1462" s="302"/>
      <c r="J1462" s="389"/>
      <c r="K1462" s="302"/>
      <c r="Q1462" s="302"/>
    </row>
    <row r="1463" spans="1:17">
      <c r="A1463" s="392"/>
      <c r="B1463" s="407" t="s">
        <v>1181</v>
      </c>
      <c r="C1463" s="392">
        <v>94941</v>
      </c>
      <c r="D1463" s="392"/>
      <c r="H1463" s="302"/>
      <c r="J1463" s="389"/>
      <c r="K1463" s="302"/>
      <c r="Q1463" s="302"/>
    </row>
    <row r="1464" spans="1:17">
      <c r="A1464" s="392"/>
      <c r="B1464" s="407" t="s">
        <v>2588</v>
      </c>
      <c r="C1464" s="392">
        <v>95122</v>
      </c>
      <c r="D1464" s="392"/>
      <c r="H1464" s="302"/>
      <c r="J1464" s="390"/>
      <c r="K1464" s="302"/>
      <c r="Q1464" s="302"/>
    </row>
    <row r="1465" spans="1:17">
      <c r="A1465" s="392"/>
      <c r="B1465" s="407" t="s">
        <v>971</v>
      </c>
      <c r="C1465" s="392">
        <v>92607</v>
      </c>
      <c r="D1465" s="392"/>
      <c r="H1465" s="302"/>
      <c r="J1465" s="389"/>
      <c r="K1465" s="302"/>
      <c r="Q1465" s="302"/>
    </row>
    <row r="1466" spans="1:17">
      <c r="A1466" s="392"/>
      <c r="B1466" s="407" t="s">
        <v>2589</v>
      </c>
      <c r="C1466" s="392">
        <v>96431</v>
      </c>
      <c r="D1466" s="392"/>
      <c r="H1466" s="302"/>
      <c r="J1466" s="389"/>
      <c r="K1466" s="302"/>
      <c r="Q1466" s="302"/>
    </row>
    <row r="1467" spans="1:17">
      <c r="A1467" s="392"/>
      <c r="B1467" s="407" t="s">
        <v>778</v>
      </c>
      <c r="C1467" s="392">
        <v>90709</v>
      </c>
      <c r="D1467" s="392"/>
      <c r="H1467" s="302"/>
      <c r="J1467" s="390"/>
      <c r="K1467" s="302"/>
      <c r="Q1467" s="302"/>
    </row>
    <row r="1468" spans="1:17">
      <c r="A1468" s="392"/>
      <c r="B1468" s="407" t="s">
        <v>2590</v>
      </c>
      <c r="C1468" s="392">
        <v>91341</v>
      </c>
      <c r="D1468" s="392"/>
      <c r="H1468" s="302"/>
      <c r="J1468" s="389"/>
      <c r="K1468" s="302"/>
      <c r="Q1468" s="302"/>
    </row>
    <row r="1469" spans="1:17">
      <c r="A1469" s="392"/>
      <c r="B1469" s="407" t="s">
        <v>2591</v>
      </c>
      <c r="C1469" s="392">
        <v>92941</v>
      </c>
      <c r="D1469" s="392"/>
      <c r="H1469" s="302"/>
      <c r="J1469" s="389"/>
      <c r="K1469" s="302"/>
      <c r="Q1469" s="302"/>
    </row>
    <row r="1470" spans="1:17">
      <c r="A1470" s="392"/>
      <c r="B1470" s="407" t="s">
        <v>2592</v>
      </c>
      <c r="C1470" s="392">
        <v>94551</v>
      </c>
      <c r="D1470" s="392"/>
      <c r="H1470" s="302"/>
      <c r="J1470" s="389"/>
      <c r="K1470" s="302"/>
      <c r="Q1470" s="302"/>
    </row>
    <row r="1471" spans="1:17">
      <c r="A1471" s="392"/>
      <c r="B1471" s="407" t="s">
        <v>2593</v>
      </c>
      <c r="C1471" s="392">
        <v>99022</v>
      </c>
      <c r="D1471" s="392"/>
      <c r="H1471" s="302"/>
      <c r="J1471" s="389"/>
      <c r="K1471" s="302"/>
      <c r="Q1471" s="302"/>
    </row>
    <row r="1472" spans="1:17">
      <c r="A1472" s="392"/>
      <c r="B1472" s="407" t="s">
        <v>2594</v>
      </c>
      <c r="C1472" s="392">
        <v>96031</v>
      </c>
      <c r="D1472" s="392"/>
      <c r="H1472" s="302"/>
      <c r="J1472" s="389"/>
      <c r="K1472" s="302"/>
      <c r="Q1472" s="302"/>
    </row>
    <row r="1473" spans="1:17">
      <c r="A1473" s="392"/>
      <c r="B1473" s="407" t="s">
        <v>2595</v>
      </c>
      <c r="C1473" s="392">
        <v>98414</v>
      </c>
      <c r="D1473" s="392"/>
      <c r="H1473" s="302"/>
      <c r="J1473" s="389"/>
      <c r="K1473" s="302"/>
      <c r="Q1473" s="302"/>
    </row>
    <row r="1474" spans="1:17">
      <c r="A1474" s="392"/>
      <c r="B1474" s="407" t="s">
        <v>1269</v>
      </c>
      <c r="C1474" s="392">
        <v>96101</v>
      </c>
      <c r="D1474" s="392"/>
      <c r="H1474" s="302"/>
      <c r="J1474" s="389"/>
      <c r="K1474" s="302"/>
      <c r="Q1474" s="302"/>
    </row>
    <row r="1475" spans="1:17">
      <c r="A1475" s="392"/>
      <c r="B1475" s="407" t="s">
        <v>2800</v>
      </c>
      <c r="C1475" s="392">
        <v>96102</v>
      </c>
      <c r="D1475" s="392"/>
      <c r="H1475" s="302"/>
      <c r="J1475" s="389"/>
      <c r="K1475" s="302"/>
      <c r="Q1475" s="302"/>
    </row>
    <row r="1476" spans="1:17">
      <c r="A1476" s="392"/>
      <c r="B1476" s="407" t="s">
        <v>2596</v>
      </c>
      <c r="C1476" s="392">
        <v>93011</v>
      </c>
      <c r="D1476" s="392"/>
      <c r="H1476" s="302"/>
      <c r="J1476" s="390"/>
      <c r="K1476" s="302"/>
      <c r="Q1476" s="302"/>
    </row>
    <row r="1477" spans="1:17">
      <c r="A1477" s="392"/>
      <c r="B1477" s="407" t="s">
        <v>3615</v>
      </c>
      <c r="C1477" s="392">
        <v>93208</v>
      </c>
      <c r="D1477" s="392"/>
      <c r="H1477" s="302"/>
      <c r="J1477" s="390"/>
      <c r="K1477" s="302"/>
      <c r="Q1477" s="302"/>
    </row>
    <row r="1478" spans="1:17">
      <c r="A1478" s="392"/>
      <c r="B1478" s="407" t="s">
        <v>1989</v>
      </c>
      <c r="C1478" s="392">
        <v>99011</v>
      </c>
      <c r="D1478" s="392"/>
      <c r="H1478" s="302"/>
      <c r="J1478" s="389"/>
      <c r="K1478" s="302"/>
      <c r="Q1478" s="302"/>
    </row>
    <row r="1479" spans="1:17">
      <c r="A1479" s="392"/>
      <c r="B1479" s="407" t="s">
        <v>1526</v>
      </c>
      <c r="C1479" s="392">
        <v>99017</v>
      </c>
      <c r="D1479" s="392"/>
      <c r="H1479" s="302"/>
      <c r="J1479" s="389"/>
      <c r="K1479" s="302"/>
      <c r="Q1479" s="302"/>
    </row>
    <row r="1480" spans="1:17">
      <c r="A1480" s="392"/>
      <c r="B1480" s="407" t="s">
        <v>1990</v>
      </c>
      <c r="C1480" s="392">
        <v>99013</v>
      </c>
      <c r="D1480" s="392"/>
      <c r="H1480" s="302"/>
      <c r="J1480" s="390"/>
      <c r="K1480" s="302"/>
      <c r="Q1480" s="302"/>
    </row>
    <row r="1481" spans="1:17">
      <c r="A1481" s="392"/>
      <c r="B1481" s="407" t="s">
        <v>1273</v>
      </c>
      <c r="C1481" s="392">
        <v>96201</v>
      </c>
      <c r="D1481" s="392"/>
      <c r="H1481" s="302"/>
      <c r="J1481" s="389"/>
      <c r="K1481" s="302"/>
      <c r="Q1481" s="302"/>
    </row>
    <row r="1482" spans="1:17">
      <c r="A1482" s="392"/>
      <c r="B1482" s="407" t="s">
        <v>1274</v>
      </c>
      <c r="C1482" s="392">
        <v>96204</v>
      </c>
      <c r="D1482" s="392"/>
      <c r="H1482" s="302"/>
      <c r="J1482" s="389"/>
      <c r="K1482" s="302"/>
      <c r="Q1482" s="302"/>
    </row>
    <row r="1483" spans="1:17">
      <c r="A1483" s="392"/>
      <c r="B1483" s="407" t="s">
        <v>2597</v>
      </c>
      <c r="C1483" s="392">
        <v>91161</v>
      </c>
      <c r="D1483" s="392"/>
      <c r="H1483" s="302"/>
      <c r="J1483" s="389"/>
      <c r="K1483" s="302"/>
      <c r="Q1483" s="302"/>
    </row>
    <row r="1484" spans="1:17">
      <c r="A1484" s="392"/>
      <c r="B1484" s="407" t="s">
        <v>1280</v>
      </c>
      <c r="C1484" s="392">
        <v>96301</v>
      </c>
      <c r="D1484" s="392"/>
      <c r="H1484" s="302"/>
      <c r="J1484" s="389"/>
      <c r="K1484" s="302"/>
      <c r="Q1484" s="302"/>
    </row>
    <row r="1485" spans="1:17">
      <c r="A1485" s="392"/>
      <c r="B1485" s="407" t="s">
        <v>1282</v>
      </c>
      <c r="C1485" s="392">
        <v>96304</v>
      </c>
      <c r="D1485" s="392"/>
      <c r="H1485" s="302"/>
      <c r="J1485" s="389"/>
      <c r="K1485" s="302"/>
      <c r="Q1485" s="302"/>
    </row>
    <row r="1486" spans="1:17">
      <c r="A1486" s="392"/>
      <c r="B1486" s="407" t="s">
        <v>1284</v>
      </c>
      <c r="C1486" s="392">
        <v>96310</v>
      </c>
      <c r="D1486" s="392"/>
      <c r="H1486" s="302"/>
      <c r="J1486" s="390"/>
      <c r="K1486" s="302"/>
      <c r="Q1486" s="302"/>
    </row>
    <row r="1487" spans="1:17">
      <c r="A1487" s="392"/>
      <c r="B1487" s="407" t="s">
        <v>1283</v>
      </c>
      <c r="C1487" s="392">
        <v>96305</v>
      </c>
      <c r="D1487" s="392"/>
      <c r="H1487" s="302"/>
      <c r="J1487" s="389"/>
      <c r="K1487" s="302"/>
      <c r="Q1487" s="302"/>
    </row>
    <row r="1488" spans="1:17">
      <c r="A1488" s="392"/>
      <c r="B1488" s="407" t="s">
        <v>1991</v>
      </c>
      <c r="C1488" s="392">
        <v>94921</v>
      </c>
      <c r="D1488" s="392"/>
      <c r="H1488" s="302"/>
      <c r="J1488" s="389"/>
      <c r="K1488" s="302"/>
      <c r="Q1488" s="302"/>
    </row>
    <row r="1489" spans="1:17">
      <c r="A1489" s="392"/>
      <c r="B1489" s="407" t="s">
        <v>1179</v>
      </c>
      <c r="C1489" s="392">
        <v>94927</v>
      </c>
      <c r="D1489" s="392"/>
      <c r="H1489" s="302"/>
      <c r="J1489" s="389"/>
      <c r="K1489" s="302"/>
      <c r="Q1489" s="302"/>
    </row>
    <row r="1490" spans="1:17">
      <c r="A1490" s="392"/>
      <c r="B1490" s="407" t="s">
        <v>1178</v>
      </c>
      <c r="C1490" s="392">
        <v>94923</v>
      </c>
      <c r="D1490" s="392"/>
      <c r="H1490" s="302"/>
      <c r="J1490" s="389"/>
      <c r="K1490" s="302"/>
      <c r="Q1490" s="302"/>
    </row>
    <row r="1491" spans="1:17">
      <c r="A1491" s="392"/>
      <c r="B1491" s="407" t="s">
        <v>2598</v>
      </c>
      <c r="C1491" s="392">
        <v>91611</v>
      </c>
      <c r="D1491" s="392"/>
      <c r="H1491" s="302"/>
      <c r="J1491" s="389"/>
      <c r="K1491" s="302"/>
      <c r="Q1491" s="302"/>
    </row>
    <row r="1492" spans="1:17">
      <c r="A1492" s="392"/>
      <c r="B1492" s="407" t="s">
        <v>1992</v>
      </c>
      <c r="C1492" s="392">
        <v>91231</v>
      </c>
      <c r="D1492" s="392"/>
      <c r="H1492" s="302"/>
      <c r="J1492" s="389"/>
      <c r="K1492" s="302"/>
      <c r="Q1492" s="302"/>
    </row>
    <row r="1493" spans="1:17">
      <c r="A1493" s="392"/>
      <c r="B1493" s="407" t="s">
        <v>855</v>
      </c>
      <c r="C1493" s="392">
        <v>91217</v>
      </c>
      <c r="D1493" s="392"/>
      <c r="H1493" s="302"/>
      <c r="J1493" s="389"/>
      <c r="K1493" s="302"/>
      <c r="Q1493" s="302"/>
    </row>
    <row r="1494" spans="1:17">
      <c r="A1494" s="392"/>
      <c r="B1494" s="407" t="s">
        <v>858</v>
      </c>
      <c r="C1494" s="392">
        <v>91233</v>
      </c>
      <c r="D1494" s="392"/>
      <c r="H1494" s="302"/>
      <c r="J1494" s="389"/>
      <c r="K1494" s="302"/>
      <c r="Q1494" s="302"/>
    </row>
    <row r="1495" spans="1:17">
      <c r="A1495" s="392"/>
      <c r="B1495" s="407" t="s">
        <v>2599</v>
      </c>
      <c r="C1495" s="392">
        <v>99206</v>
      </c>
      <c r="D1495" s="392"/>
      <c r="H1495" s="302"/>
      <c r="J1495" s="390"/>
      <c r="K1495" s="302"/>
      <c r="Q1495" s="302"/>
    </row>
    <row r="1496" spans="1:17">
      <c r="A1496" s="392"/>
      <c r="B1496" s="407" t="s">
        <v>2600</v>
      </c>
      <c r="C1496" s="392">
        <v>90461</v>
      </c>
      <c r="D1496" s="392"/>
      <c r="H1496" s="302"/>
      <c r="J1496" s="389"/>
      <c r="K1496" s="302"/>
      <c r="Q1496" s="302"/>
    </row>
    <row r="1497" spans="1:17">
      <c r="A1497" s="392"/>
      <c r="B1497" s="407" t="s">
        <v>1993</v>
      </c>
      <c r="C1497" s="392">
        <v>98631</v>
      </c>
      <c r="D1497" s="392"/>
      <c r="H1497" s="302"/>
      <c r="J1497" s="389"/>
      <c r="K1497" s="302"/>
      <c r="Q1497" s="302"/>
    </row>
    <row r="1498" spans="1:17">
      <c r="A1498" s="392"/>
      <c r="B1498" s="407" t="s">
        <v>1511</v>
      </c>
      <c r="C1498" s="392">
        <v>98637</v>
      </c>
      <c r="D1498" s="392"/>
      <c r="H1498" s="302"/>
      <c r="J1498" s="390"/>
      <c r="K1498" s="302"/>
      <c r="Q1498" s="302"/>
    </row>
    <row r="1499" spans="1:17">
      <c r="A1499" s="392"/>
      <c r="B1499" s="407" t="s">
        <v>2601</v>
      </c>
      <c r="C1499" s="392">
        <v>96251</v>
      </c>
      <c r="D1499" s="392"/>
      <c r="H1499" s="302"/>
      <c r="J1499" s="389"/>
      <c r="K1499" s="302"/>
      <c r="Q1499" s="302"/>
    </row>
    <row r="1500" spans="1:17">
      <c r="A1500" s="392"/>
      <c r="B1500" s="407" t="s">
        <v>1994</v>
      </c>
      <c r="C1500" s="392">
        <v>93691</v>
      </c>
      <c r="D1500" s="392"/>
      <c r="H1500" s="302"/>
      <c r="J1500" s="389"/>
      <c r="K1500" s="302"/>
      <c r="Q1500" s="302"/>
    </row>
    <row r="1501" spans="1:17">
      <c r="A1501" s="392"/>
      <c r="B1501" s="407" t="s">
        <v>2602</v>
      </c>
      <c r="C1501" s="392">
        <v>99621</v>
      </c>
      <c r="D1501" s="392"/>
      <c r="H1501" s="302"/>
      <c r="J1501" s="389"/>
      <c r="K1501" s="302"/>
      <c r="Q1501" s="302"/>
    </row>
    <row r="1502" spans="1:17">
      <c r="A1502" s="392"/>
      <c r="B1502" s="407" t="s">
        <v>3504</v>
      </c>
      <c r="C1502" s="392">
        <v>99623</v>
      </c>
      <c r="D1502" s="392"/>
      <c r="H1502" s="302"/>
      <c r="J1502" s="389"/>
      <c r="K1502" s="302"/>
      <c r="Q1502" s="302"/>
    </row>
    <row r="1503" spans="1:17">
      <c r="A1503" s="392"/>
      <c r="B1503" s="407" t="s">
        <v>2603</v>
      </c>
      <c r="C1503" s="392">
        <v>91321</v>
      </c>
      <c r="D1503" s="392"/>
      <c r="H1503" s="302"/>
      <c r="J1503" s="389"/>
      <c r="K1503" s="302"/>
      <c r="Q1503" s="302"/>
    </row>
    <row r="1504" spans="1:17">
      <c r="A1504" s="392"/>
      <c r="B1504" s="407" t="s">
        <v>3505</v>
      </c>
      <c r="C1504" s="392">
        <v>91327</v>
      </c>
      <c r="D1504" s="392"/>
      <c r="H1504" s="302"/>
      <c r="J1504" s="389"/>
      <c r="K1504" s="302"/>
      <c r="Q1504" s="302"/>
    </row>
    <row r="1505" spans="1:17">
      <c r="A1505" s="392"/>
      <c r="B1505" s="407" t="s">
        <v>2604</v>
      </c>
      <c r="C1505" s="392">
        <v>94621</v>
      </c>
      <c r="D1505" s="392"/>
      <c r="H1505" s="302"/>
      <c r="J1505" s="389"/>
      <c r="K1505" s="302"/>
      <c r="Q1505" s="302"/>
    </row>
    <row r="1506" spans="1:17">
      <c r="A1506" s="392"/>
      <c r="B1506" s="407" t="s">
        <v>2605</v>
      </c>
      <c r="C1506" s="392">
        <v>92011</v>
      </c>
      <c r="D1506" s="392"/>
      <c r="H1506" s="302"/>
      <c r="J1506" s="389"/>
      <c r="K1506" s="302"/>
      <c r="Q1506" s="302"/>
    </row>
    <row r="1507" spans="1:17">
      <c r="A1507" s="392"/>
      <c r="B1507" s="407" t="s">
        <v>925</v>
      </c>
      <c r="C1507" s="392">
        <v>92017</v>
      </c>
      <c r="D1507" s="392"/>
      <c r="H1507" s="302"/>
      <c r="J1507" s="390"/>
      <c r="K1507" s="302"/>
      <c r="Q1507" s="302"/>
    </row>
    <row r="1508" spans="1:17">
      <c r="A1508" s="392"/>
      <c r="B1508" s="407" t="s">
        <v>1616</v>
      </c>
      <c r="C1508" s="392">
        <v>99991</v>
      </c>
      <c r="D1508" s="392"/>
      <c r="H1508" s="302"/>
      <c r="J1508" s="389"/>
      <c r="K1508" s="302"/>
      <c r="Q1508" s="302"/>
    </row>
    <row r="1509" spans="1:17">
      <c r="A1509" s="392"/>
      <c r="B1509" s="407" t="s">
        <v>1617</v>
      </c>
      <c r="C1509" s="392">
        <v>99999</v>
      </c>
      <c r="D1509" s="392"/>
      <c r="H1509" s="302"/>
      <c r="J1509" s="389"/>
      <c r="K1509" s="302"/>
      <c r="Q1509" s="302"/>
    </row>
    <row r="1510" spans="1:17">
      <c r="A1510" s="392"/>
      <c r="B1510" s="407" t="s">
        <v>2609</v>
      </c>
      <c r="C1510" s="392">
        <v>92811</v>
      </c>
      <c r="D1510" s="392"/>
      <c r="H1510" s="302"/>
      <c r="J1510" s="390"/>
      <c r="K1510" s="302"/>
      <c r="Q1510" s="302"/>
    </row>
    <row r="1511" spans="1:17">
      <c r="A1511" s="392"/>
      <c r="B1511" s="407" t="s">
        <v>923</v>
      </c>
      <c r="C1511" s="392">
        <v>92005</v>
      </c>
      <c r="D1511" s="392"/>
      <c r="H1511" s="302"/>
      <c r="J1511" s="389"/>
      <c r="K1511" s="302"/>
      <c r="Q1511" s="302"/>
    </row>
    <row r="1512" spans="1:17">
      <c r="A1512" s="392"/>
      <c r="B1512" s="407" t="s">
        <v>1296</v>
      </c>
      <c r="C1512" s="392">
        <v>96401</v>
      </c>
      <c r="D1512" s="392"/>
      <c r="H1512" s="302"/>
      <c r="J1512" s="389"/>
      <c r="K1512" s="302"/>
      <c r="Q1512" s="302"/>
    </row>
    <row r="1513" spans="1:17">
      <c r="A1513" s="392"/>
      <c r="B1513" s="407" t="s">
        <v>1297</v>
      </c>
      <c r="C1513" s="392">
        <v>96404</v>
      </c>
      <c r="D1513" s="392"/>
      <c r="H1513" s="302"/>
      <c r="J1513" s="389"/>
      <c r="K1513" s="302"/>
      <c r="Q1513" s="302"/>
    </row>
    <row r="1514" spans="1:17">
      <c r="A1514" s="392"/>
      <c r="B1514" s="407" t="s">
        <v>2610</v>
      </c>
      <c r="C1514" s="392">
        <v>96421</v>
      </c>
      <c r="D1514" s="392"/>
      <c r="H1514" s="302"/>
      <c r="J1514" s="389"/>
      <c r="K1514" s="302"/>
      <c r="Q1514" s="302"/>
    </row>
    <row r="1515" spans="1:17">
      <c r="A1515" s="392"/>
      <c r="B1515" s="407" t="s">
        <v>2611</v>
      </c>
      <c r="C1515" s="392">
        <v>91026</v>
      </c>
      <c r="D1515" s="392"/>
      <c r="H1515" s="302"/>
      <c r="J1515" s="389"/>
      <c r="K1515" s="302"/>
      <c r="Q1515" s="302"/>
    </row>
    <row r="1516" spans="1:17">
      <c r="A1516" s="392"/>
      <c r="B1516" s="407" t="s">
        <v>1218</v>
      </c>
      <c r="C1516" s="392">
        <v>95405</v>
      </c>
      <c r="D1516" s="392"/>
      <c r="H1516" s="302"/>
      <c r="J1516" s="389"/>
      <c r="K1516" s="302"/>
      <c r="Q1516" s="302"/>
    </row>
    <row r="1517" spans="1:17">
      <c r="A1517" s="392"/>
      <c r="B1517" s="407" t="s">
        <v>1098</v>
      </c>
      <c r="C1517" s="392">
        <v>94005</v>
      </c>
      <c r="D1517" s="392"/>
      <c r="H1517" s="302"/>
      <c r="J1517" s="389"/>
      <c r="K1517" s="302"/>
      <c r="Q1517" s="302"/>
    </row>
    <row r="1518" spans="1:17">
      <c r="A1518" s="392"/>
      <c r="B1518" s="407" t="s">
        <v>1209</v>
      </c>
      <c r="C1518" s="392">
        <v>95205</v>
      </c>
      <c r="D1518" s="392"/>
      <c r="H1518" s="302"/>
      <c r="J1518" s="389"/>
      <c r="K1518" s="302"/>
      <c r="Q1518" s="302"/>
    </row>
    <row r="1519" spans="1:17">
      <c r="A1519" s="392"/>
      <c r="B1519" s="407" t="s">
        <v>958</v>
      </c>
      <c r="C1519" s="392">
        <v>92507</v>
      </c>
      <c r="D1519" s="392"/>
      <c r="H1519" s="302"/>
      <c r="J1519" s="390"/>
      <c r="K1519" s="302"/>
      <c r="Q1519" s="302"/>
    </row>
    <row r="1520" spans="1:17">
      <c r="A1520" s="392"/>
      <c r="B1520" s="407" t="s">
        <v>1995</v>
      </c>
      <c r="C1520" s="392">
        <v>92511</v>
      </c>
      <c r="D1520" s="392"/>
      <c r="H1520" s="302"/>
      <c r="J1520" s="389"/>
      <c r="K1520" s="302"/>
      <c r="Q1520" s="302"/>
    </row>
    <row r="1521" spans="1:17">
      <c r="A1521" s="392"/>
      <c r="B1521" s="407" t="s">
        <v>2774</v>
      </c>
      <c r="C1521" s="392">
        <v>92113</v>
      </c>
      <c r="D1521" s="392"/>
      <c r="H1521" s="302"/>
      <c r="J1521" s="389"/>
      <c r="K1521" s="302"/>
      <c r="Q1521" s="302"/>
    </row>
    <row r="1522" spans="1:17">
      <c r="A1522" s="392"/>
      <c r="B1522" s="407" t="s">
        <v>2765</v>
      </c>
      <c r="C1522" s="392">
        <v>96502</v>
      </c>
      <c r="D1522" s="392"/>
      <c r="H1522" s="302"/>
      <c r="J1522" s="390"/>
      <c r="K1522" s="302"/>
      <c r="Q1522" s="302"/>
    </row>
    <row r="1523" spans="1:17">
      <c r="A1523" s="392"/>
      <c r="B1523" s="407" t="s">
        <v>1305</v>
      </c>
      <c r="C1523" s="392">
        <v>96501</v>
      </c>
      <c r="D1523" s="392"/>
      <c r="H1523" s="302"/>
      <c r="J1523" s="389"/>
      <c r="K1523" s="302"/>
      <c r="Q1523" s="302"/>
    </row>
    <row r="1524" spans="1:17">
      <c r="A1524" s="392"/>
      <c r="B1524" s="407" t="s">
        <v>1308</v>
      </c>
      <c r="C1524" s="392">
        <v>96504</v>
      </c>
      <c r="D1524" s="392"/>
      <c r="H1524" s="302"/>
      <c r="J1524" s="389"/>
      <c r="K1524" s="302"/>
      <c r="Q1524" s="302"/>
    </row>
    <row r="1525" spans="1:17">
      <c r="A1525" s="392"/>
      <c r="B1525" s="409" t="s">
        <v>2612</v>
      </c>
      <c r="C1525" s="392">
        <v>98471</v>
      </c>
      <c r="D1525" s="392"/>
      <c r="H1525" s="302"/>
      <c r="J1525" s="389"/>
      <c r="K1525" s="302"/>
      <c r="Q1525" s="302"/>
    </row>
    <row r="1526" spans="1:17">
      <c r="A1526" s="392"/>
      <c r="B1526" s="407" t="s">
        <v>2775</v>
      </c>
      <c r="C1526" s="392">
        <v>97913</v>
      </c>
      <c r="D1526" s="392"/>
      <c r="H1526" s="302"/>
      <c r="J1526" s="389"/>
      <c r="K1526" s="302"/>
      <c r="Q1526" s="302"/>
    </row>
    <row r="1527" spans="1:17">
      <c r="A1527" s="392"/>
      <c r="B1527" s="407" t="s">
        <v>2613</v>
      </c>
      <c r="C1527" s="392">
        <v>90621</v>
      </c>
      <c r="D1527" s="392"/>
      <c r="H1527" s="302"/>
      <c r="J1527" s="389"/>
      <c r="K1527" s="302"/>
      <c r="Q1527" s="302"/>
    </row>
    <row r="1528" spans="1:17">
      <c r="A1528" s="392"/>
      <c r="B1528" s="407" t="s">
        <v>2614</v>
      </c>
      <c r="C1528" s="392">
        <v>91621</v>
      </c>
      <c r="D1528" s="392"/>
      <c r="H1528" s="302"/>
      <c r="J1528" s="389"/>
      <c r="K1528" s="302"/>
      <c r="Q1528" s="302"/>
    </row>
    <row r="1529" spans="1:17">
      <c r="A1529" s="392"/>
      <c r="B1529" s="407" t="s">
        <v>1996</v>
      </c>
      <c r="C1529" s="392">
        <v>91871</v>
      </c>
      <c r="D1529" s="392"/>
      <c r="H1529" s="302"/>
      <c r="J1529" s="389"/>
      <c r="K1529" s="302"/>
      <c r="Q1529" s="302"/>
    </row>
    <row r="1530" spans="1:17">
      <c r="A1530" s="392"/>
      <c r="B1530" s="407" t="s">
        <v>2615</v>
      </c>
      <c r="C1530" s="392">
        <v>98231</v>
      </c>
      <c r="D1530" s="392"/>
      <c r="H1530" s="302"/>
      <c r="J1530" s="389"/>
      <c r="K1530" s="302"/>
      <c r="Q1530" s="302"/>
    </row>
    <row r="1531" spans="1:17">
      <c r="A1531" s="392"/>
      <c r="B1531" s="407" t="s">
        <v>2616</v>
      </c>
      <c r="C1531" s="392">
        <v>99311</v>
      </c>
      <c r="D1531" s="392"/>
      <c r="H1531" s="302"/>
      <c r="J1531" s="390"/>
      <c r="K1531" s="302"/>
      <c r="Q1531" s="302"/>
    </row>
    <row r="1532" spans="1:17">
      <c r="A1532" s="392"/>
      <c r="B1532" s="407" t="s">
        <v>2606</v>
      </c>
      <c r="C1532" s="392">
        <v>96751</v>
      </c>
      <c r="D1532" s="392"/>
      <c r="H1532" s="302"/>
      <c r="J1532" s="389"/>
      <c r="K1532" s="302"/>
      <c r="Q1532" s="302"/>
    </row>
    <row r="1533" spans="1:17">
      <c r="A1533" s="392"/>
      <c r="B1533" s="407" t="s">
        <v>2607</v>
      </c>
      <c r="C1533" s="392">
        <v>99711</v>
      </c>
      <c r="D1533" s="392"/>
      <c r="H1533" s="302"/>
      <c r="J1533" s="389"/>
      <c r="K1533" s="302"/>
      <c r="Q1533" s="302"/>
    </row>
    <row r="1534" spans="1:17">
      <c r="A1534" s="392"/>
      <c r="B1534" s="407" t="s">
        <v>2608</v>
      </c>
      <c r="C1534" s="392">
        <v>99717</v>
      </c>
      <c r="D1534" s="392"/>
      <c r="H1534" s="302"/>
      <c r="J1534" s="390"/>
      <c r="K1534" s="302"/>
      <c r="Q1534" s="302"/>
    </row>
    <row r="1535" spans="1:17">
      <c r="A1535" s="392"/>
      <c r="B1535" s="407" t="s">
        <v>1316</v>
      </c>
      <c r="C1535" s="392">
        <v>96601</v>
      </c>
      <c r="D1535" s="392"/>
      <c r="H1535" s="302"/>
      <c r="J1535" s="389"/>
      <c r="K1535" s="302"/>
      <c r="Q1535" s="302"/>
    </row>
    <row r="1536" spans="1:17">
      <c r="A1536" s="392"/>
      <c r="B1536" s="407" t="s">
        <v>1317</v>
      </c>
      <c r="C1536" s="392">
        <v>96604</v>
      </c>
      <c r="D1536" s="392"/>
      <c r="H1536" s="302"/>
      <c r="J1536" s="389"/>
      <c r="K1536" s="302"/>
      <c r="Q1536" s="302"/>
    </row>
    <row r="1537" spans="1:17">
      <c r="A1537" s="392"/>
      <c r="B1537" s="407" t="s">
        <v>1997</v>
      </c>
      <c r="C1537" s="392">
        <v>91012</v>
      </c>
      <c r="D1537" s="392"/>
      <c r="H1537" s="302"/>
      <c r="J1537" s="389"/>
      <c r="K1537" s="302"/>
      <c r="Q1537" s="302"/>
    </row>
    <row r="1538" spans="1:17">
      <c r="A1538" s="392"/>
      <c r="B1538" s="407" t="s">
        <v>753</v>
      </c>
      <c r="C1538" s="392">
        <v>90305</v>
      </c>
      <c r="D1538" s="392"/>
      <c r="H1538" s="302"/>
      <c r="J1538" s="389"/>
      <c r="K1538" s="302"/>
      <c r="Q1538" s="302"/>
    </row>
    <row r="1539" spans="1:17">
      <c r="A1539" s="392"/>
      <c r="B1539" s="407" t="s">
        <v>2617</v>
      </c>
      <c r="C1539" s="392">
        <v>98421</v>
      </c>
      <c r="D1539" s="392"/>
      <c r="H1539" s="302"/>
      <c r="J1539" s="389"/>
      <c r="K1539" s="302"/>
      <c r="Q1539" s="302"/>
    </row>
    <row r="1540" spans="1:17">
      <c r="A1540" s="392"/>
      <c r="B1540" s="407" t="s">
        <v>2799</v>
      </c>
      <c r="C1540" s="392">
        <v>98427</v>
      </c>
      <c r="D1540" s="392"/>
      <c r="H1540" s="302"/>
      <c r="J1540" s="389"/>
      <c r="K1540" s="302"/>
      <c r="Q1540" s="302"/>
    </row>
    <row r="1541" spans="1:17">
      <c r="A1541" s="392"/>
      <c r="B1541" s="407" t="s">
        <v>2618</v>
      </c>
      <c r="C1541" s="392">
        <v>95821</v>
      </c>
      <c r="D1541" s="392"/>
      <c r="H1541" s="302"/>
      <c r="J1541" s="389"/>
      <c r="K1541" s="302"/>
      <c r="Q1541" s="302"/>
    </row>
    <row r="1542" spans="1:17">
      <c r="A1542" s="392"/>
      <c r="B1542" s="407" t="s">
        <v>2619</v>
      </c>
      <c r="C1542" s="392">
        <v>91021</v>
      </c>
      <c r="D1542" s="392"/>
      <c r="H1542" s="302"/>
      <c r="J1542" s="389"/>
      <c r="K1542" s="302"/>
      <c r="Q1542" s="302"/>
    </row>
    <row r="1543" spans="1:17">
      <c r="A1543" s="392"/>
      <c r="B1543" s="407" t="s">
        <v>2798</v>
      </c>
      <c r="C1543" s="392">
        <v>91027</v>
      </c>
      <c r="D1543" s="392"/>
      <c r="H1543" s="302"/>
      <c r="J1543" s="390"/>
      <c r="K1543" s="302"/>
      <c r="Q1543" s="302"/>
    </row>
    <row r="1544" spans="1:17">
      <c r="A1544" s="392"/>
      <c r="B1544" s="407" t="s">
        <v>2620</v>
      </c>
      <c r="C1544" s="392">
        <v>94161</v>
      </c>
      <c r="D1544" s="392"/>
      <c r="H1544" s="302"/>
      <c r="J1544" s="389"/>
      <c r="K1544" s="302"/>
      <c r="Q1544" s="302"/>
    </row>
    <row r="1545" spans="1:17">
      <c r="A1545" s="392"/>
      <c r="B1545" s="407" t="s">
        <v>2621</v>
      </c>
      <c r="C1545" s="392">
        <v>98441</v>
      </c>
      <c r="D1545" s="392"/>
      <c r="H1545" s="302"/>
      <c r="J1545" s="389"/>
      <c r="K1545" s="302"/>
      <c r="Q1545" s="302"/>
    </row>
    <row r="1546" spans="1:17">
      <c r="A1546" s="392"/>
      <c r="B1546" s="407" t="s">
        <v>2622</v>
      </c>
      <c r="C1546" s="392">
        <v>91061</v>
      </c>
      <c r="D1546" s="392"/>
      <c r="H1546" s="302"/>
      <c r="J1546" s="390"/>
      <c r="K1546" s="302"/>
      <c r="Q1546" s="302"/>
    </row>
    <row r="1547" spans="1:17">
      <c r="A1547" s="392"/>
      <c r="B1547" s="407" t="s">
        <v>824</v>
      </c>
      <c r="C1547" s="392">
        <v>91067</v>
      </c>
      <c r="D1547" s="392"/>
      <c r="H1547" s="302"/>
      <c r="J1547" s="389"/>
      <c r="K1547" s="302"/>
      <c r="Q1547" s="302"/>
    </row>
    <row r="1548" spans="1:17">
      <c r="A1548" s="392"/>
      <c r="B1548" s="407" t="s">
        <v>2797</v>
      </c>
      <c r="C1548" s="392">
        <v>94812</v>
      </c>
      <c r="D1548" s="392"/>
      <c r="H1548" s="302"/>
      <c r="J1548" s="389"/>
      <c r="K1548" s="302"/>
      <c r="Q1548" s="302"/>
    </row>
    <row r="1549" spans="1:17">
      <c r="A1549" s="392"/>
      <c r="B1549" s="407" t="s">
        <v>2623</v>
      </c>
      <c r="C1549" s="392">
        <v>95921</v>
      </c>
      <c r="D1549" s="392"/>
      <c r="H1549" s="302"/>
      <c r="J1549" s="389"/>
      <c r="K1549" s="302"/>
      <c r="Q1549" s="302"/>
    </row>
    <row r="1550" spans="1:17">
      <c r="A1550" s="392"/>
      <c r="B1550" s="407" t="s">
        <v>1327</v>
      </c>
      <c r="C1550" s="392">
        <v>96701</v>
      </c>
      <c r="D1550" s="392"/>
      <c r="H1550" s="302"/>
      <c r="J1550" s="389"/>
      <c r="K1550" s="302"/>
      <c r="Q1550" s="302"/>
    </row>
    <row r="1551" spans="1:17">
      <c r="A1551" s="392"/>
      <c r="B1551" s="407" t="s">
        <v>1328</v>
      </c>
      <c r="C1551" s="392">
        <v>96704</v>
      </c>
      <c r="D1551" s="392"/>
      <c r="H1551" s="302"/>
      <c r="J1551" s="389"/>
      <c r="K1551" s="302"/>
      <c r="Q1551" s="302"/>
    </row>
    <row r="1552" spans="1:17">
      <c r="A1552" s="392"/>
      <c r="B1552" s="407" t="s">
        <v>1329</v>
      </c>
      <c r="C1552" s="392">
        <v>96708</v>
      </c>
      <c r="D1552" s="392"/>
      <c r="H1552" s="302"/>
      <c r="J1552" s="389"/>
      <c r="K1552" s="302"/>
      <c r="Q1552" s="302"/>
    </row>
    <row r="1553" spans="1:17">
      <c r="A1553" s="392"/>
      <c r="B1553" s="407" t="s">
        <v>1336</v>
      </c>
      <c r="C1553" s="392">
        <v>96801</v>
      </c>
      <c r="D1553" s="392"/>
      <c r="H1553" s="302"/>
      <c r="J1553" s="389"/>
      <c r="K1553" s="302"/>
      <c r="Q1553" s="302"/>
    </row>
    <row r="1554" spans="1:17">
      <c r="A1554" s="392"/>
      <c r="B1554" s="407" t="s">
        <v>1337</v>
      </c>
      <c r="C1554" s="392">
        <v>96804</v>
      </c>
      <c r="D1554" s="392"/>
      <c r="H1554" s="302"/>
      <c r="J1554" s="389"/>
      <c r="K1554" s="302"/>
      <c r="Q1554" s="302"/>
    </row>
    <row r="1555" spans="1:17">
      <c r="A1555" s="392"/>
      <c r="B1555" s="407" t="s">
        <v>1338</v>
      </c>
      <c r="C1555" s="392">
        <v>96808</v>
      </c>
      <c r="D1555" s="392"/>
      <c r="H1555" s="302"/>
      <c r="J1555" s="390"/>
      <c r="K1555" s="302"/>
      <c r="Q1555" s="302"/>
    </row>
    <row r="1556" spans="1:17">
      <c r="A1556" s="392"/>
      <c r="B1556" s="407" t="s">
        <v>2624</v>
      </c>
      <c r="C1556" s="392">
        <v>96912</v>
      </c>
      <c r="D1556" s="392"/>
      <c r="H1556" s="302"/>
      <c r="J1556" s="389"/>
      <c r="K1556" s="302"/>
      <c r="Q1556" s="302"/>
    </row>
    <row r="1557" spans="1:17">
      <c r="A1557" s="392"/>
      <c r="B1557" s="407" t="s">
        <v>1998</v>
      </c>
      <c r="C1557" s="392">
        <v>93911</v>
      </c>
      <c r="D1557" s="392"/>
      <c r="H1557" s="302"/>
      <c r="J1557" s="389"/>
      <c r="K1557" s="302"/>
      <c r="Q1557" s="302"/>
    </row>
    <row r="1558" spans="1:17">
      <c r="A1558" s="392"/>
      <c r="B1558" s="407" t="s">
        <v>1091</v>
      </c>
      <c r="C1558" s="392">
        <v>93913</v>
      </c>
      <c r="D1558" s="392"/>
      <c r="H1558" s="302"/>
      <c r="J1558" s="390"/>
      <c r="K1558" s="302"/>
      <c r="Q1558" s="302"/>
    </row>
    <row r="1559" spans="1:17">
      <c r="A1559" s="392"/>
      <c r="B1559" s="407" t="s">
        <v>1342</v>
      </c>
      <c r="C1559" s="392">
        <v>96901</v>
      </c>
      <c r="D1559" s="392"/>
      <c r="H1559" s="302"/>
      <c r="J1559" s="389"/>
      <c r="K1559" s="302"/>
      <c r="Q1559" s="302"/>
    </row>
    <row r="1560" spans="1:17">
      <c r="A1560" s="392"/>
      <c r="B1560" s="407" t="s">
        <v>2625</v>
      </c>
      <c r="C1560" s="392">
        <v>97841</v>
      </c>
      <c r="D1560" s="392"/>
      <c r="H1560" s="302"/>
      <c r="J1560" s="389"/>
      <c r="K1560" s="302"/>
      <c r="Q1560" s="302"/>
    </row>
    <row r="1561" spans="1:17">
      <c r="A1561" s="392"/>
      <c r="B1561" s="407" t="s">
        <v>1022</v>
      </c>
      <c r="C1561" s="392">
        <v>93202</v>
      </c>
      <c r="D1561" s="392"/>
      <c r="H1561" s="302"/>
      <c r="J1561" s="389"/>
      <c r="K1561" s="302"/>
      <c r="Q1561" s="302"/>
    </row>
    <row r="1562" spans="1:17">
      <c r="A1562" s="392"/>
      <c r="B1562" s="407" t="s">
        <v>1064</v>
      </c>
      <c r="C1562" s="392">
        <v>93609</v>
      </c>
      <c r="D1562" s="392"/>
      <c r="H1562" s="302"/>
      <c r="J1562" s="389"/>
      <c r="K1562" s="302"/>
      <c r="Q1562" s="302"/>
    </row>
    <row r="1563" spans="1:17">
      <c r="A1563" s="392"/>
      <c r="B1563" s="407" t="s">
        <v>1348</v>
      </c>
      <c r="C1563" s="392">
        <v>97004</v>
      </c>
      <c r="D1563" s="392"/>
      <c r="H1563" s="302"/>
      <c r="J1563" s="389"/>
      <c r="K1563" s="302"/>
      <c r="Q1563" s="302"/>
    </row>
    <row r="1564" spans="1:17">
      <c r="A1564" s="392"/>
      <c r="B1564" s="407" t="s">
        <v>1346</v>
      </c>
      <c r="C1564" s="392">
        <v>97001</v>
      </c>
      <c r="D1564" s="392"/>
      <c r="H1564" s="302"/>
      <c r="J1564" s="390"/>
      <c r="K1564" s="302"/>
      <c r="Q1564" s="302"/>
    </row>
    <row r="1565" spans="1:17">
      <c r="A1565" s="392"/>
      <c r="B1565" s="407" t="s">
        <v>1347</v>
      </c>
      <c r="C1565" s="392">
        <v>97002</v>
      </c>
      <c r="D1565" s="392"/>
      <c r="H1565" s="302"/>
      <c r="J1565" s="389"/>
      <c r="K1565" s="302"/>
      <c r="Q1565" s="302"/>
    </row>
    <row r="1566" spans="1:17">
      <c r="A1566" s="392"/>
      <c r="B1566" s="407" t="s">
        <v>1355</v>
      </c>
      <c r="C1566" s="392">
        <v>97015</v>
      </c>
      <c r="D1566" s="392"/>
      <c r="H1566" s="302"/>
      <c r="J1566" s="389"/>
      <c r="K1566" s="302"/>
      <c r="Q1566" s="302"/>
    </row>
    <row r="1567" spans="1:17">
      <c r="A1567" s="392"/>
      <c r="B1567" s="407" t="s">
        <v>2626</v>
      </c>
      <c r="C1567" s="392">
        <v>90441</v>
      </c>
      <c r="D1567" s="392"/>
      <c r="H1567" s="302"/>
      <c r="J1567" s="389"/>
      <c r="K1567" s="302"/>
      <c r="Q1567" s="302"/>
    </row>
    <row r="1568" spans="1:17">
      <c r="A1568" s="392"/>
      <c r="B1568" s="407" t="s">
        <v>2627</v>
      </c>
      <c r="C1568" s="392">
        <v>97851</v>
      </c>
      <c r="D1568" s="392"/>
      <c r="H1568" s="302"/>
      <c r="J1568" s="389"/>
      <c r="K1568" s="302"/>
      <c r="Q1568" s="302"/>
    </row>
    <row r="1569" spans="1:17">
      <c r="A1569" s="392"/>
      <c r="B1569" s="407" t="s">
        <v>1427</v>
      </c>
      <c r="C1569" s="392">
        <v>97853</v>
      </c>
      <c r="D1569" s="392"/>
      <c r="H1569" s="302"/>
      <c r="J1569" s="389"/>
      <c r="K1569" s="302"/>
      <c r="Q1569" s="302"/>
    </row>
    <row r="1570" spans="1:17">
      <c r="A1570" s="392"/>
      <c r="B1570" s="407" t="s">
        <v>1357</v>
      </c>
      <c r="C1570" s="392">
        <v>97101</v>
      </c>
      <c r="D1570" s="392"/>
      <c r="H1570" s="302"/>
      <c r="J1570" s="389"/>
      <c r="K1570" s="302"/>
      <c r="Q1570" s="302"/>
    </row>
    <row r="1571" spans="1:17">
      <c r="A1571" s="392"/>
      <c r="B1571" s="407" t="s">
        <v>1358</v>
      </c>
      <c r="C1571" s="392">
        <v>97104</v>
      </c>
      <c r="D1571" s="392"/>
      <c r="H1571" s="302"/>
      <c r="J1571" s="389"/>
      <c r="K1571" s="302"/>
      <c r="Q1571" s="302"/>
    </row>
    <row r="1572" spans="1:17">
      <c r="A1572" s="392"/>
      <c r="B1572" s="407" t="s">
        <v>1362</v>
      </c>
      <c r="C1572" s="392">
        <v>97201</v>
      </c>
      <c r="D1572" s="392"/>
      <c r="H1572" s="302"/>
      <c r="J1572" s="389"/>
      <c r="K1572" s="302"/>
      <c r="Q1572" s="302"/>
    </row>
    <row r="1573" spans="1:17">
      <c r="A1573" s="392"/>
      <c r="B1573" s="407" t="s">
        <v>2796</v>
      </c>
      <c r="C1573" s="392">
        <v>97304</v>
      </c>
      <c r="D1573" s="392"/>
      <c r="H1573" s="302"/>
      <c r="J1573" s="390"/>
      <c r="K1573" s="302"/>
      <c r="Q1573" s="302"/>
    </row>
    <row r="1574" spans="1:17">
      <c r="A1574" s="392"/>
      <c r="B1574" s="407" t="s">
        <v>1367</v>
      </c>
      <c r="C1574" s="392">
        <v>97301</v>
      </c>
      <c r="D1574" s="392"/>
      <c r="H1574" s="302"/>
      <c r="J1574" s="389"/>
      <c r="K1574" s="302"/>
      <c r="Q1574" s="302"/>
    </row>
    <row r="1575" spans="1:17">
      <c r="A1575" s="392"/>
      <c r="B1575" s="407" t="s">
        <v>1569</v>
      </c>
      <c r="C1575" s="392">
        <v>99405</v>
      </c>
      <c r="D1575" s="392"/>
      <c r="H1575" s="302"/>
      <c r="J1575" s="389"/>
      <c r="K1575" s="302"/>
      <c r="Q1575" s="302"/>
    </row>
    <row r="1576" spans="1:17">
      <c r="A1576" s="392"/>
      <c r="B1576" s="407" t="s">
        <v>728</v>
      </c>
      <c r="C1576" s="220">
        <v>72265</v>
      </c>
      <c r="D1576" s="392"/>
      <c r="H1576" s="302"/>
      <c r="J1576" s="390"/>
      <c r="K1576" s="302"/>
      <c r="Q1576" s="302"/>
    </row>
    <row r="1577" spans="1:17">
      <c r="A1577" s="392"/>
      <c r="B1577" s="407" t="s">
        <v>2762</v>
      </c>
      <c r="C1577" s="392">
        <v>94112</v>
      </c>
      <c r="D1577" s="392"/>
      <c r="H1577" s="302"/>
      <c r="J1577" s="389"/>
      <c r="K1577" s="302"/>
      <c r="Q1577" s="302"/>
    </row>
    <row r="1578" spans="1:17">
      <c r="A1578" s="392"/>
      <c r="B1578" s="407" t="s">
        <v>1042</v>
      </c>
      <c r="C1578" s="392">
        <v>93406</v>
      </c>
      <c r="D1578" s="392"/>
      <c r="H1578" s="302"/>
      <c r="J1578" s="389"/>
      <c r="K1578" s="302"/>
      <c r="Q1578" s="302"/>
    </row>
    <row r="1579" spans="1:17">
      <c r="A1579" s="392"/>
      <c r="B1579" s="407" t="s">
        <v>2628</v>
      </c>
      <c r="C1579" s="392">
        <v>99651</v>
      </c>
      <c r="D1579" s="392"/>
      <c r="H1579" s="302"/>
      <c r="J1579" s="389"/>
      <c r="K1579" s="302"/>
      <c r="Q1579" s="302"/>
    </row>
    <row r="1580" spans="1:17">
      <c r="A1580" s="392"/>
      <c r="B1580" s="407" t="s">
        <v>2629</v>
      </c>
      <c r="C1580" s="392">
        <v>98611</v>
      </c>
      <c r="D1580" s="392"/>
      <c r="H1580" s="302"/>
      <c r="J1580" s="389"/>
      <c r="K1580" s="302"/>
      <c r="Q1580" s="302"/>
    </row>
    <row r="1581" spans="1:17">
      <c r="A1581" s="392"/>
      <c r="B1581" s="407" t="s">
        <v>1505</v>
      </c>
      <c r="C1581" s="392">
        <v>98607</v>
      </c>
      <c r="D1581" s="392"/>
      <c r="H1581" s="302"/>
      <c r="J1581" s="389"/>
      <c r="K1581" s="302"/>
      <c r="Q1581" s="302"/>
    </row>
    <row r="1582" spans="1:17">
      <c r="A1582" s="392"/>
      <c r="B1582" s="407" t="s">
        <v>2630</v>
      </c>
      <c r="C1582" s="392">
        <v>91641</v>
      </c>
      <c r="D1582" s="392"/>
      <c r="H1582" s="302"/>
      <c r="J1582" s="389"/>
      <c r="K1582" s="302"/>
      <c r="Q1582" s="302"/>
    </row>
    <row r="1583" spans="1:17">
      <c r="A1583" s="392"/>
      <c r="B1583" s="407" t="s">
        <v>2631</v>
      </c>
      <c r="C1583" s="392">
        <v>95161</v>
      </c>
      <c r="D1583" s="392"/>
      <c r="H1583" s="302"/>
      <c r="J1583" s="389"/>
      <c r="K1583" s="302"/>
      <c r="Q1583" s="302"/>
    </row>
    <row r="1584" spans="1:17">
      <c r="A1584" s="392"/>
      <c r="B1584" s="407" t="s">
        <v>2632</v>
      </c>
      <c r="C1584" s="392">
        <v>96361</v>
      </c>
      <c r="D1584" s="392"/>
      <c r="H1584" s="302"/>
      <c r="J1584" s="389"/>
      <c r="K1584" s="302"/>
      <c r="Q1584" s="302"/>
    </row>
    <row r="1585" spans="1:17">
      <c r="A1585" s="392"/>
      <c r="B1585" s="407" t="s">
        <v>1104</v>
      </c>
      <c r="C1585" s="392">
        <v>94108</v>
      </c>
      <c r="D1585" s="392"/>
      <c r="H1585" s="302"/>
      <c r="J1585" s="390"/>
      <c r="K1585" s="302"/>
      <c r="Q1585" s="302"/>
    </row>
    <row r="1586" spans="1:17">
      <c r="A1586" s="392"/>
      <c r="B1586" s="407" t="s">
        <v>2633</v>
      </c>
      <c r="C1586" s="392">
        <v>96351</v>
      </c>
      <c r="D1586" s="392"/>
      <c r="H1586" s="302"/>
      <c r="J1586" s="389"/>
      <c r="K1586" s="302"/>
      <c r="Q1586" s="302"/>
    </row>
    <row r="1587" spans="1:17">
      <c r="A1587" s="392"/>
      <c r="B1587" s="407" t="s">
        <v>2634</v>
      </c>
      <c r="C1587" s="392">
        <v>93331</v>
      </c>
      <c r="D1587" s="392"/>
      <c r="H1587" s="302"/>
      <c r="J1587" s="389"/>
      <c r="K1587" s="302"/>
      <c r="Q1587" s="302"/>
    </row>
    <row r="1588" spans="1:17">
      <c r="A1588" s="392"/>
      <c r="B1588" s="407" t="s">
        <v>2635</v>
      </c>
      <c r="C1588" s="392">
        <v>96021</v>
      </c>
      <c r="D1588" s="392"/>
      <c r="H1588" s="302"/>
      <c r="J1588" s="390"/>
      <c r="K1588" s="302"/>
      <c r="Q1588" s="302"/>
    </row>
    <row r="1589" spans="1:17">
      <c r="A1589" s="392"/>
      <c r="B1589" s="407" t="s">
        <v>2636</v>
      </c>
      <c r="C1589" s="392">
        <v>95421</v>
      </c>
      <c r="D1589" s="392"/>
      <c r="H1589" s="302"/>
      <c r="J1589" s="389"/>
      <c r="K1589" s="302"/>
      <c r="Q1589" s="302"/>
    </row>
    <row r="1590" spans="1:17">
      <c r="A1590" s="392"/>
      <c r="B1590" s="407" t="s">
        <v>1370</v>
      </c>
      <c r="C1590" s="392">
        <v>97401</v>
      </c>
      <c r="D1590" s="392"/>
      <c r="H1590" s="302"/>
      <c r="J1590" s="389"/>
      <c r="K1590" s="302"/>
      <c r="Q1590" s="302"/>
    </row>
    <row r="1591" spans="1:17">
      <c r="A1591" s="392"/>
      <c r="B1591" s="407" t="s">
        <v>1372</v>
      </c>
      <c r="C1591" s="392">
        <v>97404</v>
      </c>
      <c r="D1591" s="392"/>
      <c r="H1591" s="302"/>
      <c r="J1591" s="389"/>
      <c r="K1591" s="302"/>
      <c r="Q1591" s="302"/>
    </row>
    <row r="1592" spans="1:17">
      <c r="A1592" s="392"/>
      <c r="B1592" s="407" t="s">
        <v>2795</v>
      </c>
      <c r="C1592" s="392">
        <v>97402</v>
      </c>
      <c r="D1592" s="392"/>
      <c r="H1592" s="302"/>
      <c r="J1592" s="389"/>
      <c r="K1592" s="302"/>
      <c r="Q1592" s="302"/>
    </row>
    <row r="1593" spans="1:17">
      <c r="A1593" s="392"/>
      <c r="B1593" s="407" t="s">
        <v>2637</v>
      </c>
      <c r="C1593" s="392">
        <v>91921</v>
      </c>
      <c r="D1593" s="392"/>
      <c r="H1593" s="302"/>
      <c r="J1593" s="389"/>
      <c r="K1593" s="302"/>
      <c r="Q1593" s="302"/>
    </row>
    <row r="1594" spans="1:17">
      <c r="A1594" s="392"/>
      <c r="B1594" s="407" t="s">
        <v>1249</v>
      </c>
      <c r="C1594" s="392">
        <v>95908</v>
      </c>
      <c r="D1594" s="392"/>
      <c r="H1594" s="302"/>
      <c r="J1594" s="389"/>
      <c r="K1594" s="302"/>
      <c r="Q1594" s="302"/>
    </row>
    <row r="1595" spans="1:17">
      <c r="A1595" s="392"/>
      <c r="B1595" s="407" t="s">
        <v>2638</v>
      </c>
      <c r="C1595" s="392">
        <v>99411</v>
      </c>
      <c r="D1595" s="392"/>
      <c r="H1595" s="302"/>
      <c r="J1595" s="389"/>
      <c r="K1595" s="302"/>
      <c r="Q1595" s="302"/>
    </row>
    <row r="1596" spans="1:17">
      <c r="A1596" s="392"/>
      <c r="B1596" s="407" t="s">
        <v>1571</v>
      </c>
      <c r="C1596" s="392">
        <v>99413</v>
      </c>
      <c r="D1596" s="392"/>
      <c r="H1596" s="302"/>
      <c r="J1596" s="389"/>
      <c r="K1596" s="302"/>
      <c r="Q1596" s="302"/>
    </row>
    <row r="1597" spans="1:17">
      <c r="A1597" s="392"/>
      <c r="B1597" s="407" t="s">
        <v>1388</v>
      </c>
      <c r="C1597" s="392">
        <v>97501</v>
      </c>
      <c r="D1597" s="392"/>
      <c r="H1597" s="302"/>
      <c r="J1597" s="390"/>
      <c r="K1597" s="302"/>
      <c r="Q1597" s="302"/>
    </row>
    <row r="1598" spans="1:17">
      <c r="A1598" s="392"/>
      <c r="B1598" s="407" t="s">
        <v>2639</v>
      </c>
      <c r="C1598" s="392">
        <v>90431</v>
      </c>
      <c r="D1598" s="392"/>
      <c r="H1598" s="302"/>
      <c r="J1598" s="389"/>
      <c r="K1598" s="302"/>
      <c r="Q1598" s="302"/>
    </row>
    <row r="1599" spans="1:17">
      <c r="A1599" s="392"/>
      <c r="B1599" s="407" t="s">
        <v>2640</v>
      </c>
      <c r="C1599" s="392">
        <v>95211</v>
      </c>
      <c r="D1599" s="392"/>
      <c r="H1599" s="302"/>
      <c r="J1599" s="389"/>
      <c r="K1599" s="302"/>
      <c r="Q1599" s="302"/>
    </row>
    <row r="1600" spans="1:17">
      <c r="A1600" s="392"/>
      <c r="B1600" s="407" t="s">
        <v>2641</v>
      </c>
      <c r="C1600" s="392">
        <v>95181</v>
      </c>
      <c r="D1600" s="392"/>
      <c r="H1600" s="302"/>
      <c r="J1600" s="390"/>
      <c r="K1600" s="302"/>
      <c r="Q1600" s="302"/>
    </row>
    <row r="1601" spans="1:17">
      <c r="A1601" s="392"/>
      <c r="B1601" s="407" t="s">
        <v>2642</v>
      </c>
      <c r="C1601" s="392">
        <v>93351</v>
      </c>
      <c r="D1601" s="392"/>
      <c r="H1601" s="302"/>
      <c r="J1601" s="389"/>
      <c r="K1601" s="302"/>
      <c r="Q1601" s="302"/>
    </row>
    <row r="1602" spans="1:17">
      <c r="A1602" s="392"/>
      <c r="B1602" s="407" t="s">
        <v>1192</v>
      </c>
      <c r="C1602" s="392">
        <v>95105</v>
      </c>
      <c r="D1602" s="392"/>
      <c r="H1602" s="302"/>
      <c r="J1602" s="389"/>
      <c r="K1602" s="302"/>
      <c r="Q1602" s="302"/>
    </row>
    <row r="1603" spans="1:17">
      <c r="A1603" s="392"/>
      <c r="B1603" s="407" t="s">
        <v>2643</v>
      </c>
      <c r="C1603" s="392">
        <v>94711</v>
      </c>
      <c r="D1603" s="392"/>
      <c r="H1603" s="302"/>
      <c r="J1603" s="389"/>
      <c r="K1603" s="302"/>
      <c r="Q1603" s="302"/>
    </row>
    <row r="1604" spans="1:17">
      <c r="A1604" s="392"/>
      <c r="B1604" s="407" t="s">
        <v>1999</v>
      </c>
      <c r="C1604" s="392">
        <v>99211</v>
      </c>
      <c r="D1604" s="392"/>
      <c r="H1604" s="302"/>
      <c r="J1604" s="389"/>
      <c r="K1604" s="302"/>
      <c r="Q1604" s="302"/>
    </row>
    <row r="1605" spans="1:17">
      <c r="A1605" s="392"/>
      <c r="B1605" s="407" t="s">
        <v>2000</v>
      </c>
      <c r="C1605" s="392">
        <v>99213</v>
      </c>
      <c r="D1605" s="392"/>
      <c r="H1605" s="302"/>
      <c r="J1605" s="389"/>
      <c r="K1605" s="302"/>
      <c r="Q1605" s="302"/>
    </row>
    <row r="1606" spans="1:17">
      <c r="A1606" s="392"/>
      <c r="B1606" s="407" t="s">
        <v>1552</v>
      </c>
      <c r="C1606" s="392">
        <v>99218</v>
      </c>
      <c r="D1606" s="392"/>
      <c r="H1606" s="302"/>
      <c r="J1606" s="389"/>
      <c r="K1606" s="302"/>
      <c r="Q1606" s="302"/>
    </row>
    <row r="1607" spans="1:17">
      <c r="A1607" s="392"/>
      <c r="B1607" s="407" t="s">
        <v>2644</v>
      </c>
      <c r="C1607" s="392">
        <v>97641</v>
      </c>
      <c r="D1607" s="392"/>
      <c r="H1607" s="302"/>
      <c r="J1607" s="389"/>
      <c r="K1607" s="302"/>
      <c r="Q1607" s="302"/>
    </row>
    <row r="1608" spans="1:17">
      <c r="A1608" s="392"/>
      <c r="B1608" s="407" t="s">
        <v>2001</v>
      </c>
      <c r="C1608" s="392">
        <v>97621</v>
      </c>
      <c r="D1608" s="392"/>
      <c r="H1608" s="302"/>
      <c r="J1608" s="389"/>
      <c r="K1608" s="302"/>
      <c r="Q1608" s="302"/>
    </row>
    <row r="1609" spans="1:17">
      <c r="A1609" s="392"/>
      <c r="B1609" s="407" t="s">
        <v>2002</v>
      </c>
      <c r="C1609" s="392">
        <v>97627</v>
      </c>
      <c r="D1609" s="392"/>
      <c r="H1609" s="302"/>
      <c r="J1609" s="390"/>
      <c r="K1609" s="302"/>
      <c r="Q1609" s="302"/>
    </row>
    <row r="1610" spans="1:17">
      <c r="A1610" s="392"/>
      <c r="B1610" s="407" t="s">
        <v>2003</v>
      </c>
      <c r="C1610" s="392">
        <v>97623</v>
      </c>
      <c r="D1610" s="392"/>
      <c r="H1610" s="302"/>
      <c r="J1610" s="389"/>
      <c r="K1610" s="302"/>
      <c r="Q1610" s="302"/>
    </row>
    <row r="1611" spans="1:17">
      <c r="A1611" s="392"/>
      <c r="B1611" s="407" t="s">
        <v>1392</v>
      </c>
      <c r="C1611" s="392">
        <v>97601</v>
      </c>
      <c r="D1611" s="392"/>
      <c r="H1611" s="302"/>
      <c r="J1611" s="389"/>
      <c r="K1611" s="302"/>
      <c r="Q1611" s="302"/>
    </row>
    <row r="1612" spans="1:17">
      <c r="A1612" s="392"/>
      <c r="B1612" s="407" t="s">
        <v>2645</v>
      </c>
      <c r="C1612" s="392">
        <v>93681</v>
      </c>
      <c r="D1612" s="392"/>
      <c r="H1612" s="302"/>
      <c r="J1612" s="390"/>
      <c r="K1612" s="302"/>
      <c r="Q1612" s="302"/>
    </row>
    <row r="1613" spans="1:17">
      <c r="A1613" s="392"/>
      <c r="B1613" s="407" t="s">
        <v>2646</v>
      </c>
      <c r="C1613" s="392">
        <v>97871</v>
      </c>
      <c r="D1613" s="392"/>
      <c r="H1613" s="302"/>
      <c r="J1613" s="389"/>
      <c r="K1613" s="302"/>
      <c r="Q1613" s="302"/>
    </row>
    <row r="1614" spans="1:17">
      <c r="A1614" s="392"/>
      <c r="B1614" s="407" t="s">
        <v>1430</v>
      </c>
      <c r="C1614" s="392">
        <v>97877</v>
      </c>
      <c r="D1614" s="392"/>
      <c r="H1614" s="302"/>
      <c r="J1614" s="389"/>
      <c r="K1614" s="302"/>
      <c r="Q1614" s="302"/>
    </row>
    <row r="1615" spans="1:17">
      <c r="A1615" s="392"/>
      <c r="B1615" s="407" t="s">
        <v>1575</v>
      </c>
      <c r="C1615" s="392">
        <v>99502</v>
      </c>
      <c r="D1615" s="392"/>
      <c r="H1615" s="302"/>
      <c r="J1615" s="389"/>
      <c r="K1615" s="302"/>
      <c r="Q1615" s="302"/>
    </row>
    <row r="1616" spans="1:17">
      <c r="A1616" s="392"/>
      <c r="B1616" s="407" t="s">
        <v>2004</v>
      </c>
      <c r="C1616" s="392">
        <v>97911</v>
      </c>
      <c r="D1616" s="392"/>
      <c r="H1616" s="302"/>
      <c r="J1616" s="389"/>
      <c r="K1616" s="302"/>
      <c r="Q1616" s="302"/>
    </row>
    <row r="1617" spans="1:1023 1025:2047 2049:3071 3073:4095 4097:5119 5121:6143 6145:7167 7169:8191 8193:9215 9217:10239 10241:11263 11265:12287 12289:13311 13313:14335 14337:15359 15361:16383">
      <c r="A1617" s="392"/>
      <c r="B1617" s="407" t="s">
        <v>1434</v>
      </c>
      <c r="C1617" s="392">
        <v>97917</v>
      </c>
      <c r="D1617" s="392"/>
      <c r="H1617" s="302"/>
      <c r="J1617" s="389"/>
      <c r="K1617" s="302"/>
      <c r="Q1617" s="302"/>
    </row>
    <row r="1618" spans="1:1023 1025:2047 2049:3071 3073:4095 4097:5119 5121:6143 6145:7167 7169:8191 8193:9215 9217:10239 10241:11263 11265:12287 12289:13311 13313:14335 14337:15359 15361:16383" s="392" customFormat="1">
      <c r="B1618" s="393" t="s">
        <v>3739</v>
      </c>
      <c r="C1618" s="392">
        <v>91414</v>
      </c>
      <c r="D1618" s="393"/>
      <c r="F1618" s="393"/>
      <c r="H1618" s="393"/>
      <c r="J1618" s="393"/>
      <c r="L1618" s="393"/>
      <c r="O1618" s="393"/>
      <c r="Q1618" s="393"/>
      <c r="S1618" s="393"/>
      <c r="U1618" s="393"/>
      <c r="W1618" s="393"/>
      <c r="Y1618" s="393"/>
      <c r="AA1618" s="393"/>
      <c r="AC1618" s="393"/>
      <c r="AE1618" s="393"/>
      <c r="AG1618" s="393"/>
      <c r="AI1618" s="393"/>
      <c r="AK1618" s="393"/>
      <c r="AM1618" s="393"/>
      <c r="AO1618" s="393"/>
      <c r="AQ1618" s="393"/>
      <c r="AS1618" s="393"/>
      <c r="AU1618" s="393"/>
      <c r="AW1618" s="393"/>
      <c r="AY1618" s="393"/>
      <c r="BA1618" s="393"/>
      <c r="BC1618" s="393"/>
      <c r="BE1618" s="393"/>
      <c r="BG1618" s="393"/>
      <c r="BI1618" s="393"/>
      <c r="BK1618" s="393"/>
      <c r="BM1618" s="393"/>
      <c r="BO1618" s="393"/>
      <c r="BQ1618" s="393"/>
      <c r="BS1618" s="393"/>
      <c r="BU1618" s="393"/>
      <c r="BW1618" s="393"/>
      <c r="BY1618" s="393"/>
      <c r="CA1618" s="393"/>
      <c r="CC1618" s="393"/>
      <c r="CE1618" s="393"/>
      <c r="CG1618" s="393"/>
      <c r="CI1618" s="393"/>
      <c r="CK1618" s="393"/>
      <c r="CM1618" s="393"/>
      <c r="CO1618" s="393"/>
      <c r="CQ1618" s="393"/>
      <c r="CS1618" s="393"/>
      <c r="CU1618" s="393"/>
      <c r="CW1618" s="393"/>
      <c r="CY1618" s="393"/>
      <c r="DA1618" s="393"/>
      <c r="DC1618" s="393"/>
      <c r="DE1618" s="393"/>
      <c r="DG1618" s="393"/>
      <c r="DI1618" s="393"/>
      <c r="DK1618" s="393"/>
      <c r="DM1618" s="393"/>
      <c r="DO1618" s="393"/>
      <c r="DQ1618" s="393"/>
      <c r="DS1618" s="393"/>
      <c r="DU1618" s="393"/>
      <c r="DW1618" s="393"/>
      <c r="DY1618" s="393"/>
      <c r="EA1618" s="393"/>
      <c r="EC1618" s="393"/>
      <c r="EE1618" s="393"/>
      <c r="EG1618" s="393"/>
      <c r="EI1618" s="393"/>
      <c r="EK1618" s="393"/>
      <c r="EM1618" s="393"/>
      <c r="EO1618" s="393"/>
      <c r="EQ1618" s="393"/>
      <c r="ES1618" s="393"/>
      <c r="EU1618" s="393"/>
      <c r="EW1618" s="393"/>
      <c r="EY1618" s="393"/>
      <c r="FA1618" s="393"/>
      <c r="FC1618" s="393"/>
      <c r="FE1618" s="393"/>
      <c r="FG1618" s="393"/>
      <c r="FI1618" s="393"/>
      <c r="FK1618" s="393"/>
      <c r="FM1618" s="393"/>
      <c r="FO1618" s="393"/>
      <c r="FQ1618" s="393"/>
      <c r="FS1618" s="393"/>
      <c r="FU1618" s="393"/>
      <c r="FW1618" s="393"/>
      <c r="FY1618" s="393"/>
      <c r="GA1618" s="393"/>
      <c r="GC1618" s="393"/>
      <c r="GE1618" s="393"/>
      <c r="GG1618" s="393"/>
      <c r="GI1618" s="393"/>
      <c r="GK1618" s="393"/>
      <c r="GM1618" s="393"/>
      <c r="GO1618" s="393"/>
      <c r="GQ1618" s="393"/>
      <c r="GS1618" s="393"/>
      <c r="GU1618" s="393"/>
      <c r="GW1618" s="393"/>
      <c r="GY1618" s="393"/>
      <c r="HA1618" s="393"/>
      <c r="HC1618" s="393"/>
      <c r="HE1618" s="393"/>
      <c r="HG1618" s="393"/>
      <c r="HI1618" s="393"/>
      <c r="HK1618" s="393"/>
      <c r="HM1618" s="393"/>
      <c r="HO1618" s="393"/>
      <c r="HQ1618" s="393"/>
      <c r="HS1618" s="393"/>
      <c r="HU1618" s="393"/>
      <c r="HW1618" s="393"/>
      <c r="HY1618" s="393"/>
      <c r="IA1618" s="393"/>
      <c r="IC1618" s="393"/>
      <c r="IE1618" s="393"/>
      <c r="IG1618" s="393"/>
      <c r="II1618" s="393"/>
      <c r="IK1618" s="393"/>
      <c r="IM1618" s="393"/>
      <c r="IO1618" s="393"/>
      <c r="IQ1618" s="393"/>
      <c r="IS1618" s="393"/>
      <c r="IU1618" s="393"/>
      <c r="IW1618" s="393"/>
      <c r="IY1618" s="393"/>
      <c r="JA1618" s="393"/>
      <c r="JC1618" s="393"/>
      <c r="JE1618" s="393"/>
      <c r="JG1618" s="393"/>
      <c r="JI1618" s="393"/>
      <c r="JK1618" s="393"/>
      <c r="JM1618" s="393"/>
      <c r="JO1618" s="393"/>
      <c r="JQ1618" s="393"/>
      <c r="JS1618" s="393"/>
      <c r="JU1618" s="393"/>
      <c r="JW1618" s="393"/>
      <c r="JY1618" s="393"/>
      <c r="KA1618" s="393"/>
      <c r="KC1618" s="393"/>
      <c r="KE1618" s="393"/>
      <c r="KG1618" s="393"/>
      <c r="KI1618" s="393"/>
      <c r="KK1618" s="393"/>
      <c r="KM1618" s="393"/>
      <c r="KO1618" s="393"/>
      <c r="KQ1618" s="393"/>
      <c r="KS1618" s="393"/>
      <c r="KU1618" s="393"/>
      <c r="KW1618" s="393"/>
      <c r="KY1618" s="393"/>
      <c r="LA1618" s="393"/>
      <c r="LC1618" s="393"/>
      <c r="LE1618" s="393"/>
      <c r="LG1618" s="393"/>
      <c r="LI1618" s="393"/>
      <c r="LK1618" s="393"/>
      <c r="LM1618" s="393"/>
      <c r="LO1618" s="393"/>
      <c r="LQ1618" s="393"/>
      <c r="LS1618" s="393"/>
      <c r="LU1618" s="393"/>
      <c r="LW1618" s="393"/>
      <c r="LY1618" s="393"/>
      <c r="MA1618" s="393"/>
      <c r="MC1618" s="393"/>
      <c r="ME1618" s="393"/>
      <c r="MG1618" s="393"/>
      <c r="MI1618" s="393"/>
      <c r="MK1618" s="393"/>
      <c r="MM1618" s="393"/>
      <c r="MO1618" s="393"/>
      <c r="MQ1618" s="393"/>
      <c r="MS1618" s="393"/>
      <c r="MU1618" s="393"/>
      <c r="MW1618" s="393"/>
      <c r="MY1618" s="393"/>
      <c r="NA1618" s="393"/>
      <c r="NC1618" s="393"/>
      <c r="NE1618" s="393"/>
      <c r="NG1618" s="393"/>
      <c r="NI1618" s="393"/>
      <c r="NK1618" s="393"/>
      <c r="NM1618" s="393"/>
      <c r="NO1618" s="393"/>
      <c r="NQ1618" s="393"/>
      <c r="NS1618" s="393"/>
      <c r="NU1618" s="393"/>
      <c r="NW1618" s="393"/>
      <c r="NY1618" s="393"/>
      <c r="OA1618" s="393"/>
      <c r="OC1618" s="393"/>
      <c r="OE1618" s="393"/>
      <c r="OG1618" s="393"/>
      <c r="OI1618" s="393"/>
      <c r="OK1618" s="393"/>
      <c r="OM1618" s="393"/>
      <c r="OO1618" s="393"/>
      <c r="OQ1618" s="393"/>
      <c r="OS1618" s="393"/>
      <c r="OU1618" s="393"/>
      <c r="OW1618" s="393"/>
      <c r="OY1618" s="393"/>
      <c r="PA1618" s="393"/>
      <c r="PC1618" s="393"/>
      <c r="PE1618" s="393"/>
      <c r="PG1618" s="393"/>
      <c r="PI1618" s="393"/>
      <c r="PK1618" s="393"/>
      <c r="PM1618" s="393"/>
      <c r="PO1618" s="393"/>
      <c r="PQ1618" s="393"/>
      <c r="PS1618" s="393"/>
      <c r="PU1618" s="393"/>
      <c r="PW1618" s="393"/>
      <c r="PY1618" s="393"/>
      <c r="QA1618" s="393"/>
      <c r="QC1618" s="393"/>
      <c r="QE1618" s="393"/>
      <c r="QG1618" s="393"/>
      <c r="QI1618" s="393"/>
      <c r="QK1618" s="393"/>
      <c r="QM1618" s="393"/>
      <c r="QO1618" s="393"/>
      <c r="QQ1618" s="393"/>
      <c r="QS1618" s="393"/>
      <c r="QU1618" s="393"/>
      <c r="QW1618" s="393"/>
      <c r="QY1618" s="393"/>
      <c r="RA1618" s="393"/>
      <c r="RC1618" s="393"/>
      <c r="RE1618" s="393"/>
      <c r="RG1618" s="393"/>
      <c r="RI1618" s="393"/>
      <c r="RK1618" s="393"/>
      <c r="RM1618" s="393"/>
      <c r="RO1618" s="393"/>
      <c r="RQ1618" s="393"/>
      <c r="RS1618" s="393"/>
      <c r="RU1618" s="393"/>
      <c r="RW1618" s="393"/>
      <c r="RY1618" s="393"/>
      <c r="SA1618" s="393"/>
      <c r="SC1618" s="393"/>
      <c r="SE1618" s="393"/>
      <c r="SG1618" s="393"/>
      <c r="SI1618" s="393"/>
      <c r="SK1618" s="393"/>
      <c r="SM1618" s="393"/>
      <c r="SO1618" s="393"/>
      <c r="SQ1618" s="393"/>
      <c r="SS1618" s="393"/>
      <c r="SU1618" s="393"/>
      <c r="SW1618" s="393"/>
      <c r="SY1618" s="393"/>
      <c r="TA1618" s="393"/>
      <c r="TC1618" s="393"/>
      <c r="TE1618" s="393"/>
      <c r="TG1618" s="393"/>
      <c r="TI1618" s="393"/>
      <c r="TK1618" s="393"/>
      <c r="TM1618" s="393"/>
      <c r="TO1618" s="393"/>
      <c r="TQ1618" s="393"/>
      <c r="TS1618" s="393"/>
      <c r="TU1618" s="393"/>
      <c r="TW1618" s="393"/>
      <c r="TY1618" s="393"/>
      <c r="UA1618" s="393"/>
      <c r="UC1618" s="393"/>
      <c r="UE1618" s="393"/>
      <c r="UG1618" s="393"/>
      <c r="UI1618" s="393"/>
      <c r="UK1618" s="393"/>
      <c r="UM1618" s="393"/>
      <c r="UO1618" s="393"/>
      <c r="UQ1618" s="393"/>
      <c r="US1618" s="393"/>
      <c r="UU1618" s="393"/>
      <c r="UW1618" s="393"/>
      <c r="UY1618" s="393"/>
      <c r="VA1618" s="393"/>
      <c r="VC1618" s="393"/>
      <c r="VE1618" s="393"/>
      <c r="VG1618" s="393"/>
      <c r="VI1618" s="393"/>
      <c r="VK1618" s="393"/>
      <c r="VM1618" s="393"/>
      <c r="VO1618" s="393"/>
      <c r="VQ1618" s="393"/>
      <c r="VS1618" s="393"/>
      <c r="VU1618" s="393"/>
      <c r="VW1618" s="393"/>
      <c r="VY1618" s="393"/>
      <c r="WA1618" s="393"/>
      <c r="WC1618" s="393"/>
      <c r="WE1618" s="393"/>
      <c r="WG1618" s="393"/>
      <c r="WI1618" s="393"/>
      <c r="WK1618" s="393"/>
      <c r="WM1618" s="393"/>
      <c r="WO1618" s="393"/>
      <c r="WQ1618" s="393"/>
      <c r="WS1618" s="393"/>
      <c r="WU1618" s="393"/>
      <c r="WW1618" s="393"/>
      <c r="WY1618" s="393"/>
      <c r="XA1618" s="393"/>
      <c r="XC1618" s="393"/>
      <c r="XE1618" s="393"/>
      <c r="XG1618" s="393"/>
      <c r="XI1618" s="393"/>
      <c r="XK1618" s="393"/>
      <c r="XM1618" s="393"/>
      <c r="XO1618" s="393"/>
      <c r="XQ1618" s="393"/>
      <c r="XS1618" s="393"/>
      <c r="XU1618" s="393"/>
      <c r="XW1618" s="393"/>
      <c r="XY1618" s="393"/>
      <c r="YA1618" s="393"/>
      <c r="YC1618" s="393"/>
      <c r="YE1618" s="393"/>
      <c r="YG1618" s="393"/>
      <c r="YI1618" s="393"/>
      <c r="YK1618" s="393"/>
      <c r="YM1618" s="393"/>
      <c r="YO1618" s="393"/>
      <c r="YQ1618" s="393"/>
      <c r="YS1618" s="393"/>
      <c r="YU1618" s="393"/>
      <c r="YW1618" s="393"/>
      <c r="YY1618" s="393"/>
      <c r="ZA1618" s="393"/>
      <c r="ZC1618" s="393"/>
      <c r="ZE1618" s="393"/>
      <c r="ZG1618" s="393"/>
      <c r="ZI1618" s="393"/>
      <c r="ZK1618" s="393"/>
      <c r="ZM1618" s="393"/>
      <c r="ZO1618" s="393"/>
      <c r="ZQ1618" s="393"/>
      <c r="ZS1618" s="393"/>
      <c r="ZU1618" s="393"/>
      <c r="ZW1618" s="393"/>
      <c r="ZY1618" s="393"/>
      <c r="AAA1618" s="393"/>
      <c r="AAC1618" s="393"/>
      <c r="AAE1618" s="393"/>
      <c r="AAG1618" s="393"/>
      <c r="AAI1618" s="393"/>
      <c r="AAK1618" s="393"/>
      <c r="AAM1618" s="393"/>
      <c r="AAO1618" s="393"/>
      <c r="AAQ1618" s="393"/>
      <c r="AAS1618" s="393"/>
      <c r="AAU1618" s="393"/>
      <c r="AAW1618" s="393"/>
      <c r="AAY1618" s="393"/>
      <c r="ABA1618" s="393"/>
      <c r="ABC1618" s="393"/>
      <c r="ABE1618" s="393"/>
      <c r="ABG1618" s="393"/>
      <c r="ABI1618" s="393"/>
      <c r="ABK1618" s="393"/>
      <c r="ABM1618" s="393"/>
      <c r="ABO1618" s="393"/>
      <c r="ABQ1618" s="393"/>
      <c r="ABS1618" s="393"/>
      <c r="ABU1618" s="393"/>
      <c r="ABW1618" s="393"/>
      <c r="ABY1618" s="393"/>
      <c r="ACA1618" s="393"/>
      <c r="ACC1618" s="393"/>
      <c r="ACE1618" s="393"/>
      <c r="ACG1618" s="393"/>
      <c r="ACI1618" s="393"/>
      <c r="ACK1618" s="393"/>
      <c r="ACM1618" s="393"/>
      <c r="ACO1618" s="393"/>
      <c r="ACQ1618" s="393"/>
      <c r="ACS1618" s="393"/>
      <c r="ACU1618" s="393"/>
      <c r="ACW1618" s="393"/>
      <c r="ACY1618" s="393"/>
      <c r="ADA1618" s="393"/>
      <c r="ADC1618" s="393"/>
      <c r="ADE1618" s="393"/>
      <c r="ADG1618" s="393"/>
      <c r="ADI1618" s="393"/>
      <c r="ADK1618" s="393"/>
      <c r="ADM1618" s="393"/>
      <c r="ADO1618" s="393"/>
      <c r="ADQ1618" s="393"/>
      <c r="ADS1618" s="393"/>
      <c r="ADU1618" s="393"/>
      <c r="ADW1618" s="393"/>
      <c r="ADY1618" s="393"/>
      <c r="AEA1618" s="393"/>
      <c r="AEC1618" s="393"/>
      <c r="AEE1618" s="393"/>
      <c r="AEG1618" s="393"/>
      <c r="AEI1618" s="393"/>
      <c r="AEK1618" s="393"/>
      <c r="AEM1618" s="393"/>
      <c r="AEO1618" s="393"/>
      <c r="AEQ1618" s="393"/>
      <c r="AES1618" s="393"/>
      <c r="AEU1618" s="393"/>
      <c r="AEW1618" s="393"/>
      <c r="AEY1618" s="393"/>
      <c r="AFA1618" s="393"/>
      <c r="AFC1618" s="393"/>
      <c r="AFE1618" s="393"/>
      <c r="AFG1618" s="393"/>
      <c r="AFI1618" s="393"/>
      <c r="AFK1618" s="393"/>
      <c r="AFM1618" s="393"/>
      <c r="AFO1618" s="393"/>
      <c r="AFQ1618" s="393"/>
      <c r="AFS1618" s="393"/>
      <c r="AFU1618" s="393"/>
      <c r="AFW1618" s="393"/>
      <c r="AFY1618" s="393"/>
      <c r="AGA1618" s="393"/>
      <c r="AGC1618" s="393"/>
      <c r="AGE1618" s="393"/>
      <c r="AGG1618" s="393"/>
      <c r="AGI1618" s="393"/>
      <c r="AGK1618" s="393"/>
      <c r="AGM1618" s="393"/>
      <c r="AGO1618" s="393"/>
      <c r="AGQ1618" s="393"/>
      <c r="AGS1618" s="393"/>
      <c r="AGU1618" s="393"/>
      <c r="AGW1618" s="393"/>
      <c r="AGY1618" s="393"/>
      <c r="AHA1618" s="393"/>
      <c r="AHC1618" s="393"/>
      <c r="AHE1618" s="393"/>
      <c r="AHG1618" s="393"/>
      <c r="AHI1618" s="393"/>
      <c r="AHK1618" s="393"/>
      <c r="AHM1618" s="393"/>
      <c r="AHO1618" s="393"/>
      <c r="AHQ1618" s="393"/>
      <c r="AHS1618" s="393"/>
      <c r="AHU1618" s="393"/>
      <c r="AHW1618" s="393"/>
      <c r="AHY1618" s="393"/>
      <c r="AIA1618" s="393"/>
      <c r="AIC1618" s="393"/>
      <c r="AIE1618" s="393"/>
      <c r="AIG1618" s="393"/>
      <c r="AII1618" s="393"/>
      <c r="AIK1618" s="393"/>
      <c r="AIM1618" s="393"/>
      <c r="AIO1618" s="393"/>
      <c r="AIQ1618" s="393"/>
      <c r="AIS1618" s="393"/>
      <c r="AIU1618" s="393"/>
      <c r="AIW1618" s="393"/>
      <c r="AIY1618" s="393"/>
      <c r="AJA1618" s="393"/>
      <c r="AJC1618" s="393"/>
      <c r="AJE1618" s="393"/>
      <c r="AJG1618" s="393"/>
      <c r="AJI1618" s="393"/>
      <c r="AJK1618" s="393"/>
      <c r="AJM1618" s="393"/>
      <c r="AJO1618" s="393"/>
      <c r="AJQ1618" s="393"/>
      <c r="AJS1618" s="393"/>
      <c r="AJU1618" s="393"/>
      <c r="AJW1618" s="393"/>
      <c r="AJY1618" s="393"/>
      <c r="AKA1618" s="393"/>
      <c r="AKC1618" s="393"/>
      <c r="AKE1618" s="393"/>
      <c r="AKG1618" s="393"/>
      <c r="AKI1618" s="393"/>
      <c r="AKK1618" s="393"/>
      <c r="AKM1618" s="393"/>
      <c r="AKO1618" s="393"/>
      <c r="AKQ1618" s="393"/>
      <c r="AKS1618" s="393"/>
      <c r="AKU1618" s="393"/>
      <c r="AKW1618" s="393"/>
      <c r="AKY1618" s="393"/>
      <c r="ALA1618" s="393"/>
      <c r="ALC1618" s="393"/>
      <c r="ALE1618" s="393"/>
      <c r="ALG1618" s="393"/>
      <c r="ALI1618" s="393"/>
      <c r="ALK1618" s="393"/>
      <c r="ALM1618" s="393"/>
      <c r="ALO1618" s="393"/>
      <c r="ALQ1618" s="393"/>
      <c r="ALS1618" s="393"/>
      <c r="ALU1618" s="393"/>
      <c r="ALW1618" s="393"/>
      <c r="ALY1618" s="393"/>
      <c r="AMA1618" s="393"/>
      <c r="AMC1618" s="393"/>
      <c r="AME1618" s="393"/>
      <c r="AMG1618" s="393"/>
      <c r="AMI1618" s="393"/>
      <c r="AMK1618" s="393"/>
      <c r="AMM1618" s="393"/>
      <c r="AMO1618" s="393"/>
      <c r="AMQ1618" s="393"/>
      <c r="AMS1618" s="393"/>
      <c r="AMU1618" s="393"/>
      <c r="AMW1618" s="393"/>
      <c r="AMY1618" s="393"/>
      <c r="ANA1618" s="393"/>
      <c r="ANC1618" s="393"/>
      <c r="ANE1618" s="393"/>
      <c r="ANG1618" s="393"/>
      <c r="ANI1618" s="393"/>
      <c r="ANK1618" s="393"/>
      <c r="ANM1618" s="393"/>
      <c r="ANO1618" s="393"/>
      <c r="ANQ1618" s="393"/>
      <c r="ANS1618" s="393"/>
      <c r="ANU1618" s="393"/>
      <c r="ANW1618" s="393"/>
      <c r="ANY1618" s="393"/>
      <c r="AOA1618" s="393"/>
      <c r="AOC1618" s="393"/>
      <c r="AOE1618" s="393"/>
      <c r="AOG1618" s="393"/>
      <c r="AOI1618" s="393"/>
      <c r="AOK1618" s="393"/>
      <c r="AOM1618" s="393"/>
      <c r="AOO1618" s="393"/>
      <c r="AOQ1618" s="393"/>
      <c r="AOS1618" s="393"/>
      <c r="AOU1618" s="393"/>
      <c r="AOW1618" s="393"/>
      <c r="AOY1618" s="393"/>
      <c r="APA1618" s="393"/>
      <c r="APC1618" s="393"/>
      <c r="APE1618" s="393"/>
      <c r="APG1618" s="393"/>
      <c r="API1618" s="393"/>
      <c r="APK1618" s="393"/>
      <c r="APM1618" s="393"/>
      <c r="APO1618" s="393"/>
      <c r="APQ1618" s="393"/>
      <c r="APS1618" s="393"/>
      <c r="APU1618" s="393"/>
      <c r="APW1618" s="393"/>
      <c r="APY1618" s="393"/>
      <c r="AQA1618" s="393"/>
      <c r="AQC1618" s="393"/>
      <c r="AQE1618" s="393"/>
      <c r="AQG1618" s="393"/>
      <c r="AQI1618" s="393"/>
      <c r="AQK1618" s="393"/>
      <c r="AQM1618" s="393"/>
      <c r="AQO1618" s="393"/>
      <c r="AQQ1618" s="393"/>
      <c r="AQS1618" s="393"/>
      <c r="AQU1618" s="393"/>
      <c r="AQW1618" s="393"/>
      <c r="AQY1618" s="393"/>
      <c r="ARA1618" s="393"/>
      <c r="ARC1618" s="393"/>
      <c r="ARE1618" s="393"/>
      <c r="ARG1618" s="393"/>
      <c r="ARI1618" s="393"/>
      <c r="ARK1618" s="393"/>
      <c r="ARM1618" s="393"/>
      <c r="ARO1618" s="393"/>
      <c r="ARQ1618" s="393"/>
      <c r="ARS1618" s="393"/>
      <c r="ARU1618" s="393"/>
      <c r="ARW1618" s="393"/>
      <c r="ARY1618" s="393"/>
      <c r="ASA1618" s="393"/>
      <c r="ASC1618" s="393"/>
      <c r="ASE1618" s="393"/>
      <c r="ASG1618" s="393"/>
      <c r="ASI1618" s="393"/>
      <c r="ASK1618" s="393"/>
      <c r="ASM1618" s="393"/>
      <c r="ASO1618" s="393"/>
      <c r="ASQ1618" s="393"/>
      <c r="ASS1618" s="393"/>
      <c r="ASU1618" s="393"/>
      <c r="ASW1618" s="393"/>
      <c r="ASY1618" s="393"/>
      <c r="ATA1618" s="393"/>
      <c r="ATC1618" s="393"/>
      <c r="ATE1618" s="393"/>
      <c r="ATG1618" s="393"/>
      <c r="ATI1618" s="393"/>
      <c r="ATK1618" s="393"/>
      <c r="ATM1618" s="393"/>
      <c r="ATO1618" s="393"/>
      <c r="ATQ1618" s="393"/>
      <c r="ATS1618" s="393"/>
      <c r="ATU1618" s="393"/>
      <c r="ATW1618" s="393"/>
      <c r="ATY1618" s="393"/>
      <c r="AUA1618" s="393"/>
      <c r="AUC1618" s="393"/>
      <c r="AUE1618" s="393"/>
      <c r="AUG1618" s="393"/>
      <c r="AUI1618" s="393"/>
      <c r="AUK1618" s="393"/>
      <c r="AUM1618" s="393"/>
      <c r="AUO1618" s="393"/>
      <c r="AUQ1618" s="393"/>
      <c r="AUS1618" s="393"/>
      <c r="AUU1618" s="393"/>
      <c r="AUW1618" s="393"/>
      <c r="AUY1618" s="393"/>
      <c r="AVA1618" s="393"/>
      <c r="AVC1618" s="393"/>
      <c r="AVE1618" s="393"/>
      <c r="AVG1618" s="393"/>
      <c r="AVI1618" s="393"/>
      <c r="AVK1618" s="393"/>
      <c r="AVM1618" s="393"/>
      <c r="AVO1618" s="393"/>
      <c r="AVQ1618" s="393"/>
      <c r="AVS1618" s="393"/>
      <c r="AVU1618" s="393"/>
      <c r="AVW1618" s="393"/>
      <c r="AVY1618" s="393"/>
      <c r="AWA1618" s="393"/>
      <c r="AWC1618" s="393"/>
      <c r="AWE1618" s="393"/>
      <c r="AWG1618" s="393"/>
      <c r="AWI1618" s="393"/>
      <c r="AWK1618" s="393"/>
      <c r="AWM1618" s="393"/>
      <c r="AWO1618" s="393"/>
      <c r="AWQ1618" s="393"/>
      <c r="AWS1618" s="393"/>
      <c r="AWU1618" s="393"/>
      <c r="AWW1618" s="393"/>
      <c r="AWY1618" s="393"/>
      <c r="AXA1618" s="393"/>
      <c r="AXC1618" s="393"/>
      <c r="AXE1618" s="393"/>
      <c r="AXG1618" s="393"/>
      <c r="AXI1618" s="393"/>
      <c r="AXK1618" s="393"/>
      <c r="AXM1618" s="393"/>
      <c r="AXO1618" s="393"/>
      <c r="AXQ1618" s="393"/>
      <c r="AXS1618" s="393"/>
      <c r="AXU1618" s="393"/>
      <c r="AXW1618" s="393"/>
      <c r="AXY1618" s="393"/>
      <c r="AYA1618" s="393"/>
      <c r="AYC1618" s="393"/>
      <c r="AYE1618" s="393"/>
      <c r="AYG1618" s="393"/>
      <c r="AYI1618" s="393"/>
      <c r="AYK1618" s="393"/>
      <c r="AYM1618" s="393"/>
      <c r="AYO1618" s="393"/>
      <c r="AYQ1618" s="393"/>
      <c r="AYS1618" s="393"/>
      <c r="AYU1618" s="393"/>
      <c r="AYW1618" s="393"/>
      <c r="AYY1618" s="393"/>
      <c r="AZA1618" s="393"/>
      <c r="AZC1618" s="393"/>
      <c r="AZE1618" s="393"/>
      <c r="AZG1618" s="393"/>
      <c r="AZI1618" s="393"/>
      <c r="AZK1618" s="393"/>
      <c r="AZM1618" s="393"/>
      <c r="AZO1618" s="393"/>
      <c r="AZQ1618" s="393"/>
      <c r="AZS1618" s="393"/>
      <c r="AZU1618" s="393"/>
      <c r="AZW1618" s="393"/>
      <c r="AZY1618" s="393"/>
      <c r="BAA1618" s="393"/>
      <c r="BAC1618" s="393"/>
      <c r="BAE1618" s="393"/>
      <c r="BAG1618" s="393"/>
      <c r="BAI1618" s="393"/>
      <c r="BAK1618" s="393"/>
      <c r="BAM1618" s="393"/>
      <c r="BAO1618" s="393"/>
      <c r="BAQ1618" s="393"/>
      <c r="BAS1618" s="393"/>
      <c r="BAU1618" s="393"/>
      <c r="BAW1618" s="393"/>
      <c r="BAY1618" s="393"/>
      <c r="BBA1618" s="393"/>
      <c r="BBC1618" s="393"/>
      <c r="BBE1618" s="393"/>
      <c r="BBG1618" s="393"/>
      <c r="BBI1618" s="393"/>
      <c r="BBK1618" s="393"/>
      <c r="BBM1618" s="393"/>
      <c r="BBO1618" s="393"/>
      <c r="BBQ1618" s="393"/>
      <c r="BBS1618" s="393"/>
      <c r="BBU1618" s="393"/>
      <c r="BBW1618" s="393"/>
      <c r="BBY1618" s="393"/>
      <c r="BCA1618" s="393"/>
      <c r="BCC1618" s="393"/>
      <c r="BCE1618" s="393"/>
      <c r="BCG1618" s="393"/>
      <c r="BCI1618" s="393"/>
      <c r="BCK1618" s="393"/>
      <c r="BCM1618" s="393"/>
      <c r="BCO1618" s="393"/>
      <c r="BCQ1618" s="393"/>
      <c r="BCS1618" s="393"/>
      <c r="BCU1618" s="393"/>
      <c r="BCW1618" s="393"/>
      <c r="BCY1618" s="393"/>
      <c r="BDA1618" s="393"/>
      <c r="BDC1618" s="393"/>
      <c r="BDE1618" s="393"/>
      <c r="BDG1618" s="393"/>
      <c r="BDI1618" s="393"/>
      <c r="BDK1618" s="393"/>
      <c r="BDM1618" s="393"/>
      <c r="BDO1618" s="393"/>
      <c r="BDQ1618" s="393"/>
      <c r="BDS1618" s="393"/>
      <c r="BDU1618" s="393"/>
      <c r="BDW1618" s="393"/>
      <c r="BDY1618" s="393"/>
      <c r="BEA1618" s="393"/>
      <c r="BEC1618" s="393"/>
      <c r="BEE1618" s="393"/>
      <c r="BEG1618" s="393"/>
      <c r="BEI1618" s="393"/>
      <c r="BEK1618" s="393"/>
      <c r="BEM1618" s="393"/>
      <c r="BEO1618" s="393"/>
      <c r="BEQ1618" s="393"/>
      <c r="BES1618" s="393"/>
      <c r="BEU1618" s="393"/>
      <c r="BEW1618" s="393"/>
      <c r="BEY1618" s="393"/>
      <c r="BFA1618" s="393"/>
      <c r="BFC1618" s="393"/>
      <c r="BFE1618" s="393"/>
      <c r="BFG1618" s="393"/>
      <c r="BFI1618" s="393"/>
      <c r="BFK1618" s="393"/>
      <c r="BFM1618" s="393"/>
      <c r="BFO1618" s="393"/>
      <c r="BFQ1618" s="393"/>
      <c r="BFS1618" s="393"/>
      <c r="BFU1618" s="393"/>
      <c r="BFW1618" s="393"/>
      <c r="BFY1618" s="393"/>
      <c r="BGA1618" s="393"/>
      <c r="BGC1618" s="393"/>
      <c r="BGE1618" s="393"/>
      <c r="BGG1618" s="393"/>
      <c r="BGI1618" s="393"/>
      <c r="BGK1618" s="393"/>
      <c r="BGM1618" s="393"/>
      <c r="BGO1618" s="393"/>
      <c r="BGQ1618" s="393"/>
      <c r="BGS1618" s="393"/>
      <c r="BGU1618" s="393"/>
      <c r="BGW1618" s="393"/>
      <c r="BGY1618" s="393"/>
      <c r="BHA1618" s="393"/>
      <c r="BHC1618" s="393"/>
      <c r="BHE1618" s="393"/>
      <c r="BHG1618" s="393"/>
      <c r="BHI1618" s="393"/>
      <c r="BHK1618" s="393"/>
      <c r="BHM1618" s="393"/>
      <c r="BHO1618" s="393"/>
      <c r="BHQ1618" s="393"/>
      <c r="BHS1618" s="393"/>
      <c r="BHU1618" s="393"/>
      <c r="BHW1618" s="393"/>
      <c r="BHY1618" s="393"/>
      <c r="BIA1618" s="393"/>
      <c r="BIC1618" s="393"/>
      <c r="BIE1618" s="393"/>
      <c r="BIG1618" s="393"/>
      <c r="BII1618" s="393"/>
      <c r="BIK1618" s="393"/>
      <c r="BIM1618" s="393"/>
      <c r="BIO1618" s="393"/>
      <c r="BIQ1618" s="393"/>
      <c r="BIS1618" s="393"/>
      <c r="BIU1618" s="393"/>
      <c r="BIW1618" s="393"/>
      <c r="BIY1618" s="393"/>
      <c r="BJA1618" s="393"/>
      <c r="BJC1618" s="393"/>
      <c r="BJE1618" s="393"/>
      <c r="BJG1618" s="393"/>
      <c r="BJI1618" s="393"/>
      <c r="BJK1618" s="393"/>
      <c r="BJM1618" s="393"/>
      <c r="BJO1618" s="393"/>
      <c r="BJQ1618" s="393"/>
      <c r="BJS1618" s="393"/>
      <c r="BJU1618" s="393"/>
      <c r="BJW1618" s="393"/>
      <c r="BJY1618" s="393"/>
      <c r="BKA1618" s="393"/>
      <c r="BKC1618" s="393"/>
      <c r="BKE1618" s="393"/>
      <c r="BKG1618" s="393"/>
      <c r="BKI1618" s="393"/>
      <c r="BKK1618" s="393"/>
      <c r="BKM1618" s="393"/>
      <c r="BKO1618" s="393"/>
      <c r="BKQ1618" s="393"/>
      <c r="BKS1618" s="393"/>
      <c r="BKU1618" s="393"/>
      <c r="BKW1618" s="393"/>
      <c r="BKY1618" s="393"/>
      <c r="BLA1618" s="393"/>
      <c r="BLC1618" s="393"/>
      <c r="BLE1618" s="393"/>
      <c r="BLG1618" s="393"/>
      <c r="BLI1618" s="393"/>
      <c r="BLK1618" s="393"/>
      <c r="BLM1618" s="393"/>
      <c r="BLO1618" s="393"/>
      <c r="BLQ1618" s="393"/>
      <c r="BLS1618" s="393"/>
      <c r="BLU1618" s="393"/>
      <c r="BLW1618" s="393"/>
      <c r="BLY1618" s="393"/>
      <c r="BMA1618" s="393"/>
      <c r="BMC1618" s="393"/>
      <c r="BME1618" s="393"/>
      <c r="BMG1618" s="393"/>
      <c r="BMI1618" s="393"/>
      <c r="BMK1618" s="393"/>
      <c r="BMM1618" s="393"/>
      <c r="BMO1618" s="393"/>
      <c r="BMQ1618" s="393"/>
      <c r="BMS1618" s="393"/>
      <c r="BMU1618" s="393"/>
      <c r="BMW1618" s="393"/>
      <c r="BMY1618" s="393"/>
      <c r="BNA1618" s="393"/>
      <c r="BNC1618" s="393"/>
      <c r="BNE1618" s="393"/>
      <c r="BNG1618" s="393"/>
      <c r="BNI1618" s="393"/>
      <c r="BNK1618" s="393"/>
      <c r="BNM1618" s="393"/>
      <c r="BNO1618" s="393"/>
      <c r="BNQ1618" s="393"/>
      <c r="BNS1618" s="393"/>
      <c r="BNU1618" s="393"/>
      <c r="BNW1618" s="393"/>
      <c r="BNY1618" s="393"/>
      <c r="BOA1618" s="393"/>
      <c r="BOC1618" s="393"/>
      <c r="BOE1618" s="393"/>
      <c r="BOG1618" s="393"/>
      <c r="BOI1618" s="393"/>
      <c r="BOK1618" s="393"/>
      <c r="BOM1618" s="393"/>
      <c r="BOO1618" s="393"/>
      <c r="BOQ1618" s="393"/>
      <c r="BOS1618" s="393"/>
      <c r="BOU1618" s="393"/>
      <c r="BOW1618" s="393"/>
      <c r="BOY1618" s="393"/>
      <c r="BPA1618" s="393"/>
      <c r="BPC1618" s="393"/>
      <c r="BPE1618" s="393"/>
      <c r="BPG1618" s="393"/>
      <c r="BPI1618" s="393"/>
      <c r="BPK1618" s="393"/>
      <c r="BPM1618" s="393"/>
      <c r="BPO1618" s="393"/>
      <c r="BPQ1618" s="393"/>
      <c r="BPS1618" s="393"/>
      <c r="BPU1618" s="393"/>
      <c r="BPW1618" s="393"/>
      <c r="BPY1618" s="393"/>
      <c r="BQA1618" s="393"/>
      <c r="BQC1618" s="393"/>
      <c r="BQE1618" s="393"/>
      <c r="BQG1618" s="393"/>
      <c r="BQI1618" s="393"/>
      <c r="BQK1618" s="393"/>
      <c r="BQM1618" s="393"/>
      <c r="BQO1618" s="393"/>
      <c r="BQQ1618" s="393"/>
      <c r="BQS1618" s="393"/>
      <c r="BQU1618" s="393"/>
      <c r="BQW1618" s="393"/>
      <c r="BQY1618" s="393"/>
      <c r="BRA1618" s="393"/>
      <c r="BRC1618" s="393"/>
      <c r="BRE1618" s="393"/>
      <c r="BRG1618" s="393"/>
      <c r="BRI1618" s="393"/>
      <c r="BRK1618" s="393"/>
      <c r="BRM1618" s="393"/>
      <c r="BRO1618" s="393"/>
      <c r="BRQ1618" s="393"/>
      <c r="BRS1618" s="393"/>
      <c r="BRU1618" s="393"/>
      <c r="BRW1618" s="393"/>
      <c r="BRY1618" s="393"/>
      <c r="BSA1618" s="393"/>
      <c r="BSC1618" s="393"/>
      <c r="BSE1618" s="393"/>
      <c r="BSG1618" s="393"/>
      <c r="BSI1618" s="393"/>
      <c r="BSK1618" s="393"/>
      <c r="BSM1618" s="393"/>
      <c r="BSO1618" s="393"/>
      <c r="BSQ1618" s="393"/>
      <c r="BSS1618" s="393"/>
      <c r="BSU1618" s="393"/>
      <c r="BSW1618" s="393"/>
      <c r="BSY1618" s="393"/>
      <c r="BTA1618" s="393"/>
      <c r="BTC1618" s="393"/>
      <c r="BTE1618" s="393"/>
      <c r="BTG1618" s="393"/>
      <c r="BTI1618" s="393"/>
      <c r="BTK1618" s="393"/>
      <c r="BTM1618" s="393"/>
      <c r="BTO1618" s="393"/>
      <c r="BTQ1618" s="393"/>
      <c r="BTS1618" s="393"/>
      <c r="BTU1618" s="393"/>
      <c r="BTW1618" s="393"/>
      <c r="BTY1618" s="393"/>
      <c r="BUA1618" s="393"/>
      <c r="BUC1618" s="393"/>
      <c r="BUE1618" s="393"/>
      <c r="BUG1618" s="393"/>
      <c r="BUI1618" s="393"/>
      <c r="BUK1618" s="393"/>
      <c r="BUM1618" s="393"/>
      <c r="BUO1618" s="393"/>
      <c r="BUQ1618" s="393"/>
      <c r="BUS1618" s="393"/>
      <c r="BUU1618" s="393"/>
      <c r="BUW1618" s="393"/>
      <c r="BUY1618" s="393"/>
      <c r="BVA1618" s="393"/>
      <c r="BVC1618" s="393"/>
      <c r="BVE1618" s="393"/>
      <c r="BVG1618" s="393"/>
      <c r="BVI1618" s="393"/>
      <c r="BVK1618" s="393"/>
      <c r="BVM1618" s="393"/>
      <c r="BVO1618" s="393"/>
      <c r="BVQ1618" s="393"/>
      <c r="BVS1618" s="393"/>
      <c r="BVU1618" s="393"/>
      <c r="BVW1618" s="393"/>
      <c r="BVY1618" s="393"/>
      <c r="BWA1618" s="393"/>
      <c r="BWC1618" s="393"/>
      <c r="BWE1618" s="393"/>
      <c r="BWG1618" s="393"/>
      <c r="BWI1618" s="393"/>
      <c r="BWK1618" s="393"/>
      <c r="BWM1618" s="393"/>
      <c r="BWO1618" s="393"/>
      <c r="BWQ1618" s="393"/>
      <c r="BWS1618" s="393"/>
      <c r="BWU1618" s="393"/>
      <c r="BWW1618" s="393"/>
      <c r="BWY1618" s="393"/>
      <c r="BXA1618" s="393"/>
      <c r="BXC1618" s="393"/>
      <c r="BXE1618" s="393"/>
      <c r="BXG1618" s="393"/>
      <c r="BXI1618" s="393"/>
      <c r="BXK1618" s="393"/>
      <c r="BXM1618" s="393"/>
      <c r="BXO1618" s="393"/>
      <c r="BXQ1618" s="393"/>
      <c r="BXS1618" s="393"/>
      <c r="BXU1618" s="393"/>
      <c r="BXW1618" s="393"/>
      <c r="BXY1618" s="393"/>
      <c r="BYA1618" s="393"/>
      <c r="BYC1618" s="393"/>
      <c r="BYE1618" s="393"/>
      <c r="BYG1618" s="393"/>
      <c r="BYI1618" s="393"/>
      <c r="BYK1618" s="393"/>
      <c r="BYM1618" s="393"/>
      <c r="BYO1618" s="393"/>
      <c r="BYQ1618" s="393"/>
      <c r="BYS1618" s="393"/>
      <c r="BYU1618" s="393"/>
      <c r="BYW1618" s="393"/>
      <c r="BYY1618" s="393"/>
      <c r="BZA1618" s="393"/>
      <c r="BZC1618" s="393"/>
      <c r="BZE1618" s="393"/>
      <c r="BZG1618" s="393"/>
      <c r="BZI1618" s="393"/>
      <c r="BZK1618" s="393"/>
      <c r="BZM1618" s="393"/>
      <c r="BZO1618" s="393"/>
      <c r="BZQ1618" s="393"/>
      <c r="BZS1618" s="393"/>
      <c r="BZU1618" s="393"/>
      <c r="BZW1618" s="393"/>
      <c r="BZY1618" s="393"/>
      <c r="CAA1618" s="393"/>
      <c r="CAC1618" s="393"/>
      <c r="CAE1618" s="393"/>
      <c r="CAG1618" s="393"/>
      <c r="CAI1618" s="393"/>
      <c r="CAK1618" s="393"/>
      <c r="CAM1618" s="393"/>
      <c r="CAO1618" s="393"/>
      <c r="CAQ1618" s="393"/>
      <c r="CAS1618" s="393"/>
      <c r="CAU1618" s="393"/>
      <c r="CAW1618" s="393"/>
      <c r="CAY1618" s="393"/>
      <c r="CBA1618" s="393"/>
      <c r="CBC1618" s="393"/>
      <c r="CBE1618" s="393"/>
      <c r="CBG1618" s="393"/>
      <c r="CBI1618" s="393"/>
      <c r="CBK1618" s="393"/>
      <c r="CBM1618" s="393"/>
      <c r="CBO1618" s="393"/>
      <c r="CBQ1618" s="393"/>
      <c r="CBS1618" s="393"/>
      <c r="CBU1618" s="393"/>
      <c r="CBW1618" s="393"/>
      <c r="CBY1618" s="393"/>
      <c r="CCA1618" s="393"/>
      <c r="CCC1618" s="393"/>
      <c r="CCE1618" s="393"/>
      <c r="CCG1618" s="393"/>
      <c r="CCI1618" s="393"/>
      <c r="CCK1618" s="393"/>
      <c r="CCM1618" s="393"/>
      <c r="CCO1618" s="393"/>
      <c r="CCQ1618" s="393"/>
      <c r="CCS1618" s="393"/>
      <c r="CCU1618" s="393"/>
      <c r="CCW1618" s="393"/>
      <c r="CCY1618" s="393"/>
      <c r="CDA1618" s="393"/>
      <c r="CDC1618" s="393"/>
      <c r="CDE1618" s="393"/>
      <c r="CDG1618" s="393"/>
      <c r="CDI1618" s="393"/>
      <c r="CDK1618" s="393"/>
      <c r="CDM1618" s="393"/>
      <c r="CDO1618" s="393"/>
      <c r="CDQ1618" s="393"/>
      <c r="CDS1618" s="393"/>
      <c r="CDU1618" s="393"/>
      <c r="CDW1618" s="393"/>
      <c r="CDY1618" s="393"/>
      <c r="CEA1618" s="393"/>
      <c r="CEC1618" s="393"/>
      <c r="CEE1618" s="393"/>
      <c r="CEG1618" s="393"/>
      <c r="CEI1618" s="393"/>
      <c r="CEK1618" s="393"/>
      <c r="CEM1618" s="393"/>
      <c r="CEO1618" s="393"/>
      <c r="CEQ1618" s="393"/>
      <c r="CES1618" s="393"/>
      <c r="CEU1618" s="393"/>
      <c r="CEW1618" s="393"/>
      <c r="CEY1618" s="393"/>
      <c r="CFA1618" s="393"/>
      <c r="CFC1618" s="393"/>
      <c r="CFE1618" s="393"/>
      <c r="CFG1618" s="393"/>
      <c r="CFI1618" s="393"/>
      <c r="CFK1618" s="393"/>
      <c r="CFM1618" s="393"/>
      <c r="CFO1618" s="393"/>
      <c r="CFQ1618" s="393"/>
      <c r="CFS1618" s="393"/>
      <c r="CFU1618" s="393"/>
      <c r="CFW1618" s="393"/>
      <c r="CFY1618" s="393"/>
      <c r="CGA1618" s="393"/>
      <c r="CGC1618" s="393"/>
      <c r="CGE1618" s="393"/>
      <c r="CGG1618" s="393"/>
      <c r="CGI1618" s="393"/>
      <c r="CGK1618" s="393"/>
      <c r="CGM1618" s="393"/>
      <c r="CGO1618" s="393"/>
      <c r="CGQ1618" s="393"/>
      <c r="CGS1618" s="393"/>
      <c r="CGU1618" s="393"/>
      <c r="CGW1618" s="393"/>
      <c r="CGY1618" s="393"/>
      <c r="CHA1618" s="393"/>
      <c r="CHC1618" s="393"/>
      <c r="CHE1618" s="393"/>
      <c r="CHG1618" s="393"/>
      <c r="CHI1618" s="393"/>
      <c r="CHK1618" s="393"/>
      <c r="CHM1618" s="393"/>
      <c r="CHO1618" s="393"/>
      <c r="CHQ1618" s="393"/>
      <c r="CHS1618" s="393"/>
      <c r="CHU1618" s="393"/>
      <c r="CHW1618" s="393"/>
      <c r="CHY1618" s="393"/>
      <c r="CIA1618" s="393"/>
      <c r="CIC1618" s="393"/>
      <c r="CIE1618" s="393"/>
      <c r="CIG1618" s="393"/>
      <c r="CII1618" s="393"/>
      <c r="CIK1618" s="393"/>
      <c r="CIM1618" s="393"/>
      <c r="CIO1618" s="393"/>
      <c r="CIQ1618" s="393"/>
      <c r="CIS1618" s="393"/>
      <c r="CIU1618" s="393"/>
      <c r="CIW1618" s="393"/>
      <c r="CIY1618" s="393"/>
      <c r="CJA1618" s="393"/>
      <c r="CJC1618" s="393"/>
      <c r="CJE1618" s="393"/>
      <c r="CJG1618" s="393"/>
      <c r="CJI1618" s="393"/>
      <c r="CJK1618" s="393"/>
      <c r="CJM1618" s="393"/>
      <c r="CJO1618" s="393"/>
      <c r="CJQ1618" s="393"/>
      <c r="CJS1618" s="393"/>
      <c r="CJU1618" s="393"/>
      <c r="CJW1618" s="393"/>
      <c r="CJY1618" s="393"/>
      <c r="CKA1618" s="393"/>
      <c r="CKC1618" s="393"/>
      <c r="CKE1618" s="393"/>
      <c r="CKG1618" s="393"/>
      <c r="CKI1618" s="393"/>
      <c r="CKK1618" s="393"/>
      <c r="CKM1618" s="393"/>
      <c r="CKO1618" s="393"/>
      <c r="CKQ1618" s="393"/>
      <c r="CKS1618" s="393"/>
      <c r="CKU1618" s="393"/>
      <c r="CKW1618" s="393"/>
      <c r="CKY1618" s="393"/>
      <c r="CLA1618" s="393"/>
      <c r="CLC1618" s="393"/>
      <c r="CLE1618" s="393"/>
      <c r="CLG1618" s="393"/>
      <c r="CLI1618" s="393"/>
      <c r="CLK1618" s="393"/>
      <c r="CLM1618" s="393"/>
      <c r="CLO1618" s="393"/>
      <c r="CLQ1618" s="393"/>
      <c r="CLS1618" s="393"/>
      <c r="CLU1618" s="393"/>
      <c r="CLW1618" s="393"/>
      <c r="CLY1618" s="393"/>
      <c r="CMA1618" s="393"/>
      <c r="CMC1618" s="393"/>
      <c r="CME1618" s="393"/>
      <c r="CMG1618" s="393"/>
      <c r="CMI1618" s="393"/>
      <c r="CMK1618" s="393"/>
      <c r="CMM1618" s="393"/>
      <c r="CMO1618" s="393"/>
      <c r="CMQ1618" s="393"/>
      <c r="CMS1618" s="393"/>
      <c r="CMU1618" s="393"/>
      <c r="CMW1618" s="393"/>
      <c r="CMY1618" s="393"/>
      <c r="CNA1618" s="393"/>
      <c r="CNC1618" s="393"/>
      <c r="CNE1618" s="393"/>
      <c r="CNG1618" s="393"/>
      <c r="CNI1618" s="393"/>
      <c r="CNK1618" s="393"/>
      <c r="CNM1618" s="393"/>
      <c r="CNO1618" s="393"/>
      <c r="CNQ1618" s="393"/>
      <c r="CNS1618" s="393"/>
      <c r="CNU1618" s="393"/>
      <c r="CNW1618" s="393"/>
      <c r="CNY1618" s="393"/>
      <c r="COA1618" s="393"/>
      <c r="COC1618" s="393"/>
      <c r="COE1618" s="393"/>
      <c r="COG1618" s="393"/>
      <c r="COI1618" s="393"/>
      <c r="COK1618" s="393"/>
      <c r="COM1618" s="393"/>
      <c r="COO1618" s="393"/>
      <c r="COQ1618" s="393"/>
      <c r="COS1618" s="393"/>
      <c r="COU1618" s="393"/>
      <c r="COW1618" s="393"/>
      <c r="COY1618" s="393"/>
      <c r="CPA1618" s="393"/>
      <c r="CPC1618" s="393"/>
      <c r="CPE1618" s="393"/>
      <c r="CPG1618" s="393"/>
      <c r="CPI1618" s="393"/>
      <c r="CPK1618" s="393"/>
      <c r="CPM1618" s="393"/>
      <c r="CPO1618" s="393"/>
      <c r="CPQ1618" s="393"/>
      <c r="CPS1618" s="393"/>
      <c r="CPU1618" s="393"/>
      <c r="CPW1618" s="393"/>
      <c r="CPY1618" s="393"/>
      <c r="CQA1618" s="393"/>
      <c r="CQC1618" s="393"/>
      <c r="CQE1618" s="393"/>
      <c r="CQG1618" s="393"/>
      <c r="CQI1618" s="393"/>
      <c r="CQK1618" s="393"/>
      <c r="CQM1618" s="393"/>
      <c r="CQO1618" s="393"/>
      <c r="CQQ1618" s="393"/>
      <c r="CQS1618" s="393"/>
      <c r="CQU1618" s="393"/>
      <c r="CQW1618" s="393"/>
      <c r="CQY1618" s="393"/>
      <c r="CRA1618" s="393"/>
      <c r="CRC1618" s="393"/>
      <c r="CRE1618" s="393"/>
      <c r="CRG1618" s="393"/>
      <c r="CRI1618" s="393"/>
      <c r="CRK1618" s="393"/>
      <c r="CRM1618" s="393"/>
      <c r="CRO1618" s="393"/>
      <c r="CRQ1618" s="393"/>
      <c r="CRS1618" s="393"/>
      <c r="CRU1618" s="393"/>
      <c r="CRW1618" s="393"/>
      <c r="CRY1618" s="393"/>
      <c r="CSA1618" s="393"/>
      <c r="CSC1618" s="393"/>
      <c r="CSE1618" s="393"/>
      <c r="CSG1618" s="393"/>
      <c r="CSI1618" s="393"/>
      <c r="CSK1618" s="393"/>
      <c r="CSM1618" s="393"/>
      <c r="CSO1618" s="393"/>
      <c r="CSQ1618" s="393"/>
      <c r="CSS1618" s="393"/>
      <c r="CSU1618" s="393"/>
      <c r="CSW1618" s="393"/>
      <c r="CSY1618" s="393"/>
      <c r="CTA1618" s="393"/>
      <c r="CTC1618" s="393"/>
      <c r="CTE1618" s="393"/>
      <c r="CTG1618" s="393"/>
      <c r="CTI1618" s="393"/>
      <c r="CTK1618" s="393"/>
      <c r="CTM1618" s="393"/>
      <c r="CTO1618" s="393"/>
      <c r="CTQ1618" s="393"/>
      <c r="CTS1618" s="393"/>
      <c r="CTU1618" s="393"/>
      <c r="CTW1618" s="393"/>
      <c r="CTY1618" s="393"/>
      <c r="CUA1618" s="393"/>
      <c r="CUC1618" s="393"/>
      <c r="CUE1618" s="393"/>
      <c r="CUG1618" s="393"/>
      <c r="CUI1618" s="393"/>
      <c r="CUK1618" s="393"/>
      <c r="CUM1618" s="393"/>
      <c r="CUO1618" s="393"/>
      <c r="CUQ1618" s="393"/>
      <c r="CUS1618" s="393"/>
      <c r="CUU1618" s="393"/>
      <c r="CUW1618" s="393"/>
      <c r="CUY1618" s="393"/>
      <c r="CVA1618" s="393"/>
      <c r="CVC1618" s="393"/>
      <c r="CVE1618" s="393"/>
      <c r="CVG1618" s="393"/>
      <c r="CVI1618" s="393"/>
      <c r="CVK1618" s="393"/>
      <c r="CVM1618" s="393"/>
      <c r="CVO1618" s="393"/>
      <c r="CVQ1618" s="393"/>
      <c r="CVS1618" s="393"/>
      <c r="CVU1618" s="393"/>
      <c r="CVW1618" s="393"/>
      <c r="CVY1618" s="393"/>
      <c r="CWA1618" s="393"/>
      <c r="CWC1618" s="393"/>
      <c r="CWE1618" s="393"/>
      <c r="CWG1618" s="393"/>
      <c r="CWI1618" s="393"/>
      <c r="CWK1618" s="393"/>
      <c r="CWM1618" s="393"/>
      <c r="CWO1618" s="393"/>
      <c r="CWQ1618" s="393"/>
      <c r="CWS1618" s="393"/>
      <c r="CWU1618" s="393"/>
      <c r="CWW1618" s="393"/>
      <c r="CWY1618" s="393"/>
      <c r="CXA1618" s="393"/>
      <c r="CXC1618" s="393"/>
      <c r="CXE1618" s="393"/>
      <c r="CXG1618" s="393"/>
      <c r="CXI1618" s="393"/>
      <c r="CXK1618" s="393"/>
      <c r="CXM1618" s="393"/>
      <c r="CXO1618" s="393"/>
      <c r="CXQ1618" s="393"/>
      <c r="CXS1618" s="393"/>
      <c r="CXU1618" s="393"/>
      <c r="CXW1618" s="393"/>
      <c r="CXY1618" s="393"/>
      <c r="CYA1618" s="393"/>
      <c r="CYC1618" s="393"/>
      <c r="CYE1618" s="393"/>
      <c r="CYG1618" s="393"/>
      <c r="CYI1618" s="393"/>
      <c r="CYK1618" s="393"/>
      <c r="CYM1618" s="393"/>
      <c r="CYO1618" s="393"/>
      <c r="CYQ1618" s="393"/>
      <c r="CYS1618" s="393"/>
      <c r="CYU1618" s="393"/>
      <c r="CYW1618" s="393"/>
      <c r="CYY1618" s="393"/>
      <c r="CZA1618" s="393"/>
      <c r="CZC1618" s="393"/>
      <c r="CZE1618" s="393"/>
      <c r="CZG1618" s="393"/>
      <c r="CZI1618" s="393"/>
      <c r="CZK1618" s="393"/>
      <c r="CZM1618" s="393"/>
      <c r="CZO1618" s="393"/>
      <c r="CZQ1618" s="393"/>
      <c r="CZS1618" s="393"/>
      <c r="CZU1618" s="393"/>
      <c r="CZW1618" s="393"/>
      <c r="CZY1618" s="393"/>
      <c r="DAA1618" s="393"/>
      <c r="DAC1618" s="393"/>
      <c r="DAE1618" s="393"/>
      <c r="DAG1618" s="393"/>
      <c r="DAI1618" s="393"/>
      <c r="DAK1618" s="393"/>
      <c r="DAM1618" s="393"/>
      <c r="DAO1618" s="393"/>
      <c r="DAQ1618" s="393"/>
      <c r="DAS1618" s="393"/>
      <c r="DAU1618" s="393"/>
      <c r="DAW1618" s="393"/>
      <c r="DAY1618" s="393"/>
      <c r="DBA1618" s="393"/>
      <c r="DBC1618" s="393"/>
      <c r="DBE1618" s="393"/>
      <c r="DBG1618" s="393"/>
      <c r="DBI1618" s="393"/>
      <c r="DBK1618" s="393"/>
      <c r="DBM1618" s="393"/>
      <c r="DBO1618" s="393"/>
      <c r="DBQ1618" s="393"/>
      <c r="DBS1618" s="393"/>
      <c r="DBU1618" s="393"/>
      <c r="DBW1618" s="393"/>
      <c r="DBY1618" s="393"/>
      <c r="DCA1618" s="393"/>
      <c r="DCC1618" s="393"/>
      <c r="DCE1618" s="393"/>
      <c r="DCG1618" s="393"/>
      <c r="DCI1618" s="393"/>
      <c r="DCK1618" s="393"/>
      <c r="DCM1618" s="393"/>
      <c r="DCO1618" s="393"/>
      <c r="DCQ1618" s="393"/>
      <c r="DCS1618" s="393"/>
      <c r="DCU1618" s="393"/>
      <c r="DCW1618" s="393"/>
      <c r="DCY1618" s="393"/>
      <c r="DDA1618" s="393"/>
      <c r="DDC1618" s="393"/>
      <c r="DDE1618" s="393"/>
      <c r="DDG1618" s="393"/>
      <c r="DDI1618" s="393"/>
      <c r="DDK1618" s="393"/>
      <c r="DDM1618" s="393"/>
      <c r="DDO1618" s="393"/>
      <c r="DDQ1618" s="393"/>
      <c r="DDS1618" s="393"/>
      <c r="DDU1618" s="393"/>
      <c r="DDW1618" s="393"/>
      <c r="DDY1618" s="393"/>
      <c r="DEA1618" s="393"/>
      <c r="DEC1618" s="393"/>
      <c r="DEE1618" s="393"/>
      <c r="DEG1618" s="393"/>
      <c r="DEI1618" s="393"/>
      <c r="DEK1618" s="393"/>
      <c r="DEM1618" s="393"/>
      <c r="DEO1618" s="393"/>
      <c r="DEQ1618" s="393"/>
      <c r="DES1618" s="393"/>
      <c r="DEU1618" s="393"/>
      <c r="DEW1618" s="393"/>
      <c r="DEY1618" s="393"/>
      <c r="DFA1618" s="393"/>
      <c r="DFC1618" s="393"/>
      <c r="DFE1618" s="393"/>
      <c r="DFG1618" s="393"/>
      <c r="DFI1618" s="393"/>
      <c r="DFK1618" s="393"/>
      <c r="DFM1618" s="393"/>
      <c r="DFO1618" s="393"/>
      <c r="DFQ1618" s="393"/>
      <c r="DFS1618" s="393"/>
      <c r="DFU1618" s="393"/>
      <c r="DFW1618" s="393"/>
      <c r="DFY1618" s="393"/>
      <c r="DGA1618" s="393"/>
      <c r="DGC1618" s="393"/>
      <c r="DGE1618" s="393"/>
      <c r="DGG1618" s="393"/>
      <c r="DGI1618" s="393"/>
      <c r="DGK1618" s="393"/>
      <c r="DGM1618" s="393"/>
      <c r="DGO1618" s="393"/>
      <c r="DGQ1618" s="393"/>
      <c r="DGS1618" s="393"/>
      <c r="DGU1618" s="393"/>
      <c r="DGW1618" s="393"/>
      <c r="DGY1618" s="393"/>
      <c r="DHA1618" s="393"/>
      <c r="DHC1618" s="393"/>
      <c r="DHE1618" s="393"/>
      <c r="DHG1618" s="393"/>
      <c r="DHI1618" s="393"/>
      <c r="DHK1618" s="393"/>
      <c r="DHM1618" s="393"/>
      <c r="DHO1618" s="393"/>
      <c r="DHQ1618" s="393"/>
      <c r="DHS1618" s="393"/>
      <c r="DHU1618" s="393"/>
      <c r="DHW1618" s="393"/>
      <c r="DHY1618" s="393"/>
      <c r="DIA1618" s="393"/>
      <c r="DIC1618" s="393"/>
      <c r="DIE1618" s="393"/>
      <c r="DIG1618" s="393"/>
      <c r="DII1618" s="393"/>
      <c r="DIK1618" s="393"/>
      <c r="DIM1618" s="393"/>
      <c r="DIO1618" s="393"/>
      <c r="DIQ1618" s="393"/>
      <c r="DIS1618" s="393"/>
      <c r="DIU1618" s="393"/>
      <c r="DIW1618" s="393"/>
      <c r="DIY1618" s="393"/>
      <c r="DJA1618" s="393"/>
      <c r="DJC1618" s="393"/>
      <c r="DJE1618" s="393"/>
      <c r="DJG1618" s="393"/>
      <c r="DJI1618" s="393"/>
      <c r="DJK1618" s="393"/>
      <c r="DJM1618" s="393"/>
      <c r="DJO1618" s="393"/>
      <c r="DJQ1618" s="393"/>
      <c r="DJS1618" s="393"/>
      <c r="DJU1618" s="393"/>
      <c r="DJW1618" s="393"/>
      <c r="DJY1618" s="393"/>
      <c r="DKA1618" s="393"/>
      <c r="DKC1618" s="393"/>
      <c r="DKE1618" s="393"/>
      <c r="DKG1618" s="393"/>
      <c r="DKI1618" s="393"/>
      <c r="DKK1618" s="393"/>
      <c r="DKM1618" s="393"/>
      <c r="DKO1618" s="393"/>
      <c r="DKQ1618" s="393"/>
      <c r="DKS1618" s="393"/>
      <c r="DKU1618" s="393"/>
      <c r="DKW1618" s="393"/>
      <c r="DKY1618" s="393"/>
      <c r="DLA1618" s="393"/>
      <c r="DLC1618" s="393"/>
      <c r="DLE1618" s="393"/>
      <c r="DLG1618" s="393"/>
      <c r="DLI1618" s="393"/>
      <c r="DLK1618" s="393"/>
      <c r="DLM1618" s="393"/>
      <c r="DLO1618" s="393"/>
      <c r="DLQ1618" s="393"/>
      <c r="DLS1618" s="393"/>
      <c r="DLU1618" s="393"/>
      <c r="DLW1618" s="393"/>
      <c r="DLY1618" s="393"/>
      <c r="DMA1618" s="393"/>
      <c r="DMC1618" s="393"/>
      <c r="DME1618" s="393"/>
      <c r="DMG1618" s="393"/>
      <c r="DMI1618" s="393"/>
      <c r="DMK1618" s="393"/>
      <c r="DMM1618" s="393"/>
      <c r="DMO1618" s="393"/>
      <c r="DMQ1618" s="393"/>
      <c r="DMS1618" s="393"/>
      <c r="DMU1618" s="393"/>
      <c r="DMW1618" s="393"/>
      <c r="DMY1618" s="393"/>
      <c r="DNA1618" s="393"/>
      <c r="DNC1618" s="393"/>
      <c r="DNE1618" s="393"/>
      <c r="DNG1618" s="393"/>
      <c r="DNI1618" s="393"/>
      <c r="DNK1618" s="393"/>
      <c r="DNM1618" s="393"/>
      <c r="DNO1618" s="393"/>
      <c r="DNQ1618" s="393"/>
      <c r="DNS1618" s="393"/>
      <c r="DNU1618" s="393"/>
      <c r="DNW1618" s="393"/>
      <c r="DNY1618" s="393"/>
      <c r="DOA1618" s="393"/>
      <c r="DOC1618" s="393"/>
      <c r="DOE1618" s="393"/>
      <c r="DOG1618" s="393"/>
      <c r="DOI1618" s="393"/>
      <c r="DOK1618" s="393"/>
      <c r="DOM1618" s="393"/>
      <c r="DOO1618" s="393"/>
      <c r="DOQ1618" s="393"/>
      <c r="DOS1618" s="393"/>
      <c r="DOU1618" s="393"/>
      <c r="DOW1618" s="393"/>
      <c r="DOY1618" s="393"/>
      <c r="DPA1618" s="393"/>
      <c r="DPC1618" s="393"/>
      <c r="DPE1618" s="393"/>
      <c r="DPG1618" s="393"/>
      <c r="DPI1618" s="393"/>
      <c r="DPK1618" s="393"/>
      <c r="DPM1618" s="393"/>
      <c r="DPO1618" s="393"/>
      <c r="DPQ1618" s="393"/>
      <c r="DPS1618" s="393"/>
      <c r="DPU1618" s="393"/>
      <c r="DPW1618" s="393"/>
      <c r="DPY1618" s="393"/>
      <c r="DQA1618" s="393"/>
      <c r="DQC1618" s="393"/>
      <c r="DQE1618" s="393"/>
      <c r="DQG1618" s="393"/>
      <c r="DQI1618" s="393"/>
      <c r="DQK1618" s="393"/>
      <c r="DQM1618" s="393"/>
      <c r="DQO1618" s="393"/>
      <c r="DQQ1618" s="393"/>
      <c r="DQS1618" s="393"/>
      <c r="DQU1618" s="393"/>
      <c r="DQW1618" s="393"/>
      <c r="DQY1618" s="393"/>
      <c r="DRA1618" s="393"/>
      <c r="DRC1618" s="393"/>
      <c r="DRE1618" s="393"/>
      <c r="DRG1618" s="393"/>
      <c r="DRI1618" s="393"/>
      <c r="DRK1618" s="393"/>
      <c r="DRM1618" s="393"/>
      <c r="DRO1618" s="393"/>
      <c r="DRQ1618" s="393"/>
      <c r="DRS1618" s="393"/>
      <c r="DRU1618" s="393"/>
      <c r="DRW1618" s="393"/>
      <c r="DRY1618" s="393"/>
      <c r="DSA1618" s="393"/>
      <c r="DSC1618" s="393"/>
      <c r="DSE1618" s="393"/>
      <c r="DSG1618" s="393"/>
      <c r="DSI1618" s="393"/>
      <c r="DSK1618" s="393"/>
      <c r="DSM1618" s="393"/>
      <c r="DSO1618" s="393"/>
      <c r="DSQ1618" s="393"/>
      <c r="DSS1618" s="393"/>
      <c r="DSU1618" s="393"/>
      <c r="DSW1618" s="393"/>
      <c r="DSY1618" s="393"/>
      <c r="DTA1618" s="393"/>
      <c r="DTC1618" s="393"/>
      <c r="DTE1618" s="393"/>
      <c r="DTG1618" s="393"/>
      <c r="DTI1618" s="393"/>
      <c r="DTK1618" s="393"/>
      <c r="DTM1618" s="393"/>
      <c r="DTO1618" s="393"/>
      <c r="DTQ1618" s="393"/>
      <c r="DTS1618" s="393"/>
      <c r="DTU1618" s="393"/>
      <c r="DTW1618" s="393"/>
      <c r="DTY1618" s="393"/>
      <c r="DUA1618" s="393"/>
      <c r="DUC1618" s="393"/>
      <c r="DUE1618" s="393"/>
      <c r="DUG1618" s="393"/>
      <c r="DUI1618" s="393"/>
      <c r="DUK1618" s="393"/>
      <c r="DUM1618" s="393"/>
      <c r="DUO1618" s="393"/>
      <c r="DUQ1618" s="393"/>
      <c r="DUS1618" s="393"/>
      <c r="DUU1618" s="393"/>
      <c r="DUW1618" s="393"/>
      <c r="DUY1618" s="393"/>
      <c r="DVA1618" s="393"/>
      <c r="DVC1618" s="393"/>
      <c r="DVE1618" s="393"/>
      <c r="DVG1618" s="393"/>
      <c r="DVI1618" s="393"/>
      <c r="DVK1618" s="393"/>
      <c r="DVM1618" s="393"/>
      <c r="DVO1618" s="393"/>
      <c r="DVQ1618" s="393"/>
      <c r="DVS1618" s="393"/>
      <c r="DVU1618" s="393"/>
      <c r="DVW1618" s="393"/>
      <c r="DVY1618" s="393"/>
      <c r="DWA1618" s="393"/>
      <c r="DWC1618" s="393"/>
      <c r="DWE1618" s="393"/>
      <c r="DWG1618" s="393"/>
      <c r="DWI1618" s="393"/>
      <c r="DWK1618" s="393"/>
      <c r="DWM1618" s="393"/>
      <c r="DWO1618" s="393"/>
      <c r="DWQ1618" s="393"/>
      <c r="DWS1618" s="393"/>
      <c r="DWU1618" s="393"/>
      <c r="DWW1618" s="393"/>
      <c r="DWY1618" s="393"/>
      <c r="DXA1618" s="393"/>
      <c r="DXC1618" s="393"/>
      <c r="DXE1618" s="393"/>
      <c r="DXG1618" s="393"/>
      <c r="DXI1618" s="393"/>
      <c r="DXK1618" s="393"/>
      <c r="DXM1618" s="393"/>
      <c r="DXO1618" s="393"/>
      <c r="DXQ1618" s="393"/>
      <c r="DXS1618" s="393"/>
      <c r="DXU1618" s="393"/>
      <c r="DXW1618" s="393"/>
      <c r="DXY1618" s="393"/>
      <c r="DYA1618" s="393"/>
      <c r="DYC1618" s="393"/>
      <c r="DYE1618" s="393"/>
      <c r="DYG1618" s="393"/>
      <c r="DYI1618" s="393"/>
      <c r="DYK1618" s="393"/>
      <c r="DYM1618" s="393"/>
      <c r="DYO1618" s="393"/>
      <c r="DYQ1618" s="393"/>
      <c r="DYS1618" s="393"/>
      <c r="DYU1618" s="393"/>
      <c r="DYW1618" s="393"/>
      <c r="DYY1618" s="393"/>
      <c r="DZA1618" s="393"/>
      <c r="DZC1618" s="393"/>
      <c r="DZE1618" s="393"/>
      <c r="DZG1618" s="393"/>
      <c r="DZI1618" s="393"/>
      <c r="DZK1618" s="393"/>
      <c r="DZM1618" s="393"/>
      <c r="DZO1618" s="393"/>
      <c r="DZQ1618" s="393"/>
      <c r="DZS1618" s="393"/>
      <c r="DZU1618" s="393"/>
      <c r="DZW1618" s="393"/>
      <c r="DZY1618" s="393"/>
      <c r="EAA1618" s="393"/>
      <c r="EAC1618" s="393"/>
      <c r="EAE1618" s="393"/>
      <c r="EAG1618" s="393"/>
      <c r="EAI1618" s="393"/>
      <c r="EAK1618" s="393"/>
      <c r="EAM1618" s="393"/>
      <c r="EAO1618" s="393"/>
      <c r="EAQ1618" s="393"/>
      <c r="EAS1618" s="393"/>
      <c r="EAU1618" s="393"/>
      <c r="EAW1618" s="393"/>
      <c r="EAY1618" s="393"/>
      <c r="EBA1618" s="393"/>
      <c r="EBC1618" s="393"/>
      <c r="EBE1618" s="393"/>
      <c r="EBG1618" s="393"/>
      <c r="EBI1618" s="393"/>
      <c r="EBK1618" s="393"/>
      <c r="EBM1618" s="393"/>
      <c r="EBO1618" s="393"/>
      <c r="EBQ1618" s="393"/>
      <c r="EBS1618" s="393"/>
      <c r="EBU1618" s="393"/>
      <c r="EBW1618" s="393"/>
      <c r="EBY1618" s="393"/>
      <c r="ECA1618" s="393"/>
      <c r="ECC1618" s="393"/>
      <c r="ECE1618" s="393"/>
      <c r="ECG1618" s="393"/>
      <c r="ECI1618" s="393"/>
      <c r="ECK1618" s="393"/>
      <c r="ECM1618" s="393"/>
      <c r="ECO1618" s="393"/>
      <c r="ECQ1618" s="393"/>
      <c r="ECS1618" s="393"/>
      <c r="ECU1618" s="393"/>
      <c r="ECW1618" s="393"/>
      <c r="ECY1618" s="393"/>
      <c r="EDA1618" s="393"/>
      <c r="EDC1618" s="393"/>
      <c r="EDE1618" s="393"/>
      <c r="EDG1618" s="393"/>
      <c r="EDI1618" s="393"/>
      <c r="EDK1618" s="393"/>
      <c r="EDM1618" s="393"/>
      <c r="EDO1618" s="393"/>
      <c r="EDQ1618" s="393"/>
      <c r="EDS1618" s="393"/>
      <c r="EDU1618" s="393"/>
      <c r="EDW1618" s="393"/>
      <c r="EDY1618" s="393"/>
      <c r="EEA1618" s="393"/>
      <c r="EEC1618" s="393"/>
      <c r="EEE1618" s="393"/>
      <c r="EEG1618" s="393"/>
      <c r="EEI1618" s="393"/>
      <c r="EEK1618" s="393"/>
      <c r="EEM1618" s="393"/>
      <c r="EEO1618" s="393"/>
      <c r="EEQ1618" s="393"/>
      <c r="EES1618" s="393"/>
      <c r="EEU1618" s="393"/>
      <c r="EEW1618" s="393"/>
      <c r="EEY1618" s="393"/>
      <c r="EFA1618" s="393"/>
      <c r="EFC1618" s="393"/>
      <c r="EFE1618" s="393"/>
      <c r="EFG1618" s="393"/>
      <c r="EFI1618" s="393"/>
      <c r="EFK1618" s="393"/>
      <c r="EFM1618" s="393"/>
      <c r="EFO1618" s="393"/>
      <c r="EFQ1618" s="393"/>
      <c r="EFS1618" s="393"/>
      <c r="EFU1618" s="393"/>
      <c r="EFW1618" s="393"/>
      <c r="EFY1618" s="393"/>
      <c r="EGA1618" s="393"/>
      <c r="EGC1618" s="393"/>
      <c r="EGE1618" s="393"/>
      <c r="EGG1618" s="393"/>
      <c r="EGI1618" s="393"/>
      <c r="EGK1618" s="393"/>
      <c r="EGM1618" s="393"/>
      <c r="EGO1618" s="393"/>
      <c r="EGQ1618" s="393"/>
      <c r="EGS1618" s="393"/>
      <c r="EGU1618" s="393"/>
      <c r="EGW1618" s="393"/>
      <c r="EGY1618" s="393"/>
      <c r="EHA1618" s="393"/>
      <c r="EHC1618" s="393"/>
      <c r="EHE1618" s="393"/>
      <c r="EHG1618" s="393"/>
      <c r="EHI1618" s="393"/>
      <c r="EHK1618" s="393"/>
      <c r="EHM1618" s="393"/>
      <c r="EHO1618" s="393"/>
      <c r="EHQ1618" s="393"/>
      <c r="EHS1618" s="393"/>
      <c r="EHU1618" s="393"/>
      <c r="EHW1618" s="393"/>
      <c r="EHY1618" s="393"/>
      <c r="EIA1618" s="393"/>
      <c r="EIC1618" s="393"/>
      <c r="EIE1618" s="393"/>
      <c r="EIG1618" s="393"/>
      <c r="EII1618" s="393"/>
      <c r="EIK1618" s="393"/>
      <c r="EIM1618" s="393"/>
      <c r="EIO1618" s="393"/>
      <c r="EIQ1618" s="393"/>
      <c r="EIS1618" s="393"/>
      <c r="EIU1618" s="393"/>
      <c r="EIW1618" s="393"/>
      <c r="EIY1618" s="393"/>
      <c r="EJA1618" s="393"/>
      <c r="EJC1618" s="393"/>
      <c r="EJE1618" s="393"/>
      <c r="EJG1618" s="393"/>
      <c r="EJI1618" s="393"/>
      <c r="EJK1618" s="393"/>
      <c r="EJM1618" s="393"/>
      <c r="EJO1618" s="393"/>
      <c r="EJQ1618" s="393"/>
      <c r="EJS1618" s="393"/>
      <c r="EJU1618" s="393"/>
      <c r="EJW1618" s="393"/>
      <c r="EJY1618" s="393"/>
      <c r="EKA1618" s="393"/>
      <c r="EKC1618" s="393"/>
      <c r="EKE1618" s="393"/>
      <c r="EKG1618" s="393"/>
      <c r="EKI1618" s="393"/>
      <c r="EKK1618" s="393"/>
      <c r="EKM1618" s="393"/>
      <c r="EKO1618" s="393"/>
      <c r="EKQ1618" s="393"/>
      <c r="EKS1618" s="393"/>
      <c r="EKU1618" s="393"/>
      <c r="EKW1618" s="393"/>
      <c r="EKY1618" s="393"/>
      <c r="ELA1618" s="393"/>
      <c r="ELC1618" s="393"/>
      <c r="ELE1618" s="393"/>
      <c r="ELG1618" s="393"/>
      <c r="ELI1618" s="393"/>
      <c r="ELK1618" s="393"/>
      <c r="ELM1618" s="393"/>
      <c r="ELO1618" s="393"/>
      <c r="ELQ1618" s="393"/>
      <c r="ELS1618" s="393"/>
      <c r="ELU1618" s="393"/>
      <c r="ELW1618" s="393"/>
      <c r="ELY1618" s="393"/>
      <c r="EMA1618" s="393"/>
      <c r="EMC1618" s="393"/>
      <c r="EME1618" s="393"/>
      <c r="EMG1618" s="393"/>
      <c r="EMI1618" s="393"/>
      <c r="EMK1618" s="393"/>
      <c r="EMM1618" s="393"/>
      <c r="EMO1618" s="393"/>
      <c r="EMQ1618" s="393"/>
      <c r="EMS1618" s="393"/>
      <c r="EMU1618" s="393"/>
      <c r="EMW1618" s="393"/>
      <c r="EMY1618" s="393"/>
      <c r="ENA1618" s="393"/>
      <c r="ENC1618" s="393"/>
      <c r="ENE1618" s="393"/>
      <c r="ENG1618" s="393"/>
      <c r="ENI1618" s="393"/>
      <c r="ENK1618" s="393"/>
      <c r="ENM1618" s="393"/>
      <c r="ENO1618" s="393"/>
      <c r="ENQ1618" s="393"/>
      <c r="ENS1618" s="393"/>
      <c r="ENU1618" s="393"/>
      <c r="ENW1618" s="393"/>
      <c r="ENY1618" s="393"/>
      <c r="EOA1618" s="393"/>
      <c r="EOC1618" s="393"/>
      <c r="EOE1618" s="393"/>
      <c r="EOG1618" s="393"/>
      <c r="EOI1618" s="393"/>
      <c r="EOK1618" s="393"/>
      <c r="EOM1618" s="393"/>
      <c r="EOO1618" s="393"/>
      <c r="EOQ1618" s="393"/>
      <c r="EOS1618" s="393"/>
      <c r="EOU1618" s="393"/>
      <c r="EOW1618" s="393"/>
      <c r="EOY1618" s="393"/>
      <c r="EPA1618" s="393"/>
      <c r="EPC1618" s="393"/>
      <c r="EPE1618" s="393"/>
      <c r="EPG1618" s="393"/>
      <c r="EPI1618" s="393"/>
      <c r="EPK1618" s="393"/>
      <c r="EPM1618" s="393"/>
      <c r="EPO1618" s="393"/>
      <c r="EPQ1618" s="393"/>
      <c r="EPS1618" s="393"/>
      <c r="EPU1618" s="393"/>
      <c r="EPW1618" s="393"/>
      <c r="EPY1618" s="393"/>
      <c r="EQA1618" s="393"/>
      <c r="EQC1618" s="393"/>
      <c r="EQE1618" s="393"/>
      <c r="EQG1618" s="393"/>
      <c r="EQI1618" s="393"/>
      <c r="EQK1618" s="393"/>
      <c r="EQM1618" s="393"/>
      <c r="EQO1618" s="393"/>
      <c r="EQQ1618" s="393"/>
      <c r="EQS1618" s="393"/>
      <c r="EQU1618" s="393"/>
      <c r="EQW1618" s="393"/>
      <c r="EQY1618" s="393"/>
      <c r="ERA1618" s="393"/>
      <c r="ERC1618" s="393"/>
      <c r="ERE1618" s="393"/>
      <c r="ERG1618" s="393"/>
      <c r="ERI1618" s="393"/>
      <c r="ERK1618" s="393"/>
      <c r="ERM1618" s="393"/>
      <c r="ERO1618" s="393"/>
      <c r="ERQ1618" s="393"/>
      <c r="ERS1618" s="393"/>
      <c r="ERU1618" s="393"/>
      <c r="ERW1618" s="393"/>
      <c r="ERY1618" s="393"/>
      <c r="ESA1618" s="393"/>
      <c r="ESC1618" s="393"/>
      <c r="ESE1618" s="393"/>
      <c r="ESG1618" s="393"/>
      <c r="ESI1618" s="393"/>
      <c r="ESK1618" s="393"/>
      <c r="ESM1618" s="393"/>
      <c r="ESO1618" s="393"/>
      <c r="ESQ1618" s="393"/>
      <c r="ESS1618" s="393"/>
      <c r="ESU1618" s="393"/>
      <c r="ESW1618" s="393"/>
      <c r="ESY1618" s="393"/>
      <c r="ETA1618" s="393"/>
      <c r="ETC1618" s="393"/>
      <c r="ETE1618" s="393"/>
      <c r="ETG1618" s="393"/>
      <c r="ETI1618" s="393"/>
      <c r="ETK1618" s="393"/>
      <c r="ETM1618" s="393"/>
      <c r="ETO1618" s="393"/>
      <c r="ETQ1618" s="393"/>
      <c r="ETS1618" s="393"/>
      <c r="ETU1618" s="393"/>
      <c r="ETW1618" s="393"/>
      <c r="ETY1618" s="393"/>
      <c r="EUA1618" s="393"/>
      <c r="EUC1618" s="393"/>
      <c r="EUE1618" s="393"/>
      <c r="EUG1618" s="393"/>
      <c r="EUI1618" s="393"/>
      <c r="EUK1618" s="393"/>
      <c r="EUM1618" s="393"/>
      <c r="EUO1618" s="393"/>
      <c r="EUQ1618" s="393"/>
      <c r="EUS1618" s="393"/>
      <c r="EUU1618" s="393"/>
      <c r="EUW1618" s="393"/>
      <c r="EUY1618" s="393"/>
      <c r="EVA1618" s="393"/>
      <c r="EVC1618" s="393"/>
      <c r="EVE1618" s="393"/>
      <c r="EVG1618" s="393"/>
      <c r="EVI1618" s="393"/>
      <c r="EVK1618" s="393"/>
      <c r="EVM1618" s="393"/>
      <c r="EVO1618" s="393"/>
      <c r="EVQ1618" s="393"/>
      <c r="EVS1618" s="393"/>
      <c r="EVU1618" s="393"/>
      <c r="EVW1618" s="393"/>
      <c r="EVY1618" s="393"/>
      <c r="EWA1618" s="393"/>
      <c r="EWC1618" s="393"/>
      <c r="EWE1618" s="393"/>
      <c r="EWG1618" s="393"/>
      <c r="EWI1618" s="393"/>
      <c r="EWK1618" s="393"/>
      <c r="EWM1618" s="393"/>
      <c r="EWO1618" s="393"/>
      <c r="EWQ1618" s="393"/>
      <c r="EWS1618" s="393"/>
      <c r="EWU1618" s="393"/>
      <c r="EWW1618" s="393"/>
      <c r="EWY1618" s="393"/>
      <c r="EXA1618" s="393"/>
      <c r="EXC1618" s="393"/>
      <c r="EXE1618" s="393"/>
      <c r="EXG1618" s="393"/>
      <c r="EXI1618" s="393"/>
      <c r="EXK1618" s="393"/>
      <c r="EXM1618" s="393"/>
      <c r="EXO1618" s="393"/>
      <c r="EXQ1618" s="393"/>
      <c r="EXS1618" s="393"/>
      <c r="EXU1618" s="393"/>
      <c r="EXW1618" s="393"/>
      <c r="EXY1618" s="393"/>
      <c r="EYA1618" s="393"/>
      <c r="EYC1618" s="393"/>
      <c r="EYE1618" s="393"/>
      <c r="EYG1618" s="393"/>
      <c r="EYI1618" s="393"/>
      <c r="EYK1618" s="393"/>
      <c r="EYM1618" s="393"/>
      <c r="EYO1618" s="393"/>
      <c r="EYQ1618" s="393"/>
      <c r="EYS1618" s="393"/>
      <c r="EYU1618" s="393"/>
      <c r="EYW1618" s="393"/>
      <c r="EYY1618" s="393"/>
      <c r="EZA1618" s="393"/>
      <c r="EZC1618" s="393"/>
      <c r="EZE1618" s="393"/>
      <c r="EZG1618" s="393"/>
      <c r="EZI1618" s="393"/>
      <c r="EZK1618" s="393"/>
      <c r="EZM1618" s="393"/>
      <c r="EZO1618" s="393"/>
      <c r="EZQ1618" s="393"/>
      <c r="EZS1618" s="393"/>
      <c r="EZU1618" s="393"/>
      <c r="EZW1618" s="393"/>
      <c r="EZY1618" s="393"/>
      <c r="FAA1618" s="393"/>
      <c r="FAC1618" s="393"/>
      <c r="FAE1618" s="393"/>
      <c r="FAG1618" s="393"/>
      <c r="FAI1618" s="393"/>
      <c r="FAK1618" s="393"/>
      <c r="FAM1618" s="393"/>
      <c r="FAO1618" s="393"/>
      <c r="FAQ1618" s="393"/>
      <c r="FAS1618" s="393"/>
      <c r="FAU1618" s="393"/>
      <c r="FAW1618" s="393"/>
      <c r="FAY1618" s="393"/>
      <c r="FBA1618" s="393"/>
      <c r="FBC1618" s="393"/>
      <c r="FBE1618" s="393"/>
      <c r="FBG1618" s="393"/>
      <c r="FBI1618" s="393"/>
      <c r="FBK1618" s="393"/>
      <c r="FBM1618" s="393"/>
      <c r="FBO1618" s="393"/>
      <c r="FBQ1618" s="393"/>
      <c r="FBS1618" s="393"/>
      <c r="FBU1618" s="393"/>
      <c r="FBW1618" s="393"/>
      <c r="FBY1618" s="393"/>
      <c r="FCA1618" s="393"/>
      <c r="FCC1618" s="393"/>
      <c r="FCE1618" s="393"/>
      <c r="FCG1618" s="393"/>
      <c r="FCI1618" s="393"/>
      <c r="FCK1618" s="393"/>
      <c r="FCM1618" s="393"/>
      <c r="FCO1618" s="393"/>
      <c r="FCQ1618" s="393"/>
      <c r="FCS1618" s="393"/>
      <c r="FCU1618" s="393"/>
      <c r="FCW1618" s="393"/>
      <c r="FCY1618" s="393"/>
      <c r="FDA1618" s="393"/>
      <c r="FDC1618" s="393"/>
      <c r="FDE1618" s="393"/>
      <c r="FDG1618" s="393"/>
      <c r="FDI1618" s="393"/>
      <c r="FDK1618" s="393"/>
      <c r="FDM1618" s="393"/>
      <c r="FDO1618" s="393"/>
      <c r="FDQ1618" s="393"/>
      <c r="FDS1618" s="393"/>
      <c r="FDU1618" s="393"/>
      <c r="FDW1618" s="393"/>
      <c r="FDY1618" s="393"/>
      <c r="FEA1618" s="393"/>
      <c r="FEC1618" s="393"/>
      <c r="FEE1618" s="393"/>
      <c r="FEG1618" s="393"/>
      <c r="FEI1618" s="393"/>
      <c r="FEK1618" s="393"/>
      <c r="FEM1618" s="393"/>
      <c r="FEO1618" s="393"/>
      <c r="FEQ1618" s="393"/>
      <c r="FES1618" s="393"/>
      <c r="FEU1618" s="393"/>
      <c r="FEW1618" s="393"/>
      <c r="FEY1618" s="393"/>
      <c r="FFA1618" s="393"/>
      <c r="FFC1618" s="393"/>
      <c r="FFE1618" s="393"/>
      <c r="FFG1618" s="393"/>
      <c r="FFI1618" s="393"/>
      <c r="FFK1618" s="393"/>
      <c r="FFM1618" s="393"/>
      <c r="FFO1618" s="393"/>
      <c r="FFQ1618" s="393"/>
      <c r="FFS1618" s="393"/>
      <c r="FFU1618" s="393"/>
      <c r="FFW1618" s="393"/>
      <c r="FFY1618" s="393"/>
      <c r="FGA1618" s="393"/>
      <c r="FGC1618" s="393"/>
      <c r="FGE1618" s="393"/>
      <c r="FGG1618" s="393"/>
      <c r="FGI1618" s="393"/>
      <c r="FGK1618" s="393"/>
      <c r="FGM1618" s="393"/>
      <c r="FGO1618" s="393"/>
      <c r="FGQ1618" s="393"/>
      <c r="FGS1618" s="393"/>
      <c r="FGU1618" s="393"/>
      <c r="FGW1618" s="393"/>
      <c r="FGY1618" s="393"/>
      <c r="FHA1618" s="393"/>
      <c r="FHC1618" s="393"/>
      <c r="FHE1618" s="393"/>
      <c r="FHG1618" s="393"/>
      <c r="FHI1618" s="393"/>
      <c r="FHK1618" s="393"/>
      <c r="FHM1618" s="393"/>
      <c r="FHO1618" s="393"/>
      <c r="FHQ1618" s="393"/>
      <c r="FHS1618" s="393"/>
      <c r="FHU1618" s="393"/>
      <c r="FHW1618" s="393"/>
      <c r="FHY1618" s="393"/>
      <c r="FIA1618" s="393"/>
      <c r="FIC1618" s="393"/>
      <c r="FIE1618" s="393"/>
      <c r="FIG1618" s="393"/>
      <c r="FII1618" s="393"/>
      <c r="FIK1618" s="393"/>
      <c r="FIM1618" s="393"/>
      <c r="FIO1618" s="393"/>
      <c r="FIQ1618" s="393"/>
      <c r="FIS1618" s="393"/>
      <c r="FIU1618" s="393"/>
      <c r="FIW1618" s="393"/>
      <c r="FIY1618" s="393"/>
      <c r="FJA1618" s="393"/>
      <c r="FJC1618" s="393"/>
      <c r="FJE1618" s="393"/>
      <c r="FJG1618" s="393"/>
      <c r="FJI1618" s="393"/>
      <c r="FJK1618" s="393"/>
      <c r="FJM1618" s="393"/>
      <c r="FJO1618" s="393"/>
      <c r="FJQ1618" s="393"/>
      <c r="FJS1618" s="393"/>
      <c r="FJU1618" s="393"/>
      <c r="FJW1618" s="393"/>
      <c r="FJY1618" s="393"/>
      <c r="FKA1618" s="393"/>
      <c r="FKC1618" s="393"/>
      <c r="FKE1618" s="393"/>
      <c r="FKG1618" s="393"/>
      <c r="FKI1618" s="393"/>
      <c r="FKK1618" s="393"/>
      <c r="FKM1618" s="393"/>
      <c r="FKO1618" s="393"/>
      <c r="FKQ1618" s="393"/>
      <c r="FKS1618" s="393"/>
      <c r="FKU1618" s="393"/>
      <c r="FKW1618" s="393"/>
      <c r="FKY1618" s="393"/>
      <c r="FLA1618" s="393"/>
      <c r="FLC1618" s="393"/>
      <c r="FLE1618" s="393"/>
      <c r="FLG1618" s="393"/>
      <c r="FLI1618" s="393"/>
      <c r="FLK1618" s="393"/>
      <c r="FLM1618" s="393"/>
      <c r="FLO1618" s="393"/>
      <c r="FLQ1618" s="393"/>
      <c r="FLS1618" s="393"/>
      <c r="FLU1618" s="393"/>
      <c r="FLW1618" s="393"/>
      <c r="FLY1618" s="393"/>
      <c r="FMA1618" s="393"/>
      <c r="FMC1618" s="393"/>
      <c r="FME1618" s="393"/>
      <c r="FMG1618" s="393"/>
      <c r="FMI1618" s="393"/>
      <c r="FMK1618" s="393"/>
      <c r="FMM1618" s="393"/>
      <c r="FMO1618" s="393"/>
      <c r="FMQ1618" s="393"/>
      <c r="FMS1618" s="393"/>
      <c r="FMU1618" s="393"/>
      <c r="FMW1618" s="393"/>
      <c r="FMY1618" s="393"/>
      <c r="FNA1618" s="393"/>
      <c r="FNC1618" s="393"/>
      <c r="FNE1618" s="393"/>
      <c r="FNG1618" s="393"/>
      <c r="FNI1618" s="393"/>
      <c r="FNK1618" s="393"/>
      <c r="FNM1618" s="393"/>
      <c r="FNO1618" s="393"/>
      <c r="FNQ1618" s="393"/>
      <c r="FNS1618" s="393"/>
      <c r="FNU1618" s="393"/>
      <c r="FNW1618" s="393"/>
      <c r="FNY1618" s="393"/>
      <c r="FOA1618" s="393"/>
      <c r="FOC1618" s="393"/>
      <c r="FOE1618" s="393"/>
      <c r="FOG1618" s="393"/>
      <c r="FOI1618" s="393"/>
      <c r="FOK1618" s="393"/>
      <c r="FOM1618" s="393"/>
      <c r="FOO1618" s="393"/>
      <c r="FOQ1618" s="393"/>
      <c r="FOS1618" s="393"/>
      <c r="FOU1618" s="393"/>
      <c r="FOW1618" s="393"/>
      <c r="FOY1618" s="393"/>
      <c r="FPA1618" s="393"/>
      <c r="FPC1618" s="393"/>
      <c r="FPE1618" s="393"/>
      <c r="FPG1618" s="393"/>
      <c r="FPI1618" s="393"/>
      <c r="FPK1618" s="393"/>
      <c r="FPM1618" s="393"/>
      <c r="FPO1618" s="393"/>
      <c r="FPQ1618" s="393"/>
      <c r="FPS1618" s="393"/>
      <c r="FPU1618" s="393"/>
      <c r="FPW1618" s="393"/>
      <c r="FPY1618" s="393"/>
      <c r="FQA1618" s="393"/>
      <c r="FQC1618" s="393"/>
      <c r="FQE1618" s="393"/>
      <c r="FQG1618" s="393"/>
      <c r="FQI1618" s="393"/>
      <c r="FQK1618" s="393"/>
      <c r="FQM1618" s="393"/>
      <c r="FQO1618" s="393"/>
      <c r="FQQ1618" s="393"/>
      <c r="FQS1618" s="393"/>
      <c r="FQU1618" s="393"/>
      <c r="FQW1618" s="393"/>
      <c r="FQY1618" s="393"/>
      <c r="FRA1618" s="393"/>
      <c r="FRC1618" s="393"/>
      <c r="FRE1618" s="393"/>
      <c r="FRG1618" s="393"/>
      <c r="FRI1618" s="393"/>
      <c r="FRK1618" s="393"/>
      <c r="FRM1618" s="393"/>
      <c r="FRO1618" s="393"/>
      <c r="FRQ1618" s="393"/>
      <c r="FRS1618" s="393"/>
      <c r="FRU1618" s="393"/>
      <c r="FRW1618" s="393"/>
      <c r="FRY1618" s="393"/>
      <c r="FSA1618" s="393"/>
      <c r="FSC1618" s="393"/>
      <c r="FSE1618" s="393"/>
      <c r="FSG1618" s="393"/>
      <c r="FSI1618" s="393"/>
      <c r="FSK1618" s="393"/>
      <c r="FSM1618" s="393"/>
      <c r="FSO1618" s="393"/>
      <c r="FSQ1618" s="393"/>
      <c r="FSS1618" s="393"/>
      <c r="FSU1618" s="393"/>
      <c r="FSW1618" s="393"/>
      <c r="FSY1618" s="393"/>
      <c r="FTA1618" s="393"/>
      <c r="FTC1618" s="393"/>
      <c r="FTE1618" s="393"/>
      <c r="FTG1618" s="393"/>
      <c r="FTI1618" s="393"/>
      <c r="FTK1618" s="393"/>
      <c r="FTM1618" s="393"/>
      <c r="FTO1618" s="393"/>
      <c r="FTQ1618" s="393"/>
      <c r="FTS1618" s="393"/>
      <c r="FTU1618" s="393"/>
      <c r="FTW1618" s="393"/>
      <c r="FTY1618" s="393"/>
      <c r="FUA1618" s="393"/>
      <c r="FUC1618" s="393"/>
      <c r="FUE1618" s="393"/>
      <c r="FUG1618" s="393"/>
      <c r="FUI1618" s="393"/>
      <c r="FUK1618" s="393"/>
      <c r="FUM1618" s="393"/>
      <c r="FUO1618" s="393"/>
      <c r="FUQ1618" s="393"/>
      <c r="FUS1618" s="393"/>
      <c r="FUU1618" s="393"/>
      <c r="FUW1618" s="393"/>
      <c r="FUY1618" s="393"/>
      <c r="FVA1618" s="393"/>
      <c r="FVC1618" s="393"/>
      <c r="FVE1618" s="393"/>
      <c r="FVG1618" s="393"/>
      <c r="FVI1618" s="393"/>
      <c r="FVK1618" s="393"/>
      <c r="FVM1618" s="393"/>
      <c r="FVO1618" s="393"/>
      <c r="FVQ1618" s="393"/>
      <c r="FVS1618" s="393"/>
      <c r="FVU1618" s="393"/>
      <c r="FVW1618" s="393"/>
      <c r="FVY1618" s="393"/>
      <c r="FWA1618" s="393"/>
      <c r="FWC1618" s="393"/>
      <c r="FWE1618" s="393"/>
      <c r="FWG1618" s="393"/>
      <c r="FWI1618" s="393"/>
      <c r="FWK1618" s="393"/>
      <c r="FWM1618" s="393"/>
      <c r="FWO1618" s="393"/>
      <c r="FWQ1618" s="393"/>
      <c r="FWS1618" s="393"/>
      <c r="FWU1618" s="393"/>
      <c r="FWW1618" s="393"/>
      <c r="FWY1618" s="393"/>
      <c r="FXA1618" s="393"/>
      <c r="FXC1618" s="393"/>
      <c r="FXE1618" s="393"/>
      <c r="FXG1618" s="393"/>
      <c r="FXI1618" s="393"/>
      <c r="FXK1618" s="393"/>
      <c r="FXM1618" s="393"/>
      <c r="FXO1618" s="393"/>
      <c r="FXQ1618" s="393"/>
      <c r="FXS1618" s="393"/>
      <c r="FXU1618" s="393"/>
      <c r="FXW1618" s="393"/>
      <c r="FXY1618" s="393"/>
      <c r="FYA1618" s="393"/>
      <c r="FYC1618" s="393"/>
      <c r="FYE1618" s="393"/>
      <c r="FYG1618" s="393"/>
      <c r="FYI1618" s="393"/>
      <c r="FYK1618" s="393"/>
      <c r="FYM1618" s="393"/>
      <c r="FYO1618" s="393"/>
      <c r="FYQ1618" s="393"/>
      <c r="FYS1618" s="393"/>
      <c r="FYU1618" s="393"/>
      <c r="FYW1618" s="393"/>
      <c r="FYY1618" s="393"/>
      <c r="FZA1618" s="393"/>
      <c r="FZC1618" s="393"/>
      <c r="FZE1618" s="393"/>
      <c r="FZG1618" s="393"/>
      <c r="FZI1618" s="393"/>
      <c r="FZK1618" s="393"/>
      <c r="FZM1618" s="393"/>
      <c r="FZO1618" s="393"/>
      <c r="FZQ1618" s="393"/>
      <c r="FZS1618" s="393"/>
      <c r="FZU1618" s="393"/>
      <c r="FZW1618" s="393"/>
      <c r="FZY1618" s="393"/>
      <c r="GAA1618" s="393"/>
      <c r="GAC1618" s="393"/>
      <c r="GAE1618" s="393"/>
      <c r="GAG1618" s="393"/>
      <c r="GAI1618" s="393"/>
      <c r="GAK1618" s="393"/>
      <c r="GAM1618" s="393"/>
      <c r="GAO1618" s="393"/>
      <c r="GAQ1618" s="393"/>
      <c r="GAS1618" s="393"/>
      <c r="GAU1618" s="393"/>
      <c r="GAW1618" s="393"/>
      <c r="GAY1618" s="393"/>
      <c r="GBA1618" s="393"/>
      <c r="GBC1618" s="393"/>
      <c r="GBE1618" s="393"/>
      <c r="GBG1618" s="393"/>
      <c r="GBI1618" s="393"/>
      <c r="GBK1618" s="393"/>
      <c r="GBM1618" s="393"/>
      <c r="GBO1618" s="393"/>
      <c r="GBQ1618" s="393"/>
      <c r="GBS1618" s="393"/>
      <c r="GBU1618" s="393"/>
      <c r="GBW1618" s="393"/>
      <c r="GBY1618" s="393"/>
      <c r="GCA1618" s="393"/>
      <c r="GCC1618" s="393"/>
      <c r="GCE1618" s="393"/>
      <c r="GCG1618" s="393"/>
      <c r="GCI1618" s="393"/>
      <c r="GCK1618" s="393"/>
      <c r="GCM1618" s="393"/>
      <c r="GCO1618" s="393"/>
      <c r="GCQ1618" s="393"/>
      <c r="GCS1618" s="393"/>
      <c r="GCU1618" s="393"/>
      <c r="GCW1618" s="393"/>
      <c r="GCY1618" s="393"/>
      <c r="GDA1618" s="393"/>
      <c r="GDC1618" s="393"/>
      <c r="GDE1618" s="393"/>
      <c r="GDG1618" s="393"/>
      <c r="GDI1618" s="393"/>
      <c r="GDK1618" s="393"/>
      <c r="GDM1618" s="393"/>
      <c r="GDO1618" s="393"/>
      <c r="GDQ1618" s="393"/>
      <c r="GDS1618" s="393"/>
      <c r="GDU1618" s="393"/>
      <c r="GDW1618" s="393"/>
      <c r="GDY1618" s="393"/>
      <c r="GEA1618" s="393"/>
      <c r="GEC1618" s="393"/>
      <c r="GEE1618" s="393"/>
      <c r="GEG1618" s="393"/>
      <c r="GEI1618" s="393"/>
      <c r="GEK1618" s="393"/>
      <c r="GEM1618" s="393"/>
      <c r="GEO1618" s="393"/>
      <c r="GEQ1618" s="393"/>
      <c r="GES1618" s="393"/>
      <c r="GEU1618" s="393"/>
      <c r="GEW1618" s="393"/>
      <c r="GEY1618" s="393"/>
      <c r="GFA1618" s="393"/>
      <c r="GFC1618" s="393"/>
      <c r="GFE1618" s="393"/>
      <c r="GFG1618" s="393"/>
      <c r="GFI1618" s="393"/>
      <c r="GFK1618" s="393"/>
      <c r="GFM1618" s="393"/>
      <c r="GFO1618" s="393"/>
      <c r="GFQ1618" s="393"/>
      <c r="GFS1618" s="393"/>
      <c r="GFU1618" s="393"/>
      <c r="GFW1618" s="393"/>
      <c r="GFY1618" s="393"/>
      <c r="GGA1618" s="393"/>
      <c r="GGC1618" s="393"/>
      <c r="GGE1618" s="393"/>
      <c r="GGG1618" s="393"/>
      <c r="GGI1618" s="393"/>
      <c r="GGK1618" s="393"/>
      <c r="GGM1618" s="393"/>
      <c r="GGO1618" s="393"/>
      <c r="GGQ1618" s="393"/>
      <c r="GGS1618" s="393"/>
      <c r="GGU1618" s="393"/>
      <c r="GGW1618" s="393"/>
      <c r="GGY1618" s="393"/>
      <c r="GHA1618" s="393"/>
      <c r="GHC1618" s="393"/>
      <c r="GHE1618" s="393"/>
      <c r="GHG1618" s="393"/>
      <c r="GHI1618" s="393"/>
      <c r="GHK1618" s="393"/>
      <c r="GHM1618" s="393"/>
      <c r="GHO1618" s="393"/>
      <c r="GHQ1618" s="393"/>
      <c r="GHS1618" s="393"/>
      <c r="GHU1618" s="393"/>
      <c r="GHW1618" s="393"/>
      <c r="GHY1618" s="393"/>
      <c r="GIA1618" s="393"/>
      <c r="GIC1618" s="393"/>
      <c r="GIE1618" s="393"/>
      <c r="GIG1618" s="393"/>
      <c r="GII1618" s="393"/>
      <c r="GIK1618" s="393"/>
      <c r="GIM1618" s="393"/>
      <c r="GIO1618" s="393"/>
      <c r="GIQ1618" s="393"/>
      <c r="GIS1618" s="393"/>
      <c r="GIU1618" s="393"/>
      <c r="GIW1618" s="393"/>
      <c r="GIY1618" s="393"/>
      <c r="GJA1618" s="393"/>
      <c r="GJC1618" s="393"/>
      <c r="GJE1618" s="393"/>
      <c r="GJG1618" s="393"/>
      <c r="GJI1618" s="393"/>
      <c r="GJK1618" s="393"/>
      <c r="GJM1618" s="393"/>
      <c r="GJO1618" s="393"/>
      <c r="GJQ1618" s="393"/>
      <c r="GJS1618" s="393"/>
      <c r="GJU1618" s="393"/>
      <c r="GJW1618" s="393"/>
      <c r="GJY1618" s="393"/>
      <c r="GKA1618" s="393"/>
      <c r="GKC1618" s="393"/>
      <c r="GKE1618" s="393"/>
      <c r="GKG1618" s="393"/>
      <c r="GKI1618" s="393"/>
      <c r="GKK1618" s="393"/>
      <c r="GKM1618" s="393"/>
      <c r="GKO1618" s="393"/>
      <c r="GKQ1618" s="393"/>
      <c r="GKS1618" s="393"/>
      <c r="GKU1618" s="393"/>
      <c r="GKW1618" s="393"/>
      <c r="GKY1618" s="393"/>
      <c r="GLA1618" s="393"/>
      <c r="GLC1618" s="393"/>
      <c r="GLE1618" s="393"/>
      <c r="GLG1618" s="393"/>
      <c r="GLI1618" s="393"/>
      <c r="GLK1618" s="393"/>
      <c r="GLM1618" s="393"/>
      <c r="GLO1618" s="393"/>
      <c r="GLQ1618" s="393"/>
      <c r="GLS1618" s="393"/>
      <c r="GLU1618" s="393"/>
      <c r="GLW1618" s="393"/>
      <c r="GLY1618" s="393"/>
      <c r="GMA1618" s="393"/>
      <c r="GMC1618" s="393"/>
      <c r="GME1618" s="393"/>
      <c r="GMG1618" s="393"/>
      <c r="GMI1618" s="393"/>
      <c r="GMK1618" s="393"/>
      <c r="GMM1618" s="393"/>
      <c r="GMO1618" s="393"/>
      <c r="GMQ1618" s="393"/>
      <c r="GMS1618" s="393"/>
      <c r="GMU1618" s="393"/>
      <c r="GMW1618" s="393"/>
      <c r="GMY1618" s="393"/>
      <c r="GNA1618" s="393"/>
      <c r="GNC1618" s="393"/>
      <c r="GNE1618" s="393"/>
      <c r="GNG1618" s="393"/>
      <c r="GNI1618" s="393"/>
      <c r="GNK1618" s="393"/>
      <c r="GNM1618" s="393"/>
      <c r="GNO1618" s="393"/>
      <c r="GNQ1618" s="393"/>
      <c r="GNS1618" s="393"/>
      <c r="GNU1618" s="393"/>
      <c r="GNW1618" s="393"/>
      <c r="GNY1618" s="393"/>
      <c r="GOA1618" s="393"/>
      <c r="GOC1618" s="393"/>
      <c r="GOE1618" s="393"/>
      <c r="GOG1618" s="393"/>
      <c r="GOI1618" s="393"/>
      <c r="GOK1618" s="393"/>
      <c r="GOM1618" s="393"/>
      <c r="GOO1618" s="393"/>
      <c r="GOQ1618" s="393"/>
      <c r="GOS1618" s="393"/>
      <c r="GOU1618" s="393"/>
      <c r="GOW1618" s="393"/>
      <c r="GOY1618" s="393"/>
      <c r="GPA1618" s="393"/>
      <c r="GPC1618" s="393"/>
      <c r="GPE1618" s="393"/>
      <c r="GPG1618" s="393"/>
      <c r="GPI1618" s="393"/>
      <c r="GPK1618" s="393"/>
      <c r="GPM1618" s="393"/>
      <c r="GPO1618" s="393"/>
      <c r="GPQ1618" s="393"/>
      <c r="GPS1618" s="393"/>
      <c r="GPU1618" s="393"/>
      <c r="GPW1618" s="393"/>
      <c r="GPY1618" s="393"/>
      <c r="GQA1618" s="393"/>
      <c r="GQC1618" s="393"/>
      <c r="GQE1618" s="393"/>
      <c r="GQG1618" s="393"/>
      <c r="GQI1618" s="393"/>
      <c r="GQK1618" s="393"/>
      <c r="GQM1618" s="393"/>
      <c r="GQO1618" s="393"/>
      <c r="GQQ1618" s="393"/>
      <c r="GQS1618" s="393"/>
      <c r="GQU1618" s="393"/>
      <c r="GQW1618" s="393"/>
      <c r="GQY1618" s="393"/>
      <c r="GRA1618" s="393"/>
      <c r="GRC1618" s="393"/>
      <c r="GRE1618" s="393"/>
      <c r="GRG1618" s="393"/>
      <c r="GRI1618" s="393"/>
      <c r="GRK1618" s="393"/>
      <c r="GRM1618" s="393"/>
      <c r="GRO1618" s="393"/>
      <c r="GRQ1618" s="393"/>
      <c r="GRS1618" s="393"/>
      <c r="GRU1618" s="393"/>
      <c r="GRW1618" s="393"/>
      <c r="GRY1618" s="393"/>
      <c r="GSA1618" s="393"/>
      <c r="GSC1618" s="393"/>
      <c r="GSE1618" s="393"/>
      <c r="GSG1618" s="393"/>
      <c r="GSI1618" s="393"/>
      <c r="GSK1618" s="393"/>
      <c r="GSM1618" s="393"/>
      <c r="GSO1618" s="393"/>
      <c r="GSQ1618" s="393"/>
      <c r="GSS1618" s="393"/>
      <c r="GSU1618" s="393"/>
      <c r="GSW1618" s="393"/>
      <c r="GSY1618" s="393"/>
      <c r="GTA1618" s="393"/>
      <c r="GTC1618" s="393"/>
      <c r="GTE1618" s="393"/>
      <c r="GTG1618" s="393"/>
      <c r="GTI1618" s="393"/>
      <c r="GTK1618" s="393"/>
      <c r="GTM1618" s="393"/>
      <c r="GTO1618" s="393"/>
      <c r="GTQ1618" s="393"/>
      <c r="GTS1618" s="393"/>
      <c r="GTU1618" s="393"/>
      <c r="GTW1618" s="393"/>
      <c r="GTY1618" s="393"/>
      <c r="GUA1618" s="393"/>
      <c r="GUC1618" s="393"/>
      <c r="GUE1618" s="393"/>
      <c r="GUG1618" s="393"/>
      <c r="GUI1618" s="393"/>
      <c r="GUK1618" s="393"/>
      <c r="GUM1618" s="393"/>
      <c r="GUO1618" s="393"/>
      <c r="GUQ1618" s="393"/>
      <c r="GUS1618" s="393"/>
      <c r="GUU1618" s="393"/>
      <c r="GUW1618" s="393"/>
      <c r="GUY1618" s="393"/>
      <c r="GVA1618" s="393"/>
      <c r="GVC1618" s="393"/>
      <c r="GVE1618" s="393"/>
      <c r="GVG1618" s="393"/>
      <c r="GVI1618" s="393"/>
      <c r="GVK1618" s="393"/>
      <c r="GVM1618" s="393"/>
      <c r="GVO1618" s="393"/>
      <c r="GVQ1618" s="393"/>
      <c r="GVS1618" s="393"/>
      <c r="GVU1618" s="393"/>
      <c r="GVW1618" s="393"/>
      <c r="GVY1618" s="393"/>
      <c r="GWA1618" s="393"/>
      <c r="GWC1618" s="393"/>
      <c r="GWE1618" s="393"/>
      <c r="GWG1618" s="393"/>
      <c r="GWI1618" s="393"/>
      <c r="GWK1618" s="393"/>
      <c r="GWM1618" s="393"/>
      <c r="GWO1618" s="393"/>
      <c r="GWQ1618" s="393"/>
      <c r="GWS1618" s="393"/>
      <c r="GWU1618" s="393"/>
      <c r="GWW1618" s="393"/>
      <c r="GWY1618" s="393"/>
      <c r="GXA1618" s="393"/>
      <c r="GXC1618" s="393"/>
      <c r="GXE1618" s="393"/>
      <c r="GXG1618" s="393"/>
      <c r="GXI1618" s="393"/>
      <c r="GXK1618" s="393"/>
      <c r="GXM1618" s="393"/>
      <c r="GXO1618" s="393"/>
      <c r="GXQ1618" s="393"/>
      <c r="GXS1618" s="393"/>
      <c r="GXU1618" s="393"/>
      <c r="GXW1618" s="393"/>
      <c r="GXY1618" s="393"/>
      <c r="GYA1618" s="393"/>
      <c r="GYC1618" s="393"/>
      <c r="GYE1618" s="393"/>
      <c r="GYG1618" s="393"/>
      <c r="GYI1618" s="393"/>
      <c r="GYK1618" s="393"/>
      <c r="GYM1618" s="393"/>
      <c r="GYO1618" s="393"/>
      <c r="GYQ1618" s="393"/>
      <c r="GYS1618" s="393"/>
      <c r="GYU1618" s="393"/>
      <c r="GYW1618" s="393"/>
      <c r="GYY1618" s="393"/>
      <c r="GZA1618" s="393"/>
      <c r="GZC1618" s="393"/>
      <c r="GZE1618" s="393"/>
      <c r="GZG1618" s="393"/>
      <c r="GZI1618" s="393"/>
      <c r="GZK1618" s="393"/>
      <c r="GZM1618" s="393"/>
      <c r="GZO1618" s="393"/>
      <c r="GZQ1618" s="393"/>
      <c r="GZS1618" s="393"/>
      <c r="GZU1618" s="393"/>
      <c r="GZW1618" s="393"/>
      <c r="GZY1618" s="393"/>
      <c r="HAA1618" s="393"/>
      <c r="HAC1618" s="393"/>
      <c r="HAE1618" s="393"/>
      <c r="HAG1618" s="393"/>
      <c r="HAI1618" s="393"/>
      <c r="HAK1618" s="393"/>
      <c r="HAM1618" s="393"/>
      <c r="HAO1618" s="393"/>
      <c r="HAQ1618" s="393"/>
      <c r="HAS1618" s="393"/>
      <c r="HAU1618" s="393"/>
      <c r="HAW1618" s="393"/>
      <c r="HAY1618" s="393"/>
      <c r="HBA1618" s="393"/>
      <c r="HBC1618" s="393"/>
      <c r="HBE1618" s="393"/>
      <c r="HBG1618" s="393"/>
      <c r="HBI1618" s="393"/>
      <c r="HBK1618" s="393"/>
      <c r="HBM1618" s="393"/>
      <c r="HBO1618" s="393"/>
      <c r="HBQ1618" s="393"/>
      <c r="HBS1618" s="393"/>
      <c r="HBU1618" s="393"/>
      <c r="HBW1618" s="393"/>
      <c r="HBY1618" s="393"/>
      <c r="HCA1618" s="393"/>
      <c r="HCC1618" s="393"/>
      <c r="HCE1618" s="393"/>
      <c r="HCG1618" s="393"/>
      <c r="HCI1618" s="393"/>
      <c r="HCK1618" s="393"/>
      <c r="HCM1618" s="393"/>
      <c r="HCO1618" s="393"/>
      <c r="HCQ1618" s="393"/>
      <c r="HCS1618" s="393"/>
      <c r="HCU1618" s="393"/>
      <c r="HCW1618" s="393"/>
      <c r="HCY1618" s="393"/>
      <c r="HDA1618" s="393"/>
      <c r="HDC1618" s="393"/>
      <c r="HDE1618" s="393"/>
      <c r="HDG1618" s="393"/>
      <c r="HDI1618" s="393"/>
      <c r="HDK1618" s="393"/>
      <c r="HDM1618" s="393"/>
      <c r="HDO1618" s="393"/>
      <c r="HDQ1618" s="393"/>
      <c r="HDS1618" s="393"/>
      <c r="HDU1618" s="393"/>
      <c r="HDW1618" s="393"/>
      <c r="HDY1618" s="393"/>
      <c r="HEA1618" s="393"/>
      <c r="HEC1618" s="393"/>
      <c r="HEE1618" s="393"/>
      <c r="HEG1618" s="393"/>
      <c r="HEI1618" s="393"/>
      <c r="HEK1618" s="393"/>
      <c r="HEM1618" s="393"/>
      <c r="HEO1618" s="393"/>
      <c r="HEQ1618" s="393"/>
      <c r="HES1618" s="393"/>
      <c r="HEU1618" s="393"/>
      <c r="HEW1618" s="393"/>
      <c r="HEY1618" s="393"/>
      <c r="HFA1618" s="393"/>
      <c r="HFC1618" s="393"/>
      <c r="HFE1618" s="393"/>
      <c r="HFG1618" s="393"/>
      <c r="HFI1618" s="393"/>
      <c r="HFK1618" s="393"/>
      <c r="HFM1618" s="393"/>
      <c r="HFO1618" s="393"/>
      <c r="HFQ1618" s="393"/>
      <c r="HFS1618" s="393"/>
      <c r="HFU1618" s="393"/>
      <c r="HFW1618" s="393"/>
      <c r="HFY1618" s="393"/>
      <c r="HGA1618" s="393"/>
      <c r="HGC1618" s="393"/>
      <c r="HGE1618" s="393"/>
      <c r="HGG1618" s="393"/>
      <c r="HGI1618" s="393"/>
      <c r="HGK1618" s="393"/>
      <c r="HGM1618" s="393"/>
      <c r="HGO1618" s="393"/>
      <c r="HGQ1618" s="393"/>
      <c r="HGS1618" s="393"/>
      <c r="HGU1618" s="393"/>
      <c r="HGW1618" s="393"/>
      <c r="HGY1618" s="393"/>
      <c r="HHA1618" s="393"/>
      <c r="HHC1618" s="393"/>
      <c r="HHE1618" s="393"/>
      <c r="HHG1618" s="393"/>
      <c r="HHI1618" s="393"/>
      <c r="HHK1618" s="393"/>
      <c r="HHM1618" s="393"/>
      <c r="HHO1618" s="393"/>
      <c r="HHQ1618" s="393"/>
      <c r="HHS1618" s="393"/>
      <c r="HHU1618" s="393"/>
      <c r="HHW1618" s="393"/>
      <c r="HHY1618" s="393"/>
      <c r="HIA1618" s="393"/>
      <c r="HIC1618" s="393"/>
      <c r="HIE1618" s="393"/>
      <c r="HIG1618" s="393"/>
      <c r="HII1618" s="393"/>
      <c r="HIK1618" s="393"/>
      <c r="HIM1618" s="393"/>
      <c r="HIO1618" s="393"/>
      <c r="HIQ1618" s="393"/>
      <c r="HIS1618" s="393"/>
      <c r="HIU1618" s="393"/>
      <c r="HIW1618" s="393"/>
      <c r="HIY1618" s="393"/>
      <c r="HJA1618" s="393"/>
      <c r="HJC1618" s="393"/>
      <c r="HJE1618" s="393"/>
      <c r="HJG1618" s="393"/>
      <c r="HJI1618" s="393"/>
      <c r="HJK1618" s="393"/>
      <c r="HJM1618" s="393"/>
      <c r="HJO1618" s="393"/>
      <c r="HJQ1618" s="393"/>
      <c r="HJS1618" s="393"/>
      <c r="HJU1618" s="393"/>
      <c r="HJW1618" s="393"/>
      <c r="HJY1618" s="393"/>
      <c r="HKA1618" s="393"/>
      <c r="HKC1618" s="393"/>
      <c r="HKE1618" s="393"/>
      <c r="HKG1618" s="393"/>
      <c r="HKI1618" s="393"/>
      <c r="HKK1618" s="393"/>
      <c r="HKM1618" s="393"/>
      <c r="HKO1618" s="393"/>
      <c r="HKQ1618" s="393"/>
      <c r="HKS1618" s="393"/>
      <c r="HKU1618" s="393"/>
      <c r="HKW1618" s="393"/>
      <c r="HKY1618" s="393"/>
      <c r="HLA1618" s="393"/>
      <c r="HLC1618" s="393"/>
      <c r="HLE1618" s="393"/>
      <c r="HLG1618" s="393"/>
      <c r="HLI1618" s="393"/>
      <c r="HLK1618" s="393"/>
      <c r="HLM1618" s="393"/>
      <c r="HLO1618" s="393"/>
      <c r="HLQ1618" s="393"/>
      <c r="HLS1618" s="393"/>
      <c r="HLU1618" s="393"/>
      <c r="HLW1618" s="393"/>
      <c r="HLY1618" s="393"/>
      <c r="HMA1618" s="393"/>
      <c r="HMC1618" s="393"/>
      <c r="HME1618" s="393"/>
      <c r="HMG1618" s="393"/>
      <c r="HMI1618" s="393"/>
      <c r="HMK1618" s="393"/>
      <c r="HMM1618" s="393"/>
      <c r="HMO1618" s="393"/>
      <c r="HMQ1618" s="393"/>
      <c r="HMS1618" s="393"/>
      <c r="HMU1618" s="393"/>
      <c r="HMW1618" s="393"/>
      <c r="HMY1618" s="393"/>
      <c r="HNA1618" s="393"/>
      <c r="HNC1618" s="393"/>
      <c r="HNE1618" s="393"/>
      <c r="HNG1618" s="393"/>
      <c r="HNI1618" s="393"/>
      <c r="HNK1618" s="393"/>
      <c r="HNM1618" s="393"/>
      <c r="HNO1618" s="393"/>
      <c r="HNQ1618" s="393"/>
      <c r="HNS1618" s="393"/>
      <c r="HNU1618" s="393"/>
      <c r="HNW1618" s="393"/>
      <c r="HNY1618" s="393"/>
      <c r="HOA1618" s="393"/>
      <c r="HOC1618" s="393"/>
      <c r="HOE1618" s="393"/>
      <c r="HOG1618" s="393"/>
      <c r="HOI1618" s="393"/>
      <c r="HOK1618" s="393"/>
      <c r="HOM1618" s="393"/>
      <c r="HOO1618" s="393"/>
      <c r="HOQ1618" s="393"/>
      <c r="HOS1618" s="393"/>
      <c r="HOU1618" s="393"/>
      <c r="HOW1618" s="393"/>
      <c r="HOY1618" s="393"/>
      <c r="HPA1618" s="393"/>
      <c r="HPC1618" s="393"/>
      <c r="HPE1618" s="393"/>
      <c r="HPG1618" s="393"/>
      <c r="HPI1618" s="393"/>
      <c r="HPK1618" s="393"/>
      <c r="HPM1618" s="393"/>
      <c r="HPO1618" s="393"/>
      <c r="HPQ1618" s="393"/>
      <c r="HPS1618" s="393"/>
      <c r="HPU1618" s="393"/>
      <c r="HPW1618" s="393"/>
      <c r="HPY1618" s="393"/>
      <c r="HQA1618" s="393"/>
      <c r="HQC1618" s="393"/>
      <c r="HQE1618" s="393"/>
      <c r="HQG1618" s="393"/>
      <c r="HQI1618" s="393"/>
      <c r="HQK1618" s="393"/>
      <c r="HQM1618" s="393"/>
      <c r="HQO1618" s="393"/>
      <c r="HQQ1618" s="393"/>
      <c r="HQS1618" s="393"/>
      <c r="HQU1618" s="393"/>
      <c r="HQW1618" s="393"/>
      <c r="HQY1618" s="393"/>
      <c r="HRA1618" s="393"/>
      <c r="HRC1618" s="393"/>
      <c r="HRE1618" s="393"/>
      <c r="HRG1618" s="393"/>
      <c r="HRI1618" s="393"/>
      <c r="HRK1618" s="393"/>
      <c r="HRM1618" s="393"/>
      <c r="HRO1618" s="393"/>
      <c r="HRQ1618" s="393"/>
      <c r="HRS1618" s="393"/>
      <c r="HRU1618" s="393"/>
      <c r="HRW1618" s="393"/>
      <c r="HRY1618" s="393"/>
      <c r="HSA1618" s="393"/>
      <c r="HSC1618" s="393"/>
      <c r="HSE1618" s="393"/>
      <c r="HSG1618" s="393"/>
      <c r="HSI1618" s="393"/>
      <c r="HSK1618" s="393"/>
      <c r="HSM1618" s="393"/>
      <c r="HSO1618" s="393"/>
      <c r="HSQ1618" s="393"/>
      <c r="HSS1618" s="393"/>
      <c r="HSU1618" s="393"/>
      <c r="HSW1618" s="393"/>
      <c r="HSY1618" s="393"/>
      <c r="HTA1618" s="393"/>
      <c r="HTC1618" s="393"/>
      <c r="HTE1618" s="393"/>
      <c r="HTG1618" s="393"/>
      <c r="HTI1618" s="393"/>
      <c r="HTK1618" s="393"/>
      <c r="HTM1618" s="393"/>
      <c r="HTO1618" s="393"/>
      <c r="HTQ1618" s="393"/>
      <c r="HTS1618" s="393"/>
      <c r="HTU1618" s="393"/>
      <c r="HTW1618" s="393"/>
      <c r="HTY1618" s="393"/>
      <c r="HUA1618" s="393"/>
      <c r="HUC1618" s="393"/>
      <c r="HUE1618" s="393"/>
      <c r="HUG1618" s="393"/>
      <c r="HUI1618" s="393"/>
      <c r="HUK1618" s="393"/>
      <c r="HUM1618" s="393"/>
      <c r="HUO1618" s="393"/>
      <c r="HUQ1618" s="393"/>
      <c r="HUS1618" s="393"/>
      <c r="HUU1618" s="393"/>
      <c r="HUW1618" s="393"/>
      <c r="HUY1618" s="393"/>
      <c r="HVA1618" s="393"/>
      <c r="HVC1618" s="393"/>
      <c r="HVE1618" s="393"/>
      <c r="HVG1618" s="393"/>
      <c r="HVI1618" s="393"/>
      <c r="HVK1618" s="393"/>
      <c r="HVM1618" s="393"/>
      <c r="HVO1618" s="393"/>
      <c r="HVQ1618" s="393"/>
      <c r="HVS1618" s="393"/>
      <c r="HVU1618" s="393"/>
      <c r="HVW1618" s="393"/>
      <c r="HVY1618" s="393"/>
      <c r="HWA1618" s="393"/>
      <c r="HWC1618" s="393"/>
      <c r="HWE1618" s="393"/>
      <c r="HWG1618" s="393"/>
      <c r="HWI1618" s="393"/>
      <c r="HWK1618" s="393"/>
      <c r="HWM1618" s="393"/>
      <c r="HWO1618" s="393"/>
      <c r="HWQ1618" s="393"/>
      <c r="HWS1618" s="393"/>
      <c r="HWU1618" s="393"/>
      <c r="HWW1618" s="393"/>
      <c r="HWY1618" s="393"/>
      <c r="HXA1618" s="393"/>
      <c r="HXC1618" s="393"/>
      <c r="HXE1618" s="393"/>
      <c r="HXG1618" s="393"/>
      <c r="HXI1618" s="393"/>
      <c r="HXK1618" s="393"/>
      <c r="HXM1618" s="393"/>
      <c r="HXO1618" s="393"/>
      <c r="HXQ1618" s="393"/>
      <c r="HXS1618" s="393"/>
      <c r="HXU1618" s="393"/>
      <c r="HXW1618" s="393"/>
      <c r="HXY1618" s="393"/>
      <c r="HYA1618" s="393"/>
      <c r="HYC1618" s="393"/>
      <c r="HYE1618" s="393"/>
      <c r="HYG1618" s="393"/>
      <c r="HYI1618" s="393"/>
      <c r="HYK1618" s="393"/>
      <c r="HYM1618" s="393"/>
      <c r="HYO1618" s="393"/>
      <c r="HYQ1618" s="393"/>
      <c r="HYS1618" s="393"/>
      <c r="HYU1618" s="393"/>
      <c r="HYW1618" s="393"/>
      <c r="HYY1618" s="393"/>
      <c r="HZA1618" s="393"/>
      <c r="HZC1618" s="393"/>
      <c r="HZE1618" s="393"/>
      <c r="HZG1618" s="393"/>
      <c r="HZI1618" s="393"/>
      <c r="HZK1618" s="393"/>
      <c r="HZM1618" s="393"/>
      <c r="HZO1618" s="393"/>
      <c r="HZQ1618" s="393"/>
      <c r="HZS1618" s="393"/>
      <c r="HZU1618" s="393"/>
      <c r="HZW1618" s="393"/>
      <c r="HZY1618" s="393"/>
      <c r="IAA1618" s="393"/>
      <c r="IAC1618" s="393"/>
      <c r="IAE1618" s="393"/>
      <c r="IAG1618" s="393"/>
      <c r="IAI1618" s="393"/>
      <c r="IAK1618" s="393"/>
      <c r="IAM1618" s="393"/>
      <c r="IAO1618" s="393"/>
      <c r="IAQ1618" s="393"/>
      <c r="IAS1618" s="393"/>
      <c r="IAU1618" s="393"/>
      <c r="IAW1618" s="393"/>
      <c r="IAY1618" s="393"/>
      <c r="IBA1618" s="393"/>
      <c r="IBC1618" s="393"/>
      <c r="IBE1618" s="393"/>
      <c r="IBG1618" s="393"/>
      <c r="IBI1618" s="393"/>
      <c r="IBK1618" s="393"/>
      <c r="IBM1618" s="393"/>
      <c r="IBO1618" s="393"/>
      <c r="IBQ1618" s="393"/>
      <c r="IBS1618" s="393"/>
      <c r="IBU1618" s="393"/>
      <c r="IBW1618" s="393"/>
      <c r="IBY1618" s="393"/>
      <c r="ICA1618" s="393"/>
      <c r="ICC1618" s="393"/>
      <c r="ICE1618" s="393"/>
      <c r="ICG1618" s="393"/>
      <c r="ICI1618" s="393"/>
      <c r="ICK1618" s="393"/>
      <c r="ICM1618" s="393"/>
      <c r="ICO1618" s="393"/>
      <c r="ICQ1618" s="393"/>
      <c r="ICS1618" s="393"/>
      <c r="ICU1618" s="393"/>
      <c r="ICW1618" s="393"/>
      <c r="ICY1618" s="393"/>
      <c r="IDA1618" s="393"/>
      <c r="IDC1618" s="393"/>
      <c r="IDE1618" s="393"/>
      <c r="IDG1618" s="393"/>
      <c r="IDI1618" s="393"/>
      <c r="IDK1618" s="393"/>
      <c r="IDM1618" s="393"/>
      <c r="IDO1618" s="393"/>
      <c r="IDQ1618" s="393"/>
      <c r="IDS1618" s="393"/>
      <c r="IDU1618" s="393"/>
      <c r="IDW1618" s="393"/>
      <c r="IDY1618" s="393"/>
      <c r="IEA1618" s="393"/>
      <c r="IEC1618" s="393"/>
      <c r="IEE1618" s="393"/>
      <c r="IEG1618" s="393"/>
      <c r="IEI1618" s="393"/>
      <c r="IEK1618" s="393"/>
      <c r="IEM1618" s="393"/>
      <c r="IEO1618" s="393"/>
      <c r="IEQ1618" s="393"/>
      <c r="IES1618" s="393"/>
      <c r="IEU1618" s="393"/>
      <c r="IEW1618" s="393"/>
      <c r="IEY1618" s="393"/>
      <c r="IFA1618" s="393"/>
      <c r="IFC1618" s="393"/>
      <c r="IFE1618" s="393"/>
      <c r="IFG1618" s="393"/>
      <c r="IFI1618" s="393"/>
      <c r="IFK1618" s="393"/>
      <c r="IFM1618" s="393"/>
      <c r="IFO1618" s="393"/>
      <c r="IFQ1618" s="393"/>
      <c r="IFS1618" s="393"/>
      <c r="IFU1618" s="393"/>
      <c r="IFW1618" s="393"/>
      <c r="IFY1618" s="393"/>
      <c r="IGA1618" s="393"/>
      <c r="IGC1618" s="393"/>
      <c r="IGE1618" s="393"/>
      <c r="IGG1618" s="393"/>
      <c r="IGI1618" s="393"/>
      <c r="IGK1618" s="393"/>
      <c r="IGM1618" s="393"/>
      <c r="IGO1618" s="393"/>
      <c r="IGQ1618" s="393"/>
      <c r="IGS1618" s="393"/>
      <c r="IGU1618" s="393"/>
      <c r="IGW1618" s="393"/>
      <c r="IGY1618" s="393"/>
      <c r="IHA1618" s="393"/>
      <c r="IHC1618" s="393"/>
      <c r="IHE1618" s="393"/>
      <c r="IHG1618" s="393"/>
      <c r="IHI1618" s="393"/>
      <c r="IHK1618" s="393"/>
      <c r="IHM1618" s="393"/>
      <c r="IHO1618" s="393"/>
      <c r="IHQ1618" s="393"/>
      <c r="IHS1618" s="393"/>
      <c r="IHU1618" s="393"/>
      <c r="IHW1618" s="393"/>
      <c r="IHY1618" s="393"/>
      <c r="IIA1618" s="393"/>
      <c r="IIC1618" s="393"/>
      <c r="IIE1618" s="393"/>
      <c r="IIG1618" s="393"/>
      <c r="III1618" s="393"/>
      <c r="IIK1618" s="393"/>
      <c r="IIM1618" s="393"/>
      <c r="IIO1618" s="393"/>
      <c r="IIQ1618" s="393"/>
      <c r="IIS1618" s="393"/>
      <c r="IIU1618" s="393"/>
      <c r="IIW1618" s="393"/>
      <c r="IIY1618" s="393"/>
      <c r="IJA1618" s="393"/>
      <c r="IJC1618" s="393"/>
      <c r="IJE1618" s="393"/>
      <c r="IJG1618" s="393"/>
      <c r="IJI1618" s="393"/>
      <c r="IJK1618" s="393"/>
      <c r="IJM1618" s="393"/>
      <c r="IJO1618" s="393"/>
      <c r="IJQ1618" s="393"/>
      <c r="IJS1618" s="393"/>
      <c r="IJU1618" s="393"/>
      <c r="IJW1618" s="393"/>
      <c r="IJY1618" s="393"/>
      <c r="IKA1618" s="393"/>
      <c r="IKC1618" s="393"/>
      <c r="IKE1618" s="393"/>
      <c r="IKG1618" s="393"/>
      <c r="IKI1618" s="393"/>
      <c r="IKK1618" s="393"/>
      <c r="IKM1618" s="393"/>
      <c r="IKO1618" s="393"/>
      <c r="IKQ1618" s="393"/>
      <c r="IKS1618" s="393"/>
      <c r="IKU1618" s="393"/>
      <c r="IKW1618" s="393"/>
      <c r="IKY1618" s="393"/>
      <c r="ILA1618" s="393"/>
      <c r="ILC1618" s="393"/>
      <c r="ILE1618" s="393"/>
      <c r="ILG1618" s="393"/>
      <c r="ILI1618" s="393"/>
      <c r="ILK1618" s="393"/>
      <c r="ILM1618" s="393"/>
      <c r="ILO1618" s="393"/>
      <c r="ILQ1618" s="393"/>
      <c r="ILS1618" s="393"/>
      <c r="ILU1618" s="393"/>
      <c r="ILW1618" s="393"/>
      <c r="ILY1618" s="393"/>
      <c r="IMA1618" s="393"/>
      <c r="IMC1618" s="393"/>
      <c r="IME1618" s="393"/>
      <c r="IMG1618" s="393"/>
      <c r="IMI1618" s="393"/>
      <c r="IMK1618" s="393"/>
      <c r="IMM1618" s="393"/>
      <c r="IMO1618" s="393"/>
      <c r="IMQ1618" s="393"/>
      <c r="IMS1618" s="393"/>
      <c r="IMU1618" s="393"/>
      <c r="IMW1618" s="393"/>
      <c r="IMY1618" s="393"/>
      <c r="INA1618" s="393"/>
      <c r="INC1618" s="393"/>
      <c r="INE1618" s="393"/>
      <c r="ING1618" s="393"/>
      <c r="INI1618" s="393"/>
      <c r="INK1618" s="393"/>
      <c r="INM1618" s="393"/>
      <c r="INO1618" s="393"/>
      <c r="INQ1618" s="393"/>
      <c r="INS1618" s="393"/>
      <c r="INU1618" s="393"/>
      <c r="INW1618" s="393"/>
      <c r="INY1618" s="393"/>
      <c r="IOA1618" s="393"/>
      <c r="IOC1618" s="393"/>
      <c r="IOE1618" s="393"/>
      <c r="IOG1618" s="393"/>
      <c r="IOI1618" s="393"/>
      <c r="IOK1618" s="393"/>
      <c r="IOM1618" s="393"/>
      <c r="IOO1618" s="393"/>
      <c r="IOQ1618" s="393"/>
      <c r="IOS1618" s="393"/>
      <c r="IOU1618" s="393"/>
      <c r="IOW1618" s="393"/>
      <c r="IOY1618" s="393"/>
      <c r="IPA1618" s="393"/>
      <c r="IPC1618" s="393"/>
      <c r="IPE1618" s="393"/>
      <c r="IPG1618" s="393"/>
      <c r="IPI1618" s="393"/>
      <c r="IPK1618" s="393"/>
      <c r="IPM1618" s="393"/>
      <c r="IPO1618" s="393"/>
      <c r="IPQ1618" s="393"/>
      <c r="IPS1618" s="393"/>
      <c r="IPU1618" s="393"/>
      <c r="IPW1618" s="393"/>
      <c r="IPY1618" s="393"/>
      <c r="IQA1618" s="393"/>
      <c r="IQC1618" s="393"/>
      <c r="IQE1618" s="393"/>
      <c r="IQG1618" s="393"/>
      <c r="IQI1618" s="393"/>
      <c r="IQK1618" s="393"/>
      <c r="IQM1618" s="393"/>
      <c r="IQO1618" s="393"/>
      <c r="IQQ1618" s="393"/>
      <c r="IQS1618" s="393"/>
      <c r="IQU1618" s="393"/>
      <c r="IQW1618" s="393"/>
      <c r="IQY1618" s="393"/>
      <c r="IRA1618" s="393"/>
      <c r="IRC1618" s="393"/>
      <c r="IRE1618" s="393"/>
      <c r="IRG1618" s="393"/>
      <c r="IRI1618" s="393"/>
      <c r="IRK1618" s="393"/>
      <c r="IRM1618" s="393"/>
      <c r="IRO1618" s="393"/>
      <c r="IRQ1618" s="393"/>
      <c r="IRS1618" s="393"/>
      <c r="IRU1618" s="393"/>
      <c r="IRW1618" s="393"/>
      <c r="IRY1618" s="393"/>
      <c r="ISA1618" s="393"/>
      <c r="ISC1618" s="393"/>
      <c r="ISE1618" s="393"/>
      <c r="ISG1618" s="393"/>
      <c r="ISI1618" s="393"/>
      <c r="ISK1618" s="393"/>
      <c r="ISM1618" s="393"/>
      <c r="ISO1618" s="393"/>
      <c r="ISQ1618" s="393"/>
      <c r="ISS1618" s="393"/>
      <c r="ISU1618" s="393"/>
      <c r="ISW1618" s="393"/>
      <c r="ISY1618" s="393"/>
      <c r="ITA1618" s="393"/>
      <c r="ITC1618" s="393"/>
      <c r="ITE1618" s="393"/>
      <c r="ITG1618" s="393"/>
      <c r="ITI1618" s="393"/>
      <c r="ITK1618" s="393"/>
      <c r="ITM1618" s="393"/>
      <c r="ITO1618" s="393"/>
      <c r="ITQ1618" s="393"/>
      <c r="ITS1618" s="393"/>
      <c r="ITU1618" s="393"/>
      <c r="ITW1618" s="393"/>
      <c r="ITY1618" s="393"/>
      <c r="IUA1618" s="393"/>
      <c r="IUC1618" s="393"/>
      <c r="IUE1618" s="393"/>
      <c r="IUG1618" s="393"/>
      <c r="IUI1618" s="393"/>
      <c r="IUK1618" s="393"/>
      <c r="IUM1618" s="393"/>
      <c r="IUO1618" s="393"/>
      <c r="IUQ1618" s="393"/>
      <c r="IUS1618" s="393"/>
      <c r="IUU1618" s="393"/>
      <c r="IUW1618" s="393"/>
      <c r="IUY1618" s="393"/>
      <c r="IVA1618" s="393"/>
      <c r="IVC1618" s="393"/>
      <c r="IVE1618" s="393"/>
      <c r="IVG1618" s="393"/>
      <c r="IVI1618" s="393"/>
      <c r="IVK1618" s="393"/>
      <c r="IVM1618" s="393"/>
      <c r="IVO1618" s="393"/>
      <c r="IVQ1618" s="393"/>
      <c r="IVS1618" s="393"/>
      <c r="IVU1618" s="393"/>
      <c r="IVW1618" s="393"/>
      <c r="IVY1618" s="393"/>
      <c r="IWA1618" s="393"/>
      <c r="IWC1618" s="393"/>
      <c r="IWE1618" s="393"/>
      <c r="IWG1618" s="393"/>
      <c r="IWI1618" s="393"/>
      <c r="IWK1618" s="393"/>
      <c r="IWM1618" s="393"/>
      <c r="IWO1618" s="393"/>
      <c r="IWQ1618" s="393"/>
      <c r="IWS1618" s="393"/>
      <c r="IWU1618" s="393"/>
      <c r="IWW1618" s="393"/>
      <c r="IWY1618" s="393"/>
      <c r="IXA1618" s="393"/>
      <c r="IXC1618" s="393"/>
      <c r="IXE1618" s="393"/>
      <c r="IXG1618" s="393"/>
      <c r="IXI1618" s="393"/>
      <c r="IXK1618" s="393"/>
      <c r="IXM1618" s="393"/>
      <c r="IXO1618" s="393"/>
      <c r="IXQ1618" s="393"/>
      <c r="IXS1618" s="393"/>
      <c r="IXU1618" s="393"/>
      <c r="IXW1618" s="393"/>
      <c r="IXY1618" s="393"/>
      <c r="IYA1618" s="393"/>
      <c r="IYC1618" s="393"/>
      <c r="IYE1618" s="393"/>
      <c r="IYG1618" s="393"/>
      <c r="IYI1618" s="393"/>
      <c r="IYK1618" s="393"/>
      <c r="IYM1618" s="393"/>
      <c r="IYO1618" s="393"/>
      <c r="IYQ1618" s="393"/>
      <c r="IYS1618" s="393"/>
      <c r="IYU1618" s="393"/>
      <c r="IYW1618" s="393"/>
      <c r="IYY1618" s="393"/>
      <c r="IZA1618" s="393"/>
      <c r="IZC1618" s="393"/>
      <c r="IZE1618" s="393"/>
      <c r="IZG1618" s="393"/>
      <c r="IZI1618" s="393"/>
      <c r="IZK1618" s="393"/>
      <c r="IZM1618" s="393"/>
      <c r="IZO1618" s="393"/>
      <c r="IZQ1618" s="393"/>
      <c r="IZS1618" s="393"/>
      <c r="IZU1618" s="393"/>
      <c r="IZW1618" s="393"/>
      <c r="IZY1618" s="393"/>
      <c r="JAA1618" s="393"/>
      <c r="JAC1618" s="393"/>
      <c r="JAE1618" s="393"/>
      <c r="JAG1618" s="393"/>
      <c r="JAI1618" s="393"/>
      <c r="JAK1618" s="393"/>
      <c r="JAM1618" s="393"/>
      <c r="JAO1618" s="393"/>
      <c r="JAQ1618" s="393"/>
      <c r="JAS1618" s="393"/>
      <c r="JAU1618" s="393"/>
      <c r="JAW1618" s="393"/>
      <c r="JAY1618" s="393"/>
      <c r="JBA1618" s="393"/>
      <c r="JBC1618" s="393"/>
      <c r="JBE1618" s="393"/>
      <c r="JBG1618" s="393"/>
      <c r="JBI1618" s="393"/>
      <c r="JBK1618" s="393"/>
      <c r="JBM1618" s="393"/>
      <c r="JBO1618" s="393"/>
      <c r="JBQ1618" s="393"/>
      <c r="JBS1618" s="393"/>
      <c r="JBU1618" s="393"/>
      <c r="JBW1618" s="393"/>
      <c r="JBY1618" s="393"/>
      <c r="JCA1618" s="393"/>
      <c r="JCC1618" s="393"/>
      <c r="JCE1618" s="393"/>
      <c r="JCG1618" s="393"/>
      <c r="JCI1618" s="393"/>
      <c r="JCK1618" s="393"/>
      <c r="JCM1618" s="393"/>
      <c r="JCO1618" s="393"/>
      <c r="JCQ1618" s="393"/>
      <c r="JCS1618" s="393"/>
      <c r="JCU1618" s="393"/>
      <c r="JCW1618" s="393"/>
      <c r="JCY1618" s="393"/>
      <c r="JDA1618" s="393"/>
      <c r="JDC1618" s="393"/>
      <c r="JDE1618" s="393"/>
      <c r="JDG1618" s="393"/>
      <c r="JDI1618" s="393"/>
      <c r="JDK1618" s="393"/>
      <c r="JDM1618" s="393"/>
      <c r="JDO1618" s="393"/>
      <c r="JDQ1618" s="393"/>
      <c r="JDS1618" s="393"/>
      <c r="JDU1618" s="393"/>
      <c r="JDW1618" s="393"/>
      <c r="JDY1618" s="393"/>
      <c r="JEA1618" s="393"/>
      <c r="JEC1618" s="393"/>
      <c r="JEE1618" s="393"/>
      <c r="JEG1618" s="393"/>
      <c r="JEI1618" s="393"/>
      <c r="JEK1618" s="393"/>
      <c r="JEM1618" s="393"/>
      <c r="JEO1618" s="393"/>
      <c r="JEQ1618" s="393"/>
      <c r="JES1618" s="393"/>
      <c r="JEU1618" s="393"/>
      <c r="JEW1618" s="393"/>
      <c r="JEY1618" s="393"/>
      <c r="JFA1618" s="393"/>
      <c r="JFC1618" s="393"/>
      <c r="JFE1618" s="393"/>
      <c r="JFG1618" s="393"/>
      <c r="JFI1618" s="393"/>
      <c r="JFK1618" s="393"/>
      <c r="JFM1618" s="393"/>
      <c r="JFO1618" s="393"/>
      <c r="JFQ1618" s="393"/>
      <c r="JFS1618" s="393"/>
      <c r="JFU1618" s="393"/>
      <c r="JFW1618" s="393"/>
      <c r="JFY1618" s="393"/>
      <c r="JGA1618" s="393"/>
      <c r="JGC1618" s="393"/>
      <c r="JGE1618" s="393"/>
      <c r="JGG1618" s="393"/>
      <c r="JGI1618" s="393"/>
      <c r="JGK1618" s="393"/>
      <c r="JGM1618" s="393"/>
      <c r="JGO1618" s="393"/>
      <c r="JGQ1618" s="393"/>
      <c r="JGS1618" s="393"/>
      <c r="JGU1618" s="393"/>
      <c r="JGW1618" s="393"/>
      <c r="JGY1618" s="393"/>
      <c r="JHA1618" s="393"/>
      <c r="JHC1618" s="393"/>
      <c r="JHE1618" s="393"/>
      <c r="JHG1618" s="393"/>
      <c r="JHI1618" s="393"/>
      <c r="JHK1618" s="393"/>
      <c r="JHM1618" s="393"/>
      <c r="JHO1618" s="393"/>
      <c r="JHQ1618" s="393"/>
      <c r="JHS1618" s="393"/>
      <c r="JHU1618" s="393"/>
      <c r="JHW1618" s="393"/>
      <c r="JHY1618" s="393"/>
      <c r="JIA1618" s="393"/>
      <c r="JIC1618" s="393"/>
      <c r="JIE1618" s="393"/>
      <c r="JIG1618" s="393"/>
      <c r="JII1618" s="393"/>
      <c r="JIK1618" s="393"/>
      <c r="JIM1618" s="393"/>
      <c r="JIO1618" s="393"/>
      <c r="JIQ1618" s="393"/>
      <c r="JIS1618" s="393"/>
      <c r="JIU1618" s="393"/>
      <c r="JIW1618" s="393"/>
      <c r="JIY1618" s="393"/>
      <c r="JJA1618" s="393"/>
      <c r="JJC1618" s="393"/>
      <c r="JJE1618" s="393"/>
      <c r="JJG1618" s="393"/>
      <c r="JJI1618" s="393"/>
      <c r="JJK1618" s="393"/>
      <c r="JJM1618" s="393"/>
      <c r="JJO1618" s="393"/>
      <c r="JJQ1618" s="393"/>
      <c r="JJS1618" s="393"/>
      <c r="JJU1618" s="393"/>
      <c r="JJW1618" s="393"/>
      <c r="JJY1618" s="393"/>
      <c r="JKA1618" s="393"/>
      <c r="JKC1618" s="393"/>
      <c r="JKE1618" s="393"/>
      <c r="JKG1618" s="393"/>
      <c r="JKI1618" s="393"/>
      <c r="JKK1618" s="393"/>
      <c r="JKM1618" s="393"/>
      <c r="JKO1618" s="393"/>
      <c r="JKQ1618" s="393"/>
      <c r="JKS1618" s="393"/>
      <c r="JKU1618" s="393"/>
      <c r="JKW1618" s="393"/>
      <c r="JKY1618" s="393"/>
      <c r="JLA1618" s="393"/>
      <c r="JLC1618" s="393"/>
      <c r="JLE1618" s="393"/>
      <c r="JLG1618" s="393"/>
      <c r="JLI1618" s="393"/>
      <c r="JLK1618" s="393"/>
      <c r="JLM1618" s="393"/>
      <c r="JLO1618" s="393"/>
      <c r="JLQ1618" s="393"/>
      <c r="JLS1618" s="393"/>
      <c r="JLU1618" s="393"/>
      <c r="JLW1618" s="393"/>
      <c r="JLY1618" s="393"/>
      <c r="JMA1618" s="393"/>
      <c r="JMC1618" s="393"/>
      <c r="JME1618" s="393"/>
      <c r="JMG1618" s="393"/>
      <c r="JMI1618" s="393"/>
      <c r="JMK1618" s="393"/>
      <c r="JMM1618" s="393"/>
      <c r="JMO1618" s="393"/>
      <c r="JMQ1618" s="393"/>
      <c r="JMS1618" s="393"/>
      <c r="JMU1618" s="393"/>
      <c r="JMW1618" s="393"/>
      <c r="JMY1618" s="393"/>
      <c r="JNA1618" s="393"/>
      <c r="JNC1618" s="393"/>
      <c r="JNE1618" s="393"/>
      <c r="JNG1618" s="393"/>
      <c r="JNI1618" s="393"/>
      <c r="JNK1618" s="393"/>
      <c r="JNM1618" s="393"/>
      <c r="JNO1618" s="393"/>
      <c r="JNQ1618" s="393"/>
      <c r="JNS1618" s="393"/>
      <c r="JNU1618" s="393"/>
      <c r="JNW1618" s="393"/>
      <c r="JNY1618" s="393"/>
      <c r="JOA1618" s="393"/>
      <c r="JOC1618" s="393"/>
      <c r="JOE1618" s="393"/>
      <c r="JOG1618" s="393"/>
      <c r="JOI1618" s="393"/>
      <c r="JOK1618" s="393"/>
      <c r="JOM1618" s="393"/>
      <c r="JOO1618" s="393"/>
      <c r="JOQ1618" s="393"/>
      <c r="JOS1618" s="393"/>
      <c r="JOU1618" s="393"/>
      <c r="JOW1618" s="393"/>
      <c r="JOY1618" s="393"/>
      <c r="JPA1618" s="393"/>
      <c r="JPC1618" s="393"/>
      <c r="JPE1618" s="393"/>
      <c r="JPG1618" s="393"/>
      <c r="JPI1618" s="393"/>
      <c r="JPK1618" s="393"/>
      <c r="JPM1618" s="393"/>
      <c r="JPO1618" s="393"/>
      <c r="JPQ1618" s="393"/>
      <c r="JPS1618" s="393"/>
      <c r="JPU1618" s="393"/>
      <c r="JPW1618" s="393"/>
      <c r="JPY1618" s="393"/>
      <c r="JQA1618" s="393"/>
      <c r="JQC1618" s="393"/>
      <c r="JQE1618" s="393"/>
      <c r="JQG1618" s="393"/>
      <c r="JQI1618" s="393"/>
      <c r="JQK1618" s="393"/>
      <c r="JQM1618" s="393"/>
      <c r="JQO1618" s="393"/>
      <c r="JQQ1618" s="393"/>
      <c r="JQS1618" s="393"/>
      <c r="JQU1618" s="393"/>
      <c r="JQW1618" s="393"/>
      <c r="JQY1618" s="393"/>
      <c r="JRA1618" s="393"/>
      <c r="JRC1618" s="393"/>
      <c r="JRE1618" s="393"/>
      <c r="JRG1618" s="393"/>
      <c r="JRI1618" s="393"/>
      <c r="JRK1618" s="393"/>
      <c r="JRM1618" s="393"/>
      <c r="JRO1618" s="393"/>
      <c r="JRQ1618" s="393"/>
      <c r="JRS1618" s="393"/>
      <c r="JRU1618" s="393"/>
      <c r="JRW1618" s="393"/>
      <c r="JRY1618" s="393"/>
      <c r="JSA1618" s="393"/>
      <c r="JSC1618" s="393"/>
      <c r="JSE1618" s="393"/>
      <c r="JSG1618" s="393"/>
      <c r="JSI1618" s="393"/>
      <c r="JSK1618" s="393"/>
      <c r="JSM1618" s="393"/>
      <c r="JSO1618" s="393"/>
      <c r="JSQ1618" s="393"/>
      <c r="JSS1618" s="393"/>
      <c r="JSU1618" s="393"/>
      <c r="JSW1618" s="393"/>
      <c r="JSY1618" s="393"/>
      <c r="JTA1618" s="393"/>
      <c r="JTC1618" s="393"/>
      <c r="JTE1618" s="393"/>
      <c r="JTG1618" s="393"/>
      <c r="JTI1618" s="393"/>
      <c r="JTK1618" s="393"/>
      <c r="JTM1618" s="393"/>
      <c r="JTO1618" s="393"/>
      <c r="JTQ1618" s="393"/>
      <c r="JTS1618" s="393"/>
      <c r="JTU1618" s="393"/>
      <c r="JTW1618" s="393"/>
      <c r="JTY1618" s="393"/>
      <c r="JUA1618" s="393"/>
      <c r="JUC1618" s="393"/>
      <c r="JUE1618" s="393"/>
      <c r="JUG1618" s="393"/>
      <c r="JUI1618" s="393"/>
      <c r="JUK1618" s="393"/>
      <c r="JUM1618" s="393"/>
      <c r="JUO1618" s="393"/>
      <c r="JUQ1618" s="393"/>
      <c r="JUS1618" s="393"/>
      <c r="JUU1618" s="393"/>
      <c r="JUW1618" s="393"/>
      <c r="JUY1618" s="393"/>
      <c r="JVA1618" s="393"/>
      <c r="JVC1618" s="393"/>
      <c r="JVE1618" s="393"/>
      <c r="JVG1618" s="393"/>
      <c r="JVI1618" s="393"/>
      <c r="JVK1618" s="393"/>
      <c r="JVM1618" s="393"/>
      <c r="JVO1618" s="393"/>
      <c r="JVQ1618" s="393"/>
      <c r="JVS1618" s="393"/>
      <c r="JVU1618" s="393"/>
      <c r="JVW1618" s="393"/>
      <c r="JVY1618" s="393"/>
      <c r="JWA1618" s="393"/>
      <c r="JWC1618" s="393"/>
      <c r="JWE1618" s="393"/>
      <c r="JWG1618" s="393"/>
      <c r="JWI1618" s="393"/>
      <c r="JWK1618" s="393"/>
      <c r="JWM1618" s="393"/>
      <c r="JWO1618" s="393"/>
      <c r="JWQ1618" s="393"/>
      <c r="JWS1618" s="393"/>
      <c r="JWU1618" s="393"/>
      <c r="JWW1618" s="393"/>
      <c r="JWY1618" s="393"/>
      <c r="JXA1618" s="393"/>
      <c r="JXC1618" s="393"/>
      <c r="JXE1618" s="393"/>
      <c r="JXG1618" s="393"/>
      <c r="JXI1618" s="393"/>
      <c r="JXK1618" s="393"/>
      <c r="JXM1618" s="393"/>
      <c r="JXO1618" s="393"/>
      <c r="JXQ1618" s="393"/>
      <c r="JXS1618" s="393"/>
      <c r="JXU1618" s="393"/>
      <c r="JXW1618" s="393"/>
      <c r="JXY1618" s="393"/>
      <c r="JYA1618" s="393"/>
      <c r="JYC1618" s="393"/>
      <c r="JYE1618" s="393"/>
      <c r="JYG1618" s="393"/>
      <c r="JYI1618" s="393"/>
      <c r="JYK1618" s="393"/>
      <c r="JYM1618" s="393"/>
      <c r="JYO1618" s="393"/>
      <c r="JYQ1618" s="393"/>
      <c r="JYS1618" s="393"/>
      <c r="JYU1618" s="393"/>
      <c r="JYW1618" s="393"/>
      <c r="JYY1618" s="393"/>
      <c r="JZA1618" s="393"/>
      <c r="JZC1618" s="393"/>
      <c r="JZE1618" s="393"/>
      <c r="JZG1618" s="393"/>
      <c r="JZI1618" s="393"/>
      <c r="JZK1618" s="393"/>
      <c r="JZM1618" s="393"/>
      <c r="JZO1618" s="393"/>
      <c r="JZQ1618" s="393"/>
      <c r="JZS1618" s="393"/>
      <c r="JZU1618" s="393"/>
      <c r="JZW1618" s="393"/>
      <c r="JZY1618" s="393"/>
      <c r="KAA1618" s="393"/>
      <c r="KAC1618" s="393"/>
      <c r="KAE1618" s="393"/>
      <c r="KAG1618" s="393"/>
      <c r="KAI1618" s="393"/>
      <c r="KAK1618" s="393"/>
      <c r="KAM1618" s="393"/>
      <c r="KAO1618" s="393"/>
      <c r="KAQ1618" s="393"/>
      <c r="KAS1618" s="393"/>
      <c r="KAU1618" s="393"/>
      <c r="KAW1618" s="393"/>
      <c r="KAY1618" s="393"/>
      <c r="KBA1618" s="393"/>
      <c r="KBC1618" s="393"/>
      <c r="KBE1618" s="393"/>
      <c r="KBG1618" s="393"/>
      <c r="KBI1618" s="393"/>
      <c r="KBK1618" s="393"/>
      <c r="KBM1618" s="393"/>
      <c r="KBO1618" s="393"/>
      <c r="KBQ1618" s="393"/>
      <c r="KBS1618" s="393"/>
      <c r="KBU1618" s="393"/>
      <c r="KBW1618" s="393"/>
      <c r="KBY1618" s="393"/>
      <c r="KCA1618" s="393"/>
      <c r="KCC1618" s="393"/>
      <c r="KCE1618" s="393"/>
      <c r="KCG1618" s="393"/>
      <c r="KCI1618" s="393"/>
      <c r="KCK1618" s="393"/>
      <c r="KCM1618" s="393"/>
      <c r="KCO1618" s="393"/>
      <c r="KCQ1618" s="393"/>
      <c r="KCS1618" s="393"/>
      <c r="KCU1618" s="393"/>
      <c r="KCW1618" s="393"/>
      <c r="KCY1618" s="393"/>
      <c r="KDA1618" s="393"/>
      <c r="KDC1618" s="393"/>
      <c r="KDE1618" s="393"/>
      <c r="KDG1618" s="393"/>
      <c r="KDI1618" s="393"/>
      <c r="KDK1618" s="393"/>
      <c r="KDM1618" s="393"/>
      <c r="KDO1618" s="393"/>
      <c r="KDQ1618" s="393"/>
      <c r="KDS1618" s="393"/>
      <c r="KDU1618" s="393"/>
      <c r="KDW1618" s="393"/>
      <c r="KDY1618" s="393"/>
      <c r="KEA1618" s="393"/>
      <c r="KEC1618" s="393"/>
      <c r="KEE1618" s="393"/>
      <c r="KEG1618" s="393"/>
      <c r="KEI1618" s="393"/>
      <c r="KEK1618" s="393"/>
      <c r="KEM1618" s="393"/>
      <c r="KEO1618" s="393"/>
      <c r="KEQ1618" s="393"/>
      <c r="KES1618" s="393"/>
      <c r="KEU1618" s="393"/>
      <c r="KEW1618" s="393"/>
      <c r="KEY1618" s="393"/>
      <c r="KFA1618" s="393"/>
      <c r="KFC1618" s="393"/>
      <c r="KFE1618" s="393"/>
      <c r="KFG1618" s="393"/>
      <c r="KFI1618" s="393"/>
      <c r="KFK1618" s="393"/>
      <c r="KFM1618" s="393"/>
      <c r="KFO1618" s="393"/>
      <c r="KFQ1618" s="393"/>
      <c r="KFS1618" s="393"/>
      <c r="KFU1618" s="393"/>
      <c r="KFW1618" s="393"/>
      <c r="KFY1618" s="393"/>
      <c r="KGA1618" s="393"/>
      <c r="KGC1618" s="393"/>
      <c r="KGE1618" s="393"/>
      <c r="KGG1618" s="393"/>
      <c r="KGI1618" s="393"/>
      <c r="KGK1618" s="393"/>
      <c r="KGM1618" s="393"/>
      <c r="KGO1618" s="393"/>
      <c r="KGQ1618" s="393"/>
      <c r="KGS1618" s="393"/>
      <c r="KGU1618" s="393"/>
      <c r="KGW1618" s="393"/>
      <c r="KGY1618" s="393"/>
      <c r="KHA1618" s="393"/>
      <c r="KHC1618" s="393"/>
      <c r="KHE1618" s="393"/>
      <c r="KHG1618" s="393"/>
      <c r="KHI1618" s="393"/>
      <c r="KHK1618" s="393"/>
      <c r="KHM1618" s="393"/>
      <c r="KHO1618" s="393"/>
      <c r="KHQ1618" s="393"/>
      <c r="KHS1618" s="393"/>
      <c r="KHU1618" s="393"/>
      <c r="KHW1618" s="393"/>
      <c r="KHY1618" s="393"/>
      <c r="KIA1618" s="393"/>
      <c r="KIC1618" s="393"/>
      <c r="KIE1618" s="393"/>
      <c r="KIG1618" s="393"/>
      <c r="KII1618" s="393"/>
      <c r="KIK1618" s="393"/>
      <c r="KIM1618" s="393"/>
      <c r="KIO1618" s="393"/>
      <c r="KIQ1618" s="393"/>
      <c r="KIS1618" s="393"/>
      <c r="KIU1618" s="393"/>
      <c r="KIW1618" s="393"/>
      <c r="KIY1618" s="393"/>
      <c r="KJA1618" s="393"/>
      <c r="KJC1618" s="393"/>
      <c r="KJE1618" s="393"/>
      <c r="KJG1618" s="393"/>
      <c r="KJI1618" s="393"/>
      <c r="KJK1618" s="393"/>
      <c r="KJM1618" s="393"/>
      <c r="KJO1618" s="393"/>
      <c r="KJQ1618" s="393"/>
      <c r="KJS1618" s="393"/>
      <c r="KJU1618" s="393"/>
      <c r="KJW1618" s="393"/>
      <c r="KJY1618" s="393"/>
      <c r="KKA1618" s="393"/>
      <c r="KKC1618" s="393"/>
      <c r="KKE1618" s="393"/>
      <c r="KKG1618" s="393"/>
      <c r="KKI1618" s="393"/>
      <c r="KKK1618" s="393"/>
      <c r="KKM1618" s="393"/>
      <c r="KKO1618" s="393"/>
      <c r="KKQ1618" s="393"/>
      <c r="KKS1618" s="393"/>
      <c r="KKU1618" s="393"/>
      <c r="KKW1618" s="393"/>
      <c r="KKY1618" s="393"/>
      <c r="KLA1618" s="393"/>
      <c r="KLC1618" s="393"/>
      <c r="KLE1618" s="393"/>
      <c r="KLG1618" s="393"/>
      <c r="KLI1618" s="393"/>
      <c r="KLK1618" s="393"/>
      <c r="KLM1618" s="393"/>
      <c r="KLO1618" s="393"/>
      <c r="KLQ1618" s="393"/>
      <c r="KLS1618" s="393"/>
      <c r="KLU1618" s="393"/>
      <c r="KLW1618" s="393"/>
      <c r="KLY1618" s="393"/>
      <c r="KMA1618" s="393"/>
      <c r="KMC1618" s="393"/>
      <c r="KME1618" s="393"/>
      <c r="KMG1618" s="393"/>
      <c r="KMI1618" s="393"/>
      <c r="KMK1618" s="393"/>
      <c r="KMM1618" s="393"/>
      <c r="KMO1618" s="393"/>
      <c r="KMQ1618" s="393"/>
      <c r="KMS1618" s="393"/>
      <c r="KMU1618" s="393"/>
      <c r="KMW1618" s="393"/>
      <c r="KMY1618" s="393"/>
      <c r="KNA1618" s="393"/>
      <c r="KNC1618" s="393"/>
      <c r="KNE1618" s="393"/>
      <c r="KNG1618" s="393"/>
      <c r="KNI1618" s="393"/>
      <c r="KNK1618" s="393"/>
      <c r="KNM1618" s="393"/>
      <c r="KNO1618" s="393"/>
      <c r="KNQ1618" s="393"/>
      <c r="KNS1618" s="393"/>
      <c r="KNU1618" s="393"/>
      <c r="KNW1618" s="393"/>
      <c r="KNY1618" s="393"/>
      <c r="KOA1618" s="393"/>
      <c r="KOC1618" s="393"/>
      <c r="KOE1618" s="393"/>
      <c r="KOG1618" s="393"/>
      <c r="KOI1618" s="393"/>
      <c r="KOK1618" s="393"/>
      <c r="KOM1618" s="393"/>
      <c r="KOO1618" s="393"/>
      <c r="KOQ1618" s="393"/>
      <c r="KOS1618" s="393"/>
      <c r="KOU1618" s="393"/>
      <c r="KOW1618" s="393"/>
      <c r="KOY1618" s="393"/>
      <c r="KPA1618" s="393"/>
      <c r="KPC1618" s="393"/>
      <c r="KPE1618" s="393"/>
      <c r="KPG1618" s="393"/>
      <c r="KPI1618" s="393"/>
      <c r="KPK1618" s="393"/>
      <c r="KPM1618" s="393"/>
      <c r="KPO1618" s="393"/>
      <c r="KPQ1618" s="393"/>
      <c r="KPS1618" s="393"/>
      <c r="KPU1618" s="393"/>
      <c r="KPW1618" s="393"/>
      <c r="KPY1618" s="393"/>
      <c r="KQA1618" s="393"/>
      <c r="KQC1618" s="393"/>
      <c r="KQE1618" s="393"/>
      <c r="KQG1618" s="393"/>
      <c r="KQI1618" s="393"/>
      <c r="KQK1618" s="393"/>
      <c r="KQM1618" s="393"/>
      <c r="KQO1618" s="393"/>
      <c r="KQQ1618" s="393"/>
      <c r="KQS1618" s="393"/>
      <c r="KQU1618" s="393"/>
      <c r="KQW1618" s="393"/>
      <c r="KQY1618" s="393"/>
      <c r="KRA1618" s="393"/>
      <c r="KRC1618" s="393"/>
      <c r="KRE1618" s="393"/>
      <c r="KRG1618" s="393"/>
      <c r="KRI1618" s="393"/>
      <c r="KRK1618" s="393"/>
      <c r="KRM1618" s="393"/>
      <c r="KRO1618" s="393"/>
      <c r="KRQ1618" s="393"/>
      <c r="KRS1618" s="393"/>
      <c r="KRU1618" s="393"/>
      <c r="KRW1618" s="393"/>
      <c r="KRY1618" s="393"/>
      <c r="KSA1618" s="393"/>
      <c r="KSC1618" s="393"/>
      <c r="KSE1618" s="393"/>
      <c r="KSG1618" s="393"/>
      <c r="KSI1618" s="393"/>
      <c r="KSK1618" s="393"/>
      <c r="KSM1618" s="393"/>
      <c r="KSO1618" s="393"/>
      <c r="KSQ1618" s="393"/>
      <c r="KSS1618" s="393"/>
      <c r="KSU1618" s="393"/>
      <c r="KSW1618" s="393"/>
      <c r="KSY1618" s="393"/>
      <c r="KTA1618" s="393"/>
      <c r="KTC1618" s="393"/>
      <c r="KTE1618" s="393"/>
      <c r="KTG1618" s="393"/>
      <c r="KTI1618" s="393"/>
      <c r="KTK1618" s="393"/>
      <c r="KTM1618" s="393"/>
      <c r="KTO1618" s="393"/>
      <c r="KTQ1618" s="393"/>
      <c r="KTS1618" s="393"/>
      <c r="KTU1618" s="393"/>
      <c r="KTW1618" s="393"/>
      <c r="KTY1618" s="393"/>
      <c r="KUA1618" s="393"/>
      <c r="KUC1618" s="393"/>
      <c r="KUE1618" s="393"/>
      <c r="KUG1618" s="393"/>
      <c r="KUI1618" s="393"/>
      <c r="KUK1618" s="393"/>
      <c r="KUM1618" s="393"/>
      <c r="KUO1618" s="393"/>
      <c r="KUQ1618" s="393"/>
      <c r="KUS1618" s="393"/>
      <c r="KUU1618" s="393"/>
      <c r="KUW1618" s="393"/>
      <c r="KUY1618" s="393"/>
      <c r="KVA1618" s="393"/>
      <c r="KVC1618" s="393"/>
      <c r="KVE1618" s="393"/>
      <c r="KVG1618" s="393"/>
      <c r="KVI1618" s="393"/>
      <c r="KVK1618" s="393"/>
      <c r="KVM1618" s="393"/>
      <c r="KVO1618" s="393"/>
      <c r="KVQ1618" s="393"/>
      <c r="KVS1618" s="393"/>
      <c r="KVU1618" s="393"/>
      <c r="KVW1618" s="393"/>
      <c r="KVY1618" s="393"/>
      <c r="KWA1618" s="393"/>
      <c r="KWC1618" s="393"/>
      <c r="KWE1618" s="393"/>
      <c r="KWG1618" s="393"/>
      <c r="KWI1618" s="393"/>
      <c r="KWK1618" s="393"/>
      <c r="KWM1618" s="393"/>
      <c r="KWO1618" s="393"/>
      <c r="KWQ1618" s="393"/>
      <c r="KWS1618" s="393"/>
      <c r="KWU1618" s="393"/>
      <c r="KWW1618" s="393"/>
      <c r="KWY1618" s="393"/>
      <c r="KXA1618" s="393"/>
      <c r="KXC1618" s="393"/>
      <c r="KXE1618" s="393"/>
      <c r="KXG1618" s="393"/>
      <c r="KXI1618" s="393"/>
      <c r="KXK1618" s="393"/>
      <c r="KXM1618" s="393"/>
      <c r="KXO1618" s="393"/>
      <c r="KXQ1618" s="393"/>
      <c r="KXS1618" s="393"/>
      <c r="KXU1618" s="393"/>
      <c r="KXW1618" s="393"/>
      <c r="KXY1618" s="393"/>
      <c r="KYA1618" s="393"/>
      <c r="KYC1618" s="393"/>
      <c r="KYE1618" s="393"/>
      <c r="KYG1618" s="393"/>
      <c r="KYI1618" s="393"/>
      <c r="KYK1618" s="393"/>
      <c r="KYM1618" s="393"/>
      <c r="KYO1618" s="393"/>
      <c r="KYQ1618" s="393"/>
      <c r="KYS1618" s="393"/>
      <c r="KYU1618" s="393"/>
      <c r="KYW1618" s="393"/>
      <c r="KYY1618" s="393"/>
      <c r="KZA1618" s="393"/>
      <c r="KZC1618" s="393"/>
      <c r="KZE1618" s="393"/>
      <c r="KZG1618" s="393"/>
      <c r="KZI1618" s="393"/>
      <c r="KZK1618" s="393"/>
      <c r="KZM1618" s="393"/>
      <c r="KZO1618" s="393"/>
      <c r="KZQ1618" s="393"/>
      <c r="KZS1618" s="393"/>
      <c r="KZU1618" s="393"/>
      <c r="KZW1618" s="393"/>
      <c r="KZY1618" s="393"/>
      <c r="LAA1618" s="393"/>
      <c r="LAC1618" s="393"/>
      <c r="LAE1618" s="393"/>
      <c r="LAG1618" s="393"/>
      <c r="LAI1618" s="393"/>
      <c r="LAK1618" s="393"/>
      <c r="LAM1618" s="393"/>
      <c r="LAO1618" s="393"/>
      <c r="LAQ1618" s="393"/>
      <c r="LAS1618" s="393"/>
      <c r="LAU1618" s="393"/>
      <c r="LAW1618" s="393"/>
      <c r="LAY1618" s="393"/>
      <c r="LBA1618" s="393"/>
      <c r="LBC1618" s="393"/>
      <c r="LBE1618" s="393"/>
      <c r="LBG1618" s="393"/>
      <c r="LBI1618" s="393"/>
      <c r="LBK1618" s="393"/>
      <c r="LBM1618" s="393"/>
      <c r="LBO1618" s="393"/>
      <c r="LBQ1618" s="393"/>
      <c r="LBS1618" s="393"/>
      <c r="LBU1618" s="393"/>
      <c r="LBW1618" s="393"/>
      <c r="LBY1618" s="393"/>
      <c r="LCA1618" s="393"/>
      <c r="LCC1618" s="393"/>
      <c r="LCE1618" s="393"/>
      <c r="LCG1618" s="393"/>
      <c r="LCI1618" s="393"/>
      <c r="LCK1618" s="393"/>
      <c r="LCM1618" s="393"/>
      <c r="LCO1618" s="393"/>
      <c r="LCQ1618" s="393"/>
      <c r="LCS1618" s="393"/>
      <c r="LCU1618" s="393"/>
      <c r="LCW1618" s="393"/>
      <c r="LCY1618" s="393"/>
      <c r="LDA1618" s="393"/>
      <c r="LDC1618" s="393"/>
      <c r="LDE1618" s="393"/>
      <c r="LDG1618" s="393"/>
      <c r="LDI1618" s="393"/>
      <c r="LDK1618" s="393"/>
      <c r="LDM1618" s="393"/>
      <c r="LDO1618" s="393"/>
      <c r="LDQ1618" s="393"/>
      <c r="LDS1618" s="393"/>
      <c r="LDU1618" s="393"/>
      <c r="LDW1618" s="393"/>
      <c r="LDY1618" s="393"/>
      <c r="LEA1618" s="393"/>
      <c r="LEC1618" s="393"/>
      <c r="LEE1618" s="393"/>
      <c r="LEG1618" s="393"/>
      <c r="LEI1618" s="393"/>
      <c r="LEK1618" s="393"/>
      <c r="LEM1618" s="393"/>
      <c r="LEO1618" s="393"/>
      <c r="LEQ1618" s="393"/>
      <c r="LES1618" s="393"/>
      <c r="LEU1618" s="393"/>
      <c r="LEW1618" s="393"/>
      <c r="LEY1618" s="393"/>
      <c r="LFA1618" s="393"/>
      <c r="LFC1618" s="393"/>
      <c r="LFE1618" s="393"/>
      <c r="LFG1618" s="393"/>
      <c r="LFI1618" s="393"/>
      <c r="LFK1618" s="393"/>
      <c r="LFM1618" s="393"/>
      <c r="LFO1618" s="393"/>
      <c r="LFQ1618" s="393"/>
      <c r="LFS1618" s="393"/>
      <c r="LFU1618" s="393"/>
      <c r="LFW1618" s="393"/>
      <c r="LFY1618" s="393"/>
      <c r="LGA1618" s="393"/>
      <c r="LGC1618" s="393"/>
      <c r="LGE1618" s="393"/>
      <c r="LGG1618" s="393"/>
      <c r="LGI1618" s="393"/>
      <c r="LGK1618" s="393"/>
      <c r="LGM1618" s="393"/>
      <c r="LGO1618" s="393"/>
      <c r="LGQ1618" s="393"/>
      <c r="LGS1618" s="393"/>
      <c r="LGU1618" s="393"/>
      <c r="LGW1618" s="393"/>
      <c r="LGY1618" s="393"/>
      <c r="LHA1618" s="393"/>
      <c r="LHC1618" s="393"/>
      <c r="LHE1618" s="393"/>
      <c r="LHG1618" s="393"/>
      <c r="LHI1618" s="393"/>
      <c r="LHK1618" s="393"/>
      <c r="LHM1618" s="393"/>
      <c r="LHO1618" s="393"/>
      <c r="LHQ1618" s="393"/>
      <c r="LHS1618" s="393"/>
      <c r="LHU1618" s="393"/>
      <c r="LHW1618" s="393"/>
      <c r="LHY1618" s="393"/>
      <c r="LIA1618" s="393"/>
      <c r="LIC1618" s="393"/>
      <c r="LIE1618" s="393"/>
      <c r="LIG1618" s="393"/>
      <c r="LII1618" s="393"/>
      <c r="LIK1618" s="393"/>
      <c r="LIM1618" s="393"/>
      <c r="LIO1618" s="393"/>
      <c r="LIQ1618" s="393"/>
      <c r="LIS1618" s="393"/>
      <c r="LIU1618" s="393"/>
      <c r="LIW1618" s="393"/>
      <c r="LIY1618" s="393"/>
      <c r="LJA1618" s="393"/>
      <c r="LJC1618" s="393"/>
      <c r="LJE1618" s="393"/>
      <c r="LJG1618" s="393"/>
      <c r="LJI1618" s="393"/>
      <c r="LJK1618" s="393"/>
      <c r="LJM1618" s="393"/>
      <c r="LJO1618" s="393"/>
      <c r="LJQ1618" s="393"/>
      <c r="LJS1618" s="393"/>
      <c r="LJU1618" s="393"/>
      <c r="LJW1618" s="393"/>
      <c r="LJY1618" s="393"/>
      <c r="LKA1618" s="393"/>
      <c r="LKC1618" s="393"/>
      <c r="LKE1618" s="393"/>
      <c r="LKG1618" s="393"/>
      <c r="LKI1618" s="393"/>
      <c r="LKK1618" s="393"/>
      <c r="LKM1618" s="393"/>
      <c r="LKO1618" s="393"/>
      <c r="LKQ1618" s="393"/>
      <c r="LKS1618" s="393"/>
      <c r="LKU1618" s="393"/>
      <c r="LKW1618" s="393"/>
      <c r="LKY1618" s="393"/>
      <c r="LLA1618" s="393"/>
      <c r="LLC1618" s="393"/>
      <c r="LLE1618" s="393"/>
      <c r="LLG1618" s="393"/>
      <c r="LLI1618" s="393"/>
      <c r="LLK1618" s="393"/>
      <c r="LLM1618" s="393"/>
      <c r="LLO1618" s="393"/>
      <c r="LLQ1618" s="393"/>
      <c r="LLS1618" s="393"/>
      <c r="LLU1618" s="393"/>
      <c r="LLW1618" s="393"/>
      <c r="LLY1618" s="393"/>
      <c r="LMA1618" s="393"/>
      <c r="LMC1618" s="393"/>
      <c r="LME1618" s="393"/>
      <c r="LMG1618" s="393"/>
      <c r="LMI1618" s="393"/>
      <c r="LMK1618" s="393"/>
      <c r="LMM1618" s="393"/>
      <c r="LMO1618" s="393"/>
      <c r="LMQ1618" s="393"/>
      <c r="LMS1618" s="393"/>
      <c r="LMU1618" s="393"/>
      <c r="LMW1618" s="393"/>
      <c r="LMY1618" s="393"/>
      <c r="LNA1618" s="393"/>
      <c r="LNC1618" s="393"/>
      <c r="LNE1618" s="393"/>
      <c r="LNG1618" s="393"/>
      <c r="LNI1618" s="393"/>
      <c r="LNK1618" s="393"/>
      <c r="LNM1618" s="393"/>
      <c r="LNO1618" s="393"/>
      <c r="LNQ1618" s="393"/>
      <c r="LNS1618" s="393"/>
      <c r="LNU1618" s="393"/>
      <c r="LNW1618" s="393"/>
      <c r="LNY1618" s="393"/>
      <c r="LOA1618" s="393"/>
      <c r="LOC1618" s="393"/>
      <c r="LOE1618" s="393"/>
      <c r="LOG1618" s="393"/>
      <c r="LOI1618" s="393"/>
      <c r="LOK1618" s="393"/>
      <c r="LOM1618" s="393"/>
      <c r="LOO1618" s="393"/>
      <c r="LOQ1618" s="393"/>
      <c r="LOS1618" s="393"/>
      <c r="LOU1618" s="393"/>
      <c r="LOW1618" s="393"/>
      <c r="LOY1618" s="393"/>
      <c r="LPA1618" s="393"/>
      <c r="LPC1618" s="393"/>
      <c r="LPE1618" s="393"/>
      <c r="LPG1618" s="393"/>
      <c r="LPI1618" s="393"/>
      <c r="LPK1618" s="393"/>
      <c r="LPM1618" s="393"/>
      <c r="LPO1618" s="393"/>
      <c r="LPQ1618" s="393"/>
      <c r="LPS1618" s="393"/>
      <c r="LPU1618" s="393"/>
      <c r="LPW1618" s="393"/>
      <c r="LPY1618" s="393"/>
      <c r="LQA1618" s="393"/>
      <c r="LQC1618" s="393"/>
      <c r="LQE1618" s="393"/>
      <c r="LQG1618" s="393"/>
      <c r="LQI1618" s="393"/>
      <c r="LQK1618" s="393"/>
      <c r="LQM1618" s="393"/>
      <c r="LQO1618" s="393"/>
      <c r="LQQ1618" s="393"/>
      <c r="LQS1618" s="393"/>
      <c r="LQU1618" s="393"/>
      <c r="LQW1618" s="393"/>
      <c r="LQY1618" s="393"/>
      <c r="LRA1618" s="393"/>
      <c r="LRC1618" s="393"/>
      <c r="LRE1618" s="393"/>
      <c r="LRG1618" s="393"/>
      <c r="LRI1618" s="393"/>
      <c r="LRK1618" s="393"/>
      <c r="LRM1618" s="393"/>
      <c r="LRO1618" s="393"/>
      <c r="LRQ1618" s="393"/>
      <c r="LRS1618" s="393"/>
      <c r="LRU1618" s="393"/>
      <c r="LRW1618" s="393"/>
      <c r="LRY1618" s="393"/>
      <c r="LSA1618" s="393"/>
      <c r="LSC1618" s="393"/>
      <c r="LSE1618" s="393"/>
      <c r="LSG1618" s="393"/>
      <c r="LSI1618" s="393"/>
      <c r="LSK1618" s="393"/>
      <c r="LSM1618" s="393"/>
      <c r="LSO1618" s="393"/>
      <c r="LSQ1618" s="393"/>
      <c r="LSS1618" s="393"/>
      <c r="LSU1618" s="393"/>
      <c r="LSW1618" s="393"/>
      <c r="LSY1618" s="393"/>
      <c r="LTA1618" s="393"/>
      <c r="LTC1618" s="393"/>
      <c r="LTE1618" s="393"/>
      <c r="LTG1618" s="393"/>
      <c r="LTI1618" s="393"/>
      <c r="LTK1618" s="393"/>
      <c r="LTM1618" s="393"/>
      <c r="LTO1618" s="393"/>
      <c r="LTQ1618" s="393"/>
      <c r="LTS1618" s="393"/>
      <c r="LTU1618" s="393"/>
      <c r="LTW1618" s="393"/>
      <c r="LTY1618" s="393"/>
      <c r="LUA1618" s="393"/>
      <c r="LUC1618" s="393"/>
      <c r="LUE1618" s="393"/>
      <c r="LUG1618" s="393"/>
      <c r="LUI1618" s="393"/>
      <c r="LUK1618" s="393"/>
      <c r="LUM1618" s="393"/>
      <c r="LUO1618" s="393"/>
      <c r="LUQ1618" s="393"/>
      <c r="LUS1618" s="393"/>
      <c r="LUU1618" s="393"/>
      <c r="LUW1618" s="393"/>
      <c r="LUY1618" s="393"/>
      <c r="LVA1618" s="393"/>
      <c r="LVC1618" s="393"/>
      <c r="LVE1618" s="393"/>
      <c r="LVG1618" s="393"/>
      <c r="LVI1618" s="393"/>
      <c r="LVK1618" s="393"/>
      <c r="LVM1618" s="393"/>
      <c r="LVO1618" s="393"/>
      <c r="LVQ1618" s="393"/>
      <c r="LVS1618" s="393"/>
      <c r="LVU1618" s="393"/>
      <c r="LVW1618" s="393"/>
      <c r="LVY1618" s="393"/>
      <c r="LWA1618" s="393"/>
      <c r="LWC1618" s="393"/>
      <c r="LWE1618" s="393"/>
      <c r="LWG1618" s="393"/>
      <c r="LWI1618" s="393"/>
      <c r="LWK1618" s="393"/>
      <c r="LWM1618" s="393"/>
      <c r="LWO1618" s="393"/>
      <c r="LWQ1618" s="393"/>
      <c r="LWS1618" s="393"/>
      <c r="LWU1618" s="393"/>
      <c r="LWW1618" s="393"/>
      <c r="LWY1618" s="393"/>
      <c r="LXA1618" s="393"/>
      <c r="LXC1618" s="393"/>
      <c r="LXE1618" s="393"/>
      <c r="LXG1618" s="393"/>
      <c r="LXI1618" s="393"/>
      <c r="LXK1618" s="393"/>
      <c r="LXM1618" s="393"/>
      <c r="LXO1618" s="393"/>
      <c r="LXQ1618" s="393"/>
      <c r="LXS1618" s="393"/>
      <c r="LXU1618" s="393"/>
      <c r="LXW1618" s="393"/>
      <c r="LXY1618" s="393"/>
      <c r="LYA1618" s="393"/>
      <c r="LYC1618" s="393"/>
      <c r="LYE1618" s="393"/>
      <c r="LYG1618" s="393"/>
      <c r="LYI1618" s="393"/>
      <c r="LYK1618" s="393"/>
      <c r="LYM1618" s="393"/>
      <c r="LYO1618" s="393"/>
      <c r="LYQ1618" s="393"/>
      <c r="LYS1618" s="393"/>
      <c r="LYU1618" s="393"/>
      <c r="LYW1618" s="393"/>
      <c r="LYY1618" s="393"/>
      <c r="LZA1618" s="393"/>
      <c r="LZC1618" s="393"/>
      <c r="LZE1618" s="393"/>
      <c r="LZG1618" s="393"/>
      <c r="LZI1618" s="393"/>
      <c r="LZK1618" s="393"/>
      <c r="LZM1618" s="393"/>
      <c r="LZO1618" s="393"/>
      <c r="LZQ1618" s="393"/>
      <c r="LZS1618" s="393"/>
      <c r="LZU1618" s="393"/>
      <c r="LZW1618" s="393"/>
      <c r="LZY1618" s="393"/>
      <c r="MAA1618" s="393"/>
      <c r="MAC1618" s="393"/>
      <c r="MAE1618" s="393"/>
      <c r="MAG1618" s="393"/>
      <c r="MAI1618" s="393"/>
      <c r="MAK1618" s="393"/>
      <c r="MAM1618" s="393"/>
      <c r="MAO1618" s="393"/>
      <c r="MAQ1618" s="393"/>
      <c r="MAS1618" s="393"/>
      <c r="MAU1618" s="393"/>
      <c r="MAW1618" s="393"/>
      <c r="MAY1618" s="393"/>
      <c r="MBA1618" s="393"/>
      <c r="MBC1618" s="393"/>
      <c r="MBE1618" s="393"/>
      <c r="MBG1618" s="393"/>
      <c r="MBI1618" s="393"/>
      <c r="MBK1618" s="393"/>
      <c r="MBM1618" s="393"/>
      <c r="MBO1618" s="393"/>
      <c r="MBQ1618" s="393"/>
      <c r="MBS1618" s="393"/>
      <c r="MBU1618" s="393"/>
      <c r="MBW1618" s="393"/>
      <c r="MBY1618" s="393"/>
      <c r="MCA1618" s="393"/>
      <c r="MCC1618" s="393"/>
      <c r="MCE1618" s="393"/>
      <c r="MCG1618" s="393"/>
      <c r="MCI1618" s="393"/>
      <c r="MCK1618" s="393"/>
      <c r="MCM1618" s="393"/>
      <c r="MCO1618" s="393"/>
      <c r="MCQ1618" s="393"/>
      <c r="MCS1618" s="393"/>
      <c r="MCU1618" s="393"/>
      <c r="MCW1618" s="393"/>
      <c r="MCY1618" s="393"/>
      <c r="MDA1618" s="393"/>
      <c r="MDC1618" s="393"/>
      <c r="MDE1618" s="393"/>
      <c r="MDG1618" s="393"/>
      <c r="MDI1618" s="393"/>
      <c r="MDK1618" s="393"/>
      <c r="MDM1618" s="393"/>
      <c r="MDO1618" s="393"/>
      <c r="MDQ1618" s="393"/>
      <c r="MDS1618" s="393"/>
      <c r="MDU1618" s="393"/>
      <c r="MDW1618" s="393"/>
      <c r="MDY1618" s="393"/>
      <c r="MEA1618" s="393"/>
      <c r="MEC1618" s="393"/>
      <c r="MEE1618" s="393"/>
      <c r="MEG1618" s="393"/>
      <c r="MEI1618" s="393"/>
      <c r="MEK1618" s="393"/>
      <c r="MEM1618" s="393"/>
      <c r="MEO1618" s="393"/>
      <c r="MEQ1618" s="393"/>
      <c r="MES1618" s="393"/>
      <c r="MEU1618" s="393"/>
      <c r="MEW1618" s="393"/>
      <c r="MEY1618" s="393"/>
      <c r="MFA1618" s="393"/>
      <c r="MFC1618" s="393"/>
      <c r="MFE1618" s="393"/>
      <c r="MFG1618" s="393"/>
      <c r="MFI1618" s="393"/>
      <c r="MFK1618" s="393"/>
      <c r="MFM1618" s="393"/>
      <c r="MFO1618" s="393"/>
      <c r="MFQ1618" s="393"/>
      <c r="MFS1618" s="393"/>
      <c r="MFU1618" s="393"/>
      <c r="MFW1618" s="393"/>
      <c r="MFY1618" s="393"/>
      <c r="MGA1618" s="393"/>
      <c r="MGC1618" s="393"/>
      <c r="MGE1618" s="393"/>
      <c r="MGG1618" s="393"/>
      <c r="MGI1618" s="393"/>
      <c r="MGK1618" s="393"/>
      <c r="MGM1618" s="393"/>
      <c r="MGO1618" s="393"/>
      <c r="MGQ1618" s="393"/>
      <c r="MGS1618" s="393"/>
      <c r="MGU1618" s="393"/>
      <c r="MGW1618" s="393"/>
      <c r="MGY1618" s="393"/>
      <c r="MHA1618" s="393"/>
      <c r="MHC1618" s="393"/>
      <c r="MHE1618" s="393"/>
      <c r="MHG1618" s="393"/>
      <c r="MHI1618" s="393"/>
      <c r="MHK1618" s="393"/>
      <c r="MHM1618" s="393"/>
      <c r="MHO1618" s="393"/>
      <c r="MHQ1618" s="393"/>
      <c r="MHS1618" s="393"/>
      <c r="MHU1618" s="393"/>
      <c r="MHW1618" s="393"/>
      <c r="MHY1618" s="393"/>
      <c r="MIA1618" s="393"/>
      <c r="MIC1618" s="393"/>
      <c r="MIE1618" s="393"/>
      <c r="MIG1618" s="393"/>
      <c r="MII1618" s="393"/>
      <c r="MIK1618" s="393"/>
      <c r="MIM1618" s="393"/>
      <c r="MIO1618" s="393"/>
      <c r="MIQ1618" s="393"/>
      <c r="MIS1618" s="393"/>
      <c r="MIU1618" s="393"/>
      <c r="MIW1618" s="393"/>
      <c r="MIY1618" s="393"/>
      <c r="MJA1618" s="393"/>
      <c r="MJC1618" s="393"/>
      <c r="MJE1618" s="393"/>
      <c r="MJG1618" s="393"/>
      <c r="MJI1618" s="393"/>
      <c r="MJK1618" s="393"/>
      <c r="MJM1618" s="393"/>
      <c r="MJO1618" s="393"/>
      <c r="MJQ1618" s="393"/>
      <c r="MJS1618" s="393"/>
      <c r="MJU1618" s="393"/>
      <c r="MJW1618" s="393"/>
      <c r="MJY1618" s="393"/>
      <c r="MKA1618" s="393"/>
      <c r="MKC1618" s="393"/>
      <c r="MKE1618" s="393"/>
      <c r="MKG1618" s="393"/>
      <c r="MKI1618" s="393"/>
      <c r="MKK1618" s="393"/>
      <c r="MKM1618" s="393"/>
      <c r="MKO1618" s="393"/>
      <c r="MKQ1618" s="393"/>
      <c r="MKS1618" s="393"/>
      <c r="MKU1618" s="393"/>
      <c r="MKW1618" s="393"/>
      <c r="MKY1618" s="393"/>
      <c r="MLA1618" s="393"/>
      <c r="MLC1618" s="393"/>
      <c r="MLE1618" s="393"/>
      <c r="MLG1618" s="393"/>
      <c r="MLI1618" s="393"/>
      <c r="MLK1618" s="393"/>
      <c r="MLM1618" s="393"/>
      <c r="MLO1618" s="393"/>
      <c r="MLQ1618" s="393"/>
      <c r="MLS1618" s="393"/>
      <c r="MLU1618" s="393"/>
      <c r="MLW1618" s="393"/>
      <c r="MLY1618" s="393"/>
      <c r="MMA1618" s="393"/>
      <c r="MMC1618" s="393"/>
      <c r="MME1618" s="393"/>
      <c r="MMG1618" s="393"/>
      <c r="MMI1618" s="393"/>
      <c r="MMK1618" s="393"/>
      <c r="MMM1618" s="393"/>
      <c r="MMO1618" s="393"/>
      <c r="MMQ1618" s="393"/>
      <c r="MMS1618" s="393"/>
      <c r="MMU1618" s="393"/>
      <c r="MMW1618" s="393"/>
      <c r="MMY1618" s="393"/>
      <c r="MNA1618" s="393"/>
      <c r="MNC1618" s="393"/>
      <c r="MNE1618" s="393"/>
      <c r="MNG1618" s="393"/>
      <c r="MNI1618" s="393"/>
      <c r="MNK1618" s="393"/>
      <c r="MNM1618" s="393"/>
      <c r="MNO1618" s="393"/>
      <c r="MNQ1618" s="393"/>
      <c r="MNS1618" s="393"/>
      <c r="MNU1618" s="393"/>
      <c r="MNW1618" s="393"/>
      <c r="MNY1618" s="393"/>
      <c r="MOA1618" s="393"/>
      <c r="MOC1618" s="393"/>
      <c r="MOE1618" s="393"/>
      <c r="MOG1618" s="393"/>
      <c r="MOI1618" s="393"/>
      <c r="MOK1618" s="393"/>
      <c r="MOM1618" s="393"/>
      <c r="MOO1618" s="393"/>
      <c r="MOQ1618" s="393"/>
      <c r="MOS1618" s="393"/>
      <c r="MOU1618" s="393"/>
      <c r="MOW1618" s="393"/>
      <c r="MOY1618" s="393"/>
      <c r="MPA1618" s="393"/>
      <c r="MPC1618" s="393"/>
      <c r="MPE1618" s="393"/>
      <c r="MPG1618" s="393"/>
      <c r="MPI1618" s="393"/>
      <c r="MPK1618" s="393"/>
      <c r="MPM1618" s="393"/>
      <c r="MPO1618" s="393"/>
      <c r="MPQ1618" s="393"/>
      <c r="MPS1618" s="393"/>
      <c r="MPU1618" s="393"/>
      <c r="MPW1618" s="393"/>
      <c r="MPY1618" s="393"/>
      <c r="MQA1618" s="393"/>
      <c r="MQC1618" s="393"/>
      <c r="MQE1618" s="393"/>
      <c r="MQG1618" s="393"/>
      <c r="MQI1618" s="393"/>
      <c r="MQK1618" s="393"/>
      <c r="MQM1618" s="393"/>
      <c r="MQO1618" s="393"/>
      <c r="MQQ1618" s="393"/>
      <c r="MQS1618" s="393"/>
      <c r="MQU1618" s="393"/>
      <c r="MQW1618" s="393"/>
      <c r="MQY1618" s="393"/>
      <c r="MRA1618" s="393"/>
      <c r="MRC1618" s="393"/>
      <c r="MRE1618" s="393"/>
      <c r="MRG1618" s="393"/>
      <c r="MRI1618" s="393"/>
      <c r="MRK1618" s="393"/>
      <c r="MRM1618" s="393"/>
      <c r="MRO1618" s="393"/>
      <c r="MRQ1618" s="393"/>
      <c r="MRS1618" s="393"/>
      <c r="MRU1618" s="393"/>
      <c r="MRW1618" s="393"/>
      <c r="MRY1618" s="393"/>
      <c r="MSA1618" s="393"/>
      <c r="MSC1618" s="393"/>
      <c r="MSE1618" s="393"/>
      <c r="MSG1618" s="393"/>
      <c r="MSI1618" s="393"/>
      <c r="MSK1618" s="393"/>
      <c r="MSM1618" s="393"/>
      <c r="MSO1618" s="393"/>
      <c r="MSQ1618" s="393"/>
      <c r="MSS1618" s="393"/>
      <c r="MSU1618" s="393"/>
      <c r="MSW1618" s="393"/>
      <c r="MSY1618" s="393"/>
      <c r="MTA1618" s="393"/>
      <c r="MTC1618" s="393"/>
      <c r="MTE1618" s="393"/>
      <c r="MTG1618" s="393"/>
      <c r="MTI1618" s="393"/>
      <c r="MTK1618" s="393"/>
      <c r="MTM1618" s="393"/>
      <c r="MTO1618" s="393"/>
      <c r="MTQ1618" s="393"/>
      <c r="MTS1618" s="393"/>
      <c r="MTU1618" s="393"/>
      <c r="MTW1618" s="393"/>
      <c r="MTY1618" s="393"/>
      <c r="MUA1618" s="393"/>
      <c r="MUC1618" s="393"/>
      <c r="MUE1618" s="393"/>
      <c r="MUG1618" s="393"/>
      <c r="MUI1618" s="393"/>
      <c r="MUK1618" s="393"/>
      <c r="MUM1618" s="393"/>
      <c r="MUO1618" s="393"/>
      <c r="MUQ1618" s="393"/>
      <c r="MUS1618" s="393"/>
      <c r="MUU1618" s="393"/>
      <c r="MUW1618" s="393"/>
      <c r="MUY1618" s="393"/>
      <c r="MVA1618" s="393"/>
      <c r="MVC1618" s="393"/>
      <c r="MVE1618" s="393"/>
      <c r="MVG1618" s="393"/>
      <c r="MVI1618" s="393"/>
      <c r="MVK1618" s="393"/>
      <c r="MVM1618" s="393"/>
      <c r="MVO1618" s="393"/>
      <c r="MVQ1618" s="393"/>
      <c r="MVS1618" s="393"/>
      <c r="MVU1618" s="393"/>
      <c r="MVW1618" s="393"/>
      <c r="MVY1618" s="393"/>
      <c r="MWA1618" s="393"/>
      <c r="MWC1618" s="393"/>
      <c r="MWE1618" s="393"/>
      <c r="MWG1618" s="393"/>
      <c r="MWI1618" s="393"/>
      <c r="MWK1618" s="393"/>
      <c r="MWM1618" s="393"/>
      <c r="MWO1618" s="393"/>
      <c r="MWQ1618" s="393"/>
      <c r="MWS1618" s="393"/>
      <c r="MWU1618" s="393"/>
      <c r="MWW1618" s="393"/>
      <c r="MWY1618" s="393"/>
      <c r="MXA1618" s="393"/>
      <c r="MXC1618" s="393"/>
      <c r="MXE1618" s="393"/>
      <c r="MXG1618" s="393"/>
      <c r="MXI1618" s="393"/>
      <c r="MXK1618" s="393"/>
      <c r="MXM1618" s="393"/>
      <c r="MXO1618" s="393"/>
      <c r="MXQ1618" s="393"/>
      <c r="MXS1618" s="393"/>
      <c r="MXU1618" s="393"/>
      <c r="MXW1618" s="393"/>
      <c r="MXY1618" s="393"/>
      <c r="MYA1618" s="393"/>
      <c r="MYC1618" s="393"/>
      <c r="MYE1618" s="393"/>
      <c r="MYG1618" s="393"/>
      <c r="MYI1618" s="393"/>
      <c r="MYK1618" s="393"/>
      <c r="MYM1618" s="393"/>
      <c r="MYO1618" s="393"/>
      <c r="MYQ1618" s="393"/>
      <c r="MYS1618" s="393"/>
      <c r="MYU1618" s="393"/>
      <c r="MYW1618" s="393"/>
      <c r="MYY1618" s="393"/>
      <c r="MZA1618" s="393"/>
      <c r="MZC1618" s="393"/>
      <c r="MZE1618" s="393"/>
      <c r="MZG1618" s="393"/>
      <c r="MZI1618" s="393"/>
      <c r="MZK1618" s="393"/>
      <c r="MZM1618" s="393"/>
      <c r="MZO1618" s="393"/>
      <c r="MZQ1618" s="393"/>
      <c r="MZS1618" s="393"/>
      <c r="MZU1618" s="393"/>
      <c r="MZW1618" s="393"/>
      <c r="MZY1618" s="393"/>
      <c r="NAA1618" s="393"/>
      <c r="NAC1618" s="393"/>
      <c r="NAE1618" s="393"/>
      <c r="NAG1618" s="393"/>
      <c r="NAI1618" s="393"/>
      <c r="NAK1618" s="393"/>
      <c r="NAM1618" s="393"/>
      <c r="NAO1618" s="393"/>
      <c r="NAQ1618" s="393"/>
      <c r="NAS1618" s="393"/>
      <c r="NAU1618" s="393"/>
      <c r="NAW1618" s="393"/>
      <c r="NAY1618" s="393"/>
      <c r="NBA1618" s="393"/>
      <c r="NBC1618" s="393"/>
      <c r="NBE1618" s="393"/>
      <c r="NBG1618" s="393"/>
      <c r="NBI1618" s="393"/>
      <c r="NBK1618" s="393"/>
      <c r="NBM1618" s="393"/>
      <c r="NBO1618" s="393"/>
      <c r="NBQ1618" s="393"/>
      <c r="NBS1618" s="393"/>
      <c r="NBU1618" s="393"/>
      <c r="NBW1618" s="393"/>
      <c r="NBY1618" s="393"/>
      <c r="NCA1618" s="393"/>
      <c r="NCC1618" s="393"/>
      <c r="NCE1618" s="393"/>
      <c r="NCG1618" s="393"/>
      <c r="NCI1618" s="393"/>
      <c r="NCK1618" s="393"/>
      <c r="NCM1618" s="393"/>
      <c r="NCO1618" s="393"/>
      <c r="NCQ1618" s="393"/>
      <c r="NCS1618" s="393"/>
      <c r="NCU1618" s="393"/>
      <c r="NCW1618" s="393"/>
      <c r="NCY1618" s="393"/>
      <c r="NDA1618" s="393"/>
      <c r="NDC1618" s="393"/>
      <c r="NDE1618" s="393"/>
      <c r="NDG1618" s="393"/>
      <c r="NDI1618" s="393"/>
      <c r="NDK1618" s="393"/>
      <c r="NDM1618" s="393"/>
      <c r="NDO1618" s="393"/>
      <c r="NDQ1618" s="393"/>
      <c r="NDS1618" s="393"/>
      <c r="NDU1618" s="393"/>
      <c r="NDW1618" s="393"/>
      <c r="NDY1618" s="393"/>
      <c r="NEA1618" s="393"/>
      <c r="NEC1618" s="393"/>
      <c r="NEE1618" s="393"/>
      <c r="NEG1618" s="393"/>
      <c r="NEI1618" s="393"/>
      <c r="NEK1618" s="393"/>
      <c r="NEM1618" s="393"/>
      <c r="NEO1618" s="393"/>
      <c r="NEQ1618" s="393"/>
      <c r="NES1618" s="393"/>
      <c r="NEU1618" s="393"/>
      <c r="NEW1618" s="393"/>
      <c r="NEY1618" s="393"/>
      <c r="NFA1618" s="393"/>
      <c r="NFC1618" s="393"/>
      <c r="NFE1618" s="393"/>
      <c r="NFG1618" s="393"/>
      <c r="NFI1618" s="393"/>
      <c r="NFK1618" s="393"/>
      <c r="NFM1618" s="393"/>
      <c r="NFO1618" s="393"/>
      <c r="NFQ1618" s="393"/>
      <c r="NFS1618" s="393"/>
      <c r="NFU1618" s="393"/>
      <c r="NFW1618" s="393"/>
      <c r="NFY1618" s="393"/>
      <c r="NGA1618" s="393"/>
      <c r="NGC1618" s="393"/>
      <c r="NGE1618" s="393"/>
      <c r="NGG1618" s="393"/>
      <c r="NGI1618" s="393"/>
      <c r="NGK1618" s="393"/>
      <c r="NGM1618" s="393"/>
      <c r="NGO1618" s="393"/>
      <c r="NGQ1618" s="393"/>
      <c r="NGS1618" s="393"/>
      <c r="NGU1618" s="393"/>
      <c r="NGW1618" s="393"/>
      <c r="NGY1618" s="393"/>
      <c r="NHA1618" s="393"/>
      <c r="NHC1618" s="393"/>
      <c r="NHE1618" s="393"/>
      <c r="NHG1618" s="393"/>
      <c r="NHI1618" s="393"/>
      <c r="NHK1618" s="393"/>
      <c r="NHM1618" s="393"/>
      <c r="NHO1618" s="393"/>
      <c r="NHQ1618" s="393"/>
      <c r="NHS1618" s="393"/>
      <c r="NHU1618" s="393"/>
      <c r="NHW1618" s="393"/>
      <c r="NHY1618" s="393"/>
      <c r="NIA1618" s="393"/>
      <c r="NIC1618" s="393"/>
      <c r="NIE1618" s="393"/>
      <c r="NIG1618" s="393"/>
      <c r="NII1618" s="393"/>
      <c r="NIK1618" s="393"/>
      <c r="NIM1618" s="393"/>
      <c r="NIO1618" s="393"/>
      <c r="NIQ1618" s="393"/>
      <c r="NIS1618" s="393"/>
      <c r="NIU1618" s="393"/>
      <c r="NIW1618" s="393"/>
      <c r="NIY1618" s="393"/>
      <c r="NJA1618" s="393"/>
      <c r="NJC1618" s="393"/>
      <c r="NJE1618" s="393"/>
      <c r="NJG1618" s="393"/>
      <c r="NJI1618" s="393"/>
      <c r="NJK1618" s="393"/>
      <c r="NJM1618" s="393"/>
      <c r="NJO1618" s="393"/>
      <c r="NJQ1618" s="393"/>
      <c r="NJS1618" s="393"/>
      <c r="NJU1618" s="393"/>
      <c r="NJW1618" s="393"/>
      <c r="NJY1618" s="393"/>
      <c r="NKA1618" s="393"/>
      <c r="NKC1618" s="393"/>
      <c r="NKE1618" s="393"/>
      <c r="NKG1618" s="393"/>
      <c r="NKI1618" s="393"/>
      <c r="NKK1618" s="393"/>
      <c r="NKM1618" s="393"/>
      <c r="NKO1618" s="393"/>
      <c r="NKQ1618" s="393"/>
      <c r="NKS1618" s="393"/>
      <c r="NKU1618" s="393"/>
      <c r="NKW1618" s="393"/>
      <c r="NKY1618" s="393"/>
      <c r="NLA1618" s="393"/>
      <c r="NLC1618" s="393"/>
      <c r="NLE1618" s="393"/>
      <c r="NLG1618" s="393"/>
      <c r="NLI1618" s="393"/>
      <c r="NLK1618" s="393"/>
      <c r="NLM1618" s="393"/>
      <c r="NLO1618" s="393"/>
      <c r="NLQ1618" s="393"/>
      <c r="NLS1618" s="393"/>
      <c r="NLU1618" s="393"/>
      <c r="NLW1618" s="393"/>
      <c r="NLY1618" s="393"/>
      <c r="NMA1618" s="393"/>
      <c r="NMC1618" s="393"/>
      <c r="NME1618" s="393"/>
      <c r="NMG1618" s="393"/>
      <c r="NMI1618" s="393"/>
      <c r="NMK1618" s="393"/>
      <c r="NMM1618" s="393"/>
      <c r="NMO1618" s="393"/>
      <c r="NMQ1618" s="393"/>
      <c r="NMS1618" s="393"/>
      <c r="NMU1618" s="393"/>
      <c r="NMW1618" s="393"/>
      <c r="NMY1618" s="393"/>
      <c r="NNA1618" s="393"/>
      <c r="NNC1618" s="393"/>
      <c r="NNE1618" s="393"/>
      <c r="NNG1618" s="393"/>
      <c r="NNI1618" s="393"/>
      <c r="NNK1618" s="393"/>
      <c r="NNM1618" s="393"/>
      <c r="NNO1618" s="393"/>
      <c r="NNQ1618" s="393"/>
      <c r="NNS1618" s="393"/>
      <c r="NNU1618" s="393"/>
      <c r="NNW1618" s="393"/>
      <c r="NNY1618" s="393"/>
      <c r="NOA1618" s="393"/>
      <c r="NOC1618" s="393"/>
      <c r="NOE1618" s="393"/>
      <c r="NOG1618" s="393"/>
      <c r="NOI1618" s="393"/>
      <c r="NOK1618" s="393"/>
      <c r="NOM1618" s="393"/>
      <c r="NOO1618" s="393"/>
      <c r="NOQ1618" s="393"/>
      <c r="NOS1618" s="393"/>
      <c r="NOU1618" s="393"/>
      <c r="NOW1618" s="393"/>
      <c r="NOY1618" s="393"/>
      <c r="NPA1618" s="393"/>
      <c r="NPC1618" s="393"/>
      <c r="NPE1618" s="393"/>
      <c r="NPG1618" s="393"/>
      <c r="NPI1618" s="393"/>
      <c r="NPK1618" s="393"/>
      <c r="NPM1618" s="393"/>
      <c r="NPO1618" s="393"/>
      <c r="NPQ1618" s="393"/>
      <c r="NPS1618" s="393"/>
      <c r="NPU1618" s="393"/>
      <c r="NPW1618" s="393"/>
      <c r="NPY1618" s="393"/>
      <c r="NQA1618" s="393"/>
      <c r="NQC1618" s="393"/>
      <c r="NQE1618" s="393"/>
      <c r="NQG1618" s="393"/>
      <c r="NQI1618" s="393"/>
      <c r="NQK1618" s="393"/>
      <c r="NQM1618" s="393"/>
      <c r="NQO1618" s="393"/>
      <c r="NQQ1618" s="393"/>
      <c r="NQS1618" s="393"/>
      <c r="NQU1618" s="393"/>
      <c r="NQW1618" s="393"/>
      <c r="NQY1618" s="393"/>
      <c r="NRA1618" s="393"/>
      <c r="NRC1618" s="393"/>
      <c r="NRE1618" s="393"/>
      <c r="NRG1618" s="393"/>
      <c r="NRI1618" s="393"/>
      <c r="NRK1618" s="393"/>
      <c r="NRM1618" s="393"/>
      <c r="NRO1618" s="393"/>
      <c r="NRQ1618" s="393"/>
      <c r="NRS1618" s="393"/>
      <c r="NRU1618" s="393"/>
      <c r="NRW1618" s="393"/>
      <c r="NRY1618" s="393"/>
      <c r="NSA1618" s="393"/>
      <c r="NSC1618" s="393"/>
      <c r="NSE1618" s="393"/>
      <c r="NSG1618" s="393"/>
      <c r="NSI1618" s="393"/>
      <c r="NSK1618" s="393"/>
      <c r="NSM1618" s="393"/>
      <c r="NSO1618" s="393"/>
      <c r="NSQ1618" s="393"/>
      <c r="NSS1618" s="393"/>
      <c r="NSU1618" s="393"/>
      <c r="NSW1618" s="393"/>
      <c r="NSY1618" s="393"/>
      <c r="NTA1618" s="393"/>
      <c r="NTC1618" s="393"/>
      <c r="NTE1618" s="393"/>
      <c r="NTG1618" s="393"/>
      <c r="NTI1618" s="393"/>
      <c r="NTK1618" s="393"/>
      <c r="NTM1618" s="393"/>
      <c r="NTO1618" s="393"/>
      <c r="NTQ1618" s="393"/>
      <c r="NTS1618" s="393"/>
      <c r="NTU1618" s="393"/>
      <c r="NTW1618" s="393"/>
      <c r="NTY1618" s="393"/>
      <c r="NUA1618" s="393"/>
      <c r="NUC1618" s="393"/>
      <c r="NUE1618" s="393"/>
      <c r="NUG1618" s="393"/>
      <c r="NUI1618" s="393"/>
      <c r="NUK1618" s="393"/>
      <c r="NUM1618" s="393"/>
      <c r="NUO1618" s="393"/>
      <c r="NUQ1618" s="393"/>
      <c r="NUS1618" s="393"/>
      <c r="NUU1618" s="393"/>
      <c r="NUW1618" s="393"/>
      <c r="NUY1618" s="393"/>
      <c r="NVA1618" s="393"/>
      <c r="NVC1618" s="393"/>
      <c r="NVE1618" s="393"/>
      <c r="NVG1618" s="393"/>
      <c r="NVI1618" s="393"/>
      <c r="NVK1618" s="393"/>
      <c r="NVM1618" s="393"/>
      <c r="NVO1618" s="393"/>
      <c r="NVQ1618" s="393"/>
      <c r="NVS1618" s="393"/>
      <c r="NVU1618" s="393"/>
      <c r="NVW1618" s="393"/>
      <c r="NVY1618" s="393"/>
      <c r="NWA1618" s="393"/>
      <c r="NWC1618" s="393"/>
      <c r="NWE1618" s="393"/>
      <c r="NWG1618" s="393"/>
      <c r="NWI1618" s="393"/>
      <c r="NWK1618" s="393"/>
      <c r="NWM1618" s="393"/>
      <c r="NWO1618" s="393"/>
      <c r="NWQ1618" s="393"/>
      <c r="NWS1618" s="393"/>
      <c r="NWU1618" s="393"/>
      <c r="NWW1618" s="393"/>
      <c r="NWY1618" s="393"/>
      <c r="NXA1618" s="393"/>
      <c r="NXC1618" s="393"/>
      <c r="NXE1618" s="393"/>
      <c r="NXG1618" s="393"/>
      <c r="NXI1618" s="393"/>
      <c r="NXK1618" s="393"/>
      <c r="NXM1618" s="393"/>
      <c r="NXO1618" s="393"/>
      <c r="NXQ1618" s="393"/>
      <c r="NXS1618" s="393"/>
      <c r="NXU1618" s="393"/>
      <c r="NXW1618" s="393"/>
      <c r="NXY1618" s="393"/>
      <c r="NYA1618" s="393"/>
      <c r="NYC1618" s="393"/>
      <c r="NYE1618" s="393"/>
      <c r="NYG1618" s="393"/>
      <c r="NYI1618" s="393"/>
      <c r="NYK1618" s="393"/>
      <c r="NYM1618" s="393"/>
      <c r="NYO1618" s="393"/>
      <c r="NYQ1618" s="393"/>
      <c r="NYS1618" s="393"/>
      <c r="NYU1618" s="393"/>
      <c r="NYW1618" s="393"/>
      <c r="NYY1618" s="393"/>
      <c r="NZA1618" s="393"/>
      <c r="NZC1618" s="393"/>
      <c r="NZE1618" s="393"/>
      <c r="NZG1618" s="393"/>
      <c r="NZI1618" s="393"/>
      <c r="NZK1618" s="393"/>
      <c r="NZM1618" s="393"/>
      <c r="NZO1618" s="393"/>
      <c r="NZQ1618" s="393"/>
      <c r="NZS1618" s="393"/>
      <c r="NZU1618" s="393"/>
      <c r="NZW1618" s="393"/>
      <c r="NZY1618" s="393"/>
      <c r="OAA1618" s="393"/>
      <c r="OAC1618" s="393"/>
      <c r="OAE1618" s="393"/>
      <c r="OAG1618" s="393"/>
      <c r="OAI1618" s="393"/>
      <c r="OAK1618" s="393"/>
      <c r="OAM1618" s="393"/>
      <c r="OAO1618" s="393"/>
      <c r="OAQ1618" s="393"/>
      <c r="OAS1618" s="393"/>
      <c r="OAU1618" s="393"/>
      <c r="OAW1618" s="393"/>
      <c r="OAY1618" s="393"/>
      <c r="OBA1618" s="393"/>
      <c r="OBC1618" s="393"/>
      <c r="OBE1618" s="393"/>
      <c r="OBG1618" s="393"/>
      <c r="OBI1618" s="393"/>
      <c r="OBK1618" s="393"/>
      <c r="OBM1618" s="393"/>
      <c r="OBO1618" s="393"/>
      <c r="OBQ1618" s="393"/>
      <c r="OBS1618" s="393"/>
      <c r="OBU1618" s="393"/>
      <c r="OBW1618" s="393"/>
      <c r="OBY1618" s="393"/>
      <c r="OCA1618" s="393"/>
      <c r="OCC1618" s="393"/>
      <c r="OCE1618" s="393"/>
      <c r="OCG1618" s="393"/>
      <c r="OCI1618" s="393"/>
      <c r="OCK1618" s="393"/>
      <c r="OCM1618" s="393"/>
      <c r="OCO1618" s="393"/>
      <c r="OCQ1618" s="393"/>
      <c r="OCS1618" s="393"/>
      <c r="OCU1618" s="393"/>
      <c r="OCW1618" s="393"/>
      <c r="OCY1618" s="393"/>
      <c r="ODA1618" s="393"/>
      <c r="ODC1618" s="393"/>
      <c r="ODE1618" s="393"/>
      <c r="ODG1618" s="393"/>
      <c r="ODI1618" s="393"/>
      <c r="ODK1618" s="393"/>
      <c r="ODM1618" s="393"/>
      <c r="ODO1618" s="393"/>
      <c r="ODQ1618" s="393"/>
      <c r="ODS1618" s="393"/>
      <c r="ODU1618" s="393"/>
      <c r="ODW1618" s="393"/>
      <c r="ODY1618" s="393"/>
      <c r="OEA1618" s="393"/>
      <c r="OEC1618" s="393"/>
      <c r="OEE1618" s="393"/>
      <c r="OEG1618" s="393"/>
      <c r="OEI1618" s="393"/>
      <c r="OEK1618" s="393"/>
      <c r="OEM1618" s="393"/>
      <c r="OEO1618" s="393"/>
      <c r="OEQ1618" s="393"/>
      <c r="OES1618" s="393"/>
      <c r="OEU1618" s="393"/>
      <c r="OEW1618" s="393"/>
      <c r="OEY1618" s="393"/>
      <c r="OFA1618" s="393"/>
      <c r="OFC1618" s="393"/>
      <c r="OFE1618" s="393"/>
      <c r="OFG1618" s="393"/>
      <c r="OFI1618" s="393"/>
      <c r="OFK1618" s="393"/>
      <c r="OFM1618" s="393"/>
      <c r="OFO1618" s="393"/>
      <c r="OFQ1618" s="393"/>
      <c r="OFS1618" s="393"/>
      <c r="OFU1618" s="393"/>
      <c r="OFW1618" s="393"/>
      <c r="OFY1618" s="393"/>
      <c r="OGA1618" s="393"/>
      <c r="OGC1618" s="393"/>
      <c r="OGE1618" s="393"/>
      <c r="OGG1618" s="393"/>
      <c r="OGI1618" s="393"/>
      <c r="OGK1618" s="393"/>
      <c r="OGM1618" s="393"/>
      <c r="OGO1618" s="393"/>
      <c r="OGQ1618" s="393"/>
      <c r="OGS1618" s="393"/>
      <c r="OGU1618" s="393"/>
      <c r="OGW1618" s="393"/>
      <c r="OGY1618" s="393"/>
      <c r="OHA1618" s="393"/>
      <c r="OHC1618" s="393"/>
      <c r="OHE1618" s="393"/>
      <c r="OHG1618" s="393"/>
      <c r="OHI1618" s="393"/>
      <c r="OHK1618" s="393"/>
      <c r="OHM1618" s="393"/>
      <c r="OHO1618" s="393"/>
      <c r="OHQ1618" s="393"/>
      <c r="OHS1618" s="393"/>
      <c r="OHU1618" s="393"/>
      <c r="OHW1618" s="393"/>
      <c r="OHY1618" s="393"/>
      <c r="OIA1618" s="393"/>
      <c r="OIC1618" s="393"/>
      <c r="OIE1618" s="393"/>
      <c r="OIG1618" s="393"/>
      <c r="OII1618" s="393"/>
      <c r="OIK1618" s="393"/>
      <c r="OIM1618" s="393"/>
      <c r="OIO1618" s="393"/>
      <c r="OIQ1618" s="393"/>
      <c r="OIS1618" s="393"/>
      <c r="OIU1618" s="393"/>
      <c r="OIW1618" s="393"/>
      <c r="OIY1618" s="393"/>
      <c r="OJA1618" s="393"/>
      <c r="OJC1618" s="393"/>
      <c r="OJE1618" s="393"/>
      <c r="OJG1618" s="393"/>
      <c r="OJI1618" s="393"/>
      <c r="OJK1618" s="393"/>
      <c r="OJM1618" s="393"/>
      <c r="OJO1618" s="393"/>
      <c r="OJQ1618" s="393"/>
      <c r="OJS1618" s="393"/>
      <c r="OJU1618" s="393"/>
      <c r="OJW1618" s="393"/>
      <c r="OJY1618" s="393"/>
      <c r="OKA1618" s="393"/>
      <c r="OKC1618" s="393"/>
      <c r="OKE1618" s="393"/>
      <c r="OKG1618" s="393"/>
      <c r="OKI1618" s="393"/>
      <c r="OKK1618" s="393"/>
      <c r="OKM1618" s="393"/>
      <c r="OKO1618" s="393"/>
      <c r="OKQ1618" s="393"/>
      <c r="OKS1618" s="393"/>
      <c r="OKU1618" s="393"/>
      <c r="OKW1618" s="393"/>
      <c r="OKY1618" s="393"/>
      <c r="OLA1618" s="393"/>
      <c r="OLC1618" s="393"/>
      <c r="OLE1618" s="393"/>
      <c r="OLG1618" s="393"/>
      <c r="OLI1618" s="393"/>
      <c r="OLK1618" s="393"/>
      <c r="OLM1618" s="393"/>
      <c r="OLO1618" s="393"/>
      <c r="OLQ1618" s="393"/>
      <c r="OLS1618" s="393"/>
      <c r="OLU1618" s="393"/>
      <c r="OLW1618" s="393"/>
      <c r="OLY1618" s="393"/>
      <c r="OMA1618" s="393"/>
      <c r="OMC1618" s="393"/>
      <c r="OME1618" s="393"/>
      <c r="OMG1618" s="393"/>
      <c r="OMI1618" s="393"/>
      <c r="OMK1618" s="393"/>
      <c r="OMM1618" s="393"/>
      <c r="OMO1618" s="393"/>
      <c r="OMQ1618" s="393"/>
      <c r="OMS1618" s="393"/>
      <c r="OMU1618" s="393"/>
      <c r="OMW1618" s="393"/>
      <c r="OMY1618" s="393"/>
      <c r="ONA1618" s="393"/>
      <c r="ONC1618" s="393"/>
      <c r="ONE1618" s="393"/>
      <c r="ONG1618" s="393"/>
      <c r="ONI1618" s="393"/>
      <c r="ONK1618" s="393"/>
      <c r="ONM1618" s="393"/>
      <c r="ONO1618" s="393"/>
      <c r="ONQ1618" s="393"/>
      <c r="ONS1618" s="393"/>
      <c r="ONU1618" s="393"/>
      <c r="ONW1618" s="393"/>
      <c r="ONY1618" s="393"/>
      <c r="OOA1618" s="393"/>
      <c r="OOC1618" s="393"/>
      <c r="OOE1618" s="393"/>
      <c r="OOG1618" s="393"/>
      <c r="OOI1618" s="393"/>
      <c r="OOK1618" s="393"/>
      <c r="OOM1618" s="393"/>
      <c r="OOO1618" s="393"/>
      <c r="OOQ1618" s="393"/>
      <c r="OOS1618" s="393"/>
      <c r="OOU1618" s="393"/>
      <c r="OOW1618" s="393"/>
      <c r="OOY1618" s="393"/>
      <c r="OPA1618" s="393"/>
      <c r="OPC1618" s="393"/>
      <c r="OPE1618" s="393"/>
      <c r="OPG1618" s="393"/>
      <c r="OPI1618" s="393"/>
      <c r="OPK1618" s="393"/>
      <c r="OPM1618" s="393"/>
      <c r="OPO1618" s="393"/>
      <c r="OPQ1618" s="393"/>
      <c r="OPS1618" s="393"/>
      <c r="OPU1618" s="393"/>
      <c r="OPW1618" s="393"/>
      <c r="OPY1618" s="393"/>
      <c r="OQA1618" s="393"/>
      <c r="OQC1618" s="393"/>
      <c r="OQE1618" s="393"/>
      <c r="OQG1618" s="393"/>
      <c r="OQI1618" s="393"/>
      <c r="OQK1618" s="393"/>
      <c r="OQM1618" s="393"/>
      <c r="OQO1618" s="393"/>
      <c r="OQQ1618" s="393"/>
      <c r="OQS1618" s="393"/>
      <c r="OQU1618" s="393"/>
      <c r="OQW1618" s="393"/>
      <c r="OQY1618" s="393"/>
      <c r="ORA1618" s="393"/>
      <c r="ORC1618" s="393"/>
      <c r="ORE1618" s="393"/>
      <c r="ORG1618" s="393"/>
      <c r="ORI1618" s="393"/>
      <c r="ORK1618" s="393"/>
      <c r="ORM1618" s="393"/>
      <c r="ORO1618" s="393"/>
      <c r="ORQ1618" s="393"/>
      <c r="ORS1618" s="393"/>
      <c r="ORU1618" s="393"/>
      <c r="ORW1618" s="393"/>
      <c r="ORY1618" s="393"/>
      <c r="OSA1618" s="393"/>
      <c r="OSC1618" s="393"/>
      <c r="OSE1618" s="393"/>
      <c r="OSG1618" s="393"/>
      <c r="OSI1618" s="393"/>
      <c r="OSK1618" s="393"/>
      <c r="OSM1618" s="393"/>
      <c r="OSO1618" s="393"/>
      <c r="OSQ1618" s="393"/>
      <c r="OSS1618" s="393"/>
      <c r="OSU1618" s="393"/>
      <c r="OSW1618" s="393"/>
      <c r="OSY1618" s="393"/>
      <c r="OTA1618" s="393"/>
      <c r="OTC1618" s="393"/>
      <c r="OTE1618" s="393"/>
      <c r="OTG1618" s="393"/>
      <c r="OTI1618" s="393"/>
      <c r="OTK1618" s="393"/>
      <c r="OTM1618" s="393"/>
      <c r="OTO1618" s="393"/>
      <c r="OTQ1618" s="393"/>
      <c r="OTS1618" s="393"/>
      <c r="OTU1618" s="393"/>
      <c r="OTW1618" s="393"/>
      <c r="OTY1618" s="393"/>
      <c r="OUA1618" s="393"/>
      <c r="OUC1618" s="393"/>
      <c r="OUE1618" s="393"/>
      <c r="OUG1618" s="393"/>
      <c r="OUI1618" s="393"/>
      <c r="OUK1618" s="393"/>
      <c r="OUM1618" s="393"/>
      <c r="OUO1618" s="393"/>
      <c r="OUQ1618" s="393"/>
      <c r="OUS1618" s="393"/>
      <c r="OUU1618" s="393"/>
      <c r="OUW1618" s="393"/>
      <c r="OUY1618" s="393"/>
      <c r="OVA1618" s="393"/>
      <c r="OVC1618" s="393"/>
      <c r="OVE1618" s="393"/>
      <c r="OVG1618" s="393"/>
      <c r="OVI1618" s="393"/>
      <c r="OVK1618" s="393"/>
      <c r="OVM1618" s="393"/>
      <c r="OVO1618" s="393"/>
      <c r="OVQ1618" s="393"/>
      <c r="OVS1618" s="393"/>
      <c r="OVU1618" s="393"/>
      <c r="OVW1618" s="393"/>
      <c r="OVY1618" s="393"/>
      <c r="OWA1618" s="393"/>
      <c r="OWC1618" s="393"/>
      <c r="OWE1618" s="393"/>
      <c r="OWG1618" s="393"/>
      <c r="OWI1618" s="393"/>
      <c r="OWK1618" s="393"/>
      <c r="OWM1618" s="393"/>
      <c r="OWO1618" s="393"/>
      <c r="OWQ1618" s="393"/>
      <c r="OWS1618" s="393"/>
      <c r="OWU1618" s="393"/>
      <c r="OWW1618" s="393"/>
      <c r="OWY1618" s="393"/>
      <c r="OXA1618" s="393"/>
      <c r="OXC1618" s="393"/>
      <c r="OXE1618" s="393"/>
      <c r="OXG1618" s="393"/>
      <c r="OXI1618" s="393"/>
      <c r="OXK1618" s="393"/>
      <c r="OXM1618" s="393"/>
      <c r="OXO1618" s="393"/>
      <c r="OXQ1618" s="393"/>
      <c r="OXS1618" s="393"/>
      <c r="OXU1618" s="393"/>
      <c r="OXW1618" s="393"/>
      <c r="OXY1618" s="393"/>
      <c r="OYA1618" s="393"/>
      <c r="OYC1618" s="393"/>
      <c r="OYE1618" s="393"/>
      <c r="OYG1618" s="393"/>
      <c r="OYI1618" s="393"/>
      <c r="OYK1618" s="393"/>
      <c r="OYM1618" s="393"/>
      <c r="OYO1618" s="393"/>
      <c r="OYQ1618" s="393"/>
      <c r="OYS1618" s="393"/>
      <c r="OYU1618" s="393"/>
      <c r="OYW1618" s="393"/>
      <c r="OYY1618" s="393"/>
      <c r="OZA1618" s="393"/>
      <c r="OZC1618" s="393"/>
      <c r="OZE1618" s="393"/>
      <c r="OZG1618" s="393"/>
      <c r="OZI1618" s="393"/>
      <c r="OZK1618" s="393"/>
      <c r="OZM1618" s="393"/>
      <c r="OZO1618" s="393"/>
      <c r="OZQ1618" s="393"/>
      <c r="OZS1618" s="393"/>
      <c r="OZU1618" s="393"/>
      <c r="OZW1618" s="393"/>
      <c r="OZY1618" s="393"/>
      <c r="PAA1618" s="393"/>
      <c r="PAC1618" s="393"/>
      <c r="PAE1618" s="393"/>
      <c r="PAG1618" s="393"/>
      <c r="PAI1618" s="393"/>
      <c r="PAK1618" s="393"/>
      <c r="PAM1618" s="393"/>
      <c r="PAO1618" s="393"/>
      <c r="PAQ1618" s="393"/>
      <c r="PAS1618" s="393"/>
      <c r="PAU1618" s="393"/>
      <c r="PAW1618" s="393"/>
      <c r="PAY1618" s="393"/>
      <c r="PBA1618" s="393"/>
      <c r="PBC1618" s="393"/>
      <c r="PBE1618" s="393"/>
      <c r="PBG1618" s="393"/>
      <c r="PBI1618" s="393"/>
      <c r="PBK1618" s="393"/>
      <c r="PBM1618" s="393"/>
      <c r="PBO1618" s="393"/>
      <c r="PBQ1618" s="393"/>
      <c r="PBS1618" s="393"/>
      <c r="PBU1618" s="393"/>
      <c r="PBW1618" s="393"/>
      <c r="PBY1618" s="393"/>
      <c r="PCA1618" s="393"/>
      <c r="PCC1618" s="393"/>
      <c r="PCE1618" s="393"/>
      <c r="PCG1618" s="393"/>
      <c r="PCI1618" s="393"/>
      <c r="PCK1618" s="393"/>
      <c r="PCM1618" s="393"/>
      <c r="PCO1618" s="393"/>
      <c r="PCQ1618" s="393"/>
      <c r="PCS1618" s="393"/>
      <c r="PCU1618" s="393"/>
      <c r="PCW1618" s="393"/>
      <c r="PCY1618" s="393"/>
      <c r="PDA1618" s="393"/>
      <c r="PDC1618" s="393"/>
      <c r="PDE1618" s="393"/>
      <c r="PDG1618" s="393"/>
      <c r="PDI1618" s="393"/>
      <c r="PDK1618" s="393"/>
      <c r="PDM1618" s="393"/>
      <c r="PDO1618" s="393"/>
      <c r="PDQ1618" s="393"/>
      <c r="PDS1618" s="393"/>
      <c r="PDU1618" s="393"/>
      <c r="PDW1618" s="393"/>
      <c r="PDY1618" s="393"/>
      <c r="PEA1618" s="393"/>
      <c r="PEC1618" s="393"/>
      <c r="PEE1618" s="393"/>
      <c r="PEG1618" s="393"/>
      <c r="PEI1618" s="393"/>
      <c r="PEK1618" s="393"/>
      <c r="PEM1618" s="393"/>
      <c r="PEO1618" s="393"/>
      <c r="PEQ1618" s="393"/>
      <c r="PES1618" s="393"/>
      <c r="PEU1618" s="393"/>
      <c r="PEW1618" s="393"/>
      <c r="PEY1618" s="393"/>
      <c r="PFA1618" s="393"/>
      <c r="PFC1618" s="393"/>
      <c r="PFE1618" s="393"/>
      <c r="PFG1618" s="393"/>
      <c r="PFI1618" s="393"/>
      <c r="PFK1618" s="393"/>
      <c r="PFM1618" s="393"/>
      <c r="PFO1618" s="393"/>
      <c r="PFQ1618" s="393"/>
      <c r="PFS1618" s="393"/>
      <c r="PFU1618" s="393"/>
      <c r="PFW1618" s="393"/>
      <c r="PFY1618" s="393"/>
      <c r="PGA1618" s="393"/>
      <c r="PGC1618" s="393"/>
      <c r="PGE1618" s="393"/>
      <c r="PGG1618" s="393"/>
      <c r="PGI1618" s="393"/>
      <c r="PGK1618" s="393"/>
      <c r="PGM1618" s="393"/>
      <c r="PGO1618" s="393"/>
      <c r="PGQ1618" s="393"/>
      <c r="PGS1618" s="393"/>
      <c r="PGU1618" s="393"/>
      <c r="PGW1618" s="393"/>
      <c r="PGY1618" s="393"/>
      <c r="PHA1618" s="393"/>
      <c r="PHC1618" s="393"/>
      <c r="PHE1618" s="393"/>
      <c r="PHG1618" s="393"/>
      <c r="PHI1618" s="393"/>
      <c r="PHK1618" s="393"/>
      <c r="PHM1618" s="393"/>
      <c r="PHO1618" s="393"/>
      <c r="PHQ1618" s="393"/>
      <c r="PHS1618" s="393"/>
      <c r="PHU1618" s="393"/>
      <c r="PHW1618" s="393"/>
      <c r="PHY1618" s="393"/>
      <c r="PIA1618" s="393"/>
      <c r="PIC1618" s="393"/>
      <c r="PIE1618" s="393"/>
      <c r="PIG1618" s="393"/>
      <c r="PII1618" s="393"/>
      <c r="PIK1618" s="393"/>
      <c r="PIM1618" s="393"/>
      <c r="PIO1618" s="393"/>
      <c r="PIQ1618" s="393"/>
      <c r="PIS1618" s="393"/>
      <c r="PIU1618" s="393"/>
      <c r="PIW1618" s="393"/>
      <c r="PIY1618" s="393"/>
      <c r="PJA1618" s="393"/>
      <c r="PJC1618" s="393"/>
      <c r="PJE1618" s="393"/>
      <c r="PJG1618" s="393"/>
      <c r="PJI1618" s="393"/>
      <c r="PJK1618" s="393"/>
      <c r="PJM1618" s="393"/>
      <c r="PJO1618" s="393"/>
      <c r="PJQ1618" s="393"/>
      <c r="PJS1618" s="393"/>
      <c r="PJU1618" s="393"/>
      <c r="PJW1618" s="393"/>
      <c r="PJY1618" s="393"/>
      <c r="PKA1618" s="393"/>
      <c r="PKC1618" s="393"/>
      <c r="PKE1618" s="393"/>
      <c r="PKG1618" s="393"/>
      <c r="PKI1618" s="393"/>
      <c r="PKK1618" s="393"/>
      <c r="PKM1618" s="393"/>
      <c r="PKO1618" s="393"/>
      <c r="PKQ1618" s="393"/>
      <c r="PKS1618" s="393"/>
      <c r="PKU1618" s="393"/>
      <c r="PKW1618" s="393"/>
      <c r="PKY1618" s="393"/>
      <c r="PLA1618" s="393"/>
      <c r="PLC1618" s="393"/>
      <c r="PLE1618" s="393"/>
      <c r="PLG1618" s="393"/>
      <c r="PLI1618" s="393"/>
      <c r="PLK1618" s="393"/>
      <c r="PLM1618" s="393"/>
      <c r="PLO1618" s="393"/>
      <c r="PLQ1618" s="393"/>
      <c r="PLS1618" s="393"/>
      <c r="PLU1618" s="393"/>
      <c r="PLW1618" s="393"/>
      <c r="PLY1618" s="393"/>
      <c r="PMA1618" s="393"/>
      <c r="PMC1618" s="393"/>
      <c r="PME1618" s="393"/>
      <c r="PMG1618" s="393"/>
      <c r="PMI1618" s="393"/>
      <c r="PMK1618" s="393"/>
      <c r="PMM1618" s="393"/>
      <c r="PMO1618" s="393"/>
      <c r="PMQ1618" s="393"/>
      <c r="PMS1618" s="393"/>
      <c r="PMU1618" s="393"/>
      <c r="PMW1618" s="393"/>
      <c r="PMY1618" s="393"/>
      <c r="PNA1618" s="393"/>
      <c r="PNC1618" s="393"/>
      <c r="PNE1618" s="393"/>
      <c r="PNG1618" s="393"/>
      <c r="PNI1618" s="393"/>
      <c r="PNK1618" s="393"/>
      <c r="PNM1618" s="393"/>
      <c r="PNO1618" s="393"/>
      <c r="PNQ1618" s="393"/>
      <c r="PNS1618" s="393"/>
      <c r="PNU1618" s="393"/>
      <c r="PNW1618" s="393"/>
      <c r="PNY1618" s="393"/>
      <c r="POA1618" s="393"/>
      <c r="POC1618" s="393"/>
      <c r="POE1618" s="393"/>
      <c r="POG1618" s="393"/>
      <c r="POI1618" s="393"/>
      <c r="POK1618" s="393"/>
      <c r="POM1618" s="393"/>
      <c r="POO1618" s="393"/>
      <c r="POQ1618" s="393"/>
      <c r="POS1618" s="393"/>
      <c r="POU1618" s="393"/>
      <c r="POW1618" s="393"/>
      <c r="POY1618" s="393"/>
      <c r="PPA1618" s="393"/>
      <c r="PPC1618" s="393"/>
      <c r="PPE1618" s="393"/>
      <c r="PPG1618" s="393"/>
      <c r="PPI1618" s="393"/>
      <c r="PPK1618" s="393"/>
      <c r="PPM1618" s="393"/>
      <c r="PPO1618" s="393"/>
      <c r="PPQ1618" s="393"/>
      <c r="PPS1618" s="393"/>
      <c r="PPU1618" s="393"/>
      <c r="PPW1618" s="393"/>
      <c r="PPY1618" s="393"/>
      <c r="PQA1618" s="393"/>
      <c r="PQC1618" s="393"/>
      <c r="PQE1618" s="393"/>
      <c r="PQG1618" s="393"/>
      <c r="PQI1618" s="393"/>
      <c r="PQK1618" s="393"/>
      <c r="PQM1618" s="393"/>
      <c r="PQO1618" s="393"/>
      <c r="PQQ1618" s="393"/>
      <c r="PQS1618" s="393"/>
      <c r="PQU1618" s="393"/>
      <c r="PQW1618" s="393"/>
      <c r="PQY1618" s="393"/>
      <c r="PRA1618" s="393"/>
      <c r="PRC1618" s="393"/>
      <c r="PRE1618" s="393"/>
      <c r="PRG1618" s="393"/>
      <c r="PRI1618" s="393"/>
      <c r="PRK1618" s="393"/>
      <c r="PRM1618" s="393"/>
      <c r="PRO1618" s="393"/>
      <c r="PRQ1618" s="393"/>
      <c r="PRS1618" s="393"/>
      <c r="PRU1618" s="393"/>
      <c r="PRW1618" s="393"/>
      <c r="PRY1618" s="393"/>
      <c r="PSA1618" s="393"/>
      <c r="PSC1618" s="393"/>
      <c r="PSE1618" s="393"/>
      <c r="PSG1618" s="393"/>
      <c r="PSI1618" s="393"/>
      <c r="PSK1618" s="393"/>
      <c r="PSM1618" s="393"/>
      <c r="PSO1618" s="393"/>
      <c r="PSQ1618" s="393"/>
      <c r="PSS1618" s="393"/>
      <c r="PSU1618" s="393"/>
      <c r="PSW1618" s="393"/>
      <c r="PSY1618" s="393"/>
      <c r="PTA1618" s="393"/>
      <c r="PTC1618" s="393"/>
      <c r="PTE1618" s="393"/>
      <c r="PTG1618" s="393"/>
      <c r="PTI1618" s="393"/>
      <c r="PTK1618" s="393"/>
      <c r="PTM1618" s="393"/>
      <c r="PTO1618" s="393"/>
      <c r="PTQ1618" s="393"/>
      <c r="PTS1618" s="393"/>
      <c r="PTU1618" s="393"/>
      <c r="PTW1618" s="393"/>
      <c r="PTY1618" s="393"/>
      <c r="PUA1618" s="393"/>
      <c r="PUC1618" s="393"/>
      <c r="PUE1618" s="393"/>
      <c r="PUG1618" s="393"/>
      <c r="PUI1618" s="393"/>
      <c r="PUK1618" s="393"/>
      <c r="PUM1618" s="393"/>
      <c r="PUO1618" s="393"/>
      <c r="PUQ1618" s="393"/>
      <c r="PUS1618" s="393"/>
      <c r="PUU1618" s="393"/>
      <c r="PUW1618" s="393"/>
      <c r="PUY1618" s="393"/>
      <c r="PVA1618" s="393"/>
      <c r="PVC1618" s="393"/>
      <c r="PVE1618" s="393"/>
      <c r="PVG1618" s="393"/>
      <c r="PVI1618" s="393"/>
      <c r="PVK1618" s="393"/>
      <c r="PVM1618" s="393"/>
      <c r="PVO1618" s="393"/>
      <c r="PVQ1618" s="393"/>
      <c r="PVS1618" s="393"/>
      <c r="PVU1618" s="393"/>
      <c r="PVW1618" s="393"/>
      <c r="PVY1618" s="393"/>
      <c r="PWA1618" s="393"/>
      <c r="PWC1618" s="393"/>
      <c r="PWE1618" s="393"/>
      <c r="PWG1618" s="393"/>
      <c r="PWI1618" s="393"/>
      <c r="PWK1618" s="393"/>
      <c r="PWM1618" s="393"/>
      <c r="PWO1618" s="393"/>
      <c r="PWQ1618" s="393"/>
      <c r="PWS1618" s="393"/>
      <c r="PWU1618" s="393"/>
      <c r="PWW1618" s="393"/>
      <c r="PWY1618" s="393"/>
      <c r="PXA1618" s="393"/>
      <c r="PXC1618" s="393"/>
      <c r="PXE1618" s="393"/>
      <c r="PXG1618" s="393"/>
      <c r="PXI1618" s="393"/>
      <c r="PXK1618" s="393"/>
      <c r="PXM1618" s="393"/>
      <c r="PXO1618" s="393"/>
      <c r="PXQ1618" s="393"/>
      <c r="PXS1618" s="393"/>
      <c r="PXU1618" s="393"/>
      <c r="PXW1618" s="393"/>
      <c r="PXY1618" s="393"/>
      <c r="PYA1618" s="393"/>
      <c r="PYC1618" s="393"/>
      <c r="PYE1618" s="393"/>
      <c r="PYG1618" s="393"/>
      <c r="PYI1618" s="393"/>
      <c r="PYK1618" s="393"/>
      <c r="PYM1618" s="393"/>
      <c r="PYO1618" s="393"/>
      <c r="PYQ1618" s="393"/>
      <c r="PYS1618" s="393"/>
      <c r="PYU1618" s="393"/>
      <c r="PYW1618" s="393"/>
      <c r="PYY1618" s="393"/>
      <c r="PZA1618" s="393"/>
      <c r="PZC1618" s="393"/>
      <c r="PZE1618" s="393"/>
      <c r="PZG1618" s="393"/>
      <c r="PZI1618" s="393"/>
      <c r="PZK1618" s="393"/>
      <c r="PZM1618" s="393"/>
      <c r="PZO1618" s="393"/>
      <c r="PZQ1618" s="393"/>
      <c r="PZS1618" s="393"/>
      <c r="PZU1618" s="393"/>
      <c r="PZW1618" s="393"/>
      <c r="PZY1618" s="393"/>
      <c r="QAA1618" s="393"/>
      <c r="QAC1618" s="393"/>
      <c r="QAE1618" s="393"/>
      <c r="QAG1618" s="393"/>
      <c r="QAI1618" s="393"/>
      <c r="QAK1618" s="393"/>
      <c r="QAM1618" s="393"/>
      <c r="QAO1618" s="393"/>
      <c r="QAQ1618" s="393"/>
      <c r="QAS1618" s="393"/>
      <c r="QAU1618" s="393"/>
      <c r="QAW1618" s="393"/>
      <c r="QAY1618" s="393"/>
      <c r="QBA1618" s="393"/>
      <c r="QBC1618" s="393"/>
      <c r="QBE1618" s="393"/>
      <c r="QBG1618" s="393"/>
      <c r="QBI1618" s="393"/>
      <c r="QBK1618" s="393"/>
      <c r="QBM1618" s="393"/>
      <c r="QBO1618" s="393"/>
      <c r="QBQ1618" s="393"/>
      <c r="QBS1618" s="393"/>
      <c r="QBU1618" s="393"/>
      <c r="QBW1618" s="393"/>
      <c r="QBY1618" s="393"/>
      <c r="QCA1618" s="393"/>
      <c r="QCC1618" s="393"/>
      <c r="QCE1618" s="393"/>
      <c r="QCG1618" s="393"/>
      <c r="QCI1618" s="393"/>
      <c r="QCK1618" s="393"/>
      <c r="QCM1618" s="393"/>
      <c r="QCO1618" s="393"/>
      <c r="QCQ1618" s="393"/>
      <c r="QCS1618" s="393"/>
      <c r="QCU1618" s="393"/>
      <c r="QCW1618" s="393"/>
      <c r="QCY1618" s="393"/>
      <c r="QDA1618" s="393"/>
      <c r="QDC1618" s="393"/>
      <c r="QDE1618" s="393"/>
      <c r="QDG1618" s="393"/>
      <c r="QDI1618" s="393"/>
      <c r="QDK1618" s="393"/>
      <c r="QDM1618" s="393"/>
      <c r="QDO1618" s="393"/>
      <c r="QDQ1618" s="393"/>
      <c r="QDS1618" s="393"/>
      <c r="QDU1618" s="393"/>
      <c r="QDW1618" s="393"/>
      <c r="QDY1618" s="393"/>
      <c r="QEA1618" s="393"/>
      <c r="QEC1618" s="393"/>
      <c r="QEE1618" s="393"/>
      <c r="QEG1618" s="393"/>
      <c r="QEI1618" s="393"/>
      <c r="QEK1618" s="393"/>
      <c r="QEM1618" s="393"/>
      <c r="QEO1618" s="393"/>
      <c r="QEQ1618" s="393"/>
      <c r="QES1618" s="393"/>
      <c r="QEU1618" s="393"/>
      <c r="QEW1618" s="393"/>
      <c r="QEY1618" s="393"/>
      <c r="QFA1618" s="393"/>
      <c r="QFC1618" s="393"/>
      <c r="QFE1618" s="393"/>
      <c r="QFG1618" s="393"/>
      <c r="QFI1618" s="393"/>
      <c r="QFK1618" s="393"/>
      <c r="QFM1618" s="393"/>
      <c r="QFO1618" s="393"/>
      <c r="QFQ1618" s="393"/>
      <c r="QFS1618" s="393"/>
      <c r="QFU1618" s="393"/>
      <c r="QFW1618" s="393"/>
      <c r="QFY1618" s="393"/>
      <c r="QGA1618" s="393"/>
      <c r="QGC1618" s="393"/>
      <c r="QGE1618" s="393"/>
      <c r="QGG1618" s="393"/>
      <c r="QGI1618" s="393"/>
      <c r="QGK1618" s="393"/>
      <c r="QGM1618" s="393"/>
      <c r="QGO1618" s="393"/>
      <c r="QGQ1618" s="393"/>
      <c r="QGS1618" s="393"/>
      <c r="QGU1618" s="393"/>
      <c r="QGW1618" s="393"/>
      <c r="QGY1618" s="393"/>
      <c r="QHA1618" s="393"/>
      <c r="QHC1618" s="393"/>
      <c r="QHE1618" s="393"/>
      <c r="QHG1618" s="393"/>
      <c r="QHI1618" s="393"/>
      <c r="QHK1618" s="393"/>
      <c r="QHM1618" s="393"/>
      <c r="QHO1618" s="393"/>
      <c r="QHQ1618" s="393"/>
      <c r="QHS1618" s="393"/>
      <c r="QHU1618" s="393"/>
      <c r="QHW1618" s="393"/>
      <c r="QHY1618" s="393"/>
      <c r="QIA1618" s="393"/>
      <c r="QIC1618" s="393"/>
      <c r="QIE1618" s="393"/>
      <c r="QIG1618" s="393"/>
      <c r="QII1618" s="393"/>
      <c r="QIK1618" s="393"/>
      <c r="QIM1618" s="393"/>
      <c r="QIO1618" s="393"/>
      <c r="QIQ1618" s="393"/>
      <c r="QIS1618" s="393"/>
      <c r="QIU1618" s="393"/>
      <c r="QIW1618" s="393"/>
      <c r="QIY1618" s="393"/>
      <c r="QJA1618" s="393"/>
      <c r="QJC1618" s="393"/>
      <c r="QJE1618" s="393"/>
      <c r="QJG1618" s="393"/>
      <c r="QJI1618" s="393"/>
      <c r="QJK1618" s="393"/>
      <c r="QJM1618" s="393"/>
      <c r="QJO1618" s="393"/>
      <c r="QJQ1618" s="393"/>
      <c r="QJS1618" s="393"/>
      <c r="QJU1618" s="393"/>
      <c r="QJW1618" s="393"/>
      <c r="QJY1618" s="393"/>
      <c r="QKA1618" s="393"/>
      <c r="QKC1618" s="393"/>
      <c r="QKE1618" s="393"/>
      <c r="QKG1618" s="393"/>
      <c r="QKI1618" s="393"/>
      <c r="QKK1618" s="393"/>
      <c r="QKM1618" s="393"/>
      <c r="QKO1618" s="393"/>
      <c r="QKQ1618" s="393"/>
      <c r="QKS1618" s="393"/>
      <c r="QKU1618" s="393"/>
      <c r="QKW1618" s="393"/>
      <c r="QKY1618" s="393"/>
      <c r="QLA1618" s="393"/>
      <c r="QLC1618" s="393"/>
      <c r="QLE1618" s="393"/>
      <c r="QLG1618" s="393"/>
      <c r="QLI1618" s="393"/>
      <c r="QLK1618" s="393"/>
      <c r="QLM1618" s="393"/>
      <c r="QLO1618" s="393"/>
      <c r="QLQ1618" s="393"/>
      <c r="QLS1618" s="393"/>
      <c r="QLU1618" s="393"/>
      <c r="QLW1618" s="393"/>
      <c r="QLY1618" s="393"/>
      <c r="QMA1618" s="393"/>
      <c r="QMC1618" s="393"/>
      <c r="QME1618" s="393"/>
      <c r="QMG1618" s="393"/>
      <c r="QMI1618" s="393"/>
      <c r="QMK1618" s="393"/>
      <c r="QMM1618" s="393"/>
      <c r="QMO1618" s="393"/>
      <c r="QMQ1618" s="393"/>
      <c r="QMS1618" s="393"/>
      <c r="QMU1618" s="393"/>
      <c r="QMW1618" s="393"/>
      <c r="QMY1618" s="393"/>
      <c r="QNA1618" s="393"/>
      <c r="QNC1618" s="393"/>
      <c r="QNE1618" s="393"/>
      <c r="QNG1618" s="393"/>
      <c r="QNI1618" s="393"/>
      <c r="QNK1618" s="393"/>
      <c r="QNM1618" s="393"/>
      <c r="QNO1618" s="393"/>
      <c r="QNQ1618" s="393"/>
      <c r="QNS1618" s="393"/>
      <c r="QNU1618" s="393"/>
      <c r="QNW1618" s="393"/>
      <c r="QNY1618" s="393"/>
      <c r="QOA1618" s="393"/>
      <c r="QOC1618" s="393"/>
      <c r="QOE1618" s="393"/>
      <c r="QOG1618" s="393"/>
      <c r="QOI1618" s="393"/>
      <c r="QOK1618" s="393"/>
      <c r="QOM1618" s="393"/>
      <c r="QOO1618" s="393"/>
      <c r="QOQ1618" s="393"/>
      <c r="QOS1618" s="393"/>
      <c r="QOU1618" s="393"/>
      <c r="QOW1618" s="393"/>
      <c r="QOY1618" s="393"/>
      <c r="QPA1618" s="393"/>
      <c r="QPC1618" s="393"/>
      <c r="QPE1618" s="393"/>
      <c r="QPG1618" s="393"/>
      <c r="QPI1618" s="393"/>
      <c r="QPK1618" s="393"/>
      <c r="QPM1618" s="393"/>
      <c r="QPO1618" s="393"/>
      <c r="QPQ1618" s="393"/>
      <c r="QPS1618" s="393"/>
      <c r="QPU1618" s="393"/>
      <c r="QPW1618" s="393"/>
      <c r="QPY1618" s="393"/>
      <c r="QQA1618" s="393"/>
      <c r="QQC1618" s="393"/>
      <c r="QQE1618" s="393"/>
      <c r="QQG1618" s="393"/>
      <c r="QQI1618" s="393"/>
      <c r="QQK1618" s="393"/>
      <c r="QQM1618" s="393"/>
      <c r="QQO1618" s="393"/>
      <c r="QQQ1618" s="393"/>
      <c r="QQS1618" s="393"/>
      <c r="QQU1618" s="393"/>
      <c r="QQW1618" s="393"/>
      <c r="QQY1618" s="393"/>
      <c r="QRA1618" s="393"/>
      <c r="QRC1618" s="393"/>
      <c r="QRE1618" s="393"/>
      <c r="QRG1618" s="393"/>
      <c r="QRI1618" s="393"/>
      <c r="QRK1618" s="393"/>
      <c r="QRM1618" s="393"/>
      <c r="QRO1618" s="393"/>
      <c r="QRQ1618" s="393"/>
      <c r="QRS1618" s="393"/>
      <c r="QRU1618" s="393"/>
      <c r="QRW1618" s="393"/>
      <c r="QRY1618" s="393"/>
      <c r="QSA1618" s="393"/>
      <c r="QSC1618" s="393"/>
      <c r="QSE1618" s="393"/>
      <c r="QSG1618" s="393"/>
      <c r="QSI1618" s="393"/>
      <c r="QSK1618" s="393"/>
      <c r="QSM1618" s="393"/>
      <c r="QSO1618" s="393"/>
      <c r="QSQ1618" s="393"/>
      <c r="QSS1618" s="393"/>
      <c r="QSU1618" s="393"/>
      <c r="QSW1618" s="393"/>
      <c r="QSY1618" s="393"/>
      <c r="QTA1618" s="393"/>
      <c r="QTC1618" s="393"/>
      <c r="QTE1618" s="393"/>
      <c r="QTG1618" s="393"/>
      <c r="QTI1618" s="393"/>
      <c r="QTK1618" s="393"/>
      <c r="QTM1618" s="393"/>
      <c r="QTO1618" s="393"/>
      <c r="QTQ1618" s="393"/>
      <c r="QTS1618" s="393"/>
      <c r="QTU1618" s="393"/>
      <c r="QTW1618" s="393"/>
      <c r="QTY1618" s="393"/>
      <c r="QUA1618" s="393"/>
      <c r="QUC1618" s="393"/>
      <c r="QUE1618" s="393"/>
      <c r="QUG1618" s="393"/>
      <c r="QUI1618" s="393"/>
      <c r="QUK1618" s="393"/>
      <c r="QUM1618" s="393"/>
      <c r="QUO1618" s="393"/>
      <c r="QUQ1618" s="393"/>
      <c r="QUS1618" s="393"/>
      <c r="QUU1618" s="393"/>
      <c r="QUW1618" s="393"/>
      <c r="QUY1618" s="393"/>
      <c r="QVA1618" s="393"/>
      <c r="QVC1618" s="393"/>
      <c r="QVE1618" s="393"/>
      <c r="QVG1618" s="393"/>
      <c r="QVI1618" s="393"/>
      <c r="QVK1618" s="393"/>
      <c r="QVM1618" s="393"/>
      <c r="QVO1618" s="393"/>
      <c r="QVQ1618" s="393"/>
      <c r="QVS1618" s="393"/>
      <c r="QVU1618" s="393"/>
      <c r="QVW1618" s="393"/>
      <c r="QVY1618" s="393"/>
      <c r="QWA1618" s="393"/>
      <c r="QWC1618" s="393"/>
      <c r="QWE1618" s="393"/>
      <c r="QWG1618" s="393"/>
      <c r="QWI1618" s="393"/>
      <c r="QWK1618" s="393"/>
      <c r="QWM1618" s="393"/>
      <c r="QWO1618" s="393"/>
      <c r="QWQ1618" s="393"/>
      <c r="QWS1618" s="393"/>
      <c r="QWU1618" s="393"/>
      <c r="QWW1618" s="393"/>
      <c r="QWY1618" s="393"/>
      <c r="QXA1618" s="393"/>
      <c r="QXC1618" s="393"/>
      <c r="QXE1618" s="393"/>
      <c r="QXG1618" s="393"/>
      <c r="QXI1618" s="393"/>
      <c r="QXK1618" s="393"/>
      <c r="QXM1618" s="393"/>
      <c r="QXO1618" s="393"/>
      <c r="QXQ1618" s="393"/>
      <c r="QXS1618" s="393"/>
      <c r="QXU1618" s="393"/>
      <c r="QXW1618" s="393"/>
      <c r="QXY1618" s="393"/>
      <c r="QYA1618" s="393"/>
      <c r="QYC1618" s="393"/>
      <c r="QYE1618" s="393"/>
      <c r="QYG1618" s="393"/>
      <c r="QYI1618" s="393"/>
      <c r="QYK1618" s="393"/>
      <c r="QYM1618" s="393"/>
      <c r="QYO1618" s="393"/>
      <c r="QYQ1618" s="393"/>
      <c r="QYS1618" s="393"/>
      <c r="QYU1618" s="393"/>
      <c r="QYW1618" s="393"/>
      <c r="QYY1618" s="393"/>
      <c r="QZA1618" s="393"/>
      <c r="QZC1618" s="393"/>
      <c r="QZE1618" s="393"/>
      <c r="QZG1618" s="393"/>
      <c r="QZI1618" s="393"/>
      <c r="QZK1618" s="393"/>
      <c r="QZM1618" s="393"/>
      <c r="QZO1618" s="393"/>
      <c r="QZQ1618" s="393"/>
      <c r="QZS1618" s="393"/>
      <c r="QZU1618" s="393"/>
      <c r="QZW1618" s="393"/>
      <c r="QZY1618" s="393"/>
      <c r="RAA1618" s="393"/>
      <c r="RAC1618" s="393"/>
      <c r="RAE1618" s="393"/>
      <c r="RAG1618" s="393"/>
      <c r="RAI1618" s="393"/>
      <c r="RAK1618" s="393"/>
      <c r="RAM1618" s="393"/>
      <c r="RAO1618" s="393"/>
      <c r="RAQ1618" s="393"/>
      <c r="RAS1618" s="393"/>
      <c r="RAU1618" s="393"/>
      <c r="RAW1618" s="393"/>
      <c r="RAY1618" s="393"/>
      <c r="RBA1618" s="393"/>
      <c r="RBC1618" s="393"/>
      <c r="RBE1618" s="393"/>
      <c r="RBG1618" s="393"/>
      <c r="RBI1618" s="393"/>
      <c r="RBK1618" s="393"/>
      <c r="RBM1618" s="393"/>
      <c r="RBO1618" s="393"/>
      <c r="RBQ1618" s="393"/>
      <c r="RBS1618" s="393"/>
      <c r="RBU1618" s="393"/>
      <c r="RBW1618" s="393"/>
      <c r="RBY1618" s="393"/>
      <c r="RCA1618" s="393"/>
      <c r="RCC1618" s="393"/>
      <c r="RCE1618" s="393"/>
      <c r="RCG1618" s="393"/>
      <c r="RCI1618" s="393"/>
      <c r="RCK1618" s="393"/>
      <c r="RCM1618" s="393"/>
      <c r="RCO1618" s="393"/>
      <c r="RCQ1618" s="393"/>
      <c r="RCS1618" s="393"/>
      <c r="RCU1618" s="393"/>
      <c r="RCW1618" s="393"/>
      <c r="RCY1618" s="393"/>
      <c r="RDA1618" s="393"/>
      <c r="RDC1618" s="393"/>
      <c r="RDE1618" s="393"/>
      <c r="RDG1618" s="393"/>
      <c r="RDI1618" s="393"/>
      <c r="RDK1618" s="393"/>
      <c r="RDM1618" s="393"/>
      <c r="RDO1618" s="393"/>
      <c r="RDQ1618" s="393"/>
      <c r="RDS1618" s="393"/>
      <c r="RDU1618" s="393"/>
      <c r="RDW1618" s="393"/>
      <c r="RDY1618" s="393"/>
      <c r="REA1618" s="393"/>
      <c r="REC1618" s="393"/>
      <c r="REE1618" s="393"/>
      <c r="REG1618" s="393"/>
      <c r="REI1618" s="393"/>
      <c r="REK1618" s="393"/>
      <c r="REM1618" s="393"/>
      <c r="REO1618" s="393"/>
      <c r="REQ1618" s="393"/>
      <c r="RES1618" s="393"/>
      <c r="REU1618" s="393"/>
      <c r="REW1618" s="393"/>
      <c r="REY1618" s="393"/>
      <c r="RFA1618" s="393"/>
      <c r="RFC1618" s="393"/>
      <c r="RFE1618" s="393"/>
      <c r="RFG1618" s="393"/>
      <c r="RFI1618" s="393"/>
      <c r="RFK1618" s="393"/>
      <c r="RFM1618" s="393"/>
      <c r="RFO1618" s="393"/>
      <c r="RFQ1618" s="393"/>
      <c r="RFS1618" s="393"/>
      <c r="RFU1618" s="393"/>
      <c r="RFW1618" s="393"/>
      <c r="RFY1618" s="393"/>
      <c r="RGA1618" s="393"/>
      <c r="RGC1618" s="393"/>
      <c r="RGE1618" s="393"/>
      <c r="RGG1618" s="393"/>
      <c r="RGI1618" s="393"/>
      <c r="RGK1618" s="393"/>
      <c r="RGM1618" s="393"/>
      <c r="RGO1618" s="393"/>
      <c r="RGQ1618" s="393"/>
      <c r="RGS1618" s="393"/>
      <c r="RGU1618" s="393"/>
      <c r="RGW1618" s="393"/>
      <c r="RGY1618" s="393"/>
      <c r="RHA1618" s="393"/>
      <c r="RHC1618" s="393"/>
      <c r="RHE1618" s="393"/>
      <c r="RHG1618" s="393"/>
      <c r="RHI1618" s="393"/>
      <c r="RHK1618" s="393"/>
      <c r="RHM1618" s="393"/>
      <c r="RHO1618" s="393"/>
      <c r="RHQ1618" s="393"/>
      <c r="RHS1618" s="393"/>
      <c r="RHU1618" s="393"/>
      <c r="RHW1618" s="393"/>
      <c r="RHY1618" s="393"/>
      <c r="RIA1618" s="393"/>
      <c r="RIC1618" s="393"/>
      <c r="RIE1618" s="393"/>
      <c r="RIG1618" s="393"/>
      <c r="RII1618" s="393"/>
      <c r="RIK1618" s="393"/>
      <c r="RIM1618" s="393"/>
      <c r="RIO1618" s="393"/>
      <c r="RIQ1618" s="393"/>
      <c r="RIS1618" s="393"/>
      <c r="RIU1618" s="393"/>
      <c r="RIW1618" s="393"/>
      <c r="RIY1618" s="393"/>
      <c r="RJA1618" s="393"/>
      <c r="RJC1618" s="393"/>
      <c r="RJE1618" s="393"/>
      <c r="RJG1618" s="393"/>
      <c r="RJI1618" s="393"/>
      <c r="RJK1618" s="393"/>
      <c r="RJM1618" s="393"/>
      <c r="RJO1618" s="393"/>
      <c r="RJQ1618" s="393"/>
      <c r="RJS1618" s="393"/>
      <c r="RJU1618" s="393"/>
      <c r="RJW1618" s="393"/>
      <c r="RJY1618" s="393"/>
      <c r="RKA1618" s="393"/>
      <c r="RKC1618" s="393"/>
      <c r="RKE1618" s="393"/>
      <c r="RKG1618" s="393"/>
      <c r="RKI1618" s="393"/>
      <c r="RKK1618" s="393"/>
      <c r="RKM1618" s="393"/>
      <c r="RKO1618" s="393"/>
      <c r="RKQ1618" s="393"/>
      <c r="RKS1618" s="393"/>
      <c r="RKU1618" s="393"/>
      <c r="RKW1618" s="393"/>
      <c r="RKY1618" s="393"/>
      <c r="RLA1618" s="393"/>
      <c r="RLC1618" s="393"/>
      <c r="RLE1618" s="393"/>
      <c r="RLG1618" s="393"/>
      <c r="RLI1618" s="393"/>
      <c r="RLK1618" s="393"/>
      <c r="RLM1618" s="393"/>
      <c r="RLO1618" s="393"/>
      <c r="RLQ1618" s="393"/>
      <c r="RLS1618" s="393"/>
      <c r="RLU1618" s="393"/>
      <c r="RLW1618" s="393"/>
      <c r="RLY1618" s="393"/>
      <c r="RMA1618" s="393"/>
      <c r="RMC1618" s="393"/>
      <c r="RME1618" s="393"/>
      <c r="RMG1618" s="393"/>
      <c r="RMI1618" s="393"/>
      <c r="RMK1618" s="393"/>
      <c r="RMM1618" s="393"/>
      <c r="RMO1618" s="393"/>
      <c r="RMQ1618" s="393"/>
      <c r="RMS1618" s="393"/>
      <c r="RMU1618" s="393"/>
      <c r="RMW1618" s="393"/>
      <c r="RMY1618" s="393"/>
      <c r="RNA1618" s="393"/>
      <c r="RNC1618" s="393"/>
      <c r="RNE1618" s="393"/>
      <c r="RNG1618" s="393"/>
      <c r="RNI1618" s="393"/>
      <c r="RNK1618" s="393"/>
      <c r="RNM1618" s="393"/>
      <c r="RNO1618" s="393"/>
      <c r="RNQ1618" s="393"/>
      <c r="RNS1618" s="393"/>
      <c r="RNU1618" s="393"/>
      <c r="RNW1618" s="393"/>
      <c r="RNY1618" s="393"/>
      <c r="ROA1618" s="393"/>
      <c r="ROC1618" s="393"/>
      <c r="ROE1618" s="393"/>
      <c r="ROG1618" s="393"/>
      <c r="ROI1618" s="393"/>
      <c r="ROK1618" s="393"/>
      <c r="ROM1618" s="393"/>
      <c r="ROO1618" s="393"/>
      <c r="ROQ1618" s="393"/>
      <c r="ROS1618" s="393"/>
      <c r="ROU1618" s="393"/>
      <c r="ROW1618" s="393"/>
      <c r="ROY1618" s="393"/>
      <c r="RPA1618" s="393"/>
      <c r="RPC1618" s="393"/>
      <c r="RPE1618" s="393"/>
      <c r="RPG1618" s="393"/>
      <c r="RPI1618" s="393"/>
      <c r="RPK1618" s="393"/>
      <c r="RPM1618" s="393"/>
      <c r="RPO1618" s="393"/>
      <c r="RPQ1618" s="393"/>
      <c r="RPS1618" s="393"/>
      <c r="RPU1618" s="393"/>
      <c r="RPW1618" s="393"/>
      <c r="RPY1618" s="393"/>
      <c r="RQA1618" s="393"/>
      <c r="RQC1618" s="393"/>
      <c r="RQE1618" s="393"/>
      <c r="RQG1618" s="393"/>
      <c r="RQI1618" s="393"/>
      <c r="RQK1618" s="393"/>
      <c r="RQM1618" s="393"/>
      <c r="RQO1618" s="393"/>
      <c r="RQQ1618" s="393"/>
      <c r="RQS1618" s="393"/>
      <c r="RQU1618" s="393"/>
      <c r="RQW1618" s="393"/>
      <c r="RQY1618" s="393"/>
      <c r="RRA1618" s="393"/>
      <c r="RRC1618" s="393"/>
      <c r="RRE1618" s="393"/>
      <c r="RRG1618" s="393"/>
      <c r="RRI1618" s="393"/>
      <c r="RRK1618" s="393"/>
      <c r="RRM1618" s="393"/>
      <c r="RRO1618" s="393"/>
      <c r="RRQ1618" s="393"/>
      <c r="RRS1618" s="393"/>
      <c r="RRU1618" s="393"/>
      <c r="RRW1618" s="393"/>
      <c r="RRY1618" s="393"/>
      <c r="RSA1618" s="393"/>
      <c r="RSC1618" s="393"/>
      <c r="RSE1618" s="393"/>
      <c r="RSG1618" s="393"/>
      <c r="RSI1618" s="393"/>
      <c r="RSK1618" s="393"/>
      <c r="RSM1618" s="393"/>
      <c r="RSO1618" s="393"/>
      <c r="RSQ1618" s="393"/>
      <c r="RSS1618" s="393"/>
      <c r="RSU1618" s="393"/>
      <c r="RSW1618" s="393"/>
      <c r="RSY1618" s="393"/>
      <c r="RTA1618" s="393"/>
      <c r="RTC1618" s="393"/>
      <c r="RTE1618" s="393"/>
      <c r="RTG1618" s="393"/>
      <c r="RTI1618" s="393"/>
      <c r="RTK1618" s="393"/>
      <c r="RTM1618" s="393"/>
      <c r="RTO1618" s="393"/>
      <c r="RTQ1618" s="393"/>
      <c r="RTS1618" s="393"/>
      <c r="RTU1618" s="393"/>
      <c r="RTW1618" s="393"/>
      <c r="RTY1618" s="393"/>
      <c r="RUA1618" s="393"/>
      <c r="RUC1618" s="393"/>
      <c r="RUE1618" s="393"/>
      <c r="RUG1618" s="393"/>
      <c r="RUI1618" s="393"/>
      <c r="RUK1618" s="393"/>
      <c r="RUM1618" s="393"/>
      <c r="RUO1618" s="393"/>
      <c r="RUQ1618" s="393"/>
      <c r="RUS1618" s="393"/>
      <c r="RUU1618" s="393"/>
      <c r="RUW1618" s="393"/>
      <c r="RUY1618" s="393"/>
      <c r="RVA1618" s="393"/>
      <c r="RVC1618" s="393"/>
      <c r="RVE1618" s="393"/>
      <c r="RVG1618" s="393"/>
      <c r="RVI1618" s="393"/>
      <c r="RVK1618" s="393"/>
      <c r="RVM1618" s="393"/>
      <c r="RVO1618" s="393"/>
      <c r="RVQ1618" s="393"/>
      <c r="RVS1618" s="393"/>
      <c r="RVU1618" s="393"/>
      <c r="RVW1618" s="393"/>
      <c r="RVY1618" s="393"/>
      <c r="RWA1618" s="393"/>
      <c r="RWC1618" s="393"/>
      <c r="RWE1618" s="393"/>
      <c r="RWG1618" s="393"/>
      <c r="RWI1618" s="393"/>
      <c r="RWK1618" s="393"/>
      <c r="RWM1618" s="393"/>
      <c r="RWO1618" s="393"/>
      <c r="RWQ1618" s="393"/>
      <c r="RWS1618" s="393"/>
      <c r="RWU1618" s="393"/>
      <c r="RWW1618" s="393"/>
      <c r="RWY1618" s="393"/>
      <c r="RXA1618" s="393"/>
      <c r="RXC1618" s="393"/>
      <c r="RXE1618" s="393"/>
      <c r="RXG1618" s="393"/>
      <c r="RXI1618" s="393"/>
      <c r="RXK1618" s="393"/>
      <c r="RXM1618" s="393"/>
      <c r="RXO1618" s="393"/>
      <c r="RXQ1618" s="393"/>
      <c r="RXS1618" s="393"/>
      <c r="RXU1618" s="393"/>
      <c r="RXW1618" s="393"/>
      <c r="RXY1618" s="393"/>
      <c r="RYA1618" s="393"/>
      <c r="RYC1618" s="393"/>
      <c r="RYE1618" s="393"/>
      <c r="RYG1618" s="393"/>
      <c r="RYI1618" s="393"/>
      <c r="RYK1618" s="393"/>
      <c r="RYM1618" s="393"/>
      <c r="RYO1618" s="393"/>
      <c r="RYQ1618" s="393"/>
      <c r="RYS1618" s="393"/>
      <c r="RYU1618" s="393"/>
      <c r="RYW1618" s="393"/>
      <c r="RYY1618" s="393"/>
      <c r="RZA1618" s="393"/>
      <c r="RZC1618" s="393"/>
      <c r="RZE1618" s="393"/>
      <c r="RZG1618" s="393"/>
      <c r="RZI1618" s="393"/>
      <c r="RZK1618" s="393"/>
      <c r="RZM1618" s="393"/>
      <c r="RZO1618" s="393"/>
      <c r="RZQ1618" s="393"/>
      <c r="RZS1618" s="393"/>
      <c r="RZU1618" s="393"/>
      <c r="RZW1618" s="393"/>
      <c r="RZY1618" s="393"/>
      <c r="SAA1618" s="393"/>
      <c r="SAC1618" s="393"/>
      <c r="SAE1618" s="393"/>
      <c r="SAG1618" s="393"/>
      <c r="SAI1618" s="393"/>
      <c r="SAK1618" s="393"/>
      <c r="SAM1618" s="393"/>
      <c r="SAO1618" s="393"/>
      <c r="SAQ1618" s="393"/>
      <c r="SAS1618" s="393"/>
      <c r="SAU1618" s="393"/>
      <c r="SAW1618" s="393"/>
      <c r="SAY1618" s="393"/>
      <c r="SBA1618" s="393"/>
      <c r="SBC1618" s="393"/>
      <c r="SBE1618" s="393"/>
      <c r="SBG1618" s="393"/>
      <c r="SBI1618" s="393"/>
      <c r="SBK1618" s="393"/>
      <c r="SBM1618" s="393"/>
      <c r="SBO1618" s="393"/>
      <c r="SBQ1618" s="393"/>
      <c r="SBS1618" s="393"/>
      <c r="SBU1618" s="393"/>
      <c r="SBW1618" s="393"/>
      <c r="SBY1618" s="393"/>
      <c r="SCA1618" s="393"/>
      <c r="SCC1618" s="393"/>
      <c r="SCE1618" s="393"/>
      <c r="SCG1618" s="393"/>
      <c r="SCI1618" s="393"/>
      <c r="SCK1618" s="393"/>
      <c r="SCM1618" s="393"/>
      <c r="SCO1618" s="393"/>
      <c r="SCQ1618" s="393"/>
      <c r="SCS1618" s="393"/>
      <c r="SCU1618" s="393"/>
      <c r="SCW1618" s="393"/>
      <c r="SCY1618" s="393"/>
      <c r="SDA1618" s="393"/>
      <c r="SDC1618" s="393"/>
      <c r="SDE1618" s="393"/>
      <c r="SDG1618" s="393"/>
      <c r="SDI1618" s="393"/>
      <c r="SDK1618" s="393"/>
      <c r="SDM1618" s="393"/>
      <c r="SDO1618" s="393"/>
      <c r="SDQ1618" s="393"/>
      <c r="SDS1618" s="393"/>
      <c r="SDU1618" s="393"/>
      <c r="SDW1618" s="393"/>
      <c r="SDY1618" s="393"/>
      <c r="SEA1618" s="393"/>
      <c r="SEC1618" s="393"/>
      <c r="SEE1618" s="393"/>
      <c r="SEG1618" s="393"/>
      <c r="SEI1618" s="393"/>
      <c r="SEK1618" s="393"/>
      <c r="SEM1618" s="393"/>
      <c r="SEO1618" s="393"/>
      <c r="SEQ1618" s="393"/>
      <c r="SES1618" s="393"/>
      <c r="SEU1618" s="393"/>
      <c r="SEW1618" s="393"/>
      <c r="SEY1618" s="393"/>
      <c r="SFA1618" s="393"/>
      <c r="SFC1618" s="393"/>
      <c r="SFE1618" s="393"/>
      <c r="SFG1618" s="393"/>
      <c r="SFI1618" s="393"/>
      <c r="SFK1618" s="393"/>
      <c r="SFM1618" s="393"/>
      <c r="SFO1618" s="393"/>
      <c r="SFQ1618" s="393"/>
      <c r="SFS1618" s="393"/>
      <c r="SFU1618" s="393"/>
      <c r="SFW1618" s="393"/>
      <c r="SFY1618" s="393"/>
      <c r="SGA1618" s="393"/>
      <c r="SGC1618" s="393"/>
      <c r="SGE1618" s="393"/>
      <c r="SGG1618" s="393"/>
      <c r="SGI1618" s="393"/>
      <c r="SGK1618" s="393"/>
      <c r="SGM1618" s="393"/>
      <c r="SGO1618" s="393"/>
      <c r="SGQ1618" s="393"/>
      <c r="SGS1618" s="393"/>
      <c r="SGU1618" s="393"/>
      <c r="SGW1618" s="393"/>
      <c r="SGY1618" s="393"/>
      <c r="SHA1618" s="393"/>
      <c r="SHC1618" s="393"/>
      <c r="SHE1618" s="393"/>
      <c r="SHG1618" s="393"/>
      <c r="SHI1618" s="393"/>
      <c r="SHK1618" s="393"/>
      <c r="SHM1618" s="393"/>
      <c r="SHO1618" s="393"/>
      <c r="SHQ1618" s="393"/>
      <c r="SHS1618" s="393"/>
      <c r="SHU1618" s="393"/>
      <c r="SHW1618" s="393"/>
      <c r="SHY1618" s="393"/>
      <c r="SIA1618" s="393"/>
      <c r="SIC1618" s="393"/>
      <c r="SIE1618" s="393"/>
      <c r="SIG1618" s="393"/>
      <c r="SII1618" s="393"/>
      <c r="SIK1618" s="393"/>
      <c r="SIM1618" s="393"/>
      <c r="SIO1618" s="393"/>
      <c r="SIQ1618" s="393"/>
      <c r="SIS1618" s="393"/>
      <c r="SIU1618" s="393"/>
      <c r="SIW1618" s="393"/>
      <c r="SIY1618" s="393"/>
      <c r="SJA1618" s="393"/>
      <c r="SJC1618" s="393"/>
      <c r="SJE1618" s="393"/>
      <c r="SJG1618" s="393"/>
      <c r="SJI1618" s="393"/>
      <c r="SJK1618" s="393"/>
      <c r="SJM1618" s="393"/>
      <c r="SJO1618" s="393"/>
      <c r="SJQ1618" s="393"/>
      <c r="SJS1618" s="393"/>
      <c r="SJU1618" s="393"/>
      <c r="SJW1618" s="393"/>
      <c r="SJY1618" s="393"/>
      <c r="SKA1618" s="393"/>
      <c r="SKC1618" s="393"/>
      <c r="SKE1618" s="393"/>
      <c r="SKG1618" s="393"/>
      <c r="SKI1618" s="393"/>
      <c r="SKK1618" s="393"/>
      <c r="SKM1618" s="393"/>
      <c r="SKO1618" s="393"/>
      <c r="SKQ1618" s="393"/>
      <c r="SKS1618" s="393"/>
      <c r="SKU1618" s="393"/>
      <c r="SKW1618" s="393"/>
      <c r="SKY1618" s="393"/>
      <c r="SLA1618" s="393"/>
      <c r="SLC1618" s="393"/>
      <c r="SLE1618" s="393"/>
      <c r="SLG1618" s="393"/>
      <c r="SLI1618" s="393"/>
      <c r="SLK1618" s="393"/>
      <c r="SLM1618" s="393"/>
      <c r="SLO1618" s="393"/>
      <c r="SLQ1618" s="393"/>
      <c r="SLS1618" s="393"/>
      <c r="SLU1618" s="393"/>
      <c r="SLW1618" s="393"/>
      <c r="SLY1618" s="393"/>
      <c r="SMA1618" s="393"/>
      <c r="SMC1618" s="393"/>
      <c r="SME1618" s="393"/>
      <c r="SMG1618" s="393"/>
      <c r="SMI1618" s="393"/>
      <c r="SMK1618" s="393"/>
      <c r="SMM1618" s="393"/>
      <c r="SMO1618" s="393"/>
      <c r="SMQ1618" s="393"/>
      <c r="SMS1618" s="393"/>
      <c r="SMU1618" s="393"/>
      <c r="SMW1618" s="393"/>
      <c r="SMY1618" s="393"/>
      <c r="SNA1618" s="393"/>
      <c r="SNC1618" s="393"/>
      <c r="SNE1618" s="393"/>
      <c r="SNG1618" s="393"/>
      <c r="SNI1618" s="393"/>
      <c r="SNK1618" s="393"/>
      <c r="SNM1618" s="393"/>
      <c r="SNO1618" s="393"/>
      <c r="SNQ1618" s="393"/>
      <c r="SNS1618" s="393"/>
      <c r="SNU1618" s="393"/>
      <c r="SNW1618" s="393"/>
      <c r="SNY1618" s="393"/>
      <c r="SOA1618" s="393"/>
      <c r="SOC1618" s="393"/>
      <c r="SOE1618" s="393"/>
      <c r="SOG1618" s="393"/>
      <c r="SOI1618" s="393"/>
      <c r="SOK1618" s="393"/>
      <c r="SOM1618" s="393"/>
      <c r="SOO1618" s="393"/>
      <c r="SOQ1618" s="393"/>
      <c r="SOS1618" s="393"/>
      <c r="SOU1618" s="393"/>
      <c r="SOW1618" s="393"/>
      <c r="SOY1618" s="393"/>
      <c r="SPA1618" s="393"/>
      <c r="SPC1618" s="393"/>
      <c r="SPE1618" s="393"/>
      <c r="SPG1618" s="393"/>
      <c r="SPI1618" s="393"/>
      <c r="SPK1618" s="393"/>
      <c r="SPM1618" s="393"/>
      <c r="SPO1618" s="393"/>
      <c r="SPQ1618" s="393"/>
      <c r="SPS1618" s="393"/>
      <c r="SPU1618" s="393"/>
      <c r="SPW1618" s="393"/>
      <c r="SPY1618" s="393"/>
      <c r="SQA1618" s="393"/>
      <c r="SQC1618" s="393"/>
      <c r="SQE1618" s="393"/>
      <c r="SQG1618" s="393"/>
      <c r="SQI1618" s="393"/>
      <c r="SQK1618" s="393"/>
      <c r="SQM1618" s="393"/>
      <c r="SQO1618" s="393"/>
      <c r="SQQ1618" s="393"/>
      <c r="SQS1618" s="393"/>
      <c r="SQU1618" s="393"/>
      <c r="SQW1618" s="393"/>
      <c r="SQY1618" s="393"/>
      <c r="SRA1618" s="393"/>
      <c r="SRC1618" s="393"/>
      <c r="SRE1618" s="393"/>
      <c r="SRG1618" s="393"/>
      <c r="SRI1618" s="393"/>
      <c r="SRK1618" s="393"/>
      <c r="SRM1618" s="393"/>
      <c r="SRO1618" s="393"/>
      <c r="SRQ1618" s="393"/>
      <c r="SRS1618" s="393"/>
      <c r="SRU1618" s="393"/>
      <c r="SRW1618" s="393"/>
      <c r="SRY1618" s="393"/>
      <c r="SSA1618" s="393"/>
      <c r="SSC1618" s="393"/>
      <c r="SSE1618" s="393"/>
      <c r="SSG1618" s="393"/>
      <c r="SSI1618" s="393"/>
      <c r="SSK1618" s="393"/>
      <c r="SSM1618" s="393"/>
      <c r="SSO1618" s="393"/>
      <c r="SSQ1618" s="393"/>
      <c r="SSS1618" s="393"/>
      <c r="SSU1618" s="393"/>
      <c r="SSW1618" s="393"/>
      <c r="SSY1618" s="393"/>
      <c r="STA1618" s="393"/>
      <c r="STC1618" s="393"/>
      <c r="STE1618" s="393"/>
      <c r="STG1618" s="393"/>
      <c r="STI1618" s="393"/>
      <c r="STK1618" s="393"/>
      <c r="STM1618" s="393"/>
      <c r="STO1618" s="393"/>
      <c r="STQ1618" s="393"/>
      <c r="STS1618" s="393"/>
      <c r="STU1618" s="393"/>
      <c r="STW1618" s="393"/>
      <c r="STY1618" s="393"/>
      <c r="SUA1618" s="393"/>
      <c r="SUC1618" s="393"/>
      <c r="SUE1618" s="393"/>
      <c r="SUG1618" s="393"/>
      <c r="SUI1618" s="393"/>
      <c r="SUK1618" s="393"/>
      <c r="SUM1618" s="393"/>
      <c r="SUO1618" s="393"/>
      <c r="SUQ1618" s="393"/>
      <c r="SUS1618" s="393"/>
      <c r="SUU1618" s="393"/>
      <c r="SUW1618" s="393"/>
      <c r="SUY1618" s="393"/>
      <c r="SVA1618" s="393"/>
      <c r="SVC1618" s="393"/>
      <c r="SVE1618" s="393"/>
      <c r="SVG1618" s="393"/>
      <c r="SVI1618" s="393"/>
      <c r="SVK1618" s="393"/>
      <c r="SVM1618" s="393"/>
      <c r="SVO1618" s="393"/>
      <c r="SVQ1618" s="393"/>
      <c r="SVS1618" s="393"/>
      <c r="SVU1618" s="393"/>
      <c r="SVW1618" s="393"/>
      <c r="SVY1618" s="393"/>
      <c r="SWA1618" s="393"/>
      <c r="SWC1618" s="393"/>
      <c r="SWE1618" s="393"/>
      <c r="SWG1618" s="393"/>
      <c r="SWI1618" s="393"/>
      <c r="SWK1618" s="393"/>
      <c r="SWM1618" s="393"/>
      <c r="SWO1618" s="393"/>
      <c r="SWQ1618" s="393"/>
      <c r="SWS1618" s="393"/>
      <c r="SWU1618" s="393"/>
      <c r="SWW1618" s="393"/>
      <c r="SWY1618" s="393"/>
      <c r="SXA1618" s="393"/>
      <c r="SXC1618" s="393"/>
      <c r="SXE1618" s="393"/>
      <c r="SXG1618" s="393"/>
      <c r="SXI1618" s="393"/>
      <c r="SXK1618" s="393"/>
      <c r="SXM1618" s="393"/>
      <c r="SXO1618" s="393"/>
      <c r="SXQ1618" s="393"/>
      <c r="SXS1618" s="393"/>
      <c r="SXU1618" s="393"/>
      <c r="SXW1618" s="393"/>
      <c r="SXY1618" s="393"/>
      <c r="SYA1618" s="393"/>
      <c r="SYC1618" s="393"/>
      <c r="SYE1618" s="393"/>
      <c r="SYG1618" s="393"/>
      <c r="SYI1618" s="393"/>
      <c r="SYK1618" s="393"/>
      <c r="SYM1618" s="393"/>
      <c r="SYO1618" s="393"/>
      <c r="SYQ1618" s="393"/>
      <c r="SYS1618" s="393"/>
      <c r="SYU1618" s="393"/>
      <c r="SYW1618" s="393"/>
      <c r="SYY1618" s="393"/>
      <c r="SZA1618" s="393"/>
      <c r="SZC1618" s="393"/>
      <c r="SZE1618" s="393"/>
      <c r="SZG1618" s="393"/>
      <c r="SZI1618" s="393"/>
      <c r="SZK1618" s="393"/>
      <c r="SZM1618" s="393"/>
      <c r="SZO1618" s="393"/>
      <c r="SZQ1618" s="393"/>
      <c r="SZS1618" s="393"/>
      <c r="SZU1618" s="393"/>
      <c r="SZW1618" s="393"/>
      <c r="SZY1618" s="393"/>
      <c r="TAA1618" s="393"/>
      <c r="TAC1618" s="393"/>
      <c r="TAE1618" s="393"/>
      <c r="TAG1618" s="393"/>
      <c r="TAI1618" s="393"/>
      <c r="TAK1618" s="393"/>
      <c r="TAM1618" s="393"/>
      <c r="TAO1618" s="393"/>
      <c r="TAQ1618" s="393"/>
      <c r="TAS1618" s="393"/>
      <c r="TAU1618" s="393"/>
      <c r="TAW1618" s="393"/>
      <c r="TAY1618" s="393"/>
      <c r="TBA1618" s="393"/>
      <c r="TBC1618" s="393"/>
      <c r="TBE1618" s="393"/>
      <c r="TBG1618" s="393"/>
      <c r="TBI1618" s="393"/>
      <c r="TBK1618" s="393"/>
      <c r="TBM1618" s="393"/>
      <c r="TBO1618" s="393"/>
      <c r="TBQ1618" s="393"/>
      <c r="TBS1618" s="393"/>
      <c r="TBU1618" s="393"/>
      <c r="TBW1618" s="393"/>
      <c r="TBY1618" s="393"/>
      <c r="TCA1618" s="393"/>
      <c r="TCC1618" s="393"/>
      <c r="TCE1618" s="393"/>
      <c r="TCG1618" s="393"/>
      <c r="TCI1618" s="393"/>
      <c r="TCK1618" s="393"/>
      <c r="TCM1618" s="393"/>
      <c r="TCO1618" s="393"/>
      <c r="TCQ1618" s="393"/>
      <c r="TCS1618" s="393"/>
      <c r="TCU1618" s="393"/>
      <c r="TCW1618" s="393"/>
      <c r="TCY1618" s="393"/>
      <c r="TDA1618" s="393"/>
      <c r="TDC1618" s="393"/>
      <c r="TDE1618" s="393"/>
      <c r="TDG1618" s="393"/>
      <c r="TDI1618" s="393"/>
      <c r="TDK1618" s="393"/>
      <c r="TDM1618" s="393"/>
      <c r="TDO1618" s="393"/>
      <c r="TDQ1618" s="393"/>
      <c r="TDS1618" s="393"/>
      <c r="TDU1618" s="393"/>
      <c r="TDW1618" s="393"/>
      <c r="TDY1618" s="393"/>
      <c r="TEA1618" s="393"/>
      <c r="TEC1618" s="393"/>
      <c r="TEE1618" s="393"/>
      <c r="TEG1618" s="393"/>
      <c r="TEI1618" s="393"/>
      <c r="TEK1618" s="393"/>
      <c r="TEM1618" s="393"/>
      <c r="TEO1618" s="393"/>
      <c r="TEQ1618" s="393"/>
      <c r="TES1618" s="393"/>
      <c r="TEU1618" s="393"/>
      <c r="TEW1618" s="393"/>
      <c r="TEY1618" s="393"/>
      <c r="TFA1618" s="393"/>
      <c r="TFC1618" s="393"/>
      <c r="TFE1618" s="393"/>
      <c r="TFG1618" s="393"/>
      <c r="TFI1618" s="393"/>
      <c r="TFK1618" s="393"/>
      <c r="TFM1618" s="393"/>
      <c r="TFO1618" s="393"/>
      <c r="TFQ1618" s="393"/>
      <c r="TFS1618" s="393"/>
      <c r="TFU1618" s="393"/>
      <c r="TFW1618" s="393"/>
      <c r="TFY1618" s="393"/>
      <c r="TGA1618" s="393"/>
      <c r="TGC1618" s="393"/>
      <c r="TGE1618" s="393"/>
      <c r="TGG1618" s="393"/>
      <c r="TGI1618" s="393"/>
      <c r="TGK1618" s="393"/>
      <c r="TGM1618" s="393"/>
      <c r="TGO1618" s="393"/>
      <c r="TGQ1618" s="393"/>
      <c r="TGS1618" s="393"/>
      <c r="TGU1618" s="393"/>
      <c r="TGW1618" s="393"/>
      <c r="TGY1618" s="393"/>
      <c r="THA1618" s="393"/>
      <c r="THC1618" s="393"/>
      <c r="THE1618" s="393"/>
      <c r="THG1618" s="393"/>
      <c r="THI1618" s="393"/>
      <c r="THK1618" s="393"/>
      <c r="THM1618" s="393"/>
      <c r="THO1618" s="393"/>
      <c r="THQ1618" s="393"/>
      <c r="THS1618" s="393"/>
      <c r="THU1618" s="393"/>
      <c r="THW1618" s="393"/>
      <c r="THY1618" s="393"/>
      <c r="TIA1618" s="393"/>
      <c r="TIC1618" s="393"/>
      <c r="TIE1618" s="393"/>
      <c r="TIG1618" s="393"/>
      <c r="TII1618" s="393"/>
      <c r="TIK1618" s="393"/>
      <c r="TIM1618" s="393"/>
      <c r="TIO1618" s="393"/>
      <c r="TIQ1618" s="393"/>
      <c r="TIS1618" s="393"/>
      <c r="TIU1618" s="393"/>
      <c r="TIW1618" s="393"/>
      <c r="TIY1618" s="393"/>
      <c r="TJA1618" s="393"/>
      <c r="TJC1618" s="393"/>
      <c r="TJE1618" s="393"/>
      <c r="TJG1618" s="393"/>
      <c r="TJI1618" s="393"/>
      <c r="TJK1618" s="393"/>
      <c r="TJM1618" s="393"/>
      <c r="TJO1618" s="393"/>
      <c r="TJQ1618" s="393"/>
      <c r="TJS1618" s="393"/>
      <c r="TJU1618" s="393"/>
      <c r="TJW1618" s="393"/>
      <c r="TJY1618" s="393"/>
      <c r="TKA1618" s="393"/>
      <c r="TKC1618" s="393"/>
      <c r="TKE1618" s="393"/>
      <c r="TKG1618" s="393"/>
      <c r="TKI1618" s="393"/>
      <c r="TKK1618" s="393"/>
      <c r="TKM1618" s="393"/>
      <c r="TKO1618" s="393"/>
      <c r="TKQ1618" s="393"/>
      <c r="TKS1618" s="393"/>
      <c r="TKU1618" s="393"/>
      <c r="TKW1618" s="393"/>
      <c r="TKY1618" s="393"/>
      <c r="TLA1618" s="393"/>
      <c r="TLC1618" s="393"/>
      <c r="TLE1618" s="393"/>
      <c r="TLG1618" s="393"/>
      <c r="TLI1618" s="393"/>
      <c r="TLK1618" s="393"/>
      <c r="TLM1618" s="393"/>
      <c r="TLO1618" s="393"/>
      <c r="TLQ1618" s="393"/>
      <c r="TLS1618" s="393"/>
      <c r="TLU1618" s="393"/>
      <c r="TLW1618" s="393"/>
      <c r="TLY1618" s="393"/>
      <c r="TMA1618" s="393"/>
      <c r="TMC1618" s="393"/>
      <c r="TME1618" s="393"/>
      <c r="TMG1618" s="393"/>
      <c r="TMI1618" s="393"/>
      <c r="TMK1618" s="393"/>
      <c r="TMM1618" s="393"/>
      <c r="TMO1618" s="393"/>
      <c r="TMQ1618" s="393"/>
      <c r="TMS1618" s="393"/>
      <c r="TMU1618" s="393"/>
      <c r="TMW1618" s="393"/>
      <c r="TMY1618" s="393"/>
      <c r="TNA1618" s="393"/>
      <c r="TNC1618" s="393"/>
      <c r="TNE1618" s="393"/>
      <c r="TNG1618" s="393"/>
      <c r="TNI1618" s="393"/>
      <c r="TNK1618" s="393"/>
      <c r="TNM1618" s="393"/>
      <c r="TNO1618" s="393"/>
      <c r="TNQ1618" s="393"/>
      <c r="TNS1618" s="393"/>
      <c r="TNU1618" s="393"/>
      <c r="TNW1618" s="393"/>
      <c r="TNY1618" s="393"/>
      <c r="TOA1618" s="393"/>
      <c r="TOC1618" s="393"/>
      <c r="TOE1618" s="393"/>
      <c r="TOG1618" s="393"/>
      <c r="TOI1618" s="393"/>
      <c r="TOK1618" s="393"/>
      <c r="TOM1618" s="393"/>
      <c r="TOO1618" s="393"/>
      <c r="TOQ1618" s="393"/>
      <c r="TOS1618" s="393"/>
      <c r="TOU1618" s="393"/>
      <c r="TOW1618" s="393"/>
      <c r="TOY1618" s="393"/>
      <c r="TPA1618" s="393"/>
      <c r="TPC1618" s="393"/>
      <c r="TPE1618" s="393"/>
      <c r="TPG1618" s="393"/>
      <c r="TPI1618" s="393"/>
      <c r="TPK1618" s="393"/>
      <c r="TPM1618" s="393"/>
      <c r="TPO1618" s="393"/>
      <c r="TPQ1618" s="393"/>
      <c r="TPS1618" s="393"/>
      <c r="TPU1618" s="393"/>
      <c r="TPW1618" s="393"/>
      <c r="TPY1618" s="393"/>
      <c r="TQA1618" s="393"/>
      <c r="TQC1618" s="393"/>
      <c r="TQE1618" s="393"/>
      <c r="TQG1618" s="393"/>
      <c r="TQI1618" s="393"/>
      <c r="TQK1618" s="393"/>
      <c r="TQM1618" s="393"/>
      <c r="TQO1618" s="393"/>
      <c r="TQQ1618" s="393"/>
      <c r="TQS1618" s="393"/>
      <c r="TQU1618" s="393"/>
      <c r="TQW1618" s="393"/>
      <c r="TQY1618" s="393"/>
      <c r="TRA1618" s="393"/>
      <c r="TRC1618" s="393"/>
      <c r="TRE1618" s="393"/>
      <c r="TRG1618" s="393"/>
      <c r="TRI1618" s="393"/>
      <c r="TRK1618" s="393"/>
      <c r="TRM1618" s="393"/>
      <c r="TRO1618" s="393"/>
      <c r="TRQ1618" s="393"/>
      <c r="TRS1618" s="393"/>
      <c r="TRU1618" s="393"/>
      <c r="TRW1618" s="393"/>
      <c r="TRY1618" s="393"/>
      <c r="TSA1618" s="393"/>
      <c r="TSC1618" s="393"/>
      <c r="TSE1618" s="393"/>
      <c r="TSG1618" s="393"/>
      <c r="TSI1618" s="393"/>
      <c r="TSK1618" s="393"/>
      <c r="TSM1618" s="393"/>
      <c r="TSO1618" s="393"/>
      <c r="TSQ1618" s="393"/>
      <c r="TSS1618" s="393"/>
      <c r="TSU1618" s="393"/>
      <c r="TSW1618" s="393"/>
      <c r="TSY1618" s="393"/>
      <c r="TTA1618" s="393"/>
      <c r="TTC1618" s="393"/>
      <c r="TTE1618" s="393"/>
      <c r="TTG1618" s="393"/>
      <c r="TTI1618" s="393"/>
      <c r="TTK1618" s="393"/>
      <c r="TTM1618" s="393"/>
      <c r="TTO1618" s="393"/>
      <c r="TTQ1618" s="393"/>
      <c r="TTS1618" s="393"/>
      <c r="TTU1618" s="393"/>
      <c r="TTW1618" s="393"/>
      <c r="TTY1618" s="393"/>
      <c r="TUA1618" s="393"/>
      <c r="TUC1618" s="393"/>
      <c r="TUE1618" s="393"/>
      <c r="TUG1618" s="393"/>
      <c r="TUI1618" s="393"/>
      <c r="TUK1618" s="393"/>
      <c r="TUM1618" s="393"/>
      <c r="TUO1618" s="393"/>
      <c r="TUQ1618" s="393"/>
      <c r="TUS1618" s="393"/>
      <c r="TUU1618" s="393"/>
      <c r="TUW1618" s="393"/>
      <c r="TUY1618" s="393"/>
      <c r="TVA1618" s="393"/>
      <c r="TVC1618" s="393"/>
      <c r="TVE1618" s="393"/>
      <c r="TVG1618" s="393"/>
      <c r="TVI1618" s="393"/>
      <c r="TVK1618" s="393"/>
      <c r="TVM1618" s="393"/>
      <c r="TVO1618" s="393"/>
      <c r="TVQ1618" s="393"/>
      <c r="TVS1618" s="393"/>
      <c r="TVU1618" s="393"/>
      <c r="TVW1618" s="393"/>
      <c r="TVY1618" s="393"/>
      <c r="TWA1618" s="393"/>
      <c r="TWC1618" s="393"/>
      <c r="TWE1618" s="393"/>
      <c r="TWG1618" s="393"/>
      <c r="TWI1618" s="393"/>
      <c r="TWK1618" s="393"/>
      <c r="TWM1618" s="393"/>
      <c r="TWO1618" s="393"/>
      <c r="TWQ1618" s="393"/>
      <c r="TWS1618" s="393"/>
      <c r="TWU1618" s="393"/>
      <c r="TWW1618" s="393"/>
      <c r="TWY1618" s="393"/>
      <c r="TXA1618" s="393"/>
      <c r="TXC1618" s="393"/>
      <c r="TXE1618" s="393"/>
      <c r="TXG1618" s="393"/>
      <c r="TXI1618" s="393"/>
      <c r="TXK1618" s="393"/>
      <c r="TXM1618" s="393"/>
      <c r="TXO1618" s="393"/>
      <c r="TXQ1618" s="393"/>
      <c r="TXS1618" s="393"/>
      <c r="TXU1618" s="393"/>
      <c r="TXW1618" s="393"/>
      <c r="TXY1618" s="393"/>
      <c r="TYA1618" s="393"/>
      <c r="TYC1618" s="393"/>
      <c r="TYE1618" s="393"/>
      <c r="TYG1618" s="393"/>
      <c r="TYI1618" s="393"/>
      <c r="TYK1618" s="393"/>
      <c r="TYM1618" s="393"/>
      <c r="TYO1618" s="393"/>
      <c r="TYQ1618" s="393"/>
      <c r="TYS1618" s="393"/>
      <c r="TYU1618" s="393"/>
      <c r="TYW1618" s="393"/>
      <c r="TYY1618" s="393"/>
      <c r="TZA1618" s="393"/>
      <c r="TZC1618" s="393"/>
      <c r="TZE1618" s="393"/>
      <c r="TZG1618" s="393"/>
      <c r="TZI1618" s="393"/>
      <c r="TZK1618" s="393"/>
      <c r="TZM1618" s="393"/>
      <c r="TZO1618" s="393"/>
      <c r="TZQ1618" s="393"/>
      <c r="TZS1618" s="393"/>
      <c r="TZU1618" s="393"/>
      <c r="TZW1618" s="393"/>
      <c r="TZY1618" s="393"/>
      <c r="UAA1618" s="393"/>
      <c r="UAC1618" s="393"/>
      <c r="UAE1618" s="393"/>
      <c r="UAG1618" s="393"/>
      <c r="UAI1618" s="393"/>
      <c r="UAK1618" s="393"/>
      <c r="UAM1618" s="393"/>
      <c r="UAO1618" s="393"/>
      <c r="UAQ1618" s="393"/>
      <c r="UAS1618" s="393"/>
      <c r="UAU1618" s="393"/>
      <c r="UAW1618" s="393"/>
      <c r="UAY1618" s="393"/>
      <c r="UBA1618" s="393"/>
      <c r="UBC1618" s="393"/>
      <c r="UBE1618" s="393"/>
      <c r="UBG1618" s="393"/>
      <c r="UBI1618" s="393"/>
      <c r="UBK1618" s="393"/>
      <c r="UBM1618" s="393"/>
      <c r="UBO1618" s="393"/>
      <c r="UBQ1618" s="393"/>
      <c r="UBS1618" s="393"/>
      <c r="UBU1618" s="393"/>
      <c r="UBW1618" s="393"/>
      <c r="UBY1618" s="393"/>
      <c r="UCA1618" s="393"/>
      <c r="UCC1618" s="393"/>
      <c r="UCE1618" s="393"/>
      <c r="UCG1618" s="393"/>
      <c r="UCI1618" s="393"/>
      <c r="UCK1618" s="393"/>
      <c r="UCM1618" s="393"/>
      <c r="UCO1618" s="393"/>
      <c r="UCQ1618" s="393"/>
      <c r="UCS1618" s="393"/>
      <c r="UCU1618" s="393"/>
      <c r="UCW1618" s="393"/>
      <c r="UCY1618" s="393"/>
      <c r="UDA1618" s="393"/>
      <c r="UDC1618" s="393"/>
      <c r="UDE1618" s="393"/>
      <c r="UDG1618" s="393"/>
      <c r="UDI1618" s="393"/>
      <c r="UDK1618" s="393"/>
      <c r="UDM1618" s="393"/>
      <c r="UDO1618" s="393"/>
      <c r="UDQ1618" s="393"/>
      <c r="UDS1618" s="393"/>
      <c r="UDU1618" s="393"/>
      <c r="UDW1618" s="393"/>
      <c r="UDY1618" s="393"/>
      <c r="UEA1618" s="393"/>
      <c r="UEC1618" s="393"/>
      <c r="UEE1618" s="393"/>
      <c r="UEG1618" s="393"/>
      <c r="UEI1618" s="393"/>
      <c r="UEK1618" s="393"/>
      <c r="UEM1618" s="393"/>
      <c r="UEO1618" s="393"/>
      <c r="UEQ1618" s="393"/>
      <c r="UES1618" s="393"/>
      <c r="UEU1618" s="393"/>
      <c r="UEW1618" s="393"/>
      <c r="UEY1618" s="393"/>
      <c r="UFA1618" s="393"/>
      <c r="UFC1618" s="393"/>
      <c r="UFE1618" s="393"/>
      <c r="UFG1618" s="393"/>
      <c r="UFI1618" s="393"/>
      <c r="UFK1618" s="393"/>
      <c r="UFM1618" s="393"/>
      <c r="UFO1618" s="393"/>
      <c r="UFQ1618" s="393"/>
      <c r="UFS1618" s="393"/>
      <c r="UFU1618" s="393"/>
      <c r="UFW1618" s="393"/>
      <c r="UFY1618" s="393"/>
      <c r="UGA1618" s="393"/>
      <c r="UGC1618" s="393"/>
      <c r="UGE1618" s="393"/>
      <c r="UGG1618" s="393"/>
      <c r="UGI1618" s="393"/>
      <c r="UGK1618" s="393"/>
      <c r="UGM1618" s="393"/>
      <c r="UGO1618" s="393"/>
      <c r="UGQ1618" s="393"/>
      <c r="UGS1618" s="393"/>
      <c r="UGU1618" s="393"/>
      <c r="UGW1618" s="393"/>
      <c r="UGY1618" s="393"/>
      <c r="UHA1618" s="393"/>
      <c r="UHC1618" s="393"/>
      <c r="UHE1618" s="393"/>
      <c r="UHG1618" s="393"/>
      <c r="UHI1618" s="393"/>
      <c r="UHK1618" s="393"/>
      <c r="UHM1618" s="393"/>
      <c r="UHO1618" s="393"/>
      <c r="UHQ1618" s="393"/>
      <c r="UHS1618" s="393"/>
      <c r="UHU1618" s="393"/>
      <c r="UHW1618" s="393"/>
      <c r="UHY1618" s="393"/>
      <c r="UIA1618" s="393"/>
      <c r="UIC1618" s="393"/>
      <c r="UIE1618" s="393"/>
      <c r="UIG1618" s="393"/>
      <c r="UII1618" s="393"/>
      <c r="UIK1618" s="393"/>
      <c r="UIM1618" s="393"/>
      <c r="UIO1618" s="393"/>
      <c r="UIQ1618" s="393"/>
      <c r="UIS1618" s="393"/>
      <c r="UIU1618" s="393"/>
      <c r="UIW1618" s="393"/>
      <c r="UIY1618" s="393"/>
      <c r="UJA1618" s="393"/>
      <c r="UJC1618" s="393"/>
      <c r="UJE1618" s="393"/>
      <c r="UJG1618" s="393"/>
      <c r="UJI1618" s="393"/>
      <c r="UJK1618" s="393"/>
      <c r="UJM1618" s="393"/>
      <c r="UJO1618" s="393"/>
      <c r="UJQ1618" s="393"/>
      <c r="UJS1618" s="393"/>
      <c r="UJU1618" s="393"/>
      <c r="UJW1618" s="393"/>
      <c r="UJY1618" s="393"/>
      <c r="UKA1618" s="393"/>
      <c r="UKC1618" s="393"/>
      <c r="UKE1618" s="393"/>
      <c r="UKG1618" s="393"/>
      <c r="UKI1618" s="393"/>
      <c r="UKK1618" s="393"/>
      <c r="UKM1618" s="393"/>
      <c r="UKO1618" s="393"/>
      <c r="UKQ1618" s="393"/>
      <c r="UKS1618" s="393"/>
      <c r="UKU1618" s="393"/>
      <c r="UKW1618" s="393"/>
      <c r="UKY1618" s="393"/>
      <c r="ULA1618" s="393"/>
      <c r="ULC1618" s="393"/>
      <c r="ULE1618" s="393"/>
      <c r="ULG1618" s="393"/>
      <c r="ULI1618" s="393"/>
      <c r="ULK1618" s="393"/>
      <c r="ULM1618" s="393"/>
      <c r="ULO1618" s="393"/>
      <c r="ULQ1618" s="393"/>
      <c r="ULS1618" s="393"/>
      <c r="ULU1618" s="393"/>
      <c r="ULW1618" s="393"/>
      <c r="ULY1618" s="393"/>
      <c r="UMA1618" s="393"/>
      <c r="UMC1618" s="393"/>
      <c r="UME1618" s="393"/>
      <c r="UMG1618" s="393"/>
      <c r="UMI1618" s="393"/>
      <c r="UMK1618" s="393"/>
      <c r="UMM1618" s="393"/>
      <c r="UMO1618" s="393"/>
      <c r="UMQ1618" s="393"/>
      <c r="UMS1618" s="393"/>
      <c r="UMU1618" s="393"/>
      <c r="UMW1618" s="393"/>
      <c r="UMY1618" s="393"/>
      <c r="UNA1618" s="393"/>
      <c r="UNC1618" s="393"/>
      <c r="UNE1618" s="393"/>
      <c r="UNG1618" s="393"/>
      <c r="UNI1618" s="393"/>
      <c r="UNK1618" s="393"/>
      <c r="UNM1618" s="393"/>
      <c r="UNO1618" s="393"/>
      <c r="UNQ1618" s="393"/>
      <c r="UNS1618" s="393"/>
      <c r="UNU1618" s="393"/>
      <c r="UNW1618" s="393"/>
      <c r="UNY1618" s="393"/>
      <c r="UOA1618" s="393"/>
      <c r="UOC1618" s="393"/>
      <c r="UOE1618" s="393"/>
      <c r="UOG1618" s="393"/>
      <c r="UOI1618" s="393"/>
      <c r="UOK1618" s="393"/>
      <c r="UOM1618" s="393"/>
      <c r="UOO1618" s="393"/>
      <c r="UOQ1618" s="393"/>
      <c r="UOS1618" s="393"/>
      <c r="UOU1618" s="393"/>
      <c r="UOW1618" s="393"/>
      <c r="UOY1618" s="393"/>
      <c r="UPA1618" s="393"/>
      <c r="UPC1618" s="393"/>
      <c r="UPE1618" s="393"/>
      <c r="UPG1618" s="393"/>
      <c r="UPI1618" s="393"/>
      <c r="UPK1618" s="393"/>
      <c r="UPM1618" s="393"/>
      <c r="UPO1618" s="393"/>
      <c r="UPQ1618" s="393"/>
      <c r="UPS1618" s="393"/>
      <c r="UPU1618" s="393"/>
      <c r="UPW1618" s="393"/>
      <c r="UPY1618" s="393"/>
      <c r="UQA1618" s="393"/>
      <c r="UQC1618" s="393"/>
      <c r="UQE1618" s="393"/>
      <c r="UQG1618" s="393"/>
      <c r="UQI1618" s="393"/>
      <c r="UQK1618" s="393"/>
      <c r="UQM1618" s="393"/>
      <c r="UQO1618" s="393"/>
      <c r="UQQ1618" s="393"/>
      <c r="UQS1618" s="393"/>
      <c r="UQU1618" s="393"/>
      <c r="UQW1618" s="393"/>
      <c r="UQY1618" s="393"/>
      <c r="URA1618" s="393"/>
      <c r="URC1618" s="393"/>
      <c r="URE1618" s="393"/>
      <c r="URG1618" s="393"/>
      <c r="URI1618" s="393"/>
      <c r="URK1618" s="393"/>
      <c r="URM1618" s="393"/>
      <c r="URO1618" s="393"/>
      <c r="URQ1618" s="393"/>
      <c r="URS1618" s="393"/>
      <c r="URU1618" s="393"/>
      <c r="URW1618" s="393"/>
      <c r="URY1618" s="393"/>
      <c r="USA1618" s="393"/>
      <c r="USC1618" s="393"/>
      <c r="USE1618" s="393"/>
      <c r="USG1618" s="393"/>
      <c r="USI1618" s="393"/>
      <c r="USK1618" s="393"/>
      <c r="USM1618" s="393"/>
      <c r="USO1618" s="393"/>
      <c r="USQ1618" s="393"/>
      <c r="USS1618" s="393"/>
      <c r="USU1618" s="393"/>
      <c r="USW1618" s="393"/>
      <c r="USY1618" s="393"/>
      <c r="UTA1618" s="393"/>
      <c r="UTC1618" s="393"/>
      <c r="UTE1618" s="393"/>
      <c r="UTG1618" s="393"/>
      <c r="UTI1618" s="393"/>
      <c r="UTK1618" s="393"/>
      <c r="UTM1618" s="393"/>
      <c r="UTO1618" s="393"/>
      <c r="UTQ1618" s="393"/>
      <c r="UTS1618" s="393"/>
      <c r="UTU1618" s="393"/>
      <c r="UTW1618" s="393"/>
      <c r="UTY1618" s="393"/>
      <c r="UUA1618" s="393"/>
      <c r="UUC1618" s="393"/>
      <c r="UUE1618" s="393"/>
      <c r="UUG1618" s="393"/>
      <c r="UUI1618" s="393"/>
      <c r="UUK1618" s="393"/>
      <c r="UUM1618" s="393"/>
      <c r="UUO1618" s="393"/>
      <c r="UUQ1618" s="393"/>
      <c r="UUS1618" s="393"/>
      <c r="UUU1618" s="393"/>
      <c r="UUW1618" s="393"/>
      <c r="UUY1618" s="393"/>
      <c r="UVA1618" s="393"/>
      <c r="UVC1618" s="393"/>
      <c r="UVE1618" s="393"/>
      <c r="UVG1618" s="393"/>
      <c r="UVI1618" s="393"/>
      <c r="UVK1618" s="393"/>
      <c r="UVM1618" s="393"/>
      <c r="UVO1618" s="393"/>
      <c r="UVQ1618" s="393"/>
      <c r="UVS1618" s="393"/>
      <c r="UVU1618" s="393"/>
      <c r="UVW1618" s="393"/>
      <c r="UVY1618" s="393"/>
      <c r="UWA1618" s="393"/>
      <c r="UWC1618" s="393"/>
      <c r="UWE1618" s="393"/>
      <c r="UWG1618" s="393"/>
      <c r="UWI1618" s="393"/>
      <c r="UWK1618" s="393"/>
      <c r="UWM1618" s="393"/>
      <c r="UWO1618" s="393"/>
      <c r="UWQ1618" s="393"/>
      <c r="UWS1618" s="393"/>
      <c r="UWU1618" s="393"/>
      <c r="UWW1618" s="393"/>
      <c r="UWY1618" s="393"/>
      <c r="UXA1618" s="393"/>
      <c r="UXC1618" s="393"/>
      <c r="UXE1618" s="393"/>
      <c r="UXG1618" s="393"/>
      <c r="UXI1618" s="393"/>
      <c r="UXK1618" s="393"/>
      <c r="UXM1618" s="393"/>
      <c r="UXO1618" s="393"/>
      <c r="UXQ1618" s="393"/>
      <c r="UXS1618" s="393"/>
      <c r="UXU1618" s="393"/>
      <c r="UXW1618" s="393"/>
      <c r="UXY1618" s="393"/>
      <c r="UYA1618" s="393"/>
      <c r="UYC1618" s="393"/>
      <c r="UYE1618" s="393"/>
      <c r="UYG1618" s="393"/>
      <c r="UYI1618" s="393"/>
      <c r="UYK1618" s="393"/>
      <c r="UYM1618" s="393"/>
      <c r="UYO1618" s="393"/>
      <c r="UYQ1618" s="393"/>
      <c r="UYS1618" s="393"/>
      <c r="UYU1618" s="393"/>
      <c r="UYW1618" s="393"/>
      <c r="UYY1618" s="393"/>
      <c r="UZA1618" s="393"/>
      <c r="UZC1618" s="393"/>
      <c r="UZE1618" s="393"/>
      <c r="UZG1618" s="393"/>
      <c r="UZI1618" s="393"/>
      <c r="UZK1618" s="393"/>
      <c r="UZM1618" s="393"/>
      <c r="UZO1618" s="393"/>
      <c r="UZQ1618" s="393"/>
      <c r="UZS1618" s="393"/>
      <c r="UZU1618" s="393"/>
      <c r="UZW1618" s="393"/>
      <c r="UZY1618" s="393"/>
      <c r="VAA1618" s="393"/>
      <c r="VAC1618" s="393"/>
      <c r="VAE1618" s="393"/>
      <c r="VAG1618" s="393"/>
      <c r="VAI1618" s="393"/>
      <c r="VAK1618" s="393"/>
      <c r="VAM1618" s="393"/>
      <c r="VAO1618" s="393"/>
      <c r="VAQ1618" s="393"/>
      <c r="VAS1618" s="393"/>
      <c r="VAU1618" s="393"/>
      <c r="VAW1618" s="393"/>
      <c r="VAY1618" s="393"/>
      <c r="VBA1618" s="393"/>
      <c r="VBC1618" s="393"/>
      <c r="VBE1618" s="393"/>
      <c r="VBG1618" s="393"/>
      <c r="VBI1618" s="393"/>
      <c r="VBK1618" s="393"/>
      <c r="VBM1618" s="393"/>
      <c r="VBO1618" s="393"/>
      <c r="VBQ1618" s="393"/>
      <c r="VBS1618" s="393"/>
      <c r="VBU1618" s="393"/>
      <c r="VBW1618" s="393"/>
      <c r="VBY1618" s="393"/>
      <c r="VCA1618" s="393"/>
      <c r="VCC1618" s="393"/>
      <c r="VCE1618" s="393"/>
      <c r="VCG1618" s="393"/>
      <c r="VCI1618" s="393"/>
      <c r="VCK1618" s="393"/>
      <c r="VCM1618" s="393"/>
      <c r="VCO1618" s="393"/>
      <c r="VCQ1618" s="393"/>
      <c r="VCS1618" s="393"/>
      <c r="VCU1618" s="393"/>
      <c r="VCW1618" s="393"/>
      <c r="VCY1618" s="393"/>
      <c r="VDA1618" s="393"/>
      <c r="VDC1618" s="393"/>
      <c r="VDE1618" s="393"/>
      <c r="VDG1618" s="393"/>
      <c r="VDI1618" s="393"/>
      <c r="VDK1618" s="393"/>
      <c r="VDM1618" s="393"/>
      <c r="VDO1618" s="393"/>
      <c r="VDQ1618" s="393"/>
      <c r="VDS1618" s="393"/>
      <c r="VDU1618" s="393"/>
      <c r="VDW1618" s="393"/>
      <c r="VDY1618" s="393"/>
      <c r="VEA1618" s="393"/>
      <c r="VEC1618" s="393"/>
      <c r="VEE1618" s="393"/>
      <c r="VEG1618" s="393"/>
      <c r="VEI1618" s="393"/>
      <c r="VEK1618" s="393"/>
      <c r="VEM1618" s="393"/>
      <c r="VEO1618" s="393"/>
      <c r="VEQ1618" s="393"/>
      <c r="VES1618" s="393"/>
      <c r="VEU1618" s="393"/>
      <c r="VEW1618" s="393"/>
      <c r="VEY1618" s="393"/>
      <c r="VFA1618" s="393"/>
      <c r="VFC1618" s="393"/>
      <c r="VFE1618" s="393"/>
      <c r="VFG1618" s="393"/>
      <c r="VFI1618" s="393"/>
      <c r="VFK1618" s="393"/>
      <c r="VFM1618" s="393"/>
      <c r="VFO1618" s="393"/>
      <c r="VFQ1618" s="393"/>
      <c r="VFS1618" s="393"/>
      <c r="VFU1618" s="393"/>
      <c r="VFW1618" s="393"/>
      <c r="VFY1618" s="393"/>
      <c r="VGA1618" s="393"/>
      <c r="VGC1618" s="393"/>
      <c r="VGE1618" s="393"/>
      <c r="VGG1618" s="393"/>
      <c r="VGI1618" s="393"/>
      <c r="VGK1618" s="393"/>
      <c r="VGM1618" s="393"/>
      <c r="VGO1618" s="393"/>
      <c r="VGQ1618" s="393"/>
      <c r="VGS1618" s="393"/>
      <c r="VGU1618" s="393"/>
      <c r="VGW1618" s="393"/>
      <c r="VGY1618" s="393"/>
      <c r="VHA1618" s="393"/>
      <c r="VHC1618" s="393"/>
      <c r="VHE1618" s="393"/>
      <c r="VHG1618" s="393"/>
      <c r="VHI1618" s="393"/>
      <c r="VHK1618" s="393"/>
      <c r="VHM1618" s="393"/>
      <c r="VHO1618" s="393"/>
      <c r="VHQ1618" s="393"/>
      <c r="VHS1618" s="393"/>
      <c r="VHU1618" s="393"/>
      <c r="VHW1618" s="393"/>
      <c r="VHY1618" s="393"/>
      <c r="VIA1618" s="393"/>
      <c r="VIC1618" s="393"/>
      <c r="VIE1618" s="393"/>
      <c r="VIG1618" s="393"/>
      <c r="VII1618" s="393"/>
      <c r="VIK1618" s="393"/>
      <c r="VIM1618" s="393"/>
      <c r="VIO1618" s="393"/>
      <c r="VIQ1618" s="393"/>
      <c r="VIS1618" s="393"/>
      <c r="VIU1618" s="393"/>
      <c r="VIW1618" s="393"/>
      <c r="VIY1618" s="393"/>
      <c r="VJA1618" s="393"/>
      <c r="VJC1618" s="393"/>
      <c r="VJE1618" s="393"/>
      <c r="VJG1618" s="393"/>
      <c r="VJI1618" s="393"/>
      <c r="VJK1618" s="393"/>
      <c r="VJM1618" s="393"/>
      <c r="VJO1618" s="393"/>
      <c r="VJQ1618" s="393"/>
      <c r="VJS1618" s="393"/>
      <c r="VJU1618" s="393"/>
      <c r="VJW1618" s="393"/>
      <c r="VJY1618" s="393"/>
      <c r="VKA1618" s="393"/>
      <c r="VKC1618" s="393"/>
      <c r="VKE1618" s="393"/>
      <c r="VKG1618" s="393"/>
      <c r="VKI1618" s="393"/>
      <c r="VKK1618" s="393"/>
      <c r="VKM1618" s="393"/>
      <c r="VKO1618" s="393"/>
      <c r="VKQ1618" s="393"/>
      <c r="VKS1618" s="393"/>
      <c r="VKU1618" s="393"/>
      <c r="VKW1618" s="393"/>
      <c r="VKY1618" s="393"/>
      <c r="VLA1618" s="393"/>
      <c r="VLC1618" s="393"/>
      <c r="VLE1618" s="393"/>
      <c r="VLG1618" s="393"/>
      <c r="VLI1618" s="393"/>
      <c r="VLK1618" s="393"/>
      <c r="VLM1618" s="393"/>
      <c r="VLO1618" s="393"/>
      <c r="VLQ1618" s="393"/>
      <c r="VLS1618" s="393"/>
      <c r="VLU1618" s="393"/>
      <c r="VLW1618" s="393"/>
      <c r="VLY1618" s="393"/>
      <c r="VMA1618" s="393"/>
      <c r="VMC1618" s="393"/>
      <c r="VME1618" s="393"/>
      <c r="VMG1618" s="393"/>
      <c r="VMI1618" s="393"/>
      <c r="VMK1618" s="393"/>
      <c r="VMM1618" s="393"/>
      <c r="VMO1618" s="393"/>
      <c r="VMQ1618" s="393"/>
      <c r="VMS1618" s="393"/>
      <c r="VMU1618" s="393"/>
      <c r="VMW1618" s="393"/>
      <c r="VMY1618" s="393"/>
      <c r="VNA1618" s="393"/>
      <c r="VNC1618" s="393"/>
      <c r="VNE1618" s="393"/>
      <c r="VNG1618" s="393"/>
      <c r="VNI1618" s="393"/>
      <c r="VNK1618" s="393"/>
      <c r="VNM1618" s="393"/>
      <c r="VNO1618" s="393"/>
      <c r="VNQ1618" s="393"/>
      <c r="VNS1618" s="393"/>
      <c r="VNU1618" s="393"/>
      <c r="VNW1618" s="393"/>
      <c r="VNY1618" s="393"/>
      <c r="VOA1618" s="393"/>
      <c r="VOC1618" s="393"/>
      <c r="VOE1618" s="393"/>
      <c r="VOG1618" s="393"/>
      <c r="VOI1618" s="393"/>
      <c r="VOK1618" s="393"/>
      <c r="VOM1618" s="393"/>
      <c r="VOO1618" s="393"/>
      <c r="VOQ1618" s="393"/>
      <c r="VOS1618" s="393"/>
      <c r="VOU1618" s="393"/>
      <c r="VOW1618" s="393"/>
      <c r="VOY1618" s="393"/>
      <c r="VPA1618" s="393"/>
      <c r="VPC1618" s="393"/>
      <c r="VPE1618" s="393"/>
      <c r="VPG1618" s="393"/>
      <c r="VPI1618" s="393"/>
      <c r="VPK1618" s="393"/>
      <c r="VPM1618" s="393"/>
      <c r="VPO1618" s="393"/>
      <c r="VPQ1618" s="393"/>
      <c r="VPS1618" s="393"/>
      <c r="VPU1618" s="393"/>
      <c r="VPW1618" s="393"/>
      <c r="VPY1618" s="393"/>
      <c r="VQA1618" s="393"/>
      <c r="VQC1618" s="393"/>
      <c r="VQE1618" s="393"/>
      <c r="VQG1618" s="393"/>
      <c r="VQI1618" s="393"/>
      <c r="VQK1618" s="393"/>
      <c r="VQM1618" s="393"/>
      <c r="VQO1618" s="393"/>
      <c r="VQQ1618" s="393"/>
      <c r="VQS1618" s="393"/>
      <c r="VQU1618" s="393"/>
      <c r="VQW1618" s="393"/>
      <c r="VQY1618" s="393"/>
      <c r="VRA1618" s="393"/>
      <c r="VRC1618" s="393"/>
      <c r="VRE1618" s="393"/>
      <c r="VRG1618" s="393"/>
      <c r="VRI1618" s="393"/>
      <c r="VRK1618" s="393"/>
      <c r="VRM1618" s="393"/>
      <c r="VRO1618" s="393"/>
      <c r="VRQ1618" s="393"/>
      <c r="VRS1618" s="393"/>
      <c r="VRU1618" s="393"/>
      <c r="VRW1618" s="393"/>
      <c r="VRY1618" s="393"/>
      <c r="VSA1618" s="393"/>
      <c r="VSC1618" s="393"/>
      <c r="VSE1618" s="393"/>
      <c r="VSG1618" s="393"/>
      <c r="VSI1618" s="393"/>
      <c r="VSK1618" s="393"/>
      <c r="VSM1618" s="393"/>
      <c r="VSO1618" s="393"/>
      <c r="VSQ1618" s="393"/>
      <c r="VSS1618" s="393"/>
      <c r="VSU1618" s="393"/>
      <c r="VSW1618" s="393"/>
      <c r="VSY1618" s="393"/>
      <c r="VTA1618" s="393"/>
      <c r="VTC1618" s="393"/>
      <c r="VTE1618" s="393"/>
      <c r="VTG1618" s="393"/>
      <c r="VTI1618" s="393"/>
      <c r="VTK1618" s="393"/>
      <c r="VTM1618" s="393"/>
      <c r="VTO1618" s="393"/>
      <c r="VTQ1618" s="393"/>
      <c r="VTS1618" s="393"/>
      <c r="VTU1618" s="393"/>
      <c r="VTW1618" s="393"/>
      <c r="VTY1618" s="393"/>
      <c r="VUA1618" s="393"/>
      <c r="VUC1618" s="393"/>
      <c r="VUE1618" s="393"/>
      <c r="VUG1618" s="393"/>
      <c r="VUI1618" s="393"/>
      <c r="VUK1618" s="393"/>
      <c r="VUM1618" s="393"/>
      <c r="VUO1618" s="393"/>
      <c r="VUQ1618" s="393"/>
      <c r="VUS1618" s="393"/>
      <c r="VUU1618" s="393"/>
      <c r="VUW1618" s="393"/>
      <c r="VUY1618" s="393"/>
      <c r="VVA1618" s="393"/>
      <c r="VVC1618" s="393"/>
      <c r="VVE1618" s="393"/>
      <c r="VVG1618" s="393"/>
      <c r="VVI1618" s="393"/>
      <c r="VVK1618" s="393"/>
      <c r="VVM1618" s="393"/>
      <c r="VVO1618" s="393"/>
      <c r="VVQ1618" s="393"/>
      <c r="VVS1618" s="393"/>
      <c r="VVU1618" s="393"/>
      <c r="VVW1618" s="393"/>
      <c r="VVY1618" s="393"/>
      <c r="VWA1618" s="393"/>
      <c r="VWC1618" s="393"/>
      <c r="VWE1618" s="393"/>
      <c r="VWG1618" s="393"/>
      <c r="VWI1618" s="393"/>
      <c r="VWK1618" s="393"/>
      <c r="VWM1618" s="393"/>
      <c r="VWO1618" s="393"/>
      <c r="VWQ1618" s="393"/>
      <c r="VWS1618" s="393"/>
      <c r="VWU1618" s="393"/>
      <c r="VWW1618" s="393"/>
      <c r="VWY1618" s="393"/>
      <c r="VXA1618" s="393"/>
      <c r="VXC1618" s="393"/>
      <c r="VXE1618" s="393"/>
      <c r="VXG1618" s="393"/>
      <c r="VXI1618" s="393"/>
      <c r="VXK1618" s="393"/>
      <c r="VXM1618" s="393"/>
      <c r="VXO1618" s="393"/>
      <c r="VXQ1618" s="393"/>
      <c r="VXS1618" s="393"/>
      <c r="VXU1618" s="393"/>
      <c r="VXW1618" s="393"/>
      <c r="VXY1618" s="393"/>
      <c r="VYA1618" s="393"/>
      <c r="VYC1618" s="393"/>
      <c r="VYE1618" s="393"/>
      <c r="VYG1618" s="393"/>
      <c r="VYI1618" s="393"/>
      <c r="VYK1618" s="393"/>
      <c r="VYM1618" s="393"/>
      <c r="VYO1618" s="393"/>
      <c r="VYQ1618" s="393"/>
      <c r="VYS1618" s="393"/>
      <c r="VYU1618" s="393"/>
      <c r="VYW1618" s="393"/>
      <c r="VYY1618" s="393"/>
      <c r="VZA1618" s="393"/>
      <c r="VZC1618" s="393"/>
      <c r="VZE1618" s="393"/>
      <c r="VZG1618" s="393"/>
      <c r="VZI1618" s="393"/>
      <c r="VZK1618" s="393"/>
      <c r="VZM1618" s="393"/>
      <c r="VZO1618" s="393"/>
      <c r="VZQ1618" s="393"/>
      <c r="VZS1618" s="393"/>
      <c r="VZU1618" s="393"/>
      <c r="VZW1618" s="393"/>
      <c r="VZY1618" s="393"/>
      <c r="WAA1618" s="393"/>
      <c r="WAC1618" s="393"/>
      <c r="WAE1618" s="393"/>
      <c r="WAG1618" s="393"/>
      <c r="WAI1618" s="393"/>
      <c r="WAK1618" s="393"/>
      <c r="WAM1618" s="393"/>
      <c r="WAO1618" s="393"/>
      <c r="WAQ1618" s="393"/>
      <c r="WAS1618" s="393"/>
      <c r="WAU1618" s="393"/>
      <c r="WAW1618" s="393"/>
      <c r="WAY1618" s="393"/>
      <c r="WBA1618" s="393"/>
      <c r="WBC1618" s="393"/>
      <c r="WBE1618" s="393"/>
      <c r="WBG1618" s="393"/>
      <c r="WBI1618" s="393"/>
      <c r="WBK1618" s="393"/>
      <c r="WBM1618" s="393"/>
      <c r="WBO1618" s="393"/>
      <c r="WBQ1618" s="393"/>
      <c r="WBS1618" s="393"/>
      <c r="WBU1618" s="393"/>
      <c r="WBW1618" s="393"/>
      <c r="WBY1618" s="393"/>
      <c r="WCA1618" s="393"/>
      <c r="WCC1618" s="393"/>
      <c r="WCE1618" s="393"/>
      <c r="WCG1618" s="393"/>
      <c r="WCI1618" s="393"/>
      <c r="WCK1618" s="393"/>
      <c r="WCM1618" s="393"/>
      <c r="WCO1618" s="393"/>
      <c r="WCQ1618" s="393"/>
      <c r="WCS1618" s="393"/>
      <c r="WCU1618" s="393"/>
      <c r="WCW1618" s="393"/>
      <c r="WCY1618" s="393"/>
      <c r="WDA1618" s="393"/>
      <c r="WDC1618" s="393"/>
      <c r="WDE1618" s="393"/>
      <c r="WDG1618" s="393"/>
      <c r="WDI1618" s="393"/>
      <c r="WDK1618" s="393"/>
      <c r="WDM1618" s="393"/>
      <c r="WDO1618" s="393"/>
      <c r="WDQ1618" s="393"/>
      <c r="WDS1618" s="393"/>
      <c r="WDU1618" s="393"/>
      <c r="WDW1618" s="393"/>
      <c r="WDY1618" s="393"/>
      <c r="WEA1618" s="393"/>
      <c r="WEC1618" s="393"/>
      <c r="WEE1618" s="393"/>
      <c r="WEG1618" s="393"/>
      <c r="WEI1618" s="393"/>
      <c r="WEK1618" s="393"/>
      <c r="WEM1618" s="393"/>
      <c r="WEO1618" s="393"/>
      <c r="WEQ1618" s="393"/>
      <c r="WES1618" s="393"/>
      <c r="WEU1618" s="393"/>
      <c r="WEW1618" s="393"/>
      <c r="WEY1618" s="393"/>
      <c r="WFA1618" s="393"/>
      <c r="WFC1618" s="393"/>
      <c r="WFE1618" s="393"/>
      <c r="WFG1618" s="393"/>
      <c r="WFI1618" s="393"/>
      <c r="WFK1618" s="393"/>
      <c r="WFM1618" s="393"/>
      <c r="WFO1618" s="393"/>
      <c r="WFQ1618" s="393"/>
      <c r="WFS1618" s="393"/>
      <c r="WFU1618" s="393"/>
      <c r="WFW1618" s="393"/>
      <c r="WFY1618" s="393"/>
      <c r="WGA1618" s="393"/>
      <c r="WGC1618" s="393"/>
      <c r="WGE1618" s="393"/>
      <c r="WGG1618" s="393"/>
      <c r="WGI1618" s="393"/>
      <c r="WGK1618" s="393"/>
      <c r="WGM1618" s="393"/>
      <c r="WGO1618" s="393"/>
      <c r="WGQ1618" s="393"/>
      <c r="WGS1618" s="393"/>
      <c r="WGU1618" s="393"/>
      <c r="WGW1618" s="393"/>
      <c r="WGY1618" s="393"/>
      <c r="WHA1618" s="393"/>
      <c r="WHC1618" s="393"/>
      <c r="WHE1618" s="393"/>
      <c r="WHG1618" s="393"/>
      <c r="WHI1618" s="393"/>
      <c r="WHK1618" s="393"/>
      <c r="WHM1618" s="393"/>
      <c r="WHO1618" s="393"/>
      <c r="WHQ1618" s="393"/>
      <c r="WHS1618" s="393"/>
      <c r="WHU1618" s="393"/>
      <c r="WHW1618" s="393"/>
      <c r="WHY1618" s="393"/>
      <c r="WIA1618" s="393"/>
      <c r="WIC1618" s="393"/>
      <c r="WIE1618" s="393"/>
      <c r="WIG1618" s="393"/>
      <c r="WII1618" s="393"/>
      <c r="WIK1618" s="393"/>
      <c r="WIM1618" s="393"/>
      <c r="WIO1618" s="393"/>
      <c r="WIQ1618" s="393"/>
      <c r="WIS1618" s="393"/>
      <c r="WIU1618" s="393"/>
      <c r="WIW1618" s="393"/>
      <c r="WIY1618" s="393"/>
      <c r="WJA1618" s="393"/>
      <c r="WJC1618" s="393"/>
      <c r="WJE1618" s="393"/>
      <c r="WJG1618" s="393"/>
      <c r="WJI1618" s="393"/>
      <c r="WJK1618" s="393"/>
      <c r="WJM1618" s="393"/>
      <c r="WJO1618" s="393"/>
      <c r="WJQ1618" s="393"/>
      <c r="WJS1618" s="393"/>
      <c r="WJU1618" s="393"/>
      <c r="WJW1618" s="393"/>
      <c r="WJY1618" s="393"/>
      <c r="WKA1618" s="393"/>
      <c r="WKC1618" s="393"/>
      <c r="WKE1618" s="393"/>
      <c r="WKG1618" s="393"/>
      <c r="WKI1618" s="393"/>
      <c r="WKK1618" s="393"/>
      <c r="WKM1618" s="393"/>
      <c r="WKO1618" s="393"/>
      <c r="WKQ1618" s="393"/>
      <c r="WKS1618" s="393"/>
      <c r="WKU1618" s="393"/>
      <c r="WKW1618" s="393"/>
      <c r="WKY1618" s="393"/>
      <c r="WLA1618" s="393"/>
      <c r="WLC1618" s="393"/>
      <c r="WLE1618" s="393"/>
      <c r="WLG1618" s="393"/>
      <c r="WLI1618" s="393"/>
      <c r="WLK1618" s="393"/>
      <c r="WLM1618" s="393"/>
      <c r="WLO1618" s="393"/>
      <c r="WLQ1618" s="393"/>
      <c r="WLS1618" s="393"/>
      <c r="WLU1618" s="393"/>
      <c r="WLW1618" s="393"/>
      <c r="WLY1618" s="393"/>
      <c r="WMA1618" s="393"/>
      <c r="WMC1618" s="393"/>
      <c r="WME1618" s="393"/>
      <c r="WMG1618" s="393"/>
      <c r="WMI1618" s="393"/>
      <c r="WMK1618" s="393"/>
      <c r="WMM1618" s="393"/>
      <c r="WMO1618" s="393"/>
      <c r="WMQ1618" s="393"/>
      <c r="WMS1618" s="393"/>
      <c r="WMU1618" s="393"/>
      <c r="WMW1618" s="393"/>
      <c r="WMY1618" s="393"/>
      <c r="WNA1618" s="393"/>
      <c r="WNC1618" s="393"/>
      <c r="WNE1618" s="393"/>
      <c r="WNG1618" s="393"/>
      <c r="WNI1618" s="393"/>
      <c r="WNK1618" s="393"/>
      <c r="WNM1618" s="393"/>
      <c r="WNO1618" s="393"/>
      <c r="WNQ1618" s="393"/>
      <c r="WNS1618" s="393"/>
      <c r="WNU1618" s="393"/>
      <c r="WNW1618" s="393"/>
      <c r="WNY1618" s="393"/>
      <c r="WOA1618" s="393"/>
      <c r="WOC1618" s="393"/>
      <c r="WOE1618" s="393"/>
      <c r="WOG1618" s="393"/>
      <c r="WOI1618" s="393"/>
      <c r="WOK1618" s="393"/>
      <c r="WOM1618" s="393"/>
      <c r="WOO1618" s="393"/>
      <c r="WOQ1618" s="393"/>
      <c r="WOS1618" s="393"/>
      <c r="WOU1618" s="393"/>
      <c r="WOW1618" s="393"/>
      <c r="WOY1618" s="393"/>
      <c r="WPA1618" s="393"/>
      <c r="WPC1618" s="393"/>
      <c r="WPE1618" s="393"/>
      <c r="WPG1618" s="393"/>
      <c r="WPI1618" s="393"/>
      <c r="WPK1618" s="393"/>
      <c r="WPM1618" s="393"/>
      <c r="WPO1618" s="393"/>
      <c r="WPQ1618" s="393"/>
      <c r="WPS1618" s="393"/>
      <c r="WPU1618" s="393"/>
      <c r="WPW1618" s="393"/>
      <c r="WPY1618" s="393"/>
      <c r="WQA1618" s="393"/>
      <c r="WQC1618" s="393"/>
      <c r="WQE1618" s="393"/>
      <c r="WQG1618" s="393"/>
      <c r="WQI1618" s="393"/>
      <c r="WQK1618" s="393"/>
      <c r="WQM1618" s="393"/>
      <c r="WQO1618" s="393"/>
      <c r="WQQ1618" s="393"/>
      <c r="WQS1618" s="393"/>
      <c r="WQU1618" s="393"/>
      <c r="WQW1618" s="393"/>
      <c r="WQY1618" s="393"/>
      <c r="WRA1618" s="393"/>
      <c r="WRC1618" s="393"/>
      <c r="WRE1618" s="393"/>
      <c r="WRG1618" s="393"/>
      <c r="WRI1618" s="393"/>
      <c r="WRK1618" s="393"/>
      <c r="WRM1618" s="393"/>
      <c r="WRO1618" s="393"/>
      <c r="WRQ1618" s="393"/>
      <c r="WRS1618" s="393"/>
      <c r="WRU1618" s="393"/>
      <c r="WRW1618" s="393"/>
      <c r="WRY1618" s="393"/>
      <c r="WSA1618" s="393"/>
      <c r="WSC1618" s="393"/>
      <c r="WSE1618" s="393"/>
      <c r="WSG1618" s="393"/>
      <c r="WSI1618" s="393"/>
      <c r="WSK1618" s="393"/>
      <c r="WSM1618" s="393"/>
      <c r="WSO1618" s="393"/>
      <c r="WSQ1618" s="393"/>
      <c r="WSS1618" s="393"/>
      <c r="WSU1618" s="393"/>
      <c r="WSW1618" s="393"/>
      <c r="WSY1618" s="393"/>
      <c r="WTA1618" s="393"/>
      <c r="WTC1618" s="393"/>
      <c r="WTE1618" s="393"/>
      <c r="WTG1618" s="393"/>
      <c r="WTI1618" s="393"/>
      <c r="WTK1618" s="393"/>
      <c r="WTM1618" s="393"/>
      <c r="WTO1618" s="393"/>
      <c r="WTQ1618" s="393"/>
      <c r="WTS1618" s="393"/>
      <c r="WTU1618" s="393"/>
      <c r="WTW1618" s="393"/>
      <c r="WTY1618" s="393"/>
      <c r="WUA1618" s="393"/>
      <c r="WUC1618" s="393"/>
      <c r="WUE1618" s="393"/>
      <c r="WUG1618" s="393"/>
      <c r="WUI1618" s="393"/>
      <c r="WUK1618" s="393"/>
      <c r="WUM1618" s="393"/>
      <c r="WUO1618" s="393"/>
      <c r="WUQ1618" s="393"/>
      <c r="WUS1618" s="393"/>
      <c r="WUU1618" s="393"/>
      <c r="WUW1618" s="393"/>
      <c r="WUY1618" s="393"/>
      <c r="WVA1618" s="393"/>
      <c r="WVC1618" s="393"/>
      <c r="WVE1618" s="393"/>
      <c r="WVG1618" s="393"/>
      <c r="WVI1618" s="393"/>
      <c r="WVK1618" s="393"/>
      <c r="WVM1618" s="393"/>
      <c r="WVO1618" s="393"/>
      <c r="WVQ1618" s="393"/>
      <c r="WVS1618" s="393"/>
      <c r="WVU1618" s="393"/>
      <c r="WVW1618" s="393"/>
      <c r="WVY1618" s="393"/>
      <c r="WWA1618" s="393"/>
      <c r="WWC1618" s="393"/>
      <c r="WWE1618" s="393"/>
      <c r="WWG1618" s="393"/>
      <c r="WWI1618" s="393"/>
      <c r="WWK1618" s="393"/>
      <c r="WWM1618" s="393"/>
      <c r="WWO1618" s="393"/>
      <c r="WWQ1618" s="393"/>
      <c r="WWS1618" s="393"/>
      <c r="WWU1618" s="393"/>
      <c r="WWW1618" s="393"/>
      <c r="WWY1618" s="393"/>
      <c r="WXA1618" s="393"/>
      <c r="WXC1618" s="393"/>
      <c r="WXE1618" s="393"/>
      <c r="WXG1618" s="393"/>
      <c r="WXI1618" s="393"/>
      <c r="WXK1618" s="393"/>
      <c r="WXM1618" s="393"/>
      <c r="WXO1618" s="393"/>
      <c r="WXQ1618" s="393"/>
      <c r="WXS1618" s="393"/>
      <c r="WXU1618" s="393"/>
      <c r="WXW1618" s="393"/>
      <c r="WXY1618" s="393"/>
      <c r="WYA1618" s="393"/>
      <c r="WYC1618" s="393"/>
      <c r="WYE1618" s="393"/>
      <c r="WYG1618" s="393"/>
      <c r="WYI1618" s="393"/>
      <c r="WYK1618" s="393"/>
      <c r="WYM1618" s="393"/>
      <c r="WYO1618" s="393"/>
      <c r="WYQ1618" s="393"/>
      <c r="WYS1618" s="393"/>
      <c r="WYU1618" s="393"/>
      <c r="WYW1618" s="393"/>
      <c r="WYY1618" s="393"/>
      <c r="WZA1618" s="393"/>
      <c r="WZC1618" s="393"/>
      <c r="WZE1618" s="393"/>
      <c r="WZG1618" s="393"/>
      <c r="WZI1618" s="393"/>
      <c r="WZK1618" s="393"/>
      <c r="WZM1618" s="393"/>
      <c r="WZO1618" s="393"/>
      <c r="WZQ1618" s="393"/>
      <c r="WZS1618" s="393"/>
      <c r="WZU1618" s="393"/>
      <c r="WZW1618" s="393"/>
      <c r="WZY1618" s="393"/>
      <c r="XAA1618" s="393"/>
      <c r="XAC1618" s="393"/>
      <c r="XAE1618" s="393"/>
      <c r="XAG1618" s="393"/>
      <c r="XAI1618" s="393"/>
      <c r="XAK1618" s="393"/>
      <c r="XAM1618" s="393"/>
      <c r="XAO1618" s="393"/>
      <c r="XAQ1618" s="393"/>
      <c r="XAS1618" s="393"/>
      <c r="XAU1618" s="393"/>
      <c r="XAW1618" s="393"/>
      <c r="XAY1618" s="393"/>
      <c r="XBA1618" s="393"/>
      <c r="XBC1618" s="393"/>
      <c r="XBE1618" s="393"/>
      <c r="XBG1618" s="393"/>
      <c r="XBI1618" s="393"/>
      <c r="XBK1618" s="393"/>
      <c r="XBM1618" s="393"/>
      <c r="XBO1618" s="393"/>
      <c r="XBQ1618" s="393"/>
      <c r="XBS1618" s="393"/>
      <c r="XBU1618" s="393"/>
      <c r="XBW1618" s="393"/>
      <c r="XBY1618" s="393"/>
      <c r="XCA1618" s="393"/>
      <c r="XCC1618" s="393"/>
      <c r="XCE1618" s="393"/>
      <c r="XCG1618" s="393"/>
      <c r="XCI1618" s="393"/>
      <c r="XCK1618" s="393"/>
      <c r="XCM1618" s="393"/>
      <c r="XCO1618" s="393"/>
      <c r="XCQ1618" s="393"/>
      <c r="XCS1618" s="393"/>
      <c r="XCU1618" s="393"/>
      <c r="XCW1618" s="393"/>
      <c r="XCY1618" s="393"/>
      <c r="XDA1618" s="393"/>
      <c r="XDC1618" s="393"/>
      <c r="XDE1618" s="393"/>
      <c r="XDG1618" s="393"/>
      <c r="XDI1618" s="393"/>
      <c r="XDK1618" s="393"/>
      <c r="XDM1618" s="393"/>
      <c r="XDO1618" s="393"/>
      <c r="XDQ1618" s="393"/>
      <c r="XDS1618" s="393"/>
      <c r="XDU1618" s="393"/>
      <c r="XDW1618" s="393"/>
      <c r="XDY1618" s="393"/>
      <c r="XEA1618" s="393"/>
      <c r="XEC1618" s="393"/>
      <c r="XEE1618" s="393"/>
      <c r="XEG1618" s="393"/>
      <c r="XEI1618" s="393"/>
      <c r="XEK1618" s="393"/>
      <c r="XEM1618" s="393"/>
      <c r="XEO1618" s="393"/>
      <c r="XEQ1618" s="393"/>
      <c r="XES1618" s="393"/>
      <c r="XEU1618" s="393"/>
      <c r="XEW1618" s="393"/>
      <c r="XEY1618" s="393"/>
      <c r="XFA1618" s="393"/>
      <c r="XFC1618" s="393"/>
    </row>
    <row r="1619" spans="1:1023 1025:2047 2049:3071 3073:4095 4097:5119 5121:6143 6145:7167 7169:8191 8193:9215 9217:10239 10241:11263 11265:12287 12289:13311 13313:14335 14337:15359 15361:16383">
      <c r="A1619" s="392"/>
      <c r="B1619" s="407" t="s">
        <v>2647</v>
      </c>
      <c r="C1619" s="392">
        <v>96611</v>
      </c>
      <c r="D1619" s="392"/>
      <c r="H1619" s="302"/>
      <c r="J1619" s="389"/>
      <c r="K1619" s="302"/>
      <c r="Q1619" s="302"/>
    </row>
    <row r="1620" spans="1:1023 1025:2047 2049:3071 3073:4095 4097:5119 5121:6143 6145:7167 7169:8191 8193:9215 9217:10239 10241:11263 11265:12287 12289:13311 13313:14335 14337:15359 15361:16383">
      <c r="A1620" s="392"/>
      <c r="B1620" s="407" t="s">
        <v>2648</v>
      </c>
      <c r="C1620" s="392">
        <v>96741</v>
      </c>
      <c r="D1620" s="392"/>
      <c r="H1620" s="302"/>
      <c r="J1620" s="389"/>
      <c r="K1620" s="302"/>
      <c r="Q1620" s="302"/>
    </row>
    <row r="1621" spans="1:1023 1025:2047 2049:3071 3073:4095 4097:5119 5121:6143 6145:7167 7169:8191 8193:9215 9217:10239 10241:11263 11265:12287 12289:13311 13313:14335 14337:15359 15361:16383">
      <c r="A1621" s="392"/>
      <c r="B1621" s="407" t="s">
        <v>1404</v>
      </c>
      <c r="C1621" s="392">
        <v>97701</v>
      </c>
      <c r="D1621" s="392"/>
      <c r="H1621" s="302"/>
      <c r="J1621" s="389"/>
      <c r="K1621" s="302"/>
      <c r="Q1621" s="302"/>
    </row>
    <row r="1622" spans="1:1023 1025:2047 2049:3071 3073:4095 4097:5119 5121:6143 6145:7167 7169:8191 8193:9215 9217:10239 10241:11263 11265:12287 12289:13311 13313:14335 14337:15359 15361:16383">
      <c r="A1622" s="392"/>
      <c r="B1622" s="407" t="s">
        <v>2649</v>
      </c>
      <c r="C1622" s="392">
        <v>92541</v>
      </c>
      <c r="D1622" s="392"/>
      <c r="H1622" s="302"/>
      <c r="J1622" s="390"/>
      <c r="K1622" s="302"/>
      <c r="Q1622" s="302"/>
    </row>
    <row r="1623" spans="1:1023 1025:2047 2049:3071 3073:4095 4097:5119 5121:6143 6145:7167 7169:8191 8193:9215 9217:10239 10241:11263 11265:12287 12289:13311 13313:14335 14337:15359 15361:16383">
      <c r="A1623" s="392"/>
      <c r="B1623" s="407" t="s">
        <v>2005</v>
      </c>
      <c r="C1623" s="392">
        <v>94221</v>
      </c>
      <c r="D1623" s="392"/>
      <c r="H1623" s="302"/>
      <c r="J1623" s="389"/>
      <c r="K1623" s="302"/>
      <c r="Q1623" s="302"/>
    </row>
    <row r="1624" spans="1:1023 1025:2047 2049:3071 3073:4095 4097:5119 5121:6143 6145:7167 7169:8191 8193:9215 9217:10239 10241:11263 11265:12287 12289:13311 13313:14335 14337:15359 15361:16383">
      <c r="A1624" s="392"/>
      <c r="B1624" s="407" t="s">
        <v>1122</v>
      </c>
      <c r="C1624" s="392">
        <v>94209</v>
      </c>
      <c r="D1624" s="392"/>
      <c r="H1624" s="302"/>
      <c r="J1624" s="389"/>
      <c r="K1624" s="302"/>
      <c r="Q1624" s="302"/>
    </row>
    <row r="1625" spans="1:1023 1025:2047 2049:3071 3073:4095 4097:5119 5121:6143 6145:7167 7169:8191 8193:9215 9217:10239 10241:11263 11265:12287 12289:13311 13313:14335 14337:15359 15361:16383">
      <c r="A1625" s="392"/>
      <c r="B1625" s="407" t="s">
        <v>2650</v>
      </c>
      <c r="C1625" s="392">
        <v>96341</v>
      </c>
      <c r="D1625" s="392"/>
      <c r="H1625" s="302"/>
      <c r="J1625" s="390"/>
      <c r="K1625" s="302"/>
      <c r="Q1625" s="302"/>
    </row>
    <row r="1626" spans="1:1023 1025:2047 2049:3071 3073:4095 4097:5119 5121:6143 6145:7167 7169:8191 8193:9215 9217:10239 10241:11263 11265:12287 12289:13311 13313:14335 14337:15359 15361:16383">
      <c r="A1626" s="392"/>
      <c r="B1626" s="407" t="s">
        <v>2651</v>
      </c>
      <c r="C1626" s="392">
        <v>93821</v>
      </c>
      <c r="D1626" s="392"/>
      <c r="H1626" s="302"/>
      <c r="J1626" s="389"/>
      <c r="K1626" s="302"/>
      <c r="Q1626" s="302"/>
    </row>
    <row r="1627" spans="1:1023 1025:2047 2049:3071 3073:4095 4097:5119 5121:6143 6145:7167 7169:8191 8193:9215 9217:10239 10241:11263 11265:12287 12289:13311 13313:14335 14337:15359 15361:16383">
      <c r="A1627" s="392"/>
      <c r="B1627" s="407" t="s">
        <v>2652</v>
      </c>
      <c r="C1627" s="392">
        <v>95851</v>
      </c>
      <c r="D1627" s="392"/>
      <c r="H1627" s="302"/>
      <c r="J1627" s="389"/>
      <c r="K1627" s="302"/>
      <c r="Q1627" s="302"/>
    </row>
    <row r="1628" spans="1:1023 1025:2047 2049:3071 3073:4095 4097:5119 5121:6143 6145:7167 7169:8191 8193:9215 9217:10239 10241:11263 11265:12287 12289:13311 13313:14335 14337:15359 15361:16383">
      <c r="A1628" s="392"/>
      <c r="B1628" s="407" t="s">
        <v>1247</v>
      </c>
      <c r="C1628" s="392">
        <v>95853</v>
      </c>
      <c r="D1628" s="392"/>
      <c r="H1628" s="302"/>
      <c r="J1628" s="389"/>
      <c r="K1628" s="302"/>
      <c r="Q1628" s="302"/>
    </row>
    <row r="1629" spans="1:1023 1025:2047 2049:3071 3073:4095 4097:5119 5121:6143 6145:7167 7169:8191 8193:9215 9217:10239 10241:11263 11265:12287 12289:13311 13313:14335 14337:15359 15361:16383">
      <c r="A1629" s="392"/>
      <c r="B1629" s="407" t="s">
        <v>1412</v>
      </c>
      <c r="C1629" s="392">
        <v>97801</v>
      </c>
      <c r="D1629" s="392"/>
      <c r="H1629" s="302"/>
      <c r="J1629" s="389"/>
      <c r="K1629" s="302"/>
      <c r="Q1629" s="302"/>
    </row>
    <row r="1630" spans="1:1023 1025:2047 2049:3071 3073:4095 4097:5119 5121:6143 6145:7167 7169:8191 8193:9215 9217:10239 10241:11263 11265:12287 12289:13311 13313:14335 14337:15359 15361:16383">
      <c r="A1630" s="392"/>
      <c r="B1630" s="407" t="s">
        <v>1414</v>
      </c>
      <c r="C1630" s="392">
        <v>97803</v>
      </c>
      <c r="D1630" s="392"/>
      <c r="H1630" s="302"/>
      <c r="J1630" s="389"/>
      <c r="K1630" s="302"/>
      <c r="Q1630" s="302"/>
    </row>
    <row r="1631" spans="1:1023 1025:2047 2049:3071 3073:4095 4097:5119 5121:6143 6145:7167 7169:8191 8193:9215 9217:10239 10241:11263 11265:12287 12289:13311 13313:14335 14337:15359 15361:16383">
      <c r="A1631" s="392"/>
      <c r="B1631" s="407" t="s">
        <v>1415</v>
      </c>
      <c r="C1631" s="392">
        <v>97805</v>
      </c>
      <c r="D1631" s="392"/>
      <c r="H1631" s="302"/>
      <c r="J1631" s="389"/>
      <c r="K1631" s="302"/>
      <c r="Q1631" s="302"/>
    </row>
    <row r="1632" spans="1:1023 1025:2047 2049:3071 3073:4095 4097:5119 5121:6143 6145:7167 7169:8191 8193:9215 9217:10239 10241:11263 11265:12287 12289:13311 13313:14335 14337:15359 15361:16383">
      <c r="A1632" s="392"/>
      <c r="B1632" s="407" t="s">
        <v>2006</v>
      </c>
      <c r="C1632" s="392">
        <v>97711</v>
      </c>
      <c r="D1632" s="392"/>
      <c r="H1632" s="302"/>
      <c r="J1632" s="389"/>
      <c r="K1632" s="302"/>
      <c r="Q1632" s="302"/>
    </row>
    <row r="1633" spans="1:17">
      <c r="A1633" s="392"/>
      <c r="B1633" s="407" t="s">
        <v>2007</v>
      </c>
      <c r="C1633" s="392">
        <v>97727</v>
      </c>
      <c r="D1633" s="392"/>
      <c r="H1633" s="302"/>
      <c r="J1633" s="389"/>
      <c r="K1633" s="302"/>
      <c r="Q1633" s="302"/>
    </row>
    <row r="1634" spans="1:17">
      <c r="A1634" s="392"/>
      <c r="B1634" s="407" t="s">
        <v>1431</v>
      </c>
      <c r="C1634" s="392">
        <v>97901</v>
      </c>
      <c r="D1634" s="392"/>
      <c r="H1634" s="302"/>
      <c r="J1634" s="390"/>
      <c r="K1634" s="302"/>
      <c r="Q1634" s="302"/>
    </row>
    <row r="1635" spans="1:17">
      <c r="A1635" s="392"/>
      <c r="B1635" s="407" t="s">
        <v>1407</v>
      </c>
      <c r="C1635" s="392">
        <v>97713</v>
      </c>
      <c r="D1635" s="392"/>
      <c r="H1635" s="302"/>
      <c r="J1635" s="389"/>
      <c r="K1635" s="302"/>
      <c r="Q1635" s="302"/>
    </row>
    <row r="1636" spans="1:17">
      <c r="A1636" s="392"/>
      <c r="B1636" s="407" t="s">
        <v>2653</v>
      </c>
      <c r="C1636" s="392">
        <v>98071</v>
      </c>
      <c r="D1636" s="392"/>
      <c r="H1636" s="302"/>
      <c r="J1636" s="389"/>
      <c r="K1636" s="302"/>
      <c r="Q1636" s="302"/>
    </row>
    <row r="1637" spans="1:17">
      <c r="A1637" s="392"/>
      <c r="B1637" s="407" t="s">
        <v>2008</v>
      </c>
      <c r="C1637" s="392">
        <v>93321</v>
      </c>
      <c r="D1637" s="392"/>
      <c r="H1637" s="302"/>
      <c r="J1637" s="390"/>
      <c r="K1637" s="302"/>
      <c r="Q1637" s="302"/>
    </row>
    <row r="1638" spans="1:17">
      <c r="A1638" s="392"/>
      <c r="B1638" s="407" t="s">
        <v>1035</v>
      </c>
      <c r="C1638" s="392">
        <v>93323</v>
      </c>
      <c r="D1638" s="392"/>
      <c r="H1638" s="302"/>
      <c r="J1638" s="389"/>
      <c r="K1638" s="302"/>
      <c r="Q1638" s="302"/>
    </row>
    <row r="1639" spans="1:17">
      <c r="A1639" s="392"/>
      <c r="B1639" s="407" t="s">
        <v>1037</v>
      </c>
      <c r="C1639" s="392">
        <v>93333</v>
      </c>
      <c r="D1639" s="392"/>
      <c r="H1639" s="302"/>
      <c r="J1639" s="389"/>
      <c r="K1639" s="302"/>
      <c r="Q1639" s="302"/>
    </row>
    <row r="1640" spans="1:17">
      <c r="A1640" s="392"/>
      <c r="B1640" s="407" t="s">
        <v>2654</v>
      </c>
      <c r="C1640" s="392">
        <v>99203</v>
      </c>
      <c r="D1640" s="392"/>
      <c r="H1640" s="302"/>
      <c r="J1640" s="389"/>
      <c r="K1640" s="302"/>
      <c r="Q1640" s="302"/>
    </row>
    <row r="1641" spans="1:17">
      <c r="A1641" s="392"/>
      <c r="B1641" s="407" t="s">
        <v>2655</v>
      </c>
      <c r="C1641" s="392">
        <v>99421</v>
      </c>
      <c r="D1641" s="392"/>
      <c r="H1641" s="302"/>
      <c r="J1641" s="389"/>
      <c r="K1641" s="302"/>
      <c r="Q1641" s="302"/>
    </row>
    <row r="1642" spans="1:17">
      <c r="A1642" s="392"/>
      <c r="B1642" s="407" t="s">
        <v>2656</v>
      </c>
      <c r="C1642" s="392">
        <v>93161</v>
      </c>
      <c r="D1642" s="392"/>
      <c r="H1642" s="302"/>
      <c r="J1642" s="389"/>
      <c r="K1642" s="302"/>
      <c r="Q1642" s="302"/>
    </row>
    <row r="1643" spans="1:17">
      <c r="A1643" s="392"/>
      <c r="B1643" s="407" t="s">
        <v>2657</v>
      </c>
      <c r="C1643" s="392">
        <v>98261</v>
      </c>
      <c r="D1643" s="392"/>
      <c r="H1643" s="302"/>
      <c r="J1643" s="390"/>
      <c r="K1643" s="302"/>
      <c r="Q1643" s="302"/>
    </row>
    <row r="1644" spans="1:17">
      <c r="A1644" s="392"/>
      <c r="B1644" s="407" t="s">
        <v>1476</v>
      </c>
      <c r="C1644" s="392">
        <v>98237</v>
      </c>
      <c r="D1644" s="392"/>
      <c r="H1644" s="302"/>
      <c r="J1644" s="389"/>
      <c r="K1644" s="302"/>
      <c r="Q1644" s="302"/>
    </row>
    <row r="1645" spans="1:17">
      <c r="A1645" s="392"/>
      <c r="B1645" s="407" t="s">
        <v>1444</v>
      </c>
      <c r="C1645" s="392">
        <v>98003</v>
      </c>
      <c r="D1645" s="392"/>
      <c r="H1645" s="302"/>
      <c r="J1645" s="389"/>
      <c r="K1645" s="302"/>
      <c r="Q1645" s="302"/>
    </row>
    <row r="1646" spans="1:17">
      <c r="A1646" s="392"/>
      <c r="B1646" s="407" t="s">
        <v>2793</v>
      </c>
      <c r="C1646" s="392">
        <v>98008</v>
      </c>
      <c r="D1646" s="392"/>
      <c r="H1646" s="302"/>
      <c r="J1646" s="389"/>
      <c r="K1646" s="302"/>
      <c r="Q1646" s="302"/>
    </row>
    <row r="1647" spans="1:17">
      <c r="A1647" s="392"/>
      <c r="B1647" s="407" t="s">
        <v>1443</v>
      </c>
      <c r="C1647" s="392">
        <v>98002</v>
      </c>
      <c r="D1647" s="392"/>
      <c r="H1647" s="302"/>
      <c r="J1647" s="389"/>
      <c r="K1647" s="302"/>
      <c r="Q1647" s="302"/>
    </row>
    <row r="1648" spans="1:17">
      <c r="A1648" s="392"/>
      <c r="B1648" s="407" t="s">
        <v>1442</v>
      </c>
      <c r="C1648" s="392">
        <v>98001</v>
      </c>
      <c r="D1648" s="392"/>
      <c r="H1648" s="302"/>
      <c r="J1648" s="389"/>
      <c r="K1648" s="302"/>
      <c r="Q1648" s="302"/>
    </row>
    <row r="1649" spans="1:17">
      <c r="A1649" s="392"/>
      <c r="B1649" s="407" t="s">
        <v>1445</v>
      </c>
      <c r="C1649" s="392">
        <v>98004</v>
      </c>
      <c r="D1649" s="392"/>
      <c r="H1649" s="302"/>
      <c r="J1649" s="389"/>
      <c r="K1649" s="302"/>
      <c r="Q1649" s="302"/>
    </row>
    <row r="1650" spans="1:17">
      <c r="A1650" s="392"/>
      <c r="B1650" s="407" t="s">
        <v>2658</v>
      </c>
      <c r="C1650" s="392">
        <v>97861</v>
      </c>
      <c r="D1650" s="392"/>
      <c r="H1650" s="302"/>
      <c r="J1650" s="389"/>
      <c r="K1650" s="302"/>
      <c r="Q1650" s="302"/>
    </row>
    <row r="1651" spans="1:17">
      <c r="A1651" s="392"/>
      <c r="B1651" s="407" t="s">
        <v>2009</v>
      </c>
      <c r="C1651" s="392">
        <v>97311</v>
      </c>
      <c r="D1651" s="392"/>
      <c r="H1651" s="302"/>
      <c r="J1651" s="389"/>
      <c r="K1651" s="302"/>
      <c r="Q1651" s="302"/>
    </row>
    <row r="1652" spans="1:17">
      <c r="A1652" s="392"/>
      <c r="B1652" s="407" t="s">
        <v>3617</v>
      </c>
      <c r="C1652" s="392">
        <v>97302</v>
      </c>
      <c r="D1652" s="392"/>
      <c r="H1652" s="302"/>
      <c r="J1652" s="389"/>
      <c r="K1652" s="302"/>
      <c r="Q1652" s="302"/>
    </row>
    <row r="1653" spans="1:17">
      <c r="A1653" s="392"/>
      <c r="B1653" s="407" t="s">
        <v>2659</v>
      </c>
      <c r="C1653" s="392">
        <v>93431</v>
      </c>
      <c r="D1653" s="392"/>
      <c r="H1653" s="302"/>
      <c r="J1653" s="390"/>
      <c r="K1653" s="302"/>
      <c r="Q1653" s="302"/>
    </row>
    <row r="1654" spans="1:17">
      <c r="A1654" s="392"/>
      <c r="B1654" s="407" t="s">
        <v>2660</v>
      </c>
      <c r="C1654" s="392">
        <v>91214</v>
      </c>
      <c r="D1654" s="392"/>
      <c r="H1654" s="302"/>
      <c r="J1654" s="389"/>
      <c r="K1654" s="302"/>
      <c r="Q1654" s="302"/>
    </row>
    <row r="1655" spans="1:17">
      <c r="A1655" s="392"/>
      <c r="B1655" s="407" t="s">
        <v>1458</v>
      </c>
      <c r="C1655" s="392">
        <v>98101</v>
      </c>
      <c r="D1655" s="392"/>
      <c r="H1655" s="302"/>
      <c r="J1655" s="389"/>
      <c r="K1655" s="302"/>
      <c r="Q1655" s="302"/>
    </row>
    <row r="1656" spans="1:17">
      <c r="A1656" s="392"/>
      <c r="B1656" s="407" t="s">
        <v>2792</v>
      </c>
      <c r="C1656" s="392">
        <v>98103</v>
      </c>
      <c r="D1656" s="392"/>
      <c r="H1656" s="302"/>
      <c r="J1656" s="390"/>
      <c r="K1656" s="302"/>
      <c r="Q1656" s="302"/>
    </row>
    <row r="1657" spans="1:17">
      <c r="A1657" s="392"/>
      <c r="B1657" s="407" t="s">
        <v>2661</v>
      </c>
      <c r="C1657" s="392">
        <v>98141</v>
      </c>
      <c r="D1657" s="392"/>
      <c r="H1657" s="302"/>
      <c r="J1657" s="389"/>
      <c r="K1657" s="302"/>
      <c r="Q1657" s="302"/>
    </row>
    <row r="1658" spans="1:17">
      <c r="A1658" s="392"/>
      <c r="B1658" s="407" t="s">
        <v>2791</v>
      </c>
      <c r="C1658" s="392">
        <v>98147</v>
      </c>
      <c r="D1658" s="392"/>
      <c r="H1658" s="302"/>
      <c r="J1658" s="389"/>
      <c r="K1658" s="302"/>
      <c r="Q1658" s="302"/>
    </row>
    <row r="1659" spans="1:17">
      <c r="A1659" s="392"/>
      <c r="B1659" s="407" t="s">
        <v>2685</v>
      </c>
      <c r="C1659" s="392">
        <v>91032</v>
      </c>
      <c r="D1659" s="392"/>
      <c r="H1659" s="302"/>
      <c r="J1659" s="389"/>
      <c r="K1659" s="302"/>
      <c r="Q1659" s="302"/>
    </row>
    <row r="1660" spans="1:17">
      <c r="A1660" s="392"/>
      <c r="B1660" s="407" t="s">
        <v>2686</v>
      </c>
      <c r="C1660" s="392">
        <v>97831</v>
      </c>
      <c r="D1660" s="392"/>
      <c r="H1660" s="302"/>
      <c r="J1660" s="389"/>
      <c r="K1660" s="302"/>
      <c r="Q1660" s="302"/>
    </row>
    <row r="1661" spans="1:17">
      <c r="A1661" s="392"/>
      <c r="B1661" s="407" t="s">
        <v>2790</v>
      </c>
      <c r="C1661" s="392">
        <v>97837</v>
      </c>
      <c r="D1661" s="392"/>
      <c r="H1661" s="302"/>
      <c r="J1661" s="389"/>
      <c r="K1661" s="302"/>
      <c r="Q1661" s="302"/>
    </row>
    <row r="1662" spans="1:17">
      <c r="A1662" s="392"/>
      <c r="B1662" s="407" t="s">
        <v>2662</v>
      </c>
      <c r="C1662" s="392">
        <v>98221</v>
      </c>
      <c r="D1662" s="392"/>
      <c r="H1662" s="302"/>
      <c r="J1662" s="389"/>
      <c r="K1662" s="302"/>
      <c r="Q1662" s="302"/>
    </row>
    <row r="1663" spans="1:17">
      <c r="A1663" s="392"/>
      <c r="B1663" s="407" t="s">
        <v>2010</v>
      </c>
      <c r="C1663" s="392">
        <v>98011</v>
      </c>
      <c r="D1663" s="392"/>
      <c r="H1663" s="302"/>
      <c r="J1663" s="389"/>
      <c r="K1663" s="302"/>
      <c r="Q1663" s="302"/>
    </row>
    <row r="1664" spans="1:17">
      <c r="A1664" s="392"/>
      <c r="B1664" s="407" t="s">
        <v>2809</v>
      </c>
      <c r="C1664" s="392">
        <v>98013</v>
      </c>
      <c r="D1664" s="392"/>
      <c r="H1664" s="302"/>
      <c r="J1664" s="389"/>
      <c r="K1664" s="302"/>
      <c r="Q1664" s="302"/>
    </row>
    <row r="1665" spans="1:17">
      <c r="A1665" s="392"/>
      <c r="B1665" s="407" t="s">
        <v>2011</v>
      </c>
      <c r="C1665" s="392">
        <v>97531</v>
      </c>
      <c r="D1665" s="392"/>
      <c r="H1665" s="302"/>
      <c r="J1665" s="390"/>
      <c r="K1665" s="302"/>
      <c r="Q1665" s="302"/>
    </row>
    <row r="1666" spans="1:17">
      <c r="A1666" s="392"/>
      <c r="B1666" s="407" t="s">
        <v>1470</v>
      </c>
      <c r="C1666" s="392">
        <v>98201</v>
      </c>
      <c r="D1666" s="392"/>
      <c r="H1666" s="302"/>
      <c r="J1666" s="389"/>
      <c r="K1666" s="302"/>
      <c r="Q1666" s="302"/>
    </row>
    <row r="1667" spans="1:17">
      <c r="A1667" s="392"/>
      <c r="B1667" s="407" t="s">
        <v>1405</v>
      </c>
      <c r="C1667" s="392">
        <v>97705</v>
      </c>
      <c r="D1667" s="392"/>
      <c r="H1667" s="302"/>
      <c r="J1667" s="389"/>
      <c r="K1667" s="302"/>
      <c r="Q1667" s="302"/>
    </row>
    <row r="1668" spans="1:17">
      <c r="A1668" s="392"/>
      <c r="B1668" s="407" t="s">
        <v>1287</v>
      </c>
      <c r="C1668" s="392">
        <v>96318</v>
      </c>
      <c r="D1668" s="392"/>
      <c r="H1668" s="302"/>
      <c r="J1668" s="390"/>
      <c r="K1668" s="302"/>
      <c r="Q1668" s="302"/>
    </row>
    <row r="1669" spans="1:17">
      <c r="A1669" s="392"/>
      <c r="B1669" s="407" t="s">
        <v>2012</v>
      </c>
      <c r="C1669" s="392">
        <v>95311</v>
      </c>
      <c r="D1669" s="392"/>
      <c r="H1669" s="302"/>
      <c r="J1669" s="389"/>
      <c r="K1669" s="302"/>
      <c r="Q1669" s="302"/>
    </row>
    <row r="1670" spans="1:17">
      <c r="A1670" s="392"/>
      <c r="B1670" s="407" t="s">
        <v>1214</v>
      </c>
      <c r="C1670" s="392">
        <v>95317</v>
      </c>
      <c r="D1670" s="392"/>
      <c r="H1670" s="302"/>
      <c r="J1670" s="389"/>
      <c r="K1670" s="302"/>
      <c r="Q1670" s="302"/>
    </row>
    <row r="1671" spans="1:17">
      <c r="A1671" s="392"/>
      <c r="B1671" s="407" t="s">
        <v>2663</v>
      </c>
      <c r="C1671" s="392">
        <v>91421</v>
      </c>
      <c r="D1671" s="392"/>
      <c r="H1671" s="302"/>
      <c r="J1671" s="389"/>
      <c r="K1671" s="302"/>
      <c r="Q1671" s="302"/>
    </row>
    <row r="1672" spans="1:17">
      <c r="A1672" s="392"/>
      <c r="B1672" s="407" t="s">
        <v>1481</v>
      </c>
      <c r="C1672" s="392">
        <v>98301</v>
      </c>
      <c r="D1672" s="392"/>
      <c r="H1672" s="302"/>
      <c r="J1672" s="389"/>
      <c r="K1672" s="302"/>
      <c r="Q1672" s="302"/>
    </row>
    <row r="1673" spans="1:17">
      <c r="A1673" s="392"/>
      <c r="B1673" s="407" t="s">
        <v>1482</v>
      </c>
      <c r="C1673" s="392">
        <v>98304</v>
      </c>
      <c r="D1673" s="392"/>
      <c r="H1673" s="302"/>
      <c r="J1673" s="389"/>
      <c r="K1673" s="302"/>
      <c r="Q1673" s="302"/>
    </row>
    <row r="1674" spans="1:17">
      <c r="A1674" s="392"/>
      <c r="B1674" s="407" t="s">
        <v>2664</v>
      </c>
      <c r="C1674" s="392">
        <v>94241</v>
      </c>
      <c r="D1674" s="392"/>
      <c r="H1674" s="302"/>
      <c r="J1674" s="389"/>
      <c r="K1674" s="302"/>
      <c r="Q1674" s="302"/>
    </row>
    <row r="1675" spans="1:17">
      <c r="A1675" s="392"/>
      <c r="B1675" s="407" t="s">
        <v>2665</v>
      </c>
      <c r="C1675" s="392">
        <v>96681</v>
      </c>
      <c r="D1675" s="392"/>
      <c r="H1675" s="302"/>
      <c r="J1675" s="389"/>
      <c r="K1675" s="302"/>
      <c r="Q1675" s="302"/>
    </row>
    <row r="1676" spans="1:17">
      <c r="A1676" s="392"/>
      <c r="B1676" s="407" t="s">
        <v>2666</v>
      </c>
      <c r="C1676" s="220">
        <v>72593</v>
      </c>
      <c r="D1676" s="392"/>
      <c r="H1676" s="302"/>
      <c r="J1676" s="389"/>
      <c r="K1676" s="302"/>
      <c r="Q1676" s="302"/>
    </row>
    <row r="1677" spans="1:17">
      <c r="A1677" s="392"/>
      <c r="B1677" s="407" t="s">
        <v>2667</v>
      </c>
      <c r="C1677" s="392">
        <v>95121</v>
      </c>
      <c r="D1677" s="392"/>
      <c r="H1677" s="302"/>
      <c r="J1677" s="390"/>
      <c r="K1677" s="302"/>
      <c r="Q1677" s="302"/>
    </row>
    <row r="1678" spans="1:17">
      <c r="A1678" s="392"/>
      <c r="B1678" s="407" t="s">
        <v>1199</v>
      </c>
      <c r="C1678" s="392">
        <v>95123</v>
      </c>
      <c r="D1678" s="392"/>
      <c r="H1678" s="302"/>
      <c r="J1678" s="389"/>
      <c r="K1678" s="302"/>
      <c r="Q1678" s="302"/>
    </row>
    <row r="1679" spans="1:17">
      <c r="A1679" s="392"/>
      <c r="B1679" s="407" t="s">
        <v>2668</v>
      </c>
      <c r="C1679" s="392">
        <v>99531</v>
      </c>
      <c r="D1679" s="392"/>
      <c r="H1679" s="302"/>
      <c r="J1679" s="389"/>
      <c r="K1679" s="302"/>
      <c r="Q1679" s="302"/>
    </row>
    <row r="1680" spans="1:17">
      <c r="A1680" s="392"/>
      <c r="B1680" s="407" t="s">
        <v>2669</v>
      </c>
      <c r="C1680" s="392">
        <v>96671</v>
      </c>
      <c r="D1680" s="392"/>
      <c r="H1680" s="302"/>
      <c r="J1680" s="390"/>
      <c r="K1680" s="302"/>
      <c r="Q1680" s="302"/>
    </row>
    <row r="1681" spans="1:17">
      <c r="A1681" s="392"/>
      <c r="B1681" s="407" t="s">
        <v>2670</v>
      </c>
      <c r="C1681" s="392">
        <v>91081</v>
      </c>
      <c r="D1681" s="392"/>
      <c r="H1681" s="302"/>
      <c r="J1681" s="389"/>
      <c r="K1681" s="302"/>
      <c r="Q1681" s="302"/>
    </row>
    <row r="1682" spans="1:17">
      <c r="A1682" s="392"/>
      <c r="B1682" s="407" t="s">
        <v>822</v>
      </c>
      <c r="C1682" s="392">
        <v>91057</v>
      </c>
      <c r="D1682" s="392"/>
      <c r="H1682" s="302"/>
      <c r="J1682" s="389"/>
      <c r="K1682" s="302"/>
      <c r="Q1682" s="302"/>
    </row>
    <row r="1683" spans="1:17">
      <c r="A1683" s="392"/>
      <c r="B1683" s="407" t="s">
        <v>2671</v>
      </c>
      <c r="C1683" s="392">
        <v>96461</v>
      </c>
      <c r="D1683" s="392"/>
      <c r="H1683" s="302"/>
      <c r="J1683" s="389"/>
      <c r="K1683" s="302"/>
      <c r="Q1683" s="302"/>
    </row>
    <row r="1684" spans="1:17">
      <c r="A1684" s="392"/>
      <c r="B1684" s="407" t="s">
        <v>2013</v>
      </c>
      <c r="C1684" s="392">
        <v>92311</v>
      </c>
      <c r="D1684" s="392"/>
      <c r="H1684" s="302"/>
      <c r="J1684" s="389"/>
      <c r="K1684" s="302"/>
      <c r="Q1684" s="302"/>
    </row>
    <row r="1685" spans="1:17">
      <c r="A1685" s="392"/>
      <c r="B1685" s="407" t="s">
        <v>936</v>
      </c>
      <c r="C1685" s="392">
        <v>92317</v>
      </c>
      <c r="D1685" s="392"/>
      <c r="H1685" s="302"/>
      <c r="J1685" s="389"/>
      <c r="K1685" s="302"/>
      <c r="Q1685" s="302"/>
    </row>
    <row r="1686" spans="1:17">
      <c r="A1686" s="392"/>
      <c r="B1686" s="407" t="s">
        <v>1373</v>
      </c>
      <c r="C1686" s="392">
        <v>97405</v>
      </c>
      <c r="D1686" s="392"/>
      <c r="H1686" s="302"/>
      <c r="J1686" s="389"/>
      <c r="K1686" s="302"/>
      <c r="Q1686" s="302"/>
    </row>
    <row r="1687" spans="1:17">
      <c r="A1687" s="392"/>
      <c r="B1687" s="407" t="s">
        <v>2672</v>
      </c>
      <c r="C1687" s="392">
        <v>91911</v>
      </c>
      <c r="D1687" s="392"/>
      <c r="H1687" s="302"/>
      <c r="J1687" s="389"/>
      <c r="K1687" s="302"/>
      <c r="Q1687" s="302"/>
    </row>
    <row r="1688" spans="1:17">
      <c r="A1688" s="392"/>
      <c r="B1688" s="407" t="s">
        <v>920</v>
      </c>
      <c r="C1688" s="392">
        <v>91917</v>
      </c>
      <c r="D1688" s="392"/>
      <c r="H1688" s="302"/>
      <c r="J1688" s="389"/>
      <c r="K1688" s="302"/>
      <c r="Q1688" s="302"/>
    </row>
    <row r="1689" spans="1:17">
      <c r="A1689" s="392"/>
      <c r="B1689" s="407" t="s">
        <v>2673</v>
      </c>
      <c r="C1689" s="392">
        <v>97481</v>
      </c>
      <c r="D1689" s="392"/>
      <c r="H1689" s="302"/>
      <c r="J1689" s="390"/>
      <c r="K1689" s="302"/>
      <c r="Q1689" s="302"/>
    </row>
    <row r="1690" spans="1:17">
      <c r="A1690" s="392"/>
      <c r="B1690" s="407" t="s">
        <v>840</v>
      </c>
      <c r="C1690" s="392">
        <v>91138</v>
      </c>
      <c r="D1690" s="392"/>
      <c r="H1690" s="302"/>
      <c r="J1690" s="389"/>
      <c r="K1690" s="302"/>
      <c r="Q1690" s="302"/>
    </row>
    <row r="1691" spans="1:17">
      <c r="A1691" s="392"/>
      <c r="B1691" s="407" t="s">
        <v>2674</v>
      </c>
      <c r="C1691" s="392">
        <v>95111</v>
      </c>
      <c r="D1691" s="392"/>
      <c r="H1691" s="302"/>
      <c r="J1691" s="389"/>
      <c r="K1691" s="302"/>
      <c r="Q1691" s="302"/>
    </row>
    <row r="1692" spans="1:17">
      <c r="A1692" s="392"/>
      <c r="B1692" s="407" t="s">
        <v>1196</v>
      </c>
      <c r="C1692" s="392">
        <v>95113</v>
      </c>
      <c r="D1692" s="392"/>
      <c r="H1692" s="302"/>
      <c r="J1692" s="390"/>
      <c r="K1692" s="302"/>
      <c r="Q1692" s="302"/>
    </row>
    <row r="1693" spans="1:17">
      <c r="A1693" s="392"/>
      <c r="B1693" s="407" t="s">
        <v>2675</v>
      </c>
      <c r="C1693" s="392">
        <v>94021</v>
      </c>
      <c r="D1693" s="392"/>
      <c r="H1693" s="302"/>
      <c r="J1693" s="389"/>
      <c r="K1693" s="302"/>
      <c r="Q1693" s="302"/>
    </row>
    <row r="1694" spans="1:17">
      <c r="A1694" s="392"/>
      <c r="B1694" s="407" t="s">
        <v>795</v>
      </c>
      <c r="C1694" s="392">
        <v>90918</v>
      </c>
      <c r="D1694" s="392"/>
      <c r="H1694" s="302"/>
      <c r="J1694" s="389"/>
      <c r="K1694" s="302"/>
      <c r="Q1694" s="302"/>
    </row>
    <row r="1695" spans="1:17">
      <c r="A1695" s="392"/>
      <c r="B1695" s="407" t="s">
        <v>1089</v>
      </c>
      <c r="C1695" s="392">
        <v>93910</v>
      </c>
      <c r="D1695" s="392"/>
      <c r="H1695" s="302"/>
      <c r="J1695" s="389"/>
      <c r="K1695" s="302"/>
      <c r="Q1695" s="302"/>
    </row>
    <row r="1696" spans="1:17">
      <c r="A1696" s="392"/>
      <c r="B1696" s="407" t="s">
        <v>810</v>
      </c>
      <c r="C1696" s="392">
        <v>91013</v>
      </c>
      <c r="D1696" s="392"/>
      <c r="H1696" s="302"/>
      <c r="J1696" s="389"/>
      <c r="K1696" s="302"/>
      <c r="Q1696" s="302"/>
    </row>
    <row r="1697" spans="1:17">
      <c r="A1697" s="392"/>
      <c r="B1697" s="407" t="s">
        <v>2676</v>
      </c>
      <c r="C1697" s="392">
        <v>96311</v>
      </c>
      <c r="D1697" s="392"/>
      <c r="H1697" s="302"/>
      <c r="J1697" s="389"/>
      <c r="K1697" s="302"/>
      <c r="Q1697" s="302"/>
    </row>
    <row r="1698" spans="1:17">
      <c r="A1698" s="392"/>
      <c r="B1698" s="407" t="s">
        <v>2677</v>
      </c>
      <c r="C1698" s="392">
        <v>92841</v>
      </c>
      <c r="D1698" s="392"/>
      <c r="H1698" s="302"/>
      <c r="J1698" s="389"/>
      <c r="K1698" s="302"/>
      <c r="Q1698" s="302"/>
    </row>
    <row r="1699" spans="1:17">
      <c r="A1699" s="392"/>
      <c r="B1699" s="407" t="s">
        <v>1586</v>
      </c>
      <c r="C1699" s="392">
        <v>99609</v>
      </c>
      <c r="D1699" s="392"/>
      <c r="H1699" s="302"/>
      <c r="J1699" s="389"/>
      <c r="K1699" s="302"/>
      <c r="Q1699" s="302"/>
    </row>
    <row r="1700" spans="1:17">
      <c r="A1700" s="392"/>
      <c r="B1700" s="407" t="s">
        <v>2014</v>
      </c>
      <c r="C1700" s="392">
        <v>91011</v>
      </c>
      <c r="D1700" s="392"/>
      <c r="H1700" s="302"/>
      <c r="J1700" s="389"/>
      <c r="K1700" s="302"/>
      <c r="Q1700" s="302"/>
    </row>
    <row r="1701" spans="1:17">
      <c r="A1701" s="392"/>
      <c r="B1701" s="407" t="s">
        <v>2015</v>
      </c>
      <c r="C1701" s="392">
        <v>91017</v>
      </c>
      <c r="D1701" s="392"/>
      <c r="H1701" s="302"/>
      <c r="J1701" s="390"/>
      <c r="K1701" s="302"/>
      <c r="Q1701" s="302"/>
    </row>
    <row r="1702" spans="1:17">
      <c r="A1702" s="392"/>
      <c r="B1702" s="407" t="s">
        <v>1185</v>
      </c>
      <c r="C1702" s="392">
        <v>95008</v>
      </c>
      <c r="D1702" s="392"/>
      <c r="H1702" s="302"/>
      <c r="J1702" s="389"/>
      <c r="K1702" s="302"/>
      <c r="Q1702" s="302"/>
    </row>
    <row r="1703" spans="1:17">
      <c r="A1703" s="392"/>
      <c r="B1703" s="407" t="s">
        <v>2678</v>
      </c>
      <c r="C1703" s="392">
        <v>72657</v>
      </c>
      <c r="D1703" s="392"/>
      <c r="H1703" s="302"/>
      <c r="J1703" s="389"/>
      <c r="K1703" s="302"/>
      <c r="Q1703" s="302"/>
    </row>
    <row r="1704" spans="1:17">
      <c r="A1704" s="392"/>
      <c r="B1704" s="407" t="s">
        <v>2679</v>
      </c>
      <c r="C1704" s="392">
        <v>90307</v>
      </c>
      <c r="D1704" s="392"/>
      <c r="H1704" s="302"/>
      <c r="J1704" s="390"/>
      <c r="K1704" s="302"/>
      <c r="Q1704" s="302"/>
    </row>
    <row r="1705" spans="1:17">
      <c r="A1705" s="392"/>
      <c r="B1705" s="407" t="s">
        <v>2680</v>
      </c>
      <c r="C1705" s="392">
        <v>98031</v>
      </c>
      <c r="D1705" s="392"/>
      <c r="H1705" s="302"/>
      <c r="J1705" s="389"/>
      <c r="K1705" s="302"/>
      <c r="Q1705" s="302"/>
    </row>
    <row r="1706" spans="1:17">
      <c r="A1706" s="392"/>
      <c r="B1706" s="407" t="s">
        <v>2681</v>
      </c>
      <c r="C1706" s="392">
        <v>98121</v>
      </c>
      <c r="D1706" s="392"/>
      <c r="H1706" s="302"/>
      <c r="J1706" s="389"/>
      <c r="K1706" s="302"/>
      <c r="Q1706" s="302"/>
    </row>
    <row r="1707" spans="1:17">
      <c r="A1707" s="392"/>
      <c r="B1707" s="407" t="s">
        <v>2682</v>
      </c>
      <c r="C1707" s="392">
        <v>96411</v>
      </c>
      <c r="D1707" s="392"/>
      <c r="H1707" s="302"/>
      <c r="J1707" s="389"/>
      <c r="K1707" s="302"/>
      <c r="Q1707" s="302"/>
    </row>
    <row r="1708" spans="1:17">
      <c r="A1708" s="392"/>
      <c r="B1708" s="407" t="s">
        <v>2683</v>
      </c>
      <c r="C1708" s="392">
        <v>92661</v>
      </c>
      <c r="D1708" s="392"/>
      <c r="H1708" s="302"/>
      <c r="J1708" s="389"/>
      <c r="K1708" s="302"/>
      <c r="Q1708" s="302"/>
    </row>
    <row r="1709" spans="1:17">
      <c r="A1709" s="392"/>
      <c r="B1709" s="407" t="s">
        <v>2684</v>
      </c>
      <c r="C1709" s="392">
        <v>96111</v>
      </c>
      <c r="D1709" s="392"/>
      <c r="H1709" s="302"/>
      <c r="J1709" s="389"/>
      <c r="K1709" s="302"/>
      <c r="Q1709" s="302"/>
    </row>
    <row r="1710" spans="1:17">
      <c r="A1710" s="392"/>
      <c r="B1710" s="407" t="s">
        <v>2687</v>
      </c>
      <c r="C1710" s="392">
        <v>96061</v>
      </c>
      <c r="D1710" s="392"/>
      <c r="H1710" s="302"/>
      <c r="J1710" s="389"/>
      <c r="K1710" s="302"/>
      <c r="Q1710" s="302"/>
    </row>
    <row r="1711" spans="1:17">
      <c r="A1711" s="392"/>
      <c r="B1711" s="407" t="s">
        <v>2688</v>
      </c>
      <c r="C1711" s="392">
        <v>98481</v>
      </c>
      <c r="D1711" s="392"/>
      <c r="H1711" s="302"/>
      <c r="J1711" s="389"/>
      <c r="K1711" s="302"/>
      <c r="Q1711" s="302"/>
    </row>
    <row r="1712" spans="1:17">
      <c r="A1712" s="392"/>
      <c r="B1712" s="407" t="s">
        <v>2689</v>
      </c>
      <c r="C1712" s="392">
        <v>93602</v>
      </c>
      <c r="D1712" s="392"/>
      <c r="H1712" s="302"/>
      <c r="J1712" s="389"/>
      <c r="K1712" s="302"/>
      <c r="Q1712" s="302"/>
    </row>
    <row r="1713" spans="1:17">
      <c r="A1713" s="392"/>
      <c r="B1713" s="407" t="s">
        <v>1488</v>
      </c>
      <c r="C1713" s="392">
        <v>98401</v>
      </c>
      <c r="D1713" s="392"/>
      <c r="H1713" s="302"/>
      <c r="J1713" s="390"/>
      <c r="K1713" s="302"/>
      <c r="Q1713" s="302"/>
    </row>
    <row r="1714" spans="1:17">
      <c r="A1714" s="392"/>
      <c r="B1714" s="407" t="s">
        <v>2690</v>
      </c>
      <c r="C1714" s="392">
        <v>99821</v>
      </c>
      <c r="D1714" s="392"/>
      <c r="H1714" s="302"/>
      <c r="J1714" s="389"/>
      <c r="K1714" s="302"/>
      <c r="Q1714" s="302"/>
    </row>
    <row r="1715" spans="1:17">
      <c r="A1715" s="392"/>
      <c r="B1715" s="407" t="s">
        <v>2691</v>
      </c>
      <c r="C1715" s="392">
        <v>96211</v>
      </c>
      <c r="D1715" s="392"/>
      <c r="H1715" s="302"/>
      <c r="J1715" s="389"/>
      <c r="K1715" s="302"/>
      <c r="Q1715" s="302"/>
    </row>
    <row r="1716" spans="1:17">
      <c r="A1716" s="392"/>
      <c r="B1716" s="407" t="s">
        <v>2016</v>
      </c>
      <c r="C1716" s="392">
        <v>94911</v>
      </c>
      <c r="D1716" s="392"/>
      <c r="H1716" s="302"/>
      <c r="J1716" s="390"/>
      <c r="K1716" s="302"/>
      <c r="Q1716" s="302"/>
    </row>
    <row r="1717" spans="1:17">
      <c r="A1717" s="392"/>
      <c r="B1717" s="407" t="s">
        <v>1176</v>
      </c>
      <c r="C1717" s="392">
        <v>94917</v>
      </c>
      <c r="D1717" s="392"/>
      <c r="H1717" s="302"/>
      <c r="J1717" s="389"/>
      <c r="K1717" s="302"/>
      <c r="Q1717" s="302"/>
    </row>
    <row r="1718" spans="1:17">
      <c r="A1718" s="392"/>
      <c r="B1718" s="407" t="s">
        <v>2692</v>
      </c>
      <c r="C1718" s="392">
        <v>92621</v>
      </c>
      <c r="D1718" s="392"/>
      <c r="H1718" s="302"/>
      <c r="J1718" s="389"/>
      <c r="K1718" s="302"/>
      <c r="Q1718" s="302"/>
    </row>
    <row r="1719" spans="1:17">
      <c r="A1719" s="392"/>
      <c r="B1719" s="407" t="s">
        <v>1499</v>
      </c>
      <c r="C1719" s="392">
        <v>98501</v>
      </c>
      <c r="D1719" s="392"/>
      <c r="H1719" s="302"/>
      <c r="J1719" s="389"/>
      <c r="K1719" s="302"/>
      <c r="Q1719" s="302"/>
    </row>
    <row r="1720" spans="1:17">
      <c r="A1720" s="392"/>
      <c r="B1720" s="407" t="s">
        <v>2693</v>
      </c>
      <c r="C1720" s="392">
        <v>97931</v>
      </c>
      <c r="D1720" s="392"/>
      <c r="H1720" s="302"/>
      <c r="J1720" s="389"/>
      <c r="K1720" s="302"/>
      <c r="Q1720" s="302"/>
    </row>
    <row r="1721" spans="1:17">
      <c r="A1721" s="392"/>
      <c r="B1721" s="407" t="s">
        <v>2694</v>
      </c>
      <c r="C1721" s="392">
        <v>93914</v>
      </c>
      <c r="D1721" s="392"/>
      <c r="H1721" s="302"/>
      <c r="J1721" s="389"/>
      <c r="K1721" s="302"/>
      <c r="Q1721" s="302"/>
    </row>
    <row r="1722" spans="1:17">
      <c r="A1722" s="392"/>
      <c r="B1722" s="407" t="s">
        <v>2695</v>
      </c>
      <c r="C1722" s="392">
        <v>90651</v>
      </c>
      <c r="D1722" s="392"/>
      <c r="H1722" s="302"/>
      <c r="J1722" s="390"/>
      <c r="K1722" s="302"/>
      <c r="Q1722" s="302"/>
    </row>
    <row r="1723" spans="1:17">
      <c r="A1723" s="392"/>
      <c r="B1723" s="407" t="s">
        <v>2696</v>
      </c>
      <c r="C1723" s="392">
        <v>94171</v>
      </c>
      <c r="D1723" s="392"/>
      <c r="H1723" s="302"/>
      <c r="J1723" s="389"/>
      <c r="K1723" s="302"/>
      <c r="Q1723" s="302"/>
    </row>
    <row r="1724" spans="1:17">
      <c r="A1724" s="392"/>
      <c r="B1724" s="407" t="s">
        <v>1118</v>
      </c>
      <c r="C1724" s="392">
        <v>94172</v>
      </c>
      <c r="D1724" s="392"/>
      <c r="H1724" s="302"/>
      <c r="J1724" s="389"/>
      <c r="K1724" s="302"/>
      <c r="Q1724" s="302"/>
    </row>
    <row r="1725" spans="1:17">
      <c r="A1725" s="392"/>
      <c r="B1725" s="407" t="s">
        <v>2697</v>
      </c>
      <c r="C1725" s="392">
        <v>91041</v>
      </c>
      <c r="D1725" s="392"/>
      <c r="H1725" s="302"/>
      <c r="J1725" s="389"/>
      <c r="K1725" s="302"/>
      <c r="Q1725" s="302"/>
    </row>
    <row r="1726" spans="1:17">
      <c r="A1726" s="392"/>
      <c r="B1726" s="407" t="s">
        <v>2698</v>
      </c>
      <c r="C1726" s="392">
        <v>91047</v>
      </c>
      <c r="D1726" s="392"/>
      <c r="H1726" s="302"/>
      <c r="J1726" s="389"/>
      <c r="K1726" s="302"/>
      <c r="Q1726" s="302"/>
    </row>
    <row r="1727" spans="1:17">
      <c r="A1727" s="392"/>
      <c r="B1727" s="407" t="s">
        <v>2699</v>
      </c>
      <c r="C1727" s="392">
        <v>97131</v>
      </c>
      <c r="D1727" s="392"/>
      <c r="H1727" s="302"/>
      <c r="J1727" s="389"/>
      <c r="K1727" s="302"/>
      <c r="Q1727" s="302"/>
    </row>
    <row r="1728" spans="1:17">
      <c r="A1728" s="392"/>
      <c r="B1728" s="407" t="s">
        <v>1503</v>
      </c>
      <c r="C1728" s="392">
        <v>98601</v>
      </c>
      <c r="D1728" s="392"/>
      <c r="H1728" s="302"/>
      <c r="J1728" s="389"/>
      <c r="K1728" s="302"/>
      <c r="Q1728" s="302"/>
    </row>
    <row r="1729" spans="1:17">
      <c r="A1729" s="392"/>
      <c r="B1729" s="407" t="s">
        <v>1513</v>
      </c>
      <c r="C1729" s="392">
        <v>98701</v>
      </c>
      <c r="D1729" s="392"/>
      <c r="H1729" s="302"/>
      <c r="J1729" s="389"/>
      <c r="K1729" s="302"/>
      <c r="Q1729" s="302"/>
    </row>
    <row r="1730" spans="1:17">
      <c r="A1730" s="392"/>
      <c r="B1730" s="407" t="s">
        <v>2700</v>
      </c>
      <c r="C1730" s="392">
        <v>96721</v>
      </c>
      <c r="D1730" s="392"/>
      <c r="H1730" s="302"/>
      <c r="J1730" s="389"/>
      <c r="K1730" s="302"/>
      <c r="Q1730" s="302"/>
    </row>
    <row r="1731" spans="1:17">
      <c r="A1731" s="392"/>
      <c r="B1731" s="407" t="s">
        <v>2701</v>
      </c>
      <c r="C1731" s="392">
        <v>95011</v>
      </c>
      <c r="D1731" s="392"/>
      <c r="H1731" s="302"/>
      <c r="J1731" s="390"/>
      <c r="K1731" s="302"/>
      <c r="Q1731" s="302"/>
    </row>
    <row r="1732" spans="1:17">
      <c r="A1732" s="392"/>
      <c r="B1732" s="407" t="s">
        <v>2702</v>
      </c>
      <c r="C1732" s="392">
        <v>92451</v>
      </c>
      <c r="D1732" s="392"/>
      <c r="H1732" s="302"/>
      <c r="J1732" s="389"/>
      <c r="K1732" s="302"/>
      <c r="Q1732" s="302"/>
    </row>
    <row r="1733" spans="1:17">
      <c r="A1733" s="392"/>
      <c r="B1733" s="407" t="s">
        <v>2703</v>
      </c>
      <c r="C1733" s="392">
        <v>93311</v>
      </c>
      <c r="D1733" s="392"/>
      <c r="H1733" s="302"/>
      <c r="J1733" s="389"/>
      <c r="K1733" s="302"/>
      <c r="Q1733" s="302"/>
    </row>
    <row r="1734" spans="1:17">
      <c r="A1734" s="392"/>
      <c r="B1734" s="407" t="s">
        <v>1033</v>
      </c>
      <c r="C1734" s="392">
        <v>93317</v>
      </c>
      <c r="D1734" s="392"/>
      <c r="H1734" s="302"/>
      <c r="J1734" s="390"/>
      <c r="K1734" s="302"/>
      <c r="Q1734" s="302"/>
    </row>
    <row r="1735" spans="1:17">
      <c r="A1735" s="392"/>
      <c r="B1735" s="407" t="s">
        <v>2704</v>
      </c>
      <c r="C1735" s="392">
        <v>90211</v>
      </c>
      <c r="D1735" s="392"/>
      <c r="H1735" s="302"/>
      <c r="J1735" s="389"/>
      <c r="K1735" s="302"/>
      <c r="Q1735" s="302"/>
    </row>
    <row r="1736" spans="1:17">
      <c r="A1736" s="392"/>
      <c r="B1736" s="407" t="s">
        <v>2705</v>
      </c>
      <c r="C1736" s="392">
        <v>96302</v>
      </c>
      <c r="D1736" s="392"/>
      <c r="H1736" s="302"/>
      <c r="J1736" s="389"/>
      <c r="K1736" s="302"/>
      <c r="Q1736" s="302"/>
    </row>
    <row r="1737" spans="1:17">
      <c r="A1737" s="392"/>
      <c r="B1737" s="407" t="s">
        <v>2706</v>
      </c>
      <c r="C1737" s="392">
        <v>93181</v>
      </c>
      <c r="D1737" s="392"/>
      <c r="H1737" s="302"/>
      <c r="J1737" s="389"/>
      <c r="K1737" s="302"/>
      <c r="Q1737" s="302"/>
    </row>
    <row r="1738" spans="1:17">
      <c r="A1738" s="392"/>
      <c r="B1738" s="407" t="s">
        <v>2017</v>
      </c>
      <c r="C1738" s="392">
        <v>92911</v>
      </c>
      <c r="D1738" s="392"/>
      <c r="H1738" s="302"/>
      <c r="J1738" s="389"/>
      <c r="K1738" s="302"/>
      <c r="Q1738" s="302"/>
    </row>
    <row r="1739" spans="1:17">
      <c r="A1739" s="392"/>
      <c r="B1739" s="407" t="s">
        <v>997</v>
      </c>
      <c r="C1739" s="392">
        <v>92914</v>
      </c>
      <c r="D1739" s="392"/>
      <c r="H1739" s="302"/>
      <c r="J1739" s="389"/>
      <c r="K1739" s="302"/>
      <c r="Q1739" s="302"/>
    </row>
    <row r="1740" spans="1:17">
      <c r="A1740" s="392"/>
      <c r="B1740" s="407" t="s">
        <v>996</v>
      </c>
      <c r="C1740" s="392">
        <v>92913</v>
      </c>
      <c r="D1740" s="392"/>
      <c r="H1740" s="302"/>
      <c r="J1740" s="389"/>
      <c r="K1740" s="302"/>
      <c r="Q1740" s="302"/>
    </row>
    <row r="1741" spans="1:17">
      <c r="A1741" s="392"/>
      <c r="B1741" s="407" t="s">
        <v>2707</v>
      </c>
      <c r="C1741" s="392">
        <v>93471</v>
      </c>
      <c r="D1741" s="392"/>
      <c r="H1741" s="302"/>
      <c r="J1741" s="389"/>
      <c r="K1741" s="302"/>
      <c r="Q1741" s="302"/>
    </row>
    <row r="1742" spans="1:17">
      <c r="A1742" s="392"/>
      <c r="B1742" s="407" t="s">
        <v>736</v>
      </c>
      <c r="C1742" s="392">
        <v>90098</v>
      </c>
      <c r="D1742" s="392"/>
      <c r="H1742" s="302"/>
      <c r="J1742" s="389"/>
      <c r="K1742" s="302"/>
      <c r="Q1742" s="302"/>
    </row>
    <row r="1743" spans="1:17">
      <c r="A1743" s="392"/>
      <c r="B1743" s="407" t="s">
        <v>2708</v>
      </c>
      <c r="C1743" s="392">
        <v>97121</v>
      </c>
      <c r="D1743" s="392"/>
      <c r="H1743" s="302"/>
      <c r="J1743" s="390"/>
      <c r="K1743" s="302"/>
      <c r="Q1743" s="302"/>
    </row>
    <row r="1744" spans="1:17">
      <c r="A1744" s="392"/>
      <c r="B1744" s="407" t="s">
        <v>1516</v>
      </c>
      <c r="C1744" s="392">
        <v>98801</v>
      </c>
      <c r="D1744" s="392"/>
      <c r="H1744" s="302"/>
      <c r="J1744" s="389"/>
      <c r="K1744" s="302"/>
      <c r="Q1744" s="302"/>
    </row>
    <row r="1745" spans="1:17">
      <c r="A1745" s="392"/>
      <c r="B1745" s="407" t="s">
        <v>2709</v>
      </c>
      <c r="C1745" s="392">
        <v>92521</v>
      </c>
      <c r="D1745" s="392"/>
      <c r="H1745" s="302"/>
      <c r="J1745" s="389"/>
      <c r="K1745" s="302"/>
      <c r="Q1745" s="302"/>
    </row>
    <row r="1746" spans="1:17">
      <c r="A1746" s="392"/>
      <c r="B1746" s="407" t="s">
        <v>1046</v>
      </c>
      <c r="C1746" s="392">
        <v>93417</v>
      </c>
      <c r="D1746" s="392"/>
      <c r="H1746" s="302"/>
      <c r="J1746" s="390"/>
      <c r="K1746" s="302"/>
      <c r="Q1746" s="302"/>
    </row>
    <row r="1747" spans="1:17">
      <c r="A1747" s="392"/>
      <c r="B1747" s="407" t="s">
        <v>1027</v>
      </c>
      <c r="C1747" s="392">
        <v>93219</v>
      </c>
      <c r="D1747" s="392"/>
      <c r="H1747" s="302"/>
      <c r="J1747" s="389"/>
      <c r="K1747" s="302"/>
      <c r="Q1747" s="302"/>
    </row>
    <row r="1748" spans="1:17">
      <c r="A1748" s="392"/>
      <c r="B1748" s="407" t="s">
        <v>961</v>
      </c>
      <c r="C1748" s="392">
        <v>92513</v>
      </c>
      <c r="D1748" s="392"/>
      <c r="H1748" s="302"/>
      <c r="J1748" s="389"/>
      <c r="K1748" s="302"/>
      <c r="Q1748" s="302"/>
    </row>
    <row r="1749" spans="1:17">
      <c r="A1749" s="392"/>
      <c r="B1749" s="407" t="s">
        <v>2018</v>
      </c>
      <c r="C1749" s="392">
        <v>97661</v>
      </c>
      <c r="D1749" s="392"/>
      <c r="H1749" s="302"/>
      <c r="J1749" s="389"/>
      <c r="K1749" s="302"/>
      <c r="Q1749" s="302"/>
    </row>
    <row r="1750" spans="1:17">
      <c r="A1750" s="392"/>
      <c r="B1750" s="407" t="s">
        <v>2710</v>
      </c>
      <c r="C1750" s="392">
        <v>94931</v>
      </c>
      <c r="D1750" s="392"/>
      <c r="H1750" s="302"/>
      <c r="J1750" s="389"/>
      <c r="K1750" s="302"/>
      <c r="Q1750" s="302"/>
    </row>
    <row r="1751" spans="1:17">
      <c r="A1751" s="392"/>
      <c r="B1751" s="410" t="s">
        <v>2711</v>
      </c>
      <c r="C1751" s="392">
        <v>94937</v>
      </c>
      <c r="D1751" s="392"/>
      <c r="H1751" s="302"/>
      <c r="J1751" s="389"/>
      <c r="K1751" s="302"/>
      <c r="Q1751" s="302"/>
    </row>
    <row r="1752" spans="1:17">
      <c r="A1752" s="392"/>
      <c r="B1752" s="407" t="s">
        <v>2712</v>
      </c>
      <c r="C1752" s="392">
        <v>96221</v>
      </c>
      <c r="D1752" s="392"/>
      <c r="H1752" s="302"/>
      <c r="J1752" s="389"/>
      <c r="K1752" s="302"/>
      <c r="Q1752" s="302"/>
    </row>
    <row r="1753" spans="1:17">
      <c r="A1753" s="392"/>
      <c r="B1753" s="407" t="s">
        <v>2713</v>
      </c>
      <c r="C1753" s="392">
        <v>97511</v>
      </c>
      <c r="D1753" s="392"/>
      <c r="H1753" s="302"/>
      <c r="J1753" s="389"/>
      <c r="K1753" s="302"/>
      <c r="Q1753" s="302"/>
    </row>
    <row r="1754" spans="1:17">
      <c r="A1754" s="392"/>
      <c r="B1754" s="407" t="s">
        <v>1183</v>
      </c>
      <c r="C1754" s="392">
        <v>95002</v>
      </c>
      <c r="D1754" s="392"/>
      <c r="H1754" s="302"/>
      <c r="J1754" s="389"/>
      <c r="K1754" s="302"/>
      <c r="Q1754" s="302"/>
    </row>
    <row r="1755" spans="1:17">
      <c r="A1755" s="392"/>
      <c r="B1755" s="407" t="s">
        <v>2714</v>
      </c>
      <c r="C1755" s="392">
        <v>98251</v>
      </c>
      <c r="D1755" s="392"/>
      <c r="H1755" s="302"/>
      <c r="J1755" s="390"/>
      <c r="K1755" s="302"/>
      <c r="Q1755" s="302"/>
    </row>
    <row r="1756" spans="1:17">
      <c r="A1756" s="392"/>
      <c r="B1756" s="407" t="s">
        <v>1519</v>
      </c>
      <c r="C1756" s="392">
        <v>98901</v>
      </c>
      <c r="D1756" s="392"/>
      <c r="H1756" s="302"/>
      <c r="J1756" s="389"/>
      <c r="K1756" s="302"/>
      <c r="Q1756" s="302"/>
    </row>
    <row r="1757" spans="1:17">
      <c r="A1757" s="392"/>
      <c r="B1757" s="407" t="s">
        <v>2789</v>
      </c>
      <c r="C1757" s="392">
        <v>98904</v>
      </c>
      <c r="D1757" s="392"/>
      <c r="H1757" s="302"/>
      <c r="J1757" s="389"/>
      <c r="K1757" s="302"/>
      <c r="Q1757" s="302"/>
    </row>
    <row r="1758" spans="1:17">
      <c r="A1758" s="392"/>
      <c r="B1758" s="407" t="s">
        <v>1522</v>
      </c>
      <c r="C1758" s="392">
        <v>99001</v>
      </c>
      <c r="D1758" s="392"/>
      <c r="H1758" s="302"/>
      <c r="J1758" s="390"/>
      <c r="K1758" s="302"/>
      <c r="Q1758" s="302"/>
    </row>
    <row r="1759" spans="1:17">
      <c r="A1759" s="392"/>
      <c r="B1759" s="407" t="s">
        <v>2752</v>
      </c>
      <c r="C1759" s="392">
        <v>99061</v>
      </c>
      <c r="D1759" s="392"/>
      <c r="H1759" s="302"/>
      <c r="J1759" s="389"/>
      <c r="K1759" s="302"/>
      <c r="Q1759" s="302"/>
    </row>
    <row r="1760" spans="1:17">
      <c r="A1760" s="392"/>
      <c r="B1760" s="407" t="s">
        <v>1031</v>
      </c>
      <c r="C1760" s="392">
        <v>93309</v>
      </c>
      <c r="D1760" s="392"/>
      <c r="H1760" s="302"/>
      <c r="J1760" s="389"/>
      <c r="K1760" s="302"/>
      <c r="Q1760" s="302"/>
    </row>
    <row r="1761" spans="1:17">
      <c r="A1761" s="392"/>
      <c r="B1761" s="407" t="s">
        <v>2715</v>
      </c>
      <c r="C1761" s="392">
        <v>91211</v>
      </c>
      <c r="D1761" s="392"/>
      <c r="H1761" s="302"/>
      <c r="J1761" s="389"/>
      <c r="K1761" s="302"/>
      <c r="Q1761" s="302"/>
    </row>
    <row r="1762" spans="1:17">
      <c r="A1762" s="392"/>
      <c r="B1762" s="408" t="s">
        <v>1934</v>
      </c>
      <c r="C1762" s="392">
        <v>94947</v>
      </c>
      <c r="D1762" s="392"/>
      <c r="H1762" s="302"/>
      <c r="J1762" s="389"/>
      <c r="K1762" s="302"/>
      <c r="Q1762" s="302"/>
    </row>
    <row r="1763" spans="1:17">
      <c r="A1763" s="392"/>
      <c r="B1763" s="407" t="s">
        <v>853</v>
      </c>
      <c r="C1763" s="392">
        <v>91213</v>
      </c>
      <c r="D1763" s="392"/>
      <c r="H1763" s="302"/>
      <c r="J1763" s="389"/>
      <c r="K1763" s="302"/>
      <c r="Q1763" s="302"/>
    </row>
    <row r="1764" spans="1:17">
      <c r="A1764" s="392"/>
      <c r="B1764" s="407" t="s">
        <v>1536</v>
      </c>
      <c r="C1764" s="392">
        <v>99101</v>
      </c>
      <c r="D1764" s="392"/>
      <c r="H1764" s="302"/>
      <c r="J1764" s="389"/>
      <c r="K1764" s="302"/>
      <c r="Q1764" s="302"/>
    </row>
    <row r="1765" spans="1:17">
      <c r="A1765" s="392"/>
      <c r="B1765" s="407" t="s">
        <v>2788</v>
      </c>
      <c r="C1765" s="392">
        <v>99104</v>
      </c>
      <c r="D1765" s="392"/>
      <c r="H1765" s="302"/>
      <c r="J1765" s="389"/>
      <c r="K1765" s="302"/>
      <c r="Q1765" s="302"/>
    </row>
    <row r="1766" spans="1:17">
      <c r="A1766" s="392"/>
      <c r="B1766" s="407" t="s">
        <v>2716</v>
      </c>
      <c r="C1766" s="392">
        <v>92551</v>
      </c>
      <c r="D1766" s="392"/>
      <c r="H1766" s="302"/>
      <c r="J1766" s="389"/>
      <c r="K1766" s="302"/>
      <c r="Q1766" s="302"/>
    </row>
    <row r="1767" spans="1:17">
      <c r="A1767" s="392"/>
      <c r="B1767" s="407" t="s">
        <v>2717</v>
      </c>
      <c r="C1767" s="392">
        <v>96321</v>
      </c>
      <c r="D1767" s="392"/>
      <c r="H1767" s="302"/>
      <c r="J1767" s="390"/>
      <c r="K1767" s="302"/>
      <c r="Q1767" s="302"/>
    </row>
    <row r="1768" spans="1:17">
      <c r="A1768" s="392"/>
      <c r="B1768" s="407" t="s">
        <v>1186</v>
      </c>
      <c r="C1768" s="392">
        <v>95009</v>
      </c>
      <c r="D1768" s="392"/>
      <c r="H1768" s="302"/>
      <c r="J1768" s="389"/>
      <c r="K1768" s="302"/>
      <c r="Q1768" s="302"/>
    </row>
    <row r="1769" spans="1:17">
      <c r="A1769" s="392"/>
      <c r="B1769" s="407" t="s">
        <v>2718</v>
      </c>
      <c r="C1769" s="392">
        <v>92641</v>
      </c>
      <c r="D1769" s="392"/>
      <c r="H1769" s="302"/>
      <c r="J1769" s="389"/>
      <c r="K1769" s="302"/>
      <c r="Q1769" s="302"/>
    </row>
    <row r="1770" spans="1:17">
      <c r="A1770" s="392"/>
      <c r="B1770" s="407" t="s">
        <v>2719</v>
      </c>
      <c r="C1770" s="392">
        <v>90411</v>
      </c>
      <c r="D1770" s="392"/>
      <c r="H1770" s="302"/>
      <c r="J1770" s="390"/>
      <c r="K1770" s="302"/>
      <c r="Q1770" s="302"/>
    </row>
    <row r="1771" spans="1:17">
      <c r="A1771" s="392"/>
      <c r="B1771" s="407" t="s">
        <v>758</v>
      </c>
      <c r="C1771" s="392">
        <v>90417</v>
      </c>
      <c r="D1771" s="392"/>
      <c r="H1771" s="302"/>
      <c r="J1771" s="389"/>
      <c r="K1771" s="302"/>
      <c r="Q1771" s="302"/>
    </row>
    <row r="1772" spans="1:17">
      <c r="A1772" s="392"/>
      <c r="B1772" s="407" t="s">
        <v>757</v>
      </c>
      <c r="C1772" s="392">
        <v>90413</v>
      </c>
      <c r="D1772" s="392"/>
      <c r="H1772" s="302"/>
      <c r="J1772" s="389"/>
      <c r="K1772" s="302"/>
      <c r="Q1772" s="302"/>
    </row>
    <row r="1773" spans="1:17">
      <c r="A1773" s="392"/>
      <c r="B1773" s="407" t="s">
        <v>2720</v>
      </c>
      <c r="C1773" s="392">
        <v>98321</v>
      </c>
      <c r="D1773" s="392"/>
      <c r="H1773" s="302"/>
      <c r="J1773" s="389"/>
      <c r="K1773" s="302"/>
      <c r="Q1773" s="302"/>
    </row>
    <row r="1774" spans="1:17">
      <c r="A1774" s="392"/>
      <c r="B1774" s="407" t="s">
        <v>1541</v>
      </c>
      <c r="C1774" s="392">
        <v>99201</v>
      </c>
      <c r="D1774" s="392"/>
      <c r="H1774" s="302"/>
      <c r="J1774" s="389"/>
      <c r="K1774" s="302"/>
      <c r="Q1774" s="302"/>
    </row>
    <row r="1775" spans="1:17">
      <c r="A1775" s="392"/>
      <c r="B1775" s="407" t="s">
        <v>1544</v>
      </c>
      <c r="C1775" s="392">
        <v>99204</v>
      </c>
      <c r="D1775" s="392"/>
      <c r="H1775" s="302"/>
      <c r="J1775" s="389"/>
      <c r="K1775" s="302"/>
      <c r="Q1775" s="302"/>
    </row>
    <row r="1776" spans="1:17">
      <c r="A1776" s="392"/>
      <c r="B1776" s="407" t="s">
        <v>1546</v>
      </c>
      <c r="C1776" s="392">
        <v>99207</v>
      </c>
      <c r="D1776" s="392"/>
      <c r="H1776" s="302"/>
      <c r="J1776" s="389"/>
      <c r="K1776" s="302"/>
      <c r="Q1776" s="302"/>
    </row>
    <row r="1777" spans="1:17">
      <c r="A1777" s="392"/>
      <c r="B1777" s="407" t="s">
        <v>2721</v>
      </c>
      <c r="C1777" s="392">
        <v>99281</v>
      </c>
      <c r="D1777" s="392"/>
      <c r="H1777" s="302"/>
      <c r="J1777" s="389"/>
      <c r="K1777" s="302"/>
      <c r="Q1777" s="302"/>
    </row>
    <row r="1778" spans="1:17">
      <c r="A1778" s="392"/>
      <c r="B1778" s="407" t="s">
        <v>2722</v>
      </c>
      <c r="C1778" s="392">
        <v>93461</v>
      </c>
      <c r="D1778" s="392"/>
      <c r="H1778" s="302"/>
      <c r="J1778" s="389"/>
      <c r="K1778" s="302"/>
      <c r="Q1778" s="302"/>
    </row>
    <row r="1779" spans="1:17">
      <c r="A1779" s="392"/>
      <c r="B1779" s="407" t="s">
        <v>2723</v>
      </c>
      <c r="C1779" s="392">
        <v>93151</v>
      </c>
      <c r="D1779" s="392"/>
      <c r="H1779" s="302"/>
      <c r="J1779" s="390"/>
      <c r="K1779" s="302"/>
      <c r="Q1779" s="302"/>
    </row>
    <row r="1780" spans="1:17">
      <c r="A1780" s="392"/>
      <c r="B1780" s="407" t="s">
        <v>1016</v>
      </c>
      <c r="C1780" s="392">
        <v>93157</v>
      </c>
      <c r="D1780" s="392"/>
      <c r="H1780" s="302"/>
      <c r="J1780" s="389"/>
      <c r="K1780" s="302"/>
      <c r="Q1780" s="302"/>
    </row>
    <row r="1781" spans="1:17">
      <c r="A1781" s="392"/>
      <c r="B1781" s="407" t="s">
        <v>2724</v>
      </c>
      <c r="C1781" s="392">
        <v>98511</v>
      </c>
      <c r="D1781" s="392"/>
      <c r="H1781" s="302"/>
      <c r="J1781" s="389"/>
      <c r="K1781" s="302"/>
      <c r="Q1781" s="302"/>
    </row>
    <row r="1782" spans="1:17">
      <c r="A1782" s="392"/>
      <c r="B1782" s="407" t="s">
        <v>1501</v>
      </c>
      <c r="C1782" s="392">
        <v>98517</v>
      </c>
      <c r="D1782" s="392"/>
      <c r="H1782" s="302"/>
      <c r="J1782" s="390"/>
      <c r="K1782" s="302"/>
      <c r="Q1782" s="302"/>
    </row>
    <row r="1783" spans="1:17">
      <c r="A1783" s="392"/>
      <c r="B1783" s="407" t="s">
        <v>2725</v>
      </c>
      <c r="C1783" s="392">
        <v>99661</v>
      </c>
      <c r="D1783" s="392"/>
      <c r="H1783" s="302"/>
      <c r="J1783" s="389"/>
      <c r="K1783" s="302"/>
      <c r="Q1783" s="302"/>
    </row>
    <row r="1784" spans="1:17">
      <c r="A1784" s="392"/>
      <c r="B1784" s="407" t="s">
        <v>2726</v>
      </c>
      <c r="C1784" s="392">
        <v>94031</v>
      </c>
      <c r="D1784" s="392"/>
      <c r="H1784" s="302"/>
      <c r="J1784" s="389"/>
      <c r="K1784" s="302"/>
      <c r="Q1784" s="302"/>
    </row>
    <row r="1785" spans="1:17">
      <c r="A1785" s="392"/>
      <c r="B1785" s="407" t="s">
        <v>1563</v>
      </c>
      <c r="C1785" s="392">
        <v>99301</v>
      </c>
      <c r="D1785" s="392"/>
      <c r="H1785" s="302"/>
      <c r="J1785" s="389"/>
      <c r="K1785" s="302"/>
      <c r="Q1785" s="302"/>
    </row>
    <row r="1786" spans="1:17">
      <c r="A1786" s="392"/>
      <c r="B1786" s="407" t="s">
        <v>1564</v>
      </c>
      <c r="C1786" s="392">
        <v>99304</v>
      </c>
      <c r="D1786" s="392"/>
      <c r="H1786" s="302"/>
      <c r="J1786" s="389"/>
      <c r="K1786" s="302"/>
      <c r="Q1786" s="302"/>
    </row>
    <row r="1787" spans="1:17">
      <c r="A1787" s="392"/>
      <c r="B1787" s="407" t="s">
        <v>2727</v>
      </c>
      <c r="C1787" s="392">
        <v>99321</v>
      </c>
      <c r="D1787" s="392"/>
      <c r="H1787" s="302"/>
      <c r="J1787" s="389"/>
      <c r="K1787" s="302"/>
      <c r="Q1787" s="302"/>
    </row>
    <row r="1788" spans="1:17">
      <c r="A1788" s="392"/>
      <c r="B1788" s="407" t="s">
        <v>2728</v>
      </c>
      <c r="C1788" s="392">
        <v>93131</v>
      </c>
      <c r="D1788" s="392"/>
      <c r="H1788" s="302"/>
      <c r="J1788" s="389"/>
      <c r="K1788" s="302"/>
      <c r="Q1788" s="302"/>
    </row>
    <row r="1789" spans="1:17">
      <c r="A1789" s="392"/>
      <c r="B1789" s="407" t="s">
        <v>1013</v>
      </c>
      <c r="C1789" s="392">
        <v>93137</v>
      </c>
      <c r="D1789" s="392"/>
      <c r="H1789" s="302"/>
      <c r="J1789" s="389"/>
      <c r="K1789" s="302"/>
      <c r="Q1789" s="302"/>
    </row>
    <row r="1790" spans="1:17">
      <c r="A1790" s="392"/>
      <c r="B1790" s="407" t="s">
        <v>2019</v>
      </c>
      <c r="C1790" s="392">
        <v>90711</v>
      </c>
      <c r="D1790" s="392"/>
      <c r="H1790" s="302"/>
      <c r="J1790" s="389"/>
      <c r="K1790" s="302"/>
      <c r="Q1790" s="302"/>
    </row>
    <row r="1791" spans="1:17">
      <c r="A1791" s="392"/>
      <c r="B1791" s="407" t="s">
        <v>1567</v>
      </c>
      <c r="C1791" s="392">
        <v>99401</v>
      </c>
      <c r="D1791" s="392"/>
      <c r="H1791" s="302"/>
      <c r="J1791" s="390"/>
      <c r="K1791" s="302"/>
      <c r="Q1791" s="302"/>
    </row>
    <row r="1792" spans="1:17">
      <c r="A1792" s="392"/>
      <c r="B1792" s="407" t="s">
        <v>1568</v>
      </c>
      <c r="C1792" s="392">
        <v>99404</v>
      </c>
      <c r="D1792" s="392"/>
      <c r="H1792" s="302"/>
      <c r="J1792" s="389"/>
      <c r="K1792" s="302"/>
      <c r="Q1792" s="302"/>
    </row>
    <row r="1793" spans="1:17">
      <c r="A1793" s="392"/>
      <c r="B1793" s="407" t="s">
        <v>2729</v>
      </c>
      <c r="C1793" s="392">
        <v>90741</v>
      </c>
      <c r="D1793" s="392"/>
      <c r="H1793" s="302"/>
      <c r="J1793" s="389"/>
      <c r="K1793" s="302"/>
      <c r="Q1793" s="302"/>
    </row>
    <row r="1794" spans="1:17">
      <c r="A1794" s="392"/>
      <c r="B1794" s="407" t="s">
        <v>1574</v>
      </c>
      <c r="C1794" s="392">
        <v>99501</v>
      </c>
      <c r="D1794" s="392"/>
      <c r="H1794" s="302"/>
      <c r="J1794" s="390"/>
      <c r="K1794" s="302"/>
      <c r="Q1794" s="302"/>
    </row>
    <row r="1795" spans="1:17">
      <c r="A1795" s="392"/>
      <c r="B1795" s="407" t="s">
        <v>1577</v>
      </c>
      <c r="C1795" s="392">
        <v>99509</v>
      </c>
      <c r="D1795" s="392"/>
      <c r="H1795" s="302"/>
      <c r="J1795" s="389"/>
      <c r="K1795" s="302"/>
      <c r="Q1795" s="302"/>
    </row>
    <row r="1796" spans="1:17">
      <c r="A1796" s="392"/>
      <c r="B1796" s="407" t="s">
        <v>2787</v>
      </c>
      <c r="C1796" s="392">
        <v>91302</v>
      </c>
      <c r="D1796" s="392"/>
      <c r="H1796" s="302"/>
      <c r="J1796" s="389"/>
      <c r="K1796" s="302"/>
      <c r="Q1796" s="302"/>
    </row>
    <row r="1797" spans="1:17">
      <c r="A1797" s="392"/>
      <c r="B1797" s="407" t="s">
        <v>2730</v>
      </c>
      <c r="C1797" s="392">
        <v>99041</v>
      </c>
      <c r="D1797" s="392"/>
      <c r="H1797" s="302"/>
      <c r="J1797" s="389"/>
      <c r="K1797" s="302"/>
      <c r="Q1797" s="302"/>
    </row>
    <row r="1798" spans="1:17">
      <c r="A1798" s="392"/>
      <c r="B1798" s="407" t="s">
        <v>1530</v>
      </c>
      <c r="C1798" s="392">
        <v>99047</v>
      </c>
      <c r="D1798" s="392"/>
      <c r="H1798" s="302"/>
      <c r="J1798" s="389"/>
      <c r="K1798" s="302"/>
      <c r="Q1798" s="302"/>
    </row>
    <row r="1799" spans="1:17">
      <c r="A1799" s="392"/>
      <c r="B1799" s="407" t="s">
        <v>1582</v>
      </c>
      <c r="C1799" s="392">
        <v>99601</v>
      </c>
      <c r="D1799" s="392"/>
      <c r="H1799" s="302"/>
      <c r="J1799" s="389"/>
      <c r="K1799" s="302"/>
      <c r="Q1799" s="302"/>
    </row>
    <row r="1800" spans="1:17">
      <c r="A1800" s="392"/>
      <c r="B1800" s="407" t="s">
        <v>1585</v>
      </c>
      <c r="C1800" s="392">
        <v>99604</v>
      </c>
      <c r="D1800" s="392"/>
      <c r="H1800" s="302"/>
      <c r="J1800" s="390"/>
      <c r="K1800" s="302"/>
      <c r="Q1800" s="302"/>
    </row>
    <row r="1801" spans="1:17">
      <c r="A1801" s="392"/>
      <c r="B1801" s="407" t="s">
        <v>2731</v>
      </c>
      <c r="C1801" s="392">
        <v>94411</v>
      </c>
      <c r="D1801" s="392"/>
      <c r="H1801" s="302"/>
      <c r="J1801" s="389"/>
      <c r="K1801" s="302"/>
      <c r="Q1801" s="302"/>
    </row>
    <row r="1802" spans="1:17">
      <c r="A1802" s="392"/>
      <c r="B1802" s="407" t="s">
        <v>1143</v>
      </c>
      <c r="C1802" s="392">
        <v>94412</v>
      </c>
      <c r="D1802" s="392"/>
      <c r="H1802" s="302"/>
      <c r="J1802" s="389"/>
      <c r="K1802" s="302"/>
      <c r="Q1802" s="302"/>
    </row>
    <row r="1803" spans="1:17">
      <c r="A1803" s="392"/>
      <c r="B1803" s="407" t="s">
        <v>2732</v>
      </c>
      <c r="C1803" s="392">
        <v>91141</v>
      </c>
      <c r="D1803" s="392"/>
      <c r="H1803" s="302"/>
      <c r="J1803" s="389"/>
      <c r="K1803" s="302"/>
      <c r="Q1803" s="302"/>
    </row>
    <row r="1804" spans="1:17">
      <c r="A1804" s="392"/>
      <c r="B1804" s="407" t="s">
        <v>842</v>
      </c>
      <c r="C1804" s="392">
        <v>91147</v>
      </c>
      <c r="D1804" s="392"/>
      <c r="H1804" s="302"/>
      <c r="J1804" s="389"/>
      <c r="K1804" s="302"/>
      <c r="Q1804" s="302"/>
    </row>
    <row r="1805" spans="1:17">
      <c r="A1805" s="392"/>
      <c r="B1805" s="407" t="s">
        <v>2733</v>
      </c>
      <c r="C1805" s="392">
        <v>99071</v>
      </c>
      <c r="D1805" s="392"/>
      <c r="H1805" s="302"/>
      <c r="J1805" s="389"/>
      <c r="K1805" s="302"/>
      <c r="Q1805" s="302"/>
    </row>
    <row r="1806" spans="1:17">
      <c r="A1806" s="392"/>
      <c r="B1806" s="407" t="s">
        <v>2734</v>
      </c>
      <c r="C1806" s="392">
        <v>94231</v>
      </c>
      <c r="D1806" s="392"/>
      <c r="H1806" s="302"/>
      <c r="J1806" s="389"/>
      <c r="K1806" s="302"/>
      <c r="Q1806" s="302"/>
    </row>
    <row r="1807" spans="1:17">
      <c r="A1807" s="392"/>
      <c r="B1807" s="407" t="s">
        <v>2735</v>
      </c>
      <c r="C1807" s="392">
        <v>99231</v>
      </c>
      <c r="D1807" s="392"/>
      <c r="H1807" s="302"/>
      <c r="J1807" s="389"/>
      <c r="K1807" s="302"/>
      <c r="Q1807" s="302"/>
    </row>
    <row r="1808" spans="1:17">
      <c r="A1808" s="392"/>
      <c r="B1808" s="407" t="s">
        <v>2736</v>
      </c>
      <c r="C1808" s="392">
        <v>99091</v>
      </c>
      <c r="D1808" s="392"/>
      <c r="H1808" s="302"/>
      <c r="J1808" s="389"/>
      <c r="K1808" s="302"/>
      <c r="Q1808" s="302"/>
    </row>
    <row r="1809" spans="1:17">
      <c r="A1809" s="392"/>
      <c r="B1809" s="407" t="s">
        <v>836</v>
      </c>
      <c r="C1809" s="392">
        <v>91120</v>
      </c>
      <c r="D1809" s="392"/>
      <c r="H1809" s="302"/>
      <c r="J1809" s="390"/>
      <c r="K1809" s="302"/>
      <c r="Q1809" s="302"/>
    </row>
    <row r="1810" spans="1:17">
      <c r="A1810" s="392"/>
      <c r="B1810" s="407" t="s">
        <v>950</v>
      </c>
      <c r="C1810" s="392">
        <v>92444</v>
      </c>
      <c r="D1810" s="392"/>
      <c r="H1810" s="302"/>
      <c r="J1810" s="389"/>
      <c r="K1810" s="302"/>
      <c r="Q1810" s="302"/>
    </row>
    <row r="1811" spans="1:17">
      <c r="A1811" s="392"/>
      <c r="B1811" s="407" t="s">
        <v>2737</v>
      </c>
      <c r="C1811" s="392">
        <v>90521</v>
      </c>
      <c r="D1811" s="392"/>
      <c r="H1811" s="302"/>
      <c r="J1811" s="389"/>
      <c r="K1811" s="302"/>
      <c r="Q1811" s="302"/>
    </row>
    <row r="1812" spans="1:17">
      <c r="A1812" s="392"/>
      <c r="B1812" s="407" t="s">
        <v>34</v>
      </c>
      <c r="C1812" s="392">
        <v>90507</v>
      </c>
      <c r="D1812" s="392"/>
      <c r="H1812" s="302"/>
      <c r="J1812" s="390"/>
      <c r="K1812" s="302"/>
      <c r="Q1812" s="302"/>
    </row>
    <row r="1813" spans="1:17">
      <c r="A1813" s="392"/>
      <c r="B1813" s="407" t="s">
        <v>969</v>
      </c>
      <c r="C1813" s="392">
        <v>92602</v>
      </c>
      <c r="D1813" s="392"/>
      <c r="H1813" s="302"/>
      <c r="J1813" s="389"/>
      <c r="K1813" s="302"/>
      <c r="Q1813" s="302"/>
    </row>
    <row r="1814" spans="1:17">
      <c r="A1814" s="392"/>
      <c r="B1814" s="407" t="s">
        <v>886</v>
      </c>
      <c r="C1814" s="392">
        <v>91608</v>
      </c>
      <c r="D1814" s="392"/>
      <c r="H1814" s="302"/>
      <c r="J1814" s="389"/>
      <c r="K1814" s="302"/>
      <c r="Q1814" s="302"/>
    </row>
    <row r="1815" spans="1:17">
      <c r="A1815" s="392"/>
      <c r="B1815" s="407" t="s">
        <v>48</v>
      </c>
      <c r="C1815" s="392">
        <v>91119</v>
      </c>
      <c r="D1815" s="392"/>
      <c r="H1815" s="302"/>
      <c r="J1815" s="389"/>
      <c r="K1815" s="302"/>
      <c r="Q1815" s="302"/>
    </row>
    <row r="1816" spans="1:17">
      <c r="A1816" s="392"/>
      <c r="B1816" s="407" t="s">
        <v>832</v>
      </c>
      <c r="C1816" s="392">
        <v>91107</v>
      </c>
      <c r="D1816" s="392"/>
      <c r="H1816" s="302"/>
      <c r="J1816" s="389"/>
      <c r="K1816" s="302"/>
      <c r="Q1816" s="302"/>
    </row>
    <row r="1817" spans="1:17">
      <c r="A1817" s="392"/>
      <c r="B1817" s="407" t="s">
        <v>2786</v>
      </c>
      <c r="C1817" s="392">
        <v>91818</v>
      </c>
      <c r="D1817" s="392"/>
      <c r="H1817" s="302"/>
      <c r="J1817" s="389"/>
      <c r="K1817" s="302"/>
      <c r="Q1817" s="302"/>
    </row>
    <row r="1818" spans="1:17">
      <c r="A1818" s="392"/>
      <c r="B1818" s="407" t="s">
        <v>907</v>
      </c>
      <c r="C1818" s="392">
        <v>91819</v>
      </c>
      <c r="D1818" s="392"/>
      <c r="H1818" s="302"/>
      <c r="J1818" s="389"/>
      <c r="K1818" s="302"/>
      <c r="Q1818" s="302"/>
    </row>
    <row r="1819" spans="1:17">
      <c r="A1819" s="392"/>
      <c r="B1819" s="407" t="s">
        <v>2738</v>
      </c>
      <c r="C1819" s="392">
        <v>96371</v>
      </c>
      <c r="D1819" s="392"/>
      <c r="H1819" s="302"/>
      <c r="J1819" s="389"/>
      <c r="K1819" s="302"/>
      <c r="Q1819" s="302"/>
    </row>
    <row r="1820" spans="1:17">
      <c r="A1820" s="392"/>
      <c r="B1820" s="407" t="s">
        <v>2739</v>
      </c>
      <c r="C1820" s="392">
        <v>96441</v>
      </c>
      <c r="D1820" s="392"/>
      <c r="H1820" s="302"/>
      <c r="J1820" s="389"/>
      <c r="K1820" s="302"/>
      <c r="Q1820" s="302"/>
    </row>
    <row r="1821" spans="1:17">
      <c r="A1821" s="392"/>
      <c r="B1821" s="407" t="s">
        <v>2740</v>
      </c>
      <c r="C1821" s="392">
        <v>90921</v>
      </c>
      <c r="D1821" s="392"/>
      <c r="H1821" s="302"/>
      <c r="J1821" s="390"/>
      <c r="K1821" s="302"/>
      <c r="Q1821" s="302"/>
    </row>
    <row r="1822" spans="1:17">
      <c r="A1822" s="392"/>
      <c r="B1822" s="407" t="s">
        <v>2020</v>
      </c>
      <c r="C1822" s="392">
        <v>92411</v>
      </c>
      <c r="D1822" s="392"/>
      <c r="H1822" s="302"/>
      <c r="J1822" s="389"/>
      <c r="K1822" s="302"/>
      <c r="Q1822" s="302"/>
    </row>
    <row r="1823" spans="1:17">
      <c r="A1823" s="392"/>
      <c r="B1823" s="407" t="s">
        <v>945</v>
      </c>
      <c r="C1823" s="392">
        <v>92417</v>
      </c>
      <c r="D1823" s="392"/>
      <c r="H1823" s="302"/>
      <c r="J1823" s="389"/>
      <c r="K1823" s="302"/>
      <c r="Q1823" s="302"/>
    </row>
    <row r="1824" spans="1:17">
      <c r="A1824" s="392"/>
      <c r="B1824" s="407" t="s">
        <v>943</v>
      </c>
      <c r="C1824" s="392">
        <v>92403</v>
      </c>
      <c r="D1824" s="392"/>
      <c r="H1824" s="302"/>
      <c r="J1824" s="390"/>
      <c r="K1824" s="302"/>
      <c r="Q1824" s="302"/>
    </row>
    <row r="1825" spans="1:17">
      <c r="A1825" s="392"/>
      <c r="B1825" s="407" t="s">
        <v>1595</v>
      </c>
      <c r="C1825" s="392">
        <v>99701</v>
      </c>
      <c r="D1825" s="392"/>
      <c r="H1825" s="302"/>
      <c r="J1825" s="389"/>
      <c r="K1825" s="302"/>
      <c r="Q1825" s="302"/>
    </row>
    <row r="1826" spans="1:17">
      <c r="A1826" s="392"/>
      <c r="B1826" s="407" t="s">
        <v>2741</v>
      </c>
      <c r="C1826" s="392">
        <v>99721</v>
      </c>
      <c r="D1826" s="392"/>
      <c r="H1826" s="302"/>
      <c r="J1826" s="389"/>
      <c r="K1826" s="302"/>
      <c r="Q1826" s="302"/>
    </row>
    <row r="1827" spans="1:17">
      <c r="A1827" s="392"/>
      <c r="B1827" s="407" t="s">
        <v>1600</v>
      </c>
      <c r="C1827" s="392">
        <v>99727</v>
      </c>
      <c r="D1827" s="392"/>
      <c r="H1827" s="302"/>
      <c r="J1827" s="389"/>
      <c r="K1827" s="302"/>
      <c r="Q1827" s="302"/>
    </row>
    <row r="1828" spans="1:17">
      <c r="A1828" s="392"/>
      <c r="B1828" s="407" t="s">
        <v>2742</v>
      </c>
      <c r="C1828" s="392">
        <v>95811</v>
      </c>
      <c r="D1828" s="392"/>
      <c r="H1828" s="302"/>
      <c r="J1828" s="389"/>
      <c r="K1828" s="302"/>
      <c r="Q1828" s="302"/>
    </row>
    <row r="1829" spans="1:17">
      <c r="A1829" s="392"/>
      <c r="B1829" s="407" t="s">
        <v>1242</v>
      </c>
      <c r="C1829" s="392">
        <v>95813</v>
      </c>
      <c r="D1829" s="392"/>
      <c r="H1829" s="302"/>
      <c r="J1829" s="389"/>
      <c r="K1829" s="302"/>
      <c r="Q1829" s="302"/>
    </row>
    <row r="1830" spans="1:17">
      <c r="A1830" s="392"/>
      <c r="B1830" s="407" t="s">
        <v>2021</v>
      </c>
      <c r="C1830" s="392">
        <v>96531</v>
      </c>
      <c r="D1830" s="392"/>
      <c r="H1830" s="302"/>
      <c r="J1830" s="389"/>
      <c r="K1830" s="302"/>
      <c r="Q1830" s="302"/>
    </row>
    <row r="1831" spans="1:17">
      <c r="A1831" s="392"/>
      <c r="B1831" s="407" t="s">
        <v>1307</v>
      </c>
      <c r="C1831" s="392">
        <v>96503</v>
      </c>
      <c r="D1831" s="392"/>
      <c r="H1831" s="302"/>
      <c r="J1831" s="389"/>
      <c r="K1831" s="302"/>
      <c r="Q1831" s="302"/>
    </row>
    <row r="1832" spans="1:17">
      <c r="A1832" s="392"/>
      <c r="B1832" s="407" t="s">
        <v>2022</v>
      </c>
      <c r="C1832" s="392">
        <v>99811</v>
      </c>
      <c r="D1832" s="392"/>
      <c r="H1832" s="302"/>
      <c r="J1832" s="389"/>
      <c r="K1832" s="302"/>
      <c r="Q1832" s="302"/>
    </row>
    <row r="1833" spans="1:17">
      <c r="A1833" s="392"/>
      <c r="B1833" s="407" t="s">
        <v>2023</v>
      </c>
      <c r="C1833" s="392">
        <v>99818</v>
      </c>
      <c r="D1833" s="392"/>
      <c r="H1833" s="302"/>
      <c r="J1833" s="390"/>
      <c r="K1833" s="302"/>
      <c r="Q1833" s="302"/>
    </row>
    <row r="1834" spans="1:17">
      <c r="A1834" s="392"/>
      <c r="B1834" s="407" t="s">
        <v>1601</v>
      </c>
      <c r="C1834" s="392">
        <v>99801</v>
      </c>
      <c r="D1834" s="392"/>
      <c r="H1834" s="302"/>
      <c r="J1834" s="389"/>
      <c r="K1834" s="302"/>
      <c r="Q1834" s="302"/>
    </row>
    <row r="1835" spans="1:17">
      <c r="A1835" s="392"/>
      <c r="B1835" s="407" t="s">
        <v>1603</v>
      </c>
      <c r="C1835" s="392">
        <v>99804</v>
      </c>
      <c r="D1835" s="392"/>
      <c r="H1835" s="302"/>
      <c r="J1835" s="389"/>
      <c r="K1835" s="302"/>
      <c r="Q1835" s="302"/>
    </row>
    <row r="1836" spans="1:17">
      <c r="A1836" s="392"/>
      <c r="B1836" s="407" t="s">
        <v>2773</v>
      </c>
      <c r="C1836" s="392">
        <v>99802</v>
      </c>
      <c r="D1836" s="392"/>
      <c r="H1836" s="302"/>
      <c r="J1836" s="390"/>
      <c r="K1836" s="302"/>
      <c r="Q1836" s="302"/>
    </row>
    <row r="1837" spans="1:17">
      <c r="A1837" s="392"/>
      <c r="B1837" s="407" t="s">
        <v>1605</v>
      </c>
      <c r="C1837" s="392">
        <v>99812</v>
      </c>
      <c r="D1837" s="392"/>
      <c r="H1837" s="302"/>
      <c r="J1837" s="389"/>
      <c r="K1837" s="302"/>
      <c r="Q1837" s="302"/>
    </row>
    <row r="1838" spans="1:17">
      <c r="A1838" s="392"/>
      <c r="B1838" s="407" t="s">
        <v>2743</v>
      </c>
      <c r="C1838" s="392">
        <v>95191</v>
      </c>
      <c r="D1838" s="392"/>
      <c r="H1838" s="302"/>
      <c r="J1838" s="389"/>
      <c r="K1838" s="302"/>
      <c r="Q1838" s="302"/>
    </row>
    <row r="1839" spans="1:17">
      <c r="A1839" s="392"/>
      <c r="B1839" s="407" t="s">
        <v>2744</v>
      </c>
      <c r="C1839" s="392">
        <v>90812</v>
      </c>
      <c r="D1839" s="392"/>
      <c r="H1839" s="302"/>
      <c r="J1839" s="389"/>
      <c r="K1839" s="302"/>
      <c r="Q1839" s="302"/>
    </row>
    <row r="1840" spans="1:17">
      <c r="A1840" s="392"/>
      <c r="B1840" s="407" t="s">
        <v>2745</v>
      </c>
      <c r="C1840" s="392">
        <v>97221</v>
      </c>
      <c r="D1840" s="392"/>
      <c r="H1840" s="302"/>
      <c r="J1840" s="389"/>
      <c r="K1840" s="302"/>
      <c r="Q1840" s="302"/>
    </row>
    <row r="1841" spans="1:17">
      <c r="A1841" s="392"/>
      <c r="B1841" s="407" t="s">
        <v>2746</v>
      </c>
      <c r="C1841" s="392">
        <v>99031</v>
      </c>
      <c r="D1841" s="392"/>
      <c r="H1841" s="302"/>
      <c r="J1841" s="389"/>
      <c r="K1841" s="302"/>
      <c r="Q1841" s="302"/>
    </row>
    <row r="1842" spans="1:17">
      <c r="A1842" s="392"/>
      <c r="B1842" s="407" t="s">
        <v>2024</v>
      </c>
      <c r="C1842" s="392">
        <v>93411</v>
      </c>
      <c r="D1842" s="392"/>
      <c r="H1842" s="302"/>
      <c r="J1842" s="389"/>
      <c r="K1842" s="302"/>
      <c r="Q1842" s="302"/>
    </row>
    <row r="1843" spans="1:17">
      <c r="A1843" s="392"/>
      <c r="B1843" s="407" t="s">
        <v>1045</v>
      </c>
      <c r="C1843" s="392">
        <v>93413</v>
      </c>
      <c r="D1843" s="392"/>
      <c r="H1843" s="302"/>
      <c r="J1843" s="389"/>
      <c r="K1843" s="302"/>
      <c r="Q1843" s="302"/>
    </row>
    <row r="1844" spans="1:17">
      <c r="A1844" s="392"/>
      <c r="B1844" s="407" t="s">
        <v>2747</v>
      </c>
      <c r="C1844" s="392">
        <v>97451</v>
      </c>
      <c r="D1844" s="392"/>
      <c r="H1844" s="302"/>
      <c r="J1844" s="389"/>
      <c r="K1844" s="302"/>
      <c r="Q1844" s="302"/>
    </row>
    <row r="1845" spans="1:17">
      <c r="A1845" s="392"/>
      <c r="B1845" s="407" t="s">
        <v>2748</v>
      </c>
      <c r="C1845" s="392">
        <v>94631</v>
      </c>
      <c r="D1845" s="392"/>
      <c r="H1845" s="302"/>
      <c r="J1845" s="390"/>
      <c r="K1845" s="302"/>
      <c r="Q1845" s="302"/>
    </row>
    <row r="1846" spans="1:17">
      <c r="A1846" s="392"/>
      <c r="B1846" s="407" t="s">
        <v>2749</v>
      </c>
      <c r="C1846" s="392">
        <v>91171</v>
      </c>
      <c r="D1846" s="392"/>
      <c r="H1846" s="302"/>
      <c r="J1846" s="389"/>
      <c r="K1846" s="302"/>
      <c r="Q1846" s="302"/>
    </row>
    <row r="1847" spans="1:17">
      <c r="A1847" s="392"/>
      <c r="B1847" s="407" t="s">
        <v>831</v>
      </c>
      <c r="C1847" s="392">
        <v>91104</v>
      </c>
      <c r="D1847" s="392"/>
      <c r="H1847" s="302"/>
      <c r="J1847" s="389"/>
      <c r="K1847" s="302"/>
      <c r="Q1847" s="302"/>
    </row>
    <row r="1848" spans="1:17">
      <c r="A1848" s="392"/>
      <c r="B1848" s="407" t="s">
        <v>2785</v>
      </c>
      <c r="C1848" s="392">
        <v>91109</v>
      </c>
      <c r="D1848" s="392"/>
      <c r="H1848" s="302"/>
      <c r="J1848" s="385"/>
      <c r="K1848" s="302"/>
      <c r="Q1848" s="302"/>
    </row>
    <row r="1849" spans="1:17">
      <c r="A1849" s="392"/>
      <c r="B1849" s="407" t="s">
        <v>2750</v>
      </c>
      <c r="C1849" s="392">
        <v>96621</v>
      </c>
      <c r="D1849" s="392"/>
      <c r="H1849" s="302"/>
      <c r="K1849" s="302"/>
      <c r="Q1849" s="302"/>
    </row>
    <row r="1850" spans="1:17">
      <c r="A1850" s="392"/>
      <c r="B1850" s="407" t="s">
        <v>2498</v>
      </c>
      <c r="C1850" s="392">
        <v>96511</v>
      </c>
      <c r="D1850" s="392"/>
      <c r="H1850" s="302"/>
      <c r="K1850" s="302"/>
      <c r="Q1850" s="302"/>
    </row>
    <row r="1851" spans="1:17">
      <c r="A1851" s="392"/>
      <c r="B1851" s="407" t="s">
        <v>1611</v>
      </c>
      <c r="C1851" s="392">
        <v>99901</v>
      </c>
      <c r="D1851" s="392"/>
      <c r="H1851" s="302"/>
      <c r="K1851" s="302"/>
      <c r="Q1851" s="302"/>
    </row>
    <row r="1852" spans="1:17">
      <c r="A1852" s="392"/>
      <c r="B1852" s="407" t="s">
        <v>3521</v>
      </c>
      <c r="C1852" s="392">
        <v>98604</v>
      </c>
      <c r="D1852" s="392"/>
      <c r="H1852" s="302"/>
      <c r="K1852" s="302"/>
      <c r="Q1852" s="302"/>
    </row>
    <row r="1853" spans="1:17">
      <c r="A1853" s="392"/>
      <c r="B1853" s="407" t="s">
        <v>1506</v>
      </c>
      <c r="C1853" s="392">
        <v>98608</v>
      </c>
      <c r="D1853" s="392"/>
      <c r="H1853" s="302"/>
      <c r="K1853" s="302"/>
      <c r="Q1853" s="302"/>
    </row>
    <row r="1854" spans="1:17">
      <c r="A1854" s="392"/>
      <c r="B1854" s="407" t="s">
        <v>2497</v>
      </c>
      <c r="C1854" s="392">
        <v>99911</v>
      </c>
      <c r="D1854" s="392"/>
      <c r="H1854" s="302"/>
      <c r="K1854" s="302"/>
      <c r="Q1854" s="302"/>
    </row>
    <row r="1855" spans="1:17">
      <c r="A1855" s="392"/>
      <c r="B1855" s="407" t="s">
        <v>731</v>
      </c>
      <c r="C1855" s="392">
        <v>90001</v>
      </c>
      <c r="D1855" s="392"/>
      <c r="H1855" s="302"/>
      <c r="K1855" s="302"/>
      <c r="Q1855" s="302"/>
    </row>
    <row r="1856" spans="1:17">
      <c r="A1856" s="392"/>
      <c r="B1856" s="407" t="s">
        <v>2784</v>
      </c>
      <c r="C1856" s="392">
        <v>90002</v>
      </c>
      <c r="D1856" s="392"/>
      <c r="H1856" s="302"/>
      <c r="K1856" s="302"/>
      <c r="Q1856" s="302"/>
    </row>
    <row r="1857" spans="1:17">
      <c r="A1857" s="392"/>
      <c r="B1857" s="407" t="s">
        <v>2496</v>
      </c>
      <c r="C1857" s="392">
        <v>91719</v>
      </c>
      <c r="D1857" s="392"/>
      <c r="H1857" s="302"/>
      <c r="K1857" s="302"/>
      <c r="Q1857" s="302"/>
    </row>
    <row r="1858" spans="1:17">
      <c r="A1858" s="392"/>
      <c r="B1858" s="407" t="s">
        <v>2494</v>
      </c>
      <c r="C1858" s="392">
        <v>93541</v>
      </c>
      <c r="D1858" s="392"/>
      <c r="H1858" s="302"/>
      <c r="K1858" s="302"/>
      <c r="Q1858" s="302"/>
    </row>
    <row r="1859" spans="1:17">
      <c r="A1859" s="392"/>
      <c r="B1859" s="407" t="s">
        <v>2495</v>
      </c>
      <c r="C1859" s="392">
        <v>99241</v>
      </c>
      <c r="D1859" s="392"/>
      <c r="H1859" s="302"/>
      <c r="K1859" s="302"/>
      <c r="Q1859" s="302"/>
    </row>
    <row r="1860" spans="1:17">
      <c r="A1860" s="392"/>
      <c r="B1860" s="393"/>
      <c r="C1860" s="392"/>
      <c r="D1860" s="392"/>
      <c r="H1860" s="302"/>
      <c r="K1860" s="302"/>
      <c r="Q1860" s="302"/>
    </row>
    <row r="1861" spans="1:17">
      <c r="B1861" s="393"/>
      <c r="C1861" s="392"/>
      <c r="D1861" s="392"/>
      <c r="H1861" s="302"/>
      <c r="K1861" s="302"/>
      <c r="Q1861" s="302"/>
    </row>
    <row r="1862" spans="1:17">
      <c r="B1862" s="393"/>
      <c r="C1862" s="392"/>
      <c r="D1862" s="392"/>
      <c r="H1862" s="302"/>
      <c r="K1862" s="302"/>
      <c r="Q1862" s="302"/>
    </row>
    <row r="1863" spans="1:17">
      <c r="B1863" s="393"/>
      <c r="C1863" s="392"/>
      <c r="D1863" s="392"/>
      <c r="H1863" s="302"/>
      <c r="K1863" s="302"/>
      <c r="Q1863" s="302"/>
    </row>
    <row r="1864" spans="1:17">
      <c r="B1864" s="393"/>
      <c r="C1864" s="392"/>
      <c r="D1864"/>
      <c r="H1864" s="302"/>
      <c r="K1864" s="302"/>
      <c r="Q1864" s="302"/>
    </row>
    <row r="1865" spans="1:17">
      <c r="B1865" s="392"/>
      <c r="C1865" s="235"/>
      <c r="H1865" s="302"/>
      <c r="K1865" s="302"/>
      <c r="Q1865" s="302"/>
    </row>
    <row r="1866" spans="1:17">
      <c r="B1866" s="392"/>
      <c r="C1866" s="235"/>
      <c r="H1866" s="302"/>
      <c r="K1866" s="302"/>
      <c r="Q1866" s="302"/>
    </row>
    <row r="1867" spans="1:17">
      <c r="B1867" s="392"/>
      <c r="C1867" s="235"/>
      <c r="H1867" s="302"/>
      <c r="K1867" s="302"/>
      <c r="Q1867" s="302"/>
    </row>
    <row r="1868" spans="1:17">
      <c r="B1868" s="392"/>
      <c r="C1868" s="235"/>
      <c r="H1868" s="302"/>
      <c r="K1868" s="302"/>
      <c r="Q1868" s="302"/>
    </row>
    <row r="1869" spans="1:17">
      <c r="B1869" s="392"/>
      <c r="C1869" s="235"/>
      <c r="H1869" s="302"/>
      <c r="K1869" s="302"/>
      <c r="Q1869" s="302"/>
    </row>
    <row r="1870" spans="1:17">
      <c r="B1870" s="392"/>
      <c r="C1870" s="235"/>
      <c r="H1870" s="302"/>
      <c r="K1870" s="302"/>
      <c r="Q1870" s="302"/>
    </row>
    <row r="1871" spans="1:17">
      <c r="B1871" s="392"/>
      <c r="C1871" s="235"/>
      <c r="H1871" s="302"/>
      <c r="K1871" s="302"/>
      <c r="Q1871" s="302"/>
    </row>
    <row r="1872" spans="1:17">
      <c r="B1872" s="392"/>
      <c r="C1872" s="235"/>
      <c r="H1872" s="302"/>
      <c r="K1872" s="302"/>
      <c r="Q1872" s="302"/>
    </row>
    <row r="1873" spans="2:17">
      <c r="B1873" s="392"/>
      <c r="C1873" s="235"/>
      <c r="H1873" s="302"/>
      <c r="K1873" s="302"/>
      <c r="Q1873" s="302"/>
    </row>
    <row r="1874" spans="2:17">
      <c r="B1874" s="392"/>
      <c r="C1874" s="235"/>
      <c r="H1874" s="302"/>
      <c r="K1874" s="302"/>
      <c r="Q1874" s="302"/>
    </row>
    <row r="1875" spans="2:17">
      <c r="B1875" s="392"/>
      <c r="C1875" s="235"/>
      <c r="H1875" s="302"/>
      <c r="K1875" s="302"/>
      <c r="Q1875" s="302"/>
    </row>
    <row r="1876" spans="2:17">
      <c r="B1876" s="392"/>
      <c r="C1876" s="235"/>
      <c r="H1876" s="302"/>
      <c r="K1876" s="302"/>
      <c r="Q1876" s="302"/>
    </row>
    <row r="1877" spans="2:17">
      <c r="B1877" s="392"/>
      <c r="C1877" s="235"/>
      <c r="H1877" s="302"/>
      <c r="K1877" s="302"/>
      <c r="Q1877" s="302"/>
    </row>
    <row r="1878" spans="2:17">
      <c r="B1878" s="392"/>
      <c r="C1878" s="235"/>
      <c r="H1878" s="302"/>
      <c r="K1878" s="302"/>
      <c r="Q1878" s="302"/>
    </row>
    <row r="1879" spans="2:17">
      <c r="B1879" s="392"/>
      <c r="C1879" s="235"/>
      <c r="H1879" s="302"/>
      <c r="K1879" s="302"/>
      <c r="Q1879" s="302"/>
    </row>
    <row r="1880" spans="2:17">
      <c r="B1880" s="411"/>
      <c r="H1880" s="302"/>
      <c r="K1880" s="302"/>
      <c r="Q1880" s="302"/>
    </row>
    <row r="1881" spans="2:17">
      <c r="B1881" s="411"/>
      <c r="H1881" s="302"/>
      <c r="K1881" s="302"/>
      <c r="Q1881" s="302"/>
    </row>
    <row r="1882" spans="2:17">
      <c r="B1882" s="411"/>
      <c r="H1882" s="302"/>
      <c r="K1882" s="302"/>
      <c r="Q1882" s="302"/>
    </row>
    <row r="1883" spans="2:17">
      <c r="B1883" s="411"/>
      <c r="H1883" s="302"/>
      <c r="K1883" s="302"/>
      <c r="Q1883" s="302"/>
    </row>
    <row r="1884" spans="2:17">
      <c r="B1884" s="411"/>
      <c r="H1884" s="302"/>
      <c r="K1884" s="302"/>
      <c r="Q1884" s="302"/>
    </row>
    <row r="1885" spans="2:17">
      <c r="B1885" s="411"/>
      <c r="H1885" s="302"/>
      <c r="K1885" s="302"/>
      <c r="Q1885" s="302"/>
    </row>
    <row r="1886" spans="2:17">
      <c r="B1886" s="411"/>
      <c r="H1886" s="302"/>
      <c r="K1886" s="302"/>
      <c r="Q1886" s="302"/>
    </row>
    <row r="1887" spans="2:17">
      <c r="B1887" s="411"/>
      <c r="H1887" s="302"/>
      <c r="K1887" s="302"/>
      <c r="Q1887" s="302"/>
    </row>
    <row r="1888" spans="2:17">
      <c r="B1888" s="411"/>
      <c r="H1888" s="302"/>
      <c r="K1888" s="302"/>
      <c r="Q1888" s="302"/>
    </row>
    <row r="1889" spans="2:17">
      <c r="B1889" s="411"/>
      <c r="H1889" s="302"/>
      <c r="K1889" s="302"/>
      <c r="Q1889" s="302"/>
    </row>
    <row r="1890" spans="2:17">
      <c r="B1890" s="411"/>
      <c r="H1890" s="302"/>
      <c r="K1890" s="302"/>
      <c r="Q1890" s="302"/>
    </row>
    <row r="1891" spans="2:17">
      <c r="B1891" s="411"/>
      <c r="H1891" s="302"/>
      <c r="K1891" s="302"/>
      <c r="Q1891" s="302"/>
    </row>
    <row r="1892" spans="2:17">
      <c r="B1892" s="411"/>
      <c r="H1892" s="302"/>
      <c r="K1892" s="302"/>
      <c r="Q1892" s="302"/>
    </row>
    <row r="1893" spans="2:17">
      <c r="B1893" s="411"/>
      <c r="H1893" s="302"/>
      <c r="K1893" s="302"/>
      <c r="Q1893" s="302"/>
    </row>
    <row r="1894" spans="2:17">
      <c r="B1894" s="411"/>
      <c r="H1894" s="302"/>
      <c r="K1894" s="302"/>
      <c r="Q1894" s="302"/>
    </row>
    <row r="1895" spans="2:17">
      <c r="B1895" s="411"/>
      <c r="H1895" s="302"/>
      <c r="K1895" s="302"/>
      <c r="Q1895" s="302"/>
    </row>
    <row r="1896" spans="2:17">
      <c r="B1896" s="411"/>
      <c r="H1896" s="302"/>
      <c r="K1896" s="302"/>
      <c r="Q1896" s="302"/>
    </row>
    <row r="1897" spans="2:17">
      <c r="B1897" s="411"/>
      <c r="H1897" s="302"/>
      <c r="K1897" s="302"/>
      <c r="Q1897" s="302"/>
    </row>
    <row r="1898" spans="2:17">
      <c r="B1898" s="411"/>
      <c r="H1898" s="302"/>
      <c r="K1898" s="302"/>
      <c r="Q1898" s="302"/>
    </row>
    <row r="1899" spans="2:17">
      <c r="B1899" s="411"/>
      <c r="H1899" s="302"/>
      <c r="K1899" s="302"/>
      <c r="Q1899" s="302"/>
    </row>
    <row r="1900" spans="2:17">
      <c r="B1900" s="411"/>
      <c r="H1900" s="302"/>
      <c r="K1900" s="302"/>
      <c r="Q1900" s="302"/>
    </row>
    <row r="1901" spans="2:17">
      <c r="B1901" s="411"/>
      <c r="H1901" s="302"/>
      <c r="K1901" s="302"/>
      <c r="Q1901" s="302"/>
    </row>
    <row r="1902" spans="2:17">
      <c r="B1902" s="411"/>
      <c r="H1902" s="302"/>
      <c r="K1902" s="302"/>
      <c r="Q1902" s="302"/>
    </row>
    <row r="1903" spans="2:17">
      <c r="B1903" s="411"/>
      <c r="H1903" s="302"/>
      <c r="K1903" s="302"/>
      <c r="Q1903" s="302"/>
    </row>
    <row r="1904" spans="2:17">
      <c r="B1904" s="411"/>
      <c r="H1904" s="302"/>
      <c r="K1904" s="302"/>
      <c r="Q1904" s="302"/>
    </row>
    <row r="1905" spans="2:17">
      <c r="B1905" s="411"/>
      <c r="H1905" s="302"/>
      <c r="K1905" s="302"/>
      <c r="Q1905" s="302"/>
    </row>
    <row r="1906" spans="2:17">
      <c r="B1906" s="411"/>
      <c r="H1906" s="302"/>
      <c r="K1906" s="302"/>
      <c r="Q1906" s="302"/>
    </row>
    <row r="1907" spans="2:17">
      <c r="B1907" s="411"/>
      <c r="H1907" s="302"/>
      <c r="K1907" s="302"/>
      <c r="Q1907" s="302"/>
    </row>
    <row r="1908" spans="2:17">
      <c r="B1908" s="411"/>
      <c r="H1908" s="302"/>
      <c r="K1908" s="302"/>
      <c r="Q1908" s="302"/>
    </row>
    <row r="1909" spans="2:17">
      <c r="B1909" s="411"/>
      <c r="H1909" s="302"/>
      <c r="K1909" s="302"/>
      <c r="Q1909" s="302"/>
    </row>
    <row r="1910" spans="2:17">
      <c r="B1910" s="411"/>
      <c r="H1910" s="302"/>
      <c r="K1910" s="302"/>
      <c r="Q1910" s="302"/>
    </row>
    <row r="1911" spans="2:17">
      <c r="B1911" s="411"/>
      <c r="H1911" s="302"/>
      <c r="K1911" s="302"/>
      <c r="Q1911" s="302"/>
    </row>
    <row r="1912" spans="2:17">
      <c r="B1912" s="411"/>
      <c r="H1912" s="302"/>
      <c r="K1912" s="302"/>
      <c r="Q1912" s="302"/>
    </row>
    <row r="1913" spans="2:17">
      <c r="B1913" s="411"/>
      <c r="H1913" s="302"/>
      <c r="K1913" s="302"/>
      <c r="Q1913" s="302"/>
    </row>
    <row r="1914" spans="2:17">
      <c r="B1914" s="411"/>
      <c r="H1914" s="302"/>
      <c r="K1914" s="302"/>
      <c r="Q1914" s="302"/>
    </row>
    <row r="1915" spans="2:17">
      <c r="B1915" s="411"/>
      <c r="H1915" s="302"/>
      <c r="K1915" s="302"/>
      <c r="Q1915" s="302"/>
    </row>
    <row r="1916" spans="2:17">
      <c r="B1916" s="411"/>
      <c r="H1916" s="302"/>
      <c r="K1916" s="302"/>
      <c r="Q1916" s="302"/>
    </row>
    <row r="1917" spans="2:17">
      <c r="B1917" s="411"/>
      <c r="H1917" s="302"/>
      <c r="K1917" s="302"/>
      <c r="Q1917" s="302"/>
    </row>
    <row r="1918" spans="2:17">
      <c r="B1918" s="411"/>
      <c r="H1918" s="302"/>
      <c r="K1918" s="302"/>
      <c r="Q1918" s="302"/>
    </row>
    <row r="1919" spans="2:17">
      <c r="B1919" s="411"/>
      <c r="H1919" s="302"/>
      <c r="K1919" s="302"/>
      <c r="Q1919" s="302"/>
    </row>
    <row r="1920" spans="2:17">
      <c r="B1920" s="411"/>
      <c r="H1920" s="302"/>
      <c r="K1920" s="302"/>
      <c r="Q1920" s="302"/>
    </row>
    <row r="1921" spans="2:17">
      <c r="B1921" s="411"/>
      <c r="H1921" s="302"/>
      <c r="K1921" s="302"/>
      <c r="Q1921" s="302"/>
    </row>
    <row r="1922" spans="2:17">
      <c r="B1922" s="411"/>
      <c r="H1922" s="302"/>
      <c r="K1922" s="302"/>
      <c r="Q1922" s="302"/>
    </row>
    <row r="1923" spans="2:17">
      <c r="B1923" s="411"/>
      <c r="H1923" s="302"/>
      <c r="K1923" s="302"/>
      <c r="Q1923" s="302"/>
    </row>
    <row r="1924" spans="2:17">
      <c r="B1924" s="411"/>
      <c r="H1924" s="302"/>
      <c r="K1924" s="302"/>
      <c r="Q1924" s="302"/>
    </row>
    <row r="1925" spans="2:17">
      <c r="B1925" s="411"/>
      <c r="H1925" s="302"/>
      <c r="K1925" s="302"/>
      <c r="Q1925" s="302"/>
    </row>
    <row r="1926" spans="2:17">
      <c r="B1926" s="411"/>
      <c r="H1926" s="302"/>
      <c r="K1926" s="302"/>
      <c r="Q1926" s="302"/>
    </row>
    <row r="1927" spans="2:17">
      <c r="B1927" s="411"/>
      <c r="H1927" s="302"/>
      <c r="K1927" s="302"/>
      <c r="Q1927" s="302"/>
    </row>
    <row r="1928" spans="2:17">
      <c r="B1928" s="411"/>
      <c r="H1928" s="302"/>
      <c r="K1928" s="302"/>
      <c r="Q1928" s="302"/>
    </row>
    <row r="1929" spans="2:17">
      <c r="B1929" s="411"/>
      <c r="H1929" s="302"/>
      <c r="K1929" s="302"/>
      <c r="Q1929" s="302"/>
    </row>
  </sheetData>
  <sheetProtection algorithmName="SHA-512" hashValue="MFD932sdY5Ry1+6MeRtU6f1ElUO9Ckqlzqze1b6oIdsR7nJEG8j742VCI6k1ozSlYT40+ls8oh6HYbqqW5blXA==" saltValue="DMcLRlK38++mQJhZQzeQtw==" spinCount="100000" sheet="1" objects="1" scenarios="1"/>
  <autoFilter ref="A7:U957" xr:uid="{A86E2DE0-9FF4-4C02-97CB-4D6704BF96EB}">
    <sortState xmlns:xlrd2="http://schemas.microsoft.com/office/spreadsheetml/2017/richdata2" ref="A8:U957">
      <sortCondition descending="1" sortBy="cellColor" ref="A9:A957" dxfId="13"/>
    </sortState>
  </autoFilter>
  <conditionalFormatting sqref="C1865:C1879">
    <cfRule type="duplicateValues" dxfId="12" priority="4"/>
  </conditionalFormatting>
  <conditionalFormatting sqref="C1865:C1879">
    <cfRule type="duplicateValues" dxfId="11" priority="3"/>
  </conditionalFormatting>
  <conditionalFormatting sqref="B1865:B1879">
    <cfRule type="duplicateValues" dxfId="10" priority="2"/>
  </conditionalFormatting>
  <conditionalFormatting sqref="B1865:B1879">
    <cfRule type="duplicateValues" dxfId="9" priority="1"/>
  </conditionalFormatting>
  <pageMargins left="0.7" right="0.7" top="0.75" bottom="0.75" header="0.3" footer="0.3"/>
  <pageSetup paperSize="5" scale="40"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5197-8DC1-495D-AEEC-472A5BFB3A01}">
  <sheetPr>
    <pageSetUpPr fitToPage="1"/>
  </sheetPr>
  <dimension ref="A1:XFD1908"/>
  <sheetViews>
    <sheetView zoomScale="90" zoomScaleNormal="90" workbookViewId="0"/>
  </sheetViews>
  <sheetFormatPr defaultColWidth="9.140625" defaultRowHeight="15"/>
  <cols>
    <col min="1" max="1" width="10.5703125" style="226" customWidth="1"/>
    <col min="2" max="2" width="48.85546875" style="226" customWidth="1"/>
    <col min="3" max="3" width="13.85546875" style="226" customWidth="1"/>
    <col min="4" max="4" width="13.85546875" style="235" customWidth="1"/>
    <col min="5" max="5" width="30.140625" style="226" customWidth="1"/>
    <col min="6" max="6" width="3.85546875" style="226" customWidth="1"/>
    <col min="7" max="7" width="18.28515625" style="226" customWidth="1"/>
    <col min="8" max="8" width="20" style="89" customWidth="1"/>
    <col min="9" max="9" width="16.85546875" style="226" customWidth="1"/>
    <col min="10" max="10" width="19.42578125" style="226" customWidth="1"/>
    <col min="11" max="11" width="20" style="89" customWidth="1"/>
    <col min="12" max="12" width="3.85546875" style="226" customWidth="1"/>
    <col min="13" max="13" width="18.28515625" style="226" customWidth="1"/>
    <col min="14" max="14" width="11.85546875" style="226" customWidth="1"/>
    <col min="15" max="15" width="19.42578125" style="226" customWidth="1"/>
    <col min="16" max="16" width="20" style="89" customWidth="1"/>
    <col min="17" max="17" width="3.85546875" style="226" customWidth="1"/>
    <col min="18" max="18" width="21.140625" style="226" bestFit="1" customWidth="1"/>
    <col min="19" max="19" width="22.42578125" style="226" customWidth="1"/>
    <col min="20" max="20" width="19.140625" style="226" bestFit="1" customWidth="1"/>
    <col min="21" max="21" width="13.28515625" style="226" bestFit="1" customWidth="1"/>
    <col min="22" max="23" width="9.140625" style="226"/>
    <col min="24" max="24" width="13.140625" style="226" customWidth="1"/>
    <col min="25" max="25" width="13.85546875" style="226" customWidth="1"/>
    <col min="26" max="16384" width="9.140625" style="226"/>
  </cols>
  <sheetData>
    <row r="1" spans="1:25" ht="30">
      <c r="A1" s="226" t="str">
        <f>+'Changes to Update Template '!C43</f>
        <v>Measurement date 6/30/2021</v>
      </c>
      <c r="C1" s="372" t="s">
        <v>3723</v>
      </c>
      <c r="D1" s="384" t="s">
        <v>3737</v>
      </c>
      <c r="H1" s="226"/>
    </row>
    <row r="2" spans="1:25">
      <c r="A2" s="226" t="s">
        <v>1926</v>
      </c>
      <c r="C2" s="368">
        <f>+C4-C3</f>
        <v>0</v>
      </c>
      <c r="D2" s="368">
        <f>+D4-D3</f>
        <v>0</v>
      </c>
      <c r="E2" s="233">
        <f>+E4-E3</f>
        <v>0</v>
      </c>
      <c r="G2" s="233">
        <f>+G4-G3</f>
        <v>0</v>
      </c>
      <c r="H2" s="233">
        <f>+H4-H3</f>
        <v>0</v>
      </c>
      <c r="I2" s="233">
        <f>+I4-I3</f>
        <v>0</v>
      </c>
      <c r="J2" s="233">
        <f>+J4-J3</f>
        <v>0</v>
      </c>
      <c r="K2" s="233">
        <f>+K4-K3</f>
        <v>0</v>
      </c>
      <c r="M2" s="233">
        <f>+M4-M3</f>
        <v>0</v>
      </c>
      <c r="N2" s="233">
        <f>+N4-N3</f>
        <v>0</v>
      </c>
      <c r="O2" s="233">
        <f>+O4-O3</f>
        <v>0</v>
      </c>
      <c r="P2" s="233">
        <f>+P4-P3</f>
        <v>0</v>
      </c>
      <c r="R2" s="233">
        <f>+R4-R3</f>
        <v>0</v>
      </c>
      <c r="S2" s="233">
        <f>+S4-S3</f>
        <v>0</v>
      </c>
      <c r="T2" s="233">
        <f>+T4-T3</f>
        <v>0</v>
      </c>
    </row>
    <row r="3" spans="1:25" s="95" customFormat="1">
      <c r="A3" s="90"/>
      <c r="B3" s="54" t="s">
        <v>715</v>
      </c>
      <c r="C3" s="343">
        <f>SUM(C9:C923)</f>
        <v>1.0000000000000002</v>
      </c>
      <c r="D3" s="343">
        <f>SUM(D9:D9200)</f>
        <v>1.0000000000000007</v>
      </c>
      <c r="E3" s="233">
        <f>SUM(E9:E923)</f>
        <v>3573425995</v>
      </c>
      <c r="F3" s="233"/>
      <c r="G3" s="233">
        <f t="shared" ref="G3:I3" si="0">SUM(G9:G923)</f>
        <v>451260991</v>
      </c>
      <c r="H3" s="233">
        <f t="shared" si="0"/>
        <v>502863984</v>
      </c>
      <c r="I3" s="233">
        <f t="shared" si="0"/>
        <v>265932990</v>
      </c>
      <c r="J3" s="233">
        <f>SUM(J9:J923)</f>
        <v>46013594</v>
      </c>
      <c r="K3" s="233">
        <f t="shared" ref="K3:T3" si="1">SUM(K9:K923)</f>
        <v>1266071559</v>
      </c>
      <c r="L3" s="233"/>
      <c r="M3" s="233">
        <f t="shared" si="1"/>
        <v>0</v>
      </c>
      <c r="N3" s="233">
        <f t="shared" si="1"/>
        <v>0</v>
      </c>
      <c r="O3" s="233">
        <f t="shared" si="1"/>
        <v>46013483</v>
      </c>
      <c r="P3" s="233">
        <f t="shared" si="1"/>
        <v>46013483</v>
      </c>
      <c r="Q3" s="233"/>
      <c r="R3" s="233">
        <f t="shared" si="1"/>
        <v>1228874981</v>
      </c>
      <c r="S3" s="233">
        <f t="shared" si="1"/>
        <v>10</v>
      </c>
      <c r="T3" s="233">
        <f t="shared" si="1"/>
        <v>1228874991</v>
      </c>
      <c r="U3" s="226">
        <v>0</v>
      </c>
    </row>
    <row r="4" spans="1:25" s="95" customFormat="1" ht="15.75" thickBot="1">
      <c r="A4" s="90"/>
      <c r="B4" s="54" t="s">
        <v>3519</v>
      </c>
      <c r="C4" s="343">
        <v>1</v>
      </c>
      <c r="D4" s="343">
        <v>1</v>
      </c>
      <c r="E4" s="304">
        <v>3573425995</v>
      </c>
      <c r="F4" s="92"/>
      <c r="G4" s="387">
        <v>451260991</v>
      </c>
      <c r="H4" s="386">
        <v>502863984</v>
      </c>
      <c r="I4" s="387">
        <v>265932990</v>
      </c>
      <c r="J4" s="387">
        <v>46013594</v>
      </c>
      <c r="K4" s="391">
        <v>1266071559</v>
      </c>
      <c r="L4" s="388"/>
      <c r="M4" s="391">
        <v>0</v>
      </c>
      <c r="N4" s="391">
        <v>0</v>
      </c>
      <c r="O4" s="388">
        <v>46013483</v>
      </c>
      <c r="P4" s="391">
        <v>46013483</v>
      </c>
      <c r="Q4" s="391"/>
      <c r="R4" s="388">
        <v>1228874981</v>
      </c>
      <c r="S4" s="387">
        <v>10</v>
      </c>
      <c r="T4" s="387">
        <v>1228874991</v>
      </c>
    </row>
    <row r="5" spans="1:25" ht="15.75" thickTop="1">
      <c r="B5">
        <f>COUNT(B9:B899)</f>
        <v>0</v>
      </c>
      <c r="C5" s="368">
        <f>+C3-C4</f>
        <v>0</v>
      </c>
      <c r="D5" s="368">
        <f>+D3-D4</f>
        <v>0</v>
      </c>
      <c r="E5" s="233"/>
      <c r="H5" s="226"/>
    </row>
    <row r="6" spans="1:25">
      <c r="G6" s="83" t="s">
        <v>2</v>
      </c>
      <c r="H6" s="83"/>
      <c r="I6" s="83"/>
      <c r="J6" s="83"/>
      <c r="K6" s="84"/>
      <c r="M6" s="83" t="s">
        <v>3</v>
      </c>
      <c r="N6" s="83"/>
      <c r="O6" s="83"/>
      <c r="P6" s="84"/>
      <c r="R6" s="83" t="s">
        <v>4</v>
      </c>
      <c r="S6" s="83"/>
      <c r="T6" s="83"/>
    </row>
    <row r="7" spans="1:25"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5">
      <c r="A8" s="392" t="s">
        <v>692</v>
      </c>
      <c r="B8" s="393" t="s">
        <v>691</v>
      </c>
      <c r="C8" s="235">
        <v>0</v>
      </c>
      <c r="D8" s="235">
        <v>0</v>
      </c>
      <c r="E8" s="232">
        <v>0</v>
      </c>
      <c r="F8" s="232"/>
      <c r="G8" s="394">
        <v>0</v>
      </c>
      <c r="H8" s="394">
        <v>0</v>
      </c>
      <c r="I8" s="394">
        <v>0</v>
      </c>
      <c r="J8" s="232">
        <v>0</v>
      </c>
      <c r="K8" s="232">
        <v>0</v>
      </c>
      <c r="L8" s="232"/>
      <c r="M8" s="226">
        <v>0</v>
      </c>
      <c r="N8" s="226">
        <v>0</v>
      </c>
      <c r="O8" s="232">
        <v>0</v>
      </c>
      <c r="P8" s="232">
        <v>0</v>
      </c>
      <c r="Q8" s="232"/>
      <c r="R8" s="394">
        <v>0</v>
      </c>
      <c r="S8" s="232">
        <v>0</v>
      </c>
      <c r="T8" s="398">
        <v>0</v>
      </c>
      <c r="U8" s="232"/>
      <c r="V8" s="398"/>
      <c r="W8" s="398"/>
      <c r="X8" s="398"/>
      <c r="Y8" s="398"/>
    </row>
    <row r="9" spans="1:25">
      <c r="A9" s="392">
        <v>70505</v>
      </c>
      <c r="B9" s="393" t="s">
        <v>727</v>
      </c>
      <c r="C9" s="235">
        <v>2.9159999999999999E-4</v>
      </c>
      <c r="D9" s="235">
        <v>3.2890000000000003E-4</v>
      </c>
      <c r="E9" s="232">
        <v>1042011</v>
      </c>
      <c r="F9" s="232" t="s">
        <v>1930</v>
      </c>
      <c r="G9" s="394">
        <v>131588</v>
      </c>
      <c r="H9" s="394">
        <v>146635</v>
      </c>
      <c r="I9" s="394">
        <v>77546</v>
      </c>
      <c r="J9" s="232">
        <v>0</v>
      </c>
      <c r="K9" s="232">
        <v>355769</v>
      </c>
      <c r="L9" s="232"/>
      <c r="M9" s="226">
        <v>0</v>
      </c>
      <c r="N9" s="226">
        <v>0</v>
      </c>
      <c r="O9" s="232">
        <v>49935</v>
      </c>
      <c r="P9" s="232">
        <v>49935</v>
      </c>
      <c r="Q9" s="232"/>
      <c r="R9" s="394">
        <v>358340</v>
      </c>
      <c r="S9" s="232">
        <v>-28715</v>
      </c>
      <c r="T9" s="398">
        <v>329625</v>
      </c>
      <c r="U9" s="232"/>
      <c r="V9" s="398"/>
      <c r="W9" s="398"/>
      <c r="X9" s="398">
        <v>2114127</v>
      </c>
      <c r="Y9" s="398">
        <v>151007</v>
      </c>
    </row>
    <row r="10" spans="1:25">
      <c r="A10" s="392">
        <v>71786</v>
      </c>
      <c r="B10" s="393" t="s">
        <v>1491</v>
      </c>
      <c r="C10" s="235">
        <v>0</v>
      </c>
      <c r="D10" s="235">
        <v>0</v>
      </c>
      <c r="E10" s="232">
        <v>0</v>
      </c>
      <c r="F10" s="232" t="s">
        <v>1930</v>
      </c>
      <c r="G10" s="394">
        <v>0</v>
      </c>
      <c r="H10" s="394">
        <v>0</v>
      </c>
      <c r="I10" s="394">
        <v>0</v>
      </c>
      <c r="J10" s="232">
        <v>0</v>
      </c>
      <c r="K10" s="232">
        <v>0</v>
      </c>
      <c r="L10" s="232"/>
      <c r="M10" s="226">
        <v>0</v>
      </c>
      <c r="N10" s="226">
        <v>0</v>
      </c>
      <c r="O10" s="232">
        <v>0</v>
      </c>
      <c r="P10" s="232">
        <v>8771</v>
      </c>
      <c r="Q10" s="232"/>
      <c r="R10" s="394">
        <v>0</v>
      </c>
      <c r="S10" s="232">
        <v>-7538</v>
      </c>
      <c r="T10" s="398">
        <v>-7538</v>
      </c>
      <c r="U10" s="232"/>
      <c r="V10" s="398"/>
      <c r="W10" s="398"/>
      <c r="X10" s="398">
        <v>0</v>
      </c>
      <c r="Y10" s="398">
        <v>0</v>
      </c>
    </row>
    <row r="11" spans="1:25">
      <c r="A11" s="392">
        <v>72265</v>
      </c>
      <c r="B11" s="393" t="s">
        <v>728</v>
      </c>
      <c r="C11" s="235">
        <v>1.5550000000000001E-4</v>
      </c>
      <c r="D11" s="235">
        <v>1.44E-4</v>
      </c>
      <c r="E11" s="232">
        <v>555668</v>
      </c>
      <c r="F11" s="232" t="s">
        <v>1930</v>
      </c>
      <c r="G11" s="394">
        <v>70171</v>
      </c>
      <c r="H11" s="394">
        <v>78195</v>
      </c>
      <c r="I11" s="394">
        <v>41353</v>
      </c>
      <c r="J11" s="232">
        <v>21070</v>
      </c>
      <c r="K11" s="232">
        <v>210789</v>
      </c>
      <c r="L11" s="232"/>
      <c r="M11" s="226">
        <v>0</v>
      </c>
      <c r="N11" s="226">
        <v>0</v>
      </c>
      <c r="O11" s="232">
        <v>4322</v>
      </c>
      <c r="P11" s="232">
        <v>4322</v>
      </c>
      <c r="Q11" s="232"/>
      <c r="R11" s="394">
        <v>191090</v>
      </c>
      <c r="S11" s="232">
        <v>5673</v>
      </c>
      <c r="T11" s="398">
        <v>196763</v>
      </c>
      <c r="U11" s="232"/>
      <c r="V11" s="398"/>
      <c r="W11" s="398"/>
      <c r="X11" s="398">
        <v>1127389</v>
      </c>
      <c r="Y11" s="398">
        <v>80527</v>
      </c>
    </row>
    <row r="12" spans="1:25">
      <c r="A12" s="395">
        <v>72593</v>
      </c>
      <c r="B12" s="396" t="s">
        <v>729</v>
      </c>
      <c r="C12" s="235">
        <v>6.7000000000000002E-6</v>
      </c>
      <c r="D12" s="235">
        <v>6.1E-6</v>
      </c>
      <c r="E12" s="232">
        <v>23942</v>
      </c>
      <c r="F12" s="232" t="s">
        <v>1930</v>
      </c>
      <c r="G12" s="394">
        <v>3023</v>
      </c>
      <c r="H12" s="394">
        <v>3369</v>
      </c>
      <c r="I12" s="394">
        <v>1782</v>
      </c>
      <c r="J12" s="232">
        <v>918</v>
      </c>
      <c r="K12" s="232">
        <v>9092</v>
      </c>
      <c r="L12" s="232"/>
      <c r="M12" s="226">
        <v>0</v>
      </c>
      <c r="N12" s="226">
        <v>0</v>
      </c>
      <c r="O12" s="232">
        <v>596</v>
      </c>
      <c r="P12" s="232">
        <v>596</v>
      </c>
      <c r="Q12" s="232"/>
      <c r="R12" s="394">
        <v>8233</v>
      </c>
      <c r="S12" s="232">
        <v>559</v>
      </c>
      <c r="T12" s="398">
        <v>8792</v>
      </c>
      <c r="U12" s="232"/>
      <c r="V12" s="398"/>
      <c r="W12" s="398"/>
      <c r="X12" s="398">
        <v>48576</v>
      </c>
      <c r="Y12" s="398">
        <v>3470</v>
      </c>
    </row>
    <row r="13" spans="1:25">
      <c r="A13" s="392">
        <v>72657</v>
      </c>
      <c r="B13" s="393" t="s">
        <v>730</v>
      </c>
      <c r="C13" s="235">
        <v>3.8000000000000002E-5</v>
      </c>
      <c r="D13" s="235">
        <v>3.7200000000000003E-5</v>
      </c>
      <c r="E13" s="232">
        <v>135790</v>
      </c>
      <c r="F13" s="232" t="s">
        <v>1930</v>
      </c>
      <c r="G13" s="394">
        <v>17148</v>
      </c>
      <c r="H13" s="394">
        <v>19109</v>
      </c>
      <c r="I13" s="394">
        <v>10105</v>
      </c>
      <c r="J13" s="232">
        <v>0</v>
      </c>
      <c r="K13" s="232">
        <v>46362</v>
      </c>
      <c r="L13" s="232"/>
      <c r="M13" s="226">
        <v>0</v>
      </c>
      <c r="N13" s="226">
        <v>0</v>
      </c>
      <c r="O13" s="232">
        <v>5921</v>
      </c>
      <c r="P13" s="232">
        <v>5921</v>
      </c>
      <c r="Q13" s="232"/>
      <c r="R13" s="394">
        <v>46697</v>
      </c>
      <c r="S13" s="232">
        <v>-2850</v>
      </c>
      <c r="T13" s="398">
        <v>43847</v>
      </c>
      <c r="U13" s="232"/>
      <c r="V13" s="398"/>
      <c r="W13" s="398"/>
      <c r="X13" s="398">
        <v>275503</v>
      </c>
      <c r="Y13" s="398">
        <v>19679</v>
      </c>
    </row>
    <row r="14" spans="1:25">
      <c r="A14" s="392">
        <v>90001</v>
      </c>
      <c r="B14" s="393" t="s">
        <v>731</v>
      </c>
      <c r="C14" s="235">
        <v>8.8630000000000002E-4</v>
      </c>
      <c r="D14" s="235">
        <v>8.6050000000000005E-4</v>
      </c>
      <c r="E14" s="232">
        <v>3167127</v>
      </c>
      <c r="F14" s="232" t="s">
        <v>1930</v>
      </c>
      <c r="G14" s="394">
        <v>399953</v>
      </c>
      <c r="H14" s="394">
        <v>445688</v>
      </c>
      <c r="I14" s="394">
        <v>235696</v>
      </c>
      <c r="J14" s="232">
        <v>49757</v>
      </c>
      <c r="K14" s="232">
        <v>1131094</v>
      </c>
      <c r="L14" s="232"/>
      <c r="M14" s="226">
        <v>0</v>
      </c>
      <c r="N14" s="226">
        <v>0</v>
      </c>
      <c r="O14" s="232">
        <v>3133</v>
      </c>
      <c r="P14" s="232">
        <v>3133</v>
      </c>
      <c r="Q14" s="232"/>
      <c r="R14" s="394">
        <v>1089152</v>
      </c>
      <c r="S14" s="232">
        <v>16498</v>
      </c>
      <c r="T14" s="398">
        <v>1105650</v>
      </c>
      <c r="U14" s="232"/>
      <c r="V14" s="398"/>
      <c r="W14" s="398"/>
      <c r="X14" s="398">
        <v>6425757</v>
      </c>
      <c r="Y14" s="398">
        <v>458978</v>
      </c>
    </row>
    <row r="15" spans="1:25">
      <c r="A15" s="392">
        <v>90002</v>
      </c>
      <c r="B15" s="393" t="s">
        <v>732</v>
      </c>
      <c r="C15" s="235">
        <v>7.7999999999999999E-6</v>
      </c>
      <c r="D15" s="235">
        <v>8.3999999999999992E-6</v>
      </c>
      <c r="E15" s="232">
        <v>27873</v>
      </c>
      <c r="F15" s="232" t="s">
        <v>1930</v>
      </c>
      <c r="G15" s="394">
        <v>3520</v>
      </c>
      <c r="H15" s="394">
        <v>3923</v>
      </c>
      <c r="I15" s="394">
        <v>2074</v>
      </c>
      <c r="J15" s="232">
        <v>2668</v>
      </c>
      <c r="K15" s="232">
        <v>12185</v>
      </c>
      <c r="L15" s="232"/>
      <c r="M15" s="226">
        <v>0</v>
      </c>
      <c r="N15" s="226">
        <v>0</v>
      </c>
      <c r="O15" s="232">
        <v>0</v>
      </c>
      <c r="P15" s="232">
        <v>0</v>
      </c>
      <c r="Q15" s="232"/>
      <c r="R15" s="394">
        <v>9585</v>
      </c>
      <c r="S15" s="232">
        <v>1250</v>
      </c>
      <c r="T15" s="398">
        <v>10835</v>
      </c>
      <c r="U15" s="232"/>
      <c r="V15" s="398"/>
      <c r="W15" s="398"/>
      <c r="X15" s="398">
        <v>56551</v>
      </c>
      <c r="Y15" s="398">
        <v>4039</v>
      </c>
    </row>
    <row r="16" spans="1:25">
      <c r="A16" s="392">
        <v>90011</v>
      </c>
      <c r="B16" s="393" t="s">
        <v>733</v>
      </c>
      <c r="C16" s="235">
        <v>1.6799999999999999E-4</v>
      </c>
      <c r="D16" s="235">
        <v>1.8009999999999999E-4</v>
      </c>
      <c r="E16" s="232">
        <v>600336</v>
      </c>
      <c r="F16" s="232" t="s">
        <v>1930</v>
      </c>
      <c r="G16" s="394">
        <v>75812</v>
      </c>
      <c r="H16" s="394">
        <v>84481</v>
      </c>
      <c r="I16" s="394">
        <v>44677</v>
      </c>
      <c r="J16" s="232">
        <v>0</v>
      </c>
      <c r="K16" s="232">
        <v>204970</v>
      </c>
      <c r="L16" s="232"/>
      <c r="M16" s="226">
        <v>0</v>
      </c>
      <c r="N16" s="226">
        <v>0</v>
      </c>
      <c r="O16" s="232">
        <v>22352</v>
      </c>
      <c r="P16" s="232">
        <v>22352</v>
      </c>
      <c r="Q16" s="232"/>
      <c r="R16" s="394">
        <v>206451</v>
      </c>
      <c r="S16" s="232">
        <v>-14496</v>
      </c>
      <c r="T16" s="398">
        <v>191955</v>
      </c>
      <c r="U16" s="232"/>
      <c r="V16" s="398"/>
      <c r="W16" s="398"/>
      <c r="X16" s="398">
        <v>1218015</v>
      </c>
      <c r="Y16" s="398">
        <v>87000</v>
      </c>
    </row>
    <row r="17" spans="1:25">
      <c r="A17" s="392">
        <v>90092</v>
      </c>
      <c r="B17" s="393" t="s">
        <v>734</v>
      </c>
      <c r="C17" s="235">
        <v>4.2119999999999999E-4</v>
      </c>
      <c r="D17" s="235">
        <v>3.9530000000000001E-4</v>
      </c>
      <c r="E17" s="232">
        <v>1505127</v>
      </c>
      <c r="F17" s="232" t="s">
        <v>1930</v>
      </c>
      <c r="G17" s="394">
        <v>190071</v>
      </c>
      <c r="H17" s="394">
        <v>211806</v>
      </c>
      <c r="I17" s="394">
        <v>112011</v>
      </c>
      <c r="J17" s="232">
        <v>74797</v>
      </c>
      <c r="K17" s="232">
        <v>588685</v>
      </c>
      <c r="L17" s="232"/>
      <c r="M17" s="226">
        <v>0</v>
      </c>
      <c r="N17" s="226">
        <v>0</v>
      </c>
      <c r="O17" s="232">
        <v>2018</v>
      </c>
      <c r="P17" s="232">
        <v>2018</v>
      </c>
      <c r="Q17" s="232"/>
      <c r="R17" s="394">
        <v>517602</v>
      </c>
      <c r="S17" s="232">
        <v>14287</v>
      </c>
      <c r="T17" s="398">
        <v>531889</v>
      </c>
      <c r="U17" s="232"/>
      <c r="V17" s="398"/>
      <c r="W17" s="398"/>
      <c r="X17" s="398">
        <v>3053739</v>
      </c>
      <c r="Y17" s="398">
        <v>218122</v>
      </c>
    </row>
    <row r="18" spans="1:25">
      <c r="A18" s="392">
        <v>90096</v>
      </c>
      <c r="B18" s="393" t="s">
        <v>735</v>
      </c>
      <c r="C18" s="235">
        <v>9.6089999999999999E-4</v>
      </c>
      <c r="D18" s="235">
        <v>9.722E-4</v>
      </c>
      <c r="E18" s="232">
        <v>3433705</v>
      </c>
      <c r="F18" s="232" t="s">
        <v>1930</v>
      </c>
      <c r="G18" s="394">
        <v>433617</v>
      </c>
      <c r="H18" s="394">
        <v>483202</v>
      </c>
      <c r="I18" s="394">
        <v>255535</v>
      </c>
      <c r="J18" s="232">
        <v>188744</v>
      </c>
      <c r="K18" s="232">
        <v>1361098</v>
      </c>
      <c r="L18" s="232"/>
      <c r="M18" s="226">
        <v>0</v>
      </c>
      <c r="N18" s="226">
        <v>0</v>
      </c>
      <c r="O18" s="232">
        <v>51356</v>
      </c>
      <c r="P18" s="232">
        <v>51356</v>
      </c>
      <c r="Q18" s="232"/>
      <c r="R18" s="394">
        <v>1180826</v>
      </c>
      <c r="S18" s="232">
        <v>4489</v>
      </c>
      <c r="T18" s="398">
        <v>1185315</v>
      </c>
      <c r="U18" s="232"/>
      <c r="V18" s="398"/>
      <c r="W18" s="398"/>
      <c r="X18" s="398">
        <v>6966613</v>
      </c>
      <c r="Y18" s="398">
        <v>497610</v>
      </c>
    </row>
    <row r="19" spans="1:25">
      <c r="A19" s="392">
        <v>90098</v>
      </c>
      <c r="B19" s="393" t="s">
        <v>736</v>
      </c>
      <c r="C19" s="235">
        <v>2.5950000000000002E-4</v>
      </c>
      <c r="D19" s="235">
        <v>2.521E-4</v>
      </c>
      <c r="E19" s="232">
        <v>927304</v>
      </c>
      <c r="F19" s="232" t="s">
        <v>1930</v>
      </c>
      <c r="G19" s="394">
        <v>117102</v>
      </c>
      <c r="H19" s="394">
        <v>130494</v>
      </c>
      <c r="I19" s="394">
        <v>69010</v>
      </c>
      <c r="J19" s="232">
        <v>25313</v>
      </c>
      <c r="K19" s="232">
        <v>341919</v>
      </c>
      <c r="L19" s="232"/>
      <c r="M19" s="226">
        <v>0</v>
      </c>
      <c r="N19" s="226">
        <v>0</v>
      </c>
      <c r="O19" s="232">
        <v>33796</v>
      </c>
      <c r="P19" s="232">
        <v>33796</v>
      </c>
      <c r="Q19" s="232"/>
      <c r="R19" s="394">
        <v>318893</v>
      </c>
      <c r="S19" s="232">
        <v>-25117</v>
      </c>
      <c r="T19" s="398">
        <v>293776</v>
      </c>
      <c r="U19" s="232"/>
      <c r="V19" s="398"/>
      <c r="W19" s="398"/>
      <c r="X19" s="398">
        <v>1881399</v>
      </c>
      <c r="Y19" s="398">
        <v>134384</v>
      </c>
    </row>
    <row r="20" spans="1:25">
      <c r="A20" s="392">
        <v>90099</v>
      </c>
      <c r="B20" s="393" t="s">
        <v>737</v>
      </c>
      <c r="C20" s="235">
        <v>6.7920000000000003E-4</v>
      </c>
      <c r="D20" s="235">
        <v>6.7389999999999995E-4</v>
      </c>
      <c r="E20" s="232">
        <v>2427071</v>
      </c>
      <c r="F20" s="232" t="s">
        <v>1930</v>
      </c>
      <c r="G20" s="394">
        <v>306496</v>
      </c>
      <c r="H20" s="394">
        <v>341545</v>
      </c>
      <c r="I20" s="394">
        <v>180622</v>
      </c>
      <c r="J20" s="232">
        <v>21836</v>
      </c>
      <c r="K20" s="232">
        <v>850499</v>
      </c>
      <c r="L20" s="232"/>
      <c r="M20" s="226">
        <v>0</v>
      </c>
      <c r="N20" s="226">
        <v>0</v>
      </c>
      <c r="O20" s="232">
        <v>57549</v>
      </c>
      <c r="P20" s="232">
        <v>57549</v>
      </c>
      <c r="Q20" s="232"/>
      <c r="R20" s="394">
        <v>834652</v>
      </c>
      <c r="S20" s="232">
        <v>-9264</v>
      </c>
      <c r="T20" s="398">
        <v>825388</v>
      </c>
      <c r="U20" s="232"/>
      <c r="V20" s="398"/>
      <c r="W20" s="398"/>
      <c r="X20" s="398">
        <v>4924262</v>
      </c>
      <c r="Y20" s="398">
        <v>351729</v>
      </c>
    </row>
    <row r="21" spans="1:25">
      <c r="A21" s="392">
        <v>90101</v>
      </c>
      <c r="B21" s="393" t="s">
        <v>738</v>
      </c>
      <c r="C21" s="235">
        <v>6.2649999999999997E-3</v>
      </c>
      <c r="D21" s="235">
        <v>6.2302E-3</v>
      </c>
      <c r="E21" s="232">
        <v>22387514</v>
      </c>
      <c r="F21" s="232" t="s">
        <v>1930</v>
      </c>
      <c r="G21" s="394">
        <v>2827150</v>
      </c>
      <c r="H21" s="394">
        <v>3150443</v>
      </c>
      <c r="I21" s="394">
        <v>1666070</v>
      </c>
      <c r="J21" s="232">
        <v>89967</v>
      </c>
      <c r="K21" s="232">
        <v>7733630</v>
      </c>
      <c r="L21" s="232"/>
      <c r="M21" s="226">
        <v>0</v>
      </c>
      <c r="N21" s="226">
        <v>0</v>
      </c>
      <c r="O21" s="232">
        <v>244056</v>
      </c>
      <c r="P21" s="232">
        <v>244056</v>
      </c>
      <c r="Q21" s="232"/>
      <c r="R21" s="394">
        <v>7698902</v>
      </c>
      <c r="S21" s="232">
        <v>-26041</v>
      </c>
      <c r="T21" s="398">
        <v>7672861</v>
      </c>
      <c r="U21" s="232"/>
      <c r="V21" s="398"/>
      <c r="W21" s="398"/>
      <c r="X21" s="398">
        <v>45421826</v>
      </c>
      <c r="Y21" s="398">
        <v>3244380</v>
      </c>
    </row>
    <row r="22" spans="1:25">
      <c r="A22" s="392">
        <v>90111</v>
      </c>
      <c r="B22" s="393" t="s">
        <v>739</v>
      </c>
      <c r="C22" s="235">
        <v>4.9195999999999997E-3</v>
      </c>
      <c r="D22" s="235">
        <v>4.9528000000000003E-3</v>
      </c>
      <c r="E22" s="232">
        <v>17579827</v>
      </c>
      <c r="F22" s="232" t="s">
        <v>1930</v>
      </c>
      <c r="G22" s="394">
        <v>2220024</v>
      </c>
      <c r="H22" s="394">
        <v>2473889</v>
      </c>
      <c r="I22" s="394">
        <v>1308284</v>
      </c>
      <c r="J22" s="232">
        <v>7272</v>
      </c>
      <c r="K22" s="232">
        <v>6009469</v>
      </c>
      <c r="L22" s="232"/>
      <c r="M22" s="226">
        <v>0</v>
      </c>
      <c r="N22" s="226">
        <v>0</v>
      </c>
      <c r="O22" s="232">
        <v>229781</v>
      </c>
      <c r="P22" s="232">
        <v>229781</v>
      </c>
      <c r="Q22" s="232"/>
      <c r="R22" s="394">
        <v>6045573</v>
      </c>
      <c r="S22" s="232">
        <v>-89818</v>
      </c>
      <c r="T22" s="398">
        <v>5955755</v>
      </c>
      <c r="U22" s="232"/>
      <c r="V22" s="398"/>
      <c r="W22" s="398"/>
      <c r="X22" s="398">
        <v>35667553</v>
      </c>
      <c r="Y22" s="398">
        <v>2547654</v>
      </c>
    </row>
    <row r="23" spans="1:25">
      <c r="A23" s="392">
        <v>90114</v>
      </c>
      <c r="B23" s="393" t="s">
        <v>740</v>
      </c>
      <c r="C23" s="235">
        <v>1.1237E-3</v>
      </c>
      <c r="D23" s="235">
        <v>1.1188999999999999E-3</v>
      </c>
      <c r="E23" s="232">
        <v>4015459</v>
      </c>
      <c r="F23" s="232" t="s">
        <v>1930</v>
      </c>
      <c r="G23" s="394">
        <v>507082</v>
      </c>
      <c r="H23" s="394">
        <v>565069</v>
      </c>
      <c r="I23" s="394">
        <v>298829</v>
      </c>
      <c r="J23" s="232">
        <v>859896</v>
      </c>
      <c r="K23" s="232">
        <v>2230876</v>
      </c>
      <c r="L23" s="232"/>
      <c r="M23" s="226">
        <v>0</v>
      </c>
      <c r="N23" s="226">
        <v>0</v>
      </c>
      <c r="O23" s="232">
        <v>185</v>
      </c>
      <c r="P23" s="232">
        <v>185</v>
      </c>
      <c r="Q23" s="232"/>
      <c r="R23" s="394">
        <v>1380887</v>
      </c>
      <c r="S23" s="232">
        <v>524997</v>
      </c>
      <c r="T23" s="398">
        <v>1905884</v>
      </c>
      <c r="U23" s="232"/>
      <c r="V23" s="398"/>
      <c r="W23" s="398"/>
      <c r="X23" s="398">
        <v>8146928</v>
      </c>
      <c r="Y23" s="398">
        <v>581917</v>
      </c>
    </row>
    <row r="24" spans="1:25">
      <c r="A24" s="392">
        <v>90117</v>
      </c>
      <c r="B24" s="393" t="s">
        <v>741</v>
      </c>
      <c r="C24" s="235">
        <v>1.3799999999999999E-4</v>
      </c>
      <c r="D24" s="235">
        <v>1.3219999999999999E-4</v>
      </c>
      <c r="E24" s="232">
        <v>493133</v>
      </c>
      <c r="F24" s="232" t="s">
        <v>1930</v>
      </c>
      <c r="G24" s="394">
        <v>62274</v>
      </c>
      <c r="H24" s="394">
        <v>69395</v>
      </c>
      <c r="I24" s="394">
        <v>36699</v>
      </c>
      <c r="J24" s="232">
        <v>49251</v>
      </c>
      <c r="K24" s="232">
        <v>217619</v>
      </c>
      <c r="L24" s="232"/>
      <c r="M24" s="226">
        <v>0</v>
      </c>
      <c r="N24" s="226">
        <v>0</v>
      </c>
      <c r="O24" s="232">
        <v>0</v>
      </c>
      <c r="P24" s="232">
        <v>0</v>
      </c>
      <c r="Q24" s="232"/>
      <c r="R24" s="394">
        <v>169585</v>
      </c>
      <c r="S24" s="232">
        <v>25022</v>
      </c>
      <c r="T24" s="398">
        <v>194607</v>
      </c>
      <c r="U24" s="232"/>
      <c r="V24" s="398"/>
      <c r="W24" s="398"/>
      <c r="X24" s="398">
        <v>1000513</v>
      </c>
      <c r="Y24" s="398">
        <v>71464</v>
      </c>
    </row>
    <row r="25" spans="1:25">
      <c r="A25" s="392">
        <v>90121</v>
      </c>
      <c r="B25" s="393" t="s">
        <v>742</v>
      </c>
      <c r="C25" s="235">
        <v>1.0861E-3</v>
      </c>
      <c r="D25" s="235">
        <v>1.1077999999999999E-3</v>
      </c>
      <c r="E25" s="232">
        <v>3881098</v>
      </c>
      <c r="F25" s="232" t="s">
        <v>1930</v>
      </c>
      <c r="G25" s="394">
        <v>490115</v>
      </c>
      <c r="H25" s="394">
        <v>546161</v>
      </c>
      <c r="I25" s="394">
        <v>288830</v>
      </c>
      <c r="J25" s="232">
        <v>0</v>
      </c>
      <c r="K25" s="232">
        <v>1325106</v>
      </c>
      <c r="L25" s="232"/>
      <c r="M25" s="226">
        <v>0</v>
      </c>
      <c r="N25" s="226">
        <v>0</v>
      </c>
      <c r="O25" s="232">
        <v>106159</v>
      </c>
      <c r="P25" s="232">
        <v>106159</v>
      </c>
      <c r="Q25" s="232"/>
      <c r="R25" s="394">
        <v>1334681</v>
      </c>
      <c r="S25" s="232">
        <v>-58208</v>
      </c>
      <c r="T25" s="398">
        <v>1276473</v>
      </c>
      <c r="U25" s="232"/>
      <c r="V25" s="398"/>
      <c r="W25" s="398"/>
      <c r="X25" s="398">
        <v>7874325</v>
      </c>
      <c r="Y25" s="398">
        <v>562446</v>
      </c>
    </row>
    <row r="26" spans="1:25">
      <c r="A26" s="392">
        <v>90131</v>
      </c>
      <c r="B26" s="393" t="s">
        <v>743</v>
      </c>
      <c r="C26" s="235">
        <v>4.9819999999999997E-4</v>
      </c>
      <c r="D26" s="235">
        <v>4.9050000000000005E-4</v>
      </c>
      <c r="E26" s="232">
        <v>1780281</v>
      </c>
      <c r="F26" s="232" t="s">
        <v>1930</v>
      </c>
      <c r="G26" s="394">
        <v>224818</v>
      </c>
      <c r="H26" s="394">
        <v>250527</v>
      </c>
      <c r="I26" s="394">
        <v>132488</v>
      </c>
      <c r="J26" s="232">
        <v>3471</v>
      </c>
      <c r="K26" s="232">
        <v>611304</v>
      </c>
      <c r="L26" s="232"/>
      <c r="M26" s="226">
        <v>0</v>
      </c>
      <c r="N26" s="226">
        <v>0</v>
      </c>
      <c r="O26" s="232">
        <v>12089</v>
      </c>
      <c r="P26" s="232">
        <v>12089</v>
      </c>
      <c r="Q26" s="232"/>
      <c r="R26" s="394">
        <v>612226</v>
      </c>
      <c r="S26" s="232">
        <v>-10522</v>
      </c>
      <c r="T26" s="398">
        <v>601704</v>
      </c>
      <c r="U26" s="232"/>
      <c r="V26" s="398"/>
      <c r="W26" s="398"/>
      <c r="X26" s="398">
        <v>3611996</v>
      </c>
      <c r="Y26" s="398">
        <v>257997</v>
      </c>
    </row>
    <row r="27" spans="1:25">
      <c r="A27" s="392">
        <v>90141</v>
      </c>
      <c r="B27" s="393" t="s">
        <v>744</v>
      </c>
      <c r="C27" s="235">
        <v>1.6770000000000001E-4</v>
      </c>
      <c r="D27" s="235">
        <v>1.4770000000000001E-4</v>
      </c>
      <c r="E27" s="232">
        <v>599264</v>
      </c>
      <c r="F27" s="232" t="s">
        <v>1930</v>
      </c>
      <c r="G27" s="394">
        <v>75676</v>
      </c>
      <c r="H27" s="394">
        <v>84330</v>
      </c>
      <c r="I27" s="394">
        <v>44597</v>
      </c>
      <c r="J27" s="232">
        <v>21933</v>
      </c>
      <c r="K27" s="232">
        <v>226536</v>
      </c>
      <c r="L27" s="232"/>
      <c r="M27" s="226">
        <v>0</v>
      </c>
      <c r="N27" s="226">
        <v>0</v>
      </c>
      <c r="O27" s="232">
        <v>1403</v>
      </c>
      <c r="P27" s="232">
        <v>1403</v>
      </c>
      <c r="Q27" s="232"/>
      <c r="R27" s="394">
        <v>206082</v>
      </c>
      <c r="S27" s="232">
        <v>4779</v>
      </c>
      <c r="T27" s="398">
        <v>210861</v>
      </c>
      <c r="U27" s="232"/>
      <c r="V27" s="398"/>
      <c r="W27" s="398"/>
      <c r="X27" s="398">
        <v>1215840</v>
      </c>
      <c r="Y27" s="398">
        <v>86845</v>
      </c>
    </row>
    <row r="28" spans="1:25">
      <c r="A28" s="392">
        <v>90151</v>
      </c>
      <c r="B28" s="393" t="s">
        <v>745</v>
      </c>
      <c r="C28" s="235">
        <v>8.8999999999999995E-6</v>
      </c>
      <c r="D28" s="235">
        <v>9.3000000000000007E-6</v>
      </c>
      <c r="E28" s="232">
        <v>31803</v>
      </c>
      <c r="F28" s="232" t="s">
        <v>1930</v>
      </c>
      <c r="G28" s="394">
        <v>4016</v>
      </c>
      <c r="H28" s="394">
        <v>4475</v>
      </c>
      <c r="I28" s="394">
        <v>2367</v>
      </c>
      <c r="J28" s="232">
        <v>0</v>
      </c>
      <c r="K28" s="232">
        <v>10858</v>
      </c>
      <c r="L28" s="232"/>
      <c r="M28" s="226">
        <v>0</v>
      </c>
      <c r="N28" s="226">
        <v>0</v>
      </c>
      <c r="O28" s="232">
        <v>3655</v>
      </c>
      <c r="P28" s="232">
        <v>3655</v>
      </c>
      <c r="Q28" s="232"/>
      <c r="R28" s="394">
        <v>10937</v>
      </c>
      <c r="S28" s="232">
        <v>-1760</v>
      </c>
      <c r="T28" s="398">
        <v>9177</v>
      </c>
      <c r="U28" s="232"/>
      <c r="V28" s="398"/>
      <c r="W28" s="398"/>
      <c r="X28" s="398">
        <v>64526</v>
      </c>
      <c r="Y28" s="398">
        <v>4609</v>
      </c>
    </row>
    <row r="29" spans="1:25">
      <c r="A29" s="392">
        <v>90161</v>
      </c>
      <c r="B29" s="393" t="s">
        <v>746</v>
      </c>
      <c r="C29" s="235">
        <v>2.73E-5</v>
      </c>
      <c r="D29" s="235">
        <v>3.57E-5</v>
      </c>
      <c r="E29" s="232">
        <v>97555</v>
      </c>
      <c r="F29" s="232" t="s">
        <v>1930</v>
      </c>
      <c r="G29" s="394">
        <v>12319</v>
      </c>
      <c r="H29" s="394">
        <v>13728</v>
      </c>
      <c r="I29" s="394">
        <v>7260</v>
      </c>
      <c r="J29" s="232">
        <v>1330</v>
      </c>
      <c r="K29" s="232">
        <v>34637</v>
      </c>
      <c r="L29" s="232"/>
      <c r="M29" s="226">
        <v>0</v>
      </c>
      <c r="N29" s="226">
        <v>0</v>
      </c>
      <c r="O29" s="232">
        <v>15320</v>
      </c>
      <c r="P29" s="232">
        <v>15320</v>
      </c>
      <c r="Q29" s="232"/>
      <c r="R29" s="394">
        <v>33548</v>
      </c>
      <c r="S29" s="232">
        <v>-3705</v>
      </c>
      <c r="T29" s="398">
        <v>29843</v>
      </c>
      <c r="U29" s="232"/>
      <c r="V29" s="398"/>
      <c r="W29" s="398"/>
      <c r="X29" s="398">
        <v>197928</v>
      </c>
      <c r="Y29" s="398">
        <v>14138</v>
      </c>
    </row>
    <row r="30" spans="1:25">
      <c r="A30" s="392">
        <v>90201</v>
      </c>
      <c r="B30" s="393" t="s">
        <v>747</v>
      </c>
      <c r="C30" s="235">
        <v>1.3292E-3</v>
      </c>
      <c r="D30" s="235">
        <v>1.2569E-3</v>
      </c>
      <c r="E30" s="232">
        <v>4749798</v>
      </c>
      <c r="F30" s="232" t="s">
        <v>1930</v>
      </c>
      <c r="G30" s="394">
        <v>599816</v>
      </c>
      <c r="H30" s="394">
        <v>668407</v>
      </c>
      <c r="I30" s="394">
        <v>353478</v>
      </c>
      <c r="J30" s="232">
        <v>114565</v>
      </c>
      <c r="K30" s="232">
        <v>1736266</v>
      </c>
      <c r="L30" s="232"/>
      <c r="M30" s="226">
        <v>0</v>
      </c>
      <c r="N30" s="226">
        <v>0</v>
      </c>
      <c r="O30" s="232">
        <v>21883</v>
      </c>
      <c r="P30" s="232">
        <v>21883</v>
      </c>
      <c r="Q30" s="232"/>
      <c r="R30" s="394">
        <v>1633421</v>
      </c>
      <c r="S30" s="232">
        <v>22640</v>
      </c>
      <c r="T30" s="398">
        <v>1656061</v>
      </c>
      <c r="U30" s="232"/>
      <c r="V30" s="398"/>
      <c r="W30" s="398"/>
      <c r="X30" s="398">
        <v>9636822</v>
      </c>
      <c r="Y30" s="398">
        <v>688337</v>
      </c>
    </row>
    <row r="31" spans="1:25">
      <c r="A31" s="392">
        <v>90203</v>
      </c>
      <c r="B31" s="393" t="s">
        <v>748</v>
      </c>
      <c r="C31" s="235">
        <v>1.8110000000000001E-4</v>
      </c>
      <c r="D31" s="235">
        <v>2.0019999999999999E-4</v>
      </c>
      <c r="E31" s="232">
        <v>647147</v>
      </c>
      <c r="F31" s="232" t="s">
        <v>1930</v>
      </c>
      <c r="G31" s="394">
        <v>81723</v>
      </c>
      <c r="H31" s="394">
        <v>91069</v>
      </c>
      <c r="I31" s="394">
        <v>48160</v>
      </c>
      <c r="J31" s="232">
        <v>3764</v>
      </c>
      <c r="K31" s="232">
        <v>224716</v>
      </c>
      <c r="L31" s="232"/>
      <c r="M31" s="226">
        <v>0</v>
      </c>
      <c r="N31" s="226">
        <v>0</v>
      </c>
      <c r="O31" s="232">
        <v>25075</v>
      </c>
      <c r="P31" s="232">
        <v>25075</v>
      </c>
      <c r="Q31" s="232"/>
      <c r="R31" s="394">
        <v>222549</v>
      </c>
      <c r="S31" s="232">
        <v>-16100</v>
      </c>
      <c r="T31" s="398">
        <v>206449</v>
      </c>
      <c r="U31" s="232"/>
      <c r="V31" s="398"/>
      <c r="W31" s="398"/>
      <c r="X31" s="398">
        <v>1312992</v>
      </c>
      <c r="Y31" s="398">
        <v>93784</v>
      </c>
    </row>
    <row r="32" spans="1:25">
      <c r="A32" s="392">
        <v>90205</v>
      </c>
      <c r="B32" s="393" t="s">
        <v>749</v>
      </c>
      <c r="C32" s="235">
        <v>3.0199999999999999E-5</v>
      </c>
      <c r="D32" s="235">
        <v>3.04E-5</v>
      </c>
      <c r="E32" s="232">
        <v>107917</v>
      </c>
      <c r="F32" s="232" t="s">
        <v>1930</v>
      </c>
      <c r="G32" s="394">
        <v>13628</v>
      </c>
      <c r="H32" s="394">
        <v>15187</v>
      </c>
      <c r="I32" s="394">
        <v>8031</v>
      </c>
      <c r="J32" s="232">
        <v>1986</v>
      </c>
      <c r="K32" s="232">
        <v>38832</v>
      </c>
      <c r="L32" s="232"/>
      <c r="M32" s="226">
        <v>0</v>
      </c>
      <c r="N32" s="226">
        <v>0</v>
      </c>
      <c r="O32" s="232">
        <v>937</v>
      </c>
      <c r="P32" s="232">
        <v>937</v>
      </c>
      <c r="Q32" s="232"/>
      <c r="R32" s="394">
        <v>37112</v>
      </c>
      <c r="S32" s="232">
        <v>34</v>
      </c>
      <c r="T32" s="398">
        <v>37146</v>
      </c>
      <c r="U32" s="232"/>
      <c r="V32" s="398"/>
      <c r="W32" s="398"/>
      <c r="X32" s="398">
        <v>218953</v>
      </c>
      <c r="Y32" s="398">
        <v>15639</v>
      </c>
    </row>
    <row r="33" spans="1:25">
      <c r="A33" s="392">
        <v>90206</v>
      </c>
      <c r="B33" s="393" t="s">
        <v>750</v>
      </c>
      <c r="C33" s="235">
        <v>3.6870000000000002E-4</v>
      </c>
      <c r="D33" s="235">
        <v>3.6160000000000001E-4</v>
      </c>
      <c r="E33" s="232">
        <v>1317522</v>
      </c>
      <c r="F33" s="232" t="s">
        <v>1930</v>
      </c>
      <c r="G33" s="394">
        <v>166380</v>
      </c>
      <c r="H33" s="394">
        <v>185406</v>
      </c>
      <c r="I33" s="394">
        <v>98049</v>
      </c>
      <c r="J33" s="232">
        <v>27266</v>
      </c>
      <c r="K33" s="232">
        <v>477101</v>
      </c>
      <c r="L33" s="232"/>
      <c r="M33" s="226">
        <v>0</v>
      </c>
      <c r="N33" s="226">
        <v>0</v>
      </c>
      <c r="O33" s="232">
        <v>39344</v>
      </c>
      <c r="P33" s="232">
        <v>39344</v>
      </c>
      <c r="Q33" s="232"/>
      <c r="R33" s="394">
        <v>453086</v>
      </c>
      <c r="S33" s="232">
        <v>-9138</v>
      </c>
      <c r="T33" s="398">
        <v>443948</v>
      </c>
      <c r="U33" s="232"/>
      <c r="V33" s="398"/>
      <c r="W33" s="398"/>
      <c r="X33" s="398">
        <v>2673109</v>
      </c>
      <c r="Y33" s="398">
        <v>190934</v>
      </c>
    </row>
    <row r="34" spans="1:25">
      <c r="A34" s="392">
        <v>90211</v>
      </c>
      <c r="B34" s="393" t="s">
        <v>751</v>
      </c>
      <c r="C34" s="235">
        <v>1.473E-4</v>
      </c>
      <c r="D34" s="235">
        <v>1.5799999999999999E-4</v>
      </c>
      <c r="E34" s="232">
        <v>526366</v>
      </c>
      <c r="F34" s="232" t="s">
        <v>1930</v>
      </c>
      <c r="G34" s="394">
        <v>66471</v>
      </c>
      <c r="H34" s="394">
        <v>74071</v>
      </c>
      <c r="I34" s="394">
        <v>39172</v>
      </c>
      <c r="J34" s="232">
        <v>7103</v>
      </c>
      <c r="K34" s="232">
        <v>186817</v>
      </c>
      <c r="L34" s="232"/>
      <c r="M34" s="226">
        <v>0</v>
      </c>
      <c r="N34" s="226">
        <v>0</v>
      </c>
      <c r="O34" s="232">
        <v>6721</v>
      </c>
      <c r="P34" s="232">
        <v>6721</v>
      </c>
      <c r="Q34" s="232"/>
      <c r="R34" s="394">
        <v>181013</v>
      </c>
      <c r="S34" s="232">
        <v>-2491</v>
      </c>
      <c r="T34" s="398">
        <v>178522</v>
      </c>
      <c r="U34" s="232"/>
      <c r="V34" s="398"/>
      <c r="W34" s="398"/>
      <c r="X34" s="398">
        <v>1067939</v>
      </c>
      <c r="Y34" s="398">
        <v>76280</v>
      </c>
    </row>
    <row r="35" spans="1:25">
      <c r="A35" s="392">
        <v>90301</v>
      </c>
      <c r="B35" s="393" t="s">
        <v>752</v>
      </c>
      <c r="C35" s="235">
        <v>7.2150000000000003E-4</v>
      </c>
      <c r="D35" s="235">
        <v>7.339E-4</v>
      </c>
      <c r="E35" s="232">
        <v>2578227</v>
      </c>
      <c r="F35" s="232" t="s">
        <v>1930</v>
      </c>
      <c r="G35" s="394">
        <v>325585</v>
      </c>
      <c r="H35" s="394">
        <v>362816</v>
      </c>
      <c r="I35" s="394">
        <v>191871</v>
      </c>
      <c r="J35" s="232">
        <v>0</v>
      </c>
      <c r="K35" s="232">
        <v>880272</v>
      </c>
      <c r="L35" s="232"/>
      <c r="M35" s="226">
        <v>0</v>
      </c>
      <c r="N35" s="226">
        <v>0</v>
      </c>
      <c r="O35" s="232">
        <v>17977</v>
      </c>
      <c r="P35" s="232">
        <v>17977</v>
      </c>
      <c r="Q35" s="232"/>
      <c r="R35" s="394">
        <v>886633</v>
      </c>
      <c r="S35" s="232">
        <v>-8773</v>
      </c>
      <c r="T35" s="398">
        <v>877860</v>
      </c>
      <c r="U35" s="232"/>
      <c r="V35" s="398"/>
      <c r="W35" s="398"/>
      <c r="X35" s="398">
        <v>5230941</v>
      </c>
      <c r="Y35" s="398">
        <v>373635</v>
      </c>
    </row>
    <row r="36" spans="1:25">
      <c r="A36" s="392">
        <v>90305</v>
      </c>
      <c r="B36" s="393" t="s">
        <v>753</v>
      </c>
      <c r="C36" s="235">
        <v>1.4750000000000001E-4</v>
      </c>
      <c r="D36" s="235">
        <v>1.404E-4</v>
      </c>
      <c r="E36" s="232">
        <v>527080</v>
      </c>
      <c r="F36" s="232" t="s">
        <v>1930</v>
      </c>
      <c r="G36" s="394">
        <v>66561</v>
      </c>
      <c r="H36" s="394">
        <v>74173</v>
      </c>
      <c r="I36" s="394">
        <v>39225</v>
      </c>
      <c r="J36" s="232">
        <v>29456</v>
      </c>
      <c r="K36" s="232">
        <v>209415</v>
      </c>
      <c r="L36" s="232"/>
      <c r="M36" s="226">
        <v>0</v>
      </c>
      <c r="N36" s="226">
        <v>0</v>
      </c>
      <c r="O36" s="232">
        <v>0</v>
      </c>
      <c r="P36" s="232">
        <v>0</v>
      </c>
      <c r="Q36" s="232"/>
      <c r="R36" s="394">
        <v>181259</v>
      </c>
      <c r="S36" s="232">
        <v>12348</v>
      </c>
      <c r="T36" s="398">
        <v>193607</v>
      </c>
      <c r="U36" s="232"/>
      <c r="V36" s="398"/>
      <c r="W36" s="398"/>
      <c r="X36" s="398">
        <v>1069389</v>
      </c>
      <c r="Y36" s="398">
        <v>76384</v>
      </c>
    </row>
    <row r="37" spans="1:25">
      <c r="A37" s="392">
        <v>90307</v>
      </c>
      <c r="B37" s="393" t="s">
        <v>754</v>
      </c>
      <c r="C37" s="235">
        <v>5.1000000000000003E-6</v>
      </c>
      <c r="D37" s="235">
        <v>5.8000000000000004E-6</v>
      </c>
      <c r="E37" s="232">
        <v>18224</v>
      </c>
      <c r="F37" s="232" t="s">
        <v>1930</v>
      </c>
      <c r="G37" s="394">
        <v>2301</v>
      </c>
      <c r="H37" s="394">
        <v>2565</v>
      </c>
      <c r="I37" s="394">
        <v>1356</v>
      </c>
      <c r="J37" s="232">
        <v>1014</v>
      </c>
      <c r="K37" s="232">
        <v>7236</v>
      </c>
      <c r="L37" s="232"/>
      <c r="M37" s="226">
        <v>0</v>
      </c>
      <c r="N37" s="226">
        <v>0</v>
      </c>
      <c r="O37" s="232">
        <v>16</v>
      </c>
      <c r="P37" s="232">
        <v>16</v>
      </c>
      <c r="Q37" s="232"/>
      <c r="R37" s="394">
        <v>6267</v>
      </c>
      <c r="S37" s="232">
        <v>421</v>
      </c>
      <c r="T37" s="398">
        <v>6688</v>
      </c>
      <c r="U37" s="232"/>
      <c r="V37" s="398"/>
      <c r="W37" s="398"/>
      <c r="X37" s="398">
        <v>36975</v>
      </c>
      <c r="Y37" s="398">
        <v>2641</v>
      </c>
    </row>
    <row r="38" spans="1:25">
      <c r="A38" s="392">
        <v>90401</v>
      </c>
      <c r="B38" s="393" t="s">
        <v>755</v>
      </c>
      <c r="C38" s="235">
        <v>1.3274000000000001E-3</v>
      </c>
      <c r="D38" s="235">
        <v>1.2876000000000001E-3</v>
      </c>
      <c r="E38" s="232">
        <v>4743366</v>
      </c>
      <c r="F38" s="232" t="s">
        <v>1930</v>
      </c>
      <c r="G38" s="394">
        <v>599004</v>
      </c>
      <c r="H38" s="394">
        <v>667502</v>
      </c>
      <c r="I38" s="394">
        <v>352999</v>
      </c>
      <c r="J38" s="232">
        <v>174341</v>
      </c>
      <c r="K38" s="232">
        <v>1793846</v>
      </c>
      <c r="L38" s="232"/>
      <c r="M38" s="226">
        <v>0</v>
      </c>
      <c r="N38" s="226">
        <v>0</v>
      </c>
      <c r="O38" s="232">
        <v>7660</v>
      </c>
      <c r="P38" s="232">
        <v>7660</v>
      </c>
      <c r="Q38" s="232"/>
      <c r="R38" s="394">
        <v>1631209</v>
      </c>
      <c r="S38" s="232">
        <v>54979</v>
      </c>
      <c r="T38" s="398">
        <v>1686188</v>
      </c>
      <c r="U38" s="232"/>
      <c r="V38" s="398"/>
      <c r="W38" s="398"/>
      <c r="X38" s="398">
        <v>9623772</v>
      </c>
      <c r="Y38" s="398">
        <v>687405</v>
      </c>
    </row>
    <row r="39" spans="1:25">
      <c r="A39" s="392">
        <v>90411</v>
      </c>
      <c r="B39" s="393" t="s">
        <v>756</v>
      </c>
      <c r="C39" s="235">
        <v>3.4289999999999999E-4</v>
      </c>
      <c r="D39" s="235">
        <v>3.2929999999999998E-4</v>
      </c>
      <c r="E39" s="232">
        <v>1225328</v>
      </c>
      <c r="F39" s="232" t="s">
        <v>1930</v>
      </c>
      <c r="G39" s="394">
        <v>154737</v>
      </c>
      <c r="H39" s="394">
        <v>172432</v>
      </c>
      <c r="I39" s="394">
        <v>91188</v>
      </c>
      <c r="J39" s="232">
        <v>19525</v>
      </c>
      <c r="K39" s="232">
        <v>437882</v>
      </c>
      <c r="L39" s="232"/>
      <c r="M39" s="226">
        <v>0</v>
      </c>
      <c r="N39" s="226">
        <v>0</v>
      </c>
      <c r="O39" s="232">
        <v>23124</v>
      </c>
      <c r="P39" s="232">
        <v>23124</v>
      </c>
      <c r="Q39" s="232"/>
      <c r="R39" s="394">
        <v>421381</v>
      </c>
      <c r="S39" s="232">
        <v>-10332</v>
      </c>
      <c r="T39" s="398">
        <v>411049</v>
      </c>
      <c r="U39" s="232"/>
      <c r="V39" s="398"/>
      <c r="W39" s="398"/>
      <c r="X39" s="398">
        <v>2486057</v>
      </c>
      <c r="Y39" s="398">
        <v>177574</v>
      </c>
    </row>
    <row r="40" spans="1:25">
      <c r="A40" s="392">
        <v>90413</v>
      </c>
      <c r="B40" s="393" t="s">
        <v>757</v>
      </c>
      <c r="C40" s="235">
        <v>3.3899999999999997E-5</v>
      </c>
      <c r="D40" s="235">
        <v>3.4900000000000001E-5</v>
      </c>
      <c r="E40" s="232">
        <v>121139</v>
      </c>
      <c r="F40" s="232" t="s">
        <v>1930</v>
      </c>
      <c r="G40" s="394">
        <v>15298</v>
      </c>
      <c r="H40" s="394">
        <v>17047</v>
      </c>
      <c r="I40" s="394">
        <v>9015</v>
      </c>
      <c r="J40" s="232">
        <v>3026</v>
      </c>
      <c r="K40" s="232">
        <v>44386</v>
      </c>
      <c r="L40" s="232"/>
      <c r="M40" s="226">
        <v>0</v>
      </c>
      <c r="N40" s="226">
        <v>0</v>
      </c>
      <c r="O40" s="232">
        <v>229</v>
      </c>
      <c r="P40" s="232">
        <v>229</v>
      </c>
      <c r="Q40" s="232"/>
      <c r="R40" s="394">
        <v>41659</v>
      </c>
      <c r="S40" s="232">
        <v>1249</v>
      </c>
      <c r="T40" s="398">
        <v>42908</v>
      </c>
      <c r="U40" s="232"/>
      <c r="V40" s="398"/>
      <c r="W40" s="398"/>
      <c r="X40" s="398">
        <v>245778</v>
      </c>
      <c r="Y40" s="398">
        <v>17555</v>
      </c>
    </row>
    <row r="41" spans="1:25">
      <c r="A41" s="392">
        <v>90417</v>
      </c>
      <c r="B41" s="393" t="s">
        <v>758</v>
      </c>
      <c r="C41" s="235">
        <v>9.5999999999999996E-6</v>
      </c>
      <c r="D41" s="235">
        <v>1.06E-5</v>
      </c>
      <c r="E41" s="232">
        <v>34305</v>
      </c>
      <c r="F41" s="232" t="s">
        <v>1930</v>
      </c>
      <c r="G41" s="394">
        <v>4332</v>
      </c>
      <c r="H41" s="394">
        <v>4828</v>
      </c>
      <c r="I41" s="394">
        <v>2553</v>
      </c>
      <c r="J41" s="232">
        <v>5017</v>
      </c>
      <c r="K41" s="232">
        <v>16730</v>
      </c>
      <c r="L41" s="232"/>
      <c r="M41" s="226">
        <v>0</v>
      </c>
      <c r="N41" s="226">
        <v>0</v>
      </c>
      <c r="O41" s="232">
        <v>0</v>
      </c>
      <c r="P41" s="232">
        <v>0</v>
      </c>
      <c r="Q41" s="232"/>
      <c r="R41" s="394">
        <v>11797</v>
      </c>
      <c r="S41" s="232">
        <v>2486</v>
      </c>
      <c r="T41" s="398">
        <v>14283</v>
      </c>
      <c r="U41" s="232"/>
      <c r="V41" s="398"/>
      <c r="W41" s="398"/>
      <c r="X41" s="398">
        <v>69601</v>
      </c>
      <c r="Y41" s="398">
        <v>4971</v>
      </c>
    </row>
    <row r="42" spans="1:25">
      <c r="A42" s="392">
        <v>90421</v>
      </c>
      <c r="B42" s="393" t="s">
        <v>759</v>
      </c>
      <c r="C42" s="235">
        <v>2.5199999999999999E-5</v>
      </c>
      <c r="D42" s="235">
        <v>1.98E-5</v>
      </c>
      <c r="E42" s="232">
        <v>90050</v>
      </c>
      <c r="F42" s="232" t="s">
        <v>1930</v>
      </c>
      <c r="G42" s="394">
        <v>11372</v>
      </c>
      <c r="H42" s="394">
        <v>12673</v>
      </c>
      <c r="I42" s="394">
        <v>6702</v>
      </c>
      <c r="J42" s="232">
        <v>8546</v>
      </c>
      <c r="K42" s="232">
        <v>39293</v>
      </c>
      <c r="L42" s="232"/>
      <c r="M42" s="226">
        <v>0</v>
      </c>
      <c r="N42" s="226">
        <v>0</v>
      </c>
      <c r="O42" s="232">
        <v>2463</v>
      </c>
      <c r="P42" s="232">
        <v>2463</v>
      </c>
      <c r="Q42" s="232"/>
      <c r="R42" s="394">
        <v>30968</v>
      </c>
      <c r="S42" s="232">
        <v>1016</v>
      </c>
      <c r="T42" s="398">
        <v>31984</v>
      </c>
      <c r="U42" s="232"/>
      <c r="V42" s="398"/>
      <c r="W42" s="398"/>
      <c r="X42" s="398">
        <v>182702</v>
      </c>
      <c r="Y42" s="398">
        <v>13050</v>
      </c>
    </row>
    <row r="43" spans="1:25">
      <c r="A43" s="392">
        <v>90431</v>
      </c>
      <c r="B43" s="393" t="s">
        <v>760</v>
      </c>
      <c r="C43" s="235">
        <v>4.85E-5</v>
      </c>
      <c r="D43" s="235">
        <v>4.8099999999999997E-5</v>
      </c>
      <c r="E43" s="232">
        <v>173311</v>
      </c>
      <c r="F43" s="232" t="s">
        <v>1930</v>
      </c>
      <c r="G43" s="394">
        <v>21886</v>
      </c>
      <c r="H43" s="394">
        <v>24389</v>
      </c>
      <c r="I43" s="394">
        <v>12898</v>
      </c>
      <c r="J43" s="232">
        <v>2806</v>
      </c>
      <c r="K43" s="232">
        <v>61979</v>
      </c>
      <c r="L43" s="232"/>
      <c r="M43" s="226">
        <v>0</v>
      </c>
      <c r="N43" s="226">
        <v>0</v>
      </c>
      <c r="O43" s="232">
        <v>818</v>
      </c>
      <c r="P43" s="232">
        <v>818</v>
      </c>
      <c r="Q43" s="232"/>
      <c r="R43" s="394">
        <v>59600</v>
      </c>
      <c r="S43" s="232">
        <v>731</v>
      </c>
      <c r="T43" s="398">
        <v>60331</v>
      </c>
      <c r="U43" s="232"/>
      <c r="V43" s="398"/>
      <c r="W43" s="398"/>
      <c r="X43" s="398">
        <v>351629</v>
      </c>
      <c r="Y43" s="398">
        <v>25116</v>
      </c>
    </row>
    <row r="44" spans="1:25">
      <c r="A44" s="392">
        <v>90441</v>
      </c>
      <c r="B44" s="393" t="s">
        <v>761</v>
      </c>
      <c r="C44" s="235">
        <v>5.8000000000000004E-6</v>
      </c>
      <c r="D44" s="235">
        <v>6.7000000000000002E-6</v>
      </c>
      <c r="E44" s="232">
        <v>20726</v>
      </c>
      <c r="F44" s="232" t="s">
        <v>1930</v>
      </c>
      <c r="G44" s="394">
        <v>2617</v>
      </c>
      <c r="H44" s="394">
        <v>2916</v>
      </c>
      <c r="I44" s="394">
        <v>1542</v>
      </c>
      <c r="J44" s="232">
        <v>1897</v>
      </c>
      <c r="K44" s="232">
        <v>8972</v>
      </c>
      <c r="L44" s="232"/>
      <c r="M44" s="226">
        <v>0</v>
      </c>
      <c r="N44" s="226">
        <v>0</v>
      </c>
      <c r="O44" s="232">
        <v>0</v>
      </c>
      <c r="P44" s="232">
        <v>0</v>
      </c>
      <c r="Q44" s="232"/>
      <c r="R44" s="394">
        <v>7127</v>
      </c>
      <c r="S44" s="232">
        <v>748</v>
      </c>
      <c r="T44" s="398">
        <v>7875</v>
      </c>
      <c r="U44" s="232"/>
      <c r="V44" s="398"/>
      <c r="W44" s="398"/>
      <c r="X44" s="398">
        <v>42051</v>
      </c>
      <c r="Y44" s="398">
        <v>3004</v>
      </c>
    </row>
    <row r="45" spans="1:25">
      <c r="A45" s="392">
        <v>90451</v>
      </c>
      <c r="B45" s="393" t="s">
        <v>762</v>
      </c>
      <c r="C45" s="235">
        <v>2.2399999999999999E-5</v>
      </c>
      <c r="D45" s="235">
        <v>2.3099999999999999E-5</v>
      </c>
      <c r="E45" s="232">
        <v>80045</v>
      </c>
      <c r="F45" s="232" t="s">
        <v>1930</v>
      </c>
      <c r="G45" s="394">
        <v>10108</v>
      </c>
      <c r="H45" s="394">
        <v>11264</v>
      </c>
      <c r="I45" s="394">
        <v>5957</v>
      </c>
      <c r="J45" s="232">
        <v>2683</v>
      </c>
      <c r="K45" s="232">
        <v>30012</v>
      </c>
      <c r="L45" s="232"/>
      <c r="M45" s="226">
        <v>0</v>
      </c>
      <c r="N45" s="226">
        <v>0</v>
      </c>
      <c r="O45" s="232">
        <v>1731</v>
      </c>
      <c r="P45" s="232">
        <v>1731</v>
      </c>
      <c r="Q45" s="232"/>
      <c r="R45" s="394">
        <v>27527</v>
      </c>
      <c r="S45" s="232">
        <v>1009</v>
      </c>
      <c r="T45" s="398">
        <v>28536</v>
      </c>
      <c r="U45" s="232"/>
      <c r="V45" s="398"/>
      <c r="W45" s="398"/>
      <c r="X45" s="398">
        <v>162402</v>
      </c>
      <c r="Y45" s="398">
        <v>11600</v>
      </c>
    </row>
    <row r="46" spans="1:25">
      <c r="A46" s="392">
        <v>90461</v>
      </c>
      <c r="B46" s="393" t="s">
        <v>763</v>
      </c>
      <c r="C46" s="235">
        <v>1.9E-6</v>
      </c>
      <c r="D46" s="235">
        <v>2.0999999999999998E-6</v>
      </c>
      <c r="E46" s="232">
        <v>6790</v>
      </c>
      <c r="F46" s="232" t="s">
        <v>1930</v>
      </c>
      <c r="G46" s="394">
        <v>857</v>
      </c>
      <c r="H46" s="394">
        <v>955</v>
      </c>
      <c r="I46" s="394">
        <v>505</v>
      </c>
      <c r="J46" s="232">
        <v>5100</v>
      </c>
      <c r="K46" s="232">
        <v>7417</v>
      </c>
      <c r="L46" s="232"/>
      <c r="M46" s="226">
        <v>0</v>
      </c>
      <c r="N46" s="226">
        <v>0</v>
      </c>
      <c r="O46" s="232">
        <v>3549</v>
      </c>
      <c r="P46" s="232">
        <v>3549</v>
      </c>
      <c r="Q46" s="232"/>
      <c r="R46" s="394">
        <v>2335</v>
      </c>
      <c r="S46" s="232">
        <v>-638</v>
      </c>
      <c r="T46" s="398">
        <v>1697</v>
      </c>
      <c r="U46" s="232"/>
      <c r="V46" s="398"/>
      <c r="W46" s="398"/>
      <c r="X46" s="398">
        <v>13775</v>
      </c>
      <c r="Y46" s="398">
        <v>984</v>
      </c>
    </row>
    <row r="47" spans="1:25">
      <c r="A47" s="392">
        <v>90501</v>
      </c>
      <c r="B47" s="393" t="s">
        <v>764</v>
      </c>
      <c r="C47" s="235">
        <v>1.4997999999999999E-3</v>
      </c>
      <c r="D47" s="235">
        <v>1.4587000000000001E-3</v>
      </c>
      <c r="E47" s="232">
        <v>5359424</v>
      </c>
      <c r="F47" s="232" t="s">
        <v>1930</v>
      </c>
      <c r="G47" s="394">
        <v>676801</v>
      </c>
      <c r="H47" s="394">
        <v>754196</v>
      </c>
      <c r="I47" s="394">
        <v>398846</v>
      </c>
      <c r="J47" s="232">
        <v>131520</v>
      </c>
      <c r="K47" s="232">
        <v>1961363</v>
      </c>
      <c r="L47" s="232"/>
      <c r="M47" s="226">
        <v>0</v>
      </c>
      <c r="N47" s="226">
        <v>0</v>
      </c>
      <c r="O47" s="232">
        <v>2974</v>
      </c>
      <c r="P47" s="232">
        <v>2974</v>
      </c>
      <c r="Q47" s="232"/>
      <c r="R47" s="394">
        <v>1843067</v>
      </c>
      <c r="S47" s="232">
        <v>47651</v>
      </c>
      <c r="T47" s="398">
        <v>1890718</v>
      </c>
      <c r="U47" s="232"/>
      <c r="V47" s="398"/>
      <c r="W47" s="398"/>
      <c r="X47" s="398">
        <v>10873688</v>
      </c>
      <c r="Y47" s="398">
        <v>776683</v>
      </c>
    </row>
    <row r="48" spans="1:25">
      <c r="A48" s="392">
        <v>90507</v>
      </c>
      <c r="B48" s="393" t="s">
        <v>34</v>
      </c>
      <c r="C48" s="235">
        <v>1.1199999999999999E-5</v>
      </c>
      <c r="D48" s="235">
        <v>3.4000000000000001E-6</v>
      </c>
      <c r="E48" s="232">
        <v>40022</v>
      </c>
      <c r="F48" s="232" t="s">
        <v>1930</v>
      </c>
      <c r="G48" s="394">
        <v>5054</v>
      </c>
      <c r="H48" s="394">
        <v>5632</v>
      </c>
      <c r="I48" s="394">
        <v>2978</v>
      </c>
      <c r="J48" s="232">
        <v>19680</v>
      </c>
      <c r="K48" s="232">
        <v>33344</v>
      </c>
      <c r="L48" s="232"/>
      <c r="M48" s="226">
        <v>0</v>
      </c>
      <c r="N48" s="226">
        <v>0</v>
      </c>
      <c r="O48" s="232">
        <v>0</v>
      </c>
      <c r="P48" s="232">
        <v>0</v>
      </c>
      <c r="Q48" s="232"/>
      <c r="R48" s="394">
        <v>13763</v>
      </c>
      <c r="S48" s="232">
        <v>9085</v>
      </c>
      <c r="T48" s="398">
        <v>22848</v>
      </c>
      <c r="U48" s="232"/>
      <c r="V48" s="398"/>
      <c r="W48" s="398"/>
      <c r="X48" s="398">
        <v>81201</v>
      </c>
      <c r="Y48" s="398">
        <v>5800</v>
      </c>
    </row>
    <row r="49" spans="1:25">
      <c r="A49" s="392">
        <v>90511</v>
      </c>
      <c r="B49" s="393" t="s">
        <v>765</v>
      </c>
      <c r="C49" s="235">
        <v>9.2200000000000005E-5</v>
      </c>
      <c r="D49" s="235">
        <v>1.011E-4</v>
      </c>
      <c r="E49" s="232">
        <v>329470</v>
      </c>
      <c r="F49" s="232" t="s">
        <v>1930</v>
      </c>
      <c r="G49" s="394">
        <v>41606</v>
      </c>
      <c r="H49" s="394">
        <v>46364</v>
      </c>
      <c r="I49" s="394">
        <v>24519</v>
      </c>
      <c r="J49" s="232">
        <v>21291</v>
      </c>
      <c r="K49" s="232">
        <v>133780</v>
      </c>
      <c r="L49" s="232"/>
      <c r="M49" s="226">
        <v>0</v>
      </c>
      <c r="N49" s="226">
        <v>0</v>
      </c>
      <c r="O49" s="232">
        <v>2656</v>
      </c>
      <c r="P49" s="232">
        <v>2656</v>
      </c>
      <c r="Q49" s="232"/>
      <c r="R49" s="394">
        <v>113302</v>
      </c>
      <c r="S49" s="232">
        <v>9314</v>
      </c>
      <c r="T49" s="398">
        <v>122616</v>
      </c>
      <c r="U49" s="232"/>
      <c r="V49" s="398"/>
      <c r="W49" s="398"/>
      <c r="X49" s="398">
        <v>668458</v>
      </c>
      <c r="Y49" s="398">
        <v>47747</v>
      </c>
    </row>
    <row r="50" spans="1:25">
      <c r="A50" s="392">
        <v>90521</v>
      </c>
      <c r="B50" s="393" t="s">
        <v>766</v>
      </c>
      <c r="C50" s="235">
        <v>1.4129999999999999E-4</v>
      </c>
      <c r="D50" s="235">
        <v>1.371E-4</v>
      </c>
      <c r="E50" s="232">
        <v>504925</v>
      </c>
      <c r="F50" s="232" t="s">
        <v>1930</v>
      </c>
      <c r="G50" s="394">
        <v>63763</v>
      </c>
      <c r="H50" s="394">
        <v>71055</v>
      </c>
      <c r="I50" s="394">
        <v>37576</v>
      </c>
      <c r="J50" s="232">
        <v>0</v>
      </c>
      <c r="K50" s="232">
        <v>172394</v>
      </c>
      <c r="L50" s="232"/>
      <c r="M50" s="226">
        <v>0</v>
      </c>
      <c r="N50" s="226">
        <v>0</v>
      </c>
      <c r="O50" s="232">
        <v>13369</v>
      </c>
      <c r="P50" s="232">
        <v>13369</v>
      </c>
      <c r="Q50" s="232"/>
      <c r="R50" s="394">
        <v>173640</v>
      </c>
      <c r="S50" s="232">
        <v>-8994</v>
      </c>
      <c r="T50" s="398">
        <v>164646</v>
      </c>
      <c r="U50" s="232"/>
      <c r="V50" s="398"/>
      <c r="W50" s="398"/>
      <c r="X50" s="398">
        <v>1024438</v>
      </c>
      <c r="Y50" s="398">
        <v>73173</v>
      </c>
    </row>
    <row r="51" spans="1:25">
      <c r="A51" s="392">
        <v>90601</v>
      </c>
      <c r="B51" s="393" t="s">
        <v>767</v>
      </c>
      <c r="C51" s="235">
        <v>1.242E-3</v>
      </c>
      <c r="D51" s="235">
        <v>1.1100999999999999E-3</v>
      </c>
      <c r="E51" s="232">
        <v>4438195</v>
      </c>
      <c r="F51" s="232" t="s">
        <v>1930</v>
      </c>
      <c r="G51" s="394">
        <v>560466</v>
      </c>
      <c r="H51" s="394">
        <v>624557</v>
      </c>
      <c r="I51" s="394">
        <v>330289</v>
      </c>
      <c r="J51" s="232">
        <v>160636</v>
      </c>
      <c r="K51" s="232">
        <v>1675948</v>
      </c>
      <c r="L51" s="232"/>
      <c r="M51" s="226">
        <v>0</v>
      </c>
      <c r="N51" s="226">
        <v>0</v>
      </c>
      <c r="O51" s="232">
        <v>13006</v>
      </c>
      <c r="P51" s="232">
        <v>13006</v>
      </c>
      <c r="Q51" s="232"/>
      <c r="R51" s="394">
        <v>1526263</v>
      </c>
      <c r="S51" s="232">
        <v>41596</v>
      </c>
      <c r="T51" s="398">
        <v>1567859</v>
      </c>
      <c r="U51" s="232"/>
      <c r="V51" s="398"/>
      <c r="W51" s="398"/>
      <c r="X51" s="398">
        <v>9004614</v>
      </c>
      <c r="Y51" s="398">
        <v>643180</v>
      </c>
    </row>
    <row r="52" spans="1:25">
      <c r="A52" s="392">
        <v>90602</v>
      </c>
      <c r="B52" s="393" t="s">
        <v>259</v>
      </c>
      <c r="C52" s="235">
        <v>8.0099999999999995E-5</v>
      </c>
      <c r="D52" s="235">
        <v>9.2999999999999997E-5</v>
      </c>
      <c r="E52" s="232">
        <v>286231</v>
      </c>
      <c r="F52" s="232" t="s">
        <v>1930</v>
      </c>
      <c r="G52" s="394">
        <v>36146</v>
      </c>
      <c r="H52" s="394">
        <v>40279</v>
      </c>
      <c r="I52" s="394">
        <v>21301</v>
      </c>
      <c r="J52" s="232">
        <v>28901</v>
      </c>
      <c r="K52" s="232">
        <v>126627</v>
      </c>
      <c r="L52" s="232"/>
      <c r="M52" s="226">
        <v>0</v>
      </c>
      <c r="N52" s="226">
        <v>0</v>
      </c>
      <c r="O52" s="232">
        <v>28726</v>
      </c>
      <c r="P52" s="232">
        <v>28726</v>
      </c>
      <c r="Q52" s="232"/>
      <c r="R52" s="394">
        <v>98433</v>
      </c>
      <c r="S52" s="232">
        <v>10305</v>
      </c>
      <c r="T52" s="398">
        <v>108738</v>
      </c>
      <c r="U52" s="232"/>
      <c r="V52" s="398"/>
      <c r="W52" s="398"/>
      <c r="X52" s="398">
        <v>580732</v>
      </c>
      <c r="Y52" s="398">
        <v>41480</v>
      </c>
    </row>
    <row r="53" spans="1:25">
      <c r="A53" s="392">
        <v>90605</v>
      </c>
      <c r="B53" s="393" t="s">
        <v>768</v>
      </c>
      <c r="C53" s="235">
        <v>4.8399999999999997E-5</v>
      </c>
      <c r="D53" s="235">
        <v>4.9799999999999998E-5</v>
      </c>
      <c r="E53" s="232">
        <v>172954</v>
      </c>
      <c r="F53" s="232" t="s">
        <v>1930</v>
      </c>
      <c r="G53" s="394">
        <v>21841</v>
      </c>
      <c r="H53" s="394">
        <v>24339</v>
      </c>
      <c r="I53" s="394">
        <v>12871</v>
      </c>
      <c r="J53" s="232">
        <v>12417</v>
      </c>
      <c r="K53" s="232">
        <v>71468</v>
      </c>
      <c r="L53" s="232"/>
      <c r="M53" s="226">
        <v>0</v>
      </c>
      <c r="N53" s="226">
        <v>0</v>
      </c>
      <c r="O53" s="232">
        <v>555</v>
      </c>
      <c r="P53" s="232">
        <v>555</v>
      </c>
      <c r="Q53" s="232"/>
      <c r="R53" s="394">
        <v>59478</v>
      </c>
      <c r="S53" s="232">
        <v>6976</v>
      </c>
      <c r="T53" s="398">
        <v>66454</v>
      </c>
      <c r="U53" s="232"/>
      <c r="V53" s="398"/>
      <c r="W53" s="398"/>
      <c r="X53" s="398">
        <v>350904</v>
      </c>
      <c r="Y53" s="398">
        <v>25064</v>
      </c>
    </row>
    <row r="54" spans="1:25">
      <c r="A54" s="392">
        <v>90611</v>
      </c>
      <c r="B54" s="393" t="s">
        <v>769</v>
      </c>
      <c r="C54" s="235">
        <v>1.4320000000000001E-4</v>
      </c>
      <c r="D54" s="235">
        <v>1.526E-4</v>
      </c>
      <c r="E54" s="232">
        <v>511715</v>
      </c>
      <c r="F54" s="232" t="s">
        <v>1930</v>
      </c>
      <c r="G54" s="394">
        <v>64621</v>
      </c>
      <c r="H54" s="394">
        <v>72010</v>
      </c>
      <c r="I54" s="394">
        <v>38082</v>
      </c>
      <c r="J54" s="232">
        <v>3728</v>
      </c>
      <c r="K54" s="232">
        <v>178441</v>
      </c>
      <c r="L54" s="232"/>
      <c r="M54" s="226">
        <v>0</v>
      </c>
      <c r="N54" s="226">
        <v>0</v>
      </c>
      <c r="O54" s="232">
        <v>23751</v>
      </c>
      <c r="P54" s="232">
        <v>23751</v>
      </c>
      <c r="Q54" s="232"/>
      <c r="R54" s="394">
        <v>175975</v>
      </c>
      <c r="S54" s="232">
        <v>-11400</v>
      </c>
      <c r="T54" s="398">
        <v>164575</v>
      </c>
      <c r="U54" s="232"/>
      <c r="V54" s="398"/>
      <c r="W54" s="398"/>
      <c r="X54" s="398">
        <v>1038213</v>
      </c>
      <c r="Y54" s="398">
        <v>74157</v>
      </c>
    </row>
    <row r="55" spans="1:25">
      <c r="A55" s="392">
        <v>90617</v>
      </c>
      <c r="B55" s="393" t="s">
        <v>770</v>
      </c>
      <c r="C55" s="235">
        <v>2.94E-5</v>
      </c>
      <c r="D55" s="235">
        <v>2.8600000000000001E-5</v>
      </c>
      <c r="E55" s="232">
        <v>105059</v>
      </c>
      <c r="F55" s="232" t="s">
        <v>1930</v>
      </c>
      <c r="G55" s="394">
        <v>13267</v>
      </c>
      <c r="H55" s="394">
        <v>14784</v>
      </c>
      <c r="I55" s="394">
        <v>7818</v>
      </c>
      <c r="J55" s="232">
        <v>7739</v>
      </c>
      <c r="K55" s="232">
        <v>43608</v>
      </c>
      <c r="L55" s="232"/>
      <c r="M55" s="226">
        <v>0</v>
      </c>
      <c r="N55" s="226">
        <v>0</v>
      </c>
      <c r="O55" s="232">
        <v>0</v>
      </c>
      <c r="P55" s="232">
        <v>0</v>
      </c>
      <c r="Q55" s="232"/>
      <c r="R55" s="394">
        <v>36129</v>
      </c>
      <c r="S55" s="232">
        <v>3741</v>
      </c>
      <c r="T55" s="398">
        <v>39870</v>
      </c>
      <c r="U55" s="232"/>
      <c r="V55" s="398"/>
      <c r="W55" s="398"/>
      <c r="X55" s="398">
        <v>213153</v>
      </c>
      <c r="Y55" s="398">
        <v>15225</v>
      </c>
    </row>
    <row r="56" spans="1:25">
      <c r="A56" s="392">
        <v>90621</v>
      </c>
      <c r="B56" s="393" t="s">
        <v>771</v>
      </c>
      <c r="C56" s="235">
        <v>6.9300000000000004E-5</v>
      </c>
      <c r="D56" s="235">
        <v>6.97E-5</v>
      </c>
      <c r="E56" s="232">
        <v>247638</v>
      </c>
      <c r="F56" s="232" t="s">
        <v>1930</v>
      </c>
      <c r="G56" s="394">
        <v>31272</v>
      </c>
      <c r="H56" s="394">
        <v>34848</v>
      </c>
      <c r="I56" s="394">
        <v>18429</v>
      </c>
      <c r="J56" s="232">
        <v>1656</v>
      </c>
      <c r="K56" s="232">
        <v>86205</v>
      </c>
      <c r="L56" s="232"/>
      <c r="M56" s="226">
        <v>0</v>
      </c>
      <c r="N56" s="226">
        <v>0</v>
      </c>
      <c r="O56" s="232">
        <v>5297</v>
      </c>
      <c r="P56" s="232">
        <v>5297</v>
      </c>
      <c r="Q56" s="232"/>
      <c r="R56" s="394">
        <v>85161</v>
      </c>
      <c r="S56" s="232">
        <v>-4362</v>
      </c>
      <c r="T56" s="398">
        <v>80799</v>
      </c>
      <c r="U56" s="232"/>
      <c r="V56" s="398"/>
      <c r="W56" s="398"/>
      <c r="X56" s="398">
        <v>502431</v>
      </c>
      <c r="Y56" s="398">
        <v>35888</v>
      </c>
    </row>
    <row r="57" spans="1:25">
      <c r="A57" s="392">
        <v>90631</v>
      </c>
      <c r="B57" s="393" t="s">
        <v>772</v>
      </c>
      <c r="C57" s="235">
        <v>3.636E-4</v>
      </c>
      <c r="D57" s="235">
        <v>3.6430000000000002E-4</v>
      </c>
      <c r="E57" s="232">
        <v>1299298</v>
      </c>
      <c r="F57" s="232" t="s">
        <v>1930</v>
      </c>
      <c r="G57" s="394">
        <v>164078</v>
      </c>
      <c r="H57" s="394">
        <v>182841</v>
      </c>
      <c r="I57" s="394">
        <v>96693</v>
      </c>
      <c r="J57" s="232">
        <v>11040</v>
      </c>
      <c r="K57" s="232">
        <v>454652</v>
      </c>
      <c r="L57" s="232"/>
      <c r="M57" s="226">
        <v>0</v>
      </c>
      <c r="N57" s="226">
        <v>0</v>
      </c>
      <c r="O57" s="232">
        <v>8114</v>
      </c>
      <c r="P57" s="232">
        <v>8114</v>
      </c>
      <c r="Q57" s="232"/>
      <c r="R57" s="394">
        <v>446819</v>
      </c>
      <c r="S57" s="232">
        <v>4228</v>
      </c>
      <c r="T57" s="398">
        <v>451047</v>
      </c>
      <c r="U57" s="232"/>
      <c r="V57" s="398"/>
      <c r="W57" s="398"/>
      <c r="X57" s="398">
        <v>2636133</v>
      </c>
      <c r="Y57" s="398">
        <v>188293</v>
      </c>
    </row>
    <row r="58" spans="1:25">
      <c r="A58" s="392">
        <v>90641</v>
      </c>
      <c r="B58" s="393" t="s">
        <v>773</v>
      </c>
      <c r="C58" s="235">
        <v>1.1E-5</v>
      </c>
      <c r="D58" s="235">
        <v>1.1800000000000001E-5</v>
      </c>
      <c r="E58" s="232">
        <v>39308</v>
      </c>
      <c r="F58" s="232" t="s">
        <v>1930</v>
      </c>
      <c r="G58" s="394">
        <v>4964</v>
      </c>
      <c r="H58" s="394">
        <v>5531</v>
      </c>
      <c r="I58" s="394">
        <v>2925</v>
      </c>
      <c r="J58" s="232">
        <v>148</v>
      </c>
      <c r="K58" s="232">
        <v>13568</v>
      </c>
      <c r="L58" s="232"/>
      <c r="M58" s="226">
        <v>0</v>
      </c>
      <c r="N58" s="226">
        <v>0</v>
      </c>
      <c r="O58" s="232">
        <v>313</v>
      </c>
      <c r="P58" s="232">
        <v>313</v>
      </c>
      <c r="Q58" s="232"/>
      <c r="R58" s="394">
        <v>13518</v>
      </c>
      <c r="S58" s="232">
        <v>-153</v>
      </c>
      <c r="T58" s="398">
        <v>13365</v>
      </c>
      <c r="U58" s="232"/>
      <c r="V58" s="398"/>
      <c r="W58" s="398"/>
      <c r="X58" s="398">
        <v>79751</v>
      </c>
      <c r="Y58" s="398">
        <v>5696</v>
      </c>
    </row>
    <row r="59" spans="1:25">
      <c r="A59" s="392">
        <v>90651</v>
      </c>
      <c r="B59" s="393" t="s">
        <v>774</v>
      </c>
      <c r="C59" s="235">
        <v>9.5199999999999997E-5</v>
      </c>
      <c r="D59" s="235">
        <v>1.031E-4</v>
      </c>
      <c r="E59" s="232">
        <v>340190</v>
      </c>
      <c r="F59" s="232" t="s">
        <v>1930</v>
      </c>
      <c r="G59" s="394">
        <v>42960</v>
      </c>
      <c r="H59" s="394">
        <v>47872</v>
      </c>
      <c r="I59" s="394">
        <v>25317</v>
      </c>
      <c r="J59" s="232">
        <v>62899</v>
      </c>
      <c r="K59" s="232">
        <v>179048</v>
      </c>
      <c r="L59" s="232"/>
      <c r="M59" s="226">
        <v>0</v>
      </c>
      <c r="N59" s="226">
        <v>0</v>
      </c>
      <c r="O59" s="232">
        <v>2350</v>
      </c>
      <c r="P59" s="232">
        <v>2350</v>
      </c>
      <c r="Q59" s="232"/>
      <c r="R59" s="394">
        <v>116989</v>
      </c>
      <c r="S59" s="232">
        <v>39447</v>
      </c>
      <c r="T59" s="398">
        <v>156436</v>
      </c>
      <c r="U59" s="232"/>
      <c r="V59" s="398"/>
      <c r="W59" s="398"/>
      <c r="X59" s="398">
        <v>690209</v>
      </c>
      <c r="Y59" s="398">
        <v>49300</v>
      </c>
    </row>
    <row r="60" spans="1:25">
      <c r="A60" s="392">
        <v>90701</v>
      </c>
      <c r="B60" s="393" t="s">
        <v>1937</v>
      </c>
      <c r="C60" s="235">
        <v>2.5049E-3</v>
      </c>
      <c r="D60" s="235">
        <v>2.6227999999999998E-3</v>
      </c>
      <c r="E60" s="232">
        <v>8951075</v>
      </c>
      <c r="F60" s="232" t="s">
        <v>1930</v>
      </c>
      <c r="G60" s="394">
        <v>1130364</v>
      </c>
      <c r="H60" s="394">
        <v>1259624</v>
      </c>
      <c r="I60" s="394">
        <v>666136</v>
      </c>
      <c r="J60" s="232">
        <v>28249</v>
      </c>
      <c r="K60" s="232">
        <v>3084373</v>
      </c>
      <c r="L60" s="232"/>
      <c r="M60" s="226">
        <v>0</v>
      </c>
      <c r="N60" s="226">
        <v>0</v>
      </c>
      <c r="O60" s="232">
        <v>330199</v>
      </c>
      <c r="P60" s="232">
        <v>330199</v>
      </c>
      <c r="Q60" s="232"/>
      <c r="R60" s="394">
        <v>3078209</v>
      </c>
      <c r="S60" s="232">
        <v>-97064</v>
      </c>
      <c r="T60" s="398">
        <v>2981145</v>
      </c>
      <c r="U60" s="232"/>
      <c r="V60" s="398"/>
      <c r="W60" s="398"/>
      <c r="X60" s="398">
        <v>18160755</v>
      </c>
      <c r="Y60" s="398">
        <v>1297183</v>
      </c>
    </row>
    <row r="61" spans="1:25">
      <c r="A61" s="392">
        <v>90704</v>
      </c>
      <c r="B61" s="393" t="s">
        <v>776</v>
      </c>
      <c r="C61" s="235">
        <v>4.1999999999999998E-5</v>
      </c>
      <c r="D61" s="235">
        <v>4.4299999999999999E-5</v>
      </c>
      <c r="E61" s="232">
        <v>150084</v>
      </c>
      <c r="F61" s="232" t="s">
        <v>1930</v>
      </c>
      <c r="G61" s="394">
        <v>18953</v>
      </c>
      <c r="H61" s="394">
        <v>21120</v>
      </c>
      <c r="I61" s="394">
        <v>11169</v>
      </c>
      <c r="J61" s="232">
        <v>23801</v>
      </c>
      <c r="K61" s="232">
        <v>75043</v>
      </c>
      <c r="L61" s="232"/>
      <c r="M61" s="226">
        <v>0</v>
      </c>
      <c r="N61" s="226">
        <v>0</v>
      </c>
      <c r="O61" s="232">
        <v>0</v>
      </c>
      <c r="P61" s="232">
        <v>0</v>
      </c>
      <c r="Q61" s="232"/>
      <c r="R61" s="394">
        <v>51613</v>
      </c>
      <c r="S61" s="232">
        <v>11324</v>
      </c>
      <c r="T61" s="398">
        <v>62937</v>
      </c>
      <c r="U61" s="232"/>
      <c r="V61" s="398"/>
      <c r="W61" s="398"/>
      <c r="X61" s="398">
        <v>304504</v>
      </c>
      <c r="Y61" s="398">
        <v>21750</v>
      </c>
    </row>
    <row r="62" spans="1:25">
      <c r="A62" s="392">
        <v>90705</v>
      </c>
      <c r="B62" s="393" t="s">
        <v>777</v>
      </c>
      <c r="C62" s="235">
        <v>3.3800000000000002E-5</v>
      </c>
      <c r="D62" s="235">
        <v>4.1199999999999999E-5</v>
      </c>
      <c r="E62" s="232">
        <v>120782</v>
      </c>
      <c r="F62" s="232" t="s">
        <v>1930</v>
      </c>
      <c r="G62" s="394">
        <v>15253</v>
      </c>
      <c r="H62" s="394">
        <v>16997</v>
      </c>
      <c r="I62" s="394">
        <v>8989</v>
      </c>
      <c r="J62" s="232">
        <v>8868</v>
      </c>
      <c r="K62" s="232">
        <v>50107</v>
      </c>
      <c r="L62" s="232"/>
      <c r="M62" s="226">
        <v>0</v>
      </c>
      <c r="N62" s="226">
        <v>0</v>
      </c>
      <c r="O62" s="232">
        <v>7044</v>
      </c>
      <c r="P62" s="232">
        <v>7044</v>
      </c>
      <c r="Q62" s="232"/>
      <c r="R62" s="394">
        <v>41536</v>
      </c>
      <c r="S62" s="232">
        <v>3014</v>
      </c>
      <c r="T62" s="398">
        <v>44550</v>
      </c>
      <c r="U62" s="232"/>
      <c r="V62" s="398"/>
      <c r="W62" s="398"/>
      <c r="X62" s="398">
        <v>245053</v>
      </c>
      <c r="Y62" s="398">
        <v>17504</v>
      </c>
    </row>
    <row r="63" spans="1:25">
      <c r="A63" s="392">
        <v>90709</v>
      </c>
      <c r="B63" s="393" t="s">
        <v>778</v>
      </c>
      <c r="C63" s="235">
        <v>1.4219999999999999E-4</v>
      </c>
      <c r="D63" s="235">
        <v>1.474E-4</v>
      </c>
      <c r="E63" s="232">
        <v>508141</v>
      </c>
      <c r="F63" s="232" t="s">
        <v>1930</v>
      </c>
      <c r="G63" s="394">
        <v>64169</v>
      </c>
      <c r="H63" s="394">
        <v>71507</v>
      </c>
      <c r="I63" s="394">
        <v>37816</v>
      </c>
      <c r="J63" s="232">
        <v>20432</v>
      </c>
      <c r="K63" s="232">
        <v>193924</v>
      </c>
      <c r="L63" s="232"/>
      <c r="M63" s="226">
        <v>0</v>
      </c>
      <c r="N63" s="226">
        <v>0</v>
      </c>
      <c r="O63" s="232">
        <v>13495</v>
      </c>
      <c r="P63" s="232">
        <v>13495</v>
      </c>
      <c r="Q63" s="232"/>
      <c r="R63" s="394">
        <v>174746</v>
      </c>
      <c r="S63" s="232">
        <v>-4917</v>
      </c>
      <c r="T63" s="398">
        <v>169829</v>
      </c>
      <c r="U63" s="232"/>
      <c r="V63" s="398"/>
      <c r="W63" s="398"/>
      <c r="X63" s="398">
        <v>1030963</v>
      </c>
      <c r="Y63" s="398">
        <v>73639</v>
      </c>
    </row>
    <row r="64" spans="1:25">
      <c r="A64" s="392">
        <v>90711</v>
      </c>
      <c r="B64" s="393" t="s">
        <v>779</v>
      </c>
      <c r="C64" s="235">
        <v>1.5904000000000001E-3</v>
      </c>
      <c r="D64" s="235">
        <v>1.5481E-3</v>
      </c>
      <c r="E64" s="232">
        <v>5683177</v>
      </c>
      <c r="F64" s="232" t="s">
        <v>1930</v>
      </c>
      <c r="G64" s="394">
        <v>717685</v>
      </c>
      <c r="H64" s="394">
        <v>799754</v>
      </c>
      <c r="I64" s="394">
        <v>422940</v>
      </c>
      <c r="J64" s="232">
        <v>38640</v>
      </c>
      <c r="K64" s="232">
        <v>1979019</v>
      </c>
      <c r="L64" s="232"/>
      <c r="M64" s="226">
        <v>0</v>
      </c>
      <c r="N64" s="226">
        <v>0</v>
      </c>
      <c r="O64" s="232">
        <v>79471</v>
      </c>
      <c r="P64" s="232">
        <v>79471</v>
      </c>
      <c r="Q64" s="232"/>
      <c r="R64" s="394">
        <v>1954403</v>
      </c>
      <c r="S64" s="232">
        <v>-49393</v>
      </c>
      <c r="T64" s="398">
        <v>1905010</v>
      </c>
      <c r="U64" s="232"/>
      <c r="V64" s="398"/>
      <c r="W64" s="398"/>
      <c r="X64" s="398">
        <v>11530546</v>
      </c>
      <c r="Y64" s="398">
        <v>823601</v>
      </c>
    </row>
    <row r="65" spans="1:25">
      <c r="A65" s="392">
        <v>90721</v>
      </c>
      <c r="B65" s="393" t="s">
        <v>780</v>
      </c>
      <c r="C65" s="235">
        <v>2.12E-5</v>
      </c>
      <c r="D65" s="235">
        <v>2.1399999999999998E-5</v>
      </c>
      <c r="E65" s="232">
        <v>75757</v>
      </c>
      <c r="F65" s="232" t="s">
        <v>1930</v>
      </c>
      <c r="G65" s="394">
        <v>9567</v>
      </c>
      <c r="H65" s="394">
        <v>10660</v>
      </c>
      <c r="I65" s="394">
        <v>5638</v>
      </c>
      <c r="J65" s="232">
        <v>3692</v>
      </c>
      <c r="K65" s="232">
        <v>29557</v>
      </c>
      <c r="L65" s="232"/>
      <c r="M65" s="226">
        <v>0</v>
      </c>
      <c r="N65" s="226">
        <v>0</v>
      </c>
      <c r="O65" s="232">
        <v>4164</v>
      </c>
      <c r="P65" s="232">
        <v>4164</v>
      </c>
      <c r="Q65" s="232"/>
      <c r="R65" s="394">
        <v>26052</v>
      </c>
      <c r="S65" s="232">
        <v>-1073</v>
      </c>
      <c r="T65" s="398">
        <v>24979</v>
      </c>
      <c r="U65" s="232"/>
      <c r="V65" s="398"/>
      <c r="W65" s="398"/>
      <c r="X65" s="398">
        <v>153702</v>
      </c>
      <c r="Y65" s="398">
        <v>10979</v>
      </c>
    </row>
    <row r="66" spans="1:25">
      <c r="A66" s="392">
        <v>90731</v>
      </c>
      <c r="B66" s="393" t="s">
        <v>781</v>
      </c>
      <c r="C66" s="235">
        <v>1.5310000000000001E-4</v>
      </c>
      <c r="D66" s="235">
        <v>1.384E-4</v>
      </c>
      <c r="E66" s="232">
        <v>547092</v>
      </c>
      <c r="F66" s="232" t="s">
        <v>1930</v>
      </c>
      <c r="G66" s="394">
        <v>69088</v>
      </c>
      <c r="H66" s="394">
        <v>76989</v>
      </c>
      <c r="I66" s="394">
        <v>40714</v>
      </c>
      <c r="J66" s="232">
        <v>22723</v>
      </c>
      <c r="K66" s="232">
        <v>209514</v>
      </c>
      <c r="L66" s="232"/>
      <c r="M66" s="226">
        <v>0</v>
      </c>
      <c r="N66" s="226">
        <v>0</v>
      </c>
      <c r="O66" s="232">
        <v>10045</v>
      </c>
      <c r="P66" s="232">
        <v>10045</v>
      </c>
      <c r="Q66" s="232"/>
      <c r="R66" s="394">
        <v>188141</v>
      </c>
      <c r="S66" s="232">
        <v>466</v>
      </c>
      <c r="T66" s="398">
        <v>188607</v>
      </c>
      <c r="U66" s="232"/>
      <c r="V66" s="398"/>
      <c r="W66" s="398"/>
      <c r="X66" s="398">
        <v>1109989</v>
      </c>
      <c r="Y66" s="398">
        <v>79284</v>
      </c>
    </row>
    <row r="67" spans="1:25">
      <c r="A67" s="392">
        <v>90741</v>
      </c>
      <c r="B67" s="393" t="s">
        <v>782</v>
      </c>
      <c r="C67" s="235">
        <v>1.33E-5</v>
      </c>
      <c r="D67" s="235">
        <v>1.38E-5</v>
      </c>
      <c r="E67" s="232">
        <v>47527</v>
      </c>
      <c r="F67" s="232" t="s">
        <v>1930</v>
      </c>
      <c r="G67" s="394">
        <v>6002</v>
      </c>
      <c r="H67" s="394">
        <v>6688</v>
      </c>
      <c r="I67" s="394">
        <v>3537</v>
      </c>
      <c r="J67" s="232">
        <v>2005</v>
      </c>
      <c r="K67" s="232">
        <v>18232</v>
      </c>
      <c r="L67" s="232"/>
      <c r="M67" s="226">
        <v>0</v>
      </c>
      <c r="N67" s="226">
        <v>0</v>
      </c>
      <c r="O67" s="232">
        <v>934</v>
      </c>
      <c r="P67" s="232">
        <v>934</v>
      </c>
      <c r="Q67" s="232"/>
      <c r="R67" s="394">
        <v>16344</v>
      </c>
      <c r="S67" s="232">
        <v>886</v>
      </c>
      <c r="T67" s="398">
        <v>17230</v>
      </c>
      <c r="U67" s="232"/>
      <c r="V67" s="398"/>
      <c r="W67" s="398"/>
      <c r="X67" s="398">
        <v>96426</v>
      </c>
      <c r="Y67" s="398">
        <v>6888</v>
      </c>
    </row>
    <row r="68" spans="1:25">
      <c r="A68" s="392">
        <v>90751</v>
      </c>
      <c r="B68" s="393" t="s">
        <v>783</v>
      </c>
      <c r="C68" s="235">
        <v>6.2600000000000004E-5</v>
      </c>
      <c r="D68" s="235">
        <v>6.3E-5</v>
      </c>
      <c r="E68" s="232">
        <v>223696</v>
      </c>
      <c r="F68" s="232" t="s">
        <v>1930</v>
      </c>
      <c r="G68" s="394">
        <v>28249</v>
      </c>
      <c r="H68" s="394">
        <v>31479</v>
      </c>
      <c r="I68" s="394">
        <v>16647</v>
      </c>
      <c r="J68" s="232">
        <v>1235</v>
      </c>
      <c r="K68" s="232">
        <v>77610</v>
      </c>
      <c r="L68" s="232"/>
      <c r="M68" s="226">
        <v>0</v>
      </c>
      <c r="N68" s="226">
        <v>0</v>
      </c>
      <c r="O68" s="232">
        <v>12854</v>
      </c>
      <c r="P68" s="232">
        <v>12854</v>
      </c>
      <c r="Q68" s="232"/>
      <c r="R68" s="394">
        <v>76928</v>
      </c>
      <c r="S68" s="232">
        <v>-3798</v>
      </c>
      <c r="T68" s="398">
        <v>73130</v>
      </c>
      <c r="U68" s="232"/>
      <c r="V68" s="398"/>
      <c r="W68" s="398"/>
      <c r="X68" s="398">
        <v>453856</v>
      </c>
      <c r="Y68" s="398">
        <v>32418</v>
      </c>
    </row>
    <row r="69" spans="1:25">
      <c r="A69" s="392">
        <v>90801</v>
      </c>
      <c r="B69" s="393" t="s">
        <v>784</v>
      </c>
      <c r="C69" s="235">
        <v>1.2543000000000001E-3</v>
      </c>
      <c r="D69" s="235">
        <v>1.2669999999999999E-3</v>
      </c>
      <c r="E69" s="232">
        <v>4482148</v>
      </c>
      <c r="F69" s="232" t="s">
        <v>1930</v>
      </c>
      <c r="G69" s="394">
        <v>566017</v>
      </c>
      <c r="H69" s="394">
        <v>630742</v>
      </c>
      <c r="I69" s="394">
        <v>333560</v>
      </c>
      <c r="J69" s="232">
        <v>12107</v>
      </c>
      <c r="K69" s="232">
        <v>1542426</v>
      </c>
      <c r="L69" s="232"/>
      <c r="M69" s="226">
        <v>0</v>
      </c>
      <c r="N69" s="226">
        <v>0</v>
      </c>
      <c r="O69" s="232">
        <v>190080</v>
      </c>
      <c r="P69" s="232">
        <v>190080</v>
      </c>
      <c r="Q69" s="232"/>
      <c r="R69" s="394">
        <v>1541378</v>
      </c>
      <c r="S69" s="232">
        <v>-48811</v>
      </c>
      <c r="T69" s="398">
        <v>1492567</v>
      </c>
      <c r="U69" s="232"/>
      <c r="V69" s="398"/>
      <c r="W69" s="398"/>
      <c r="X69" s="398">
        <v>9093790</v>
      </c>
      <c r="Y69" s="398">
        <v>649549</v>
      </c>
    </row>
    <row r="70" spans="1:25">
      <c r="A70" s="392">
        <v>90804</v>
      </c>
      <c r="B70" s="393" t="s">
        <v>785</v>
      </c>
      <c r="C70" s="235">
        <v>5.0000000000000004E-6</v>
      </c>
      <c r="D70" s="235">
        <v>5.5999999999999997E-6</v>
      </c>
      <c r="E70" s="232">
        <v>17867</v>
      </c>
      <c r="F70" s="232" t="s">
        <v>1930</v>
      </c>
      <c r="G70" s="394">
        <v>2256</v>
      </c>
      <c r="H70" s="394">
        <v>2514</v>
      </c>
      <c r="I70" s="394">
        <v>1330</v>
      </c>
      <c r="J70" s="232">
        <v>13</v>
      </c>
      <c r="K70" s="232">
        <v>6113</v>
      </c>
      <c r="L70" s="232"/>
      <c r="M70" s="226">
        <v>0</v>
      </c>
      <c r="N70" s="226">
        <v>0</v>
      </c>
      <c r="O70" s="232">
        <v>769</v>
      </c>
      <c r="P70" s="232">
        <v>769</v>
      </c>
      <c r="Q70" s="232"/>
      <c r="R70" s="394">
        <v>6144</v>
      </c>
      <c r="S70" s="232">
        <v>-100</v>
      </c>
      <c r="T70" s="398">
        <v>6044</v>
      </c>
      <c r="U70" s="232"/>
      <c r="V70" s="398"/>
      <c r="W70" s="398"/>
      <c r="X70" s="398">
        <v>36250</v>
      </c>
      <c r="Y70" s="398">
        <v>2589</v>
      </c>
    </row>
    <row r="71" spans="1:25">
      <c r="A71" s="392">
        <v>90805</v>
      </c>
      <c r="B71" s="393" t="s">
        <v>786</v>
      </c>
      <c r="C71" s="235">
        <v>6.3E-5</v>
      </c>
      <c r="D71" s="235">
        <v>6.5900000000000003E-5</v>
      </c>
      <c r="E71" s="232">
        <v>225126</v>
      </c>
      <c r="F71" s="232" t="s">
        <v>1930</v>
      </c>
      <c r="G71" s="394">
        <v>28429</v>
      </c>
      <c r="H71" s="394">
        <v>31681</v>
      </c>
      <c r="I71" s="394">
        <v>16754</v>
      </c>
      <c r="J71" s="232">
        <v>20954</v>
      </c>
      <c r="K71" s="232">
        <v>97818</v>
      </c>
      <c r="L71" s="232"/>
      <c r="M71" s="226">
        <v>0</v>
      </c>
      <c r="N71" s="226">
        <v>0</v>
      </c>
      <c r="O71" s="232">
        <v>0</v>
      </c>
      <c r="P71" s="232">
        <v>0</v>
      </c>
      <c r="Q71" s="232"/>
      <c r="R71" s="394">
        <v>77419</v>
      </c>
      <c r="S71" s="232">
        <v>11966</v>
      </c>
      <c r="T71" s="398">
        <v>89385</v>
      </c>
      <c r="U71" s="232"/>
      <c r="V71" s="398"/>
      <c r="W71" s="398"/>
      <c r="X71" s="398">
        <v>456756</v>
      </c>
      <c r="Y71" s="398">
        <v>32625</v>
      </c>
    </row>
    <row r="72" spans="1:25">
      <c r="A72" s="392">
        <v>90808</v>
      </c>
      <c r="B72" s="393" t="s">
        <v>787</v>
      </c>
      <c r="C72" s="235">
        <v>1.4809999999999999E-4</v>
      </c>
      <c r="D72" s="235">
        <v>1.395E-4</v>
      </c>
      <c r="E72" s="232">
        <v>529224</v>
      </c>
      <c r="F72" s="232" t="s">
        <v>1930</v>
      </c>
      <c r="G72" s="394">
        <v>66832</v>
      </c>
      <c r="H72" s="394">
        <v>74474</v>
      </c>
      <c r="I72" s="394">
        <v>39385</v>
      </c>
      <c r="J72" s="232">
        <v>43849</v>
      </c>
      <c r="K72" s="232">
        <v>224540</v>
      </c>
      <c r="L72" s="232"/>
      <c r="M72" s="226">
        <v>0</v>
      </c>
      <c r="N72" s="226">
        <v>0</v>
      </c>
      <c r="O72" s="232">
        <v>145</v>
      </c>
      <c r="P72" s="232">
        <v>145</v>
      </c>
      <c r="Q72" s="232"/>
      <c r="R72" s="394">
        <v>181996</v>
      </c>
      <c r="S72" s="232">
        <v>14853</v>
      </c>
      <c r="T72" s="398">
        <v>196849</v>
      </c>
      <c r="U72" s="232"/>
      <c r="V72" s="398"/>
      <c r="W72" s="398"/>
      <c r="X72" s="398">
        <v>1073739</v>
      </c>
      <c r="Y72" s="398">
        <v>76695</v>
      </c>
    </row>
    <row r="73" spans="1:25">
      <c r="A73" s="392">
        <v>90811</v>
      </c>
      <c r="B73" s="393" t="s">
        <v>788</v>
      </c>
      <c r="C73" s="235">
        <v>3.8999999999999999E-5</v>
      </c>
      <c r="D73" s="235">
        <v>3.4900000000000001E-5</v>
      </c>
      <c r="E73" s="232">
        <v>139364</v>
      </c>
      <c r="F73" s="232" t="s">
        <v>1930</v>
      </c>
      <c r="G73" s="394">
        <v>17599</v>
      </c>
      <c r="H73" s="394">
        <v>19612</v>
      </c>
      <c r="I73" s="394">
        <v>10371</v>
      </c>
      <c r="J73" s="232">
        <v>2865</v>
      </c>
      <c r="K73" s="232">
        <v>50447</v>
      </c>
      <c r="L73" s="232"/>
      <c r="M73" s="226">
        <v>0</v>
      </c>
      <c r="N73" s="226">
        <v>0</v>
      </c>
      <c r="O73" s="232">
        <v>6045</v>
      </c>
      <c r="P73" s="232">
        <v>6045</v>
      </c>
      <c r="Q73" s="232"/>
      <c r="R73" s="394">
        <v>47926</v>
      </c>
      <c r="S73" s="232">
        <v>-2832</v>
      </c>
      <c r="T73" s="398">
        <v>45094</v>
      </c>
      <c r="U73" s="232"/>
      <c r="V73" s="398"/>
      <c r="W73" s="398"/>
      <c r="X73" s="398">
        <v>282754</v>
      </c>
      <c r="Y73" s="398">
        <v>20196</v>
      </c>
    </row>
    <row r="74" spans="1:25">
      <c r="A74" s="392">
        <v>90812</v>
      </c>
      <c r="B74" s="393" t="s">
        <v>789</v>
      </c>
      <c r="C74" s="235">
        <v>2.0900000000000001E-4</v>
      </c>
      <c r="D74" s="235">
        <v>2.2100000000000001E-4</v>
      </c>
      <c r="E74" s="232">
        <v>746846</v>
      </c>
      <c r="F74" s="232" t="s">
        <v>1930</v>
      </c>
      <c r="G74" s="394">
        <v>94314</v>
      </c>
      <c r="H74" s="394">
        <v>105098</v>
      </c>
      <c r="I74" s="394">
        <v>55580</v>
      </c>
      <c r="J74" s="232">
        <v>2663</v>
      </c>
      <c r="K74" s="232">
        <v>257655</v>
      </c>
      <c r="L74" s="232"/>
      <c r="M74" s="226">
        <v>0</v>
      </c>
      <c r="N74" s="226">
        <v>0</v>
      </c>
      <c r="O74" s="232">
        <v>22362</v>
      </c>
      <c r="P74" s="232">
        <v>22362</v>
      </c>
      <c r="Q74" s="232"/>
      <c r="R74" s="394">
        <v>256835</v>
      </c>
      <c r="S74" s="232">
        <v>-8342</v>
      </c>
      <c r="T74" s="398">
        <v>248493</v>
      </c>
      <c r="U74" s="232"/>
      <c r="V74" s="398"/>
      <c r="W74" s="398"/>
      <c r="X74" s="398">
        <v>1515269</v>
      </c>
      <c r="Y74" s="398">
        <v>108232</v>
      </c>
    </row>
    <row r="75" spans="1:25">
      <c r="A75" s="392">
        <v>90813</v>
      </c>
      <c r="B75" s="393" t="s">
        <v>790</v>
      </c>
      <c r="C75" s="235">
        <v>4.0999999999999997E-6</v>
      </c>
      <c r="D75" s="235">
        <v>4.6E-6</v>
      </c>
      <c r="E75" s="232">
        <v>14651</v>
      </c>
      <c r="F75" s="232" t="s">
        <v>1930</v>
      </c>
      <c r="G75" s="394">
        <v>1850</v>
      </c>
      <c r="H75" s="394">
        <v>2061</v>
      </c>
      <c r="I75" s="394">
        <v>1090</v>
      </c>
      <c r="J75" s="232">
        <v>0</v>
      </c>
      <c r="K75" s="232">
        <v>5001</v>
      </c>
      <c r="L75" s="232"/>
      <c r="M75" s="226">
        <v>0</v>
      </c>
      <c r="N75" s="226">
        <v>0</v>
      </c>
      <c r="O75" s="232">
        <v>1383</v>
      </c>
      <c r="P75" s="232">
        <v>1383</v>
      </c>
      <c r="Q75" s="232"/>
      <c r="R75" s="394">
        <v>5038</v>
      </c>
      <c r="S75" s="232">
        <v>-627</v>
      </c>
      <c r="T75" s="398">
        <v>4411</v>
      </c>
      <c r="U75" s="232"/>
      <c r="V75" s="398"/>
      <c r="W75" s="398"/>
      <c r="X75" s="398">
        <v>29725</v>
      </c>
      <c r="Y75" s="398">
        <v>2123</v>
      </c>
    </row>
    <row r="76" spans="1:25">
      <c r="A76" s="392">
        <v>90861</v>
      </c>
      <c r="B76" s="393" t="s">
        <v>791</v>
      </c>
      <c r="C76" s="235">
        <v>2.5000000000000002E-6</v>
      </c>
      <c r="D76" s="235">
        <v>8.4999999999999999E-6</v>
      </c>
      <c r="E76" s="232">
        <v>8934</v>
      </c>
      <c r="F76" s="232" t="s">
        <v>1930</v>
      </c>
      <c r="G76" s="394">
        <v>1128</v>
      </c>
      <c r="H76" s="394">
        <v>1257</v>
      </c>
      <c r="I76" s="394">
        <v>665</v>
      </c>
      <c r="J76" s="232">
        <v>5118</v>
      </c>
      <c r="K76" s="232">
        <v>8168</v>
      </c>
      <c r="L76" s="232"/>
      <c r="M76" s="226">
        <v>0</v>
      </c>
      <c r="N76" s="226">
        <v>0</v>
      </c>
      <c r="O76" s="232">
        <v>5566</v>
      </c>
      <c r="P76" s="232">
        <v>5566</v>
      </c>
      <c r="Q76" s="232"/>
      <c r="R76" s="394">
        <v>3072</v>
      </c>
      <c r="S76" s="232">
        <v>616</v>
      </c>
      <c r="T76" s="398">
        <v>3688</v>
      </c>
      <c r="U76" s="232"/>
      <c r="V76" s="398"/>
      <c r="W76" s="398"/>
      <c r="X76" s="398">
        <v>18125</v>
      </c>
      <c r="Y76" s="398">
        <v>1295</v>
      </c>
    </row>
    <row r="77" spans="1:25">
      <c r="A77" s="392">
        <v>90901</v>
      </c>
      <c r="B77" s="393" t="s">
        <v>792</v>
      </c>
      <c r="C77" s="235">
        <v>2.0888E-3</v>
      </c>
      <c r="D77" s="235">
        <v>2.274E-3</v>
      </c>
      <c r="E77" s="232">
        <v>7464172</v>
      </c>
      <c r="F77" s="232" t="s">
        <v>1930</v>
      </c>
      <c r="G77" s="394">
        <v>942594</v>
      </c>
      <c r="H77" s="394">
        <v>1050383</v>
      </c>
      <c r="I77" s="394">
        <v>555481</v>
      </c>
      <c r="J77" s="232">
        <v>68919</v>
      </c>
      <c r="K77" s="232">
        <v>2617377</v>
      </c>
      <c r="L77" s="232"/>
      <c r="M77" s="226">
        <v>0</v>
      </c>
      <c r="N77" s="226">
        <v>0</v>
      </c>
      <c r="O77" s="232">
        <v>217379</v>
      </c>
      <c r="P77" s="232">
        <v>217379</v>
      </c>
      <c r="Q77" s="232"/>
      <c r="R77" s="394">
        <v>2566874</v>
      </c>
      <c r="S77" s="232">
        <v>-55781</v>
      </c>
      <c r="T77" s="398">
        <v>2511093</v>
      </c>
      <c r="U77" s="232"/>
      <c r="V77" s="398"/>
      <c r="W77" s="398"/>
      <c r="X77" s="398">
        <v>15143992</v>
      </c>
      <c r="Y77" s="398">
        <v>1081702</v>
      </c>
    </row>
    <row r="78" spans="1:25">
      <c r="A78" s="392">
        <v>90911</v>
      </c>
      <c r="B78" s="393" t="s">
        <v>793</v>
      </c>
      <c r="C78" s="235">
        <v>3.7490000000000001E-4</v>
      </c>
      <c r="D78" s="235">
        <v>3.8539999999999999E-4</v>
      </c>
      <c r="E78" s="232">
        <v>1339677</v>
      </c>
      <c r="F78" s="232" t="s">
        <v>1930</v>
      </c>
      <c r="G78" s="394">
        <v>169178</v>
      </c>
      <c r="H78" s="394">
        <v>188523</v>
      </c>
      <c r="I78" s="394">
        <v>99698</v>
      </c>
      <c r="J78" s="232">
        <v>1700</v>
      </c>
      <c r="K78" s="232">
        <v>459099</v>
      </c>
      <c r="L78" s="232"/>
      <c r="M78" s="226">
        <v>0</v>
      </c>
      <c r="N78" s="226">
        <v>0</v>
      </c>
      <c r="O78" s="232">
        <v>55640</v>
      </c>
      <c r="P78" s="232">
        <v>55640</v>
      </c>
      <c r="Q78" s="232"/>
      <c r="R78" s="394">
        <v>460705</v>
      </c>
      <c r="S78" s="232">
        <v>-22311</v>
      </c>
      <c r="T78" s="398">
        <v>438394</v>
      </c>
      <c r="U78" s="232"/>
      <c r="V78" s="398"/>
      <c r="W78" s="398"/>
      <c r="X78" s="398">
        <v>2718059</v>
      </c>
      <c r="Y78" s="398">
        <v>194145</v>
      </c>
    </row>
    <row r="79" spans="1:25">
      <c r="A79" s="392">
        <v>90917</v>
      </c>
      <c r="B79" s="393" t="s">
        <v>794</v>
      </c>
      <c r="C79" s="235">
        <v>9.7999999999999993E-6</v>
      </c>
      <c r="D79" s="235">
        <v>8.1000000000000004E-6</v>
      </c>
      <c r="E79" s="232">
        <v>35020</v>
      </c>
      <c r="F79" s="232" t="s">
        <v>1930</v>
      </c>
      <c r="G79" s="394">
        <v>4422</v>
      </c>
      <c r="H79" s="394">
        <v>4928</v>
      </c>
      <c r="I79" s="394">
        <v>2606</v>
      </c>
      <c r="J79" s="232">
        <v>3613</v>
      </c>
      <c r="K79" s="232">
        <v>15569</v>
      </c>
      <c r="L79" s="232"/>
      <c r="M79" s="226">
        <v>0</v>
      </c>
      <c r="N79" s="226">
        <v>0</v>
      </c>
      <c r="O79" s="232">
        <v>2375</v>
      </c>
      <c r="P79" s="232">
        <v>2375</v>
      </c>
      <c r="Q79" s="232"/>
      <c r="R79" s="394">
        <v>12043</v>
      </c>
      <c r="S79" s="232">
        <v>588</v>
      </c>
      <c r="T79" s="398">
        <v>12631</v>
      </c>
      <c r="U79" s="232"/>
      <c r="V79" s="398"/>
      <c r="W79" s="398"/>
      <c r="X79" s="398">
        <v>71051</v>
      </c>
      <c r="Y79" s="398">
        <v>5075</v>
      </c>
    </row>
    <row r="80" spans="1:25">
      <c r="A80" s="392">
        <v>90918</v>
      </c>
      <c r="B80" s="393" t="s">
        <v>795</v>
      </c>
      <c r="C80" s="235">
        <v>9.9000000000000001E-6</v>
      </c>
      <c r="D80" s="235">
        <v>1.06E-5</v>
      </c>
      <c r="E80" s="232">
        <v>35377</v>
      </c>
      <c r="F80" s="232" t="s">
        <v>1930</v>
      </c>
      <c r="G80" s="394">
        <v>4467</v>
      </c>
      <c r="H80" s="394">
        <v>4979</v>
      </c>
      <c r="I80" s="394">
        <v>2633</v>
      </c>
      <c r="J80" s="232">
        <v>0</v>
      </c>
      <c r="K80" s="232">
        <v>12079</v>
      </c>
      <c r="L80" s="232"/>
      <c r="M80" s="226">
        <v>0</v>
      </c>
      <c r="N80" s="226">
        <v>0</v>
      </c>
      <c r="O80" s="232">
        <v>2062</v>
      </c>
      <c r="P80" s="232">
        <v>2062</v>
      </c>
      <c r="Q80" s="232"/>
      <c r="R80" s="394">
        <v>12166</v>
      </c>
      <c r="S80" s="232">
        <v>-1182</v>
      </c>
      <c r="T80" s="398">
        <v>10984</v>
      </c>
      <c r="U80" s="232"/>
      <c r="V80" s="398"/>
      <c r="W80" s="398"/>
      <c r="X80" s="398">
        <v>71776</v>
      </c>
      <c r="Y80" s="398">
        <v>5127</v>
      </c>
    </row>
    <row r="81" spans="1:25">
      <c r="A81" s="392">
        <v>90921</v>
      </c>
      <c r="B81" s="393" t="s">
        <v>796</v>
      </c>
      <c r="C81" s="235">
        <v>1.027E-4</v>
      </c>
      <c r="D81" s="235">
        <v>1.2129999999999999E-4</v>
      </c>
      <c r="E81" s="232">
        <v>366991</v>
      </c>
      <c r="F81" s="232" t="s">
        <v>1930</v>
      </c>
      <c r="G81" s="394">
        <v>46345</v>
      </c>
      <c r="H81" s="394">
        <v>51645</v>
      </c>
      <c r="I81" s="394">
        <v>27311</v>
      </c>
      <c r="J81" s="232">
        <v>7078</v>
      </c>
      <c r="K81" s="232">
        <v>132379</v>
      </c>
      <c r="L81" s="232"/>
      <c r="M81" s="226">
        <v>0</v>
      </c>
      <c r="N81" s="226">
        <v>0</v>
      </c>
      <c r="O81" s="232">
        <v>13655</v>
      </c>
      <c r="P81" s="232">
        <v>13655</v>
      </c>
      <c r="Q81" s="232"/>
      <c r="R81" s="394">
        <v>126205</v>
      </c>
      <c r="S81" s="232">
        <v>843</v>
      </c>
      <c r="T81" s="398">
        <v>127048</v>
      </c>
      <c r="U81" s="232"/>
      <c r="V81" s="398"/>
      <c r="W81" s="398"/>
      <c r="X81" s="398">
        <v>744584</v>
      </c>
      <c r="Y81" s="398">
        <v>53184</v>
      </c>
    </row>
    <row r="82" spans="1:25">
      <c r="A82" s="392">
        <v>90931</v>
      </c>
      <c r="B82" s="393" t="s">
        <v>797</v>
      </c>
      <c r="C82" s="235">
        <v>3.18E-5</v>
      </c>
      <c r="D82" s="235">
        <v>3.7299999999999999E-5</v>
      </c>
      <c r="E82" s="232">
        <v>113635</v>
      </c>
      <c r="F82" s="232" t="s">
        <v>1930</v>
      </c>
      <c r="G82" s="394">
        <v>14350</v>
      </c>
      <c r="H82" s="394">
        <v>15991</v>
      </c>
      <c r="I82" s="394">
        <v>8457</v>
      </c>
      <c r="J82" s="232">
        <v>0</v>
      </c>
      <c r="K82" s="232">
        <v>38798</v>
      </c>
      <c r="L82" s="232"/>
      <c r="M82" s="226">
        <v>0</v>
      </c>
      <c r="N82" s="226">
        <v>0</v>
      </c>
      <c r="O82" s="232">
        <v>13119</v>
      </c>
      <c r="P82" s="232">
        <v>13119</v>
      </c>
      <c r="Q82" s="232"/>
      <c r="R82" s="394">
        <v>39078</v>
      </c>
      <c r="S82" s="232">
        <v>-7656</v>
      </c>
      <c r="T82" s="398">
        <v>31422</v>
      </c>
      <c r="U82" s="232"/>
      <c r="V82" s="398"/>
      <c r="W82" s="398"/>
      <c r="X82" s="398">
        <v>230553</v>
      </c>
      <c r="Y82" s="398">
        <v>16468</v>
      </c>
    </row>
    <row r="83" spans="1:25">
      <c r="A83" s="392">
        <v>90941</v>
      </c>
      <c r="B83" s="393" t="s">
        <v>798</v>
      </c>
      <c r="C83" s="235">
        <v>6.9999999999999994E-5</v>
      </c>
      <c r="D83" s="235">
        <v>8.5400000000000002E-5</v>
      </c>
      <c r="E83" s="232">
        <v>250140</v>
      </c>
      <c r="F83" s="232" t="s">
        <v>1930</v>
      </c>
      <c r="G83" s="394">
        <v>31588</v>
      </c>
      <c r="H83" s="394">
        <v>35201</v>
      </c>
      <c r="I83" s="394">
        <v>18615</v>
      </c>
      <c r="J83" s="232">
        <v>3755</v>
      </c>
      <c r="K83" s="232">
        <v>89159</v>
      </c>
      <c r="L83" s="232"/>
      <c r="M83" s="226">
        <v>0</v>
      </c>
      <c r="N83" s="226">
        <v>0</v>
      </c>
      <c r="O83" s="232">
        <v>18499</v>
      </c>
      <c r="P83" s="232">
        <v>18499</v>
      </c>
      <c r="Q83" s="232"/>
      <c r="R83" s="394">
        <v>86021</v>
      </c>
      <c r="S83" s="232">
        <v>-5648</v>
      </c>
      <c r="T83" s="398">
        <v>80373</v>
      </c>
      <c r="U83" s="232"/>
      <c r="V83" s="398"/>
      <c r="W83" s="398"/>
      <c r="X83" s="398">
        <v>507506</v>
      </c>
      <c r="Y83" s="398">
        <v>36250</v>
      </c>
    </row>
    <row r="84" spans="1:25">
      <c r="A84" s="392">
        <v>91001</v>
      </c>
      <c r="B84" s="393" t="s">
        <v>799</v>
      </c>
      <c r="C84" s="235">
        <v>7.1149000000000004E-3</v>
      </c>
      <c r="D84" s="235">
        <v>7.2779999999999997E-3</v>
      </c>
      <c r="E84" s="232">
        <v>25424569</v>
      </c>
      <c r="F84" s="232" t="s">
        <v>1930</v>
      </c>
      <c r="G84" s="394">
        <v>3210677</v>
      </c>
      <c r="H84" s="394">
        <v>3577827</v>
      </c>
      <c r="I84" s="394">
        <v>1892087</v>
      </c>
      <c r="J84" s="232">
        <v>261637</v>
      </c>
      <c r="K84" s="232">
        <v>8942228</v>
      </c>
      <c r="L84" s="232"/>
      <c r="M84" s="226">
        <v>0</v>
      </c>
      <c r="N84" s="226">
        <v>0</v>
      </c>
      <c r="O84" s="232">
        <v>485948</v>
      </c>
      <c r="P84" s="232">
        <v>485948</v>
      </c>
      <c r="Q84" s="232"/>
      <c r="R84" s="394">
        <v>8743323</v>
      </c>
      <c r="S84" s="232">
        <v>-145374</v>
      </c>
      <c r="T84" s="398">
        <v>8597949</v>
      </c>
      <c r="U84" s="232"/>
      <c r="V84" s="398"/>
      <c r="W84" s="398"/>
      <c r="X84" s="398">
        <v>51583680</v>
      </c>
      <c r="Y84" s="398">
        <v>3684508</v>
      </c>
    </row>
    <row r="85" spans="1:25">
      <c r="A85" s="392">
        <v>91002</v>
      </c>
      <c r="B85" s="393" t="s">
        <v>800</v>
      </c>
      <c r="C85" s="235">
        <v>1.1846999999999999E-3</v>
      </c>
      <c r="D85" s="235">
        <v>1.2939E-3</v>
      </c>
      <c r="E85" s="232">
        <v>4233438</v>
      </c>
      <c r="F85" s="232" t="s">
        <v>1930</v>
      </c>
      <c r="G85" s="394">
        <v>534609</v>
      </c>
      <c r="H85" s="394">
        <v>595743</v>
      </c>
      <c r="I85" s="394">
        <v>315051</v>
      </c>
      <c r="J85" s="232">
        <v>216108</v>
      </c>
      <c r="K85" s="232">
        <v>1661511</v>
      </c>
      <c r="L85" s="232"/>
      <c r="M85" s="226">
        <v>0</v>
      </c>
      <c r="N85" s="226">
        <v>0</v>
      </c>
      <c r="O85" s="232">
        <v>235197</v>
      </c>
      <c r="P85" s="232">
        <v>235197</v>
      </c>
      <c r="Q85" s="232"/>
      <c r="R85" s="394">
        <v>1455848</v>
      </c>
      <c r="S85" s="232">
        <v>2293</v>
      </c>
      <c r="T85" s="398">
        <v>1458141</v>
      </c>
      <c r="U85" s="232"/>
      <c r="V85" s="398"/>
      <c r="W85" s="398"/>
      <c r="X85" s="398">
        <v>8589184</v>
      </c>
      <c r="Y85" s="398">
        <v>613506</v>
      </c>
    </row>
    <row r="86" spans="1:25">
      <c r="A86" s="392">
        <v>91003</v>
      </c>
      <c r="B86" s="393" t="s">
        <v>801</v>
      </c>
      <c r="C86" s="235">
        <v>5.7609999999999996E-4</v>
      </c>
      <c r="D86" s="235">
        <v>5.9570000000000001E-4</v>
      </c>
      <c r="E86" s="232">
        <v>2058651</v>
      </c>
      <c r="F86" s="232" t="s">
        <v>1930</v>
      </c>
      <c r="G86" s="394">
        <v>259971</v>
      </c>
      <c r="H86" s="394">
        <v>289700</v>
      </c>
      <c r="I86" s="394">
        <v>153204</v>
      </c>
      <c r="J86" s="232">
        <v>39079</v>
      </c>
      <c r="K86" s="232">
        <v>741954</v>
      </c>
      <c r="L86" s="232"/>
      <c r="M86" s="226">
        <v>0</v>
      </c>
      <c r="N86" s="226">
        <v>0</v>
      </c>
      <c r="O86" s="232">
        <v>32577</v>
      </c>
      <c r="P86" s="232">
        <v>32577</v>
      </c>
      <c r="Q86" s="232"/>
      <c r="R86" s="394">
        <v>707955</v>
      </c>
      <c r="S86" s="232">
        <v>-6472</v>
      </c>
      <c r="T86" s="398">
        <v>701483</v>
      </c>
      <c r="U86" s="232"/>
      <c r="V86" s="398"/>
      <c r="W86" s="398"/>
      <c r="X86" s="398">
        <v>4176778</v>
      </c>
      <c r="Y86" s="398">
        <v>298338</v>
      </c>
    </row>
    <row r="87" spans="1:25">
      <c r="A87" s="392">
        <v>91004</v>
      </c>
      <c r="B87" s="393" t="s">
        <v>802</v>
      </c>
      <c r="C87" s="235">
        <v>3.6600000000000002E-5</v>
      </c>
      <c r="D87" s="235">
        <v>3.3300000000000003E-5</v>
      </c>
      <c r="E87" s="232">
        <v>130787</v>
      </c>
      <c r="F87" s="232" t="s">
        <v>1930</v>
      </c>
      <c r="G87" s="394">
        <v>16516</v>
      </c>
      <c r="H87" s="394">
        <v>18405</v>
      </c>
      <c r="I87" s="394">
        <v>9733</v>
      </c>
      <c r="J87" s="232">
        <v>7714</v>
      </c>
      <c r="K87" s="232">
        <v>52368</v>
      </c>
      <c r="L87" s="232"/>
      <c r="M87" s="226">
        <v>0</v>
      </c>
      <c r="N87" s="226">
        <v>0</v>
      </c>
      <c r="O87" s="232">
        <v>2526</v>
      </c>
      <c r="P87" s="232">
        <v>2526</v>
      </c>
      <c r="Q87" s="232"/>
      <c r="R87" s="394">
        <v>44977</v>
      </c>
      <c r="S87" s="232">
        <v>3813</v>
      </c>
      <c r="T87" s="398">
        <v>48790</v>
      </c>
      <c r="U87" s="232"/>
      <c r="V87" s="398"/>
      <c r="W87" s="398"/>
      <c r="X87" s="398">
        <v>265353</v>
      </c>
      <c r="Y87" s="398">
        <v>18954</v>
      </c>
    </row>
    <row r="88" spans="1:25">
      <c r="A88" s="392">
        <v>91006</v>
      </c>
      <c r="B88" s="393" t="s">
        <v>803</v>
      </c>
      <c r="C88" s="235">
        <v>1.0206E-3</v>
      </c>
      <c r="D88" s="235">
        <v>1.0489E-3</v>
      </c>
      <c r="E88" s="232">
        <v>3647039</v>
      </c>
      <c r="F88" s="232" t="s">
        <v>1930</v>
      </c>
      <c r="G88" s="394">
        <v>460557</v>
      </c>
      <c r="H88" s="394">
        <v>513223</v>
      </c>
      <c r="I88" s="394">
        <v>271411</v>
      </c>
      <c r="J88" s="232">
        <v>0</v>
      </c>
      <c r="K88" s="232">
        <v>1245191</v>
      </c>
      <c r="L88" s="232"/>
      <c r="M88" s="226">
        <v>0</v>
      </c>
      <c r="N88" s="226">
        <v>0</v>
      </c>
      <c r="O88" s="232">
        <v>99385</v>
      </c>
      <c r="P88" s="232">
        <v>99385</v>
      </c>
      <c r="Q88" s="232"/>
      <c r="R88" s="394">
        <v>1254190</v>
      </c>
      <c r="S88" s="232">
        <v>-40264</v>
      </c>
      <c r="T88" s="398">
        <v>1213926</v>
      </c>
      <c r="U88" s="232"/>
      <c r="V88" s="398"/>
      <c r="W88" s="398"/>
      <c r="X88" s="398">
        <v>7399444</v>
      </c>
      <c r="Y88" s="398">
        <v>528526</v>
      </c>
    </row>
    <row r="89" spans="1:25">
      <c r="A89" s="392">
        <v>91007</v>
      </c>
      <c r="B89" s="393" t="s">
        <v>804</v>
      </c>
      <c r="C89" s="235">
        <v>9.5000000000000005E-6</v>
      </c>
      <c r="D89" s="235">
        <v>1.0900000000000001E-5</v>
      </c>
      <c r="E89" s="232">
        <v>33948</v>
      </c>
      <c r="F89" s="232" t="s">
        <v>1930</v>
      </c>
      <c r="G89" s="394">
        <v>4287</v>
      </c>
      <c r="H89" s="394">
        <v>4778</v>
      </c>
      <c r="I89" s="394">
        <v>2526</v>
      </c>
      <c r="J89" s="232">
        <v>2199</v>
      </c>
      <c r="K89" s="232">
        <v>13790</v>
      </c>
      <c r="L89" s="232"/>
      <c r="M89" s="226">
        <v>0</v>
      </c>
      <c r="N89" s="226">
        <v>0</v>
      </c>
      <c r="O89" s="232">
        <v>1100</v>
      </c>
      <c r="P89" s="232">
        <v>1100</v>
      </c>
      <c r="Q89" s="232"/>
      <c r="R89" s="394">
        <v>11674</v>
      </c>
      <c r="S89" s="232">
        <v>1949</v>
      </c>
      <c r="T89" s="398">
        <v>13623</v>
      </c>
      <c r="U89" s="232"/>
      <c r="V89" s="398"/>
      <c r="W89" s="398"/>
      <c r="X89" s="398">
        <v>68876</v>
      </c>
      <c r="Y89" s="398">
        <v>4920</v>
      </c>
    </row>
    <row r="90" spans="1:25">
      <c r="A90" s="392">
        <v>91008</v>
      </c>
      <c r="B90" s="393" t="s">
        <v>805</v>
      </c>
      <c r="C90" s="235">
        <v>1.5430000000000001E-4</v>
      </c>
      <c r="D90" s="235">
        <v>1.474E-4</v>
      </c>
      <c r="E90" s="232">
        <v>551380</v>
      </c>
      <c r="F90" s="232" t="s">
        <v>1930</v>
      </c>
      <c r="G90" s="394">
        <v>69630</v>
      </c>
      <c r="H90" s="394">
        <v>77591</v>
      </c>
      <c r="I90" s="394">
        <v>41033</v>
      </c>
      <c r="J90" s="232">
        <v>25263</v>
      </c>
      <c r="K90" s="232">
        <v>213517</v>
      </c>
      <c r="L90" s="232"/>
      <c r="M90" s="226">
        <v>0</v>
      </c>
      <c r="N90" s="226">
        <v>0</v>
      </c>
      <c r="O90" s="232">
        <v>0</v>
      </c>
      <c r="P90" s="232">
        <v>0</v>
      </c>
      <c r="Q90" s="232"/>
      <c r="R90" s="394">
        <v>189615</v>
      </c>
      <c r="S90" s="232">
        <v>14446</v>
      </c>
      <c r="T90" s="398">
        <v>204061</v>
      </c>
      <c r="U90" s="232"/>
      <c r="V90" s="398"/>
      <c r="W90" s="398"/>
      <c r="X90" s="398">
        <v>1118689</v>
      </c>
      <c r="Y90" s="398">
        <v>79905</v>
      </c>
    </row>
    <row r="91" spans="1:25">
      <c r="A91" s="392">
        <v>91009</v>
      </c>
      <c r="B91" s="393" t="s">
        <v>806</v>
      </c>
      <c r="C91" s="235">
        <v>1.22E-5</v>
      </c>
      <c r="D91" s="235">
        <v>8.3000000000000002E-6</v>
      </c>
      <c r="E91" s="232">
        <v>43596</v>
      </c>
      <c r="F91" s="232" t="s">
        <v>1930</v>
      </c>
      <c r="G91" s="394">
        <v>5505</v>
      </c>
      <c r="H91" s="394">
        <v>6135</v>
      </c>
      <c r="I91" s="394">
        <v>3244</v>
      </c>
      <c r="J91" s="232">
        <v>10679</v>
      </c>
      <c r="K91" s="232">
        <v>25563</v>
      </c>
      <c r="L91" s="232"/>
      <c r="M91" s="226">
        <v>0</v>
      </c>
      <c r="N91" s="226">
        <v>0</v>
      </c>
      <c r="O91" s="232">
        <v>482</v>
      </c>
      <c r="P91" s="232">
        <v>482</v>
      </c>
      <c r="Q91" s="232"/>
      <c r="R91" s="394">
        <v>14992</v>
      </c>
      <c r="S91" s="232">
        <v>4794</v>
      </c>
      <c r="T91" s="398">
        <v>19786</v>
      </c>
      <c r="U91" s="232"/>
      <c r="V91" s="398"/>
      <c r="W91" s="398"/>
      <c r="X91" s="398">
        <v>88451</v>
      </c>
      <c r="Y91" s="398">
        <v>6318</v>
      </c>
    </row>
    <row r="92" spans="1:25">
      <c r="A92" s="392">
        <v>91010</v>
      </c>
      <c r="B92" s="393" t="s">
        <v>807</v>
      </c>
      <c r="C92" s="235">
        <v>4.9400000000000001E-5</v>
      </c>
      <c r="D92" s="235">
        <v>5.1E-5</v>
      </c>
      <c r="E92" s="232">
        <v>176527</v>
      </c>
      <c r="F92" s="232" t="s">
        <v>1930</v>
      </c>
      <c r="G92" s="394">
        <v>22292</v>
      </c>
      <c r="H92" s="394">
        <v>24842</v>
      </c>
      <c r="I92" s="394">
        <v>13137</v>
      </c>
      <c r="J92" s="232">
        <v>3556</v>
      </c>
      <c r="K92" s="232">
        <v>63827</v>
      </c>
      <c r="L92" s="232"/>
      <c r="M92" s="226">
        <v>0</v>
      </c>
      <c r="N92" s="226">
        <v>0</v>
      </c>
      <c r="O92" s="232">
        <v>5274</v>
      </c>
      <c r="P92" s="232">
        <v>5274</v>
      </c>
      <c r="Q92" s="232"/>
      <c r="R92" s="394">
        <v>60706</v>
      </c>
      <c r="S92" s="232">
        <v>-985</v>
      </c>
      <c r="T92" s="398">
        <v>59721</v>
      </c>
      <c r="U92" s="232"/>
      <c r="V92" s="398"/>
      <c r="W92" s="398"/>
      <c r="X92" s="398">
        <v>358155</v>
      </c>
      <c r="Y92" s="398">
        <v>25582</v>
      </c>
    </row>
    <row r="93" spans="1:25">
      <c r="A93" s="392">
        <v>91011</v>
      </c>
      <c r="B93" s="393" t="s">
        <v>808</v>
      </c>
      <c r="C93" s="235">
        <v>3.701E-4</v>
      </c>
      <c r="D93" s="235">
        <v>3.2009999999999997E-4</v>
      </c>
      <c r="E93" s="232">
        <v>1322525</v>
      </c>
      <c r="F93" s="232" t="s">
        <v>1930</v>
      </c>
      <c r="G93" s="394">
        <v>167012</v>
      </c>
      <c r="H93" s="394">
        <v>186110</v>
      </c>
      <c r="I93" s="394">
        <v>98422</v>
      </c>
      <c r="J93" s="232">
        <v>88706</v>
      </c>
      <c r="K93" s="232">
        <v>540250</v>
      </c>
      <c r="L93" s="232"/>
      <c r="M93" s="226">
        <v>0</v>
      </c>
      <c r="N93" s="226">
        <v>0</v>
      </c>
      <c r="O93" s="232">
        <v>19723</v>
      </c>
      <c r="P93" s="232">
        <v>19723</v>
      </c>
      <c r="Q93" s="232"/>
      <c r="R93" s="394">
        <v>454807</v>
      </c>
      <c r="S93" s="232">
        <v>29321</v>
      </c>
      <c r="T93" s="398">
        <v>484128</v>
      </c>
      <c r="U93" s="232"/>
      <c r="V93" s="398"/>
      <c r="W93" s="398"/>
      <c r="X93" s="398">
        <v>2683259</v>
      </c>
      <c r="Y93" s="398">
        <v>191659</v>
      </c>
    </row>
    <row r="94" spans="1:25">
      <c r="A94" s="392">
        <v>91012</v>
      </c>
      <c r="B94" s="393" t="s">
        <v>809</v>
      </c>
      <c r="C94" s="235">
        <v>1.1600000000000001E-5</v>
      </c>
      <c r="D94" s="235">
        <v>1.4600000000000001E-5</v>
      </c>
      <c r="E94" s="232">
        <v>41452</v>
      </c>
      <c r="F94" s="232" t="s">
        <v>1930</v>
      </c>
      <c r="G94" s="394">
        <v>5235</v>
      </c>
      <c r="H94" s="394">
        <v>5833</v>
      </c>
      <c r="I94" s="394">
        <v>3085</v>
      </c>
      <c r="J94" s="232">
        <v>2200</v>
      </c>
      <c r="K94" s="232">
        <v>16353</v>
      </c>
      <c r="L94" s="232"/>
      <c r="M94" s="226">
        <v>0</v>
      </c>
      <c r="N94" s="226">
        <v>0</v>
      </c>
      <c r="O94" s="232">
        <v>4668</v>
      </c>
      <c r="P94" s="232">
        <v>4668</v>
      </c>
      <c r="Q94" s="232"/>
      <c r="R94" s="394">
        <v>14255</v>
      </c>
      <c r="S94" s="232">
        <v>172</v>
      </c>
      <c r="T94" s="398">
        <v>14427</v>
      </c>
      <c r="U94" s="232"/>
      <c r="V94" s="398"/>
      <c r="W94" s="398"/>
      <c r="X94" s="398">
        <v>84101</v>
      </c>
      <c r="Y94" s="398">
        <v>6007</v>
      </c>
    </row>
    <row r="95" spans="1:25">
      <c r="A95" s="392">
        <v>91013</v>
      </c>
      <c r="B95" s="393" t="s">
        <v>810</v>
      </c>
      <c r="C95" s="235">
        <v>3.7200000000000003E-5</v>
      </c>
      <c r="D95" s="235">
        <v>3.4999999999999997E-5</v>
      </c>
      <c r="E95" s="232">
        <v>132931</v>
      </c>
      <c r="F95" s="232" t="s">
        <v>1930</v>
      </c>
      <c r="G95" s="394">
        <v>16787</v>
      </c>
      <c r="H95" s="394">
        <v>18707</v>
      </c>
      <c r="I95" s="394">
        <v>9893</v>
      </c>
      <c r="J95" s="232">
        <v>33610</v>
      </c>
      <c r="K95" s="232">
        <v>78997</v>
      </c>
      <c r="L95" s="232"/>
      <c r="M95" s="226">
        <v>0</v>
      </c>
      <c r="N95" s="226">
        <v>0</v>
      </c>
      <c r="O95" s="232">
        <v>0</v>
      </c>
      <c r="P95" s="232">
        <v>0</v>
      </c>
      <c r="Q95" s="232"/>
      <c r="R95" s="394">
        <v>45714</v>
      </c>
      <c r="S95" s="232">
        <v>20026</v>
      </c>
      <c r="T95" s="398">
        <v>65740</v>
      </c>
      <c r="U95" s="232"/>
      <c r="V95" s="398"/>
      <c r="W95" s="398"/>
      <c r="X95" s="398">
        <v>269703</v>
      </c>
      <c r="Y95" s="398">
        <v>19264</v>
      </c>
    </row>
    <row r="96" spans="1:25">
      <c r="A96" s="392">
        <v>91014</v>
      </c>
      <c r="B96" s="393" t="s">
        <v>811</v>
      </c>
      <c r="C96" s="235">
        <v>1.762E-4</v>
      </c>
      <c r="D96" s="235">
        <v>1.7640000000000001E-4</v>
      </c>
      <c r="E96" s="232">
        <v>629638</v>
      </c>
      <c r="F96" s="232" t="s">
        <v>1930</v>
      </c>
      <c r="G96" s="394">
        <v>79512</v>
      </c>
      <c r="H96" s="394">
        <v>88604</v>
      </c>
      <c r="I96" s="394">
        <v>46857</v>
      </c>
      <c r="J96" s="232">
        <v>4631</v>
      </c>
      <c r="K96" s="232">
        <v>219604</v>
      </c>
      <c r="L96" s="232"/>
      <c r="M96" s="226">
        <v>0</v>
      </c>
      <c r="N96" s="226">
        <v>0</v>
      </c>
      <c r="O96" s="232">
        <v>17662</v>
      </c>
      <c r="P96" s="232">
        <v>17662</v>
      </c>
      <c r="Q96" s="232"/>
      <c r="R96" s="394">
        <v>216528</v>
      </c>
      <c r="S96" s="232">
        <v>-7149</v>
      </c>
      <c r="T96" s="398">
        <v>209379</v>
      </c>
      <c r="U96" s="232"/>
      <c r="V96" s="398"/>
      <c r="W96" s="398"/>
      <c r="X96" s="398">
        <v>1277466</v>
      </c>
      <c r="Y96" s="398">
        <v>91247</v>
      </c>
    </row>
    <row r="97" spans="1:25">
      <c r="A97" s="392">
        <v>91015</v>
      </c>
      <c r="B97" s="397" t="s">
        <v>1640</v>
      </c>
      <c r="C97" s="235">
        <v>1.6699999999999999E-5</v>
      </c>
      <c r="D97" s="235">
        <v>1.8499999999999999E-5</v>
      </c>
      <c r="E97" s="232">
        <v>59676</v>
      </c>
      <c r="F97" s="232" t="s">
        <v>1930</v>
      </c>
      <c r="G97" s="394">
        <v>7536</v>
      </c>
      <c r="H97" s="394">
        <v>8398</v>
      </c>
      <c r="I97" s="394">
        <v>4441</v>
      </c>
      <c r="J97" s="232">
        <v>22918</v>
      </c>
      <c r="K97" s="232">
        <v>43293</v>
      </c>
      <c r="L97" s="232"/>
      <c r="M97" s="226">
        <v>0</v>
      </c>
      <c r="N97" s="226">
        <v>0</v>
      </c>
      <c r="O97" s="232">
        <v>0</v>
      </c>
      <c r="P97" s="232">
        <v>0</v>
      </c>
      <c r="Q97" s="232"/>
      <c r="R97" s="394">
        <v>20522</v>
      </c>
      <c r="S97" s="232">
        <v>9328</v>
      </c>
      <c r="T97" s="398">
        <v>29850</v>
      </c>
      <c r="U97" s="232"/>
      <c r="V97" s="398"/>
      <c r="W97" s="398"/>
      <c r="X97" s="398">
        <v>121077</v>
      </c>
      <c r="Y97" s="398">
        <v>8648</v>
      </c>
    </row>
    <row r="98" spans="1:25">
      <c r="A98" s="392">
        <v>91017</v>
      </c>
      <c r="B98" s="393" t="s">
        <v>812</v>
      </c>
      <c r="C98" s="235">
        <v>2.8500000000000002E-5</v>
      </c>
      <c r="D98" s="235">
        <v>2.4700000000000001E-5</v>
      </c>
      <c r="E98" s="232">
        <v>101843</v>
      </c>
      <c r="F98" s="232" t="s">
        <v>1930</v>
      </c>
      <c r="G98" s="394">
        <v>12861</v>
      </c>
      <c r="H98" s="394">
        <v>14332</v>
      </c>
      <c r="I98" s="394">
        <v>7579</v>
      </c>
      <c r="J98" s="232">
        <v>7550</v>
      </c>
      <c r="K98" s="232">
        <v>42322</v>
      </c>
      <c r="L98" s="232"/>
      <c r="M98" s="226">
        <v>0</v>
      </c>
      <c r="N98" s="226">
        <v>0</v>
      </c>
      <c r="O98" s="232">
        <v>0</v>
      </c>
      <c r="P98" s="232">
        <v>0</v>
      </c>
      <c r="Q98" s="232"/>
      <c r="R98" s="394">
        <v>35023</v>
      </c>
      <c r="S98" s="232">
        <v>4699</v>
      </c>
      <c r="T98" s="398">
        <v>39722</v>
      </c>
      <c r="U98" s="232"/>
      <c r="V98" s="398"/>
      <c r="W98" s="398"/>
      <c r="X98" s="398">
        <v>206628</v>
      </c>
      <c r="Y98" s="398">
        <v>14759</v>
      </c>
    </row>
    <row r="99" spans="1:25">
      <c r="A99" s="392">
        <v>91020</v>
      </c>
      <c r="B99" s="393" t="s">
        <v>813</v>
      </c>
      <c r="C99" s="235">
        <v>2.1399999999999998E-5</v>
      </c>
      <c r="D99" s="235">
        <v>2.2900000000000001E-5</v>
      </c>
      <c r="E99" s="232">
        <v>76471</v>
      </c>
      <c r="F99" s="232" t="s">
        <v>1930</v>
      </c>
      <c r="G99" s="394">
        <v>9657</v>
      </c>
      <c r="H99" s="394">
        <v>10761</v>
      </c>
      <c r="I99" s="394">
        <v>5691</v>
      </c>
      <c r="J99" s="232">
        <v>2669</v>
      </c>
      <c r="K99" s="232">
        <v>28778</v>
      </c>
      <c r="L99" s="232"/>
      <c r="M99" s="226">
        <v>0</v>
      </c>
      <c r="N99" s="226">
        <v>0</v>
      </c>
      <c r="O99" s="232">
        <v>6135</v>
      </c>
      <c r="P99" s="232">
        <v>6135</v>
      </c>
      <c r="Q99" s="232"/>
      <c r="R99" s="394">
        <v>26298</v>
      </c>
      <c r="S99" s="232">
        <v>-17</v>
      </c>
      <c r="T99" s="398">
        <v>26281</v>
      </c>
      <c r="U99" s="232"/>
      <c r="V99" s="398"/>
      <c r="W99" s="398"/>
      <c r="X99" s="398">
        <v>155152</v>
      </c>
      <c r="Y99" s="398">
        <v>11082</v>
      </c>
    </row>
    <row r="100" spans="1:25">
      <c r="A100" s="392">
        <v>91021</v>
      </c>
      <c r="B100" s="393" t="s">
        <v>814</v>
      </c>
      <c r="C100" s="235">
        <v>9.5620000000000004E-4</v>
      </c>
      <c r="D100" s="235">
        <v>9.2460000000000003E-4</v>
      </c>
      <c r="E100" s="232">
        <v>3416910</v>
      </c>
      <c r="F100" s="232" t="s">
        <v>1930</v>
      </c>
      <c r="G100" s="394">
        <v>431496</v>
      </c>
      <c r="H100" s="394">
        <v>480839</v>
      </c>
      <c r="I100" s="394">
        <v>254285</v>
      </c>
      <c r="J100" s="232">
        <v>91579</v>
      </c>
      <c r="K100" s="232">
        <v>1258199</v>
      </c>
      <c r="L100" s="232"/>
      <c r="M100" s="226">
        <v>0</v>
      </c>
      <c r="N100" s="226">
        <v>0</v>
      </c>
      <c r="O100" s="232">
        <v>2726</v>
      </c>
      <c r="P100" s="232">
        <v>2726</v>
      </c>
      <c r="Q100" s="232"/>
      <c r="R100" s="394">
        <v>1175050</v>
      </c>
      <c r="S100" s="232">
        <v>21074</v>
      </c>
      <c r="T100" s="398">
        <v>1196124</v>
      </c>
      <c r="U100" s="232"/>
      <c r="V100" s="398"/>
      <c r="W100" s="398"/>
      <c r="X100" s="398">
        <v>6932538</v>
      </c>
      <c r="Y100" s="398">
        <v>495176</v>
      </c>
    </row>
    <row r="101" spans="1:25">
      <c r="A101" s="392">
        <v>91024</v>
      </c>
      <c r="B101" s="393" t="s">
        <v>815</v>
      </c>
      <c r="C101" s="235">
        <v>1.0170000000000001E-4</v>
      </c>
      <c r="D101" s="235">
        <v>9.3599999999999998E-5</v>
      </c>
      <c r="E101" s="232">
        <v>363417</v>
      </c>
      <c r="F101" s="232" t="s">
        <v>1930</v>
      </c>
      <c r="G101" s="394">
        <v>45893</v>
      </c>
      <c r="H101" s="394">
        <v>51141</v>
      </c>
      <c r="I101" s="394">
        <v>27045</v>
      </c>
      <c r="J101" s="232">
        <v>25705</v>
      </c>
      <c r="K101" s="232">
        <v>149784</v>
      </c>
      <c r="L101" s="232"/>
      <c r="M101" s="226">
        <v>0</v>
      </c>
      <c r="N101" s="226">
        <v>0</v>
      </c>
      <c r="O101" s="232">
        <v>0</v>
      </c>
      <c r="P101" s="232">
        <v>0</v>
      </c>
      <c r="Q101" s="232"/>
      <c r="R101" s="394">
        <v>124977</v>
      </c>
      <c r="S101" s="232">
        <v>13314</v>
      </c>
      <c r="T101" s="398">
        <v>138291</v>
      </c>
      <c r="U101" s="232"/>
      <c r="V101" s="398"/>
      <c r="W101" s="398"/>
      <c r="X101" s="398">
        <v>737334</v>
      </c>
      <c r="Y101" s="398">
        <v>52666</v>
      </c>
    </row>
    <row r="102" spans="1:25">
      <c r="A102" s="392">
        <v>91026</v>
      </c>
      <c r="B102" s="393" t="s">
        <v>43</v>
      </c>
      <c r="C102" s="235">
        <v>3.5800000000000003E-5</v>
      </c>
      <c r="D102" s="235">
        <v>3.1099999999999997E-5</v>
      </c>
      <c r="E102" s="232">
        <v>127929</v>
      </c>
      <c r="F102" s="232" t="s">
        <v>1930</v>
      </c>
      <c r="G102" s="394">
        <v>16155</v>
      </c>
      <c r="H102" s="394">
        <v>18003</v>
      </c>
      <c r="I102" s="394">
        <v>9520</v>
      </c>
      <c r="J102" s="232">
        <v>28141</v>
      </c>
      <c r="K102" s="232">
        <v>71819</v>
      </c>
      <c r="L102" s="232"/>
      <c r="M102" s="226">
        <v>0</v>
      </c>
      <c r="N102" s="226">
        <v>0</v>
      </c>
      <c r="O102" s="232">
        <v>0</v>
      </c>
      <c r="P102" s="232">
        <v>0</v>
      </c>
      <c r="Q102" s="232"/>
      <c r="R102" s="394">
        <v>43994</v>
      </c>
      <c r="S102" s="232">
        <v>16410</v>
      </c>
      <c r="T102" s="398">
        <v>60404</v>
      </c>
      <c r="U102" s="232"/>
      <c r="V102" s="398"/>
      <c r="W102" s="398"/>
      <c r="X102" s="398">
        <v>259553</v>
      </c>
      <c r="Y102" s="398">
        <v>18539</v>
      </c>
    </row>
    <row r="103" spans="1:25">
      <c r="A103" s="392">
        <v>91027</v>
      </c>
      <c r="B103" s="393" t="s">
        <v>816</v>
      </c>
      <c r="C103" s="235">
        <v>1.7099999999999999E-5</v>
      </c>
      <c r="D103" s="235">
        <v>1.7E-5</v>
      </c>
      <c r="E103" s="232">
        <v>61106</v>
      </c>
      <c r="F103" s="232" t="s">
        <v>1930</v>
      </c>
      <c r="G103" s="394">
        <v>7717</v>
      </c>
      <c r="H103" s="394">
        <v>8599</v>
      </c>
      <c r="I103" s="394">
        <v>4547</v>
      </c>
      <c r="J103" s="232">
        <v>15946</v>
      </c>
      <c r="K103" s="232">
        <v>36809</v>
      </c>
      <c r="L103" s="232"/>
      <c r="M103" s="226">
        <v>0</v>
      </c>
      <c r="N103" s="226">
        <v>0</v>
      </c>
      <c r="O103" s="232">
        <v>0</v>
      </c>
      <c r="P103" s="232">
        <v>0</v>
      </c>
      <c r="Q103" s="232"/>
      <c r="R103" s="394">
        <v>21014</v>
      </c>
      <c r="S103" s="232">
        <v>8518</v>
      </c>
      <c r="T103" s="398">
        <v>29532</v>
      </c>
      <c r="U103" s="232"/>
      <c r="V103" s="398"/>
      <c r="W103" s="398"/>
      <c r="X103" s="398">
        <v>123977</v>
      </c>
      <c r="Y103" s="398">
        <v>8855</v>
      </c>
    </row>
    <row r="104" spans="1:25">
      <c r="A104" s="392">
        <v>91032</v>
      </c>
      <c r="B104" s="393" t="s">
        <v>817</v>
      </c>
      <c r="C104" s="235">
        <v>2.02E-5</v>
      </c>
      <c r="D104" s="235">
        <v>1.66E-5</v>
      </c>
      <c r="E104" s="232">
        <v>72183</v>
      </c>
      <c r="F104" s="232" t="s">
        <v>1930</v>
      </c>
      <c r="G104" s="394">
        <v>9115</v>
      </c>
      <c r="H104" s="394">
        <v>10158</v>
      </c>
      <c r="I104" s="394">
        <v>5372</v>
      </c>
      <c r="J104" s="232">
        <v>29808</v>
      </c>
      <c r="K104" s="232">
        <v>54453</v>
      </c>
      <c r="L104" s="232"/>
      <c r="M104" s="226">
        <v>0</v>
      </c>
      <c r="N104" s="226">
        <v>0</v>
      </c>
      <c r="O104" s="232">
        <v>0</v>
      </c>
      <c r="P104" s="232">
        <v>0</v>
      </c>
      <c r="Q104" s="232"/>
      <c r="R104" s="394">
        <v>24823</v>
      </c>
      <c r="S104" s="232">
        <v>12431</v>
      </c>
      <c r="T104" s="398">
        <v>37254</v>
      </c>
      <c r="U104" s="232"/>
      <c r="V104" s="398"/>
      <c r="W104" s="398"/>
      <c r="X104" s="398">
        <v>146452</v>
      </c>
      <c r="Y104" s="398">
        <v>10461</v>
      </c>
    </row>
    <row r="105" spans="1:25">
      <c r="A105" s="392">
        <v>91041</v>
      </c>
      <c r="B105" s="393" t="s">
        <v>818</v>
      </c>
      <c r="C105" s="235">
        <v>4.773E-4</v>
      </c>
      <c r="D105" s="235">
        <v>4.3379999999999997E-4</v>
      </c>
      <c r="E105" s="232">
        <v>1705596</v>
      </c>
      <c r="F105" s="232" t="s">
        <v>1930</v>
      </c>
      <c r="G105" s="394">
        <v>215387</v>
      </c>
      <c r="H105" s="394">
        <v>240017</v>
      </c>
      <c r="I105" s="394">
        <v>126930</v>
      </c>
      <c r="J105" s="232">
        <v>22181</v>
      </c>
      <c r="K105" s="232">
        <v>604515</v>
      </c>
      <c r="L105" s="232"/>
      <c r="M105" s="226">
        <v>0</v>
      </c>
      <c r="N105" s="226">
        <v>0</v>
      </c>
      <c r="O105" s="232">
        <v>31390</v>
      </c>
      <c r="P105" s="232">
        <v>31390</v>
      </c>
      <c r="Q105" s="232"/>
      <c r="R105" s="394">
        <v>586542</v>
      </c>
      <c r="S105" s="232">
        <v>-23435</v>
      </c>
      <c r="T105" s="398">
        <v>563107</v>
      </c>
      <c r="U105" s="232"/>
      <c r="V105" s="398"/>
      <c r="W105" s="398"/>
      <c r="X105" s="398">
        <v>3460469</v>
      </c>
      <c r="Y105" s="398">
        <v>247174</v>
      </c>
    </row>
    <row r="106" spans="1:25">
      <c r="A106" s="392">
        <v>91042</v>
      </c>
      <c r="B106" s="393" t="s">
        <v>819</v>
      </c>
      <c r="C106" s="235">
        <v>2.7510000000000002E-4</v>
      </c>
      <c r="D106" s="235">
        <v>2.6259999999999999E-4</v>
      </c>
      <c r="E106" s="232">
        <v>983049</v>
      </c>
      <c r="F106" s="232" t="s">
        <v>1930</v>
      </c>
      <c r="G106" s="394">
        <v>124142</v>
      </c>
      <c r="H106" s="394">
        <v>138338</v>
      </c>
      <c r="I106" s="394">
        <v>73158</v>
      </c>
      <c r="J106" s="232">
        <v>16544</v>
      </c>
      <c r="K106" s="232">
        <v>352182</v>
      </c>
      <c r="L106" s="232"/>
      <c r="M106" s="226">
        <v>0</v>
      </c>
      <c r="N106" s="226">
        <v>0</v>
      </c>
      <c r="O106" s="232">
        <v>9663</v>
      </c>
      <c r="P106" s="232">
        <v>9663</v>
      </c>
      <c r="Q106" s="232"/>
      <c r="R106" s="394">
        <v>338064</v>
      </c>
      <c r="S106" s="232">
        <v>3177</v>
      </c>
      <c r="T106" s="398">
        <v>341241</v>
      </c>
      <c r="U106" s="232"/>
      <c r="V106" s="398"/>
      <c r="W106" s="398"/>
      <c r="X106" s="398">
        <v>1994500</v>
      </c>
      <c r="Y106" s="398">
        <v>142463</v>
      </c>
    </row>
    <row r="107" spans="1:25">
      <c r="A107" s="392">
        <v>91047</v>
      </c>
      <c r="B107" s="393" t="s">
        <v>820</v>
      </c>
      <c r="C107" s="235">
        <v>1.03E-5</v>
      </c>
      <c r="D107" s="235">
        <v>1.15E-5</v>
      </c>
      <c r="E107" s="232">
        <v>36806</v>
      </c>
      <c r="F107" s="232" t="s">
        <v>1930</v>
      </c>
      <c r="G107" s="394">
        <v>4648</v>
      </c>
      <c r="H107" s="394">
        <v>5180</v>
      </c>
      <c r="I107" s="394">
        <v>2739</v>
      </c>
      <c r="J107" s="232">
        <v>13721</v>
      </c>
      <c r="K107" s="232">
        <v>26288</v>
      </c>
      <c r="L107" s="232"/>
      <c r="M107" s="226">
        <v>0</v>
      </c>
      <c r="N107" s="226">
        <v>0</v>
      </c>
      <c r="O107" s="232">
        <v>19</v>
      </c>
      <c r="P107" s="232">
        <v>19</v>
      </c>
      <c r="Q107" s="232"/>
      <c r="R107" s="394">
        <v>12657</v>
      </c>
      <c r="S107" s="232">
        <v>8907</v>
      </c>
      <c r="T107" s="398">
        <v>21564</v>
      </c>
      <c r="U107" s="232"/>
      <c r="V107" s="398"/>
      <c r="W107" s="398"/>
      <c r="X107" s="398">
        <v>74676</v>
      </c>
      <c r="Y107" s="398">
        <v>5334</v>
      </c>
    </row>
    <row r="108" spans="1:25">
      <c r="A108" s="392">
        <v>91051</v>
      </c>
      <c r="B108" s="393" t="s">
        <v>821</v>
      </c>
      <c r="C108" s="235">
        <v>6.2199999999999994E-5</v>
      </c>
      <c r="D108" s="235">
        <v>6.2799999999999995E-5</v>
      </c>
      <c r="E108" s="232">
        <v>222267</v>
      </c>
      <c r="F108" s="232" t="s">
        <v>1930</v>
      </c>
      <c r="G108" s="394">
        <v>28068</v>
      </c>
      <c r="H108" s="394">
        <v>31278</v>
      </c>
      <c r="I108" s="394">
        <v>16541</v>
      </c>
      <c r="J108" s="232">
        <v>2678</v>
      </c>
      <c r="K108" s="232">
        <v>78565</v>
      </c>
      <c r="L108" s="232"/>
      <c r="M108" s="226">
        <v>0</v>
      </c>
      <c r="N108" s="226">
        <v>0</v>
      </c>
      <c r="O108" s="232">
        <v>2438</v>
      </c>
      <c r="P108" s="232">
        <v>2438</v>
      </c>
      <c r="Q108" s="232"/>
      <c r="R108" s="394">
        <v>76436</v>
      </c>
      <c r="S108" s="232">
        <v>-1418</v>
      </c>
      <c r="T108" s="398">
        <v>75018</v>
      </c>
      <c r="U108" s="232"/>
      <c r="V108" s="398"/>
      <c r="W108" s="398"/>
      <c r="X108" s="398">
        <v>450956</v>
      </c>
      <c r="Y108" s="398">
        <v>32211</v>
      </c>
    </row>
    <row r="109" spans="1:25">
      <c r="A109" s="392">
        <v>91057</v>
      </c>
      <c r="B109" s="393" t="s">
        <v>822</v>
      </c>
      <c r="C109" s="235">
        <v>1.1E-5</v>
      </c>
      <c r="D109" s="235">
        <v>1.5699999999999999E-5</v>
      </c>
      <c r="E109" s="232">
        <v>39308</v>
      </c>
      <c r="F109" s="232" t="s">
        <v>1930</v>
      </c>
      <c r="G109" s="394">
        <v>4964</v>
      </c>
      <c r="H109" s="394">
        <v>5531</v>
      </c>
      <c r="I109" s="394">
        <v>2925</v>
      </c>
      <c r="J109" s="232">
        <v>5681</v>
      </c>
      <c r="K109" s="232">
        <v>19101</v>
      </c>
      <c r="L109" s="232"/>
      <c r="M109" s="226">
        <v>0</v>
      </c>
      <c r="N109" s="226">
        <v>0</v>
      </c>
      <c r="O109" s="232">
        <v>2506</v>
      </c>
      <c r="P109" s="232">
        <v>2506</v>
      </c>
      <c r="Q109" s="232"/>
      <c r="R109" s="394">
        <v>13518</v>
      </c>
      <c r="S109" s="232">
        <v>2221</v>
      </c>
      <c r="T109" s="398">
        <v>15739</v>
      </c>
      <c r="U109" s="232"/>
      <c r="V109" s="398"/>
      <c r="W109" s="398"/>
      <c r="X109" s="398">
        <v>79751</v>
      </c>
      <c r="Y109" s="398">
        <v>5696</v>
      </c>
    </row>
    <row r="110" spans="1:25">
      <c r="A110" s="392">
        <v>91061</v>
      </c>
      <c r="B110" s="393" t="s">
        <v>823</v>
      </c>
      <c r="C110" s="235">
        <v>3.7950000000000001E-4</v>
      </c>
      <c r="D110" s="235">
        <v>3.8039999999999998E-4</v>
      </c>
      <c r="E110" s="232">
        <v>1356115</v>
      </c>
      <c r="F110" s="232" t="s">
        <v>1930</v>
      </c>
      <c r="G110" s="394">
        <v>171254</v>
      </c>
      <c r="H110" s="394">
        <v>190837</v>
      </c>
      <c r="I110" s="394">
        <v>100922</v>
      </c>
      <c r="J110" s="232">
        <v>5377</v>
      </c>
      <c r="K110" s="232">
        <v>468390</v>
      </c>
      <c r="L110" s="232"/>
      <c r="M110" s="226">
        <v>0</v>
      </c>
      <c r="N110" s="226">
        <v>0</v>
      </c>
      <c r="O110" s="232">
        <v>25253</v>
      </c>
      <c r="P110" s="232">
        <v>25253</v>
      </c>
      <c r="Q110" s="232"/>
      <c r="R110" s="394">
        <v>466358</v>
      </c>
      <c r="S110" s="232">
        <v>-4310</v>
      </c>
      <c r="T110" s="398">
        <v>462048</v>
      </c>
      <c r="U110" s="232"/>
      <c r="V110" s="398"/>
      <c r="W110" s="398"/>
      <c r="X110" s="398">
        <v>2751410</v>
      </c>
      <c r="Y110" s="398">
        <v>196527</v>
      </c>
    </row>
    <row r="111" spans="1:25">
      <c r="A111" s="392">
        <v>91067</v>
      </c>
      <c r="B111" s="393" t="s">
        <v>824</v>
      </c>
      <c r="C111" s="235">
        <v>1.5400000000000002E-5</v>
      </c>
      <c r="D111" s="235">
        <v>1.6200000000000001E-5</v>
      </c>
      <c r="E111" s="232">
        <v>55031</v>
      </c>
      <c r="F111" s="232" t="s">
        <v>1930</v>
      </c>
      <c r="G111" s="394">
        <v>6949</v>
      </c>
      <c r="H111" s="394">
        <v>7744</v>
      </c>
      <c r="I111" s="394">
        <v>4095</v>
      </c>
      <c r="J111" s="232">
        <v>1757</v>
      </c>
      <c r="K111" s="232">
        <v>20545</v>
      </c>
      <c r="L111" s="232"/>
      <c r="M111" s="226">
        <v>0</v>
      </c>
      <c r="N111" s="226">
        <v>0</v>
      </c>
      <c r="O111" s="232">
        <v>101</v>
      </c>
      <c r="P111" s="232">
        <v>101</v>
      </c>
      <c r="Q111" s="232"/>
      <c r="R111" s="394">
        <v>18925</v>
      </c>
      <c r="S111" s="232">
        <v>936</v>
      </c>
      <c r="T111" s="398">
        <v>19861</v>
      </c>
      <c r="U111" s="232"/>
      <c r="V111" s="398"/>
      <c r="W111" s="398"/>
      <c r="X111" s="398">
        <v>111651</v>
      </c>
      <c r="Y111" s="398">
        <v>7975</v>
      </c>
    </row>
    <row r="112" spans="1:25">
      <c r="A112" s="392">
        <v>91071</v>
      </c>
      <c r="B112" s="393" t="s">
        <v>825</v>
      </c>
      <c r="C112" s="235">
        <v>2.186E-4</v>
      </c>
      <c r="D112" s="235">
        <v>2.4489999999999999E-4</v>
      </c>
      <c r="E112" s="232">
        <v>781151</v>
      </c>
      <c r="F112" s="232" t="s">
        <v>1930</v>
      </c>
      <c r="G112" s="394">
        <v>98646</v>
      </c>
      <c r="H112" s="394">
        <v>109926</v>
      </c>
      <c r="I112" s="394">
        <v>58133</v>
      </c>
      <c r="J112" s="232">
        <v>0</v>
      </c>
      <c r="K112" s="232">
        <v>266705</v>
      </c>
      <c r="L112" s="232"/>
      <c r="M112" s="226">
        <v>0</v>
      </c>
      <c r="N112" s="226">
        <v>0</v>
      </c>
      <c r="O112" s="232">
        <v>34332</v>
      </c>
      <c r="P112" s="232">
        <v>34332</v>
      </c>
      <c r="Q112" s="232"/>
      <c r="R112" s="394">
        <v>268632</v>
      </c>
      <c r="S112" s="232">
        <v>-15274</v>
      </c>
      <c r="T112" s="398">
        <v>253358</v>
      </c>
      <c r="U112" s="232"/>
      <c r="V112" s="398"/>
      <c r="W112" s="398"/>
      <c r="X112" s="398">
        <v>1584870</v>
      </c>
      <c r="Y112" s="398">
        <v>113204</v>
      </c>
    </row>
    <row r="113" spans="1:25">
      <c r="A113" s="392">
        <v>91077</v>
      </c>
      <c r="B113" s="393" t="s">
        <v>826</v>
      </c>
      <c r="C113" s="235">
        <v>1.1600000000000001E-5</v>
      </c>
      <c r="D113" s="235">
        <v>5.9000000000000003E-6</v>
      </c>
      <c r="E113" s="232">
        <v>41452</v>
      </c>
      <c r="F113" s="232" t="s">
        <v>1930</v>
      </c>
      <c r="G113" s="394">
        <v>5235</v>
      </c>
      <c r="H113" s="394">
        <v>5833</v>
      </c>
      <c r="I113" s="394">
        <v>3085</v>
      </c>
      <c r="J113" s="232">
        <v>11113</v>
      </c>
      <c r="K113" s="232">
        <v>25266</v>
      </c>
      <c r="L113" s="232"/>
      <c r="M113" s="226">
        <v>0</v>
      </c>
      <c r="N113" s="226">
        <v>0</v>
      </c>
      <c r="O113" s="232">
        <v>0</v>
      </c>
      <c r="P113" s="232">
        <v>0</v>
      </c>
      <c r="Q113" s="232"/>
      <c r="R113" s="394">
        <v>14255</v>
      </c>
      <c r="S113" s="232">
        <v>4072</v>
      </c>
      <c r="T113" s="398">
        <v>18327</v>
      </c>
      <c r="U113" s="232"/>
      <c r="V113" s="398"/>
      <c r="W113" s="398"/>
      <c r="X113" s="398">
        <v>84101</v>
      </c>
      <c r="Y113" s="398">
        <v>6007</v>
      </c>
    </row>
    <row r="114" spans="1:25">
      <c r="A114" s="392">
        <v>91081</v>
      </c>
      <c r="B114" s="393" t="s">
        <v>827</v>
      </c>
      <c r="C114" s="235">
        <v>4.2880000000000001E-4</v>
      </c>
      <c r="D114" s="235">
        <v>4.2739999999999998E-4</v>
      </c>
      <c r="E114" s="232">
        <v>1532285</v>
      </c>
      <c r="F114" s="232" t="s">
        <v>1930</v>
      </c>
      <c r="G114" s="394">
        <v>193501</v>
      </c>
      <c r="H114" s="394">
        <v>215628</v>
      </c>
      <c r="I114" s="394">
        <v>114032</v>
      </c>
      <c r="J114" s="232">
        <v>21270</v>
      </c>
      <c r="K114" s="232">
        <v>544431</v>
      </c>
      <c r="L114" s="232"/>
      <c r="M114" s="226">
        <v>0</v>
      </c>
      <c r="N114" s="226">
        <v>0</v>
      </c>
      <c r="O114" s="232">
        <v>5134</v>
      </c>
      <c r="P114" s="232">
        <v>5134</v>
      </c>
      <c r="Q114" s="232"/>
      <c r="R114" s="394">
        <v>526942</v>
      </c>
      <c r="S114" s="232">
        <v>7304</v>
      </c>
      <c r="T114" s="398">
        <v>534246</v>
      </c>
      <c r="U114" s="232"/>
      <c r="V114" s="398"/>
      <c r="W114" s="398"/>
      <c r="X114" s="398">
        <v>3108839</v>
      </c>
      <c r="Y114" s="398">
        <v>222058</v>
      </c>
    </row>
    <row r="115" spans="1:25">
      <c r="A115" s="392">
        <v>91091</v>
      </c>
      <c r="B115" s="393" t="s">
        <v>828</v>
      </c>
      <c r="C115" s="235">
        <v>5.6079999999999997E-4</v>
      </c>
      <c r="D115" s="235">
        <v>5.4540000000000003E-4</v>
      </c>
      <c r="E115" s="232">
        <v>2003977</v>
      </c>
      <c r="F115" s="232" t="s">
        <v>1930</v>
      </c>
      <c r="G115" s="394">
        <v>253067</v>
      </c>
      <c r="H115" s="394">
        <v>282006</v>
      </c>
      <c r="I115" s="394">
        <v>149135</v>
      </c>
      <c r="J115" s="232">
        <v>39220</v>
      </c>
      <c r="K115" s="232">
        <v>723428</v>
      </c>
      <c r="L115" s="232"/>
      <c r="M115" s="226">
        <v>0</v>
      </c>
      <c r="N115" s="226">
        <v>0</v>
      </c>
      <c r="O115" s="232">
        <v>22626</v>
      </c>
      <c r="P115" s="232">
        <v>22626</v>
      </c>
      <c r="Q115" s="232"/>
      <c r="R115" s="394">
        <v>689153</v>
      </c>
      <c r="S115" s="232">
        <v>-3925</v>
      </c>
      <c r="T115" s="398">
        <v>685228</v>
      </c>
      <c r="U115" s="232"/>
      <c r="V115" s="398"/>
      <c r="W115" s="398"/>
      <c r="X115" s="398">
        <v>4065852</v>
      </c>
      <c r="Y115" s="398">
        <v>290415</v>
      </c>
    </row>
    <row r="116" spans="1:25">
      <c r="A116" s="392">
        <v>91101</v>
      </c>
      <c r="B116" s="393" t="s">
        <v>829</v>
      </c>
      <c r="C116" s="235">
        <v>1.2932900000000001E-2</v>
      </c>
      <c r="D116" s="235">
        <v>1.32874E-2</v>
      </c>
      <c r="E116" s="232">
        <v>46214761</v>
      </c>
      <c r="F116" s="232" t="s">
        <v>1930</v>
      </c>
      <c r="G116" s="394">
        <v>5836113</v>
      </c>
      <c r="H116" s="394">
        <v>6503490</v>
      </c>
      <c r="I116" s="394">
        <v>3439285</v>
      </c>
      <c r="J116" s="232">
        <v>0</v>
      </c>
      <c r="K116" s="232">
        <v>15778888</v>
      </c>
      <c r="L116" s="232"/>
      <c r="M116" s="226">
        <v>0</v>
      </c>
      <c r="N116" s="226">
        <v>0</v>
      </c>
      <c r="O116" s="232">
        <v>1219673</v>
      </c>
      <c r="P116" s="232">
        <v>1219673</v>
      </c>
      <c r="Q116" s="232"/>
      <c r="R116" s="394">
        <v>15892917</v>
      </c>
      <c r="S116" s="232">
        <v>-554318</v>
      </c>
      <c r="T116" s="398">
        <v>15338599</v>
      </c>
      <c r="U116" s="232"/>
      <c r="V116" s="398"/>
      <c r="W116" s="398"/>
      <c r="X116" s="398">
        <v>93764715</v>
      </c>
      <c r="Y116" s="398">
        <v>6697406</v>
      </c>
    </row>
    <row r="117" spans="1:25">
      <c r="A117" s="392">
        <v>91102</v>
      </c>
      <c r="B117" s="393" t="s">
        <v>830</v>
      </c>
      <c r="C117" s="235">
        <v>2.8190000000000002E-4</v>
      </c>
      <c r="D117" s="235">
        <v>3.279E-4</v>
      </c>
      <c r="E117" s="232">
        <v>1007349</v>
      </c>
      <c r="F117" s="232" t="s">
        <v>1930</v>
      </c>
      <c r="G117" s="394">
        <v>127210</v>
      </c>
      <c r="H117" s="394">
        <v>141758</v>
      </c>
      <c r="I117" s="394">
        <v>74967</v>
      </c>
      <c r="J117" s="232">
        <v>5544</v>
      </c>
      <c r="K117" s="232">
        <v>349479</v>
      </c>
      <c r="L117" s="232"/>
      <c r="M117" s="226">
        <v>0</v>
      </c>
      <c r="N117" s="226">
        <v>0</v>
      </c>
      <c r="O117" s="232">
        <v>52694</v>
      </c>
      <c r="P117" s="232">
        <v>52694</v>
      </c>
      <c r="Q117" s="232"/>
      <c r="R117" s="394">
        <v>346420</v>
      </c>
      <c r="S117" s="232">
        <v>-8206</v>
      </c>
      <c r="T117" s="398">
        <v>338214</v>
      </c>
      <c r="U117" s="232"/>
      <c r="V117" s="398"/>
      <c r="W117" s="398"/>
      <c r="X117" s="398">
        <v>2043801</v>
      </c>
      <c r="Y117" s="398">
        <v>145984</v>
      </c>
    </row>
    <row r="118" spans="1:25">
      <c r="A118" s="392">
        <v>91104</v>
      </c>
      <c r="B118" s="393" t="s">
        <v>831</v>
      </c>
      <c r="C118" s="235">
        <v>1.7499999999999998E-5</v>
      </c>
      <c r="D118" s="235">
        <v>1.66E-5</v>
      </c>
      <c r="E118" s="232">
        <v>62535</v>
      </c>
      <c r="F118" s="232" t="s">
        <v>1930</v>
      </c>
      <c r="G118" s="394">
        <v>7897</v>
      </c>
      <c r="H118" s="394">
        <v>8800</v>
      </c>
      <c r="I118" s="394">
        <v>4654</v>
      </c>
      <c r="J118" s="232">
        <v>12276</v>
      </c>
      <c r="K118" s="232">
        <v>33627</v>
      </c>
      <c r="L118" s="232"/>
      <c r="M118" s="226">
        <v>0</v>
      </c>
      <c r="N118" s="226">
        <v>0</v>
      </c>
      <c r="O118" s="232">
        <v>0</v>
      </c>
      <c r="P118" s="232">
        <v>0</v>
      </c>
      <c r="Q118" s="232"/>
      <c r="R118" s="394">
        <v>21505</v>
      </c>
      <c r="S118" s="232">
        <v>4738</v>
      </c>
      <c r="T118" s="398">
        <v>26243</v>
      </c>
      <c r="U118" s="232"/>
      <c r="V118" s="398"/>
      <c r="W118" s="398"/>
      <c r="X118" s="398">
        <v>126877</v>
      </c>
      <c r="Y118" s="398">
        <v>9063</v>
      </c>
    </row>
    <row r="119" spans="1:25">
      <c r="A119" s="392">
        <v>91107</v>
      </c>
      <c r="B119" s="393" t="s">
        <v>1938</v>
      </c>
      <c r="C119" s="235">
        <v>3.8999999999999999E-5</v>
      </c>
      <c r="D119" s="235">
        <v>5.4500000000000003E-5</v>
      </c>
      <c r="E119" s="232">
        <v>139364</v>
      </c>
      <c r="F119" s="232" t="s">
        <v>1930</v>
      </c>
      <c r="G119" s="394">
        <v>17599</v>
      </c>
      <c r="H119" s="394">
        <v>19612</v>
      </c>
      <c r="I119" s="394">
        <v>10371</v>
      </c>
      <c r="J119" s="232">
        <v>7582</v>
      </c>
      <c r="K119" s="232">
        <v>55164</v>
      </c>
      <c r="L119" s="232"/>
      <c r="M119" s="226">
        <v>0</v>
      </c>
      <c r="N119" s="226">
        <v>0</v>
      </c>
      <c r="O119" s="232">
        <v>10013</v>
      </c>
      <c r="P119" s="232">
        <v>10013</v>
      </c>
      <c r="Q119" s="232"/>
      <c r="R119" s="394">
        <v>47926</v>
      </c>
      <c r="S119" s="232">
        <v>1514</v>
      </c>
      <c r="T119" s="398">
        <v>49440</v>
      </c>
      <c r="U119" s="232"/>
      <c r="V119" s="398"/>
      <c r="W119" s="398"/>
      <c r="X119" s="398">
        <v>282754</v>
      </c>
      <c r="Y119" s="398">
        <v>20196</v>
      </c>
    </row>
    <row r="120" spans="1:25">
      <c r="A120" s="392">
        <v>91108</v>
      </c>
      <c r="B120" s="393" t="s">
        <v>833</v>
      </c>
      <c r="C120" s="235">
        <v>1.1678999999999999E-3</v>
      </c>
      <c r="D120" s="235">
        <v>1.1929E-3</v>
      </c>
      <c r="E120" s="232">
        <v>4173404</v>
      </c>
      <c r="F120" s="232" t="s">
        <v>1930</v>
      </c>
      <c r="G120" s="394">
        <v>527028</v>
      </c>
      <c r="H120" s="394">
        <v>587294</v>
      </c>
      <c r="I120" s="394">
        <v>310583</v>
      </c>
      <c r="J120" s="232">
        <v>52032</v>
      </c>
      <c r="K120" s="232">
        <v>1476937</v>
      </c>
      <c r="L120" s="232"/>
      <c r="M120" s="226">
        <v>0</v>
      </c>
      <c r="N120" s="226">
        <v>0</v>
      </c>
      <c r="O120" s="232">
        <v>16801</v>
      </c>
      <c r="P120" s="232">
        <v>16801</v>
      </c>
      <c r="Q120" s="232"/>
      <c r="R120" s="394">
        <v>1435203</v>
      </c>
      <c r="S120" s="232">
        <v>23812</v>
      </c>
      <c r="T120" s="398">
        <v>1459015</v>
      </c>
      <c r="U120" s="232"/>
      <c r="V120" s="398"/>
      <c r="W120" s="398"/>
      <c r="X120" s="398">
        <v>8467382</v>
      </c>
      <c r="Y120" s="398">
        <v>604806</v>
      </c>
    </row>
    <row r="121" spans="1:25">
      <c r="A121" s="392">
        <v>91109</v>
      </c>
      <c r="B121" s="393" t="s">
        <v>834</v>
      </c>
      <c r="C121" s="235">
        <v>9.8599999999999998E-5</v>
      </c>
      <c r="D121" s="235">
        <v>9.8300000000000004E-5</v>
      </c>
      <c r="E121" s="232">
        <v>352340</v>
      </c>
      <c r="F121" s="232" t="s">
        <v>1930</v>
      </c>
      <c r="G121" s="394">
        <v>44494</v>
      </c>
      <c r="H121" s="394">
        <v>49582</v>
      </c>
      <c r="I121" s="394">
        <v>26221</v>
      </c>
      <c r="J121" s="232">
        <v>3753</v>
      </c>
      <c r="K121" s="232">
        <v>124050</v>
      </c>
      <c r="L121" s="232"/>
      <c r="M121" s="226">
        <v>0</v>
      </c>
      <c r="N121" s="226">
        <v>0</v>
      </c>
      <c r="O121" s="232">
        <v>0</v>
      </c>
      <c r="P121" s="232">
        <v>0</v>
      </c>
      <c r="Q121" s="232"/>
      <c r="R121" s="394">
        <v>121167</v>
      </c>
      <c r="S121" s="232">
        <v>2175</v>
      </c>
      <c r="T121" s="398">
        <v>123342</v>
      </c>
      <c r="U121" s="232"/>
      <c r="V121" s="398"/>
      <c r="W121" s="398"/>
      <c r="X121" s="398">
        <v>714859</v>
      </c>
      <c r="Y121" s="398">
        <v>51061</v>
      </c>
    </row>
    <row r="122" spans="1:25">
      <c r="A122" s="392">
        <v>91111</v>
      </c>
      <c r="B122" s="393" t="s">
        <v>835</v>
      </c>
      <c r="C122" s="235">
        <v>2.0149999999999999E-4</v>
      </c>
      <c r="D122" s="235">
        <v>1.973E-4</v>
      </c>
      <c r="E122" s="232">
        <v>720045</v>
      </c>
      <c r="F122" s="232" t="s">
        <v>1930</v>
      </c>
      <c r="G122" s="394">
        <v>90929</v>
      </c>
      <c r="H122" s="394">
        <v>101327</v>
      </c>
      <c r="I122" s="394">
        <v>53585</v>
      </c>
      <c r="J122" s="232">
        <v>23018</v>
      </c>
      <c r="K122" s="232">
        <v>268859</v>
      </c>
      <c r="L122" s="232"/>
      <c r="M122" s="226">
        <v>0</v>
      </c>
      <c r="N122" s="226">
        <v>0</v>
      </c>
      <c r="O122" s="232">
        <v>14470</v>
      </c>
      <c r="P122" s="232">
        <v>14470</v>
      </c>
      <c r="Q122" s="232"/>
      <c r="R122" s="394">
        <v>247618</v>
      </c>
      <c r="S122" s="232">
        <v>6082</v>
      </c>
      <c r="T122" s="398">
        <v>253700</v>
      </c>
      <c r="U122" s="232"/>
      <c r="V122" s="398"/>
      <c r="W122" s="398"/>
      <c r="X122" s="398">
        <v>1460894</v>
      </c>
      <c r="Y122" s="398">
        <v>104348</v>
      </c>
    </row>
    <row r="123" spans="1:25">
      <c r="A123" s="392">
        <v>91119</v>
      </c>
      <c r="B123" s="393" t="s">
        <v>48</v>
      </c>
      <c r="C123" s="235">
        <v>0</v>
      </c>
      <c r="D123" s="235">
        <v>0</v>
      </c>
      <c r="E123" s="232">
        <v>0</v>
      </c>
      <c r="F123" s="232" t="s">
        <v>1930</v>
      </c>
      <c r="G123" s="394">
        <v>0</v>
      </c>
      <c r="H123" s="394">
        <v>0</v>
      </c>
      <c r="I123" s="394">
        <v>0</v>
      </c>
      <c r="J123" s="232">
        <v>0</v>
      </c>
      <c r="K123" s="232">
        <v>0</v>
      </c>
      <c r="L123" s="232"/>
      <c r="M123" s="226">
        <v>0</v>
      </c>
      <c r="N123" s="226">
        <v>0</v>
      </c>
      <c r="O123" s="232">
        <v>0</v>
      </c>
      <c r="P123" s="232">
        <v>0</v>
      </c>
      <c r="Q123" s="232"/>
      <c r="R123" s="394">
        <v>0</v>
      </c>
      <c r="S123" s="232">
        <v>0</v>
      </c>
      <c r="T123" s="398">
        <v>0</v>
      </c>
      <c r="U123" s="232"/>
      <c r="V123" s="398"/>
      <c r="W123" s="398"/>
      <c r="X123" s="398">
        <v>0</v>
      </c>
      <c r="Y123" s="398">
        <v>0</v>
      </c>
    </row>
    <row r="124" spans="1:25">
      <c r="A124" s="392">
        <v>91120</v>
      </c>
      <c r="B124" s="393" t="s">
        <v>836</v>
      </c>
      <c r="C124" s="235">
        <v>2.6830000000000002E-4</v>
      </c>
      <c r="D124" s="235">
        <v>1.807E-4</v>
      </c>
      <c r="E124" s="232">
        <v>958750</v>
      </c>
      <c r="F124" s="232" t="s">
        <v>1930</v>
      </c>
      <c r="G124" s="394">
        <v>121073</v>
      </c>
      <c r="H124" s="394">
        <v>134919</v>
      </c>
      <c r="I124" s="394">
        <v>71350</v>
      </c>
      <c r="J124" s="232">
        <v>92496</v>
      </c>
      <c r="K124" s="232">
        <v>419838</v>
      </c>
      <c r="L124" s="232"/>
      <c r="M124" s="226">
        <v>0</v>
      </c>
      <c r="N124" s="226">
        <v>0</v>
      </c>
      <c r="O124" s="232">
        <v>6336</v>
      </c>
      <c r="P124" s="232">
        <v>6336</v>
      </c>
      <c r="Q124" s="232"/>
      <c r="R124" s="394">
        <v>329707</v>
      </c>
      <c r="S124" s="232">
        <v>26418</v>
      </c>
      <c r="T124" s="398">
        <v>356125</v>
      </c>
      <c r="U124" s="232"/>
      <c r="V124" s="398"/>
      <c r="W124" s="398"/>
      <c r="X124" s="398">
        <v>1945200</v>
      </c>
      <c r="Y124" s="398">
        <v>138941</v>
      </c>
    </row>
    <row r="125" spans="1:25">
      <c r="A125" s="392">
        <v>91121</v>
      </c>
      <c r="B125" s="393" t="s">
        <v>837</v>
      </c>
      <c r="C125" s="235">
        <v>1.04712E-2</v>
      </c>
      <c r="D125" s="235">
        <v>1.03844E-2</v>
      </c>
      <c r="E125" s="232">
        <v>37418058</v>
      </c>
      <c r="F125" s="232" t="s">
        <v>1930</v>
      </c>
      <c r="G125" s="394">
        <v>4725244</v>
      </c>
      <c r="H125" s="394">
        <v>5265589</v>
      </c>
      <c r="I125" s="394">
        <v>2784638</v>
      </c>
      <c r="J125" s="232">
        <v>0</v>
      </c>
      <c r="K125" s="232">
        <v>12775471</v>
      </c>
      <c r="L125" s="232"/>
      <c r="M125" s="226">
        <v>0</v>
      </c>
      <c r="N125" s="226">
        <v>0</v>
      </c>
      <c r="O125" s="232">
        <v>491973</v>
      </c>
      <c r="P125" s="232">
        <v>491973</v>
      </c>
      <c r="Q125" s="232"/>
      <c r="R125" s="394">
        <v>12867796</v>
      </c>
      <c r="S125" s="232">
        <v>-291985</v>
      </c>
      <c r="T125" s="398">
        <v>12575811</v>
      </c>
      <c r="U125" s="232"/>
      <c r="V125" s="398"/>
      <c r="W125" s="398"/>
      <c r="X125" s="398">
        <v>75917163</v>
      </c>
      <c r="Y125" s="398">
        <v>5422595</v>
      </c>
    </row>
    <row r="126" spans="1:25">
      <c r="A126" s="392">
        <v>91127</v>
      </c>
      <c r="B126" s="393" t="s">
        <v>838</v>
      </c>
      <c r="C126" s="235">
        <v>2.8170000000000002E-4</v>
      </c>
      <c r="D126" s="235">
        <v>2.7989999999999997E-4</v>
      </c>
      <c r="E126" s="232">
        <v>1006634</v>
      </c>
      <c r="F126" s="232" t="s">
        <v>1930</v>
      </c>
      <c r="G126" s="394">
        <v>127120</v>
      </c>
      <c r="H126" s="394">
        <v>141656</v>
      </c>
      <c r="I126" s="394">
        <v>74913</v>
      </c>
      <c r="J126" s="232">
        <v>52813</v>
      </c>
      <c r="K126" s="232">
        <v>396502</v>
      </c>
      <c r="L126" s="232"/>
      <c r="M126" s="226">
        <v>0</v>
      </c>
      <c r="N126" s="226">
        <v>0</v>
      </c>
      <c r="O126" s="232">
        <v>0</v>
      </c>
      <c r="P126" s="232">
        <v>0</v>
      </c>
      <c r="Q126" s="232"/>
      <c r="R126" s="394">
        <v>346174</v>
      </c>
      <c r="S126" s="232">
        <v>25804</v>
      </c>
      <c r="T126" s="398">
        <v>371978</v>
      </c>
      <c r="U126" s="232"/>
      <c r="V126" s="398"/>
      <c r="W126" s="398"/>
      <c r="X126" s="398">
        <v>2042351</v>
      </c>
      <c r="Y126" s="398">
        <v>145881</v>
      </c>
    </row>
    <row r="127" spans="1:25">
      <c r="A127" s="392">
        <v>91128</v>
      </c>
      <c r="B127" s="393" t="s">
        <v>839</v>
      </c>
      <c r="C127" s="235">
        <v>5.1889999999999998E-4</v>
      </c>
      <c r="D127" s="235">
        <v>4.6710000000000002E-4</v>
      </c>
      <c r="E127" s="232">
        <v>1854251</v>
      </c>
      <c r="F127" s="232" t="s">
        <v>1930</v>
      </c>
      <c r="G127" s="394">
        <v>234159</v>
      </c>
      <c r="H127" s="394">
        <v>260936</v>
      </c>
      <c r="I127" s="394">
        <v>137993</v>
      </c>
      <c r="J127" s="232">
        <v>77937</v>
      </c>
      <c r="K127" s="232">
        <v>711025</v>
      </c>
      <c r="L127" s="232"/>
      <c r="M127" s="226">
        <v>0</v>
      </c>
      <c r="N127" s="226">
        <v>0</v>
      </c>
      <c r="O127" s="232">
        <v>23048</v>
      </c>
      <c r="P127" s="232">
        <v>23048</v>
      </c>
      <c r="Q127" s="232"/>
      <c r="R127" s="394">
        <v>637663</v>
      </c>
      <c r="S127" s="232">
        <v>19134</v>
      </c>
      <c r="T127" s="398">
        <v>656797</v>
      </c>
      <c r="U127" s="232"/>
      <c r="V127" s="398"/>
      <c r="W127" s="398"/>
      <c r="X127" s="398">
        <v>3762073</v>
      </c>
      <c r="Y127" s="398">
        <v>268717</v>
      </c>
    </row>
    <row r="128" spans="1:25">
      <c r="A128" s="392">
        <v>91138</v>
      </c>
      <c r="B128" s="393" t="s">
        <v>840</v>
      </c>
      <c r="C128" s="235">
        <v>4.5300000000000001E-4</v>
      </c>
      <c r="D128" s="235">
        <v>4.8010000000000001E-4</v>
      </c>
      <c r="E128" s="232">
        <v>1618762</v>
      </c>
      <c r="F128" s="232" t="s">
        <v>1930</v>
      </c>
      <c r="G128" s="394">
        <v>204421</v>
      </c>
      <c r="H128" s="394">
        <v>227798</v>
      </c>
      <c r="I128" s="394">
        <v>120468</v>
      </c>
      <c r="J128" s="232">
        <v>0</v>
      </c>
      <c r="K128" s="232">
        <v>552687</v>
      </c>
      <c r="L128" s="232"/>
      <c r="M128" s="226">
        <v>0</v>
      </c>
      <c r="N128" s="226">
        <v>0</v>
      </c>
      <c r="O128" s="232">
        <v>164406</v>
      </c>
      <c r="P128" s="232">
        <v>164406</v>
      </c>
      <c r="Q128" s="232"/>
      <c r="R128" s="394">
        <v>556680</v>
      </c>
      <c r="S128" s="232">
        <v>-90888</v>
      </c>
      <c r="T128" s="398">
        <v>465792</v>
      </c>
      <c r="U128" s="232"/>
      <c r="V128" s="398"/>
      <c r="W128" s="398"/>
      <c r="X128" s="398">
        <v>3284292</v>
      </c>
      <c r="Y128" s="398">
        <v>234590</v>
      </c>
    </row>
    <row r="129" spans="1:25">
      <c r="A129" s="392">
        <v>91141</v>
      </c>
      <c r="B129" s="393" t="s">
        <v>841</v>
      </c>
      <c r="C129" s="235">
        <v>6.3380000000000001E-4</v>
      </c>
      <c r="D129" s="235">
        <v>6.3610000000000001E-4</v>
      </c>
      <c r="E129" s="232">
        <v>2264837</v>
      </c>
      <c r="F129" s="232" t="s">
        <v>1930</v>
      </c>
      <c r="G129" s="394">
        <v>286009</v>
      </c>
      <c r="H129" s="394">
        <v>318716</v>
      </c>
      <c r="I129" s="394">
        <v>168548</v>
      </c>
      <c r="J129" s="232">
        <v>23203</v>
      </c>
      <c r="K129" s="232">
        <v>796476</v>
      </c>
      <c r="L129" s="232"/>
      <c r="M129" s="226">
        <v>0</v>
      </c>
      <c r="N129" s="226">
        <v>0</v>
      </c>
      <c r="O129" s="232">
        <v>65041</v>
      </c>
      <c r="P129" s="232">
        <v>65041</v>
      </c>
      <c r="Q129" s="232"/>
      <c r="R129" s="394">
        <v>778861</v>
      </c>
      <c r="S129" s="232">
        <v>-28413</v>
      </c>
      <c r="T129" s="398">
        <v>750448</v>
      </c>
      <c r="U129" s="232"/>
      <c r="V129" s="398"/>
      <c r="W129" s="398"/>
      <c r="X129" s="398">
        <v>4595108</v>
      </c>
      <c r="Y129" s="398">
        <v>328218</v>
      </c>
    </row>
    <row r="130" spans="1:25">
      <c r="A130" s="392">
        <v>91147</v>
      </c>
      <c r="B130" s="393" t="s">
        <v>842</v>
      </c>
      <c r="C130" s="235">
        <v>2.8399999999999999E-5</v>
      </c>
      <c r="D130" s="235">
        <v>2.5400000000000001E-5</v>
      </c>
      <c r="E130" s="232">
        <v>101485</v>
      </c>
      <c r="F130" s="232" t="s">
        <v>1930</v>
      </c>
      <c r="G130" s="394">
        <v>12816</v>
      </c>
      <c r="H130" s="394">
        <v>14281</v>
      </c>
      <c r="I130" s="394">
        <v>7552</v>
      </c>
      <c r="J130" s="232">
        <v>6727</v>
      </c>
      <c r="K130" s="232">
        <v>41376</v>
      </c>
      <c r="L130" s="232"/>
      <c r="M130" s="226">
        <v>0</v>
      </c>
      <c r="N130" s="226">
        <v>0</v>
      </c>
      <c r="O130" s="232">
        <v>406</v>
      </c>
      <c r="P130" s="232">
        <v>406</v>
      </c>
      <c r="Q130" s="232"/>
      <c r="R130" s="394">
        <v>34900</v>
      </c>
      <c r="S130" s="232">
        <v>2925</v>
      </c>
      <c r="T130" s="398">
        <v>37825</v>
      </c>
      <c r="U130" s="232"/>
      <c r="V130" s="398"/>
      <c r="W130" s="398"/>
      <c r="X130" s="398">
        <v>205903</v>
      </c>
      <c r="Y130" s="398">
        <v>14707</v>
      </c>
    </row>
    <row r="131" spans="1:25">
      <c r="A131" s="392">
        <v>91151</v>
      </c>
      <c r="B131" s="393" t="s">
        <v>843</v>
      </c>
      <c r="C131" s="235">
        <v>6.0360000000000003E-4</v>
      </c>
      <c r="D131" s="235">
        <v>5.8460000000000001E-4</v>
      </c>
      <c r="E131" s="232">
        <v>2156920</v>
      </c>
      <c r="F131" s="232" t="s">
        <v>1930</v>
      </c>
      <c r="G131" s="394">
        <v>272381</v>
      </c>
      <c r="H131" s="394">
        <v>303529</v>
      </c>
      <c r="I131" s="394">
        <v>160517</v>
      </c>
      <c r="J131" s="232">
        <v>0</v>
      </c>
      <c r="K131" s="232">
        <v>736427</v>
      </c>
      <c r="L131" s="232"/>
      <c r="M131" s="226">
        <v>0</v>
      </c>
      <c r="N131" s="226">
        <v>0</v>
      </c>
      <c r="O131" s="232">
        <v>67325</v>
      </c>
      <c r="P131" s="232">
        <v>67325</v>
      </c>
      <c r="Q131" s="232"/>
      <c r="R131" s="394">
        <v>741749</v>
      </c>
      <c r="S131" s="232">
        <v>-37099</v>
      </c>
      <c r="T131" s="398">
        <v>704650</v>
      </c>
      <c r="U131" s="232"/>
      <c r="V131" s="398"/>
      <c r="W131" s="398"/>
      <c r="X131" s="398">
        <v>4376156</v>
      </c>
      <c r="Y131" s="398">
        <v>312579</v>
      </c>
    </row>
    <row r="132" spans="1:25">
      <c r="A132" s="392">
        <v>91154</v>
      </c>
      <c r="B132" s="393" t="s">
        <v>844</v>
      </c>
      <c r="C132" s="235">
        <v>2.1999999999999999E-5</v>
      </c>
      <c r="D132" s="235">
        <v>2.0999999999999999E-5</v>
      </c>
      <c r="E132" s="232">
        <v>78615</v>
      </c>
      <c r="F132" s="232" t="s">
        <v>1930</v>
      </c>
      <c r="G132" s="394">
        <v>9928</v>
      </c>
      <c r="H132" s="394">
        <v>11063</v>
      </c>
      <c r="I132" s="394">
        <v>5851</v>
      </c>
      <c r="J132" s="232">
        <v>2355</v>
      </c>
      <c r="K132" s="232">
        <v>29197</v>
      </c>
      <c r="L132" s="232"/>
      <c r="M132" s="226">
        <v>0</v>
      </c>
      <c r="N132" s="226">
        <v>0</v>
      </c>
      <c r="O132" s="232">
        <v>3882</v>
      </c>
      <c r="P132" s="232">
        <v>3882</v>
      </c>
      <c r="Q132" s="232"/>
      <c r="R132" s="394">
        <v>27035</v>
      </c>
      <c r="S132" s="232">
        <v>347</v>
      </c>
      <c r="T132" s="398">
        <v>27382</v>
      </c>
      <c r="U132" s="232"/>
      <c r="V132" s="398"/>
      <c r="W132" s="398"/>
      <c r="X132" s="398">
        <v>159502</v>
      </c>
      <c r="Y132" s="398">
        <v>11393</v>
      </c>
    </row>
    <row r="133" spans="1:25">
      <c r="A133" s="392">
        <v>91161</v>
      </c>
      <c r="B133" s="393" t="s">
        <v>845</v>
      </c>
      <c r="C133" s="235">
        <v>9.2499999999999999E-5</v>
      </c>
      <c r="D133" s="235">
        <v>1.0509999999999999E-4</v>
      </c>
      <c r="E133" s="232">
        <v>330542</v>
      </c>
      <c r="F133" s="232" t="s">
        <v>1930</v>
      </c>
      <c r="G133" s="394">
        <v>41742</v>
      </c>
      <c r="H133" s="394">
        <v>46515</v>
      </c>
      <c r="I133" s="394">
        <v>24599</v>
      </c>
      <c r="J133" s="232">
        <v>8609</v>
      </c>
      <c r="K133" s="232">
        <v>121465</v>
      </c>
      <c r="L133" s="232"/>
      <c r="M133" s="226">
        <v>0</v>
      </c>
      <c r="N133" s="226">
        <v>0</v>
      </c>
      <c r="O133" s="232">
        <v>19071</v>
      </c>
      <c r="P133" s="232">
        <v>19071</v>
      </c>
      <c r="Q133" s="232"/>
      <c r="R133" s="394">
        <v>113671</v>
      </c>
      <c r="S133" s="232">
        <v>-4719</v>
      </c>
      <c r="T133" s="398">
        <v>108952</v>
      </c>
      <c r="U133" s="232"/>
      <c r="V133" s="398"/>
      <c r="W133" s="398"/>
      <c r="X133" s="398">
        <v>670634</v>
      </c>
      <c r="Y133" s="398">
        <v>47902</v>
      </c>
    </row>
    <row r="134" spans="1:25">
      <c r="A134" s="392">
        <v>91171</v>
      </c>
      <c r="B134" s="393" t="s">
        <v>846</v>
      </c>
      <c r="C134" s="235">
        <v>2.6679999999999998E-4</v>
      </c>
      <c r="D134" s="235">
        <v>2.6820000000000001E-4</v>
      </c>
      <c r="E134" s="232">
        <v>953390</v>
      </c>
      <c r="F134" s="232" t="s">
        <v>1930</v>
      </c>
      <c r="G134" s="394">
        <v>120396</v>
      </c>
      <c r="H134" s="394">
        <v>134164</v>
      </c>
      <c r="I134" s="394">
        <v>70951</v>
      </c>
      <c r="J134" s="232">
        <v>18750</v>
      </c>
      <c r="K134" s="232">
        <v>344261</v>
      </c>
      <c r="L134" s="232"/>
      <c r="M134" s="226">
        <v>0</v>
      </c>
      <c r="N134" s="226">
        <v>0</v>
      </c>
      <c r="O134" s="232">
        <v>24586</v>
      </c>
      <c r="P134" s="232">
        <v>24586</v>
      </c>
      <c r="Q134" s="232"/>
      <c r="R134" s="394">
        <v>327864</v>
      </c>
      <c r="S134" s="232">
        <v>-8431</v>
      </c>
      <c r="T134" s="398">
        <v>319433</v>
      </c>
      <c r="U134" s="232"/>
      <c r="V134" s="398"/>
      <c r="W134" s="398"/>
      <c r="X134" s="398">
        <v>1934325</v>
      </c>
      <c r="Y134" s="398">
        <v>138165</v>
      </c>
    </row>
    <row r="135" spans="1:25">
      <c r="A135" s="392">
        <v>91201</v>
      </c>
      <c r="B135" s="393" t="s">
        <v>847</v>
      </c>
      <c r="C135" s="235">
        <v>2.5533000000000001E-3</v>
      </c>
      <c r="D135" s="235">
        <v>2.2897999999999998E-3</v>
      </c>
      <c r="E135" s="232">
        <v>9124029</v>
      </c>
      <c r="F135" s="232" t="s">
        <v>1930</v>
      </c>
      <c r="G135" s="394">
        <v>1152205</v>
      </c>
      <c r="H135" s="394">
        <v>1283963</v>
      </c>
      <c r="I135" s="394">
        <v>679007</v>
      </c>
      <c r="J135" s="232">
        <v>279487</v>
      </c>
      <c r="K135" s="232">
        <v>3394662</v>
      </c>
      <c r="L135" s="232"/>
      <c r="M135" s="226">
        <v>0</v>
      </c>
      <c r="N135" s="226">
        <v>0</v>
      </c>
      <c r="O135" s="232">
        <v>72376</v>
      </c>
      <c r="P135" s="232">
        <v>72376</v>
      </c>
      <c r="Q135" s="232"/>
      <c r="R135" s="394">
        <v>3137687</v>
      </c>
      <c r="S135" s="232">
        <v>45818</v>
      </c>
      <c r="T135" s="398">
        <v>3183505</v>
      </c>
      <c r="U135" s="232"/>
      <c r="V135" s="398"/>
      <c r="W135" s="398"/>
      <c r="X135" s="398">
        <v>18511660</v>
      </c>
      <c r="Y135" s="398">
        <v>1322247</v>
      </c>
    </row>
    <row r="136" spans="1:25">
      <c r="A136" s="392">
        <v>91202</v>
      </c>
      <c r="B136" s="393" t="s">
        <v>848</v>
      </c>
      <c r="C136" s="235">
        <v>7.0699999999999997E-5</v>
      </c>
      <c r="D136" s="235">
        <v>1.752E-4</v>
      </c>
      <c r="E136" s="232">
        <v>252641</v>
      </c>
      <c r="F136" s="232" t="s">
        <v>1930</v>
      </c>
      <c r="G136" s="394">
        <v>31904</v>
      </c>
      <c r="H136" s="394">
        <v>35552</v>
      </c>
      <c r="I136" s="394">
        <v>18801</v>
      </c>
      <c r="J136" s="232">
        <v>4110</v>
      </c>
      <c r="K136" s="232">
        <v>90367</v>
      </c>
      <c r="L136" s="232"/>
      <c r="M136" s="226">
        <v>0</v>
      </c>
      <c r="N136" s="226">
        <v>0</v>
      </c>
      <c r="O136" s="232">
        <v>135945</v>
      </c>
      <c r="P136" s="232">
        <v>135945</v>
      </c>
      <c r="Q136" s="232"/>
      <c r="R136" s="394">
        <v>86881</v>
      </c>
      <c r="S136" s="232">
        <v>-39199</v>
      </c>
      <c r="T136" s="398">
        <v>47682</v>
      </c>
      <c r="U136" s="232"/>
      <c r="V136" s="398"/>
      <c r="W136" s="398"/>
      <c r="X136" s="398">
        <v>512582</v>
      </c>
      <c r="Y136" s="398">
        <v>36613</v>
      </c>
    </row>
    <row r="137" spans="1:25">
      <c r="A137" s="392">
        <v>91203</v>
      </c>
      <c r="B137" s="393" t="s">
        <v>849</v>
      </c>
      <c r="C137" s="235">
        <v>2.3599999999999999E-4</v>
      </c>
      <c r="D137" s="235">
        <v>2.2670000000000001E-4</v>
      </c>
      <c r="E137" s="232">
        <v>843329</v>
      </c>
      <c r="F137" s="232" t="s">
        <v>1930</v>
      </c>
      <c r="G137" s="394">
        <v>106498</v>
      </c>
      <c r="H137" s="394">
        <v>118676</v>
      </c>
      <c r="I137" s="394">
        <v>62760</v>
      </c>
      <c r="J137" s="232">
        <v>53752</v>
      </c>
      <c r="K137" s="232">
        <v>341686</v>
      </c>
      <c r="L137" s="232"/>
      <c r="M137" s="226">
        <v>0</v>
      </c>
      <c r="N137" s="226">
        <v>0</v>
      </c>
      <c r="O137" s="232">
        <v>0</v>
      </c>
      <c r="P137" s="232">
        <v>0</v>
      </c>
      <c r="Q137" s="232"/>
      <c r="R137" s="394">
        <v>290015</v>
      </c>
      <c r="S137" s="232">
        <v>24459</v>
      </c>
      <c r="T137" s="398">
        <v>314474</v>
      </c>
      <c r="U137" s="232"/>
      <c r="V137" s="398"/>
      <c r="W137" s="398"/>
      <c r="X137" s="398">
        <v>1711022</v>
      </c>
      <c r="Y137" s="398">
        <v>122214</v>
      </c>
    </row>
    <row r="138" spans="1:25">
      <c r="A138" s="392">
        <v>91206</v>
      </c>
      <c r="B138" s="393" t="s">
        <v>850</v>
      </c>
      <c r="C138" s="235">
        <v>9.0109999999999995E-4</v>
      </c>
      <c r="D138" s="235">
        <v>9.525E-4</v>
      </c>
      <c r="E138" s="232">
        <v>3220014</v>
      </c>
      <c r="F138" s="232" t="s">
        <v>1930</v>
      </c>
      <c r="G138" s="394">
        <v>406631</v>
      </c>
      <c r="H138" s="394">
        <v>453131</v>
      </c>
      <c r="I138" s="394">
        <v>239632</v>
      </c>
      <c r="J138" s="232">
        <v>38794</v>
      </c>
      <c r="K138" s="232">
        <v>1138188</v>
      </c>
      <c r="L138" s="232"/>
      <c r="M138" s="226">
        <v>0</v>
      </c>
      <c r="N138" s="226">
        <v>0</v>
      </c>
      <c r="O138" s="232">
        <v>58234</v>
      </c>
      <c r="P138" s="232">
        <v>58234</v>
      </c>
      <c r="Q138" s="232"/>
      <c r="R138" s="394">
        <v>1107339</v>
      </c>
      <c r="S138" s="232">
        <v>-775</v>
      </c>
      <c r="T138" s="398">
        <v>1106564</v>
      </c>
      <c r="U138" s="232"/>
      <c r="V138" s="398"/>
      <c r="W138" s="398"/>
      <c r="X138" s="398">
        <v>6533058</v>
      </c>
      <c r="Y138" s="398">
        <v>466642</v>
      </c>
    </row>
    <row r="139" spans="1:25" s="361" customFormat="1">
      <c r="A139" s="392">
        <v>91208</v>
      </c>
      <c r="B139" s="393" t="s">
        <v>851</v>
      </c>
      <c r="C139" s="235">
        <v>1.6200000000000001E-5</v>
      </c>
      <c r="D139" s="235">
        <v>1.9000000000000001E-5</v>
      </c>
      <c r="E139" s="232">
        <v>57890</v>
      </c>
      <c r="F139" s="232" t="s">
        <v>1930</v>
      </c>
      <c r="G139" s="394">
        <v>7310</v>
      </c>
      <c r="H139" s="394">
        <v>8146</v>
      </c>
      <c r="I139" s="394">
        <v>4308</v>
      </c>
      <c r="J139" s="232">
        <v>3777</v>
      </c>
      <c r="K139" s="232">
        <v>23541</v>
      </c>
      <c r="L139" s="232"/>
      <c r="M139" s="226">
        <v>0</v>
      </c>
      <c r="N139" s="226">
        <v>0</v>
      </c>
      <c r="O139" s="232">
        <v>3159</v>
      </c>
      <c r="P139" s="232">
        <v>3159</v>
      </c>
      <c r="Q139" s="232"/>
      <c r="R139" s="394">
        <v>19908</v>
      </c>
      <c r="S139" s="232">
        <v>278</v>
      </c>
      <c r="T139" s="398">
        <v>20186</v>
      </c>
      <c r="U139" s="232"/>
      <c r="V139" s="398"/>
      <c r="W139" s="398"/>
      <c r="X139" s="398">
        <v>117451</v>
      </c>
      <c r="Y139" s="398">
        <v>8389</v>
      </c>
    </row>
    <row r="140" spans="1:25">
      <c r="A140" s="392">
        <v>91211</v>
      </c>
      <c r="B140" s="393" t="s">
        <v>852</v>
      </c>
      <c r="C140" s="235">
        <v>4.817E-4</v>
      </c>
      <c r="D140" s="235">
        <v>4.4870000000000001E-4</v>
      </c>
      <c r="E140" s="232">
        <v>1721319</v>
      </c>
      <c r="F140" s="232" t="s">
        <v>1930</v>
      </c>
      <c r="G140" s="394">
        <v>217372</v>
      </c>
      <c r="H140" s="394">
        <v>242229</v>
      </c>
      <c r="I140" s="394">
        <v>128100</v>
      </c>
      <c r="J140" s="232">
        <v>33767</v>
      </c>
      <c r="K140" s="232">
        <v>621468</v>
      </c>
      <c r="L140" s="232"/>
      <c r="M140" s="226">
        <v>0</v>
      </c>
      <c r="N140" s="226">
        <v>0</v>
      </c>
      <c r="O140" s="232">
        <v>22111</v>
      </c>
      <c r="P140" s="232">
        <v>22111</v>
      </c>
      <c r="Q140" s="232"/>
      <c r="R140" s="394">
        <v>591949</v>
      </c>
      <c r="S140" s="232">
        <v>3732</v>
      </c>
      <c r="T140" s="398">
        <v>595681</v>
      </c>
      <c r="U140" s="232"/>
      <c r="V140" s="398"/>
      <c r="W140" s="398"/>
      <c r="X140" s="398">
        <v>3492369</v>
      </c>
      <c r="Y140" s="398">
        <v>249452</v>
      </c>
    </row>
    <row r="141" spans="1:25">
      <c r="A141" s="392">
        <v>91213</v>
      </c>
      <c r="B141" s="393" t="s">
        <v>853</v>
      </c>
      <c r="C141" s="235">
        <v>2.9E-5</v>
      </c>
      <c r="D141" s="235">
        <v>2.9200000000000002E-5</v>
      </c>
      <c r="E141" s="232">
        <v>103629</v>
      </c>
      <c r="F141" s="232" t="s">
        <v>1930</v>
      </c>
      <c r="G141" s="394">
        <v>13087</v>
      </c>
      <c r="H141" s="394">
        <v>14583</v>
      </c>
      <c r="I141" s="394">
        <v>7712</v>
      </c>
      <c r="J141" s="232">
        <v>1937</v>
      </c>
      <c r="K141" s="232">
        <v>37319</v>
      </c>
      <c r="L141" s="232"/>
      <c r="M141" s="226">
        <v>0</v>
      </c>
      <c r="N141" s="226">
        <v>0</v>
      </c>
      <c r="O141" s="232">
        <v>4459</v>
      </c>
      <c r="P141" s="232">
        <v>4459</v>
      </c>
      <c r="Q141" s="232"/>
      <c r="R141" s="394">
        <v>35637</v>
      </c>
      <c r="S141" s="232">
        <v>-2638</v>
      </c>
      <c r="T141" s="398">
        <v>32999</v>
      </c>
      <c r="U141" s="232"/>
      <c r="V141" s="398"/>
      <c r="W141" s="398"/>
      <c r="X141" s="398">
        <v>210253</v>
      </c>
      <c r="Y141" s="398">
        <v>15018</v>
      </c>
    </row>
    <row r="142" spans="1:25">
      <c r="A142" s="392">
        <v>91214</v>
      </c>
      <c r="B142" s="393" t="s">
        <v>854</v>
      </c>
      <c r="C142" s="235">
        <v>3.5899999999999998E-5</v>
      </c>
      <c r="D142" s="235">
        <v>3.5800000000000003E-5</v>
      </c>
      <c r="E142" s="232">
        <v>128286</v>
      </c>
      <c r="F142" s="232" t="s">
        <v>1930</v>
      </c>
      <c r="G142" s="394">
        <v>16200</v>
      </c>
      <c r="H142" s="394">
        <v>18053</v>
      </c>
      <c r="I142" s="394">
        <v>9547</v>
      </c>
      <c r="J142" s="232">
        <v>462</v>
      </c>
      <c r="K142" s="232">
        <v>44262</v>
      </c>
      <c r="L142" s="232"/>
      <c r="M142" s="226">
        <v>0</v>
      </c>
      <c r="N142" s="226">
        <v>0</v>
      </c>
      <c r="O142" s="232">
        <v>5796</v>
      </c>
      <c r="P142" s="232">
        <v>5796</v>
      </c>
      <c r="Q142" s="232"/>
      <c r="R142" s="394">
        <v>44117</v>
      </c>
      <c r="S142" s="232">
        <v>-2709</v>
      </c>
      <c r="T142" s="398">
        <v>41408</v>
      </c>
      <c r="U142" s="232"/>
      <c r="V142" s="398"/>
      <c r="W142" s="398"/>
      <c r="X142" s="398">
        <v>260278</v>
      </c>
      <c r="Y142" s="398">
        <v>18591</v>
      </c>
    </row>
    <row r="143" spans="1:25">
      <c r="A143" s="392">
        <v>91217</v>
      </c>
      <c r="B143" s="393" t="s">
        <v>855</v>
      </c>
      <c r="C143" s="235">
        <v>2.12E-5</v>
      </c>
      <c r="D143" s="235">
        <v>2.0400000000000001E-5</v>
      </c>
      <c r="E143" s="232">
        <v>75757</v>
      </c>
      <c r="F143" s="232" t="s">
        <v>1930</v>
      </c>
      <c r="G143" s="394">
        <v>9567</v>
      </c>
      <c r="H143" s="394">
        <v>10660</v>
      </c>
      <c r="I143" s="394">
        <v>5638</v>
      </c>
      <c r="J143" s="232">
        <v>13836</v>
      </c>
      <c r="K143" s="232">
        <v>39701</v>
      </c>
      <c r="L143" s="232"/>
      <c r="M143" s="226">
        <v>0</v>
      </c>
      <c r="N143" s="226">
        <v>0</v>
      </c>
      <c r="O143" s="232">
        <v>1622</v>
      </c>
      <c r="P143" s="232">
        <v>1622</v>
      </c>
      <c r="Q143" s="232"/>
      <c r="R143" s="394">
        <v>26052</v>
      </c>
      <c r="S143" s="232">
        <v>5951</v>
      </c>
      <c r="T143" s="398">
        <v>32003</v>
      </c>
      <c r="U143" s="232"/>
      <c r="V143" s="398"/>
      <c r="W143" s="398"/>
      <c r="X143" s="398">
        <v>153702</v>
      </c>
      <c r="Y143" s="398">
        <v>10979</v>
      </c>
    </row>
    <row r="144" spans="1:25">
      <c r="A144" s="392">
        <v>91221</v>
      </c>
      <c r="B144" s="393" t="s">
        <v>856</v>
      </c>
      <c r="C144" s="235">
        <v>1.037E-4</v>
      </c>
      <c r="D144" s="235">
        <v>1.099E-4</v>
      </c>
      <c r="E144" s="232">
        <v>370564</v>
      </c>
      <c r="F144" s="232" t="s">
        <v>1930</v>
      </c>
      <c r="G144" s="394">
        <v>46796</v>
      </c>
      <c r="H144" s="394">
        <v>52147</v>
      </c>
      <c r="I144" s="394">
        <v>27577</v>
      </c>
      <c r="J144" s="232">
        <v>327</v>
      </c>
      <c r="K144" s="232">
        <v>126847</v>
      </c>
      <c r="L144" s="232"/>
      <c r="M144" s="226">
        <v>0</v>
      </c>
      <c r="N144" s="226">
        <v>0</v>
      </c>
      <c r="O144" s="232">
        <v>17764</v>
      </c>
      <c r="P144" s="232">
        <v>17764</v>
      </c>
      <c r="Q144" s="232"/>
      <c r="R144" s="394">
        <v>127434</v>
      </c>
      <c r="S144" s="232">
        <v>-8209</v>
      </c>
      <c r="T144" s="398">
        <v>119225</v>
      </c>
      <c r="U144" s="232"/>
      <c r="V144" s="398"/>
      <c r="W144" s="398"/>
      <c r="X144" s="398">
        <v>751835</v>
      </c>
      <c r="Y144" s="398">
        <v>53702</v>
      </c>
    </row>
    <row r="145" spans="1:25">
      <c r="A145" s="392">
        <v>91231</v>
      </c>
      <c r="B145" s="393" t="s">
        <v>857</v>
      </c>
      <c r="C145" s="235">
        <v>1.9138E-3</v>
      </c>
      <c r="D145" s="235">
        <v>1.8722999999999999E-3</v>
      </c>
      <c r="E145" s="232">
        <v>6838823</v>
      </c>
      <c r="F145" s="232" t="s">
        <v>1930</v>
      </c>
      <c r="G145" s="394">
        <v>863623</v>
      </c>
      <c r="H145" s="394">
        <v>962381</v>
      </c>
      <c r="I145" s="394">
        <v>508943</v>
      </c>
      <c r="J145" s="232">
        <v>69528</v>
      </c>
      <c r="K145" s="232">
        <v>2404475</v>
      </c>
      <c r="L145" s="232"/>
      <c r="M145" s="226">
        <v>0</v>
      </c>
      <c r="N145" s="226">
        <v>0</v>
      </c>
      <c r="O145" s="232">
        <v>29239</v>
      </c>
      <c r="P145" s="232">
        <v>29239</v>
      </c>
      <c r="Q145" s="232"/>
      <c r="R145" s="394">
        <v>2351821</v>
      </c>
      <c r="S145" s="232">
        <v>-13615</v>
      </c>
      <c r="T145" s="398">
        <v>2338206</v>
      </c>
      <c r="U145" s="232"/>
      <c r="V145" s="398"/>
      <c r="W145" s="398"/>
      <c r="X145" s="398">
        <v>13875226</v>
      </c>
      <c r="Y145" s="398">
        <v>991077</v>
      </c>
    </row>
    <row r="146" spans="1:25">
      <c r="A146" s="392">
        <v>91233</v>
      </c>
      <c r="B146" s="393" t="s">
        <v>858</v>
      </c>
      <c r="C146" s="235">
        <v>6.7899999999999997E-5</v>
      </c>
      <c r="D146" s="235">
        <v>6.1699999999999995E-5</v>
      </c>
      <c r="E146" s="232">
        <v>242636</v>
      </c>
      <c r="F146" s="232" t="s">
        <v>1930</v>
      </c>
      <c r="G146" s="394">
        <v>30641</v>
      </c>
      <c r="H146" s="394">
        <v>34144</v>
      </c>
      <c r="I146" s="394">
        <v>18057</v>
      </c>
      <c r="J146" s="232">
        <v>8146</v>
      </c>
      <c r="K146" s="232">
        <v>90988</v>
      </c>
      <c r="L146" s="232"/>
      <c r="M146" s="226">
        <v>0</v>
      </c>
      <c r="N146" s="226">
        <v>0</v>
      </c>
      <c r="O146" s="232">
        <v>3165</v>
      </c>
      <c r="P146" s="232">
        <v>3165</v>
      </c>
      <c r="Q146" s="232"/>
      <c r="R146" s="394">
        <v>83441</v>
      </c>
      <c r="S146" s="232">
        <v>1849</v>
      </c>
      <c r="T146" s="398">
        <v>85290</v>
      </c>
      <c r="U146" s="232"/>
      <c r="V146" s="398"/>
      <c r="W146" s="398"/>
      <c r="X146" s="398">
        <v>492281</v>
      </c>
      <c r="Y146" s="398">
        <v>35163</v>
      </c>
    </row>
    <row r="147" spans="1:25">
      <c r="A147" s="392">
        <v>91241</v>
      </c>
      <c r="B147" s="393" t="s">
        <v>859</v>
      </c>
      <c r="C147" s="235">
        <v>3.18E-5</v>
      </c>
      <c r="D147" s="235">
        <v>5.3499999999999999E-5</v>
      </c>
      <c r="E147" s="232">
        <v>113635</v>
      </c>
      <c r="F147" s="232" t="s">
        <v>1930</v>
      </c>
      <c r="G147" s="394">
        <v>14350</v>
      </c>
      <c r="H147" s="394">
        <v>15991</v>
      </c>
      <c r="I147" s="394">
        <v>8457</v>
      </c>
      <c r="J147" s="232">
        <v>7319</v>
      </c>
      <c r="K147" s="232">
        <v>46117</v>
      </c>
      <c r="L147" s="232"/>
      <c r="M147" s="226">
        <v>0</v>
      </c>
      <c r="N147" s="226">
        <v>0</v>
      </c>
      <c r="O147" s="232">
        <v>26513</v>
      </c>
      <c r="P147" s="232">
        <v>26513</v>
      </c>
      <c r="Q147" s="232"/>
      <c r="R147" s="394">
        <v>39078</v>
      </c>
      <c r="S147" s="232">
        <v>-6128</v>
      </c>
      <c r="T147" s="398">
        <v>32950</v>
      </c>
      <c r="U147" s="232"/>
      <c r="V147" s="398"/>
      <c r="W147" s="398"/>
      <c r="X147" s="398">
        <v>230553</v>
      </c>
      <c r="Y147" s="398">
        <v>16468</v>
      </c>
    </row>
    <row r="148" spans="1:25">
      <c r="A148" s="392">
        <v>91251</v>
      </c>
      <c r="B148" s="393" t="s">
        <v>860</v>
      </c>
      <c r="C148" s="235">
        <v>2.6599999999999999E-5</v>
      </c>
      <c r="D148" s="235">
        <v>2.0000000000000002E-5</v>
      </c>
      <c r="E148" s="232">
        <v>95053</v>
      </c>
      <c r="F148" s="232" t="s">
        <v>1930</v>
      </c>
      <c r="G148" s="394">
        <v>12004</v>
      </c>
      <c r="H148" s="394">
        <v>13376</v>
      </c>
      <c r="I148" s="394">
        <v>7074</v>
      </c>
      <c r="J148" s="232">
        <v>10898</v>
      </c>
      <c r="K148" s="232">
        <v>43352</v>
      </c>
      <c r="L148" s="232"/>
      <c r="M148" s="226">
        <v>0</v>
      </c>
      <c r="N148" s="226">
        <v>0</v>
      </c>
      <c r="O148" s="232">
        <v>6089</v>
      </c>
      <c r="P148" s="232">
        <v>6089</v>
      </c>
      <c r="Q148" s="232"/>
      <c r="R148" s="394">
        <v>32688</v>
      </c>
      <c r="S148" s="232">
        <v>1730</v>
      </c>
      <c r="T148" s="398">
        <v>34418</v>
      </c>
      <c r="U148" s="232"/>
      <c r="V148" s="398"/>
      <c r="W148" s="398"/>
      <c r="X148" s="398">
        <v>192852</v>
      </c>
      <c r="Y148" s="398">
        <v>13775</v>
      </c>
    </row>
    <row r="149" spans="1:25">
      <c r="A149" s="392">
        <v>91261</v>
      </c>
      <c r="B149" s="393" t="s">
        <v>861</v>
      </c>
      <c r="C149" s="235">
        <v>9.7999999999999993E-6</v>
      </c>
      <c r="D149" s="235">
        <v>9.7000000000000003E-6</v>
      </c>
      <c r="E149" s="232">
        <v>35020</v>
      </c>
      <c r="F149" s="232" t="s">
        <v>1930</v>
      </c>
      <c r="G149" s="394">
        <v>4422</v>
      </c>
      <c r="H149" s="394">
        <v>4928</v>
      </c>
      <c r="I149" s="394">
        <v>2606</v>
      </c>
      <c r="J149" s="232">
        <v>123</v>
      </c>
      <c r="K149" s="232">
        <v>12079</v>
      </c>
      <c r="L149" s="232"/>
      <c r="M149" s="226">
        <v>0</v>
      </c>
      <c r="N149" s="226">
        <v>0</v>
      </c>
      <c r="O149" s="232">
        <v>2210</v>
      </c>
      <c r="P149" s="232">
        <v>2210</v>
      </c>
      <c r="Q149" s="232"/>
      <c r="R149" s="394">
        <v>12043</v>
      </c>
      <c r="S149" s="232">
        <v>-490</v>
      </c>
      <c r="T149" s="398">
        <v>11553</v>
      </c>
      <c r="U149" s="232"/>
      <c r="V149" s="398"/>
      <c r="W149" s="398"/>
      <c r="X149" s="398">
        <v>71051</v>
      </c>
      <c r="Y149" s="398">
        <v>5075</v>
      </c>
    </row>
    <row r="150" spans="1:25">
      <c r="A150" s="392">
        <v>91301</v>
      </c>
      <c r="B150" s="393" t="s">
        <v>862</v>
      </c>
      <c r="C150" s="235">
        <v>8.2746E-3</v>
      </c>
      <c r="D150" s="235">
        <v>7.9497999999999999E-3</v>
      </c>
      <c r="E150" s="232">
        <v>29568671</v>
      </c>
      <c r="F150" s="232" t="s">
        <v>1930</v>
      </c>
      <c r="G150" s="394">
        <v>3734004</v>
      </c>
      <c r="H150" s="394">
        <v>4160998</v>
      </c>
      <c r="I150" s="394">
        <v>2200489</v>
      </c>
      <c r="J150" s="232">
        <v>353398</v>
      </c>
      <c r="K150" s="232">
        <v>10448889</v>
      </c>
      <c r="L150" s="232"/>
      <c r="M150" s="226">
        <v>0</v>
      </c>
      <c r="N150" s="226">
        <v>0</v>
      </c>
      <c r="O150" s="232">
        <v>74105</v>
      </c>
      <c r="P150" s="232">
        <v>74105</v>
      </c>
      <c r="Q150" s="232"/>
      <c r="R150" s="394">
        <v>10168449</v>
      </c>
      <c r="S150" s="232">
        <v>69635</v>
      </c>
      <c r="T150" s="398">
        <v>10238084</v>
      </c>
      <c r="U150" s="232"/>
      <c r="V150" s="398"/>
      <c r="W150" s="398"/>
      <c r="X150" s="398">
        <v>59991611</v>
      </c>
      <c r="Y150" s="398">
        <v>4285068</v>
      </c>
    </row>
    <row r="151" spans="1:25">
      <c r="A151" s="392">
        <v>91302</v>
      </c>
      <c r="B151" s="393" t="s">
        <v>1939</v>
      </c>
      <c r="C151" s="235">
        <v>5.0199999999999995E-4</v>
      </c>
      <c r="D151" s="235">
        <v>5.354E-4</v>
      </c>
      <c r="E151" s="232">
        <v>1793860</v>
      </c>
      <c r="F151" s="232" t="s">
        <v>1930</v>
      </c>
      <c r="G151" s="394">
        <v>226533</v>
      </c>
      <c r="H151" s="394">
        <v>252438</v>
      </c>
      <c r="I151" s="394">
        <v>133498</v>
      </c>
      <c r="J151" s="232">
        <v>0</v>
      </c>
      <c r="K151" s="232">
        <v>612469</v>
      </c>
      <c r="L151" s="232"/>
      <c r="M151" s="226">
        <v>0</v>
      </c>
      <c r="N151" s="226">
        <v>0</v>
      </c>
      <c r="O151" s="232">
        <v>70796</v>
      </c>
      <c r="P151" s="232">
        <v>70796</v>
      </c>
      <c r="Q151" s="232"/>
      <c r="R151" s="394">
        <v>616895</v>
      </c>
      <c r="S151" s="232">
        <v>-27902</v>
      </c>
      <c r="T151" s="398">
        <v>588993</v>
      </c>
      <c r="U151" s="232"/>
      <c r="V151" s="398"/>
      <c r="W151" s="398"/>
      <c r="X151" s="398">
        <v>3639546</v>
      </c>
      <c r="Y151" s="398">
        <v>259965</v>
      </c>
    </row>
    <row r="152" spans="1:25">
      <c r="A152" s="392">
        <v>91306</v>
      </c>
      <c r="B152" s="393" t="s">
        <v>864</v>
      </c>
      <c r="C152" s="235">
        <v>1.82E-3</v>
      </c>
      <c r="D152" s="235">
        <v>1.8244999999999999E-3</v>
      </c>
      <c r="E152" s="232">
        <v>6503635</v>
      </c>
      <c r="F152" s="232" t="s">
        <v>1930</v>
      </c>
      <c r="G152" s="394">
        <v>821295</v>
      </c>
      <c r="H152" s="394">
        <v>915213</v>
      </c>
      <c r="I152" s="394">
        <v>483998</v>
      </c>
      <c r="J152" s="232">
        <v>75623</v>
      </c>
      <c r="K152" s="232">
        <v>2296129</v>
      </c>
      <c r="L152" s="232"/>
      <c r="M152" s="226">
        <v>0</v>
      </c>
      <c r="N152" s="226">
        <v>0</v>
      </c>
      <c r="O152" s="232">
        <v>22085</v>
      </c>
      <c r="P152" s="232">
        <v>22085</v>
      </c>
      <c r="Q152" s="232"/>
      <c r="R152" s="394">
        <v>2236553</v>
      </c>
      <c r="S152" s="232">
        <v>44313</v>
      </c>
      <c r="T152" s="398">
        <v>2280866</v>
      </c>
      <c r="U152" s="232"/>
      <c r="V152" s="398"/>
      <c r="W152" s="398"/>
      <c r="X152" s="398">
        <v>13195167</v>
      </c>
      <c r="Y152" s="398">
        <v>942502</v>
      </c>
    </row>
    <row r="153" spans="1:25">
      <c r="A153" s="392">
        <v>91308</v>
      </c>
      <c r="B153" s="393" t="s">
        <v>865</v>
      </c>
      <c r="C153" s="235">
        <v>1.6229999999999999E-4</v>
      </c>
      <c r="D153" s="235">
        <v>1.7009999999999999E-4</v>
      </c>
      <c r="E153" s="232">
        <v>579967</v>
      </c>
      <c r="F153" s="232" t="s">
        <v>1930</v>
      </c>
      <c r="G153" s="394">
        <v>73240</v>
      </c>
      <c r="H153" s="394">
        <v>81615</v>
      </c>
      <c r="I153" s="394">
        <v>43161</v>
      </c>
      <c r="J153" s="232">
        <v>0</v>
      </c>
      <c r="K153" s="232">
        <v>198016</v>
      </c>
      <c r="L153" s="232"/>
      <c r="M153" s="226">
        <v>0</v>
      </c>
      <c r="N153" s="226">
        <v>0</v>
      </c>
      <c r="O153" s="232">
        <v>26663</v>
      </c>
      <c r="P153" s="232">
        <v>26663</v>
      </c>
      <c r="Q153" s="232"/>
      <c r="R153" s="394">
        <v>199446</v>
      </c>
      <c r="S153" s="232">
        <v>-12593</v>
      </c>
      <c r="T153" s="398">
        <v>186853</v>
      </c>
      <c r="U153" s="232"/>
      <c r="V153" s="398"/>
      <c r="W153" s="398"/>
      <c r="X153" s="398">
        <v>1176690</v>
      </c>
      <c r="Y153" s="398">
        <v>84048</v>
      </c>
    </row>
    <row r="154" spans="1:25">
      <c r="A154" s="392">
        <v>91311</v>
      </c>
      <c r="B154" s="393" t="s">
        <v>866</v>
      </c>
      <c r="C154" s="235">
        <v>8.4355999999999997E-3</v>
      </c>
      <c r="D154" s="235">
        <v>7.9030000000000003E-3</v>
      </c>
      <c r="E154" s="232">
        <v>30143992</v>
      </c>
      <c r="F154" s="232" t="s">
        <v>1930</v>
      </c>
      <c r="G154" s="394">
        <v>3806657</v>
      </c>
      <c r="H154" s="394">
        <v>4241960</v>
      </c>
      <c r="I154" s="394">
        <v>2243304</v>
      </c>
      <c r="J154" s="232">
        <v>625963</v>
      </c>
      <c r="K154" s="232">
        <v>10917884</v>
      </c>
      <c r="L154" s="232"/>
      <c r="M154" s="226">
        <v>0</v>
      </c>
      <c r="N154" s="226">
        <v>0</v>
      </c>
      <c r="O154" s="232">
        <v>80965</v>
      </c>
      <c r="P154" s="232">
        <v>80965</v>
      </c>
      <c r="Q154" s="232"/>
      <c r="R154" s="394">
        <v>10366298</v>
      </c>
      <c r="S154" s="232">
        <v>72958</v>
      </c>
      <c r="T154" s="398">
        <v>10439256</v>
      </c>
      <c r="U154" s="232"/>
      <c r="V154" s="398"/>
      <c r="W154" s="398"/>
      <c r="X154" s="398">
        <v>61158876</v>
      </c>
      <c r="Y154" s="398">
        <v>4368443</v>
      </c>
    </row>
    <row r="155" spans="1:25">
      <c r="A155" s="392">
        <v>91317</v>
      </c>
      <c r="B155" s="393" t="s">
        <v>867</v>
      </c>
      <c r="C155" s="235">
        <v>1.27E-4</v>
      </c>
      <c r="D155" s="235">
        <v>1.015E-4</v>
      </c>
      <c r="E155" s="232">
        <v>453825</v>
      </c>
      <c r="F155" s="232" t="s">
        <v>1930</v>
      </c>
      <c r="G155" s="394">
        <v>57310</v>
      </c>
      <c r="H155" s="394">
        <v>63864</v>
      </c>
      <c r="I155" s="394">
        <v>33773</v>
      </c>
      <c r="J155" s="232">
        <v>55718</v>
      </c>
      <c r="K155" s="232">
        <v>210665</v>
      </c>
      <c r="L155" s="232"/>
      <c r="M155" s="226">
        <v>0</v>
      </c>
      <c r="N155" s="226">
        <v>0</v>
      </c>
      <c r="O155" s="232">
        <v>0</v>
      </c>
      <c r="P155" s="232">
        <v>0</v>
      </c>
      <c r="Q155" s="232"/>
      <c r="R155" s="394">
        <v>156067</v>
      </c>
      <c r="S155" s="232">
        <v>20433</v>
      </c>
      <c r="T155" s="398">
        <v>176500</v>
      </c>
      <c r="U155" s="232"/>
      <c r="V155" s="398"/>
      <c r="W155" s="398"/>
      <c r="X155" s="398">
        <v>920762</v>
      </c>
      <c r="Y155" s="398">
        <v>65768</v>
      </c>
    </row>
    <row r="156" spans="1:25">
      <c r="A156" s="392">
        <v>91321</v>
      </c>
      <c r="B156" s="393" t="s">
        <v>868</v>
      </c>
      <c r="C156" s="235">
        <v>6.9300000000000004E-5</v>
      </c>
      <c r="D156" s="235">
        <v>5.3600000000000002E-5</v>
      </c>
      <c r="E156" s="232">
        <v>247638</v>
      </c>
      <c r="F156" s="232" t="s">
        <v>1930</v>
      </c>
      <c r="G156" s="394">
        <v>31272</v>
      </c>
      <c r="H156" s="394">
        <v>34848</v>
      </c>
      <c r="I156" s="394">
        <v>18429</v>
      </c>
      <c r="J156" s="232">
        <v>49027</v>
      </c>
      <c r="K156" s="232">
        <v>133576</v>
      </c>
      <c r="L156" s="232"/>
      <c r="M156" s="226">
        <v>0</v>
      </c>
      <c r="N156" s="226">
        <v>0</v>
      </c>
      <c r="O156" s="232">
        <v>0</v>
      </c>
      <c r="P156" s="232">
        <v>0</v>
      </c>
      <c r="Q156" s="232"/>
      <c r="R156" s="394">
        <v>85161</v>
      </c>
      <c r="S156" s="232">
        <v>21739</v>
      </c>
      <c r="T156" s="398">
        <v>106900</v>
      </c>
      <c r="U156" s="232"/>
      <c r="V156" s="398"/>
      <c r="W156" s="398"/>
      <c r="X156" s="398">
        <v>502431</v>
      </c>
      <c r="Y156" s="398">
        <v>35888</v>
      </c>
    </row>
    <row r="157" spans="1:25">
      <c r="A157" s="392">
        <v>91327</v>
      </c>
      <c r="B157" s="393" t="s">
        <v>869</v>
      </c>
      <c r="C157" s="235">
        <v>0</v>
      </c>
      <c r="D157" s="235">
        <v>1.0900000000000001E-5</v>
      </c>
      <c r="E157" s="232">
        <v>0</v>
      </c>
      <c r="F157" s="232" t="s">
        <v>1930</v>
      </c>
      <c r="G157" s="394">
        <v>0</v>
      </c>
      <c r="H157" s="394">
        <v>0</v>
      </c>
      <c r="I157" s="394">
        <v>0</v>
      </c>
      <c r="J157" s="232">
        <v>2337</v>
      </c>
      <c r="K157" s="232">
        <v>2337</v>
      </c>
      <c r="L157" s="232"/>
      <c r="M157" s="226">
        <v>0</v>
      </c>
      <c r="N157" s="226">
        <v>0</v>
      </c>
      <c r="O157" s="232">
        <v>13003</v>
      </c>
      <c r="P157" s="232">
        <v>13003</v>
      </c>
      <c r="Q157" s="232"/>
      <c r="R157" s="394">
        <v>0</v>
      </c>
      <c r="S157" s="232">
        <v>-3791</v>
      </c>
      <c r="T157" s="398">
        <v>-3791</v>
      </c>
      <c r="U157" s="232"/>
      <c r="V157" s="398"/>
      <c r="W157" s="398"/>
      <c r="X157" s="398">
        <v>0</v>
      </c>
      <c r="Y157" s="398">
        <v>0</v>
      </c>
    </row>
    <row r="158" spans="1:25">
      <c r="A158" s="392">
        <v>91331</v>
      </c>
      <c r="B158" s="393" t="s">
        <v>870</v>
      </c>
      <c r="C158" s="235">
        <v>3.0620999999999999E-3</v>
      </c>
      <c r="D158" s="235">
        <v>2.9286E-3</v>
      </c>
      <c r="E158" s="232">
        <v>10942188</v>
      </c>
      <c r="F158" s="232" t="s">
        <v>1930</v>
      </c>
      <c r="G158" s="394">
        <v>1381806</v>
      </c>
      <c r="H158" s="394">
        <v>1539820</v>
      </c>
      <c r="I158" s="394">
        <v>814313</v>
      </c>
      <c r="J158" s="232">
        <v>62641</v>
      </c>
      <c r="K158" s="232">
        <v>3798580</v>
      </c>
      <c r="L158" s="232"/>
      <c r="M158" s="226">
        <v>0</v>
      </c>
      <c r="N158" s="226">
        <v>0</v>
      </c>
      <c r="O158" s="232">
        <v>204368</v>
      </c>
      <c r="P158" s="232">
        <v>204368</v>
      </c>
      <c r="Q158" s="232"/>
      <c r="R158" s="394">
        <v>3762938</v>
      </c>
      <c r="S158" s="232">
        <v>-112225</v>
      </c>
      <c r="T158" s="398">
        <v>3650713</v>
      </c>
      <c r="U158" s="232"/>
      <c r="V158" s="398"/>
      <c r="W158" s="398"/>
      <c r="X158" s="398">
        <v>22200507</v>
      </c>
      <c r="Y158" s="398">
        <v>1585733</v>
      </c>
    </row>
    <row r="159" spans="1:25">
      <c r="A159" s="392">
        <v>91341</v>
      </c>
      <c r="B159" s="393" t="s">
        <v>871</v>
      </c>
      <c r="C159" s="235">
        <v>3.6900000000000002E-5</v>
      </c>
      <c r="D159" s="235">
        <v>3.79E-5</v>
      </c>
      <c r="E159" s="232">
        <v>131859</v>
      </c>
      <c r="F159" s="232" t="s">
        <v>1930</v>
      </c>
      <c r="G159" s="394">
        <v>16652</v>
      </c>
      <c r="H159" s="394">
        <v>18555</v>
      </c>
      <c r="I159" s="394">
        <v>9813</v>
      </c>
      <c r="J159" s="232">
        <v>8900</v>
      </c>
      <c r="K159" s="232">
        <v>53920</v>
      </c>
      <c r="L159" s="232"/>
      <c r="M159" s="226">
        <v>0</v>
      </c>
      <c r="N159" s="226">
        <v>0</v>
      </c>
      <c r="O159" s="232">
        <v>3973</v>
      </c>
      <c r="P159" s="232">
        <v>3973</v>
      </c>
      <c r="Q159" s="232"/>
      <c r="R159" s="394">
        <v>45345</v>
      </c>
      <c r="S159" s="232">
        <v>2117</v>
      </c>
      <c r="T159" s="398">
        <v>47462</v>
      </c>
      <c r="U159" s="232"/>
      <c r="V159" s="398"/>
      <c r="W159" s="398"/>
      <c r="X159" s="398">
        <v>267528</v>
      </c>
      <c r="Y159" s="398">
        <v>19109</v>
      </c>
    </row>
    <row r="160" spans="1:25">
      <c r="A160" s="392">
        <v>91401</v>
      </c>
      <c r="B160" s="393" t="s">
        <v>872</v>
      </c>
      <c r="C160" s="235">
        <v>3.7696000000000001E-3</v>
      </c>
      <c r="D160" s="235">
        <v>3.3915999999999998E-3</v>
      </c>
      <c r="E160" s="232">
        <v>13470387</v>
      </c>
      <c r="F160" s="232" t="s">
        <v>1930</v>
      </c>
      <c r="G160" s="394">
        <v>1701073</v>
      </c>
      <c r="H160" s="394">
        <v>1895596</v>
      </c>
      <c r="I160" s="394">
        <v>1002461</v>
      </c>
      <c r="J160" s="232">
        <v>457432</v>
      </c>
      <c r="K160" s="232">
        <v>5056562</v>
      </c>
      <c r="L160" s="232"/>
      <c r="M160" s="226">
        <v>0</v>
      </c>
      <c r="N160" s="226">
        <v>0</v>
      </c>
      <c r="O160" s="232">
        <v>144506</v>
      </c>
      <c r="P160" s="232">
        <v>144506</v>
      </c>
      <c r="Q160" s="232"/>
      <c r="R160" s="394">
        <v>4632367</v>
      </c>
      <c r="S160" s="232">
        <v>72281</v>
      </c>
      <c r="T160" s="398">
        <v>4704648</v>
      </c>
      <c r="U160" s="232"/>
      <c r="V160" s="398"/>
      <c r="W160" s="398"/>
      <c r="X160" s="398">
        <v>27329947</v>
      </c>
      <c r="Y160" s="398">
        <v>1952118</v>
      </c>
    </row>
    <row r="161" spans="1:25">
      <c r="A161" s="392">
        <v>91411</v>
      </c>
      <c r="B161" s="393" t="s">
        <v>873</v>
      </c>
      <c r="C161" s="235">
        <v>4.0089999999999999E-4</v>
      </c>
      <c r="D161" s="235">
        <v>3.9639999999999999E-4</v>
      </c>
      <c r="E161" s="232">
        <v>1432586</v>
      </c>
      <c r="F161" s="232" t="s">
        <v>1930</v>
      </c>
      <c r="G161" s="394">
        <v>180911</v>
      </c>
      <c r="H161" s="394">
        <v>201599</v>
      </c>
      <c r="I161" s="394">
        <v>106613</v>
      </c>
      <c r="J161" s="232">
        <v>8558</v>
      </c>
      <c r="K161" s="232">
        <v>497681</v>
      </c>
      <c r="L161" s="232"/>
      <c r="M161" s="226">
        <v>0</v>
      </c>
      <c r="N161" s="226">
        <v>0</v>
      </c>
      <c r="O161" s="232">
        <v>0</v>
      </c>
      <c r="P161" s="232">
        <v>0</v>
      </c>
      <c r="Q161" s="232"/>
      <c r="R161" s="394">
        <v>492656</v>
      </c>
      <c r="S161" s="232">
        <v>9337</v>
      </c>
      <c r="T161" s="398">
        <v>501993</v>
      </c>
      <c r="U161" s="232"/>
      <c r="V161" s="398"/>
      <c r="W161" s="398"/>
      <c r="X161" s="398">
        <v>2906562</v>
      </c>
      <c r="Y161" s="398">
        <v>207609</v>
      </c>
    </row>
    <row r="162" spans="1:25">
      <c r="A162" s="392">
        <v>91414</v>
      </c>
      <c r="B162" s="393" t="s">
        <v>3614</v>
      </c>
      <c r="C162" s="235">
        <v>2.4499999999999999E-5</v>
      </c>
      <c r="D162" s="235">
        <v>2.2200000000000001E-5</v>
      </c>
      <c r="E162" s="232">
        <v>87549</v>
      </c>
      <c r="F162" s="232"/>
      <c r="G162" s="394">
        <v>11056</v>
      </c>
      <c r="H162" s="394">
        <v>12320</v>
      </c>
      <c r="I162" s="394">
        <v>6515</v>
      </c>
      <c r="J162" s="232">
        <v>18555</v>
      </c>
      <c r="K162" s="232">
        <v>48446</v>
      </c>
      <c r="L162" s="232"/>
      <c r="M162" s="226">
        <v>0</v>
      </c>
      <c r="N162" s="226">
        <v>0</v>
      </c>
      <c r="O162" s="232">
        <v>0</v>
      </c>
      <c r="P162" s="232">
        <v>0</v>
      </c>
      <c r="Q162" s="232"/>
      <c r="R162" s="394">
        <v>30107</v>
      </c>
      <c r="S162" s="232">
        <v>6185</v>
      </c>
      <c r="T162" s="398">
        <v>36292</v>
      </c>
      <c r="U162" s="232"/>
      <c r="V162" s="398"/>
      <c r="W162" s="398"/>
      <c r="X162" s="398">
        <v>177627</v>
      </c>
      <c r="Y162" s="398">
        <v>12688</v>
      </c>
    </row>
    <row r="163" spans="1:25">
      <c r="A163" s="392">
        <v>91417</v>
      </c>
      <c r="B163" s="393" t="s">
        <v>874</v>
      </c>
      <c r="C163" s="235">
        <v>6.1E-6</v>
      </c>
      <c r="D163" s="235">
        <v>7.3000000000000004E-6</v>
      </c>
      <c r="E163" s="232">
        <v>21798</v>
      </c>
      <c r="F163" s="232" t="s">
        <v>1930</v>
      </c>
      <c r="G163" s="394">
        <v>2753</v>
      </c>
      <c r="H163" s="394">
        <v>3068</v>
      </c>
      <c r="I163" s="394">
        <v>1622</v>
      </c>
      <c r="J163" s="232">
        <v>1901</v>
      </c>
      <c r="K163" s="232">
        <v>9344</v>
      </c>
      <c r="L163" s="232"/>
      <c r="M163" s="226">
        <v>0</v>
      </c>
      <c r="N163" s="226">
        <v>0</v>
      </c>
      <c r="O163" s="232">
        <v>0</v>
      </c>
      <c r="P163" s="232">
        <v>0</v>
      </c>
      <c r="Q163" s="232"/>
      <c r="R163" s="394">
        <v>7496</v>
      </c>
      <c r="S163" s="232">
        <v>810</v>
      </c>
      <c r="T163" s="398">
        <v>8306</v>
      </c>
      <c r="U163" s="232"/>
      <c r="V163" s="398"/>
      <c r="W163" s="398"/>
      <c r="X163" s="398">
        <v>44226</v>
      </c>
      <c r="Y163" s="398">
        <v>3159</v>
      </c>
    </row>
    <row r="164" spans="1:25">
      <c r="A164" s="392">
        <v>91421</v>
      </c>
      <c r="B164" s="393" t="s">
        <v>875</v>
      </c>
      <c r="C164" s="235">
        <v>6.8300000000000007E-5</v>
      </c>
      <c r="D164" s="235">
        <v>6.69E-5</v>
      </c>
      <c r="E164" s="232">
        <v>244065</v>
      </c>
      <c r="F164" s="232" t="s">
        <v>1930</v>
      </c>
      <c r="G164" s="394">
        <v>30821</v>
      </c>
      <c r="H164" s="394">
        <v>34346</v>
      </c>
      <c r="I164" s="394">
        <v>18163</v>
      </c>
      <c r="J164" s="232">
        <v>8442</v>
      </c>
      <c r="K164" s="232">
        <v>91772</v>
      </c>
      <c r="L164" s="232"/>
      <c r="M164" s="226">
        <v>0</v>
      </c>
      <c r="N164" s="226">
        <v>0</v>
      </c>
      <c r="O164" s="232">
        <v>442</v>
      </c>
      <c r="P164" s="232">
        <v>442</v>
      </c>
      <c r="Q164" s="232"/>
      <c r="R164" s="394">
        <v>83932</v>
      </c>
      <c r="S164" s="232">
        <v>3522</v>
      </c>
      <c r="T164" s="398">
        <v>87454</v>
      </c>
      <c r="U164" s="232"/>
      <c r="V164" s="398"/>
      <c r="W164" s="398"/>
      <c r="X164" s="398">
        <v>495181</v>
      </c>
      <c r="Y164" s="398">
        <v>35370</v>
      </c>
    </row>
    <row r="165" spans="1:25">
      <c r="A165" s="392">
        <v>91423</v>
      </c>
      <c r="B165" s="393" t="s">
        <v>876</v>
      </c>
      <c r="C165" s="235">
        <v>5.6199999999999997E-5</v>
      </c>
      <c r="D165" s="235">
        <v>5.2899999999999998E-5</v>
      </c>
      <c r="E165" s="232">
        <v>200827</v>
      </c>
      <c r="F165" s="232" t="s">
        <v>1930</v>
      </c>
      <c r="G165" s="394">
        <v>25361</v>
      </c>
      <c r="H165" s="394">
        <v>28261</v>
      </c>
      <c r="I165" s="394">
        <v>14945</v>
      </c>
      <c r="J165" s="232">
        <v>4480</v>
      </c>
      <c r="K165" s="232">
        <v>73047</v>
      </c>
      <c r="L165" s="232"/>
      <c r="M165" s="226">
        <v>0</v>
      </c>
      <c r="N165" s="226">
        <v>0</v>
      </c>
      <c r="O165" s="232">
        <v>3425</v>
      </c>
      <c r="P165" s="232">
        <v>3425</v>
      </c>
      <c r="Q165" s="232"/>
      <c r="R165" s="394">
        <v>69063</v>
      </c>
      <c r="S165" s="232">
        <v>1051</v>
      </c>
      <c r="T165" s="398">
        <v>70114</v>
      </c>
      <c r="U165" s="232"/>
      <c r="V165" s="398"/>
      <c r="W165" s="398"/>
      <c r="X165" s="398">
        <v>407455</v>
      </c>
      <c r="Y165" s="398">
        <v>29104</v>
      </c>
    </row>
    <row r="166" spans="1:25">
      <c r="A166" s="392">
        <v>91431</v>
      </c>
      <c r="B166" s="393" t="s">
        <v>877</v>
      </c>
      <c r="C166" s="235">
        <v>1.7760000000000001E-4</v>
      </c>
      <c r="D166" s="235">
        <v>1.819E-4</v>
      </c>
      <c r="E166" s="232">
        <v>634640</v>
      </c>
      <c r="F166" s="232" t="s">
        <v>1930</v>
      </c>
      <c r="G166" s="394">
        <v>80144</v>
      </c>
      <c r="H166" s="394">
        <v>89309</v>
      </c>
      <c r="I166" s="394">
        <v>47230</v>
      </c>
      <c r="J166" s="232">
        <v>23536</v>
      </c>
      <c r="K166" s="232">
        <v>240219</v>
      </c>
      <c r="L166" s="232"/>
      <c r="M166" s="226">
        <v>0</v>
      </c>
      <c r="N166" s="226">
        <v>0</v>
      </c>
      <c r="O166" s="232">
        <v>2225</v>
      </c>
      <c r="P166" s="232">
        <v>2225</v>
      </c>
      <c r="Q166" s="232"/>
      <c r="R166" s="394">
        <v>218248</v>
      </c>
      <c r="S166" s="232">
        <v>10372</v>
      </c>
      <c r="T166" s="398">
        <v>228620</v>
      </c>
      <c r="U166" s="232"/>
      <c r="V166" s="398"/>
      <c r="W166" s="398"/>
      <c r="X166" s="398">
        <v>1287616</v>
      </c>
      <c r="Y166" s="398">
        <v>91972</v>
      </c>
    </row>
    <row r="167" spans="1:25">
      <c r="A167" s="392">
        <v>91441</v>
      </c>
      <c r="B167" s="393" t="s">
        <v>878</v>
      </c>
      <c r="C167" s="235">
        <v>9.5500000000000001E-4</v>
      </c>
      <c r="D167" s="235">
        <v>9.8020000000000008E-4</v>
      </c>
      <c r="E167" s="232">
        <v>3412622</v>
      </c>
      <c r="F167" s="232" t="s">
        <v>1930</v>
      </c>
      <c r="G167" s="394">
        <v>430954</v>
      </c>
      <c r="H167" s="394">
        <v>480235</v>
      </c>
      <c r="I167" s="394">
        <v>253966</v>
      </c>
      <c r="J167" s="232">
        <v>11737</v>
      </c>
      <c r="K167" s="232">
        <v>1176892</v>
      </c>
      <c r="L167" s="232"/>
      <c r="M167" s="226">
        <v>0</v>
      </c>
      <c r="N167" s="226">
        <v>0</v>
      </c>
      <c r="O167" s="232">
        <v>213184</v>
      </c>
      <c r="P167" s="232">
        <v>213184</v>
      </c>
      <c r="Q167" s="232"/>
      <c r="R167" s="394">
        <v>1173576</v>
      </c>
      <c r="S167" s="232">
        <v>-85519</v>
      </c>
      <c r="T167" s="398">
        <v>1088057</v>
      </c>
      <c r="U167" s="232"/>
      <c r="V167" s="398"/>
      <c r="W167" s="398"/>
      <c r="X167" s="398">
        <v>6923838</v>
      </c>
      <c r="Y167" s="398">
        <v>494554</v>
      </c>
    </row>
    <row r="168" spans="1:25">
      <c r="A168" s="392">
        <v>91451</v>
      </c>
      <c r="B168" s="393" t="s">
        <v>879</v>
      </c>
      <c r="C168" s="235">
        <v>1.5448E-3</v>
      </c>
      <c r="D168" s="235">
        <v>1.5533999999999999E-3</v>
      </c>
      <c r="E168" s="232">
        <v>5520228</v>
      </c>
      <c r="F168" s="232" t="s">
        <v>1930</v>
      </c>
      <c r="G168" s="394">
        <v>697108</v>
      </c>
      <c r="H168" s="394">
        <v>776824</v>
      </c>
      <c r="I168" s="394">
        <v>410813</v>
      </c>
      <c r="J168" s="232">
        <v>24806</v>
      </c>
      <c r="K168" s="232">
        <v>1909551</v>
      </c>
      <c r="L168" s="232"/>
      <c r="M168" s="226">
        <v>0</v>
      </c>
      <c r="N168" s="226">
        <v>0</v>
      </c>
      <c r="O168" s="232">
        <v>33045</v>
      </c>
      <c r="P168" s="232">
        <v>33045</v>
      </c>
      <c r="Q168" s="232"/>
      <c r="R168" s="394">
        <v>1898366</v>
      </c>
      <c r="S168" s="232">
        <v>-38491</v>
      </c>
      <c r="T168" s="398">
        <v>1859875</v>
      </c>
      <c r="U168" s="232"/>
      <c r="V168" s="398"/>
      <c r="W168" s="398"/>
      <c r="X168" s="398">
        <v>11199942</v>
      </c>
      <c r="Y168" s="398">
        <v>799987</v>
      </c>
    </row>
    <row r="169" spans="1:25">
      <c r="A169" s="392">
        <v>91457</v>
      </c>
      <c r="B169" s="393" t="s">
        <v>880</v>
      </c>
      <c r="C169" s="235">
        <v>1.4100000000000001E-5</v>
      </c>
      <c r="D169" s="235">
        <v>1.5500000000000001E-5</v>
      </c>
      <c r="E169" s="232">
        <v>50385</v>
      </c>
      <c r="F169" s="232" t="s">
        <v>1930</v>
      </c>
      <c r="G169" s="394">
        <v>6363</v>
      </c>
      <c r="H169" s="394">
        <v>7090</v>
      </c>
      <c r="I169" s="394">
        <v>3750</v>
      </c>
      <c r="J169" s="232">
        <v>25115</v>
      </c>
      <c r="K169" s="232">
        <v>42318</v>
      </c>
      <c r="L169" s="232"/>
      <c r="M169" s="226">
        <v>0</v>
      </c>
      <c r="N169" s="226">
        <v>0</v>
      </c>
      <c r="O169" s="232">
        <v>0</v>
      </c>
      <c r="P169" s="232">
        <v>0</v>
      </c>
      <c r="Q169" s="232"/>
      <c r="R169" s="394">
        <v>17327</v>
      </c>
      <c r="S169" s="232">
        <v>14908</v>
      </c>
      <c r="T169" s="398">
        <v>32235</v>
      </c>
      <c r="U169" s="232"/>
      <c r="V169" s="398"/>
      <c r="W169" s="398"/>
      <c r="X169" s="398">
        <v>102226</v>
      </c>
      <c r="Y169" s="398">
        <v>7302</v>
      </c>
    </row>
    <row r="170" spans="1:25">
      <c r="A170" s="392">
        <v>91461</v>
      </c>
      <c r="B170" s="393" t="s">
        <v>881</v>
      </c>
      <c r="C170" s="235">
        <v>0</v>
      </c>
      <c r="D170" s="235">
        <v>9.5000000000000005E-6</v>
      </c>
      <c r="E170" s="232">
        <v>0</v>
      </c>
      <c r="F170" s="232" t="s">
        <v>1930</v>
      </c>
      <c r="G170" s="394">
        <v>0</v>
      </c>
      <c r="H170" s="394">
        <v>0</v>
      </c>
      <c r="I170" s="394">
        <v>0</v>
      </c>
      <c r="J170" s="232">
        <v>0</v>
      </c>
      <c r="K170" s="232">
        <v>0</v>
      </c>
      <c r="L170" s="232"/>
      <c r="M170" s="226">
        <v>0</v>
      </c>
      <c r="N170" s="226">
        <v>0</v>
      </c>
      <c r="O170" s="232">
        <v>14146</v>
      </c>
      <c r="P170" s="232">
        <v>14146</v>
      </c>
      <c r="Q170" s="232"/>
      <c r="R170" s="394">
        <v>0</v>
      </c>
      <c r="S170" s="232">
        <v>-4791</v>
      </c>
      <c r="T170" s="398">
        <v>-4791</v>
      </c>
      <c r="U170" s="232"/>
      <c r="V170" s="398"/>
      <c r="W170" s="398"/>
      <c r="X170" s="398">
        <v>0</v>
      </c>
      <c r="Y170" s="398">
        <v>0</v>
      </c>
    </row>
    <row r="171" spans="1:25">
      <c r="A171" s="392">
        <v>91501</v>
      </c>
      <c r="B171" s="393" t="s">
        <v>882</v>
      </c>
      <c r="C171" s="235">
        <v>4.9739999999999995E-4</v>
      </c>
      <c r="D171" s="235">
        <v>5.1179999999999997E-4</v>
      </c>
      <c r="E171" s="232">
        <v>1777422</v>
      </c>
      <c r="F171" s="232" t="s">
        <v>1930</v>
      </c>
      <c r="G171" s="394">
        <v>224457</v>
      </c>
      <c r="H171" s="394">
        <v>250124</v>
      </c>
      <c r="I171" s="394">
        <v>132275</v>
      </c>
      <c r="J171" s="232">
        <v>22270</v>
      </c>
      <c r="K171" s="232">
        <v>629126</v>
      </c>
      <c r="L171" s="232"/>
      <c r="M171" s="226">
        <v>0</v>
      </c>
      <c r="N171" s="226">
        <v>0</v>
      </c>
      <c r="O171" s="232">
        <v>26734</v>
      </c>
      <c r="P171" s="232">
        <v>26734</v>
      </c>
      <c r="Q171" s="232"/>
      <c r="R171" s="394">
        <v>611242</v>
      </c>
      <c r="S171" s="232">
        <v>-1475</v>
      </c>
      <c r="T171" s="398">
        <v>609767</v>
      </c>
      <c r="U171" s="232"/>
      <c r="V171" s="398"/>
      <c r="W171" s="398"/>
      <c r="X171" s="398">
        <v>3606196</v>
      </c>
      <c r="Y171" s="398">
        <v>257583</v>
      </c>
    </row>
    <row r="172" spans="1:25">
      <c r="A172" s="392">
        <v>91504</v>
      </c>
      <c r="B172" s="393" t="s">
        <v>883</v>
      </c>
      <c r="C172" s="235">
        <v>8.1000000000000004E-6</v>
      </c>
      <c r="D172" s="235">
        <v>8.3999999999999992E-6</v>
      </c>
      <c r="E172" s="232">
        <v>28945</v>
      </c>
      <c r="F172" s="232" t="s">
        <v>1930</v>
      </c>
      <c r="G172" s="394">
        <v>3655</v>
      </c>
      <c r="H172" s="394">
        <v>4074</v>
      </c>
      <c r="I172" s="394">
        <v>2154</v>
      </c>
      <c r="J172" s="232">
        <v>4287</v>
      </c>
      <c r="K172" s="232">
        <v>14170</v>
      </c>
      <c r="L172" s="232"/>
      <c r="M172" s="226">
        <v>0</v>
      </c>
      <c r="N172" s="226">
        <v>0</v>
      </c>
      <c r="O172" s="232">
        <v>0</v>
      </c>
      <c r="P172" s="232">
        <v>0</v>
      </c>
      <c r="Q172" s="232"/>
      <c r="R172" s="394">
        <v>9954</v>
      </c>
      <c r="S172" s="232">
        <v>2157</v>
      </c>
      <c r="T172" s="398">
        <v>12111</v>
      </c>
      <c r="U172" s="232"/>
      <c r="V172" s="398"/>
      <c r="W172" s="398"/>
      <c r="X172" s="398">
        <v>58726</v>
      </c>
      <c r="Y172" s="398">
        <v>4195</v>
      </c>
    </row>
    <row r="173" spans="1:25">
      <c r="A173" s="392">
        <v>91601</v>
      </c>
      <c r="B173" s="393" t="s">
        <v>884</v>
      </c>
      <c r="C173" s="235">
        <v>2.8121999999999999E-3</v>
      </c>
      <c r="D173" s="235">
        <v>3.0071E-3</v>
      </c>
      <c r="E173" s="232">
        <v>10049189</v>
      </c>
      <c r="F173" s="232" t="s">
        <v>1930</v>
      </c>
      <c r="G173" s="394">
        <v>1269036</v>
      </c>
      <c r="H173" s="394">
        <v>1414154</v>
      </c>
      <c r="I173" s="394">
        <v>747857</v>
      </c>
      <c r="J173" s="232">
        <v>171115</v>
      </c>
      <c r="K173" s="232">
        <v>3602162</v>
      </c>
      <c r="L173" s="232"/>
      <c r="M173" s="226">
        <v>0</v>
      </c>
      <c r="N173" s="226">
        <v>0</v>
      </c>
      <c r="O173" s="232">
        <v>170176</v>
      </c>
      <c r="P173" s="232">
        <v>170176</v>
      </c>
      <c r="Q173" s="232"/>
      <c r="R173" s="394">
        <v>3455842</v>
      </c>
      <c r="S173" s="232">
        <v>24611</v>
      </c>
      <c r="T173" s="398">
        <v>3480453</v>
      </c>
      <c r="U173" s="232"/>
      <c r="V173" s="398"/>
      <c r="W173" s="398"/>
      <c r="X173" s="398">
        <v>20388709</v>
      </c>
      <c r="Y173" s="398">
        <v>1456320</v>
      </c>
    </row>
    <row r="174" spans="1:25">
      <c r="A174" s="392">
        <v>91604</v>
      </c>
      <c r="B174" s="393" t="s">
        <v>885</v>
      </c>
      <c r="C174" s="235">
        <v>8.1600000000000005E-5</v>
      </c>
      <c r="D174" s="235">
        <v>8.5599999999999994E-5</v>
      </c>
      <c r="E174" s="232">
        <v>291592</v>
      </c>
      <c r="F174" s="232" t="s">
        <v>1930</v>
      </c>
      <c r="G174" s="394">
        <v>36823</v>
      </c>
      <c r="H174" s="394">
        <v>41033</v>
      </c>
      <c r="I174" s="394">
        <v>21700</v>
      </c>
      <c r="J174" s="232">
        <v>26940</v>
      </c>
      <c r="K174" s="232">
        <v>126496</v>
      </c>
      <c r="L174" s="232"/>
      <c r="M174" s="226">
        <v>0</v>
      </c>
      <c r="N174" s="226">
        <v>0</v>
      </c>
      <c r="O174" s="232">
        <v>0</v>
      </c>
      <c r="P174" s="232">
        <v>0</v>
      </c>
      <c r="Q174" s="232"/>
      <c r="R174" s="394">
        <v>100276</v>
      </c>
      <c r="S174" s="232">
        <v>13475</v>
      </c>
      <c r="T174" s="398">
        <v>113751</v>
      </c>
      <c r="U174" s="232"/>
      <c r="V174" s="398"/>
      <c r="W174" s="398"/>
      <c r="X174" s="398">
        <v>591608</v>
      </c>
      <c r="Y174" s="398">
        <v>42257</v>
      </c>
    </row>
    <row r="175" spans="1:25">
      <c r="A175" s="392">
        <v>91608</v>
      </c>
      <c r="B175" s="393" t="s">
        <v>886</v>
      </c>
      <c r="C175" s="235">
        <v>1.7579999999999999E-4</v>
      </c>
      <c r="D175" s="235">
        <v>1.5420000000000001E-4</v>
      </c>
      <c r="E175" s="232">
        <v>628208</v>
      </c>
      <c r="F175" s="232" t="s">
        <v>1930</v>
      </c>
      <c r="G175" s="394">
        <v>79332</v>
      </c>
      <c r="H175" s="394">
        <v>88404</v>
      </c>
      <c r="I175" s="394">
        <v>46751</v>
      </c>
      <c r="J175" s="232">
        <v>3971</v>
      </c>
      <c r="K175" s="232">
        <v>218458</v>
      </c>
      <c r="L175" s="232"/>
      <c r="M175" s="226">
        <v>0</v>
      </c>
      <c r="N175" s="226">
        <v>0</v>
      </c>
      <c r="O175" s="232">
        <v>25203</v>
      </c>
      <c r="P175" s="232">
        <v>25203</v>
      </c>
      <c r="Q175" s="232"/>
      <c r="R175" s="394">
        <v>216036</v>
      </c>
      <c r="S175" s="232">
        <v>-10660</v>
      </c>
      <c r="T175" s="398">
        <v>205376</v>
      </c>
      <c r="U175" s="232"/>
      <c r="V175" s="398"/>
      <c r="W175" s="398"/>
      <c r="X175" s="398">
        <v>1274566</v>
      </c>
      <c r="Y175" s="398">
        <v>91039</v>
      </c>
    </row>
    <row r="176" spans="1:25">
      <c r="A176" s="392">
        <v>91611</v>
      </c>
      <c r="B176" s="393" t="s">
        <v>887</v>
      </c>
      <c r="C176" s="235">
        <v>1.4962E-3</v>
      </c>
      <c r="D176" s="235">
        <v>1.4658E-3</v>
      </c>
      <c r="E176" s="232">
        <v>5346560</v>
      </c>
      <c r="F176" s="232" t="s">
        <v>1930</v>
      </c>
      <c r="G176" s="394">
        <v>675177</v>
      </c>
      <c r="H176" s="394">
        <v>752385</v>
      </c>
      <c r="I176" s="394">
        <v>397889</v>
      </c>
      <c r="J176" s="232">
        <v>0</v>
      </c>
      <c r="K176" s="232">
        <v>1825451</v>
      </c>
      <c r="L176" s="232"/>
      <c r="M176" s="226">
        <v>0</v>
      </c>
      <c r="N176" s="226">
        <v>0</v>
      </c>
      <c r="O176" s="232">
        <v>135172</v>
      </c>
      <c r="P176" s="232">
        <v>135172</v>
      </c>
      <c r="Q176" s="232"/>
      <c r="R176" s="394">
        <v>1838643</v>
      </c>
      <c r="S176" s="232">
        <v>-63036</v>
      </c>
      <c r="T176" s="398">
        <v>1775607</v>
      </c>
      <c r="U176" s="232"/>
      <c r="V176" s="398"/>
      <c r="W176" s="398"/>
      <c r="X176" s="398">
        <v>10847588</v>
      </c>
      <c r="Y176" s="398">
        <v>774819</v>
      </c>
    </row>
    <row r="177" spans="1:25">
      <c r="A177" s="392">
        <v>91621</v>
      </c>
      <c r="B177" s="393" t="s">
        <v>888</v>
      </c>
      <c r="C177" s="235">
        <v>2.7169999999999999E-4</v>
      </c>
      <c r="D177" s="235">
        <v>2.418E-4</v>
      </c>
      <c r="E177" s="232">
        <v>970900</v>
      </c>
      <c r="F177" s="232" t="s">
        <v>1930</v>
      </c>
      <c r="G177" s="394">
        <v>122608</v>
      </c>
      <c r="H177" s="394">
        <v>136629</v>
      </c>
      <c r="I177" s="394">
        <v>72254</v>
      </c>
      <c r="J177" s="232">
        <v>35127</v>
      </c>
      <c r="K177" s="232">
        <v>366618</v>
      </c>
      <c r="L177" s="232"/>
      <c r="M177" s="226">
        <v>0</v>
      </c>
      <c r="N177" s="226">
        <v>0</v>
      </c>
      <c r="O177" s="232">
        <v>16509</v>
      </c>
      <c r="P177" s="232">
        <v>16509</v>
      </c>
      <c r="Q177" s="232"/>
      <c r="R177" s="394">
        <v>333885</v>
      </c>
      <c r="S177" s="232">
        <v>4168</v>
      </c>
      <c r="T177" s="398">
        <v>338053</v>
      </c>
      <c r="U177" s="232"/>
      <c r="V177" s="398"/>
      <c r="W177" s="398"/>
      <c r="X177" s="398">
        <v>1969850</v>
      </c>
      <c r="Y177" s="398">
        <v>140702</v>
      </c>
    </row>
    <row r="178" spans="1:25">
      <c r="A178" s="392">
        <v>91631</v>
      </c>
      <c r="B178" s="393" t="s">
        <v>889</v>
      </c>
      <c r="C178" s="235">
        <v>6.4579999999999998E-4</v>
      </c>
      <c r="D178" s="235">
        <v>5.9349999999999995E-4</v>
      </c>
      <c r="E178" s="232">
        <v>2307719</v>
      </c>
      <c r="F178" s="232" t="s">
        <v>1930</v>
      </c>
      <c r="G178" s="394">
        <v>291424</v>
      </c>
      <c r="H178" s="394">
        <v>324750</v>
      </c>
      <c r="I178" s="394">
        <v>171740</v>
      </c>
      <c r="J178" s="232">
        <v>61915</v>
      </c>
      <c r="K178" s="232">
        <v>849829</v>
      </c>
      <c r="L178" s="232"/>
      <c r="M178" s="226">
        <v>0</v>
      </c>
      <c r="N178" s="226">
        <v>0</v>
      </c>
      <c r="O178" s="232">
        <v>8657</v>
      </c>
      <c r="P178" s="232">
        <v>8657</v>
      </c>
      <c r="Q178" s="232"/>
      <c r="R178" s="394">
        <v>793607</v>
      </c>
      <c r="S178" s="232">
        <v>6121</v>
      </c>
      <c r="T178" s="398">
        <v>799728</v>
      </c>
      <c r="U178" s="232"/>
      <c r="V178" s="398"/>
      <c r="W178" s="398"/>
      <c r="X178" s="398">
        <v>4682109</v>
      </c>
      <c r="Y178" s="398">
        <v>334433</v>
      </c>
    </row>
    <row r="179" spans="1:25">
      <c r="A179" s="392">
        <v>91633</v>
      </c>
      <c r="B179" s="393" t="s">
        <v>890</v>
      </c>
      <c r="C179" s="235">
        <v>3.0499999999999999E-5</v>
      </c>
      <c r="D179" s="235">
        <v>3.15E-5</v>
      </c>
      <c r="E179" s="232">
        <v>108989</v>
      </c>
      <c r="F179" s="232" t="s">
        <v>1930</v>
      </c>
      <c r="G179" s="394">
        <v>13763</v>
      </c>
      <c r="H179" s="394">
        <v>15338</v>
      </c>
      <c r="I179" s="394">
        <v>8111</v>
      </c>
      <c r="J179" s="232">
        <v>6572</v>
      </c>
      <c r="K179" s="232">
        <v>43784</v>
      </c>
      <c r="L179" s="232"/>
      <c r="M179" s="226">
        <v>0</v>
      </c>
      <c r="N179" s="226">
        <v>0</v>
      </c>
      <c r="O179" s="232">
        <v>4611</v>
      </c>
      <c r="P179" s="232">
        <v>4611</v>
      </c>
      <c r="Q179" s="232"/>
      <c r="R179" s="394">
        <v>37481</v>
      </c>
      <c r="S179" s="232">
        <v>732</v>
      </c>
      <c r="T179" s="398">
        <v>38213</v>
      </c>
      <c r="U179" s="232"/>
      <c r="V179" s="398"/>
      <c r="W179" s="398"/>
      <c r="X179" s="398">
        <v>221128</v>
      </c>
      <c r="Y179" s="398">
        <v>15795</v>
      </c>
    </row>
    <row r="180" spans="1:25">
      <c r="A180" s="392">
        <v>91641</v>
      </c>
      <c r="B180" s="393" t="s">
        <v>891</v>
      </c>
      <c r="C180" s="235">
        <v>3.0420000000000002E-4</v>
      </c>
      <c r="D180" s="235">
        <v>2.8519999999999999E-4</v>
      </c>
      <c r="E180" s="232">
        <v>1087036</v>
      </c>
      <c r="F180" s="232" t="s">
        <v>1930</v>
      </c>
      <c r="G180" s="394">
        <v>137274</v>
      </c>
      <c r="H180" s="394">
        <v>152971</v>
      </c>
      <c r="I180" s="394">
        <v>80897</v>
      </c>
      <c r="J180" s="232">
        <v>5474</v>
      </c>
      <c r="K180" s="232">
        <v>376616</v>
      </c>
      <c r="L180" s="232"/>
      <c r="M180" s="226">
        <v>0</v>
      </c>
      <c r="N180" s="226">
        <v>0</v>
      </c>
      <c r="O180" s="232">
        <v>23886</v>
      </c>
      <c r="P180" s="232">
        <v>23886</v>
      </c>
      <c r="Q180" s="232"/>
      <c r="R180" s="394">
        <v>373824</v>
      </c>
      <c r="S180" s="232">
        <v>-19247</v>
      </c>
      <c r="T180" s="398">
        <v>354577</v>
      </c>
      <c r="U180" s="232"/>
      <c r="V180" s="398"/>
      <c r="W180" s="398"/>
      <c r="X180" s="398">
        <v>2205478</v>
      </c>
      <c r="Y180" s="398">
        <v>157532</v>
      </c>
    </row>
    <row r="181" spans="1:25">
      <c r="A181" s="392">
        <v>91651</v>
      </c>
      <c r="B181" s="393" t="s">
        <v>892</v>
      </c>
      <c r="C181" s="235">
        <v>5.3629999999999997E-4</v>
      </c>
      <c r="D181" s="235">
        <v>5.4049999999999996E-4</v>
      </c>
      <c r="E181" s="232">
        <v>1916428</v>
      </c>
      <c r="F181" s="232" t="s">
        <v>1930</v>
      </c>
      <c r="G181" s="394">
        <v>242011</v>
      </c>
      <c r="H181" s="394">
        <v>269686</v>
      </c>
      <c r="I181" s="394">
        <v>142620</v>
      </c>
      <c r="J181" s="232">
        <v>52407</v>
      </c>
      <c r="K181" s="232">
        <v>706724</v>
      </c>
      <c r="L181" s="232"/>
      <c r="M181" s="226">
        <v>0</v>
      </c>
      <c r="N181" s="226">
        <v>0</v>
      </c>
      <c r="O181" s="232">
        <v>9654</v>
      </c>
      <c r="P181" s="232">
        <v>9654</v>
      </c>
      <c r="Q181" s="232"/>
      <c r="R181" s="394">
        <v>659046</v>
      </c>
      <c r="S181" s="232">
        <v>11130</v>
      </c>
      <c r="T181" s="398">
        <v>670176</v>
      </c>
      <c r="U181" s="232"/>
      <c r="V181" s="398"/>
      <c r="W181" s="398"/>
      <c r="X181" s="398">
        <v>3888224</v>
      </c>
      <c r="Y181" s="398">
        <v>277727</v>
      </c>
    </row>
    <row r="182" spans="1:25">
      <c r="A182" s="392">
        <v>91661</v>
      </c>
      <c r="B182" s="393" t="s">
        <v>893</v>
      </c>
      <c r="C182" s="235">
        <v>1.985E-4</v>
      </c>
      <c r="D182" s="235">
        <v>1.8760000000000001E-4</v>
      </c>
      <c r="E182" s="232">
        <v>709325</v>
      </c>
      <c r="F182" s="232" t="s">
        <v>1930</v>
      </c>
      <c r="G182" s="394">
        <v>89575</v>
      </c>
      <c r="H182" s="394">
        <v>99818</v>
      </c>
      <c r="I182" s="394">
        <v>52788</v>
      </c>
      <c r="J182" s="232">
        <v>0</v>
      </c>
      <c r="K182" s="232">
        <v>242181</v>
      </c>
      <c r="L182" s="232"/>
      <c r="M182" s="226">
        <v>0</v>
      </c>
      <c r="N182" s="226">
        <v>0</v>
      </c>
      <c r="O182" s="232">
        <v>26417</v>
      </c>
      <c r="P182" s="232">
        <v>26417</v>
      </c>
      <c r="Q182" s="232"/>
      <c r="R182" s="394">
        <v>243932</v>
      </c>
      <c r="S182" s="232">
        <v>-18226</v>
      </c>
      <c r="T182" s="398">
        <v>225706</v>
      </c>
      <c r="U182" s="232"/>
      <c r="V182" s="398"/>
      <c r="W182" s="398"/>
      <c r="X182" s="398">
        <v>1439143</v>
      </c>
      <c r="Y182" s="398">
        <v>102795</v>
      </c>
    </row>
    <row r="183" spans="1:25">
      <c r="A183" s="392">
        <v>91671</v>
      </c>
      <c r="B183" s="393" t="s">
        <v>894</v>
      </c>
      <c r="C183" s="235">
        <v>9.3700000000000001E-5</v>
      </c>
      <c r="D183" s="235">
        <v>1.076E-4</v>
      </c>
      <c r="E183" s="232">
        <v>334830</v>
      </c>
      <c r="F183" s="232" t="s">
        <v>1930</v>
      </c>
      <c r="G183" s="394">
        <v>42283</v>
      </c>
      <c r="H183" s="394">
        <v>47118</v>
      </c>
      <c r="I183" s="394">
        <v>24918</v>
      </c>
      <c r="J183" s="232">
        <v>2639</v>
      </c>
      <c r="K183" s="232">
        <v>116958</v>
      </c>
      <c r="L183" s="232"/>
      <c r="M183" s="226">
        <v>0</v>
      </c>
      <c r="N183" s="226">
        <v>0</v>
      </c>
      <c r="O183" s="232">
        <v>32011</v>
      </c>
      <c r="P183" s="232">
        <v>32011</v>
      </c>
      <c r="Q183" s="232"/>
      <c r="R183" s="394">
        <v>115146</v>
      </c>
      <c r="S183" s="232">
        <v>-8552</v>
      </c>
      <c r="T183" s="398">
        <v>106594</v>
      </c>
      <c r="U183" s="232"/>
      <c r="V183" s="398"/>
      <c r="W183" s="398"/>
      <c r="X183" s="398">
        <v>679334</v>
      </c>
      <c r="Y183" s="398">
        <v>48523</v>
      </c>
    </row>
    <row r="184" spans="1:25">
      <c r="A184" s="392">
        <v>91681</v>
      </c>
      <c r="B184" s="393" t="s">
        <v>895</v>
      </c>
      <c r="C184" s="235">
        <v>4.6890000000000001E-4</v>
      </c>
      <c r="D184" s="235">
        <v>4.5909999999999999E-4</v>
      </c>
      <c r="E184" s="232">
        <v>1675579</v>
      </c>
      <c r="F184" s="232" t="s">
        <v>1930</v>
      </c>
      <c r="G184" s="394">
        <v>211596</v>
      </c>
      <c r="H184" s="394">
        <v>235793</v>
      </c>
      <c r="I184" s="394">
        <v>124696</v>
      </c>
      <c r="J184" s="232">
        <v>203898</v>
      </c>
      <c r="K184" s="232">
        <v>775983</v>
      </c>
      <c r="L184" s="232"/>
      <c r="M184" s="226">
        <v>0</v>
      </c>
      <c r="N184" s="226">
        <v>0</v>
      </c>
      <c r="O184" s="232">
        <v>4157</v>
      </c>
      <c r="P184" s="232">
        <v>4157</v>
      </c>
      <c r="Q184" s="232"/>
      <c r="R184" s="394">
        <v>576219</v>
      </c>
      <c r="S184" s="232">
        <v>123553</v>
      </c>
      <c r="T184" s="398">
        <v>699772</v>
      </c>
      <c r="U184" s="232"/>
      <c r="V184" s="398"/>
      <c r="W184" s="398"/>
      <c r="X184" s="398">
        <v>3399568</v>
      </c>
      <c r="Y184" s="398">
        <v>242824</v>
      </c>
    </row>
    <row r="185" spans="1:25">
      <c r="A185" s="392">
        <v>91691</v>
      </c>
      <c r="B185" s="393" t="s">
        <v>896</v>
      </c>
      <c r="C185" s="235">
        <v>1.42E-5</v>
      </c>
      <c r="D185" s="235">
        <v>2.2900000000000001E-5</v>
      </c>
      <c r="E185" s="232">
        <v>50743</v>
      </c>
      <c r="F185" s="232" t="s">
        <v>1930</v>
      </c>
      <c r="G185" s="394">
        <v>6408</v>
      </c>
      <c r="H185" s="394">
        <v>7140</v>
      </c>
      <c r="I185" s="394">
        <v>3776</v>
      </c>
      <c r="J185" s="232">
        <v>1532</v>
      </c>
      <c r="K185" s="232">
        <v>18856</v>
      </c>
      <c r="L185" s="232"/>
      <c r="M185" s="226">
        <v>0</v>
      </c>
      <c r="N185" s="226">
        <v>0</v>
      </c>
      <c r="O185" s="232">
        <v>5065</v>
      </c>
      <c r="P185" s="232">
        <v>5065</v>
      </c>
      <c r="Q185" s="232"/>
      <c r="R185" s="394">
        <v>17450</v>
      </c>
      <c r="S185" s="232">
        <v>-865</v>
      </c>
      <c r="T185" s="398">
        <v>16585</v>
      </c>
      <c r="U185" s="232"/>
      <c r="V185" s="398"/>
      <c r="W185" s="398"/>
      <c r="X185" s="398">
        <v>102951</v>
      </c>
      <c r="Y185" s="398">
        <v>7354</v>
      </c>
    </row>
    <row r="186" spans="1:25">
      <c r="A186" s="392">
        <v>91701</v>
      </c>
      <c r="B186" s="393" t="s">
        <v>897</v>
      </c>
      <c r="C186" s="235">
        <v>1.1245999999999999E-3</v>
      </c>
      <c r="D186" s="235">
        <v>1.1343E-3</v>
      </c>
      <c r="E186" s="232">
        <v>4018675</v>
      </c>
      <c r="F186" s="232" t="s">
        <v>1930</v>
      </c>
      <c r="G186" s="394">
        <v>507488</v>
      </c>
      <c r="H186" s="394">
        <v>565521</v>
      </c>
      <c r="I186" s="394">
        <v>299068</v>
      </c>
      <c r="J186" s="232">
        <v>20317</v>
      </c>
      <c r="K186" s="232">
        <v>1392394</v>
      </c>
      <c r="L186" s="232"/>
      <c r="M186" s="226">
        <v>0</v>
      </c>
      <c r="N186" s="226">
        <v>0</v>
      </c>
      <c r="O186" s="232">
        <v>98356</v>
      </c>
      <c r="P186" s="232">
        <v>98356</v>
      </c>
      <c r="Q186" s="232"/>
      <c r="R186" s="394">
        <v>1381993</v>
      </c>
      <c r="S186" s="232">
        <v>-11757</v>
      </c>
      <c r="T186" s="398">
        <v>1370236</v>
      </c>
      <c r="U186" s="232"/>
      <c r="V186" s="398"/>
      <c r="W186" s="398"/>
      <c r="X186" s="398">
        <v>8153453</v>
      </c>
      <c r="Y186" s="398">
        <v>582383</v>
      </c>
    </row>
    <row r="187" spans="1:25">
      <c r="A187" s="392">
        <v>91704</v>
      </c>
      <c r="B187" s="393" t="s">
        <v>898</v>
      </c>
      <c r="C187" s="235">
        <v>1.66E-5</v>
      </c>
      <c r="D187" s="235">
        <v>1.7600000000000001E-5</v>
      </c>
      <c r="E187" s="232">
        <v>59319</v>
      </c>
      <c r="F187" s="232" t="s">
        <v>1930</v>
      </c>
      <c r="G187" s="394">
        <v>7491</v>
      </c>
      <c r="H187" s="394">
        <v>8348</v>
      </c>
      <c r="I187" s="394">
        <v>4414</v>
      </c>
      <c r="J187" s="232">
        <v>506</v>
      </c>
      <c r="K187" s="232">
        <v>20759</v>
      </c>
      <c r="L187" s="232"/>
      <c r="M187" s="226">
        <v>0</v>
      </c>
      <c r="N187" s="226">
        <v>0</v>
      </c>
      <c r="O187" s="232">
        <v>22</v>
      </c>
      <c r="P187" s="232">
        <v>22</v>
      </c>
      <c r="Q187" s="232"/>
      <c r="R187" s="394">
        <v>20399</v>
      </c>
      <c r="S187" s="232">
        <v>201</v>
      </c>
      <c r="T187" s="398">
        <v>20600</v>
      </c>
      <c r="U187" s="232"/>
      <c r="V187" s="398"/>
      <c r="W187" s="398"/>
      <c r="X187" s="398">
        <v>120352</v>
      </c>
      <c r="Y187" s="398">
        <v>8596</v>
      </c>
    </row>
    <row r="188" spans="1:25">
      <c r="A188" s="392">
        <v>91706</v>
      </c>
      <c r="B188" s="393" t="s">
        <v>899</v>
      </c>
      <c r="C188" s="235">
        <v>2.231E-4</v>
      </c>
      <c r="D188" s="235">
        <v>2.543E-4</v>
      </c>
      <c r="E188" s="232">
        <v>797231</v>
      </c>
      <c r="F188" s="232" t="s">
        <v>1930</v>
      </c>
      <c r="G188" s="394">
        <v>100676</v>
      </c>
      <c r="H188" s="394">
        <v>112189</v>
      </c>
      <c r="I188" s="394">
        <v>59330</v>
      </c>
      <c r="J188" s="232">
        <v>40310</v>
      </c>
      <c r="K188" s="232">
        <v>312505</v>
      </c>
      <c r="L188" s="232"/>
      <c r="M188" s="226">
        <v>0</v>
      </c>
      <c r="N188" s="226">
        <v>0</v>
      </c>
      <c r="O188" s="232">
        <v>25754</v>
      </c>
      <c r="P188" s="232">
        <v>25754</v>
      </c>
      <c r="Q188" s="232"/>
      <c r="R188" s="394">
        <v>274162</v>
      </c>
      <c r="S188" s="232">
        <v>7994</v>
      </c>
      <c r="T188" s="398">
        <v>282156</v>
      </c>
      <c r="U188" s="232"/>
      <c r="V188" s="398"/>
      <c r="W188" s="398"/>
      <c r="X188" s="398">
        <v>1617496</v>
      </c>
      <c r="Y188" s="398">
        <v>115534</v>
      </c>
    </row>
    <row r="189" spans="1:25">
      <c r="A189" s="392">
        <v>91719</v>
      </c>
      <c r="B189" s="393" t="s">
        <v>900</v>
      </c>
      <c r="C189" s="235">
        <v>5.5999999999999999E-5</v>
      </c>
      <c r="D189" s="235">
        <v>5.6700000000000003E-5</v>
      </c>
      <c r="E189" s="232">
        <v>200112</v>
      </c>
      <c r="F189" s="232" t="s">
        <v>1930</v>
      </c>
      <c r="G189" s="394">
        <v>25271</v>
      </c>
      <c r="H189" s="394">
        <v>28160</v>
      </c>
      <c r="I189" s="394">
        <v>14892</v>
      </c>
      <c r="J189" s="232">
        <v>267</v>
      </c>
      <c r="K189" s="232">
        <v>68590</v>
      </c>
      <c r="L189" s="232"/>
      <c r="M189" s="226">
        <v>0</v>
      </c>
      <c r="N189" s="226">
        <v>0</v>
      </c>
      <c r="O189" s="232">
        <v>10068</v>
      </c>
      <c r="P189" s="232">
        <v>10068</v>
      </c>
      <c r="Q189" s="232"/>
      <c r="R189" s="394">
        <v>68817</v>
      </c>
      <c r="S189" s="232">
        <v>-3768</v>
      </c>
      <c r="T189" s="398">
        <v>65049</v>
      </c>
      <c r="U189" s="232"/>
      <c r="V189" s="398"/>
      <c r="W189" s="398"/>
      <c r="X189" s="398">
        <v>406005</v>
      </c>
      <c r="Y189" s="398">
        <v>29000</v>
      </c>
    </row>
    <row r="190" spans="1:25">
      <c r="A190" s="392">
        <v>91801</v>
      </c>
      <c r="B190" s="393" t="s">
        <v>901</v>
      </c>
      <c r="C190" s="235">
        <v>7.6594000000000002E-3</v>
      </c>
      <c r="D190" s="235">
        <v>7.5972000000000001E-3</v>
      </c>
      <c r="E190" s="232">
        <v>27370299</v>
      </c>
      <c r="F190" s="232" t="s">
        <v>1930</v>
      </c>
      <c r="G190" s="394">
        <v>3456389</v>
      </c>
      <c r="H190" s="394">
        <v>3851636</v>
      </c>
      <c r="I190" s="394">
        <v>2036887</v>
      </c>
      <c r="J190" s="232">
        <v>127625</v>
      </c>
      <c r="K190" s="232">
        <v>9472537</v>
      </c>
      <c r="L190" s="232"/>
      <c r="M190" s="226">
        <v>0</v>
      </c>
      <c r="N190" s="226">
        <v>0</v>
      </c>
      <c r="O190" s="232">
        <v>311886</v>
      </c>
      <c r="P190" s="232">
        <v>311886</v>
      </c>
      <c r="Q190" s="232"/>
      <c r="R190" s="394">
        <v>9412445</v>
      </c>
      <c r="S190" s="232">
        <v>-114152</v>
      </c>
      <c r="T190" s="398">
        <v>9298293</v>
      </c>
      <c r="U190" s="232"/>
      <c r="V190" s="398"/>
      <c r="W190" s="398"/>
      <c r="X190" s="398">
        <v>55531355</v>
      </c>
      <c r="Y190" s="398">
        <v>3966482</v>
      </c>
    </row>
    <row r="191" spans="1:25">
      <c r="A191" s="392">
        <v>91804</v>
      </c>
      <c r="B191" s="393" t="s">
        <v>902</v>
      </c>
      <c r="C191" s="235">
        <v>1.382E-4</v>
      </c>
      <c r="D191" s="235">
        <v>1.2459999999999999E-4</v>
      </c>
      <c r="E191" s="232">
        <v>493847</v>
      </c>
      <c r="F191" s="232" t="s">
        <v>1930</v>
      </c>
      <c r="G191" s="394">
        <v>62364</v>
      </c>
      <c r="H191" s="394">
        <v>69496</v>
      </c>
      <c r="I191" s="394">
        <v>36752</v>
      </c>
      <c r="J191" s="232">
        <v>87131</v>
      </c>
      <c r="K191" s="232">
        <v>255743</v>
      </c>
      <c r="L191" s="232"/>
      <c r="M191" s="226">
        <v>0</v>
      </c>
      <c r="N191" s="226">
        <v>0</v>
      </c>
      <c r="O191" s="232">
        <v>0</v>
      </c>
      <c r="P191" s="232">
        <v>0</v>
      </c>
      <c r="Q191" s="232"/>
      <c r="R191" s="394">
        <v>169831</v>
      </c>
      <c r="S191" s="232">
        <v>40975</v>
      </c>
      <c r="T191" s="398">
        <v>210806</v>
      </c>
      <c r="U191" s="232"/>
      <c r="V191" s="398"/>
      <c r="W191" s="398"/>
      <c r="X191" s="398">
        <v>1001963</v>
      </c>
      <c r="Y191" s="398">
        <v>71568</v>
      </c>
    </row>
    <row r="192" spans="1:25">
      <c r="A192" s="392">
        <v>91811</v>
      </c>
      <c r="B192" s="393" t="s">
        <v>903</v>
      </c>
      <c r="C192" s="235">
        <v>4.3679000000000001E-3</v>
      </c>
      <c r="D192" s="235">
        <v>4.2429E-3</v>
      </c>
      <c r="E192" s="232">
        <v>15608367</v>
      </c>
      <c r="F192" s="232" t="s">
        <v>1930</v>
      </c>
      <c r="G192" s="394">
        <v>1971063</v>
      </c>
      <c r="H192" s="394">
        <v>2196459</v>
      </c>
      <c r="I192" s="394">
        <v>1161569</v>
      </c>
      <c r="J192" s="232">
        <v>112065</v>
      </c>
      <c r="K192" s="232">
        <v>5441156</v>
      </c>
      <c r="L192" s="232"/>
      <c r="M192" s="226">
        <v>0</v>
      </c>
      <c r="N192" s="226">
        <v>0</v>
      </c>
      <c r="O192" s="232">
        <v>272288</v>
      </c>
      <c r="P192" s="232">
        <v>272288</v>
      </c>
      <c r="Q192" s="232"/>
      <c r="R192" s="394">
        <v>5367603</v>
      </c>
      <c r="S192" s="232">
        <v>-167068</v>
      </c>
      <c r="T192" s="398">
        <v>5200535</v>
      </c>
      <c r="U192" s="232"/>
      <c r="V192" s="398"/>
      <c r="W192" s="398"/>
      <c r="X192" s="398">
        <v>31667677</v>
      </c>
      <c r="Y192" s="398">
        <v>2261952</v>
      </c>
    </row>
    <row r="193" spans="1:25">
      <c r="A193" s="392">
        <v>91812</v>
      </c>
      <c r="B193" s="393" t="s">
        <v>904</v>
      </c>
      <c r="C193" s="235">
        <v>5.7299999999999997E-5</v>
      </c>
      <c r="D193" s="235">
        <v>4.5599999999999997E-5</v>
      </c>
      <c r="E193" s="232">
        <v>204757</v>
      </c>
      <c r="F193" s="232" t="s">
        <v>1930</v>
      </c>
      <c r="G193" s="394">
        <v>25857</v>
      </c>
      <c r="H193" s="394">
        <v>28814</v>
      </c>
      <c r="I193" s="394">
        <v>15238</v>
      </c>
      <c r="J193" s="232">
        <v>21600</v>
      </c>
      <c r="K193" s="232">
        <v>91509</v>
      </c>
      <c r="L193" s="232"/>
      <c r="M193" s="226">
        <v>0</v>
      </c>
      <c r="N193" s="226">
        <v>0</v>
      </c>
      <c r="O193" s="232">
        <v>2547</v>
      </c>
      <c r="P193" s="232">
        <v>2547</v>
      </c>
      <c r="Q193" s="232"/>
      <c r="R193" s="394">
        <v>70415</v>
      </c>
      <c r="S193" s="232">
        <v>8363</v>
      </c>
      <c r="T193" s="398">
        <v>78778</v>
      </c>
      <c r="U193" s="232"/>
      <c r="V193" s="398"/>
      <c r="W193" s="398"/>
      <c r="X193" s="398">
        <v>415430</v>
      </c>
      <c r="Y193" s="398">
        <v>29673</v>
      </c>
    </row>
    <row r="194" spans="1:25">
      <c r="A194" s="392">
        <v>91813</v>
      </c>
      <c r="B194" s="393" t="s">
        <v>905</v>
      </c>
      <c r="C194" s="235">
        <v>7.7299999999999995E-5</v>
      </c>
      <c r="D194" s="235">
        <v>7.1500000000000003E-5</v>
      </c>
      <c r="E194" s="232">
        <v>276226</v>
      </c>
      <c r="F194" s="232" t="s">
        <v>1930</v>
      </c>
      <c r="G194" s="394">
        <v>34882</v>
      </c>
      <c r="H194" s="394">
        <v>38872</v>
      </c>
      <c r="I194" s="394">
        <v>20557</v>
      </c>
      <c r="J194" s="232">
        <v>12814</v>
      </c>
      <c r="K194" s="232">
        <v>107125</v>
      </c>
      <c r="L194" s="232"/>
      <c r="M194" s="226">
        <v>0</v>
      </c>
      <c r="N194" s="226">
        <v>0</v>
      </c>
      <c r="O194" s="232">
        <v>8483</v>
      </c>
      <c r="P194" s="232">
        <v>8483</v>
      </c>
      <c r="Q194" s="232"/>
      <c r="R194" s="394">
        <v>94992</v>
      </c>
      <c r="S194" s="232">
        <v>676</v>
      </c>
      <c r="T194" s="398">
        <v>95668</v>
      </c>
      <c r="U194" s="232"/>
      <c r="V194" s="398"/>
      <c r="W194" s="398"/>
      <c r="X194" s="398">
        <v>560432</v>
      </c>
      <c r="Y194" s="398">
        <v>40030</v>
      </c>
    </row>
    <row r="195" spans="1:25">
      <c r="A195" s="392">
        <v>91818</v>
      </c>
      <c r="B195" s="393" t="s">
        <v>906</v>
      </c>
      <c r="C195" s="235">
        <v>4.2240000000000002E-4</v>
      </c>
      <c r="D195" s="235">
        <v>4.0620000000000001E-4</v>
      </c>
      <c r="E195" s="232">
        <v>1509415</v>
      </c>
      <c r="F195" s="232" t="s">
        <v>1930</v>
      </c>
      <c r="G195" s="394">
        <v>190613</v>
      </c>
      <c r="H195" s="394">
        <v>212410</v>
      </c>
      <c r="I195" s="394">
        <v>112330</v>
      </c>
      <c r="J195" s="232">
        <v>215812</v>
      </c>
      <c r="K195" s="232">
        <v>731165</v>
      </c>
      <c r="L195" s="232"/>
      <c r="M195" s="226">
        <v>0</v>
      </c>
      <c r="N195" s="226">
        <v>0</v>
      </c>
      <c r="O195" s="232">
        <v>0</v>
      </c>
      <c r="P195" s="232">
        <v>0</v>
      </c>
      <c r="Q195" s="232"/>
      <c r="R195" s="394">
        <v>519077</v>
      </c>
      <c r="S195" s="232">
        <v>172749</v>
      </c>
      <c r="T195" s="398">
        <v>691826</v>
      </c>
      <c r="U195" s="232"/>
      <c r="V195" s="398"/>
      <c r="W195" s="398"/>
      <c r="X195" s="398">
        <v>3062439</v>
      </c>
      <c r="Y195" s="398">
        <v>218743</v>
      </c>
    </row>
    <row r="196" spans="1:25">
      <c r="A196" s="392">
        <v>91819</v>
      </c>
      <c r="B196" s="393" t="s">
        <v>907</v>
      </c>
      <c r="C196" s="235">
        <v>2.8850000000000002E-4</v>
      </c>
      <c r="D196" s="235">
        <v>3.1260000000000001E-4</v>
      </c>
      <c r="E196" s="232">
        <v>1030933</v>
      </c>
      <c r="F196" s="232" t="s">
        <v>1930</v>
      </c>
      <c r="G196" s="394">
        <v>130189</v>
      </c>
      <c r="H196" s="394">
        <v>145076</v>
      </c>
      <c r="I196" s="394">
        <v>76722</v>
      </c>
      <c r="J196" s="232">
        <v>26998</v>
      </c>
      <c r="K196" s="232">
        <v>378985</v>
      </c>
      <c r="L196" s="232"/>
      <c r="M196" s="226">
        <v>0</v>
      </c>
      <c r="N196" s="226">
        <v>0</v>
      </c>
      <c r="O196" s="232">
        <v>25921</v>
      </c>
      <c r="P196" s="232">
        <v>25921</v>
      </c>
      <c r="Q196" s="232"/>
      <c r="R196" s="394">
        <v>354530</v>
      </c>
      <c r="S196" s="232">
        <v>2141</v>
      </c>
      <c r="T196" s="398">
        <v>356671</v>
      </c>
      <c r="U196" s="232"/>
      <c r="V196" s="398"/>
      <c r="W196" s="398"/>
      <c r="X196" s="398">
        <v>2091652</v>
      </c>
      <c r="Y196" s="398">
        <v>149402</v>
      </c>
    </row>
    <row r="197" spans="1:25">
      <c r="A197" s="392">
        <v>91821</v>
      </c>
      <c r="B197" s="393" t="s">
        <v>908</v>
      </c>
      <c r="C197" s="235">
        <v>1.4750000000000001E-4</v>
      </c>
      <c r="D197" s="235">
        <v>1.6750000000000001E-4</v>
      </c>
      <c r="E197" s="232">
        <v>527080</v>
      </c>
      <c r="F197" s="232" t="s">
        <v>1930</v>
      </c>
      <c r="G197" s="394">
        <v>66561</v>
      </c>
      <c r="H197" s="394">
        <v>74173</v>
      </c>
      <c r="I197" s="394">
        <v>39225</v>
      </c>
      <c r="J197" s="232">
        <v>39</v>
      </c>
      <c r="K197" s="232">
        <v>179998</v>
      </c>
      <c r="L197" s="232"/>
      <c r="M197" s="226">
        <v>0</v>
      </c>
      <c r="N197" s="226">
        <v>0</v>
      </c>
      <c r="O197" s="232">
        <v>29573</v>
      </c>
      <c r="P197" s="232">
        <v>29573</v>
      </c>
      <c r="Q197" s="232"/>
      <c r="R197" s="394">
        <v>181259</v>
      </c>
      <c r="S197" s="232">
        <v>-10919</v>
      </c>
      <c r="T197" s="398">
        <v>170340</v>
      </c>
      <c r="U197" s="232"/>
      <c r="V197" s="398"/>
      <c r="W197" s="398"/>
      <c r="X197" s="398">
        <v>1069389</v>
      </c>
      <c r="Y197" s="398">
        <v>76384</v>
      </c>
    </row>
    <row r="198" spans="1:25">
      <c r="A198" s="392">
        <v>91831</v>
      </c>
      <c r="B198" s="393" t="s">
        <v>909</v>
      </c>
      <c r="C198" s="235">
        <v>4.3399999999999998E-4</v>
      </c>
      <c r="D198" s="235">
        <v>3.7990000000000002E-4</v>
      </c>
      <c r="E198" s="232">
        <v>1550867</v>
      </c>
      <c r="F198" s="232" t="s">
        <v>1930</v>
      </c>
      <c r="G198" s="394">
        <v>195847</v>
      </c>
      <c r="H198" s="394">
        <v>218243</v>
      </c>
      <c r="I198" s="394">
        <v>115415</v>
      </c>
      <c r="J198" s="232">
        <v>63630</v>
      </c>
      <c r="K198" s="232">
        <v>593135</v>
      </c>
      <c r="L198" s="232"/>
      <c r="M198" s="226">
        <v>0</v>
      </c>
      <c r="N198" s="226">
        <v>0</v>
      </c>
      <c r="O198" s="232">
        <v>3162</v>
      </c>
      <c r="P198" s="232">
        <v>3162</v>
      </c>
      <c r="Q198" s="232"/>
      <c r="R198" s="394">
        <v>533332</v>
      </c>
      <c r="S198" s="232">
        <v>18152</v>
      </c>
      <c r="T198" s="398">
        <v>551484</v>
      </c>
      <c r="U198" s="232"/>
      <c r="V198" s="398"/>
      <c r="W198" s="398"/>
      <c r="X198" s="398">
        <v>3146540</v>
      </c>
      <c r="Y198" s="398">
        <v>224750</v>
      </c>
    </row>
    <row r="199" spans="1:25">
      <c r="A199" s="392">
        <v>91841</v>
      </c>
      <c r="B199" s="393" t="s">
        <v>910</v>
      </c>
      <c r="C199" s="235">
        <v>2.7809999999999998E-4</v>
      </c>
      <c r="D199" s="235">
        <v>2.5090000000000003E-4</v>
      </c>
      <c r="E199" s="232">
        <v>993770</v>
      </c>
      <c r="F199" s="232" t="s">
        <v>1930</v>
      </c>
      <c r="G199" s="394">
        <v>125496</v>
      </c>
      <c r="H199" s="394">
        <v>139846</v>
      </c>
      <c r="I199" s="394">
        <v>73956</v>
      </c>
      <c r="J199" s="232">
        <v>35331</v>
      </c>
      <c r="K199" s="232">
        <v>374629</v>
      </c>
      <c r="L199" s="232"/>
      <c r="M199" s="226">
        <v>0</v>
      </c>
      <c r="N199" s="226">
        <v>0</v>
      </c>
      <c r="O199" s="232">
        <v>5578</v>
      </c>
      <c r="P199" s="232">
        <v>5578</v>
      </c>
      <c r="Q199" s="232"/>
      <c r="R199" s="394">
        <v>341750</v>
      </c>
      <c r="S199" s="232">
        <v>10109</v>
      </c>
      <c r="T199" s="398">
        <v>351859</v>
      </c>
      <c r="U199" s="232"/>
      <c r="V199" s="398"/>
      <c r="W199" s="398"/>
      <c r="X199" s="398">
        <v>2016251</v>
      </c>
      <c r="Y199" s="398">
        <v>144016</v>
      </c>
    </row>
    <row r="200" spans="1:25">
      <c r="A200" s="392">
        <v>91851</v>
      </c>
      <c r="B200" s="393" t="s">
        <v>911</v>
      </c>
      <c r="C200" s="235">
        <v>6.7429999999999996E-4</v>
      </c>
      <c r="D200" s="235">
        <v>7.004E-4</v>
      </c>
      <c r="E200" s="232">
        <v>2409561</v>
      </c>
      <c r="F200" s="232" t="s">
        <v>1930</v>
      </c>
      <c r="G200" s="394">
        <v>304285</v>
      </c>
      <c r="H200" s="394">
        <v>339081</v>
      </c>
      <c r="I200" s="394">
        <v>179319</v>
      </c>
      <c r="J200" s="232">
        <v>1365</v>
      </c>
      <c r="K200" s="232">
        <v>824050</v>
      </c>
      <c r="L200" s="232"/>
      <c r="M200" s="226">
        <v>0</v>
      </c>
      <c r="N200" s="226">
        <v>0</v>
      </c>
      <c r="O200" s="232">
        <v>25878</v>
      </c>
      <c r="P200" s="232">
        <v>25878</v>
      </c>
      <c r="Q200" s="232"/>
      <c r="R200" s="394">
        <v>828630</v>
      </c>
      <c r="S200" s="232">
        <v>-16992</v>
      </c>
      <c r="T200" s="398">
        <v>811638</v>
      </c>
      <c r="U200" s="232"/>
      <c r="V200" s="398"/>
      <c r="W200" s="398"/>
      <c r="X200" s="398">
        <v>4888737</v>
      </c>
      <c r="Y200" s="398">
        <v>349192</v>
      </c>
    </row>
    <row r="201" spans="1:25">
      <c r="A201" s="392">
        <v>91861</v>
      </c>
      <c r="B201" s="393" t="s">
        <v>912</v>
      </c>
      <c r="C201" s="235">
        <v>6.9999999999999999E-6</v>
      </c>
      <c r="D201" s="235">
        <v>7.7000000000000008E-6</v>
      </c>
      <c r="E201" s="232">
        <v>25014</v>
      </c>
      <c r="F201" s="232" t="s">
        <v>1930</v>
      </c>
      <c r="G201" s="394">
        <v>3159</v>
      </c>
      <c r="H201" s="394">
        <v>3520</v>
      </c>
      <c r="I201" s="394">
        <v>1862</v>
      </c>
      <c r="J201" s="232">
        <v>0</v>
      </c>
      <c r="K201" s="232">
        <v>8541</v>
      </c>
      <c r="L201" s="232"/>
      <c r="M201" s="226">
        <v>0</v>
      </c>
      <c r="N201" s="226">
        <v>0</v>
      </c>
      <c r="O201" s="232">
        <v>6191</v>
      </c>
      <c r="P201" s="232">
        <v>6191</v>
      </c>
      <c r="Q201" s="232"/>
      <c r="R201" s="394">
        <v>8602</v>
      </c>
      <c r="S201" s="232">
        <v>-2462</v>
      </c>
      <c r="T201" s="398">
        <v>6140</v>
      </c>
      <c r="U201" s="232"/>
      <c r="V201" s="398"/>
      <c r="W201" s="398"/>
      <c r="X201" s="398">
        <v>50751</v>
      </c>
      <c r="Y201" s="398">
        <v>3625</v>
      </c>
    </row>
    <row r="202" spans="1:25">
      <c r="A202" s="392">
        <v>91871</v>
      </c>
      <c r="B202" s="393" t="s">
        <v>913</v>
      </c>
      <c r="C202" s="235">
        <v>1.3648E-3</v>
      </c>
      <c r="D202" s="235">
        <v>1.3121000000000001E-3</v>
      </c>
      <c r="E202" s="232">
        <v>4877012</v>
      </c>
      <c r="F202" s="232" t="s">
        <v>1930</v>
      </c>
      <c r="G202" s="394">
        <v>615881</v>
      </c>
      <c r="H202" s="394">
        <v>686309</v>
      </c>
      <c r="I202" s="394">
        <v>362945</v>
      </c>
      <c r="J202" s="232">
        <v>51048</v>
      </c>
      <c r="K202" s="232">
        <v>1716183</v>
      </c>
      <c r="L202" s="232"/>
      <c r="M202" s="226">
        <v>0</v>
      </c>
      <c r="N202" s="226">
        <v>0</v>
      </c>
      <c r="O202" s="232">
        <v>28530</v>
      </c>
      <c r="P202" s="232">
        <v>28530</v>
      </c>
      <c r="Q202" s="232"/>
      <c r="R202" s="394">
        <v>1677169</v>
      </c>
      <c r="S202" s="232">
        <v>-3719</v>
      </c>
      <c r="T202" s="398">
        <v>1673450</v>
      </c>
      <c r="U202" s="232"/>
      <c r="V202" s="398"/>
      <c r="W202" s="398"/>
      <c r="X202" s="398">
        <v>9894926</v>
      </c>
      <c r="Y202" s="398">
        <v>706773</v>
      </c>
    </row>
    <row r="203" spans="1:25">
      <c r="A203" s="392">
        <v>91881</v>
      </c>
      <c r="B203" s="393" t="s">
        <v>914</v>
      </c>
      <c r="C203" s="235">
        <v>1.5E-5</v>
      </c>
      <c r="D203" s="235">
        <v>2.1399999999999998E-5</v>
      </c>
      <c r="E203" s="232">
        <v>53601</v>
      </c>
      <c r="F203" s="232" t="s">
        <v>1930</v>
      </c>
      <c r="G203" s="394">
        <v>6769</v>
      </c>
      <c r="H203" s="394">
        <v>7543</v>
      </c>
      <c r="I203" s="394">
        <v>3989</v>
      </c>
      <c r="J203" s="232">
        <v>7148</v>
      </c>
      <c r="K203" s="232">
        <v>25449</v>
      </c>
      <c r="L203" s="232"/>
      <c r="M203" s="226">
        <v>0</v>
      </c>
      <c r="N203" s="226">
        <v>0</v>
      </c>
      <c r="O203" s="232">
        <v>7117</v>
      </c>
      <c r="P203" s="232">
        <v>7117</v>
      </c>
      <c r="Q203" s="232"/>
      <c r="R203" s="394">
        <v>18433</v>
      </c>
      <c r="S203" s="232">
        <v>-854</v>
      </c>
      <c r="T203" s="398">
        <v>17579</v>
      </c>
      <c r="U203" s="232"/>
      <c r="V203" s="398"/>
      <c r="W203" s="398"/>
      <c r="X203" s="398">
        <v>108751</v>
      </c>
      <c r="Y203" s="398">
        <v>7768</v>
      </c>
    </row>
    <row r="204" spans="1:25">
      <c r="A204" s="392">
        <v>91901</v>
      </c>
      <c r="B204" s="393" t="s">
        <v>915</v>
      </c>
      <c r="C204" s="235">
        <v>3.7631000000000001E-3</v>
      </c>
      <c r="D204" s="235">
        <v>3.6947999999999998E-3</v>
      </c>
      <c r="E204" s="232">
        <v>13447159</v>
      </c>
      <c r="F204" s="232" t="s">
        <v>1930</v>
      </c>
      <c r="G204" s="394">
        <v>1698140</v>
      </c>
      <c r="H204" s="394">
        <v>1892328</v>
      </c>
      <c r="I204" s="394">
        <v>1000732</v>
      </c>
      <c r="J204" s="232">
        <v>27921</v>
      </c>
      <c r="K204" s="232">
        <v>4619121</v>
      </c>
      <c r="L204" s="232"/>
      <c r="M204" s="226">
        <v>0</v>
      </c>
      <c r="N204" s="226">
        <v>0</v>
      </c>
      <c r="O204" s="232">
        <v>55790</v>
      </c>
      <c r="P204" s="232">
        <v>55790</v>
      </c>
      <c r="Q204" s="232"/>
      <c r="R204" s="394">
        <v>4624380</v>
      </c>
      <c r="S204" s="232">
        <v>-6807</v>
      </c>
      <c r="T204" s="398">
        <v>4617573</v>
      </c>
      <c r="U204" s="232"/>
      <c r="V204" s="398"/>
      <c r="W204" s="398"/>
      <c r="X204" s="398">
        <v>27282821</v>
      </c>
      <c r="Y204" s="398">
        <v>1948751</v>
      </c>
    </row>
    <row r="205" spans="1:25">
      <c r="A205" s="392">
        <v>91903</v>
      </c>
      <c r="B205" s="393" t="s">
        <v>916</v>
      </c>
      <c r="C205" s="235">
        <v>6.1999999999999999E-6</v>
      </c>
      <c r="D205" s="235">
        <v>7.1999999999999997E-6</v>
      </c>
      <c r="E205" s="232">
        <v>22155</v>
      </c>
      <c r="F205" s="232" t="s">
        <v>1930</v>
      </c>
      <c r="G205" s="394">
        <v>2798</v>
      </c>
      <c r="H205" s="394">
        <v>3118</v>
      </c>
      <c r="I205" s="394">
        <v>1649</v>
      </c>
      <c r="J205" s="232">
        <v>3699</v>
      </c>
      <c r="K205" s="232">
        <v>11264</v>
      </c>
      <c r="L205" s="232"/>
      <c r="M205" s="226">
        <v>0</v>
      </c>
      <c r="N205" s="226">
        <v>0</v>
      </c>
      <c r="O205" s="232">
        <v>0</v>
      </c>
      <c r="P205" s="232">
        <v>0</v>
      </c>
      <c r="Q205" s="232"/>
      <c r="R205" s="394">
        <v>7619</v>
      </c>
      <c r="S205" s="232">
        <v>1692</v>
      </c>
      <c r="T205" s="398">
        <v>9311</v>
      </c>
      <c r="U205" s="232"/>
      <c r="V205" s="398"/>
      <c r="W205" s="398"/>
      <c r="X205" s="398">
        <v>44951</v>
      </c>
      <c r="Y205" s="398">
        <v>3211</v>
      </c>
    </row>
    <row r="206" spans="1:25">
      <c r="A206" s="392">
        <v>91904</v>
      </c>
      <c r="B206" s="393" t="s">
        <v>917</v>
      </c>
      <c r="C206" s="235">
        <v>4.1699999999999997E-5</v>
      </c>
      <c r="D206" s="235">
        <v>3.26E-5</v>
      </c>
      <c r="E206" s="232">
        <v>149012</v>
      </c>
      <c r="F206" s="232" t="s">
        <v>1930</v>
      </c>
      <c r="G206" s="394">
        <v>18818</v>
      </c>
      <c r="H206" s="394">
        <v>20969</v>
      </c>
      <c r="I206" s="394">
        <v>11089</v>
      </c>
      <c r="J206" s="232">
        <v>16489</v>
      </c>
      <c r="K206" s="232">
        <v>67365</v>
      </c>
      <c r="L206" s="232"/>
      <c r="M206" s="226">
        <v>0</v>
      </c>
      <c r="N206" s="226">
        <v>0</v>
      </c>
      <c r="O206" s="232">
        <v>218</v>
      </c>
      <c r="P206" s="232">
        <v>218</v>
      </c>
      <c r="Q206" s="232"/>
      <c r="R206" s="394">
        <v>51244</v>
      </c>
      <c r="S206" s="232">
        <v>7584</v>
      </c>
      <c r="T206" s="398">
        <v>58828</v>
      </c>
      <c r="U206" s="232"/>
      <c r="V206" s="398"/>
      <c r="W206" s="398"/>
      <c r="X206" s="398">
        <v>302329</v>
      </c>
      <c r="Y206" s="398">
        <v>21595</v>
      </c>
    </row>
    <row r="207" spans="1:25">
      <c r="A207" s="392">
        <v>91908</v>
      </c>
      <c r="B207" s="393" t="s">
        <v>918</v>
      </c>
      <c r="C207" s="235">
        <v>1.56E-5</v>
      </c>
      <c r="D207" s="235">
        <v>1.59E-5</v>
      </c>
      <c r="E207" s="232">
        <v>55745</v>
      </c>
      <c r="F207" s="232" t="s">
        <v>1930</v>
      </c>
      <c r="G207" s="394">
        <v>7040</v>
      </c>
      <c r="H207" s="394">
        <v>7845</v>
      </c>
      <c r="I207" s="394">
        <v>4149</v>
      </c>
      <c r="J207" s="232">
        <v>26</v>
      </c>
      <c r="K207" s="232">
        <v>19060</v>
      </c>
      <c r="L207" s="232"/>
      <c r="M207" s="226">
        <v>0</v>
      </c>
      <c r="N207" s="226">
        <v>0</v>
      </c>
      <c r="O207" s="232">
        <v>5853</v>
      </c>
      <c r="P207" s="232">
        <v>5853</v>
      </c>
      <c r="Q207" s="232"/>
      <c r="R207" s="394">
        <v>19170</v>
      </c>
      <c r="S207" s="232">
        <v>-2941</v>
      </c>
      <c r="T207" s="398">
        <v>16229</v>
      </c>
      <c r="U207" s="232"/>
      <c r="V207" s="398"/>
      <c r="W207" s="398"/>
      <c r="X207" s="398">
        <v>113101</v>
      </c>
      <c r="Y207" s="398">
        <v>8079</v>
      </c>
    </row>
    <row r="208" spans="1:25">
      <c r="A208" s="392">
        <v>91911</v>
      </c>
      <c r="B208" s="393" t="s">
        <v>919</v>
      </c>
      <c r="C208" s="235">
        <v>5.4620000000000005E-4</v>
      </c>
      <c r="D208" s="235">
        <v>4.46E-4</v>
      </c>
      <c r="E208" s="232">
        <v>1951805</v>
      </c>
      <c r="F208" s="232" t="s">
        <v>1930</v>
      </c>
      <c r="G208" s="394">
        <v>246479</v>
      </c>
      <c r="H208" s="394">
        <v>274665</v>
      </c>
      <c r="I208" s="394">
        <v>145253</v>
      </c>
      <c r="J208" s="232">
        <v>132877</v>
      </c>
      <c r="K208" s="232">
        <v>799274</v>
      </c>
      <c r="L208" s="232"/>
      <c r="M208" s="226">
        <v>0</v>
      </c>
      <c r="N208" s="226">
        <v>0</v>
      </c>
      <c r="O208" s="232">
        <v>23228</v>
      </c>
      <c r="P208" s="232">
        <v>23228</v>
      </c>
      <c r="Q208" s="232"/>
      <c r="R208" s="394">
        <v>671212</v>
      </c>
      <c r="S208" s="232">
        <v>41097</v>
      </c>
      <c r="T208" s="398">
        <v>712309</v>
      </c>
      <c r="U208" s="232"/>
      <c r="V208" s="398"/>
      <c r="W208" s="398"/>
      <c r="X208" s="398">
        <v>3960000</v>
      </c>
      <c r="Y208" s="398">
        <v>282854</v>
      </c>
    </row>
    <row r="209" spans="1:25">
      <c r="A209" s="392">
        <v>91917</v>
      </c>
      <c r="B209" s="393" t="s">
        <v>920</v>
      </c>
      <c r="C209" s="235">
        <v>1.22E-5</v>
      </c>
      <c r="D209" s="235">
        <v>1.31E-5</v>
      </c>
      <c r="E209" s="232">
        <v>43596</v>
      </c>
      <c r="F209" s="232" t="s">
        <v>1930</v>
      </c>
      <c r="G209" s="394">
        <v>5505</v>
      </c>
      <c r="H209" s="394">
        <v>6135</v>
      </c>
      <c r="I209" s="394">
        <v>3244</v>
      </c>
      <c r="J209" s="232">
        <v>3052</v>
      </c>
      <c r="K209" s="232">
        <v>17936</v>
      </c>
      <c r="L209" s="232"/>
      <c r="M209" s="226">
        <v>0</v>
      </c>
      <c r="N209" s="226">
        <v>0</v>
      </c>
      <c r="O209" s="232">
        <v>79</v>
      </c>
      <c r="P209" s="232">
        <v>79</v>
      </c>
      <c r="Q209" s="232"/>
      <c r="R209" s="394">
        <v>14992</v>
      </c>
      <c r="S209" s="232">
        <v>1089</v>
      </c>
      <c r="T209" s="398">
        <v>16081</v>
      </c>
      <c r="U209" s="232"/>
      <c r="V209" s="398"/>
      <c r="W209" s="398"/>
      <c r="X209" s="398">
        <v>88451</v>
      </c>
      <c r="Y209" s="398">
        <v>6318</v>
      </c>
    </row>
    <row r="210" spans="1:25">
      <c r="A210" s="392">
        <v>91921</v>
      </c>
      <c r="B210" s="393" t="s">
        <v>921</v>
      </c>
      <c r="C210" s="235">
        <v>3.9310000000000001E-4</v>
      </c>
      <c r="D210" s="235">
        <v>3.8479999999999997E-4</v>
      </c>
      <c r="E210" s="232">
        <v>1404714</v>
      </c>
      <c r="F210" s="232" t="s">
        <v>1930</v>
      </c>
      <c r="G210" s="394">
        <v>177391</v>
      </c>
      <c r="H210" s="394">
        <v>197676</v>
      </c>
      <c r="I210" s="394">
        <v>104538</v>
      </c>
      <c r="J210" s="232">
        <v>11406</v>
      </c>
      <c r="K210" s="232">
        <v>491011</v>
      </c>
      <c r="L210" s="232"/>
      <c r="M210" s="226">
        <v>0</v>
      </c>
      <c r="N210" s="226">
        <v>0</v>
      </c>
      <c r="O210" s="232">
        <v>11391</v>
      </c>
      <c r="P210" s="232">
        <v>11391</v>
      </c>
      <c r="Q210" s="232"/>
      <c r="R210" s="394">
        <v>483071</v>
      </c>
      <c r="S210" s="232">
        <v>-2503</v>
      </c>
      <c r="T210" s="398">
        <v>480568</v>
      </c>
      <c r="U210" s="232"/>
      <c r="V210" s="398"/>
      <c r="W210" s="398"/>
      <c r="X210" s="398">
        <v>2850011</v>
      </c>
      <c r="Y210" s="398">
        <v>203570</v>
      </c>
    </row>
    <row r="211" spans="1:25" ht="14.25" customHeight="1">
      <c r="A211" s="392">
        <v>92001</v>
      </c>
      <c r="B211" s="393" t="s">
        <v>922</v>
      </c>
      <c r="C211" s="235">
        <v>1.8089E-3</v>
      </c>
      <c r="D211" s="235">
        <v>1.7757000000000001E-3</v>
      </c>
      <c r="E211" s="232">
        <v>6463970</v>
      </c>
      <c r="F211" s="232" t="s">
        <v>1930</v>
      </c>
      <c r="G211" s="394">
        <v>816286</v>
      </c>
      <c r="H211" s="394">
        <v>909631</v>
      </c>
      <c r="I211" s="394">
        <v>481046</v>
      </c>
      <c r="J211" s="232">
        <v>24368</v>
      </c>
      <c r="K211" s="232">
        <v>2231331</v>
      </c>
      <c r="L211" s="232"/>
      <c r="M211" s="226">
        <v>0</v>
      </c>
      <c r="N211" s="226">
        <v>0</v>
      </c>
      <c r="O211" s="232">
        <v>80784</v>
      </c>
      <c r="P211" s="232">
        <v>80784</v>
      </c>
      <c r="Q211" s="232"/>
      <c r="R211" s="394">
        <v>2222912</v>
      </c>
      <c r="S211" s="232">
        <v>-28068</v>
      </c>
      <c r="T211" s="398">
        <v>2194844</v>
      </c>
      <c r="U211" s="232"/>
      <c r="V211" s="398"/>
      <c r="W211" s="398"/>
      <c r="X211" s="398">
        <v>13114691</v>
      </c>
      <c r="Y211" s="398">
        <v>936753</v>
      </c>
    </row>
    <row r="212" spans="1:25">
      <c r="A212" s="392">
        <v>92005</v>
      </c>
      <c r="B212" s="393" t="s">
        <v>923</v>
      </c>
      <c r="C212" s="235">
        <v>3.43E-5</v>
      </c>
      <c r="D212" s="235">
        <v>3.5299999999999997E-5</v>
      </c>
      <c r="E212" s="232">
        <v>122569</v>
      </c>
      <c r="F212" s="232" t="s">
        <v>1930</v>
      </c>
      <c r="G212" s="394">
        <v>15478</v>
      </c>
      <c r="H212" s="394">
        <v>17248</v>
      </c>
      <c r="I212" s="394">
        <v>9122</v>
      </c>
      <c r="J212" s="232">
        <v>3517</v>
      </c>
      <c r="K212" s="232">
        <v>45365</v>
      </c>
      <c r="L212" s="232"/>
      <c r="M212" s="226">
        <v>0</v>
      </c>
      <c r="N212" s="226">
        <v>0</v>
      </c>
      <c r="O212" s="232">
        <v>2461</v>
      </c>
      <c r="P212" s="232">
        <v>2461</v>
      </c>
      <c r="Q212" s="232"/>
      <c r="R212" s="394">
        <v>42150</v>
      </c>
      <c r="S212" s="232">
        <v>708</v>
      </c>
      <c r="T212" s="398">
        <v>42858</v>
      </c>
      <c r="U212" s="232"/>
      <c r="V212" s="398"/>
      <c r="W212" s="398"/>
      <c r="X212" s="398">
        <v>248678</v>
      </c>
      <c r="Y212" s="398">
        <v>17763</v>
      </c>
    </row>
    <row r="213" spans="1:25">
      <c r="A213" s="392">
        <v>92011</v>
      </c>
      <c r="B213" s="393" t="s">
        <v>924</v>
      </c>
      <c r="C213" s="235">
        <v>2.0900000000000001E-4</v>
      </c>
      <c r="D213" s="235">
        <v>1.9100000000000001E-4</v>
      </c>
      <c r="E213" s="232">
        <v>746846</v>
      </c>
      <c r="F213" s="232" t="s">
        <v>1930</v>
      </c>
      <c r="G213" s="394">
        <v>94314</v>
      </c>
      <c r="H213" s="394">
        <v>105098</v>
      </c>
      <c r="I213" s="394">
        <v>55580</v>
      </c>
      <c r="J213" s="232">
        <v>16911</v>
      </c>
      <c r="K213" s="232">
        <v>271903</v>
      </c>
      <c r="L213" s="232"/>
      <c r="M213" s="226">
        <v>0</v>
      </c>
      <c r="N213" s="226">
        <v>0</v>
      </c>
      <c r="O213" s="232">
        <v>6789</v>
      </c>
      <c r="P213" s="232">
        <v>6789</v>
      </c>
      <c r="Q213" s="232"/>
      <c r="R213" s="394">
        <v>256835</v>
      </c>
      <c r="S213" s="232">
        <v>4916</v>
      </c>
      <c r="T213" s="398">
        <v>261751</v>
      </c>
      <c r="U213" s="232"/>
      <c r="V213" s="398"/>
      <c r="W213" s="398"/>
      <c r="X213" s="398">
        <v>1515269</v>
      </c>
      <c r="Y213" s="398">
        <v>108232</v>
      </c>
    </row>
    <row r="214" spans="1:25">
      <c r="A214" s="392">
        <v>92017</v>
      </c>
      <c r="B214" s="393" t="s">
        <v>925</v>
      </c>
      <c r="C214" s="235">
        <v>3.0000000000000001E-5</v>
      </c>
      <c r="D214" s="235">
        <v>3.1900000000000003E-5</v>
      </c>
      <c r="E214" s="232">
        <v>107203</v>
      </c>
      <c r="F214" s="232" t="s">
        <v>1930</v>
      </c>
      <c r="G214" s="394">
        <v>13538</v>
      </c>
      <c r="H214" s="394">
        <v>15086</v>
      </c>
      <c r="I214" s="394">
        <v>7978</v>
      </c>
      <c r="J214" s="232">
        <v>3180</v>
      </c>
      <c r="K214" s="232">
        <v>39782</v>
      </c>
      <c r="L214" s="232"/>
      <c r="M214" s="226">
        <v>0</v>
      </c>
      <c r="N214" s="226">
        <v>0</v>
      </c>
      <c r="O214" s="232">
        <v>0</v>
      </c>
      <c r="P214" s="232">
        <v>0</v>
      </c>
      <c r="Q214" s="232"/>
      <c r="R214" s="394">
        <v>36866</v>
      </c>
      <c r="S214" s="232">
        <v>1039</v>
      </c>
      <c r="T214" s="398">
        <v>37905</v>
      </c>
      <c r="U214" s="232"/>
      <c r="V214" s="398"/>
      <c r="W214" s="398"/>
      <c r="X214" s="398">
        <v>217503</v>
      </c>
      <c r="Y214" s="398">
        <v>15536</v>
      </c>
    </row>
    <row r="215" spans="1:25">
      <c r="A215" s="392">
        <v>92021</v>
      </c>
      <c r="B215" s="393" t="s">
        <v>926</v>
      </c>
      <c r="C215" s="235">
        <v>1.1519999999999999E-4</v>
      </c>
      <c r="D215" s="235">
        <v>1.054E-4</v>
      </c>
      <c r="E215" s="232">
        <v>411659</v>
      </c>
      <c r="F215" s="232" t="s">
        <v>1930</v>
      </c>
      <c r="G215" s="394">
        <v>51985</v>
      </c>
      <c r="H215" s="394">
        <v>57930</v>
      </c>
      <c r="I215" s="394">
        <v>30635</v>
      </c>
      <c r="J215" s="232">
        <v>10430</v>
      </c>
      <c r="K215" s="232">
        <v>150980</v>
      </c>
      <c r="L215" s="232"/>
      <c r="M215" s="226">
        <v>0</v>
      </c>
      <c r="N215" s="226">
        <v>0</v>
      </c>
      <c r="O215" s="232">
        <v>36994</v>
      </c>
      <c r="P215" s="232">
        <v>36994</v>
      </c>
      <c r="Q215" s="232"/>
      <c r="R215" s="394">
        <v>141566</v>
      </c>
      <c r="S215" s="232">
        <v>-2781</v>
      </c>
      <c r="T215" s="398">
        <v>138785</v>
      </c>
      <c r="U215" s="232"/>
      <c r="V215" s="398"/>
      <c r="W215" s="398"/>
      <c r="X215" s="398">
        <v>835211</v>
      </c>
      <c r="Y215" s="398">
        <v>59657</v>
      </c>
    </row>
    <row r="216" spans="1:25">
      <c r="A216" s="392">
        <v>92101</v>
      </c>
      <c r="B216" s="393" t="s">
        <v>927</v>
      </c>
      <c r="C216" s="235">
        <v>7.6869999999999998E-4</v>
      </c>
      <c r="D216" s="235">
        <v>7.8700000000000005E-4</v>
      </c>
      <c r="E216" s="232">
        <v>2746893</v>
      </c>
      <c r="F216" s="232" t="s">
        <v>1930</v>
      </c>
      <c r="G216" s="394">
        <v>346884</v>
      </c>
      <c r="H216" s="394">
        <v>386552</v>
      </c>
      <c r="I216" s="394">
        <v>204423</v>
      </c>
      <c r="J216" s="232">
        <v>0</v>
      </c>
      <c r="K216" s="232">
        <v>937859</v>
      </c>
      <c r="L216" s="232"/>
      <c r="M216" s="226">
        <v>0</v>
      </c>
      <c r="N216" s="226">
        <v>0</v>
      </c>
      <c r="O216" s="232">
        <v>69431</v>
      </c>
      <c r="P216" s="232">
        <v>69431</v>
      </c>
      <c r="Q216" s="232"/>
      <c r="R216" s="394">
        <v>944636</v>
      </c>
      <c r="S216" s="232">
        <v>-41240</v>
      </c>
      <c r="T216" s="398">
        <v>903396</v>
      </c>
      <c r="U216" s="232"/>
      <c r="V216" s="398"/>
      <c r="W216" s="398"/>
      <c r="X216" s="398">
        <v>5573146</v>
      </c>
      <c r="Y216" s="398">
        <v>398077</v>
      </c>
    </row>
    <row r="217" spans="1:25">
      <c r="A217" s="392">
        <v>92104</v>
      </c>
      <c r="B217" s="393" t="s">
        <v>928</v>
      </c>
      <c r="C217" s="235">
        <v>7.1999999999999997E-6</v>
      </c>
      <c r="D217" s="235">
        <v>7.0999999999999998E-6</v>
      </c>
      <c r="E217" s="232">
        <v>25729</v>
      </c>
      <c r="F217" s="232" t="s">
        <v>1930</v>
      </c>
      <c r="G217" s="394">
        <v>3249</v>
      </c>
      <c r="H217" s="394">
        <v>3620</v>
      </c>
      <c r="I217" s="394">
        <v>1915</v>
      </c>
      <c r="J217" s="232">
        <v>2910</v>
      </c>
      <c r="K217" s="232">
        <v>11694</v>
      </c>
      <c r="L217" s="232"/>
      <c r="M217" s="226">
        <v>0</v>
      </c>
      <c r="N217" s="226">
        <v>0</v>
      </c>
      <c r="O217" s="232">
        <v>0</v>
      </c>
      <c r="P217" s="232">
        <v>0</v>
      </c>
      <c r="Q217" s="232"/>
      <c r="R217" s="394">
        <v>8848</v>
      </c>
      <c r="S217" s="232">
        <v>1444</v>
      </c>
      <c r="T217" s="398">
        <v>10292</v>
      </c>
      <c r="U217" s="232"/>
      <c r="V217" s="398"/>
      <c r="W217" s="398"/>
      <c r="X217" s="398">
        <v>52201</v>
      </c>
      <c r="Y217" s="398">
        <v>3729</v>
      </c>
    </row>
    <row r="218" spans="1:25">
      <c r="A218" s="392">
        <v>92109</v>
      </c>
      <c r="B218" s="393" t="s">
        <v>929</v>
      </c>
      <c r="C218" s="235">
        <v>1.8359999999999999E-4</v>
      </c>
      <c r="D218" s="235">
        <v>1.6799999999999999E-4</v>
      </c>
      <c r="E218" s="232">
        <v>656081</v>
      </c>
      <c r="F218" s="232" t="s">
        <v>1930</v>
      </c>
      <c r="G218" s="394">
        <v>82852</v>
      </c>
      <c r="H218" s="394">
        <v>92325</v>
      </c>
      <c r="I218" s="394">
        <v>48825</v>
      </c>
      <c r="J218" s="232">
        <v>18659</v>
      </c>
      <c r="K218" s="232">
        <v>242661</v>
      </c>
      <c r="L218" s="232"/>
      <c r="M218" s="226">
        <v>0</v>
      </c>
      <c r="N218" s="226">
        <v>0</v>
      </c>
      <c r="O218" s="232">
        <v>10399</v>
      </c>
      <c r="P218" s="232">
        <v>10399</v>
      </c>
      <c r="Q218" s="232"/>
      <c r="R218" s="394">
        <v>225621</v>
      </c>
      <c r="S218" s="232">
        <v>1832</v>
      </c>
      <c r="T218" s="398">
        <v>227453</v>
      </c>
      <c r="U218" s="232"/>
      <c r="V218" s="398"/>
      <c r="W218" s="398"/>
      <c r="X218" s="398">
        <v>1331117</v>
      </c>
      <c r="Y218" s="398">
        <v>95079</v>
      </c>
    </row>
    <row r="219" spans="1:25">
      <c r="A219" s="392">
        <v>92111</v>
      </c>
      <c r="B219" s="393" t="s">
        <v>930</v>
      </c>
      <c r="C219" s="235">
        <v>5.4140000000000004E-4</v>
      </c>
      <c r="D219" s="235">
        <v>4.9209999999999998E-4</v>
      </c>
      <c r="E219" s="232">
        <v>1934653</v>
      </c>
      <c r="F219" s="232" t="s">
        <v>1930</v>
      </c>
      <c r="G219" s="394">
        <v>244313</v>
      </c>
      <c r="H219" s="394">
        <v>272251</v>
      </c>
      <c r="I219" s="394">
        <v>143976</v>
      </c>
      <c r="J219" s="232">
        <v>51343</v>
      </c>
      <c r="K219" s="232">
        <v>711883</v>
      </c>
      <c r="L219" s="232"/>
      <c r="M219" s="226">
        <v>0</v>
      </c>
      <c r="N219" s="226">
        <v>0</v>
      </c>
      <c r="O219" s="232">
        <v>21320</v>
      </c>
      <c r="P219" s="232">
        <v>21320</v>
      </c>
      <c r="Q219" s="232"/>
      <c r="R219" s="394">
        <v>665313</v>
      </c>
      <c r="S219" s="232">
        <v>6550</v>
      </c>
      <c r="T219" s="398">
        <v>671863</v>
      </c>
      <c r="U219" s="232"/>
      <c r="V219" s="398"/>
      <c r="W219" s="398"/>
      <c r="X219" s="398">
        <v>3925200</v>
      </c>
      <c r="Y219" s="398">
        <v>280368</v>
      </c>
    </row>
    <row r="220" spans="1:25">
      <c r="A220" s="392">
        <v>92113</v>
      </c>
      <c r="B220" s="393" t="s">
        <v>931</v>
      </c>
      <c r="C220" s="235">
        <v>1.73E-5</v>
      </c>
      <c r="D220" s="235">
        <v>1.7099999999999999E-5</v>
      </c>
      <c r="E220" s="232">
        <v>61820</v>
      </c>
      <c r="F220" s="232" t="s">
        <v>1930</v>
      </c>
      <c r="G220" s="394">
        <v>7807</v>
      </c>
      <c r="H220" s="394">
        <v>8700</v>
      </c>
      <c r="I220" s="394">
        <v>4601</v>
      </c>
      <c r="J220" s="232">
        <v>10788</v>
      </c>
      <c r="K220" s="232">
        <v>31896</v>
      </c>
      <c r="L220" s="232"/>
      <c r="M220" s="226">
        <v>0</v>
      </c>
      <c r="N220" s="226">
        <v>0</v>
      </c>
      <c r="O220" s="232">
        <v>543</v>
      </c>
      <c r="P220" s="232">
        <v>543</v>
      </c>
      <c r="Q220" s="232"/>
      <c r="R220" s="394">
        <v>21260</v>
      </c>
      <c r="S220" s="232">
        <v>6659</v>
      </c>
      <c r="T220" s="398">
        <v>27919</v>
      </c>
      <c r="U220" s="232"/>
      <c r="V220" s="398"/>
      <c r="W220" s="398"/>
      <c r="X220" s="398">
        <v>125427</v>
      </c>
      <c r="Y220" s="398">
        <v>8959</v>
      </c>
    </row>
    <row r="221" spans="1:25">
      <c r="A221" s="392">
        <v>92201</v>
      </c>
      <c r="B221" s="393" t="s">
        <v>932</v>
      </c>
      <c r="C221" s="235">
        <v>9.3099999999999997E-4</v>
      </c>
      <c r="D221" s="235">
        <v>8.3589999999999999E-4</v>
      </c>
      <c r="E221" s="232">
        <v>3326860</v>
      </c>
      <c r="F221" s="232" t="s">
        <v>1930</v>
      </c>
      <c r="G221" s="394">
        <v>420124</v>
      </c>
      <c r="H221" s="394">
        <v>468166</v>
      </c>
      <c r="I221" s="394">
        <v>247584</v>
      </c>
      <c r="J221" s="232">
        <v>137468</v>
      </c>
      <c r="K221" s="232">
        <v>1273342</v>
      </c>
      <c r="L221" s="232"/>
      <c r="M221" s="226">
        <v>0</v>
      </c>
      <c r="N221" s="226">
        <v>0</v>
      </c>
      <c r="O221" s="232">
        <v>40355</v>
      </c>
      <c r="P221" s="232">
        <v>40355</v>
      </c>
      <c r="Q221" s="232"/>
      <c r="R221" s="394">
        <v>1144083</v>
      </c>
      <c r="S221" s="232">
        <v>27788</v>
      </c>
      <c r="T221" s="398">
        <v>1171871</v>
      </c>
      <c r="U221" s="232"/>
      <c r="V221" s="398"/>
      <c r="W221" s="398"/>
      <c r="X221" s="398">
        <v>6749836</v>
      </c>
      <c r="Y221" s="398">
        <v>482126</v>
      </c>
    </row>
    <row r="222" spans="1:25">
      <c r="A222" s="392">
        <v>92214</v>
      </c>
      <c r="B222" t="s">
        <v>1931</v>
      </c>
      <c r="C222" s="235">
        <v>1.9000000000000001E-5</v>
      </c>
      <c r="D222" s="235">
        <v>2.02E-5</v>
      </c>
      <c r="E222" s="232">
        <v>67895</v>
      </c>
      <c r="F222" s="232" t="s">
        <v>1930</v>
      </c>
      <c r="G222" s="394">
        <v>8574</v>
      </c>
      <c r="H222" s="394">
        <v>9554</v>
      </c>
      <c r="I222" s="394">
        <v>5053</v>
      </c>
      <c r="J222" s="232">
        <v>7538</v>
      </c>
      <c r="K222" s="232">
        <v>30719</v>
      </c>
      <c r="L222" s="232"/>
      <c r="M222" s="226">
        <v>0</v>
      </c>
      <c r="N222" s="226">
        <v>0</v>
      </c>
      <c r="O222" s="232">
        <v>1513</v>
      </c>
      <c r="P222" s="232">
        <v>1513</v>
      </c>
      <c r="Q222" s="232"/>
      <c r="R222" s="394">
        <v>23349</v>
      </c>
      <c r="S222" s="232">
        <v>3177</v>
      </c>
      <c r="T222" s="398">
        <v>26526</v>
      </c>
      <c r="U222" s="232"/>
      <c r="V222" s="398"/>
      <c r="W222" s="398"/>
      <c r="X222" s="398">
        <v>137752</v>
      </c>
      <c r="Y222" s="398">
        <v>9839</v>
      </c>
    </row>
    <row r="223" spans="1:25">
      <c r="A223" s="392">
        <v>92301</v>
      </c>
      <c r="B223" s="393" t="s">
        <v>933</v>
      </c>
      <c r="C223" s="235">
        <v>5.2855000000000003E-3</v>
      </c>
      <c r="D223" s="235">
        <v>5.6146E-3</v>
      </c>
      <c r="E223" s="232">
        <v>18887343</v>
      </c>
      <c r="F223" s="232" t="s">
        <v>1930</v>
      </c>
      <c r="G223" s="394">
        <v>2385140</v>
      </c>
      <c r="H223" s="394">
        <v>2657888</v>
      </c>
      <c r="I223" s="394">
        <v>1405589</v>
      </c>
      <c r="J223" s="232">
        <v>102219</v>
      </c>
      <c r="K223" s="232">
        <v>6550836</v>
      </c>
      <c r="L223" s="232"/>
      <c r="M223" s="226">
        <v>0</v>
      </c>
      <c r="N223" s="226">
        <v>0</v>
      </c>
      <c r="O223" s="232">
        <v>440219</v>
      </c>
      <c r="P223" s="232">
        <v>440219</v>
      </c>
      <c r="Q223" s="232"/>
      <c r="R223" s="394">
        <v>6495219</v>
      </c>
      <c r="S223" s="232">
        <v>-106402</v>
      </c>
      <c r="T223" s="398">
        <v>6388817</v>
      </c>
      <c r="U223" s="232"/>
      <c r="V223" s="398"/>
      <c r="W223" s="398"/>
      <c r="X223" s="398">
        <v>38320361</v>
      </c>
      <c r="Y223" s="398">
        <v>2737138</v>
      </c>
    </row>
    <row r="224" spans="1:25">
      <c r="A224" s="392">
        <v>92302</v>
      </c>
      <c r="B224" s="393" t="s">
        <v>1940</v>
      </c>
      <c r="C224" s="235">
        <v>2.9990000000000003E-4</v>
      </c>
      <c r="D224" s="235">
        <v>3.0249999999999998E-4</v>
      </c>
      <c r="E224" s="232">
        <v>1071670</v>
      </c>
      <c r="F224" s="232" t="s">
        <v>1930</v>
      </c>
      <c r="G224" s="394">
        <v>135333</v>
      </c>
      <c r="H224" s="394">
        <v>150809</v>
      </c>
      <c r="I224" s="394">
        <v>79753</v>
      </c>
      <c r="J224" s="232">
        <v>3231</v>
      </c>
      <c r="K224" s="232">
        <v>369126</v>
      </c>
      <c r="L224" s="232"/>
      <c r="M224" s="226">
        <v>0</v>
      </c>
      <c r="N224" s="226">
        <v>0</v>
      </c>
      <c r="O224" s="232">
        <v>27853</v>
      </c>
      <c r="P224" s="232">
        <v>27853</v>
      </c>
      <c r="Q224" s="232"/>
      <c r="R224" s="394">
        <v>368540</v>
      </c>
      <c r="S224" s="232">
        <v>-11776</v>
      </c>
      <c r="T224" s="398">
        <v>356764</v>
      </c>
      <c r="U224" s="232"/>
      <c r="V224" s="398"/>
      <c r="W224" s="398"/>
      <c r="X224" s="398">
        <v>2174303</v>
      </c>
      <c r="Y224" s="398">
        <v>155306</v>
      </c>
    </row>
    <row r="225" spans="1:25">
      <c r="A225" s="392">
        <v>92311</v>
      </c>
      <c r="B225" s="393" t="s">
        <v>935</v>
      </c>
      <c r="C225" s="235">
        <v>2.3205999999999999E-3</v>
      </c>
      <c r="D225" s="235">
        <v>2.2645999999999999E-3</v>
      </c>
      <c r="E225" s="232">
        <v>8292492</v>
      </c>
      <c r="F225" s="232" t="s">
        <v>1930</v>
      </c>
      <c r="G225" s="394">
        <v>1047196</v>
      </c>
      <c r="H225" s="394">
        <v>1166946</v>
      </c>
      <c r="I225" s="394">
        <v>617124</v>
      </c>
      <c r="J225" s="232">
        <v>44290</v>
      </c>
      <c r="K225" s="232">
        <v>2875556</v>
      </c>
      <c r="L225" s="232"/>
      <c r="M225" s="226">
        <v>0</v>
      </c>
      <c r="N225" s="226">
        <v>0</v>
      </c>
      <c r="O225" s="232">
        <v>30864</v>
      </c>
      <c r="P225" s="232">
        <v>30864</v>
      </c>
      <c r="Q225" s="232"/>
      <c r="R225" s="394">
        <v>2851727</v>
      </c>
      <c r="S225" s="232">
        <v>-2982</v>
      </c>
      <c r="T225" s="398">
        <v>2848745</v>
      </c>
      <c r="U225" s="232"/>
      <c r="V225" s="398"/>
      <c r="W225" s="398"/>
      <c r="X225" s="398">
        <v>16824563</v>
      </c>
      <c r="Y225" s="398">
        <v>1201741</v>
      </c>
    </row>
    <row r="226" spans="1:25">
      <c r="A226" s="392">
        <v>92317</v>
      </c>
      <c r="B226" s="393" t="s">
        <v>936</v>
      </c>
      <c r="C226" s="235">
        <v>3.3800000000000002E-5</v>
      </c>
      <c r="D226" s="235">
        <v>2.97E-5</v>
      </c>
      <c r="E226" s="232">
        <v>120782</v>
      </c>
      <c r="F226" s="232" t="s">
        <v>1930</v>
      </c>
      <c r="G226" s="394">
        <v>15253</v>
      </c>
      <c r="H226" s="394">
        <v>16997</v>
      </c>
      <c r="I226" s="394">
        <v>8989</v>
      </c>
      <c r="J226" s="232">
        <v>26597</v>
      </c>
      <c r="K226" s="232">
        <v>67836</v>
      </c>
      <c r="L226" s="232"/>
      <c r="M226" s="226">
        <v>0</v>
      </c>
      <c r="N226" s="226">
        <v>0</v>
      </c>
      <c r="O226" s="232">
        <v>0</v>
      </c>
      <c r="P226" s="232">
        <v>0</v>
      </c>
      <c r="Q226" s="232"/>
      <c r="R226" s="394">
        <v>41536</v>
      </c>
      <c r="S226" s="232">
        <v>11468</v>
      </c>
      <c r="T226" s="398">
        <v>53004</v>
      </c>
      <c r="U226" s="232"/>
      <c r="V226" s="398"/>
      <c r="W226" s="398"/>
      <c r="X226" s="398">
        <v>245053</v>
      </c>
      <c r="Y226" s="398">
        <v>17504</v>
      </c>
    </row>
    <row r="227" spans="1:25">
      <c r="A227" s="392">
        <v>92321</v>
      </c>
      <c r="B227" s="393" t="s">
        <v>937</v>
      </c>
      <c r="C227" s="235">
        <v>1.3334E-3</v>
      </c>
      <c r="D227" s="235">
        <v>1.2122999999999999E-3</v>
      </c>
      <c r="E227" s="232">
        <v>4764806</v>
      </c>
      <c r="F227" s="232" t="s">
        <v>1930</v>
      </c>
      <c r="G227" s="394">
        <v>601711</v>
      </c>
      <c r="H227" s="394">
        <v>670518</v>
      </c>
      <c r="I227" s="394">
        <v>354595</v>
      </c>
      <c r="J227" s="232">
        <v>179522</v>
      </c>
      <c r="K227" s="232">
        <v>1806346</v>
      </c>
      <c r="L227" s="232"/>
      <c r="M227" s="226">
        <v>0</v>
      </c>
      <c r="N227" s="226">
        <v>0</v>
      </c>
      <c r="O227" s="232">
        <v>12154</v>
      </c>
      <c r="P227" s="232">
        <v>12154</v>
      </c>
      <c r="Q227" s="232"/>
      <c r="R227" s="394">
        <v>1638582</v>
      </c>
      <c r="S227" s="232">
        <v>55638</v>
      </c>
      <c r="T227" s="398">
        <v>1694220</v>
      </c>
      <c r="U227" s="232"/>
      <c r="V227" s="398"/>
      <c r="W227" s="398"/>
      <c r="X227" s="398">
        <v>9667273</v>
      </c>
      <c r="Y227" s="398">
        <v>690512</v>
      </c>
    </row>
    <row r="228" spans="1:25">
      <c r="A228" s="392">
        <v>92327</v>
      </c>
      <c r="B228" s="393" t="s">
        <v>938</v>
      </c>
      <c r="C228" s="235">
        <v>6.2999999999999998E-6</v>
      </c>
      <c r="D228" s="235">
        <v>6.4999999999999996E-6</v>
      </c>
      <c r="E228" s="232">
        <v>22513</v>
      </c>
      <c r="F228" s="232" t="s">
        <v>1930</v>
      </c>
      <c r="G228" s="394">
        <v>2843</v>
      </c>
      <c r="H228" s="394">
        <v>3168</v>
      </c>
      <c r="I228" s="394">
        <v>1675</v>
      </c>
      <c r="J228" s="232">
        <v>8163</v>
      </c>
      <c r="K228" s="232">
        <v>15849</v>
      </c>
      <c r="L228" s="232"/>
      <c r="M228" s="226">
        <v>0</v>
      </c>
      <c r="N228" s="226">
        <v>0</v>
      </c>
      <c r="O228" s="232">
        <v>0</v>
      </c>
      <c r="P228" s="232">
        <v>0</v>
      </c>
      <c r="Q228" s="232"/>
      <c r="R228" s="394">
        <v>7742</v>
      </c>
      <c r="S228" s="232">
        <v>3534</v>
      </c>
      <c r="T228" s="398">
        <v>11276</v>
      </c>
      <c r="U228" s="232"/>
      <c r="V228" s="398"/>
      <c r="W228" s="398"/>
      <c r="X228" s="398">
        <v>45676</v>
      </c>
      <c r="Y228" s="398">
        <v>3263</v>
      </c>
    </row>
    <row r="229" spans="1:25">
      <c r="A229" s="392">
        <v>92331</v>
      </c>
      <c r="B229" s="393" t="s">
        <v>939</v>
      </c>
      <c r="C229" s="235">
        <v>1.381E-4</v>
      </c>
      <c r="D229" s="235">
        <v>1.351E-4</v>
      </c>
      <c r="E229" s="232">
        <v>493490</v>
      </c>
      <c r="F229" s="232" t="s">
        <v>1930</v>
      </c>
      <c r="G229" s="394">
        <v>62319</v>
      </c>
      <c r="H229" s="394">
        <v>69445</v>
      </c>
      <c r="I229" s="394">
        <v>36725</v>
      </c>
      <c r="J229" s="232">
        <v>24351</v>
      </c>
      <c r="K229" s="232">
        <v>192840</v>
      </c>
      <c r="L229" s="232"/>
      <c r="M229" s="226">
        <v>0</v>
      </c>
      <c r="N229" s="226">
        <v>0</v>
      </c>
      <c r="O229" s="232">
        <v>2766</v>
      </c>
      <c r="P229" s="232">
        <v>2766</v>
      </c>
      <c r="Q229" s="232"/>
      <c r="R229" s="394">
        <v>169708</v>
      </c>
      <c r="S229" s="232">
        <v>4875</v>
      </c>
      <c r="T229" s="398">
        <v>174583</v>
      </c>
      <c r="U229" s="232"/>
      <c r="V229" s="398"/>
      <c r="W229" s="398"/>
      <c r="X229" s="398">
        <v>1001238</v>
      </c>
      <c r="Y229" s="398">
        <v>71516</v>
      </c>
    </row>
    <row r="230" spans="1:25">
      <c r="A230" s="392">
        <v>92341</v>
      </c>
      <c r="B230" s="393" t="s">
        <v>940</v>
      </c>
      <c r="C230" s="235">
        <v>7.7999999999999999E-6</v>
      </c>
      <c r="D230" s="235">
        <v>8.4999999999999999E-6</v>
      </c>
      <c r="E230" s="232">
        <v>27873</v>
      </c>
      <c r="F230" s="232" t="s">
        <v>1930</v>
      </c>
      <c r="G230" s="394">
        <v>3520</v>
      </c>
      <c r="H230" s="394">
        <v>3923</v>
      </c>
      <c r="I230" s="394">
        <v>2074</v>
      </c>
      <c r="J230" s="232">
        <v>56</v>
      </c>
      <c r="K230" s="232">
        <v>9573</v>
      </c>
      <c r="L230" s="232"/>
      <c r="M230" s="226">
        <v>0</v>
      </c>
      <c r="N230" s="226">
        <v>0</v>
      </c>
      <c r="O230" s="232">
        <v>3416</v>
      </c>
      <c r="P230" s="232">
        <v>3416</v>
      </c>
      <c r="Q230" s="232"/>
      <c r="R230" s="394">
        <v>9585</v>
      </c>
      <c r="S230" s="232">
        <v>-1141</v>
      </c>
      <c r="T230" s="398">
        <v>8444</v>
      </c>
      <c r="U230" s="232"/>
      <c r="V230" s="398"/>
      <c r="W230" s="398"/>
      <c r="X230" s="398">
        <v>56551</v>
      </c>
      <c r="Y230" s="398">
        <v>4039</v>
      </c>
    </row>
    <row r="231" spans="1:25">
      <c r="A231" s="392">
        <v>92351</v>
      </c>
      <c r="B231" s="393" t="s">
        <v>941</v>
      </c>
      <c r="C231" s="235">
        <v>2.48E-5</v>
      </c>
      <c r="D231" s="235">
        <v>1.7499999999999998E-5</v>
      </c>
      <c r="E231" s="232">
        <v>88621</v>
      </c>
      <c r="F231" s="232" t="s">
        <v>1930</v>
      </c>
      <c r="G231" s="394">
        <v>11191</v>
      </c>
      <c r="H231" s="394">
        <v>12471</v>
      </c>
      <c r="I231" s="394">
        <v>6595</v>
      </c>
      <c r="J231" s="232">
        <v>11937</v>
      </c>
      <c r="K231" s="232">
        <v>42194</v>
      </c>
      <c r="L231" s="232"/>
      <c r="M231" s="226">
        <v>0</v>
      </c>
      <c r="N231" s="226">
        <v>0</v>
      </c>
      <c r="O231" s="232">
        <v>543</v>
      </c>
      <c r="P231" s="232">
        <v>543</v>
      </c>
      <c r="Q231" s="232"/>
      <c r="R231" s="394">
        <v>30476</v>
      </c>
      <c r="S231" s="232">
        <v>3107</v>
      </c>
      <c r="T231" s="398">
        <v>33583</v>
      </c>
      <c r="U231" s="232"/>
      <c r="V231" s="398"/>
      <c r="W231" s="398"/>
      <c r="X231" s="398">
        <v>179802</v>
      </c>
      <c r="Y231" s="398">
        <v>12843</v>
      </c>
    </row>
    <row r="232" spans="1:25">
      <c r="A232" s="392">
        <v>92401</v>
      </c>
      <c r="B232" s="393" t="s">
        <v>942</v>
      </c>
      <c r="C232" s="235">
        <v>2.5820999999999999E-3</v>
      </c>
      <c r="D232" s="235">
        <v>2.6340000000000001E-3</v>
      </c>
      <c r="E232" s="232">
        <v>9226943</v>
      </c>
      <c r="F232" s="232" t="s">
        <v>1930</v>
      </c>
      <c r="G232" s="394">
        <v>1165201</v>
      </c>
      <c r="H232" s="394">
        <v>1298446</v>
      </c>
      <c r="I232" s="394">
        <v>686666</v>
      </c>
      <c r="J232" s="232">
        <v>167677</v>
      </c>
      <c r="K232" s="232">
        <v>3317990</v>
      </c>
      <c r="L232" s="232"/>
      <c r="M232" s="226">
        <v>0</v>
      </c>
      <c r="N232" s="226">
        <v>0</v>
      </c>
      <c r="O232" s="232">
        <v>94544</v>
      </c>
      <c r="P232" s="232">
        <v>94544</v>
      </c>
      <c r="Q232" s="232"/>
      <c r="R232" s="394">
        <v>3173078</v>
      </c>
      <c r="S232" s="232">
        <v>23158</v>
      </c>
      <c r="T232" s="398">
        <v>3196236</v>
      </c>
      <c r="U232" s="232"/>
      <c r="V232" s="398"/>
      <c r="W232" s="398"/>
      <c r="X232" s="398">
        <v>18720463</v>
      </c>
      <c r="Y232" s="398">
        <v>1337161</v>
      </c>
    </row>
    <row r="233" spans="1:25">
      <c r="A233" s="392">
        <v>92403</v>
      </c>
      <c r="B233" s="393" t="s">
        <v>943</v>
      </c>
      <c r="C233" s="235">
        <v>8.3000000000000002E-6</v>
      </c>
      <c r="D233" s="235">
        <v>9.0999999999999993E-6</v>
      </c>
      <c r="E233" s="232">
        <v>29659</v>
      </c>
      <c r="F233" s="232" t="s">
        <v>1930</v>
      </c>
      <c r="G233" s="394">
        <v>3745</v>
      </c>
      <c r="H233" s="394">
        <v>4174</v>
      </c>
      <c r="I233" s="394">
        <v>2207</v>
      </c>
      <c r="J233" s="232">
        <v>3235</v>
      </c>
      <c r="K233" s="232">
        <v>13361</v>
      </c>
      <c r="L233" s="232"/>
      <c r="M233" s="226">
        <v>0</v>
      </c>
      <c r="N233" s="226">
        <v>0</v>
      </c>
      <c r="O233" s="232">
        <v>0</v>
      </c>
      <c r="P233" s="232">
        <v>0</v>
      </c>
      <c r="Q233" s="232"/>
      <c r="R233" s="394">
        <v>10200</v>
      </c>
      <c r="S233" s="232">
        <v>965</v>
      </c>
      <c r="T233" s="398">
        <v>11165</v>
      </c>
      <c r="U233" s="232"/>
      <c r="V233" s="398"/>
      <c r="W233" s="398"/>
      <c r="X233" s="398">
        <v>60176</v>
      </c>
      <c r="Y233" s="398">
        <v>4298</v>
      </c>
    </row>
    <row r="234" spans="1:25">
      <c r="A234" s="392">
        <v>92411</v>
      </c>
      <c r="B234" s="393" t="s">
        <v>944</v>
      </c>
      <c r="C234" s="235">
        <v>4.8109999999999998E-4</v>
      </c>
      <c r="D234" s="235">
        <v>4.5199999999999998E-4</v>
      </c>
      <c r="E234" s="232">
        <v>1719175</v>
      </c>
      <c r="F234" s="232" t="s">
        <v>1930</v>
      </c>
      <c r="G234" s="394">
        <v>217102</v>
      </c>
      <c r="H234" s="394">
        <v>241928</v>
      </c>
      <c r="I234" s="394">
        <v>127940</v>
      </c>
      <c r="J234" s="232">
        <v>26242</v>
      </c>
      <c r="K234" s="232">
        <v>613212</v>
      </c>
      <c r="L234" s="232"/>
      <c r="M234" s="226">
        <v>0</v>
      </c>
      <c r="N234" s="226">
        <v>0</v>
      </c>
      <c r="O234" s="232">
        <v>24736</v>
      </c>
      <c r="P234" s="232">
        <v>24736</v>
      </c>
      <c r="Q234" s="232"/>
      <c r="R234" s="394">
        <v>591212</v>
      </c>
      <c r="S234" s="232">
        <v>-14362</v>
      </c>
      <c r="T234" s="398">
        <v>576850</v>
      </c>
      <c r="U234" s="232"/>
      <c r="V234" s="398"/>
      <c r="W234" s="398"/>
      <c r="X234" s="398">
        <v>3488019</v>
      </c>
      <c r="Y234" s="398">
        <v>249141</v>
      </c>
    </row>
    <row r="235" spans="1:25">
      <c r="A235" s="392">
        <v>92414</v>
      </c>
      <c r="B235" s="393" t="s">
        <v>70</v>
      </c>
      <c r="C235" s="235">
        <v>0</v>
      </c>
      <c r="D235" s="235">
        <v>0</v>
      </c>
      <c r="E235" s="232">
        <v>0</v>
      </c>
      <c r="F235" s="232" t="s">
        <v>1930</v>
      </c>
      <c r="G235" s="394">
        <v>0</v>
      </c>
      <c r="H235" s="394">
        <v>0</v>
      </c>
      <c r="I235" s="394">
        <v>0</v>
      </c>
      <c r="J235" s="232">
        <v>0</v>
      </c>
      <c r="K235" s="232">
        <v>0</v>
      </c>
      <c r="L235" s="232"/>
      <c r="M235" s="226">
        <v>0</v>
      </c>
      <c r="N235" s="226">
        <v>0</v>
      </c>
      <c r="O235" s="232">
        <v>0</v>
      </c>
      <c r="P235" s="232">
        <v>0</v>
      </c>
      <c r="Q235" s="232"/>
      <c r="R235" s="394">
        <v>0</v>
      </c>
      <c r="S235" s="232">
        <v>-1184</v>
      </c>
      <c r="T235" s="398">
        <v>-1184</v>
      </c>
      <c r="U235" s="232"/>
      <c r="V235" s="398"/>
      <c r="W235" s="398"/>
      <c r="X235" s="398">
        <v>0</v>
      </c>
      <c r="Y235" s="398">
        <v>0</v>
      </c>
    </row>
    <row r="236" spans="1:25">
      <c r="A236" s="392">
        <v>92417</v>
      </c>
      <c r="B236" s="393" t="s">
        <v>945</v>
      </c>
      <c r="C236" s="235">
        <v>1.15E-5</v>
      </c>
      <c r="D236" s="235">
        <v>1.73E-5</v>
      </c>
      <c r="E236" s="232">
        <v>41094</v>
      </c>
      <c r="F236" s="232" t="s">
        <v>1930</v>
      </c>
      <c r="G236" s="394">
        <v>5190</v>
      </c>
      <c r="H236" s="394">
        <v>5783</v>
      </c>
      <c r="I236" s="394">
        <v>3058</v>
      </c>
      <c r="J236" s="232">
        <v>0</v>
      </c>
      <c r="K236" s="232">
        <v>14031</v>
      </c>
      <c r="L236" s="232"/>
      <c r="M236" s="226">
        <v>0</v>
      </c>
      <c r="N236" s="226">
        <v>0</v>
      </c>
      <c r="O236" s="232">
        <v>12171</v>
      </c>
      <c r="P236" s="232">
        <v>12171</v>
      </c>
      <c r="Q236" s="232"/>
      <c r="R236" s="394">
        <v>14132</v>
      </c>
      <c r="S236" s="232">
        <v>-4688</v>
      </c>
      <c r="T236" s="398">
        <v>9444</v>
      </c>
      <c r="U236" s="232"/>
      <c r="V236" s="398"/>
      <c r="W236" s="398"/>
      <c r="X236" s="398">
        <v>83376</v>
      </c>
      <c r="Y236" s="398">
        <v>5955</v>
      </c>
    </row>
    <row r="237" spans="1:25">
      <c r="A237" s="392">
        <v>92421</v>
      </c>
      <c r="B237" s="393" t="s">
        <v>946</v>
      </c>
      <c r="C237" s="235">
        <v>1.7900000000000001E-5</v>
      </c>
      <c r="D237" s="235">
        <v>1.6399999999999999E-5</v>
      </c>
      <c r="E237" s="232">
        <v>63964</v>
      </c>
      <c r="F237" s="232" t="s">
        <v>1930</v>
      </c>
      <c r="G237" s="394">
        <v>8078</v>
      </c>
      <c r="H237" s="394">
        <v>9001</v>
      </c>
      <c r="I237" s="394">
        <v>4760</v>
      </c>
      <c r="J237" s="232">
        <v>8685</v>
      </c>
      <c r="K237" s="232">
        <v>30524</v>
      </c>
      <c r="L237" s="232"/>
      <c r="M237" s="226">
        <v>0</v>
      </c>
      <c r="N237" s="226">
        <v>0</v>
      </c>
      <c r="O237" s="232">
        <v>0</v>
      </c>
      <c r="P237" s="232">
        <v>0</v>
      </c>
      <c r="Q237" s="232"/>
      <c r="R237" s="394">
        <v>21997</v>
      </c>
      <c r="S237" s="232">
        <v>3332</v>
      </c>
      <c r="T237" s="398">
        <v>25329</v>
      </c>
      <c r="U237" s="232"/>
      <c r="V237" s="398"/>
      <c r="W237" s="398"/>
      <c r="X237" s="398">
        <v>129777</v>
      </c>
      <c r="Y237" s="398">
        <v>9270</v>
      </c>
    </row>
    <row r="238" spans="1:25">
      <c r="A238" s="392">
        <v>92427</v>
      </c>
      <c r="B238" s="393" t="s">
        <v>947</v>
      </c>
      <c r="C238" s="235">
        <v>1.7E-6</v>
      </c>
      <c r="D238" s="235">
        <v>1.9E-6</v>
      </c>
      <c r="E238" s="232">
        <v>6075</v>
      </c>
      <c r="F238" s="232" t="s">
        <v>1930</v>
      </c>
      <c r="G238" s="394">
        <v>767</v>
      </c>
      <c r="H238" s="394">
        <v>855</v>
      </c>
      <c r="I238" s="394">
        <v>452</v>
      </c>
      <c r="J238" s="232">
        <v>1966</v>
      </c>
      <c r="K238" s="232">
        <v>4040</v>
      </c>
      <c r="L238" s="232"/>
      <c r="M238" s="226">
        <v>0</v>
      </c>
      <c r="N238" s="226">
        <v>0</v>
      </c>
      <c r="O238" s="232">
        <v>0</v>
      </c>
      <c r="P238" s="232">
        <v>0</v>
      </c>
      <c r="Q238" s="232"/>
      <c r="R238" s="394">
        <v>2089</v>
      </c>
      <c r="S238" s="232">
        <v>1115</v>
      </c>
      <c r="T238" s="398">
        <v>3204</v>
      </c>
      <c r="U238" s="232"/>
      <c r="V238" s="398"/>
      <c r="W238" s="398"/>
      <c r="X238" s="398">
        <v>12325</v>
      </c>
      <c r="Y238" s="398">
        <v>880</v>
      </c>
    </row>
    <row r="239" spans="1:25" ht="14.25" customHeight="1">
      <c r="A239" s="392">
        <v>92431</v>
      </c>
      <c r="B239" s="393" t="s">
        <v>948</v>
      </c>
      <c r="C239" s="235">
        <v>2.34E-5</v>
      </c>
      <c r="D239" s="235">
        <v>2.6999999999999999E-5</v>
      </c>
      <c r="E239" s="232">
        <v>83618</v>
      </c>
      <c r="F239" s="232" t="s">
        <v>1930</v>
      </c>
      <c r="G239" s="394">
        <v>10560</v>
      </c>
      <c r="H239" s="394">
        <v>11767</v>
      </c>
      <c r="I239" s="394">
        <v>6223</v>
      </c>
      <c r="J239" s="232">
        <v>9831</v>
      </c>
      <c r="K239" s="232">
        <v>38381</v>
      </c>
      <c r="L239" s="232"/>
      <c r="M239" s="226">
        <v>0</v>
      </c>
      <c r="N239" s="226">
        <v>0</v>
      </c>
      <c r="O239" s="232">
        <v>839</v>
      </c>
      <c r="P239" s="232">
        <v>839</v>
      </c>
      <c r="Q239" s="232"/>
      <c r="R239" s="394">
        <v>28756</v>
      </c>
      <c r="S239" s="232">
        <v>4402</v>
      </c>
      <c r="T239" s="398">
        <v>33158</v>
      </c>
      <c r="U239" s="232"/>
      <c r="V239" s="398"/>
      <c r="W239" s="398"/>
      <c r="X239" s="398">
        <v>169652</v>
      </c>
      <c r="Y239" s="398">
        <v>12118</v>
      </c>
    </row>
    <row r="240" spans="1:25">
      <c r="A240" s="392">
        <v>92441</v>
      </c>
      <c r="B240" s="393" t="s">
        <v>949</v>
      </c>
      <c r="C240" s="235">
        <v>1.054E-4</v>
      </c>
      <c r="D240" s="235">
        <v>8.6500000000000002E-5</v>
      </c>
      <c r="E240" s="232">
        <v>376639</v>
      </c>
      <c r="F240" s="232" t="s">
        <v>1930</v>
      </c>
      <c r="G240" s="394">
        <v>47563</v>
      </c>
      <c r="H240" s="394">
        <v>53002</v>
      </c>
      <c r="I240" s="394">
        <v>28029</v>
      </c>
      <c r="J240" s="232">
        <v>28335</v>
      </c>
      <c r="K240" s="232">
        <v>156929</v>
      </c>
      <c r="L240" s="232"/>
      <c r="M240" s="226">
        <v>0</v>
      </c>
      <c r="N240" s="226">
        <v>0</v>
      </c>
      <c r="O240" s="232">
        <v>11534</v>
      </c>
      <c r="P240" s="232">
        <v>11534</v>
      </c>
      <c r="Q240" s="232"/>
      <c r="R240" s="394">
        <v>129523</v>
      </c>
      <c r="S240" s="232">
        <v>4490</v>
      </c>
      <c r="T240" s="398">
        <v>134013</v>
      </c>
      <c r="U240" s="232"/>
      <c r="V240" s="398"/>
      <c r="W240" s="398"/>
      <c r="X240" s="398">
        <v>764160</v>
      </c>
      <c r="Y240" s="398">
        <v>54582</v>
      </c>
    </row>
    <row r="241" spans="1:25">
      <c r="A241" s="392">
        <v>92444</v>
      </c>
      <c r="B241" s="393" t="s">
        <v>950</v>
      </c>
      <c r="C241" s="235">
        <v>5.2000000000000002E-6</v>
      </c>
      <c r="D241" s="235">
        <v>5.1000000000000003E-6</v>
      </c>
      <c r="E241" s="232">
        <v>18582</v>
      </c>
      <c r="F241" s="232" t="s">
        <v>1930</v>
      </c>
      <c r="G241" s="394">
        <v>2347</v>
      </c>
      <c r="H241" s="394">
        <v>2615</v>
      </c>
      <c r="I241" s="394">
        <v>1383</v>
      </c>
      <c r="J241" s="232">
        <v>5925</v>
      </c>
      <c r="K241" s="232">
        <v>12270</v>
      </c>
      <c r="L241" s="232"/>
      <c r="M241" s="226">
        <v>0</v>
      </c>
      <c r="N241" s="226">
        <v>0</v>
      </c>
      <c r="O241" s="232">
        <v>0</v>
      </c>
      <c r="P241" s="232">
        <v>0</v>
      </c>
      <c r="Q241" s="232"/>
      <c r="R241" s="394">
        <v>6390</v>
      </c>
      <c r="S241" s="232">
        <v>2502</v>
      </c>
      <c r="T241" s="398">
        <v>8892</v>
      </c>
      <c r="U241" s="232"/>
      <c r="V241" s="398"/>
      <c r="W241" s="398"/>
      <c r="X241" s="398">
        <v>37700</v>
      </c>
      <c r="Y241" s="398">
        <v>2693</v>
      </c>
    </row>
    <row r="242" spans="1:25">
      <c r="A242" s="392">
        <v>92451</v>
      </c>
      <c r="B242" s="393" t="s">
        <v>951</v>
      </c>
      <c r="C242" s="235">
        <v>1.049E-4</v>
      </c>
      <c r="D242" s="235">
        <v>1.143E-4</v>
      </c>
      <c r="E242" s="232">
        <v>374852</v>
      </c>
      <c r="F242" s="232" t="s">
        <v>1930</v>
      </c>
      <c r="G242" s="394">
        <v>47337</v>
      </c>
      <c r="H242" s="394">
        <v>52751</v>
      </c>
      <c r="I242" s="394">
        <v>27896</v>
      </c>
      <c r="J242" s="232">
        <v>23225</v>
      </c>
      <c r="K242" s="232">
        <v>151209</v>
      </c>
      <c r="L242" s="232"/>
      <c r="M242" s="226">
        <v>0</v>
      </c>
      <c r="N242" s="226">
        <v>0</v>
      </c>
      <c r="O242" s="232">
        <v>0</v>
      </c>
      <c r="P242" s="232">
        <v>0</v>
      </c>
      <c r="Q242" s="232"/>
      <c r="R242" s="394">
        <v>128909</v>
      </c>
      <c r="S242" s="232">
        <v>14635</v>
      </c>
      <c r="T242" s="398">
        <v>143544</v>
      </c>
      <c r="U242" s="232"/>
      <c r="V242" s="398"/>
      <c r="W242" s="398"/>
      <c r="X242" s="398">
        <v>760535</v>
      </c>
      <c r="Y242" s="398">
        <v>54323</v>
      </c>
    </row>
    <row r="243" spans="1:25">
      <c r="A243" s="392">
        <v>92461</v>
      </c>
      <c r="B243" s="393" t="s">
        <v>952</v>
      </c>
      <c r="C243" s="235">
        <v>5.3300000000000001E-5</v>
      </c>
      <c r="D243" s="235">
        <v>5.8400000000000003E-5</v>
      </c>
      <c r="E243" s="232">
        <v>190464</v>
      </c>
      <c r="F243" s="232" t="s">
        <v>1930</v>
      </c>
      <c r="G243" s="394">
        <v>24052</v>
      </c>
      <c r="H243" s="394">
        <v>26803</v>
      </c>
      <c r="I243" s="394">
        <v>14174</v>
      </c>
      <c r="J243" s="232">
        <v>10453</v>
      </c>
      <c r="K243" s="232">
        <v>75482</v>
      </c>
      <c r="L243" s="232"/>
      <c r="M243" s="226">
        <v>0</v>
      </c>
      <c r="N243" s="226">
        <v>0</v>
      </c>
      <c r="O243" s="232">
        <v>0</v>
      </c>
      <c r="P243" s="232">
        <v>0</v>
      </c>
      <c r="Q243" s="232"/>
      <c r="R243" s="394">
        <v>65499</v>
      </c>
      <c r="S243" s="232">
        <v>7132</v>
      </c>
      <c r="T243" s="398">
        <v>72631</v>
      </c>
      <c r="U243" s="232"/>
      <c r="V243" s="398"/>
      <c r="W243" s="398"/>
      <c r="X243" s="398">
        <v>386430</v>
      </c>
      <c r="Y243" s="398">
        <v>27602</v>
      </c>
    </row>
    <row r="244" spans="1:25">
      <c r="A244" s="392">
        <v>92501</v>
      </c>
      <c r="B244" s="393" t="s">
        <v>953</v>
      </c>
      <c r="C244" s="235">
        <v>4.0159999999999996E-3</v>
      </c>
      <c r="D244" s="235">
        <v>3.7055999999999999E-3</v>
      </c>
      <c r="E244" s="232">
        <v>14350879</v>
      </c>
      <c r="F244" s="232" t="s">
        <v>1930</v>
      </c>
      <c r="G244" s="394">
        <v>1812264</v>
      </c>
      <c r="H244" s="394">
        <v>2019502</v>
      </c>
      <c r="I244" s="394">
        <v>1067987</v>
      </c>
      <c r="J244" s="232">
        <v>680627</v>
      </c>
      <c r="K244" s="232">
        <v>5580380</v>
      </c>
      <c r="L244" s="232"/>
      <c r="M244" s="226">
        <v>0</v>
      </c>
      <c r="N244" s="226">
        <v>0</v>
      </c>
      <c r="O244" s="232">
        <v>0</v>
      </c>
      <c r="P244" s="232">
        <v>0</v>
      </c>
      <c r="Q244" s="232"/>
      <c r="R244" s="394">
        <v>4935162</v>
      </c>
      <c r="S244" s="232">
        <v>257178</v>
      </c>
      <c r="T244" s="398">
        <v>5192340</v>
      </c>
      <c r="U244" s="232"/>
      <c r="V244" s="398"/>
      <c r="W244" s="398"/>
      <c r="X244" s="398">
        <v>29116369</v>
      </c>
      <c r="Y244" s="398">
        <v>2079718</v>
      </c>
    </row>
    <row r="245" spans="1:25">
      <c r="A245" s="392">
        <v>92502</v>
      </c>
      <c r="B245" s="393" t="s">
        <v>954</v>
      </c>
      <c r="C245" s="235">
        <v>2.1299999999999999E-5</v>
      </c>
      <c r="D245" s="235">
        <v>2.3600000000000001E-5</v>
      </c>
      <c r="E245" s="232">
        <v>76114</v>
      </c>
      <c r="F245" s="232" t="s">
        <v>1930</v>
      </c>
      <c r="G245" s="394">
        <v>9612</v>
      </c>
      <c r="H245" s="394">
        <v>10711</v>
      </c>
      <c r="I245" s="394">
        <v>5664</v>
      </c>
      <c r="J245" s="232">
        <v>1968</v>
      </c>
      <c r="K245" s="232">
        <v>27955</v>
      </c>
      <c r="L245" s="232"/>
      <c r="M245" s="226">
        <v>0</v>
      </c>
      <c r="N245" s="226">
        <v>0</v>
      </c>
      <c r="O245" s="232">
        <v>0</v>
      </c>
      <c r="P245" s="232">
        <v>0</v>
      </c>
      <c r="Q245" s="232"/>
      <c r="R245" s="394">
        <v>26175</v>
      </c>
      <c r="S245" s="232">
        <v>1864</v>
      </c>
      <c r="T245" s="398">
        <v>28039</v>
      </c>
      <c r="U245" s="232"/>
      <c r="V245" s="398"/>
      <c r="W245" s="398"/>
      <c r="X245" s="398">
        <v>154427</v>
      </c>
      <c r="Y245" s="398">
        <v>11030</v>
      </c>
    </row>
    <row r="246" spans="1:25">
      <c r="A246" s="392">
        <v>92504</v>
      </c>
      <c r="B246" s="393" t="s">
        <v>955</v>
      </c>
      <c r="C246" s="235">
        <v>9.0799999999999998E-5</v>
      </c>
      <c r="D246" s="235">
        <v>7.6299999999999998E-5</v>
      </c>
      <c r="E246" s="232">
        <v>324467</v>
      </c>
      <c r="F246" s="232" t="s">
        <v>1930</v>
      </c>
      <c r="G246" s="394">
        <v>40974</v>
      </c>
      <c r="H246" s="394">
        <v>45660</v>
      </c>
      <c r="I246" s="394">
        <v>24147</v>
      </c>
      <c r="J246" s="232">
        <v>41238</v>
      </c>
      <c r="K246" s="232">
        <v>152019</v>
      </c>
      <c r="L246" s="232"/>
      <c r="M246" s="226">
        <v>0</v>
      </c>
      <c r="N246" s="226">
        <v>0</v>
      </c>
      <c r="O246" s="232">
        <v>0</v>
      </c>
      <c r="P246" s="232">
        <v>0</v>
      </c>
      <c r="Q246" s="232"/>
      <c r="R246" s="394">
        <v>111582</v>
      </c>
      <c r="S246" s="232">
        <v>18430</v>
      </c>
      <c r="T246" s="398">
        <v>130012</v>
      </c>
      <c r="U246" s="232"/>
      <c r="V246" s="398"/>
      <c r="W246" s="398"/>
      <c r="X246" s="398">
        <v>658308</v>
      </c>
      <c r="Y246" s="398">
        <v>47022</v>
      </c>
    </row>
    <row r="247" spans="1:25">
      <c r="A247" s="392">
        <v>92505</v>
      </c>
      <c r="B247" s="393" t="s">
        <v>956</v>
      </c>
      <c r="C247" s="235">
        <v>1.674E-4</v>
      </c>
      <c r="D247" s="235">
        <v>1.7090000000000001E-4</v>
      </c>
      <c r="E247" s="232">
        <v>598192</v>
      </c>
      <c r="F247" s="232" t="s">
        <v>1930</v>
      </c>
      <c r="G247" s="394">
        <v>75541</v>
      </c>
      <c r="H247" s="394">
        <v>84179</v>
      </c>
      <c r="I247" s="394">
        <v>44517</v>
      </c>
      <c r="J247" s="232">
        <v>76409</v>
      </c>
      <c r="K247" s="232">
        <v>280646</v>
      </c>
      <c r="L247" s="232"/>
      <c r="M247" s="226">
        <v>0</v>
      </c>
      <c r="N247" s="226">
        <v>0</v>
      </c>
      <c r="O247" s="232">
        <v>0</v>
      </c>
      <c r="P247" s="232">
        <v>0</v>
      </c>
      <c r="Q247" s="232"/>
      <c r="R247" s="394">
        <v>205714</v>
      </c>
      <c r="S247" s="232">
        <v>36249</v>
      </c>
      <c r="T247" s="398">
        <v>241963</v>
      </c>
      <c r="U247" s="232"/>
      <c r="V247" s="398"/>
      <c r="W247" s="398"/>
      <c r="X247" s="398">
        <v>1213665</v>
      </c>
      <c r="Y247" s="398">
        <v>86689</v>
      </c>
    </row>
    <row r="248" spans="1:25">
      <c r="A248" s="392">
        <v>92506</v>
      </c>
      <c r="B248" s="393" t="s">
        <v>957</v>
      </c>
      <c r="C248" s="235">
        <v>6.0600000000000003E-5</v>
      </c>
      <c r="D248" s="235">
        <v>5.38E-5</v>
      </c>
      <c r="E248" s="232">
        <v>216550</v>
      </c>
      <c r="F248" s="232" t="s">
        <v>1930</v>
      </c>
      <c r="G248" s="394">
        <v>27346</v>
      </c>
      <c r="H248" s="394">
        <v>30473</v>
      </c>
      <c r="I248" s="394">
        <v>16116</v>
      </c>
      <c r="J248" s="232">
        <v>24783</v>
      </c>
      <c r="K248" s="232">
        <v>98718</v>
      </c>
      <c r="L248" s="232"/>
      <c r="M248" s="226">
        <v>0</v>
      </c>
      <c r="N248" s="226">
        <v>0</v>
      </c>
      <c r="O248" s="232">
        <v>1000</v>
      </c>
      <c r="P248" s="232">
        <v>1000</v>
      </c>
      <c r="Q248" s="232"/>
      <c r="R248" s="394">
        <v>74470</v>
      </c>
      <c r="S248" s="232">
        <v>11666</v>
      </c>
      <c r="T248" s="398">
        <v>86136</v>
      </c>
      <c r="U248" s="232"/>
      <c r="V248" s="398"/>
      <c r="W248" s="398"/>
      <c r="X248" s="398">
        <v>439356</v>
      </c>
      <c r="Y248" s="398">
        <v>31382</v>
      </c>
    </row>
    <row r="249" spans="1:25">
      <c r="A249" s="392">
        <v>92507</v>
      </c>
      <c r="B249" s="393" t="s">
        <v>958</v>
      </c>
      <c r="C249" s="235">
        <v>9.0799999999999998E-5</v>
      </c>
      <c r="D249" s="235">
        <v>1.01E-4</v>
      </c>
      <c r="E249" s="232">
        <v>324467</v>
      </c>
      <c r="F249" s="232" t="s">
        <v>1930</v>
      </c>
      <c r="G249" s="394">
        <v>40974</v>
      </c>
      <c r="H249" s="394">
        <v>45660</v>
      </c>
      <c r="I249" s="394">
        <v>24147</v>
      </c>
      <c r="J249" s="232">
        <v>3900</v>
      </c>
      <c r="K249" s="232">
        <v>114681</v>
      </c>
      <c r="L249" s="232"/>
      <c r="M249" s="226">
        <v>0</v>
      </c>
      <c r="N249" s="226">
        <v>0</v>
      </c>
      <c r="O249" s="232">
        <v>14362</v>
      </c>
      <c r="P249" s="232">
        <v>14362</v>
      </c>
      <c r="Q249" s="232"/>
      <c r="R249" s="394">
        <v>111582</v>
      </c>
      <c r="S249" s="232">
        <v>-5272</v>
      </c>
      <c r="T249" s="398">
        <v>106310</v>
      </c>
      <c r="U249" s="232"/>
      <c r="V249" s="398"/>
      <c r="W249" s="398"/>
      <c r="X249" s="398">
        <v>658308</v>
      </c>
      <c r="Y249" s="398">
        <v>47022</v>
      </c>
    </row>
    <row r="250" spans="1:25">
      <c r="A250" s="392">
        <v>92508</v>
      </c>
      <c r="B250" s="393" t="s">
        <v>959</v>
      </c>
      <c r="C250" s="235">
        <v>3.057E-4</v>
      </c>
      <c r="D250" s="235">
        <v>3.102E-4</v>
      </c>
      <c r="E250" s="232">
        <v>1092396</v>
      </c>
      <c r="F250" s="232" t="s">
        <v>1930</v>
      </c>
      <c r="G250" s="394">
        <v>137950</v>
      </c>
      <c r="H250" s="394">
        <v>153725</v>
      </c>
      <c r="I250" s="394">
        <v>81296</v>
      </c>
      <c r="J250" s="232">
        <v>43078</v>
      </c>
      <c r="K250" s="232">
        <v>416049</v>
      </c>
      <c r="L250" s="232"/>
      <c r="M250" s="226">
        <v>0</v>
      </c>
      <c r="N250" s="226">
        <v>0</v>
      </c>
      <c r="O250" s="232">
        <v>0</v>
      </c>
      <c r="P250" s="232">
        <v>0</v>
      </c>
      <c r="Q250" s="232"/>
      <c r="R250" s="394">
        <v>375667</v>
      </c>
      <c r="S250" s="232">
        <v>14666</v>
      </c>
      <c r="T250" s="398">
        <v>390333</v>
      </c>
      <c r="U250" s="232"/>
      <c r="V250" s="398"/>
      <c r="W250" s="398"/>
      <c r="X250" s="398">
        <v>2216353</v>
      </c>
      <c r="Y250" s="398">
        <v>158309</v>
      </c>
    </row>
    <row r="251" spans="1:25">
      <c r="A251" s="392">
        <v>92509</v>
      </c>
      <c r="B251" s="393" t="s">
        <v>1618</v>
      </c>
      <c r="C251" s="235">
        <v>0</v>
      </c>
      <c r="D251" s="235">
        <v>0</v>
      </c>
      <c r="E251" s="232">
        <v>0</v>
      </c>
      <c r="F251" s="232" t="s">
        <v>1930</v>
      </c>
      <c r="G251" s="394">
        <v>0</v>
      </c>
      <c r="H251" s="394">
        <v>0</v>
      </c>
      <c r="I251" s="394">
        <v>0</v>
      </c>
      <c r="J251" s="232">
        <v>0</v>
      </c>
      <c r="K251" s="232">
        <v>0</v>
      </c>
      <c r="L251" s="232"/>
      <c r="M251" s="226">
        <v>0</v>
      </c>
      <c r="N251" s="226">
        <v>0</v>
      </c>
      <c r="O251" s="232">
        <v>0</v>
      </c>
      <c r="P251" s="232">
        <v>0</v>
      </c>
      <c r="Q251" s="232"/>
      <c r="R251" s="394">
        <v>0</v>
      </c>
      <c r="S251" s="232">
        <v>-260868</v>
      </c>
      <c r="T251" s="398">
        <v>-260868</v>
      </c>
      <c r="U251" s="232"/>
      <c r="V251" s="398"/>
      <c r="W251" s="398"/>
      <c r="X251" s="398">
        <v>0</v>
      </c>
      <c r="Y251" s="398">
        <v>0</v>
      </c>
    </row>
    <row r="252" spans="1:25">
      <c r="A252" s="392">
        <v>92511</v>
      </c>
      <c r="B252" s="393" t="s">
        <v>960</v>
      </c>
      <c r="C252" s="235">
        <v>3.3302000000000002E-3</v>
      </c>
      <c r="D252" s="235">
        <v>3.5699999999999998E-3</v>
      </c>
      <c r="E252" s="232">
        <v>11900223</v>
      </c>
      <c r="F252" s="232" t="s">
        <v>1930</v>
      </c>
      <c r="G252" s="394">
        <v>1502789</v>
      </c>
      <c r="H252" s="394">
        <v>1674638</v>
      </c>
      <c r="I252" s="394">
        <v>885610</v>
      </c>
      <c r="J252" s="232">
        <v>136186</v>
      </c>
      <c r="K252" s="232">
        <v>4199223</v>
      </c>
      <c r="L252" s="232"/>
      <c r="M252" s="226">
        <v>0</v>
      </c>
      <c r="N252" s="226">
        <v>0</v>
      </c>
      <c r="O252" s="232">
        <v>322516</v>
      </c>
      <c r="P252" s="232">
        <v>322516</v>
      </c>
      <c r="Q252" s="232"/>
      <c r="R252" s="394">
        <v>4092400</v>
      </c>
      <c r="S252" s="232">
        <v>-111612</v>
      </c>
      <c r="T252" s="398">
        <v>3980788</v>
      </c>
      <c r="U252" s="232"/>
      <c r="V252" s="398"/>
      <c r="W252" s="398"/>
      <c r="X252" s="398">
        <v>24144256</v>
      </c>
      <c r="Y252" s="398">
        <v>1724571</v>
      </c>
    </row>
    <row r="253" spans="1:25">
      <c r="A253" s="392">
        <v>92513</v>
      </c>
      <c r="B253" s="393" t="s">
        <v>961</v>
      </c>
      <c r="C253" s="235">
        <v>3.8999999999999998E-3</v>
      </c>
      <c r="D253" s="235">
        <v>3.9484999999999998E-3</v>
      </c>
      <c r="E253" s="232">
        <v>13936361</v>
      </c>
      <c r="F253" s="232" t="s">
        <v>1930</v>
      </c>
      <c r="G253" s="394">
        <v>1759918</v>
      </c>
      <c r="H253" s="394">
        <v>1961170</v>
      </c>
      <c r="I253" s="394">
        <v>1037139</v>
      </c>
      <c r="J253" s="232">
        <v>0</v>
      </c>
      <c r="K253" s="232">
        <v>4758227</v>
      </c>
      <c r="L253" s="232"/>
      <c r="M253" s="226">
        <v>0</v>
      </c>
      <c r="N253" s="226">
        <v>0</v>
      </c>
      <c r="O253" s="232">
        <v>347111</v>
      </c>
      <c r="P253" s="232">
        <v>347111</v>
      </c>
      <c r="Q253" s="232"/>
      <c r="R253" s="394">
        <v>4792613</v>
      </c>
      <c r="S253" s="232">
        <v>294667</v>
      </c>
      <c r="T253" s="398">
        <v>5087280</v>
      </c>
      <c r="U253" s="232"/>
      <c r="V253" s="398"/>
      <c r="W253" s="398"/>
      <c r="X253" s="398">
        <v>28275359</v>
      </c>
      <c r="Y253" s="398">
        <v>2019646</v>
      </c>
    </row>
    <row r="254" spans="1:25">
      <c r="A254" s="392">
        <v>92521</v>
      </c>
      <c r="B254" s="393" t="s">
        <v>962</v>
      </c>
      <c r="C254" s="235">
        <v>6.7100000000000005E-5</v>
      </c>
      <c r="D254" s="235">
        <v>7.7399999999999998E-5</v>
      </c>
      <c r="E254" s="232">
        <v>239777</v>
      </c>
      <c r="F254" s="232" t="s">
        <v>1930</v>
      </c>
      <c r="G254" s="394">
        <v>30280</v>
      </c>
      <c r="H254" s="394">
        <v>33742</v>
      </c>
      <c r="I254" s="394">
        <v>17844</v>
      </c>
      <c r="J254" s="232">
        <v>0</v>
      </c>
      <c r="K254" s="232">
        <v>81866</v>
      </c>
      <c r="L254" s="232"/>
      <c r="M254" s="226">
        <v>0</v>
      </c>
      <c r="N254" s="226">
        <v>0</v>
      </c>
      <c r="O254" s="232">
        <v>15265</v>
      </c>
      <c r="P254" s="232">
        <v>15265</v>
      </c>
      <c r="Q254" s="232"/>
      <c r="R254" s="394">
        <v>82458</v>
      </c>
      <c r="S254" s="232">
        <v>-7451</v>
      </c>
      <c r="T254" s="398">
        <v>75007</v>
      </c>
      <c r="U254" s="232"/>
      <c r="V254" s="398"/>
      <c r="W254" s="398"/>
      <c r="X254" s="398">
        <v>486481</v>
      </c>
      <c r="Y254" s="398">
        <v>34748</v>
      </c>
    </row>
    <row r="255" spans="1:25">
      <c r="A255" s="392">
        <v>92531</v>
      </c>
      <c r="B255" s="393" t="s">
        <v>963</v>
      </c>
      <c r="C255" s="235">
        <v>8.4690000000000004E-4</v>
      </c>
      <c r="D255" s="235">
        <v>8.2580000000000001E-4</v>
      </c>
      <c r="E255" s="232">
        <v>3026334</v>
      </c>
      <c r="F255" s="232" t="s">
        <v>1930</v>
      </c>
      <c r="G255" s="394">
        <v>382173</v>
      </c>
      <c r="H255" s="394">
        <v>425875</v>
      </c>
      <c r="I255" s="394">
        <v>225219</v>
      </c>
      <c r="J255" s="232">
        <v>0</v>
      </c>
      <c r="K255" s="232">
        <v>1033267</v>
      </c>
      <c r="L255" s="232"/>
      <c r="M255" s="226">
        <v>0</v>
      </c>
      <c r="N255" s="226">
        <v>0</v>
      </c>
      <c r="O255" s="232">
        <v>58560</v>
      </c>
      <c r="P255" s="232">
        <v>58560</v>
      </c>
      <c r="Q255" s="232"/>
      <c r="R255" s="394">
        <v>1040734</v>
      </c>
      <c r="S255" s="232">
        <v>-43632</v>
      </c>
      <c r="T255" s="398">
        <v>997102</v>
      </c>
      <c r="U255" s="232"/>
      <c r="V255" s="398"/>
      <c r="W255" s="398"/>
      <c r="X255" s="398">
        <v>6140103</v>
      </c>
      <c r="Y255" s="398">
        <v>438574</v>
      </c>
    </row>
    <row r="256" spans="1:25">
      <c r="A256" s="392">
        <v>92541</v>
      </c>
      <c r="B256" s="393" t="s">
        <v>964</v>
      </c>
      <c r="C256" s="235">
        <v>1.462E-4</v>
      </c>
      <c r="D256" s="235">
        <v>1.3740000000000001E-4</v>
      </c>
      <c r="E256" s="232">
        <v>522435</v>
      </c>
      <c r="F256" s="232" t="s">
        <v>1930</v>
      </c>
      <c r="G256" s="394">
        <v>65974</v>
      </c>
      <c r="H256" s="394">
        <v>73519</v>
      </c>
      <c r="I256" s="394">
        <v>38879</v>
      </c>
      <c r="J256" s="232">
        <v>17458</v>
      </c>
      <c r="K256" s="232">
        <v>195830</v>
      </c>
      <c r="L256" s="232"/>
      <c r="M256" s="226">
        <v>0</v>
      </c>
      <c r="N256" s="226">
        <v>0</v>
      </c>
      <c r="O256" s="232">
        <v>8726</v>
      </c>
      <c r="P256" s="232">
        <v>8726</v>
      </c>
      <c r="Q256" s="232"/>
      <c r="R256" s="394">
        <v>179662</v>
      </c>
      <c r="S256" s="232">
        <v>2120</v>
      </c>
      <c r="T256" s="398">
        <v>181782</v>
      </c>
      <c r="U256" s="232"/>
      <c r="V256" s="398"/>
      <c r="W256" s="398"/>
      <c r="X256" s="398">
        <v>1059963</v>
      </c>
      <c r="Y256" s="398">
        <v>75711</v>
      </c>
    </row>
    <row r="257" spans="1:25">
      <c r="A257" s="392">
        <v>92551</v>
      </c>
      <c r="B257" s="393" t="s">
        <v>965</v>
      </c>
      <c r="C257" s="235">
        <v>5.49E-5</v>
      </c>
      <c r="D257" s="235">
        <v>5.7099999999999999E-5</v>
      </c>
      <c r="E257" s="232">
        <v>196181</v>
      </c>
      <c r="F257" s="232" t="s">
        <v>1930</v>
      </c>
      <c r="G257" s="394">
        <v>24774</v>
      </c>
      <c r="H257" s="394">
        <v>27607</v>
      </c>
      <c r="I257" s="394">
        <v>14600</v>
      </c>
      <c r="J257" s="232">
        <v>6440</v>
      </c>
      <c r="K257" s="232">
        <v>73421</v>
      </c>
      <c r="L257" s="232"/>
      <c r="M257" s="226">
        <v>0</v>
      </c>
      <c r="N257" s="226">
        <v>0</v>
      </c>
      <c r="O257" s="232">
        <v>10167</v>
      </c>
      <c r="P257" s="232">
        <v>10167</v>
      </c>
      <c r="Q257" s="232"/>
      <c r="R257" s="394">
        <v>67465</v>
      </c>
      <c r="S257" s="232">
        <v>-2781</v>
      </c>
      <c r="T257" s="398">
        <v>64684</v>
      </c>
      <c r="U257" s="232"/>
      <c r="V257" s="398"/>
      <c r="W257" s="398"/>
      <c r="X257" s="398">
        <v>398030</v>
      </c>
      <c r="Y257" s="398">
        <v>28430</v>
      </c>
    </row>
    <row r="258" spans="1:25">
      <c r="A258" s="392">
        <v>92561</v>
      </c>
      <c r="B258" s="393" t="s">
        <v>966</v>
      </c>
      <c r="C258" s="235">
        <v>1.2999999999999999E-5</v>
      </c>
      <c r="D258" s="235">
        <v>1.7900000000000001E-5</v>
      </c>
      <c r="E258" s="232">
        <v>46455</v>
      </c>
      <c r="F258" s="232" t="s">
        <v>1930</v>
      </c>
      <c r="G258" s="394">
        <v>5866</v>
      </c>
      <c r="H258" s="394">
        <v>6538</v>
      </c>
      <c r="I258" s="394">
        <v>3457</v>
      </c>
      <c r="J258" s="232">
        <v>189</v>
      </c>
      <c r="K258" s="232">
        <v>16050</v>
      </c>
      <c r="L258" s="232"/>
      <c r="M258" s="226">
        <v>0</v>
      </c>
      <c r="N258" s="226">
        <v>0</v>
      </c>
      <c r="O258" s="232">
        <v>6708</v>
      </c>
      <c r="P258" s="232">
        <v>6708</v>
      </c>
      <c r="Q258" s="232"/>
      <c r="R258" s="394">
        <v>15975</v>
      </c>
      <c r="S258" s="232">
        <v>-1318</v>
      </c>
      <c r="T258" s="398">
        <v>14657</v>
      </c>
      <c r="U258" s="232"/>
      <c r="V258" s="398"/>
      <c r="W258" s="398"/>
      <c r="X258" s="398">
        <v>94251</v>
      </c>
      <c r="Y258" s="398">
        <v>6732</v>
      </c>
    </row>
    <row r="259" spans="1:25">
      <c r="A259" s="392">
        <v>92571</v>
      </c>
      <c r="B259" s="393" t="s">
        <v>967</v>
      </c>
      <c r="C259" s="235">
        <v>4.4000000000000002E-6</v>
      </c>
      <c r="D259" s="235">
        <v>8.1999999999999994E-6</v>
      </c>
      <c r="E259" s="232">
        <v>15723</v>
      </c>
      <c r="F259" s="232" t="s">
        <v>1930</v>
      </c>
      <c r="G259" s="394">
        <v>1986</v>
      </c>
      <c r="H259" s="394">
        <v>2213</v>
      </c>
      <c r="I259" s="394">
        <v>1170</v>
      </c>
      <c r="J259" s="232">
        <v>2233</v>
      </c>
      <c r="K259" s="232">
        <v>7602</v>
      </c>
      <c r="L259" s="232"/>
      <c r="M259" s="226">
        <v>0</v>
      </c>
      <c r="N259" s="226">
        <v>0</v>
      </c>
      <c r="O259" s="232">
        <v>3283</v>
      </c>
      <c r="P259" s="232">
        <v>3283</v>
      </c>
      <c r="Q259" s="232"/>
      <c r="R259" s="394">
        <v>5407</v>
      </c>
      <c r="S259" s="232">
        <v>1537</v>
      </c>
      <c r="T259" s="398">
        <v>6944</v>
      </c>
      <c r="U259" s="232"/>
      <c r="V259" s="398"/>
      <c r="W259" s="398"/>
      <c r="X259" s="398">
        <v>31900</v>
      </c>
      <c r="Y259" s="398">
        <v>2279</v>
      </c>
    </row>
    <row r="260" spans="1:25">
      <c r="A260" s="392">
        <v>92601</v>
      </c>
      <c r="B260" s="393" t="s">
        <v>968</v>
      </c>
      <c r="C260" s="235">
        <v>1.27283E-2</v>
      </c>
      <c r="D260" s="235">
        <v>1.32598E-2</v>
      </c>
      <c r="E260" s="232">
        <v>45483638</v>
      </c>
      <c r="F260" s="232" t="s">
        <v>1930</v>
      </c>
      <c r="G260" s="394">
        <v>5743785</v>
      </c>
      <c r="H260" s="394">
        <v>6400603</v>
      </c>
      <c r="I260" s="394">
        <v>3384875</v>
      </c>
      <c r="J260" s="232">
        <v>0</v>
      </c>
      <c r="K260" s="232">
        <v>15529263</v>
      </c>
      <c r="L260" s="232"/>
      <c r="M260" s="226">
        <v>0</v>
      </c>
      <c r="N260" s="226">
        <v>0</v>
      </c>
      <c r="O260" s="232">
        <v>1015294</v>
      </c>
      <c r="P260" s="232">
        <v>1015294</v>
      </c>
      <c r="Q260" s="232"/>
      <c r="R260" s="394">
        <v>15641490</v>
      </c>
      <c r="S260" s="232">
        <v>-438195</v>
      </c>
      <c r="T260" s="398">
        <v>15203295</v>
      </c>
      <c r="U260" s="232"/>
      <c r="V260" s="398"/>
      <c r="W260" s="398"/>
      <c r="X260" s="398">
        <v>92281346</v>
      </c>
      <c r="Y260" s="398">
        <v>6591452</v>
      </c>
    </row>
    <row r="261" spans="1:25">
      <c r="A261" s="392">
        <v>92602</v>
      </c>
      <c r="B261" s="393" t="s">
        <v>969</v>
      </c>
      <c r="C261" s="235">
        <v>4.5000000000000001E-6</v>
      </c>
      <c r="D261" s="235">
        <v>4.8999999999999997E-6</v>
      </c>
      <c r="E261" s="232">
        <v>16080</v>
      </c>
      <c r="F261" s="232" t="s">
        <v>1930</v>
      </c>
      <c r="G261" s="394">
        <v>2031</v>
      </c>
      <c r="H261" s="394">
        <v>2263</v>
      </c>
      <c r="I261" s="394">
        <v>1197</v>
      </c>
      <c r="J261" s="232">
        <v>0</v>
      </c>
      <c r="K261" s="232">
        <v>5491</v>
      </c>
      <c r="L261" s="232"/>
      <c r="M261" s="226">
        <v>0</v>
      </c>
      <c r="N261" s="226">
        <v>0</v>
      </c>
      <c r="O261" s="232">
        <v>2836</v>
      </c>
      <c r="P261" s="232">
        <v>2836</v>
      </c>
      <c r="Q261" s="232"/>
      <c r="R261" s="394">
        <v>5530</v>
      </c>
      <c r="S261" s="232">
        <v>-1157</v>
      </c>
      <c r="T261" s="398">
        <v>4373</v>
      </c>
      <c r="U261" s="232"/>
      <c r="V261" s="398"/>
      <c r="W261" s="398"/>
      <c r="X261" s="398">
        <v>32625</v>
      </c>
      <c r="Y261" s="398">
        <v>2330</v>
      </c>
    </row>
    <row r="262" spans="1:25">
      <c r="A262" s="392">
        <v>92604</v>
      </c>
      <c r="B262" s="393" t="s">
        <v>970</v>
      </c>
      <c r="C262" s="235">
        <v>3.6390000000000001E-4</v>
      </c>
      <c r="D262" s="235">
        <v>3.501E-4</v>
      </c>
      <c r="E262" s="232">
        <v>1300370</v>
      </c>
      <c r="F262" s="232" t="s">
        <v>1930</v>
      </c>
      <c r="G262" s="394">
        <v>164214</v>
      </c>
      <c r="H262" s="394">
        <v>182992</v>
      </c>
      <c r="I262" s="394">
        <v>96773</v>
      </c>
      <c r="J262" s="232">
        <v>69742</v>
      </c>
      <c r="K262" s="232">
        <v>513721</v>
      </c>
      <c r="L262" s="232"/>
      <c r="M262" s="226">
        <v>0</v>
      </c>
      <c r="N262" s="226">
        <v>0</v>
      </c>
      <c r="O262" s="232">
        <v>0</v>
      </c>
      <c r="P262" s="232">
        <v>0</v>
      </c>
      <c r="Q262" s="232"/>
      <c r="R262" s="394">
        <v>447188</v>
      </c>
      <c r="S262" s="232">
        <v>34414</v>
      </c>
      <c r="T262" s="398">
        <v>481602</v>
      </c>
      <c r="U262" s="232"/>
      <c r="V262" s="398"/>
      <c r="W262" s="398"/>
      <c r="X262" s="398">
        <v>2638308</v>
      </c>
      <c r="Y262" s="398">
        <v>188449</v>
      </c>
    </row>
    <row r="263" spans="1:25">
      <c r="A263" s="392">
        <v>92607</v>
      </c>
      <c r="B263" s="393" t="s">
        <v>971</v>
      </c>
      <c r="C263" s="235">
        <v>7.08E-5</v>
      </c>
      <c r="D263" s="235">
        <v>5.6700000000000003E-5</v>
      </c>
      <c r="E263" s="232">
        <v>252999</v>
      </c>
      <c r="F263" s="232" t="s">
        <v>1930</v>
      </c>
      <c r="G263" s="394">
        <v>31949</v>
      </c>
      <c r="H263" s="394">
        <v>35603</v>
      </c>
      <c r="I263" s="394">
        <v>18828</v>
      </c>
      <c r="J263" s="232">
        <v>24697</v>
      </c>
      <c r="K263" s="232">
        <v>111077</v>
      </c>
      <c r="L263" s="232"/>
      <c r="M263" s="226">
        <v>0</v>
      </c>
      <c r="N263" s="226">
        <v>0</v>
      </c>
      <c r="O263" s="232">
        <v>569</v>
      </c>
      <c r="P263" s="232">
        <v>569</v>
      </c>
      <c r="Q263" s="232"/>
      <c r="R263" s="394">
        <v>87004</v>
      </c>
      <c r="S263" s="232">
        <v>9576</v>
      </c>
      <c r="T263" s="398">
        <v>96580</v>
      </c>
      <c r="U263" s="232"/>
      <c r="V263" s="398"/>
      <c r="W263" s="398"/>
      <c r="X263" s="398">
        <v>513307</v>
      </c>
      <c r="Y263" s="398">
        <v>36664</v>
      </c>
    </row>
    <row r="264" spans="1:25">
      <c r="A264" s="392">
        <v>92608</v>
      </c>
      <c r="B264" s="393" t="s">
        <v>972</v>
      </c>
      <c r="C264" s="235">
        <v>0</v>
      </c>
      <c r="D264" s="235">
        <v>0</v>
      </c>
      <c r="E264" s="232">
        <v>0</v>
      </c>
      <c r="F264" s="232" t="s">
        <v>1930</v>
      </c>
      <c r="G264" s="394">
        <v>0</v>
      </c>
      <c r="H264" s="394">
        <v>0</v>
      </c>
      <c r="I264" s="394">
        <v>0</v>
      </c>
      <c r="J264" s="232">
        <v>0</v>
      </c>
      <c r="K264" s="232">
        <v>0</v>
      </c>
      <c r="L264" s="232"/>
      <c r="M264" s="226">
        <v>0</v>
      </c>
      <c r="N264" s="226">
        <v>0</v>
      </c>
      <c r="O264" s="232">
        <v>0</v>
      </c>
      <c r="P264" s="232">
        <v>0</v>
      </c>
      <c r="Q264" s="232"/>
      <c r="R264" s="394">
        <v>0</v>
      </c>
      <c r="S264" s="232">
        <v>0</v>
      </c>
      <c r="T264" s="398">
        <v>0</v>
      </c>
      <c r="U264" s="232"/>
      <c r="V264" s="398"/>
      <c r="W264" s="398"/>
      <c r="X264" s="398">
        <v>0</v>
      </c>
      <c r="Y264" s="398">
        <v>0</v>
      </c>
    </row>
    <row r="265" spans="1:25">
      <c r="A265" s="392">
        <v>92611</v>
      </c>
      <c r="B265" s="393" t="s">
        <v>973</v>
      </c>
      <c r="C265" s="235">
        <v>1.13896E-2</v>
      </c>
      <c r="D265" s="235">
        <v>1.22078E-2</v>
      </c>
      <c r="E265" s="232">
        <v>40699893</v>
      </c>
      <c r="F265" s="232" t="s">
        <v>1930</v>
      </c>
      <c r="G265" s="394">
        <v>5139682</v>
      </c>
      <c r="H265" s="394">
        <v>5727420</v>
      </c>
      <c r="I265" s="394">
        <v>3028870</v>
      </c>
      <c r="J265" s="232">
        <v>0</v>
      </c>
      <c r="K265" s="232">
        <v>13895972</v>
      </c>
      <c r="L265" s="232"/>
      <c r="M265" s="226">
        <v>0</v>
      </c>
      <c r="N265" s="226">
        <v>0</v>
      </c>
      <c r="O265" s="232">
        <v>1991116</v>
      </c>
      <c r="P265" s="232">
        <v>1991116</v>
      </c>
      <c r="Q265" s="232"/>
      <c r="R265" s="394">
        <v>13996395</v>
      </c>
      <c r="S265" s="232">
        <v>-896272</v>
      </c>
      <c r="T265" s="398">
        <v>13100123</v>
      </c>
      <c r="U265" s="232"/>
      <c r="V265" s="398"/>
      <c r="W265" s="398"/>
      <c r="X265" s="398">
        <v>82575648</v>
      </c>
      <c r="Y265" s="398">
        <v>5898195</v>
      </c>
    </row>
    <row r="266" spans="1:25">
      <c r="A266" s="392">
        <v>92613</v>
      </c>
      <c r="B266" s="393" t="s">
        <v>974</v>
      </c>
      <c r="C266" s="235">
        <v>2.2249999999999999E-4</v>
      </c>
      <c r="D266" s="235">
        <v>2.23E-4</v>
      </c>
      <c r="E266" s="232">
        <v>795087</v>
      </c>
      <c r="F266" s="232" t="s">
        <v>1930</v>
      </c>
      <c r="G266" s="394">
        <v>100406</v>
      </c>
      <c r="H266" s="394">
        <v>111887</v>
      </c>
      <c r="I266" s="394">
        <v>59170</v>
      </c>
      <c r="J266" s="232">
        <v>34481</v>
      </c>
      <c r="K266" s="232">
        <v>305944</v>
      </c>
      <c r="L266" s="232"/>
      <c r="M266" s="226">
        <v>0</v>
      </c>
      <c r="N266" s="226">
        <v>0</v>
      </c>
      <c r="O266" s="232">
        <v>544</v>
      </c>
      <c r="P266" s="232">
        <v>544</v>
      </c>
      <c r="Q266" s="232"/>
      <c r="R266" s="394">
        <v>273425</v>
      </c>
      <c r="S266" s="232">
        <v>15410</v>
      </c>
      <c r="T266" s="398">
        <v>288835</v>
      </c>
      <c r="U266" s="232"/>
      <c r="V266" s="398"/>
      <c r="W266" s="398"/>
      <c r="X266" s="398">
        <v>1613145</v>
      </c>
      <c r="Y266" s="398">
        <v>115223</v>
      </c>
    </row>
    <row r="267" spans="1:25">
      <c r="A267" s="392">
        <v>92614</v>
      </c>
      <c r="B267" s="393" t="s">
        <v>975</v>
      </c>
      <c r="C267" s="235">
        <v>5.7264000000000004E-3</v>
      </c>
      <c r="D267" s="235">
        <v>5.7201999999999999E-3</v>
      </c>
      <c r="E267" s="232">
        <v>20462867</v>
      </c>
      <c r="F267" s="232" t="s">
        <v>1930</v>
      </c>
      <c r="G267" s="394">
        <v>2584101</v>
      </c>
      <c r="H267" s="394">
        <v>2879600</v>
      </c>
      <c r="I267" s="394">
        <v>1522839</v>
      </c>
      <c r="J267" s="232">
        <v>3113326</v>
      </c>
      <c r="K267" s="232">
        <v>10099866</v>
      </c>
      <c r="L267" s="232"/>
      <c r="M267" s="226">
        <v>0</v>
      </c>
      <c r="N267" s="226">
        <v>0</v>
      </c>
      <c r="O267" s="232">
        <v>0</v>
      </c>
      <c r="P267" s="232">
        <v>0</v>
      </c>
      <c r="Q267" s="232"/>
      <c r="R267" s="394">
        <v>7037030</v>
      </c>
      <c r="S267" s="232">
        <v>1838850</v>
      </c>
      <c r="T267" s="398">
        <v>8875880</v>
      </c>
      <c r="U267" s="232"/>
      <c r="V267" s="398"/>
      <c r="W267" s="398"/>
      <c r="X267" s="398">
        <v>41516927</v>
      </c>
      <c r="Y267" s="398">
        <v>2965462</v>
      </c>
    </row>
    <row r="268" spans="1:25">
      <c r="A268" s="392">
        <v>92621</v>
      </c>
      <c r="B268" s="393" t="s">
        <v>976</v>
      </c>
      <c r="C268" s="235">
        <v>2.6999999999999999E-5</v>
      </c>
      <c r="D268" s="235">
        <v>2.8900000000000001E-5</v>
      </c>
      <c r="E268" s="232">
        <v>96483</v>
      </c>
      <c r="F268" s="232" t="s">
        <v>1930</v>
      </c>
      <c r="G268" s="394">
        <v>12184</v>
      </c>
      <c r="H268" s="394">
        <v>13578</v>
      </c>
      <c r="I268" s="394">
        <v>7180</v>
      </c>
      <c r="J268" s="232">
        <v>2525</v>
      </c>
      <c r="K268" s="232">
        <v>35467</v>
      </c>
      <c r="L268" s="232"/>
      <c r="M268" s="226">
        <v>0</v>
      </c>
      <c r="N268" s="226">
        <v>0</v>
      </c>
      <c r="O268" s="232">
        <v>2405</v>
      </c>
      <c r="P268" s="232">
        <v>2405</v>
      </c>
      <c r="Q268" s="232"/>
      <c r="R268" s="394">
        <v>33180</v>
      </c>
      <c r="S268" s="232">
        <v>-1037</v>
      </c>
      <c r="T268" s="398">
        <v>32143</v>
      </c>
      <c r="U268" s="232"/>
      <c r="V268" s="398"/>
      <c r="W268" s="398"/>
      <c r="X268" s="398">
        <v>195752</v>
      </c>
      <c r="Y268" s="398">
        <v>13982</v>
      </c>
    </row>
    <row r="269" spans="1:25">
      <c r="A269" s="392">
        <v>92631</v>
      </c>
      <c r="B269" s="393" t="s">
        <v>977</v>
      </c>
      <c r="C269" s="235">
        <v>9.0229999999999998E-4</v>
      </c>
      <c r="D269" s="235">
        <v>9.3329999999999997E-4</v>
      </c>
      <c r="E269" s="232">
        <v>3224302</v>
      </c>
      <c r="F269" s="232" t="s">
        <v>1930</v>
      </c>
      <c r="G269" s="394">
        <v>407173</v>
      </c>
      <c r="H269" s="394">
        <v>453734</v>
      </c>
      <c r="I269" s="394">
        <v>239951</v>
      </c>
      <c r="J269" s="232">
        <v>0</v>
      </c>
      <c r="K269" s="232">
        <v>1100858</v>
      </c>
      <c r="L269" s="232"/>
      <c r="M269" s="226">
        <v>0</v>
      </c>
      <c r="N269" s="226">
        <v>0</v>
      </c>
      <c r="O269" s="232">
        <v>106259</v>
      </c>
      <c r="P269" s="232">
        <v>106259</v>
      </c>
      <c r="Q269" s="232"/>
      <c r="R269" s="394">
        <v>1108814</v>
      </c>
      <c r="S269" s="232">
        <v>-65950</v>
      </c>
      <c r="T269" s="398">
        <v>1042864</v>
      </c>
      <c r="U269" s="232"/>
      <c r="V269" s="398"/>
      <c r="W269" s="398"/>
      <c r="X269" s="398">
        <v>6541758</v>
      </c>
      <c r="Y269" s="398">
        <v>467263</v>
      </c>
    </row>
    <row r="270" spans="1:25">
      <c r="A270" s="392">
        <v>92641</v>
      </c>
      <c r="B270" s="393" t="s">
        <v>978</v>
      </c>
      <c r="C270" s="235">
        <v>9.9000000000000001E-6</v>
      </c>
      <c r="D270" s="235">
        <v>1.11E-5</v>
      </c>
      <c r="E270" s="232">
        <v>35377</v>
      </c>
      <c r="F270" s="232" t="s">
        <v>1930</v>
      </c>
      <c r="G270" s="394">
        <v>4467</v>
      </c>
      <c r="H270" s="394">
        <v>4979</v>
      </c>
      <c r="I270" s="394">
        <v>2633</v>
      </c>
      <c r="J270" s="232">
        <v>4198</v>
      </c>
      <c r="K270" s="232">
        <v>16277</v>
      </c>
      <c r="L270" s="232"/>
      <c r="M270" s="226">
        <v>0</v>
      </c>
      <c r="N270" s="226">
        <v>0</v>
      </c>
      <c r="O270" s="232">
        <v>0</v>
      </c>
      <c r="P270" s="232">
        <v>0</v>
      </c>
      <c r="Q270" s="232"/>
      <c r="R270" s="394">
        <v>12166</v>
      </c>
      <c r="S270" s="232">
        <v>1720</v>
      </c>
      <c r="T270" s="398">
        <v>13886</v>
      </c>
      <c r="U270" s="232"/>
      <c r="V270" s="398"/>
      <c r="W270" s="398"/>
      <c r="X270" s="398">
        <v>71776</v>
      </c>
      <c r="Y270" s="398">
        <v>5127</v>
      </c>
    </row>
    <row r="271" spans="1:25">
      <c r="A271" s="392">
        <v>92651</v>
      </c>
      <c r="B271" s="393" t="s">
        <v>979</v>
      </c>
      <c r="C271" s="235">
        <v>4.3000000000000003E-6</v>
      </c>
      <c r="D271" s="235">
        <v>4.3000000000000003E-6</v>
      </c>
      <c r="E271" s="232">
        <v>15366</v>
      </c>
      <c r="F271" s="232" t="s">
        <v>1930</v>
      </c>
      <c r="G271" s="394">
        <v>1940</v>
      </c>
      <c r="H271" s="394">
        <v>2162</v>
      </c>
      <c r="I271" s="394">
        <v>1144</v>
      </c>
      <c r="J271" s="232">
        <v>1712</v>
      </c>
      <c r="K271" s="232">
        <v>6958</v>
      </c>
      <c r="L271" s="232"/>
      <c r="M271" s="226">
        <v>0</v>
      </c>
      <c r="N271" s="226">
        <v>0</v>
      </c>
      <c r="O271" s="232">
        <v>0</v>
      </c>
      <c r="P271" s="232">
        <v>0</v>
      </c>
      <c r="Q271" s="232"/>
      <c r="R271" s="394">
        <v>5284</v>
      </c>
      <c r="S271" s="232">
        <v>1278</v>
      </c>
      <c r="T271" s="398">
        <v>6562</v>
      </c>
      <c r="U271" s="232"/>
      <c r="V271" s="398"/>
      <c r="W271" s="398"/>
      <c r="X271" s="398">
        <v>31175</v>
      </c>
      <c r="Y271" s="398">
        <v>2227</v>
      </c>
    </row>
    <row r="272" spans="1:25" ht="14.25" customHeight="1">
      <c r="A272" s="392">
        <v>92661</v>
      </c>
      <c r="B272" s="393" t="s">
        <v>980</v>
      </c>
      <c r="C272" s="235">
        <v>6.4720000000000001E-4</v>
      </c>
      <c r="D272" s="235">
        <v>6.2509999999999996E-4</v>
      </c>
      <c r="E272" s="232">
        <v>2312721</v>
      </c>
      <c r="F272" s="232" t="s">
        <v>1930</v>
      </c>
      <c r="G272" s="394">
        <v>292056</v>
      </c>
      <c r="H272" s="394">
        <v>325453</v>
      </c>
      <c r="I272" s="394">
        <v>172112</v>
      </c>
      <c r="J272" s="232">
        <v>290649</v>
      </c>
      <c r="K272" s="232">
        <v>1080270</v>
      </c>
      <c r="L272" s="232"/>
      <c r="M272" s="226">
        <v>0</v>
      </c>
      <c r="N272" s="226">
        <v>0</v>
      </c>
      <c r="O272" s="232">
        <v>0</v>
      </c>
      <c r="P272" s="232">
        <v>0</v>
      </c>
      <c r="Q272" s="232"/>
      <c r="R272" s="394">
        <v>795328</v>
      </c>
      <c r="S272" s="232">
        <v>188102</v>
      </c>
      <c r="T272" s="398">
        <v>983430</v>
      </c>
      <c r="U272" s="232"/>
      <c r="V272" s="398"/>
      <c r="W272" s="398"/>
      <c r="X272" s="398">
        <v>4692260</v>
      </c>
      <c r="Y272" s="398">
        <v>335158</v>
      </c>
    </row>
    <row r="273" spans="1:25" s="364" customFormat="1" ht="14.25" customHeight="1">
      <c r="A273" s="392">
        <v>92671</v>
      </c>
      <c r="B273" s="393" t="s">
        <v>981</v>
      </c>
      <c r="C273" s="235">
        <v>1.9E-6</v>
      </c>
      <c r="D273" s="235">
        <v>2.0999999999999998E-6</v>
      </c>
      <c r="E273" s="232">
        <v>6790</v>
      </c>
      <c r="F273" s="232" t="s">
        <v>1930</v>
      </c>
      <c r="G273" s="394">
        <v>857</v>
      </c>
      <c r="H273" s="394">
        <v>955</v>
      </c>
      <c r="I273" s="394">
        <v>505</v>
      </c>
      <c r="J273" s="232">
        <v>6511</v>
      </c>
      <c r="K273" s="232">
        <v>8828</v>
      </c>
      <c r="L273" s="232"/>
      <c r="M273" s="226">
        <v>0</v>
      </c>
      <c r="N273" s="226">
        <v>0</v>
      </c>
      <c r="O273" s="232">
        <v>0</v>
      </c>
      <c r="P273" s="232">
        <v>0</v>
      </c>
      <c r="Q273" s="232"/>
      <c r="R273" s="394">
        <v>2335</v>
      </c>
      <c r="S273" s="232">
        <v>3514</v>
      </c>
      <c r="T273" s="398">
        <v>5849</v>
      </c>
      <c r="U273" s="232"/>
      <c r="V273" s="398"/>
      <c r="W273" s="398"/>
      <c r="X273" s="398">
        <v>13775</v>
      </c>
      <c r="Y273" s="398">
        <v>984</v>
      </c>
    </row>
    <row r="274" spans="1:25" s="364" customFormat="1" ht="14.25" customHeight="1">
      <c r="A274" s="392">
        <v>92681</v>
      </c>
      <c r="B274" s="393" t="s">
        <v>982</v>
      </c>
      <c r="C274" s="235">
        <v>8.8000000000000004E-6</v>
      </c>
      <c r="D274" s="235">
        <v>1.1800000000000001E-5</v>
      </c>
      <c r="E274" s="232">
        <v>31446</v>
      </c>
      <c r="F274" s="232" t="s">
        <v>1930</v>
      </c>
      <c r="G274" s="394">
        <v>3971</v>
      </c>
      <c r="H274" s="394">
        <v>4425</v>
      </c>
      <c r="I274" s="394">
        <v>2340</v>
      </c>
      <c r="J274" s="232">
        <v>5787</v>
      </c>
      <c r="K274" s="232">
        <v>16523</v>
      </c>
      <c r="L274" s="232"/>
      <c r="M274" s="226">
        <v>0</v>
      </c>
      <c r="N274" s="226">
        <v>0</v>
      </c>
      <c r="O274" s="232">
        <v>3817</v>
      </c>
      <c r="P274" s="232">
        <v>3817</v>
      </c>
      <c r="Q274" s="232"/>
      <c r="R274" s="394">
        <v>10814</v>
      </c>
      <c r="S274" s="232">
        <v>3628</v>
      </c>
      <c r="T274" s="398">
        <v>14442</v>
      </c>
      <c r="U274" s="232"/>
      <c r="V274" s="398"/>
      <c r="W274" s="398"/>
      <c r="X274" s="398">
        <v>63801</v>
      </c>
      <c r="Y274" s="398">
        <v>4557</v>
      </c>
    </row>
    <row r="275" spans="1:25">
      <c r="A275" s="392">
        <v>92701</v>
      </c>
      <c r="B275" s="393" t="s">
        <v>983</v>
      </c>
      <c r="C275" s="235">
        <v>3.0401E-3</v>
      </c>
      <c r="D275" s="235">
        <v>3.0688999999999998E-3</v>
      </c>
      <c r="E275" s="232">
        <v>10863572</v>
      </c>
      <c r="F275" s="232" t="s">
        <v>1930</v>
      </c>
      <c r="G275" s="394">
        <v>1371879</v>
      </c>
      <c r="H275" s="394">
        <v>1528757</v>
      </c>
      <c r="I275" s="394">
        <v>808463</v>
      </c>
      <c r="J275" s="232">
        <v>84874</v>
      </c>
      <c r="K275" s="232">
        <v>3793973</v>
      </c>
      <c r="L275" s="232"/>
      <c r="M275" s="226">
        <v>0</v>
      </c>
      <c r="N275" s="226">
        <v>0</v>
      </c>
      <c r="O275" s="232">
        <v>213062</v>
      </c>
      <c r="P275" s="232">
        <v>213062</v>
      </c>
      <c r="Q275" s="232"/>
      <c r="R275" s="394">
        <v>3735903</v>
      </c>
      <c r="S275" s="232">
        <v>-45416</v>
      </c>
      <c r="T275" s="398">
        <v>3690487</v>
      </c>
      <c r="U275" s="232"/>
      <c r="V275" s="398"/>
      <c r="W275" s="398"/>
      <c r="X275" s="398">
        <v>22041005</v>
      </c>
      <c r="Y275" s="398">
        <v>1574340</v>
      </c>
    </row>
    <row r="276" spans="1:25">
      <c r="A276" s="392">
        <v>92704</v>
      </c>
      <c r="B276" s="393" t="s">
        <v>984</v>
      </c>
      <c r="C276" s="235">
        <v>3.6199999999999999E-5</v>
      </c>
      <c r="D276" s="235">
        <v>3.6900000000000002E-5</v>
      </c>
      <c r="E276" s="232">
        <v>129358</v>
      </c>
      <c r="F276" s="232" t="s">
        <v>1930</v>
      </c>
      <c r="G276" s="394">
        <v>16336</v>
      </c>
      <c r="H276" s="394">
        <v>18204</v>
      </c>
      <c r="I276" s="394">
        <v>9627</v>
      </c>
      <c r="J276" s="232">
        <v>476</v>
      </c>
      <c r="K276" s="232">
        <v>44643</v>
      </c>
      <c r="L276" s="232"/>
      <c r="M276" s="226">
        <v>0</v>
      </c>
      <c r="N276" s="226">
        <v>0</v>
      </c>
      <c r="O276" s="232">
        <v>2874</v>
      </c>
      <c r="P276" s="232">
        <v>2874</v>
      </c>
      <c r="Q276" s="232"/>
      <c r="R276" s="394">
        <v>44485</v>
      </c>
      <c r="S276" s="232">
        <v>-2042</v>
      </c>
      <c r="T276" s="398">
        <v>42443</v>
      </c>
      <c r="U276" s="232"/>
      <c r="V276" s="398"/>
      <c r="W276" s="398"/>
      <c r="X276" s="398">
        <v>262453</v>
      </c>
      <c r="Y276" s="398">
        <v>18746</v>
      </c>
    </row>
    <row r="277" spans="1:25">
      <c r="A277" s="392">
        <v>92801</v>
      </c>
      <c r="B277" s="393" t="s">
        <v>985</v>
      </c>
      <c r="C277" s="235">
        <v>5.4752000000000004E-3</v>
      </c>
      <c r="D277" s="235">
        <v>5.4352999999999997E-3</v>
      </c>
      <c r="E277" s="232">
        <v>19565222</v>
      </c>
      <c r="F277" s="232" t="s">
        <v>1930</v>
      </c>
      <c r="G277" s="394">
        <v>2470744</v>
      </c>
      <c r="H277" s="394">
        <v>2753281</v>
      </c>
      <c r="I277" s="394">
        <v>1456036</v>
      </c>
      <c r="J277" s="232">
        <v>358918</v>
      </c>
      <c r="K277" s="232">
        <v>7038979</v>
      </c>
      <c r="L277" s="232"/>
      <c r="M277" s="226">
        <v>0</v>
      </c>
      <c r="N277" s="226">
        <v>0</v>
      </c>
      <c r="O277" s="232">
        <v>0</v>
      </c>
      <c r="P277" s="232">
        <v>0</v>
      </c>
      <c r="Q277" s="232"/>
      <c r="R277" s="394">
        <v>6728336</v>
      </c>
      <c r="S277" s="232">
        <v>144605</v>
      </c>
      <c r="T277" s="398">
        <v>6872941</v>
      </c>
      <c r="U277" s="232"/>
      <c r="V277" s="398"/>
      <c r="W277" s="398"/>
      <c r="X277" s="398">
        <v>39695704</v>
      </c>
      <c r="Y277" s="398">
        <v>2835376</v>
      </c>
    </row>
    <row r="278" spans="1:25">
      <c r="A278" s="392">
        <v>92802</v>
      </c>
      <c r="B278" s="393" t="s">
        <v>986</v>
      </c>
      <c r="C278" s="235">
        <v>1.133E-4</v>
      </c>
      <c r="D278" s="235">
        <v>1.198E-4</v>
      </c>
      <c r="E278" s="232">
        <v>404869</v>
      </c>
      <c r="F278" s="232" t="s">
        <v>1930</v>
      </c>
      <c r="G278" s="394">
        <v>51128</v>
      </c>
      <c r="H278" s="394">
        <v>56975</v>
      </c>
      <c r="I278" s="394">
        <v>30130</v>
      </c>
      <c r="J278" s="232">
        <v>0</v>
      </c>
      <c r="K278" s="232">
        <v>138233</v>
      </c>
      <c r="L278" s="232"/>
      <c r="M278" s="226">
        <v>0</v>
      </c>
      <c r="N278" s="226">
        <v>0</v>
      </c>
      <c r="O278" s="232">
        <v>20020</v>
      </c>
      <c r="P278" s="232">
        <v>20020</v>
      </c>
      <c r="Q278" s="232"/>
      <c r="R278" s="394">
        <v>139232</v>
      </c>
      <c r="S278" s="232">
        <v>-10286</v>
      </c>
      <c r="T278" s="398">
        <v>128946</v>
      </c>
      <c r="U278" s="232"/>
      <c r="V278" s="398"/>
      <c r="W278" s="398"/>
      <c r="X278" s="398">
        <v>821435</v>
      </c>
      <c r="Y278" s="398">
        <v>58673</v>
      </c>
    </row>
    <row r="279" spans="1:25">
      <c r="A279" s="392">
        <v>92804</v>
      </c>
      <c r="B279" s="393" t="s">
        <v>987</v>
      </c>
      <c r="C279" s="235">
        <v>1.493E-4</v>
      </c>
      <c r="D279" s="235">
        <v>1.427E-4</v>
      </c>
      <c r="E279" s="232">
        <v>533513</v>
      </c>
      <c r="F279" s="232" t="s">
        <v>1930</v>
      </c>
      <c r="G279" s="394">
        <v>67373</v>
      </c>
      <c r="H279" s="394">
        <v>75078</v>
      </c>
      <c r="I279" s="394">
        <v>39704</v>
      </c>
      <c r="J279" s="232">
        <v>6669</v>
      </c>
      <c r="K279" s="232">
        <v>188824</v>
      </c>
      <c r="L279" s="232"/>
      <c r="M279" s="226">
        <v>0</v>
      </c>
      <c r="N279" s="226">
        <v>0</v>
      </c>
      <c r="O279" s="232">
        <v>10042</v>
      </c>
      <c r="P279" s="232">
        <v>10042</v>
      </c>
      <c r="Q279" s="232"/>
      <c r="R279" s="394">
        <v>183471</v>
      </c>
      <c r="S279" s="232">
        <v>-1312</v>
      </c>
      <c r="T279" s="398">
        <v>182159</v>
      </c>
      <c r="U279" s="232"/>
      <c r="V279" s="398"/>
      <c r="W279" s="398"/>
      <c r="X279" s="398">
        <v>1082439</v>
      </c>
      <c r="Y279" s="398">
        <v>77316</v>
      </c>
    </row>
    <row r="280" spans="1:25">
      <c r="A280" s="392">
        <v>92811</v>
      </c>
      <c r="B280" s="393" t="s">
        <v>988</v>
      </c>
      <c r="C280" s="235">
        <v>9.6020000000000003E-4</v>
      </c>
      <c r="D280" s="235">
        <v>9.1160000000000004E-4</v>
      </c>
      <c r="E280" s="232">
        <v>3431204</v>
      </c>
      <c r="F280" s="232" t="s">
        <v>1930</v>
      </c>
      <c r="G280" s="394">
        <v>433301</v>
      </c>
      <c r="H280" s="394">
        <v>482850</v>
      </c>
      <c r="I280" s="394">
        <v>255349</v>
      </c>
      <c r="J280" s="232">
        <v>66576</v>
      </c>
      <c r="K280" s="232">
        <v>1238076</v>
      </c>
      <c r="L280" s="232"/>
      <c r="M280" s="226">
        <v>0</v>
      </c>
      <c r="N280" s="226">
        <v>0</v>
      </c>
      <c r="O280" s="232">
        <v>35243</v>
      </c>
      <c r="P280" s="232">
        <v>35243</v>
      </c>
      <c r="Q280" s="232"/>
      <c r="R280" s="394">
        <v>1179966</v>
      </c>
      <c r="S280" s="232">
        <v>-12898</v>
      </c>
      <c r="T280" s="398">
        <v>1167068</v>
      </c>
      <c r="U280" s="232"/>
      <c r="V280" s="398"/>
      <c r="W280" s="398"/>
      <c r="X280" s="398">
        <v>6961538</v>
      </c>
      <c r="Y280" s="398">
        <v>497247</v>
      </c>
    </row>
    <row r="281" spans="1:25">
      <c r="A281" s="392">
        <v>92821</v>
      </c>
      <c r="B281" s="393" t="s">
        <v>989</v>
      </c>
      <c r="C281" s="235">
        <v>9.9109999999999997E-4</v>
      </c>
      <c r="D281" s="235">
        <v>9.8409999999999991E-4</v>
      </c>
      <c r="E281" s="232">
        <v>3541623</v>
      </c>
      <c r="F281" s="232" t="s">
        <v>1930</v>
      </c>
      <c r="G281" s="394">
        <v>447245</v>
      </c>
      <c r="H281" s="394">
        <v>498389</v>
      </c>
      <c r="I281" s="394">
        <v>263566</v>
      </c>
      <c r="J281" s="232">
        <v>52928</v>
      </c>
      <c r="K281" s="232">
        <v>1262128</v>
      </c>
      <c r="L281" s="232"/>
      <c r="M281" s="226">
        <v>0</v>
      </c>
      <c r="N281" s="226">
        <v>0</v>
      </c>
      <c r="O281" s="232">
        <v>0</v>
      </c>
      <c r="P281" s="232">
        <v>0</v>
      </c>
      <c r="Q281" s="232"/>
      <c r="R281" s="394">
        <v>1217938</v>
      </c>
      <c r="S281" s="232">
        <v>23085</v>
      </c>
      <c r="T281" s="398">
        <v>1241023</v>
      </c>
      <c r="U281" s="232"/>
      <c r="V281" s="398"/>
      <c r="W281" s="398"/>
      <c r="X281" s="398">
        <v>7185566</v>
      </c>
      <c r="Y281" s="398">
        <v>513249</v>
      </c>
    </row>
    <row r="282" spans="1:25">
      <c r="A282" s="392">
        <v>92831</v>
      </c>
      <c r="B282" s="393" t="s">
        <v>990</v>
      </c>
      <c r="C282" s="235">
        <v>2.6449999999999998E-4</v>
      </c>
      <c r="D282" s="235">
        <v>2.5230000000000001E-4</v>
      </c>
      <c r="E282" s="232">
        <v>945171</v>
      </c>
      <c r="F282" s="232" t="s">
        <v>1930</v>
      </c>
      <c r="G282" s="394">
        <v>119359</v>
      </c>
      <c r="H282" s="394">
        <v>133007</v>
      </c>
      <c r="I282" s="394">
        <v>70339</v>
      </c>
      <c r="J282" s="232">
        <v>65067</v>
      </c>
      <c r="K282" s="232">
        <v>387772</v>
      </c>
      <c r="L282" s="232"/>
      <c r="M282" s="226">
        <v>0</v>
      </c>
      <c r="N282" s="226">
        <v>0</v>
      </c>
      <c r="O282" s="232">
        <v>538</v>
      </c>
      <c r="P282" s="232">
        <v>538</v>
      </c>
      <c r="Q282" s="232"/>
      <c r="R282" s="394">
        <v>325037</v>
      </c>
      <c r="S282" s="232">
        <v>26994</v>
      </c>
      <c r="T282" s="398">
        <v>352031</v>
      </c>
      <c r="U282" s="232"/>
      <c r="V282" s="398"/>
      <c r="W282" s="398"/>
      <c r="X282" s="398">
        <v>1917649</v>
      </c>
      <c r="Y282" s="398">
        <v>136973</v>
      </c>
    </row>
    <row r="283" spans="1:25">
      <c r="A283" s="392">
        <v>92841</v>
      </c>
      <c r="B283" s="393" t="s">
        <v>991</v>
      </c>
      <c r="C283" s="235">
        <v>2.2110000000000001E-4</v>
      </c>
      <c r="D283" s="235">
        <v>2.4340000000000001E-4</v>
      </c>
      <c r="E283" s="232">
        <v>790084</v>
      </c>
      <c r="F283" s="232" t="s">
        <v>1930</v>
      </c>
      <c r="G283" s="394">
        <v>99774</v>
      </c>
      <c r="H283" s="394">
        <v>111183</v>
      </c>
      <c r="I283" s="394">
        <v>58798</v>
      </c>
      <c r="J283" s="232">
        <v>0</v>
      </c>
      <c r="K283" s="232">
        <v>269755</v>
      </c>
      <c r="L283" s="232"/>
      <c r="M283" s="226">
        <v>0</v>
      </c>
      <c r="N283" s="226">
        <v>0</v>
      </c>
      <c r="O283" s="232">
        <v>41710</v>
      </c>
      <c r="P283" s="232">
        <v>41710</v>
      </c>
      <c r="Q283" s="232"/>
      <c r="R283" s="394">
        <v>271704</v>
      </c>
      <c r="S283" s="232">
        <v>-17562</v>
      </c>
      <c r="T283" s="398">
        <v>254142</v>
      </c>
      <c r="U283" s="232"/>
      <c r="V283" s="398"/>
      <c r="W283" s="398"/>
      <c r="X283" s="398">
        <v>1602995</v>
      </c>
      <c r="Y283" s="398">
        <v>114498</v>
      </c>
    </row>
    <row r="284" spans="1:25">
      <c r="A284" s="392">
        <v>92851</v>
      </c>
      <c r="B284" s="393" t="s">
        <v>992</v>
      </c>
      <c r="C284" s="235">
        <v>3.9360000000000003E-4</v>
      </c>
      <c r="D284" s="235">
        <v>4.2850000000000001E-4</v>
      </c>
      <c r="E284" s="232">
        <v>1406500</v>
      </c>
      <c r="F284" s="232" t="s">
        <v>1930</v>
      </c>
      <c r="G284" s="394">
        <v>177616</v>
      </c>
      <c r="H284" s="394">
        <v>197927</v>
      </c>
      <c r="I284" s="394">
        <v>104671</v>
      </c>
      <c r="J284" s="232">
        <v>0</v>
      </c>
      <c r="K284" s="232">
        <v>480214</v>
      </c>
      <c r="L284" s="232"/>
      <c r="M284" s="226">
        <v>0</v>
      </c>
      <c r="N284" s="226">
        <v>0</v>
      </c>
      <c r="O284" s="232">
        <v>95346</v>
      </c>
      <c r="P284" s="232">
        <v>95346</v>
      </c>
      <c r="Q284" s="232"/>
      <c r="R284" s="394">
        <v>483685</v>
      </c>
      <c r="S284" s="232">
        <v>-42844</v>
      </c>
      <c r="T284" s="398">
        <v>440841</v>
      </c>
      <c r="U284" s="232"/>
      <c r="V284" s="398"/>
      <c r="W284" s="398"/>
      <c r="X284" s="398">
        <v>2853636</v>
      </c>
      <c r="Y284" s="398">
        <v>203829</v>
      </c>
    </row>
    <row r="285" spans="1:25">
      <c r="A285" s="392">
        <v>92861</v>
      </c>
      <c r="B285" s="393" t="s">
        <v>993</v>
      </c>
      <c r="C285" s="235">
        <v>3.7579999999999997E-4</v>
      </c>
      <c r="D285" s="235">
        <v>3.6309999999999999E-4</v>
      </c>
      <c r="E285" s="232">
        <v>1342893</v>
      </c>
      <c r="F285" s="232" t="s">
        <v>1930</v>
      </c>
      <c r="G285" s="394">
        <v>169584</v>
      </c>
      <c r="H285" s="394">
        <v>188976</v>
      </c>
      <c r="I285" s="394">
        <v>99938</v>
      </c>
      <c r="J285" s="232">
        <v>0</v>
      </c>
      <c r="K285" s="232">
        <v>458498</v>
      </c>
      <c r="L285" s="232"/>
      <c r="M285" s="226">
        <v>0</v>
      </c>
      <c r="N285" s="226">
        <v>0</v>
      </c>
      <c r="O285" s="232">
        <v>51771</v>
      </c>
      <c r="P285" s="232">
        <v>51771</v>
      </c>
      <c r="Q285" s="232"/>
      <c r="R285" s="394">
        <v>461811</v>
      </c>
      <c r="S285" s="232">
        <v>-34090</v>
      </c>
      <c r="T285" s="398">
        <v>427721</v>
      </c>
      <c r="U285" s="232"/>
      <c r="V285" s="398"/>
      <c r="W285" s="398"/>
      <c r="X285" s="398">
        <v>2724585</v>
      </c>
      <c r="Y285" s="398">
        <v>194611</v>
      </c>
    </row>
    <row r="286" spans="1:25">
      <c r="A286" s="392">
        <v>92901</v>
      </c>
      <c r="B286" s="393" t="s">
        <v>994</v>
      </c>
      <c r="C286" s="235">
        <v>5.4431999999999996E-3</v>
      </c>
      <c r="D286" s="235">
        <v>5.4326000000000001E-3</v>
      </c>
      <c r="E286" s="232">
        <v>19450872</v>
      </c>
      <c r="F286" s="232" t="s">
        <v>1930</v>
      </c>
      <c r="G286" s="394">
        <v>2456304</v>
      </c>
      <c r="H286" s="394">
        <v>2737189</v>
      </c>
      <c r="I286" s="394">
        <v>1447527</v>
      </c>
      <c r="J286" s="232">
        <v>123965</v>
      </c>
      <c r="K286" s="232">
        <v>6764985</v>
      </c>
      <c r="L286" s="232"/>
      <c r="M286" s="226">
        <v>0</v>
      </c>
      <c r="N286" s="226">
        <v>0</v>
      </c>
      <c r="O286" s="232">
        <v>19927</v>
      </c>
      <c r="P286" s="232">
        <v>19927</v>
      </c>
      <c r="Q286" s="232"/>
      <c r="R286" s="394">
        <v>6689012</v>
      </c>
      <c r="S286" s="232">
        <v>6743</v>
      </c>
      <c r="T286" s="398">
        <v>6695755</v>
      </c>
      <c r="U286" s="232"/>
      <c r="V286" s="398"/>
      <c r="W286" s="398"/>
      <c r="X286" s="398">
        <v>39463701</v>
      </c>
      <c r="Y286" s="398">
        <v>2818805</v>
      </c>
    </row>
    <row r="287" spans="1:25">
      <c r="A287" s="392">
        <v>92911</v>
      </c>
      <c r="B287" s="393" t="s">
        <v>995</v>
      </c>
      <c r="C287" s="235">
        <v>1.8653000000000001E-3</v>
      </c>
      <c r="D287" s="235">
        <v>1.9161E-3</v>
      </c>
      <c r="E287" s="232">
        <v>6665512</v>
      </c>
      <c r="F287" s="232" t="s">
        <v>1930</v>
      </c>
      <c r="G287" s="394">
        <v>841737</v>
      </c>
      <c r="H287" s="394">
        <v>937992</v>
      </c>
      <c r="I287" s="394">
        <v>496045</v>
      </c>
      <c r="J287" s="232">
        <v>47997</v>
      </c>
      <c r="K287" s="232">
        <v>2323771</v>
      </c>
      <c r="L287" s="232"/>
      <c r="M287" s="226">
        <v>0</v>
      </c>
      <c r="N287" s="226">
        <v>0</v>
      </c>
      <c r="O287" s="232">
        <v>0</v>
      </c>
      <c r="P287" s="232">
        <v>0</v>
      </c>
      <c r="Q287" s="232"/>
      <c r="R287" s="394">
        <v>2292221</v>
      </c>
      <c r="S287" s="232">
        <v>9621</v>
      </c>
      <c r="T287" s="398">
        <v>2301842</v>
      </c>
      <c r="U287" s="232"/>
      <c r="V287" s="398"/>
      <c r="W287" s="398"/>
      <c r="X287" s="398">
        <v>13523597</v>
      </c>
      <c r="Y287" s="398">
        <v>965961</v>
      </c>
    </row>
    <row r="288" spans="1:25">
      <c r="A288" s="392">
        <v>92913</v>
      </c>
      <c r="B288" s="393" t="s">
        <v>996</v>
      </c>
      <c r="C288" s="235">
        <v>1.88E-5</v>
      </c>
      <c r="D288" s="235">
        <v>2.0400000000000001E-5</v>
      </c>
      <c r="E288" s="232">
        <v>67180</v>
      </c>
      <c r="F288" s="232" t="s">
        <v>1930</v>
      </c>
      <c r="G288" s="394">
        <v>8484</v>
      </c>
      <c r="H288" s="394">
        <v>9454</v>
      </c>
      <c r="I288" s="394">
        <v>5000</v>
      </c>
      <c r="J288" s="232">
        <v>64862</v>
      </c>
      <c r="K288" s="232">
        <v>87800</v>
      </c>
      <c r="L288" s="232"/>
      <c r="M288" s="226">
        <v>0</v>
      </c>
      <c r="N288" s="226">
        <v>0</v>
      </c>
      <c r="O288" s="232">
        <v>0</v>
      </c>
      <c r="P288" s="232">
        <v>0</v>
      </c>
      <c r="Q288" s="232"/>
      <c r="R288" s="394">
        <v>23103</v>
      </c>
      <c r="S288" s="232">
        <v>38366</v>
      </c>
      <c r="T288" s="398">
        <v>61469</v>
      </c>
      <c r="U288" s="232"/>
      <c r="V288" s="398"/>
      <c r="W288" s="398"/>
      <c r="X288" s="398">
        <v>136302</v>
      </c>
      <c r="Y288" s="398">
        <v>9736</v>
      </c>
    </row>
    <row r="289" spans="1:25">
      <c r="A289" s="392">
        <v>92914</v>
      </c>
      <c r="B289" s="397" t="s">
        <v>997</v>
      </c>
      <c r="C289" s="235">
        <v>2.6999999999999999E-5</v>
      </c>
      <c r="D289" s="235">
        <v>2.55E-5</v>
      </c>
      <c r="E289" s="232">
        <v>96483</v>
      </c>
      <c r="F289" s="232" t="s">
        <v>1930</v>
      </c>
      <c r="G289" s="394">
        <v>12184</v>
      </c>
      <c r="H289" s="394">
        <v>13578</v>
      </c>
      <c r="I289" s="394">
        <v>7180</v>
      </c>
      <c r="J289" s="232">
        <v>11399</v>
      </c>
      <c r="K289" s="232">
        <v>44341</v>
      </c>
      <c r="L289" s="232"/>
      <c r="M289" s="226">
        <v>0</v>
      </c>
      <c r="N289" s="226">
        <v>0</v>
      </c>
      <c r="O289" s="232">
        <v>622</v>
      </c>
      <c r="P289" s="232">
        <v>622</v>
      </c>
      <c r="Q289" s="232"/>
      <c r="R289" s="394">
        <v>33180</v>
      </c>
      <c r="S289" s="232">
        <v>6349</v>
      </c>
      <c r="T289" s="398">
        <v>39529</v>
      </c>
      <c r="U289" s="232"/>
      <c r="V289" s="398"/>
      <c r="W289" s="398"/>
      <c r="X289" s="398">
        <v>195752</v>
      </c>
      <c r="Y289" s="398">
        <v>13982</v>
      </c>
    </row>
    <row r="290" spans="1:25">
      <c r="A290" s="392">
        <v>92917</v>
      </c>
      <c r="B290" s="393" t="s">
        <v>998</v>
      </c>
      <c r="C290" s="235">
        <v>1.2999999999999999E-5</v>
      </c>
      <c r="D290" s="235">
        <v>1.9199999999999999E-5</v>
      </c>
      <c r="E290" s="232">
        <v>46455</v>
      </c>
      <c r="F290" s="232" t="s">
        <v>1930</v>
      </c>
      <c r="G290" s="394">
        <v>5866</v>
      </c>
      <c r="H290" s="394">
        <v>6538</v>
      </c>
      <c r="I290" s="394">
        <v>3457</v>
      </c>
      <c r="J290" s="232">
        <v>10422</v>
      </c>
      <c r="K290" s="232">
        <v>26283</v>
      </c>
      <c r="L290" s="232"/>
      <c r="M290" s="226">
        <v>0</v>
      </c>
      <c r="N290" s="226">
        <v>0</v>
      </c>
      <c r="O290" s="232">
        <v>0</v>
      </c>
      <c r="P290" s="232">
        <v>0</v>
      </c>
      <c r="Q290" s="232"/>
      <c r="R290" s="394">
        <v>15975</v>
      </c>
      <c r="S290" s="232">
        <v>6134</v>
      </c>
      <c r="T290" s="398">
        <v>22109</v>
      </c>
      <c r="U290" s="232"/>
      <c r="V290" s="398"/>
      <c r="W290" s="398"/>
      <c r="X290" s="398">
        <v>94251</v>
      </c>
      <c r="Y290" s="398">
        <v>6732</v>
      </c>
    </row>
    <row r="291" spans="1:25">
      <c r="A291" s="392">
        <v>92921</v>
      </c>
      <c r="B291" s="393" t="s">
        <v>999</v>
      </c>
      <c r="C291" s="235">
        <v>9.31E-5</v>
      </c>
      <c r="D291" s="235">
        <v>9.6600000000000003E-5</v>
      </c>
      <c r="E291" s="232">
        <v>332686</v>
      </c>
      <c r="F291" s="232" t="s">
        <v>1930</v>
      </c>
      <c r="G291" s="394">
        <v>42012</v>
      </c>
      <c r="H291" s="394">
        <v>46817</v>
      </c>
      <c r="I291" s="394">
        <v>24758</v>
      </c>
      <c r="J291" s="232">
        <v>20229</v>
      </c>
      <c r="K291" s="232">
        <v>133816</v>
      </c>
      <c r="L291" s="232"/>
      <c r="M291" s="226">
        <v>0</v>
      </c>
      <c r="N291" s="226">
        <v>0</v>
      </c>
      <c r="O291" s="232">
        <v>0</v>
      </c>
      <c r="P291" s="232">
        <v>0</v>
      </c>
      <c r="Q291" s="232"/>
      <c r="R291" s="394">
        <v>114408</v>
      </c>
      <c r="S291" s="232">
        <v>9411</v>
      </c>
      <c r="T291" s="398">
        <v>123819</v>
      </c>
      <c r="U291" s="232"/>
      <c r="V291" s="398"/>
      <c r="W291" s="398"/>
      <c r="X291" s="398">
        <v>674984</v>
      </c>
      <c r="Y291" s="398">
        <v>48213</v>
      </c>
    </row>
    <row r="292" spans="1:25" ht="14.25" customHeight="1">
      <c r="A292" s="392">
        <v>92931</v>
      </c>
      <c r="B292" s="393" t="s">
        <v>1000</v>
      </c>
      <c r="C292" s="235">
        <v>2.33E-3</v>
      </c>
      <c r="D292" s="235">
        <v>2.2504999999999999E-3</v>
      </c>
      <c r="E292" s="232">
        <v>8326083</v>
      </c>
      <c r="F292" s="232" t="s">
        <v>1930</v>
      </c>
      <c r="G292" s="394">
        <v>1051438</v>
      </c>
      <c r="H292" s="394">
        <v>1171673</v>
      </c>
      <c r="I292" s="394">
        <v>619624</v>
      </c>
      <c r="J292" s="232">
        <v>89840</v>
      </c>
      <c r="K292" s="232">
        <v>2932575</v>
      </c>
      <c r="L292" s="232"/>
      <c r="M292" s="226">
        <v>0</v>
      </c>
      <c r="N292" s="226">
        <v>0</v>
      </c>
      <c r="O292" s="232">
        <v>159421</v>
      </c>
      <c r="P292" s="232">
        <v>159421</v>
      </c>
      <c r="Q292" s="232"/>
      <c r="R292" s="394">
        <v>2863279</v>
      </c>
      <c r="S292" s="232">
        <v>-50970</v>
      </c>
      <c r="T292" s="398">
        <v>2812309</v>
      </c>
      <c r="U292" s="232"/>
      <c r="V292" s="398"/>
      <c r="W292" s="398"/>
      <c r="X292" s="398">
        <v>16892714</v>
      </c>
      <c r="Y292" s="398">
        <v>1206609</v>
      </c>
    </row>
    <row r="293" spans="1:25">
      <c r="A293" s="392">
        <v>92941</v>
      </c>
      <c r="B293" s="393" t="s">
        <v>81</v>
      </c>
      <c r="C293" s="235">
        <v>4.3000000000000003E-6</v>
      </c>
      <c r="D293" s="235">
        <v>4.1999999999999996E-6</v>
      </c>
      <c r="E293" s="232">
        <v>15366</v>
      </c>
      <c r="F293" s="232" t="s">
        <v>1930</v>
      </c>
      <c r="G293" s="394">
        <v>1940</v>
      </c>
      <c r="H293" s="394">
        <v>2162</v>
      </c>
      <c r="I293" s="394">
        <v>1144</v>
      </c>
      <c r="J293" s="232">
        <v>1450</v>
      </c>
      <c r="K293" s="232">
        <v>6696</v>
      </c>
      <c r="L293" s="232"/>
      <c r="M293" s="226">
        <v>0</v>
      </c>
      <c r="N293" s="226">
        <v>0</v>
      </c>
      <c r="O293" s="232">
        <v>1826</v>
      </c>
      <c r="P293" s="232">
        <v>1826</v>
      </c>
      <c r="Q293" s="232"/>
      <c r="R293" s="394">
        <v>5284</v>
      </c>
      <c r="S293" s="232">
        <v>-425</v>
      </c>
      <c r="T293" s="398">
        <v>4859</v>
      </c>
      <c r="U293" s="232"/>
      <c r="V293" s="398"/>
      <c r="W293" s="398"/>
      <c r="X293" s="398">
        <v>31175</v>
      </c>
      <c r="Y293" s="398">
        <v>2227</v>
      </c>
    </row>
    <row r="294" spans="1:25">
      <c r="A294" s="392">
        <v>93001</v>
      </c>
      <c r="B294" s="393" t="s">
        <v>1001</v>
      </c>
      <c r="C294" s="235">
        <v>2.1771E-3</v>
      </c>
      <c r="D294" s="235">
        <v>2.2536000000000001E-3</v>
      </c>
      <c r="E294" s="232">
        <v>7779706</v>
      </c>
      <c r="F294" s="232" t="s">
        <v>1930</v>
      </c>
      <c r="G294" s="394">
        <v>982440</v>
      </c>
      <c r="H294" s="394">
        <v>1094785</v>
      </c>
      <c r="I294" s="394">
        <v>578963</v>
      </c>
      <c r="J294" s="232">
        <v>5379</v>
      </c>
      <c r="K294" s="232">
        <v>2661567</v>
      </c>
      <c r="L294" s="232"/>
      <c r="M294" s="226">
        <v>0</v>
      </c>
      <c r="N294" s="226">
        <v>0</v>
      </c>
      <c r="O294" s="232">
        <v>117083</v>
      </c>
      <c r="P294" s="232">
        <v>117083</v>
      </c>
      <c r="Q294" s="232"/>
      <c r="R294" s="394">
        <v>2675384</v>
      </c>
      <c r="S294" s="232">
        <v>-53138</v>
      </c>
      <c r="T294" s="398">
        <v>2622246</v>
      </c>
      <c r="U294" s="232"/>
      <c r="V294" s="398"/>
      <c r="W294" s="398"/>
      <c r="X294" s="398">
        <v>15784175</v>
      </c>
      <c r="Y294" s="398">
        <v>1127429</v>
      </c>
    </row>
    <row r="295" spans="1:25">
      <c r="A295" s="392">
        <v>93009</v>
      </c>
      <c r="B295" s="393" t="s">
        <v>1002</v>
      </c>
      <c r="C295" s="235">
        <v>1.19E-5</v>
      </c>
      <c r="D295" s="235">
        <v>1.2799999999999999E-5</v>
      </c>
      <c r="E295" s="232">
        <v>42524</v>
      </c>
      <c r="F295" s="232" t="s">
        <v>1930</v>
      </c>
      <c r="G295" s="394">
        <v>5370</v>
      </c>
      <c r="H295" s="394">
        <v>5984</v>
      </c>
      <c r="I295" s="394">
        <v>3165</v>
      </c>
      <c r="J295" s="232">
        <v>0</v>
      </c>
      <c r="K295" s="232">
        <v>14519</v>
      </c>
      <c r="L295" s="232"/>
      <c r="M295" s="226">
        <v>0</v>
      </c>
      <c r="N295" s="226">
        <v>0</v>
      </c>
      <c r="O295" s="232">
        <v>4303</v>
      </c>
      <c r="P295" s="232">
        <v>4303</v>
      </c>
      <c r="Q295" s="232"/>
      <c r="R295" s="394">
        <v>14624</v>
      </c>
      <c r="S295" s="232">
        <v>-2201</v>
      </c>
      <c r="T295" s="398">
        <v>12423</v>
      </c>
      <c r="U295" s="232"/>
      <c r="V295" s="398"/>
      <c r="W295" s="398"/>
      <c r="X295" s="398">
        <v>86276</v>
      </c>
      <c r="Y295" s="398">
        <v>6163</v>
      </c>
    </row>
    <row r="296" spans="1:25">
      <c r="A296" s="392">
        <v>93011</v>
      </c>
      <c r="B296" s="393" t="s">
        <v>1003</v>
      </c>
      <c r="C296" s="235">
        <v>3.121E-4</v>
      </c>
      <c r="D296" s="235">
        <v>3.0909999999999998E-4</v>
      </c>
      <c r="E296" s="232">
        <v>1115266</v>
      </c>
      <c r="F296" s="232" t="s">
        <v>1930</v>
      </c>
      <c r="G296" s="394">
        <v>140839</v>
      </c>
      <c r="H296" s="394">
        <v>156944</v>
      </c>
      <c r="I296" s="394">
        <v>82998</v>
      </c>
      <c r="J296" s="232">
        <v>45445</v>
      </c>
      <c r="K296" s="232">
        <v>426226</v>
      </c>
      <c r="L296" s="232"/>
      <c r="M296" s="226">
        <v>0</v>
      </c>
      <c r="N296" s="226">
        <v>0</v>
      </c>
      <c r="O296" s="232">
        <v>7251</v>
      </c>
      <c r="P296" s="232">
        <v>7251</v>
      </c>
      <c r="Q296" s="232"/>
      <c r="R296" s="394">
        <v>383532</v>
      </c>
      <c r="S296" s="232">
        <v>14324</v>
      </c>
      <c r="T296" s="398">
        <v>397856</v>
      </c>
      <c r="U296" s="232"/>
      <c r="V296" s="398"/>
      <c r="W296" s="398"/>
      <c r="X296" s="398">
        <v>2262754</v>
      </c>
      <c r="Y296" s="398">
        <v>161623</v>
      </c>
    </row>
    <row r="297" spans="1:25">
      <c r="A297" s="392">
        <v>93021</v>
      </c>
      <c r="B297" s="393" t="s">
        <v>1004</v>
      </c>
      <c r="C297" s="235">
        <v>3.0300000000000001E-5</v>
      </c>
      <c r="D297" s="235">
        <v>3.0499999999999999E-5</v>
      </c>
      <c r="E297" s="232">
        <v>108275</v>
      </c>
      <c r="F297" s="232" t="s">
        <v>1930</v>
      </c>
      <c r="G297" s="394">
        <v>13673</v>
      </c>
      <c r="H297" s="394">
        <v>15237</v>
      </c>
      <c r="I297" s="394">
        <v>8058</v>
      </c>
      <c r="J297" s="232">
        <v>347</v>
      </c>
      <c r="K297" s="232">
        <v>37315</v>
      </c>
      <c r="L297" s="232"/>
      <c r="M297" s="226">
        <v>0</v>
      </c>
      <c r="N297" s="226">
        <v>0</v>
      </c>
      <c r="O297" s="232">
        <v>4820</v>
      </c>
      <c r="P297" s="232">
        <v>4820</v>
      </c>
      <c r="Q297" s="232"/>
      <c r="R297" s="394">
        <v>37235</v>
      </c>
      <c r="S297" s="232">
        <v>-2961</v>
      </c>
      <c r="T297" s="398">
        <v>34274</v>
      </c>
      <c r="U297" s="232"/>
      <c r="V297" s="398"/>
      <c r="W297" s="398"/>
      <c r="X297" s="398">
        <v>219678</v>
      </c>
      <c r="Y297" s="398">
        <v>15691</v>
      </c>
    </row>
    <row r="298" spans="1:25">
      <c r="A298" s="392">
        <v>93027</v>
      </c>
      <c r="B298" s="393" t="s">
        <v>1005</v>
      </c>
      <c r="C298" s="235">
        <v>0</v>
      </c>
      <c r="D298" s="235">
        <v>0</v>
      </c>
      <c r="E298" s="232">
        <v>0</v>
      </c>
      <c r="F298" s="232" t="s">
        <v>1930</v>
      </c>
      <c r="G298" s="394">
        <v>0</v>
      </c>
      <c r="H298" s="394">
        <v>0</v>
      </c>
      <c r="I298" s="394">
        <v>0</v>
      </c>
      <c r="J298" s="232">
        <v>119</v>
      </c>
      <c r="K298" s="232">
        <v>119</v>
      </c>
      <c r="L298" s="232"/>
      <c r="M298" s="226">
        <v>0</v>
      </c>
      <c r="N298" s="226">
        <v>0</v>
      </c>
      <c r="O298" s="232">
        <v>10632</v>
      </c>
      <c r="P298" s="232">
        <v>10632</v>
      </c>
      <c r="Q298" s="232"/>
      <c r="R298" s="394">
        <v>0</v>
      </c>
      <c r="S298" s="232">
        <v>-3398</v>
      </c>
      <c r="T298" s="398">
        <v>-3398</v>
      </c>
      <c r="U298" s="232"/>
      <c r="V298" s="398"/>
      <c r="W298" s="398"/>
      <c r="X298" s="398">
        <v>0</v>
      </c>
      <c r="Y298" s="398">
        <v>0</v>
      </c>
    </row>
    <row r="299" spans="1:25">
      <c r="A299" s="392">
        <v>93028</v>
      </c>
      <c r="B299" s="393" t="s">
        <v>3615</v>
      </c>
      <c r="C299" s="235">
        <v>2.16E-5</v>
      </c>
      <c r="D299" s="235">
        <v>0</v>
      </c>
      <c r="E299" s="232">
        <v>77186</v>
      </c>
      <c r="F299" s="232" t="s">
        <v>1930</v>
      </c>
      <c r="G299" s="394">
        <v>9747</v>
      </c>
      <c r="H299" s="394">
        <v>10862</v>
      </c>
      <c r="I299" s="394">
        <v>5744</v>
      </c>
      <c r="J299" s="232">
        <v>29463</v>
      </c>
      <c r="K299" s="232">
        <v>55816</v>
      </c>
      <c r="L299" s="232"/>
      <c r="M299" s="226">
        <v>0</v>
      </c>
      <c r="N299" s="226">
        <v>0</v>
      </c>
      <c r="O299" s="232">
        <v>0</v>
      </c>
      <c r="P299" s="232">
        <v>0</v>
      </c>
      <c r="Q299" s="232"/>
      <c r="R299" s="394">
        <v>26544</v>
      </c>
      <c r="S299" s="232">
        <v>9821</v>
      </c>
      <c r="T299" s="398">
        <v>36365</v>
      </c>
      <c r="U299" s="232"/>
      <c r="V299" s="398"/>
      <c r="W299" s="398"/>
      <c r="X299" s="398">
        <v>156602</v>
      </c>
      <c r="Y299" s="398">
        <v>11186</v>
      </c>
    </row>
    <row r="300" spans="1:25">
      <c r="A300" s="392">
        <v>93031</v>
      </c>
      <c r="B300" s="393" t="s">
        <v>1006</v>
      </c>
      <c r="C300" s="235">
        <v>4.6E-6</v>
      </c>
      <c r="D300" s="235">
        <v>7.7000000000000008E-6</v>
      </c>
      <c r="E300" s="232">
        <v>16438</v>
      </c>
      <c r="F300" s="232" t="s">
        <v>1930</v>
      </c>
      <c r="G300" s="394">
        <v>2076</v>
      </c>
      <c r="H300" s="394">
        <v>2314</v>
      </c>
      <c r="I300" s="394">
        <v>1223</v>
      </c>
      <c r="J300" s="232">
        <v>6752</v>
      </c>
      <c r="K300" s="232">
        <v>12365</v>
      </c>
      <c r="L300" s="232"/>
      <c r="M300" s="226">
        <v>0</v>
      </c>
      <c r="N300" s="226">
        <v>0</v>
      </c>
      <c r="O300" s="232">
        <v>3637</v>
      </c>
      <c r="P300" s="232">
        <v>3637</v>
      </c>
      <c r="Q300" s="232"/>
      <c r="R300" s="394">
        <v>5653</v>
      </c>
      <c r="S300" s="232">
        <v>5881</v>
      </c>
      <c r="T300" s="398">
        <v>11534</v>
      </c>
      <c r="U300" s="232"/>
      <c r="V300" s="398"/>
      <c r="W300" s="398"/>
      <c r="X300" s="398">
        <v>33350</v>
      </c>
      <c r="Y300" s="398">
        <v>2382</v>
      </c>
    </row>
    <row r="301" spans="1:25">
      <c r="A301" s="392">
        <v>93101</v>
      </c>
      <c r="B301" s="393" t="s">
        <v>1007</v>
      </c>
      <c r="C301" s="235">
        <v>2.9229999999999998E-3</v>
      </c>
      <c r="D301" s="235">
        <v>3.1914999999999999E-3</v>
      </c>
      <c r="E301" s="232">
        <v>10445124</v>
      </c>
      <c r="F301" s="232" t="s">
        <v>1930</v>
      </c>
      <c r="G301" s="394">
        <v>1319036</v>
      </c>
      <c r="H301" s="394">
        <v>1469871</v>
      </c>
      <c r="I301" s="394">
        <v>777322</v>
      </c>
      <c r="J301" s="232">
        <v>0</v>
      </c>
      <c r="K301" s="232">
        <v>3566229</v>
      </c>
      <c r="L301" s="232"/>
      <c r="M301" s="226">
        <v>0</v>
      </c>
      <c r="N301" s="226">
        <v>0</v>
      </c>
      <c r="O301" s="232">
        <v>556518</v>
      </c>
      <c r="P301" s="232">
        <v>556518</v>
      </c>
      <c r="Q301" s="232"/>
      <c r="R301" s="394">
        <v>3592002</v>
      </c>
      <c r="S301" s="232">
        <v>-213734</v>
      </c>
      <c r="T301" s="398">
        <v>3378268</v>
      </c>
      <c r="U301" s="232"/>
      <c r="V301" s="398"/>
      <c r="W301" s="398"/>
      <c r="X301" s="398">
        <v>21192019</v>
      </c>
      <c r="Y301" s="398">
        <v>1513699</v>
      </c>
    </row>
    <row r="302" spans="1:25">
      <c r="A302" s="392">
        <v>93103</v>
      </c>
      <c r="B302" s="393" t="s">
        <v>260</v>
      </c>
      <c r="C302" s="235">
        <v>1.6200000000000001E-5</v>
      </c>
      <c r="D302" s="235">
        <v>1.56E-5</v>
      </c>
      <c r="E302" s="232">
        <v>57890</v>
      </c>
      <c r="F302" s="232" t="s">
        <v>1930</v>
      </c>
      <c r="G302" s="394">
        <v>7310</v>
      </c>
      <c r="H302" s="394">
        <v>8146</v>
      </c>
      <c r="I302" s="394">
        <v>4308</v>
      </c>
      <c r="J302" s="232">
        <v>0</v>
      </c>
      <c r="K302" s="232">
        <v>19764</v>
      </c>
      <c r="L302" s="232"/>
      <c r="M302" s="226">
        <v>0</v>
      </c>
      <c r="N302" s="226">
        <v>0</v>
      </c>
      <c r="O302" s="232">
        <v>6853</v>
      </c>
      <c r="P302" s="232">
        <v>6853</v>
      </c>
      <c r="Q302" s="232"/>
      <c r="R302" s="394">
        <v>19908</v>
      </c>
      <c r="S302" s="232">
        <v>-1013</v>
      </c>
      <c r="T302" s="398">
        <v>18895</v>
      </c>
      <c r="U302" s="232"/>
      <c r="V302" s="398"/>
      <c r="W302" s="398"/>
      <c r="X302" s="398">
        <v>117451</v>
      </c>
      <c r="Y302" s="398">
        <v>8389</v>
      </c>
    </row>
    <row r="303" spans="1:25">
      <c r="A303" s="392">
        <v>93108</v>
      </c>
      <c r="B303" s="393" t="s">
        <v>1008</v>
      </c>
      <c r="C303" s="235">
        <v>2.1960999999999999E-3</v>
      </c>
      <c r="D303" s="235">
        <v>2.2694E-3</v>
      </c>
      <c r="E303" s="232">
        <v>7847601</v>
      </c>
      <c r="F303" s="232" t="s">
        <v>1930</v>
      </c>
      <c r="G303" s="394">
        <v>991014</v>
      </c>
      <c r="H303" s="394">
        <v>1104340</v>
      </c>
      <c r="I303" s="394">
        <v>584015</v>
      </c>
      <c r="J303" s="232">
        <v>9518</v>
      </c>
      <c r="K303" s="232">
        <v>2688887</v>
      </c>
      <c r="L303" s="232"/>
      <c r="M303" s="226">
        <v>0</v>
      </c>
      <c r="N303" s="226">
        <v>0</v>
      </c>
      <c r="O303" s="232">
        <v>207651</v>
      </c>
      <c r="P303" s="232">
        <v>207651</v>
      </c>
      <c r="Q303" s="232"/>
      <c r="R303" s="394">
        <v>2698732</v>
      </c>
      <c r="S303" s="232">
        <v>-60374</v>
      </c>
      <c r="T303" s="398">
        <v>2638358</v>
      </c>
      <c r="U303" s="232"/>
      <c r="V303" s="398"/>
      <c r="W303" s="398"/>
      <c r="X303" s="398">
        <v>15921927</v>
      </c>
      <c r="Y303" s="398">
        <v>1137268</v>
      </c>
    </row>
    <row r="304" spans="1:25">
      <c r="A304" s="392">
        <v>93111</v>
      </c>
      <c r="B304" s="393" t="s">
        <v>1009</v>
      </c>
      <c r="C304" s="235">
        <v>5.4400000000000001E-5</v>
      </c>
      <c r="D304" s="235">
        <v>5.8199999999999998E-5</v>
      </c>
      <c r="E304" s="232">
        <v>194394</v>
      </c>
      <c r="F304" s="232" t="s">
        <v>1930</v>
      </c>
      <c r="G304" s="394">
        <v>24549</v>
      </c>
      <c r="H304" s="394">
        <v>27356</v>
      </c>
      <c r="I304" s="394">
        <v>14467</v>
      </c>
      <c r="J304" s="232">
        <v>305</v>
      </c>
      <c r="K304" s="232">
        <v>66677</v>
      </c>
      <c r="L304" s="232"/>
      <c r="M304" s="226">
        <v>0</v>
      </c>
      <c r="N304" s="226">
        <v>0</v>
      </c>
      <c r="O304" s="232">
        <v>9055</v>
      </c>
      <c r="P304" s="232">
        <v>9055</v>
      </c>
      <c r="Q304" s="232"/>
      <c r="R304" s="394">
        <v>66851</v>
      </c>
      <c r="S304" s="232">
        <v>-5338</v>
      </c>
      <c r="T304" s="398">
        <v>61513</v>
      </c>
      <c r="U304" s="232"/>
      <c r="V304" s="398"/>
      <c r="W304" s="398"/>
      <c r="X304" s="398">
        <v>394405</v>
      </c>
      <c r="Y304" s="398">
        <v>28171</v>
      </c>
    </row>
    <row r="305" spans="1:25">
      <c r="A305" s="392">
        <v>93121</v>
      </c>
      <c r="B305" s="393" t="s">
        <v>1010</v>
      </c>
      <c r="C305" s="235">
        <v>5.38E-5</v>
      </c>
      <c r="D305" s="235">
        <v>6.2199999999999994E-5</v>
      </c>
      <c r="E305" s="232">
        <v>192250</v>
      </c>
      <c r="F305" s="232" t="s">
        <v>1930</v>
      </c>
      <c r="G305" s="394">
        <v>24278</v>
      </c>
      <c r="H305" s="394">
        <v>27054</v>
      </c>
      <c r="I305" s="394">
        <v>14307</v>
      </c>
      <c r="J305" s="232">
        <v>7097</v>
      </c>
      <c r="K305" s="232">
        <v>72736</v>
      </c>
      <c r="L305" s="232"/>
      <c r="M305" s="226">
        <v>0</v>
      </c>
      <c r="N305" s="226">
        <v>0</v>
      </c>
      <c r="O305" s="232">
        <v>7593</v>
      </c>
      <c r="P305" s="232">
        <v>7593</v>
      </c>
      <c r="Q305" s="232"/>
      <c r="R305" s="394">
        <v>66113</v>
      </c>
      <c r="S305" s="232">
        <v>-2335</v>
      </c>
      <c r="T305" s="398">
        <v>63778</v>
      </c>
      <c r="U305" s="232"/>
      <c r="V305" s="398"/>
      <c r="W305" s="398"/>
      <c r="X305" s="398">
        <v>390055</v>
      </c>
      <c r="Y305" s="398">
        <v>27861</v>
      </c>
    </row>
    <row r="306" spans="1:25">
      <c r="A306" s="392">
        <v>93127</v>
      </c>
      <c r="B306" s="393" t="s">
        <v>1011</v>
      </c>
      <c r="C306" s="235">
        <v>5.8000000000000004E-6</v>
      </c>
      <c r="D306" s="235">
        <v>5.9000000000000003E-6</v>
      </c>
      <c r="E306" s="232">
        <v>20726</v>
      </c>
      <c r="F306" s="232" t="s">
        <v>1930</v>
      </c>
      <c r="G306" s="394">
        <v>2617</v>
      </c>
      <c r="H306" s="394">
        <v>2916</v>
      </c>
      <c r="I306" s="394">
        <v>1542</v>
      </c>
      <c r="J306" s="232">
        <v>296</v>
      </c>
      <c r="K306" s="232">
        <v>7371</v>
      </c>
      <c r="L306" s="232"/>
      <c r="M306" s="226">
        <v>0</v>
      </c>
      <c r="N306" s="226">
        <v>0</v>
      </c>
      <c r="O306" s="232">
        <v>682</v>
      </c>
      <c r="P306" s="232">
        <v>682</v>
      </c>
      <c r="Q306" s="232"/>
      <c r="R306" s="394">
        <v>7127</v>
      </c>
      <c r="S306" s="232">
        <v>-235</v>
      </c>
      <c r="T306" s="398">
        <v>6892</v>
      </c>
      <c r="U306" s="232"/>
      <c r="V306" s="398"/>
      <c r="W306" s="398"/>
      <c r="X306" s="398">
        <v>42051</v>
      </c>
      <c r="Y306" s="398">
        <v>3004</v>
      </c>
    </row>
    <row r="307" spans="1:25">
      <c r="A307" s="392">
        <v>93131</v>
      </c>
      <c r="B307" s="393" t="s">
        <v>1012</v>
      </c>
      <c r="C307" s="235">
        <v>1.727E-4</v>
      </c>
      <c r="D307" s="235">
        <v>1.7799999999999999E-4</v>
      </c>
      <c r="E307" s="232">
        <v>617131</v>
      </c>
      <c r="F307" s="232" t="s">
        <v>1930</v>
      </c>
      <c r="G307" s="394">
        <v>77933</v>
      </c>
      <c r="H307" s="394">
        <v>86844</v>
      </c>
      <c r="I307" s="394">
        <v>45927</v>
      </c>
      <c r="J307" s="232">
        <v>993</v>
      </c>
      <c r="K307" s="232">
        <v>211697</v>
      </c>
      <c r="L307" s="232"/>
      <c r="M307" s="226">
        <v>0</v>
      </c>
      <c r="N307" s="226">
        <v>0</v>
      </c>
      <c r="O307" s="232">
        <v>25184</v>
      </c>
      <c r="P307" s="232">
        <v>25184</v>
      </c>
      <c r="Q307" s="232"/>
      <c r="R307" s="394">
        <v>212227</v>
      </c>
      <c r="S307" s="232">
        <v>-13881</v>
      </c>
      <c r="T307" s="398">
        <v>198346</v>
      </c>
      <c r="U307" s="232"/>
      <c r="V307" s="398"/>
      <c r="W307" s="398"/>
      <c r="X307" s="398">
        <v>1252091</v>
      </c>
      <c r="Y307" s="398">
        <v>89434</v>
      </c>
    </row>
    <row r="308" spans="1:25">
      <c r="A308" s="392">
        <v>93137</v>
      </c>
      <c r="B308" s="393" t="s">
        <v>1013</v>
      </c>
      <c r="C308" s="235">
        <v>5.0000000000000004E-6</v>
      </c>
      <c r="D308" s="235">
        <v>4.7999999999999998E-6</v>
      </c>
      <c r="E308" s="232">
        <v>17867</v>
      </c>
      <c r="F308" s="232" t="s">
        <v>1930</v>
      </c>
      <c r="G308" s="394">
        <v>2256</v>
      </c>
      <c r="H308" s="394">
        <v>2514</v>
      </c>
      <c r="I308" s="394">
        <v>1330</v>
      </c>
      <c r="J308" s="232">
        <v>2339</v>
      </c>
      <c r="K308" s="232">
        <v>8439</v>
      </c>
      <c r="L308" s="232"/>
      <c r="M308" s="226">
        <v>0</v>
      </c>
      <c r="N308" s="226">
        <v>0</v>
      </c>
      <c r="O308" s="232">
        <v>0</v>
      </c>
      <c r="P308" s="232">
        <v>0</v>
      </c>
      <c r="Q308" s="232"/>
      <c r="R308" s="394">
        <v>6144</v>
      </c>
      <c r="S308" s="232">
        <v>1393</v>
      </c>
      <c r="T308" s="398">
        <v>7537</v>
      </c>
      <c r="U308" s="232"/>
      <c r="V308" s="398"/>
      <c r="W308" s="398"/>
      <c r="X308" s="398">
        <v>36250</v>
      </c>
      <c r="Y308" s="398">
        <v>2589</v>
      </c>
    </row>
    <row r="309" spans="1:25">
      <c r="A309" s="392">
        <v>93141</v>
      </c>
      <c r="B309" s="393" t="s">
        <v>1014</v>
      </c>
      <c r="C309" s="235">
        <v>3.6900000000000002E-5</v>
      </c>
      <c r="D309" s="235">
        <v>3.2499999999999997E-5</v>
      </c>
      <c r="E309" s="232">
        <v>131859</v>
      </c>
      <c r="F309" s="232" t="s">
        <v>1930</v>
      </c>
      <c r="G309" s="394">
        <v>16652</v>
      </c>
      <c r="H309" s="394">
        <v>18555</v>
      </c>
      <c r="I309" s="394">
        <v>9813</v>
      </c>
      <c r="J309" s="232">
        <v>5804</v>
      </c>
      <c r="K309" s="232">
        <v>50824</v>
      </c>
      <c r="L309" s="232"/>
      <c r="M309" s="226">
        <v>0</v>
      </c>
      <c r="N309" s="226">
        <v>0</v>
      </c>
      <c r="O309" s="232">
        <v>4307</v>
      </c>
      <c r="P309" s="232">
        <v>4307</v>
      </c>
      <c r="Q309" s="232"/>
      <c r="R309" s="394">
        <v>45345</v>
      </c>
      <c r="S309" s="232">
        <v>-990</v>
      </c>
      <c r="T309" s="398">
        <v>44355</v>
      </c>
      <c r="U309" s="232"/>
      <c r="V309" s="398"/>
      <c r="W309" s="398"/>
      <c r="X309" s="398">
        <v>267528</v>
      </c>
      <c r="Y309" s="398">
        <v>19109</v>
      </c>
    </row>
    <row r="310" spans="1:25">
      <c r="A310" s="392">
        <v>93151</v>
      </c>
      <c r="B310" s="393" t="s">
        <v>1015</v>
      </c>
      <c r="C310" s="235">
        <v>3.5359999999999998E-4</v>
      </c>
      <c r="D310" s="235">
        <v>3.7100000000000002E-4</v>
      </c>
      <c r="E310" s="232">
        <v>1263563</v>
      </c>
      <c r="F310" s="232" t="s">
        <v>1930</v>
      </c>
      <c r="G310" s="394">
        <v>159566</v>
      </c>
      <c r="H310" s="394">
        <v>177813</v>
      </c>
      <c r="I310" s="394">
        <v>94034</v>
      </c>
      <c r="J310" s="232">
        <v>13517</v>
      </c>
      <c r="K310" s="232">
        <v>444930</v>
      </c>
      <c r="L310" s="232"/>
      <c r="M310" s="226">
        <v>0</v>
      </c>
      <c r="N310" s="226">
        <v>0</v>
      </c>
      <c r="O310" s="232">
        <v>48925</v>
      </c>
      <c r="P310" s="232">
        <v>48925</v>
      </c>
      <c r="Q310" s="232"/>
      <c r="R310" s="394">
        <v>434530</v>
      </c>
      <c r="S310" s="232">
        <v>-16145</v>
      </c>
      <c r="T310" s="398">
        <v>418385</v>
      </c>
      <c r="U310" s="232"/>
      <c r="V310" s="398"/>
      <c r="W310" s="398"/>
      <c r="X310" s="398">
        <v>2563633</v>
      </c>
      <c r="Y310" s="398">
        <v>183115</v>
      </c>
    </row>
    <row r="311" spans="1:25">
      <c r="A311" s="392">
        <v>93157</v>
      </c>
      <c r="B311" s="393" t="s">
        <v>1016</v>
      </c>
      <c r="C311" s="235">
        <v>1.2799999999999999E-5</v>
      </c>
      <c r="D311" s="235">
        <v>7.9000000000000006E-6</v>
      </c>
      <c r="E311" s="232">
        <v>45740</v>
      </c>
      <c r="F311" s="232" t="s">
        <v>1930</v>
      </c>
      <c r="G311" s="394">
        <v>5776</v>
      </c>
      <c r="H311" s="394">
        <v>6436</v>
      </c>
      <c r="I311" s="394">
        <v>3404</v>
      </c>
      <c r="J311" s="232">
        <v>13073</v>
      </c>
      <c r="K311" s="232">
        <v>28689</v>
      </c>
      <c r="L311" s="232"/>
      <c r="M311" s="226">
        <v>0</v>
      </c>
      <c r="N311" s="226">
        <v>0</v>
      </c>
      <c r="O311" s="232">
        <v>0</v>
      </c>
      <c r="P311" s="232">
        <v>0</v>
      </c>
      <c r="Q311" s="232"/>
      <c r="R311" s="394">
        <v>15730</v>
      </c>
      <c r="S311" s="232">
        <v>5920</v>
      </c>
      <c r="T311" s="398">
        <v>21650</v>
      </c>
      <c r="U311" s="232"/>
      <c r="V311" s="398"/>
      <c r="W311" s="398"/>
      <c r="X311" s="398">
        <v>92801</v>
      </c>
      <c r="Y311" s="398">
        <v>6629</v>
      </c>
    </row>
    <row r="312" spans="1:25">
      <c r="A312" s="392">
        <v>93161</v>
      </c>
      <c r="B312" s="393" t="s">
        <v>1017</v>
      </c>
      <c r="C312" s="235">
        <v>1.037E-4</v>
      </c>
      <c r="D312" s="235">
        <v>1.2180000000000001E-4</v>
      </c>
      <c r="E312" s="232">
        <v>370564</v>
      </c>
      <c r="F312" s="232" t="s">
        <v>1930</v>
      </c>
      <c r="G312" s="394">
        <v>46796</v>
      </c>
      <c r="H312" s="394">
        <v>52147</v>
      </c>
      <c r="I312" s="394">
        <v>27577</v>
      </c>
      <c r="J312" s="232">
        <v>11486</v>
      </c>
      <c r="K312" s="232">
        <v>138006</v>
      </c>
      <c r="L312" s="232"/>
      <c r="M312" s="226">
        <v>0</v>
      </c>
      <c r="N312" s="226">
        <v>0</v>
      </c>
      <c r="O312" s="232">
        <v>24541</v>
      </c>
      <c r="P312" s="232">
        <v>24541</v>
      </c>
      <c r="Q312" s="232"/>
      <c r="R312" s="394">
        <v>127434</v>
      </c>
      <c r="S312" s="232">
        <v>1260</v>
      </c>
      <c r="T312" s="398">
        <v>128694</v>
      </c>
      <c r="U312" s="232"/>
      <c r="V312" s="398"/>
      <c r="W312" s="398"/>
      <c r="X312" s="398">
        <v>751835</v>
      </c>
      <c r="Y312" s="398">
        <v>53702</v>
      </c>
    </row>
    <row r="313" spans="1:25" ht="14.25" customHeight="1">
      <c r="A313" s="392">
        <v>93171</v>
      </c>
      <c r="B313" s="393" t="s">
        <v>1018</v>
      </c>
      <c r="C313" s="235">
        <v>9.0999999999999993E-6</v>
      </c>
      <c r="D313" s="235">
        <v>5.3000000000000001E-6</v>
      </c>
      <c r="E313" s="232">
        <v>32518</v>
      </c>
      <c r="F313" s="232" t="s">
        <v>1930</v>
      </c>
      <c r="G313" s="394">
        <v>4106</v>
      </c>
      <c r="H313" s="394">
        <v>4576</v>
      </c>
      <c r="I313" s="394">
        <v>2420</v>
      </c>
      <c r="J313" s="232">
        <v>9188</v>
      </c>
      <c r="K313" s="232">
        <v>20290</v>
      </c>
      <c r="L313" s="232"/>
      <c r="M313" s="226">
        <v>0</v>
      </c>
      <c r="N313" s="226">
        <v>0</v>
      </c>
      <c r="O313" s="232">
        <v>493</v>
      </c>
      <c r="P313" s="232">
        <v>493</v>
      </c>
      <c r="Q313" s="232"/>
      <c r="R313" s="394">
        <v>11183</v>
      </c>
      <c r="S313" s="232">
        <v>3155</v>
      </c>
      <c r="T313" s="398">
        <v>14338</v>
      </c>
      <c r="U313" s="232"/>
      <c r="V313" s="398"/>
      <c r="W313" s="398"/>
      <c r="X313" s="398">
        <v>65976</v>
      </c>
      <c r="Y313" s="398">
        <v>4713</v>
      </c>
    </row>
    <row r="314" spans="1:25">
      <c r="A314" s="392">
        <v>93181</v>
      </c>
      <c r="B314" s="393" t="s">
        <v>1019</v>
      </c>
      <c r="C314" s="235">
        <v>1.0000000000000001E-5</v>
      </c>
      <c r="D314" s="235">
        <v>1.04E-5</v>
      </c>
      <c r="E314" s="232">
        <v>35734</v>
      </c>
      <c r="F314" s="232" t="s">
        <v>1930</v>
      </c>
      <c r="G314" s="394">
        <v>4513</v>
      </c>
      <c r="H314" s="394">
        <v>5029</v>
      </c>
      <c r="I314" s="394">
        <v>2659</v>
      </c>
      <c r="J314" s="232">
        <v>716</v>
      </c>
      <c r="K314" s="232">
        <v>12917</v>
      </c>
      <c r="L314" s="232"/>
      <c r="M314" s="226">
        <v>0</v>
      </c>
      <c r="N314" s="226">
        <v>0</v>
      </c>
      <c r="O314" s="232">
        <v>0</v>
      </c>
      <c r="P314" s="232">
        <v>0</v>
      </c>
      <c r="Q314" s="232"/>
      <c r="R314" s="394">
        <v>12289</v>
      </c>
      <c r="S314" s="232">
        <v>342</v>
      </c>
      <c r="T314" s="398">
        <v>12631</v>
      </c>
      <c r="U314" s="232"/>
      <c r="V314" s="398"/>
      <c r="W314" s="398"/>
      <c r="X314" s="398">
        <v>72501</v>
      </c>
      <c r="Y314" s="398">
        <v>5179</v>
      </c>
    </row>
    <row r="315" spans="1:25">
      <c r="A315" s="392">
        <v>93191</v>
      </c>
      <c r="B315" s="393" t="s">
        <v>1020</v>
      </c>
      <c r="C315" s="235">
        <v>2.8900000000000001E-5</v>
      </c>
      <c r="D315" s="235">
        <v>2.34E-5</v>
      </c>
      <c r="E315" s="232">
        <v>103272</v>
      </c>
      <c r="F315" s="232" t="s">
        <v>1930</v>
      </c>
      <c r="G315" s="394">
        <v>13041</v>
      </c>
      <c r="H315" s="394">
        <v>14533</v>
      </c>
      <c r="I315" s="394">
        <v>7685</v>
      </c>
      <c r="J315" s="232">
        <v>16437</v>
      </c>
      <c r="K315" s="232">
        <v>51696</v>
      </c>
      <c r="L315" s="232"/>
      <c r="M315" s="226">
        <v>0</v>
      </c>
      <c r="N315" s="226">
        <v>0</v>
      </c>
      <c r="O315" s="232">
        <v>448</v>
      </c>
      <c r="P315" s="232">
        <v>448</v>
      </c>
      <c r="Q315" s="232"/>
      <c r="R315" s="394">
        <v>35514</v>
      </c>
      <c r="S315" s="232">
        <v>5285</v>
      </c>
      <c r="T315" s="398">
        <v>40799</v>
      </c>
      <c r="U315" s="232"/>
      <c r="V315" s="398"/>
      <c r="W315" s="398"/>
      <c r="X315" s="398">
        <v>209528</v>
      </c>
      <c r="Y315" s="398">
        <v>14966</v>
      </c>
    </row>
    <row r="316" spans="1:25">
      <c r="A316" s="392">
        <v>93201</v>
      </c>
      <c r="B316" s="393" t="s">
        <v>1021</v>
      </c>
      <c r="C316" s="235">
        <v>1.5223E-2</v>
      </c>
      <c r="D316" s="235">
        <v>1.5197799999999999E-2</v>
      </c>
      <c r="E316" s="232">
        <v>54398264</v>
      </c>
      <c r="F316" s="232" t="s">
        <v>1930</v>
      </c>
      <c r="G316" s="394">
        <v>6869546</v>
      </c>
      <c r="H316" s="394">
        <v>7655098</v>
      </c>
      <c r="I316" s="394">
        <v>4048298</v>
      </c>
      <c r="J316" s="232">
        <v>117867</v>
      </c>
      <c r="K316" s="232">
        <v>18690809</v>
      </c>
      <c r="L316" s="232"/>
      <c r="M316" s="226">
        <v>0</v>
      </c>
      <c r="N316" s="226">
        <v>0</v>
      </c>
      <c r="O316" s="232">
        <v>563917</v>
      </c>
      <c r="P316" s="232">
        <v>563917</v>
      </c>
      <c r="Q316" s="232"/>
      <c r="R316" s="394">
        <v>18707164</v>
      </c>
      <c r="S316" s="232">
        <v>-65397</v>
      </c>
      <c r="T316" s="398">
        <v>18641767</v>
      </c>
      <c r="U316" s="232"/>
      <c r="V316" s="398"/>
      <c r="W316" s="398"/>
      <c r="X316" s="398">
        <v>110368151</v>
      </c>
      <c r="Y316" s="398">
        <v>7883352</v>
      </c>
    </row>
    <row r="317" spans="1:25">
      <c r="A317" s="392">
        <v>93202</v>
      </c>
      <c r="B317" s="393" t="s">
        <v>1022</v>
      </c>
      <c r="C317" s="235">
        <v>0</v>
      </c>
      <c r="D317" s="235">
        <v>0</v>
      </c>
      <c r="E317" s="232">
        <v>0</v>
      </c>
      <c r="F317" s="232" t="s">
        <v>1930</v>
      </c>
      <c r="G317" s="394">
        <v>0</v>
      </c>
      <c r="H317" s="394">
        <v>0</v>
      </c>
      <c r="I317" s="394">
        <v>0</v>
      </c>
      <c r="J317" s="232">
        <v>0</v>
      </c>
      <c r="K317" s="232">
        <v>0</v>
      </c>
      <c r="L317" s="232"/>
      <c r="M317" s="226">
        <v>0</v>
      </c>
      <c r="N317" s="226">
        <v>0</v>
      </c>
      <c r="O317" s="232">
        <v>0</v>
      </c>
      <c r="P317" s="232">
        <v>0</v>
      </c>
      <c r="Q317" s="232"/>
      <c r="R317" s="394">
        <v>0</v>
      </c>
      <c r="S317" s="232">
        <v>-25055</v>
      </c>
      <c r="T317" s="398">
        <v>-25055</v>
      </c>
      <c r="U317" s="232"/>
      <c r="V317" s="398"/>
      <c r="W317" s="398"/>
      <c r="X317" s="398">
        <v>0</v>
      </c>
      <c r="Y317" s="398">
        <v>0</v>
      </c>
    </row>
    <row r="318" spans="1:25">
      <c r="A318" s="392">
        <v>93204</v>
      </c>
      <c r="B318" s="393" t="s">
        <v>1023</v>
      </c>
      <c r="C318" s="235">
        <v>2.6400000000000002E-4</v>
      </c>
      <c r="D318" s="235">
        <v>2.9710000000000001E-4</v>
      </c>
      <c r="E318" s="232">
        <v>943384</v>
      </c>
      <c r="F318" s="232" t="s">
        <v>1930</v>
      </c>
      <c r="G318" s="394">
        <v>119133</v>
      </c>
      <c r="H318" s="394">
        <v>132756</v>
      </c>
      <c r="I318" s="394">
        <v>70206</v>
      </c>
      <c r="J318" s="232">
        <v>17775</v>
      </c>
      <c r="K318" s="232">
        <v>339870</v>
      </c>
      <c r="L318" s="232"/>
      <c r="M318" s="226">
        <v>0</v>
      </c>
      <c r="N318" s="226">
        <v>0</v>
      </c>
      <c r="O318" s="232">
        <v>29785</v>
      </c>
      <c r="P318" s="232">
        <v>29785</v>
      </c>
      <c r="Q318" s="232"/>
      <c r="R318" s="394">
        <v>324423</v>
      </c>
      <c r="S318" s="232">
        <v>72</v>
      </c>
      <c r="T318" s="398">
        <v>324495</v>
      </c>
      <c r="U318" s="232"/>
      <c r="V318" s="398"/>
      <c r="W318" s="398"/>
      <c r="X318" s="398">
        <v>1914024</v>
      </c>
      <c r="Y318" s="398">
        <v>136715</v>
      </c>
    </row>
    <row r="319" spans="1:25">
      <c r="A319" s="392">
        <v>93209</v>
      </c>
      <c r="B319" s="393" t="s">
        <v>1024</v>
      </c>
      <c r="C319" s="235">
        <v>5.2969000000000002E-3</v>
      </c>
      <c r="D319" s="235">
        <v>5.5938000000000003E-3</v>
      </c>
      <c r="E319" s="232">
        <v>18928080</v>
      </c>
      <c r="F319" s="232" t="s">
        <v>1930</v>
      </c>
      <c r="G319" s="394">
        <v>2390284</v>
      </c>
      <c r="H319" s="394">
        <v>2663620</v>
      </c>
      <c r="I319" s="394">
        <v>1408621</v>
      </c>
      <c r="J319" s="232">
        <v>185469</v>
      </c>
      <c r="K319" s="232">
        <v>6647994</v>
      </c>
      <c r="L319" s="232"/>
      <c r="M319" s="226">
        <v>0</v>
      </c>
      <c r="N319" s="226">
        <v>0</v>
      </c>
      <c r="O319" s="232">
        <v>520470</v>
      </c>
      <c r="P319" s="232">
        <v>520470</v>
      </c>
      <c r="Q319" s="232"/>
      <c r="R319" s="394">
        <v>6509228</v>
      </c>
      <c r="S319" s="232">
        <v>1970</v>
      </c>
      <c r="T319" s="398">
        <v>6511198</v>
      </c>
      <c r="U319" s="232"/>
      <c r="V319" s="398"/>
      <c r="W319" s="398"/>
      <c r="X319" s="398">
        <v>38403012</v>
      </c>
      <c r="Y319" s="398">
        <v>2743042</v>
      </c>
    </row>
    <row r="320" spans="1:25">
      <c r="A320" s="392">
        <v>93211</v>
      </c>
      <c r="B320" s="393" t="s">
        <v>1025</v>
      </c>
      <c r="C320" s="235">
        <v>2.2128599999999998E-2</v>
      </c>
      <c r="D320" s="235">
        <v>2.16165E-2</v>
      </c>
      <c r="E320" s="232">
        <v>79074915</v>
      </c>
      <c r="F320" s="232" t="s">
        <v>1930</v>
      </c>
      <c r="G320" s="394">
        <v>9985774</v>
      </c>
      <c r="H320" s="394">
        <v>11127677</v>
      </c>
      <c r="I320" s="394">
        <v>5884725</v>
      </c>
      <c r="J320" s="232">
        <v>1381536</v>
      </c>
      <c r="K320" s="232">
        <v>28379712</v>
      </c>
      <c r="L320" s="232"/>
      <c r="M320" s="226">
        <v>0</v>
      </c>
      <c r="N320" s="226">
        <v>0</v>
      </c>
      <c r="O320" s="232">
        <v>18530</v>
      </c>
      <c r="P320" s="232">
        <v>18530</v>
      </c>
      <c r="Q320" s="232"/>
      <c r="R320" s="394">
        <v>27193283</v>
      </c>
      <c r="S320" s="232">
        <v>320365</v>
      </c>
      <c r="T320" s="398">
        <v>27513648</v>
      </c>
      <c r="U320" s="232"/>
      <c r="V320" s="398"/>
      <c r="W320" s="398"/>
      <c r="X320" s="398">
        <v>160434386</v>
      </c>
      <c r="Y320" s="398">
        <v>11459473</v>
      </c>
    </row>
    <row r="321" spans="1:25">
      <c r="A321" s="392">
        <v>93212</v>
      </c>
      <c r="B321" s="393" t="s">
        <v>1026</v>
      </c>
      <c r="C321" s="235">
        <v>2.8699999999999998E-4</v>
      </c>
      <c r="D321" s="235">
        <v>2.3910000000000001E-4</v>
      </c>
      <c r="E321" s="232">
        <v>1025573</v>
      </c>
      <c r="F321" s="232" t="s">
        <v>1930</v>
      </c>
      <c r="G321" s="394">
        <v>129512</v>
      </c>
      <c r="H321" s="394">
        <v>144322</v>
      </c>
      <c r="I321" s="394">
        <v>76323</v>
      </c>
      <c r="J321" s="232">
        <v>182915</v>
      </c>
      <c r="K321" s="232">
        <v>533072</v>
      </c>
      <c r="L321" s="232"/>
      <c r="M321" s="226">
        <v>0</v>
      </c>
      <c r="N321" s="226">
        <v>0</v>
      </c>
      <c r="O321" s="232">
        <v>0</v>
      </c>
      <c r="P321" s="232">
        <v>0</v>
      </c>
      <c r="Q321" s="232"/>
      <c r="R321" s="394">
        <v>352687</v>
      </c>
      <c r="S321" s="232">
        <v>99689</v>
      </c>
      <c r="T321" s="398">
        <v>452376</v>
      </c>
      <c r="U321" s="232"/>
      <c r="V321" s="398"/>
      <c r="W321" s="398"/>
      <c r="X321" s="398">
        <v>2080776</v>
      </c>
      <c r="Y321" s="398">
        <v>148625</v>
      </c>
    </row>
    <row r="322" spans="1:25">
      <c r="A322" s="392">
        <v>93219</v>
      </c>
      <c r="B322" s="393" t="s">
        <v>1027</v>
      </c>
      <c r="C322" s="235">
        <v>2.5789999999999998E-4</v>
      </c>
      <c r="D322" s="235">
        <v>2.6229999999999998E-4</v>
      </c>
      <c r="E322" s="232">
        <v>921587</v>
      </c>
      <c r="F322" s="232" t="s">
        <v>1930</v>
      </c>
      <c r="G322" s="394">
        <v>116380</v>
      </c>
      <c r="H322" s="394">
        <v>129689</v>
      </c>
      <c r="I322" s="394">
        <v>68584</v>
      </c>
      <c r="J322" s="232">
        <v>23084</v>
      </c>
      <c r="K322" s="232">
        <v>337737</v>
      </c>
      <c r="L322" s="232"/>
      <c r="M322" s="226">
        <v>0</v>
      </c>
      <c r="N322" s="226">
        <v>0</v>
      </c>
      <c r="O322" s="232">
        <v>1228</v>
      </c>
      <c r="P322" s="232">
        <v>1228</v>
      </c>
      <c r="Q322" s="232"/>
      <c r="R322" s="394">
        <v>316927</v>
      </c>
      <c r="S322" s="232">
        <v>9816</v>
      </c>
      <c r="T322" s="398">
        <v>326743</v>
      </c>
      <c r="U322" s="232"/>
      <c r="V322" s="398"/>
      <c r="W322" s="398"/>
      <c r="X322" s="398">
        <v>1869799</v>
      </c>
      <c r="Y322" s="398">
        <v>133556</v>
      </c>
    </row>
    <row r="323" spans="1:25">
      <c r="A323" s="392">
        <v>93301</v>
      </c>
      <c r="B323" s="393" t="s">
        <v>1028</v>
      </c>
      <c r="C323" s="235">
        <v>2.1819999999999999E-3</v>
      </c>
      <c r="D323" s="235">
        <v>2.2057999999999999E-3</v>
      </c>
      <c r="E323" s="232">
        <v>7797216</v>
      </c>
      <c r="F323" s="232" t="s">
        <v>1930</v>
      </c>
      <c r="G323" s="394">
        <v>984652</v>
      </c>
      <c r="H323" s="394">
        <v>1097250</v>
      </c>
      <c r="I323" s="394">
        <v>580266</v>
      </c>
      <c r="J323" s="232">
        <v>12466</v>
      </c>
      <c r="K323" s="232">
        <v>2674634</v>
      </c>
      <c r="L323" s="232"/>
      <c r="M323" s="226">
        <v>0</v>
      </c>
      <c r="N323" s="226">
        <v>0</v>
      </c>
      <c r="O323" s="232">
        <v>136768</v>
      </c>
      <c r="P323" s="232">
        <v>136768</v>
      </c>
      <c r="Q323" s="232"/>
      <c r="R323" s="394">
        <v>2681405</v>
      </c>
      <c r="S323" s="232">
        <v>-43282</v>
      </c>
      <c r="T323" s="398">
        <v>2638123</v>
      </c>
      <c r="U323" s="232"/>
      <c r="V323" s="398"/>
      <c r="W323" s="398"/>
      <c r="X323" s="398">
        <v>15819701</v>
      </c>
      <c r="Y323" s="398">
        <v>1129966</v>
      </c>
    </row>
    <row r="324" spans="1:25">
      <c r="A324" s="392">
        <v>93304</v>
      </c>
      <c r="B324" s="393" t="s">
        <v>1029</v>
      </c>
      <c r="C324" s="235">
        <v>3.8099999999999998E-5</v>
      </c>
      <c r="D324" s="235">
        <v>3.9400000000000002E-5</v>
      </c>
      <c r="E324" s="232">
        <v>136148</v>
      </c>
      <c r="F324" s="232" t="s">
        <v>1930</v>
      </c>
      <c r="G324" s="394">
        <v>17193</v>
      </c>
      <c r="H324" s="394">
        <v>19159</v>
      </c>
      <c r="I324" s="394">
        <v>10132</v>
      </c>
      <c r="J324" s="232">
        <v>14259</v>
      </c>
      <c r="K324" s="232">
        <v>60743</v>
      </c>
      <c r="L324" s="232"/>
      <c r="M324" s="226">
        <v>0</v>
      </c>
      <c r="N324" s="226">
        <v>0</v>
      </c>
      <c r="O324" s="232">
        <v>0</v>
      </c>
      <c r="P324" s="232">
        <v>0</v>
      </c>
      <c r="Q324" s="232"/>
      <c r="R324" s="394">
        <v>46820</v>
      </c>
      <c r="S324" s="232">
        <v>5876</v>
      </c>
      <c r="T324" s="398">
        <v>52696</v>
      </c>
      <c r="U324" s="232"/>
      <c r="V324" s="398"/>
      <c r="W324" s="398"/>
      <c r="X324" s="398">
        <v>276229</v>
      </c>
      <c r="Y324" s="398">
        <v>19730</v>
      </c>
    </row>
    <row r="325" spans="1:25">
      <c r="A325" s="392">
        <v>93305</v>
      </c>
      <c r="B325" s="393" t="s">
        <v>1030</v>
      </c>
      <c r="C325" s="235">
        <v>3.43E-5</v>
      </c>
      <c r="D325" s="235">
        <v>4.0299999999999997E-5</v>
      </c>
      <c r="E325" s="232">
        <v>122569</v>
      </c>
      <c r="F325" s="232" t="s">
        <v>1930</v>
      </c>
      <c r="G325" s="394">
        <v>15478</v>
      </c>
      <c r="H325" s="394">
        <v>17248</v>
      </c>
      <c r="I325" s="394">
        <v>9122</v>
      </c>
      <c r="J325" s="232">
        <v>0</v>
      </c>
      <c r="K325" s="232">
        <v>41848</v>
      </c>
      <c r="L325" s="232"/>
      <c r="M325" s="226">
        <v>0</v>
      </c>
      <c r="N325" s="226">
        <v>0</v>
      </c>
      <c r="O325" s="232">
        <v>11550</v>
      </c>
      <c r="P325" s="232">
        <v>11550</v>
      </c>
      <c r="Q325" s="232"/>
      <c r="R325" s="394">
        <v>42150</v>
      </c>
      <c r="S325" s="232">
        <v>-5136</v>
      </c>
      <c r="T325" s="398">
        <v>37014</v>
      </c>
      <c r="U325" s="232"/>
      <c r="V325" s="398"/>
      <c r="W325" s="398"/>
      <c r="X325" s="398">
        <v>248678</v>
      </c>
      <c r="Y325" s="398">
        <v>17763</v>
      </c>
    </row>
    <row r="326" spans="1:25">
      <c r="A326" s="392">
        <v>93309</v>
      </c>
      <c r="B326" s="393" t="s">
        <v>1031</v>
      </c>
      <c r="C326" s="235">
        <v>1.6670000000000001E-4</v>
      </c>
      <c r="D326" s="235">
        <v>1.6239999999999999E-4</v>
      </c>
      <c r="E326" s="232">
        <v>595690</v>
      </c>
      <c r="F326" s="232" t="s">
        <v>1930</v>
      </c>
      <c r="G326" s="394">
        <v>75225</v>
      </c>
      <c r="H326" s="394">
        <v>83828</v>
      </c>
      <c r="I326" s="394">
        <v>44331</v>
      </c>
      <c r="J326" s="232">
        <v>32881</v>
      </c>
      <c r="K326" s="232">
        <v>236265</v>
      </c>
      <c r="L326" s="232"/>
      <c r="M326" s="226">
        <v>0</v>
      </c>
      <c r="N326" s="226">
        <v>0</v>
      </c>
      <c r="O326" s="232">
        <v>0</v>
      </c>
      <c r="P326" s="232">
        <v>0</v>
      </c>
      <c r="Q326" s="232"/>
      <c r="R326" s="394">
        <v>204853</v>
      </c>
      <c r="S326" s="232">
        <v>17042</v>
      </c>
      <c r="T326" s="398">
        <v>221895</v>
      </c>
      <c r="U326" s="232"/>
      <c r="V326" s="398"/>
      <c r="W326" s="398"/>
      <c r="X326" s="398">
        <v>1208590</v>
      </c>
      <c r="Y326" s="398">
        <v>86327</v>
      </c>
    </row>
    <row r="327" spans="1:25">
      <c r="A327" s="392">
        <v>93311</v>
      </c>
      <c r="B327" s="393" t="s">
        <v>1032</v>
      </c>
      <c r="C327" s="235">
        <v>1.3213000000000001E-3</v>
      </c>
      <c r="D327" s="235">
        <v>1.2413999999999999E-3</v>
      </c>
      <c r="E327" s="232">
        <v>4721568</v>
      </c>
      <c r="F327" s="232" t="s">
        <v>1930</v>
      </c>
      <c r="G327" s="394">
        <v>596251</v>
      </c>
      <c r="H327" s="394">
        <v>664434</v>
      </c>
      <c r="I327" s="394">
        <v>351377</v>
      </c>
      <c r="J327" s="232">
        <v>62657</v>
      </c>
      <c r="K327" s="232">
        <v>1674719</v>
      </c>
      <c r="L327" s="232"/>
      <c r="M327" s="226">
        <v>0</v>
      </c>
      <c r="N327" s="226">
        <v>0</v>
      </c>
      <c r="O327" s="232">
        <v>42915</v>
      </c>
      <c r="P327" s="232">
        <v>42915</v>
      </c>
      <c r="Q327" s="232"/>
      <c r="R327" s="394">
        <v>1623713</v>
      </c>
      <c r="S327" s="232">
        <v>-9384</v>
      </c>
      <c r="T327" s="398">
        <v>1614329</v>
      </c>
      <c r="U327" s="232"/>
      <c r="V327" s="398"/>
      <c r="W327" s="398"/>
      <c r="X327" s="398">
        <v>9579547</v>
      </c>
      <c r="Y327" s="398">
        <v>684246</v>
      </c>
    </row>
    <row r="328" spans="1:25">
      <c r="A328" s="392">
        <v>93317</v>
      </c>
      <c r="B328" s="393" t="s">
        <v>1033</v>
      </c>
      <c r="C328" s="235">
        <v>4.5300000000000003E-5</v>
      </c>
      <c r="D328" s="235">
        <v>4.1199999999999999E-5</v>
      </c>
      <c r="E328" s="232">
        <v>161876</v>
      </c>
      <c r="F328" s="232" t="s">
        <v>1930</v>
      </c>
      <c r="G328" s="394">
        <v>20442</v>
      </c>
      <c r="H328" s="394">
        <v>22779</v>
      </c>
      <c r="I328" s="394">
        <v>12047</v>
      </c>
      <c r="J328" s="232">
        <v>7274</v>
      </c>
      <c r="K328" s="232">
        <v>62542</v>
      </c>
      <c r="L328" s="232"/>
      <c r="M328" s="226">
        <v>0</v>
      </c>
      <c r="N328" s="226">
        <v>0</v>
      </c>
      <c r="O328" s="232">
        <v>4477</v>
      </c>
      <c r="P328" s="232">
        <v>4477</v>
      </c>
      <c r="Q328" s="232"/>
      <c r="R328" s="394">
        <v>55668</v>
      </c>
      <c r="S328" s="232">
        <v>878</v>
      </c>
      <c r="T328" s="398">
        <v>56546</v>
      </c>
      <c r="U328" s="232"/>
      <c r="V328" s="398"/>
      <c r="W328" s="398"/>
      <c r="X328" s="398">
        <v>328429</v>
      </c>
      <c r="Y328" s="398">
        <v>23459</v>
      </c>
    </row>
    <row r="329" spans="1:25">
      <c r="A329" s="392">
        <v>93321</v>
      </c>
      <c r="B329" s="393" t="s">
        <v>1034</v>
      </c>
      <c r="C329" s="235">
        <v>6.6553999999999997E-3</v>
      </c>
      <c r="D329" s="235">
        <v>6.7971999999999998E-3</v>
      </c>
      <c r="E329" s="232">
        <v>23782579</v>
      </c>
      <c r="F329" s="232" t="s">
        <v>1930</v>
      </c>
      <c r="G329" s="394">
        <v>3003322</v>
      </c>
      <c r="H329" s="394">
        <v>3346761</v>
      </c>
      <c r="I329" s="394">
        <v>1769890</v>
      </c>
      <c r="J329" s="232">
        <v>0</v>
      </c>
      <c r="K329" s="232">
        <v>8119973</v>
      </c>
      <c r="L329" s="232"/>
      <c r="M329" s="226">
        <v>0</v>
      </c>
      <c r="N329" s="226">
        <v>0</v>
      </c>
      <c r="O329" s="232">
        <v>561671</v>
      </c>
      <c r="P329" s="232">
        <v>561671</v>
      </c>
      <c r="Q329" s="232"/>
      <c r="R329" s="394">
        <v>8178655</v>
      </c>
      <c r="S329" s="232">
        <v>-314812</v>
      </c>
      <c r="T329" s="398">
        <v>7863843</v>
      </c>
      <c r="U329" s="232"/>
      <c r="V329" s="398"/>
      <c r="W329" s="398"/>
      <c r="X329" s="398">
        <v>48252262</v>
      </c>
      <c r="Y329" s="398">
        <v>3446552</v>
      </c>
    </row>
    <row r="330" spans="1:25">
      <c r="A330" s="392">
        <v>93323</v>
      </c>
      <c r="B330" s="393" t="s">
        <v>1035</v>
      </c>
      <c r="C330" s="235">
        <v>3.2199999999999997E-5</v>
      </c>
      <c r="D330" s="235">
        <v>2.0100000000000001E-5</v>
      </c>
      <c r="E330" s="232">
        <v>115064</v>
      </c>
      <c r="F330" s="232" t="s">
        <v>1930</v>
      </c>
      <c r="G330" s="394">
        <v>14531</v>
      </c>
      <c r="H330" s="394">
        <v>16193</v>
      </c>
      <c r="I330" s="394">
        <v>8563</v>
      </c>
      <c r="J330" s="232">
        <v>18586</v>
      </c>
      <c r="K330" s="232">
        <v>57873</v>
      </c>
      <c r="L330" s="232"/>
      <c r="M330" s="226">
        <v>0</v>
      </c>
      <c r="N330" s="226">
        <v>0</v>
      </c>
      <c r="O330" s="232">
        <v>1430</v>
      </c>
      <c r="P330" s="232">
        <v>1430</v>
      </c>
      <c r="Q330" s="232"/>
      <c r="R330" s="394">
        <v>39570</v>
      </c>
      <c r="S330" s="232">
        <v>6388</v>
      </c>
      <c r="T330" s="398">
        <v>45958</v>
      </c>
      <c r="U330" s="232"/>
      <c r="V330" s="398"/>
      <c r="W330" s="398"/>
      <c r="X330" s="398">
        <v>233453</v>
      </c>
      <c r="Y330" s="398">
        <v>16675</v>
      </c>
    </row>
    <row r="331" spans="1:25">
      <c r="A331" s="392">
        <v>93331</v>
      </c>
      <c r="B331" s="393" t="s">
        <v>1036</v>
      </c>
      <c r="C331" s="235">
        <v>1.3310000000000001E-4</v>
      </c>
      <c r="D331" s="235">
        <v>1.161E-4</v>
      </c>
      <c r="E331" s="232">
        <v>475623</v>
      </c>
      <c r="F331" s="232" t="s">
        <v>1930</v>
      </c>
      <c r="G331" s="394">
        <v>60063</v>
      </c>
      <c r="H331" s="394">
        <v>66931</v>
      </c>
      <c r="I331" s="394">
        <v>35396</v>
      </c>
      <c r="J331" s="232">
        <v>26416</v>
      </c>
      <c r="K331" s="232">
        <v>188806</v>
      </c>
      <c r="L331" s="232"/>
      <c r="M331" s="226">
        <v>0</v>
      </c>
      <c r="N331" s="226">
        <v>0</v>
      </c>
      <c r="O331" s="232">
        <v>6272</v>
      </c>
      <c r="P331" s="232">
        <v>6272</v>
      </c>
      <c r="Q331" s="232"/>
      <c r="R331" s="394">
        <v>163563</v>
      </c>
      <c r="S331" s="232">
        <v>6397</v>
      </c>
      <c r="T331" s="398">
        <v>169960</v>
      </c>
      <c r="U331" s="232"/>
      <c r="V331" s="398"/>
      <c r="W331" s="398"/>
      <c r="X331" s="398">
        <v>964987</v>
      </c>
      <c r="Y331" s="398">
        <v>68927</v>
      </c>
    </row>
    <row r="332" spans="1:25">
      <c r="A332" s="392">
        <v>93333</v>
      </c>
      <c r="B332" s="393" t="s">
        <v>1037</v>
      </c>
      <c r="C332" s="235">
        <v>1.7919999999999999E-4</v>
      </c>
      <c r="D332" s="235">
        <v>1.6660000000000001E-4</v>
      </c>
      <c r="E332" s="232">
        <v>640358</v>
      </c>
      <c r="F332" s="232" t="s">
        <v>1930</v>
      </c>
      <c r="G332" s="394">
        <v>80866</v>
      </c>
      <c r="H332" s="394">
        <v>90113</v>
      </c>
      <c r="I332" s="394">
        <v>47655</v>
      </c>
      <c r="J332" s="232">
        <v>93393</v>
      </c>
      <c r="K332" s="232">
        <v>312027</v>
      </c>
      <c r="L332" s="232"/>
      <c r="M332" s="226">
        <v>0</v>
      </c>
      <c r="N332" s="226">
        <v>0</v>
      </c>
      <c r="O332" s="232">
        <v>0</v>
      </c>
      <c r="P332" s="232">
        <v>0</v>
      </c>
      <c r="Q332" s="232"/>
      <c r="R332" s="394">
        <v>220214</v>
      </c>
      <c r="S332" s="232">
        <v>63246</v>
      </c>
      <c r="T332" s="398">
        <v>283460</v>
      </c>
      <c r="U332" s="232"/>
      <c r="V332" s="398"/>
      <c r="W332" s="398"/>
      <c r="X332" s="398">
        <v>1299216</v>
      </c>
      <c r="Y332" s="398">
        <v>92800</v>
      </c>
    </row>
    <row r="333" spans="1:25">
      <c r="A333" s="392">
        <v>93341</v>
      </c>
      <c r="B333" s="393" t="s">
        <v>1038</v>
      </c>
      <c r="C333" s="235">
        <v>2.6100000000000001E-5</v>
      </c>
      <c r="D333" s="235">
        <v>2.9300000000000001E-5</v>
      </c>
      <c r="E333" s="232">
        <v>93266</v>
      </c>
      <c r="F333" s="232" t="s">
        <v>1930</v>
      </c>
      <c r="G333" s="394">
        <v>11778</v>
      </c>
      <c r="H333" s="394">
        <v>13125</v>
      </c>
      <c r="I333" s="394">
        <v>6941</v>
      </c>
      <c r="J333" s="232">
        <v>3286</v>
      </c>
      <c r="K333" s="232">
        <v>35130</v>
      </c>
      <c r="L333" s="232"/>
      <c r="M333" s="226">
        <v>0</v>
      </c>
      <c r="N333" s="226">
        <v>0</v>
      </c>
      <c r="O333" s="232">
        <v>3323</v>
      </c>
      <c r="P333" s="232">
        <v>3323</v>
      </c>
      <c r="Q333" s="232"/>
      <c r="R333" s="394">
        <v>32074</v>
      </c>
      <c r="S333" s="232">
        <v>505</v>
      </c>
      <c r="T333" s="398">
        <v>32579</v>
      </c>
      <c r="U333" s="232"/>
      <c r="V333" s="398"/>
      <c r="W333" s="398"/>
      <c r="X333" s="398">
        <v>189227</v>
      </c>
      <c r="Y333" s="398">
        <v>13516</v>
      </c>
    </row>
    <row r="334" spans="1:25">
      <c r="A334" s="392">
        <v>93351</v>
      </c>
      <c r="B334" s="393" t="s">
        <v>1039</v>
      </c>
      <c r="C334" s="235">
        <v>3.1000000000000001E-5</v>
      </c>
      <c r="D334" s="235">
        <v>3.1600000000000002E-5</v>
      </c>
      <c r="E334" s="232">
        <v>110776</v>
      </c>
      <c r="F334" s="232" t="s">
        <v>1930</v>
      </c>
      <c r="G334" s="394">
        <v>13989</v>
      </c>
      <c r="H334" s="394">
        <v>15589</v>
      </c>
      <c r="I334" s="394">
        <v>8244</v>
      </c>
      <c r="J334" s="232">
        <v>7987</v>
      </c>
      <c r="K334" s="232">
        <v>45809</v>
      </c>
      <c r="L334" s="232"/>
      <c r="M334" s="226">
        <v>0</v>
      </c>
      <c r="N334" s="226">
        <v>0</v>
      </c>
      <c r="O334" s="232">
        <v>6978</v>
      </c>
      <c r="P334" s="232">
        <v>6978</v>
      </c>
      <c r="Q334" s="232"/>
      <c r="R334" s="394">
        <v>38095</v>
      </c>
      <c r="S334" s="232">
        <v>3423</v>
      </c>
      <c r="T334" s="398">
        <v>41518</v>
      </c>
      <c r="U334" s="232"/>
      <c r="V334" s="398"/>
      <c r="W334" s="398"/>
      <c r="X334" s="398">
        <v>224753</v>
      </c>
      <c r="Y334" s="398">
        <v>16054</v>
      </c>
    </row>
    <row r="335" spans="1:25">
      <c r="A335" s="392">
        <v>93401</v>
      </c>
      <c r="B335" s="393" t="s">
        <v>1040</v>
      </c>
      <c r="C335" s="235">
        <v>1.37587E-2</v>
      </c>
      <c r="D335" s="235">
        <v>1.3690799999999999E-2</v>
      </c>
      <c r="E335" s="232">
        <v>49165696</v>
      </c>
      <c r="F335" s="232" t="s">
        <v>1930</v>
      </c>
      <c r="G335" s="394">
        <v>6208765</v>
      </c>
      <c r="H335" s="394">
        <v>6918755</v>
      </c>
      <c r="I335" s="394">
        <v>3658892</v>
      </c>
      <c r="J335" s="232">
        <v>264129</v>
      </c>
      <c r="K335" s="232">
        <v>17050541</v>
      </c>
      <c r="L335" s="232"/>
      <c r="M335" s="226">
        <v>0</v>
      </c>
      <c r="N335" s="226">
        <v>0</v>
      </c>
      <c r="O335" s="232">
        <v>203390</v>
      </c>
      <c r="P335" s="232">
        <v>203390</v>
      </c>
      <c r="Q335" s="232"/>
      <c r="R335" s="394">
        <v>16907722</v>
      </c>
      <c r="S335" s="232">
        <v>5930</v>
      </c>
      <c r="T335" s="398">
        <v>16913652</v>
      </c>
      <c r="U335" s="232"/>
      <c r="V335" s="398"/>
      <c r="W335" s="398"/>
      <c r="X335" s="398">
        <v>99751841</v>
      </c>
      <c r="Y335" s="398">
        <v>7125053</v>
      </c>
    </row>
    <row r="336" spans="1:25">
      <c r="A336" s="392">
        <v>93402</v>
      </c>
      <c r="B336" s="393" t="s">
        <v>1041</v>
      </c>
      <c r="C336" s="235">
        <v>0</v>
      </c>
      <c r="D336" s="235">
        <v>0</v>
      </c>
      <c r="E336" s="232">
        <v>0</v>
      </c>
      <c r="F336" s="232" t="s">
        <v>1930</v>
      </c>
      <c r="G336" s="394">
        <v>0</v>
      </c>
      <c r="H336" s="394">
        <v>0</v>
      </c>
      <c r="I336" s="394">
        <v>0</v>
      </c>
      <c r="J336" s="232">
        <v>0</v>
      </c>
      <c r="K336" s="232">
        <v>0</v>
      </c>
      <c r="L336" s="232"/>
      <c r="M336" s="226">
        <v>0</v>
      </c>
      <c r="N336" s="226">
        <v>0</v>
      </c>
      <c r="O336" s="232">
        <v>52928</v>
      </c>
      <c r="P336" s="232">
        <v>52928</v>
      </c>
      <c r="Q336" s="232"/>
      <c r="R336" s="394">
        <v>0</v>
      </c>
      <c r="S336" s="232">
        <v>-19132</v>
      </c>
      <c r="T336" s="398">
        <v>-19132</v>
      </c>
      <c r="U336" s="232"/>
      <c r="V336" s="398"/>
      <c r="W336" s="398"/>
      <c r="X336" s="398">
        <v>0</v>
      </c>
      <c r="Y336" s="398">
        <v>0</v>
      </c>
    </row>
    <row r="337" spans="1:25">
      <c r="A337" s="392">
        <v>93406</v>
      </c>
      <c r="B337" s="393" t="s">
        <v>1042</v>
      </c>
      <c r="C337" s="235">
        <v>4.996E-4</v>
      </c>
      <c r="D337" s="235">
        <v>4.9350000000000002E-4</v>
      </c>
      <c r="E337" s="232">
        <v>1785284</v>
      </c>
      <c r="F337" s="232" t="s">
        <v>1930</v>
      </c>
      <c r="G337" s="394">
        <v>225450</v>
      </c>
      <c r="H337" s="394">
        <v>251231</v>
      </c>
      <c r="I337" s="394">
        <v>132860</v>
      </c>
      <c r="J337" s="232">
        <v>39822</v>
      </c>
      <c r="K337" s="232">
        <v>649363</v>
      </c>
      <c r="L337" s="232"/>
      <c r="M337" s="226">
        <v>0</v>
      </c>
      <c r="N337" s="226">
        <v>0</v>
      </c>
      <c r="O337" s="232">
        <v>58901</v>
      </c>
      <c r="P337" s="232">
        <v>58901</v>
      </c>
      <c r="Q337" s="232"/>
      <c r="R337" s="394">
        <v>613946</v>
      </c>
      <c r="S337" s="232">
        <v>-20702</v>
      </c>
      <c r="T337" s="398">
        <v>593244</v>
      </c>
      <c r="U337" s="232"/>
      <c r="V337" s="398"/>
      <c r="W337" s="398"/>
      <c r="X337" s="398">
        <v>3622146</v>
      </c>
      <c r="Y337" s="398">
        <v>258722</v>
      </c>
    </row>
    <row r="338" spans="1:25">
      <c r="A338" s="392">
        <v>93408</v>
      </c>
      <c r="B338" s="393" t="s">
        <v>1043</v>
      </c>
      <c r="C338" s="235">
        <v>0</v>
      </c>
      <c r="D338" s="235">
        <v>0</v>
      </c>
      <c r="E338" s="232">
        <v>0</v>
      </c>
      <c r="F338" s="232" t="s">
        <v>1930</v>
      </c>
      <c r="G338" s="394">
        <v>0</v>
      </c>
      <c r="H338" s="394">
        <v>0</v>
      </c>
      <c r="I338" s="394">
        <v>0</v>
      </c>
      <c r="J338" s="232">
        <v>0</v>
      </c>
      <c r="K338" s="232">
        <v>0</v>
      </c>
      <c r="L338" s="232"/>
      <c r="M338" s="226">
        <v>0</v>
      </c>
      <c r="N338" s="226">
        <v>0</v>
      </c>
      <c r="O338" s="232">
        <v>303143</v>
      </c>
      <c r="P338" s="232">
        <v>303143</v>
      </c>
      <c r="Q338" s="232"/>
      <c r="R338" s="394">
        <v>0</v>
      </c>
      <c r="S338" s="232">
        <v>-421153</v>
      </c>
      <c r="T338" s="398">
        <v>-421153</v>
      </c>
      <c r="U338" s="232"/>
      <c r="V338" s="398"/>
      <c r="W338" s="398"/>
      <c r="X338" s="398">
        <v>0</v>
      </c>
      <c r="Y338" s="398">
        <v>0</v>
      </c>
    </row>
    <row r="339" spans="1:25">
      <c r="A339" s="392">
        <v>93411</v>
      </c>
      <c r="B339" s="393" t="s">
        <v>1044</v>
      </c>
      <c r="C339" s="235">
        <v>1.78316E-2</v>
      </c>
      <c r="D339" s="235">
        <v>1.77345E-2</v>
      </c>
      <c r="E339" s="232">
        <v>63719903</v>
      </c>
      <c r="F339" s="232" t="s">
        <v>1930</v>
      </c>
      <c r="G339" s="394">
        <v>8046706</v>
      </c>
      <c r="H339" s="394">
        <v>8966869</v>
      </c>
      <c r="I339" s="394">
        <v>4742011</v>
      </c>
      <c r="J339" s="232">
        <v>632663</v>
      </c>
      <c r="K339" s="232">
        <v>22388249</v>
      </c>
      <c r="L339" s="232"/>
      <c r="M339" s="226">
        <v>0</v>
      </c>
      <c r="N339" s="226">
        <v>0</v>
      </c>
      <c r="O339" s="232">
        <v>196858</v>
      </c>
      <c r="P339" s="232">
        <v>196858</v>
      </c>
      <c r="Q339" s="232"/>
      <c r="R339" s="394">
        <v>21912807</v>
      </c>
      <c r="S339" s="232">
        <v>141173</v>
      </c>
      <c r="T339" s="398">
        <v>22053980</v>
      </c>
      <c r="U339" s="232"/>
      <c r="V339" s="398"/>
      <c r="W339" s="398"/>
      <c r="X339" s="398">
        <v>129280741</v>
      </c>
      <c r="Y339" s="398">
        <v>9234237</v>
      </c>
    </row>
    <row r="340" spans="1:25">
      <c r="A340" s="392">
        <v>93413</v>
      </c>
      <c r="B340" s="393" t="s">
        <v>1045</v>
      </c>
      <c r="C340" s="235">
        <v>6.7969999999999999E-4</v>
      </c>
      <c r="D340" s="235">
        <v>6.9559999999999999E-4</v>
      </c>
      <c r="E340" s="232">
        <v>2428858</v>
      </c>
      <c r="F340" s="232" t="s">
        <v>1930</v>
      </c>
      <c r="G340" s="394">
        <v>306722</v>
      </c>
      <c r="H340" s="394">
        <v>341796</v>
      </c>
      <c r="I340" s="394">
        <v>180755</v>
      </c>
      <c r="J340" s="232">
        <v>1186</v>
      </c>
      <c r="K340" s="232">
        <v>830459</v>
      </c>
      <c r="L340" s="232"/>
      <c r="M340" s="226">
        <v>0</v>
      </c>
      <c r="N340" s="226">
        <v>0</v>
      </c>
      <c r="O340" s="232">
        <v>16630</v>
      </c>
      <c r="P340" s="232">
        <v>16630</v>
      </c>
      <c r="Q340" s="232"/>
      <c r="R340" s="394">
        <v>835266</v>
      </c>
      <c r="S340" s="232">
        <v>-10991</v>
      </c>
      <c r="T340" s="398">
        <v>824275</v>
      </c>
      <c r="U340" s="232"/>
      <c r="V340" s="398"/>
      <c r="W340" s="398"/>
      <c r="X340" s="398">
        <v>4927888</v>
      </c>
      <c r="Y340" s="398">
        <v>351988</v>
      </c>
    </row>
    <row r="341" spans="1:25">
      <c r="A341" s="392">
        <v>93417</v>
      </c>
      <c r="B341" s="393" t="s">
        <v>1046</v>
      </c>
      <c r="C341" s="235">
        <v>2.876E-4</v>
      </c>
      <c r="D341" s="235">
        <v>2.8659999999999997E-4</v>
      </c>
      <c r="E341" s="232">
        <v>1027717</v>
      </c>
      <c r="F341" s="232" t="s">
        <v>1930</v>
      </c>
      <c r="G341" s="394">
        <v>129783</v>
      </c>
      <c r="H341" s="394">
        <v>144624</v>
      </c>
      <c r="I341" s="394">
        <v>76482</v>
      </c>
      <c r="J341" s="232">
        <v>44190</v>
      </c>
      <c r="K341" s="232">
        <v>395079</v>
      </c>
      <c r="L341" s="232"/>
      <c r="M341" s="226">
        <v>0</v>
      </c>
      <c r="N341" s="226">
        <v>0</v>
      </c>
      <c r="O341" s="232">
        <v>10564</v>
      </c>
      <c r="P341" s="232">
        <v>10564</v>
      </c>
      <c r="Q341" s="232"/>
      <c r="R341" s="394">
        <v>353424</v>
      </c>
      <c r="S341" s="232">
        <v>6916</v>
      </c>
      <c r="T341" s="398">
        <v>360340</v>
      </c>
      <c r="U341" s="232"/>
      <c r="V341" s="398"/>
      <c r="W341" s="398"/>
      <c r="X341" s="398">
        <v>2085126</v>
      </c>
      <c r="Y341" s="398">
        <v>148936</v>
      </c>
    </row>
    <row r="342" spans="1:25">
      <c r="A342" s="392">
        <v>93421</v>
      </c>
      <c r="B342" s="393" t="s">
        <v>1047</v>
      </c>
      <c r="C342" s="235">
        <v>2.0282999999999998E-3</v>
      </c>
      <c r="D342" s="235">
        <v>2.0569E-3</v>
      </c>
      <c r="E342" s="232">
        <v>7247980</v>
      </c>
      <c r="F342" s="232" t="s">
        <v>1930</v>
      </c>
      <c r="G342" s="394">
        <v>915293</v>
      </c>
      <c r="H342" s="394">
        <v>1019959</v>
      </c>
      <c r="I342" s="394">
        <v>539392</v>
      </c>
      <c r="J342" s="232">
        <v>0</v>
      </c>
      <c r="K342" s="232">
        <v>2474644</v>
      </c>
      <c r="L342" s="232"/>
      <c r="M342" s="226">
        <v>0</v>
      </c>
      <c r="N342" s="226">
        <v>0</v>
      </c>
      <c r="O342" s="232">
        <v>241204</v>
      </c>
      <c r="P342" s="232">
        <v>241204</v>
      </c>
      <c r="Q342" s="232"/>
      <c r="R342" s="394">
        <v>2492527</v>
      </c>
      <c r="S342" s="232">
        <v>-127919</v>
      </c>
      <c r="T342" s="398">
        <v>2364608</v>
      </c>
      <c r="U342" s="232"/>
      <c r="V342" s="398"/>
      <c r="W342" s="398"/>
      <c r="X342" s="398">
        <v>14705362</v>
      </c>
      <c r="Y342" s="398">
        <v>1050371</v>
      </c>
    </row>
    <row r="343" spans="1:25">
      <c r="A343" s="392">
        <v>93431</v>
      </c>
      <c r="B343" s="393" t="s">
        <v>1048</v>
      </c>
      <c r="C343" s="235">
        <v>1.349E-4</v>
      </c>
      <c r="D343" s="235">
        <v>1.381E-4</v>
      </c>
      <c r="E343" s="232">
        <v>482055</v>
      </c>
      <c r="F343" s="232" t="s">
        <v>1930</v>
      </c>
      <c r="G343" s="394">
        <v>60875</v>
      </c>
      <c r="H343" s="394">
        <v>67836</v>
      </c>
      <c r="I343" s="394">
        <v>35874</v>
      </c>
      <c r="J343" s="232">
        <v>7353</v>
      </c>
      <c r="K343" s="232">
        <v>171938</v>
      </c>
      <c r="L343" s="232"/>
      <c r="M343" s="226">
        <v>0</v>
      </c>
      <c r="N343" s="226">
        <v>0</v>
      </c>
      <c r="O343" s="232">
        <v>4110</v>
      </c>
      <c r="P343" s="232">
        <v>4110</v>
      </c>
      <c r="Q343" s="232"/>
      <c r="R343" s="394">
        <v>165775</v>
      </c>
      <c r="S343" s="232">
        <v>2407</v>
      </c>
      <c r="T343" s="398">
        <v>168182</v>
      </c>
      <c r="U343" s="232"/>
      <c r="V343" s="398"/>
      <c r="W343" s="398"/>
      <c r="X343" s="398">
        <v>978037</v>
      </c>
      <c r="Y343" s="398">
        <v>69859</v>
      </c>
    </row>
    <row r="344" spans="1:25">
      <c r="A344" s="392">
        <v>93441</v>
      </c>
      <c r="B344" s="393" t="s">
        <v>1049</v>
      </c>
      <c r="C344" s="235">
        <v>1.6789999999999999E-4</v>
      </c>
      <c r="D344" s="235">
        <v>1.6559999999999999E-4</v>
      </c>
      <c r="E344" s="232">
        <v>599978</v>
      </c>
      <c r="F344" s="232" t="s">
        <v>1930</v>
      </c>
      <c r="G344" s="394">
        <v>75767</v>
      </c>
      <c r="H344" s="394">
        <v>84430</v>
      </c>
      <c r="I344" s="394">
        <v>44650</v>
      </c>
      <c r="J344" s="232">
        <v>5647</v>
      </c>
      <c r="K344" s="232">
        <v>210494</v>
      </c>
      <c r="L344" s="232"/>
      <c r="M344" s="226">
        <v>0</v>
      </c>
      <c r="N344" s="226">
        <v>0</v>
      </c>
      <c r="O344" s="232">
        <v>3064</v>
      </c>
      <c r="P344" s="232">
        <v>3064</v>
      </c>
      <c r="Q344" s="232"/>
      <c r="R344" s="394">
        <v>206328</v>
      </c>
      <c r="S344" s="232">
        <v>6676</v>
      </c>
      <c r="T344" s="398">
        <v>213004</v>
      </c>
      <c r="U344" s="232"/>
      <c r="V344" s="398"/>
      <c r="W344" s="398"/>
      <c r="X344" s="398">
        <v>1217290</v>
      </c>
      <c r="Y344" s="398">
        <v>86948</v>
      </c>
    </row>
    <row r="345" spans="1:25">
      <c r="A345" s="392">
        <v>93442</v>
      </c>
      <c r="B345" s="393" t="s">
        <v>1050</v>
      </c>
      <c r="C345" s="235">
        <v>1.507E-4</v>
      </c>
      <c r="D345" s="235">
        <v>1.561E-4</v>
      </c>
      <c r="E345" s="232">
        <v>538515</v>
      </c>
      <c r="F345" s="232" t="s">
        <v>1930</v>
      </c>
      <c r="G345" s="394">
        <v>68005</v>
      </c>
      <c r="H345" s="394">
        <v>75781</v>
      </c>
      <c r="I345" s="394">
        <v>40076</v>
      </c>
      <c r="J345" s="232">
        <v>214</v>
      </c>
      <c r="K345" s="232">
        <v>184076</v>
      </c>
      <c r="L345" s="232"/>
      <c r="M345" s="226">
        <v>0</v>
      </c>
      <c r="N345" s="226">
        <v>0</v>
      </c>
      <c r="O345" s="232">
        <v>25381</v>
      </c>
      <c r="P345" s="232">
        <v>25381</v>
      </c>
      <c r="Q345" s="232"/>
      <c r="R345" s="394">
        <v>185191</v>
      </c>
      <c r="S345" s="232">
        <v>-14334</v>
      </c>
      <c r="T345" s="398">
        <v>170857</v>
      </c>
      <c r="U345" s="232"/>
      <c r="V345" s="398"/>
      <c r="W345" s="398"/>
      <c r="X345" s="398">
        <v>1092589</v>
      </c>
      <c r="Y345" s="398">
        <v>78041</v>
      </c>
    </row>
    <row r="346" spans="1:25">
      <c r="A346" s="392">
        <v>93451</v>
      </c>
      <c r="B346" s="393" t="s">
        <v>1051</v>
      </c>
      <c r="C346" s="235">
        <v>6.6299999999999999E-5</v>
      </c>
      <c r="D346" s="235">
        <v>6.6600000000000006E-5</v>
      </c>
      <c r="E346" s="232">
        <v>236918</v>
      </c>
      <c r="F346" s="232" t="s">
        <v>1930</v>
      </c>
      <c r="G346" s="394">
        <v>29919</v>
      </c>
      <c r="H346" s="394">
        <v>33339</v>
      </c>
      <c r="I346" s="394">
        <v>17631</v>
      </c>
      <c r="J346" s="232">
        <v>16959</v>
      </c>
      <c r="K346" s="232">
        <v>97848</v>
      </c>
      <c r="L346" s="232"/>
      <c r="M346" s="226">
        <v>0</v>
      </c>
      <c r="N346" s="226">
        <v>0</v>
      </c>
      <c r="O346" s="232">
        <v>744</v>
      </c>
      <c r="P346" s="232">
        <v>744</v>
      </c>
      <c r="Q346" s="232"/>
      <c r="R346" s="394">
        <v>81474</v>
      </c>
      <c r="S346" s="232">
        <v>8785</v>
      </c>
      <c r="T346" s="398">
        <v>90259</v>
      </c>
      <c r="U346" s="232"/>
      <c r="V346" s="398"/>
      <c r="W346" s="398"/>
      <c r="X346" s="398">
        <v>480681</v>
      </c>
      <c r="Y346" s="398">
        <v>34334</v>
      </c>
    </row>
    <row r="347" spans="1:25">
      <c r="A347" s="392">
        <v>93461</v>
      </c>
      <c r="B347" s="393" t="s">
        <v>1052</v>
      </c>
      <c r="C347" s="235">
        <v>1.49E-5</v>
      </c>
      <c r="D347" s="235">
        <v>1.5500000000000001E-5</v>
      </c>
      <c r="E347" s="232">
        <v>53244</v>
      </c>
      <c r="F347" s="232" t="s">
        <v>1930</v>
      </c>
      <c r="G347" s="394">
        <v>6724</v>
      </c>
      <c r="H347" s="394">
        <v>7493</v>
      </c>
      <c r="I347" s="394">
        <v>3962</v>
      </c>
      <c r="J347" s="232">
        <v>218</v>
      </c>
      <c r="K347" s="232">
        <v>18397</v>
      </c>
      <c r="L347" s="232"/>
      <c r="M347" s="226">
        <v>0</v>
      </c>
      <c r="N347" s="226">
        <v>0</v>
      </c>
      <c r="O347" s="232">
        <v>782</v>
      </c>
      <c r="P347" s="232">
        <v>782</v>
      </c>
      <c r="Q347" s="232"/>
      <c r="R347" s="394">
        <v>18310</v>
      </c>
      <c r="S347" s="232">
        <v>-66</v>
      </c>
      <c r="T347" s="398">
        <v>18244</v>
      </c>
      <c r="U347" s="232"/>
      <c r="V347" s="398"/>
      <c r="W347" s="398"/>
      <c r="X347" s="398">
        <v>108026</v>
      </c>
      <c r="Y347" s="398">
        <v>7716</v>
      </c>
    </row>
    <row r="348" spans="1:25">
      <c r="A348" s="392">
        <v>93471</v>
      </c>
      <c r="B348" s="393" t="s">
        <v>1053</v>
      </c>
      <c r="C348" s="235">
        <v>1.24E-5</v>
      </c>
      <c r="D348" s="235">
        <v>1.1399999999999999E-5</v>
      </c>
      <c r="E348" s="232">
        <v>44310</v>
      </c>
      <c r="F348" s="232" t="s">
        <v>1930</v>
      </c>
      <c r="G348" s="394">
        <v>5596</v>
      </c>
      <c r="H348" s="394">
        <v>6235</v>
      </c>
      <c r="I348" s="394">
        <v>3298</v>
      </c>
      <c r="J348" s="232">
        <v>8346</v>
      </c>
      <c r="K348" s="232">
        <v>23475</v>
      </c>
      <c r="L348" s="232"/>
      <c r="M348" s="226">
        <v>0</v>
      </c>
      <c r="N348" s="226">
        <v>0</v>
      </c>
      <c r="O348" s="232">
        <v>0</v>
      </c>
      <c r="P348" s="232">
        <v>0</v>
      </c>
      <c r="Q348" s="232"/>
      <c r="R348" s="394">
        <v>15238</v>
      </c>
      <c r="S348" s="232">
        <v>3707</v>
      </c>
      <c r="T348" s="398">
        <v>18945</v>
      </c>
      <c r="U348" s="232"/>
      <c r="V348" s="398"/>
      <c r="W348" s="398"/>
      <c r="X348" s="398">
        <v>89901</v>
      </c>
      <c r="Y348" s="398">
        <v>6421</v>
      </c>
    </row>
    <row r="349" spans="1:25">
      <c r="A349" s="392">
        <v>93501</v>
      </c>
      <c r="B349" s="393" t="s">
        <v>1054</v>
      </c>
      <c r="C349" s="235">
        <v>3.7423999999999999E-3</v>
      </c>
      <c r="D349" s="235">
        <v>3.8463999999999998E-3</v>
      </c>
      <c r="E349" s="232">
        <v>13373189</v>
      </c>
      <c r="F349" s="232" t="s">
        <v>1930</v>
      </c>
      <c r="G349" s="394">
        <v>1688799</v>
      </c>
      <c r="H349" s="394">
        <v>1881919</v>
      </c>
      <c r="I349" s="394">
        <v>995228</v>
      </c>
      <c r="J349" s="232">
        <v>125076</v>
      </c>
      <c r="K349" s="232">
        <v>4691022</v>
      </c>
      <c r="L349" s="232"/>
      <c r="M349" s="226">
        <v>0</v>
      </c>
      <c r="N349" s="226">
        <v>0</v>
      </c>
      <c r="O349" s="232">
        <v>156931</v>
      </c>
      <c r="P349" s="232">
        <v>156931</v>
      </c>
      <c r="Q349" s="232"/>
      <c r="R349" s="394">
        <v>4598942</v>
      </c>
      <c r="S349" s="232">
        <v>-25</v>
      </c>
      <c r="T349" s="398">
        <v>4598917</v>
      </c>
      <c r="U349" s="232"/>
      <c r="V349" s="398"/>
      <c r="W349" s="398"/>
      <c r="X349" s="398">
        <v>27132744</v>
      </c>
      <c r="Y349" s="398">
        <v>1938032</v>
      </c>
    </row>
    <row r="350" spans="1:25">
      <c r="A350" s="392">
        <v>93511</v>
      </c>
      <c r="B350" s="393" t="s">
        <v>1055</v>
      </c>
      <c r="C350" s="235">
        <v>8.6100000000000006E-5</v>
      </c>
      <c r="D350" s="235">
        <v>8.7899999999999995E-5</v>
      </c>
      <c r="E350" s="232">
        <v>307672</v>
      </c>
      <c r="F350" s="232" t="s">
        <v>1930</v>
      </c>
      <c r="G350" s="394">
        <v>38854</v>
      </c>
      <c r="H350" s="394">
        <v>43297</v>
      </c>
      <c r="I350" s="394">
        <v>22897</v>
      </c>
      <c r="J350" s="232">
        <v>7200</v>
      </c>
      <c r="K350" s="232">
        <v>112248</v>
      </c>
      <c r="L350" s="232"/>
      <c r="M350" s="226">
        <v>0</v>
      </c>
      <c r="N350" s="226">
        <v>0</v>
      </c>
      <c r="O350" s="232">
        <v>2713</v>
      </c>
      <c r="P350" s="232">
        <v>2713</v>
      </c>
      <c r="Q350" s="232"/>
      <c r="R350" s="394">
        <v>105806</v>
      </c>
      <c r="S350" s="232">
        <v>-464</v>
      </c>
      <c r="T350" s="398">
        <v>105342</v>
      </c>
      <c r="U350" s="232"/>
      <c r="V350" s="398"/>
      <c r="W350" s="398"/>
      <c r="X350" s="398">
        <v>624233</v>
      </c>
      <c r="Y350" s="398">
        <v>44588</v>
      </c>
    </row>
    <row r="351" spans="1:25">
      <c r="A351" s="392">
        <v>93517</v>
      </c>
      <c r="B351" s="393" t="s">
        <v>1056</v>
      </c>
      <c r="C351" s="235">
        <v>3.7000000000000002E-6</v>
      </c>
      <c r="D351" s="235">
        <v>4.3000000000000003E-6</v>
      </c>
      <c r="E351" s="232">
        <v>13222</v>
      </c>
      <c r="F351" s="232" t="s">
        <v>1930</v>
      </c>
      <c r="G351" s="394">
        <v>1670</v>
      </c>
      <c r="H351" s="394">
        <v>1860</v>
      </c>
      <c r="I351" s="394">
        <v>984</v>
      </c>
      <c r="J351" s="232">
        <v>3602</v>
      </c>
      <c r="K351" s="232">
        <v>8116</v>
      </c>
      <c r="L351" s="232"/>
      <c r="M351" s="226">
        <v>0</v>
      </c>
      <c r="N351" s="226">
        <v>0</v>
      </c>
      <c r="O351" s="232">
        <v>0</v>
      </c>
      <c r="P351" s="232">
        <v>0</v>
      </c>
      <c r="Q351" s="232"/>
      <c r="R351" s="394">
        <v>4547</v>
      </c>
      <c r="S351" s="232">
        <v>1672</v>
      </c>
      <c r="T351" s="398">
        <v>6219</v>
      </c>
      <c r="U351" s="232"/>
      <c r="V351" s="398"/>
      <c r="W351" s="398"/>
      <c r="X351" s="398">
        <v>26825</v>
      </c>
      <c r="Y351" s="398">
        <v>1916</v>
      </c>
    </row>
    <row r="352" spans="1:25">
      <c r="A352" s="392">
        <v>93521</v>
      </c>
      <c r="B352" s="393" t="s">
        <v>1057</v>
      </c>
      <c r="C352" s="235">
        <v>4.7459999999999999E-4</v>
      </c>
      <c r="D352" s="235">
        <v>4.7340000000000001E-4</v>
      </c>
      <c r="E352" s="232">
        <v>1695948</v>
      </c>
      <c r="F352" s="232" t="s">
        <v>1930</v>
      </c>
      <c r="G352" s="394">
        <v>214168</v>
      </c>
      <c r="H352" s="394">
        <v>238659</v>
      </c>
      <c r="I352" s="394">
        <v>126212</v>
      </c>
      <c r="J352" s="232">
        <v>10066</v>
      </c>
      <c r="K352" s="232">
        <v>589105</v>
      </c>
      <c r="L352" s="232"/>
      <c r="M352" s="226">
        <v>0</v>
      </c>
      <c r="N352" s="226">
        <v>0</v>
      </c>
      <c r="O352" s="232">
        <v>29834</v>
      </c>
      <c r="P352" s="232">
        <v>29834</v>
      </c>
      <c r="Q352" s="232"/>
      <c r="R352" s="394">
        <v>583224</v>
      </c>
      <c r="S352" s="232">
        <v>-15750</v>
      </c>
      <c r="T352" s="398">
        <v>567474</v>
      </c>
      <c r="U352" s="232"/>
      <c r="V352" s="398"/>
      <c r="W352" s="398"/>
      <c r="X352" s="398">
        <v>3440894</v>
      </c>
      <c r="Y352" s="398">
        <v>245775</v>
      </c>
    </row>
    <row r="353" spans="1:25">
      <c r="A353" s="392">
        <v>93527</v>
      </c>
      <c r="B353" s="393" t="s">
        <v>1058</v>
      </c>
      <c r="C353" s="235">
        <v>8.8999999999999995E-6</v>
      </c>
      <c r="D353" s="235">
        <v>9.5999999999999996E-6</v>
      </c>
      <c r="E353" s="232">
        <v>31803</v>
      </c>
      <c r="F353" s="232" t="s">
        <v>1930</v>
      </c>
      <c r="G353" s="394">
        <v>4016</v>
      </c>
      <c r="H353" s="394">
        <v>4475</v>
      </c>
      <c r="I353" s="394">
        <v>2367</v>
      </c>
      <c r="J353" s="232">
        <v>8724</v>
      </c>
      <c r="K353" s="232">
        <v>19582</v>
      </c>
      <c r="L353" s="232"/>
      <c r="M353" s="226">
        <v>0</v>
      </c>
      <c r="N353" s="226">
        <v>0</v>
      </c>
      <c r="O353" s="232">
        <v>0</v>
      </c>
      <c r="P353" s="232">
        <v>0</v>
      </c>
      <c r="Q353" s="232"/>
      <c r="R353" s="394">
        <v>10937</v>
      </c>
      <c r="S353" s="232">
        <v>5631</v>
      </c>
      <c r="T353" s="398">
        <v>16568</v>
      </c>
      <c r="U353" s="232"/>
      <c r="V353" s="398"/>
      <c r="W353" s="398"/>
      <c r="X353" s="398">
        <v>64526</v>
      </c>
      <c r="Y353" s="398">
        <v>4609</v>
      </c>
    </row>
    <row r="354" spans="1:25">
      <c r="A354" s="392">
        <v>93531</v>
      </c>
      <c r="B354" s="393" t="s">
        <v>1059</v>
      </c>
      <c r="C354" s="235">
        <v>2.4899999999999999E-5</v>
      </c>
      <c r="D354" s="235">
        <v>2.23E-5</v>
      </c>
      <c r="E354" s="232">
        <v>88978</v>
      </c>
      <c r="F354" s="232" t="s">
        <v>1930</v>
      </c>
      <c r="G354" s="394">
        <v>11236</v>
      </c>
      <c r="H354" s="394">
        <v>12521</v>
      </c>
      <c r="I354" s="394">
        <v>6622</v>
      </c>
      <c r="J354" s="232">
        <v>8784</v>
      </c>
      <c r="K354" s="232">
        <v>39163</v>
      </c>
      <c r="L354" s="232"/>
      <c r="M354" s="226">
        <v>0</v>
      </c>
      <c r="N354" s="226">
        <v>0</v>
      </c>
      <c r="O354" s="232">
        <v>4997</v>
      </c>
      <c r="P354" s="232">
        <v>4997</v>
      </c>
      <c r="Q354" s="232"/>
      <c r="R354" s="394">
        <v>30599</v>
      </c>
      <c r="S354" s="232">
        <v>1827</v>
      </c>
      <c r="T354" s="398">
        <v>32426</v>
      </c>
      <c r="U354" s="232"/>
      <c r="V354" s="398"/>
      <c r="W354" s="398"/>
      <c r="X354" s="398">
        <v>180527</v>
      </c>
      <c r="Y354" s="398">
        <v>12895</v>
      </c>
    </row>
    <row r="355" spans="1:25">
      <c r="A355" s="392">
        <v>93537</v>
      </c>
      <c r="B355" s="393" t="s">
        <v>1060</v>
      </c>
      <c r="C355" s="235">
        <v>1.04E-5</v>
      </c>
      <c r="D355" s="235">
        <v>1.08E-5</v>
      </c>
      <c r="E355" s="232">
        <v>37164</v>
      </c>
      <c r="F355" s="232" t="s">
        <v>1930</v>
      </c>
      <c r="G355" s="394">
        <v>4693</v>
      </c>
      <c r="H355" s="394">
        <v>5230</v>
      </c>
      <c r="I355" s="394">
        <v>2766</v>
      </c>
      <c r="J355" s="232">
        <v>0</v>
      </c>
      <c r="K355" s="232">
        <v>12689</v>
      </c>
      <c r="L355" s="232"/>
      <c r="M355" s="226">
        <v>0</v>
      </c>
      <c r="N355" s="226">
        <v>0</v>
      </c>
      <c r="O355" s="232">
        <v>3352</v>
      </c>
      <c r="P355" s="232">
        <v>3352</v>
      </c>
      <c r="Q355" s="232"/>
      <c r="R355" s="394">
        <v>12780</v>
      </c>
      <c r="S355" s="232">
        <v>-1580</v>
      </c>
      <c r="T355" s="398">
        <v>11200</v>
      </c>
      <c r="U355" s="232"/>
      <c r="V355" s="398"/>
      <c r="W355" s="398"/>
      <c r="X355" s="398">
        <v>75401</v>
      </c>
      <c r="Y355" s="398">
        <v>5386</v>
      </c>
    </row>
    <row r="356" spans="1:25">
      <c r="A356" s="392">
        <v>93541</v>
      </c>
      <c r="B356" s="393" t="s">
        <v>1061</v>
      </c>
      <c r="C356" s="235">
        <v>1.6339999999999999E-4</v>
      </c>
      <c r="D356" s="235">
        <v>9.9699999999999998E-5</v>
      </c>
      <c r="E356" s="232">
        <v>583898</v>
      </c>
      <c r="F356" s="232" t="s">
        <v>1930</v>
      </c>
      <c r="G356" s="394">
        <v>73736</v>
      </c>
      <c r="H356" s="394">
        <v>82168</v>
      </c>
      <c r="I356" s="394">
        <v>43453</v>
      </c>
      <c r="J356" s="232">
        <v>80047</v>
      </c>
      <c r="K356" s="232">
        <v>279404</v>
      </c>
      <c r="L356" s="232"/>
      <c r="M356" s="226">
        <v>0</v>
      </c>
      <c r="N356" s="226">
        <v>0</v>
      </c>
      <c r="O356" s="232">
        <v>2370</v>
      </c>
      <c r="P356" s="232">
        <v>2370</v>
      </c>
      <c r="Q356" s="232"/>
      <c r="R356" s="394">
        <v>200798</v>
      </c>
      <c r="S356" s="232">
        <v>25465</v>
      </c>
      <c r="T356" s="398">
        <v>226263</v>
      </c>
      <c r="U356" s="232"/>
      <c r="V356" s="398"/>
      <c r="W356" s="398"/>
      <c r="X356" s="398">
        <v>1184665</v>
      </c>
      <c r="Y356" s="398">
        <v>84618</v>
      </c>
    </row>
    <row r="357" spans="1:25">
      <c r="A357" s="392">
        <v>93601</v>
      </c>
      <c r="B357" s="393" t="s">
        <v>1062</v>
      </c>
      <c r="C357" s="235">
        <v>1.0955299999999999E-2</v>
      </c>
      <c r="D357" s="235">
        <v>1.1220300000000001E-2</v>
      </c>
      <c r="E357" s="232">
        <v>39147954</v>
      </c>
      <c r="F357" s="232" t="s">
        <v>1930</v>
      </c>
      <c r="G357" s="394">
        <v>4943700</v>
      </c>
      <c r="H357" s="394">
        <v>5509026</v>
      </c>
      <c r="I357" s="394">
        <v>2913376</v>
      </c>
      <c r="J357" s="232">
        <v>277884</v>
      </c>
      <c r="K357" s="232">
        <v>13643986</v>
      </c>
      <c r="L357" s="232"/>
      <c r="M357" s="226">
        <v>0</v>
      </c>
      <c r="N357" s="226">
        <v>0</v>
      </c>
      <c r="O357" s="232">
        <v>217790</v>
      </c>
      <c r="P357" s="232">
        <v>217790</v>
      </c>
      <c r="Q357" s="232"/>
      <c r="R357" s="394">
        <v>13462694</v>
      </c>
      <c r="S357" s="232">
        <v>40850</v>
      </c>
      <c r="T357" s="398">
        <v>13503544</v>
      </c>
      <c r="U357" s="232"/>
      <c r="V357" s="398"/>
      <c r="W357" s="398"/>
      <c r="X357" s="398">
        <v>79426933</v>
      </c>
      <c r="Y357" s="398">
        <v>5673290</v>
      </c>
    </row>
    <row r="358" spans="1:25">
      <c r="A358" s="392">
        <v>93602</v>
      </c>
      <c r="B358" s="393" t="s">
        <v>1063</v>
      </c>
      <c r="C358" s="235">
        <v>1.5779999999999999E-4</v>
      </c>
      <c r="D358" s="235">
        <v>1.918E-4</v>
      </c>
      <c r="E358" s="232">
        <v>563887</v>
      </c>
      <c r="F358" s="232" t="s">
        <v>1930</v>
      </c>
      <c r="G358" s="394">
        <v>71209</v>
      </c>
      <c r="H358" s="394">
        <v>79352</v>
      </c>
      <c r="I358" s="394">
        <v>41964</v>
      </c>
      <c r="J358" s="232">
        <v>14285</v>
      </c>
      <c r="K358" s="232">
        <v>206810</v>
      </c>
      <c r="L358" s="232"/>
      <c r="M358" s="226">
        <v>0</v>
      </c>
      <c r="N358" s="226">
        <v>0</v>
      </c>
      <c r="O358" s="232">
        <v>25124</v>
      </c>
      <c r="P358" s="232">
        <v>25124</v>
      </c>
      <c r="Q358" s="232"/>
      <c r="R358" s="394">
        <v>193916</v>
      </c>
      <c r="S358" s="232">
        <v>-5230</v>
      </c>
      <c r="T358" s="398">
        <v>188686</v>
      </c>
      <c r="U358" s="232"/>
      <c r="V358" s="398"/>
      <c r="W358" s="398"/>
      <c r="X358" s="398">
        <v>1144065</v>
      </c>
      <c r="Y358" s="398">
        <v>81718</v>
      </c>
    </row>
    <row r="359" spans="1:25">
      <c r="A359" s="392">
        <v>93604</v>
      </c>
      <c r="B359" t="s">
        <v>1932</v>
      </c>
      <c r="C359" s="235">
        <v>1.31E-5</v>
      </c>
      <c r="D359" s="235">
        <v>2.6400000000000001E-5</v>
      </c>
      <c r="E359" s="232">
        <v>46812</v>
      </c>
      <c r="F359" s="232" t="s">
        <v>1930</v>
      </c>
      <c r="G359" s="394">
        <v>5912</v>
      </c>
      <c r="H359" s="394">
        <v>6588</v>
      </c>
      <c r="I359" s="394">
        <v>3484</v>
      </c>
      <c r="J359" s="232">
        <v>15257</v>
      </c>
      <c r="K359" s="232">
        <v>31241</v>
      </c>
      <c r="L359" s="232"/>
      <c r="M359" s="226">
        <v>0</v>
      </c>
      <c r="N359" s="226">
        <v>0</v>
      </c>
      <c r="O359" s="232">
        <v>13649</v>
      </c>
      <c r="P359" s="232">
        <v>13649</v>
      </c>
      <c r="Q359" s="232"/>
      <c r="R359" s="394">
        <v>16098</v>
      </c>
      <c r="S359" s="232">
        <v>2168</v>
      </c>
      <c r="T359" s="398">
        <v>18266</v>
      </c>
      <c r="U359" s="232"/>
      <c r="V359" s="398"/>
      <c r="W359" s="398"/>
      <c r="X359" s="398">
        <v>94976</v>
      </c>
      <c r="Y359" s="398">
        <v>6784</v>
      </c>
    </row>
    <row r="360" spans="1:25">
      <c r="A360" s="392">
        <v>93609</v>
      </c>
      <c r="B360" s="393" t="s">
        <v>1064</v>
      </c>
      <c r="C360" s="235">
        <v>3.6703E-3</v>
      </c>
      <c r="D360" s="235">
        <v>3.7919E-3</v>
      </c>
      <c r="E360" s="232">
        <v>13115545</v>
      </c>
      <c r="F360" s="232" t="s">
        <v>1930</v>
      </c>
      <c r="G360" s="394">
        <v>1656263</v>
      </c>
      <c r="H360" s="394">
        <v>1845662</v>
      </c>
      <c r="I360" s="394">
        <v>976054</v>
      </c>
      <c r="J360" s="232">
        <v>140239</v>
      </c>
      <c r="K360" s="232">
        <v>4618218</v>
      </c>
      <c r="L360" s="232"/>
      <c r="M360" s="226">
        <v>0</v>
      </c>
      <c r="N360" s="226">
        <v>0</v>
      </c>
      <c r="O360" s="232">
        <v>250116</v>
      </c>
      <c r="P360" s="232">
        <v>250116</v>
      </c>
      <c r="Q360" s="232"/>
      <c r="R360" s="394">
        <v>4510340</v>
      </c>
      <c r="S360" s="232">
        <v>80218</v>
      </c>
      <c r="T360" s="398">
        <v>4590558</v>
      </c>
      <c r="U360" s="232"/>
      <c r="V360" s="398"/>
      <c r="W360" s="398"/>
      <c r="X360" s="398">
        <v>26610013</v>
      </c>
      <c r="Y360" s="398">
        <v>1900694</v>
      </c>
    </row>
    <row r="361" spans="1:25">
      <c r="A361" s="392">
        <v>93610</v>
      </c>
      <c r="B361" s="393" t="s">
        <v>1065</v>
      </c>
      <c r="C361" s="235">
        <v>1.63E-5</v>
      </c>
      <c r="D361" s="235">
        <v>1.63E-5</v>
      </c>
      <c r="E361" s="232">
        <v>58247</v>
      </c>
      <c r="F361" s="232" t="s">
        <v>1930</v>
      </c>
      <c r="G361" s="394">
        <v>7356</v>
      </c>
      <c r="H361" s="394">
        <v>8196</v>
      </c>
      <c r="I361" s="394">
        <v>4335</v>
      </c>
      <c r="J361" s="232">
        <v>1423</v>
      </c>
      <c r="K361" s="232">
        <v>21310</v>
      </c>
      <c r="L361" s="232"/>
      <c r="M361" s="226">
        <v>0</v>
      </c>
      <c r="N361" s="226">
        <v>0</v>
      </c>
      <c r="O361" s="232">
        <v>1476</v>
      </c>
      <c r="P361" s="232">
        <v>1476</v>
      </c>
      <c r="Q361" s="232"/>
      <c r="R361" s="394">
        <v>20031</v>
      </c>
      <c r="S361" s="232">
        <v>-249</v>
      </c>
      <c r="T361" s="398">
        <v>19782</v>
      </c>
      <c r="U361" s="232"/>
      <c r="V361" s="398"/>
      <c r="W361" s="398"/>
      <c r="X361" s="398">
        <v>118176</v>
      </c>
      <c r="Y361" s="398">
        <v>8441</v>
      </c>
    </row>
    <row r="362" spans="1:25">
      <c r="A362" s="392">
        <v>93611</v>
      </c>
      <c r="B362" s="393" t="s">
        <v>1066</v>
      </c>
      <c r="C362" s="235">
        <v>6.7793000000000003E-3</v>
      </c>
      <c r="D362" s="235">
        <v>6.9186999999999999E-3</v>
      </c>
      <c r="E362" s="232">
        <v>24225327</v>
      </c>
      <c r="F362" s="232" t="s">
        <v>1930</v>
      </c>
      <c r="G362" s="394">
        <v>3059234</v>
      </c>
      <c r="H362" s="394">
        <v>3409066</v>
      </c>
      <c r="I362" s="394">
        <v>1802840</v>
      </c>
      <c r="J362" s="232">
        <v>15287</v>
      </c>
      <c r="K362" s="232">
        <v>8286427</v>
      </c>
      <c r="L362" s="232"/>
      <c r="M362" s="226">
        <v>0</v>
      </c>
      <c r="N362" s="226">
        <v>0</v>
      </c>
      <c r="O362" s="232">
        <v>152616</v>
      </c>
      <c r="P362" s="232">
        <v>152616</v>
      </c>
      <c r="Q362" s="232"/>
      <c r="R362" s="394">
        <v>8330912</v>
      </c>
      <c r="S362" s="232">
        <v>-44753</v>
      </c>
      <c r="T362" s="398">
        <v>8286159</v>
      </c>
      <c r="U362" s="232"/>
      <c r="V362" s="398"/>
      <c r="W362" s="398"/>
      <c r="X362" s="398">
        <v>49150549</v>
      </c>
      <c r="Y362" s="398">
        <v>3510715</v>
      </c>
    </row>
    <row r="363" spans="1:25">
      <c r="A363" s="392">
        <v>93617</v>
      </c>
      <c r="B363" s="393" t="s">
        <v>1067</v>
      </c>
      <c r="C363" s="235">
        <v>7.64E-5</v>
      </c>
      <c r="D363" s="235">
        <v>7.8899999999999993E-5</v>
      </c>
      <c r="E363" s="232">
        <v>273010</v>
      </c>
      <c r="F363" s="232" t="s">
        <v>1930</v>
      </c>
      <c r="G363" s="394">
        <v>34476</v>
      </c>
      <c r="H363" s="394">
        <v>38418</v>
      </c>
      <c r="I363" s="394">
        <v>20317</v>
      </c>
      <c r="J363" s="232">
        <v>23595</v>
      </c>
      <c r="K363" s="232">
        <v>116806</v>
      </c>
      <c r="L363" s="232"/>
      <c r="M363" s="226">
        <v>0</v>
      </c>
      <c r="N363" s="226">
        <v>0</v>
      </c>
      <c r="O363" s="232">
        <v>0</v>
      </c>
      <c r="P363" s="232">
        <v>0</v>
      </c>
      <c r="Q363" s="232"/>
      <c r="R363" s="394">
        <v>93886</v>
      </c>
      <c r="S363" s="232">
        <v>12147</v>
      </c>
      <c r="T363" s="398">
        <v>106033</v>
      </c>
      <c r="U363" s="232"/>
      <c r="V363" s="398"/>
      <c r="W363" s="398"/>
      <c r="X363" s="398">
        <v>553907</v>
      </c>
      <c r="Y363" s="398">
        <v>39564</v>
      </c>
    </row>
    <row r="364" spans="1:25">
      <c r="A364" s="392">
        <v>93618</v>
      </c>
      <c r="B364" s="393" t="s">
        <v>1068</v>
      </c>
      <c r="C364" s="235">
        <v>8.3000000000000002E-6</v>
      </c>
      <c r="D364" s="235">
        <v>9.5000000000000005E-6</v>
      </c>
      <c r="E364" s="232">
        <v>29659</v>
      </c>
      <c r="F364" s="232" t="s">
        <v>1930</v>
      </c>
      <c r="G364" s="394">
        <v>3745</v>
      </c>
      <c r="H364" s="394">
        <v>4174</v>
      </c>
      <c r="I364" s="394">
        <v>2207</v>
      </c>
      <c r="J364" s="232">
        <v>28364</v>
      </c>
      <c r="K364" s="232">
        <v>38490</v>
      </c>
      <c r="L364" s="232"/>
      <c r="M364" s="226">
        <v>0</v>
      </c>
      <c r="N364" s="226">
        <v>0</v>
      </c>
      <c r="O364" s="232">
        <v>0</v>
      </c>
      <c r="P364" s="232">
        <v>0</v>
      </c>
      <c r="Q364" s="232"/>
      <c r="R364" s="394">
        <v>10200</v>
      </c>
      <c r="S364" s="232">
        <v>16526</v>
      </c>
      <c r="T364" s="398">
        <v>26726</v>
      </c>
      <c r="U364" s="232"/>
      <c r="V364" s="398"/>
      <c r="W364" s="398"/>
      <c r="X364" s="398">
        <v>60176</v>
      </c>
      <c r="Y364" s="398">
        <v>4298</v>
      </c>
    </row>
    <row r="365" spans="1:25">
      <c r="A365" s="392">
        <v>93621</v>
      </c>
      <c r="B365" s="393" t="s">
        <v>1069</v>
      </c>
      <c r="C365" s="235">
        <v>1.1447E-3</v>
      </c>
      <c r="D365" s="235">
        <v>1.0563E-3</v>
      </c>
      <c r="E365" s="232">
        <v>4090501</v>
      </c>
      <c r="F365" s="232" t="s">
        <v>1930</v>
      </c>
      <c r="G365" s="394">
        <v>516558</v>
      </c>
      <c r="H365" s="394">
        <v>575628</v>
      </c>
      <c r="I365" s="394">
        <v>304414</v>
      </c>
      <c r="J365" s="232">
        <v>96446</v>
      </c>
      <c r="K365" s="232">
        <v>1493046</v>
      </c>
      <c r="L365" s="232"/>
      <c r="M365" s="226">
        <v>0</v>
      </c>
      <c r="N365" s="226">
        <v>0</v>
      </c>
      <c r="O365" s="232">
        <v>5024</v>
      </c>
      <c r="P365" s="232">
        <v>5024</v>
      </c>
      <c r="Q365" s="232"/>
      <c r="R365" s="394">
        <v>1406693</v>
      </c>
      <c r="S365" s="232">
        <v>23276</v>
      </c>
      <c r="T365" s="398">
        <v>1429969</v>
      </c>
      <c r="U365" s="232"/>
      <c r="V365" s="398"/>
      <c r="W365" s="398"/>
      <c r="X365" s="398">
        <v>8299180</v>
      </c>
      <c r="Y365" s="398">
        <v>592792</v>
      </c>
    </row>
    <row r="366" spans="1:25">
      <c r="A366" s="392">
        <v>93623</v>
      </c>
      <c r="B366" s="393" t="s">
        <v>1070</v>
      </c>
      <c r="C366" s="235">
        <v>1.17E-5</v>
      </c>
      <c r="D366" s="235">
        <v>1.1E-5</v>
      </c>
      <c r="E366" s="232">
        <v>41809</v>
      </c>
      <c r="F366" s="232" t="s">
        <v>1930</v>
      </c>
      <c r="G366" s="394">
        <v>5280</v>
      </c>
      <c r="H366" s="394">
        <v>5884</v>
      </c>
      <c r="I366" s="394">
        <v>3111</v>
      </c>
      <c r="J366" s="232">
        <v>3077</v>
      </c>
      <c r="K366" s="232">
        <v>17352</v>
      </c>
      <c r="L366" s="232"/>
      <c r="M366" s="226">
        <v>0</v>
      </c>
      <c r="N366" s="226">
        <v>0</v>
      </c>
      <c r="O366" s="232">
        <v>0</v>
      </c>
      <c r="P366" s="232">
        <v>0</v>
      </c>
      <c r="Q366" s="232"/>
      <c r="R366" s="394">
        <v>14378</v>
      </c>
      <c r="S366" s="232">
        <v>2118</v>
      </c>
      <c r="T366" s="398">
        <v>16496</v>
      </c>
      <c r="U366" s="232"/>
      <c r="V366" s="398"/>
      <c r="W366" s="398"/>
      <c r="X366" s="398">
        <v>84826</v>
      </c>
      <c r="Y366" s="398">
        <v>6059</v>
      </c>
    </row>
    <row r="367" spans="1:25">
      <c r="A367" s="392">
        <v>93631</v>
      </c>
      <c r="B367" s="393" t="s">
        <v>1071</v>
      </c>
      <c r="C367" s="235">
        <v>2.8699999999999998E-4</v>
      </c>
      <c r="D367" s="235">
        <v>2.4130000000000001E-4</v>
      </c>
      <c r="E367" s="232">
        <v>1025573</v>
      </c>
      <c r="F367" s="232" t="s">
        <v>1930</v>
      </c>
      <c r="G367" s="394">
        <v>129512</v>
      </c>
      <c r="H367" s="394">
        <v>144322</v>
      </c>
      <c r="I367" s="394">
        <v>76323</v>
      </c>
      <c r="J367" s="232">
        <v>41179</v>
      </c>
      <c r="K367" s="232">
        <v>391336</v>
      </c>
      <c r="L367" s="232"/>
      <c r="M367" s="226">
        <v>0</v>
      </c>
      <c r="N367" s="226">
        <v>0</v>
      </c>
      <c r="O367" s="232">
        <v>4221</v>
      </c>
      <c r="P367" s="232">
        <v>4221</v>
      </c>
      <c r="Q367" s="232"/>
      <c r="R367" s="394">
        <v>352687</v>
      </c>
      <c r="S367" s="232">
        <v>8653</v>
      </c>
      <c r="T367" s="398">
        <v>361340</v>
      </c>
      <c r="U367" s="232"/>
      <c r="V367" s="398"/>
      <c r="W367" s="398"/>
      <c r="X367" s="398">
        <v>2080776</v>
      </c>
      <c r="Y367" s="398">
        <v>148625</v>
      </c>
    </row>
    <row r="368" spans="1:25">
      <c r="A368" s="392">
        <v>93641</v>
      </c>
      <c r="B368" s="393" t="s">
        <v>1072</v>
      </c>
      <c r="C368" s="235">
        <v>3.724E-4</v>
      </c>
      <c r="D368" s="235">
        <v>3.7300000000000001E-4</v>
      </c>
      <c r="E368" s="232">
        <v>1330744</v>
      </c>
      <c r="F368" s="232" t="s">
        <v>1930</v>
      </c>
      <c r="G368" s="394">
        <v>168050</v>
      </c>
      <c r="H368" s="394">
        <v>187267</v>
      </c>
      <c r="I368" s="394">
        <v>99033</v>
      </c>
      <c r="J368" s="232">
        <v>45042</v>
      </c>
      <c r="K368" s="232">
        <v>499392</v>
      </c>
      <c r="L368" s="232"/>
      <c r="M368" s="226">
        <v>0</v>
      </c>
      <c r="N368" s="226">
        <v>0</v>
      </c>
      <c r="O368" s="232">
        <v>3852</v>
      </c>
      <c r="P368" s="232">
        <v>3852</v>
      </c>
      <c r="Q368" s="232"/>
      <c r="R368" s="394">
        <v>457633</v>
      </c>
      <c r="S368" s="232">
        <v>12919</v>
      </c>
      <c r="T368" s="398">
        <v>470552</v>
      </c>
      <c r="U368" s="232"/>
      <c r="V368" s="398"/>
      <c r="W368" s="398"/>
      <c r="X368" s="398">
        <v>2699934</v>
      </c>
      <c r="Y368" s="398">
        <v>192850</v>
      </c>
    </row>
    <row r="369" spans="1:25">
      <c r="A369" s="392">
        <v>93647</v>
      </c>
      <c r="B369" s="393" t="s">
        <v>1073</v>
      </c>
      <c r="C369" s="235">
        <v>4.6E-6</v>
      </c>
      <c r="D369" s="235">
        <v>5.2000000000000002E-6</v>
      </c>
      <c r="E369" s="232">
        <v>16438</v>
      </c>
      <c r="F369" s="232" t="s">
        <v>1930</v>
      </c>
      <c r="G369" s="394">
        <v>2076</v>
      </c>
      <c r="H369" s="394">
        <v>2314</v>
      </c>
      <c r="I369" s="394">
        <v>1223</v>
      </c>
      <c r="J369" s="232">
        <v>8527</v>
      </c>
      <c r="K369" s="232">
        <v>14140</v>
      </c>
      <c r="L369" s="232"/>
      <c r="M369" s="226">
        <v>0</v>
      </c>
      <c r="N369" s="226">
        <v>0</v>
      </c>
      <c r="O369" s="232">
        <v>0</v>
      </c>
      <c r="P369" s="232">
        <v>0</v>
      </c>
      <c r="Q369" s="232"/>
      <c r="R369" s="394">
        <v>5653</v>
      </c>
      <c r="S369" s="232">
        <v>5081</v>
      </c>
      <c r="T369" s="398">
        <v>10734</v>
      </c>
      <c r="U369" s="232"/>
      <c r="V369" s="398"/>
      <c r="W369" s="398"/>
      <c r="X369" s="398">
        <v>33350</v>
      </c>
      <c r="Y369" s="398">
        <v>2382</v>
      </c>
    </row>
    <row r="370" spans="1:25">
      <c r="A370" s="392">
        <v>93651</v>
      </c>
      <c r="B370" s="393" t="s">
        <v>1074</v>
      </c>
      <c r="C370" s="235">
        <v>4.4680000000000002E-4</v>
      </c>
      <c r="D370" s="235">
        <v>4.3790000000000002E-4</v>
      </c>
      <c r="E370" s="232">
        <v>1596607</v>
      </c>
      <c r="F370" s="232" t="s">
        <v>1930</v>
      </c>
      <c r="G370" s="394">
        <v>201623</v>
      </c>
      <c r="H370" s="394">
        <v>224679</v>
      </c>
      <c r="I370" s="394">
        <v>118819</v>
      </c>
      <c r="J370" s="232">
        <v>2584</v>
      </c>
      <c r="K370" s="232">
        <v>547705</v>
      </c>
      <c r="L370" s="232"/>
      <c r="M370" s="226">
        <v>0</v>
      </c>
      <c r="N370" s="226">
        <v>0</v>
      </c>
      <c r="O370" s="232">
        <v>20301</v>
      </c>
      <c r="P370" s="232">
        <v>20301</v>
      </c>
      <c r="Q370" s="232"/>
      <c r="R370" s="394">
        <v>549061</v>
      </c>
      <c r="S370" s="232">
        <v>-9508</v>
      </c>
      <c r="T370" s="398">
        <v>539553</v>
      </c>
      <c r="U370" s="232"/>
      <c r="V370" s="398"/>
      <c r="W370" s="398"/>
      <c r="X370" s="398">
        <v>3239341</v>
      </c>
      <c r="Y370" s="398">
        <v>231379</v>
      </c>
    </row>
    <row r="371" spans="1:25">
      <c r="A371" s="392">
        <v>93661</v>
      </c>
      <c r="B371" s="393" t="s">
        <v>1075</v>
      </c>
      <c r="C371" s="235">
        <v>1.4679999999999999E-4</v>
      </c>
      <c r="D371" s="235">
        <v>1.2850000000000001E-4</v>
      </c>
      <c r="E371" s="232">
        <v>524579</v>
      </c>
      <c r="F371" s="232" t="s">
        <v>1930</v>
      </c>
      <c r="G371" s="394">
        <v>66245</v>
      </c>
      <c r="H371" s="394">
        <v>73820</v>
      </c>
      <c r="I371" s="394">
        <v>39039</v>
      </c>
      <c r="J371" s="232">
        <v>29910</v>
      </c>
      <c r="K371" s="232">
        <v>209014</v>
      </c>
      <c r="L371" s="232"/>
      <c r="M371" s="226">
        <v>0</v>
      </c>
      <c r="N371" s="226">
        <v>0</v>
      </c>
      <c r="O371" s="232">
        <v>7104</v>
      </c>
      <c r="P371" s="232">
        <v>7104</v>
      </c>
      <c r="Q371" s="232"/>
      <c r="R371" s="394">
        <v>180399</v>
      </c>
      <c r="S371" s="232">
        <v>10271</v>
      </c>
      <c r="T371" s="398">
        <v>190670</v>
      </c>
      <c r="U371" s="232"/>
      <c r="V371" s="398"/>
      <c r="W371" s="398"/>
      <c r="X371" s="398">
        <v>1064314</v>
      </c>
      <c r="Y371" s="398">
        <v>76022</v>
      </c>
    </row>
    <row r="372" spans="1:25">
      <c r="A372" s="392">
        <v>93671</v>
      </c>
      <c r="B372" s="393" t="s">
        <v>1076</v>
      </c>
      <c r="C372" s="235">
        <v>3.5520000000000001E-4</v>
      </c>
      <c r="D372" s="235">
        <v>3.4840000000000001E-4</v>
      </c>
      <c r="E372" s="232">
        <v>1269281</v>
      </c>
      <c r="F372" s="232" t="s">
        <v>1930</v>
      </c>
      <c r="G372" s="394">
        <v>160288</v>
      </c>
      <c r="H372" s="394">
        <v>178617</v>
      </c>
      <c r="I372" s="394">
        <v>94459</v>
      </c>
      <c r="J372" s="232">
        <v>49907</v>
      </c>
      <c r="K372" s="232">
        <v>483271</v>
      </c>
      <c r="L372" s="232"/>
      <c r="M372" s="226">
        <v>0</v>
      </c>
      <c r="N372" s="226">
        <v>0</v>
      </c>
      <c r="O372" s="232">
        <v>383</v>
      </c>
      <c r="P372" s="232">
        <v>383</v>
      </c>
      <c r="Q372" s="232"/>
      <c r="R372" s="394">
        <v>436496</v>
      </c>
      <c r="S372" s="232">
        <v>16347</v>
      </c>
      <c r="T372" s="398">
        <v>452843</v>
      </c>
      <c r="U372" s="232"/>
      <c r="V372" s="398"/>
      <c r="W372" s="398"/>
      <c r="X372" s="398">
        <v>2575233</v>
      </c>
      <c r="Y372" s="398">
        <v>183943</v>
      </c>
    </row>
    <row r="373" spans="1:25">
      <c r="A373" s="392">
        <v>93677</v>
      </c>
      <c r="B373" s="393" t="s">
        <v>98</v>
      </c>
      <c r="C373" s="235">
        <v>0</v>
      </c>
      <c r="D373" s="235">
        <v>0</v>
      </c>
      <c r="E373" s="232">
        <v>0</v>
      </c>
      <c r="F373" s="232" t="s">
        <v>1930</v>
      </c>
      <c r="G373" s="394">
        <v>0</v>
      </c>
      <c r="H373" s="394">
        <v>0</v>
      </c>
      <c r="I373" s="394">
        <v>0</v>
      </c>
      <c r="J373" s="232">
        <v>0</v>
      </c>
      <c r="K373" s="232">
        <v>0</v>
      </c>
      <c r="L373" s="232"/>
      <c r="M373" s="226">
        <v>0</v>
      </c>
      <c r="N373" s="226">
        <v>0</v>
      </c>
      <c r="O373" s="232">
        <v>0</v>
      </c>
      <c r="P373" s="232">
        <v>0</v>
      </c>
      <c r="Q373" s="232"/>
      <c r="R373" s="394">
        <v>0</v>
      </c>
      <c r="S373" s="232">
        <v>0</v>
      </c>
      <c r="T373" s="398">
        <v>0</v>
      </c>
      <c r="U373" s="232"/>
      <c r="V373" s="398"/>
      <c r="W373" s="398"/>
      <c r="X373" s="398">
        <v>0</v>
      </c>
      <c r="Y373" s="398">
        <v>0</v>
      </c>
    </row>
    <row r="374" spans="1:25">
      <c r="A374" s="392">
        <v>93681</v>
      </c>
      <c r="B374" s="393" t="s">
        <v>1077</v>
      </c>
      <c r="C374" s="235">
        <v>1.5789999999999999E-4</v>
      </c>
      <c r="D374" s="235">
        <v>1.284E-4</v>
      </c>
      <c r="E374" s="232">
        <v>564244</v>
      </c>
      <c r="F374" s="232" t="s">
        <v>1930</v>
      </c>
      <c r="G374" s="394">
        <v>71254</v>
      </c>
      <c r="H374" s="394">
        <v>79403</v>
      </c>
      <c r="I374" s="394">
        <v>41991</v>
      </c>
      <c r="J374" s="232">
        <v>40914</v>
      </c>
      <c r="K374" s="232">
        <v>233562</v>
      </c>
      <c r="L374" s="232"/>
      <c r="M374" s="226">
        <v>0</v>
      </c>
      <c r="N374" s="226">
        <v>0</v>
      </c>
      <c r="O374" s="232">
        <v>358</v>
      </c>
      <c r="P374" s="232">
        <v>358</v>
      </c>
      <c r="Q374" s="232"/>
      <c r="R374" s="394">
        <v>194039</v>
      </c>
      <c r="S374" s="232">
        <v>11530</v>
      </c>
      <c r="T374" s="398">
        <v>205569</v>
      </c>
      <c r="U374" s="232"/>
      <c r="V374" s="398"/>
      <c r="W374" s="398"/>
      <c r="X374" s="398">
        <v>1144790</v>
      </c>
      <c r="Y374" s="398">
        <v>81770</v>
      </c>
    </row>
    <row r="375" spans="1:25">
      <c r="A375" s="392">
        <v>93691</v>
      </c>
      <c r="B375" s="393" t="s">
        <v>1078</v>
      </c>
      <c r="C375" s="235">
        <v>1.0933E-3</v>
      </c>
      <c r="D375" s="235">
        <v>1.0889999999999999E-3</v>
      </c>
      <c r="E375" s="232">
        <v>3906827</v>
      </c>
      <c r="F375" s="232" t="s">
        <v>1930</v>
      </c>
      <c r="G375" s="394">
        <v>493364</v>
      </c>
      <c r="H375" s="394">
        <v>549781</v>
      </c>
      <c r="I375" s="394">
        <v>290745</v>
      </c>
      <c r="J375" s="232">
        <v>16957</v>
      </c>
      <c r="K375" s="232">
        <v>1350847</v>
      </c>
      <c r="L375" s="232"/>
      <c r="M375" s="226">
        <v>0</v>
      </c>
      <c r="N375" s="226">
        <v>0</v>
      </c>
      <c r="O375" s="232">
        <v>59898</v>
      </c>
      <c r="P375" s="232">
        <v>59898</v>
      </c>
      <c r="Q375" s="232"/>
      <c r="R375" s="394">
        <v>1343529</v>
      </c>
      <c r="S375" s="232">
        <v>-37398</v>
      </c>
      <c r="T375" s="398">
        <v>1306131</v>
      </c>
      <c r="U375" s="232"/>
      <c r="V375" s="398"/>
      <c r="W375" s="398"/>
      <c r="X375" s="398">
        <v>7926526</v>
      </c>
      <c r="Y375" s="398">
        <v>566174</v>
      </c>
    </row>
    <row r="376" spans="1:25">
      <c r="A376" s="392">
        <v>93701</v>
      </c>
      <c r="B376" s="393" t="s">
        <v>1941</v>
      </c>
      <c r="C376" s="235">
        <v>4.2969999999999998E-4</v>
      </c>
      <c r="D376" s="235">
        <v>4.3600000000000003E-4</v>
      </c>
      <c r="E376" s="232">
        <v>1535501</v>
      </c>
      <c r="F376" s="232" t="s">
        <v>1930</v>
      </c>
      <c r="G376" s="394">
        <v>193907</v>
      </c>
      <c r="H376" s="394">
        <v>216080</v>
      </c>
      <c r="I376" s="394">
        <v>114271</v>
      </c>
      <c r="J376" s="232">
        <v>0</v>
      </c>
      <c r="K376" s="232">
        <v>524258</v>
      </c>
      <c r="L376" s="232"/>
      <c r="M376" s="226">
        <v>0</v>
      </c>
      <c r="N376" s="226">
        <v>0</v>
      </c>
      <c r="O376" s="232">
        <v>28454</v>
      </c>
      <c r="P376" s="232">
        <v>28454</v>
      </c>
      <c r="Q376" s="232"/>
      <c r="R376" s="394">
        <v>528048</v>
      </c>
      <c r="S376" s="232">
        <v>-13597</v>
      </c>
      <c r="T376" s="398">
        <v>514451</v>
      </c>
      <c r="U376" s="232"/>
      <c r="V376" s="398"/>
      <c r="W376" s="398"/>
      <c r="X376" s="398">
        <v>3115365</v>
      </c>
      <c r="Y376" s="398">
        <v>222524</v>
      </c>
    </row>
    <row r="377" spans="1:25">
      <c r="A377" s="392">
        <v>93704</v>
      </c>
      <c r="B377" s="393" t="s">
        <v>1080</v>
      </c>
      <c r="C377" s="235">
        <v>1.9999999999999999E-6</v>
      </c>
      <c r="D377" s="235">
        <v>2.2000000000000001E-6</v>
      </c>
      <c r="E377" s="232">
        <v>7147</v>
      </c>
      <c r="F377" s="232" t="s">
        <v>1930</v>
      </c>
      <c r="G377" s="394">
        <v>903</v>
      </c>
      <c r="H377" s="394">
        <v>1006</v>
      </c>
      <c r="I377" s="394">
        <v>532</v>
      </c>
      <c r="J377" s="232">
        <v>1300</v>
      </c>
      <c r="K377" s="232">
        <v>3741</v>
      </c>
      <c r="L377" s="232"/>
      <c r="M377" s="226">
        <v>0</v>
      </c>
      <c r="N377" s="226">
        <v>0</v>
      </c>
      <c r="O377" s="232">
        <v>0</v>
      </c>
      <c r="P377" s="232">
        <v>0</v>
      </c>
      <c r="Q377" s="232"/>
      <c r="R377" s="394">
        <v>2458</v>
      </c>
      <c r="S377" s="232">
        <v>588</v>
      </c>
      <c r="T377" s="398">
        <v>3046</v>
      </c>
      <c r="U377" s="232"/>
      <c r="V377" s="398"/>
      <c r="W377" s="398"/>
      <c r="X377" s="398">
        <v>14500</v>
      </c>
      <c r="Y377" s="398">
        <v>1036</v>
      </c>
    </row>
    <row r="378" spans="1:25">
      <c r="A378" s="392">
        <v>93801</v>
      </c>
      <c r="B378" s="393" t="s">
        <v>1081</v>
      </c>
      <c r="C378" s="235">
        <v>4.3399999999999998E-4</v>
      </c>
      <c r="D378" s="235">
        <v>4.191E-4</v>
      </c>
      <c r="E378" s="232">
        <v>1550867</v>
      </c>
      <c r="F378" s="232" t="s">
        <v>1930</v>
      </c>
      <c r="G378" s="394">
        <v>195847</v>
      </c>
      <c r="H378" s="394">
        <v>218243</v>
      </c>
      <c r="I378" s="394">
        <v>115415</v>
      </c>
      <c r="J378" s="232">
        <v>17375</v>
      </c>
      <c r="K378" s="232">
        <v>546880</v>
      </c>
      <c r="L378" s="232"/>
      <c r="M378" s="226">
        <v>0</v>
      </c>
      <c r="N378" s="226">
        <v>0</v>
      </c>
      <c r="O378" s="232">
        <v>36797</v>
      </c>
      <c r="P378" s="232">
        <v>36797</v>
      </c>
      <c r="Q378" s="232"/>
      <c r="R378" s="394">
        <v>533332</v>
      </c>
      <c r="S378" s="232">
        <v>11049</v>
      </c>
      <c r="T378" s="398">
        <v>544381</v>
      </c>
      <c r="U378" s="232"/>
      <c r="V378" s="398"/>
      <c r="W378" s="398"/>
      <c r="X378" s="398">
        <v>3146540</v>
      </c>
      <c r="Y378" s="398">
        <v>224750</v>
      </c>
    </row>
    <row r="379" spans="1:25">
      <c r="A379" s="392">
        <v>93803</v>
      </c>
      <c r="B379" s="393" t="s">
        <v>1082</v>
      </c>
      <c r="C379" s="235">
        <v>1.039E-4</v>
      </c>
      <c r="D379" s="235">
        <v>9.0799999999999998E-5</v>
      </c>
      <c r="E379" s="232">
        <v>371279</v>
      </c>
      <c r="F379" s="232" t="s">
        <v>1930</v>
      </c>
      <c r="G379" s="394">
        <v>46886</v>
      </c>
      <c r="H379" s="394">
        <v>52247</v>
      </c>
      <c r="I379" s="394">
        <v>27630</v>
      </c>
      <c r="J379" s="232">
        <v>15945</v>
      </c>
      <c r="K379" s="232">
        <v>142708</v>
      </c>
      <c r="L379" s="232"/>
      <c r="M379" s="226">
        <v>0</v>
      </c>
      <c r="N379" s="226">
        <v>0</v>
      </c>
      <c r="O379" s="232">
        <v>23554</v>
      </c>
      <c r="P379" s="232">
        <v>23554</v>
      </c>
      <c r="Q379" s="232"/>
      <c r="R379" s="394">
        <v>127680</v>
      </c>
      <c r="S379" s="232">
        <v>-10137</v>
      </c>
      <c r="T379" s="398">
        <v>117543</v>
      </c>
      <c r="U379" s="232"/>
      <c r="V379" s="398"/>
      <c r="W379" s="398"/>
      <c r="X379" s="398">
        <v>753285</v>
      </c>
      <c r="Y379" s="398">
        <v>53805</v>
      </c>
    </row>
    <row r="380" spans="1:25">
      <c r="A380" s="392">
        <v>93806</v>
      </c>
      <c r="B380" s="393" t="s">
        <v>1083</v>
      </c>
      <c r="C380" s="235">
        <v>7.0599999999999995E-5</v>
      </c>
      <c r="D380" s="235">
        <v>7.9599999999999997E-5</v>
      </c>
      <c r="E380" s="232">
        <v>252284</v>
      </c>
      <c r="F380" s="232" t="s">
        <v>1930</v>
      </c>
      <c r="G380" s="394">
        <v>31859</v>
      </c>
      <c r="H380" s="394">
        <v>35502</v>
      </c>
      <c r="I380" s="394">
        <v>18775</v>
      </c>
      <c r="J380" s="232">
        <v>4282</v>
      </c>
      <c r="K380" s="232">
        <v>90418</v>
      </c>
      <c r="L380" s="232"/>
      <c r="M380" s="226">
        <v>0</v>
      </c>
      <c r="N380" s="226">
        <v>0</v>
      </c>
      <c r="O380" s="232">
        <v>19739</v>
      </c>
      <c r="P380" s="232">
        <v>19739</v>
      </c>
      <c r="Q380" s="232"/>
      <c r="R380" s="394">
        <v>86759</v>
      </c>
      <c r="S380" s="232">
        <v>-4004</v>
      </c>
      <c r="T380" s="398">
        <v>82755</v>
      </c>
      <c r="U380" s="232"/>
      <c r="V380" s="398"/>
      <c r="W380" s="398"/>
      <c r="X380" s="398">
        <v>511856</v>
      </c>
      <c r="Y380" s="398">
        <v>36561</v>
      </c>
    </row>
    <row r="381" spans="1:25">
      <c r="A381" s="392">
        <v>93821</v>
      </c>
      <c r="B381" s="393" t="s">
        <v>1084</v>
      </c>
      <c r="C381" s="235">
        <v>6.2199999999999994E-5</v>
      </c>
      <c r="D381" s="235">
        <v>6.9200000000000002E-5</v>
      </c>
      <c r="E381" s="232">
        <v>222267</v>
      </c>
      <c r="F381" s="232" t="s">
        <v>1930</v>
      </c>
      <c r="G381" s="394">
        <v>28068</v>
      </c>
      <c r="H381" s="394">
        <v>31278</v>
      </c>
      <c r="I381" s="394">
        <v>16541</v>
      </c>
      <c r="J381" s="232">
        <v>26908</v>
      </c>
      <c r="K381" s="232">
        <v>102795</v>
      </c>
      <c r="L381" s="232"/>
      <c r="M381" s="226">
        <v>0</v>
      </c>
      <c r="N381" s="226">
        <v>0</v>
      </c>
      <c r="O381" s="232">
        <v>9700</v>
      </c>
      <c r="P381" s="232">
        <v>9700</v>
      </c>
      <c r="Q381" s="232"/>
      <c r="R381" s="394">
        <v>76436</v>
      </c>
      <c r="S381" s="232">
        <v>13456</v>
      </c>
      <c r="T381" s="398">
        <v>89892</v>
      </c>
      <c r="U381" s="232"/>
      <c r="V381" s="398"/>
      <c r="W381" s="398"/>
      <c r="X381" s="398">
        <v>450956</v>
      </c>
      <c r="Y381" s="398">
        <v>32211</v>
      </c>
    </row>
    <row r="382" spans="1:25">
      <c r="A382" s="392">
        <v>93901</v>
      </c>
      <c r="B382" s="393" t="s">
        <v>1085</v>
      </c>
      <c r="C382" s="235">
        <v>1.8209999999999999E-3</v>
      </c>
      <c r="D382" s="235">
        <v>1.7884999999999999E-3</v>
      </c>
      <c r="E382" s="232">
        <v>6507209</v>
      </c>
      <c r="F382" s="232" t="s">
        <v>1930</v>
      </c>
      <c r="G382" s="394">
        <v>821746</v>
      </c>
      <c r="H382" s="394">
        <v>915715</v>
      </c>
      <c r="I382" s="394">
        <v>484264</v>
      </c>
      <c r="J382" s="232">
        <v>243235</v>
      </c>
      <c r="K382" s="232">
        <v>2464960</v>
      </c>
      <c r="L382" s="232"/>
      <c r="M382" s="226">
        <v>0</v>
      </c>
      <c r="N382" s="226">
        <v>0</v>
      </c>
      <c r="O382" s="232">
        <v>0</v>
      </c>
      <c r="P382" s="232">
        <v>0</v>
      </c>
      <c r="Q382" s="232"/>
      <c r="R382" s="394">
        <v>2237781</v>
      </c>
      <c r="S382" s="232">
        <v>100671</v>
      </c>
      <c r="T382" s="398">
        <v>2338452</v>
      </c>
      <c r="U382" s="232"/>
      <c r="V382" s="398"/>
      <c r="W382" s="398"/>
      <c r="X382" s="398">
        <v>13202418</v>
      </c>
      <c r="Y382" s="398">
        <v>943019</v>
      </c>
    </row>
    <row r="383" spans="1:25">
      <c r="A383" s="392">
        <v>93904</v>
      </c>
      <c r="B383" s="393" t="s">
        <v>1086</v>
      </c>
      <c r="C383" s="235">
        <v>3.1900000000000003E-5</v>
      </c>
      <c r="D383" s="235">
        <v>3.18E-5</v>
      </c>
      <c r="E383" s="232">
        <v>113992</v>
      </c>
      <c r="F383" s="232" t="s">
        <v>1930</v>
      </c>
      <c r="G383" s="394">
        <v>14395</v>
      </c>
      <c r="H383" s="394">
        <v>16042</v>
      </c>
      <c r="I383" s="394">
        <v>8483</v>
      </c>
      <c r="J383" s="232">
        <v>15074</v>
      </c>
      <c r="K383" s="232">
        <v>53994</v>
      </c>
      <c r="L383" s="232"/>
      <c r="M383" s="226">
        <v>0</v>
      </c>
      <c r="N383" s="226">
        <v>0</v>
      </c>
      <c r="O383" s="232">
        <v>0</v>
      </c>
      <c r="P383" s="232">
        <v>0</v>
      </c>
      <c r="Q383" s="232"/>
      <c r="R383" s="394">
        <v>39201</v>
      </c>
      <c r="S383" s="232">
        <v>6949</v>
      </c>
      <c r="T383" s="398">
        <v>46150</v>
      </c>
      <c r="U383" s="232"/>
      <c r="V383" s="398"/>
      <c r="W383" s="398"/>
      <c r="X383" s="398">
        <v>231278</v>
      </c>
      <c r="Y383" s="398">
        <v>16520</v>
      </c>
    </row>
    <row r="384" spans="1:25">
      <c r="A384" s="392">
        <v>93906</v>
      </c>
      <c r="B384" s="393" t="s">
        <v>1087</v>
      </c>
      <c r="C384" s="235">
        <v>3.0739999999999999E-3</v>
      </c>
      <c r="D384" s="235">
        <v>3.1308E-3</v>
      </c>
      <c r="E384" s="232">
        <v>10984712</v>
      </c>
      <c r="F384" s="232" t="s">
        <v>1930</v>
      </c>
      <c r="G384" s="394">
        <v>1387176</v>
      </c>
      <c r="H384" s="394">
        <v>1545804</v>
      </c>
      <c r="I384" s="394">
        <v>817478</v>
      </c>
      <c r="J384" s="232">
        <v>0</v>
      </c>
      <c r="K384" s="232">
        <v>3750458</v>
      </c>
      <c r="L384" s="232"/>
      <c r="M384" s="226">
        <v>0</v>
      </c>
      <c r="N384" s="226">
        <v>0</v>
      </c>
      <c r="O384" s="232">
        <v>226841</v>
      </c>
      <c r="P384" s="232">
        <v>226841</v>
      </c>
      <c r="Q384" s="232"/>
      <c r="R384" s="394">
        <v>3777562</v>
      </c>
      <c r="S384" s="232">
        <v>-117130</v>
      </c>
      <c r="T384" s="398">
        <v>3660432</v>
      </c>
      <c r="U384" s="232"/>
      <c r="V384" s="398"/>
      <c r="W384" s="398"/>
      <c r="X384" s="398">
        <v>22286783</v>
      </c>
      <c r="Y384" s="398">
        <v>1591895</v>
      </c>
    </row>
    <row r="385" spans="1:25">
      <c r="A385" s="392">
        <v>93908</v>
      </c>
      <c r="B385" s="393" t="s">
        <v>1942</v>
      </c>
      <c r="C385" s="235">
        <v>5.1579999999999996E-4</v>
      </c>
      <c r="D385" s="235">
        <v>4.9540000000000001E-4</v>
      </c>
      <c r="E385" s="232">
        <v>1843173</v>
      </c>
      <c r="F385" s="232" t="s">
        <v>1930</v>
      </c>
      <c r="G385" s="394">
        <v>232760</v>
      </c>
      <c r="H385" s="394">
        <v>259377</v>
      </c>
      <c r="I385" s="394">
        <v>137168</v>
      </c>
      <c r="J385" s="232">
        <v>40671</v>
      </c>
      <c r="K385" s="232">
        <v>669976</v>
      </c>
      <c r="L385" s="232"/>
      <c r="M385" s="226">
        <v>0</v>
      </c>
      <c r="N385" s="226">
        <v>0</v>
      </c>
      <c r="O385" s="232">
        <v>9745</v>
      </c>
      <c r="P385" s="232">
        <v>9745</v>
      </c>
      <c r="Q385" s="232"/>
      <c r="R385" s="394">
        <v>633854</v>
      </c>
      <c r="S385" s="232">
        <v>9319</v>
      </c>
      <c r="T385" s="398">
        <v>643173</v>
      </c>
      <c r="U385" s="232"/>
      <c r="V385" s="398"/>
      <c r="W385" s="398"/>
      <c r="X385" s="398">
        <v>3739597</v>
      </c>
      <c r="Y385" s="398">
        <v>267111</v>
      </c>
    </row>
    <row r="386" spans="1:25">
      <c r="A386" s="392">
        <v>93910</v>
      </c>
      <c r="B386" s="393" t="s">
        <v>1089</v>
      </c>
      <c r="C386" s="235">
        <v>2.6459999999999998E-4</v>
      </c>
      <c r="D386" s="235">
        <v>2.285E-4</v>
      </c>
      <c r="E386" s="232">
        <v>945529</v>
      </c>
      <c r="F386" s="232" t="s">
        <v>1930</v>
      </c>
      <c r="G386" s="394">
        <v>119404</v>
      </c>
      <c r="H386" s="394">
        <v>133057</v>
      </c>
      <c r="I386" s="394">
        <v>70366</v>
      </c>
      <c r="J386" s="232">
        <v>56878</v>
      </c>
      <c r="K386" s="232">
        <v>379705</v>
      </c>
      <c r="L386" s="232"/>
      <c r="M386" s="226">
        <v>0</v>
      </c>
      <c r="N386" s="226">
        <v>0</v>
      </c>
      <c r="O386" s="232">
        <v>25946</v>
      </c>
      <c r="P386" s="232">
        <v>25946</v>
      </c>
      <c r="Q386" s="232"/>
      <c r="R386" s="394">
        <v>325160</v>
      </c>
      <c r="S386" s="232">
        <v>3937</v>
      </c>
      <c r="T386" s="398">
        <v>329097</v>
      </c>
      <c r="U386" s="232"/>
      <c r="V386" s="398"/>
      <c r="W386" s="398"/>
      <c r="X386" s="398">
        <v>1918374</v>
      </c>
      <c r="Y386" s="398">
        <v>137025</v>
      </c>
    </row>
    <row r="387" spans="1:25">
      <c r="A387" s="392">
        <v>93911</v>
      </c>
      <c r="B387" s="393" t="s">
        <v>1090</v>
      </c>
      <c r="C387" s="235">
        <v>6.1660000000000003E-4</v>
      </c>
      <c r="D387" s="235">
        <v>6.4320000000000002E-4</v>
      </c>
      <c r="E387" s="232">
        <v>2203374</v>
      </c>
      <c r="F387" s="232" t="s">
        <v>1930</v>
      </c>
      <c r="G387" s="394">
        <v>278248</v>
      </c>
      <c r="H387" s="394">
        <v>310066</v>
      </c>
      <c r="I387" s="394">
        <v>163974</v>
      </c>
      <c r="J387" s="232">
        <v>7136</v>
      </c>
      <c r="K387" s="232">
        <v>759424</v>
      </c>
      <c r="L387" s="232"/>
      <c r="M387" s="226">
        <v>0</v>
      </c>
      <c r="N387" s="226">
        <v>0</v>
      </c>
      <c r="O387" s="232">
        <v>37682</v>
      </c>
      <c r="P387" s="232">
        <v>37682</v>
      </c>
      <c r="Q387" s="232"/>
      <c r="R387" s="394">
        <v>757724</v>
      </c>
      <c r="S387" s="232">
        <v>-20692</v>
      </c>
      <c r="T387" s="398">
        <v>737032</v>
      </c>
      <c r="U387" s="232"/>
      <c r="V387" s="398"/>
      <c r="W387" s="398"/>
      <c r="X387" s="398">
        <v>4470407</v>
      </c>
      <c r="Y387" s="398">
        <v>319311</v>
      </c>
    </row>
    <row r="388" spans="1:25">
      <c r="A388" s="392">
        <v>93913</v>
      </c>
      <c r="B388" s="393" t="s">
        <v>1091</v>
      </c>
      <c r="C388" s="235">
        <v>4.6699999999999997E-5</v>
      </c>
      <c r="D388" s="235">
        <v>4.9799999999999998E-5</v>
      </c>
      <c r="E388" s="232">
        <v>166879</v>
      </c>
      <c r="F388" s="232" t="s">
        <v>1930</v>
      </c>
      <c r="G388" s="394">
        <v>21074</v>
      </c>
      <c r="H388" s="394">
        <v>23484</v>
      </c>
      <c r="I388" s="394">
        <v>12419</v>
      </c>
      <c r="J388" s="232">
        <v>4898</v>
      </c>
      <c r="K388" s="232">
        <v>61875</v>
      </c>
      <c r="L388" s="232"/>
      <c r="M388" s="226">
        <v>0</v>
      </c>
      <c r="N388" s="226">
        <v>0</v>
      </c>
      <c r="O388" s="232">
        <v>1656</v>
      </c>
      <c r="P388" s="232">
        <v>1656</v>
      </c>
      <c r="Q388" s="232"/>
      <c r="R388" s="394">
        <v>57388</v>
      </c>
      <c r="S388" s="232">
        <v>2161</v>
      </c>
      <c r="T388" s="398">
        <v>59549</v>
      </c>
      <c r="U388" s="232"/>
      <c r="V388" s="398"/>
      <c r="W388" s="398"/>
      <c r="X388" s="398">
        <v>338579</v>
      </c>
      <c r="Y388" s="398">
        <v>24184</v>
      </c>
    </row>
    <row r="389" spans="1:25">
      <c r="A389" s="392">
        <v>93914</v>
      </c>
      <c r="B389" s="393" t="s">
        <v>1092</v>
      </c>
      <c r="C389" s="235">
        <v>5.2000000000000002E-6</v>
      </c>
      <c r="D389" s="235">
        <v>6.1E-6</v>
      </c>
      <c r="E389" s="232">
        <v>18582</v>
      </c>
      <c r="F389" s="232" t="s">
        <v>1930</v>
      </c>
      <c r="G389" s="394">
        <v>2347</v>
      </c>
      <c r="H389" s="394">
        <v>2615</v>
      </c>
      <c r="I389" s="394">
        <v>1383</v>
      </c>
      <c r="J389" s="232">
        <v>4326</v>
      </c>
      <c r="K389" s="232">
        <v>10671</v>
      </c>
      <c r="L389" s="232"/>
      <c r="M389" s="226">
        <v>0</v>
      </c>
      <c r="N389" s="226">
        <v>0</v>
      </c>
      <c r="O389" s="232">
        <v>0</v>
      </c>
      <c r="P389" s="232">
        <v>0</v>
      </c>
      <c r="Q389" s="232"/>
      <c r="R389" s="394">
        <v>6390</v>
      </c>
      <c r="S389" s="232">
        <v>2131</v>
      </c>
      <c r="T389" s="398">
        <v>8521</v>
      </c>
      <c r="U389" s="232"/>
      <c r="V389" s="398"/>
      <c r="W389" s="398"/>
      <c r="X389" s="398">
        <v>37700</v>
      </c>
      <c r="Y389" s="398">
        <v>2693</v>
      </c>
    </row>
    <row r="390" spans="1:25">
      <c r="A390" s="392">
        <v>93921</v>
      </c>
      <c r="B390" s="393" t="s">
        <v>1093</v>
      </c>
      <c r="C390" s="235">
        <v>2.7060000000000002E-4</v>
      </c>
      <c r="D390" s="235">
        <v>2.251E-4</v>
      </c>
      <c r="E390" s="232">
        <v>966969</v>
      </c>
      <c r="F390" s="232" t="s">
        <v>1930</v>
      </c>
      <c r="G390" s="394">
        <v>122111</v>
      </c>
      <c r="H390" s="394">
        <v>136075</v>
      </c>
      <c r="I390" s="394">
        <v>71961</v>
      </c>
      <c r="J390" s="232">
        <v>53869</v>
      </c>
      <c r="K390" s="232">
        <v>384016</v>
      </c>
      <c r="L390" s="232"/>
      <c r="M390" s="226">
        <v>0</v>
      </c>
      <c r="N390" s="226">
        <v>0</v>
      </c>
      <c r="O390" s="232">
        <v>30660</v>
      </c>
      <c r="P390" s="232">
        <v>30660</v>
      </c>
      <c r="Q390" s="232"/>
      <c r="R390" s="394">
        <v>332534</v>
      </c>
      <c r="S390" s="232">
        <v>6976</v>
      </c>
      <c r="T390" s="398">
        <v>339510</v>
      </c>
      <c r="U390" s="232"/>
      <c r="V390" s="398"/>
      <c r="W390" s="398"/>
      <c r="X390" s="398">
        <v>1961875</v>
      </c>
      <c r="Y390" s="398">
        <v>140132</v>
      </c>
    </row>
    <row r="391" spans="1:25">
      <c r="A391" s="392">
        <v>93931</v>
      </c>
      <c r="B391" s="393" t="s">
        <v>1094</v>
      </c>
      <c r="C391" s="235">
        <v>5.3470000000000004E-4</v>
      </c>
      <c r="D391" s="235">
        <v>5.1590000000000002E-4</v>
      </c>
      <c r="E391" s="232">
        <v>1910711</v>
      </c>
      <c r="F391" s="232" t="s">
        <v>1930</v>
      </c>
      <c r="G391" s="394">
        <v>241289</v>
      </c>
      <c r="H391" s="394">
        <v>268881</v>
      </c>
      <c r="I391" s="394">
        <v>142194</v>
      </c>
      <c r="J391" s="232">
        <v>6019</v>
      </c>
      <c r="K391" s="232">
        <v>658383</v>
      </c>
      <c r="L391" s="232"/>
      <c r="M391" s="226">
        <v>0</v>
      </c>
      <c r="N391" s="226">
        <v>0</v>
      </c>
      <c r="O391" s="232">
        <v>37896</v>
      </c>
      <c r="P391" s="232">
        <v>37896</v>
      </c>
      <c r="Q391" s="232"/>
      <c r="R391" s="394">
        <v>657079</v>
      </c>
      <c r="S391" s="232">
        <v>-17752</v>
      </c>
      <c r="T391" s="398">
        <v>639327</v>
      </c>
      <c r="U391" s="232"/>
      <c r="V391" s="398"/>
      <c r="W391" s="398"/>
      <c r="X391" s="398">
        <v>3876624</v>
      </c>
      <c r="Y391" s="398">
        <v>276899</v>
      </c>
    </row>
    <row r="392" spans="1:25">
      <c r="A392" s="392">
        <v>94001</v>
      </c>
      <c r="B392" s="393" t="s">
        <v>1095</v>
      </c>
      <c r="C392" s="235">
        <v>1.0497E-3</v>
      </c>
      <c r="D392" s="235">
        <v>9.3720000000000001E-4</v>
      </c>
      <c r="E392" s="232">
        <v>3751025</v>
      </c>
      <c r="F392" s="232" t="s">
        <v>1930</v>
      </c>
      <c r="G392" s="394">
        <v>473689</v>
      </c>
      <c r="H392" s="394">
        <v>527857</v>
      </c>
      <c r="I392" s="394">
        <v>279150</v>
      </c>
      <c r="J392" s="232">
        <v>165057</v>
      </c>
      <c r="K392" s="232">
        <v>1445753</v>
      </c>
      <c r="L392" s="232"/>
      <c r="M392" s="226">
        <v>0</v>
      </c>
      <c r="N392" s="226">
        <v>0</v>
      </c>
      <c r="O392" s="232">
        <v>0</v>
      </c>
      <c r="P392" s="232">
        <v>0</v>
      </c>
      <c r="Q392" s="232"/>
      <c r="R392" s="394">
        <v>1289950</v>
      </c>
      <c r="S392" s="232">
        <v>67354</v>
      </c>
      <c r="T392" s="398">
        <v>1357304</v>
      </c>
      <c r="U392" s="232"/>
      <c r="V392" s="398"/>
      <c r="W392" s="398"/>
      <c r="X392" s="398">
        <v>7610422</v>
      </c>
      <c r="Y392" s="398">
        <v>543596</v>
      </c>
    </row>
    <row r="393" spans="1:25">
      <c r="A393" s="392">
        <v>94002</v>
      </c>
      <c r="B393" s="393" t="s">
        <v>1096</v>
      </c>
      <c r="C393" s="235">
        <v>4.5000000000000001E-6</v>
      </c>
      <c r="D393" s="235">
        <v>5.2000000000000002E-6</v>
      </c>
      <c r="E393" s="232">
        <v>16080</v>
      </c>
      <c r="F393" s="232" t="s">
        <v>1930</v>
      </c>
      <c r="G393" s="394">
        <v>2031</v>
      </c>
      <c r="H393" s="394">
        <v>2263</v>
      </c>
      <c r="I393" s="394">
        <v>1197</v>
      </c>
      <c r="J393" s="232">
        <v>2386</v>
      </c>
      <c r="K393" s="232">
        <v>7877</v>
      </c>
      <c r="L393" s="232"/>
      <c r="M393" s="226">
        <v>0</v>
      </c>
      <c r="N393" s="226">
        <v>0</v>
      </c>
      <c r="O393" s="232">
        <v>0</v>
      </c>
      <c r="P393" s="232">
        <v>0</v>
      </c>
      <c r="Q393" s="232"/>
      <c r="R393" s="394">
        <v>5530</v>
      </c>
      <c r="S393" s="232">
        <v>1119</v>
      </c>
      <c r="T393" s="398">
        <v>6649</v>
      </c>
      <c r="U393" s="232"/>
      <c r="V393" s="398"/>
      <c r="W393" s="398"/>
      <c r="X393" s="398">
        <v>32625</v>
      </c>
      <c r="Y393" s="398">
        <v>2330</v>
      </c>
    </row>
    <row r="394" spans="1:25">
      <c r="A394" s="392">
        <v>94004</v>
      </c>
      <c r="B394" s="393" t="s">
        <v>1097</v>
      </c>
      <c r="C394" s="235">
        <v>6.8000000000000001E-6</v>
      </c>
      <c r="D394" s="235">
        <v>7.4000000000000003E-6</v>
      </c>
      <c r="E394" s="232">
        <v>24299</v>
      </c>
      <c r="F394" s="232" t="s">
        <v>1930</v>
      </c>
      <c r="G394" s="394">
        <v>3069</v>
      </c>
      <c r="H394" s="394">
        <v>3420</v>
      </c>
      <c r="I394" s="394">
        <v>1808</v>
      </c>
      <c r="J394" s="232">
        <v>3010</v>
      </c>
      <c r="K394" s="232">
        <v>11307</v>
      </c>
      <c r="L394" s="232"/>
      <c r="M394" s="226">
        <v>0</v>
      </c>
      <c r="N394" s="226">
        <v>0</v>
      </c>
      <c r="O394" s="232">
        <v>0</v>
      </c>
      <c r="P394" s="232">
        <v>0</v>
      </c>
      <c r="Q394" s="232"/>
      <c r="R394" s="394">
        <v>8356</v>
      </c>
      <c r="S394" s="232">
        <v>2019</v>
      </c>
      <c r="T394" s="398">
        <v>10375</v>
      </c>
      <c r="U394" s="232"/>
      <c r="V394" s="398"/>
      <c r="W394" s="398"/>
      <c r="X394" s="398">
        <v>49301</v>
      </c>
      <c r="Y394" s="398">
        <v>3521</v>
      </c>
    </row>
    <row r="395" spans="1:25">
      <c r="A395" s="392">
        <v>94005</v>
      </c>
      <c r="B395" s="393" t="s">
        <v>1098</v>
      </c>
      <c r="C395" s="235">
        <v>1.9E-6</v>
      </c>
      <c r="D395" s="235">
        <v>1.9E-6</v>
      </c>
      <c r="E395" s="232">
        <v>6790</v>
      </c>
      <c r="F395" s="232" t="s">
        <v>1930</v>
      </c>
      <c r="G395" s="394">
        <v>857</v>
      </c>
      <c r="H395" s="394">
        <v>955</v>
      </c>
      <c r="I395" s="394">
        <v>505</v>
      </c>
      <c r="J395" s="232">
        <v>3030</v>
      </c>
      <c r="K395" s="232">
        <v>5347</v>
      </c>
      <c r="L395" s="232"/>
      <c r="M395" s="226">
        <v>0</v>
      </c>
      <c r="N395" s="226">
        <v>0</v>
      </c>
      <c r="O395" s="232">
        <v>1834</v>
      </c>
      <c r="P395" s="232">
        <v>1834</v>
      </c>
      <c r="Q395" s="232"/>
      <c r="R395" s="394">
        <v>2335</v>
      </c>
      <c r="S395" s="232">
        <v>-348</v>
      </c>
      <c r="T395" s="398">
        <v>1987</v>
      </c>
      <c r="U395" s="232"/>
      <c r="V395" s="398"/>
      <c r="W395" s="398"/>
      <c r="X395" s="398">
        <v>13775</v>
      </c>
      <c r="Y395" s="398">
        <v>984</v>
      </c>
    </row>
    <row r="396" spans="1:25">
      <c r="A396" s="392">
        <v>94011</v>
      </c>
      <c r="B396" s="393" t="s">
        <v>1099</v>
      </c>
      <c r="C396" s="235">
        <v>2.7900000000000001E-5</v>
      </c>
      <c r="D396" s="235">
        <v>2.6699999999999998E-5</v>
      </c>
      <c r="E396" s="232">
        <v>99699</v>
      </c>
      <c r="F396" s="232" t="s">
        <v>1930</v>
      </c>
      <c r="G396" s="394">
        <v>12590</v>
      </c>
      <c r="H396" s="394">
        <v>14030</v>
      </c>
      <c r="I396" s="394">
        <v>7420</v>
      </c>
      <c r="J396" s="232">
        <v>900</v>
      </c>
      <c r="K396" s="232">
        <v>34940</v>
      </c>
      <c r="L396" s="232"/>
      <c r="M396" s="226">
        <v>0</v>
      </c>
      <c r="N396" s="226">
        <v>0</v>
      </c>
      <c r="O396" s="232">
        <v>3488</v>
      </c>
      <c r="P396" s="232">
        <v>3488</v>
      </c>
      <c r="Q396" s="232"/>
      <c r="R396" s="394">
        <v>34286</v>
      </c>
      <c r="S396" s="232">
        <v>-182</v>
      </c>
      <c r="T396" s="398">
        <v>34104</v>
      </c>
      <c r="U396" s="232"/>
      <c r="V396" s="398"/>
      <c r="W396" s="398"/>
      <c r="X396" s="398">
        <v>202278</v>
      </c>
      <c r="Y396" s="398">
        <v>14448</v>
      </c>
    </row>
    <row r="397" spans="1:25">
      <c r="A397" s="392">
        <v>94021</v>
      </c>
      <c r="B397" s="393" t="s">
        <v>1100</v>
      </c>
      <c r="C397" s="235">
        <v>1.031E-4</v>
      </c>
      <c r="D397" s="235">
        <v>8.3300000000000005E-5</v>
      </c>
      <c r="E397" s="232">
        <v>368420</v>
      </c>
      <c r="F397" s="232" t="s">
        <v>1930</v>
      </c>
      <c r="G397" s="394">
        <v>46525</v>
      </c>
      <c r="H397" s="394">
        <v>51845</v>
      </c>
      <c r="I397" s="394">
        <v>27418</v>
      </c>
      <c r="J397" s="232">
        <v>30922</v>
      </c>
      <c r="K397" s="232">
        <v>156710</v>
      </c>
      <c r="L397" s="232"/>
      <c r="M397" s="226">
        <v>0</v>
      </c>
      <c r="N397" s="226">
        <v>0</v>
      </c>
      <c r="O397" s="232">
        <v>0</v>
      </c>
      <c r="P397" s="232">
        <v>0</v>
      </c>
      <c r="Q397" s="232"/>
      <c r="R397" s="394">
        <v>126697</v>
      </c>
      <c r="S397" s="232">
        <v>13054</v>
      </c>
      <c r="T397" s="398">
        <v>139751</v>
      </c>
      <c r="U397" s="232"/>
      <c r="V397" s="398"/>
      <c r="W397" s="398"/>
      <c r="X397" s="398">
        <v>747484</v>
      </c>
      <c r="Y397" s="398">
        <v>53391</v>
      </c>
    </row>
    <row r="398" spans="1:25">
      <c r="A398" s="392">
        <v>94031</v>
      </c>
      <c r="B398" s="393" t="s">
        <v>1101</v>
      </c>
      <c r="C398" s="235">
        <v>4.4000000000000002E-6</v>
      </c>
      <c r="D398" s="235">
        <v>4.6E-6</v>
      </c>
      <c r="E398" s="232">
        <v>15723</v>
      </c>
      <c r="F398" s="232" t="s">
        <v>1930</v>
      </c>
      <c r="G398" s="394">
        <v>1986</v>
      </c>
      <c r="H398" s="394">
        <v>2213</v>
      </c>
      <c r="I398" s="394">
        <v>1170</v>
      </c>
      <c r="J398" s="232">
        <v>6367</v>
      </c>
      <c r="K398" s="232">
        <v>11736</v>
      </c>
      <c r="L398" s="232"/>
      <c r="M398" s="226">
        <v>0</v>
      </c>
      <c r="N398" s="226">
        <v>0</v>
      </c>
      <c r="O398" s="232">
        <v>0</v>
      </c>
      <c r="P398" s="232">
        <v>0</v>
      </c>
      <c r="Q398" s="232"/>
      <c r="R398" s="394">
        <v>5407</v>
      </c>
      <c r="S398" s="232">
        <v>3598</v>
      </c>
      <c r="T398" s="398">
        <v>9005</v>
      </c>
      <c r="U398" s="232"/>
      <c r="V398" s="398"/>
      <c r="W398" s="398"/>
      <c r="X398" s="398">
        <v>31900</v>
      </c>
      <c r="Y398" s="398">
        <v>2279</v>
      </c>
    </row>
    <row r="399" spans="1:25">
      <c r="A399" s="392">
        <v>94101</v>
      </c>
      <c r="B399" s="393" t="s">
        <v>1102</v>
      </c>
      <c r="C399" s="235">
        <v>1.7262900000000001E-2</v>
      </c>
      <c r="D399" s="235">
        <v>1.7750700000000001E-2</v>
      </c>
      <c r="E399" s="232">
        <v>61687696</v>
      </c>
      <c r="F399" s="232" t="s">
        <v>1930</v>
      </c>
      <c r="G399" s="394">
        <v>7790074</v>
      </c>
      <c r="H399" s="394">
        <v>8680890</v>
      </c>
      <c r="I399" s="394">
        <v>4590775</v>
      </c>
      <c r="J399" s="232">
        <v>16828</v>
      </c>
      <c r="K399" s="232">
        <v>21078567</v>
      </c>
      <c r="L399" s="232"/>
      <c r="M399" s="226">
        <v>0</v>
      </c>
      <c r="N399" s="226">
        <v>0</v>
      </c>
      <c r="O399" s="232">
        <v>314435</v>
      </c>
      <c r="P399" s="232">
        <v>314435</v>
      </c>
      <c r="Q399" s="232"/>
      <c r="R399" s="394">
        <v>21213946</v>
      </c>
      <c r="S399" s="232">
        <v>-230495</v>
      </c>
      <c r="T399" s="398">
        <v>20983451</v>
      </c>
      <c r="U399" s="232"/>
      <c r="V399" s="398"/>
      <c r="W399" s="398"/>
      <c r="X399" s="398">
        <v>125157613</v>
      </c>
      <c r="Y399" s="398">
        <v>8939731</v>
      </c>
    </row>
    <row r="400" spans="1:25">
      <c r="A400" s="392">
        <v>94102</v>
      </c>
      <c r="B400" s="393" t="s">
        <v>1103</v>
      </c>
      <c r="C400" s="235">
        <v>3.8249999999999997E-4</v>
      </c>
      <c r="D400" s="235">
        <v>3.3849999999999999E-4</v>
      </c>
      <c r="E400" s="232">
        <v>1366835</v>
      </c>
      <c r="F400" s="232" t="s">
        <v>1930</v>
      </c>
      <c r="G400" s="394">
        <v>172607</v>
      </c>
      <c r="H400" s="394">
        <v>192346</v>
      </c>
      <c r="I400" s="394">
        <v>101719</v>
      </c>
      <c r="J400" s="232">
        <v>18850</v>
      </c>
      <c r="K400" s="232">
        <v>485522</v>
      </c>
      <c r="L400" s="232"/>
      <c r="M400" s="226">
        <v>0</v>
      </c>
      <c r="N400" s="226">
        <v>0</v>
      </c>
      <c r="O400" s="232">
        <v>18129</v>
      </c>
      <c r="P400" s="232">
        <v>18129</v>
      </c>
      <c r="Q400" s="232"/>
      <c r="R400" s="394">
        <v>470045</v>
      </c>
      <c r="S400" s="232">
        <v>-8650</v>
      </c>
      <c r="T400" s="398">
        <v>461395</v>
      </c>
      <c r="U400" s="232"/>
      <c r="V400" s="398"/>
      <c r="W400" s="398"/>
      <c r="X400" s="398">
        <v>2773160</v>
      </c>
      <c r="Y400" s="398">
        <v>198081</v>
      </c>
    </row>
    <row r="401" spans="1:25">
      <c r="A401" s="392">
        <v>94108</v>
      </c>
      <c r="B401" s="393" t="s">
        <v>1104</v>
      </c>
      <c r="C401" s="235">
        <v>4.2030000000000002E-4</v>
      </c>
      <c r="D401" s="235">
        <v>3.8289999999999998E-4</v>
      </c>
      <c r="E401" s="232">
        <v>1501911</v>
      </c>
      <c r="F401" s="232" t="s">
        <v>1930</v>
      </c>
      <c r="G401" s="394">
        <v>189665</v>
      </c>
      <c r="H401" s="394">
        <v>211354</v>
      </c>
      <c r="I401" s="394">
        <v>111772</v>
      </c>
      <c r="J401" s="232">
        <v>6794</v>
      </c>
      <c r="K401" s="232">
        <v>519585</v>
      </c>
      <c r="L401" s="232"/>
      <c r="M401" s="226">
        <v>0</v>
      </c>
      <c r="N401" s="226">
        <v>0</v>
      </c>
      <c r="O401" s="232">
        <v>43759</v>
      </c>
      <c r="P401" s="232">
        <v>43759</v>
      </c>
      <c r="Q401" s="232"/>
      <c r="R401" s="394">
        <v>516496</v>
      </c>
      <c r="S401" s="232">
        <v>-30879</v>
      </c>
      <c r="T401" s="398">
        <v>485617</v>
      </c>
      <c r="U401" s="232"/>
      <c r="V401" s="398"/>
      <c r="W401" s="398"/>
      <c r="X401" s="398">
        <v>3047214</v>
      </c>
      <c r="Y401" s="398">
        <v>217656</v>
      </c>
    </row>
    <row r="402" spans="1:25">
      <c r="A402" s="392">
        <v>94109</v>
      </c>
      <c r="B402" s="393" t="s">
        <v>1105</v>
      </c>
      <c r="C402" s="235">
        <v>1.059E-4</v>
      </c>
      <c r="D402" s="235">
        <v>1.048E-4</v>
      </c>
      <c r="E402" s="232">
        <v>378426</v>
      </c>
      <c r="F402" s="232" t="s">
        <v>1930</v>
      </c>
      <c r="G402" s="394">
        <v>47789</v>
      </c>
      <c r="H402" s="394">
        <v>53253</v>
      </c>
      <c r="I402" s="394">
        <v>28162</v>
      </c>
      <c r="J402" s="232">
        <v>0</v>
      </c>
      <c r="K402" s="232">
        <v>129204</v>
      </c>
      <c r="L402" s="232"/>
      <c r="M402" s="226">
        <v>0</v>
      </c>
      <c r="N402" s="226">
        <v>0</v>
      </c>
      <c r="O402" s="232">
        <v>22135</v>
      </c>
      <c r="P402" s="232">
        <v>22135</v>
      </c>
      <c r="Q402" s="232"/>
      <c r="R402" s="394">
        <v>130138</v>
      </c>
      <c r="S402" s="232">
        <v>-16626</v>
      </c>
      <c r="T402" s="398">
        <v>113512</v>
      </c>
      <c r="U402" s="232"/>
      <c r="V402" s="398"/>
      <c r="W402" s="398"/>
      <c r="X402" s="398">
        <v>767785</v>
      </c>
      <c r="Y402" s="398">
        <v>54841</v>
      </c>
    </row>
    <row r="403" spans="1:25">
      <c r="A403" s="392">
        <v>94111</v>
      </c>
      <c r="B403" s="393" t="s">
        <v>1106</v>
      </c>
      <c r="C403" s="235">
        <v>2.4351600000000001E-2</v>
      </c>
      <c r="D403" s="235">
        <v>2.50095E-2</v>
      </c>
      <c r="E403" s="232">
        <v>87018641</v>
      </c>
      <c r="F403" s="232" t="s">
        <v>1930</v>
      </c>
      <c r="G403" s="394">
        <v>10988927</v>
      </c>
      <c r="H403" s="394">
        <v>12245543</v>
      </c>
      <c r="I403" s="394">
        <v>6475894</v>
      </c>
      <c r="J403" s="232">
        <v>0</v>
      </c>
      <c r="K403" s="232">
        <v>29710364</v>
      </c>
      <c r="L403" s="232"/>
      <c r="M403" s="226">
        <v>0</v>
      </c>
      <c r="N403" s="226">
        <v>0</v>
      </c>
      <c r="O403" s="232">
        <v>1367598</v>
      </c>
      <c r="P403" s="232">
        <v>1367598</v>
      </c>
      <c r="Q403" s="232"/>
      <c r="R403" s="394">
        <v>29925072</v>
      </c>
      <c r="S403" s="232">
        <v>-837153</v>
      </c>
      <c r="T403" s="398">
        <v>29087919</v>
      </c>
      <c r="U403" s="232"/>
      <c r="V403" s="398"/>
      <c r="W403" s="398"/>
      <c r="X403" s="398">
        <v>176551340</v>
      </c>
      <c r="Y403" s="398">
        <v>12610671</v>
      </c>
    </row>
    <row r="404" spans="1:25">
      <c r="A404" s="392">
        <v>94112</v>
      </c>
      <c r="B404" s="393" t="s">
        <v>1107</v>
      </c>
      <c r="C404" s="235">
        <v>1.4980000000000001E-4</v>
      </c>
      <c r="D404" s="235">
        <v>1.6870000000000001E-4</v>
      </c>
      <c r="E404" s="232">
        <v>535299</v>
      </c>
      <c r="F404" s="232" t="s">
        <v>1930</v>
      </c>
      <c r="G404" s="394">
        <v>67599</v>
      </c>
      <c r="H404" s="394">
        <v>75329</v>
      </c>
      <c r="I404" s="394">
        <v>39837</v>
      </c>
      <c r="J404" s="232">
        <v>0</v>
      </c>
      <c r="K404" s="232">
        <v>182765</v>
      </c>
      <c r="L404" s="232"/>
      <c r="M404" s="226">
        <v>0</v>
      </c>
      <c r="N404" s="226">
        <v>0</v>
      </c>
      <c r="O404" s="232">
        <v>30471</v>
      </c>
      <c r="P404" s="232">
        <v>30471</v>
      </c>
      <c r="Q404" s="232"/>
      <c r="R404" s="394">
        <v>184085</v>
      </c>
      <c r="S404" s="232">
        <v>-13436</v>
      </c>
      <c r="T404" s="398">
        <v>170649</v>
      </c>
      <c r="U404" s="232"/>
      <c r="V404" s="398"/>
      <c r="W404" s="398"/>
      <c r="X404" s="398">
        <v>1086064</v>
      </c>
      <c r="Y404" s="398">
        <v>77575</v>
      </c>
    </row>
    <row r="405" spans="1:25">
      <c r="A405" s="392">
        <v>94117</v>
      </c>
      <c r="B405" s="393" t="s">
        <v>1108</v>
      </c>
      <c r="C405" s="235">
        <v>3.1700000000000001E-4</v>
      </c>
      <c r="D405" s="235">
        <v>3.232E-4</v>
      </c>
      <c r="E405" s="232">
        <v>1132776</v>
      </c>
      <c r="F405" s="232" t="s">
        <v>1930</v>
      </c>
      <c r="G405" s="394">
        <v>143050</v>
      </c>
      <c r="H405" s="394">
        <v>159408</v>
      </c>
      <c r="I405" s="394">
        <v>84301</v>
      </c>
      <c r="J405" s="232">
        <v>29421</v>
      </c>
      <c r="K405" s="232">
        <v>416180</v>
      </c>
      <c r="L405" s="232"/>
      <c r="M405" s="226">
        <v>0</v>
      </c>
      <c r="N405" s="226">
        <v>0</v>
      </c>
      <c r="O405" s="232">
        <v>19691</v>
      </c>
      <c r="P405" s="232">
        <v>19691</v>
      </c>
      <c r="Q405" s="232"/>
      <c r="R405" s="394">
        <v>389553</v>
      </c>
      <c r="S405" s="232">
        <v>-2295</v>
      </c>
      <c r="T405" s="398">
        <v>387258</v>
      </c>
      <c r="U405" s="232"/>
      <c r="V405" s="398"/>
      <c r="W405" s="398"/>
      <c r="X405" s="398">
        <v>2298279</v>
      </c>
      <c r="Y405" s="398">
        <v>164161</v>
      </c>
    </row>
    <row r="406" spans="1:25">
      <c r="A406" s="392">
        <v>94118</v>
      </c>
      <c r="B406" s="393" t="s">
        <v>1109</v>
      </c>
      <c r="C406" s="235">
        <v>1.5530000000000001E-4</v>
      </c>
      <c r="D406" s="235">
        <v>1.6009999999999999E-4</v>
      </c>
      <c r="E406" s="232">
        <v>554953</v>
      </c>
      <c r="F406" s="232" t="s">
        <v>1930</v>
      </c>
      <c r="G406" s="394">
        <v>70081</v>
      </c>
      <c r="H406" s="394">
        <v>78095</v>
      </c>
      <c r="I406" s="394">
        <v>41299</v>
      </c>
      <c r="J406" s="232">
        <v>0</v>
      </c>
      <c r="K406" s="232">
        <v>189475</v>
      </c>
      <c r="L406" s="232"/>
      <c r="M406" s="226">
        <v>0</v>
      </c>
      <c r="N406" s="226">
        <v>0</v>
      </c>
      <c r="O406" s="232">
        <v>33300</v>
      </c>
      <c r="P406" s="232">
        <v>33300</v>
      </c>
      <c r="Q406" s="232"/>
      <c r="R406" s="394">
        <v>190844</v>
      </c>
      <c r="S406" s="232">
        <v>-20362</v>
      </c>
      <c r="T406" s="398">
        <v>170482</v>
      </c>
      <c r="U406" s="232"/>
      <c r="V406" s="398"/>
      <c r="W406" s="398"/>
      <c r="X406" s="398">
        <v>1125939</v>
      </c>
      <c r="Y406" s="398">
        <v>80423</v>
      </c>
    </row>
    <row r="407" spans="1:25">
      <c r="A407" s="392">
        <v>94121</v>
      </c>
      <c r="B407" s="393" t="s">
        <v>1110</v>
      </c>
      <c r="C407" s="235">
        <v>1.1174099999999999E-2</v>
      </c>
      <c r="D407" s="235">
        <v>1.1113E-2</v>
      </c>
      <c r="E407" s="232">
        <v>39929819</v>
      </c>
      <c r="F407" s="232" t="s">
        <v>1930</v>
      </c>
      <c r="G407" s="394">
        <v>5042436</v>
      </c>
      <c r="H407" s="394">
        <v>5619053</v>
      </c>
      <c r="I407" s="394">
        <v>2971562</v>
      </c>
      <c r="J407" s="232">
        <v>373849</v>
      </c>
      <c r="K407" s="232">
        <v>14006900</v>
      </c>
      <c r="L407" s="232"/>
      <c r="M407" s="226">
        <v>0</v>
      </c>
      <c r="N407" s="226">
        <v>0</v>
      </c>
      <c r="O407" s="232">
        <v>0</v>
      </c>
      <c r="P407" s="232">
        <v>0</v>
      </c>
      <c r="Q407" s="232"/>
      <c r="R407" s="394">
        <v>13731572</v>
      </c>
      <c r="S407" s="232">
        <v>84663</v>
      </c>
      <c r="T407" s="398">
        <v>13816235</v>
      </c>
      <c r="U407" s="232"/>
      <c r="V407" s="398"/>
      <c r="W407" s="398"/>
      <c r="X407" s="398">
        <v>81013253</v>
      </c>
      <c r="Y407" s="398">
        <v>5786597</v>
      </c>
    </row>
    <row r="408" spans="1:25">
      <c r="A408" s="392">
        <v>94127</v>
      </c>
      <c r="B408" s="393" t="s">
        <v>1111</v>
      </c>
      <c r="C408" s="235">
        <v>1.46E-4</v>
      </c>
      <c r="D408" s="235">
        <v>1.4310000000000001E-4</v>
      </c>
      <c r="E408" s="232">
        <v>521720</v>
      </c>
      <c r="F408" s="232" t="s">
        <v>1930</v>
      </c>
      <c r="G408" s="394">
        <v>65884</v>
      </c>
      <c r="H408" s="394">
        <v>73418</v>
      </c>
      <c r="I408" s="394">
        <v>38826</v>
      </c>
      <c r="J408" s="232">
        <v>14485</v>
      </c>
      <c r="K408" s="232">
        <v>192613</v>
      </c>
      <c r="L408" s="232"/>
      <c r="M408" s="226">
        <v>0</v>
      </c>
      <c r="N408" s="226">
        <v>0</v>
      </c>
      <c r="O408" s="232">
        <v>10683</v>
      </c>
      <c r="P408" s="232">
        <v>10683</v>
      </c>
      <c r="Q408" s="232"/>
      <c r="R408" s="394">
        <v>179416</v>
      </c>
      <c r="S408" s="232">
        <v>1845</v>
      </c>
      <c r="T408" s="398">
        <v>181261</v>
      </c>
      <c r="U408" s="232"/>
      <c r="V408" s="398"/>
      <c r="W408" s="398"/>
      <c r="X408" s="398">
        <v>1058513</v>
      </c>
      <c r="Y408" s="398">
        <v>75607</v>
      </c>
    </row>
    <row r="409" spans="1:25">
      <c r="A409" s="392">
        <v>94131</v>
      </c>
      <c r="B409" s="393" t="s">
        <v>1112</v>
      </c>
      <c r="C409" s="235">
        <v>2.1269999999999999E-4</v>
      </c>
      <c r="D409" s="235">
        <v>2.1029999999999999E-4</v>
      </c>
      <c r="E409" s="232">
        <v>760068</v>
      </c>
      <c r="F409" s="232" t="s">
        <v>1930</v>
      </c>
      <c r="G409" s="394">
        <v>95983</v>
      </c>
      <c r="H409" s="394">
        <v>106959</v>
      </c>
      <c r="I409" s="394">
        <v>56564</v>
      </c>
      <c r="J409" s="232">
        <v>20562</v>
      </c>
      <c r="K409" s="232">
        <v>280068</v>
      </c>
      <c r="L409" s="232"/>
      <c r="M409" s="226">
        <v>0</v>
      </c>
      <c r="N409" s="226">
        <v>0</v>
      </c>
      <c r="O409" s="232">
        <v>2127</v>
      </c>
      <c r="P409" s="232">
        <v>2127</v>
      </c>
      <c r="Q409" s="232"/>
      <c r="R409" s="394">
        <v>261382</v>
      </c>
      <c r="S409" s="232">
        <v>6949</v>
      </c>
      <c r="T409" s="398">
        <v>268331</v>
      </c>
      <c r="U409" s="232"/>
      <c r="V409" s="398"/>
      <c r="W409" s="398"/>
      <c r="X409" s="398">
        <v>1542095</v>
      </c>
      <c r="Y409" s="398">
        <v>110148</v>
      </c>
    </row>
    <row r="410" spans="1:25" ht="14.25" customHeight="1">
      <c r="A410" s="392">
        <v>94151</v>
      </c>
      <c r="B410" s="393" t="s">
        <v>1113</v>
      </c>
      <c r="C410" s="235">
        <v>4.3360000000000002E-4</v>
      </c>
      <c r="D410" s="235">
        <v>4.6660000000000001E-4</v>
      </c>
      <c r="E410" s="232">
        <v>1549438</v>
      </c>
      <c r="F410" s="232" t="s">
        <v>1930</v>
      </c>
      <c r="G410" s="394">
        <v>195667</v>
      </c>
      <c r="H410" s="394">
        <v>218041</v>
      </c>
      <c r="I410" s="394">
        <v>115309</v>
      </c>
      <c r="J410" s="232">
        <v>6070</v>
      </c>
      <c r="K410" s="232">
        <v>535087</v>
      </c>
      <c r="L410" s="232"/>
      <c r="M410" s="226">
        <v>0</v>
      </c>
      <c r="N410" s="226">
        <v>0</v>
      </c>
      <c r="O410" s="232">
        <v>70239</v>
      </c>
      <c r="P410" s="232">
        <v>70239</v>
      </c>
      <c r="Q410" s="232"/>
      <c r="R410" s="394">
        <v>532840</v>
      </c>
      <c r="S410" s="232">
        <v>-26202</v>
      </c>
      <c r="T410" s="398">
        <v>506638</v>
      </c>
      <c r="U410" s="232"/>
      <c r="V410" s="398"/>
      <c r="W410" s="398"/>
      <c r="X410" s="398">
        <v>3143640</v>
      </c>
      <c r="Y410" s="398">
        <v>224543</v>
      </c>
    </row>
    <row r="411" spans="1:25">
      <c r="A411" s="392">
        <v>94157</v>
      </c>
      <c r="B411" s="393" t="s">
        <v>1114</v>
      </c>
      <c r="C411" s="235">
        <v>9.7000000000000003E-6</v>
      </c>
      <c r="D411" s="235">
        <v>8.6000000000000007E-6</v>
      </c>
      <c r="E411" s="232">
        <v>34662</v>
      </c>
      <c r="F411" s="232" t="s">
        <v>1930</v>
      </c>
      <c r="G411" s="394">
        <v>4377</v>
      </c>
      <c r="H411" s="394">
        <v>4878</v>
      </c>
      <c r="I411" s="394">
        <v>2580</v>
      </c>
      <c r="J411" s="232">
        <v>3551</v>
      </c>
      <c r="K411" s="232">
        <v>15386</v>
      </c>
      <c r="L411" s="232"/>
      <c r="M411" s="226">
        <v>0</v>
      </c>
      <c r="N411" s="226">
        <v>0</v>
      </c>
      <c r="O411" s="232">
        <v>0</v>
      </c>
      <c r="P411" s="232">
        <v>0</v>
      </c>
      <c r="Q411" s="232"/>
      <c r="R411" s="394">
        <v>11920</v>
      </c>
      <c r="S411" s="232">
        <v>1658</v>
      </c>
      <c r="T411" s="398">
        <v>13578</v>
      </c>
      <c r="U411" s="232"/>
      <c r="V411" s="398"/>
      <c r="W411" s="398"/>
      <c r="X411" s="398">
        <v>70326</v>
      </c>
      <c r="Y411" s="398">
        <v>5023</v>
      </c>
    </row>
    <row r="412" spans="1:25">
      <c r="A412" s="392">
        <v>94161</v>
      </c>
      <c r="B412" s="393" t="s">
        <v>1115</v>
      </c>
      <c r="C412" s="235">
        <v>4.9200000000000003E-5</v>
      </c>
      <c r="D412" s="235">
        <v>4.8600000000000002E-5</v>
      </c>
      <c r="E412" s="232">
        <v>175813</v>
      </c>
      <c r="F412" s="232" t="s">
        <v>1930</v>
      </c>
      <c r="G412" s="394">
        <v>22202</v>
      </c>
      <c r="H412" s="394">
        <v>24741</v>
      </c>
      <c r="I412" s="394">
        <v>13084</v>
      </c>
      <c r="J412" s="232">
        <v>13128</v>
      </c>
      <c r="K412" s="232">
        <v>73155</v>
      </c>
      <c r="L412" s="232"/>
      <c r="M412" s="226">
        <v>0</v>
      </c>
      <c r="N412" s="226">
        <v>0</v>
      </c>
      <c r="O412" s="232">
        <v>4515</v>
      </c>
      <c r="P412" s="232">
        <v>4515</v>
      </c>
      <c r="Q412" s="232"/>
      <c r="R412" s="394">
        <v>60461</v>
      </c>
      <c r="S412" s="232">
        <v>1978</v>
      </c>
      <c r="T412" s="398">
        <v>62439</v>
      </c>
      <c r="U412" s="232"/>
      <c r="V412" s="398"/>
      <c r="W412" s="398"/>
      <c r="X412" s="398">
        <v>356705</v>
      </c>
      <c r="Y412" s="398">
        <v>25479</v>
      </c>
    </row>
    <row r="413" spans="1:25">
      <c r="A413" s="392">
        <v>94168</v>
      </c>
      <c r="B413" s="393" t="s">
        <v>1116</v>
      </c>
      <c r="C413" s="235">
        <v>6.6600000000000006E-5</v>
      </c>
      <c r="D413" s="235">
        <v>5.5099999999999998E-5</v>
      </c>
      <c r="E413" s="232">
        <v>237990</v>
      </c>
      <c r="F413" s="232" t="s">
        <v>1930</v>
      </c>
      <c r="G413" s="394">
        <v>30054</v>
      </c>
      <c r="H413" s="394">
        <v>33491</v>
      </c>
      <c r="I413" s="394">
        <v>17711</v>
      </c>
      <c r="J413" s="232">
        <v>21043</v>
      </c>
      <c r="K413" s="232">
        <v>102299</v>
      </c>
      <c r="L413" s="232"/>
      <c r="M413" s="226">
        <v>0</v>
      </c>
      <c r="N413" s="226">
        <v>0</v>
      </c>
      <c r="O413" s="232">
        <v>800</v>
      </c>
      <c r="P413" s="232">
        <v>800</v>
      </c>
      <c r="Q413" s="232"/>
      <c r="R413" s="394">
        <v>81843</v>
      </c>
      <c r="S413" s="232">
        <v>6275</v>
      </c>
      <c r="T413" s="398">
        <v>88118</v>
      </c>
      <c r="U413" s="232"/>
      <c r="V413" s="398"/>
      <c r="W413" s="398"/>
      <c r="X413" s="398">
        <v>482856</v>
      </c>
      <c r="Y413" s="398">
        <v>34489</v>
      </c>
    </row>
    <row r="414" spans="1:25">
      <c r="A414" s="392">
        <v>94171</v>
      </c>
      <c r="B414" s="393" t="s">
        <v>1117</v>
      </c>
      <c r="C414" s="235">
        <v>6.9999999999999994E-5</v>
      </c>
      <c r="D414" s="235">
        <v>6.1799999999999998E-5</v>
      </c>
      <c r="E414" s="232">
        <v>250140</v>
      </c>
      <c r="F414" s="232" t="s">
        <v>1930</v>
      </c>
      <c r="G414" s="394">
        <v>31588</v>
      </c>
      <c r="H414" s="394">
        <v>35201</v>
      </c>
      <c r="I414" s="394">
        <v>18615</v>
      </c>
      <c r="J414" s="232">
        <v>8508</v>
      </c>
      <c r="K414" s="232">
        <v>93912</v>
      </c>
      <c r="L414" s="232"/>
      <c r="M414" s="226">
        <v>0</v>
      </c>
      <c r="N414" s="226">
        <v>0</v>
      </c>
      <c r="O414" s="232">
        <v>12440</v>
      </c>
      <c r="P414" s="232">
        <v>12440</v>
      </c>
      <c r="Q414" s="232"/>
      <c r="R414" s="394">
        <v>86021</v>
      </c>
      <c r="S414" s="232">
        <v>3</v>
      </c>
      <c r="T414" s="398">
        <v>86024</v>
      </c>
      <c r="U414" s="232"/>
      <c r="V414" s="398"/>
      <c r="W414" s="398"/>
      <c r="X414" s="398">
        <v>507506</v>
      </c>
      <c r="Y414" s="398">
        <v>36250</v>
      </c>
    </row>
    <row r="415" spans="1:25">
      <c r="A415" s="392">
        <v>94172</v>
      </c>
      <c r="B415" s="393" t="s">
        <v>1118</v>
      </c>
      <c r="C415" s="235">
        <v>2.7050000000000002E-4</v>
      </c>
      <c r="D415" s="235">
        <v>2.8210000000000003E-4</v>
      </c>
      <c r="E415" s="232">
        <v>966612</v>
      </c>
      <c r="F415" s="232" t="s">
        <v>1930</v>
      </c>
      <c r="G415" s="394">
        <v>122066</v>
      </c>
      <c r="H415" s="394">
        <v>136025</v>
      </c>
      <c r="I415" s="394">
        <v>71935</v>
      </c>
      <c r="J415" s="232">
        <v>0</v>
      </c>
      <c r="K415" s="232">
        <v>330026</v>
      </c>
      <c r="L415" s="232"/>
      <c r="M415" s="226">
        <v>0</v>
      </c>
      <c r="N415" s="226">
        <v>0</v>
      </c>
      <c r="O415" s="232">
        <v>74610</v>
      </c>
      <c r="P415" s="232">
        <v>74610</v>
      </c>
      <c r="Q415" s="232"/>
      <c r="R415" s="394">
        <v>332411</v>
      </c>
      <c r="S415" s="232">
        <v>-41040</v>
      </c>
      <c r="T415" s="398">
        <v>291371</v>
      </c>
      <c r="U415" s="232"/>
      <c r="V415" s="398"/>
      <c r="W415" s="398"/>
      <c r="X415" s="398">
        <v>1961150</v>
      </c>
      <c r="Y415" s="398">
        <v>140081</v>
      </c>
    </row>
    <row r="416" spans="1:25">
      <c r="A416" s="392">
        <v>94201</v>
      </c>
      <c r="B416" s="393" t="s">
        <v>1119</v>
      </c>
      <c r="C416" s="235">
        <v>3.0286000000000002E-3</v>
      </c>
      <c r="D416" s="235">
        <v>3.2504999999999999E-3</v>
      </c>
      <c r="E416" s="232">
        <v>10822478</v>
      </c>
      <c r="F416" s="232" t="s">
        <v>1930</v>
      </c>
      <c r="G416" s="394">
        <v>1366689</v>
      </c>
      <c r="H416" s="394">
        <v>1522974</v>
      </c>
      <c r="I416" s="394">
        <v>805405</v>
      </c>
      <c r="J416" s="232">
        <v>7846</v>
      </c>
      <c r="K416" s="232">
        <v>3702914</v>
      </c>
      <c r="L416" s="232"/>
      <c r="M416" s="226">
        <v>0</v>
      </c>
      <c r="N416" s="226">
        <v>0</v>
      </c>
      <c r="O416" s="232">
        <v>259660</v>
      </c>
      <c r="P416" s="232">
        <v>259660</v>
      </c>
      <c r="Q416" s="232"/>
      <c r="R416" s="394">
        <v>3721771</v>
      </c>
      <c r="S416" s="232">
        <v>-94008</v>
      </c>
      <c r="T416" s="398">
        <v>3627763</v>
      </c>
      <c r="U416" s="232"/>
      <c r="V416" s="398"/>
      <c r="W416" s="398"/>
      <c r="X416" s="398">
        <v>21957629</v>
      </c>
      <c r="Y416" s="398">
        <v>1568385</v>
      </c>
    </row>
    <row r="417" spans="1:25">
      <c r="A417" s="392">
        <v>94204</v>
      </c>
      <c r="B417" s="393" t="s">
        <v>1120</v>
      </c>
      <c r="C417" s="235">
        <v>3.3500000000000001E-5</v>
      </c>
      <c r="D417" s="235">
        <v>2.97E-5</v>
      </c>
      <c r="E417" s="232">
        <v>119710</v>
      </c>
      <c r="F417" s="232" t="s">
        <v>1930</v>
      </c>
      <c r="G417" s="394">
        <v>15117</v>
      </c>
      <c r="H417" s="394">
        <v>16846</v>
      </c>
      <c r="I417" s="394">
        <v>8909</v>
      </c>
      <c r="J417" s="232">
        <v>15995</v>
      </c>
      <c r="K417" s="232">
        <v>56867</v>
      </c>
      <c r="L417" s="232"/>
      <c r="M417" s="226">
        <v>0</v>
      </c>
      <c r="N417" s="226">
        <v>0</v>
      </c>
      <c r="O417" s="232">
        <v>0</v>
      </c>
      <c r="P417" s="232">
        <v>0</v>
      </c>
      <c r="Q417" s="232"/>
      <c r="R417" s="394">
        <v>41167</v>
      </c>
      <c r="S417" s="232">
        <v>7622</v>
      </c>
      <c r="T417" s="398">
        <v>48789</v>
      </c>
      <c r="U417" s="232"/>
      <c r="V417" s="398"/>
      <c r="W417" s="398"/>
      <c r="X417" s="398">
        <v>242878</v>
      </c>
      <c r="Y417" s="398">
        <v>17348</v>
      </c>
    </row>
    <row r="418" spans="1:25">
      <c r="A418" s="392">
        <v>94205</v>
      </c>
      <c r="B418" s="393" t="s">
        <v>1121</v>
      </c>
      <c r="C418" s="235">
        <v>1.49E-5</v>
      </c>
      <c r="D418" s="235">
        <v>1.6200000000000001E-5</v>
      </c>
      <c r="E418" s="232">
        <v>53244</v>
      </c>
      <c r="F418" s="232" t="s">
        <v>1930</v>
      </c>
      <c r="G418" s="394">
        <v>6724</v>
      </c>
      <c r="H418" s="394">
        <v>7493</v>
      </c>
      <c r="I418" s="394">
        <v>3962</v>
      </c>
      <c r="J418" s="232">
        <v>3026</v>
      </c>
      <c r="K418" s="232">
        <v>21205</v>
      </c>
      <c r="L418" s="232"/>
      <c r="M418" s="226">
        <v>0</v>
      </c>
      <c r="N418" s="226">
        <v>0</v>
      </c>
      <c r="O418" s="232">
        <v>427</v>
      </c>
      <c r="P418" s="232">
        <v>427</v>
      </c>
      <c r="Q418" s="232"/>
      <c r="R418" s="394">
        <v>18310</v>
      </c>
      <c r="S418" s="232">
        <v>821</v>
      </c>
      <c r="T418" s="398">
        <v>19131</v>
      </c>
      <c r="U418" s="232"/>
      <c r="V418" s="398"/>
      <c r="W418" s="398"/>
      <c r="X418" s="398">
        <v>108026</v>
      </c>
      <c r="Y418" s="398">
        <v>7716</v>
      </c>
    </row>
    <row r="419" spans="1:25">
      <c r="A419" s="392">
        <v>94209</v>
      </c>
      <c r="B419" s="393" t="s">
        <v>1122</v>
      </c>
      <c r="C419" s="235">
        <v>3.1399999999999999E-4</v>
      </c>
      <c r="D419" s="235">
        <v>3.2519999999999999E-4</v>
      </c>
      <c r="E419" s="232">
        <v>1122056</v>
      </c>
      <c r="F419" s="232" t="s">
        <v>1930</v>
      </c>
      <c r="G419" s="394">
        <v>141696</v>
      </c>
      <c r="H419" s="394">
        <v>157899</v>
      </c>
      <c r="I419" s="394">
        <v>83503</v>
      </c>
      <c r="J419" s="232">
        <v>7494</v>
      </c>
      <c r="K419" s="232">
        <v>390592</v>
      </c>
      <c r="L419" s="232"/>
      <c r="M419" s="226">
        <v>0</v>
      </c>
      <c r="N419" s="226">
        <v>0</v>
      </c>
      <c r="O419" s="232">
        <v>18322</v>
      </c>
      <c r="P419" s="232">
        <v>18322</v>
      </c>
      <c r="Q419" s="232"/>
      <c r="R419" s="394">
        <v>385867</v>
      </c>
      <c r="S419" s="232">
        <v>-5759</v>
      </c>
      <c r="T419" s="398">
        <v>380108</v>
      </c>
      <c r="U419" s="232"/>
      <c r="V419" s="398"/>
      <c r="W419" s="398"/>
      <c r="X419" s="398">
        <v>2276529</v>
      </c>
      <c r="Y419" s="398">
        <v>162607</v>
      </c>
    </row>
    <row r="420" spans="1:25">
      <c r="A420" s="392">
        <v>94211</v>
      </c>
      <c r="B420" s="393" t="s">
        <v>1123</v>
      </c>
      <c r="C420" s="235">
        <v>1.4660000000000001E-4</v>
      </c>
      <c r="D420" s="235">
        <v>1.5359999999999999E-4</v>
      </c>
      <c r="E420" s="232">
        <v>523864</v>
      </c>
      <c r="F420" s="232" t="s">
        <v>1930</v>
      </c>
      <c r="G420" s="394">
        <v>66155</v>
      </c>
      <c r="H420" s="394">
        <v>73720</v>
      </c>
      <c r="I420" s="394">
        <v>38986</v>
      </c>
      <c r="J420" s="232">
        <v>4770</v>
      </c>
      <c r="K420" s="232">
        <v>183631</v>
      </c>
      <c r="L420" s="232"/>
      <c r="M420" s="226">
        <v>0</v>
      </c>
      <c r="N420" s="226">
        <v>0</v>
      </c>
      <c r="O420" s="232">
        <v>11561</v>
      </c>
      <c r="P420" s="232">
        <v>11561</v>
      </c>
      <c r="Q420" s="232"/>
      <c r="R420" s="394">
        <v>180153</v>
      </c>
      <c r="S420" s="232">
        <v>-443</v>
      </c>
      <c r="T420" s="398">
        <v>179710</v>
      </c>
      <c r="U420" s="232"/>
      <c r="V420" s="398"/>
      <c r="W420" s="398"/>
      <c r="X420" s="398">
        <v>1062863</v>
      </c>
      <c r="Y420" s="398">
        <v>75918</v>
      </c>
    </row>
    <row r="421" spans="1:25">
      <c r="A421" s="392">
        <v>94221</v>
      </c>
      <c r="B421" s="393" t="s">
        <v>1124</v>
      </c>
      <c r="C421" s="235">
        <v>9.7799999999999992E-4</v>
      </c>
      <c r="D421" s="235">
        <v>9.8189999999999996E-4</v>
      </c>
      <c r="E421" s="232">
        <v>3494811</v>
      </c>
      <c r="F421" s="232" t="s">
        <v>1930</v>
      </c>
      <c r="G421" s="394">
        <v>441333</v>
      </c>
      <c r="H421" s="394">
        <v>491801</v>
      </c>
      <c r="I421" s="394">
        <v>260082</v>
      </c>
      <c r="J421" s="232">
        <v>0</v>
      </c>
      <c r="K421" s="232">
        <v>1193216</v>
      </c>
      <c r="L421" s="232"/>
      <c r="M421" s="226">
        <v>0</v>
      </c>
      <c r="N421" s="226">
        <v>0</v>
      </c>
      <c r="O421" s="232">
        <v>94933</v>
      </c>
      <c r="P421" s="232">
        <v>94933</v>
      </c>
      <c r="Q421" s="232"/>
      <c r="R421" s="394">
        <v>1201840</v>
      </c>
      <c r="S421" s="232">
        <v>-55930</v>
      </c>
      <c r="T421" s="398">
        <v>1145910</v>
      </c>
      <c r="U421" s="232"/>
      <c r="V421" s="398"/>
      <c r="W421" s="398"/>
      <c r="X421" s="398">
        <v>7090590</v>
      </c>
      <c r="Y421" s="398">
        <v>506465</v>
      </c>
    </row>
    <row r="422" spans="1:25" ht="14.25" customHeight="1">
      <c r="A422" s="392">
        <v>94231</v>
      </c>
      <c r="B422" s="393" t="s">
        <v>1125</v>
      </c>
      <c r="C422" s="235">
        <v>1.2640000000000001E-4</v>
      </c>
      <c r="D422" s="235">
        <v>1.485E-4</v>
      </c>
      <c r="E422" s="232">
        <v>451681</v>
      </c>
      <c r="F422" s="232" t="s">
        <v>1930</v>
      </c>
      <c r="G422" s="394">
        <v>57039</v>
      </c>
      <c r="H422" s="394">
        <v>63562</v>
      </c>
      <c r="I422" s="394">
        <v>33614</v>
      </c>
      <c r="J422" s="232">
        <v>1722</v>
      </c>
      <c r="K422" s="232">
        <v>155937</v>
      </c>
      <c r="L422" s="232"/>
      <c r="M422" s="226">
        <v>0</v>
      </c>
      <c r="N422" s="226">
        <v>0</v>
      </c>
      <c r="O422" s="232">
        <v>59411</v>
      </c>
      <c r="P422" s="232">
        <v>59411</v>
      </c>
      <c r="Q422" s="232"/>
      <c r="R422" s="394">
        <v>155330</v>
      </c>
      <c r="S422" s="232">
        <v>-19704</v>
      </c>
      <c r="T422" s="398">
        <v>135626</v>
      </c>
      <c r="U422" s="232"/>
      <c r="V422" s="398"/>
      <c r="W422" s="398"/>
      <c r="X422" s="398">
        <v>916412</v>
      </c>
      <c r="Y422" s="398">
        <v>65457</v>
      </c>
    </row>
    <row r="423" spans="1:25">
      <c r="A423" s="392">
        <v>94241</v>
      </c>
      <c r="B423" s="393" t="s">
        <v>1126</v>
      </c>
      <c r="C423" s="235">
        <v>1.3630000000000001E-4</v>
      </c>
      <c r="D423" s="235">
        <v>1.106E-4</v>
      </c>
      <c r="E423" s="232">
        <v>487058</v>
      </c>
      <c r="F423" s="232" t="s">
        <v>1930</v>
      </c>
      <c r="G423" s="394">
        <v>61507</v>
      </c>
      <c r="H423" s="394">
        <v>68540</v>
      </c>
      <c r="I423" s="394">
        <v>36247</v>
      </c>
      <c r="J423" s="232">
        <v>50685</v>
      </c>
      <c r="K423" s="232">
        <v>216979</v>
      </c>
      <c r="L423" s="232"/>
      <c r="M423" s="226">
        <v>0</v>
      </c>
      <c r="N423" s="226">
        <v>0</v>
      </c>
      <c r="O423" s="232">
        <v>10204</v>
      </c>
      <c r="P423" s="232">
        <v>10204</v>
      </c>
      <c r="Q423" s="232"/>
      <c r="R423" s="394">
        <v>167496</v>
      </c>
      <c r="S423" s="232">
        <v>17456</v>
      </c>
      <c r="T423" s="398">
        <v>184952</v>
      </c>
      <c r="U423" s="232"/>
      <c r="V423" s="398"/>
      <c r="W423" s="398"/>
      <c r="X423" s="398">
        <v>988188</v>
      </c>
      <c r="Y423" s="398">
        <v>70584</v>
      </c>
    </row>
    <row r="424" spans="1:25">
      <c r="A424" s="392">
        <v>94251</v>
      </c>
      <c r="B424" s="393" t="s">
        <v>1127</v>
      </c>
      <c r="C424" s="235">
        <v>1.7799999999999999E-5</v>
      </c>
      <c r="D424" s="235">
        <v>1.7799999999999999E-5</v>
      </c>
      <c r="E424" s="232">
        <v>63607</v>
      </c>
      <c r="F424" s="232" t="s">
        <v>1930</v>
      </c>
      <c r="G424" s="394">
        <v>8032</v>
      </c>
      <c r="H424" s="394">
        <v>8951</v>
      </c>
      <c r="I424" s="394">
        <v>4734</v>
      </c>
      <c r="J424" s="232">
        <v>2495</v>
      </c>
      <c r="K424" s="232">
        <v>24212</v>
      </c>
      <c r="L424" s="232"/>
      <c r="M424" s="226">
        <v>0</v>
      </c>
      <c r="N424" s="226">
        <v>0</v>
      </c>
      <c r="O424" s="232">
        <v>529</v>
      </c>
      <c r="P424" s="232">
        <v>529</v>
      </c>
      <c r="Q424" s="232"/>
      <c r="R424" s="394">
        <v>21874</v>
      </c>
      <c r="S424" s="232">
        <v>183</v>
      </c>
      <c r="T424" s="398">
        <v>22057</v>
      </c>
      <c r="U424" s="232"/>
      <c r="V424" s="398"/>
      <c r="W424" s="398"/>
      <c r="X424" s="398">
        <v>129052</v>
      </c>
      <c r="Y424" s="398">
        <v>9218</v>
      </c>
    </row>
    <row r="425" spans="1:25">
      <c r="A425" s="392">
        <v>94261</v>
      </c>
      <c r="B425" s="393" t="s">
        <v>1128</v>
      </c>
      <c r="C425" s="235">
        <v>3.7100000000000001E-5</v>
      </c>
      <c r="D425" s="235">
        <v>4.6600000000000001E-5</v>
      </c>
      <c r="E425" s="232">
        <v>132574</v>
      </c>
      <c r="F425" s="232" t="s">
        <v>1930</v>
      </c>
      <c r="G425" s="394">
        <v>16742</v>
      </c>
      <c r="H425" s="394">
        <v>18657</v>
      </c>
      <c r="I425" s="394">
        <v>9866</v>
      </c>
      <c r="J425" s="232">
        <v>6856</v>
      </c>
      <c r="K425" s="232">
        <v>52121</v>
      </c>
      <c r="L425" s="232"/>
      <c r="M425" s="226">
        <v>0</v>
      </c>
      <c r="N425" s="226">
        <v>0</v>
      </c>
      <c r="O425" s="232">
        <v>11994</v>
      </c>
      <c r="P425" s="232">
        <v>11994</v>
      </c>
      <c r="Q425" s="232"/>
      <c r="R425" s="394">
        <v>45591</v>
      </c>
      <c r="S425" s="232">
        <v>1205</v>
      </c>
      <c r="T425" s="398">
        <v>46796</v>
      </c>
      <c r="U425" s="232"/>
      <c r="V425" s="398"/>
      <c r="W425" s="398"/>
      <c r="X425" s="398">
        <v>268978</v>
      </c>
      <c r="Y425" s="398">
        <v>19213</v>
      </c>
    </row>
    <row r="426" spans="1:25">
      <c r="A426" s="392">
        <v>94301</v>
      </c>
      <c r="B426" s="393" t="s">
        <v>1129</v>
      </c>
      <c r="C426" s="235">
        <v>6.1066999999999996E-3</v>
      </c>
      <c r="D426" s="235">
        <v>6.3099000000000002E-3</v>
      </c>
      <c r="E426" s="232">
        <v>21821841</v>
      </c>
      <c r="F426" s="232" t="s">
        <v>1930</v>
      </c>
      <c r="G426" s="394">
        <v>2755716</v>
      </c>
      <c r="H426" s="394">
        <v>3070840</v>
      </c>
      <c r="I426" s="394">
        <v>1623973</v>
      </c>
      <c r="J426" s="232">
        <v>21528</v>
      </c>
      <c r="K426" s="232">
        <v>7472057</v>
      </c>
      <c r="L426" s="232"/>
      <c r="M426" s="226">
        <v>0</v>
      </c>
      <c r="N426" s="226">
        <v>0</v>
      </c>
      <c r="O426" s="232">
        <v>364201</v>
      </c>
      <c r="P426" s="232">
        <v>364201</v>
      </c>
      <c r="Q426" s="232"/>
      <c r="R426" s="394">
        <v>7504371</v>
      </c>
      <c r="S426" s="232">
        <v>-121348</v>
      </c>
      <c r="T426" s="398">
        <v>7383023</v>
      </c>
      <c r="U426" s="232"/>
      <c r="V426" s="398"/>
      <c r="W426" s="398"/>
      <c r="X426" s="398">
        <v>44274137</v>
      </c>
      <c r="Y426" s="398">
        <v>3162403</v>
      </c>
    </row>
    <row r="427" spans="1:25">
      <c r="A427" s="392">
        <v>94311</v>
      </c>
      <c r="B427" s="393" t="s">
        <v>1130</v>
      </c>
      <c r="C427" s="235">
        <v>7.85E-4</v>
      </c>
      <c r="D427" s="235">
        <v>7.7700000000000002E-4</v>
      </c>
      <c r="E427" s="232">
        <v>2805139</v>
      </c>
      <c r="F427" s="232" t="s">
        <v>1930</v>
      </c>
      <c r="G427" s="394">
        <v>354240</v>
      </c>
      <c r="H427" s="394">
        <v>394748</v>
      </c>
      <c r="I427" s="394">
        <v>208757</v>
      </c>
      <c r="J427" s="232">
        <v>51143</v>
      </c>
      <c r="K427" s="232">
        <v>1008888</v>
      </c>
      <c r="L427" s="232"/>
      <c r="M427" s="226">
        <v>0</v>
      </c>
      <c r="N427" s="226">
        <v>0</v>
      </c>
      <c r="O427" s="232">
        <v>11878</v>
      </c>
      <c r="P427" s="232">
        <v>11878</v>
      </c>
      <c r="Q427" s="232"/>
      <c r="R427" s="394">
        <v>964667</v>
      </c>
      <c r="S427" s="232">
        <v>5041</v>
      </c>
      <c r="T427" s="398">
        <v>969708</v>
      </c>
      <c r="U427" s="232"/>
      <c r="V427" s="398"/>
      <c r="W427" s="398"/>
      <c r="X427" s="398">
        <v>5691322</v>
      </c>
      <c r="Y427" s="398">
        <v>406519</v>
      </c>
    </row>
    <row r="428" spans="1:25">
      <c r="A428" s="392">
        <v>94313</v>
      </c>
      <c r="B428" s="393" t="s">
        <v>1131</v>
      </c>
      <c r="C428" s="235">
        <v>1.7099999999999999E-5</v>
      </c>
      <c r="D428" s="235">
        <v>1.4399999999999999E-5</v>
      </c>
      <c r="E428" s="232">
        <v>61106</v>
      </c>
      <c r="F428" s="232" t="s">
        <v>1930</v>
      </c>
      <c r="G428" s="394">
        <v>7717</v>
      </c>
      <c r="H428" s="394">
        <v>8599</v>
      </c>
      <c r="I428" s="394">
        <v>4547</v>
      </c>
      <c r="J428" s="232">
        <v>10241</v>
      </c>
      <c r="K428" s="232">
        <v>31104</v>
      </c>
      <c r="L428" s="232"/>
      <c r="M428" s="226">
        <v>0</v>
      </c>
      <c r="N428" s="226">
        <v>0</v>
      </c>
      <c r="O428" s="232">
        <v>305</v>
      </c>
      <c r="P428" s="232">
        <v>305</v>
      </c>
      <c r="Q428" s="232"/>
      <c r="R428" s="394">
        <v>21014</v>
      </c>
      <c r="S428" s="232">
        <v>5054</v>
      </c>
      <c r="T428" s="398">
        <v>26068</v>
      </c>
      <c r="U428" s="232"/>
      <c r="V428" s="398"/>
      <c r="W428" s="398"/>
      <c r="X428" s="398">
        <v>123977</v>
      </c>
      <c r="Y428" s="398">
        <v>8855</v>
      </c>
    </row>
    <row r="429" spans="1:25">
      <c r="A429" s="392">
        <v>94317</v>
      </c>
      <c r="B429" s="393" t="s">
        <v>1132</v>
      </c>
      <c r="C429" s="235">
        <v>4.7999999999999998E-6</v>
      </c>
      <c r="D429" s="235">
        <v>1.0699999999999999E-5</v>
      </c>
      <c r="E429" s="232">
        <v>17152</v>
      </c>
      <c r="F429" s="232" t="s">
        <v>1930</v>
      </c>
      <c r="G429" s="394">
        <v>2166</v>
      </c>
      <c r="H429" s="394">
        <v>2414</v>
      </c>
      <c r="I429" s="394">
        <v>1276</v>
      </c>
      <c r="J429" s="232">
        <v>5445</v>
      </c>
      <c r="K429" s="232">
        <v>11301</v>
      </c>
      <c r="L429" s="232"/>
      <c r="M429" s="226">
        <v>0</v>
      </c>
      <c r="N429" s="226">
        <v>0</v>
      </c>
      <c r="O429" s="232">
        <v>1452</v>
      </c>
      <c r="P429" s="232">
        <v>1452</v>
      </c>
      <c r="Q429" s="232"/>
      <c r="R429" s="394">
        <v>5899</v>
      </c>
      <c r="S429" s="232">
        <v>2851</v>
      </c>
      <c r="T429" s="398">
        <v>8750</v>
      </c>
      <c r="U429" s="232"/>
      <c r="V429" s="398"/>
      <c r="W429" s="398"/>
      <c r="X429" s="398">
        <v>34800</v>
      </c>
      <c r="Y429" s="398">
        <v>2486</v>
      </c>
    </row>
    <row r="430" spans="1:25">
      <c r="A430" s="392">
        <v>94321</v>
      </c>
      <c r="B430" s="393" t="s">
        <v>1133</v>
      </c>
      <c r="C430" s="235">
        <v>3.1559999999999997E-4</v>
      </c>
      <c r="D430" s="235">
        <v>2.8079999999999999E-4</v>
      </c>
      <c r="E430" s="232">
        <v>1127773</v>
      </c>
      <c r="F430" s="232" t="s">
        <v>1930</v>
      </c>
      <c r="G430" s="394">
        <v>142418</v>
      </c>
      <c r="H430" s="394">
        <v>158704</v>
      </c>
      <c r="I430" s="394">
        <v>83928</v>
      </c>
      <c r="J430" s="232">
        <v>37930</v>
      </c>
      <c r="K430" s="232">
        <v>422980</v>
      </c>
      <c r="L430" s="232"/>
      <c r="M430" s="226">
        <v>0</v>
      </c>
      <c r="N430" s="226">
        <v>0</v>
      </c>
      <c r="O430" s="232">
        <v>8982</v>
      </c>
      <c r="P430" s="232">
        <v>8982</v>
      </c>
      <c r="Q430" s="232"/>
      <c r="R430" s="394">
        <v>387833</v>
      </c>
      <c r="S430" s="232">
        <v>4761</v>
      </c>
      <c r="T430" s="398">
        <v>392594</v>
      </c>
      <c r="U430" s="232"/>
      <c r="V430" s="398"/>
      <c r="W430" s="398"/>
      <c r="X430" s="398">
        <v>2288129</v>
      </c>
      <c r="Y430" s="398">
        <v>163436</v>
      </c>
    </row>
    <row r="431" spans="1:25">
      <c r="A431" s="392">
        <v>94331</v>
      </c>
      <c r="B431" s="393" t="s">
        <v>1134</v>
      </c>
      <c r="C431" s="235">
        <v>1.5080000000000001E-4</v>
      </c>
      <c r="D431" s="235">
        <v>1.5190000000000001E-4</v>
      </c>
      <c r="E431" s="232">
        <v>538873</v>
      </c>
      <c r="F431" s="232" t="s">
        <v>1930</v>
      </c>
      <c r="G431" s="394">
        <v>68050</v>
      </c>
      <c r="H431" s="394">
        <v>75831</v>
      </c>
      <c r="I431" s="394">
        <v>40103</v>
      </c>
      <c r="J431" s="232">
        <v>11088</v>
      </c>
      <c r="K431" s="232">
        <v>195072</v>
      </c>
      <c r="L431" s="232"/>
      <c r="M431" s="226">
        <v>0</v>
      </c>
      <c r="N431" s="226">
        <v>0</v>
      </c>
      <c r="O431" s="232">
        <v>6972</v>
      </c>
      <c r="P431" s="232">
        <v>6972</v>
      </c>
      <c r="Q431" s="232"/>
      <c r="R431" s="394">
        <v>185314</v>
      </c>
      <c r="S431" s="232">
        <v>523</v>
      </c>
      <c r="T431" s="398">
        <v>185837</v>
      </c>
      <c r="U431" s="232"/>
      <c r="V431" s="398"/>
      <c r="W431" s="398"/>
      <c r="X431" s="398">
        <v>1093314</v>
      </c>
      <c r="Y431" s="398">
        <v>78093</v>
      </c>
    </row>
    <row r="432" spans="1:25">
      <c r="A432" s="392">
        <v>94341</v>
      </c>
      <c r="B432" s="393" t="s">
        <v>1135</v>
      </c>
      <c r="C432" s="235">
        <v>9.2700000000000004E-5</v>
      </c>
      <c r="D432" s="235">
        <v>9.8800000000000003E-5</v>
      </c>
      <c r="E432" s="232">
        <v>331257</v>
      </c>
      <c r="F432" s="232" t="s">
        <v>1930</v>
      </c>
      <c r="G432" s="394">
        <v>41832</v>
      </c>
      <c r="H432" s="394">
        <v>46616</v>
      </c>
      <c r="I432" s="394">
        <v>24652</v>
      </c>
      <c r="J432" s="232">
        <v>6258</v>
      </c>
      <c r="K432" s="232">
        <v>119358</v>
      </c>
      <c r="L432" s="232"/>
      <c r="M432" s="226">
        <v>0</v>
      </c>
      <c r="N432" s="226">
        <v>0</v>
      </c>
      <c r="O432" s="232">
        <v>15302</v>
      </c>
      <c r="P432" s="232">
        <v>15302</v>
      </c>
      <c r="Q432" s="232"/>
      <c r="R432" s="394">
        <v>113917</v>
      </c>
      <c r="S432" s="232">
        <v>-4103</v>
      </c>
      <c r="T432" s="398">
        <v>109814</v>
      </c>
      <c r="U432" s="232"/>
      <c r="V432" s="398"/>
      <c r="W432" s="398"/>
      <c r="X432" s="398">
        <v>672084</v>
      </c>
      <c r="Y432" s="398">
        <v>48005</v>
      </c>
    </row>
    <row r="433" spans="1:25">
      <c r="A433" s="392">
        <v>94347</v>
      </c>
      <c r="B433" s="393" t="s">
        <v>1136</v>
      </c>
      <c r="C433" s="235">
        <v>1.5E-5</v>
      </c>
      <c r="D433" s="235">
        <v>1.17E-5</v>
      </c>
      <c r="E433" s="232">
        <v>53601</v>
      </c>
      <c r="F433" s="232" t="s">
        <v>1930</v>
      </c>
      <c r="G433" s="394">
        <v>6769</v>
      </c>
      <c r="H433" s="394">
        <v>7543</v>
      </c>
      <c r="I433" s="394">
        <v>3989</v>
      </c>
      <c r="J433" s="232">
        <v>13812</v>
      </c>
      <c r="K433" s="232">
        <v>32113</v>
      </c>
      <c r="L433" s="232"/>
      <c r="M433" s="226">
        <v>0</v>
      </c>
      <c r="N433" s="226">
        <v>0</v>
      </c>
      <c r="O433" s="232">
        <v>474</v>
      </c>
      <c r="P433" s="232">
        <v>474</v>
      </c>
      <c r="Q433" s="232"/>
      <c r="R433" s="394">
        <v>18433</v>
      </c>
      <c r="S433" s="232">
        <v>5011</v>
      </c>
      <c r="T433" s="398">
        <v>23444</v>
      </c>
      <c r="U433" s="232"/>
      <c r="V433" s="398"/>
      <c r="W433" s="398"/>
      <c r="X433" s="398">
        <v>108751</v>
      </c>
      <c r="Y433" s="398">
        <v>7768</v>
      </c>
    </row>
    <row r="434" spans="1:25">
      <c r="A434" s="392">
        <v>94351</v>
      </c>
      <c r="B434" s="393" t="s">
        <v>1137</v>
      </c>
      <c r="C434" s="235">
        <v>2.9090000000000002E-4</v>
      </c>
      <c r="D434" s="235">
        <v>2.2680000000000001E-4</v>
      </c>
      <c r="E434" s="232">
        <v>1039510</v>
      </c>
      <c r="F434" s="232" t="s">
        <v>1930</v>
      </c>
      <c r="G434" s="394">
        <v>131272</v>
      </c>
      <c r="H434" s="394">
        <v>146283</v>
      </c>
      <c r="I434" s="394">
        <v>77360</v>
      </c>
      <c r="J434" s="232">
        <v>79101</v>
      </c>
      <c r="K434" s="232">
        <v>434016</v>
      </c>
      <c r="L434" s="232"/>
      <c r="M434" s="226">
        <v>0</v>
      </c>
      <c r="N434" s="226">
        <v>0</v>
      </c>
      <c r="O434" s="232">
        <v>15165</v>
      </c>
      <c r="P434" s="232">
        <v>15165</v>
      </c>
      <c r="Q434" s="232"/>
      <c r="R434" s="394">
        <v>357480</v>
      </c>
      <c r="S434" s="232">
        <v>20276</v>
      </c>
      <c r="T434" s="398">
        <v>377756</v>
      </c>
      <c r="U434" s="232"/>
      <c r="V434" s="398"/>
      <c r="W434" s="398"/>
      <c r="X434" s="398">
        <v>2109052</v>
      </c>
      <c r="Y434" s="398">
        <v>150645</v>
      </c>
    </row>
    <row r="435" spans="1:25">
      <c r="A435" s="392">
        <v>94401</v>
      </c>
      <c r="B435" s="393" t="s">
        <v>1943</v>
      </c>
      <c r="C435" s="235">
        <v>3.5389000000000002E-3</v>
      </c>
      <c r="D435" s="235">
        <v>3.4440999999999999E-3</v>
      </c>
      <c r="E435" s="232">
        <v>12645997</v>
      </c>
      <c r="F435" s="232" t="s">
        <v>1930</v>
      </c>
      <c r="G435" s="394">
        <v>1596968</v>
      </c>
      <c r="H435" s="394">
        <v>1779586</v>
      </c>
      <c r="I435" s="394">
        <v>941110</v>
      </c>
      <c r="J435" s="232">
        <v>109634</v>
      </c>
      <c r="K435" s="232">
        <v>4427298</v>
      </c>
      <c r="L435" s="232"/>
      <c r="M435" s="226">
        <v>0</v>
      </c>
      <c r="N435" s="226">
        <v>0</v>
      </c>
      <c r="O435" s="232">
        <v>20864</v>
      </c>
      <c r="P435" s="232">
        <v>20864</v>
      </c>
      <c r="Q435" s="232"/>
      <c r="R435" s="394">
        <v>4348866</v>
      </c>
      <c r="S435" s="232">
        <v>18730</v>
      </c>
      <c r="T435" s="398">
        <v>4367596</v>
      </c>
      <c r="U435" s="232"/>
      <c r="V435" s="398"/>
      <c r="W435" s="398"/>
      <c r="X435" s="398">
        <v>25657351</v>
      </c>
      <c r="Y435" s="398">
        <v>1832648</v>
      </c>
    </row>
    <row r="436" spans="1:25">
      <c r="A436" s="392">
        <v>94402</v>
      </c>
      <c r="B436" s="393" t="s">
        <v>1139</v>
      </c>
      <c r="C436" s="235">
        <v>0</v>
      </c>
      <c r="D436" s="235">
        <v>0</v>
      </c>
      <c r="E436" s="232">
        <v>0</v>
      </c>
      <c r="F436" s="232" t="s">
        <v>1930</v>
      </c>
      <c r="G436" s="394">
        <v>0</v>
      </c>
      <c r="H436" s="394">
        <v>0</v>
      </c>
      <c r="I436" s="394">
        <v>0</v>
      </c>
      <c r="J436" s="232">
        <v>0</v>
      </c>
      <c r="K436" s="232">
        <v>0</v>
      </c>
      <c r="L436" s="232"/>
      <c r="M436" s="226">
        <v>0</v>
      </c>
      <c r="N436" s="226">
        <v>0</v>
      </c>
      <c r="O436" s="232">
        <v>0</v>
      </c>
      <c r="P436" s="232">
        <v>0</v>
      </c>
      <c r="Q436" s="232"/>
      <c r="R436" s="394">
        <v>0</v>
      </c>
      <c r="S436" s="232">
        <v>0</v>
      </c>
      <c r="T436" s="398">
        <v>0</v>
      </c>
      <c r="U436" s="232"/>
      <c r="V436" s="398"/>
      <c r="W436" s="398"/>
      <c r="X436" s="398">
        <v>0</v>
      </c>
      <c r="Y436" s="398">
        <v>0</v>
      </c>
    </row>
    <row r="437" spans="1:25">
      <c r="A437" s="395">
        <v>94403</v>
      </c>
      <c r="B437" s="396" t="s">
        <v>1140</v>
      </c>
      <c r="C437" s="235">
        <v>3.9199999999999997E-5</v>
      </c>
      <c r="D437" s="235">
        <v>3.7400000000000001E-5</v>
      </c>
      <c r="E437" s="232">
        <v>140078</v>
      </c>
      <c r="F437" s="232" t="s">
        <v>1930</v>
      </c>
      <c r="G437" s="394">
        <v>17689</v>
      </c>
      <c r="H437" s="394">
        <v>19713</v>
      </c>
      <c r="I437" s="394">
        <v>10425</v>
      </c>
      <c r="J437" s="232">
        <v>17875</v>
      </c>
      <c r="K437" s="232">
        <v>65702</v>
      </c>
      <c r="L437" s="232"/>
      <c r="M437" s="226">
        <v>0</v>
      </c>
      <c r="N437" s="226">
        <v>0</v>
      </c>
      <c r="O437" s="232">
        <v>0</v>
      </c>
      <c r="P437" s="232">
        <v>0</v>
      </c>
      <c r="Q437" s="232"/>
      <c r="R437" s="394">
        <v>48172</v>
      </c>
      <c r="S437" s="232">
        <v>9051</v>
      </c>
      <c r="T437" s="398">
        <v>57223</v>
      </c>
      <c r="U437" s="232"/>
      <c r="V437" s="398"/>
      <c r="W437" s="398"/>
      <c r="X437" s="398">
        <v>284204</v>
      </c>
      <c r="Y437" s="398">
        <v>20300</v>
      </c>
    </row>
    <row r="438" spans="1:25">
      <c r="A438" s="392">
        <v>94408</v>
      </c>
      <c r="B438" s="393" t="s">
        <v>1141</v>
      </c>
      <c r="C438" s="235">
        <v>5.4400000000000001E-5</v>
      </c>
      <c r="D438" s="235">
        <v>6.2000000000000003E-5</v>
      </c>
      <c r="E438" s="232">
        <v>194394</v>
      </c>
      <c r="F438" s="232" t="s">
        <v>1930</v>
      </c>
      <c r="G438" s="394">
        <v>24549</v>
      </c>
      <c r="H438" s="394">
        <v>27356</v>
      </c>
      <c r="I438" s="394">
        <v>14467</v>
      </c>
      <c r="J438" s="232">
        <v>6738</v>
      </c>
      <c r="K438" s="232">
        <v>73110</v>
      </c>
      <c r="L438" s="232"/>
      <c r="M438" s="226">
        <v>0</v>
      </c>
      <c r="N438" s="226">
        <v>0</v>
      </c>
      <c r="O438" s="232">
        <v>13861</v>
      </c>
      <c r="P438" s="232">
        <v>13861</v>
      </c>
      <c r="Q438" s="232"/>
      <c r="R438" s="394">
        <v>66851</v>
      </c>
      <c r="S438" s="232">
        <v>-772</v>
      </c>
      <c r="T438" s="398">
        <v>66079</v>
      </c>
      <c r="U438" s="232"/>
      <c r="V438" s="398"/>
      <c r="W438" s="398"/>
      <c r="X438" s="398">
        <v>394405</v>
      </c>
      <c r="Y438" s="398">
        <v>28171</v>
      </c>
    </row>
    <row r="439" spans="1:25">
      <c r="A439" s="392">
        <v>94411</v>
      </c>
      <c r="B439" s="393" t="s">
        <v>1142</v>
      </c>
      <c r="C439" s="235">
        <v>1.1728999999999999E-3</v>
      </c>
      <c r="D439" s="235">
        <v>1.2472E-3</v>
      </c>
      <c r="E439" s="232">
        <v>4191271</v>
      </c>
      <c r="F439" s="232" t="s">
        <v>1930</v>
      </c>
      <c r="G439" s="394">
        <v>529284</v>
      </c>
      <c r="H439" s="394">
        <v>589809</v>
      </c>
      <c r="I439" s="394">
        <v>311913</v>
      </c>
      <c r="J439" s="232">
        <v>12772</v>
      </c>
      <c r="K439" s="232">
        <v>1443778</v>
      </c>
      <c r="L439" s="232"/>
      <c r="M439" s="226">
        <v>0</v>
      </c>
      <c r="N439" s="226">
        <v>0</v>
      </c>
      <c r="O439" s="232">
        <v>160475</v>
      </c>
      <c r="P439" s="232">
        <v>160475</v>
      </c>
      <c r="Q439" s="232"/>
      <c r="R439" s="394">
        <v>1441347</v>
      </c>
      <c r="S439" s="232">
        <v>-44356</v>
      </c>
      <c r="T439" s="398">
        <v>1396991</v>
      </c>
      <c r="U439" s="232"/>
      <c r="V439" s="398"/>
      <c r="W439" s="398"/>
      <c r="X439" s="398">
        <v>8503633</v>
      </c>
      <c r="Y439" s="398">
        <v>607396</v>
      </c>
    </row>
    <row r="440" spans="1:25">
      <c r="A440" s="392">
        <v>94412</v>
      </c>
      <c r="B440" s="393" t="s">
        <v>1143</v>
      </c>
      <c r="C440" s="235">
        <v>1.6399999999999999E-5</v>
      </c>
      <c r="D440" s="235">
        <v>1.7E-5</v>
      </c>
      <c r="E440" s="232">
        <v>58604</v>
      </c>
      <c r="F440" s="232" t="s">
        <v>1930</v>
      </c>
      <c r="G440" s="394">
        <v>7401</v>
      </c>
      <c r="H440" s="394">
        <v>8247</v>
      </c>
      <c r="I440" s="394">
        <v>4361</v>
      </c>
      <c r="J440" s="232">
        <v>13813</v>
      </c>
      <c r="K440" s="232">
        <v>33822</v>
      </c>
      <c r="L440" s="232"/>
      <c r="M440" s="226">
        <v>0</v>
      </c>
      <c r="N440" s="226">
        <v>0</v>
      </c>
      <c r="O440" s="232">
        <v>0</v>
      </c>
      <c r="P440" s="232">
        <v>0</v>
      </c>
      <c r="Q440" s="232"/>
      <c r="R440" s="394">
        <v>20154</v>
      </c>
      <c r="S440" s="232">
        <v>6879</v>
      </c>
      <c r="T440" s="398">
        <v>27033</v>
      </c>
      <c r="U440" s="232"/>
      <c r="V440" s="398"/>
      <c r="W440" s="398"/>
      <c r="X440" s="398">
        <v>118902</v>
      </c>
      <c r="Y440" s="398">
        <v>8493</v>
      </c>
    </row>
    <row r="441" spans="1:25">
      <c r="A441" s="392">
        <v>94421</v>
      </c>
      <c r="B441" s="393" t="s">
        <v>1144</v>
      </c>
      <c r="C441" s="235">
        <v>1.172E-4</v>
      </c>
      <c r="D441" s="235">
        <v>1.4880000000000001E-4</v>
      </c>
      <c r="E441" s="232">
        <v>418806</v>
      </c>
      <c r="F441" s="232" t="s">
        <v>1930</v>
      </c>
      <c r="G441" s="394">
        <v>52888</v>
      </c>
      <c r="H441" s="394">
        <v>58936</v>
      </c>
      <c r="I441" s="394">
        <v>31167</v>
      </c>
      <c r="J441" s="232">
        <v>469</v>
      </c>
      <c r="K441" s="232">
        <v>143460</v>
      </c>
      <c r="L441" s="232"/>
      <c r="M441" s="226">
        <v>0</v>
      </c>
      <c r="N441" s="226">
        <v>0</v>
      </c>
      <c r="O441" s="232">
        <v>24401</v>
      </c>
      <c r="P441" s="232">
        <v>24401</v>
      </c>
      <c r="Q441" s="232"/>
      <c r="R441" s="394">
        <v>144024</v>
      </c>
      <c r="S441" s="232">
        <v>-8651</v>
      </c>
      <c r="T441" s="398">
        <v>135373</v>
      </c>
      <c r="U441" s="232"/>
      <c r="V441" s="398"/>
      <c r="W441" s="398"/>
      <c r="X441" s="398">
        <v>849711</v>
      </c>
      <c r="Y441" s="398">
        <v>60693</v>
      </c>
    </row>
    <row r="442" spans="1:25">
      <c r="A442" s="392">
        <v>94427</v>
      </c>
      <c r="B442" s="393" t="s">
        <v>1145</v>
      </c>
      <c r="C442" s="235">
        <v>2.5999999999999998E-5</v>
      </c>
      <c r="D442" s="235">
        <v>2.7500000000000001E-5</v>
      </c>
      <c r="E442" s="232">
        <v>92909</v>
      </c>
      <c r="F442" s="232" t="s">
        <v>1930</v>
      </c>
      <c r="G442" s="394">
        <v>11733</v>
      </c>
      <c r="H442" s="394">
        <v>13074</v>
      </c>
      <c r="I442" s="394">
        <v>6914</v>
      </c>
      <c r="J442" s="232">
        <v>12149</v>
      </c>
      <c r="K442" s="232">
        <v>43870</v>
      </c>
      <c r="L442" s="232"/>
      <c r="M442" s="226">
        <v>0</v>
      </c>
      <c r="N442" s="226">
        <v>0</v>
      </c>
      <c r="O442" s="232">
        <v>0</v>
      </c>
      <c r="P442" s="232">
        <v>0</v>
      </c>
      <c r="Q442" s="232"/>
      <c r="R442" s="394">
        <v>31951</v>
      </c>
      <c r="S442" s="232">
        <v>4755</v>
      </c>
      <c r="T442" s="398">
        <v>36706</v>
      </c>
      <c r="U442" s="232"/>
      <c r="V442" s="398"/>
      <c r="W442" s="398"/>
      <c r="X442" s="398">
        <v>188502</v>
      </c>
      <c r="Y442" s="398">
        <v>13464</v>
      </c>
    </row>
    <row r="443" spans="1:25">
      <c r="A443" s="392">
        <v>94428</v>
      </c>
      <c r="B443" s="393" t="s">
        <v>1146</v>
      </c>
      <c r="C443" s="235">
        <v>7.2299999999999996E-5</v>
      </c>
      <c r="D443" s="235">
        <v>7.1400000000000001E-5</v>
      </c>
      <c r="E443" s="232">
        <v>258359</v>
      </c>
      <c r="F443" s="232" t="s">
        <v>1930</v>
      </c>
      <c r="G443" s="394">
        <v>32626</v>
      </c>
      <c r="H443" s="394">
        <v>36357</v>
      </c>
      <c r="I443" s="394">
        <v>19227</v>
      </c>
      <c r="J443" s="232">
        <v>8443</v>
      </c>
      <c r="K443" s="232">
        <v>96653</v>
      </c>
      <c r="L443" s="232"/>
      <c r="M443" s="226">
        <v>0</v>
      </c>
      <c r="N443" s="226">
        <v>0</v>
      </c>
      <c r="O443" s="232">
        <v>838</v>
      </c>
      <c r="P443" s="232">
        <v>838</v>
      </c>
      <c r="Q443" s="232"/>
      <c r="R443" s="394">
        <v>88848</v>
      </c>
      <c r="S443" s="232">
        <v>2669</v>
      </c>
      <c r="T443" s="398">
        <v>91517</v>
      </c>
      <c r="U443" s="232"/>
      <c r="V443" s="398"/>
      <c r="W443" s="398"/>
      <c r="X443" s="398">
        <v>524182</v>
      </c>
      <c r="Y443" s="398">
        <v>37441</v>
      </c>
    </row>
    <row r="444" spans="1:25">
      <c r="A444" s="392">
        <v>94431</v>
      </c>
      <c r="B444" s="393" t="s">
        <v>1147</v>
      </c>
      <c r="C444" s="235">
        <v>3.8200000000000002E-4</v>
      </c>
      <c r="D444" s="235">
        <v>4.1829999999999998E-4</v>
      </c>
      <c r="E444" s="232">
        <v>1365049</v>
      </c>
      <c r="F444" s="232" t="s">
        <v>1930</v>
      </c>
      <c r="G444" s="394">
        <v>172382</v>
      </c>
      <c r="H444" s="394">
        <v>192094</v>
      </c>
      <c r="I444" s="394">
        <v>101586</v>
      </c>
      <c r="J444" s="232">
        <v>142654</v>
      </c>
      <c r="K444" s="232">
        <v>608716</v>
      </c>
      <c r="L444" s="232"/>
      <c r="M444" s="226">
        <v>0</v>
      </c>
      <c r="N444" s="226">
        <v>0</v>
      </c>
      <c r="O444" s="232">
        <v>51370</v>
      </c>
      <c r="P444" s="232">
        <v>51370</v>
      </c>
      <c r="Q444" s="232"/>
      <c r="R444" s="394">
        <v>469430</v>
      </c>
      <c r="S444" s="232">
        <v>74832</v>
      </c>
      <c r="T444" s="398">
        <v>544262</v>
      </c>
      <c r="U444" s="232"/>
      <c r="V444" s="398"/>
      <c r="W444" s="398"/>
      <c r="X444" s="398">
        <v>2769535</v>
      </c>
      <c r="Y444" s="398">
        <v>197822</v>
      </c>
    </row>
    <row r="445" spans="1:25">
      <c r="A445" s="392">
        <v>94437</v>
      </c>
      <c r="B445" s="393" t="s">
        <v>1148</v>
      </c>
      <c r="C445" s="235">
        <v>1.4E-5</v>
      </c>
      <c r="D445" s="235">
        <v>1.49E-5</v>
      </c>
      <c r="E445" s="232">
        <v>50028</v>
      </c>
      <c r="F445" s="232" t="s">
        <v>1930</v>
      </c>
      <c r="G445" s="394">
        <v>6318</v>
      </c>
      <c r="H445" s="394">
        <v>7040</v>
      </c>
      <c r="I445" s="394">
        <v>3723</v>
      </c>
      <c r="J445" s="232">
        <v>6756</v>
      </c>
      <c r="K445" s="232">
        <v>23837</v>
      </c>
      <c r="L445" s="232"/>
      <c r="M445" s="226">
        <v>0</v>
      </c>
      <c r="N445" s="226">
        <v>0</v>
      </c>
      <c r="O445" s="232">
        <v>0</v>
      </c>
      <c r="P445" s="232">
        <v>0</v>
      </c>
      <c r="Q445" s="232"/>
      <c r="R445" s="394">
        <v>17204</v>
      </c>
      <c r="S445" s="232">
        <v>4898</v>
      </c>
      <c r="T445" s="398">
        <v>22102</v>
      </c>
      <c r="U445" s="232"/>
      <c r="V445" s="398"/>
      <c r="W445" s="398"/>
      <c r="X445" s="398">
        <v>101501</v>
      </c>
      <c r="Y445" s="398">
        <v>7250</v>
      </c>
    </row>
    <row r="446" spans="1:25">
      <c r="A446" s="392">
        <v>94501</v>
      </c>
      <c r="B446" s="393" t="s">
        <v>1149</v>
      </c>
      <c r="C446" s="235">
        <v>5.9300000000000004E-3</v>
      </c>
      <c r="D446" s="235">
        <v>5.9772999999999996E-3</v>
      </c>
      <c r="E446" s="232">
        <v>21190416</v>
      </c>
      <c r="F446" s="232" t="s">
        <v>1930</v>
      </c>
      <c r="G446" s="394">
        <v>2675978</v>
      </c>
      <c r="H446" s="394">
        <v>2981983</v>
      </c>
      <c r="I446" s="394">
        <v>1576983</v>
      </c>
      <c r="J446" s="232">
        <v>105782</v>
      </c>
      <c r="K446" s="232">
        <v>7340726</v>
      </c>
      <c r="L446" s="232"/>
      <c r="M446" s="226">
        <v>0</v>
      </c>
      <c r="N446" s="226">
        <v>0</v>
      </c>
      <c r="O446" s="232">
        <v>10680</v>
      </c>
      <c r="P446" s="232">
        <v>10680</v>
      </c>
      <c r="Q446" s="232"/>
      <c r="R446" s="394">
        <v>7287229</v>
      </c>
      <c r="S446" s="232">
        <v>43925</v>
      </c>
      <c r="T446" s="398">
        <v>7331154</v>
      </c>
      <c r="U446" s="232"/>
      <c r="V446" s="398"/>
      <c r="W446" s="398"/>
      <c r="X446" s="398">
        <v>42993046</v>
      </c>
      <c r="Y446" s="398">
        <v>3070898</v>
      </c>
    </row>
    <row r="447" spans="1:25">
      <c r="A447" s="392">
        <v>94511</v>
      </c>
      <c r="B447" s="393" t="s">
        <v>1150</v>
      </c>
      <c r="C447" s="235">
        <v>2.0052E-3</v>
      </c>
      <c r="D447" s="235">
        <v>2.0183000000000002E-3</v>
      </c>
      <c r="E447" s="232">
        <v>7165434</v>
      </c>
      <c r="F447" s="232" t="s">
        <v>1930</v>
      </c>
      <c r="G447" s="394">
        <v>904869</v>
      </c>
      <c r="H447" s="394">
        <v>1008343</v>
      </c>
      <c r="I447" s="394">
        <v>533249</v>
      </c>
      <c r="J447" s="232">
        <v>12516</v>
      </c>
      <c r="K447" s="232">
        <v>2458977</v>
      </c>
      <c r="L447" s="232"/>
      <c r="M447" s="226">
        <v>0</v>
      </c>
      <c r="N447" s="226">
        <v>0</v>
      </c>
      <c r="O447" s="232">
        <v>230033</v>
      </c>
      <c r="P447" s="232">
        <v>230033</v>
      </c>
      <c r="Q447" s="232"/>
      <c r="R447" s="394">
        <v>2464140</v>
      </c>
      <c r="S447" s="232">
        <v>-78460</v>
      </c>
      <c r="T447" s="398">
        <v>2385680</v>
      </c>
      <c r="U447" s="232"/>
      <c r="V447" s="398"/>
      <c r="W447" s="398"/>
      <c r="X447" s="398">
        <v>14537884</v>
      </c>
      <c r="Y447" s="398">
        <v>1038409</v>
      </c>
    </row>
    <row r="448" spans="1:25">
      <c r="A448" s="392">
        <v>94512</v>
      </c>
      <c r="B448" s="393" t="s">
        <v>1151</v>
      </c>
      <c r="C448" s="235">
        <v>0</v>
      </c>
      <c r="D448" s="235">
        <v>0</v>
      </c>
      <c r="E448" s="232">
        <v>0</v>
      </c>
      <c r="F448" s="232" t="s">
        <v>1930</v>
      </c>
      <c r="G448" s="394">
        <v>0</v>
      </c>
      <c r="H448" s="394">
        <v>0</v>
      </c>
      <c r="I448" s="394">
        <v>0</v>
      </c>
      <c r="J448" s="232">
        <v>0</v>
      </c>
      <c r="K448" s="232">
        <v>0</v>
      </c>
      <c r="L448" s="232"/>
      <c r="M448" s="226">
        <v>0</v>
      </c>
      <c r="N448" s="226">
        <v>0</v>
      </c>
      <c r="O448" s="232">
        <v>0</v>
      </c>
      <c r="P448" s="232">
        <v>0</v>
      </c>
      <c r="Q448" s="232"/>
      <c r="R448" s="394">
        <v>0</v>
      </c>
      <c r="S448" s="232">
        <v>0</v>
      </c>
      <c r="T448" s="398">
        <v>0</v>
      </c>
      <c r="U448" s="232"/>
      <c r="V448" s="398"/>
      <c r="W448" s="398"/>
      <c r="X448" s="398">
        <v>0</v>
      </c>
      <c r="Y448" s="398">
        <v>0</v>
      </c>
    </row>
    <row r="449" spans="1:25">
      <c r="A449" s="392">
        <v>94517</v>
      </c>
      <c r="B449" s="393" t="s">
        <v>1152</v>
      </c>
      <c r="C449" s="235">
        <v>5.8100000000000003E-5</v>
      </c>
      <c r="D449" s="235">
        <v>5.4799999999999997E-5</v>
      </c>
      <c r="E449" s="232">
        <v>207616</v>
      </c>
      <c r="F449" s="232" t="s">
        <v>1930</v>
      </c>
      <c r="G449" s="394">
        <v>26218</v>
      </c>
      <c r="H449" s="394">
        <v>29217</v>
      </c>
      <c r="I449" s="394">
        <v>15451</v>
      </c>
      <c r="J449" s="232">
        <v>33550</v>
      </c>
      <c r="K449" s="232">
        <v>104436</v>
      </c>
      <c r="L449" s="232"/>
      <c r="M449" s="226">
        <v>0</v>
      </c>
      <c r="N449" s="226">
        <v>0</v>
      </c>
      <c r="O449" s="232">
        <v>0</v>
      </c>
      <c r="P449" s="232">
        <v>0</v>
      </c>
      <c r="Q449" s="232"/>
      <c r="R449" s="394">
        <v>71398</v>
      </c>
      <c r="S449" s="232">
        <v>13990</v>
      </c>
      <c r="T449" s="398">
        <v>85388</v>
      </c>
      <c r="U449" s="232"/>
      <c r="V449" s="398"/>
      <c r="W449" s="398"/>
      <c r="X449" s="398">
        <v>421230</v>
      </c>
      <c r="Y449" s="398">
        <v>30088</v>
      </c>
    </row>
    <row r="450" spans="1:25">
      <c r="A450" s="392">
        <v>94521</v>
      </c>
      <c r="B450" s="393" t="s">
        <v>1153</v>
      </c>
      <c r="C450" s="235">
        <v>1.484E-4</v>
      </c>
      <c r="D450" s="235">
        <v>1.4990000000000001E-4</v>
      </c>
      <c r="E450" s="232">
        <v>530296</v>
      </c>
      <c r="F450" s="232" t="s">
        <v>1930</v>
      </c>
      <c r="G450" s="394">
        <v>66967</v>
      </c>
      <c r="H450" s="394">
        <v>74625</v>
      </c>
      <c r="I450" s="394">
        <v>39464</v>
      </c>
      <c r="J450" s="232">
        <v>2957</v>
      </c>
      <c r="K450" s="232">
        <v>184013</v>
      </c>
      <c r="L450" s="232"/>
      <c r="M450" s="226">
        <v>0</v>
      </c>
      <c r="N450" s="226">
        <v>0</v>
      </c>
      <c r="O450" s="232">
        <v>27533</v>
      </c>
      <c r="P450" s="232">
        <v>27533</v>
      </c>
      <c r="Q450" s="232"/>
      <c r="R450" s="394">
        <v>182365</v>
      </c>
      <c r="S450" s="232">
        <v>-10831</v>
      </c>
      <c r="T450" s="398">
        <v>171534</v>
      </c>
      <c r="U450" s="232"/>
      <c r="V450" s="398"/>
      <c r="W450" s="398"/>
      <c r="X450" s="398">
        <v>1075914</v>
      </c>
      <c r="Y450" s="398">
        <v>76850</v>
      </c>
    </row>
    <row r="451" spans="1:25">
      <c r="A451" s="392">
        <v>94527</v>
      </c>
      <c r="B451" s="393" t="s">
        <v>1154</v>
      </c>
      <c r="C451" s="235">
        <v>6.9E-6</v>
      </c>
      <c r="D451" s="235">
        <v>6.8000000000000001E-6</v>
      </c>
      <c r="E451" s="232">
        <v>24657</v>
      </c>
      <c r="F451" s="232" t="s">
        <v>1930</v>
      </c>
      <c r="G451" s="394">
        <v>3114</v>
      </c>
      <c r="H451" s="394">
        <v>3470</v>
      </c>
      <c r="I451" s="394">
        <v>1835</v>
      </c>
      <c r="J451" s="232">
        <v>572</v>
      </c>
      <c r="K451" s="232">
        <v>8991</v>
      </c>
      <c r="L451" s="232"/>
      <c r="M451" s="226">
        <v>0</v>
      </c>
      <c r="N451" s="226">
        <v>0</v>
      </c>
      <c r="O451" s="232">
        <v>187</v>
      </c>
      <c r="P451" s="232">
        <v>187</v>
      </c>
      <c r="Q451" s="232"/>
      <c r="R451" s="394">
        <v>8479</v>
      </c>
      <c r="S451" s="232">
        <v>-721</v>
      </c>
      <c r="T451" s="398">
        <v>7758</v>
      </c>
      <c r="U451" s="232"/>
      <c r="V451" s="398"/>
      <c r="W451" s="398"/>
      <c r="X451" s="398">
        <v>50026</v>
      </c>
      <c r="Y451" s="398">
        <v>3573</v>
      </c>
    </row>
    <row r="452" spans="1:25">
      <c r="A452" s="392">
        <v>94531</v>
      </c>
      <c r="B452" s="393" t="s">
        <v>1155</v>
      </c>
      <c r="C452" s="235">
        <v>2.0999999999999999E-5</v>
      </c>
      <c r="D452" s="235">
        <v>2.3099999999999999E-5</v>
      </c>
      <c r="E452" s="232">
        <v>75042</v>
      </c>
      <c r="F452" s="232" t="s">
        <v>1930</v>
      </c>
      <c r="G452" s="394">
        <v>9476</v>
      </c>
      <c r="H452" s="394">
        <v>10560</v>
      </c>
      <c r="I452" s="394">
        <v>5585</v>
      </c>
      <c r="J452" s="232">
        <v>12440</v>
      </c>
      <c r="K452" s="232">
        <v>38061</v>
      </c>
      <c r="L452" s="232"/>
      <c r="M452" s="226">
        <v>0</v>
      </c>
      <c r="N452" s="226">
        <v>0</v>
      </c>
      <c r="O452" s="232">
        <v>0</v>
      </c>
      <c r="P452" s="232">
        <v>0</v>
      </c>
      <c r="Q452" s="232"/>
      <c r="R452" s="394">
        <v>25806</v>
      </c>
      <c r="S452" s="232">
        <v>5530</v>
      </c>
      <c r="T452" s="398">
        <v>31336</v>
      </c>
      <c r="U452" s="232"/>
      <c r="V452" s="398"/>
      <c r="W452" s="398"/>
      <c r="X452" s="398">
        <v>152252</v>
      </c>
      <c r="Y452" s="398">
        <v>10875</v>
      </c>
    </row>
    <row r="453" spans="1:25">
      <c r="A453" s="392">
        <v>94532</v>
      </c>
      <c r="B453" s="393" t="s">
        <v>1156</v>
      </c>
      <c r="C453" s="235">
        <v>1.339E-4</v>
      </c>
      <c r="D453" s="235">
        <v>1.0060000000000001E-4</v>
      </c>
      <c r="E453" s="232">
        <v>478482</v>
      </c>
      <c r="F453" s="232" t="s">
        <v>1930</v>
      </c>
      <c r="G453" s="394">
        <v>60424</v>
      </c>
      <c r="H453" s="394">
        <v>67334</v>
      </c>
      <c r="I453" s="394">
        <v>35608</v>
      </c>
      <c r="J453" s="232">
        <v>42431</v>
      </c>
      <c r="K453" s="232">
        <v>205797</v>
      </c>
      <c r="L453" s="232"/>
      <c r="M453" s="226">
        <v>0</v>
      </c>
      <c r="N453" s="226">
        <v>0</v>
      </c>
      <c r="O453" s="232">
        <v>114</v>
      </c>
      <c r="P453" s="232">
        <v>114</v>
      </c>
      <c r="Q453" s="232"/>
      <c r="R453" s="394">
        <v>164546</v>
      </c>
      <c r="S453" s="232">
        <v>12790</v>
      </c>
      <c r="T453" s="398">
        <v>177336</v>
      </c>
      <c r="U453" s="232"/>
      <c r="V453" s="398"/>
      <c r="W453" s="398"/>
      <c r="X453" s="398">
        <v>970787</v>
      </c>
      <c r="Y453" s="398">
        <v>69341</v>
      </c>
    </row>
    <row r="454" spans="1:25">
      <c r="A454" s="392">
        <v>94541</v>
      </c>
      <c r="B454" s="393" t="s">
        <v>1157</v>
      </c>
      <c r="C454" s="235">
        <v>2.7849999999999999E-4</v>
      </c>
      <c r="D454" s="235">
        <v>2.7750000000000002E-4</v>
      </c>
      <c r="E454" s="232">
        <v>995199</v>
      </c>
      <c r="F454" s="232" t="s">
        <v>1930</v>
      </c>
      <c r="G454" s="394">
        <v>125676</v>
      </c>
      <c r="H454" s="394">
        <v>140048</v>
      </c>
      <c r="I454" s="394">
        <v>74062</v>
      </c>
      <c r="J454" s="232">
        <v>1920</v>
      </c>
      <c r="K454" s="232">
        <v>341706</v>
      </c>
      <c r="L454" s="232"/>
      <c r="M454" s="226">
        <v>0</v>
      </c>
      <c r="N454" s="226">
        <v>0</v>
      </c>
      <c r="O454" s="232">
        <v>17432</v>
      </c>
      <c r="P454" s="232">
        <v>17432</v>
      </c>
      <c r="Q454" s="232"/>
      <c r="R454" s="394">
        <v>342242</v>
      </c>
      <c r="S454" s="232">
        <v>-10158</v>
      </c>
      <c r="T454" s="398">
        <v>332084</v>
      </c>
      <c r="U454" s="232"/>
      <c r="V454" s="398"/>
      <c r="W454" s="398"/>
      <c r="X454" s="398">
        <v>2019151</v>
      </c>
      <c r="Y454" s="398">
        <v>144223</v>
      </c>
    </row>
    <row r="455" spans="1:25">
      <c r="A455" s="392">
        <v>94547</v>
      </c>
      <c r="B455" s="393" t="s">
        <v>1158</v>
      </c>
      <c r="C455" s="235">
        <v>1.2500000000000001E-5</v>
      </c>
      <c r="D455" s="235">
        <v>1.1E-5</v>
      </c>
      <c r="E455" s="232">
        <v>44668</v>
      </c>
      <c r="F455" s="232" t="s">
        <v>1930</v>
      </c>
      <c r="G455" s="394">
        <v>5641</v>
      </c>
      <c r="H455" s="394">
        <v>6286</v>
      </c>
      <c r="I455" s="394">
        <v>3324</v>
      </c>
      <c r="J455" s="232">
        <v>12168</v>
      </c>
      <c r="K455" s="232">
        <v>27419</v>
      </c>
      <c r="L455" s="232"/>
      <c r="M455" s="226">
        <v>0</v>
      </c>
      <c r="N455" s="226">
        <v>0</v>
      </c>
      <c r="O455" s="232">
        <v>0</v>
      </c>
      <c r="P455" s="232">
        <v>0</v>
      </c>
      <c r="Q455" s="232"/>
      <c r="R455" s="394">
        <v>15361</v>
      </c>
      <c r="S455" s="232">
        <v>4789</v>
      </c>
      <c r="T455" s="398">
        <v>20150</v>
      </c>
      <c r="U455" s="232"/>
      <c r="V455" s="398"/>
      <c r="W455" s="398"/>
      <c r="X455" s="398">
        <v>90626</v>
      </c>
      <c r="Y455" s="398">
        <v>6473</v>
      </c>
    </row>
    <row r="456" spans="1:25">
      <c r="A456" s="392">
        <v>94551</v>
      </c>
      <c r="B456" s="393" t="s">
        <v>1159</v>
      </c>
      <c r="C456" s="235">
        <v>5.8199999999999998E-5</v>
      </c>
      <c r="D456" s="235">
        <v>5.3000000000000001E-5</v>
      </c>
      <c r="E456" s="232">
        <v>207973</v>
      </c>
      <c r="F456" s="232" t="s">
        <v>1930</v>
      </c>
      <c r="G456" s="394">
        <v>26263</v>
      </c>
      <c r="H456" s="394">
        <v>29267</v>
      </c>
      <c r="I456" s="394">
        <v>15477</v>
      </c>
      <c r="J456" s="232">
        <v>12664</v>
      </c>
      <c r="K456" s="232">
        <v>83671</v>
      </c>
      <c r="L456" s="232"/>
      <c r="M456" s="226">
        <v>0</v>
      </c>
      <c r="N456" s="226">
        <v>0</v>
      </c>
      <c r="O456" s="232">
        <v>0</v>
      </c>
      <c r="P456" s="232">
        <v>0</v>
      </c>
      <c r="Q456" s="232"/>
      <c r="R456" s="394">
        <v>71521</v>
      </c>
      <c r="S456" s="232">
        <v>7496</v>
      </c>
      <c r="T456" s="398">
        <v>79017</v>
      </c>
      <c r="U456" s="232"/>
      <c r="V456" s="398"/>
      <c r="W456" s="398"/>
      <c r="X456" s="398">
        <v>421955</v>
      </c>
      <c r="Y456" s="398">
        <v>30139</v>
      </c>
    </row>
    <row r="457" spans="1:25">
      <c r="A457" s="392">
        <v>94601</v>
      </c>
      <c r="B457" s="393" t="s">
        <v>1160</v>
      </c>
      <c r="C457" s="235">
        <v>9.234E-4</v>
      </c>
      <c r="D457" s="235">
        <v>9.1859999999999999E-4</v>
      </c>
      <c r="E457" s="232">
        <v>3299702</v>
      </c>
      <c r="F457" s="232" t="s">
        <v>1930</v>
      </c>
      <c r="G457" s="394">
        <v>416694</v>
      </c>
      <c r="H457" s="394">
        <v>464345</v>
      </c>
      <c r="I457" s="394">
        <v>245563</v>
      </c>
      <c r="J457" s="232">
        <v>55546</v>
      </c>
      <c r="K457" s="232">
        <v>1182148</v>
      </c>
      <c r="L457" s="232"/>
      <c r="M457" s="226">
        <v>0</v>
      </c>
      <c r="N457" s="226">
        <v>0</v>
      </c>
      <c r="O457" s="232">
        <v>77980</v>
      </c>
      <c r="P457" s="232">
        <v>77980</v>
      </c>
      <c r="Q457" s="232"/>
      <c r="R457" s="394">
        <v>1134743</v>
      </c>
      <c r="S457" s="232">
        <v>10032</v>
      </c>
      <c r="T457" s="398">
        <v>1144775</v>
      </c>
      <c r="U457" s="232"/>
      <c r="V457" s="398"/>
      <c r="W457" s="398"/>
      <c r="X457" s="398">
        <v>6694735</v>
      </c>
      <c r="Y457" s="398">
        <v>478190</v>
      </c>
    </row>
    <row r="458" spans="1:25">
      <c r="A458" s="392">
        <v>94604</v>
      </c>
      <c r="B458" s="393" t="s">
        <v>1161</v>
      </c>
      <c r="C458" s="235">
        <v>2.0299999999999999E-5</v>
      </c>
      <c r="D458" s="235">
        <v>2.6100000000000001E-5</v>
      </c>
      <c r="E458" s="232">
        <v>72541</v>
      </c>
      <c r="F458" s="232" t="s">
        <v>1930</v>
      </c>
      <c r="G458" s="394">
        <v>9161</v>
      </c>
      <c r="H458" s="394">
        <v>10208</v>
      </c>
      <c r="I458" s="394">
        <v>5398</v>
      </c>
      <c r="J458" s="232">
        <v>1351</v>
      </c>
      <c r="K458" s="232">
        <v>26118</v>
      </c>
      <c r="L458" s="232"/>
      <c r="M458" s="226">
        <v>0</v>
      </c>
      <c r="N458" s="226">
        <v>0</v>
      </c>
      <c r="O458" s="232">
        <v>2758</v>
      </c>
      <c r="P458" s="232">
        <v>2758</v>
      </c>
      <c r="Q458" s="232"/>
      <c r="R458" s="394">
        <v>24946</v>
      </c>
      <c r="S458" s="232">
        <v>154</v>
      </c>
      <c r="T458" s="398">
        <v>25100</v>
      </c>
      <c r="U458" s="232"/>
      <c r="V458" s="398"/>
      <c r="W458" s="398"/>
      <c r="X458" s="398">
        <v>147177</v>
      </c>
      <c r="Y458" s="398">
        <v>10513</v>
      </c>
    </row>
    <row r="459" spans="1:25">
      <c r="A459" s="392">
        <v>94606</v>
      </c>
      <c r="B459" s="393" t="s">
        <v>1162</v>
      </c>
      <c r="C459" s="235">
        <v>0</v>
      </c>
      <c r="D459" s="235">
        <v>0</v>
      </c>
      <c r="E459" s="232">
        <v>0</v>
      </c>
      <c r="F459" s="232" t="s">
        <v>1930</v>
      </c>
      <c r="G459" s="394">
        <v>0</v>
      </c>
      <c r="H459" s="394">
        <v>0</v>
      </c>
      <c r="I459" s="394">
        <v>0</v>
      </c>
      <c r="J459" s="232">
        <v>0</v>
      </c>
      <c r="K459" s="232">
        <v>0</v>
      </c>
      <c r="L459" s="232"/>
      <c r="M459" s="226">
        <v>0</v>
      </c>
      <c r="N459" s="226">
        <v>0</v>
      </c>
      <c r="O459" s="232">
        <v>138705</v>
      </c>
      <c r="P459" s="232">
        <v>138705</v>
      </c>
      <c r="Q459" s="232"/>
      <c r="R459" s="394">
        <v>0</v>
      </c>
      <c r="S459" s="232">
        <v>-55480</v>
      </c>
      <c r="T459" s="398">
        <v>-55480</v>
      </c>
      <c r="U459" s="232"/>
      <c r="V459" s="398"/>
      <c r="W459" s="398"/>
      <c r="X459" s="398">
        <v>0</v>
      </c>
      <c r="Y459" s="398">
        <v>0</v>
      </c>
    </row>
    <row r="460" spans="1:25">
      <c r="A460" s="392">
        <v>94611</v>
      </c>
      <c r="B460" s="393" t="s">
        <v>1163</v>
      </c>
      <c r="C460" s="235">
        <v>3.0679999999999998E-4</v>
      </c>
      <c r="D460" s="235">
        <v>3.4459999999999997E-4</v>
      </c>
      <c r="E460" s="232">
        <v>1096327</v>
      </c>
      <c r="F460" s="232" t="s">
        <v>1930</v>
      </c>
      <c r="G460" s="394">
        <v>138447</v>
      </c>
      <c r="H460" s="394">
        <v>154279</v>
      </c>
      <c r="I460" s="394">
        <v>81588</v>
      </c>
      <c r="J460" s="232">
        <v>0</v>
      </c>
      <c r="K460" s="232">
        <v>374314</v>
      </c>
      <c r="L460" s="232"/>
      <c r="M460" s="226">
        <v>0</v>
      </c>
      <c r="N460" s="226">
        <v>0</v>
      </c>
      <c r="O460" s="232">
        <v>44309</v>
      </c>
      <c r="P460" s="232">
        <v>44309</v>
      </c>
      <c r="Q460" s="232"/>
      <c r="R460" s="394">
        <v>377019</v>
      </c>
      <c r="S460" s="232">
        <v>-20246</v>
      </c>
      <c r="T460" s="398">
        <v>356773</v>
      </c>
      <c r="U460" s="232"/>
      <c r="V460" s="398"/>
      <c r="W460" s="398"/>
      <c r="X460" s="398">
        <v>2224328</v>
      </c>
      <c r="Y460" s="398">
        <v>158879</v>
      </c>
    </row>
    <row r="461" spans="1:25">
      <c r="A461" s="392">
        <v>94621</v>
      </c>
      <c r="B461" s="393" t="s">
        <v>1164</v>
      </c>
      <c r="C461" s="235">
        <v>1.104E-4</v>
      </c>
      <c r="D461" s="235">
        <v>1.3320000000000001E-4</v>
      </c>
      <c r="E461" s="232">
        <v>394506</v>
      </c>
      <c r="F461" s="232" t="s">
        <v>1930</v>
      </c>
      <c r="G461" s="394">
        <v>49819</v>
      </c>
      <c r="H461" s="394">
        <v>55516</v>
      </c>
      <c r="I461" s="394">
        <v>29359</v>
      </c>
      <c r="J461" s="232">
        <v>29423</v>
      </c>
      <c r="K461" s="232">
        <v>164117</v>
      </c>
      <c r="L461" s="232"/>
      <c r="M461" s="226">
        <v>0</v>
      </c>
      <c r="N461" s="226">
        <v>0</v>
      </c>
      <c r="O461" s="232">
        <v>26693</v>
      </c>
      <c r="P461" s="232">
        <v>26693</v>
      </c>
      <c r="Q461" s="232"/>
      <c r="R461" s="394">
        <v>135668</v>
      </c>
      <c r="S461" s="232">
        <v>1035</v>
      </c>
      <c r="T461" s="398">
        <v>136703</v>
      </c>
      <c r="U461" s="232"/>
      <c r="V461" s="398"/>
      <c r="W461" s="398"/>
      <c r="X461" s="398">
        <v>800410</v>
      </c>
      <c r="Y461" s="398">
        <v>57172</v>
      </c>
    </row>
    <row r="462" spans="1:25">
      <c r="A462" s="392">
        <v>94631</v>
      </c>
      <c r="B462" s="393" t="s">
        <v>1165</v>
      </c>
      <c r="C462" s="235">
        <v>4.2899999999999999E-5</v>
      </c>
      <c r="D462" s="235">
        <v>4.2599999999999999E-5</v>
      </c>
      <c r="E462" s="232">
        <v>153300</v>
      </c>
      <c r="F462" s="232" t="s">
        <v>1930</v>
      </c>
      <c r="G462" s="394">
        <v>19359</v>
      </c>
      <c r="H462" s="394">
        <v>21573</v>
      </c>
      <c r="I462" s="394">
        <v>11409</v>
      </c>
      <c r="J462" s="232">
        <v>2273</v>
      </c>
      <c r="K462" s="232">
        <v>54614</v>
      </c>
      <c r="L462" s="232"/>
      <c r="M462" s="226">
        <v>0</v>
      </c>
      <c r="N462" s="226">
        <v>0</v>
      </c>
      <c r="O462" s="232">
        <v>1575</v>
      </c>
      <c r="P462" s="232">
        <v>1575</v>
      </c>
      <c r="Q462" s="232"/>
      <c r="R462" s="394">
        <v>52719</v>
      </c>
      <c r="S462" s="232">
        <v>1564</v>
      </c>
      <c r="T462" s="398">
        <v>54283</v>
      </c>
      <c r="U462" s="232"/>
      <c r="V462" s="398"/>
      <c r="W462" s="398"/>
      <c r="X462" s="398">
        <v>311029</v>
      </c>
      <c r="Y462" s="398">
        <v>22216</v>
      </c>
    </row>
    <row r="463" spans="1:25">
      <c r="A463" s="392">
        <v>94641</v>
      </c>
      <c r="B463" s="393" t="s">
        <v>1166</v>
      </c>
      <c r="C463" s="235">
        <v>1.4399999999999999E-5</v>
      </c>
      <c r="D463" s="235">
        <v>1.04E-5</v>
      </c>
      <c r="E463" s="232">
        <v>51457</v>
      </c>
      <c r="F463" s="232" t="s">
        <v>1930</v>
      </c>
      <c r="G463" s="394">
        <v>6498</v>
      </c>
      <c r="H463" s="394">
        <v>7241</v>
      </c>
      <c r="I463" s="394">
        <v>3829</v>
      </c>
      <c r="J463" s="232">
        <v>13750</v>
      </c>
      <c r="K463" s="232">
        <v>31318</v>
      </c>
      <c r="L463" s="232"/>
      <c r="M463" s="226">
        <v>0</v>
      </c>
      <c r="N463" s="226">
        <v>0</v>
      </c>
      <c r="O463" s="232">
        <v>0</v>
      </c>
      <c r="P463" s="232">
        <v>0</v>
      </c>
      <c r="Q463" s="232"/>
      <c r="R463" s="394">
        <v>17696</v>
      </c>
      <c r="S463" s="232">
        <v>5565</v>
      </c>
      <c r="T463" s="398">
        <v>23261</v>
      </c>
      <c r="U463" s="232"/>
      <c r="V463" s="398"/>
      <c r="W463" s="398"/>
      <c r="X463" s="398">
        <v>104401</v>
      </c>
      <c r="Y463" s="398">
        <v>7457</v>
      </c>
    </row>
    <row r="464" spans="1:25">
      <c r="A464" s="392">
        <v>94701</v>
      </c>
      <c r="B464" s="393" t="s">
        <v>1167</v>
      </c>
      <c r="C464" s="235">
        <v>2.4697999999999999E-3</v>
      </c>
      <c r="D464" s="235">
        <v>2.4202999999999998E-3</v>
      </c>
      <c r="E464" s="232">
        <v>8825648</v>
      </c>
      <c r="F464" s="232" t="s">
        <v>1930</v>
      </c>
      <c r="G464" s="394">
        <v>1114524</v>
      </c>
      <c r="H464" s="394">
        <v>1241973</v>
      </c>
      <c r="I464" s="394">
        <v>656801</v>
      </c>
      <c r="J464" s="232">
        <v>136213</v>
      </c>
      <c r="K464" s="232">
        <v>3149511</v>
      </c>
      <c r="L464" s="232"/>
      <c r="M464" s="226">
        <v>0</v>
      </c>
      <c r="N464" s="226">
        <v>0</v>
      </c>
      <c r="O464" s="232">
        <v>66334</v>
      </c>
      <c r="P464" s="232">
        <v>66334</v>
      </c>
      <c r="Q464" s="232"/>
      <c r="R464" s="394">
        <v>3035075</v>
      </c>
      <c r="S464" s="232">
        <v>-13800</v>
      </c>
      <c r="T464" s="398">
        <v>3021275</v>
      </c>
      <c r="U464" s="232"/>
      <c r="V464" s="398"/>
      <c r="W464" s="398"/>
      <c r="X464" s="398">
        <v>17906277</v>
      </c>
      <c r="Y464" s="398">
        <v>1279006</v>
      </c>
    </row>
    <row r="465" spans="1:25">
      <c r="A465" s="392">
        <v>94704</v>
      </c>
      <c r="B465" s="393" t="s">
        <v>1168</v>
      </c>
      <c r="C465" s="235">
        <v>1.5500000000000001E-5</v>
      </c>
      <c r="D465" s="235">
        <v>1.5299999999999999E-5</v>
      </c>
      <c r="E465" s="232">
        <v>55388</v>
      </c>
      <c r="F465" s="232" t="s">
        <v>1930</v>
      </c>
      <c r="G465" s="394">
        <v>6995</v>
      </c>
      <c r="H465" s="394">
        <v>7794</v>
      </c>
      <c r="I465" s="394">
        <v>4122</v>
      </c>
      <c r="J465" s="232">
        <v>4513</v>
      </c>
      <c r="K465" s="232">
        <v>23424</v>
      </c>
      <c r="L465" s="232"/>
      <c r="M465" s="226">
        <v>0</v>
      </c>
      <c r="N465" s="226">
        <v>0</v>
      </c>
      <c r="O465" s="232">
        <v>40</v>
      </c>
      <c r="P465" s="232">
        <v>40</v>
      </c>
      <c r="Q465" s="232"/>
      <c r="R465" s="394">
        <v>19048</v>
      </c>
      <c r="S465" s="232">
        <v>1876</v>
      </c>
      <c r="T465" s="398">
        <v>20924</v>
      </c>
      <c r="U465" s="232"/>
      <c r="V465" s="398"/>
      <c r="W465" s="398"/>
      <c r="X465" s="398">
        <v>112376</v>
      </c>
      <c r="Y465" s="398">
        <v>8027</v>
      </c>
    </row>
    <row r="466" spans="1:25">
      <c r="A466" s="392">
        <v>94711</v>
      </c>
      <c r="B466" s="393" t="s">
        <v>1169</v>
      </c>
      <c r="C466" s="235">
        <v>3.1080000000000002E-4</v>
      </c>
      <c r="D466" s="235">
        <v>3.3819999999999998E-4</v>
      </c>
      <c r="E466" s="232">
        <v>1110621</v>
      </c>
      <c r="F466" s="232" t="s">
        <v>1930</v>
      </c>
      <c r="G466" s="394">
        <v>140252</v>
      </c>
      <c r="H466" s="394">
        <v>156290</v>
      </c>
      <c r="I466" s="394">
        <v>82652</v>
      </c>
      <c r="J466" s="232">
        <v>8044</v>
      </c>
      <c r="K466" s="232">
        <v>387238</v>
      </c>
      <c r="L466" s="232"/>
      <c r="M466" s="226">
        <v>0</v>
      </c>
      <c r="N466" s="226">
        <v>0</v>
      </c>
      <c r="O466" s="232">
        <v>19076</v>
      </c>
      <c r="P466" s="232">
        <v>19076</v>
      </c>
      <c r="Q466" s="232"/>
      <c r="R466" s="394">
        <v>381934</v>
      </c>
      <c r="S466" s="232">
        <v>-4542</v>
      </c>
      <c r="T466" s="398">
        <v>377392</v>
      </c>
      <c r="U466" s="232"/>
      <c r="V466" s="398"/>
      <c r="W466" s="398"/>
      <c r="X466" s="398">
        <v>2253329</v>
      </c>
      <c r="Y466" s="398">
        <v>160950</v>
      </c>
    </row>
    <row r="467" spans="1:25">
      <c r="A467" s="392">
        <v>94801</v>
      </c>
      <c r="B467" s="393" t="s">
        <v>1170</v>
      </c>
      <c r="C467" s="235">
        <v>6.8409999999999999E-4</v>
      </c>
      <c r="D467" s="235">
        <v>6.8429999999999999E-4</v>
      </c>
      <c r="E467" s="232">
        <v>2444581</v>
      </c>
      <c r="F467" s="232" t="s">
        <v>1930</v>
      </c>
      <c r="G467" s="394">
        <v>308708</v>
      </c>
      <c r="H467" s="394">
        <v>344009</v>
      </c>
      <c r="I467" s="394">
        <v>181925</v>
      </c>
      <c r="J467" s="232">
        <v>23075</v>
      </c>
      <c r="K467" s="232">
        <v>857717</v>
      </c>
      <c r="L467" s="232"/>
      <c r="M467" s="226">
        <v>0</v>
      </c>
      <c r="N467" s="226">
        <v>0</v>
      </c>
      <c r="O467" s="232">
        <v>16032</v>
      </c>
      <c r="P467" s="232">
        <v>16032</v>
      </c>
      <c r="Q467" s="232"/>
      <c r="R467" s="394">
        <v>840673</v>
      </c>
      <c r="S467" s="232">
        <v>165</v>
      </c>
      <c r="T467" s="398">
        <v>840838</v>
      </c>
      <c r="U467" s="232"/>
      <c r="V467" s="398"/>
      <c r="W467" s="398"/>
      <c r="X467" s="398">
        <v>4959788</v>
      </c>
      <c r="Y467" s="398">
        <v>354267</v>
      </c>
    </row>
    <row r="468" spans="1:25">
      <c r="A468" s="392">
        <v>94804</v>
      </c>
      <c r="B468" s="393" t="s">
        <v>1171</v>
      </c>
      <c r="C468" s="235">
        <v>3.4000000000000001E-6</v>
      </c>
      <c r="D468" s="235">
        <v>2.7999999999999999E-6</v>
      </c>
      <c r="E468" s="232">
        <v>12150</v>
      </c>
      <c r="F468" s="232" t="s">
        <v>1930</v>
      </c>
      <c r="G468" s="394">
        <v>1534</v>
      </c>
      <c r="H468" s="394">
        <v>1710</v>
      </c>
      <c r="I468" s="394">
        <v>904</v>
      </c>
      <c r="J468" s="232">
        <v>3096</v>
      </c>
      <c r="K468" s="232">
        <v>7244</v>
      </c>
      <c r="L468" s="232"/>
      <c r="M468" s="226">
        <v>0</v>
      </c>
      <c r="N468" s="226">
        <v>0</v>
      </c>
      <c r="O468" s="232">
        <v>0</v>
      </c>
      <c r="P468" s="232">
        <v>0</v>
      </c>
      <c r="Q468" s="232"/>
      <c r="R468" s="394">
        <v>4178</v>
      </c>
      <c r="S468" s="232">
        <v>1144</v>
      </c>
      <c r="T468" s="398">
        <v>5322</v>
      </c>
      <c r="U468" s="232"/>
      <c r="V468" s="398"/>
      <c r="W468" s="398"/>
      <c r="X468" s="398">
        <v>24650</v>
      </c>
      <c r="Y468" s="398">
        <v>1761</v>
      </c>
    </row>
    <row r="469" spans="1:25">
      <c r="A469" s="392">
        <v>94812</v>
      </c>
      <c r="B469" s="393" t="s">
        <v>1172</v>
      </c>
      <c r="C469" s="235">
        <v>2.8399999999999999E-5</v>
      </c>
      <c r="D469" s="235">
        <v>3.0000000000000001E-5</v>
      </c>
      <c r="E469" s="232">
        <v>101485</v>
      </c>
      <c r="F469" s="232" t="s">
        <v>1930</v>
      </c>
      <c r="G469" s="394">
        <v>12816</v>
      </c>
      <c r="H469" s="394">
        <v>14281</v>
      </c>
      <c r="I469" s="394">
        <v>7552</v>
      </c>
      <c r="J469" s="232">
        <v>8748</v>
      </c>
      <c r="K469" s="232">
        <v>43397</v>
      </c>
      <c r="L469" s="232"/>
      <c r="M469" s="226">
        <v>0</v>
      </c>
      <c r="N469" s="226">
        <v>0</v>
      </c>
      <c r="O469" s="232">
        <v>0</v>
      </c>
      <c r="P469" s="232">
        <v>0</v>
      </c>
      <c r="Q469" s="232"/>
      <c r="R469" s="394">
        <v>34900</v>
      </c>
      <c r="S469" s="232">
        <v>5068</v>
      </c>
      <c r="T469" s="398">
        <v>39968</v>
      </c>
      <c r="U469" s="232"/>
      <c r="V469" s="398"/>
      <c r="W469" s="398"/>
      <c r="X469" s="398">
        <v>205903</v>
      </c>
      <c r="Y469" s="398">
        <v>14707</v>
      </c>
    </row>
    <row r="470" spans="1:25">
      <c r="A470" s="392">
        <v>94901</v>
      </c>
      <c r="B470" s="393" t="s">
        <v>1173</v>
      </c>
      <c r="C470" s="235">
        <v>7.2741999999999998E-3</v>
      </c>
      <c r="D470" s="235">
        <v>7.2372000000000001E-3</v>
      </c>
      <c r="E470" s="232">
        <v>25993815</v>
      </c>
      <c r="F470" s="232" t="s">
        <v>1930</v>
      </c>
      <c r="G470" s="394">
        <v>3282563</v>
      </c>
      <c r="H470" s="394">
        <v>3657933</v>
      </c>
      <c r="I470" s="394">
        <v>1934450</v>
      </c>
      <c r="J470" s="232">
        <v>262914</v>
      </c>
      <c r="K470" s="232">
        <v>9137860</v>
      </c>
      <c r="L470" s="232"/>
      <c r="M470" s="226">
        <v>0</v>
      </c>
      <c r="N470" s="226">
        <v>0</v>
      </c>
      <c r="O470" s="232">
        <v>19106</v>
      </c>
      <c r="P470" s="232">
        <v>19106</v>
      </c>
      <c r="Q470" s="232"/>
      <c r="R470" s="394">
        <v>8939083</v>
      </c>
      <c r="S470" s="232">
        <v>89158</v>
      </c>
      <c r="T470" s="398">
        <v>9028241</v>
      </c>
      <c r="U470" s="232"/>
      <c r="V470" s="398"/>
      <c r="W470" s="398"/>
      <c r="X470" s="398">
        <v>52738619</v>
      </c>
      <c r="Y470" s="398">
        <v>3767003</v>
      </c>
    </row>
    <row r="471" spans="1:25">
      <c r="A471" s="392">
        <v>94908</v>
      </c>
      <c r="B471" s="393" t="s">
        <v>1174</v>
      </c>
      <c r="C471" s="235">
        <v>6.5400000000000004E-5</v>
      </c>
      <c r="D471" s="235">
        <v>5.9000000000000003E-6</v>
      </c>
      <c r="E471" s="232">
        <v>233702</v>
      </c>
      <c r="F471" s="232" t="s">
        <v>1930</v>
      </c>
      <c r="G471" s="394">
        <v>29512</v>
      </c>
      <c r="H471" s="394">
        <v>32887</v>
      </c>
      <c r="I471" s="394">
        <v>17392</v>
      </c>
      <c r="J471" s="232">
        <v>82898</v>
      </c>
      <c r="K471" s="232">
        <v>162689</v>
      </c>
      <c r="L471" s="232"/>
      <c r="M471" s="226">
        <v>0</v>
      </c>
      <c r="N471" s="226">
        <v>0</v>
      </c>
      <c r="O471" s="232">
        <v>4717</v>
      </c>
      <c r="P471" s="232">
        <v>4717</v>
      </c>
      <c r="Q471" s="232"/>
      <c r="R471" s="394">
        <v>80368</v>
      </c>
      <c r="S471" s="232">
        <v>22657</v>
      </c>
      <c r="T471" s="398">
        <v>103025</v>
      </c>
      <c r="U471" s="232"/>
      <c r="V471" s="398"/>
      <c r="W471" s="398"/>
      <c r="X471" s="398">
        <v>474156</v>
      </c>
      <c r="Y471" s="398">
        <v>33868</v>
      </c>
    </row>
    <row r="472" spans="1:25">
      <c r="A472" s="392">
        <v>94911</v>
      </c>
      <c r="B472" s="393" t="s">
        <v>1175</v>
      </c>
      <c r="C472" s="235">
        <v>2.9137999999999998E-3</v>
      </c>
      <c r="D472" s="235">
        <v>2.8782E-3</v>
      </c>
      <c r="E472" s="232">
        <v>10412249</v>
      </c>
      <c r="F472" s="232" t="s">
        <v>1930</v>
      </c>
      <c r="G472" s="394">
        <v>1314884</v>
      </c>
      <c r="H472" s="394">
        <v>1465245</v>
      </c>
      <c r="I472" s="394">
        <v>774876</v>
      </c>
      <c r="J472" s="232">
        <v>116602</v>
      </c>
      <c r="K472" s="232">
        <v>3671607</v>
      </c>
      <c r="L472" s="232"/>
      <c r="M472" s="226">
        <v>0</v>
      </c>
      <c r="N472" s="226">
        <v>0</v>
      </c>
      <c r="O472" s="232">
        <v>64798</v>
      </c>
      <c r="P472" s="232">
        <v>64798</v>
      </c>
      <c r="Q472" s="232"/>
      <c r="R472" s="394">
        <v>3580696</v>
      </c>
      <c r="S472" s="232">
        <v>20799</v>
      </c>
      <c r="T472" s="398">
        <v>3601495</v>
      </c>
      <c r="U472" s="232"/>
      <c r="V472" s="398"/>
      <c r="W472" s="398"/>
      <c r="X472" s="398">
        <v>21125318</v>
      </c>
      <c r="Y472" s="398">
        <v>1508935</v>
      </c>
    </row>
    <row r="473" spans="1:25">
      <c r="A473" s="392">
        <v>94917</v>
      </c>
      <c r="B473" s="393" t="s">
        <v>1176</v>
      </c>
      <c r="C473" s="235">
        <v>3.1099999999999997E-5</v>
      </c>
      <c r="D473" s="235">
        <v>3.0700000000000001E-5</v>
      </c>
      <c r="E473" s="232">
        <v>111134</v>
      </c>
      <c r="F473" s="232" t="s">
        <v>1930</v>
      </c>
      <c r="G473" s="394">
        <v>14034</v>
      </c>
      <c r="H473" s="394">
        <v>15639</v>
      </c>
      <c r="I473" s="394">
        <v>8271</v>
      </c>
      <c r="J473" s="232">
        <v>25847</v>
      </c>
      <c r="K473" s="232">
        <v>63791</v>
      </c>
      <c r="L473" s="232"/>
      <c r="M473" s="226">
        <v>0</v>
      </c>
      <c r="N473" s="226">
        <v>0</v>
      </c>
      <c r="O473" s="232">
        <v>0</v>
      </c>
      <c r="P473" s="232">
        <v>0</v>
      </c>
      <c r="Q473" s="232"/>
      <c r="R473" s="394">
        <v>38218</v>
      </c>
      <c r="S473" s="232">
        <v>11607</v>
      </c>
      <c r="T473" s="398">
        <v>49825</v>
      </c>
      <c r="U473" s="232"/>
      <c r="V473" s="398"/>
      <c r="W473" s="398"/>
      <c r="X473" s="398">
        <v>225478</v>
      </c>
      <c r="Y473" s="398">
        <v>16105</v>
      </c>
    </row>
    <row r="474" spans="1:25">
      <c r="A474" s="392">
        <v>94921</v>
      </c>
      <c r="B474" s="393" t="s">
        <v>1177</v>
      </c>
      <c r="C474" s="235">
        <v>3.7566000000000001E-3</v>
      </c>
      <c r="D474" s="235">
        <v>3.8489000000000002E-3</v>
      </c>
      <c r="E474" s="232">
        <v>13423932</v>
      </c>
      <c r="F474" s="232" t="s">
        <v>1930</v>
      </c>
      <c r="G474" s="394">
        <v>1695207</v>
      </c>
      <c r="H474" s="394">
        <v>1889059</v>
      </c>
      <c r="I474" s="394">
        <v>999004</v>
      </c>
      <c r="J474" s="232">
        <v>4801</v>
      </c>
      <c r="K474" s="232">
        <v>4588071</v>
      </c>
      <c r="L474" s="232"/>
      <c r="M474" s="226">
        <v>0</v>
      </c>
      <c r="N474" s="226">
        <v>0</v>
      </c>
      <c r="O474" s="232">
        <v>347480</v>
      </c>
      <c r="P474" s="232">
        <v>347480</v>
      </c>
      <c r="Q474" s="232"/>
      <c r="R474" s="394">
        <v>4616392</v>
      </c>
      <c r="S474" s="232">
        <v>-193690</v>
      </c>
      <c r="T474" s="398">
        <v>4422702</v>
      </c>
      <c r="U474" s="232"/>
      <c r="V474" s="398"/>
      <c r="W474" s="398"/>
      <c r="X474" s="398">
        <v>27235696</v>
      </c>
      <c r="Y474" s="398">
        <v>1945385</v>
      </c>
    </row>
    <row r="475" spans="1:25">
      <c r="A475" s="392">
        <v>94923</v>
      </c>
      <c r="B475" s="393" t="s">
        <v>1178</v>
      </c>
      <c r="C475" s="235">
        <v>2.6299999999999999E-5</v>
      </c>
      <c r="D475" s="235">
        <v>2.7800000000000001E-5</v>
      </c>
      <c r="E475" s="232">
        <v>93981</v>
      </c>
      <c r="F475" s="232" t="s">
        <v>1930</v>
      </c>
      <c r="G475" s="394">
        <v>11868</v>
      </c>
      <c r="H475" s="394">
        <v>13225</v>
      </c>
      <c r="I475" s="394">
        <v>6994</v>
      </c>
      <c r="J475" s="232">
        <v>3329</v>
      </c>
      <c r="K475" s="232">
        <v>35416</v>
      </c>
      <c r="L475" s="232"/>
      <c r="M475" s="226">
        <v>0</v>
      </c>
      <c r="N475" s="226">
        <v>0</v>
      </c>
      <c r="O475" s="232">
        <v>0</v>
      </c>
      <c r="P475" s="232">
        <v>0</v>
      </c>
      <c r="Q475" s="232"/>
      <c r="R475" s="394">
        <v>32319</v>
      </c>
      <c r="S475" s="232">
        <v>2050</v>
      </c>
      <c r="T475" s="398">
        <v>34369</v>
      </c>
      <c r="U475" s="232"/>
      <c r="V475" s="398"/>
      <c r="W475" s="398"/>
      <c r="X475" s="398">
        <v>190677</v>
      </c>
      <c r="Y475" s="398">
        <v>13620</v>
      </c>
    </row>
    <row r="476" spans="1:25">
      <c r="A476" s="392">
        <v>94927</v>
      </c>
      <c r="B476" s="393" t="s">
        <v>1179</v>
      </c>
      <c r="C476" s="235">
        <v>2.26E-5</v>
      </c>
      <c r="D476" s="235">
        <v>2.5299999999999998E-5</v>
      </c>
      <c r="E476" s="232">
        <v>80759</v>
      </c>
      <c r="F476" s="232" t="s">
        <v>1930</v>
      </c>
      <c r="G476" s="394">
        <v>10198</v>
      </c>
      <c r="H476" s="394">
        <v>11365</v>
      </c>
      <c r="I476" s="394">
        <v>6010</v>
      </c>
      <c r="J476" s="232">
        <v>11450</v>
      </c>
      <c r="K476" s="232">
        <v>39023</v>
      </c>
      <c r="L476" s="232"/>
      <c r="M476" s="226">
        <v>0</v>
      </c>
      <c r="N476" s="226">
        <v>0</v>
      </c>
      <c r="O476" s="232">
        <v>0</v>
      </c>
      <c r="P476" s="232">
        <v>0</v>
      </c>
      <c r="Q476" s="232"/>
      <c r="R476" s="394">
        <v>27773</v>
      </c>
      <c r="S476" s="232">
        <v>4760</v>
      </c>
      <c r="T476" s="398">
        <v>32533</v>
      </c>
      <c r="U476" s="232"/>
      <c r="V476" s="398"/>
      <c r="W476" s="398"/>
      <c r="X476" s="398">
        <v>163852</v>
      </c>
      <c r="Y476" s="398">
        <v>11704</v>
      </c>
    </row>
    <row r="477" spans="1:25">
      <c r="A477" s="392">
        <v>94931</v>
      </c>
      <c r="B477" s="393" t="s">
        <v>1180</v>
      </c>
      <c r="C477" s="235">
        <v>1.9909999999999999E-4</v>
      </c>
      <c r="D477" s="235">
        <v>2.142E-4</v>
      </c>
      <c r="E477" s="232">
        <v>711469</v>
      </c>
      <c r="F477" s="232" t="s">
        <v>1930</v>
      </c>
      <c r="G477" s="394">
        <v>89846</v>
      </c>
      <c r="H477" s="394">
        <v>100120</v>
      </c>
      <c r="I477" s="394">
        <v>52947</v>
      </c>
      <c r="J477" s="232">
        <v>7612</v>
      </c>
      <c r="K477" s="232">
        <v>250525</v>
      </c>
      <c r="L477" s="232"/>
      <c r="M477" s="226">
        <v>0</v>
      </c>
      <c r="N477" s="226">
        <v>0</v>
      </c>
      <c r="O477" s="232">
        <v>19368</v>
      </c>
      <c r="P477" s="232">
        <v>19368</v>
      </c>
      <c r="Q477" s="232"/>
      <c r="R477" s="394">
        <v>244669</v>
      </c>
      <c r="S477" s="232">
        <v>-7685</v>
      </c>
      <c r="T477" s="398">
        <v>236984</v>
      </c>
      <c r="U477" s="232"/>
      <c r="V477" s="398"/>
      <c r="W477" s="398"/>
      <c r="X477" s="398">
        <v>1443493</v>
      </c>
      <c r="Y477" s="398">
        <v>103106</v>
      </c>
    </row>
    <row r="478" spans="1:25">
      <c r="A478" s="392">
        <v>94937</v>
      </c>
      <c r="B478" t="s">
        <v>1933</v>
      </c>
      <c r="C478" s="235">
        <v>7.5000000000000002E-6</v>
      </c>
      <c r="D478" s="235">
        <v>6.9E-6</v>
      </c>
      <c r="E478" s="232">
        <v>26801</v>
      </c>
      <c r="F478" s="232" t="s">
        <v>1930</v>
      </c>
      <c r="G478" s="394">
        <v>3384</v>
      </c>
      <c r="H478" s="394">
        <v>3771</v>
      </c>
      <c r="I478" s="394">
        <v>1994</v>
      </c>
      <c r="J478" s="232">
        <v>5253</v>
      </c>
      <c r="K478" s="232">
        <v>14402</v>
      </c>
      <c r="L478" s="232"/>
      <c r="M478" s="226">
        <v>0</v>
      </c>
      <c r="N478" s="226">
        <v>0</v>
      </c>
      <c r="O478" s="232">
        <v>0</v>
      </c>
      <c r="P478" s="232">
        <v>0</v>
      </c>
      <c r="Q478" s="232"/>
      <c r="R478" s="394">
        <v>9217</v>
      </c>
      <c r="S478" s="232">
        <v>1751</v>
      </c>
      <c r="T478" s="398">
        <v>10968</v>
      </c>
      <c r="U478" s="232"/>
      <c r="V478" s="398"/>
      <c r="W478" s="398"/>
      <c r="X478" s="398">
        <v>54376</v>
      </c>
      <c r="Y478" s="398">
        <v>3884</v>
      </c>
    </row>
    <row r="479" spans="1:25">
      <c r="A479" s="392">
        <v>94941</v>
      </c>
      <c r="B479" s="393" t="s">
        <v>1181</v>
      </c>
      <c r="C479" s="235">
        <v>5.5029999999999999E-4</v>
      </c>
      <c r="D479" s="235">
        <v>5.865E-4</v>
      </c>
      <c r="E479" s="232">
        <v>1966456</v>
      </c>
      <c r="F479" s="232" t="s">
        <v>1930</v>
      </c>
      <c r="G479" s="394">
        <v>248329</v>
      </c>
      <c r="H479" s="394">
        <v>276726</v>
      </c>
      <c r="I479" s="394">
        <v>146343</v>
      </c>
      <c r="J479" s="232">
        <v>14793</v>
      </c>
      <c r="K479" s="232">
        <v>686191</v>
      </c>
      <c r="L479" s="232"/>
      <c r="M479" s="226">
        <v>0</v>
      </c>
      <c r="N479" s="226">
        <v>0</v>
      </c>
      <c r="O479" s="232">
        <v>182333</v>
      </c>
      <c r="P479" s="232">
        <v>182333</v>
      </c>
      <c r="Q479" s="232"/>
      <c r="R479" s="394">
        <v>676250</v>
      </c>
      <c r="S479" s="232">
        <v>-56548</v>
      </c>
      <c r="T479" s="398">
        <v>619702</v>
      </c>
      <c r="U479" s="232"/>
      <c r="V479" s="398"/>
      <c r="W479" s="398"/>
      <c r="X479" s="398">
        <v>3989726</v>
      </c>
      <c r="Y479" s="398">
        <v>284977</v>
      </c>
    </row>
    <row r="480" spans="1:25">
      <c r="A480" s="392">
        <v>94947</v>
      </c>
      <c r="B480" t="s">
        <v>1934</v>
      </c>
      <c r="C480" s="235">
        <v>5.4E-6</v>
      </c>
      <c r="D480" s="235">
        <v>5.9000000000000003E-6</v>
      </c>
      <c r="E480" s="232">
        <v>19297</v>
      </c>
      <c r="F480" s="232" t="s">
        <v>1930</v>
      </c>
      <c r="G480" s="394">
        <v>2437</v>
      </c>
      <c r="H480" s="394">
        <v>2715</v>
      </c>
      <c r="I480" s="394">
        <v>1436</v>
      </c>
      <c r="J480" s="232">
        <v>5748</v>
      </c>
      <c r="K480" s="232">
        <v>12336</v>
      </c>
      <c r="L480" s="232"/>
      <c r="M480" s="226">
        <v>0</v>
      </c>
      <c r="N480" s="226">
        <v>0</v>
      </c>
      <c r="O480" s="232">
        <v>0</v>
      </c>
      <c r="P480" s="232">
        <v>0</v>
      </c>
      <c r="Q480" s="232"/>
      <c r="R480" s="394">
        <v>6636</v>
      </c>
      <c r="S480" s="232">
        <v>1916</v>
      </c>
      <c r="T480" s="398">
        <v>8552</v>
      </c>
      <c r="U480" s="232"/>
      <c r="V480" s="398"/>
      <c r="W480" s="398"/>
      <c r="X480" s="398">
        <v>39150</v>
      </c>
      <c r="Y480" s="398">
        <v>2796</v>
      </c>
    </row>
    <row r="481" spans="1:25">
      <c r="A481" s="392">
        <v>95001</v>
      </c>
      <c r="B481" s="393" t="s">
        <v>1182</v>
      </c>
      <c r="C481" s="235">
        <v>2.2097000000000002E-3</v>
      </c>
      <c r="D481" s="235">
        <v>2.2818999999999999E-3</v>
      </c>
      <c r="E481" s="232">
        <v>7896199</v>
      </c>
      <c r="F481" s="232" t="s">
        <v>1930</v>
      </c>
      <c r="G481" s="394">
        <v>997151</v>
      </c>
      <c r="H481" s="394">
        <v>1111179</v>
      </c>
      <c r="I481" s="394">
        <v>587632</v>
      </c>
      <c r="J481" s="232">
        <v>126823</v>
      </c>
      <c r="K481" s="232">
        <v>2822785</v>
      </c>
      <c r="L481" s="232"/>
      <c r="M481" s="226">
        <v>0</v>
      </c>
      <c r="N481" s="226">
        <v>0</v>
      </c>
      <c r="O481" s="232">
        <v>24732</v>
      </c>
      <c r="P481" s="232">
        <v>24732</v>
      </c>
      <c r="Q481" s="232"/>
      <c r="R481" s="394">
        <v>2715445</v>
      </c>
      <c r="S481" s="232">
        <v>59272</v>
      </c>
      <c r="T481" s="398">
        <v>2774717</v>
      </c>
      <c r="U481" s="232"/>
      <c r="V481" s="398"/>
      <c r="W481" s="398"/>
      <c r="X481" s="398">
        <v>16020528</v>
      </c>
      <c r="Y481" s="398">
        <v>1144311</v>
      </c>
    </row>
    <row r="482" spans="1:25">
      <c r="A482" s="392">
        <v>95002</v>
      </c>
      <c r="B482" s="393" t="s">
        <v>1183</v>
      </c>
      <c r="C482" s="235">
        <v>1.6760000000000001E-4</v>
      </c>
      <c r="D482" s="235">
        <v>1.805E-4</v>
      </c>
      <c r="E482" s="232">
        <v>598906</v>
      </c>
      <c r="F482" s="232" t="s">
        <v>1930</v>
      </c>
      <c r="G482" s="394">
        <v>75631</v>
      </c>
      <c r="H482" s="394">
        <v>84280</v>
      </c>
      <c r="I482" s="394">
        <v>44570</v>
      </c>
      <c r="J482" s="232">
        <v>23435</v>
      </c>
      <c r="K482" s="232">
        <v>227916</v>
      </c>
      <c r="L482" s="232"/>
      <c r="M482" s="226">
        <v>0</v>
      </c>
      <c r="N482" s="226">
        <v>0</v>
      </c>
      <c r="O482" s="232">
        <v>0</v>
      </c>
      <c r="P482" s="232">
        <v>0</v>
      </c>
      <c r="Q482" s="232"/>
      <c r="R482" s="394">
        <v>205959</v>
      </c>
      <c r="S482" s="232">
        <v>11908</v>
      </c>
      <c r="T482" s="398">
        <v>217867</v>
      </c>
      <c r="U482" s="232"/>
      <c r="V482" s="398"/>
      <c r="W482" s="398"/>
      <c r="X482" s="398">
        <v>1215115</v>
      </c>
      <c r="Y482" s="398">
        <v>86793</v>
      </c>
    </row>
    <row r="483" spans="1:25">
      <c r="A483" s="392">
        <v>95005</v>
      </c>
      <c r="B483" s="393" t="s">
        <v>1184</v>
      </c>
      <c r="C483" s="235">
        <v>1.6770000000000001E-4</v>
      </c>
      <c r="D483" s="235">
        <v>1.8819999999999999E-4</v>
      </c>
      <c r="E483" s="232">
        <v>599264</v>
      </c>
      <c r="F483" s="232" t="s">
        <v>1930</v>
      </c>
      <c r="G483" s="394">
        <v>75676</v>
      </c>
      <c r="H483" s="394">
        <v>84330</v>
      </c>
      <c r="I483" s="394">
        <v>44597</v>
      </c>
      <c r="J483" s="232">
        <v>0</v>
      </c>
      <c r="K483" s="232">
        <v>204603</v>
      </c>
      <c r="L483" s="232"/>
      <c r="M483" s="226">
        <v>0</v>
      </c>
      <c r="N483" s="226">
        <v>0</v>
      </c>
      <c r="O483" s="232">
        <v>18819</v>
      </c>
      <c r="P483" s="232">
        <v>18819</v>
      </c>
      <c r="Q483" s="232"/>
      <c r="R483" s="394">
        <v>206082</v>
      </c>
      <c r="S483" s="232">
        <v>-6822</v>
      </c>
      <c r="T483" s="398">
        <v>199260</v>
      </c>
      <c r="U483" s="232"/>
      <c r="V483" s="398"/>
      <c r="W483" s="398"/>
      <c r="X483" s="398">
        <v>1215840</v>
      </c>
      <c r="Y483" s="398">
        <v>86845</v>
      </c>
    </row>
    <row r="484" spans="1:25">
      <c r="A484" s="392">
        <v>95008</v>
      </c>
      <c r="B484" s="393" t="s">
        <v>1185</v>
      </c>
      <c r="C484" s="235">
        <v>1.225E-4</v>
      </c>
      <c r="D484" s="235">
        <v>1.193E-4</v>
      </c>
      <c r="E484" s="232">
        <v>437745</v>
      </c>
      <c r="F484" s="232" t="s">
        <v>1930</v>
      </c>
      <c r="G484" s="394">
        <v>55279</v>
      </c>
      <c r="H484" s="394">
        <v>61601</v>
      </c>
      <c r="I484" s="394">
        <v>32577</v>
      </c>
      <c r="J484" s="232">
        <v>26039</v>
      </c>
      <c r="K484" s="232">
        <v>175496</v>
      </c>
      <c r="L484" s="232"/>
      <c r="M484" s="226">
        <v>0</v>
      </c>
      <c r="N484" s="226">
        <v>0</v>
      </c>
      <c r="O484" s="232">
        <v>0</v>
      </c>
      <c r="P484" s="232">
        <v>0</v>
      </c>
      <c r="Q484" s="232"/>
      <c r="R484" s="394">
        <v>150537</v>
      </c>
      <c r="S484" s="232">
        <v>8818</v>
      </c>
      <c r="T484" s="398">
        <v>159355</v>
      </c>
      <c r="U484" s="232"/>
      <c r="V484" s="398"/>
      <c r="W484" s="398"/>
      <c r="X484" s="398">
        <v>888136</v>
      </c>
      <c r="Y484" s="398">
        <v>63438</v>
      </c>
    </row>
    <row r="485" spans="1:25">
      <c r="A485" s="392">
        <v>95009</v>
      </c>
      <c r="B485" s="393" t="s">
        <v>1186</v>
      </c>
      <c r="C485" s="235">
        <v>3.8095E-3</v>
      </c>
      <c r="D485" s="235">
        <v>4.0723000000000001E-3</v>
      </c>
      <c r="E485" s="232">
        <v>13612966</v>
      </c>
      <c r="F485" s="232" t="s">
        <v>1930</v>
      </c>
      <c r="G485" s="394">
        <v>1719079</v>
      </c>
      <c r="H485" s="394">
        <v>1915661</v>
      </c>
      <c r="I485" s="394">
        <v>1013072</v>
      </c>
      <c r="J485" s="232">
        <v>34692</v>
      </c>
      <c r="K485" s="232">
        <v>4682504</v>
      </c>
      <c r="L485" s="232"/>
      <c r="M485" s="226">
        <v>0</v>
      </c>
      <c r="N485" s="226">
        <v>0</v>
      </c>
      <c r="O485" s="232">
        <v>592611</v>
      </c>
      <c r="P485" s="232">
        <v>592611</v>
      </c>
      <c r="Q485" s="232"/>
      <c r="R485" s="394">
        <v>4681399</v>
      </c>
      <c r="S485" s="232">
        <v>-124964</v>
      </c>
      <c r="T485" s="398">
        <v>4556435</v>
      </c>
      <c r="U485" s="232"/>
      <c r="V485" s="398"/>
      <c r="W485" s="398"/>
      <c r="X485" s="398">
        <v>27619225</v>
      </c>
      <c r="Y485" s="398">
        <v>1972780</v>
      </c>
    </row>
    <row r="486" spans="1:25">
      <c r="A486" s="392">
        <v>95010</v>
      </c>
      <c r="B486" s="393" t="s">
        <v>3725</v>
      </c>
      <c r="C486" s="235">
        <v>2.1299999999999999E-5</v>
      </c>
      <c r="D486" s="235">
        <v>0</v>
      </c>
      <c r="E486" s="232">
        <v>76114</v>
      </c>
      <c r="F486" s="232" t="s">
        <v>1930</v>
      </c>
      <c r="G486" s="394">
        <v>9612</v>
      </c>
      <c r="H486" s="394">
        <v>10711</v>
      </c>
      <c r="I486" s="394">
        <v>5664</v>
      </c>
      <c r="J486" s="232">
        <v>23685</v>
      </c>
      <c r="K486" s="232">
        <v>49672</v>
      </c>
      <c r="L486" s="232"/>
      <c r="M486" s="226">
        <v>0</v>
      </c>
      <c r="N486" s="226">
        <v>0</v>
      </c>
      <c r="O486" s="232">
        <v>0</v>
      </c>
      <c r="P486" s="232">
        <v>0</v>
      </c>
      <c r="Q486" s="232"/>
      <c r="R486" s="394">
        <v>26175</v>
      </c>
      <c r="S486" s="232">
        <v>7895</v>
      </c>
      <c r="T486" s="398">
        <v>34070</v>
      </c>
      <c r="U486" s="232"/>
      <c r="V486" s="398"/>
      <c r="W486" s="398"/>
      <c r="X486" s="398">
        <v>154427</v>
      </c>
      <c r="Y486" s="398">
        <v>11030</v>
      </c>
    </row>
    <row r="487" spans="1:25">
      <c r="A487" s="392">
        <v>95011</v>
      </c>
      <c r="B487" s="393" t="s">
        <v>1187</v>
      </c>
      <c r="C487" s="235">
        <v>1.7430000000000001E-4</v>
      </c>
      <c r="D487" s="235">
        <v>1.9230000000000001E-4</v>
      </c>
      <c r="E487" s="232">
        <v>622848</v>
      </c>
      <c r="F487" s="232" t="s">
        <v>1930</v>
      </c>
      <c r="G487" s="394">
        <v>78655</v>
      </c>
      <c r="H487" s="394">
        <v>87649</v>
      </c>
      <c r="I487" s="394">
        <v>46352</v>
      </c>
      <c r="J487" s="232">
        <v>3237</v>
      </c>
      <c r="K487" s="232">
        <v>215893</v>
      </c>
      <c r="L487" s="232"/>
      <c r="M487" s="226">
        <v>0</v>
      </c>
      <c r="N487" s="226">
        <v>0</v>
      </c>
      <c r="O487" s="232">
        <v>24130</v>
      </c>
      <c r="P487" s="232">
        <v>24130</v>
      </c>
      <c r="Q487" s="232"/>
      <c r="R487" s="394">
        <v>214193</v>
      </c>
      <c r="S487" s="232">
        <v>-7876</v>
      </c>
      <c r="T487" s="398">
        <v>206317</v>
      </c>
      <c r="U487" s="232"/>
      <c r="V487" s="398"/>
      <c r="W487" s="398"/>
      <c r="X487" s="398">
        <v>1263691</v>
      </c>
      <c r="Y487" s="398">
        <v>90263</v>
      </c>
    </row>
    <row r="488" spans="1:25">
      <c r="A488" s="392">
        <v>95017</v>
      </c>
      <c r="B488" s="393" t="s">
        <v>1188</v>
      </c>
      <c r="C488" s="235">
        <v>4.2599999999999999E-5</v>
      </c>
      <c r="D488" s="235">
        <v>5.1E-5</v>
      </c>
      <c r="E488" s="232">
        <v>152228</v>
      </c>
      <c r="F488" s="232" t="s">
        <v>1930</v>
      </c>
      <c r="G488" s="394">
        <v>19224</v>
      </c>
      <c r="H488" s="394">
        <v>21422</v>
      </c>
      <c r="I488" s="394">
        <v>11329</v>
      </c>
      <c r="J488" s="232">
        <v>568</v>
      </c>
      <c r="K488" s="232">
        <v>52543</v>
      </c>
      <c r="L488" s="232"/>
      <c r="M488" s="226">
        <v>0</v>
      </c>
      <c r="N488" s="226">
        <v>0</v>
      </c>
      <c r="O488" s="232">
        <v>13201</v>
      </c>
      <c r="P488" s="232">
        <v>13201</v>
      </c>
      <c r="Q488" s="232"/>
      <c r="R488" s="394">
        <v>52350</v>
      </c>
      <c r="S488" s="232">
        <v>-3369</v>
      </c>
      <c r="T488" s="398">
        <v>48981</v>
      </c>
      <c r="U488" s="232"/>
      <c r="V488" s="398"/>
      <c r="W488" s="398"/>
      <c r="X488" s="398">
        <v>308854</v>
      </c>
      <c r="Y488" s="398">
        <v>22061</v>
      </c>
    </row>
    <row r="489" spans="1:25">
      <c r="A489" s="392">
        <v>95101</v>
      </c>
      <c r="B489" s="393" t="s">
        <v>1189</v>
      </c>
      <c r="C489" s="235">
        <v>8.9332000000000005E-3</v>
      </c>
      <c r="D489" s="235">
        <v>8.8515E-3</v>
      </c>
      <c r="E489" s="232">
        <v>31922129</v>
      </c>
      <c r="F489" s="232" t="s">
        <v>1930</v>
      </c>
      <c r="G489" s="394">
        <v>4031205</v>
      </c>
      <c r="H489" s="394">
        <v>4492184</v>
      </c>
      <c r="I489" s="394">
        <v>2375633</v>
      </c>
      <c r="J489" s="232">
        <v>32041</v>
      </c>
      <c r="K489" s="232">
        <v>10931063</v>
      </c>
      <c r="L489" s="232"/>
      <c r="M489" s="226">
        <v>0</v>
      </c>
      <c r="N489" s="226">
        <v>0</v>
      </c>
      <c r="O489" s="232">
        <v>69198</v>
      </c>
      <c r="P489" s="232">
        <v>69198</v>
      </c>
      <c r="Q489" s="232"/>
      <c r="R489" s="394">
        <v>10977786</v>
      </c>
      <c r="S489" s="232">
        <v>-46932</v>
      </c>
      <c r="T489" s="398">
        <v>10930854</v>
      </c>
      <c r="U489" s="232"/>
      <c r="V489" s="398"/>
      <c r="W489" s="398"/>
      <c r="X489" s="398">
        <v>64766522</v>
      </c>
      <c r="Y489" s="398">
        <v>4626129</v>
      </c>
    </row>
    <row r="490" spans="1:25">
      <c r="A490" s="392">
        <v>95103</v>
      </c>
      <c r="B490" s="393" t="s">
        <v>1190</v>
      </c>
      <c r="C490" s="235">
        <v>5.0000000000000002E-5</v>
      </c>
      <c r="D490" s="235">
        <v>5.0599999999999997E-5</v>
      </c>
      <c r="E490" s="232">
        <v>178671</v>
      </c>
      <c r="F490" s="232" t="s">
        <v>1930</v>
      </c>
      <c r="G490" s="394">
        <v>22563</v>
      </c>
      <c r="H490" s="394">
        <v>25143</v>
      </c>
      <c r="I490" s="394">
        <v>13297</v>
      </c>
      <c r="J490" s="232">
        <v>11232</v>
      </c>
      <c r="K490" s="232">
        <v>72235</v>
      </c>
      <c r="L490" s="232"/>
      <c r="M490" s="226">
        <v>0</v>
      </c>
      <c r="N490" s="226">
        <v>0</v>
      </c>
      <c r="O490" s="232">
        <v>3518</v>
      </c>
      <c r="P490" s="232">
        <v>3518</v>
      </c>
      <c r="Q490" s="232"/>
      <c r="R490" s="394">
        <v>61444</v>
      </c>
      <c r="S490" s="232">
        <v>4795</v>
      </c>
      <c r="T490" s="398">
        <v>66239</v>
      </c>
      <c r="U490" s="232"/>
      <c r="V490" s="398"/>
      <c r="W490" s="398"/>
      <c r="X490" s="398">
        <v>362505</v>
      </c>
      <c r="Y490" s="398">
        <v>25893</v>
      </c>
    </row>
    <row r="491" spans="1:25">
      <c r="A491" s="392">
        <v>95104</v>
      </c>
      <c r="B491" s="393" t="s">
        <v>1191</v>
      </c>
      <c r="C491" s="235">
        <v>1.1400000000000001E-4</v>
      </c>
      <c r="D491" s="235">
        <v>1.149E-4</v>
      </c>
      <c r="E491" s="232">
        <v>407371</v>
      </c>
      <c r="F491" s="232" t="s">
        <v>1930</v>
      </c>
      <c r="G491" s="394">
        <v>51444</v>
      </c>
      <c r="H491" s="394">
        <v>57326</v>
      </c>
      <c r="I491" s="394">
        <v>30316</v>
      </c>
      <c r="J491" s="232">
        <v>48502</v>
      </c>
      <c r="K491" s="232">
        <v>187588</v>
      </c>
      <c r="L491" s="232"/>
      <c r="M491" s="226">
        <v>0</v>
      </c>
      <c r="N491" s="226">
        <v>0</v>
      </c>
      <c r="O491" s="232">
        <v>0</v>
      </c>
      <c r="P491" s="232">
        <v>0</v>
      </c>
      <c r="Q491" s="232"/>
      <c r="R491" s="394">
        <v>140092</v>
      </c>
      <c r="S491" s="232">
        <v>19221</v>
      </c>
      <c r="T491" s="398">
        <v>159313</v>
      </c>
      <c r="U491" s="232"/>
      <c r="V491" s="398"/>
      <c r="W491" s="398"/>
      <c r="X491" s="398">
        <v>826510</v>
      </c>
      <c r="Y491" s="398">
        <v>59036</v>
      </c>
    </row>
    <row r="492" spans="1:25" ht="14.25" customHeight="1">
      <c r="A492" s="392">
        <v>95105</v>
      </c>
      <c r="B492" s="393" t="s">
        <v>1192</v>
      </c>
      <c r="C492" s="235">
        <v>8.0900000000000001E-5</v>
      </c>
      <c r="D492" s="235">
        <v>7.1500000000000003E-5</v>
      </c>
      <c r="E492" s="232">
        <v>289090</v>
      </c>
      <c r="F492" s="232" t="s">
        <v>1930</v>
      </c>
      <c r="G492" s="394">
        <v>36507</v>
      </c>
      <c r="H492" s="394">
        <v>40682</v>
      </c>
      <c r="I492" s="394">
        <v>21514</v>
      </c>
      <c r="J492" s="232">
        <v>17729</v>
      </c>
      <c r="K492" s="232">
        <v>116432</v>
      </c>
      <c r="L492" s="232"/>
      <c r="M492" s="226">
        <v>0</v>
      </c>
      <c r="N492" s="226">
        <v>0</v>
      </c>
      <c r="O492" s="232">
        <v>0</v>
      </c>
      <c r="P492" s="232">
        <v>0</v>
      </c>
      <c r="Q492" s="232"/>
      <c r="R492" s="394">
        <v>99416</v>
      </c>
      <c r="S492" s="232">
        <v>7475</v>
      </c>
      <c r="T492" s="398">
        <v>106891</v>
      </c>
      <c r="U492" s="232"/>
      <c r="V492" s="398"/>
      <c r="W492" s="398"/>
      <c r="X492" s="398">
        <v>586532</v>
      </c>
      <c r="Y492" s="398">
        <v>41895</v>
      </c>
    </row>
    <row r="493" spans="1:25" ht="14.25" customHeight="1">
      <c r="A493" s="392">
        <v>95106</v>
      </c>
      <c r="B493" s="393" t="s">
        <v>1193</v>
      </c>
      <c r="C493" s="235">
        <v>1.1800000000000001E-5</v>
      </c>
      <c r="D493" s="235">
        <v>1.29E-5</v>
      </c>
      <c r="E493" s="232">
        <v>42166</v>
      </c>
      <c r="F493" s="232" t="s">
        <v>1930</v>
      </c>
      <c r="G493" s="394">
        <v>5325</v>
      </c>
      <c r="H493" s="394">
        <v>5934</v>
      </c>
      <c r="I493" s="394">
        <v>3138</v>
      </c>
      <c r="J493" s="232">
        <v>2688</v>
      </c>
      <c r="K493" s="232">
        <v>17085</v>
      </c>
      <c r="L493" s="232"/>
      <c r="M493" s="226">
        <v>0</v>
      </c>
      <c r="N493" s="226">
        <v>0</v>
      </c>
      <c r="O493" s="232">
        <v>360</v>
      </c>
      <c r="P493" s="232">
        <v>360</v>
      </c>
      <c r="Q493" s="232"/>
      <c r="R493" s="394">
        <v>14501</v>
      </c>
      <c r="S493" s="232">
        <v>1428</v>
      </c>
      <c r="T493" s="398">
        <v>15929</v>
      </c>
      <c r="U493" s="232"/>
      <c r="V493" s="398"/>
      <c r="W493" s="398"/>
      <c r="X493" s="398">
        <v>85551</v>
      </c>
      <c r="Y493" s="398">
        <v>6111</v>
      </c>
    </row>
    <row r="494" spans="1:25">
      <c r="A494" s="392">
        <v>95110</v>
      </c>
      <c r="B494" s="393" t="s">
        <v>1194</v>
      </c>
      <c r="C494" s="235">
        <v>2.7829999999999999E-3</v>
      </c>
      <c r="D494" s="235">
        <v>3.1538E-3</v>
      </c>
      <c r="E494" s="232">
        <v>9944845</v>
      </c>
      <c r="F494" s="232" t="s">
        <v>1930</v>
      </c>
      <c r="G494" s="394">
        <v>1255859</v>
      </c>
      <c r="H494" s="394">
        <v>1399470</v>
      </c>
      <c r="I494" s="394">
        <v>740092</v>
      </c>
      <c r="J494" s="232">
        <v>0</v>
      </c>
      <c r="K494" s="232">
        <v>3395421</v>
      </c>
      <c r="L494" s="232"/>
      <c r="M494" s="226">
        <v>0</v>
      </c>
      <c r="N494" s="226">
        <v>0</v>
      </c>
      <c r="O494" s="232">
        <v>631014</v>
      </c>
      <c r="P494" s="232">
        <v>631014</v>
      </c>
      <c r="Q494" s="232"/>
      <c r="R494" s="394">
        <v>3419959</v>
      </c>
      <c r="S494" s="232">
        <v>-380482</v>
      </c>
      <c r="T494" s="398">
        <v>3039477</v>
      </c>
      <c r="U494" s="232"/>
      <c r="V494" s="398"/>
      <c r="W494" s="398"/>
      <c r="X494" s="398">
        <v>20177006</v>
      </c>
      <c r="Y494" s="398">
        <v>1441199</v>
      </c>
    </row>
    <row r="495" spans="1:25">
      <c r="A495" s="392">
        <v>95111</v>
      </c>
      <c r="B495" s="393" t="s">
        <v>1195</v>
      </c>
      <c r="C495" s="235">
        <v>9.9339999999999997E-4</v>
      </c>
      <c r="D495" s="235">
        <v>1.0529000000000001E-3</v>
      </c>
      <c r="E495" s="232">
        <v>3549841</v>
      </c>
      <c r="F495" s="232" t="s">
        <v>1930</v>
      </c>
      <c r="G495" s="394">
        <v>448283</v>
      </c>
      <c r="H495" s="394">
        <v>499545</v>
      </c>
      <c r="I495" s="394">
        <v>264178</v>
      </c>
      <c r="J495" s="232">
        <v>0</v>
      </c>
      <c r="K495" s="232">
        <v>1212006</v>
      </c>
      <c r="L495" s="232"/>
      <c r="M495" s="226">
        <v>0</v>
      </c>
      <c r="N495" s="226">
        <v>0</v>
      </c>
      <c r="O495" s="232">
        <v>134679</v>
      </c>
      <c r="P495" s="232">
        <v>134679</v>
      </c>
      <c r="Q495" s="232"/>
      <c r="R495" s="394">
        <v>1220764</v>
      </c>
      <c r="S495" s="232">
        <v>-65461</v>
      </c>
      <c r="T495" s="398">
        <v>1155303</v>
      </c>
      <c r="U495" s="232"/>
      <c r="V495" s="398"/>
      <c r="W495" s="398"/>
      <c r="X495" s="398">
        <v>7202241</v>
      </c>
      <c r="Y495" s="398">
        <v>514440</v>
      </c>
    </row>
    <row r="496" spans="1:25">
      <c r="A496" s="392">
        <v>95113</v>
      </c>
      <c r="B496" s="393" t="s">
        <v>1196</v>
      </c>
      <c r="C496" s="235">
        <v>4.4799999999999998E-5</v>
      </c>
      <c r="D496" s="235">
        <v>4.5300000000000003E-5</v>
      </c>
      <c r="E496" s="232">
        <v>160089</v>
      </c>
      <c r="F496" s="232" t="s">
        <v>1930</v>
      </c>
      <c r="G496" s="394">
        <v>20216</v>
      </c>
      <c r="H496" s="394">
        <v>22528</v>
      </c>
      <c r="I496" s="394">
        <v>11914</v>
      </c>
      <c r="J496" s="232">
        <v>69038</v>
      </c>
      <c r="K496" s="232">
        <v>123696</v>
      </c>
      <c r="L496" s="232"/>
      <c r="M496" s="226">
        <v>0</v>
      </c>
      <c r="N496" s="226">
        <v>0</v>
      </c>
      <c r="O496" s="232">
        <v>0</v>
      </c>
      <c r="P496" s="232">
        <v>0</v>
      </c>
      <c r="Q496" s="232"/>
      <c r="R496" s="394">
        <v>55054</v>
      </c>
      <c r="S496" s="232">
        <v>40243</v>
      </c>
      <c r="T496" s="398">
        <v>95297</v>
      </c>
      <c r="U496" s="232"/>
      <c r="V496" s="398"/>
      <c r="W496" s="398"/>
      <c r="X496" s="398">
        <v>324804</v>
      </c>
      <c r="Y496" s="398">
        <v>23200</v>
      </c>
    </row>
    <row r="497" spans="1:25">
      <c r="A497" s="392">
        <v>95121</v>
      </c>
      <c r="B497" s="393" t="s">
        <v>1197</v>
      </c>
      <c r="C497" s="235">
        <v>5.107E-4</v>
      </c>
      <c r="D497" s="235">
        <v>4.6769999999999998E-4</v>
      </c>
      <c r="E497" s="232">
        <v>1824949</v>
      </c>
      <c r="F497" s="232" t="s">
        <v>1930</v>
      </c>
      <c r="G497" s="394">
        <v>230459</v>
      </c>
      <c r="H497" s="394">
        <v>256812</v>
      </c>
      <c r="I497" s="394">
        <v>135812</v>
      </c>
      <c r="J497" s="232">
        <v>46752</v>
      </c>
      <c r="K497" s="232">
        <v>669835</v>
      </c>
      <c r="L497" s="232"/>
      <c r="M497" s="226">
        <v>0</v>
      </c>
      <c r="N497" s="226">
        <v>0</v>
      </c>
      <c r="O497" s="232">
        <v>31339</v>
      </c>
      <c r="P497" s="232">
        <v>31339</v>
      </c>
      <c r="Q497" s="232"/>
      <c r="R497" s="394">
        <v>627586</v>
      </c>
      <c r="S497" s="232">
        <v>7431</v>
      </c>
      <c r="T497" s="398">
        <v>635017</v>
      </c>
      <c r="U497" s="232"/>
      <c r="V497" s="398"/>
      <c r="W497" s="398"/>
      <c r="X497" s="398">
        <v>3702622</v>
      </c>
      <c r="Y497" s="398">
        <v>264470</v>
      </c>
    </row>
    <row r="498" spans="1:25">
      <c r="A498" s="392">
        <v>95122</v>
      </c>
      <c r="B498" s="393" t="s">
        <v>1198</v>
      </c>
      <c r="C498" s="235">
        <v>1.73E-5</v>
      </c>
      <c r="D498" s="235">
        <v>1.5400000000000002E-5</v>
      </c>
      <c r="E498" s="232">
        <v>61820</v>
      </c>
      <c r="F498" s="232" t="s">
        <v>1930</v>
      </c>
      <c r="G498" s="394">
        <v>7807</v>
      </c>
      <c r="H498" s="394">
        <v>8700</v>
      </c>
      <c r="I498" s="394">
        <v>4601</v>
      </c>
      <c r="J498" s="232">
        <v>13394</v>
      </c>
      <c r="K498" s="232">
        <v>34502</v>
      </c>
      <c r="L498" s="232"/>
      <c r="M498" s="226">
        <v>0</v>
      </c>
      <c r="N498" s="226">
        <v>0</v>
      </c>
      <c r="O498" s="232">
        <v>0</v>
      </c>
      <c r="P498" s="232">
        <v>0</v>
      </c>
      <c r="Q498" s="232"/>
      <c r="R498" s="394">
        <v>21260</v>
      </c>
      <c r="S498" s="232">
        <v>5211</v>
      </c>
      <c r="T498" s="398">
        <v>26471</v>
      </c>
      <c r="U498" s="232"/>
      <c r="V498" s="398"/>
      <c r="W498" s="398"/>
      <c r="X498" s="398">
        <v>125427</v>
      </c>
      <c r="Y498" s="398">
        <v>8959</v>
      </c>
    </row>
    <row r="499" spans="1:25">
      <c r="A499" s="392">
        <v>95123</v>
      </c>
      <c r="B499" s="393" t="s">
        <v>1199</v>
      </c>
      <c r="C499" s="235">
        <v>5.3399999999999997E-5</v>
      </c>
      <c r="D499" s="235">
        <v>4.8999999999999998E-5</v>
      </c>
      <c r="E499" s="232">
        <v>190821</v>
      </c>
      <c r="F499" s="232" t="s">
        <v>1930</v>
      </c>
      <c r="G499" s="394">
        <v>24097</v>
      </c>
      <c r="H499" s="394">
        <v>26853</v>
      </c>
      <c r="I499" s="394">
        <v>14201</v>
      </c>
      <c r="J499" s="232">
        <v>4109</v>
      </c>
      <c r="K499" s="232">
        <v>69260</v>
      </c>
      <c r="L499" s="232"/>
      <c r="M499" s="226">
        <v>0</v>
      </c>
      <c r="N499" s="226">
        <v>0</v>
      </c>
      <c r="O499" s="232">
        <v>1238</v>
      </c>
      <c r="P499" s="232">
        <v>1238</v>
      </c>
      <c r="Q499" s="232"/>
      <c r="R499" s="394">
        <v>65622</v>
      </c>
      <c r="S499" s="232">
        <v>2505</v>
      </c>
      <c r="T499" s="398">
        <v>68127</v>
      </c>
      <c r="U499" s="232"/>
      <c r="V499" s="398"/>
      <c r="W499" s="398"/>
      <c r="X499" s="398">
        <v>387155</v>
      </c>
      <c r="Y499" s="398">
        <v>27654</v>
      </c>
    </row>
    <row r="500" spans="1:25">
      <c r="A500" s="392">
        <v>95131</v>
      </c>
      <c r="B500" s="393" t="s">
        <v>1200</v>
      </c>
      <c r="C500" s="235">
        <v>1.8569999999999999E-3</v>
      </c>
      <c r="D500" s="235">
        <v>1.7905E-3</v>
      </c>
      <c r="E500" s="232">
        <v>6635852</v>
      </c>
      <c r="F500" s="232" t="s">
        <v>1930</v>
      </c>
      <c r="G500" s="394">
        <v>837992</v>
      </c>
      <c r="H500" s="394">
        <v>933818</v>
      </c>
      <c r="I500" s="394">
        <v>493838</v>
      </c>
      <c r="J500" s="232">
        <v>123165</v>
      </c>
      <c r="K500" s="232">
        <v>2388813</v>
      </c>
      <c r="L500" s="232"/>
      <c r="M500" s="226">
        <v>0</v>
      </c>
      <c r="N500" s="226">
        <v>0</v>
      </c>
      <c r="O500" s="232">
        <v>0</v>
      </c>
      <c r="P500" s="232">
        <v>0</v>
      </c>
      <c r="Q500" s="232"/>
      <c r="R500" s="394">
        <v>2282021</v>
      </c>
      <c r="S500" s="232">
        <v>58724</v>
      </c>
      <c r="T500" s="398">
        <v>2340745</v>
      </c>
      <c r="U500" s="232"/>
      <c r="V500" s="398"/>
      <c r="W500" s="398"/>
      <c r="X500" s="398">
        <v>13463421</v>
      </c>
      <c r="Y500" s="398">
        <v>961662</v>
      </c>
    </row>
    <row r="501" spans="1:25">
      <c r="A501" s="392">
        <v>95141</v>
      </c>
      <c r="B501" s="393" t="s">
        <v>1201</v>
      </c>
      <c r="C501" s="235">
        <v>3.8630000000000001E-4</v>
      </c>
      <c r="D501" s="235">
        <v>3.6099999999999999E-4</v>
      </c>
      <c r="E501" s="232">
        <v>1380414</v>
      </c>
      <c r="F501" s="232" t="s">
        <v>1930</v>
      </c>
      <c r="G501" s="394">
        <v>174322</v>
      </c>
      <c r="H501" s="394">
        <v>194256</v>
      </c>
      <c r="I501" s="394">
        <v>102730</v>
      </c>
      <c r="J501" s="232">
        <v>32602</v>
      </c>
      <c r="K501" s="232">
        <v>503910</v>
      </c>
      <c r="L501" s="232"/>
      <c r="M501" s="226">
        <v>0</v>
      </c>
      <c r="N501" s="226">
        <v>0</v>
      </c>
      <c r="O501" s="232">
        <v>6140</v>
      </c>
      <c r="P501" s="232">
        <v>6140</v>
      </c>
      <c r="Q501" s="232"/>
      <c r="R501" s="394">
        <v>474714</v>
      </c>
      <c r="S501" s="232">
        <v>6041</v>
      </c>
      <c r="T501" s="398">
        <v>480755</v>
      </c>
      <c r="U501" s="232"/>
      <c r="V501" s="398"/>
      <c r="W501" s="398"/>
      <c r="X501" s="398">
        <v>2800711</v>
      </c>
      <c r="Y501" s="398">
        <v>200049</v>
      </c>
    </row>
    <row r="502" spans="1:25">
      <c r="A502" s="392">
        <v>95151</v>
      </c>
      <c r="B502" s="393" t="s">
        <v>1202</v>
      </c>
      <c r="C502" s="235">
        <v>1.197E-4</v>
      </c>
      <c r="D502" s="235">
        <v>1.1010000000000001E-4</v>
      </c>
      <c r="E502" s="232">
        <v>427739</v>
      </c>
      <c r="F502" s="232" t="s">
        <v>1930</v>
      </c>
      <c r="G502" s="394">
        <v>54016</v>
      </c>
      <c r="H502" s="394">
        <v>60192</v>
      </c>
      <c r="I502" s="394">
        <v>31832</v>
      </c>
      <c r="J502" s="232">
        <v>7509</v>
      </c>
      <c r="K502" s="232">
        <v>153549</v>
      </c>
      <c r="L502" s="232"/>
      <c r="M502" s="226">
        <v>0</v>
      </c>
      <c r="N502" s="226">
        <v>0</v>
      </c>
      <c r="O502" s="232">
        <v>6683</v>
      </c>
      <c r="P502" s="232">
        <v>6683</v>
      </c>
      <c r="Q502" s="232"/>
      <c r="R502" s="394">
        <v>147096</v>
      </c>
      <c r="S502" s="232">
        <v>-1023</v>
      </c>
      <c r="T502" s="398">
        <v>146073</v>
      </c>
      <c r="U502" s="232"/>
      <c r="V502" s="398"/>
      <c r="W502" s="398"/>
      <c r="X502" s="398">
        <v>867836</v>
      </c>
      <c r="Y502" s="398">
        <v>61988</v>
      </c>
    </row>
    <row r="503" spans="1:25">
      <c r="A503" s="392">
        <v>95161</v>
      </c>
      <c r="B503" s="393" t="s">
        <v>1203</v>
      </c>
      <c r="C503" s="235">
        <v>7.36E-5</v>
      </c>
      <c r="D503" s="235">
        <v>7.1199999999999996E-5</v>
      </c>
      <c r="E503" s="232">
        <v>263004</v>
      </c>
      <c r="F503" s="232" t="s">
        <v>1930</v>
      </c>
      <c r="G503" s="394">
        <v>33213</v>
      </c>
      <c r="H503" s="394">
        <v>37011</v>
      </c>
      <c r="I503" s="394">
        <v>19573</v>
      </c>
      <c r="J503" s="232">
        <v>12424</v>
      </c>
      <c r="K503" s="232">
        <v>102221</v>
      </c>
      <c r="L503" s="232"/>
      <c r="M503" s="226">
        <v>0</v>
      </c>
      <c r="N503" s="226">
        <v>0</v>
      </c>
      <c r="O503" s="232">
        <v>0</v>
      </c>
      <c r="P503" s="232">
        <v>0</v>
      </c>
      <c r="Q503" s="232"/>
      <c r="R503" s="394">
        <v>90445</v>
      </c>
      <c r="S503" s="232">
        <v>6111</v>
      </c>
      <c r="T503" s="398">
        <v>96556</v>
      </c>
      <c r="U503" s="232"/>
      <c r="V503" s="398"/>
      <c r="W503" s="398"/>
      <c r="X503" s="398">
        <v>533607</v>
      </c>
      <c r="Y503" s="398">
        <v>38114</v>
      </c>
    </row>
    <row r="504" spans="1:25">
      <c r="A504" s="392">
        <v>95171</v>
      </c>
      <c r="B504" s="393" t="s">
        <v>1204</v>
      </c>
      <c r="C504" s="235">
        <v>1.2229999999999999E-4</v>
      </c>
      <c r="D504" s="235">
        <v>1.089E-4</v>
      </c>
      <c r="E504" s="232">
        <v>437030</v>
      </c>
      <c r="F504" s="232" t="s">
        <v>1930</v>
      </c>
      <c r="G504" s="394">
        <v>55189</v>
      </c>
      <c r="H504" s="394">
        <v>61500</v>
      </c>
      <c r="I504" s="394">
        <v>32524</v>
      </c>
      <c r="J504" s="232">
        <v>32133</v>
      </c>
      <c r="K504" s="232">
        <v>181346</v>
      </c>
      <c r="L504" s="232"/>
      <c r="M504" s="226">
        <v>0</v>
      </c>
      <c r="N504" s="226">
        <v>0</v>
      </c>
      <c r="O504" s="232">
        <v>6028</v>
      </c>
      <c r="P504" s="232">
        <v>6028</v>
      </c>
      <c r="Q504" s="232"/>
      <c r="R504" s="394">
        <v>150291</v>
      </c>
      <c r="S504" s="232">
        <v>5826</v>
      </c>
      <c r="T504" s="398">
        <v>156117</v>
      </c>
      <c r="U504" s="232"/>
      <c r="V504" s="398"/>
      <c r="W504" s="398"/>
      <c r="X504" s="398">
        <v>886686</v>
      </c>
      <c r="Y504" s="398">
        <v>63334</v>
      </c>
    </row>
    <row r="505" spans="1:25">
      <c r="A505" s="392">
        <v>95181</v>
      </c>
      <c r="B505" s="393" t="s">
        <v>1205</v>
      </c>
      <c r="C505" s="235">
        <v>7.2100000000000004E-5</v>
      </c>
      <c r="D505" s="235">
        <v>5.9700000000000001E-5</v>
      </c>
      <c r="E505" s="232">
        <v>257644</v>
      </c>
      <c r="F505" s="232" t="s">
        <v>1930</v>
      </c>
      <c r="G505" s="394">
        <v>32536</v>
      </c>
      <c r="H505" s="394">
        <v>36257</v>
      </c>
      <c r="I505" s="394">
        <v>19174</v>
      </c>
      <c r="J505" s="232">
        <v>15439</v>
      </c>
      <c r="K505" s="232">
        <v>103406</v>
      </c>
      <c r="L505" s="232"/>
      <c r="M505" s="226">
        <v>0</v>
      </c>
      <c r="N505" s="226">
        <v>0</v>
      </c>
      <c r="O505" s="232">
        <v>12327</v>
      </c>
      <c r="P505" s="232">
        <v>12327</v>
      </c>
      <c r="Q505" s="232"/>
      <c r="R505" s="394">
        <v>88602</v>
      </c>
      <c r="S505" s="232">
        <v>-1394</v>
      </c>
      <c r="T505" s="398">
        <v>87208</v>
      </c>
      <c r="U505" s="232"/>
      <c r="V505" s="398"/>
      <c r="W505" s="398"/>
      <c r="X505" s="398">
        <v>522732</v>
      </c>
      <c r="Y505" s="398">
        <v>37338</v>
      </c>
    </row>
    <row r="506" spans="1:25">
      <c r="A506" s="392">
        <v>95191</v>
      </c>
      <c r="B506" s="393" t="s">
        <v>1206</v>
      </c>
      <c r="C506" s="235">
        <v>7.36E-5</v>
      </c>
      <c r="D506" s="235">
        <v>7.3800000000000005E-5</v>
      </c>
      <c r="E506" s="232">
        <v>263004</v>
      </c>
      <c r="F506" s="232" t="s">
        <v>1930</v>
      </c>
      <c r="G506" s="394">
        <v>33213</v>
      </c>
      <c r="H506" s="394">
        <v>37011</v>
      </c>
      <c r="I506" s="394">
        <v>19573</v>
      </c>
      <c r="J506" s="232">
        <v>28475</v>
      </c>
      <c r="K506" s="232">
        <v>118272</v>
      </c>
      <c r="L506" s="232"/>
      <c r="M506" s="226">
        <v>0</v>
      </c>
      <c r="N506" s="226">
        <v>0</v>
      </c>
      <c r="O506" s="232">
        <v>0</v>
      </c>
      <c r="P506" s="232">
        <v>0</v>
      </c>
      <c r="Q506" s="232"/>
      <c r="R506" s="394">
        <v>90445</v>
      </c>
      <c r="S506" s="232">
        <v>9043</v>
      </c>
      <c r="T506" s="398">
        <v>99488</v>
      </c>
      <c r="U506" s="232"/>
      <c r="V506" s="398"/>
      <c r="W506" s="398"/>
      <c r="X506" s="398">
        <v>533607</v>
      </c>
      <c r="Y506" s="398">
        <v>38114</v>
      </c>
    </row>
    <row r="507" spans="1:25">
      <c r="A507" s="392">
        <v>95201</v>
      </c>
      <c r="B507" s="393" t="s">
        <v>1207</v>
      </c>
      <c r="C507" s="235">
        <v>7.048E-4</v>
      </c>
      <c r="D507" s="235">
        <v>6.5070000000000004E-4</v>
      </c>
      <c r="E507" s="232">
        <v>2518551</v>
      </c>
      <c r="F507" s="232" t="s">
        <v>1930</v>
      </c>
      <c r="G507" s="394">
        <v>318049</v>
      </c>
      <c r="H507" s="394">
        <v>354419</v>
      </c>
      <c r="I507" s="394">
        <v>187430</v>
      </c>
      <c r="J507" s="232">
        <v>43305</v>
      </c>
      <c r="K507" s="232">
        <v>903203</v>
      </c>
      <c r="L507" s="232"/>
      <c r="M507" s="226">
        <v>0</v>
      </c>
      <c r="N507" s="226">
        <v>0</v>
      </c>
      <c r="O507" s="232">
        <v>41541</v>
      </c>
      <c r="P507" s="232">
        <v>41541</v>
      </c>
      <c r="Q507" s="232"/>
      <c r="R507" s="394">
        <v>866111</v>
      </c>
      <c r="S507" s="232">
        <v>787</v>
      </c>
      <c r="T507" s="398">
        <v>866898</v>
      </c>
      <c r="U507" s="232"/>
      <c r="V507" s="398"/>
      <c r="W507" s="398"/>
      <c r="X507" s="398">
        <v>5109865</v>
      </c>
      <c r="Y507" s="398">
        <v>364986</v>
      </c>
    </row>
    <row r="508" spans="1:25">
      <c r="A508" s="392">
        <v>95204</v>
      </c>
      <c r="B508" s="393" t="s">
        <v>1208</v>
      </c>
      <c r="C508" s="235">
        <v>8.6000000000000007E-6</v>
      </c>
      <c r="D508" s="235">
        <v>5.6999999999999996E-6</v>
      </c>
      <c r="E508" s="232">
        <v>30731</v>
      </c>
      <c r="F508" s="232" t="s">
        <v>1930</v>
      </c>
      <c r="G508" s="394">
        <v>3881</v>
      </c>
      <c r="H508" s="394">
        <v>4325</v>
      </c>
      <c r="I508" s="394">
        <v>2287</v>
      </c>
      <c r="J508" s="232">
        <v>5383</v>
      </c>
      <c r="K508" s="232">
        <v>15876</v>
      </c>
      <c r="L508" s="232"/>
      <c r="M508" s="226">
        <v>0</v>
      </c>
      <c r="N508" s="226">
        <v>0</v>
      </c>
      <c r="O508" s="232">
        <v>1540</v>
      </c>
      <c r="P508" s="232">
        <v>1540</v>
      </c>
      <c r="Q508" s="232"/>
      <c r="R508" s="394">
        <v>10568</v>
      </c>
      <c r="S508" s="232">
        <v>1383</v>
      </c>
      <c r="T508" s="398">
        <v>11951</v>
      </c>
      <c r="U508" s="232"/>
      <c r="V508" s="398"/>
      <c r="W508" s="398"/>
      <c r="X508" s="398">
        <v>62351</v>
      </c>
      <c r="Y508" s="398">
        <v>4454</v>
      </c>
    </row>
    <row r="509" spans="1:25">
      <c r="A509" s="392">
        <v>95205</v>
      </c>
      <c r="B509" s="393" t="s">
        <v>1209</v>
      </c>
      <c r="C509" s="235">
        <v>2.6000000000000001E-6</v>
      </c>
      <c r="D509" s="235">
        <v>2.7E-6</v>
      </c>
      <c r="E509" s="232">
        <v>9291</v>
      </c>
      <c r="F509" s="232" t="s">
        <v>1930</v>
      </c>
      <c r="G509" s="394">
        <v>1173</v>
      </c>
      <c r="H509" s="394">
        <v>1308</v>
      </c>
      <c r="I509" s="394">
        <v>691</v>
      </c>
      <c r="J509" s="232">
        <v>2652</v>
      </c>
      <c r="K509" s="232">
        <v>5824</v>
      </c>
      <c r="L509" s="232"/>
      <c r="M509" s="226">
        <v>0</v>
      </c>
      <c r="N509" s="226">
        <v>0</v>
      </c>
      <c r="O509" s="232">
        <v>475</v>
      </c>
      <c r="P509" s="232">
        <v>475</v>
      </c>
      <c r="Q509" s="232"/>
      <c r="R509" s="394">
        <v>3195</v>
      </c>
      <c r="S509" s="232">
        <v>725</v>
      </c>
      <c r="T509" s="398">
        <v>3920</v>
      </c>
      <c r="U509" s="232"/>
      <c r="V509" s="398"/>
      <c r="W509" s="398"/>
      <c r="X509" s="398">
        <v>18850</v>
      </c>
      <c r="Y509" s="398">
        <v>1346</v>
      </c>
    </row>
    <row r="510" spans="1:25">
      <c r="A510" s="392">
        <v>95211</v>
      </c>
      <c r="B510" s="393" t="s">
        <v>1210</v>
      </c>
      <c r="C510" s="235">
        <v>1.7E-6</v>
      </c>
      <c r="D510" s="235">
        <v>5.1000000000000003E-6</v>
      </c>
      <c r="E510" s="232">
        <v>6075</v>
      </c>
      <c r="F510" s="232" t="s">
        <v>1930</v>
      </c>
      <c r="G510" s="394">
        <v>767</v>
      </c>
      <c r="H510" s="394">
        <v>855</v>
      </c>
      <c r="I510" s="394">
        <v>452</v>
      </c>
      <c r="J510" s="232">
        <v>52</v>
      </c>
      <c r="K510" s="232">
        <v>2126</v>
      </c>
      <c r="L510" s="232"/>
      <c r="M510" s="226">
        <v>0</v>
      </c>
      <c r="N510" s="226">
        <v>0</v>
      </c>
      <c r="O510" s="232">
        <v>4294</v>
      </c>
      <c r="P510" s="232">
        <v>4294</v>
      </c>
      <c r="Q510" s="232"/>
      <c r="R510" s="394">
        <v>2089</v>
      </c>
      <c r="S510" s="232">
        <v>-1148</v>
      </c>
      <c r="T510" s="398">
        <v>941</v>
      </c>
      <c r="U510" s="232"/>
      <c r="V510" s="398"/>
      <c r="W510" s="398"/>
      <c r="X510" s="398">
        <v>12325</v>
      </c>
      <c r="Y510" s="398">
        <v>880</v>
      </c>
    </row>
    <row r="511" spans="1:25">
      <c r="A511" s="392">
        <v>95221</v>
      </c>
      <c r="B511" s="393" t="s">
        <v>1211</v>
      </c>
      <c r="C511" s="235">
        <v>4.2599999999999999E-5</v>
      </c>
      <c r="D511" s="235">
        <v>5.4400000000000001E-5</v>
      </c>
      <c r="E511" s="232">
        <v>152228</v>
      </c>
      <c r="F511" s="232" t="s">
        <v>1930</v>
      </c>
      <c r="G511" s="394">
        <v>19224</v>
      </c>
      <c r="H511" s="394">
        <v>21422</v>
      </c>
      <c r="I511" s="394">
        <v>11329</v>
      </c>
      <c r="J511" s="232">
        <v>7812</v>
      </c>
      <c r="K511" s="232">
        <v>59787</v>
      </c>
      <c r="L511" s="232"/>
      <c r="M511" s="226">
        <v>0</v>
      </c>
      <c r="N511" s="226">
        <v>0</v>
      </c>
      <c r="O511" s="232">
        <v>21549</v>
      </c>
      <c r="P511" s="232">
        <v>21549</v>
      </c>
      <c r="Q511" s="232"/>
      <c r="R511" s="394">
        <v>52350</v>
      </c>
      <c r="S511" s="232">
        <v>-3133</v>
      </c>
      <c r="T511" s="398">
        <v>49217</v>
      </c>
      <c r="U511" s="232"/>
      <c r="V511" s="398"/>
      <c r="W511" s="398"/>
      <c r="X511" s="398">
        <v>308854</v>
      </c>
      <c r="Y511" s="398">
        <v>22061</v>
      </c>
    </row>
    <row r="512" spans="1:25">
      <c r="A512" s="392">
        <v>95301</v>
      </c>
      <c r="B512" s="393" t="s">
        <v>1212</v>
      </c>
      <c r="C512" s="235">
        <v>2.2263999999999999E-3</v>
      </c>
      <c r="D512" s="235">
        <v>2.1561000000000002E-3</v>
      </c>
      <c r="E512" s="232">
        <v>7955876</v>
      </c>
      <c r="F512" s="232" t="s">
        <v>1930</v>
      </c>
      <c r="G512" s="394">
        <v>1004687</v>
      </c>
      <c r="H512" s="394">
        <v>1119576</v>
      </c>
      <c r="I512" s="394">
        <v>592073</v>
      </c>
      <c r="J512" s="232">
        <v>156010</v>
      </c>
      <c r="K512" s="232">
        <v>2872346</v>
      </c>
      <c r="L512" s="232"/>
      <c r="M512" s="226">
        <v>0</v>
      </c>
      <c r="N512" s="226">
        <v>0</v>
      </c>
      <c r="O512" s="232">
        <v>76654</v>
      </c>
      <c r="P512" s="232">
        <v>76654</v>
      </c>
      <c r="Q512" s="232"/>
      <c r="R512" s="394">
        <v>2735967</v>
      </c>
      <c r="S512" s="232">
        <v>31768</v>
      </c>
      <c r="T512" s="398">
        <v>2767735</v>
      </c>
      <c r="U512" s="232"/>
      <c r="V512" s="398"/>
      <c r="W512" s="398"/>
      <c r="X512" s="398">
        <v>16141605</v>
      </c>
      <c r="Y512" s="398">
        <v>1152959</v>
      </c>
    </row>
    <row r="513" spans="1:25">
      <c r="A513" s="392">
        <v>95311</v>
      </c>
      <c r="B513" s="393" t="s">
        <v>1213</v>
      </c>
      <c r="C513" s="235">
        <v>2.4442000000000001E-3</v>
      </c>
      <c r="D513" s="235">
        <v>2.578E-3</v>
      </c>
      <c r="E513" s="232">
        <v>8734168</v>
      </c>
      <c r="F513" s="232" t="s">
        <v>1930</v>
      </c>
      <c r="G513" s="394">
        <v>1102972</v>
      </c>
      <c r="H513" s="394">
        <v>1229101</v>
      </c>
      <c r="I513" s="394">
        <v>649993</v>
      </c>
      <c r="J513" s="232">
        <v>15125</v>
      </c>
      <c r="K513" s="232">
        <v>2997191</v>
      </c>
      <c r="L513" s="232"/>
      <c r="M513" s="226">
        <v>0</v>
      </c>
      <c r="N513" s="226">
        <v>0</v>
      </c>
      <c r="O513" s="232">
        <v>90478</v>
      </c>
      <c r="P513" s="232">
        <v>90478</v>
      </c>
      <c r="Q513" s="232"/>
      <c r="R513" s="394">
        <v>3003616</v>
      </c>
      <c r="S513" s="232">
        <v>-45353</v>
      </c>
      <c r="T513" s="398">
        <v>2958263</v>
      </c>
      <c r="U513" s="232"/>
      <c r="V513" s="398"/>
      <c r="W513" s="398"/>
      <c r="X513" s="398">
        <v>17720675</v>
      </c>
      <c r="Y513" s="398">
        <v>1265749</v>
      </c>
    </row>
    <row r="514" spans="1:25">
      <c r="A514" s="392">
        <v>95317</v>
      </c>
      <c r="B514" s="393" t="s">
        <v>1214</v>
      </c>
      <c r="C514" s="235">
        <v>4.1699999999999997E-5</v>
      </c>
      <c r="D514" s="235">
        <v>4.1999999999999998E-5</v>
      </c>
      <c r="E514" s="232">
        <v>149012</v>
      </c>
      <c r="F514" s="232" t="s">
        <v>1930</v>
      </c>
      <c r="G514" s="394">
        <v>18818</v>
      </c>
      <c r="H514" s="394">
        <v>20969</v>
      </c>
      <c r="I514" s="394">
        <v>11089</v>
      </c>
      <c r="J514" s="232">
        <v>13135</v>
      </c>
      <c r="K514" s="232">
        <v>64011</v>
      </c>
      <c r="L514" s="232"/>
      <c r="M514" s="226">
        <v>0</v>
      </c>
      <c r="N514" s="226">
        <v>0</v>
      </c>
      <c r="O514" s="232">
        <v>0</v>
      </c>
      <c r="P514" s="232">
        <v>0</v>
      </c>
      <c r="Q514" s="232"/>
      <c r="R514" s="394">
        <v>51244</v>
      </c>
      <c r="S514" s="232">
        <v>5239</v>
      </c>
      <c r="T514" s="398">
        <v>56483</v>
      </c>
      <c r="U514" s="232"/>
      <c r="V514" s="398"/>
      <c r="W514" s="398"/>
      <c r="X514" s="398">
        <v>302329</v>
      </c>
      <c r="Y514" s="398">
        <v>21595</v>
      </c>
    </row>
    <row r="515" spans="1:25">
      <c r="A515" s="392">
        <v>95321</v>
      </c>
      <c r="B515" s="393" t="s">
        <v>1215</v>
      </c>
      <c r="C515" s="235">
        <v>4.4199999999999997E-5</v>
      </c>
      <c r="D515" s="235">
        <v>4.85E-5</v>
      </c>
      <c r="E515" s="232">
        <v>157945</v>
      </c>
      <c r="F515" s="232" t="s">
        <v>1930</v>
      </c>
      <c r="G515" s="394">
        <v>19946</v>
      </c>
      <c r="H515" s="394">
        <v>22227</v>
      </c>
      <c r="I515" s="394">
        <v>11754</v>
      </c>
      <c r="J515" s="232">
        <v>3491</v>
      </c>
      <c r="K515" s="232">
        <v>57418</v>
      </c>
      <c r="L515" s="232"/>
      <c r="M515" s="226">
        <v>0</v>
      </c>
      <c r="N515" s="226">
        <v>0</v>
      </c>
      <c r="O515" s="232">
        <v>538</v>
      </c>
      <c r="P515" s="232">
        <v>538</v>
      </c>
      <c r="Q515" s="232"/>
      <c r="R515" s="394">
        <v>54316</v>
      </c>
      <c r="S515" s="232">
        <v>1262</v>
      </c>
      <c r="T515" s="398">
        <v>55578</v>
      </c>
      <c r="U515" s="232"/>
      <c r="V515" s="398"/>
      <c r="W515" s="398"/>
      <c r="X515" s="398">
        <v>320454</v>
      </c>
      <c r="Y515" s="398">
        <v>22889</v>
      </c>
    </row>
    <row r="516" spans="1:25">
      <c r="A516" s="392">
        <v>95401</v>
      </c>
      <c r="B516" s="393" t="s">
        <v>1216</v>
      </c>
      <c r="C516" s="235">
        <v>2.6316999999999998E-3</v>
      </c>
      <c r="D516" s="235">
        <v>2.9023E-3</v>
      </c>
      <c r="E516" s="232">
        <v>9404185</v>
      </c>
      <c r="F516" s="232" t="s">
        <v>1930</v>
      </c>
      <c r="G516" s="394">
        <v>1187584</v>
      </c>
      <c r="H516" s="394">
        <v>1323387</v>
      </c>
      <c r="I516" s="394">
        <v>699856</v>
      </c>
      <c r="J516" s="232">
        <v>0</v>
      </c>
      <c r="K516" s="232">
        <v>3210827</v>
      </c>
      <c r="L516" s="232"/>
      <c r="M516" s="226">
        <v>0</v>
      </c>
      <c r="N516" s="226">
        <v>0</v>
      </c>
      <c r="O516" s="232">
        <v>413310</v>
      </c>
      <c r="P516" s="232">
        <v>413310</v>
      </c>
      <c r="Q516" s="232"/>
      <c r="R516" s="394">
        <v>3234030</v>
      </c>
      <c r="S516" s="232">
        <v>-146118</v>
      </c>
      <c r="T516" s="398">
        <v>3087912</v>
      </c>
      <c r="U516" s="232"/>
      <c r="V516" s="398"/>
      <c r="W516" s="398"/>
      <c r="X516" s="398">
        <v>19080067</v>
      </c>
      <c r="Y516" s="398">
        <v>1362847</v>
      </c>
    </row>
    <row r="517" spans="1:25">
      <c r="A517" s="392">
        <v>95404</v>
      </c>
      <c r="B517" s="393" t="s">
        <v>1217</v>
      </c>
      <c r="C517" s="235">
        <v>4.8699999999999998E-5</v>
      </c>
      <c r="D517" s="235">
        <v>4.4799999999999998E-5</v>
      </c>
      <c r="E517" s="232">
        <v>174026</v>
      </c>
      <c r="F517" s="232" t="s">
        <v>1930</v>
      </c>
      <c r="G517" s="394">
        <v>21976</v>
      </c>
      <c r="H517" s="394">
        <v>24489</v>
      </c>
      <c r="I517" s="394">
        <v>12951</v>
      </c>
      <c r="J517" s="232">
        <v>5232</v>
      </c>
      <c r="K517" s="232">
        <v>64648</v>
      </c>
      <c r="L517" s="232"/>
      <c r="M517" s="226">
        <v>0</v>
      </c>
      <c r="N517" s="226">
        <v>0</v>
      </c>
      <c r="O517" s="232">
        <v>4673</v>
      </c>
      <c r="P517" s="232">
        <v>4673</v>
      </c>
      <c r="Q517" s="232"/>
      <c r="R517" s="394">
        <v>59846</v>
      </c>
      <c r="S517" s="232">
        <v>1248</v>
      </c>
      <c r="T517" s="398">
        <v>61094</v>
      </c>
      <c r="U517" s="232"/>
      <c r="V517" s="398"/>
      <c r="W517" s="398"/>
      <c r="X517" s="398">
        <v>353079</v>
      </c>
      <c r="Y517" s="398">
        <v>25220</v>
      </c>
    </row>
    <row r="518" spans="1:25">
      <c r="A518" s="392">
        <v>95405</v>
      </c>
      <c r="B518" s="393" t="s">
        <v>1218</v>
      </c>
      <c r="C518" s="235">
        <v>4.5500000000000001E-5</v>
      </c>
      <c r="D518" s="235">
        <v>3.3399999999999999E-5</v>
      </c>
      <c r="E518" s="232">
        <v>162591</v>
      </c>
      <c r="F518" s="232" t="s">
        <v>1930</v>
      </c>
      <c r="G518" s="394">
        <v>20532</v>
      </c>
      <c r="H518" s="394">
        <v>22880</v>
      </c>
      <c r="I518" s="394">
        <v>12100</v>
      </c>
      <c r="J518" s="232">
        <v>27603</v>
      </c>
      <c r="K518" s="232">
        <v>83115</v>
      </c>
      <c r="L518" s="232"/>
      <c r="M518" s="226">
        <v>0</v>
      </c>
      <c r="N518" s="226">
        <v>0</v>
      </c>
      <c r="O518" s="232">
        <v>0</v>
      </c>
      <c r="P518" s="232">
        <v>0</v>
      </c>
      <c r="Q518" s="232"/>
      <c r="R518" s="394">
        <v>55914</v>
      </c>
      <c r="S518" s="232">
        <v>12560</v>
      </c>
      <c r="T518" s="398">
        <v>68474</v>
      </c>
      <c r="U518" s="232"/>
      <c r="V518" s="398"/>
      <c r="W518" s="398"/>
      <c r="X518" s="398">
        <v>329879</v>
      </c>
      <c r="Y518" s="398">
        <v>23563</v>
      </c>
    </row>
    <row r="519" spans="1:25">
      <c r="A519" s="392">
        <v>95411</v>
      </c>
      <c r="B519" s="393" t="s">
        <v>1219</v>
      </c>
      <c r="C519" s="235">
        <v>2.0525999999999999E-3</v>
      </c>
      <c r="D519" s="235">
        <v>2.0365000000000001E-3</v>
      </c>
      <c r="E519" s="232">
        <v>7334814</v>
      </c>
      <c r="F519" s="232" t="s">
        <v>1930</v>
      </c>
      <c r="G519" s="394">
        <v>926258</v>
      </c>
      <c r="H519" s="394">
        <v>1032179</v>
      </c>
      <c r="I519" s="394">
        <v>545854</v>
      </c>
      <c r="J519" s="232">
        <v>0</v>
      </c>
      <c r="K519" s="232">
        <v>2504291</v>
      </c>
      <c r="L519" s="232"/>
      <c r="M519" s="226">
        <v>0</v>
      </c>
      <c r="N519" s="226">
        <v>0</v>
      </c>
      <c r="O519" s="232">
        <v>57965</v>
      </c>
      <c r="P519" s="232">
        <v>57965</v>
      </c>
      <c r="Q519" s="232"/>
      <c r="R519" s="394">
        <v>2522389</v>
      </c>
      <c r="S519" s="232">
        <v>-23202</v>
      </c>
      <c r="T519" s="398">
        <v>2499187</v>
      </c>
      <c r="U519" s="232"/>
      <c r="V519" s="398"/>
      <c r="W519" s="398"/>
      <c r="X519" s="398">
        <v>14881539</v>
      </c>
      <c r="Y519" s="398">
        <v>1062955</v>
      </c>
    </row>
    <row r="520" spans="1:25">
      <c r="A520" s="392">
        <v>95412</v>
      </c>
      <c r="B520" s="393" t="s">
        <v>1220</v>
      </c>
      <c r="C520" s="235">
        <v>0</v>
      </c>
      <c r="D520" s="235">
        <v>0</v>
      </c>
      <c r="E520" s="232">
        <v>0</v>
      </c>
      <c r="F520" s="232" t="s">
        <v>1930</v>
      </c>
      <c r="G520" s="394">
        <v>0</v>
      </c>
      <c r="H520" s="394">
        <v>0</v>
      </c>
      <c r="I520" s="394">
        <v>0</v>
      </c>
      <c r="J520" s="232">
        <v>0</v>
      </c>
      <c r="K520" s="232">
        <v>0</v>
      </c>
      <c r="L520" s="232"/>
      <c r="M520" s="226">
        <v>0</v>
      </c>
      <c r="N520" s="226">
        <v>0</v>
      </c>
      <c r="O520" s="232">
        <v>0</v>
      </c>
      <c r="P520" s="232">
        <v>0</v>
      </c>
      <c r="Q520" s="232"/>
      <c r="R520" s="394">
        <v>0</v>
      </c>
      <c r="S520" s="232">
        <v>0</v>
      </c>
      <c r="T520" s="398">
        <v>0</v>
      </c>
      <c r="U520" s="232"/>
      <c r="V520" s="398"/>
      <c r="W520" s="398"/>
      <c r="X520" s="398">
        <v>0</v>
      </c>
      <c r="Y520" s="398">
        <v>0</v>
      </c>
    </row>
    <row r="521" spans="1:25">
      <c r="A521" s="392">
        <v>95413</v>
      </c>
      <c r="B521" s="393" t="s">
        <v>1221</v>
      </c>
      <c r="C521" s="235">
        <v>2.5369999999999999E-4</v>
      </c>
      <c r="D521" s="235">
        <v>2.4610000000000002E-4</v>
      </c>
      <c r="E521" s="232">
        <v>906578</v>
      </c>
      <c r="F521" s="232" t="s">
        <v>1930</v>
      </c>
      <c r="G521" s="394">
        <v>114485</v>
      </c>
      <c r="H521" s="394">
        <v>127576</v>
      </c>
      <c r="I521" s="394">
        <v>67467</v>
      </c>
      <c r="J521" s="232">
        <v>45243</v>
      </c>
      <c r="K521" s="232">
        <v>354771</v>
      </c>
      <c r="L521" s="232"/>
      <c r="M521" s="226">
        <v>0</v>
      </c>
      <c r="N521" s="226">
        <v>0</v>
      </c>
      <c r="O521" s="232">
        <v>10285</v>
      </c>
      <c r="P521" s="232">
        <v>10285</v>
      </c>
      <c r="Q521" s="232"/>
      <c r="R521" s="394">
        <v>311766</v>
      </c>
      <c r="S521" s="232">
        <v>55369</v>
      </c>
      <c r="T521" s="398">
        <v>367135</v>
      </c>
      <c r="U521" s="232"/>
      <c r="V521" s="398"/>
      <c r="W521" s="398"/>
      <c r="X521" s="398">
        <v>1839348</v>
      </c>
      <c r="Y521" s="398">
        <v>131381</v>
      </c>
    </row>
    <row r="522" spans="1:25">
      <c r="A522" s="392">
        <v>95415</v>
      </c>
      <c r="B522" s="393" t="s">
        <v>1222</v>
      </c>
      <c r="C522" s="235">
        <v>6.2700000000000006E-5</v>
      </c>
      <c r="D522" s="235">
        <v>5.7599999999999997E-5</v>
      </c>
      <c r="E522" s="232">
        <v>224054</v>
      </c>
      <c r="F522" s="232" t="s">
        <v>1930</v>
      </c>
      <c r="G522" s="394">
        <v>28294</v>
      </c>
      <c r="H522" s="394">
        <v>31529</v>
      </c>
      <c r="I522" s="394">
        <v>16674</v>
      </c>
      <c r="J522" s="232">
        <v>8224</v>
      </c>
      <c r="K522" s="232">
        <v>84721</v>
      </c>
      <c r="L522" s="232"/>
      <c r="M522" s="226">
        <v>0</v>
      </c>
      <c r="N522" s="226">
        <v>0</v>
      </c>
      <c r="O522" s="232">
        <v>10410</v>
      </c>
      <c r="P522" s="232">
        <v>10410</v>
      </c>
      <c r="Q522" s="232"/>
      <c r="R522" s="394">
        <v>77050</v>
      </c>
      <c r="S522" s="232">
        <v>-2790</v>
      </c>
      <c r="T522" s="398">
        <v>74260</v>
      </c>
      <c r="U522" s="232"/>
      <c r="V522" s="398"/>
      <c r="W522" s="398"/>
      <c r="X522" s="398">
        <v>454581</v>
      </c>
      <c r="Y522" s="398">
        <v>32470</v>
      </c>
    </row>
    <row r="523" spans="1:25">
      <c r="A523" s="392">
        <v>95421</v>
      </c>
      <c r="B523" s="393" t="s">
        <v>1223</v>
      </c>
      <c r="C523" s="235">
        <v>2.5199999999999999E-5</v>
      </c>
      <c r="D523" s="235">
        <v>3.6699999999999998E-5</v>
      </c>
      <c r="E523" s="232">
        <v>90050</v>
      </c>
      <c r="F523" s="232" t="s">
        <v>1930</v>
      </c>
      <c r="G523" s="394">
        <v>11372</v>
      </c>
      <c r="H523" s="394">
        <v>12673</v>
      </c>
      <c r="I523" s="394">
        <v>6702</v>
      </c>
      <c r="J523" s="232">
        <v>537</v>
      </c>
      <c r="K523" s="232">
        <v>31284</v>
      </c>
      <c r="L523" s="232"/>
      <c r="M523" s="226">
        <v>0</v>
      </c>
      <c r="N523" s="226">
        <v>0</v>
      </c>
      <c r="O523" s="232">
        <v>13684</v>
      </c>
      <c r="P523" s="232">
        <v>13684</v>
      </c>
      <c r="Q523" s="232"/>
      <c r="R523" s="394">
        <v>30968</v>
      </c>
      <c r="S523" s="232">
        <v>-5822</v>
      </c>
      <c r="T523" s="398">
        <v>25146</v>
      </c>
      <c r="U523" s="232"/>
      <c r="V523" s="398"/>
      <c r="W523" s="398"/>
      <c r="X523" s="398">
        <v>182702</v>
      </c>
      <c r="Y523" s="398">
        <v>13050</v>
      </c>
    </row>
    <row r="524" spans="1:25">
      <c r="A524" s="392">
        <v>95431</v>
      </c>
      <c r="B524" s="393" t="s">
        <v>1224</v>
      </c>
      <c r="C524" s="235">
        <v>1.2349999999999999E-4</v>
      </c>
      <c r="D524" s="235">
        <v>1.3689999999999999E-4</v>
      </c>
      <c r="E524" s="232">
        <v>441318</v>
      </c>
      <c r="F524" s="232" t="s">
        <v>1930</v>
      </c>
      <c r="G524" s="394">
        <v>55731</v>
      </c>
      <c r="H524" s="394">
        <v>62104</v>
      </c>
      <c r="I524" s="394">
        <v>32843</v>
      </c>
      <c r="J524" s="232">
        <v>0</v>
      </c>
      <c r="K524" s="232">
        <v>150678</v>
      </c>
      <c r="L524" s="232"/>
      <c r="M524" s="226">
        <v>0</v>
      </c>
      <c r="N524" s="226">
        <v>0</v>
      </c>
      <c r="O524" s="232">
        <v>33953</v>
      </c>
      <c r="P524" s="232">
        <v>33953</v>
      </c>
      <c r="Q524" s="232"/>
      <c r="R524" s="394">
        <v>151766</v>
      </c>
      <c r="S524" s="232">
        <v>-17872</v>
      </c>
      <c r="T524" s="398">
        <v>133894</v>
      </c>
      <c r="U524" s="232"/>
      <c r="V524" s="398"/>
      <c r="W524" s="398"/>
      <c r="X524" s="398">
        <v>895386</v>
      </c>
      <c r="Y524" s="398">
        <v>63955</v>
      </c>
    </row>
    <row r="525" spans="1:25">
      <c r="A525" s="392">
        <v>95501</v>
      </c>
      <c r="B525" s="393" t="s">
        <v>1225</v>
      </c>
      <c r="C525" s="235">
        <v>5.3182000000000004E-3</v>
      </c>
      <c r="D525" s="235">
        <v>5.0283999999999997E-3</v>
      </c>
      <c r="E525" s="232">
        <v>19004194</v>
      </c>
      <c r="F525" s="232" t="s">
        <v>1930</v>
      </c>
      <c r="G525" s="394">
        <v>2399896</v>
      </c>
      <c r="H525" s="394">
        <v>2674332</v>
      </c>
      <c r="I525" s="394">
        <v>1414285</v>
      </c>
      <c r="J525" s="232">
        <v>417821</v>
      </c>
      <c r="K525" s="232">
        <v>6906334</v>
      </c>
      <c r="L525" s="232"/>
      <c r="M525" s="226">
        <v>0</v>
      </c>
      <c r="N525" s="226">
        <v>0</v>
      </c>
      <c r="O525" s="232">
        <v>41247</v>
      </c>
      <c r="P525" s="232">
        <v>41247</v>
      </c>
      <c r="Q525" s="232"/>
      <c r="R525" s="394">
        <v>6535403</v>
      </c>
      <c r="S525" s="232">
        <v>93194</v>
      </c>
      <c r="T525" s="398">
        <v>6628597</v>
      </c>
      <c r="U525" s="232"/>
      <c r="V525" s="398"/>
      <c r="W525" s="398"/>
      <c r="X525" s="398">
        <v>38557439</v>
      </c>
      <c r="Y525" s="398">
        <v>2754072</v>
      </c>
    </row>
    <row r="526" spans="1:25">
      <c r="A526" s="392">
        <v>95504</v>
      </c>
      <c r="B526" s="393" t="s">
        <v>1226</v>
      </c>
      <c r="C526" s="235">
        <v>1.7399999999999999E-5</v>
      </c>
      <c r="D526" s="235">
        <v>1.49E-5</v>
      </c>
      <c r="E526" s="232">
        <v>62178</v>
      </c>
      <c r="F526" s="232" t="s">
        <v>1930</v>
      </c>
      <c r="G526" s="394">
        <v>7852</v>
      </c>
      <c r="H526" s="394">
        <v>8750</v>
      </c>
      <c r="I526" s="394">
        <v>4627</v>
      </c>
      <c r="J526" s="232">
        <v>21065</v>
      </c>
      <c r="K526" s="232">
        <v>42294</v>
      </c>
      <c r="L526" s="232"/>
      <c r="M526" s="226">
        <v>0</v>
      </c>
      <c r="N526" s="226">
        <v>0</v>
      </c>
      <c r="O526" s="232">
        <v>0</v>
      </c>
      <c r="P526" s="232">
        <v>0</v>
      </c>
      <c r="Q526" s="232"/>
      <c r="R526" s="394">
        <v>21382</v>
      </c>
      <c r="S526" s="232">
        <v>8341</v>
      </c>
      <c r="T526" s="398">
        <v>29723</v>
      </c>
      <c r="U526" s="232"/>
      <c r="V526" s="398"/>
      <c r="W526" s="398"/>
      <c r="X526" s="398">
        <v>126152</v>
      </c>
      <c r="Y526" s="398">
        <v>9011</v>
      </c>
    </row>
    <row r="527" spans="1:25">
      <c r="A527" s="392">
        <v>95511</v>
      </c>
      <c r="B527" s="393" t="s">
        <v>1227</v>
      </c>
      <c r="C527" s="235">
        <v>1.0361000000000001E-3</v>
      </c>
      <c r="D527" s="235">
        <v>9.4910000000000003E-4</v>
      </c>
      <c r="E527" s="232">
        <v>3702427</v>
      </c>
      <c r="F527" s="232" t="s">
        <v>1930</v>
      </c>
      <c r="G527" s="394">
        <v>467552</v>
      </c>
      <c r="H527" s="394">
        <v>521017</v>
      </c>
      <c r="I527" s="394">
        <v>275533</v>
      </c>
      <c r="J527" s="232">
        <v>184553</v>
      </c>
      <c r="K527" s="232">
        <v>1448655</v>
      </c>
      <c r="L527" s="232"/>
      <c r="M527" s="226">
        <v>0</v>
      </c>
      <c r="N527" s="226">
        <v>0</v>
      </c>
      <c r="O527" s="232">
        <v>0</v>
      </c>
      <c r="P527" s="232">
        <v>0</v>
      </c>
      <c r="Q527" s="232"/>
      <c r="R527" s="394">
        <v>1273237</v>
      </c>
      <c r="S527" s="232">
        <v>56185</v>
      </c>
      <c r="T527" s="398">
        <v>1329422</v>
      </c>
      <c r="U527" s="232"/>
      <c r="V527" s="398"/>
      <c r="W527" s="398"/>
      <c r="X527" s="398">
        <v>7511820</v>
      </c>
      <c r="Y527" s="398">
        <v>536553</v>
      </c>
    </row>
    <row r="528" spans="1:25">
      <c r="A528" s="392">
        <v>95513</v>
      </c>
      <c r="B528" s="393" t="s">
        <v>1228</v>
      </c>
      <c r="C528" s="235">
        <v>4.6900000000000002E-5</v>
      </c>
      <c r="D528" s="235">
        <v>3.9700000000000003E-5</v>
      </c>
      <c r="E528" s="232">
        <v>167594</v>
      </c>
      <c r="F528" s="232" t="s">
        <v>1930</v>
      </c>
      <c r="G528" s="394">
        <v>21164</v>
      </c>
      <c r="H528" s="394">
        <v>23584</v>
      </c>
      <c r="I528" s="394">
        <v>12472</v>
      </c>
      <c r="J528" s="232">
        <v>32950</v>
      </c>
      <c r="K528" s="232">
        <v>90170</v>
      </c>
      <c r="L528" s="232"/>
      <c r="M528" s="226">
        <v>0</v>
      </c>
      <c r="N528" s="226">
        <v>0</v>
      </c>
      <c r="O528" s="232">
        <v>0</v>
      </c>
      <c r="P528" s="232">
        <v>0</v>
      </c>
      <c r="Q528" s="232"/>
      <c r="R528" s="394">
        <v>57634</v>
      </c>
      <c r="S528" s="232">
        <v>15043</v>
      </c>
      <c r="T528" s="398">
        <v>72677</v>
      </c>
      <c r="U528" s="232"/>
      <c r="V528" s="398"/>
      <c r="W528" s="398"/>
      <c r="X528" s="398">
        <v>340029</v>
      </c>
      <c r="Y528" s="398">
        <v>24288</v>
      </c>
    </row>
    <row r="529" spans="1:25">
      <c r="A529" s="392">
        <v>95517</v>
      </c>
      <c r="B529" s="393" t="s">
        <v>1229</v>
      </c>
      <c r="C529" s="235">
        <v>1.84E-5</v>
      </c>
      <c r="D529" s="235">
        <v>1.84E-5</v>
      </c>
      <c r="E529" s="232">
        <v>65751</v>
      </c>
      <c r="F529" s="232" t="s">
        <v>1930</v>
      </c>
      <c r="G529" s="394">
        <v>8303</v>
      </c>
      <c r="H529" s="394">
        <v>9253</v>
      </c>
      <c r="I529" s="394">
        <v>4893</v>
      </c>
      <c r="J529" s="232">
        <v>3184</v>
      </c>
      <c r="K529" s="232">
        <v>25633</v>
      </c>
      <c r="L529" s="232"/>
      <c r="M529" s="226">
        <v>0</v>
      </c>
      <c r="N529" s="226">
        <v>0</v>
      </c>
      <c r="O529" s="232">
        <v>1289</v>
      </c>
      <c r="P529" s="232">
        <v>1289</v>
      </c>
      <c r="Q529" s="232"/>
      <c r="R529" s="394">
        <v>22611</v>
      </c>
      <c r="S529" s="232">
        <v>3647</v>
      </c>
      <c r="T529" s="398">
        <v>26258</v>
      </c>
      <c r="U529" s="232"/>
      <c r="V529" s="398"/>
      <c r="W529" s="398"/>
      <c r="X529" s="398">
        <v>133402</v>
      </c>
      <c r="Y529" s="398">
        <v>9529</v>
      </c>
    </row>
    <row r="530" spans="1:25">
      <c r="A530" s="392">
        <v>95601</v>
      </c>
      <c r="B530" s="393" t="s">
        <v>1230</v>
      </c>
      <c r="C530" s="235">
        <v>2.3888999999999998E-3</v>
      </c>
      <c r="D530" s="235">
        <v>2.4459999999999998E-3</v>
      </c>
      <c r="E530" s="232">
        <v>8536557</v>
      </c>
      <c r="F530" s="232" t="s">
        <v>1930</v>
      </c>
      <c r="G530" s="394">
        <v>1078017</v>
      </c>
      <c r="H530" s="394">
        <v>1201292</v>
      </c>
      <c r="I530" s="394">
        <v>635287</v>
      </c>
      <c r="J530" s="232">
        <v>0</v>
      </c>
      <c r="K530" s="232">
        <v>2914596</v>
      </c>
      <c r="L530" s="232"/>
      <c r="M530" s="226">
        <v>0</v>
      </c>
      <c r="N530" s="226">
        <v>0</v>
      </c>
      <c r="O530" s="232">
        <v>174362</v>
      </c>
      <c r="P530" s="232">
        <v>174362</v>
      </c>
      <c r="Q530" s="232"/>
      <c r="R530" s="394">
        <v>2935659</v>
      </c>
      <c r="S530" s="232">
        <v>-52749</v>
      </c>
      <c r="T530" s="398">
        <v>2882910</v>
      </c>
      <c r="U530" s="232"/>
      <c r="V530" s="398"/>
      <c r="W530" s="398"/>
      <c r="X530" s="398">
        <v>17319745</v>
      </c>
      <c r="Y530" s="398">
        <v>1237111</v>
      </c>
    </row>
    <row r="531" spans="1:25">
      <c r="A531" s="392">
        <v>95611</v>
      </c>
      <c r="B531" s="393" t="s">
        <v>1231</v>
      </c>
      <c r="C531" s="235">
        <v>3.3310000000000002E-4</v>
      </c>
      <c r="D531" s="235">
        <v>3.7889999999999999E-4</v>
      </c>
      <c r="E531" s="232">
        <v>1190308</v>
      </c>
      <c r="F531" s="232" t="s">
        <v>1930</v>
      </c>
      <c r="G531" s="394">
        <v>150315</v>
      </c>
      <c r="H531" s="394">
        <v>167504</v>
      </c>
      <c r="I531" s="394">
        <v>88582</v>
      </c>
      <c r="J531" s="232">
        <v>4326</v>
      </c>
      <c r="K531" s="232">
        <v>410727</v>
      </c>
      <c r="L531" s="232"/>
      <c r="M531" s="226">
        <v>0</v>
      </c>
      <c r="N531" s="226">
        <v>0</v>
      </c>
      <c r="O531" s="232">
        <v>44139</v>
      </c>
      <c r="P531" s="232">
        <v>44139</v>
      </c>
      <c r="Q531" s="232"/>
      <c r="R531" s="394">
        <v>409338</v>
      </c>
      <c r="S531" s="232">
        <v>-12300</v>
      </c>
      <c r="T531" s="398">
        <v>397038</v>
      </c>
      <c r="U531" s="232"/>
      <c r="V531" s="398"/>
      <c r="W531" s="398"/>
      <c r="X531" s="398">
        <v>2415006</v>
      </c>
      <c r="Y531" s="398">
        <v>172498</v>
      </c>
    </row>
    <row r="532" spans="1:25">
      <c r="A532" s="392">
        <v>95617</v>
      </c>
      <c r="B532" s="393" t="s">
        <v>1232</v>
      </c>
      <c r="C532" s="235">
        <v>1.3900000000000001E-5</v>
      </c>
      <c r="D532" s="235">
        <v>1.49E-5</v>
      </c>
      <c r="E532" s="232">
        <v>49671</v>
      </c>
      <c r="F532" s="232" t="s">
        <v>1930</v>
      </c>
      <c r="G532" s="394">
        <v>6273</v>
      </c>
      <c r="H532" s="394">
        <v>6990</v>
      </c>
      <c r="I532" s="394">
        <v>3696</v>
      </c>
      <c r="J532" s="232">
        <v>1264</v>
      </c>
      <c r="K532" s="232">
        <v>18223</v>
      </c>
      <c r="L532" s="232"/>
      <c r="M532" s="226">
        <v>0</v>
      </c>
      <c r="N532" s="226">
        <v>0</v>
      </c>
      <c r="O532" s="232">
        <v>0</v>
      </c>
      <c r="P532" s="232">
        <v>0</v>
      </c>
      <c r="Q532" s="232"/>
      <c r="R532" s="394">
        <v>17081</v>
      </c>
      <c r="S532" s="232">
        <v>608</v>
      </c>
      <c r="T532" s="398">
        <v>17689</v>
      </c>
      <c r="U532" s="232"/>
      <c r="V532" s="398"/>
      <c r="W532" s="398"/>
      <c r="X532" s="398">
        <v>100776</v>
      </c>
      <c r="Y532" s="398">
        <v>7198</v>
      </c>
    </row>
    <row r="533" spans="1:25">
      <c r="A533" s="392">
        <v>95621</v>
      </c>
      <c r="B533" s="393" t="s">
        <v>1233</v>
      </c>
      <c r="C533" s="235">
        <v>4.6490000000000002E-4</v>
      </c>
      <c r="D533" s="235">
        <v>4.5750000000000001E-4</v>
      </c>
      <c r="E533" s="232">
        <v>1661286</v>
      </c>
      <c r="F533" s="232" t="s">
        <v>1930</v>
      </c>
      <c r="G533" s="394">
        <v>209791</v>
      </c>
      <c r="H533" s="394">
        <v>233782</v>
      </c>
      <c r="I533" s="394">
        <v>123632</v>
      </c>
      <c r="J533" s="232">
        <v>54081</v>
      </c>
      <c r="K533" s="232">
        <v>621286</v>
      </c>
      <c r="L533" s="232"/>
      <c r="M533" s="226">
        <v>0</v>
      </c>
      <c r="N533" s="226">
        <v>0</v>
      </c>
      <c r="O533" s="232">
        <v>16928</v>
      </c>
      <c r="P533" s="232">
        <v>16928</v>
      </c>
      <c r="Q533" s="232"/>
      <c r="R533" s="394">
        <v>571304</v>
      </c>
      <c r="S533" s="232">
        <v>15456</v>
      </c>
      <c r="T533" s="398">
        <v>586760</v>
      </c>
      <c r="U533" s="232"/>
      <c r="V533" s="398"/>
      <c r="W533" s="398"/>
      <c r="X533" s="398">
        <v>3370568</v>
      </c>
      <c r="Y533" s="398">
        <v>240752</v>
      </c>
    </row>
    <row r="534" spans="1:25">
      <c r="A534" s="392">
        <v>95701</v>
      </c>
      <c r="B534" s="393" t="s">
        <v>1234</v>
      </c>
      <c r="C534" s="235">
        <v>1.2185E-3</v>
      </c>
      <c r="D534" s="235">
        <v>1.2156000000000001E-3</v>
      </c>
      <c r="E534" s="232">
        <v>4354220</v>
      </c>
      <c r="F534" s="232" t="s">
        <v>1930</v>
      </c>
      <c r="G534" s="394">
        <v>549862</v>
      </c>
      <c r="H534" s="394">
        <v>612740</v>
      </c>
      <c r="I534" s="394">
        <v>324039</v>
      </c>
      <c r="J534" s="232">
        <v>7932</v>
      </c>
      <c r="K534" s="232">
        <v>1494573</v>
      </c>
      <c r="L534" s="232"/>
      <c r="M534" s="226">
        <v>0</v>
      </c>
      <c r="N534" s="226">
        <v>0</v>
      </c>
      <c r="O534" s="232">
        <v>144644</v>
      </c>
      <c r="P534" s="232">
        <v>144644</v>
      </c>
      <c r="Q534" s="232"/>
      <c r="R534" s="394">
        <v>1497384</v>
      </c>
      <c r="S534" s="232">
        <v>-43386</v>
      </c>
      <c r="T534" s="398">
        <v>1453998</v>
      </c>
      <c r="U534" s="232"/>
      <c r="V534" s="398"/>
      <c r="W534" s="398"/>
      <c r="X534" s="398">
        <v>8834237</v>
      </c>
      <c r="Y534" s="398">
        <v>631010</v>
      </c>
    </row>
    <row r="535" spans="1:25">
      <c r="A535" s="392">
        <v>95711</v>
      </c>
      <c r="B535" s="393" t="s">
        <v>1235</v>
      </c>
      <c r="C535" s="235">
        <v>1.4889999999999999E-4</v>
      </c>
      <c r="D535" s="235">
        <v>1.4320000000000001E-4</v>
      </c>
      <c r="E535" s="232">
        <v>532083</v>
      </c>
      <c r="F535" s="232" t="s">
        <v>1930</v>
      </c>
      <c r="G535" s="394">
        <v>67193</v>
      </c>
      <c r="H535" s="394">
        <v>74876</v>
      </c>
      <c r="I535" s="394">
        <v>39597</v>
      </c>
      <c r="J535" s="232">
        <v>0</v>
      </c>
      <c r="K535" s="232">
        <v>181666</v>
      </c>
      <c r="L535" s="232"/>
      <c r="M535" s="226">
        <v>0</v>
      </c>
      <c r="N535" s="226">
        <v>0</v>
      </c>
      <c r="O535" s="232">
        <v>9764</v>
      </c>
      <c r="P535" s="232">
        <v>9764</v>
      </c>
      <c r="Q535" s="232"/>
      <c r="R535" s="394">
        <v>182979</v>
      </c>
      <c r="S535" s="232">
        <v>-4388</v>
      </c>
      <c r="T535" s="398">
        <v>178591</v>
      </c>
      <c r="U535" s="232"/>
      <c r="V535" s="398"/>
      <c r="W535" s="398"/>
      <c r="X535" s="398">
        <v>1079539</v>
      </c>
      <c r="Y535" s="398">
        <v>77109</v>
      </c>
    </row>
    <row r="536" spans="1:25">
      <c r="A536" s="392">
        <v>95721</v>
      </c>
      <c r="B536" s="393" t="s">
        <v>1236</v>
      </c>
      <c r="C536" s="235">
        <v>5.1400000000000003E-5</v>
      </c>
      <c r="D536" s="235">
        <v>6.58E-5</v>
      </c>
      <c r="E536" s="232">
        <v>183674</v>
      </c>
      <c r="F536" s="232" t="s">
        <v>1930</v>
      </c>
      <c r="G536" s="394">
        <v>23195</v>
      </c>
      <c r="H536" s="394">
        <v>25847</v>
      </c>
      <c r="I536" s="394">
        <v>13669</v>
      </c>
      <c r="J536" s="232">
        <v>0</v>
      </c>
      <c r="K536" s="232">
        <v>62711</v>
      </c>
      <c r="L536" s="232"/>
      <c r="M536" s="226">
        <v>0</v>
      </c>
      <c r="N536" s="226">
        <v>0</v>
      </c>
      <c r="O536" s="232">
        <v>18623</v>
      </c>
      <c r="P536" s="232">
        <v>18623</v>
      </c>
      <c r="Q536" s="232"/>
      <c r="R536" s="394">
        <v>63164</v>
      </c>
      <c r="S536" s="232">
        <v>-7931</v>
      </c>
      <c r="T536" s="398">
        <v>55233</v>
      </c>
      <c r="U536" s="232"/>
      <c r="V536" s="398"/>
      <c r="W536" s="398"/>
      <c r="X536" s="398">
        <v>372655</v>
      </c>
      <c r="Y536" s="398">
        <v>26618</v>
      </c>
    </row>
    <row r="537" spans="1:25">
      <c r="A537" s="392">
        <v>95733</v>
      </c>
      <c r="B537" s="393" t="s">
        <v>1237</v>
      </c>
      <c r="C537" s="235">
        <v>1.33E-5</v>
      </c>
      <c r="D537" s="235">
        <v>1.43E-5</v>
      </c>
      <c r="E537" s="232">
        <v>47527</v>
      </c>
      <c r="F537" s="232" t="s">
        <v>1930</v>
      </c>
      <c r="G537" s="394">
        <v>6002</v>
      </c>
      <c r="H537" s="394">
        <v>6688</v>
      </c>
      <c r="I537" s="394">
        <v>3537</v>
      </c>
      <c r="J537" s="232">
        <v>27</v>
      </c>
      <c r="K537" s="232">
        <v>16254</v>
      </c>
      <c r="L537" s="232"/>
      <c r="M537" s="226">
        <v>0</v>
      </c>
      <c r="N537" s="226">
        <v>0</v>
      </c>
      <c r="O537" s="232">
        <v>1101</v>
      </c>
      <c r="P537" s="232">
        <v>1101</v>
      </c>
      <c r="Q537" s="232"/>
      <c r="R537" s="394">
        <v>16344</v>
      </c>
      <c r="S537" s="232">
        <v>-457</v>
      </c>
      <c r="T537" s="398">
        <v>15887</v>
      </c>
      <c r="U537" s="232"/>
      <c r="V537" s="398"/>
      <c r="W537" s="398"/>
      <c r="X537" s="398">
        <v>96426</v>
      </c>
      <c r="Y537" s="398">
        <v>6888</v>
      </c>
    </row>
    <row r="538" spans="1:25">
      <c r="A538" s="392">
        <v>95801</v>
      </c>
      <c r="B538" s="393" t="s">
        <v>1238</v>
      </c>
      <c r="C538" s="235">
        <v>9.2270000000000004E-4</v>
      </c>
      <c r="D538" s="235">
        <v>9.5739999999999996E-4</v>
      </c>
      <c r="E538" s="232">
        <v>3297200</v>
      </c>
      <c r="F538" s="232" t="s">
        <v>1930</v>
      </c>
      <c r="G538" s="394">
        <v>416379</v>
      </c>
      <c r="H538" s="394">
        <v>463992</v>
      </c>
      <c r="I538" s="394">
        <v>245376</v>
      </c>
      <c r="J538" s="232">
        <v>24461</v>
      </c>
      <c r="K538" s="232">
        <v>1150208</v>
      </c>
      <c r="L538" s="232"/>
      <c r="M538" s="226">
        <v>0</v>
      </c>
      <c r="N538" s="226">
        <v>0</v>
      </c>
      <c r="O538" s="232">
        <v>3258</v>
      </c>
      <c r="P538" s="232">
        <v>3258</v>
      </c>
      <c r="Q538" s="232"/>
      <c r="R538" s="394">
        <v>1133883</v>
      </c>
      <c r="S538" s="232">
        <v>17662</v>
      </c>
      <c r="T538" s="398">
        <v>1151545</v>
      </c>
      <c r="U538" s="232"/>
      <c r="V538" s="398"/>
      <c r="W538" s="398"/>
      <c r="X538" s="398">
        <v>6689660</v>
      </c>
      <c r="Y538" s="398">
        <v>477828</v>
      </c>
    </row>
    <row r="539" spans="1:25">
      <c r="A539" s="392">
        <v>95802</v>
      </c>
      <c r="B539" s="393" t="s">
        <v>1239</v>
      </c>
      <c r="C539" s="235">
        <v>4.6999999999999999E-6</v>
      </c>
      <c r="D539" s="235">
        <v>4.5000000000000001E-6</v>
      </c>
      <c r="E539" s="232">
        <v>16795</v>
      </c>
      <c r="F539" s="232" t="s">
        <v>1930</v>
      </c>
      <c r="G539" s="394">
        <v>2121</v>
      </c>
      <c r="H539" s="394">
        <v>2364</v>
      </c>
      <c r="I539" s="394">
        <v>1250</v>
      </c>
      <c r="J539" s="232">
        <v>6444</v>
      </c>
      <c r="K539" s="232">
        <v>12179</v>
      </c>
      <c r="L539" s="232"/>
      <c r="M539" s="226">
        <v>0</v>
      </c>
      <c r="N539" s="226">
        <v>0</v>
      </c>
      <c r="O539" s="232">
        <v>0</v>
      </c>
      <c r="P539" s="232">
        <v>0</v>
      </c>
      <c r="Q539" s="232"/>
      <c r="R539" s="394">
        <v>5776</v>
      </c>
      <c r="S539" s="232">
        <v>2870</v>
      </c>
      <c r="T539" s="398">
        <v>8646</v>
      </c>
      <c r="U539" s="232"/>
      <c r="V539" s="398"/>
      <c r="W539" s="398"/>
      <c r="X539" s="398">
        <v>34075</v>
      </c>
      <c r="Y539" s="398">
        <v>2434</v>
      </c>
    </row>
    <row r="540" spans="1:25">
      <c r="A540" s="392">
        <v>95804</v>
      </c>
      <c r="B540" s="393" t="s">
        <v>1240</v>
      </c>
      <c r="C540" s="235">
        <v>2.6100000000000001E-5</v>
      </c>
      <c r="D540" s="235">
        <v>2.5999999999999998E-5</v>
      </c>
      <c r="E540" s="232">
        <v>93266</v>
      </c>
      <c r="F540" s="232" t="s">
        <v>1930</v>
      </c>
      <c r="G540" s="394">
        <v>11778</v>
      </c>
      <c r="H540" s="394">
        <v>13125</v>
      </c>
      <c r="I540" s="394">
        <v>6941</v>
      </c>
      <c r="J540" s="232">
        <v>1079</v>
      </c>
      <c r="K540" s="232">
        <v>32923</v>
      </c>
      <c r="L540" s="232"/>
      <c r="M540" s="226">
        <v>0</v>
      </c>
      <c r="N540" s="226">
        <v>0</v>
      </c>
      <c r="O540" s="232">
        <v>3381</v>
      </c>
      <c r="P540" s="232">
        <v>3381</v>
      </c>
      <c r="Q540" s="232"/>
      <c r="R540" s="394">
        <v>32074</v>
      </c>
      <c r="S540" s="232">
        <v>-561</v>
      </c>
      <c r="T540" s="398">
        <v>31513</v>
      </c>
      <c r="U540" s="232"/>
      <c r="V540" s="398"/>
      <c r="W540" s="398"/>
      <c r="X540" s="398">
        <v>189227</v>
      </c>
      <c r="Y540" s="398">
        <v>13516</v>
      </c>
    </row>
    <row r="541" spans="1:25">
      <c r="A541" s="392">
        <v>95811</v>
      </c>
      <c r="B541" s="393" t="s">
        <v>1241</v>
      </c>
      <c r="C541" s="235">
        <v>5.5400000000000002E-4</v>
      </c>
      <c r="D541" s="235">
        <v>5.287E-4</v>
      </c>
      <c r="E541" s="232">
        <v>1979678</v>
      </c>
      <c r="F541" s="232" t="s">
        <v>1930</v>
      </c>
      <c r="G541" s="394">
        <v>249999</v>
      </c>
      <c r="H541" s="394">
        <v>278586</v>
      </c>
      <c r="I541" s="394">
        <v>147327</v>
      </c>
      <c r="J541" s="232">
        <v>21463</v>
      </c>
      <c r="K541" s="232">
        <v>697375</v>
      </c>
      <c r="L541" s="232"/>
      <c r="M541" s="226">
        <v>0</v>
      </c>
      <c r="N541" s="226">
        <v>0</v>
      </c>
      <c r="O541" s="232">
        <v>469</v>
      </c>
      <c r="P541" s="232">
        <v>469</v>
      </c>
      <c r="Q541" s="232"/>
      <c r="R541" s="394">
        <v>680797</v>
      </c>
      <c r="S541" s="232">
        <v>7128</v>
      </c>
      <c r="T541" s="398">
        <v>687925</v>
      </c>
      <c r="U541" s="232"/>
      <c r="V541" s="398"/>
      <c r="W541" s="398"/>
      <c r="X541" s="398">
        <v>4016551</v>
      </c>
      <c r="Y541" s="398">
        <v>286893</v>
      </c>
    </row>
    <row r="542" spans="1:25">
      <c r="A542" s="392">
        <v>95813</v>
      </c>
      <c r="B542" s="393" t="s">
        <v>1242</v>
      </c>
      <c r="C542" s="235">
        <v>4.21E-5</v>
      </c>
      <c r="D542" s="235">
        <v>4.4100000000000001E-5</v>
      </c>
      <c r="E542" s="232">
        <v>150441</v>
      </c>
      <c r="F542" s="232" t="s">
        <v>1930</v>
      </c>
      <c r="G542" s="394">
        <v>18998</v>
      </c>
      <c r="H542" s="394">
        <v>21170</v>
      </c>
      <c r="I542" s="394">
        <v>11196</v>
      </c>
      <c r="J542" s="232">
        <v>51588</v>
      </c>
      <c r="K542" s="232">
        <v>102952</v>
      </c>
      <c r="L542" s="232"/>
      <c r="M542" s="226">
        <v>0</v>
      </c>
      <c r="N542" s="226">
        <v>0</v>
      </c>
      <c r="O542" s="232">
        <v>0</v>
      </c>
      <c r="P542" s="232">
        <v>0</v>
      </c>
      <c r="Q542" s="232"/>
      <c r="R542" s="394">
        <v>51736</v>
      </c>
      <c r="S542" s="232">
        <v>33260</v>
      </c>
      <c r="T542" s="398">
        <v>84996</v>
      </c>
      <c r="U542" s="232"/>
      <c r="V542" s="398"/>
      <c r="W542" s="398"/>
      <c r="X542" s="398">
        <v>305229</v>
      </c>
      <c r="Y542" s="398">
        <v>21802</v>
      </c>
    </row>
    <row r="543" spans="1:25">
      <c r="A543" s="392">
        <v>95821</v>
      </c>
      <c r="B543" s="393" t="s">
        <v>1243</v>
      </c>
      <c r="C543" s="235">
        <v>5.9000000000000003E-6</v>
      </c>
      <c r="D543" s="235">
        <v>6.3999999999999997E-6</v>
      </c>
      <c r="E543" s="232">
        <v>21083</v>
      </c>
      <c r="F543" s="232" t="s">
        <v>1930</v>
      </c>
      <c r="G543" s="394">
        <v>2662</v>
      </c>
      <c r="H543" s="394">
        <v>2966</v>
      </c>
      <c r="I543" s="394">
        <v>1569</v>
      </c>
      <c r="J543" s="232">
        <v>4459</v>
      </c>
      <c r="K543" s="232">
        <v>11656</v>
      </c>
      <c r="L543" s="232"/>
      <c r="M543" s="226">
        <v>0</v>
      </c>
      <c r="N543" s="226">
        <v>0</v>
      </c>
      <c r="O543" s="232">
        <v>854</v>
      </c>
      <c r="P543" s="232">
        <v>854</v>
      </c>
      <c r="Q543" s="232"/>
      <c r="R543" s="394">
        <v>7250</v>
      </c>
      <c r="S543" s="232">
        <v>1454</v>
      </c>
      <c r="T543" s="398">
        <v>8704</v>
      </c>
      <c r="U543" s="232"/>
      <c r="V543" s="398"/>
      <c r="W543" s="398"/>
      <c r="X543" s="398">
        <v>42776</v>
      </c>
      <c r="Y543" s="398">
        <v>3055</v>
      </c>
    </row>
    <row r="544" spans="1:25">
      <c r="A544" s="392">
        <v>95831</v>
      </c>
      <c r="B544" s="393" t="s">
        <v>1244</v>
      </c>
      <c r="C544" s="235">
        <v>1.3699999999999999E-5</v>
      </c>
      <c r="D544" s="235">
        <v>1.9899999999999999E-5</v>
      </c>
      <c r="E544" s="232">
        <v>48956</v>
      </c>
      <c r="F544" s="232" t="s">
        <v>1930</v>
      </c>
      <c r="G544" s="394">
        <v>6182</v>
      </c>
      <c r="H544" s="394">
        <v>6889</v>
      </c>
      <c r="I544" s="394">
        <v>3643</v>
      </c>
      <c r="J544" s="232">
        <v>14138</v>
      </c>
      <c r="K544" s="232">
        <v>30852</v>
      </c>
      <c r="L544" s="232"/>
      <c r="M544" s="226">
        <v>0</v>
      </c>
      <c r="N544" s="226">
        <v>0</v>
      </c>
      <c r="O544" s="232">
        <v>0</v>
      </c>
      <c r="P544" s="232">
        <v>0</v>
      </c>
      <c r="Q544" s="232"/>
      <c r="R544" s="394">
        <v>16836</v>
      </c>
      <c r="S544" s="232">
        <v>9526</v>
      </c>
      <c r="T544" s="398">
        <v>26362</v>
      </c>
      <c r="U544" s="232"/>
      <c r="V544" s="398"/>
      <c r="W544" s="398"/>
      <c r="X544" s="398">
        <v>99326</v>
      </c>
      <c r="Y544" s="398">
        <v>7095</v>
      </c>
    </row>
    <row r="545" spans="1:25">
      <c r="A545" s="392">
        <v>95841</v>
      </c>
      <c r="B545" s="393" t="s">
        <v>1245</v>
      </c>
      <c r="C545" s="235">
        <v>2.6400000000000001E-5</v>
      </c>
      <c r="D545" s="235">
        <v>2.58E-5</v>
      </c>
      <c r="E545" s="232">
        <v>94338</v>
      </c>
      <c r="F545" s="232" t="s">
        <v>1930</v>
      </c>
      <c r="G545" s="394">
        <v>11913</v>
      </c>
      <c r="H545" s="394">
        <v>13275</v>
      </c>
      <c r="I545" s="394">
        <v>7021</v>
      </c>
      <c r="J545" s="232">
        <v>4078</v>
      </c>
      <c r="K545" s="232">
        <v>36287</v>
      </c>
      <c r="L545" s="232"/>
      <c r="M545" s="226">
        <v>0</v>
      </c>
      <c r="N545" s="226">
        <v>0</v>
      </c>
      <c r="O545" s="232">
        <v>870</v>
      </c>
      <c r="P545" s="232">
        <v>870</v>
      </c>
      <c r="Q545" s="232"/>
      <c r="R545" s="394">
        <v>32442</v>
      </c>
      <c r="S545" s="232">
        <v>1574</v>
      </c>
      <c r="T545" s="398">
        <v>34016</v>
      </c>
      <c r="U545" s="232"/>
      <c r="V545" s="398"/>
      <c r="W545" s="398"/>
      <c r="X545" s="398">
        <v>191402</v>
      </c>
      <c r="Y545" s="398">
        <v>13671</v>
      </c>
    </row>
    <row r="546" spans="1:25">
      <c r="A546" s="392">
        <v>95851</v>
      </c>
      <c r="B546" s="393" t="s">
        <v>1246</v>
      </c>
      <c r="C546" s="235">
        <v>1.261E-4</v>
      </c>
      <c r="D546" s="235">
        <v>1.26E-4</v>
      </c>
      <c r="E546" s="232">
        <v>450609</v>
      </c>
      <c r="F546" s="232" t="s">
        <v>1930</v>
      </c>
      <c r="G546" s="394">
        <v>56904</v>
      </c>
      <c r="H546" s="394">
        <v>63411</v>
      </c>
      <c r="I546" s="394">
        <v>33534</v>
      </c>
      <c r="J546" s="232">
        <v>84717</v>
      </c>
      <c r="K546" s="232">
        <v>238566</v>
      </c>
      <c r="L546" s="232"/>
      <c r="M546" s="226">
        <v>0</v>
      </c>
      <c r="N546" s="226">
        <v>0</v>
      </c>
      <c r="O546" s="232">
        <v>1420</v>
      </c>
      <c r="P546" s="232">
        <v>1420</v>
      </c>
      <c r="Q546" s="232"/>
      <c r="R546" s="394">
        <v>154961</v>
      </c>
      <c r="S546" s="232">
        <v>55880</v>
      </c>
      <c r="T546" s="398">
        <v>210841</v>
      </c>
      <c r="U546" s="232"/>
      <c r="V546" s="398"/>
      <c r="W546" s="398"/>
      <c r="X546" s="398">
        <v>914237</v>
      </c>
      <c r="Y546" s="398">
        <v>65302</v>
      </c>
    </row>
    <row r="547" spans="1:25">
      <c r="A547" s="392">
        <v>95853</v>
      </c>
      <c r="B547" s="393" t="s">
        <v>1247</v>
      </c>
      <c r="C547" s="235">
        <v>2.97E-5</v>
      </c>
      <c r="D547" s="235">
        <v>3.0300000000000001E-5</v>
      </c>
      <c r="E547" s="232">
        <v>106131</v>
      </c>
      <c r="F547" s="232" t="s">
        <v>1930</v>
      </c>
      <c r="G547" s="394">
        <v>13402</v>
      </c>
      <c r="H547" s="394">
        <v>14935</v>
      </c>
      <c r="I547" s="394">
        <v>7898</v>
      </c>
      <c r="J547" s="232">
        <v>2713</v>
      </c>
      <c r="K547" s="232">
        <v>38948</v>
      </c>
      <c r="L547" s="232"/>
      <c r="M547" s="226">
        <v>0</v>
      </c>
      <c r="N547" s="226">
        <v>0</v>
      </c>
      <c r="O547" s="232">
        <v>596</v>
      </c>
      <c r="P547" s="232">
        <v>596</v>
      </c>
      <c r="Q547" s="232"/>
      <c r="R547" s="394">
        <v>36498</v>
      </c>
      <c r="S547" s="232">
        <v>2448</v>
      </c>
      <c r="T547" s="398">
        <v>38946</v>
      </c>
      <c r="U547" s="232"/>
      <c r="V547" s="398"/>
      <c r="W547" s="398"/>
      <c r="X547" s="398">
        <v>215328</v>
      </c>
      <c r="Y547" s="398">
        <v>15380</v>
      </c>
    </row>
    <row r="548" spans="1:25">
      <c r="A548" s="392">
        <v>95901</v>
      </c>
      <c r="B548" s="393" t="s">
        <v>1248</v>
      </c>
      <c r="C548" s="235">
        <v>1.9843999999999999E-3</v>
      </c>
      <c r="D548" s="235">
        <v>1.9935E-3</v>
      </c>
      <c r="E548" s="232">
        <v>7091107</v>
      </c>
      <c r="F548" s="232" t="s">
        <v>1930</v>
      </c>
      <c r="G548" s="394">
        <v>895482</v>
      </c>
      <c r="H548" s="394">
        <v>997883</v>
      </c>
      <c r="I548" s="394">
        <v>527717</v>
      </c>
      <c r="J548" s="232">
        <v>0</v>
      </c>
      <c r="K548" s="232">
        <v>2421082</v>
      </c>
      <c r="L548" s="232"/>
      <c r="M548" s="226">
        <v>0</v>
      </c>
      <c r="N548" s="226">
        <v>0</v>
      </c>
      <c r="O548" s="232">
        <v>33996</v>
      </c>
      <c r="P548" s="232">
        <v>33996</v>
      </c>
      <c r="Q548" s="232"/>
      <c r="R548" s="394">
        <v>2438580</v>
      </c>
      <c r="S548" s="232">
        <v>-14874</v>
      </c>
      <c r="T548" s="398">
        <v>2423706</v>
      </c>
      <c r="U548" s="232"/>
      <c r="V548" s="398"/>
      <c r="W548" s="398"/>
      <c r="X548" s="398">
        <v>14387083</v>
      </c>
      <c r="Y548" s="398">
        <v>1027637</v>
      </c>
    </row>
    <row r="549" spans="1:25">
      <c r="A549" s="392">
        <v>95908</v>
      </c>
      <c r="B549" s="393" t="s">
        <v>1249</v>
      </c>
      <c r="C549" s="235">
        <v>5.7399999999999999E-5</v>
      </c>
      <c r="D549" s="235">
        <v>7.1500000000000003E-5</v>
      </c>
      <c r="E549" s="232">
        <v>205115</v>
      </c>
      <c r="F549" s="232" t="s">
        <v>1930</v>
      </c>
      <c r="G549" s="394">
        <v>25902</v>
      </c>
      <c r="H549" s="394">
        <v>28864</v>
      </c>
      <c r="I549" s="394">
        <v>15265</v>
      </c>
      <c r="J549" s="232">
        <v>1598</v>
      </c>
      <c r="K549" s="232">
        <v>71629</v>
      </c>
      <c r="L549" s="232"/>
      <c r="M549" s="226">
        <v>0</v>
      </c>
      <c r="N549" s="226">
        <v>0</v>
      </c>
      <c r="O549" s="232">
        <v>27109</v>
      </c>
      <c r="P549" s="232">
        <v>27109</v>
      </c>
      <c r="Q549" s="232"/>
      <c r="R549" s="394">
        <v>70537</v>
      </c>
      <c r="S549" s="232">
        <v>-11351</v>
      </c>
      <c r="T549" s="398">
        <v>59186</v>
      </c>
      <c r="U549" s="232"/>
      <c r="V549" s="398"/>
      <c r="W549" s="398"/>
      <c r="X549" s="398">
        <v>416155</v>
      </c>
      <c r="Y549" s="398">
        <v>29725</v>
      </c>
    </row>
    <row r="550" spans="1:25">
      <c r="A550" s="392">
        <v>95911</v>
      </c>
      <c r="B550" s="393" t="s">
        <v>1250</v>
      </c>
      <c r="C550" s="235">
        <v>5.5429999999999998E-4</v>
      </c>
      <c r="D550" s="235">
        <v>5.6829999999999999E-4</v>
      </c>
      <c r="E550" s="232">
        <v>1980750</v>
      </c>
      <c r="F550" s="232" t="s">
        <v>1930</v>
      </c>
      <c r="G550" s="394">
        <v>250134</v>
      </c>
      <c r="H550" s="394">
        <v>278737</v>
      </c>
      <c r="I550" s="394">
        <v>147407</v>
      </c>
      <c r="J550" s="232">
        <v>0</v>
      </c>
      <c r="K550" s="232">
        <v>676278</v>
      </c>
      <c r="L550" s="232"/>
      <c r="M550" s="226">
        <v>0</v>
      </c>
      <c r="N550" s="226">
        <v>0</v>
      </c>
      <c r="O550" s="232">
        <v>47824</v>
      </c>
      <c r="P550" s="232">
        <v>47824</v>
      </c>
      <c r="Q550" s="232"/>
      <c r="R550" s="394">
        <v>681165</v>
      </c>
      <c r="S550" s="232">
        <v>-27580</v>
      </c>
      <c r="T550" s="398">
        <v>653585</v>
      </c>
      <c r="U550" s="232"/>
      <c r="V550" s="398"/>
      <c r="W550" s="398"/>
      <c r="X550" s="398">
        <v>4018726</v>
      </c>
      <c r="Y550" s="398">
        <v>287049</v>
      </c>
    </row>
    <row r="551" spans="1:25">
      <c r="A551" s="392">
        <v>95917</v>
      </c>
      <c r="B551" s="393" t="s">
        <v>1251</v>
      </c>
      <c r="C551" s="235">
        <v>2.2099999999999998E-5</v>
      </c>
      <c r="D551" s="235">
        <v>1.8600000000000001E-5</v>
      </c>
      <c r="E551" s="232">
        <v>78973</v>
      </c>
      <c r="F551" s="232" t="s">
        <v>1930</v>
      </c>
      <c r="G551" s="394">
        <v>9973</v>
      </c>
      <c r="H551" s="394">
        <v>11113</v>
      </c>
      <c r="I551" s="394">
        <v>5877</v>
      </c>
      <c r="J551" s="232">
        <v>7363</v>
      </c>
      <c r="K551" s="232">
        <v>34326</v>
      </c>
      <c r="L551" s="232"/>
      <c r="M551" s="226">
        <v>0</v>
      </c>
      <c r="N551" s="226">
        <v>0</v>
      </c>
      <c r="O551" s="232">
        <v>1592</v>
      </c>
      <c r="P551" s="232">
        <v>1592</v>
      </c>
      <c r="Q551" s="232"/>
      <c r="R551" s="394">
        <v>27158</v>
      </c>
      <c r="S551" s="232">
        <v>1818</v>
      </c>
      <c r="T551" s="398">
        <v>28976</v>
      </c>
      <c r="U551" s="232"/>
      <c r="V551" s="398"/>
      <c r="W551" s="398"/>
      <c r="X551" s="398">
        <v>160227</v>
      </c>
      <c r="Y551" s="398">
        <v>11445</v>
      </c>
    </row>
    <row r="552" spans="1:25">
      <c r="A552" s="392">
        <v>95921</v>
      </c>
      <c r="B552" s="393" t="s">
        <v>1252</v>
      </c>
      <c r="C552" s="235">
        <v>5.0099999999999998E-5</v>
      </c>
      <c r="D552" s="235">
        <v>5.4200000000000003E-5</v>
      </c>
      <c r="E552" s="232">
        <v>179029</v>
      </c>
      <c r="F552" s="232" t="s">
        <v>1930</v>
      </c>
      <c r="G552" s="394">
        <v>22608</v>
      </c>
      <c r="H552" s="394">
        <v>25193</v>
      </c>
      <c r="I552" s="394">
        <v>13323</v>
      </c>
      <c r="J552" s="232">
        <v>4681</v>
      </c>
      <c r="K552" s="232">
        <v>65805</v>
      </c>
      <c r="L552" s="232"/>
      <c r="M552" s="226">
        <v>0</v>
      </c>
      <c r="N552" s="226">
        <v>0</v>
      </c>
      <c r="O552" s="232">
        <v>1802</v>
      </c>
      <c r="P552" s="232">
        <v>1802</v>
      </c>
      <c r="Q552" s="232"/>
      <c r="R552" s="394">
        <v>61567</v>
      </c>
      <c r="S552" s="232">
        <v>2081</v>
      </c>
      <c r="T552" s="398">
        <v>63648</v>
      </c>
      <c r="U552" s="232"/>
      <c r="V552" s="398"/>
      <c r="W552" s="398"/>
      <c r="X552" s="398">
        <v>363230</v>
      </c>
      <c r="Y552" s="398">
        <v>25945</v>
      </c>
    </row>
    <row r="553" spans="1:25">
      <c r="A553" s="392">
        <v>96001</v>
      </c>
      <c r="B553" s="393" t="s">
        <v>1253</v>
      </c>
      <c r="C553" s="235">
        <v>4.6503500000000003E-2</v>
      </c>
      <c r="D553" s="235">
        <v>4.3367500000000003E-2</v>
      </c>
      <c r="E553" s="232">
        <v>166176816</v>
      </c>
      <c r="F553" s="232" t="s">
        <v>1930</v>
      </c>
      <c r="G553" s="394">
        <v>20985216</v>
      </c>
      <c r="H553" s="394">
        <v>23384936</v>
      </c>
      <c r="I553" s="394">
        <v>12366815</v>
      </c>
      <c r="J553" s="232">
        <v>2094382</v>
      </c>
      <c r="K553" s="232">
        <v>58831349</v>
      </c>
      <c r="L553" s="232"/>
      <c r="M553" s="226">
        <v>0</v>
      </c>
      <c r="N553" s="226">
        <v>0</v>
      </c>
      <c r="O553" s="232">
        <v>401337</v>
      </c>
      <c r="P553" s="232">
        <v>401337</v>
      </c>
      <c r="Q553" s="232"/>
      <c r="R553" s="394">
        <v>57146989</v>
      </c>
      <c r="S553" s="232">
        <v>426740</v>
      </c>
      <c r="T553" s="398">
        <v>57573729</v>
      </c>
      <c r="U553" s="232"/>
      <c r="V553" s="398"/>
      <c r="W553" s="398"/>
      <c r="X553" s="398">
        <v>337154653</v>
      </c>
      <c r="Y553" s="398">
        <v>24082210</v>
      </c>
    </row>
    <row r="554" spans="1:25">
      <c r="A554" s="392">
        <v>96003</v>
      </c>
      <c r="B554" s="393" t="s">
        <v>1254</v>
      </c>
      <c r="C554" s="235">
        <v>1.781E-3</v>
      </c>
      <c r="D554" s="235">
        <v>1.6620000000000001E-3</v>
      </c>
      <c r="E554" s="232">
        <v>6364272</v>
      </c>
      <c r="F554" s="232" t="s">
        <v>1930</v>
      </c>
      <c r="G554" s="394">
        <v>803696</v>
      </c>
      <c r="H554" s="394">
        <v>895601</v>
      </c>
      <c r="I554" s="394">
        <v>473627</v>
      </c>
      <c r="J554" s="232">
        <v>204555</v>
      </c>
      <c r="K554" s="232">
        <v>2377479</v>
      </c>
      <c r="L554" s="232"/>
      <c r="M554" s="226">
        <v>0</v>
      </c>
      <c r="N554" s="226">
        <v>0</v>
      </c>
      <c r="O554" s="232">
        <v>57974</v>
      </c>
      <c r="P554" s="232">
        <v>57974</v>
      </c>
      <c r="Q554" s="232"/>
      <c r="R554" s="394">
        <v>2188626</v>
      </c>
      <c r="S554" s="232">
        <v>17277</v>
      </c>
      <c r="T554" s="398">
        <v>2205903</v>
      </c>
      <c r="U554" s="232"/>
      <c r="V554" s="398"/>
      <c r="W554" s="398"/>
      <c r="X554" s="398">
        <v>12912414</v>
      </c>
      <c r="Y554" s="398">
        <v>922305</v>
      </c>
    </row>
    <row r="555" spans="1:25">
      <c r="A555" s="392">
        <v>96004</v>
      </c>
      <c r="B555" s="393" t="s">
        <v>1255</v>
      </c>
      <c r="C555" s="235">
        <v>9.8489999999999992E-4</v>
      </c>
      <c r="D555" s="235">
        <v>9.3959999999999996E-4</v>
      </c>
      <c r="E555" s="232">
        <v>3519467</v>
      </c>
      <c r="F555" s="232" t="s">
        <v>1930</v>
      </c>
      <c r="G555" s="394">
        <v>444447</v>
      </c>
      <c r="H555" s="394">
        <v>495271</v>
      </c>
      <c r="I555" s="394">
        <v>261917</v>
      </c>
      <c r="J555" s="232">
        <v>219966</v>
      </c>
      <c r="K555" s="232">
        <v>1421601</v>
      </c>
      <c r="L555" s="232"/>
      <c r="M555" s="226">
        <v>0</v>
      </c>
      <c r="N555" s="226">
        <v>0</v>
      </c>
      <c r="O555" s="232">
        <v>0</v>
      </c>
      <c r="P555" s="232">
        <v>0</v>
      </c>
      <c r="Q555" s="232"/>
      <c r="R555" s="394">
        <v>1210319</v>
      </c>
      <c r="S555" s="232">
        <v>100427</v>
      </c>
      <c r="T555" s="398">
        <v>1310746</v>
      </c>
      <c r="U555" s="232"/>
      <c r="V555" s="398"/>
      <c r="W555" s="398"/>
      <c r="X555" s="398">
        <v>7140616</v>
      </c>
      <c r="Y555" s="398">
        <v>510038</v>
      </c>
    </row>
    <row r="556" spans="1:25">
      <c r="A556" s="392">
        <v>96005</v>
      </c>
      <c r="B556" s="393" t="s">
        <v>1256</v>
      </c>
      <c r="C556" s="235">
        <v>2.4903999999999998E-3</v>
      </c>
      <c r="D556" s="235">
        <v>2.4467E-3</v>
      </c>
      <c r="E556" s="232">
        <v>8899260</v>
      </c>
      <c r="F556" s="232" t="s">
        <v>1930</v>
      </c>
      <c r="G556" s="394">
        <v>1123820</v>
      </c>
      <c r="H556" s="394">
        <v>1252332</v>
      </c>
      <c r="I556" s="394">
        <v>662280</v>
      </c>
      <c r="J556" s="232">
        <v>125109</v>
      </c>
      <c r="K556" s="232">
        <v>3163541</v>
      </c>
      <c r="L556" s="232"/>
      <c r="M556" s="226">
        <v>0</v>
      </c>
      <c r="N556" s="226">
        <v>0</v>
      </c>
      <c r="O556" s="232">
        <v>76575</v>
      </c>
      <c r="P556" s="232">
        <v>76575</v>
      </c>
      <c r="Q556" s="232"/>
      <c r="R556" s="394">
        <v>3060390</v>
      </c>
      <c r="S556" s="232">
        <v>23180</v>
      </c>
      <c r="T556" s="398">
        <v>3083570</v>
      </c>
      <c r="U556" s="232"/>
      <c r="V556" s="398"/>
      <c r="W556" s="398"/>
      <c r="X556" s="398">
        <v>18055629</v>
      </c>
      <c r="Y556" s="398">
        <v>1289674</v>
      </c>
    </row>
    <row r="557" spans="1:25">
      <c r="A557" s="392">
        <v>96008</v>
      </c>
      <c r="B557" s="393" t="s">
        <v>1257</v>
      </c>
      <c r="C557" s="235">
        <v>6.1444999999999998E-3</v>
      </c>
      <c r="D557" s="235">
        <v>6.1741000000000001E-3</v>
      </c>
      <c r="E557" s="232">
        <v>21956916</v>
      </c>
      <c r="F557" s="232" t="s">
        <v>1930</v>
      </c>
      <c r="G557" s="394">
        <v>2772773</v>
      </c>
      <c r="H557" s="394">
        <v>3089848</v>
      </c>
      <c r="I557" s="394">
        <v>1634025</v>
      </c>
      <c r="J557" s="232">
        <v>0</v>
      </c>
      <c r="K557" s="232">
        <v>7496646</v>
      </c>
      <c r="L557" s="232"/>
      <c r="M557" s="226">
        <v>0</v>
      </c>
      <c r="N557" s="226">
        <v>0</v>
      </c>
      <c r="O557" s="232">
        <v>1493251</v>
      </c>
      <c r="P557" s="232">
        <v>1493251</v>
      </c>
      <c r="Q557" s="232"/>
      <c r="R557" s="394">
        <v>7550822</v>
      </c>
      <c r="S557" s="232">
        <v>-665377</v>
      </c>
      <c r="T557" s="398">
        <v>6885445</v>
      </c>
      <c r="U557" s="232"/>
      <c r="V557" s="398"/>
      <c r="W557" s="398"/>
      <c r="X557" s="398">
        <v>44548190</v>
      </c>
      <c r="Y557" s="398">
        <v>3181978</v>
      </c>
    </row>
    <row r="558" spans="1:25">
      <c r="A558" s="392">
        <v>96009</v>
      </c>
      <c r="B558" s="393" t="s">
        <v>1258</v>
      </c>
      <c r="C558" s="235">
        <v>3.814E-4</v>
      </c>
      <c r="D558" s="235">
        <v>3.5409999999999999E-4</v>
      </c>
      <c r="E558" s="232">
        <v>1362905</v>
      </c>
      <c r="F558" s="232" t="s">
        <v>1930</v>
      </c>
      <c r="G558" s="394">
        <v>172111</v>
      </c>
      <c r="H558" s="394">
        <v>191792</v>
      </c>
      <c r="I558" s="394">
        <v>101427</v>
      </c>
      <c r="J558" s="232">
        <v>64590</v>
      </c>
      <c r="K558" s="232">
        <v>529920</v>
      </c>
      <c r="L558" s="232"/>
      <c r="M558" s="226">
        <v>0</v>
      </c>
      <c r="N558" s="226">
        <v>0</v>
      </c>
      <c r="O558" s="232">
        <v>4063</v>
      </c>
      <c r="P558" s="232">
        <v>4063</v>
      </c>
      <c r="Q558" s="232"/>
      <c r="R558" s="394">
        <v>468693</v>
      </c>
      <c r="S558" s="232">
        <v>25977</v>
      </c>
      <c r="T558" s="398">
        <v>494670</v>
      </c>
      <c r="U558" s="232"/>
      <c r="V558" s="398"/>
      <c r="W558" s="398"/>
      <c r="X558" s="398">
        <v>2765185</v>
      </c>
      <c r="Y558" s="398">
        <v>197511</v>
      </c>
    </row>
    <row r="559" spans="1:25">
      <c r="A559" s="392">
        <v>96011</v>
      </c>
      <c r="B559" s="393" t="s">
        <v>1259</v>
      </c>
      <c r="C559" s="235">
        <v>6.4782000000000006E-2</v>
      </c>
      <c r="D559" s="235">
        <v>6.3204399999999994E-2</v>
      </c>
      <c r="E559" s="232">
        <v>231493683</v>
      </c>
      <c r="F559" s="232" t="s">
        <v>1930</v>
      </c>
      <c r="G559" s="394">
        <v>29233590</v>
      </c>
      <c r="H559" s="394">
        <v>32576536</v>
      </c>
      <c r="I559" s="394">
        <v>17227672</v>
      </c>
      <c r="J559" s="232">
        <v>4081980</v>
      </c>
      <c r="K559" s="232">
        <v>83119778</v>
      </c>
      <c r="L559" s="232"/>
      <c r="M559" s="226">
        <v>0</v>
      </c>
      <c r="N559" s="226">
        <v>0</v>
      </c>
      <c r="O559" s="232">
        <v>0</v>
      </c>
      <c r="P559" s="232">
        <v>0</v>
      </c>
      <c r="Q559" s="232"/>
      <c r="R559" s="394">
        <v>79608980</v>
      </c>
      <c r="S559" s="232">
        <v>1535105</v>
      </c>
      <c r="T559" s="398">
        <v>81144085</v>
      </c>
      <c r="U559" s="232"/>
      <c r="V559" s="398"/>
      <c r="W559" s="398"/>
      <c r="X559" s="398">
        <v>469675460</v>
      </c>
      <c r="Y559" s="398">
        <v>33547877</v>
      </c>
    </row>
    <row r="560" spans="1:25">
      <c r="A560" s="392">
        <v>96012</v>
      </c>
      <c r="B560" s="393" t="s">
        <v>1260</v>
      </c>
      <c r="C560" s="235">
        <v>2.4705999999999999E-3</v>
      </c>
      <c r="D560" s="235">
        <v>2.5593E-3</v>
      </c>
      <c r="E560" s="232">
        <v>8828506</v>
      </c>
      <c r="F560" s="232" t="s">
        <v>1930</v>
      </c>
      <c r="G560" s="394">
        <v>1114885</v>
      </c>
      <c r="H560" s="394">
        <v>1242376</v>
      </c>
      <c r="I560" s="394">
        <v>657014</v>
      </c>
      <c r="J560" s="232">
        <v>27290</v>
      </c>
      <c r="K560" s="232">
        <v>3041565</v>
      </c>
      <c r="L560" s="232"/>
      <c r="M560" s="226">
        <v>0</v>
      </c>
      <c r="N560" s="226">
        <v>0</v>
      </c>
      <c r="O560" s="232">
        <v>111673</v>
      </c>
      <c r="P560" s="232">
        <v>111673</v>
      </c>
      <c r="Q560" s="232"/>
      <c r="R560" s="394">
        <v>3036059</v>
      </c>
      <c r="S560" s="232">
        <v>-8055</v>
      </c>
      <c r="T560" s="398">
        <v>3028004</v>
      </c>
      <c r="U560" s="232"/>
      <c r="V560" s="398"/>
      <c r="W560" s="398"/>
      <c r="X560" s="398">
        <v>17912077</v>
      </c>
      <c r="Y560" s="398">
        <v>1279420</v>
      </c>
    </row>
    <row r="561" spans="1:25">
      <c r="A561" s="392">
        <v>96018</v>
      </c>
      <c r="B561" s="393" t="s">
        <v>1261</v>
      </c>
      <c r="C561" s="235">
        <v>3.57E-5</v>
      </c>
      <c r="D561" s="235">
        <v>3.4199999999999998E-5</v>
      </c>
      <c r="E561" s="232">
        <v>127571</v>
      </c>
      <c r="F561" s="232" t="s">
        <v>1930</v>
      </c>
      <c r="G561" s="394">
        <v>16110</v>
      </c>
      <c r="H561" s="394">
        <v>17953</v>
      </c>
      <c r="I561" s="394">
        <v>9494</v>
      </c>
      <c r="J561" s="232">
        <v>5638</v>
      </c>
      <c r="K561" s="232">
        <v>49195</v>
      </c>
      <c r="L561" s="232"/>
      <c r="M561" s="226">
        <v>0</v>
      </c>
      <c r="N561" s="226">
        <v>0</v>
      </c>
      <c r="O561" s="232">
        <v>6616</v>
      </c>
      <c r="P561" s="232">
        <v>6616</v>
      </c>
      <c r="Q561" s="232"/>
      <c r="R561" s="394">
        <v>43871</v>
      </c>
      <c r="S561" s="232">
        <v>309</v>
      </c>
      <c r="T561" s="398">
        <v>44180</v>
      </c>
      <c r="U561" s="232"/>
      <c r="V561" s="398"/>
      <c r="W561" s="398"/>
      <c r="X561" s="398">
        <v>258828</v>
      </c>
      <c r="Y561" s="398">
        <v>18488</v>
      </c>
    </row>
    <row r="562" spans="1:25">
      <c r="A562" s="392">
        <v>96021</v>
      </c>
      <c r="B562" s="393" t="s">
        <v>1262</v>
      </c>
      <c r="C562" s="235">
        <v>7.0450000000000005E-4</v>
      </c>
      <c r="D562" s="235">
        <v>7.7490000000000002E-4</v>
      </c>
      <c r="E562" s="232">
        <v>2517479</v>
      </c>
      <c r="F562" s="232" t="s">
        <v>1930</v>
      </c>
      <c r="G562" s="394">
        <v>317913</v>
      </c>
      <c r="H562" s="394">
        <v>354268</v>
      </c>
      <c r="I562" s="394">
        <v>187350</v>
      </c>
      <c r="J562" s="232">
        <v>6872</v>
      </c>
      <c r="K562" s="232">
        <v>866403</v>
      </c>
      <c r="L562" s="232"/>
      <c r="M562" s="226">
        <v>0</v>
      </c>
      <c r="N562" s="226">
        <v>0</v>
      </c>
      <c r="O562" s="232">
        <v>106720</v>
      </c>
      <c r="P562" s="232">
        <v>106720</v>
      </c>
      <c r="Q562" s="232"/>
      <c r="R562" s="394">
        <v>865742</v>
      </c>
      <c r="S562" s="232">
        <v>-56327</v>
      </c>
      <c r="T562" s="398">
        <v>809415</v>
      </c>
      <c r="U562" s="232"/>
      <c r="V562" s="398"/>
      <c r="W562" s="398"/>
      <c r="X562" s="398">
        <v>5107690</v>
      </c>
      <c r="Y562" s="398">
        <v>364831</v>
      </c>
    </row>
    <row r="563" spans="1:25">
      <c r="A563" s="392">
        <v>96031</v>
      </c>
      <c r="B563" s="393" t="s">
        <v>1263</v>
      </c>
      <c r="C563" s="235">
        <v>8.2890000000000004E-4</v>
      </c>
      <c r="D563" s="235">
        <v>8.3790000000000004E-4</v>
      </c>
      <c r="E563" s="232">
        <v>2962013</v>
      </c>
      <c r="F563" s="232" t="s">
        <v>1930</v>
      </c>
      <c r="G563" s="394">
        <v>374050</v>
      </c>
      <c r="H563" s="394">
        <v>416824</v>
      </c>
      <c r="I563" s="394">
        <v>220432</v>
      </c>
      <c r="J563" s="232">
        <v>0</v>
      </c>
      <c r="K563" s="232">
        <v>1011306</v>
      </c>
      <c r="L563" s="232"/>
      <c r="M563" s="226">
        <v>0</v>
      </c>
      <c r="N563" s="226">
        <v>0</v>
      </c>
      <c r="O563" s="232">
        <v>162004</v>
      </c>
      <c r="P563" s="232">
        <v>162004</v>
      </c>
      <c r="Q563" s="232"/>
      <c r="R563" s="394">
        <v>1018614</v>
      </c>
      <c r="S563" s="232">
        <v>-80171</v>
      </c>
      <c r="T563" s="398">
        <v>938443</v>
      </c>
      <c r="U563" s="232"/>
      <c r="V563" s="398"/>
      <c r="W563" s="398"/>
      <c r="X563" s="398">
        <v>6009601</v>
      </c>
      <c r="Y563" s="398">
        <v>429252</v>
      </c>
    </row>
    <row r="564" spans="1:25">
      <c r="A564" s="392">
        <v>96041</v>
      </c>
      <c r="B564" s="393" t="s">
        <v>1264</v>
      </c>
      <c r="C564" s="235">
        <v>1.7784000000000001E-3</v>
      </c>
      <c r="D564" s="235">
        <v>1.7466000000000001E-3</v>
      </c>
      <c r="E564" s="232">
        <v>6354981</v>
      </c>
      <c r="F564" s="232" t="s">
        <v>1930</v>
      </c>
      <c r="G564" s="394">
        <v>802523</v>
      </c>
      <c r="H564" s="394">
        <v>894293</v>
      </c>
      <c r="I564" s="394">
        <v>472935</v>
      </c>
      <c r="J564" s="232">
        <v>20639</v>
      </c>
      <c r="K564" s="232">
        <v>2190390</v>
      </c>
      <c r="L564" s="232"/>
      <c r="M564" s="226">
        <v>0</v>
      </c>
      <c r="N564" s="226">
        <v>0</v>
      </c>
      <c r="O564" s="232">
        <v>55939</v>
      </c>
      <c r="P564" s="232">
        <v>55939</v>
      </c>
      <c r="Q564" s="232"/>
      <c r="R564" s="394">
        <v>2185431</v>
      </c>
      <c r="S564" s="232">
        <v>-38828</v>
      </c>
      <c r="T564" s="398">
        <v>2146603</v>
      </c>
      <c r="U564" s="232"/>
      <c r="V564" s="398"/>
      <c r="W564" s="398"/>
      <c r="X564" s="398">
        <v>12893564</v>
      </c>
      <c r="Y564" s="398">
        <v>920959</v>
      </c>
    </row>
    <row r="565" spans="1:25">
      <c r="A565" s="392">
        <v>96051</v>
      </c>
      <c r="B565" s="393" t="s">
        <v>1265</v>
      </c>
      <c r="C565" s="235">
        <v>1.0357000000000001E-3</v>
      </c>
      <c r="D565" s="235">
        <v>9.6909999999999997E-4</v>
      </c>
      <c r="E565" s="232">
        <v>3700997</v>
      </c>
      <c r="F565" s="232" t="s">
        <v>1930</v>
      </c>
      <c r="G565" s="394">
        <v>467371</v>
      </c>
      <c r="H565" s="394">
        <v>520817</v>
      </c>
      <c r="I565" s="394">
        <v>275427</v>
      </c>
      <c r="J565" s="232">
        <v>51532</v>
      </c>
      <c r="K565" s="232">
        <v>1315147</v>
      </c>
      <c r="L565" s="232"/>
      <c r="M565" s="226">
        <v>0</v>
      </c>
      <c r="N565" s="226">
        <v>0</v>
      </c>
      <c r="O565" s="232">
        <v>94374</v>
      </c>
      <c r="P565" s="232">
        <v>94374</v>
      </c>
      <c r="Q565" s="232"/>
      <c r="R565" s="394">
        <v>1272746</v>
      </c>
      <c r="S565" s="232">
        <v>-33623</v>
      </c>
      <c r="T565" s="398">
        <v>1239123</v>
      </c>
      <c r="U565" s="232"/>
      <c r="V565" s="398"/>
      <c r="W565" s="398"/>
      <c r="X565" s="398">
        <v>7508920</v>
      </c>
      <c r="Y565" s="398">
        <v>536346</v>
      </c>
    </row>
    <row r="566" spans="1:25">
      <c r="A566" s="392">
        <v>96061</v>
      </c>
      <c r="B566" s="393" t="s">
        <v>1266</v>
      </c>
      <c r="C566" s="235">
        <v>3.2640000000000002E-4</v>
      </c>
      <c r="D566" s="235">
        <v>3.4220000000000002E-4</v>
      </c>
      <c r="E566" s="232">
        <v>1166366</v>
      </c>
      <c r="F566" s="232" t="s">
        <v>1930</v>
      </c>
      <c r="G566" s="394">
        <v>147292</v>
      </c>
      <c r="H566" s="394">
        <v>164134</v>
      </c>
      <c r="I566" s="394">
        <v>86801</v>
      </c>
      <c r="J566" s="232">
        <v>20016</v>
      </c>
      <c r="K566" s="232">
        <v>418243</v>
      </c>
      <c r="L566" s="232"/>
      <c r="M566" s="226">
        <v>0</v>
      </c>
      <c r="N566" s="226">
        <v>0</v>
      </c>
      <c r="O566" s="232">
        <v>27416</v>
      </c>
      <c r="P566" s="232">
        <v>27416</v>
      </c>
      <c r="Q566" s="232"/>
      <c r="R566" s="394">
        <v>401105</v>
      </c>
      <c r="S566" s="232">
        <v>-1657</v>
      </c>
      <c r="T566" s="398">
        <v>399448</v>
      </c>
      <c r="U566" s="232"/>
      <c r="V566" s="398"/>
      <c r="W566" s="398"/>
      <c r="X566" s="398">
        <v>2366430</v>
      </c>
      <c r="Y566" s="398">
        <v>169029</v>
      </c>
    </row>
    <row r="567" spans="1:25">
      <c r="A567" s="392">
        <v>96071</v>
      </c>
      <c r="B567" s="393" t="s">
        <v>1267</v>
      </c>
      <c r="C567" s="235">
        <v>1.3179000000000001E-3</v>
      </c>
      <c r="D567" s="235">
        <v>1.3016E-3</v>
      </c>
      <c r="E567" s="232">
        <v>4709418</v>
      </c>
      <c r="F567" s="232" t="s">
        <v>1930</v>
      </c>
      <c r="G567" s="394">
        <v>594717</v>
      </c>
      <c r="H567" s="394">
        <v>662724</v>
      </c>
      <c r="I567" s="394">
        <v>350473</v>
      </c>
      <c r="J567" s="232">
        <v>178666</v>
      </c>
      <c r="K567" s="232">
        <v>1786580</v>
      </c>
      <c r="L567" s="232"/>
      <c r="M567" s="226">
        <v>0</v>
      </c>
      <c r="N567" s="226">
        <v>0</v>
      </c>
      <c r="O567" s="232">
        <v>0</v>
      </c>
      <c r="P567" s="232">
        <v>0</v>
      </c>
      <c r="Q567" s="232"/>
      <c r="R567" s="394">
        <v>1619534</v>
      </c>
      <c r="S567" s="232">
        <v>50404</v>
      </c>
      <c r="T567" s="398">
        <v>1669938</v>
      </c>
      <c r="U567" s="232"/>
      <c r="V567" s="398"/>
      <c r="W567" s="398"/>
      <c r="X567" s="398">
        <v>9554896</v>
      </c>
      <c r="Y567" s="398">
        <v>682485</v>
      </c>
    </row>
    <row r="568" spans="1:25">
      <c r="A568" s="392">
        <v>96081</v>
      </c>
      <c r="B568" s="393" t="s">
        <v>1268</v>
      </c>
      <c r="C568" s="235">
        <v>5.5960000000000005E-4</v>
      </c>
      <c r="D568" s="235">
        <v>5.419E-4</v>
      </c>
      <c r="E568" s="232">
        <v>1999689</v>
      </c>
      <c r="F568" s="232" t="s">
        <v>1930</v>
      </c>
      <c r="G568" s="394">
        <v>252526</v>
      </c>
      <c r="H568" s="394">
        <v>281403</v>
      </c>
      <c r="I568" s="394">
        <v>148816</v>
      </c>
      <c r="J568" s="232">
        <v>17206</v>
      </c>
      <c r="K568" s="232">
        <v>699951</v>
      </c>
      <c r="L568" s="232"/>
      <c r="M568" s="226">
        <v>0</v>
      </c>
      <c r="N568" s="226">
        <v>0</v>
      </c>
      <c r="O568" s="232">
        <v>14362</v>
      </c>
      <c r="P568" s="232">
        <v>14362</v>
      </c>
      <c r="Q568" s="232"/>
      <c r="R568" s="394">
        <v>687678</v>
      </c>
      <c r="S568" s="232">
        <v>2514</v>
      </c>
      <c r="T568" s="398">
        <v>690192</v>
      </c>
      <c r="U568" s="232"/>
      <c r="V568" s="398"/>
      <c r="W568" s="398"/>
      <c r="X568" s="398">
        <v>4057151</v>
      </c>
      <c r="Y568" s="398">
        <v>289793</v>
      </c>
    </row>
    <row r="569" spans="1:25">
      <c r="A569" s="392">
        <v>96101</v>
      </c>
      <c r="B569" s="393" t="s">
        <v>1269</v>
      </c>
      <c r="C569" s="235">
        <v>6.2960000000000002E-4</v>
      </c>
      <c r="D569" s="235">
        <v>6.4729999999999996E-4</v>
      </c>
      <c r="E569" s="232">
        <v>2249829</v>
      </c>
      <c r="F569" s="232" t="s">
        <v>1930</v>
      </c>
      <c r="G569" s="394">
        <v>284114</v>
      </c>
      <c r="H569" s="394">
        <v>316603</v>
      </c>
      <c r="I569" s="394">
        <v>167431</v>
      </c>
      <c r="J569" s="232">
        <v>22354</v>
      </c>
      <c r="K569" s="232">
        <v>790502</v>
      </c>
      <c r="L569" s="232"/>
      <c r="M569" s="226">
        <v>0</v>
      </c>
      <c r="N569" s="226">
        <v>0</v>
      </c>
      <c r="O569" s="232">
        <v>76328</v>
      </c>
      <c r="P569" s="232">
        <v>76328</v>
      </c>
      <c r="Q569" s="232"/>
      <c r="R569" s="394">
        <v>773700</v>
      </c>
      <c r="S569" s="232">
        <v>-12651</v>
      </c>
      <c r="T569" s="398">
        <v>761049</v>
      </c>
      <c r="U569" s="232"/>
      <c r="V569" s="398"/>
      <c r="W569" s="398"/>
      <c r="X569" s="398">
        <v>4564658</v>
      </c>
      <c r="Y569" s="398">
        <v>326043</v>
      </c>
    </row>
    <row r="570" spans="1:25">
      <c r="A570" s="392">
        <v>96102</v>
      </c>
      <c r="B570" s="393" t="s">
        <v>1270</v>
      </c>
      <c r="C570" s="235">
        <v>1.1399999999999999E-5</v>
      </c>
      <c r="D570" s="235">
        <v>1.1600000000000001E-5</v>
      </c>
      <c r="E570" s="232">
        <v>40737</v>
      </c>
      <c r="F570" s="232" t="s">
        <v>1930</v>
      </c>
      <c r="G570" s="394">
        <v>5144</v>
      </c>
      <c r="H570" s="394">
        <v>5733</v>
      </c>
      <c r="I570" s="394">
        <v>3032</v>
      </c>
      <c r="J570" s="232">
        <v>0</v>
      </c>
      <c r="K570" s="232">
        <v>13909</v>
      </c>
      <c r="L570" s="232"/>
      <c r="M570" s="226">
        <v>0</v>
      </c>
      <c r="N570" s="226">
        <v>0</v>
      </c>
      <c r="O570" s="232">
        <v>3617</v>
      </c>
      <c r="P570" s="232">
        <v>3617</v>
      </c>
      <c r="Q570" s="232"/>
      <c r="R570" s="394">
        <v>14009</v>
      </c>
      <c r="S570" s="232">
        <v>-1737</v>
      </c>
      <c r="T570" s="398">
        <v>12272</v>
      </c>
      <c r="U570" s="232"/>
      <c r="V570" s="398"/>
      <c r="W570" s="398"/>
      <c r="X570" s="398">
        <v>82651</v>
      </c>
      <c r="Y570" s="398">
        <v>5904</v>
      </c>
    </row>
    <row r="571" spans="1:25">
      <c r="A571" s="392">
        <v>96111</v>
      </c>
      <c r="B571" s="393" t="s">
        <v>1271</v>
      </c>
      <c r="C571" s="235">
        <v>1.6689999999999999E-4</v>
      </c>
      <c r="D571" s="235">
        <v>1.5809999999999999E-4</v>
      </c>
      <c r="E571" s="232">
        <v>596405</v>
      </c>
      <c r="F571" s="232" t="s">
        <v>1930</v>
      </c>
      <c r="G571" s="394">
        <v>75315</v>
      </c>
      <c r="H571" s="394">
        <v>83928</v>
      </c>
      <c r="I571" s="394">
        <v>44384</v>
      </c>
      <c r="J571" s="232">
        <v>37672</v>
      </c>
      <c r="K571" s="232">
        <v>241299</v>
      </c>
      <c r="L571" s="232"/>
      <c r="M571" s="226">
        <v>0</v>
      </c>
      <c r="N571" s="226">
        <v>0</v>
      </c>
      <c r="O571" s="232">
        <v>419</v>
      </c>
      <c r="P571" s="232">
        <v>419</v>
      </c>
      <c r="Q571" s="232"/>
      <c r="R571" s="394">
        <v>205099</v>
      </c>
      <c r="S571" s="232">
        <v>13649</v>
      </c>
      <c r="T571" s="398">
        <v>218748</v>
      </c>
      <c r="U571" s="232"/>
      <c r="V571" s="398"/>
      <c r="W571" s="398"/>
      <c r="X571" s="398">
        <v>1210040</v>
      </c>
      <c r="Y571" s="398">
        <v>86431</v>
      </c>
    </row>
    <row r="572" spans="1:25">
      <c r="A572" s="392">
        <v>96121</v>
      </c>
      <c r="B572" s="393" t="s">
        <v>1272</v>
      </c>
      <c r="C572" s="235">
        <v>1.6699999999999999E-5</v>
      </c>
      <c r="D572" s="235">
        <v>2.4300000000000001E-5</v>
      </c>
      <c r="E572" s="232">
        <v>59676</v>
      </c>
      <c r="F572" s="232" t="s">
        <v>1930</v>
      </c>
      <c r="G572" s="394">
        <v>7536</v>
      </c>
      <c r="H572" s="394">
        <v>8398</v>
      </c>
      <c r="I572" s="394">
        <v>4441</v>
      </c>
      <c r="J572" s="232">
        <v>277</v>
      </c>
      <c r="K572" s="232">
        <v>20652</v>
      </c>
      <c r="L572" s="232"/>
      <c r="M572" s="226">
        <v>0</v>
      </c>
      <c r="N572" s="226">
        <v>0</v>
      </c>
      <c r="O572" s="232">
        <v>10748</v>
      </c>
      <c r="P572" s="232">
        <v>10748</v>
      </c>
      <c r="Q572" s="232"/>
      <c r="R572" s="394">
        <v>20522</v>
      </c>
      <c r="S572" s="232">
        <v>-3616</v>
      </c>
      <c r="T572" s="398">
        <v>16906</v>
      </c>
      <c r="U572" s="232"/>
      <c r="V572" s="398"/>
      <c r="W572" s="398"/>
      <c r="X572" s="398">
        <v>121077</v>
      </c>
      <c r="Y572" s="398">
        <v>8648</v>
      </c>
    </row>
    <row r="573" spans="1:25">
      <c r="A573" s="392">
        <v>96201</v>
      </c>
      <c r="B573" s="393" t="s">
        <v>1273</v>
      </c>
      <c r="C573" s="235">
        <v>9.7280000000000001E-4</v>
      </c>
      <c r="D573" s="235">
        <v>1.0575000000000001E-3</v>
      </c>
      <c r="E573" s="232">
        <v>3476229</v>
      </c>
      <c r="F573" s="232" t="s">
        <v>1930</v>
      </c>
      <c r="G573" s="394">
        <v>438987</v>
      </c>
      <c r="H573" s="394">
        <v>489186</v>
      </c>
      <c r="I573" s="394">
        <v>258700</v>
      </c>
      <c r="J573" s="232">
        <v>0</v>
      </c>
      <c r="K573" s="232">
        <v>1186873</v>
      </c>
      <c r="L573" s="232"/>
      <c r="M573" s="226">
        <v>0</v>
      </c>
      <c r="N573" s="226">
        <v>0</v>
      </c>
      <c r="O573" s="232">
        <v>126544</v>
      </c>
      <c r="P573" s="232">
        <v>126544</v>
      </c>
      <c r="Q573" s="232"/>
      <c r="R573" s="394">
        <v>1195450</v>
      </c>
      <c r="S573" s="232">
        <v>-60397</v>
      </c>
      <c r="T573" s="398">
        <v>1135053</v>
      </c>
      <c r="U573" s="232"/>
      <c r="V573" s="398"/>
      <c r="W573" s="398"/>
      <c r="X573" s="398">
        <v>7052889</v>
      </c>
      <c r="Y573" s="398">
        <v>503772</v>
      </c>
    </row>
    <row r="574" spans="1:25">
      <c r="A574" s="392">
        <v>96204</v>
      </c>
      <c r="B574" s="393" t="s">
        <v>1274</v>
      </c>
      <c r="C574" s="235">
        <v>1.3699999999999999E-5</v>
      </c>
      <c r="D574" s="235">
        <v>1.42E-5</v>
      </c>
      <c r="E574" s="232">
        <v>48956</v>
      </c>
      <c r="F574" s="232" t="s">
        <v>1930</v>
      </c>
      <c r="G574" s="394">
        <v>6182</v>
      </c>
      <c r="H574" s="394">
        <v>6889</v>
      </c>
      <c r="I574" s="394">
        <v>3643</v>
      </c>
      <c r="J574" s="232">
        <v>5356</v>
      </c>
      <c r="K574" s="232">
        <v>22070</v>
      </c>
      <c r="L574" s="232"/>
      <c r="M574" s="226">
        <v>0</v>
      </c>
      <c r="N574" s="226">
        <v>0</v>
      </c>
      <c r="O574" s="232">
        <v>0</v>
      </c>
      <c r="P574" s="232">
        <v>0</v>
      </c>
      <c r="Q574" s="232"/>
      <c r="R574" s="394">
        <v>16836</v>
      </c>
      <c r="S574" s="232">
        <v>2358</v>
      </c>
      <c r="T574" s="398">
        <v>19194</v>
      </c>
      <c r="U574" s="232"/>
      <c r="V574" s="398"/>
      <c r="W574" s="398"/>
      <c r="X574" s="398">
        <v>99326</v>
      </c>
      <c r="Y574" s="398">
        <v>7095</v>
      </c>
    </row>
    <row r="575" spans="1:25">
      <c r="A575" s="392">
        <v>96211</v>
      </c>
      <c r="B575" s="393" t="s">
        <v>1275</v>
      </c>
      <c r="C575" s="235">
        <v>2.1999999999999999E-5</v>
      </c>
      <c r="D575" s="235">
        <v>2.4000000000000001E-5</v>
      </c>
      <c r="E575" s="232">
        <v>78615</v>
      </c>
      <c r="F575" s="232" t="s">
        <v>1930</v>
      </c>
      <c r="G575" s="394">
        <v>9928</v>
      </c>
      <c r="H575" s="394">
        <v>11063</v>
      </c>
      <c r="I575" s="394">
        <v>5851</v>
      </c>
      <c r="J575" s="232">
        <v>6335</v>
      </c>
      <c r="K575" s="232">
        <v>33177</v>
      </c>
      <c r="L575" s="232"/>
      <c r="M575" s="226">
        <v>0</v>
      </c>
      <c r="N575" s="226">
        <v>0</v>
      </c>
      <c r="O575" s="232">
        <v>0</v>
      </c>
      <c r="P575" s="232">
        <v>0</v>
      </c>
      <c r="Q575" s="232"/>
      <c r="R575" s="394">
        <v>27035</v>
      </c>
      <c r="S575" s="232">
        <v>3248</v>
      </c>
      <c r="T575" s="398">
        <v>30283</v>
      </c>
      <c r="U575" s="232"/>
      <c r="V575" s="398"/>
      <c r="W575" s="398"/>
      <c r="X575" s="398">
        <v>159502</v>
      </c>
      <c r="Y575" s="398">
        <v>11393</v>
      </c>
    </row>
    <row r="576" spans="1:25">
      <c r="A576" s="392">
        <v>96221</v>
      </c>
      <c r="B576" s="393" t="s">
        <v>1276</v>
      </c>
      <c r="C576" s="235">
        <v>1.964E-4</v>
      </c>
      <c r="D576" s="235">
        <v>2.141E-4</v>
      </c>
      <c r="E576" s="232">
        <v>701821</v>
      </c>
      <c r="F576" s="232" t="s">
        <v>1930</v>
      </c>
      <c r="G576" s="394">
        <v>88628</v>
      </c>
      <c r="H576" s="394">
        <v>98763</v>
      </c>
      <c r="I576" s="394">
        <v>52229</v>
      </c>
      <c r="J576" s="232">
        <v>0</v>
      </c>
      <c r="K576" s="232">
        <v>239620</v>
      </c>
      <c r="L576" s="232"/>
      <c r="M576" s="226">
        <v>0</v>
      </c>
      <c r="N576" s="226">
        <v>0</v>
      </c>
      <c r="O576" s="232">
        <v>36235</v>
      </c>
      <c r="P576" s="232">
        <v>36235</v>
      </c>
      <c r="Q576" s="232"/>
      <c r="R576" s="394">
        <v>241351</v>
      </c>
      <c r="S576" s="232">
        <v>-15373</v>
      </c>
      <c r="T576" s="398">
        <v>225978</v>
      </c>
      <c r="U576" s="232"/>
      <c r="V576" s="398"/>
      <c r="W576" s="398"/>
      <c r="X576" s="398">
        <v>1423918</v>
      </c>
      <c r="Y576" s="398">
        <v>101707</v>
      </c>
    </row>
    <row r="577" spans="1:25">
      <c r="A577" s="392">
        <v>96231</v>
      </c>
      <c r="B577" s="393" t="s">
        <v>1277</v>
      </c>
      <c r="C577" s="235">
        <v>1.058E-4</v>
      </c>
      <c r="D577" s="235">
        <v>1.2349999999999999E-4</v>
      </c>
      <c r="E577" s="232">
        <v>378068</v>
      </c>
      <c r="F577" s="232" t="s">
        <v>1930</v>
      </c>
      <c r="G577" s="394">
        <v>47743</v>
      </c>
      <c r="H577" s="394">
        <v>53203</v>
      </c>
      <c r="I577" s="394">
        <v>28136</v>
      </c>
      <c r="J577" s="232">
        <v>637</v>
      </c>
      <c r="K577" s="232">
        <v>129719</v>
      </c>
      <c r="L577" s="232"/>
      <c r="M577" s="226">
        <v>0</v>
      </c>
      <c r="N577" s="226">
        <v>0</v>
      </c>
      <c r="O577" s="232">
        <v>44833</v>
      </c>
      <c r="P577" s="232">
        <v>44833</v>
      </c>
      <c r="Q577" s="232"/>
      <c r="R577" s="394">
        <v>130015</v>
      </c>
      <c r="S577" s="232">
        <v>-17896</v>
      </c>
      <c r="T577" s="398">
        <v>112119</v>
      </c>
      <c r="U577" s="232"/>
      <c r="V577" s="398"/>
      <c r="W577" s="398"/>
      <c r="X577" s="398">
        <v>767060</v>
      </c>
      <c r="Y577" s="398">
        <v>54789</v>
      </c>
    </row>
    <row r="578" spans="1:25">
      <c r="A578" s="392">
        <v>96241</v>
      </c>
      <c r="B578" s="393" t="s">
        <v>1278</v>
      </c>
      <c r="C578" s="235">
        <v>5.9599999999999999E-5</v>
      </c>
      <c r="D578" s="235">
        <v>6.4499999999999996E-5</v>
      </c>
      <c r="E578" s="232">
        <v>212976</v>
      </c>
      <c r="F578" s="232" t="s">
        <v>1930</v>
      </c>
      <c r="G578" s="394">
        <v>26895</v>
      </c>
      <c r="H578" s="394">
        <v>29971</v>
      </c>
      <c r="I578" s="394">
        <v>15850</v>
      </c>
      <c r="J578" s="232">
        <v>4811</v>
      </c>
      <c r="K578" s="232">
        <v>77527</v>
      </c>
      <c r="L578" s="232"/>
      <c r="M578" s="226">
        <v>0</v>
      </c>
      <c r="N578" s="226">
        <v>0</v>
      </c>
      <c r="O578" s="232">
        <v>11800</v>
      </c>
      <c r="P578" s="232">
        <v>11800</v>
      </c>
      <c r="Q578" s="232"/>
      <c r="R578" s="394">
        <v>73241</v>
      </c>
      <c r="S578" s="232">
        <v>-3145</v>
      </c>
      <c r="T578" s="398">
        <v>70096</v>
      </c>
      <c r="U578" s="232"/>
      <c r="V578" s="398"/>
      <c r="W578" s="398"/>
      <c r="X578" s="398">
        <v>432105</v>
      </c>
      <c r="Y578" s="398">
        <v>30864</v>
      </c>
    </row>
    <row r="579" spans="1:25">
      <c r="A579" s="392">
        <v>96251</v>
      </c>
      <c r="B579" s="393" t="s">
        <v>1279</v>
      </c>
      <c r="C579" s="235">
        <v>8.8399999999999994E-5</v>
      </c>
      <c r="D579" s="235">
        <v>1.004E-4</v>
      </c>
      <c r="E579" s="232">
        <v>315891</v>
      </c>
      <c r="F579" s="232" t="s">
        <v>1930</v>
      </c>
      <c r="G579" s="394">
        <v>39891</v>
      </c>
      <c r="H579" s="394">
        <v>44453</v>
      </c>
      <c r="I579" s="394">
        <v>23508</v>
      </c>
      <c r="J579" s="232">
        <v>1551</v>
      </c>
      <c r="K579" s="232">
        <v>109403</v>
      </c>
      <c r="L579" s="232"/>
      <c r="M579" s="226">
        <v>0</v>
      </c>
      <c r="N579" s="226">
        <v>0</v>
      </c>
      <c r="O579" s="232">
        <v>30061</v>
      </c>
      <c r="P579" s="232">
        <v>30061</v>
      </c>
      <c r="Q579" s="232"/>
      <c r="R579" s="394">
        <v>108633</v>
      </c>
      <c r="S579" s="232">
        <v>-10702</v>
      </c>
      <c r="T579" s="398">
        <v>97931</v>
      </c>
      <c r="U579" s="232"/>
      <c r="V579" s="398"/>
      <c r="W579" s="398"/>
      <c r="X579" s="398">
        <v>640908</v>
      </c>
      <c r="Y579" s="398">
        <v>45779</v>
      </c>
    </row>
    <row r="580" spans="1:25">
      <c r="A580" s="392">
        <v>96301</v>
      </c>
      <c r="B580" s="393" t="s">
        <v>1280</v>
      </c>
      <c r="C580" s="235">
        <v>4.7971999999999997E-3</v>
      </c>
      <c r="D580" s="235">
        <v>4.6904E-3</v>
      </c>
      <c r="E580" s="232">
        <v>17142439</v>
      </c>
      <c r="F580" s="232" t="s">
        <v>1930</v>
      </c>
      <c r="G580" s="394">
        <v>2164789</v>
      </c>
      <c r="H580" s="394">
        <v>2412339</v>
      </c>
      <c r="I580" s="394">
        <v>1275734</v>
      </c>
      <c r="J580" s="232">
        <v>222100</v>
      </c>
      <c r="K580" s="232">
        <v>6074962</v>
      </c>
      <c r="L580" s="232"/>
      <c r="M580" s="226">
        <v>0</v>
      </c>
      <c r="N580" s="226">
        <v>0</v>
      </c>
      <c r="O580" s="232">
        <v>28837</v>
      </c>
      <c r="P580" s="232">
        <v>28837</v>
      </c>
      <c r="Q580" s="232"/>
      <c r="R580" s="394">
        <v>5895159</v>
      </c>
      <c r="S580" s="232">
        <v>26848</v>
      </c>
      <c r="T580" s="398">
        <v>5922007</v>
      </c>
      <c r="U580" s="232"/>
      <c r="V580" s="398"/>
      <c r="W580" s="398"/>
      <c r="X580" s="398">
        <v>34780141</v>
      </c>
      <c r="Y580" s="398">
        <v>2484268</v>
      </c>
    </row>
    <row r="581" spans="1:25">
      <c r="A581" s="392">
        <v>96302</v>
      </c>
      <c r="B581" s="393" t="s">
        <v>1281</v>
      </c>
      <c r="C581" s="235">
        <v>5.2200000000000002E-5</v>
      </c>
      <c r="D581" s="235">
        <v>2.3600000000000001E-5</v>
      </c>
      <c r="E581" s="232">
        <v>186533</v>
      </c>
      <c r="F581" s="232" t="s">
        <v>1930</v>
      </c>
      <c r="G581" s="394">
        <v>23556</v>
      </c>
      <c r="H581" s="394">
        <v>26249</v>
      </c>
      <c r="I581" s="394">
        <v>13882</v>
      </c>
      <c r="J581" s="232">
        <v>29665</v>
      </c>
      <c r="K581" s="232">
        <v>93352</v>
      </c>
      <c r="L581" s="232"/>
      <c r="M581" s="226">
        <v>0</v>
      </c>
      <c r="N581" s="226">
        <v>0</v>
      </c>
      <c r="O581" s="232">
        <v>374</v>
      </c>
      <c r="P581" s="232">
        <v>374</v>
      </c>
      <c r="Q581" s="232"/>
      <c r="R581" s="394">
        <v>64147</v>
      </c>
      <c r="S581" s="232">
        <v>10826</v>
      </c>
      <c r="T581" s="398">
        <v>74973</v>
      </c>
      <c r="U581" s="232"/>
      <c r="V581" s="398"/>
      <c r="W581" s="398"/>
      <c r="X581" s="398">
        <v>378455</v>
      </c>
      <c r="Y581" s="398">
        <v>27032</v>
      </c>
    </row>
    <row r="582" spans="1:25">
      <c r="A582" s="392">
        <v>96304</v>
      </c>
      <c r="B582" s="393" t="s">
        <v>1282</v>
      </c>
      <c r="C582" s="235">
        <v>4.6400000000000003E-5</v>
      </c>
      <c r="D582" s="235">
        <v>4.3900000000000003E-5</v>
      </c>
      <c r="E582" s="232">
        <v>165807</v>
      </c>
      <c r="F582" s="232" t="s">
        <v>1930</v>
      </c>
      <c r="G582" s="394">
        <v>20939</v>
      </c>
      <c r="H582" s="394">
        <v>23333</v>
      </c>
      <c r="I582" s="394">
        <v>12339</v>
      </c>
      <c r="J582" s="232">
        <v>12168</v>
      </c>
      <c r="K582" s="232">
        <v>68779</v>
      </c>
      <c r="L582" s="232"/>
      <c r="M582" s="226">
        <v>0</v>
      </c>
      <c r="N582" s="226">
        <v>0</v>
      </c>
      <c r="O582" s="232">
        <v>245</v>
      </c>
      <c r="P582" s="232">
        <v>245</v>
      </c>
      <c r="Q582" s="232"/>
      <c r="R582" s="394">
        <v>57020</v>
      </c>
      <c r="S582" s="232">
        <v>5155</v>
      </c>
      <c r="T582" s="398">
        <v>62175</v>
      </c>
      <c r="U582" s="232"/>
      <c r="V582" s="398"/>
      <c r="W582" s="398"/>
      <c r="X582" s="398">
        <v>336404</v>
      </c>
      <c r="Y582" s="398">
        <v>24029</v>
      </c>
    </row>
    <row r="583" spans="1:25">
      <c r="A583" s="392">
        <v>96305</v>
      </c>
      <c r="B583" s="393" t="s">
        <v>1283</v>
      </c>
      <c r="C583" s="235">
        <v>4.2799999999999997E-5</v>
      </c>
      <c r="D583" s="235">
        <v>4.1199999999999999E-5</v>
      </c>
      <c r="E583" s="232">
        <v>152943</v>
      </c>
      <c r="F583" s="232" t="s">
        <v>1930</v>
      </c>
      <c r="G583" s="394">
        <v>19314</v>
      </c>
      <c r="H583" s="394">
        <v>21523</v>
      </c>
      <c r="I583" s="394">
        <v>11382</v>
      </c>
      <c r="J583" s="232">
        <v>20920</v>
      </c>
      <c r="K583" s="232">
        <v>73139</v>
      </c>
      <c r="L583" s="232"/>
      <c r="M583" s="226">
        <v>0</v>
      </c>
      <c r="N583" s="226">
        <v>0</v>
      </c>
      <c r="O583" s="232">
        <v>0</v>
      </c>
      <c r="P583" s="232">
        <v>0</v>
      </c>
      <c r="Q583" s="232"/>
      <c r="R583" s="394">
        <v>52596</v>
      </c>
      <c r="S583" s="232">
        <v>9846</v>
      </c>
      <c r="T583" s="398">
        <v>62442</v>
      </c>
      <c r="U583" s="232"/>
      <c r="V583" s="398"/>
      <c r="W583" s="398"/>
      <c r="X583" s="398">
        <v>310304</v>
      </c>
      <c r="Y583" s="398">
        <v>22164</v>
      </c>
    </row>
    <row r="584" spans="1:25">
      <c r="A584" s="392">
        <v>96310</v>
      </c>
      <c r="B584" s="393" t="s">
        <v>1284</v>
      </c>
      <c r="C584" s="235">
        <v>4.5300000000000003E-5</v>
      </c>
      <c r="D584" s="235">
        <v>4.49E-5</v>
      </c>
      <c r="E584" s="232">
        <v>161876</v>
      </c>
      <c r="F584" s="232" t="s">
        <v>1930</v>
      </c>
      <c r="G584" s="394">
        <v>20442</v>
      </c>
      <c r="H584" s="394">
        <v>22779</v>
      </c>
      <c r="I584" s="394">
        <v>12047</v>
      </c>
      <c r="J584" s="232">
        <v>9096</v>
      </c>
      <c r="K584" s="232">
        <v>64364</v>
      </c>
      <c r="L584" s="232"/>
      <c r="M584" s="226">
        <v>0</v>
      </c>
      <c r="N584" s="226">
        <v>0</v>
      </c>
      <c r="O584" s="232">
        <v>2457</v>
      </c>
      <c r="P584" s="232">
        <v>2457</v>
      </c>
      <c r="Q584" s="232"/>
      <c r="R584" s="394">
        <v>55668</v>
      </c>
      <c r="S584" s="232">
        <v>2168</v>
      </c>
      <c r="T584" s="398">
        <v>57836</v>
      </c>
      <c r="U584" s="232"/>
      <c r="V584" s="398"/>
      <c r="W584" s="398"/>
      <c r="X584" s="398">
        <v>328429</v>
      </c>
      <c r="Y584" s="398">
        <v>23459</v>
      </c>
    </row>
    <row r="585" spans="1:25">
      <c r="A585" s="392">
        <v>96311</v>
      </c>
      <c r="B585" s="393" t="s">
        <v>1285</v>
      </c>
      <c r="C585" s="235">
        <v>1.3810000000000001E-3</v>
      </c>
      <c r="D585" s="235">
        <v>1.3112E-3</v>
      </c>
      <c r="E585" s="232">
        <v>4934901</v>
      </c>
      <c r="F585" s="232" t="s">
        <v>1930</v>
      </c>
      <c r="G585" s="394">
        <v>623191</v>
      </c>
      <c r="H585" s="394">
        <v>694455</v>
      </c>
      <c r="I585" s="394">
        <v>367253</v>
      </c>
      <c r="J585" s="232">
        <v>67931</v>
      </c>
      <c r="K585" s="232">
        <v>1752830</v>
      </c>
      <c r="L585" s="232"/>
      <c r="M585" s="226">
        <v>0</v>
      </c>
      <c r="N585" s="226">
        <v>0</v>
      </c>
      <c r="O585" s="232">
        <v>58082</v>
      </c>
      <c r="P585" s="232">
        <v>58082</v>
      </c>
      <c r="Q585" s="232"/>
      <c r="R585" s="394">
        <v>1697076</v>
      </c>
      <c r="S585" s="232">
        <v>-25470</v>
      </c>
      <c r="T585" s="398">
        <v>1671606</v>
      </c>
      <c r="U585" s="232"/>
      <c r="V585" s="398"/>
      <c r="W585" s="398"/>
      <c r="X585" s="398">
        <v>10012377</v>
      </c>
      <c r="Y585" s="398">
        <v>715162</v>
      </c>
    </row>
    <row r="586" spans="1:25">
      <c r="A586" s="392">
        <v>96312</v>
      </c>
      <c r="B586" s="393" t="s">
        <v>1286</v>
      </c>
      <c r="C586" s="235">
        <v>1.7799999999999999E-5</v>
      </c>
      <c r="D586" s="235">
        <v>5.8000000000000004E-6</v>
      </c>
      <c r="E586" s="232">
        <v>63607</v>
      </c>
      <c r="F586" s="232" t="s">
        <v>1930</v>
      </c>
      <c r="G586" s="394">
        <v>8032</v>
      </c>
      <c r="H586" s="394">
        <v>8951</v>
      </c>
      <c r="I586" s="394">
        <v>4734</v>
      </c>
      <c r="J586" s="232">
        <v>13704</v>
      </c>
      <c r="K586" s="232">
        <v>35421</v>
      </c>
      <c r="L586" s="232"/>
      <c r="M586" s="226">
        <v>0</v>
      </c>
      <c r="N586" s="226">
        <v>0</v>
      </c>
      <c r="O586" s="232">
        <v>3350</v>
      </c>
      <c r="P586" s="232">
        <v>3350</v>
      </c>
      <c r="Q586" s="232"/>
      <c r="R586" s="394">
        <v>21874</v>
      </c>
      <c r="S586" s="232">
        <v>4019</v>
      </c>
      <c r="T586" s="398">
        <v>25893</v>
      </c>
      <c r="U586" s="232"/>
      <c r="V586" s="398"/>
      <c r="W586" s="398"/>
      <c r="X586" s="398">
        <v>129052</v>
      </c>
      <c r="Y586" s="398">
        <v>9218</v>
      </c>
    </row>
    <row r="587" spans="1:25">
      <c r="A587" s="392">
        <v>96318</v>
      </c>
      <c r="B587" s="393" t="s">
        <v>1287</v>
      </c>
      <c r="C587" s="235">
        <v>2.3511999999999999E-3</v>
      </c>
      <c r="D587" s="235">
        <v>2.2319000000000002E-3</v>
      </c>
      <c r="E587" s="232">
        <v>8401839</v>
      </c>
      <c r="F587" s="232" t="s">
        <v>1930</v>
      </c>
      <c r="G587" s="394">
        <v>1061005</v>
      </c>
      <c r="H587" s="394">
        <v>1182334</v>
      </c>
      <c r="I587" s="394">
        <v>625262</v>
      </c>
      <c r="J587" s="232">
        <v>476952</v>
      </c>
      <c r="K587" s="232">
        <v>3345553</v>
      </c>
      <c r="L587" s="232"/>
      <c r="M587" s="226">
        <v>0</v>
      </c>
      <c r="N587" s="226">
        <v>0</v>
      </c>
      <c r="O587" s="232">
        <v>0</v>
      </c>
      <c r="P587" s="232">
        <v>0</v>
      </c>
      <c r="Q587" s="232"/>
      <c r="R587" s="394">
        <v>2889331</v>
      </c>
      <c r="S587" s="232">
        <v>2444445</v>
      </c>
      <c r="T587" s="398">
        <v>5333776</v>
      </c>
      <c r="U587" s="232"/>
      <c r="V587" s="398"/>
      <c r="W587" s="398"/>
      <c r="X587" s="398">
        <v>17046416</v>
      </c>
      <c r="Y587" s="398">
        <v>1217588</v>
      </c>
    </row>
    <row r="588" spans="1:25">
      <c r="A588" s="392">
        <v>96321</v>
      </c>
      <c r="B588" s="393" t="s">
        <v>1288</v>
      </c>
      <c r="C588" s="235">
        <v>5.0000000000000002E-5</v>
      </c>
      <c r="D588" s="235">
        <v>3.65E-5</v>
      </c>
      <c r="E588" s="232">
        <v>178671</v>
      </c>
      <c r="F588" s="232" t="s">
        <v>1930</v>
      </c>
      <c r="G588" s="394">
        <v>22563</v>
      </c>
      <c r="H588" s="394">
        <v>25143</v>
      </c>
      <c r="I588" s="394">
        <v>13297</v>
      </c>
      <c r="J588" s="232">
        <v>13577</v>
      </c>
      <c r="K588" s="232">
        <v>74580</v>
      </c>
      <c r="L588" s="232"/>
      <c r="M588" s="226">
        <v>0</v>
      </c>
      <c r="N588" s="226">
        <v>0</v>
      </c>
      <c r="O588" s="232">
        <v>0</v>
      </c>
      <c r="P588" s="232">
        <v>0</v>
      </c>
      <c r="Q588" s="232"/>
      <c r="R588" s="394">
        <v>61444</v>
      </c>
      <c r="S588" s="232">
        <v>4148</v>
      </c>
      <c r="T588" s="398">
        <v>65592</v>
      </c>
      <c r="U588" s="232"/>
      <c r="V588" s="398"/>
      <c r="W588" s="398"/>
      <c r="X588" s="398">
        <v>362505</v>
      </c>
      <c r="Y588" s="398">
        <v>25893</v>
      </c>
    </row>
    <row r="589" spans="1:25">
      <c r="A589" s="392">
        <v>96331</v>
      </c>
      <c r="B589" s="393" t="s">
        <v>1289</v>
      </c>
      <c r="C589" s="235">
        <v>6.9510000000000004E-4</v>
      </c>
      <c r="D589" s="235">
        <v>7.4430000000000004E-4</v>
      </c>
      <c r="E589" s="232">
        <v>2483888</v>
      </c>
      <c r="F589" s="232" t="s">
        <v>1930</v>
      </c>
      <c r="G589" s="394">
        <v>313672</v>
      </c>
      <c r="H589" s="394">
        <v>349541</v>
      </c>
      <c r="I589" s="394">
        <v>184850</v>
      </c>
      <c r="J589" s="232">
        <v>0</v>
      </c>
      <c r="K589" s="232">
        <v>848063</v>
      </c>
      <c r="L589" s="232"/>
      <c r="M589" s="226">
        <v>0</v>
      </c>
      <c r="N589" s="226">
        <v>0</v>
      </c>
      <c r="O589" s="232">
        <v>111531</v>
      </c>
      <c r="P589" s="232">
        <v>111531</v>
      </c>
      <c r="Q589" s="232"/>
      <c r="R589" s="394">
        <v>854191</v>
      </c>
      <c r="S589" s="232">
        <v>-52397</v>
      </c>
      <c r="T589" s="398">
        <v>801794</v>
      </c>
      <c r="U589" s="232"/>
      <c r="V589" s="398"/>
      <c r="W589" s="398"/>
      <c r="X589" s="398">
        <v>5039539</v>
      </c>
      <c r="Y589" s="398">
        <v>359963</v>
      </c>
    </row>
    <row r="590" spans="1:25">
      <c r="A590" s="392">
        <v>96341</v>
      </c>
      <c r="B590" s="393" t="s">
        <v>1290</v>
      </c>
      <c r="C590" s="235">
        <v>5.9599999999999999E-5</v>
      </c>
      <c r="D590" s="235">
        <v>7.8200000000000003E-5</v>
      </c>
      <c r="E590" s="232">
        <v>212976</v>
      </c>
      <c r="F590" s="232" t="s">
        <v>1930</v>
      </c>
      <c r="G590" s="394">
        <v>26895</v>
      </c>
      <c r="H590" s="394">
        <v>29971</v>
      </c>
      <c r="I590" s="394">
        <v>15850</v>
      </c>
      <c r="J590" s="232">
        <v>1588</v>
      </c>
      <c r="K590" s="232">
        <v>74304</v>
      </c>
      <c r="L590" s="232"/>
      <c r="M590" s="226">
        <v>0</v>
      </c>
      <c r="N590" s="226">
        <v>0</v>
      </c>
      <c r="O590" s="232">
        <v>31180</v>
      </c>
      <c r="P590" s="232">
        <v>31180</v>
      </c>
      <c r="Q590" s="232"/>
      <c r="R590" s="394">
        <v>73241</v>
      </c>
      <c r="S590" s="232">
        <v>-10551</v>
      </c>
      <c r="T590" s="398">
        <v>62690</v>
      </c>
      <c r="U590" s="232"/>
      <c r="V590" s="398"/>
      <c r="W590" s="398"/>
      <c r="X590" s="398">
        <v>432105</v>
      </c>
      <c r="Y590" s="398">
        <v>30864</v>
      </c>
    </row>
    <row r="591" spans="1:25">
      <c r="A591" s="392">
        <v>96351</v>
      </c>
      <c r="B591" s="393" t="s">
        <v>1291</v>
      </c>
      <c r="C591" s="235">
        <v>1.0456E-3</v>
      </c>
      <c r="D591" s="235">
        <v>1.0093000000000001E-3</v>
      </c>
      <c r="E591" s="232">
        <v>3736374</v>
      </c>
      <c r="F591" s="232" t="s">
        <v>1930</v>
      </c>
      <c r="G591" s="394">
        <v>471839</v>
      </c>
      <c r="H591" s="394">
        <v>525794</v>
      </c>
      <c r="I591" s="394">
        <v>278060</v>
      </c>
      <c r="J591" s="232">
        <v>48896</v>
      </c>
      <c r="K591" s="232">
        <v>1324589</v>
      </c>
      <c r="L591" s="232"/>
      <c r="M591" s="226">
        <v>0</v>
      </c>
      <c r="N591" s="226">
        <v>0</v>
      </c>
      <c r="O591" s="232">
        <v>27389</v>
      </c>
      <c r="P591" s="232">
        <v>27389</v>
      </c>
      <c r="Q591" s="232"/>
      <c r="R591" s="394">
        <v>1284912</v>
      </c>
      <c r="S591" s="232">
        <v>-1766</v>
      </c>
      <c r="T591" s="398">
        <v>1283146</v>
      </c>
      <c r="U591" s="232"/>
      <c r="V591" s="398"/>
      <c r="W591" s="398"/>
      <c r="X591" s="398">
        <v>7580696</v>
      </c>
      <c r="Y591" s="398">
        <v>541472</v>
      </c>
    </row>
    <row r="592" spans="1:25">
      <c r="A592" s="392">
        <v>96361</v>
      </c>
      <c r="B592" s="393" t="s">
        <v>1292</v>
      </c>
      <c r="C592" s="235">
        <v>4.7299999999999998E-5</v>
      </c>
      <c r="D592" s="235">
        <v>4.1100000000000003E-5</v>
      </c>
      <c r="E592" s="232">
        <v>169023</v>
      </c>
      <c r="F592" s="232" t="s">
        <v>1930</v>
      </c>
      <c r="G592" s="394">
        <v>21345</v>
      </c>
      <c r="H592" s="394">
        <v>23785</v>
      </c>
      <c r="I592" s="394">
        <v>12579</v>
      </c>
      <c r="J592" s="232">
        <v>8705</v>
      </c>
      <c r="K592" s="232">
        <v>66414</v>
      </c>
      <c r="L592" s="232"/>
      <c r="M592" s="226">
        <v>0</v>
      </c>
      <c r="N592" s="226">
        <v>0</v>
      </c>
      <c r="O592" s="232">
        <v>5604</v>
      </c>
      <c r="P592" s="232">
        <v>5604</v>
      </c>
      <c r="Q592" s="232"/>
      <c r="R592" s="394">
        <v>58126</v>
      </c>
      <c r="S592" s="232">
        <v>974</v>
      </c>
      <c r="T592" s="398">
        <v>59100</v>
      </c>
      <c r="U592" s="232"/>
      <c r="V592" s="398"/>
      <c r="W592" s="398"/>
      <c r="X592" s="398">
        <v>342929</v>
      </c>
      <c r="Y592" s="398">
        <v>24495</v>
      </c>
    </row>
    <row r="593" spans="1:25">
      <c r="A593" s="392">
        <v>96371</v>
      </c>
      <c r="B593" s="393" t="s">
        <v>1293</v>
      </c>
      <c r="C593" s="235">
        <v>1.5330000000000001E-4</v>
      </c>
      <c r="D593" s="235">
        <v>1.5100000000000001E-4</v>
      </c>
      <c r="E593" s="232">
        <v>547806</v>
      </c>
      <c r="F593" s="232" t="s">
        <v>1930</v>
      </c>
      <c r="G593" s="394">
        <v>69178</v>
      </c>
      <c r="H593" s="394">
        <v>77089</v>
      </c>
      <c r="I593" s="394">
        <v>40768</v>
      </c>
      <c r="J593" s="232">
        <v>11551</v>
      </c>
      <c r="K593" s="232">
        <v>198586</v>
      </c>
      <c r="L593" s="232"/>
      <c r="M593" s="226">
        <v>0</v>
      </c>
      <c r="N593" s="226">
        <v>0</v>
      </c>
      <c r="O593" s="232">
        <v>5214</v>
      </c>
      <c r="P593" s="232">
        <v>5214</v>
      </c>
      <c r="Q593" s="232"/>
      <c r="R593" s="394">
        <v>188387</v>
      </c>
      <c r="S593" s="232">
        <v>-1213</v>
      </c>
      <c r="T593" s="398">
        <v>187174</v>
      </c>
      <c r="U593" s="232"/>
      <c r="V593" s="398"/>
      <c r="W593" s="398"/>
      <c r="X593" s="398">
        <v>1111439</v>
      </c>
      <c r="Y593" s="398">
        <v>79388</v>
      </c>
    </row>
    <row r="594" spans="1:25">
      <c r="A594" s="392">
        <v>96381</v>
      </c>
      <c r="B594" s="393" t="s">
        <v>1294</v>
      </c>
      <c r="C594" s="235">
        <v>3.0700000000000001E-5</v>
      </c>
      <c r="D594" s="235">
        <v>3.2799999999999998E-5</v>
      </c>
      <c r="E594" s="232">
        <v>109704</v>
      </c>
      <c r="F594" s="232" t="s">
        <v>1930</v>
      </c>
      <c r="G594" s="394">
        <v>13854</v>
      </c>
      <c r="H594" s="394">
        <v>15438</v>
      </c>
      <c r="I594" s="394">
        <v>8164</v>
      </c>
      <c r="J594" s="232">
        <v>812</v>
      </c>
      <c r="K594" s="232">
        <v>38268</v>
      </c>
      <c r="L594" s="232"/>
      <c r="M594" s="226">
        <v>0</v>
      </c>
      <c r="N594" s="226">
        <v>0</v>
      </c>
      <c r="O594" s="232">
        <v>3068</v>
      </c>
      <c r="P594" s="232">
        <v>3068</v>
      </c>
      <c r="Q594" s="232"/>
      <c r="R594" s="394">
        <v>37726</v>
      </c>
      <c r="S594" s="232">
        <v>-575</v>
      </c>
      <c r="T594" s="398">
        <v>37151</v>
      </c>
      <c r="U594" s="232"/>
      <c r="V594" s="398"/>
      <c r="W594" s="398"/>
      <c r="X594" s="398">
        <v>222578</v>
      </c>
      <c r="Y594" s="398">
        <v>15898</v>
      </c>
    </row>
    <row r="595" spans="1:25">
      <c r="A595" s="392">
        <v>96391</v>
      </c>
      <c r="B595" s="393" t="s">
        <v>1295</v>
      </c>
      <c r="C595" s="235">
        <v>2.14E-4</v>
      </c>
      <c r="D595" s="235">
        <v>2.0560000000000001E-4</v>
      </c>
      <c r="E595" s="232">
        <v>764713</v>
      </c>
      <c r="F595" s="232" t="s">
        <v>1930</v>
      </c>
      <c r="G595" s="394">
        <v>96570</v>
      </c>
      <c r="H595" s="394">
        <v>107613</v>
      </c>
      <c r="I595" s="394">
        <v>56910</v>
      </c>
      <c r="J595" s="232">
        <v>0</v>
      </c>
      <c r="K595" s="232">
        <v>261093</v>
      </c>
      <c r="L595" s="232"/>
      <c r="M595" s="226">
        <v>0</v>
      </c>
      <c r="N595" s="226">
        <v>0</v>
      </c>
      <c r="O595" s="232">
        <v>34147</v>
      </c>
      <c r="P595" s="232">
        <v>34147</v>
      </c>
      <c r="Q595" s="232"/>
      <c r="R595" s="394">
        <v>262979</v>
      </c>
      <c r="S595" s="232">
        <v>-15369</v>
      </c>
      <c r="T595" s="398">
        <v>247610</v>
      </c>
      <c r="U595" s="232"/>
      <c r="V595" s="398"/>
      <c r="W595" s="398"/>
      <c r="X595" s="398">
        <v>1551520</v>
      </c>
      <c r="Y595" s="398">
        <v>110822</v>
      </c>
    </row>
    <row r="596" spans="1:25">
      <c r="A596" s="392">
        <v>96401</v>
      </c>
      <c r="B596" s="393" t="s">
        <v>1296</v>
      </c>
      <c r="C596" s="235">
        <v>4.3227999999999999E-3</v>
      </c>
      <c r="D596" s="235">
        <v>4.3956000000000004E-3</v>
      </c>
      <c r="E596" s="232">
        <v>15447206</v>
      </c>
      <c r="F596" s="232" t="s">
        <v>1930</v>
      </c>
      <c r="G596" s="394">
        <v>1950711</v>
      </c>
      <c r="H596" s="394">
        <v>2173780</v>
      </c>
      <c r="I596" s="394">
        <v>1149575</v>
      </c>
      <c r="J596" s="232">
        <v>0</v>
      </c>
      <c r="K596" s="232">
        <v>5274066</v>
      </c>
      <c r="L596" s="232"/>
      <c r="M596" s="226">
        <v>0</v>
      </c>
      <c r="N596" s="226">
        <v>0</v>
      </c>
      <c r="O596" s="232">
        <v>143857</v>
      </c>
      <c r="P596" s="232">
        <v>143857</v>
      </c>
      <c r="Q596" s="232"/>
      <c r="R596" s="394">
        <v>5312181</v>
      </c>
      <c r="S596" s="232">
        <v>-70355</v>
      </c>
      <c r="T596" s="398">
        <v>5241826</v>
      </c>
      <c r="U596" s="232"/>
      <c r="V596" s="398"/>
      <c r="W596" s="398"/>
      <c r="X596" s="398">
        <v>31340698</v>
      </c>
      <c r="Y596" s="398">
        <v>2238597</v>
      </c>
    </row>
    <row r="597" spans="1:25">
      <c r="A597" s="392">
        <v>96404</v>
      </c>
      <c r="B597" s="393" t="s">
        <v>1297</v>
      </c>
      <c r="C597" s="235">
        <v>9.4300000000000002E-5</v>
      </c>
      <c r="D597" s="235">
        <v>9.8300000000000004E-5</v>
      </c>
      <c r="E597" s="232">
        <v>336974</v>
      </c>
      <c r="F597" s="232" t="s">
        <v>1930</v>
      </c>
      <c r="G597" s="394">
        <v>42554</v>
      </c>
      <c r="H597" s="394">
        <v>47420</v>
      </c>
      <c r="I597" s="394">
        <v>25077</v>
      </c>
      <c r="J597" s="232">
        <v>25405</v>
      </c>
      <c r="K597" s="232">
        <v>140456</v>
      </c>
      <c r="L597" s="232"/>
      <c r="M597" s="226">
        <v>0</v>
      </c>
      <c r="N597" s="226">
        <v>0</v>
      </c>
      <c r="O597" s="232">
        <v>0</v>
      </c>
      <c r="P597" s="232">
        <v>0</v>
      </c>
      <c r="Q597" s="232"/>
      <c r="R597" s="394">
        <v>115883</v>
      </c>
      <c r="S597" s="232">
        <v>13795</v>
      </c>
      <c r="T597" s="398">
        <v>129678</v>
      </c>
      <c r="U597" s="232"/>
      <c r="V597" s="398"/>
      <c r="W597" s="398"/>
      <c r="X597" s="398">
        <v>683684</v>
      </c>
      <c r="Y597" s="398">
        <v>48834</v>
      </c>
    </row>
    <row r="598" spans="1:25">
      <c r="A598" s="392">
        <v>96405</v>
      </c>
      <c r="B598" s="393" t="s">
        <v>1298</v>
      </c>
      <c r="C598" s="235">
        <v>1.2889999999999999E-4</v>
      </c>
      <c r="D598" s="235">
        <v>1.4569999999999999E-4</v>
      </c>
      <c r="E598" s="232">
        <v>460615</v>
      </c>
      <c r="F598" s="232" t="s">
        <v>1930</v>
      </c>
      <c r="G598" s="394">
        <v>58168</v>
      </c>
      <c r="H598" s="394">
        <v>64819</v>
      </c>
      <c r="I598" s="394">
        <v>34279</v>
      </c>
      <c r="J598" s="232">
        <v>18976</v>
      </c>
      <c r="K598" s="232">
        <v>176242</v>
      </c>
      <c r="L598" s="232"/>
      <c r="M598" s="226">
        <v>0</v>
      </c>
      <c r="N598" s="226">
        <v>0</v>
      </c>
      <c r="O598" s="232">
        <v>15075</v>
      </c>
      <c r="P598" s="232">
        <v>15075</v>
      </c>
      <c r="Q598" s="232"/>
      <c r="R598" s="394">
        <v>158402</v>
      </c>
      <c r="S598" s="232">
        <v>959</v>
      </c>
      <c r="T598" s="398">
        <v>159361</v>
      </c>
      <c r="U598" s="232"/>
      <c r="V598" s="398"/>
      <c r="W598" s="398"/>
      <c r="X598" s="398">
        <v>934537</v>
      </c>
      <c r="Y598" s="398">
        <v>66752</v>
      </c>
    </row>
    <row r="599" spans="1:25">
      <c r="A599" s="392">
        <v>96411</v>
      </c>
      <c r="B599" s="393" t="s">
        <v>1299</v>
      </c>
      <c r="C599" s="235">
        <v>6.8200000000000004E-5</v>
      </c>
      <c r="D599" s="235">
        <v>7.0900000000000002E-5</v>
      </c>
      <c r="E599" s="232">
        <v>243708</v>
      </c>
      <c r="F599" s="232" t="s">
        <v>1930</v>
      </c>
      <c r="G599" s="394">
        <v>30776</v>
      </c>
      <c r="H599" s="394">
        <v>34296</v>
      </c>
      <c r="I599" s="394">
        <v>18137</v>
      </c>
      <c r="J599" s="232">
        <v>1750</v>
      </c>
      <c r="K599" s="232">
        <v>84959</v>
      </c>
      <c r="L599" s="232"/>
      <c r="M599" s="226">
        <v>0</v>
      </c>
      <c r="N599" s="226">
        <v>0</v>
      </c>
      <c r="O599" s="232">
        <v>11309</v>
      </c>
      <c r="P599" s="232">
        <v>11309</v>
      </c>
      <c r="Q599" s="232"/>
      <c r="R599" s="394">
        <v>83809</v>
      </c>
      <c r="S599" s="232">
        <v>-3213</v>
      </c>
      <c r="T599" s="398">
        <v>80596</v>
      </c>
      <c r="U599" s="232"/>
      <c r="V599" s="398"/>
      <c r="W599" s="398"/>
      <c r="X599" s="398">
        <v>494456</v>
      </c>
      <c r="Y599" s="398">
        <v>35318</v>
      </c>
    </row>
    <row r="600" spans="1:25">
      <c r="A600" s="392">
        <v>96421</v>
      </c>
      <c r="B600" s="393" t="s">
        <v>1300</v>
      </c>
      <c r="C600" s="235">
        <v>4.2299999999999998E-4</v>
      </c>
      <c r="D600" s="235">
        <v>3.8010000000000002E-4</v>
      </c>
      <c r="E600" s="232">
        <v>1511559</v>
      </c>
      <c r="F600" s="232" t="s">
        <v>1930</v>
      </c>
      <c r="G600" s="394">
        <v>190883</v>
      </c>
      <c r="H600" s="394">
        <v>212711</v>
      </c>
      <c r="I600" s="394">
        <v>112490</v>
      </c>
      <c r="J600" s="232">
        <v>18256</v>
      </c>
      <c r="K600" s="232">
        <v>534340</v>
      </c>
      <c r="L600" s="232"/>
      <c r="M600" s="226">
        <v>0</v>
      </c>
      <c r="N600" s="226">
        <v>0</v>
      </c>
      <c r="O600" s="232">
        <v>57079</v>
      </c>
      <c r="P600" s="232">
        <v>57079</v>
      </c>
      <c r="Q600" s="232"/>
      <c r="R600" s="394">
        <v>519814</v>
      </c>
      <c r="S600" s="232">
        <v>-26574</v>
      </c>
      <c r="T600" s="398">
        <v>493240</v>
      </c>
      <c r="U600" s="232"/>
      <c r="V600" s="398"/>
      <c r="W600" s="398"/>
      <c r="X600" s="398">
        <v>3066789</v>
      </c>
      <c r="Y600" s="398">
        <v>219054</v>
      </c>
    </row>
    <row r="601" spans="1:25">
      <c r="A601" s="392">
        <v>96431</v>
      </c>
      <c r="B601" s="393" t="s">
        <v>1301</v>
      </c>
      <c r="C601" s="235">
        <v>4.85E-5</v>
      </c>
      <c r="D601" s="235">
        <v>3.3599999999999997E-5</v>
      </c>
      <c r="E601" s="232">
        <v>173311</v>
      </c>
      <c r="F601" s="232" t="s">
        <v>1930</v>
      </c>
      <c r="G601" s="394">
        <v>21886</v>
      </c>
      <c r="H601" s="394">
        <v>24389</v>
      </c>
      <c r="I601" s="394">
        <v>12898</v>
      </c>
      <c r="J601" s="232">
        <v>28264</v>
      </c>
      <c r="K601" s="232">
        <v>87437</v>
      </c>
      <c r="L601" s="232"/>
      <c r="M601" s="226">
        <v>0</v>
      </c>
      <c r="N601" s="226">
        <v>0</v>
      </c>
      <c r="O601" s="232">
        <v>3516</v>
      </c>
      <c r="P601" s="232">
        <v>3516</v>
      </c>
      <c r="Q601" s="232"/>
      <c r="R601" s="394">
        <v>59600</v>
      </c>
      <c r="S601" s="232">
        <v>8602</v>
      </c>
      <c r="T601" s="398">
        <v>68202</v>
      </c>
      <c r="U601" s="232"/>
      <c r="V601" s="398"/>
      <c r="W601" s="398"/>
      <c r="X601" s="398">
        <v>351629</v>
      </c>
      <c r="Y601" s="398">
        <v>25116</v>
      </c>
    </row>
    <row r="602" spans="1:25">
      <c r="A602" s="392">
        <v>96441</v>
      </c>
      <c r="B602" s="393" t="s">
        <v>1302</v>
      </c>
      <c r="C602" s="235">
        <v>2.9300000000000001E-5</v>
      </c>
      <c r="D602" s="235">
        <v>1.8499999999999999E-5</v>
      </c>
      <c r="E602" s="232">
        <v>104701</v>
      </c>
      <c r="F602" s="232" t="s">
        <v>1930</v>
      </c>
      <c r="G602" s="394">
        <v>13222</v>
      </c>
      <c r="H602" s="394">
        <v>14734</v>
      </c>
      <c r="I602" s="394">
        <v>7792</v>
      </c>
      <c r="J602" s="232">
        <v>13878</v>
      </c>
      <c r="K602" s="232">
        <v>49626</v>
      </c>
      <c r="L602" s="232"/>
      <c r="M602" s="226">
        <v>0</v>
      </c>
      <c r="N602" s="226">
        <v>0</v>
      </c>
      <c r="O602" s="232">
        <v>2999</v>
      </c>
      <c r="P602" s="232">
        <v>2999</v>
      </c>
      <c r="Q602" s="232"/>
      <c r="R602" s="394">
        <v>36006</v>
      </c>
      <c r="S602" s="232">
        <v>4118</v>
      </c>
      <c r="T602" s="398">
        <v>40124</v>
      </c>
      <c r="U602" s="232"/>
      <c r="V602" s="398"/>
      <c r="W602" s="398"/>
      <c r="X602" s="398">
        <v>212428</v>
      </c>
      <c r="Y602" s="398">
        <v>15173</v>
      </c>
    </row>
    <row r="603" spans="1:25">
      <c r="A603" s="392">
        <v>96451</v>
      </c>
      <c r="B603" s="393" t="s">
        <v>1303</v>
      </c>
      <c r="C603" s="235">
        <v>1.31E-5</v>
      </c>
      <c r="D603" s="235">
        <v>7.4000000000000003E-6</v>
      </c>
      <c r="E603" s="232">
        <v>46812</v>
      </c>
      <c r="F603" s="232" t="s">
        <v>1930</v>
      </c>
      <c r="G603" s="394">
        <v>5912</v>
      </c>
      <c r="H603" s="394">
        <v>6588</v>
      </c>
      <c r="I603" s="394">
        <v>3484</v>
      </c>
      <c r="J603" s="232">
        <v>11059</v>
      </c>
      <c r="K603" s="232">
        <v>27043</v>
      </c>
      <c r="L603" s="232"/>
      <c r="M603" s="226">
        <v>0</v>
      </c>
      <c r="N603" s="226">
        <v>0</v>
      </c>
      <c r="O603" s="232">
        <v>5521</v>
      </c>
      <c r="P603" s="232">
        <v>5521</v>
      </c>
      <c r="Q603" s="232"/>
      <c r="R603" s="394">
        <v>16098</v>
      </c>
      <c r="S603" s="232">
        <v>3142</v>
      </c>
      <c r="T603" s="398">
        <v>19240</v>
      </c>
      <c r="U603" s="232"/>
      <c r="V603" s="398"/>
      <c r="W603" s="398"/>
      <c r="X603" s="398">
        <v>94976</v>
      </c>
      <c r="Y603" s="398">
        <v>6784</v>
      </c>
    </row>
    <row r="604" spans="1:25">
      <c r="A604" s="392">
        <v>96461</v>
      </c>
      <c r="B604" s="393" t="s">
        <v>1304</v>
      </c>
      <c r="C604" s="235">
        <v>1.294E-4</v>
      </c>
      <c r="D604" s="235">
        <v>1.361E-4</v>
      </c>
      <c r="E604" s="232">
        <v>462401</v>
      </c>
      <c r="F604" s="232" t="s">
        <v>1930</v>
      </c>
      <c r="G604" s="394">
        <v>58393</v>
      </c>
      <c r="H604" s="394">
        <v>65071</v>
      </c>
      <c r="I604" s="394">
        <v>34412</v>
      </c>
      <c r="J604" s="232">
        <v>5663</v>
      </c>
      <c r="K604" s="232">
        <v>163539</v>
      </c>
      <c r="L604" s="232"/>
      <c r="M604" s="226">
        <v>0</v>
      </c>
      <c r="N604" s="226">
        <v>0</v>
      </c>
      <c r="O604" s="232">
        <v>26651</v>
      </c>
      <c r="P604" s="232">
        <v>26651</v>
      </c>
      <c r="Q604" s="232"/>
      <c r="R604" s="394">
        <v>159016</v>
      </c>
      <c r="S604" s="232">
        <v>-8070</v>
      </c>
      <c r="T604" s="398">
        <v>150946</v>
      </c>
      <c r="U604" s="232"/>
      <c r="V604" s="398"/>
      <c r="W604" s="398"/>
      <c r="X604" s="398">
        <v>938162</v>
      </c>
      <c r="Y604" s="398">
        <v>67011</v>
      </c>
    </row>
    <row r="605" spans="1:25">
      <c r="A605" s="392">
        <v>96501</v>
      </c>
      <c r="B605" s="393" t="s">
        <v>1305</v>
      </c>
      <c r="C605" s="235">
        <v>1.4739800000000001E-2</v>
      </c>
      <c r="D605" s="235">
        <v>1.46477E-2</v>
      </c>
      <c r="E605" s="232">
        <v>52671585</v>
      </c>
      <c r="F605" s="232" t="s">
        <v>1930</v>
      </c>
      <c r="G605" s="394">
        <v>6651497</v>
      </c>
      <c r="H605" s="394">
        <v>7412115</v>
      </c>
      <c r="I605" s="394">
        <v>3919799</v>
      </c>
      <c r="J605" s="232">
        <v>180222</v>
      </c>
      <c r="K605" s="232">
        <v>18163633</v>
      </c>
      <c r="L605" s="232"/>
      <c r="M605" s="226">
        <v>0</v>
      </c>
      <c r="N605" s="226">
        <v>0</v>
      </c>
      <c r="O605" s="232">
        <v>45177</v>
      </c>
      <c r="P605" s="232">
        <v>45177</v>
      </c>
      <c r="Q605" s="232"/>
      <c r="R605" s="394">
        <v>18113372</v>
      </c>
      <c r="S605" s="232">
        <v>-47875</v>
      </c>
      <c r="T605" s="398">
        <v>18065497</v>
      </c>
      <c r="U605" s="232"/>
      <c r="V605" s="398"/>
      <c r="W605" s="398"/>
      <c r="X605" s="398">
        <v>106864906</v>
      </c>
      <c r="Y605" s="398">
        <v>7633123</v>
      </c>
    </row>
    <row r="606" spans="1:25">
      <c r="A606" s="392">
        <v>96502</v>
      </c>
      <c r="B606" s="393" t="s">
        <v>1306</v>
      </c>
      <c r="C606" s="235">
        <v>3.3369999999999998E-4</v>
      </c>
      <c r="D606" s="235">
        <v>4.082E-4</v>
      </c>
      <c r="E606" s="232">
        <v>1192452</v>
      </c>
      <c r="F606" s="232" t="s">
        <v>1930</v>
      </c>
      <c r="G606" s="394">
        <v>150586</v>
      </c>
      <c r="H606" s="394">
        <v>167806</v>
      </c>
      <c r="I606" s="394">
        <v>88742</v>
      </c>
      <c r="J606" s="232">
        <v>11179</v>
      </c>
      <c r="K606" s="232">
        <v>418313</v>
      </c>
      <c r="L606" s="232"/>
      <c r="M606" s="226">
        <v>0</v>
      </c>
      <c r="N606" s="226">
        <v>0</v>
      </c>
      <c r="O606" s="232">
        <v>72827</v>
      </c>
      <c r="P606" s="232">
        <v>72827</v>
      </c>
      <c r="Q606" s="232"/>
      <c r="R606" s="394">
        <v>410076</v>
      </c>
      <c r="S606" s="232">
        <v>-15499</v>
      </c>
      <c r="T606" s="398">
        <v>394577</v>
      </c>
      <c r="U606" s="232"/>
      <c r="V606" s="398"/>
      <c r="W606" s="398"/>
      <c r="X606" s="398">
        <v>2419356</v>
      </c>
      <c r="Y606" s="398">
        <v>172809</v>
      </c>
    </row>
    <row r="607" spans="1:25">
      <c r="A607" s="392">
        <v>96503</v>
      </c>
      <c r="B607" s="393" t="s">
        <v>1945</v>
      </c>
      <c r="C607" s="235">
        <v>2.81E-4</v>
      </c>
      <c r="D607" s="235">
        <v>3.1940000000000001E-4</v>
      </c>
      <c r="E607" s="232">
        <v>1004133</v>
      </c>
      <c r="F607" s="232" t="s">
        <v>1930</v>
      </c>
      <c r="G607" s="394">
        <v>126804</v>
      </c>
      <c r="H607" s="394">
        <v>141305</v>
      </c>
      <c r="I607" s="394">
        <v>74727</v>
      </c>
      <c r="J607" s="232">
        <v>237609</v>
      </c>
      <c r="K607" s="232">
        <v>580445</v>
      </c>
      <c r="L607" s="232"/>
      <c r="M607" s="226">
        <v>0</v>
      </c>
      <c r="N607" s="226">
        <v>0</v>
      </c>
      <c r="O607" s="232">
        <v>9517</v>
      </c>
      <c r="P607" s="232">
        <v>9517</v>
      </c>
      <c r="Q607" s="232"/>
      <c r="R607" s="394">
        <v>345314</v>
      </c>
      <c r="S607" s="232">
        <v>127481</v>
      </c>
      <c r="T607" s="398">
        <v>472795</v>
      </c>
      <c r="U607" s="232"/>
      <c r="V607" s="398"/>
      <c r="W607" s="398"/>
      <c r="X607" s="398">
        <v>2037276</v>
      </c>
      <c r="Y607" s="398">
        <v>145518</v>
      </c>
    </row>
    <row r="608" spans="1:25">
      <c r="A608" s="392">
        <v>96504</v>
      </c>
      <c r="B608" s="393" t="s">
        <v>1308</v>
      </c>
      <c r="C608" s="235">
        <v>3.8099999999999999E-4</v>
      </c>
      <c r="D608" s="235">
        <v>4.3649999999999998E-4</v>
      </c>
      <c r="E608" s="232">
        <v>1361475</v>
      </c>
      <c r="F608" s="232" t="s">
        <v>1930</v>
      </c>
      <c r="G608" s="394">
        <v>171930</v>
      </c>
      <c r="H608" s="394">
        <v>191591</v>
      </c>
      <c r="I608" s="394">
        <v>101320</v>
      </c>
      <c r="J608" s="232">
        <v>24572</v>
      </c>
      <c r="K608" s="232">
        <v>489413</v>
      </c>
      <c r="L608" s="232"/>
      <c r="M608" s="226">
        <v>0</v>
      </c>
      <c r="N608" s="226">
        <v>0</v>
      </c>
      <c r="O608" s="232">
        <v>53091</v>
      </c>
      <c r="P608" s="232">
        <v>53091</v>
      </c>
      <c r="Q608" s="232"/>
      <c r="R608" s="394">
        <v>468201</v>
      </c>
      <c r="S608" s="232">
        <v>-4682</v>
      </c>
      <c r="T608" s="398">
        <v>463519</v>
      </c>
      <c r="U608" s="232"/>
      <c r="V608" s="398"/>
      <c r="W608" s="398"/>
      <c r="X608" s="398">
        <v>2762285</v>
      </c>
      <c r="Y608" s="398">
        <v>197304</v>
      </c>
    </row>
    <row r="609" spans="1:25">
      <c r="A609" s="392">
        <v>96507</v>
      </c>
      <c r="B609" s="393" t="s">
        <v>1309</v>
      </c>
      <c r="C609" s="235">
        <v>2.2848999999999999E-3</v>
      </c>
      <c r="D609" s="235">
        <v>2.3281999999999999E-3</v>
      </c>
      <c r="E609" s="232">
        <v>8164921</v>
      </c>
      <c r="F609" s="232" t="s">
        <v>1930</v>
      </c>
      <c r="G609" s="394">
        <v>1031086</v>
      </c>
      <c r="H609" s="394">
        <v>1148994</v>
      </c>
      <c r="I609" s="394">
        <v>607630</v>
      </c>
      <c r="J609" s="232">
        <v>124729</v>
      </c>
      <c r="K609" s="232">
        <v>2912439</v>
      </c>
      <c r="L609" s="232"/>
      <c r="M609" s="226">
        <v>0</v>
      </c>
      <c r="N609" s="226">
        <v>0</v>
      </c>
      <c r="O609" s="232">
        <v>5697</v>
      </c>
      <c r="P609" s="232">
        <v>5697</v>
      </c>
      <c r="Q609" s="232"/>
      <c r="R609" s="394">
        <v>2807856</v>
      </c>
      <c r="S609" s="232">
        <v>54625</v>
      </c>
      <c r="T609" s="398">
        <v>2862481</v>
      </c>
      <c r="U609" s="232"/>
      <c r="V609" s="398"/>
      <c r="W609" s="398"/>
      <c r="X609" s="398">
        <v>16565735</v>
      </c>
      <c r="Y609" s="398">
        <v>1183254</v>
      </c>
    </row>
    <row r="610" spans="1:25">
      <c r="A610" s="392">
        <v>96508</v>
      </c>
      <c r="B610" s="393" t="s">
        <v>1310</v>
      </c>
      <c r="C610" s="235">
        <v>2.3999999999999999E-6</v>
      </c>
      <c r="D610" s="235">
        <v>5.9000000000000003E-6</v>
      </c>
      <c r="E610" s="232">
        <v>8576</v>
      </c>
      <c r="F610" s="232" t="s">
        <v>1930</v>
      </c>
      <c r="G610" s="394">
        <v>1083</v>
      </c>
      <c r="H610" s="394">
        <v>1206</v>
      </c>
      <c r="I610" s="394">
        <v>638</v>
      </c>
      <c r="J610" s="232">
        <v>11919</v>
      </c>
      <c r="K610" s="232">
        <v>14846</v>
      </c>
      <c r="L610" s="232"/>
      <c r="M610" s="226">
        <v>0</v>
      </c>
      <c r="N610" s="226">
        <v>0</v>
      </c>
      <c r="O610" s="232">
        <v>0</v>
      </c>
      <c r="P610" s="232">
        <v>0</v>
      </c>
      <c r="Q610" s="232"/>
      <c r="R610" s="394">
        <v>2949</v>
      </c>
      <c r="S610" s="232">
        <v>6244</v>
      </c>
      <c r="T610" s="398">
        <v>9193</v>
      </c>
      <c r="U610" s="232"/>
      <c r="V610" s="398"/>
      <c r="W610" s="398"/>
      <c r="X610" s="398">
        <v>17400</v>
      </c>
      <c r="Y610" s="398">
        <v>1243</v>
      </c>
    </row>
    <row r="611" spans="1:25">
      <c r="A611" s="392">
        <v>96511</v>
      </c>
      <c r="B611" s="393" t="s">
        <v>1311</v>
      </c>
      <c r="C611" s="235">
        <v>5.5500000000000005E-4</v>
      </c>
      <c r="D611" s="235">
        <v>6.0519999999999997E-4</v>
      </c>
      <c r="E611" s="232">
        <v>1983251</v>
      </c>
      <c r="F611" s="232" t="s">
        <v>1930</v>
      </c>
      <c r="G611" s="394">
        <v>250450</v>
      </c>
      <c r="H611" s="394">
        <v>279090</v>
      </c>
      <c r="I611" s="394">
        <v>147593</v>
      </c>
      <c r="J611" s="232">
        <v>0</v>
      </c>
      <c r="K611" s="232">
        <v>677133</v>
      </c>
      <c r="L611" s="232"/>
      <c r="M611" s="226">
        <v>0</v>
      </c>
      <c r="N611" s="226">
        <v>0</v>
      </c>
      <c r="O611" s="232">
        <v>76079</v>
      </c>
      <c r="P611" s="232">
        <v>76079</v>
      </c>
      <c r="Q611" s="232"/>
      <c r="R611" s="394">
        <v>682026</v>
      </c>
      <c r="S611" s="232">
        <v>-44977</v>
      </c>
      <c r="T611" s="398">
        <v>637049</v>
      </c>
      <c r="U611" s="232"/>
      <c r="V611" s="398"/>
      <c r="W611" s="398"/>
      <c r="X611" s="398">
        <v>4023801</v>
      </c>
      <c r="Y611" s="398">
        <v>287411</v>
      </c>
    </row>
    <row r="612" spans="1:25">
      <c r="A612" s="392">
        <v>96512</v>
      </c>
      <c r="B612" s="393" t="s">
        <v>1312</v>
      </c>
      <c r="C612" s="235">
        <v>1.3689999999999999E-4</v>
      </c>
      <c r="D612" s="235">
        <v>1.528E-4</v>
      </c>
      <c r="E612" s="232">
        <v>489202</v>
      </c>
      <c r="F612" s="232" t="s">
        <v>1930</v>
      </c>
      <c r="G612" s="394">
        <v>61778</v>
      </c>
      <c r="H612" s="394">
        <v>68842</v>
      </c>
      <c r="I612" s="394">
        <v>36406</v>
      </c>
      <c r="J612" s="232">
        <v>3556</v>
      </c>
      <c r="K612" s="232">
        <v>170582</v>
      </c>
      <c r="L612" s="232"/>
      <c r="M612" s="226">
        <v>0</v>
      </c>
      <c r="N612" s="226">
        <v>0</v>
      </c>
      <c r="O612" s="232">
        <v>15265</v>
      </c>
      <c r="P612" s="232">
        <v>15265</v>
      </c>
      <c r="Q612" s="232"/>
      <c r="R612" s="394">
        <v>168233</v>
      </c>
      <c r="S612" s="232">
        <v>-4284</v>
      </c>
      <c r="T612" s="398">
        <v>163949</v>
      </c>
      <c r="U612" s="232"/>
      <c r="V612" s="398"/>
      <c r="W612" s="398"/>
      <c r="X612" s="398">
        <v>992538</v>
      </c>
      <c r="Y612" s="398">
        <v>70895</v>
      </c>
    </row>
    <row r="613" spans="1:25">
      <c r="A613" s="392">
        <v>96519</v>
      </c>
      <c r="B613" s="393" t="s">
        <v>1619</v>
      </c>
      <c r="C613" s="235">
        <v>0</v>
      </c>
      <c r="D613" s="235">
        <v>0</v>
      </c>
      <c r="E613" s="232">
        <v>0</v>
      </c>
      <c r="F613" s="232" t="s">
        <v>1930</v>
      </c>
      <c r="G613" s="394">
        <v>0</v>
      </c>
      <c r="H613" s="394">
        <v>0</v>
      </c>
      <c r="I613" s="394">
        <v>0</v>
      </c>
      <c r="J613" s="232">
        <v>0</v>
      </c>
      <c r="K613" s="232">
        <v>0</v>
      </c>
      <c r="L613" s="232"/>
      <c r="M613" s="226">
        <v>0</v>
      </c>
      <c r="N613" s="226">
        <v>0</v>
      </c>
      <c r="O613" s="232">
        <v>0</v>
      </c>
      <c r="P613" s="232">
        <v>0</v>
      </c>
      <c r="Q613" s="232"/>
      <c r="R613" s="394">
        <v>0</v>
      </c>
      <c r="S613" s="232">
        <v>-207555</v>
      </c>
      <c r="T613" s="398">
        <v>-207555</v>
      </c>
      <c r="U613" s="232"/>
      <c r="V613" s="398"/>
      <c r="W613" s="398"/>
      <c r="X613" s="398">
        <v>0</v>
      </c>
      <c r="Y613" s="398">
        <v>0</v>
      </c>
    </row>
    <row r="614" spans="1:25">
      <c r="A614" s="392">
        <v>96521</v>
      </c>
      <c r="B614" s="393" t="s">
        <v>1313</v>
      </c>
      <c r="C614" s="235">
        <v>8.9309999999999997E-4</v>
      </c>
      <c r="D614" s="235">
        <v>9.3479999999999995E-4</v>
      </c>
      <c r="E614" s="232">
        <v>3191427</v>
      </c>
      <c r="F614" s="232" t="s">
        <v>1930</v>
      </c>
      <c r="G614" s="394">
        <v>403021</v>
      </c>
      <c r="H614" s="394">
        <v>449108</v>
      </c>
      <c r="I614" s="394">
        <v>237505</v>
      </c>
      <c r="J614" s="232">
        <v>0</v>
      </c>
      <c r="K614" s="232">
        <v>1089634</v>
      </c>
      <c r="L614" s="232"/>
      <c r="M614" s="226">
        <v>0</v>
      </c>
      <c r="N614" s="226">
        <v>0</v>
      </c>
      <c r="O614" s="232">
        <v>143966</v>
      </c>
      <c r="P614" s="232">
        <v>143966</v>
      </c>
      <c r="Q614" s="232"/>
      <c r="R614" s="394">
        <v>1097508</v>
      </c>
      <c r="S614" s="232">
        <v>-58392</v>
      </c>
      <c r="T614" s="398">
        <v>1039116</v>
      </c>
      <c r="U614" s="232"/>
      <c r="V614" s="398"/>
      <c r="W614" s="398"/>
      <c r="X614" s="398">
        <v>6475057</v>
      </c>
      <c r="Y614" s="398">
        <v>462499</v>
      </c>
    </row>
    <row r="615" spans="1:25">
      <c r="A615" s="392">
        <v>96531</v>
      </c>
      <c r="B615" s="393" t="s">
        <v>1314</v>
      </c>
      <c r="C615" s="235">
        <v>8.2658999999999996E-3</v>
      </c>
      <c r="D615" s="235">
        <v>8.6105999999999995E-3</v>
      </c>
      <c r="E615" s="232">
        <v>29537582</v>
      </c>
      <c r="F615" s="232" t="s">
        <v>1930</v>
      </c>
      <c r="G615" s="394">
        <v>3730078</v>
      </c>
      <c r="H615" s="394">
        <v>4156623</v>
      </c>
      <c r="I615" s="394">
        <v>2198176</v>
      </c>
      <c r="J615" s="232">
        <v>0</v>
      </c>
      <c r="K615" s="232">
        <v>10084877</v>
      </c>
      <c r="L615" s="232"/>
      <c r="M615" s="226">
        <v>0</v>
      </c>
      <c r="N615" s="226">
        <v>0</v>
      </c>
      <c r="O615" s="232">
        <v>703623</v>
      </c>
      <c r="P615" s="232">
        <v>703623</v>
      </c>
      <c r="Q615" s="232"/>
      <c r="R615" s="394">
        <v>10157758</v>
      </c>
      <c r="S615" s="232">
        <v>-342790</v>
      </c>
      <c r="T615" s="398">
        <v>9814968</v>
      </c>
      <c r="U615" s="232"/>
      <c r="V615" s="398"/>
      <c r="W615" s="398"/>
      <c r="X615" s="398">
        <v>59928535</v>
      </c>
      <c r="Y615" s="398">
        <v>4280562</v>
      </c>
    </row>
    <row r="616" spans="1:25">
      <c r="A616" s="392">
        <v>96541</v>
      </c>
      <c r="B616" s="393" t="s">
        <v>1315</v>
      </c>
      <c r="C616" s="235">
        <v>4.06E-4</v>
      </c>
      <c r="D616" s="235">
        <v>3.8709999999999998E-4</v>
      </c>
      <c r="E616" s="232">
        <v>1450811</v>
      </c>
      <c r="F616" s="232" t="s">
        <v>1930</v>
      </c>
      <c r="G616" s="394">
        <v>183212</v>
      </c>
      <c r="H616" s="394">
        <v>204162</v>
      </c>
      <c r="I616" s="394">
        <v>107969</v>
      </c>
      <c r="J616" s="232">
        <v>19576</v>
      </c>
      <c r="K616" s="232">
        <v>514919</v>
      </c>
      <c r="L616" s="232"/>
      <c r="M616" s="226">
        <v>0</v>
      </c>
      <c r="N616" s="226">
        <v>0</v>
      </c>
      <c r="O616" s="232">
        <v>2576</v>
      </c>
      <c r="P616" s="232">
        <v>2576</v>
      </c>
      <c r="Q616" s="232"/>
      <c r="R616" s="394">
        <v>498923</v>
      </c>
      <c r="S616" s="232">
        <v>7745</v>
      </c>
      <c r="T616" s="398">
        <v>506668</v>
      </c>
      <c r="U616" s="232"/>
      <c r="V616" s="398"/>
      <c r="W616" s="398"/>
      <c r="X616" s="398">
        <v>2943537</v>
      </c>
      <c r="Y616" s="398">
        <v>210250</v>
      </c>
    </row>
    <row r="617" spans="1:25">
      <c r="A617" s="392">
        <v>96601</v>
      </c>
      <c r="B617" s="393" t="s">
        <v>1316</v>
      </c>
      <c r="C617" s="235">
        <v>1.5973000000000001E-3</v>
      </c>
      <c r="D617" s="235">
        <v>1.7417999999999999E-3</v>
      </c>
      <c r="E617" s="232">
        <v>5707833</v>
      </c>
      <c r="F617" s="232" t="s">
        <v>1930</v>
      </c>
      <c r="G617" s="394">
        <v>720799</v>
      </c>
      <c r="H617" s="394">
        <v>803224</v>
      </c>
      <c r="I617" s="394">
        <v>424775</v>
      </c>
      <c r="J617" s="232">
        <v>15865</v>
      </c>
      <c r="K617" s="232">
        <v>1964663</v>
      </c>
      <c r="L617" s="232"/>
      <c r="M617" s="226">
        <v>0</v>
      </c>
      <c r="N617" s="226">
        <v>0</v>
      </c>
      <c r="O617" s="232">
        <v>180405</v>
      </c>
      <c r="P617" s="232">
        <v>180405</v>
      </c>
      <c r="Q617" s="232"/>
      <c r="R617" s="394">
        <v>1962882</v>
      </c>
      <c r="S617" s="232">
        <v>-56343</v>
      </c>
      <c r="T617" s="398">
        <v>1906539</v>
      </c>
      <c r="U617" s="232"/>
      <c r="V617" s="398"/>
      <c r="W617" s="398"/>
      <c r="X617" s="398">
        <v>11580572</v>
      </c>
      <c r="Y617" s="398">
        <v>827175</v>
      </c>
    </row>
    <row r="618" spans="1:25">
      <c r="A618" s="392">
        <v>96604</v>
      </c>
      <c r="B618" s="393" t="s">
        <v>1317</v>
      </c>
      <c r="C618" s="235">
        <v>4.6E-6</v>
      </c>
      <c r="D618" s="235">
        <v>5.3000000000000001E-6</v>
      </c>
      <c r="E618" s="232">
        <v>16438</v>
      </c>
      <c r="F618" s="232" t="s">
        <v>1930</v>
      </c>
      <c r="G618" s="394">
        <v>2076</v>
      </c>
      <c r="H618" s="394">
        <v>2314</v>
      </c>
      <c r="I618" s="394">
        <v>1223</v>
      </c>
      <c r="J618" s="232">
        <v>2334</v>
      </c>
      <c r="K618" s="232">
        <v>7947</v>
      </c>
      <c r="L618" s="232"/>
      <c r="M618" s="226">
        <v>0</v>
      </c>
      <c r="N618" s="226">
        <v>0</v>
      </c>
      <c r="O618" s="232">
        <v>0</v>
      </c>
      <c r="P618" s="232">
        <v>0</v>
      </c>
      <c r="Q618" s="232"/>
      <c r="R618" s="394">
        <v>5653</v>
      </c>
      <c r="S618" s="232">
        <v>1170</v>
      </c>
      <c r="T618" s="398">
        <v>6823</v>
      </c>
      <c r="U618" s="232"/>
      <c r="V618" s="398"/>
      <c r="W618" s="398"/>
      <c r="X618" s="398">
        <v>33350</v>
      </c>
      <c r="Y618" s="398">
        <v>2382</v>
      </c>
    </row>
    <row r="619" spans="1:25">
      <c r="A619" s="392">
        <v>96611</v>
      </c>
      <c r="B619" s="393" t="s">
        <v>1318</v>
      </c>
      <c r="C619" s="235">
        <v>1.95E-5</v>
      </c>
      <c r="D619" s="235">
        <v>1.3900000000000001E-5</v>
      </c>
      <c r="E619" s="232">
        <v>69682</v>
      </c>
      <c r="F619" s="232" t="s">
        <v>1930</v>
      </c>
      <c r="G619" s="394">
        <v>8800</v>
      </c>
      <c r="H619" s="394">
        <v>9806</v>
      </c>
      <c r="I619" s="394">
        <v>5186</v>
      </c>
      <c r="J619" s="232">
        <v>8187</v>
      </c>
      <c r="K619" s="232">
        <v>31979</v>
      </c>
      <c r="L619" s="232"/>
      <c r="M619" s="226">
        <v>0</v>
      </c>
      <c r="N619" s="226">
        <v>0</v>
      </c>
      <c r="O619" s="232">
        <v>5177</v>
      </c>
      <c r="P619" s="232">
        <v>5177</v>
      </c>
      <c r="Q619" s="232"/>
      <c r="R619" s="394">
        <v>23963</v>
      </c>
      <c r="S619" s="232">
        <v>305</v>
      </c>
      <c r="T619" s="398">
        <v>24268</v>
      </c>
      <c r="U619" s="232"/>
      <c r="V619" s="398"/>
      <c r="W619" s="398"/>
      <c r="X619" s="398">
        <v>141377</v>
      </c>
      <c r="Y619" s="398">
        <v>10098</v>
      </c>
    </row>
    <row r="620" spans="1:25">
      <c r="A620" s="392">
        <v>96612</v>
      </c>
      <c r="B620" s="393" t="s">
        <v>1319</v>
      </c>
      <c r="C620" s="235">
        <v>4.4199999999999997E-5</v>
      </c>
      <c r="D620" s="235">
        <v>5.5099999999999998E-5</v>
      </c>
      <c r="E620" s="232">
        <v>157945</v>
      </c>
      <c r="F620" s="232" t="s">
        <v>1930</v>
      </c>
      <c r="G620" s="394">
        <v>19946</v>
      </c>
      <c r="H620" s="394">
        <v>22227</v>
      </c>
      <c r="I620" s="394">
        <v>11754</v>
      </c>
      <c r="J620" s="232">
        <v>6250</v>
      </c>
      <c r="K620" s="232">
        <v>60177</v>
      </c>
      <c r="L620" s="232"/>
      <c r="M620" s="226">
        <v>0</v>
      </c>
      <c r="N620" s="226">
        <v>0</v>
      </c>
      <c r="O620" s="232">
        <v>3365</v>
      </c>
      <c r="P620" s="232">
        <v>3365</v>
      </c>
      <c r="Q620" s="232"/>
      <c r="R620" s="394">
        <v>54316</v>
      </c>
      <c r="S620" s="232">
        <v>1980</v>
      </c>
      <c r="T620" s="398">
        <v>56296</v>
      </c>
      <c r="U620" s="232"/>
      <c r="V620" s="398"/>
      <c r="W620" s="398"/>
      <c r="X620" s="398">
        <v>320454</v>
      </c>
      <c r="Y620" s="398">
        <v>22889</v>
      </c>
    </row>
    <row r="621" spans="1:25">
      <c r="A621" s="392">
        <v>96621</v>
      </c>
      <c r="B621" s="393" t="s">
        <v>1320</v>
      </c>
      <c r="C621" s="235">
        <v>1.8600000000000001E-5</v>
      </c>
      <c r="D621" s="235">
        <v>2.09E-5</v>
      </c>
      <c r="E621" s="232">
        <v>66466</v>
      </c>
      <c r="F621" s="232" t="s">
        <v>1930</v>
      </c>
      <c r="G621" s="394">
        <v>8393</v>
      </c>
      <c r="H621" s="394">
        <v>9353</v>
      </c>
      <c r="I621" s="394">
        <v>4946</v>
      </c>
      <c r="J621" s="232">
        <v>2012</v>
      </c>
      <c r="K621" s="232">
        <v>24704</v>
      </c>
      <c r="L621" s="232"/>
      <c r="M621" s="226">
        <v>0</v>
      </c>
      <c r="N621" s="226">
        <v>0</v>
      </c>
      <c r="O621" s="232">
        <v>1147</v>
      </c>
      <c r="P621" s="232">
        <v>1147</v>
      </c>
      <c r="Q621" s="232"/>
      <c r="R621" s="394">
        <v>22857</v>
      </c>
      <c r="S621" s="232">
        <v>-705</v>
      </c>
      <c r="T621" s="398">
        <v>22152</v>
      </c>
      <c r="U621" s="232"/>
      <c r="V621" s="398"/>
      <c r="W621" s="398"/>
      <c r="X621" s="398">
        <v>134852</v>
      </c>
      <c r="Y621" s="398">
        <v>9632</v>
      </c>
    </row>
    <row r="622" spans="1:25">
      <c r="A622" s="392">
        <v>96631</v>
      </c>
      <c r="B622" s="393" t="s">
        <v>1321</v>
      </c>
      <c r="C622" s="235">
        <v>2.3099999999999999E-5</v>
      </c>
      <c r="D622" s="235">
        <v>2.1800000000000001E-5</v>
      </c>
      <c r="E622" s="232">
        <v>82546</v>
      </c>
      <c r="F622" s="232" t="s">
        <v>1930</v>
      </c>
      <c r="G622" s="394">
        <v>10424</v>
      </c>
      <c r="H622" s="394">
        <v>11616</v>
      </c>
      <c r="I622" s="394">
        <v>6143</v>
      </c>
      <c r="J622" s="232">
        <v>2020</v>
      </c>
      <c r="K622" s="232">
        <v>30203</v>
      </c>
      <c r="L622" s="232"/>
      <c r="M622" s="226">
        <v>0</v>
      </c>
      <c r="N622" s="226">
        <v>0</v>
      </c>
      <c r="O622" s="232">
        <v>597</v>
      </c>
      <c r="P622" s="232">
        <v>597</v>
      </c>
      <c r="Q622" s="232"/>
      <c r="R622" s="394">
        <v>28387</v>
      </c>
      <c r="S622" s="232">
        <v>379</v>
      </c>
      <c r="T622" s="398">
        <v>28766</v>
      </c>
      <c r="U622" s="232"/>
      <c r="V622" s="398"/>
      <c r="W622" s="398"/>
      <c r="X622" s="398">
        <v>167477</v>
      </c>
      <c r="Y622" s="398">
        <v>11963</v>
      </c>
    </row>
    <row r="623" spans="1:25" ht="14.25" customHeight="1">
      <c r="A623" s="392">
        <v>96641</v>
      </c>
      <c r="B623" s="393" t="s">
        <v>1322</v>
      </c>
      <c r="C623" s="235">
        <v>2.9499999999999999E-5</v>
      </c>
      <c r="D623" s="235">
        <v>3.3800000000000002E-5</v>
      </c>
      <c r="E623" s="232">
        <v>105416</v>
      </c>
      <c r="F623" s="232" t="s">
        <v>1930</v>
      </c>
      <c r="G623" s="394">
        <v>13312</v>
      </c>
      <c r="H623" s="394">
        <v>14834</v>
      </c>
      <c r="I623" s="394">
        <v>7845</v>
      </c>
      <c r="J623" s="232">
        <v>10950</v>
      </c>
      <c r="K623" s="232">
        <v>46941</v>
      </c>
      <c r="L623" s="232"/>
      <c r="M623" s="226">
        <v>0</v>
      </c>
      <c r="N623" s="226">
        <v>0</v>
      </c>
      <c r="O623" s="232">
        <v>0</v>
      </c>
      <c r="P623" s="232">
        <v>0</v>
      </c>
      <c r="Q623" s="232"/>
      <c r="R623" s="394">
        <v>36252</v>
      </c>
      <c r="S623" s="232">
        <v>6521</v>
      </c>
      <c r="T623" s="398">
        <v>42773</v>
      </c>
      <c r="U623" s="232"/>
      <c r="V623" s="398"/>
      <c r="W623" s="398"/>
      <c r="X623" s="398">
        <v>213878</v>
      </c>
      <c r="Y623" s="398">
        <v>15277</v>
      </c>
    </row>
    <row r="624" spans="1:25" ht="14.25" customHeight="1">
      <c r="A624" s="392">
        <v>96651</v>
      </c>
      <c r="B624" s="393" t="s">
        <v>1323</v>
      </c>
      <c r="C624" s="235">
        <v>1.5999999999999999E-5</v>
      </c>
      <c r="D624" s="235">
        <v>1.8499999999999999E-5</v>
      </c>
      <c r="E624" s="232">
        <v>57175</v>
      </c>
      <c r="F624" s="232" t="s">
        <v>1930</v>
      </c>
      <c r="G624" s="394">
        <v>7220</v>
      </c>
      <c r="H624" s="394">
        <v>8046</v>
      </c>
      <c r="I624" s="394">
        <v>4255</v>
      </c>
      <c r="J624" s="232">
        <v>1095</v>
      </c>
      <c r="K624" s="232">
        <v>20616</v>
      </c>
      <c r="L624" s="232"/>
      <c r="M624" s="226">
        <v>0</v>
      </c>
      <c r="N624" s="226">
        <v>0</v>
      </c>
      <c r="O624" s="232">
        <v>4414</v>
      </c>
      <c r="P624" s="232">
        <v>4414</v>
      </c>
      <c r="Q624" s="232"/>
      <c r="R624" s="394">
        <v>19662</v>
      </c>
      <c r="S624" s="232">
        <v>-574</v>
      </c>
      <c r="T624" s="398">
        <v>19088</v>
      </c>
      <c r="U624" s="232"/>
      <c r="V624" s="398"/>
      <c r="W624" s="398"/>
      <c r="X624" s="398">
        <v>116001</v>
      </c>
      <c r="Y624" s="398">
        <v>8286</v>
      </c>
    </row>
    <row r="625" spans="1:25">
      <c r="A625" s="392">
        <v>96661</v>
      </c>
      <c r="B625" s="393" t="s">
        <v>1324</v>
      </c>
      <c r="C625" s="235">
        <v>2.4899999999999999E-5</v>
      </c>
      <c r="D625" s="235">
        <v>1.8099999999999999E-5</v>
      </c>
      <c r="E625" s="232">
        <v>88978</v>
      </c>
      <c r="F625" s="232" t="s">
        <v>1930</v>
      </c>
      <c r="G625" s="394">
        <v>11236</v>
      </c>
      <c r="H625" s="394">
        <v>12521</v>
      </c>
      <c r="I625" s="394">
        <v>6622</v>
      </c>
      <c r="J625" s="232">
        <v>9146</v>
      </c>
      <c r="K625" s="232">
        <v>39525</v>
      </c>
      <c r="L625" s="232"/>
      <c r="M625" s="226">
        <v>0</v>
      </c>
      <c r="N625" s="226">
        <v>0</v>
      </c>
      <c r="O625" s="232">
        <v>124</v>
      </c>
      <c r="P625" s="232">
        <v>124</v>
      </c>
      <c r="Q625" s="232"/>
      <c r="R625" s="394">
        <v>30599</v>
      </c>
      <c r="S625" s="232">
        <v>3809</v>
      </c>
      <c r="T625" s="398">
        <v>34408</v>
      </c>
      <c r="U625" s="232"/>
      <c r="V625" s="398"/>
      <c r="W625" s="398"/>
      <c r="X625" s="398">
        <v>180527</v>
      </c>
      <c r="Y625" s="398">
        <v>12895</v>
      </c>
    </row>
    <row r="626" spans="1:25">
      <c r="A626" s="392">
        <v>96671</v>
      </c>
      <c r="B626" s="393" t="s">
        <v>1325</v>
      </c>
      <c r="C626" s="235">
        <v>1.4E-5</v>
      </c>
      <c r="D626" s="235">
        <v>1.26E-5</v>
      </c>
      <c r="E626" s="232">
        <v>50028</v>
      </c>
      <c r="F626" s="232" t="s">
        <v>1930</v>
      </c>
      <c r="G626" s="394">
        <v>6318</v>
      </c>
      <c r="H626" s="394">
        <v>7040</v>
      </c>
      <c r="I626" s="394">
        <v>3723</v>
      </c>
      <c r="J626" s="232">
        <v>6141</v>
      </c>
      <c r="K626" s="232">
        <v>23222</v>
      </c>
      <c r="L626" s="232"/>
      <c r="M626" s="226">
        <v>0</v>
      </c>
      <c r="N626" s="226">
        <v>0</v>
      </c>
      <c r="O626" s="232">
        <v>0</v>
      </c>
      <c r="P626" s="232">
        <v>0</v>
      </c>
      <c r="Q626" s="232"/>
      <c r="R626" s="394">
        <v>17204</v>
      </c>
      <c r="S626" s="232">
        <v>3241</v>
      </c>
      <c r="T626" s="398">
        <v>20445</v>
      </c>
      <c r="U626" s="232"/>
      <c r="V626" s="398"/>
      <c r="W626" s="398"/>
      <c r="X626" s="398">
        <v>101501</v>
      </c>
      <c r="Y626" s="398">
        <v>7250</v>
      </c>
    </row>
    <row r="627" spans="1:25">
      <c r="A627" s="392">
        <v>96681</v>
      </c>
      <c r="B627" s="393" t="s">
        <v>1326</v>
      </c>
      <c r="C627" s="235">
        <v>1.7600000000000001E-5</v>
      </c>
      <c r="D627" s="235">
        <v>2.2399999999999999E-5</v>
      </c>
      <c r="E627" s="232">
        <v>62892</v>
      </c>
      <c r="F627" s="232" t="s">
        <v>1930</v>
      </c>
      <c r="G627" s="394">
        <v>7942</v>
      </c>
      <c r="H627" s="394">
        <v>8850</v>
      </c>
      <c r="I627" s="394">
        <v>4680</v>
      </c>
      <c r="J627" s="232">
        <v>7559</v>
      </c>
      <c r="K627" s="232">
        <v>29031</v>
      </c>
      <c r="L627" s="232"/>
      <c r="M627" s="226">
        <v>0</v>
      </c>
      <c r="N627" s="226">
        <v>0</v>
      </c>
      <c r="O627" s="232">
        <v>7663</v>
      </c>
      <c r="P627" s="232">
        <v>7663</v>
      </c>
      <c r="Q627" s="232"/>
      <c r="R627" s="394">
        <v>21628</v>
      </c>
      <c r="S627" s="232">
        <v>658</v>
      </c>
      <c r="T627" s="398">
        <v>22286</v>
      </c>
      <c r="U627" s="232"/>
      <c r="V627" s="398"/>
      <c r="W627" s="398"/>
      <c r="X627" s="398">
        <v>127602</v>
      </c>
      <c r="Y627" s="398">
        <v>9114</v>
      </c>
    </row>
    <row r="628" spans="1:25">
      <c r="A628" s="392">
        <v>96701</v>
      </c>
      <c r="B628" s="393" t="s">
        <v>1327</v>
      </c>
      <c r="C628" s="235">
        <v>7.9334000000000002E-3</v>
      </c>
      <c r="D628" s="235">
        <v>8.4864999999999993E-3</v>
      </c>
      <c r="E628" s="232">
        <v>28349418</v>
      </c>
      <c r="F628" s="232" t="s">
        <v>1930</v>
      </c>
      <c r="G628" s="394">
        <v>3580034</v>
      </c>
      <c r="H628" s="394">
        <v>3989421</v>
      </c>
      <c r="I628" s="394">
        <v>2109753</v>
      </c>
      <c r="J628" s="232">
        <v>64826</v>
      </c>
      <c r="K628" s="232">
        <v>9744034</v>
      </c>
      <c r="L628" s="232"/>
      <c r="M628" s="226">
        <v>0</v>
      </c>
      <c r="N628" s="226">
        <v>0</v>
      </c>
      <c r="O628" s="232">
        <v>1154296</v>
      </c>
      <c r="P628" s="232">
        <v>1154296</v>
      </c>
      <c r="Q628" s="232"/>
      <c r="R628" s="394">
        <v>9749157</v>
      </c>
      <c r="S628" s="232">
        <v>-338855</v>
      </c>
      <c r="T628" s="398">
        <v>9410302</v>
      </c>
      <c r="U628" s="232"/>
      <c r="V628" s="398"/>
      <c r="W628" s="398"/>
      <c r="X628" s="398">
        <v>57517880</v>
      </c>
      <c r="Y628" s="398">
        <v>4108375</v>
      </c>
    </row>
    <row r="629" spans="1:25">
      <c r="A629" s="392">
        <v>96704</v>
      </c>
      <c r="B629" s="393" t="s">
        <v>1328</v>
      </c>
      <c r="C629" s="235">
        <v>1.9349999999999999E-4</v>
      </c>
      <c r="D629" s="235">
        <v>1.873E-4</v>
      </c>
      <c r="E629" s="232">
        <v>691458</v>
      </c>
      <c r="F629" s="232" t="s">
        <v>1930</v>
      </c>
      <c r="G629" s="394">
        <v>87319</v>
      </c>
      <c r="H629" s="394">
        <v>97304</v>
      </c>
      <c r="I629" s="394">
        <v>51458</v>
      </c>
      <c r="J629" s="232">
        <v>75109</v>
      </c>
      <c r="K629" s="232">
        <v>311190</v>
      </c>
      <c r="L629" s="232"/>
      <c r="M629" s="226">
        <v>0</v>
      </c>
      <c r="N629" s="226">
        <v>0</v>
      </c>
      <c r="O629" s="232">
        <v>0</v>
      </c>
      <c r="P629" s="232">
        <v>0</v>
      </c>
      <c r="Q629" s="232"/>
      <c r="R629" s="394">
        <v>237787</v>
      </c>
      <c r="S629" s="232">
        <v>31276</v>
      </c>
      <c r="T629" s="398">
        <v>269063</v>
      </c>
      <c r="U629" s="232"/>
      <c r="V629" s="398"/>
      <c r="W629" s="398"/>
      <c r="X629" s="398">
        <v>1402893</v>
      </c>
      <c r="Y629" s="398">
        <v>100206</v>
      </c>
    </row>
    <row r="630" spans="1:25">
      <c r="A630" s="392">
        <v>96708</v>
      </c>
      <c r="B630" s="393" t="s">
        <v>1329</v>
      </c>
      <c r="C630" s="235">
        <v>8.5760000000000003E-4</v>
      </c>
      <c r="D630" s="235">
        <v>8.7410000000000005E-4</v>
      </c>
      <c r="E630" s="232">
        <v>3064570</v>
      </c>
      <c r="F630" s="232" t="s">
        <v>1930</v>
      </c>
      <c r="G630" s="394">
        <v>387001</v>
      </c>
      <c r="H630" s="394">
        <v>431256</v>
      </c>
      <c r="I630" s="394">
        <v>228064</v>
      </c>
      <c r="J630" s="232">
        <v>53375</v>
      </c>
      <c r="K630" s="232">
        <v>1099696</v>
      </c>
      <c r="L630" s="232"/>
      <c r="M630" s="226">
        <v>0</v>
      </c>
      <c r="N630" s="226">
        <v>0</v>
      </c>
      <c r="O630" s="232">
        <v>35772</v>
      </c>
      <c r="P630" s="232">
        <v>35772</v>
      </c>
      <c r="Q630" s="232"/>
      <c r="R630" s="394">
        <v>1053883</v>
      </c>
      <c r="S630" s="232">
        <v>11999</v>
      </c>
      <c r="T630" s="398">
        <v>1065882</v>
      </c>
      <c r="U630" s="232"/>
      <c r="V630" s="398"/>
      <c r="W630" s="398"/>
      <c r="X630" s="398">
        <v>6217679</v>
      </c>
      <c r="Y630" s="398">
        <v>444115</v>
      </c>
    </row>
    <row r="631" spans="1:25">
      <c r="A631" s="392">
        <v>96711</v>
      </c>
      <c r="B631" s="393" t="s">
        <v>1330</v>
      </c>
      <c r="C631" s="235">
        <v>3.8658999999999998E-3</v>
      </c>
      <c r="D631" s="235">
        <v>3.7919E-3</v>
      </c>
      <c r="E631" s="232">
        <v>13814508</v>
      </c>
      <c r="F631" s="232" t="s">
        <v>1930</v>
      </c>
      <c r="G631" s="394">
        <v>1744530</v>
      </c>
      <c r="H631" s="394">
        <v>1944022</v>
      </c>
      <c r="I631" s="394">
        <v>1028070</v>
      </c>
      <c r="J631" s="232">
        <v>34892</v>
      </c>
      <c r="K631" s="232">
        <v>4751514</v>
      </c>
      <c r="L631" s="232"/>
      <c r="M631" s="226">
        <v>0</v>
      </c>
      <c r="N631" s="226">
        <v>0</v>
      </c>
      <c r="O631" s="232">
        <v>177048</v>
      </c>
      <c r="P631" s="232">
        <v>177048</v>
      </c>
      <c r="Q631" s="232"/>
      <c r="R631" s="394">
        <v>4750708</v>
      </c>
      <c r="S631" s="232">
        <v>-113147</v>
      </c>
      <c r="T631" s="398">
        <v>4637561</v>
      </c>
      <c r="U631" s="232"/>
      <c r="V631" s="398"/>
      <c r="W631" s="398"/>
      <c r="X631" s="398">
        <v>28028131</v>
      </c>
      <c r="Y631" s="398">
        <v>2001987</v>
      </c>
    </row>
    <row r="632" spans="1:25">
      <c r="A632" s="392">
        <v>96721</v>
      </c>
      <c r="B632" s="393" t="s">
        <v>1331</v>
      </c>
      <c r="C632" s="235">
        <v>2.3929999999999999E-4</v>
      </c>
      <c r="D632" s="235">
        <v>2.1719999999999999E-4</v>
      </c>
      <c r="E632" s="232">
        <v>855121</v>
      </c>
      <c r="F632" s="232" t="s">
        <v>1930</v>
      </c>
      <c r="G632" s="394">
        <v>107987</v>
      </c>
      <c r="H632" s="394">
        <v>120336</v>
      </c>
      <c r="I632" s="394">
        <v>63638</v>
      </c>
      <c r="J632" s="232">
        <v>31242</v>
      </c>
      <c r="K632" s="232">
        <v>323203</v>
      </c>
      <c r="L632" s="232"/>
      <c r="M632" s="226">
        <v>0</v>
      </c>
      <c r="N632" s="226">
        <v>0</v>
      </c>
      <c r="O632" s="232">
        <v>2666</v>
      </c>
      <c r="P632" s="232">
        <v>2666</v>
      </c>
      <c r="Q632" s="232"/>
      <c r="R632" s="394">
        <v>294070</v>
      </c>
      <c r="S632" s="232">
        <v>3478</v>
      </c>
      <c r="T632" s="398">
        <v>297548</v>
      </c>
      <c r="U632" s="232"/>
      <c r="V632" s="398"/>
      <c r="W632" s="398"/>
      <c r="X632" s="398">
        <v>1734947</v>
      </c>
      <c r="Y632" s="398">
        <v>123923</v>
      </c>
    </row>
    <row r="633" spans="1:25">
      <c r="A633" s="392">
        <v>96731</v>
      </c>
      <c r="B633" s="393" t="s">
        <v>1332</v>
      </c>
      <c r="C633" s="235">
        <v>1.741E-4</v>
      </c>
      <c r="D633" s="235">
        <v>1.763E-4</v>
      </c>
      <c r="E633" s="232">
        <v>622133</v>
      </c>
      <c r="F633" s="232" t="s">
        <v>1930</v>
      </c>
      <c r="G633" s="394">
        <v>78565</v>
      </c>
      <c r="H633" s="394">
        <v>87549</v>
      </c>
      <c r="I633" s="394">
        <v>46299</v>
      </c>
      <c r="J633" s="232">
        <v>2530</v>
      </c>
      <c r="K633" s="232">
        <v>214943</v>
      </c>
      <c r="L633" s="232"/>
      <c r="M633" s="226">
        <v>0</v>
      </c>
      <c r="N633" s="226">
        <v>0</v>
      </c>
      <c r="O633" s="232">
        <v>6281</v>
      </c>
      <c r="P633" s="232">
        <v>6281</v>
      </c>
      <c r="Q633" s="232"/>
      <c r="R633" s="394">
        <v>213947</v>
      </c>
      <c r="S633" s="232">
        <v>2614</v>
      </c>
      <c r="T633" s="398">
        <v>216561</v>
      </c>
      <c r="U633" s="232"/>
      <c r="V633" s="398"/>
      <c r="W633" s="398"/>
      <c r="X633" s="398">
        <v>1262241</v>
      </c>
      <c r="Y633" s="398">
        <v>90159</v>
      </c>
    </row>
    <row r="634" spans="1:25">
      <c r="A634" s="392">
        <v>96733</v>
      </c>
      <c r="B634" s="393" t="s">
        <v>1333</v>
      </c>
      <c r="C634" s="235">
        <v>0</v>
      </c>
      <c r="D634" s="235">
        <v>6.4999999999999996E-6</v>
      </c>
      <c r="E634" s="232">
        <v>0</v>
      </c>
      <c r="F634" s="232" t="s">
        <v>1930</v>
      </c>
      <c r="G634" s="394">
        <v>0</v>
      </c>
      <c r="H634" s="394">
        <v>0</v>
      </c>
      <c r="I634" s="394">
        <v>0</v>
      </c>
      <c r="J634" s="232">
        <v>1099</v>
      </c>
      <c r="K634" s="232">
        <v>1099</v>
      </c>
      <c r="L634" s="232"/>
      <c r="M634" s="226">
        <v>0</v>
      </c>
      <c r="N634" s="226">
        <v>0</v>
      </c>
      <c r="O634" s="232">
        <v>12912</v>
      </c>
      <c r="P634" s="232">
        <v>12912</v>
      </c>
      <c r="Q634" s="232"/>
      <c r="R634" s="394">
        <v>0</v>
      </c>
      <c r="S634" s="232">
        <v>-2956</v>
      </c>
      <c r="T634" s="398">
        <v>-2956</v>
      </c>
      <c r="U634" s="232"/>
      <c r="V634" s="398"/>
      <c r="W634" s="398"/>
      <c r="X634" s="398">
        <v>0</v>
      </c>
      <c r="Y634" s="398">
        <v>0</v>
      </c>
    </row>
    <row r="635" spans="1:25">
      <c r="A635" s="392">
        <v>96741</v>
      </c>
      <c r="B635" s="393" t="s">
        <v>1334</v>
      </c>
      <c r="C635" s="235">
        <v>8.6799999999999996E-5</v>
      </c>
      <c r="D635" s="235">
        <v>9.6799999999999995E-5</v>
      </c>
      <c r="E635" s="232">
        <v>310173</v>
      </c>
      <c r="F635" s="232" t="s">
        <v>1930</v>
      </c>
      <c r="G635" s="394">
        <v>39169</v>
      </c>
      <c r="H635" s="394">
        <v>43648</v>
      </c>
      <c r="I635" s="394">
        <v>23083</v>
      </c>
      <c r="J635" s="232">
        <v>1403</v>
      </c>
      <c r="K635" s="232">
        <v>107303</v>
      </c>
      <c r="L635" s="232"/>
      <c r="M635" s="226">
        <v>0</v>
      </c>
      <c r="N635" s="226">
        <v>0</v>
      </c>
      <c r="O635" s="232">
        <v>17333</v>
      </c>
      <c r="P635" s="232">
        <v>17333</v>
      </c>
      <c r="Q635" s="232"/>
      <c r="R635" s="394">
        <v>106666</v>
      </c>
      <c r="S635" s="232">
        <v>-5634</v>
      </c>
      <c r="T635" s="398">
        <v>101032</v>
      </c>
      <c r="U635" s="232"/>
      <c r="V635" s="398"/>
      <c r="W635" s="398"/>
      <c r="X635" s="398">
        <v>629308</v>
      </c>
      <c r="Y635" s="398">
        <v>44950</v>
      </c>
    </row>
    <row r="636" spans="1:25">
      <c r="A636" s="392">
        <v>96751</v>
      </c>
      <c r="B636" s="393" t="s">
        <v>1335</v>
      </c>
      <c r="C636" s="235">
        <v>2.7139999999999998E-4</v>
      </c>
      <c r="D636" s="235">
        <v>3.054E-4</v>
      </c>
      <c r="E636" s="232">
        <v>969828</v>
      </c>
      <c r="F636" s="232" t="s">
        <v>1930</v>
      </c>
      <c r="G636" s="394">
        <v>122472</v>
      </c>
      <c r="H636" s="394">
        <v>136477</v>
      </c>
      <c r="I636" s="394">
        <v>72174</v>
      </c>
      <c r="J636" s="232">
        <v>17624</v>
      </c>
      <c r="K636" s="232">
        <v>348747</v>
      </c>
      <c r="L636" s="232"/>
      <c r="M636" s="226">
        <v>0</v>
      </c>
      <c r="N636" s="226">
        <v>0</v>
      </c>
      <c r="O636" s="232">
        <v>36625</v>
      </c>
      <c r="P636" s="232">
        <v>36625</v>
      </c>
      <c r="Q636" s="232"/>
      <c r="R636" s="394">
        <v>333517</v>
      </c>
      <c r="S636" s="232">
        <v>-13366</v>
      </c>
      <c r="T636" s="398">
        <v>320151</v>
      </c>
      <c r="U636" s="232"/>
      <c r="V636" s="398"/>
      <c r="W636" s="398"/>
      <c r="X636" s="398">
        <v>1967675</v>
      </c>
      <c r="Y636" s="398">
        <v>140547</v>
      </c>
    </row>
    <row r="637" spans="1:25">
      <c r="A637" s="392">
        <v>96801</v>
      </c>
      <c r="B637" s="393" t="s">
        <v>1336</v>
      </c>
      <c r="C637" s="235">
        <v>7.3815E-3</v>
      </c>
      <c r="D637" s="235">
        <v>7.6207000000000002E-3</v>
      </c>
      <c r="E637" s="232">
        <v>26377244</v>
      </c>
      <c r="F637" s="232" t="s">
        <v>1930</v>
      </c>
      <c r="G637" s="394">
        <v>3330983</v>
      </c>
      <c r="H637" s="394">
        <v>3711890</v>
      </c>
      <c r="I637" s="394">
        <v>1962984</v>
      </c>
      <c r="J637" s="232">
        <v>36030</v>
      </c>
      <c r="K637" s="232">
        <v>9041887</v>
      </c>
      <c r="L637" s="232"/>
      <c r="M637" s="226">
        <v>0</v>
      </c>
      <c r="N637" s="226">
        <v>0</v>
      </c>
      <c r="O637" s="232">
        <v>208907</v>
      </c>
      <c r="P637" s="232">
        <v>208907</v>
      </c>
      <c r="Q637" s="232"/>
      <c r="R637" s="394">
        <v>9070941</v>
      </c>
      <c r="S637" s="232">
        <v>-5403</v>
      </c>
      <c r="T637" s="398">
        <v>9065538</v>
      </c>
      <c r="U637" s="232"/>
      <c r="V637" s="398"/>
      <c r="W637" s="398"/>
      <c r="X637" s="398">
        <v>53516554</v>
      </c>
      <c r="Y637" s="398">
        <v>3822569</v>
      </c>
    </row>
    <row r="638" spans="1:25">
      <c r="A638" s="392">
        <v>96804</v>
      </c>
      <c r="B638" s="393" t="s">
        <v>1337</v>
      </c>
      <c r="C638" s="235">
        <v>2.3499999999999999E-4</v>
      </c>
      <c r="D638" s="235">
        <v>2.4230000000000001E-4</v>
      </c>
      <c r="E638" s="232">
        <v>839755</v>
      </c>
      <c r="F638" s="232" t="s">
        <v>1930</v>
      </c>
      <c r="G638" s="394">
        <v>106046</v>
      </c>
      <c r="H638" s="394">
        <v>118173</v>
      </c>
      <c r="I638" s="394">
        <v>62494</v>
      </c>
      <c r="J638" s="232">
        <v>1338</v>
      </c>
      <c r="K638" s="232">
        <v>288051</v>
      </c>
      <c r="L638" s="232"/>
      <c r="M638" s="226">
        <v>0</v>
      </c>
      <c r="N638" s="226">
        <v>0</v>
      </c>
      <c r="O638" s="232">
        <v>38987</v>
      </c>
      <c r="P638" s="232">
        <v>38987</v>
      </c>
      <c r="Q638" s="232"/>
      <c r="R638" s="394">
        <v>288786</v>
      </c>
      <c r="S638" s="232">
        <v>-13248</v>
      </c>
      <c r="T638" s="398">
        <v>275538</v>
      </c>
      <c r="U638" s="232"/>
      <c r="V638" s="398"/>
      <c r="W638" s="398"/>
      <c r="X638" s="398">
        <v>1703772</v>
      </c>
      <c r="Y638" s="398">
        <v>121697</v>
      </c>
    </row>
    <row r="639" spans="1:25">
      <c r="A639" s="392">
        <v>96808</v>
      </c>
      <c r="B639" s="393" t="s">
        <v>1338</v>
      </c>
      <c r="C639" s="235">
        <v>1.2712999999999999E-3</v>
      </c>
      <c r="D639" s="235">
        <v>1.2175E-3</v>
      </c>
      <c r="E639" s="232">
        <v>4542896</v>
      </c>
      <c r="F639" s="232" t="s">
        <v>1930</v>
      </c>
      <c r="G639" s="394">
        <v>573688</v>
      </c>
      <c r="H639" s="394">
        <v>639291</v>
      </c>
      <c r="I639" s="394">
        <v>338081</v>
      </c>
      <c r="J639" s="232">
        <v>61456</v>
      </c>
      <c r="K639" s="232">
        <v>1612516</v>
      </c>
      <c r="L639" s="232"/>
      <c r="M639" s="226">
        <v>0</v>
      </c>
      <c r="N639" s="226">
        <v>0</v>
      </c>
      <c r="O639" s="232">
        <v>28625</v>
      </c>
      <c r="P639" s="232">
        <v>28625</v>
      </c>
      <c r="Q639" s="232"/>
      <c r="R639" s="394">
        <v>1562269</v>
      </c>
      <c r="S639" s="232">
        <v>15640</v>
      </c>
      <c r="T639" s="398">
        <v>1577909</v>
      </c>
      <c r="U639" s="232"/>
      <c r="V639" s="398"/>
      <c r="W639" s="398"/>
      <c r="X639" s="398">
        <v>9217042</v>
      </c>
      <c r="Y639" s="398">
        <v>658353</v>
      </c>
    </row>
    <row r="640" spans="1:25">
      <c r="A640" s="392">
        <v>96811</v>
      </c>
      <c r="B640" s="393" t="s">
        <v>1339</v>
      </c>
      <c r="C640" s="235">
        <v>5.7375999999999998E-3</v>
      </c>
      <c r="D640" s="235">
        <v>5.8506000000000001E-3</v>
      </c>
      <c r="E640" s="232">
        <v>20502889</v>
      </c>
      <c r="F640" s="232" t="s">
        <v>1930</v>
      </c>
      <c r="G640" s="394">
        <v>2589155</v>
      </c>
      <c r="H640" s="394">
        <v>2885233</v>
      </c>
      <c r="I640" s="394">
        <v>1525817</v>
      </c>
      <c r="J640" s="232">
        <v>9353</v>
      </c>
      <c r="K640" s="232">
        <v>7009558</v>
      </c>
      <c r="L640" s="232"/>
      <c r="M640" s="226">
        <v>0</v>
      </c>
      <c r="N640" s="226">
        <v>0</v>
      </c>
      <c r="O640" s="232">
        <v>202284</v>
      </c>
      <c r="P640" s="232">
        <v>202284</v>
      </c>
      <c r="Q640" s="232"/>
      <c r="R640" s="394">
        <v>7050793</v>
      </c>
      <c r="S640" s="232">
        <v>-72125</v>
      </c>
      <c r="T640" s="398">
        <v>6978668</v>
      </c>
      <c r="U640" s="232"/>
      <c r="V640" s="398"/>
      <c r="W640" s="398"/>
      <c r="X640" s="398">
        <v>41598128</v>
      </c>
      <c r="Y640" s="398">
        <v>2971262</v>
      </c>
    </row>
    <row r="641" spans="1:25">
      <c r="A641" s="392">
        <v>96821</v>
      </c>
      <c r="B641" s="393" t="s">
        <v>1340</v>
      </c>
      <c r="C641" s="235">
        <v>1.2259E-3</v>
      </c>
      <c r="D641" s="235">
        <v>1.2505999999999999E-3</v>
      </c>
      <c r="E641" s="232">
        <v>4380663</v>
      </c>
      <c r="F641" s="232" t="s">
        <v>1930</v>
      </c>
      <c r="G641" s="394">
        <v>553201</v>
      </c>
      <c r="H641" s="394">
        <v>616461</v>
      </c>
      <c r="I641" s="394">
        <v>326007</v>
      </c>
      <c r="J641" s="232">
        <v>87417</v>
      </c>
      <c r="K641" s="232">
        <v>1583086</v>
      </c>
      <c r="L641" s="232"/>
      <c r="M641" s="226">
        <v>0</v>
      </c>
      <c r="N641" s="226">
        <v>0</v>
      </c>
      <c r="O641" s="232">
        <v>51931</v>
      </c>
      <c r="P641" s="232">
        <v>51931</v>
      </c>
      <c r="Q641" s="232"/>
      <c r="R641" s="394">
        <v>1506478</v>
      </c>
      <c r="S641" s="232">
        <v>-22149</v>
      </c>
      <c r="T641" s="398">
        <v>1484329</v>
      </c>
      <c r="U641" s="232"/>
      <c r="V641" s="398"/>
      <c r="W641" s="398"/>
      <c r="X641" s="398">
        <v>8887888</v>
      </c>
      <c r="Y641" s="398">
        <v>634842</v>
      </c>
    </row>
    <row r="642" spans="1:25">
      <c r="A642" s="392">
        <v>96831</v>
      </c>
      <c r="B642" s="393" t="s">
        <v>1341</v>
      </c>
      <c r="C642" s="235">
        <v>9.2150000000000001E-4</v>
      </c>
      <c r="D642" s="235">
        <v>9.0549999999999995E-4</v>
      </c>
      <c r="E642" s="232">
        <v>3292912</v>
      </c>
      <c r="F642" s="232" t="s">
        <v>1930</v>
      </c>
      <c r="G642" s="394">
        <v>415837</v>
      </c>
      <c r="H642" s="394">
        <v>463389</v>
      </c>
      <c r="I642" s="394">
        <v>245057</v>
      </c>
      <c r="J642" s="232">
        <v>26400</v>
      </c>
      <c r="K642" s="232">
        <v>1150683</v>
      </c>
      <c r="L642" s="232"/>
      <c r="M642" s="226">
        <v>0</v>
      </c>
      <c r="N642" s="226">
        <v>0</v>
      </c>
      <c r="O642" s="232">
        <v>23976</v>
      </c>
      <c r="P642" s="232">
        <v>23976</v>
      </c>
      <c r="Q642" s="232"/>
      <c r="R642" s="394">
        <v>1132408</v>
      </c>
      <c r="S642" s="232">
        <v>6139</v>
      </c>
      <c r="T642" s="398">
        <v>1138547</v>
      </c>
      <c r="U642" s="232"/>
      <c r="V642" s="398"/>
      <c r="W642" s="398"/>
      <c r="X642" s="398">
        <v>6680960</v>
      </c>
      <c r="Y642" s="398">
        <v>477206</v>
      </c>
    </row>
    <row r="643" spans="1:25">
      <c r="A643" s="392">
        <v>96901</v>
      </c>
      <c r="B643" s="393" t="s">
        <v>1342</v>
      </c>
      <c r="C643" s="235">
        <v>8.6399999999999997E-4</v>
      </c>
      <c r="D643" s="235">
        <v>9.5589999999999998E-4</v>
      </c>
      <c r="E643" s="232">
        <v>3087440</v>
      </c>
      <c r="F643" s="232" t="s">
        <v>1930</v>
      </c>
      <c r="G643" s="394">
        <v>389890</v>
      </c>
      <c r="H643" s="394">
        <v>434474</v>
      </c>
      <c r="I643" s="394">
        <v>229766</v>
      </c>
      <c r="J643" s="232">
        <v>41558</v>
      </c>
      <c r="K643" s="232">
        <v>1095688</v>
      </c>
      <c r="L643" s="232"/>
      <c r="M643" s="226">
        <v>0</v>
      </c>
      <c r="N643" s="226">
        <v>0</v>
      </c>
      <c r="O643" s="232">
        <v>147115</v>
      </c>
      <c r="P643" s="232">
        <v>147115</v>
      </c>
      <c r="Q643" s="232"/>
      <c r="R643" s="394">
        <v>1061748</v>
      </c>
      <c r="S643" s="232">
        <v>-20641</v>
      </c>
      <c r="T643" s="398">
        <v>1041107</v>
      </c>
      <c r="U643" s="232"/>
      <c r="V643" s="398"/>
      <c r="W643" s="398"/>
      <c r="X643" s="398">
        <v>6264079</v>
      </c>
      <c r="Y643" s="398">
        <v>447429</v>
      </c>
    </row>
    <row r="644" spans="1:25">
      <c r="A644" s="392">
        <v>96911</v>
      </c>
      <c r="B644" s="393" t="s">
        <v>1343</v>
      </c>
      <c r="C644" s="235">
        <v>2.3E-6</v>
      </c>
      <c r="D644" s="235">
        <v>2.3E-6</v>
      </c>
      <c r="E644" s="232">
        <v>8219</v>
      </c>
      <c r="F644" s="232" t="s">
        <v>1930</v>
      </c>
      <c r="G644" s="394">
        <v>1038</v>
      </c>
      <c r="H644" s="394">
        <v>1156</v>
      </c>
      <c r="I644" s="394">
        <v>612</v>
      </c>
      <c r="J644" s="232">
        <v>3052</v>
      </c>
      <c r="K644" s="232">
        <v>5858</v>
      </c>
      <c r="L644" s="232"/>
      <c r="M644" s="226">
        <v>0</v>
      </c>
      <c r="N644" s="226">
        <v>0</v>
      </c>
      <c r="O644" s="232">
        <v>50</v>
      </c>
      <c r="P644" s="232">
        <v>50</v>
      </c>
      <c r="Q644" s="232"/>
      <c r="R644" s="394">
        <v>2826</v>
      </c>
      <c r="S644" s="232">
        <v>222</v>
      </c>
      <c r="T644" s="398">
        <v>3048</v>
      </c>
      <c r="U644" s="232"/>
      <c r="V644" s="398"/>
      <c r="W644" s="398"/>
      <c r="X644" s="398">
        <v>16675</v>
      </c>
      <c r="Y644" s="398">
        <v>1191</v>
      </c>
    </row>
    <row r="645" spans="1:25" s="357" customFormat="1">
      <c r="A645" s="392">
        <v>96912</v>
      </c>
      <c r="B645" s="393" t="s">
        <v>1344</v>
      </c>
      <c r="C645" s="235">
        <v>7.5400000000000003E-5</v>
      </c>
      <c r="D645" s="235">
        <v>7.2000000000000002E-5</v>
      </c>
      <c r="E645" s="232">
        <v>269436</v>
      </c>
      <c r="F645" s="232" t="s">
        <v>1930</v>
      </c>
      <c r="G645" s="394">
        <v>34025</v>
      </c>
      <c r="H645" s="394">
        <v>37916</v>
      </c>
      <c r="I645" s="394">
        <v>20051</v>
      </c>
      <c r="J645" s="232">
        <v>2187</v>
      </c>
      <c r="K645" s="232">
        <v>94179</v>
      </c>
      <c r="L645" s="232"/>
      <c r="M645" s="226">
        <v>0</v>
      </c>
      <c r="N645" s="226">
        <v>0</v>
      </c>
      <c r="O645" s="232">
        <v>1495</v>
      </c>
      <c r="P645" s="232">
        <v>1495</v>
      </c>
      <c r="Q645" s="232"/>
      <c r="R645" s="394">
        <v>92657</v>
      </c>
      <c r="S645" s="232">
        <v>-455</v>
      </c>
      <c r="T645" s="398">
        <v>92202</v>
      </c>
      <c r="U645" s="232"/>
      <c r="V645" s="398"/>
      <c r="W645" s="398"/>
      <c r="X645" s="398">
        <v>546657</v>
      </c>
      <c r="Y645" s="398">
        <v>39046</v>
      </c>
    </row>
    <row r="646" spans="1:25">
      <c r="A646" s="392">
        <v>96918</v>
      </c>
      <c r="B646" s="393" t="s">
        <v>1345</v>
      </c>
      <c r="C646" s="235">
        <v>3.1300000000000002E-5</v>
      </c>
      <c r="D646" s="235">
        <v>2.9799999999999999E-5</v>
      </c>
      <c r="E646" s="232">
        <v>111848</v>
      </c>
      <c r="F646" s="232" t="s">
        <v>1930</v>
      </c>
      <c r="G646" s="394">
        <v>14124</v>
      </c>
      <c r="H646" s="394">
        <v>15739</v>
      </c>
      <c r="I646" s="394">
        <v>8324</v>
      </c>
      <c r="J646" s="232">
        <v>7969</v>
      </c>
      <c r="K646" s="232">
        <v>46156</v>
      </c>
      <c r="L646" s="232"/>
      <c r="M646" s="226">
        <v>0</v>
      </c>
      <c r="N646" s="226">
        <v>0</v>
      </c>
      <c r="O646" s="232">
        <v>1957</v>
      </c>
      <c r="P646" s="232">
        <v>1957</v>
      </c>
      <c r="Q646" s="232"/>
      <c r="R646" s="394">
        <v>38464</v>
      </c>
      <c r="S646" s="232">
        <v>1563</v>
      </c>
      <c r="T646" s="398">
        <v>40027</v>
      </c>
      <c r="U646" s="232"/>
      <c r="V646" s="398"/>
      <c r="W646" s="398"/>
      <c r="X646" s="398">
        <v>226928</v>
      </c>
      <c r="Y646" s="398">
        <v>16209</v>
      </c>
    </row>
    <row r="647" spans="1:25">
      <c r="A647" s="392">
        <v>97001</v>
      </c>
      <c r="B647" s="393" t="s">
        <v>1346</v>
      </c>
      <c r="C647" s="235">
        <v>1.4051999999999999E-3</v>
      </c>
      <c r="D647" s="235">
        <v>1.3541E-3</v>
      </c>
      <c r="E647" s="232">
        <v>5021378</v>
      </c>
      <c r="F647" s="232" t="s">
        <v>1930</v>
      </c>
      <c r="G647" s="394">
        <v>634112</v>
      </c>
      <c r="H647" s="394">
        <v>706624</v>
      </c>
      <c r="I647" s="394">
        <v>373689</v>
      </c>
      <c r="J647" s="232">
        <v>173891</v>
      </c>
      <c r="K647" s="232">
        <v>1888316</v>
      </c>
      <c r="L647" s="232"/>
      <c r="M647" s="226">
        <v>0</v>
      </c>
      <c r="N647" s="226">
        <v>0</v>
      </c>
      <c r="O647" s="232">
        <v>0</v>
      </c>
      <c r="P647" s="232">
        <v>0</v>
      </c>
      <c r="Q647" s="232"/>
      <c r="R647" s="394">
        <v>1726815</v>
      </c>
      <c r="S647" s="232">
        <v>91810</v>
      </c>
      <c r="T647" s="398">
        <v>1818625</v>
      </c>
      <c r="U647" s="232"/>
      <c r="V647" s="398"/>
      <c r="W647" s="398"/>
      <c r="X647" s="398">
        <v>10187829</v>
      </c>
      <c r="Y647" s="398">
        <v>727694</v>
      </c>
    </row>
    <row r="648" spans="1:25">
      <c r="A648" s="392">
        <v>97002</v>
      </c>
      <c r="B648" s="393" t="s">
        <v>1347</v>
      </c>
      <c r="C648" s="235">
        <v>4.7550000000000001E-4</v>
      </c>
      <c r="D648" s="235">
        <v>5.04E-4</v>
      </c>
      <c r="E648" s="232">
        <v>1699164</v>
      </c>
      <c r="F648" s="232" t="s">
        <v>1930</v>
      </c>
      <c r="G648" s="394">
        <v>214575</v>
      </c>
      <c r="H648" s="394">
        <v>239112</v>
      </c>
      <c r="I648" s="394">
        <v>126451</v>
      </c>
      <c r="J648" s="232">
        <v>0</v>
      </c>
      <c r="K648" s="232">
        <v>580138</v>
      </c>
      <c r="L648" s="232"/>
      <c r="M648" s="226">
        <v>0</v>
      </c>
      <c r="N648" s="226">
        <v>0</v>
      </c>
      <c r="O648" s="232">
        <v>147141</v>
      </c>
      <c r="P648" s="232">
        <v>147141</v>
      </c>
      <c r="Q648" s="232"/>
      <c r="R648" s="394">
        <v>584330</v>
      </c>
      <c r="S648" s="232">
        <v>-54280</v>
      </c>
      <c r="T648" s="398">
        <v>530050</v>
      </c>
      <c r="U648" s="232"/>
      <c r="V648" s="398"/>
      <c r="W648" s="398"/>
      <c r="X648" s="398">
        <v>3447419</v>
      </c>
      <c r="Y648" s="398">
        <v>246241</v>
      </c>
    </row>
    <row r="649" spans="1:25">
      <c r="A649" s="392">
        <v>97004</v>
      </c>
      <c r="B649" s="393" t="s">
        <v>1348</v>
      </c>
      <c r="C649" s="235">
        <v>1.27E-5</v>
      </c>
      <c r="D649" s="235">
        <v>1.5400000000000002E-5</v>
      </c>
      <c r="E649" s="232">
        <v>45383</v>
      </c>
      <c r="F649" s="232" t="s">
        <v>1930</v>
      </c>
      <c r="G649" s="394">
        <v>5731</v>
      </c>
      <c r="H649" s="394">
        <v>6386</v>
      </c>
      <c r="I649" s="394">
        <v>3377</v>
      </c>
      <c r="J649" s="232">
        <v>7716</v>
      </c>
      <c r="K649" s="232">
        <v>23210</v>
      </c>
      <c r="L649" s="232"/>
      <c r="M649" s="226">
        <v>0</v>
      </c>
      <c r="N649" s="226">
        <v>0</v>
      </c>
      <c r="O649" s="232">
        <v>914</v>
      </c>
      <c r="P649" s="232">
        <v>914</v>
      </c>
      <c r="Q649" s="232"/>
      <c r="R649" s="394">
        <v>15607</v>
      </c>
      <c r="S649" s="232">
        <v>2929</v>
      </c>
      <c r="T649" s="398">
        <v>18536</v>
      </c>
      <c r="U649" s="232"/>
      <c r="V649" s="398"/>
      <c r="W649" s="398"/>
      <c r="X649" s="398">
        <v>92076</v>
      </c>
      <c r="Y649" s="398">
        <v>6577</v>
      </c>
    </row>
    <row r="650" spans="1:25">
      <c r="A650" s="392">
        <v>97005</v>
      </c>
      <c r="B650" s="393" t="s">
        <v>1349</v>
      </c>
      <c r="C650" s="235">
        <v>2.2500000000000001E-5</v>
      </c>
      <c r="D650" s="235">
        <v>2.0100000000000001E-5</v>
      </c>
      <c r="E650" s="232">
        <v>80402</v>
      </c>
      <c r="F650" s="232" t="s">
        <v>1930</v>
      </c>
      <c r="G650" s="394">
        <v>10153</v>
      </c>
      <c r="H650" s="394">
        <v>11314</v>
      </c>
      <c r="I650" s="394">
        <v>5983</v>
      </c>
      <c r="J650" s="232">
        <v>9482</v>
      </c>
      <c r="K650" s="232">
        <v>36932</v>
      </c>
      <c r="L650" s="232"/>
      <c r="M650" s="226">
        <v>0</v>
      </c>
      <c r="N650" s="226">
        <v>0</v>
      </c>
      <c r="O650" s="232">
        <v>1351</v>
      </c>
      <c r="P650" s="232">
        <v>1351</v>
      </c>
      <c r="Q650" s="232"/>
      <c r="R650" s="394">
        <v>27650</v>
      </c>
      <c r="S650" s="232">
        <v>4294</v>
      </c>
      <c r="T650" s="398">
        <v>31944</v>
      </c>
      <c r="U650" s="232"/>
      <c r="V650" s="398"/>
      <c r="W650" s="398"/>
      <c r="X650" s="398">
        <v>163127</v>
      </c>
      <c r="Y650" s="398">
        <v>11652</v>
      </c>
    </row>
    <row r="651" spans="1:25">
      <c r="A651" s="392">
        <v>97008</v>
      </c>
      <c r="B651" s="393" t="s">
        <v>1350</v>
      </c>
      <c r="C651" s="235">
        <v>2.7549999999999997E-4</v>
      </c>
      <c r="D651" s="235">
        <v>2.8699999999999998E-4</v>
      </c>
      <c r="E651" s="232">
        <v>984479</v>
      </c>
      <c r="F651" s="232" t="s">
        <v>1930</v>
      </c>
      <c r="G651" s="394">
        <v>124322</v>
      </c>
      <c r="H651" s="394">
        <v>138539</v>
      </c>
      <c r="I651" s="394">
        <v>73265</v>
      </c>
      <c r="J651" s="232">
        <v>10011</v>
      </c>
      <c r="K651" s="232">
        <v>346137</v>
      </c>
      <c r="L651" s="232"/>
      <c r="M651" s="226">
        <v>0</v>
      </c>
      <c r="N651" s="226">
        <v>0</v>
      </c>
      <c r="O651" s="232">
        <v>8984</v>
      </c>
      <c r="P651" s="232">
        <v>8984</v>
      </c>
      <c r="Q651" s="232"/>
      <c r="R651" s="394">
        <v>338555</v>
      </c>
      <c r="S651" s="232">
        <v>521</v>
      </c>
      <c r="T651" s="398">
        <v>339076</v>
      </c>
      <c r="U651" s="232"/>
      <c r="V651" s="398"/>
      <c r="W651" s="398"/>
      <c r="X651" s="398">
        <v>1997400</v>
      </c>
      <c r="Y651" s="398">
        <v>142670</v>
      </c>
    </row>
    <row r="652" spans="1:25">
      <c r="A652" s="392">
        <v>97010</v>
      </c>
      <c r="B652" s="393" t="s">
        <v>1351</v>
      </c>
      <c r="C652" s="235">
        <v>0</v>
      </c>
      <c r="D652" s="235">
        <v>0</v>
      </c>
      <c r="E652" s="232">
        <v>0</v>
      </c>
      <c r="F652" s="232" t="s">
        <v>1930</v>
      </c>
      <c r="G652" s="394">
        <v>0</v>
      </c>
      <c r="H652" s="394">
        <v>0</v>
      </c>
      <c r="I652" s="394">
        <v>0</v>
      </c>
      <c r="J652" s="232">
        <v>0</v>
      </c>
      <c r="K652" s="232">
        <v>0</v>
      </c>
      <c r="L652" s="232"/>
      <c r="M652" s="226">
        <v>0</v>
      </c>
      <c r="N652" s="226">
        <v>0</v>
      </c>
      <c r="O652" s="232">
        <v>0</v>
      </c>
      <c r="P652" s="232">
        <v>0</v>
      </c>
      <c r="Q652" s="232"/>
      <c r="R652" s="394">
        <v>0</v>
      </c>
      <c r="S652" s="232">
        <v>0</v>
      </c>
      <c r="T652" s="398">
        <v>0</v>
      </c>
      <c r="U652" s="232"/>
      <c r="V652" s="398"/>
      <c r="W652" s="398"/>
      <c r="X652" s="398">
        <v>0</v>
      </c>
      <c r="Y652" s="398">
        <v>0</v>
      </c>
    </row>
    <row r="653" spans="1:25">
      <c r="A653" s="392">
        <v>97011</v>
      </c>
      <c r="B653" s="393" t="s">
        <v>1352</v>
      </c>
      <c r="C653" s="235">
        <v>1.8404000000000001E-3</v>
      </c>
      <c r="D653" s="235">
        <v>1.8362999999999999E-3</v>
      </c>
      <c r="E653" s="232">
        <v>6576533</v>
      </c>
      <c r="F653" s="232" t="s">
        <v>1930</v>
      </c>
      <c r="G653" s="394">
        <v>830501</v>
      </c>
      <c r="H653" s="394">
        <v>925470</v>
      </c>
      <c r="I653" s="394">
        <v>489423</v>
      </c>
      <c r="J653" s="232">
        <v>17060</v>
      </c>
      <c r="K653" s="232">
        <v>2262454</v>
      </c>
      <c r="L653" s="232"/>
      <c r="M653" s="226">
        <v>0</v>
      </c>
      <c r="N653" s="226">
        <v>0</v>
      </c>
      <c r="O653" s="232">
        <v>76841</v>
      </c>
      <c r="P653" s="232">
        <v>76841</v>
      </c>
      <c r="Q653" s="232"/>
      <c r="R653" s="394">
        <v>2261622</v>
      </c>
      <c r="S653" s="232">
        <v>-42371</v>
      </c>
      <c r="T653" s="398">
        <v>2219251</v>
      </c>
      <c r="U653" s="232"/>
      <c r="V653" s="398"/>
      <c r="W653" s="398"/>
      <c r="X653" s="398">
        <v>13343069</v>
      </c>
      <c r="Y653" s="398">
        <v>953066</v>
      </c>
    </row>
    <row r="654" spans="1:25">
      <c r="A654" s="392">
        <v>97012</v>
      </c>
      <c r="B654" s="393" t="s">
        <v>1353</v>
      </c>
      <c r="C654" s="235">
        <v>2.8399999999999999E-5</v>
      </c>
      <c r="D654" s="235">
        <v>2.97E-5</v>
      </c>
      <c r="E654" s="232">
        <v>101485</v>
      </c>
      <c r="F654" s="232" t="s">
        <v>1930</v>
      </c>
      <c r="G654" s="394">
        <v>12816</v>
      </c>
      <c r="H654" s="394">
        <v>14281</v>
      </c>
      <c r="I654" s="394">
        <v>7552</v>
      </c>
      <c r="J654" s="232">
        <v>3449</v>
      </c>
      <c r="K654" s="232">
        <v>38098</v>
      </c>
      <c r="L654" s="232"/>
      <c r="M654" s="226">
        <v>0</v>
      </c>
      <c r="N654" s="226">
        <v>0</v>
      </c>
      <c r="O654" s="232">
        <v>3004</v>
      </c>
      <c r="P654" s="232">
        <v>3004</v>
      </c>
      <c r="Q654" s="232"/>
      <c r="R654" s="394">
        <v>34900</v>
      </c>
      <c r="S654" s="232">
        <v>1586</v>
      </c>
      <c r="T654" s="398">
        <v>36486</v>
      </c>
      <c r="U654" s="232"/>
      <c r="V654" s="398"/>
      <c r="W654" s="398"/>
      <c r="X654" s="398">
        <v>205903</v>
      </c>
      <c r="Y654" s="398">
        <v>14707</v>
      </c>
    </row>
    <row r="655" spans="1:25">
      <c r="A655" s="392">
        <v>97013</v>
      </c>
      <c r="B655" s="393" t="s">
        <v>1354</v>
      </c>
      <c r="C655" s="235">
        <v>1.8899999999999999E-5</v>
      </c>
      <c r="D655" s="235">
        <v>9.0000000000000002E-6</v>
      </c>
      <c r="E655" s="232">
        <v>67538</v>
      </c>
      <c r="F655" s="232" t="s">
        <v>1930</v>
      </c>
      <c r="G655" s="394">
        <v>8529</v>
      </c>
      <c r="H655" s="394">
        <v>9504</v>
      </c>
      <c r="I655" s="394">
        <v>5026</v>
      </c>
      <c r="J655" s="232">
        <v>14731</v>
      </c>
      <c r="K655" s="232">
        <v>37790</v>
      </c>
      <c r="L655" s="232"/>
      <c r="M655" s="226">
        <v>0</v>
      </c>
      <c r="N655" s="226">
        <v>0</v>
      </c>
      <c r="O655" s="232">
        <v>6337</v>
      </c>
      <c r="P655" s="232">
        <v>6337</v>
      </c>
      <c r="Q655" s="232"/>
      <c r="R655" s="394">
        <v>23226</v>
      </c>
      <c r="S655" s="232">
        <v>4297</v>
      </c>
      <c r="T655" s="398">
        <v>27523</v>
      </c>
      <c r="U655" s="232"/>
      <c r="V655" s="398"/>
      <c r="W655" s="398"/>
      <c r="X655" s="398">
        <v>137027</v>
      </c>
      <c r="Y655" s="398">
        <v>9788</v>
      </c>
    </row>
    <row r="656" spans="1:25">
      <c r="A656" s="392">
        <v>97015</v>
      </c>
      <c r="B656" s="393" t="s">
        <v>1355</v>
      </c>
      <c r="C656" s="235">
        <v>4.71E-5</v>
      </c>
      <c r="D656" s="235">
        <v>4.3900000000000003E-5</v>
      </c>
      <c r="E656" s="232">
        <v>168308</v>
      </c>
      <c r="F656" s="232" t="s">
        <v>1930</v>
      </c>
      <c r="G656" s="394">
        <v>21254</v>
      </c>
      <c r="H656" s="394">
        <v>23685</v>
      </c>
      <c r="I656" s="394">
        <v>12525</v>
      </c>
      <c r="J656" s="232">
        <v>10970</v>
      </c>
      <c r="K656" s="232">
        <v>68434</v>
      </c>
      <c r="L656" s="232"/>
      <c r="M656" s="226">
        <v>0</v>
      </c>
      <c r="N656" s="226">
        <v>0</v>
      </c>
      <c r="O656" s="232">
        <v>4699</v>
      </c>
      <c r="P656" s="232">
        <v>4699</v>
      </c>
      <c r="Q656" s="232"/>
      <c r="R656" s="394">
        <v>57880</v>
      </c>
      <c r="S656" s="232">
        <v>2560</v>
      </c>
      <c r="T656" s="398">
        <v>60440</v>
      </c>
      <c r="U656" s="232"/>
      <c r="V656" s="398"/>
      <c r="W656" s="398"/>
      <c r="X656" s="398">
        <v>341479</v>
      </c>
      <c r="Y656" s="398">
        <v>24391</v>
      </c>
    </row>
    <row r="657" spans="1:25">
      <c r="A657" s="392">
        <v>97018</v>
      </c>
      <c r="B657" s="393" t="s">
        <v>1356</v>
      </c>
      <c r="C657" s="235">
        <v>1.63E-5</v>
      </c>
      <c r="D657" s="235">
        <v>1.6399999999999999E-5</v>
      </c>
      <c r="E657" s="232">
        <v>58247</v>
      </c>
      <c r="F657" s="232" t="s">
        <v>1930</v>
      </c>
      <c r="G657" s="394">
        <v>7356</v>
      </c>
      <c r="H657" s="394">
        <v>8196</v>
      </c>
      <c r="I657" s="394">
        <v>4335</v>
      </c>
      <c r="J657" s="232">
        <v>7657</v>
      </c>
      <c r="K657" s="232">
        <v>27544</v>
      </c>
      <c r="L657" s="232"/>
      <c r="M657" s="226">
        <v>0</v>
      </c>
      <c r="N657" s="226">
        <v>0</v>
      </c>
      <c r="O657" s="232">
        <v>0</v>
      </c>
      <c r="P657" s="232">
        <v>0</v>
      </c>
      <c r="Q657" s="232"/>
      <c r="R657" s="394">
        <v>20031</v>
      </c>
      <c r="S657" s="232">
        <v>3882</v>
      </c>
      <c r="T657" s="398">
        <v>23913</v>
      </c>
      <c r="U657" s="232"/>
      <c r="V657" s="398"/>
      <c r="W657" s="398"/>
      <c r="X657" s="398">
        <v>118176</v>
      </c>
      <c r="Y657" s="398">
        <v>8441</v>
      </c>
    </row>
    <row r="658" spans="1:25">
      <c r="A658" s="392">
        <v>97101</v>
      </c>
      <c r="B658" s="393" t="s">
        <v>1357</v>
      </c>
      <c r="C658" s="235">
        <v>2.7287000000000001E-3</v>
      </c>
      <c r="D658" s="235">
        <v>2.7334E-3</v>
      </c>
      <c r="E658" s="232">
        <v>9750808</v>
      </c>
      <c r="F658" s="232" t="s">
        <v>1930</v>
      </c>
      <c r="G658" s="394">
        <v>1231356</v>
      </c>
      <c r="H658" s="394">
        <v>1372165</v>
      </c>
      <c r="I658" s="394">
        <v>725651</v>
      </c>
      <c r="J658" s="232">
        <v>269024</v>
      </c>
      <c r="K658" s="232">
        <v>3598196</v>
      </c>
      <c r="L658" s="232"/>
      <c r="M658" s="226">
        <v>0</v>
      </c>
      <c r="N658" s="226">
        <v>0</v>
      </c>
      <c r="O658" s="232">
        <v>0</v>
      </c>
      <c r="P658" s="232">
        <v>0</v>
      </c>
      <c r="Q658" s="232"/>
      <c r="R658" s="394">
        <v>3353231</v>
      </c>
      <c r="S658" s="232">
        <v>93356</v>
      </c>
      <c r="T658" s="398">
        <v>3446587</v>
      </c>
      <c r="U658" s="232"/>
      <c r="V658" s="398"/>
      <c r="W658" s="398"/>
      <c r="X658" s="398">
        <v>19783326</v>
      </c>
      <c r="Y658" s="398">
        <v>1413079</v>
      </c>
    </row>
    <row r="659" spans="1:25">
      <c r="A659" s="392">
        <v>97104</v>
      </c>
      <c r="B659" s="393" t="s">
        <v>1358</v>
      </c>
      <c r="C659" s="235">
        <v>5.3199999999999999E-5</v>
      </c>
      <c r="D659" s="235">
        <v>5.41E-5</v>
      </c>
      <c r="E659" s="232">
        <v>190106</v>
      </c>
      <c r="F659" s="232" t="s">
        <v>1930</v>
      </c>
      <c r="G659" s="394">
        <v>24007</v>
      </c>
      <c r="H659" s="394">
        <v>26753</v>
      </c>
      <c r="I659" s="394">
        <v>14148</v>
      </c>
      <c r="J659" s="232">
        <v>7657</v>
      </c>
      <c r="K659" s="232">
        <v>72565</v>
      </c>
      <c r="L659" s="232"/>
      <c r="M659" s="226">
        <v>0</v>
      </c>
      <c r="N659" s="226">
        <v>0</v>
      </c>
      <c r="O659" s="232">
        <v>0</v>
      </c>
      <c r="P659" s="232">
        <v>0</v>
      </c>
      <c r="Q659" s="232"/>
      <c r="R659" s="394">
        <v>65376</v>
      </c>
      <c r="S659" s="232">
        <v>4374</v>
      </c>
      <c r="T659" s="398">
        <v>69750</v>
      </c>
      <c r="U659" s="232"/>
      <c r="V659" s="398"/>
      <c r="W659" s="398"/>
      <c r="X659" s="398">
        <v>385705</v>
      </c>
      <c r="Y659" s="398">
        <v>27550</v>
      </c>
    </row>
    <row r="660" spans="1:25">
      <c r="A660" s="392">
        <v>97111</v>
      </c>
      <c r="B660" s="393" t="s">
        <v>1359</v>
      </c>
      <c r="C660" s="235">
        <v>3.1780000000000003E-4</v>
      </c>
      <c r="D660" s="235">
        <v>2.8489999999999999E-4</v>
      </c>
      <c r="E660" s="232">
        <v>1135635</v>
      </c>
      <c r="F660" s="232" t="s">
        <v>1930</v>
      </c>
      <c r="G660" s="394">
        <v>143411</v>
      </c>
      <c r="H660" s="394">
        <v>159810</v>
      </c>
      <c r="I660" s="394">
        <v>84514</v>
      </c>
      <c r="J660" s="232">
        <v>30087</v>
      </c>
      <c r="K660" s="232">
        <v>417822</v>
      </c>
      <c r="L660" s="232"/>
      <c r="M660" s="226">
        <v>0</v>
      </c>
      <c r="N660" s="226">
        <v>0</v>
      </c>
      <c r="O660" s="232">
        <v>17968</v>
      </c>
      <c r="P660" s="232">
        <v>17968</v>
      </c>
      <c r="Q660" s="232"/>
      <c r="R660" s="394">
        <v>390536</v>
      </c>
      <c r="S660" s="232">
        <v>2178</v>
      </c>
      <c r="T660" s="398">
        <v>392714</v>
      </c>
      <c r="U660" s="232"/>
      <c r="V660" s="398"/>
      <c r="W660" s="398"/>
      <c r="X660" s="398">
        <v>2304079</v>
      </c>
      <c r="Y660" s="398">
        <v>164575</v>
      </c>
    </row>
    <row r="661" spans="1:25">
      <c r="A661" s="392">
        <v>97121</v>
      </c>
      <c r="B661" s="393" t="s">
        <v>1360</v>
      </c>
      <c r="C661" s="235">
        <v>1.4660000000000001E-4</v>
      </c>
      <c r="D661" s="235">
        <v>1.493E-4</v>
      </c>
      <c r="E661" s="232">
        <v>523864</v>
      </c>
      <c r="F661" s="232" t="s">
        <v>1930</v>
      </c>
      <c r="G661" s="394">
        <v>66155</v>
      </c>
      <c r="H661" s="394">
        <v>73720</v>
      </c>
      <c r="I661" s="394">
        <v>38986</v>
      </c>
      <c r="J661" s="232">
        <v>40400</v>
      </c>
      <c r="K661" s="232">
        <v>219261</v>
      </c>
      <c r="L661" s="232"/>
      <c r="M661" s="226">
        <v>0</v>
      </c>
      <c r="N661" s="226">
        <v>0</v>
      </c>
      <c r="O661" s="232">
        <v>0</v>
      </c>
      <c r="P661" s="232">
        <v>0</v>
      </c>
      <c r="Q661" s="232"/>
      <c r="R661" s="394">
        <v>180153</v>
      </c>
      <c r="S661" s="232">
        <v>13680</v>
      </c>
      <c r="T661" s="398">
        <v>193833</v>
      </c>
      <c r="U661" s="232"/>
      <c r="V661" s="398"/>
      <c r="W661" s="398"/>
      <c r="X661" s="398">
        <v>1062863</v>
      </c>
      <c r="Y661" s="398">
        <v>75918</v>
      </c>
    </row>
    <row r="662" spans="1:25">
      <c r="A662" s="392">
        <v>97131</v>
      </c>
      <c r="B662" s="393" t="s">
        <v>1361</v>
      </c>
      <c r="C662" s="235">
        <v>7.1219999999999996E-4</v>
      </c>
      <c r="D662" s="235">
        <v>6.5379999999999995E-4</v>
      </c>
      <c r="E662" s="232">
        <v>2544994</v>
      </c>
      <c r="F662" s="232" t="s">
        <v>1930</v>
      </c>
      <c r="G662" s="394">
        <v>321388</v>
      </c>
      <c r="H662" s="394">
        <v>358140</v>
      </c>
      <c r="I662" s="394">
        <v>189397</v>
      </c>
      <c r="J662" s="232">
        <v>36705</v>
      </c>
      <c r="K662" s="232">
        <v>905630</v>
      </c>
      <c r="L662" s="232"/>
      <c r="M662" s="226">
        <v>0</v>
      </c>
      <c r="N662" s="226">
        <v>0</v>
      </c>
      <c r="O662" s="232">
        <v>58625</v>
      </c>
      <c r="P662" s="232">
        <v>58625</v>
      </c>
      <c r="Q662" s="232"/>
      <c r="R662" s="394">
        <v>875205</v>
      </c>
      <c r="S662" s="232">
        <v>-13552</v>
      </c>
      <c r="T662" s="398">
        <v>861653</v>
      </c>
      <c r="U662" s="232"/>
      <c r="V662" s="398"/>
      <c r="W662" s="398"/>
      <c r="X662" s="398">
        <v>5163516</v>
      </c>
      <c r="Y662" s="398">
        <v>368818</v>
      </c>
    </row>
    <row r="663" spans="1:25">
      <c r="A663" s="392">
        <v>97201</v>
      </c>
      <c r="B663" s="393" t="s">
        <v>1362</v>
      </c>
      <c r="C663" s="235">
        <v>5.5250000000000004E-4</v>
      </c>
      <c r="D663" s="235">
        <v>5.8529999999999997E-4</v>
      </c>
      <c r="E663" s="232">
        <v>1974318</v>
      </c>
      <c r="F663" s="232" t="s">
        <v>1930</v>
      </c>
      <c r="G663" s="394">
        <v>249322</v>
      </c>
      <c r="H663" s="394">
        <v>277832</v>
      </c>
      <c r="I663" s="394">
        <v>146928</v>
      </c>
      <c r="J663" s="232">
        <v>50442</v>
      </c>
      <c r="K663" s="232">
        <v>724524</v>
      </c>
      <c r="L663" s="232"/>
      <c r="M663" s="226">
        <v>0</v>
      </c>
      <c r="N663" s="226">
        <v>0</v>
      </c>
      <c r="O663" s="232">
        <v>38296</v>
      </c>
      <c r="P663" s="232">
        <v>38296</v>
      </c>
      <c r="Q663" s="232"/>
      <c r="R663" s="394">
        <v>678953</v>
      </c>
      <c r="S663" s="232">
        <v>12978</v>
      </c>
      <c r="T663" s="398">
        <v>691931</v>
      </c>
      <c r="U663" s="232"/>
      <c r="V663" s="398"/>
      <c r="W663" s="398"/>
      <c r="X663" s="398">
        <v>4005676</v>
      </c>
      <c r="Y663" s="398">
        <v>286117</v>
      </c>
    </row>
    <row r="664" spans="1:25">
      <c r="A664" s="392">
        <v>97211</v>
      </c>
      <c r="B664" s="393" t="s">
        <v>1363</v>
      </c>
      <c r="C664" s="235">
        <v>1.403E-4</v>
      </c>
      <c r="D664" s="235">
        <v>8.14E-5</v>
      </c>
      <c r="E664" s="232">
        <v>501352</v>
      </c>
      <c r="F664" s="232" t="s">
        <v>1930</v>
      </c>
      <c r="G664" s="394">
        <v>63312</v>
      </c>
      <c r="H664" s="394">
        <v>70551</v>
      </c>
      <c r="I664" s="394">
        <v>37310</v>
      </c>
      <c r="J664" s="232">
        <v>87966</v>
      </c>
      <c r="K664" s="232">
        <v>259139</v>
      </c>
      <c r="L664" s="232"/>
      <c r="M664" s="226">
        <v>0</v>
      </c>
      <c r="N664" s="226">
        <v>0</v>
      </c>
      <c r="O664" s="232">
        <v>27090</v>
      </c>
      <c r="P664" s="232">
        <v>27090</v>
      </c>
      <c r="Q664" s="232"/>
      <c r="R664" s="394">
        <v>172411</v>
      </c>
      <c r="S664" s="232">
        <v>18578</v>
      </c>
      <c r="T664" s="398">
        <v>190989</v>
      </c>
      <c r="U664" s="232"/>
      <c r="V664" s="398"/>
      <c r="W664" s="398"/>
      <c r="X664" s="398">
        <v>1017188</v>
      </c>
      <c r="Y664" s="398">
        <v>72655</v>
      </c>
    </row>
    <row r="665" spans="1:25">
      <c r="A665" s="392">
        <v>97213</v>
      </c>
      <c r="B665" s="393" t="s">
        <v>1364</v>
      </c>
      <c r="C665" s="235">
        <v>3.5299999999999997E-5</v>
      </c>
      <c r="D665" s="235">
        <v>3.5500000000000002E-5</v>
      </c>
      <c r="E665" s="232">
        <v>126142</v>
      </c>
      <c r="F665" s="232" t="s">
        <v>1930</v>
      </c>
      <c r="G665" s="394">
        <v>15930</v>
      </c>
      <c r="H665" s="394">
        <v>17751</v>
      </c>
      <c r="I665" s="394">
        <v>9387</v>
      </c>
      <c r="J665" s="232">
        <v>7098</v>
      </c>
      <c r="K665" s="232">
        <v>50166</v>
      </c>
      <c r="L665" s="232"/>
      <c r="M665" s="226">
        <v>0</v>
      </c>
      <c r="N665" s="226">
        <v>0</v>
      </c>
      <c r="O665" s="232">
        <v>3715</v>
      </c>
      <c r="P665" s="232">
        <v>3715</v>
      </c>
      <c r="Q665" s="232"/>
      <c r="R665" s="394">
        <v>43379</v>
      </c>
      <c r="S665" s="232">
        <v>2308</v>
      </c>
      <c r="T665" s="398">
        <v>45687</v>
      </c>
      <c r="U665" s="232"/>
      <c r="V665" s="398"/>
      <c r="W665" s="398"/>
      <c r="X665" s="398">
        <v>255928</v>
      </c>
      <c r="Y665" s="398">
        <v>18280</v>
      </c>
    </row>
    <row r="666" spans="1:25">
      <c r="A666" s="392">
        <v>97217</v>
      </c>
      <c r="B666" s="393" t="s">
        <v>1365</v>
      </c>
      <c r="C666" s="235">
        <v>5.3000000000000001E-6</v>
      </c>
      <c r="D666" s="235">
        <v>5.5999999999999997E-6</v>
      </c>
      <c r="E666" s="232">
        <v>18939</v>
      </c>
      <c r="F666" s="232" t="s">
        <v>1930</v>
      </c>
      <c r="G666" s="394">
        <v>2392</v>
      </c>
      <c r="H666" s="394">
        <v>2665</v>
      </c>
      <c r="I666" s="394">
        <v>1409</v>
      </c>
      <c r="J666" s="232">
        <v>8199</v>
      </c>
      <c r="K666" s="232">
        <v>14665</v>
      </c>
      <c r="L666" s="232"/>
      <c r="M666" s="226">
        <v>0</v>
      </c>
      <c r="N666" s="226">
        <v>0</v>
      </c>
      <c r="O666" s="232">
        <v>0</v>
      </c>
      <c r="P666" s="232">
        <v>0</v>
      </c>
      <c r="Q666" s="232"/>
      <c r="R666" s="394">
        <v>6513</v>
      </c>
      <c r="S666" s="232">
        <v>4350</v>
      </c>
      <c r="T666" s="398">
        <v>10863</v>
      </c>
      <c r="U666" s="232"/>
      <c r="V666" s="398"/>
      <c r="W666" s="398"/>
      <c r="X666" s="398">
        <v>38425</v>
      </c>
      <c r="Y666" s="398">
        <v>2745</v>
      </c>
    </row>
    <row r="667" spans="1:25">
      <c r="A667" s="392">
        <v>97221</v>
      </c>
      <c r="B667" s="393" t="s">
        <v>1366</v>
      </c>
      <c r="C667" s="235">
        <v>2.2000000000000001E-6</v>
      </c>
      <c r="D667" s="235">
        <v>1.24E-5</v>
      </c>
      <c r="E667" s="232">
        <v>7862</v>
      </c>
      <c r="F667" s="232" t="s">
        <v>1930</v>
      </c>
      <c r="G667" s="394">
        <v>993</v>
      </c>
      <c r="H667" s="394">
        <v>1106</v>
      </c>
      <c r="I667" s="394">
        <v>585</v>
      </c>
      <c r="J667" s="232">
        <v>6958</v>
      </c>
      <c r="K667" s="232">
        <v>9642</v>
      </c>
      <c r="L667" s="232"/>
      <c r="M667" s="226">
        <v>0</v>
      </c>
      <c r="N667" s="226">
        <v>0</v>
      </c>
      <c r="O667" s="232">
        <v>7987</v>
      </c>
      <c r="P667" s="232">
        <v>7987</v>
      </c>
      <c r="Q667" s="232"/>
      <c r="R667" s="394">
        <v>2704</v>
      </c>
      <c r="S667" s="232">
        <v>1162</v>
      </c>
      <c r="T667" s="398">
        <v>3866</v>
      </c>
      <c r="U667" s="232"/>
      <c r="V667" s="398"/>
      <c r="W667" s="398"/>
      <c r="X667" s="398">
        <v>15950</v>
      </c>
      <c r="Y667" s="398">
        <v>1139</v>
      </c>
    </row>
    <row r="668" spans="1:25">
      <c r="A668" s="392">
        <v>97301</v>
      </c>
      <c r="B668" s="393" t="s">
        <v>1367</v>
      </c>
      <c r="C668" s="235">
        <v>2.4283999999999998E-3</v>
      </c>
      <c r="D668" s="235">
        <v>2.3942E-3</v>
      </c>
      <c r="E668" s="232">
        <v>8677708</v>
      </c>
      <c r="F668" s="232" t="s">
        <v>1930</v>
      </c>
      <c r="G668" s="394">
        <v>1095842</v>
      </c>
      <c r="H668" s="394">
        <v>1221154</v>
      </c>
      <c r="I668" s="394">
        <v>645792</v>
      </c>
      <c r="J668" s="232">
        <v>0</v>
      </c>
      <c r="K668" s="232">
        <v>2962788</v>
      </c>
      <c r="L668" s="232"/>
      <c r="M668" s="226">
        <v>0</v>
      </c>
      <c r="N668" s="226">
        <v>0</v>
      </c>
      <c r="O668" s="232">
        <v>151894</v>
      </c>
      <c r="P668" s="232">
        <v>151894</v>
      </c>
      <c r="Q668" s="232"/>
      <c r="R668" s="394">
        <v>2984200</v>
      </c>
      <c r="S668" s="232">
        <v>-64592</v>
      </c>
      <c r="T668" s="398">
        <v>2919608</v>
      </c>
      <c r="U668" s="232"/>
      <c r="V668" s="398"/>
      <c r="W668" s="398"/>
      <c r="X668" s="398">
        <v>17606123</v>
      </c>
      <c r="Y668" s="398">
        <v>1257566</v>
      </c>
    </row>
    <row r="669" spans="1:25">
      <c r="A669" s="392">
        <v>97302</v>
      </c>
      <c r="B669" s="393" t="s">
        <v>3617</v>
      </c>
      <c r="C669" s="235">
        <v>4.1300000000000001E-5</v>
      </c>
      <c r="D669" s="235">
        <v>0</v>
      </c>
      <c r="E669" s="232">
        <v>147582</v>
      </c>
      <c r="F669" s="232" t="s">
        <v>1930</v>
      </c>
      <c r="G669" s="394">
        <v>18637</v>
      </c>
      <c r="H669" s="394">
        <v>20768</v>
      </c>
      <c r="I669" s="394">
        <v>10983</v>
      </c>
      <c r="J669" s="232">
        <v>69939</v>
      </c>
      <c r="K669" s="232">
        <v>120327</v>
      </c>
      <c r="L669" s="232"/>
      <c r="M669" s="226">
        <v>0</v>
      </c>
      <c r="N669" s="226">
        <v>0</v>
      </c>
      <c r="O669" s="232">
        <v>0</v>
      </c>
      <c r="P669" s="232">
        <v>0</v>
      </c>
      <c r="Q669" s="232"/>
      <c r="R669" s="394">
        <v>50753</v>
      </c>
      <c r="S669" s="232">
        <v>23313</v>
      </c>
      <c r="T669" s="398">
        <v>74066</v>
      </c>
      <c r="U669" s="232"/>
      <c r="V669" s="398"/>
      <c r="W669" s="398"/>
      <c r="X669" s="398">
        <v>299429</v>
      </c>
      <c r="Y669" s="398">
        <v>21388</v>
      </c>
    </row>
    <row r="670" spans="1:25">
      <c r="A670" s="392">
        <v>97304</v>
      </c>
      <c r="B670" s="393" t="s">
        <v>1368</v>
      </c>
      <c r="C670" s="235">
        <v>1.4100000000000001E-5</v>
      </c>
      <c r="D670" s="235">
        <v>1.4399999999999999E-5</v>
      </c>
      <c r="E670" s="232">
        <v>50385</v>
      </c>
      <c r="F670" s="232" t="s">
        <v>1930</v>
      </c>
      <c r="G670" s="394">
        <v>6363</v>
      </c>
      <c r="H670" s="394">
        <v>7090</v>
      </c>
      <c r="I670" s="394">
        <v>3750</v>
      </c>
      <c r="J670" s="232">
        <v>14312</v>
      </c>
      <c r="K670" s="232">
        <v>31515</v>
      </c>
      <c r="L670" s="232"/>
      <c r="M670" s="226">
        <v>0</v>
      </c>
      <c r="N670" s="226">
        <v>0</v>
      </c>
      <c r="O670" s="232">
        <v>0</v>
      </c>
      <c r="P670" s="232">
        <v>0</v>
      </c>
      <c r="Q670" s="232"/>
      <c r="R670" s="394">
        <v>17327</v>
      </c>
      <c r="S670" s="232">
        <v>6486</v>
      </c>
      <c r="T670" s="398">
        <v>23813</v>
      </c>
      <c r="U670" s="232"/>
      <c r="V670" s="398"/>
      <c r="W670" s="398"/>
      <c r="X670" s="398">
        <v>102226</v>
      </c>
      <c r="Y670" s="398">
        <v>7302</v>
      </c>
    </row>
    <row r="671" spans="1:25">
      <c r="A671" s="392">
        <v>97311</v>
      </c>
      <c r="B671" s="393" t="s">
        <v>1369</v>
      </c>
      <c r="C671" s="235">
        <v>8.4060000000000005E-4</v>
      </c>
      <c r="D671" s="235">
        <v>9.0109999999999995E-4</v>
      </c>
      <c r="E671" s="232">
        <v>3003822</v>
      </c>
      <c r="F671" s="232" t="s">
        <v>1930</v>
      </c>
      <c r="G671" s="394">
        <v>379330</v>
      </c>
      <c r="H671" s="394">
        <v>422708</v>
      </c>
      <c r="I671" s="394">
        <v>223543</v>
      </c>
      <c r="J671" s="232">
        <v>0</v>
      </c>
      <c r="K671" s="232">
        <v>1025581</v>
      </c>
      <c r="L671" s="232"/>
      <c r="M671" s="226">
        <v>0</v>
      </c>
      <c r="N671" s="226">
        <v>0</v>
      </c>
      <c r="O671" s="232">
        <v>90129</v>
      </c>
      <c r="P671" s="232">
        <v>90129</v>
      </c>
      <c r="Q671" s="232"/>
      <c r="R671" s="394">
        <v>1032992</v>
      </c>
      <c r="S671" s="232">
        <v>-51778</v>
      </c>
      <c r="T671" s="398">
        <v>981214</v>
      </c>
      <c r="U671" s="232"/>
      <c r="V671" s="398"/>
      <c r="W671" s="398"/>
      <c r="X671" s="398">
        <v>6094427</v>
      </c>
      <c r="Y671" s="398">
        <v>435311</v>
      </c>
    </row>
    <row r="672" spans="1:25">
      <c r="A672" s="392">
        <v>97401</v>
      </c>
      <c r="B672" s="393" t="s">
        <v>1370</v>
      </c>
      <c r="C672" s="235">
        <v>6.9747999999999998E-3</v>
      </c>
      <c r="D672" s="235">
        <v>7.0562999999999997E-3</v>
      </c>
      <c r="E672" s="232">
        <v>24923932</v>
      </c>
      <c r="F672" s="232" t="s">
        <v>1930</v>
      </c>
      <c r="G672" s="394">
        <v>3147455</v>
      </c>
      <c r="H672" s="394">
        <v>3507375</v>
      </c>
      <c r="I672" s="394">
        <v>1854829</v>
      </c>
      <c r="J672" s="232">
        <v>78420</v>
      </c>
      <c r="K672" s="232">
        <v>8588079</v>
      </c>
      <c r="L672" s="232"/>
      <c r="M672" s="226">
        <v>0</v>
      </c>
      <c r="N672" s="226">
        <v>0</v>
      </c>
      <c r="O672" s="232">
        <v>231704</v>
      </c>
      <c r="P672" s="232">
        <v>231704</v>
      </c>
      <c r="Q672" s="232"/>
      <c r="R672" s="394">
        <v>8571157</v>
      </c>
      <c r="S672" s="232">
        <v>-24249</v>
      </c>
      <c r="T672" s="398">
        <v>8546908</v>
      </c>
      <c r="U672" s="232"/>
      <c r="V672" s="398"/>
      <c r="W672" s="398"/>
      <c r="X672" s="398">
        <v>50567942</v>
      </c>
      <c r="Y672" s="398">
        <v>3611956</v>
      </c>
    </row>
    <row r="673" spans="1:25">
      <c r="A673" s="392">
        <v>97402</v>
      </c>
      <c r="B673" s="393" t="s">
        <v>1371</v>
      </c>
      <c r="C673" s="235">
        <v>5.1999999999999997E-5</v>
      </c>
      <c r="D673" s="235">
        <v>4.1999999999999998E-5</v>
      </c>
      <c r="E673" s="232">
        <v>185818</v>
      </c>
      <c r="F673" s="232" t="s">
        <v>1930</v>
      </c>
      <c r="G673" s="394">
        <v>23466</v>
      </c>
      <c r="H673" s="394">
        <v>26149</v>
      </c>
      <c r="I673" s="394">
        <v>13829</v>
      </c>
      <c r="J673" s="232">
        <v>19085</v>
      </c>
      <c r="K673" s="232">
        <v>82529</v>
      </c>
      <c r="L673" s="232"/>
      <c r="M673" s="226">
        <v>0</v>
      </c>
      <c r="N673" s="226">
        <v>0</v>
      </c>
      <c r="O673" s="232">
        <v>28</v>
      </c>
      <c r="P673" s="232">
        <v>28</v>
      </c>
      <c r="Q673" s="232"/>
      <c r="R673" s="394">
        <v>63902</v>
      </c>
      <c r="S673" s="232">
        <v>10349</v>
      </c>
      <c r="T673" s="398">
        <v>74251</v>
      </c>
      <c r="U673" s="232"/>
      <c r="V673" s="398"/>
      <c r="W673" s="398"/>
      <c r="X673" s="398">
        <v>377005</v>
      </c>
      <c r="Y673" s="398">
        <v>26929</v>
      </c>
    </row>
    <row r="674" spans="1:25">
      <c r="A674" s="392">
        <v>97404</v>
      </c>
      <c r="B674" s="393" t="s">
        <v>1372</v>
      </c>
      <c r="C674" s="235">
        <v>2.128E-4</v>
      </c>
      <c r="D674" s="235">
        <v>2.1240000000000001E-4</v>
      </c>
      <c r="E674" s="232">
        <v>760425</v>
      </c>
      <c r="F674" s="232" t="s">
        <v>1930</v>
      </c>
      <c r="G674" s="394">
        <v>96028</v>
      </c>
      <c r="H674" s="394">
        <v>107009</v>
      </c>
      <c r="I674" s="394">
        <v>56591</v>
      </c>
      <c r="J674" s="232">
        <v>603</v>
      </c>
      <c r="K674" s="232">
        <v>260231</v>
      </c>
      <c r="L674" s="232"/>
      <c r="M674" s="226">
        <v>0</v>
      </c>
      <c r="N674" s="226">
        <v>0</v>
      </c>
      <c r="O674" s="232">
        <v>14261</v>
      </c>
      <c r="P674" s="232">
        <v>14261</v>
      </c>
      <c r="Q674" s="232"/>
      <c r="R674" s="394">
        <v>261505</v>
      </c>
      <c r="S674" s="232">
        <v>-9648</v>
      </c>
      <c r="T674" s="398">
        <v>251857</v>
      </c>
      <c r="U674" s="232"/>
      <c r="V674" s="398"/>
      <c r="W674" s="398"/>
      <c r="X674" s="398">
        <v>1542820</v>
      </c>
      <c r="Y674" s="398">
        <v>110200</v>
      </c>
    </row>
    <row r="675" spans="1:25">
      <c r="A675" s="392">
        <v>97405</v>
      </c>
      <c r="B675" s="393" t="s">
        <v>1373</v>
      </c>
      <c r="C675" s="235">
        <v>1.014E-4</v>
      </c>
      <c r="D675" s="235">
        <v>1.106E-4</v>
      </c>
      <c r="E675" s="232">
        <v>362345</v>
      </c>
      <c r="F675" s="232" t="s">
        <v>1930</v>
      </c>
      <c r="G675" s="394">
        <v>45758</v>
      </c>
      <c r="H675" s="394">
        <v>50991</v>
      </c>
      <c r="I675" s="394">
        <v>26966</v>
      </c>
      <c r="J675" s="232">
        <v>20038</v>
      </c>
      <c r="K675" s="232">
        <v>143753</v>
      </c>
      <c r="L675" s="232"/>
      <c r="M675" s="226">
        <v>0</v>
      </c>
      <c r="N675" s="226">
        <v>0</v>
      </c>
      <c r="O675" s="232">
        <v>0</v>
      </c>
      <c r="P675" s="232">
        <v>0</v>
      </c>
      <c r="Q675" s="232"/>
      <c r="R675" s="394">
        <v>124608</v>
      </c>
      <c r="S675" s="232">
        <v>12141</v>
      </c>
      <c r="T675" s="398">
        <v>136749</v>
      </c>
      <c r="U675" s="232"/>
      <c r="V675" s="398"/>
      <c r="W675" s="398"/>
      <c r="X675" s="398">
        <v>735159</v>
      </c>
      <c r="Y675" s="398">
        <v>52511</v>
      </c>
    </row>
    <row r="676" spans="1:25">
      <c r="A676" s="392">
        <v>97408</v>
      </c>
      <c r="B676" s="393" t="s">
        <v>1374</v>
      </c>
      <c r="C676" s="235">
        <v>4.18E-5</v>
      </c>
      <c r="D676" s="235">
        <v>3.8999999999999999E-5</v>
      </c>
      <c r="E676" s="232">
        <v>149369</v>
      </c>
      <c r="F676" s="232" t="s">
        <v>1930</v>
      </c>
      <c r="G676" s="394">
        <v>18863</v>
      </c>
      <c r="H676" s="394">
        <v>21019</v>
      </c>
      <c r="I676" s="394">
        <v>11116</v>
      </c>
      <c r="J676" s="232">
        <v>12140</v>
      </c>
      <c r="K676" s="232">
        <v>63138</v>
      </c>
      <c r="L676" s="232"/>
      <c r="M676" s="226">
        <v>0</v>
      </c>
      <c r="N676" s="226">
        <v>0</v>
      </c>
      <c r="O676" s="232">
        <v>0</v>
      </c>
      <c r="P676" s="232">
        <v>0</v>
      </c>
      <c r="Q676" s="232"/>
      <c r="R676" s="394">
        <v>51367</v>
      </c>
      <c r="S676" s="232">
        <v>5778</v>
      </c>
      <c r="T676" s="398">
        <v>57145</v>
      </c>
      <c r="U676" s="232"/>
      <c r="V676" s="398"/>
      <c r="W676" s="398"/>
      <c r="X676" s="398">
        <v>303054</v>
      </c>
      <c r="Y676" s="398">
        <v>21646</v>
      </c>
    </row>
    <row r="677" spans="1:25">
      <c r="A677" s="392">
        <v>97411</v>
      </c>
      <c r="B677" s="393" t="s">
        <v>1375</v>
      </c>
      <c r="C677" s="235">
        <v>6.3677999999999998E-3</v>
      </c>
      <c r="D677" s="235">
        <v>6.3997999999999998E-3</v>
      </c>
      <c r="E677" s="232">
        <v>22754862</v>
      </c>
      <c r="F677" s="232" t="s">
        <v>1930</v>
      </c>
      <c r="G677" s="394">
        <v>2873540</v>
      </c>
      <c r="H677" s="394">
        <v>3202137</v>
      </c>
      <c r="I677" s="394">
        <v>1693408</v>
      </c>
      <c r="J677" s="232">
        <v>25320</v>
      </c>
      <c r="K677" s="232">
        <v>7794405</v>
      </c>
      <c r="L677" s="232"/>
      <c r="M677" s="226">
        <v>0</v>
      </c>
      <c r="N677" s="226">
        <v>0</v>
      </c>
      <c r="O677" s="232">
        <v>366854</v>
      </c>
      <c r="P677" s="232">
        <v>366854</v>
      </c>
      <c r="Q677" s="232"/>
      <c r="R677" s="394">
        <v>7825230</v>
      </c>
      <c r="S677" s="232">
        <v>-244741</v>
      </c>
      <c r="T677" s="398">
        <v>7580489</v>
      </c>
      <c r="U677" s="232"/>
      <c r="V677" s="398"/>
      <c r="W677" s="398"/>
      <c r="X677" s="398">
        <v>46167136</v>
      </c>
      <c r="Y677" s="398">
        <v>3297616</v>
      </c>
    </row>
    <row r="678" spans="1:25">
      <c r="A678" s="392">
        <v>97412</v>
      </c>
      <c r="B678" s="393" t="s">
        <v>1376</v>
      </c>
      <c r="C678" s="235">
        <v>4.3990000000000001E-3</v>
      </c>
      <c r="D678" s="235">
        <v>4.4903E-3</v>
      </c>
      <c r="E678" s="232">
        <v>15719501</v>
      </c>
      <c r="F678" s="232" t="s">
        <v>1930</v>
      </c>
      <c r="G678" s="394">
        <v>1985097</v>
      </c>
      <c r="H678" s="394">
        <v>2212098</v>
      </c>
      <c r="I678" s="394">
        <v>1169839</v>
      </c>
      <c r="J678" s="232">
        <v>75822</v>
      </c>
      <c r="K678" s="232">
        <v>5442856</v>
      </c>
      <c r="L678" s="232"/>
      <c r="M678" s="226">
        <v>0</v>
      </c>
      <c r="N678" s="226">
        <v>0</v>
      </c>
      <c r="O678" s="232">
        <v>124625</v>
      </c>
      <c r="P678" s="232">
        <v>124625</v>
      </c>
      <c r="Q678" s="232"/>
      <c r="R678" s="394">
        <v>5405821</v>
      </c>
      <c r="S678" s="232">
        <v>30518</v>
      </c>
      <c r="T678" s="398">
        <v>5436339</v>
      </c>
      <c r="U678" s="232"/>
      <c r="V678" s="398"/>
      <c r="W678" s="398"/>
      <c r="X678" s="398">
        <v>31893155</v>
      </c>
      <c r="Y678" s="398">
        <v>2278057</v>
      </c>
    </row>
    <row r="679" spans="1:25">
      <c r="A679" s="392">
        <v>97413</v>
      </c>
      <c r="B679" s="393" t="s">
        <v>1377</v>
      </c>
      <c r="C679" s="235">
        <v>2.6689999999999998E-4</v>
      </c>
      <c r="D679" s="235">
        <v>2.812E-4</v>
      </c>
      <c r="E679" s="232">
        <v>953747</v>
      </c>
      <c r="F679" s="232" t="s">
        <v>1930</v>
      </c>
      <c r="G679" s="394">
        <v>120442</v>
      </c>
      <c r="H679" s="394">
        <v>134215</v>
      </c>
      <c r="I679" s="394">
        <v>70978</v>
      </c>
      <c r="J679" s="232">
        <v>39330</v>
      </c>
      <c r="K679" s="232">
        <v>364965</v>
      </c>
      <c r="L679" s="232"/>
      <c r="M679" s="226">
        <v>0</v>
      </c>
      <c r="N679" s="226">
        <v>0</v>
      </c>
      <c r="O679" s="232">
        <v>0</v>
      </c>
      <c r="P679" s="232">
        <v>0</v>
      </c>
      <c r="Q679" s="232"/>
      <c r="R679" s="394">
        <v>327987</v>
      </c>
      <c r="S679" s="232">
        <v>15861</v>
      </c>
      <c r="T679" s="398">
        <v>343848</v>
      </c>
      <c r="U679" s="232"/>
      <c r="V679" s="398"/>
      <c r="W679" s="398"/>
      <c r="X679" s="398">
        <v>1935050</v>
      </c>
      <c r="Y679" s="398">
        <v>138216</v>
      </c>
    </row>
    <row r="680" spans="1:25">
      <c r="A680" s="392">
        <v>97421</v>
      </c>
      <c r="B680" s="393" t="s">
        <v>1378</v>
      </c>
      <c r="C680" s="235">
        <v>4.239E-4</v>
      </c>
      <c r="D680" s="235">
        <v>4.3120000000000002E-4</v>
      </c>
      <c r="E680" s="232">
        <v>1514775</v>
      </c>
      <c r="F680" s="232" t="s">
        <v>1930</v>
      </c>
      <c r="G680" s="394">
        <v>191290</v>
      </c>
      <c r="H680" s="394">
        <v>213164</v>
      </c>
      <c r="I680" s="394">
        <v>112729</v>
      </c>
      <c r="J680" s="232">
        <v>5318</v>
      </c>
      <c r="K680" s="232">
        <v>522501</v>
      </c>
      <c r="L680" s="232"/>
      <c r="M680" s="226">
        <v>0</v>
      </c>
      <c r="N680" s="226">
        <v>0</v>
      </c>
      <c r="O680" s="232">
        <v>38193</v>
      </c>
      <c r="P680" s="232">
        <v>38193</v>
      </c>
      <c r="Q680" s="232"/>
      <c r="R680" s="394">
        <v>520920</v>
      </c>
      <c r="S680" s="232">
        <v>-10285</v>
      </c>
      <c r="T680" s="398">
        <v>510635</v>
      </c>
      <c r="U680" s="232"/>
      <c r="V680" s="398"/>
      <c r="W680" s="398"/>
      <c r="X680" s="398">
        <v>3073314</v>
      </c>
      <c r="Y680" s="398">
        <v>219520</v>
      </c>
    </row>
    <row r="681" spans="1:25">
      <c r="A681" s="392">
        <v>97423</v>
      </c>
      <c r="B681" s="393" t="s">
        <v>1379</v>
      </c>
      <c r="C681" s="235">
        <v>4.0000000000000003E-5</v>
      </c>
      <c r="D681" s="235">
        <v>4.3000000000000002E-5</v>
      </c>
      <c r="E681" s="232">
        <v>142937</v>
      </c>
      <c r="F681" s="232" t="s">
        <v>1930</v>
      </c>
      <c r="G681" s="394">
        <v>18050</v>
      </c>
      <c r="H681" s="394">
        <v>20114</v>
      </c>
      <c r="I681" s="394">
        <v>10637</v>
      </c>
      <c r="J681" s="232">
        <v>27929</v>
      </c>
      <c r="K681" s="232">
        <v>76730</v>
      </c>
      <c r="L681" s="232"/>
      <c r="M681" s="226">
        <v>0</v>
      </c>
      <c r="N681" s="226">
        <v>0</v>
      </c>
      <c r="O681" s="232">
        <v>4401</v>
      </c>
      <c r="P681" s="232">
        <v>4401</v>
      </c>
      <c r="Q681" s="232"/>
      <c r="R681" s="394">
        <v>49155</v>
      </c>
      <c r="S681" s="232">
        <v>15192</v>
      </c>
      <c r="T681" s="398">
        <v>64347</v>
      </c>
      <c r="U681" s="232"/>
      <c r="V681" s="398"/>
      <c r="W681" s="398"/>
      <c r="X681" s="398">
        <v>290004</v>
      </c>
      <c r="Y681" s="398">
        <v>20714</v>
      </c>
    </row>
    <row r="682" spans="1:25">
      <c r="A682" s="392">
        <v>97431</v>
      </c>
      <c r="B682" s="393" t="s">
        <v>1380</v>
      </c>
      <c r="C682" s="235">
        <v>9.2999999999999997E-5</v>
      </c>
      <c r="D682" s="235">
        <v>8.92E-5</v>
      </c>
      <c r="E682" s="232">
        <v>332329</v>
      </c>
      <c r="F682" s="232" t="s">
        <v>1930</v>
      </c>
      <c r="G682" s="394">
        <v>41967</v>
      </c>
      <c r="H682" s="394">
        <v>46766</v>
      </c>
      <c r="I682" s="394">
        <v>24732</v>
      </c>
      <c r="J682" s="232">
        <v>13452</v>
      </c>
      <c r="K682" s="232">
        <v>126917</v>
      </c>
      <c r="L682" s="232"/>
      <c r="M682" s="226">
        <v>0</v>
      </c>
      <c r="N682" s="226">
        <v>0</v>
      </c>
      <c r="O682" s="232">
        <v>5330</v>
      </c>
      <c r="P682" s="232">
        <v>5330</v>
      </c>
      <c r="Q682" s="232"/>
      <c r="R682" s="394">
        <v>114285</v>
      </c>
      <c r="S682" s="232">
        <v>4824</v>
      </c>
      <c r="T682" s="398">
        <v>119109</v>
      </c>
      <c r="U682" s="232"/>
      <c r="V682" s="398"/>
      <c r="W682" s="398"/>
      <c r="X682" s="398">
        <v>674259</v>
      </c>
      <c r="Y682" s="398">
        <v>48161</v>
      </c>
    </row>
    <row r="683" spans="1:25">
      <c r="A683" s="392">
        <v>97441</v>
      </c>
      <c r="B683" s="393" t="s">
        <v>1381</v>
      </c>
      <c r="C683" s="235">
        <v>6.2199999999999994E-5</v>
      </c>
      <c r="D683" s="235">
        <v>5.7899999999999998E-5</v>
      </c>
      <c r="E683" s="232">
        <v>222267</v>
      </c>
      <c r="F683" s="232" t="s">
        <v>1930</v>
      </c>
      <c r="G683" s="394">
        <v>28068</v>
      </c>
      <c r="H683" s="394">
        <v>31278</v>
      </c>
      <c r="I683" s="394">
        <v>16541</v>
      </c>
      <c r="J683" s="232">
        <v>0</v>
      </c>
      <c r="K683" s="232">
        <v>75887</v>
      </c>
      <c r="L683" s="232"/>
      <c r="M683" s="226">
        <v>0</v>
      </c>
      <c r="N683" s="226">
        <v>0</v>
      </c>
      <c r="O683" s="232">
        <v>15991</v>
      </c>
      <c r="P683" s="232">
        <v>15991</v>
      </c>
      <c r="Q683" s="232"/>
      <c r="R683" s="394">
        <v>76436</v>
      </c>
      <c r="S683" s="232">
        <v>-8496</v>
      </c>
      <c r="T683" s="398">
        <v>67940</v>
      </c>
      <c r="U683" s="232"/>
      <c r="V683" s="398"/>
      <c r="W683" s="398"/>
      <c r="X683" s="398">
        <v>450956</v>
      </c>
      <c r="Y683" s="398">
        <v>32211</v>
      </c>
    </row>
    <row r="684" spans="1:25">
      <c r="A684" s="392">
        <v>97451</v>
      </c>
      <c r="B684" s="393" t="s">
        <v>1382</v>
      </c>
      <c r="C684" s="235">
        <v>7.5849999999999995E-4</v>
      </c>
      <c r="D684" s="235">
        <v>6.6290000000000001E-4</v>
      </c>
      <c r="E684" s="232">
        <v>2710444</v>
      </c>
      <c r="F684" s="232" t="s">
        <v>1930</v>
      </c>
      <c r="G684" s="394">
        <v>342281</v>
      </c>
      <c r="H684" s="394">
        <v>381422</v>
      </c>
      <c r="I684" s="394">
        <v>201710</v>
      </c>
      <c r="J684" s="232">
        <v>84606</v>
      </c>
      <c r="K684" s="232">
        <v>1010019</v>
      </c>
      <c r="L684" s="232"/>
      <c r="M684" s="226">
        <v>0</v>
      </c>
      <c r="N684" s="226">
        <v>0</v>
      </c>
      <c r="O684" s="232">
        <v>12366</v>
      </c>
      <c r="P684" s="232">
        <v>12366</v>
      </c>
      <c r="Q684" s="232"/>
      <c r="R684" s="394">
        <v>932102</v>
      </c>
      <c r="S684" s="232">
        <v>22157</v>
      </c>
      <c r="T684" s="398">
        <v>954259</v>
      </c>
      <c r="U684" s="232"/>
      <c r="V684" s="398"/>
      <c r="W684" s="398"/>
      <c r="X684" s="398">
        <v>5499195</v>
      </c>
      <c r="Y684" s="398">
        <v>392795</v>
      </c>
    </row>
    <row r="685" spans="1:25">
      <c r="A685" s="392">
        <v>97461</v>
      </c>
      <c r="B685" s="393" t="s">
        <v>1383</v>
      </c>
      <c r="C685" s="235">
        <v>5.7600000000000001E-4</v>
      </c>
      <c r="D685" s="235">
        <v>5.7600000000000001E-4</v>
      </c>
      <c r="E685" s="232">
        <v>2058293</v>
      </c>
      <c r="F685" s="232" t="s">
        <v>1930</v>
      </c>
      <c r="G685" s="394">
        <v>259926</v>
      </c>
      <c r="H685" s="394">
        <v>289650</v>
      </c>
      <c r="I685" s="394">
        <v>153177</v>
      </c>
      <c r="J685" s="232">
        <v>10474</v>
      </c>
      <c r="K685" s="232">
        <v>713227</v>
      </c>
      <c r="L685" s="232"/>
      <c r="M685" s="226">
        <v>0</v>
      </c>
      <c r="N685" s="226">
        <v>0</v>
      </c>
      <c r="O685" s="232">
        <v>45233</v>
      </c>
      <c r="P685" s="232">
        <v>45233</v>
      </c>
      <c r="Q685" s="232"/>
      <c r="R685" s="394">
        <v>707832</v>
      </c>
      <c r="S685" s="232">
        <v>-18574</v>
      </c>
      <c r="T685" s="398">
        <v>689258</v>
      </c>
      <c r="U685" s="232"/>
      <c r="V685" s="398"/>
      <c r="W685" s="398"/>
      <c r="X685" s="398">
        <v>4176053</v>
      </c>
      <c r="Y685" s="398">
        <v>298286</v>
      </c>
    </row>
    <row r="686" spans="1:25">
      <c r="A686" s="392">
        <v>97463</v>
      </c>
      <c r="B686" s="393" t="s">
        <v>1384</v>
      </c>
      <c r="C686" s="235">
        <v>0</v>
      </c>
      <c r="D686" s="235">
        <v>0</v>
      </c>
      <c r="E686" s="232">
        <v>0</v>
      </c>
      <c r="F686" s="232" t="s">
        <v>1930</v>
      </c>
      <c r="G686" s="394">
        <v>0</v>
      </c>
      <c r="H686" s="394">
        <v>0</v>
      </c>
      <c r="I686" s="394">
        <v>0</v>
      </c>
      <c r="J686" s="232">
        <v>0</v>
      </c>
      <c r="K686" s="232">
        <v>0</v>
      </c>
      <c r="L686" s="232"/>
      <c r="M686" s="226">
        <v>0</v>
      </c>
      <c r="N686" s="226">
        <v>0</v>
      </c>
      <c r="O686" s="232">
        <v>13233</v>
      </c>
      <c r="P686" s="232">
        <v>13233</v>
      </c>
      <c r="Q686" s="232"/>
      <c r="R686" s="394">
        <v>0</v>
      </c>
      <c r="S686" s="232">
        <v>-8957</v>
      </c>
      <c r="T686" s="398">
        <v>-8957</v>
      </c>
      <c r="U686" s="232"/>
      <c r="V686" s="398"/>
      <c r="W686" s="398"/>
      <c r="X686" s="398">
        <v>0</v>
      </c>
      <c r="Y686" s="398">
        <v>0</v>
      </c>
    </row>
    <row r="687" spans="1:25">
      <c r="A687" s="392">
        <v>97471</v>
      </c>
      <c r="B687" s="393" t="s">
        <v>1385</v>
      </c>
      <c r="C687" s="235">
        <v>1.63E-5</v>
      </c>
      <c r="D687" s="235">
        <v>1.6399999999999999E-5</v>
      </c>
      <c r="E687" s="232">
        <v>58247</v>
      </c>
      <c r="F687" s="232" t="s">
        <v>1930</v>
      </c>
      <c r="G687" s="394">
        <v>7356</v>
      </c>
      <c r="H687" s="394">
        <v>8196</v>
      </c>
      <c r="I687" s="394">
        <v>4335</v>
      </c>
      <c r="J687" s="232">
        <v>11505</v>
      </c>
      <c r="K687" s="232">
        <v>31392</v>
      </c>
      <c r="L687" s="232"/>
      <c r="M687" s="226">
        <v>0</v>
      </c>
      <c r="N687" s="226">
        <v>0</v>
      </c>
      <c r="O687" s="232">
        <v>0</v>
      </c>
      <c r="P687" s="232">
        <v>0</v>
      </c>
      <c r="Q687" s="232"/>
      <c r="R687" s="394">
        <v>20031</v>
      </c>
      <c r="S687" s="232">
        <v>5466</v>
      </c>
      <c r="T687" s="398">
        <v>25497</v>
      </c>
      <c r="U687" s="232"/>
      <c r="V687" s="398"/>
      <c r="W687" s="398"/>
      <c r="X687" s="398">
        <v>118176</v>
      </c>
      <c r="Y687" s="398">
        <v>8441</v>
      </c>
    </row>
    <row r="688" spans="1:25">
      <c r="A688" s="392">
        <v>97481</v>
      </c>
      <c r="B688" s="393" t="s">
        <v>1386</v>
      </c>
      <c r="C688" s="235">
        <v>1.7E-6</v>
      </c>
      <c r="D688" s="235">
        <v>8.9999999999999996E-7</v>
      </c>
      <c r="E688" s="232">
        <v>6075</v>
      </c>
      <c r="F688" s="232" t="s">
        <v>1930</v>
      </c>
      <c r="G688" s="394">
        <v>767</v>
      </c>
      <c r="H688" s="394">
        <v>855</v>
      </c>
      <c r="I688" s="394">
        <v>452</v>
      </c>
      <c r="J688" s="232">
        <v>2659</v>
      </c>
      <c r="K688" s="232">
        <v>4733</v>
      </c>
      <c r="L688" s="232"/>
      <c r="M688" s="226">
        <v>0</v>
      </c>
      <c r="N688" s="226">
        <v>0</v>
      </c>
      <c r="O688" s="232">
        <v>7152</v>
      </c>
      <c r="P688" s="232">
        <v>7152</v>
      </c>
      <c r="Q688" s="232"/>
      <c r="R688" s="394">
        <v>2089</v>
      </c>
      <c r="S688" s="232">
        <v>-1527</v>
      </c>
      <c r="T688" s="398">
        <v>562</v>
      </c>
      <c r="U688" s="232"/>
      <c r="V688" s="398"/>
      <c r="W688" s="398"/>
      <c r="X688" s="398">
        <v>12325</v>
      </c>
      <c r="Y688" s="398">
        <v>880</v>
      </c>
    </row>
    <row r="689" spans="1:25">
      <c r="A689" s="392">
        <v>97491</v>
      </c>
      <c r="B689" s="393" t="s">
        <v>1387</v>
      </c>
      <c r="C689" s="235">
        <v>0</v>
      </c>
      <c r="D689" s="235">
        <v>0</v>
      </c>
      <c r="E689" s="232">
        <v>0</v>
      </c>
      <c r="F689" s="232" t="s">
        <v>1930</v>
      </c>
      <c r="G689" s="394">
        <v>0</v>
      </c>
      <c r="H689" s="394">
        <v>0</v>
      </c>
      <c r="I689" s="394">
        <v>0</v>
      </c>
      <c r="J689" s="232">
        <v>0</v>
      </c>
      <c r="K689" s="232">
        <v>0</v>
      </c>
      <c r="L689" s="232"/>
      <c r="M689" s="226">
        <v>0</v>
      </c>
      <c r="N689" s="226">
        <v>0</v>
      </c>
      <c r="O689" s="232">
        <v>0</v>
      </c>
      <c r="P689" s="232">
        <v>0</v>
      </c>
      <c r="Q689" s="232"/>
      <c r="R689" s="394">
        <v>0</v>
      </c>
      <c r="S689" s="232">
        <v>0</v>
      </c>
      <c r="T689" s="398">
        <v>0</v>
      </c>
      <c r="U689" s="232"/>
      <c r="V689" s="398"/>
      <c r="W689" s="398"/>
      <c r="X689" s="398">
        <v>0</v>
      </c>
      <c r="Y689" s="398">
        <v>0</v>
      </c>
    </row>
    <row r="690" spans="1:25">
      <c r="A690" s="392">
        <v>97501</v>
      </c>
      <c r="B690" s="393" t="s">
        <v>1388</v>
      </c>
      <c r="C690" s="235">
        <v>1.2210999999999999E-3</v>
      </c>
      <c r="D690" s="235">
        <v>1.1816999999999999E-3</v>
      </c>
      <c r="E690" s="232">
        <v>4363510</v>
      </c>
      <c r="F690" s="232" t="s">
        <v>1930</v>
      </c>
      <c r="G690" s="394">
        <v>551035</v>
      </c>
      <c r="H690" s="394">
        <v>614047</v>
      </c>
      <c r="I690" s="394">
        <v>324731</v>
      </c>
      <c r="J690" s="232">
        <v>145023</v>
      </c>
      <c r="K690" s="232">
        <v>1634836</v>
      </c>
      <c r="L690" s="232"/>
      <c r="M690" s="226">
        <v>0</v>
      </c>
      <c r="N690" s="226">
        <v>0</v>
      </c>
      <c r="O690" s="232">
        <v>1640</v>
      </c>
      <c r="P690" s="232">
        <v>1640</v>
      </c>
      <c r="Q690" s="232"/>
      <c r="R690" s="394">
        <v>1500579</v>
      </c>
      <c r="S690" s="232">
        <v>65745</v>
      </c>
      <c r="T690" s="398">
        <v>1566324</v>
      </c>
      <c r="U690" s="232"/>
      <c r="V690" s="398"/>
      <c r="W690" s="398"/>
      <c r="X690" s="398">
        <v>8853087</v>
      </c>
      <c r="Y690" s="398">
        <v>632356</v>
      </c>
    </row>
    <row r="691" spans="1:25">
      <c r="A691" s="392">
        <v>97511</v>
      </c>
      <c r="B691" s="393" t="s">
        <v>1389</v>
      </c>
      <c r="C691" s="235">
        <v>2.2149999999999999E-4</v>
      </c>
      <c r="D691" s="235">
        <v>1.9120000000000001E-4</v>
      </c>
      <c r="E691" s="232">
        <v>791514</v>
      </c>
      <c r="F691" s="232" t="s">
        <v>1930</v>
      </c>
      <c r="G691" s="394">
        <v>99954</v>
      </c>
      <c r="H691" s="394">
        <v>111384</v>
      </c>
      <c r="I691" s="394">
        <v>58904</v>
      </c>
      <c r="J691" s="232">
        <v>58308</v>
      </c>
      <c r="K691" s="232">
        <v>328550</v>
      </c>
      <c r="L691" s="232"/>
      <c r="M691" s="226">
        <v>0</v>
      </c>
      <c r="N691" s="226">
        <v>0</v>
      </c>
      <c r="O691" s="232">
        <v>13750</v>
      </c>
      <c r="P691" s="232">
        <v>13750</v>
      </c>
      <c r="Q691" s="232"/>
      <c r="R691" s="394">
        <v>272196</v>
      </c>
      <c r="S691" s="232">
        <v>15616</v>
      </c>
      <c r="T691" s="398">
        <v>287812</v>
      </c>
      <c r="U691" s="232"/>
      <c r="V691" s="398"/>
      <c r="W691" s="398"/>
      <c r="X691" s="398">
        <v>1605895</v>
      </c>
      <c r="Y691" s="398">
        <v>114706</v>
      </c>
    </row>
    <row r="692" spans="1:25">
      <c r="A692" s="392">
        <v>97521</v>
      </c>
      <c r="B692" s="397" t="s">
        <v>1390</v>
      </c>
      <c r="C692" s="235">
        <v>1.295E-4</v>
      </c>
      <c r="D692" s="235">
        <v>1.139E-4</v>
      </c>
      <c r="E692" s="232">
        <v>462759</v>
      </c>
      <c r="F692" s="232" t="s">
        <v>1930</v>
      </c>
      <c r="G692" s="394">
        <v>58438</v>
      </c>
      <c r="H692" s="394">
        <v>65121</v>
      </c>
      <c r="I692" s="394">
        <v>34438</v>
      </c>
      <c r="J692" s="232">
        <v>18417</v>
      </c>
      <c r="K692" s="232">
        <v>176414</v>
      </c>
      <c r="L692" s="232"/>
      <c r="M692" s="226">
        <v>0</v>
      </c>
      <c r="N692" s="226">
        <v>0</v>
      </c>
      <c r="O692" s="232">
        <v>11692</v>
      </c>
      <c r="P692" s="232">
        <v>11692</v>
      </c>
      <c r="Q692" s="232"/>
      <c r="R692" s="394">
        <v>159139</v>
      </c>
      <c r="S692" s="232">
        <v>-747</v>
      </c>
      <c r="T692" s="398">
        <v>158392</v>
      </c>
      <c r="U692" s="232"/>
      <c r="V692" s="398"/>
      <c r="W692" s="398"/>
      <c r="X692" s="398">
        <v>938887</v>
      </c>
      <c r="Y692" s="398">
        <v>67063</v>
      </c>
    </row>
    <row r="693" spans="1:25">
      <c r="A693" s="392">
        <v>97527</v>
      </c>
      <c r="B693" s="393" t="s">
        <v>1641</v>
      </c>
      <c r="C693" s="235">
        <v>5.0000000000000004E-6</v>
      </c>
      <c r="D693" s="235">
        <v>1.7E-5</v>
      </c>
      <c r="E693" s="232">
        <v>17867</v>
      </c>
      <c r="F693" s="232" t="s">
        <v>1930</v>
      </c>
      <c r="G693" s="394">
        <v>2256</v>
      </c>
      <c r="H693" s="394">
        <v>2514</v>
      </c>
      <c r="I693" s="394">
        <v>1330</v>
      </c>
      <c r="J693" s="232">
        <v>9427</v>
      </c>
      <c r="K693" s="232">
        <v>15527</v>
      </c>
      <c r="L693" s="232"/>
      <c r="M693" s="226">
        <v>0</v>
      </c>
      <c r="N693" s="226">
        <v>0</v>
      </c>
      <c r="O693" s="232">
        <v>13907</v>
      </c>
      <c r="P693" s="232">
        <v>13907</v>
      </c>
      <c r="Q693" s="232"/>
      <c r="R693" s="394">
        <v>6144</v>
      </c>
      <c r="S693" s="232">
        <v>-1204</v>
      </c>
      <c r="T693" s="398">
        <v>4940</v>
      </c>
      <c r="U693" s="232"/>
      <c r="V693" s="398"/>
      <c r="W693" s="398"/>
      <c r="X693" s="398">
        <v>36250</v>
      </c>
      <c r="Y693" s="398">
        <v>2589</v>
      </c>
    </row>
    <row r="694" spans="1:25">
      <c r="A694" s="392">
        <v>97531</v>
      </c>
      <c r="B694" s="393" t="s">
        <v>1391</v>
      </c>
      <c r="C694" s="235">
        <v>6.5699999999999998E-5</v>
      </c>
      <c r="D694" s="235">
        <v>8.1299999999999997E-5</v>
      </c>
      <c r="E694" s="232">
        <v>234774</v>
      </c>
      <c r="F694" s="232" t="s">
        <v>1930</v>
      </c>
      <c r="G694" s="394">
        <v>29648</v>
      </c>
      <c r="H694" s="394">
        <v>33038</v>
      </c>
      <c r="I694" s="394">
        <v>17472</v>
      </c>
      <c r="J694" s="232">
        <v>21858</v>
      </c>
      <c r="K694" s="232">
        <v>102016</v>
      </c>
      <c r="L694" s="232"/>
      <c r="M694" s="226">
        <v>0</v>
      </c>
      <c r="N694" s="226">
        <v>0</v>
      </c>
      <c r="O694" s="232">
        <v>20447</v>
      </c>
      <c r="P694" s="232">
        <v>20447</v>
      </c>
      <c r="Q694" s="232"/>
      <c r="R694" s="394">
        <v>80737</v>
      </c>
      <c r="S694" s="232">
        <v>3500</v>
      </c>
      <c r="T694" s="398">
        <v>84237</v>
      </c>
      <c r="U694" s="232"/>
      <c r="V694" s="398"/>
      <c r="W694" s="398"/>
      <c r="X694" s="398">
        <v>476331</v>
      </c>
      <c r="Y694" s="398">
        <v>34023</v>
      </c>
    </row>
    <row r="695" spans="1:25">
      <c r="A695" s="392">
        <v>97601</v>
      </c>
      <c r="B695" s="393" t="s">
        <v>1392</v>
      </c>
      <c r="C695" s="235">
        <v>5.2855999999999997E-3</v>
      </c>
      <c r="D695" s="235">
        <v>5.2946E-3</v>
      </c>
      <c r="E695" s="232">
        <v>18887700</v>
      </c>
      <c r="F695" s="232" t="s">
        <v>1930</v>
      </c>
      <c r="G695" s="394">
        <v>2385185</v>
      </c>
      <c r="H695" s="394">
        <v>2657938</v>
      </c>
      <c r="I695" s="394">
        <v>1405615</v>
      </c>
      <c r="J695" s="232">
        <v>47731</v>
      </c>
      <c r="K695" s="232">
        <v>6496469</v>
      </c>
      <c r="L695" s="232"/>
      <c r="M695" s="226">
        <v>0</v>
      </c>
      <c r="N695" s="226">
        <v>0</v>
      </c>
      <c r="O695" s="232">
        <v>114648</v>
      </c>
      <c r="P695" s="232">
        <v>114648</v>
      </c>
      <c r="Q695" s="232"/>
      <c r="R695" s="394">
        <v>6495342</v>
      </c>
      <c r="S695" s="232">
        <v>-6182</v>
      </c>
      <c r="T695" s="398">
        <v>6489160</v>
      </c>
      <c r="U695" s="232"/>
      <c r="V695" s="398"/>
      <c r="W695" s="398"/>
      <c r="X695" s="398">
        <v>38321086</v>
      </c>
      <c r="Y695" s="398">
        <v>2737190</v>
      </c>
    </row>
    <row r="696" spans="1:25">
      <c r="A696" s="392">
        <v>97607</v>
      </c>
      <c r="B696" s="393" t="s">
        <v>1393</v>
      </c>
      <c r="C696" s="235">
        <v>1.6699999999999999E-5</v>
      </c>
      <c r="D696" s="235">
        <v>2.0699999999999998E-5</v>
      </c>
      <c r="E696" s="232">
        <v>59676</v>
      </c>
      <c r="F696" s="232" t="s">
        <v>1930</v>
      </c>
      <c r="G696" s="394">
        <v>7536</v>
      </c>
      <c r="H696" s="394">
        <v>8398</v>
      </c>
      <c r="I696" s="394">
        <v>4441</v>
      </c>
      <c r="J696" s="232">
        <v>13745</v>
      </c>
      <c r="K696" s="232">
        <v>34120</v>
      </c>
      <c r="L696" s="232"/>
      <c r="M696" s="226">
        <v>0</v>
      </c>
      <c r="N696" s="226">
        <v>0</v>
      </c>
      <c r="O696" s="232">
        <v>0</v>
      </c>
      <c r="P696" s="232">
        <v>0</v>
      </c>
      <c r="Q696" s="232"/>
      <c r="R696" s="394">
        <v>20522</v>
      </c>
      <c r="S696" s="232">
        <v>6906</v>
      </c>
      <c r="T696" s="398">
        <v>27428</v>
      </c>
      <c r="U696" s="232"/>
      <c r="V696" s="398"/>
      <c r="W696" s="398"/>
      <c r="X696" s="398">
        <v>121077</v>
      </c>
      <c r="Y696" s="398">
        <v>8648</v>
      </c>
    </row>
    <row r="697" spans="1:25">
      <c r="A697" s="392">
        <v>97611</v>
      </c>
      <c r="B697" s="393" t="s">
        <v>1394</v>
      </c>
      <c r="C697" s="235">
        <v>2.4239999999999999E-3</v>
      </c>
      <c r="D697" s="235">
        <v>2.3218000000000002E-3</v>
      </c>
      <c r="E697" s="232">
        <v>8661985</v>
      </c>
      <c r="F697" s="232" t="s">
        <v>1930</v>
      </c>
      <c r="G697" s="394">
        <v>1093857</v>
      </c>
      <c r="H697" s="394">
        <v>1218942</v>
      </c>
      <c r="I697" s="394">
        <v>644622</v>
      </c>
      <c r="J697" s="232">
        <v>149321</v>
      </c>
      <c r="K697" s="232">
        <v>3106742</v>
      </c>
      <c r="L697" s="232"/>
      <c r="M697" s="226">
        <v>0</v>
      </c>
      <c r="N697" s="226">
        <v>0</v>
      </c>
      <c r="O697" s="232">
        <v>80082</v>
      </c>
      <c r="P697" s="232">
        <v>80082</v>
      </c>
      <c r="Q697" s="232"/>
      <c r="R697" s="394">
        <v>2978793</v>
      </c>
      <c r="S697" s="232">
        <v>-35587</v>
      </c>
      <c r="T697" s="398">
        <v>2943206</v>
      </c>
      <c r="U697" s="232"/>
      <c r="V697" s="398"/>
      <c r="W697" s="398"/>
      <c r="X697" s="398">
        <v>17574223</v>
      </c>
      <c r="Y697" s="398">
        <v>1255288</v>
      </c>
    </row>
    <row r="698" spans="1:25">
      <c r="A698" s="392">
        <v>97613</v>
      </c>
      <c r="B698" s="393" t="s">
        <v>1395</v>
      </c>
      <c r="C698" s="235">
        <v>8.7100000000000003E-5</v>
      </c>
      <c r="D698" s="235">
        <v>8.8599999999999999E-5</v>
      </c>
      <c r="E698" s="232">
        <v>311245</v>
      </c>
      <c r="F698" s="232" t="s">
        <v>1930</v>
      </c>
      <c r="G698" s="394">
        <v>39305</v>
      </c>
      <c r="H698" s="394">
        <v>43800</v>
      </c>
      <c r="I698" s="394">
        <v>23163</v>
      </c>
      <c r="J698" s="232">
        <v>16157</v>
      </c>
      <c r="K698" s="232">
        <v>122425</v>
      </c>
      <c r="L698" s="232"/>
      <c r="M698" s="226">
        <v>0</v>
      </c>
      <c r="N698" s="226">
        <v>0</v>
      </c>
      <c r="O698" s="232">
        <v>7420</v>
      </c>
      <c r="P698" s="232">
        <v>7420</v>
      </c>
      <c r="Q698" s="232"/>
      <c r="R698" s="394">
        <v>107035</v>
      </c>
      <c r="S698" s="232">
        <v>4471</v>
      </c>
      <c r="T698" s="398">
        <v>111506</v>
      </c>
      <c r="U698" s="232"/>
      <c r="V698" s="398"/>
      <c r="W698" s="398"/>
      <c r="X698" s="398">
        <v>631483</v>
      </c>
      <c r="Y698" s="398">
        <v>45105</v>
      </c>
    </row>
    <row r="699" spans="1:25">
      <c r="A699" s="392">
        <v>97621</v>
      </c>
      <c r="B699" s="393" t="s">
        <v>1396</v>
      </c>
      <c r="C699" s="235">
        <v>4.2010000000000002E-4</v>
      </c>
      <c r="D699" s="235">
        <v>4.3960000000000001E-4</v>
      </c>
      <c r="E699" s="232">
        <v>1501196</v>
      </c>
      <c r="F699" s="232" t="s">
        <v>1930</v>
      </c>
      <c r="G699" s="394">
        <v>189575</v>
      </c>
      <c r="H699" s="394">
        <v>211254</v>
      </c>
      <c r="I699" s="394">
        <v>111718</v>
      </c>
      <c r="J699" s="232">
        <v>0</v>
      </c>
      <c r="K699" s="232">
        <v>512547</v>
      </c>
      <c r="L699" s="232"/>
      <c r="M699" s="226">
        <v>0</v>
      </c>
      <c r="N699" s="226">
        <v>0</v>
      </c>
      <c r="O699" s="232">
        <v>98998</v>
      </c>
      <c r="P699" s="232">
        <v>98998</v>
      </c>
      <c r="Q699" s="232"/>
      <c r="R699" s="394">
        <v>516250</v>
      </c>
      <c r="S699" s="232">
        <v>-51355</v>
      </c>
      <c r="T699" s="398">
        <v>464895</v>
      </c>
      <c r="U699" s="232"/>
      <c r="V699" s="398"/>
      <c r="W699" s="398"/>
      <c r="X699" s="398">
        <v>3045764</v>
      </c>
      <c r="Y699" s="398">
        <v>217552</v>
      </c>
    </row>
    <row r="700" spans="1:25">
      <c r="A700" s="392">
        <v>97623</v>
      </c>
      <c r="B700" s="393" t="s">
        <v>1397</v>
      </c>
      <c r="C700" s="235">
        <v>2.4499999999999999E-5</v>
      </c>
      <c r="D700" s="235">
        <v>2.5400000000000001E-5</v>
      </c>
      <c r="E700" s="232">
        <v>87549</v>
      </c>
      <c r="F700" s="232" t="s">
        <v>1930</v>
      </c>
      <c r="G700" s="394">
        <v>11056</v>
      </c>
      <c r="H700" s="394">
        <v>12320</v>
      </c>
      <c r="I700" s="394">
        <v>6515</v>
      </c>
      <c r="J700" s="232">
        <v>590</v>
      </c>
      <c r="K700" s="232">
        <v>30481</v>
      </c>
      <c r="L700" s="232"/>
      <c r="M700" s="226">
        <v>0</v>
      </c>
      <c r="N700" s="226">
        <v>0</v>
      </c>
      <c r="O700" s="232">
        <v>2537</v>
      </c>
      <c r="P700" s="232">
        <v>2537</v>
      </c>
      <c r="Q700" s="232"/>
      <c r="R700" s="394">
        <v>30107</v>
      </c>
      <c r="S700" s="232">
        <v>-1026</v>
      </c>
      <c r="T700" s="398">
        <v>29081</v>
      </c>
      <c r="U700" s="232"/>
      <c r="V700" s="398"/>
      <c r="W700" s="398"/>
      <c r="X700" s="398">
        <v>177627</v>
      </c>
      <c r="Y700" s="398">
        <v>12688</v>
      </c>
    </row>
    <row r="701" spans="1:25">
      <c r="A701" s="392">
        <v>97627</v>
      </c>
      <c r="B701" s="393" t="s">
        <v>1398</v>
      </c>
      <c r="C701" s="235">
        <v>5.4999999999999999E-6</v>
      </c>
      <c r="D701" s="235">
        <v>9.3000000000000007E-6</v>
      </c>
      <c r="E701" s="232">
        <v>19654</v>
      </c>
      <c r="F701" s="232" t="s">
        <v>1930</v>
      </c>
      <c r="G701" s="394">
        <v>2482</v>
      </c>
      <c r="H701" s="394">
        <v>2766</v>
      </c>
      <c r="I701" s="394">
        <v>1463</v>
      </c>
      <c r="J701" s="232">
        <v>723</v>
      </c>
      <c r="K701" s="232">
        <v>7434</v>
      </c>
      <c r="L701" s="232"/>
      <c r="M701" s="226">
        <v>0</v>
      </c>
      <c r="N701" s="226">
        <v>0</v>
      </c>
      <c r="O701" s="232">
        <v>3165</v>
      </c>
      <c r="P701" s="232">
        <v>3165</v>
      </c>
      <c r="Q701" s="232"/>
      <c r="R701" s="394">
        <v>6759</v>
      </c>
      <c r="S701" s="232">
        <v>-629</v>
      </c>
      <c r="T701" s="398">
        <v>6130</v>
      </c>
      <c r="U701" s="232"/>
      <c r="V701" s="398"/>
      <c r="W701" s="398"/>
      <c r="X701" s="398">
        <v>39876</v>
      </c>
      <c r="Y701" s="398">
        <v>2848</v>
      </c>
    </row>
    <row r="702" spans="1:25">
      <c r="A702" s="392">
        <v>97631</v>
      </c>
      <c r="B702" s="393" t="s">
        <v>1399</v>
      </c>
      <c r="C702" s="235">
        <v>2.118E-4</v>
      </c>
      <c r="D702" s="235">
        <v>1.972E-4</v>
      </c>
      <c r="E702" s="232">
        <v>756852</v>
      </c>
      <c r="F702" s="232" t="s">
        <v>1930</v>
      </c>
      <c r="G702" s="394">
        <v>95577</v>
      </c>
      <c r="H702" s="394">
        <v>106507</v>
      </c>
      <c r="I702" s="394">
        <v>56325</v>
      </c>
      <c r="J702" s="232">
        <v>10567</v>
      </c>
      <c r="K702" s="232">
        <v>268976</v>
      </c>
      <c r="L702" s="232"/>
      <c r="M702" s="226">
        <v>0</v>
      </c>
      <c r="N702" s="226">
        <v>0</v>
      </c>
      <c r="O702" s="232">
        <v>13808</v>
      </c>
      <c r="P702" s="232">
        <v>13808</v>
      </c>
      <c r="Q702" s="232"/>
      <c r="R702" s="394">
        <v>260276</v>
      </c>
      <c r="S702" s="232">
        <v>-945</v>
      </c>
      <c r="T702" s="398">
        <v>259331</v>
      </c>
      <c r="U702" s="232"/>
      <c r="V702" s="398"/>
      <c r="W702" s="398"/>
      <c r="X702" s="398">
        <v>1535569</v>
      </c>
      <c r="Y702" s="398">
        <v>109682</v>
      </c>
    </row>
    <row r="703" spans="1:25">
      <c r="A703" s="392">
        <v>97637</v>
      </c>
      <c r="B703" s="393" t="s">
        <v>1400</v>
      </c>
      <c r="C703" s="235">
        <v>0</v>
      </c>
      <c r="D703" s="235">
        <v>3.1999999999999999E-6</v>
      </c>
      <c r="E703" s="232">
        <v>0</v>
      </c>
      <c r="F703" s="232" t="s">
        <v>1930</v>
      </c>
      <c r="G703" s="394">
        <v>0</v>
      </c>
      <c r="H703" s="394">
        <v>0</v>
      </c>
      <c r="I703" s="394">
        <v>0</v>
      </c>
      <c r="J703" s="232">
        <v>1237</v>
      </c>
      <c r="K703" s="232">
        <v>1237</v>
      </c>
      <c r="L703" s="232"/>
      <c r="M703" s="226">
        <v>0</v>
      </c>
      <c r="N703" s="226">
        <v>0</v>
      </c>
      <c r="O703" s="232">
        <v>2946</v>
      </c>
      <c r="P703" s="232">
        <v>2946</v>
      </c>
      <c r="Q703" s="232"/>
      <c r="R703" s="394">
        <v>0</v>
      </c>
      <c r="S703" s="232">
        <v>-425</v>
      </c>
      <c r="T703" s="398">
        <v>-425</v>
      </c>
      <c r="U703" s="232"/>
      <c r="V703" s="398"/>
      <c r="W703" s="398"/>
      <c r="X703" s="398">
        <v>0</v>
      </c>
      <c r="Y703" s="398">
        <v>0</v>
      </c>
    </row>
    <row r="704" spans="1:25">
      <c r="A704" s="392">
        <v>97641</v>
      </c>
      <c r="B704" s="393" t="s">
        <v>1401</v>
      </c>
      <c r="C704" s="235">
        <v>5.1199999999999998E-5</v>
      </c>
      <c r="D704" s="235">
        <v>4.5399999999999999E-5</v>
      </c>
      <c r="E704" s="232">
        <v>182959</v>
      </c>
      <c r="F704" s="232" t="s">
        <v>1930</v>
      </c>
      <c r="G704" s="394">
        <v>23105</v>
      </c>
      <c r="H704" s="394">
        <v>25747</v>
      </c>
      <c r="I704" s="394">
        <v>13616</v>
      </c>
      <c r="J704" s="232">
        <v>12853</v>
      </c>
      <c r="K704" s="232">
        <v>75321</v>
      </c>
      <c r="L704" s="232"/>
      <c r="M704" s="226">
        <v>0</v>
      </c>
      <c r="N704" s="226">
        <v>0</v>
      </c>
      <c r="O704" s="232">
        <v>4144</v>
      </c>
      <c r="P704" s="232">
        <v>4144</v>
      </c>
      <c r="Q704" s="232"/>
      <c r="R704" s="394">
        <v>62918</v>
      </c>
      <c r="S704" s="232">
        <v>4991</v>
      </c>
      <c r="T704" s="398">
        <v>67909</v>
      </c>
      <c r="U704" s="232"/>
      <c r="V704" s="398"/>
      <c r="W704" s="398"/>
      <c r="X704" s="398">
        <v>371205</v>
      </c>
      <c r="Y704" s="398">
        <v>26514</v>
      </c>
    </row>
    <row r="705" spans="1:25">
      <c r="A705" s="392">
        <v>97651</v>
      </c>
      <c r="B705" s="393" t="s">
        <v>1402</v>
      </c>
      <c r="C705" s="235">
        <v>5.2769999999999998E-4</v>
      </c>
      <c r="D705" s="235">
        <v>5.2329999999999998E-4</v>
      </c>
      <c r="E705" s="232">
        <v>1885697</v>
      </c>
      <c r="F705" s="232" t="s">
        <v>1930</v>
      </c>
      <c r="G705" s="394">
        <v>238130</v>
      </c>
      <c r="H705" s="394">
        <v>265361</v>
      </c>
      <c r="I705" s="394">
        <v>140333</v>
      </c>
      <c r="J705" s="232">
        <v>0</v>
      </c>
      <c r="K705" s="232">
        <v>643824</v>
      </c>
      <c r="L705" s="232"/>
      <c r="M705" s="226">
        <v>0</v>
      </c>
      <c r="N705" s="226">
        <v>0</v>
      </c>
      <c r="O705" s="232">
        <v>41651</v>
      </c>
      <c r="P705" s="232">
        <v>41651</v>
      </c>
      <c r="Q705" s="232"/>
      <c r="R705" s="394">
        <v>648477</v>
      </c>
      <c r="S705" s="232">
        <v>-23952</v>
      </c>
      <c r="T705" s="398">
        <v>624525</v>
      </c>
      <c r="U705" s="232"/>
      <c r="V705" s="398"/>
      <c r="W705" s="398"/>
      <c r="X705" s="398">
        <v>3825874</v>
      </c>
      <c r="Y705" s="398">
        <v>273274</v>
      </c>
    </row>
    <row r="706" spans="1:25">
      <c r="A706" s="392">
        <v>97661</v>
      </c>
      <c r="B706" s="393" t="s">
        <v>1403</v>
      </c>
      <c r="C706" s="235">
        <v>4.2400000000000001E-5</v>
      </c>
      <c r="D706" s="235">
        <v>5.3300000000000001E-5</v>
      </c>
      <c r="E706" s="232">
        <v>151513</v>
      </c>
      <c r="F706" s="232" t="s">
        <v>1930</v>
      </c>
      <c r="G706" s="394">
        <v>19133</v>
      </c>
      <c r="H706" s="394">
        <v>21322</v>
      </c>
      <c r="I706" s="394">
        <v>11276</v>
      </c>
      <c r="J706" s="232">
        <v>6927</v>
      </c>
      <c r="K706" s="232">
        <v>58658</v>
      </c>
      <c r="L706" s="232"/>
      <c r="M706" s="226">
        <v>0</v>
      </c>
      <c r="N706" s="226">
        <v>0</v>
      </c>
      <c r="O706" s="232">
        <v>11093</v>
      </c>
      <c r="P706" s="232">
        <v>11093</v>
      </c>
      <c r="Q706" s="232"/>
      <c r="R706" s="394">
        <v>52104</v>
      </c>
      <c r="S706" s="232">
        <v>979</v>
      </c>
      <c r="T706" s="398">
        <v>53083</v>
      </c>
      <c r="U706" s="232"/>
      <c r="V706" s="398"/>
      <c r="W706" s="398"/>
      <c r="X706" s="398">
        <v>307404</v>
      </c>
      <c r="Y706" s="398">
        <v>21957</v>
      </c>
    </row>
    <row r="707" spans="1:25">
      <c r="A707" s="392">
        <v>97701</v>
      </c>
      <c r="B707" s="393" t="s">
        <v>1404</v>
      </c>
      <c r="C707" s="235">
        <v>2.392E-3</v>
      </c>
      <c r="D707" s="235">
        <v>2.4578E-3</v>
      </c>
      <c r="E707" s="232">
        <v>8547635</v>
      </c>
      <c r="F707" s="232" t="s">
        <v>1930</v>
      </c>
      <c r="G707" s="394">
        <v>1079416</v>
      </c>
      <c r="H707" s="394">
        <v>1202850</v>
      </c>
      <c r="I707" s="394">
        <v>636112</v>
      </c>
      <c r="J707" s="232">
        <v>19124</v>
      </c>
      <c r="K707" s="232">
        <v>2937502</v>
      </c>
      <c r="L707" s="232"/>
      <c r="M707" s="226">
        <v>0</v>
      </c>
      <c r="N707" s="226">
        <v>0</v>
      </c>
      <c r="O707" s="232">
        <v>125144</v>
      </c>
      <c r="P707" s="232">
        <v>125144</v>
      </c>
      <c r="Q707" s="232"/>
      <c r="R707" s="394">
        <v>2939469</v>
      </c>
      <c r="S707" s="232">
        <v>-27738</v>
      </c>
      <c r="T707" s="398">
        <v>2911731</v>
      </c>
      <c r="U707" s="232"/>
      <c r="V707" s="398"/>
      <c r="W707" s="398"/>
      <c r="X707" s="398">
        <v>17342220</v>
      </c>
      <c r="Y707" s="398">
        <v>1238716</v>
      </c>
    </row>
    <row r="708" spans="1:25">
      <c r="A708" s="392">
        <v>97705</v>
      </c>
      <c r="B708" s="393" t="s">
        <v>1405</v>
      </c>
      <c r="C708" s="235">
        <v>3.1099999999999997E-5</v>
      </c>
      <c r="D708" s="235">
        <v>3.1699999999999998E-5</v>
      </c>
      <c r="E708" s="232">
        <v>111134</v>
      </c>
      <c r="F708" s="232" t="s">
        <v>1930</v>
      </c>
      <c r="G708" s="394">
        <v>14034</v>
      </c>
      <c r="H708" s="394">
        <v>15639</v>
      </c>
      <c r="I708" s="394">
        <v>8271</v>
      </c>
      <c r="J708" s="232">
        <v>6110</v>
      </c>
      <c r="K708" s="232">
        <v>44054</v>
      </c>
      <c r="L708" s="232"/>
      <c r="M708" s="226">
        <v>0</v>
      </c>
      <c r="N708" s="226">
        <v>0</v>
      </c>
      <c r="O708" s="232">
        <v>7751</v>
      </c>
      <c r="P708" s="232">
        <v>7751</v>
      </c>
      <c r="Q708" s="232"/>
      <c r="R708" s="394">
        <v>38218</v>
      </c>
      <c r="S708" s="232">
        <v>-1667</v>
      </c>
      <c r="T708" s="398">
        <v>36551</v>
      </c>
      <c r="U708" s="232"/>
      <c r="V708" s="398"/>
      <c r="W708" s="398"/>
      <c r="X708" s="398">
        <v>225478</v>
      </c>
      <c r="Y708" s="398">
        <v>16105</v>
      </c>
    </row>
    <row r="709" spans="1:25">
      <c r="A709" s="392">
        <v>97711</v>
      </c>
      <c r="B709" s="393" t="s">
        <v>1406</v>
      </c>
      <c r="C709" s="235">
        <v>8.3679999999999996E-4</v>
      </c>
      <c r="D709" s="235">
        <v>8.5930000000000002E-4</v>
      </c>
      <c r="E709" s="232">
        <v>2990243</v>
      </c>
      <c r="F709" s="232" t="s">
        <v>1930</v>
      </c>
      <c r="G709" s="394">
        <v>377615</v>
      </c>
      <c r="H709" s="394">
        <v>420796</v>
      </c>
      <c r="I709" s="394">
        <v>222533</v>
      </c>
      <c r="J709" s="232">
        <v>5492</v>
      </c>
      <c r="K709" s="232">
        <v>1026436</v>
      </c>
      <c r="L709" s="232"/>
      <c r="M709" s="226">
        <v>0</v>
      </c>
      <c r="N709" s="226">
        <v>0</v>
      </c>
      <c r="O709" s="232">
        <v>36269</v>
      </c>
      <c r="P709" s="232">
        <v>36269</v>
      </c>
      <c r="Q709" s="232"/>
      <c r="R709" s="394">
        <v>1028323</v>
      </c>
      <c r="S709" s="232">
        <v>-17087</v>
      </c>
      <c r="T709" s="398">
        <v>1011236</v>
      </c>
      <c r="U709" s="232"/>
      <c r="V709" s="398"/>
      <c r="W709" s="398"/>
      <c r="X709" s="398">
        <v>6066877</v>
      </c>
      <c r="Y709" s="398">
        <v>433344</v>
      </c>
    </row>
    <row r="710" spans="1:25">
      <c r="A710" s="392">
        <v>97713</v>
      </c>
      <c r="B710" s="393" t="s">
        <v>1407</v>
      </c>
      <c r="C710" s="235">
        <v>5.7899999999999998E-5</v>
      </c>
      <c r="D710" s="235">
        <v>5.0399999999999999E-5</v>
      </c>
      <c r="E710" s="232">
        <v>206901</v>
      </c>
      <c r="F710" s="232" t="s">
        <v>1930</v>
      </c>
      <c r="G710" s="394">
        <v>26128</v>
      </c>
      <c r="H710" s="394">
        <v>29116</v>
      </c>
      <c r="I710" s="394">
        <v>15398</v>
      </c>
      <c r="J710" s="232">
        <v>8949</v>
      </c>
      <c r="K710" s="232">
        <v>79591</v>
      </c>
      <c r="L710" s="232"/>
      <c r="M710" s="226">
        <v>0</v>
      </c>
      <c r="N710" s="226">
        <v>0</v>
      </c>
      <c r="O710" s="232">
        <v>2930</v>
      </c>
      <c r="P710" s="232">
        <v>2930</v>
      </c>
      <c r="Q710" s="232"/>
      <c r="R710" s="394">
        <v>71152</v>
      </c>
      <c r="S710" s="232">
        <v>-247</v>
      </c>
      <c r="T710" s="398">
        <v>70905</v>
      </c>
      <c r="U710" s="232"/>
      <c r="V710" s="398"/>
      <c r="W710" s="398"/>
      <c r="X710" s="398">
        <v>419780</v>
      </c>
      <c r="Y710" s="398">
        <v>29984</v>
      </c>
    </row>
    <row r="711" spans="1:25">
      <c r="A711" s="392">
        <v>97717</v>
      </c>
      <c r="B711" s="393" t="s">
        <v>1408</v>
      </c>
      <c r="C711" s="235">
        <v>5.5999999999999997E-6</v>
      </c>
      <c r="D711" s="235">
        <v>5.4E-6</v>
      </c>
      <c r="E711" s="232">
        <v>20011</v>
      </c>
      <c r="F711" s="232" t="s">
        <v>1930</v>
      </c>
      <c r="G711" s="394">
        <v>2527</v>
      </c>
      <c r="H711" s="394">
        <v>2816</v>
      </c>
      <c r="I711" s="394">
        <v>1489</v>
      </c>
      <c r="J711" s="232">
        <v>1470</v>
      </c>
      <c r="K711" s="232">
        <v>8302</v>
      </c>
      <c r="L711" s="232"/>
      <c r="M711" s="226">
        <v>0</v>
      </c>
      <c r="N711" s="226">
        <v>0</v>
      </c>
      <c r="O711" s="232">
        <v>463</v>
      </c>
      <c r="P711" s="232">
        <v>463</v>
      </c>
      <c r="Q711" s="232"/>
      <c r="R711" s="394">
        <v>6882</v>
      </c>
      <c r="S711" s="232">
        <v>419</v>
      </c>
      <c r="T711" s="398">
        <v>7301</v>
      </c>
      <c r="U711" s="232"/>
      <c r="V711" s="398"/>
      <c r="W711" s="398"/>
      <c r="X711" s="398">
        <v>40601</v>
      </c>
      <c r="Y711" s="398">
        <v>2900</v>
      </c>
    </row>
    <row r="712" spans="1:25">
      <c r="A712" s="392">
        <v>97721</v>
      </c>
      <c r="B712" s="393" t="s">
        <v>1409</v>
      </c>
      <c r="C712" s="235">
        <v>5.2959999999999997E-4</v>
      </c>
      <c r="D712" s="235">
        <v>5.5699999999999999E-4</v>
      </c>
      <c r="E712" s="232">
        <v>1892486</v>
      </c>
      <c r="F712" s="232" t="s">
        <v>1930</v>
      </c>
      <c r="G712" s="394">
        <v>238988</v>
      </c>
      <c r="H712" s="394">
        <v>266317</v>
      </c>
      <c r="I712" s="394">
        <v>140838</v>
      </c>
      <c r="J712" s="232">
        <v>1734</v>
      </c>
      <c r="K712" s="232">
        <v>647877</v>
      </c>
      <c r="L712" s="232"/>
      <c r="M712" s="226">
        <v>0</v>
      </c>
      <c r="N712" s="226">
        <v>0</v>
      </c>
      <c r="O712" s="232">
        <v>80329</v>
      </c>
      <c r="P712" s="232">
        <v>80329</v>
      </c>
      <c r="Q712" s="232"/>
      <c r="R712" s="394">
        <v>650812</v>
      </c>
      <c r="S712" s="232">
        <v>-23606</v>
      </c>
      <c r="T712" s="398">
        <v>627206</v>
      </c>
      <c r="U712" s="232"/>
      <c r="V712" s="398"/>
      <c r="W712" s="398"/>
      <c r="X712" s="398">
        <v>3839649</v>
      </c>
      <c r="Y712" s="398">
        <v>274258</v>
      </c>
    </row>
    <row r="713" spans="1:25">
      <c r="A713" s="392">
        <v>97727</v>
      </c>
      <c r="B713" s="393" t="s">
        <v>1410</v>
      </c>
      <c r="C713" s="235">
        <v>1.6900000000000001E-5</v>
      </c>
      <c r="D713" s="235">
        <v>1.8600000000000001E-5</v>
      </c>
      <c r="E713" s="232">
        <v>60391</v>
      </c>
      <c r="F713" s="232" t="s">
        <v>1930</v>
      </c>
      <c r="G713" s="394">
        <v>7626</v>
      </c>
      <c r="H713" s="394">
        <v>8499</v>
      </c>
      <c r="I713" s="394">
        <v>4494</v>
      </c>
      <c r="J713" s="232">
        <v>472</v>
      </c>
      <c r="K713" s="232">
        <v>21091</v>
      </c>
      <c r="L713" s="232"/>
      <c r="M713" s="226">
        <v>0</v>
      </c>
      <c r="N713" s="226">
        <v>0</v>
      </c>
      <c r="O713" s="232">
        <v>400</v>
      </c>
      <c r="P713" s="232">
        <v>400</v>
      </c>
      <c r="Q713" s="232"/>
      <c r="R713" s="394">
        <v>20768</v>
      </c>
      <c r="S713" s="232">
        <v>-324</v>
      </c>
      <c r="T713" s="398">
        <v>20444</v>
      </c>
      <c r="U713" s="232"/>
      <c r="V713" s="398"/>
      <c r="W713" s="398"/>
      <c r="X713" s="398">
        <v>122527</v>
      </c>
      <c r="Y713" s="398">
        <v>8752</v>
      </c>
    </row>
    <row r="714" spans="1:25">
      <c r="A714" s="392">
        <v>97731</v>
      </c>
      <c r="B714" s="393" t="s">
        <v>1411</v>
      </c>
      <c r="C714" s="235">
        <v>3.8300000000000003E-5</v>
      </c>
      <c r="D714" s="235">
        <v>3.82E-5</v>
      </c>
      <c r="E714" s="232">
        <v>136862</v>
      </c>
      <c r="F714" s="232" t="s">
        <v>1930</v>
      </c>
      <c r="G714" s="394">
        <v>17283</v>
      </c>
      <c r="H714" s="394">
        <v>19259</v>
      </c>
      <c r="I714" s="394">
        <v>10185</v>
      </c>
      <c r="J714" s="232">
        <v>6031</v>
      </c>
      <c r="K714" s="232">
        <v>52758</v>
      </c>
      <c r="L714" s="232"/>
      <c r="M714" s="226">
        <v>0</v>
      </c>
      <c r="N714" s="226">
        <v>0</v>
      </c>
      <c r="O714" s="232">
        <v>0</v>
      </c>
      <c r="P714" s="232">
        <v>0</v>
      </c>
      <c r="Q714" s="232"/>
      <c r="R714" s="394">
        <v>47066</v>
      </c>
      <c r="S714" s="232">
        <v>3000</v>
      </c>
      <c r="T714" s="398">
        <v>50066</v>
      </c>
      <c r="U714" s="232"/>
      <c r="V714" s="398"/>
      <c r="W714" s="398"/>
      <c r="X714" s="398">
        <v>277679</v>
      </c>
      <c r="Y714" s="398">
        <v>19834</v>
      </c>
    </row>
    <row r="715" spans="1:25">
      <c r="A715" s="392">
        <v>97801</v>
      </c>
      <c r="B715" s="393" t="s">
        <v>1946</v>
      </c>
      <c r="C715" s="235">
        <v>6.2462999999999998E-3</v>
      </c>
      <c r="D715" s="235">
        <v>6.0489000000000003E-3</v>
      </c>
      <c r="E715" s="232">
        <v>22320691</v>
      </c>
      <c r="F715" s="232" t="s">
        <v>1930</v>
      </c>
      <c r="G715" s="394">
        <v>2818712</v>
      </c>
      <c r="H715" s="394">
        <v>3141040</v>
      </c>
      <c r="I715" s="394">
        <v>1661097</v>
      </c>
      <c r="J715" s="232">
        <v>545602</v>
      </c>
      <c r="K715" s="232">
        <v>8166451</v>
      </c>
      <c r="L715" s="232"/>
      <c r="M715" s="226">
        <v>0</v>
      </c>
      <c r="N715" s="226">
        <v>0</v>
      </c>
      <c r="O715" s="232">
        <v>414997</v>
      </c>
      <c r="P715" s="232">
        <v>414997</v>
      </c>
      <c r="Q715" s="232"/>
      <c r="R715" s="394">
        <v>7675922</v>
      </c>
      <c r="S715" s="232">
        <v>-45404</v>
      </c>
      <c r="T715" s="398">
        <v>7630518</v>
      </c>
      <c r="U715" s="232"/>
      <c r="V715" s="398"/>
      <c r="W715" s="398"/>
      <c r="X715" s="398">
        <v>45286250</v>
      </c>
      <c r="Y715" s="398">
        <v>3234696</v>
      </c>
    </row>
    <row r="716" spans="1:25">
      <c r="A716" s="392">
        <v>97802</v>
      </c>
      <c r="B716" s="393" t="s">
        <v>1413</v>
      </c>
      <c r="C716" s="235">
        <v>1.5880000000000001E-4</v>
      </c>
      <c r="D716" s="235">
        <v>1.9029999999999999E-4</v>
      </c>
      <c r="E716" s="232">
        <v>567460</v>
      </c>
      <c r="F716" s="232" t="s">
        <v>1930</v>
      </c>
      <c r="G716" s="394">
        <v>71660</v>
      </c>
      <c r="H716" s="394">
        <v>79855</v>
      </c>
      <c r="I716" s="394">
        <v>42230</v>
      </c>
      <c r="J716" s="232">
        <v>16047</v>
      </c>
      <c r="K716" s="232">
        <v>209792</v>
      </c>
      <c r="L716" s="232"/>
      <c r="M716" s="226">
        <v>0</v>
      </c>
      <c r="N716" s="226">
        <v>0</v>
      </c>
      <c r="O716" s="232">
        <v>43462</v>
      </c>
      <c r="P716" s="232">
        <v>43462</v>
      </c>
      <c r="Q716" s="232"/>
      <c r="R716" s="394">
        <v>195145</v>
      </c>
      <c r="S716" s="232">
        <v>-11015</v>
      </c>
      <c r="T716" s="398">
        <v>184130</v>
      </c>
      <c r="U716" s="232"/>
      <c r="V716" s="398"/>
      <c r="W716" s="398"/>
      <c r="X716" s="398">
        <v>1151315</v>
      </c>
      <c r="Y716" s="398">
        <v>82236</v>
      </c>
    </row>
    <row r="717" spans="1:25">
      <c r="A717" s="392">
        <v>97803</v>
      </c>
      <c r="B717" s="393" t="s">
        <v>1414</v>
      </c>
      <c r="C717" s="235">
        <v>7.2999999999999999E-5</v>
      </c>
      <c r="D717" s="235">
        <v>7.7899999999999996E-5</v>
      </c>
      <c r="E717" s="232">
        <v>260860</v>
      </c>
      <c r="F717" s="232" t="s">
        <v>1930</v>
      </c>
      <c r="G717" s="394">
        <v>32942</v>
      </c>
      <c r="H717" s="394">
        <v>36709</v>
      </c>
      <c r="I717" s="394">
        <v>19413</v>
      </c>
      <c r="J717" s="232">
        <v>2101</v>
      </c>
      <c r="K717" s="232">
        <v>91165</v>
      </c>
      <c r="L717" s="232"/>
      <c r="M717" s="226">
        <v>0</v>
      </c>
      <c r="N717" s="226">
        <v>0</v>
      </c>
      <c r="O717" s="232">
        <v>6688</v>
      </c>
      <c r="P717" s="232">
        <v>6688</v>
      </c>
      <c r="Q717" s="232"/>
      <c r="R717" s="394">
        <v>89708</v>
      </c>
      <c r="S717" s="232">
        <v>-637</v>
      </c>
      <c r="T717" s="398">
        <v>89071</v>
      </c>
      <c r="U717" s="232"/>
      <c r="V717" s="398"/>
      <c r="W717" s="398"/>
      <c r="X717" s="398">
        <v>529257</v>
      </c>
      <c r="Y717" s="398">
        <v>37804</v>
      </c>
    </row>
    <row r="718" spans="1:25">
      <c r="A718" s="392">
        <v>97805</v>
      </c>
      <c r="B718" s="393" t="s">
        <v>1415</v>
      </c>
      <c r="C718" s="235">
        <v>8.6299999999999997E-5</v>
      </c>
      <c r="D718" s="235">
        <v>8.6500000000000002E-5</v>
      </c>
      <c r="E718" s="232">
        <v>308387</v>
      </c>
      <c r="F718" s="232" t="s">
        <v>1930</v>
      </c>
      <c r="G718" s="394">
        <v>38944</v>
      </c>
      <c r="H718" s="394">
        <v>43397</v>
      </c>
      <c r="I718" s="394">
        <v>22950</v>
      </c>
      <c r="J718" s="232">
        <v>4380</v>
      </c>
      <c r="K718" s="232">
        <v>109671</v>
      </c>
      <c r="L718" s="232"/>
      <c r="M718" s="226">
        <v>0</v>
      </c>
      <c r="N718" s="226">
        <v>0</v>
      </c>
      <c r="O718" s="232">
        <v>1400</v>
      </c>
      <c r="P718" s="232">
        <v>1400</v>
      </c>
      <c r="Q718" s="232"/>
      <c r="R718" s="394">
        <v>106052</v>
      </c>
      <c r="S718" s="232">
        <v>3160</v>
      </c>
      <c r="T718" s="398">
        <v>109212</v>
      </c>
      <c r="U718" s="232"/>
      <c r="V718" s="398"/>
      <c r="W718" s="398"/>
      <c r="X718" s="398">
        <v>625683</v>
      </c>
      <c r="Y718" s="398">
        <v>44691</v>
      </c>
    </row>
    <row r="719" spans="1:25">
      <c r="A719" s="392">
        <v>97811</v>
      </c>
      <c r="B719" s="393" t="s">
        <v>1416</v>
      </c>
      <c r="C719" s="235">
        <v>2.2964000000000001E-3</v>
      </c>
      <c r="D719" s="235">
        <v>2.4080999999999998E-3</v>
      </c>
      <c r="E719" s="232">
        <v>8206015</v>
      </c>
      <c r="F719" s="232" t="s">
        <v>1930</v>
      </c>
      <c r="G719" s="394">
        <v>1036276</v>
      </c>
      <c r="H719" s="394">
        <v>1154777</v>
      </c>
      <c r="I719" s="394">
        <v>610689</v>
      </c>
      <c r="J719" s="232">
        <v>0</v>
      </c>
      <c r="K719" s="232">
        <v>2801742</v>
      </c>
      <c r="L719" s="232"/>
      <c r="M719" s="226">
        <v>0</v>
      </c>
      <c r="N719" s="226">
        <v>0</v>
      </c>
      <c r="O719" s="232">
        <v>137168</v>
      </c>
      <c r="P719" s="232">
        <v>137168</v>
      </c>
      <c r="Q719" s="232"/>
      <c r="R719" s="394">
        <v>2821989</v>
      </c>
      <c r="S719" s="232">
        <v>-73954</v>
      </c>
      <c r="T719" s="398">
        <v>2748035</v>
      </c>
      <c r="U719" s="232"/>
      <c r="V719" s="398"/>
      <c r="W719" s="398"/>
      <c r="X719" s="398">
        <v>16649111</v>
      </c>
      <c r="Y719" s="398">
        <v>1189209</v>
      </c>
    </row>
    <row r="720" spans="1:25">
      <c r="A720" s="392">
        <v>97817</v>
      </c>
      <c r="B720" s="393" t="s">
        <v>1417</v>
      </c>
      <c r="C720" s="235">
        <v>1.9300000000000002E-5</v>
      </c>
      <c r="D720" s="235">
        <v>1.7499999999999998E-5</v>
      </c>
      <c r="E720" s="232">
        <v>68967</v>
      </c>
      <c r="F720" s="232" t="s">
        <v>1930</v>
      </c>
      <c r="G720" s="394">
        <v>8709</v>
      </c>
      <c r="H720" s="394">
        <v>9705</v>
      </c>
      <c r="I720" s="394">
        <v>5133</v>
      </c>
      <c r="J720" s="232">
        <v>13295</v>
      </c>
      <c r="K720" s="232">
        <v>36842</v>
      </c>
      <c r="L720" s="232"/>
      <c r="M720" s="226">
        <v>0</v>
      </c>
      <c r="N720" s="226">
        <v>0</v>
      </c>
      <c r="O720" s="232">
        <v>0</v>
      </c>
      <c r="P720" s="232">
        <v>0</v>
      </c>
      <c r="Q720" s="232"/>
      <c r="R720" s="394">
        <v>23717</v>
      </c>
      <c r="S720" s="232">
        <v>7704</v>
      </c>
      <c r="T720" s="398">
        <v>31421</v>
      </c>
      <c r="U720" s="232"/>
      <c r="V720" s="398"/>
      <c r="W720" s="398"/>
      <c r="X720" s="398">
        <v>139927</v>
      </c>
      <c r="Y720" s="398">
        <v>9995</v>
      </c>
    </row>
    <row r="721" spans="1:25">
      <c r="A721" s="392">
        <v>97818</v>
      </c>
      <c r="B721" s="393" t="s">
        <v>1418</v>
      </c>
      <c r="C721" s="235">
        <v>1.6500000000000001E-5</v>
      </c>
      <c r="D721" s="235">
        <v>2.4899999999999999E-5</v>
      </c>
      <c r="E721" s="232">
        <v>58962</v>
      </c>
      <c r="F721" s="232" t="s">
        <v>1930</v>
      </c>
      <c r="G721" s="394">
        <v>7446</v>
      </c>
      <c r="H721" s="394">
        <v>8298</v>
      </c>
      <c r="I721" s="394">
        <v>4388</v>
      </c>
      <c r="J721" s="232">
        <v>2909</v>
      </c>
      <c r="K721" s="232">
        <v>23041</v>
      </c>
      <c r="L721" s="232"/>
      <c r="M721" s="226">
        <v>0</v>
      </c>
      <c r="N721" s="226">
        <v>0</v>
      </c>
      <c r="O721" s="232">
        <v>7165</v>
      </c>
      <c r="P721" s="232">
        <v>7165</v>
      </c>
      <c r="Q721" s="232"/>
      <c r="R721" s="394">
        <v>20276</v>
      </c>
      <c r="S721" s="232">
        <v>88</v>
      </c>
      <c r="T721" s="398">
        <v>20364</v>
      </c>
      <c r="U721" s="232"/>
      <c r="V721" s="398"/>
      <c r="W721" s="398"/>
      <c r="X721" s="398">
        <v>119627</v>
      </c>
      <c r="Y721" s="398">
        <v>8545</v>
      </c>
    </row>
    <row r="722" spans="1:25">
      <c r="A722" s="392">
        <v>97821</v>
      </c>
      <c r="B722" s="393" t="s">
        <v>1419</v>
      </c>
      <c r="C722" s="235">
        <v>1.038E-4</v>
      </c>
      <c r="D722" s="235">
        <v>1.329E-4</v>
      </c>
      <c r="E722" s="232">
        <v>370922</v>
      </c>
      <c r="F722" s="232" t="s">
        <v>1930</v>
      </c>
      <c r="G722" s="394">
        <v>46841</v>
      </c>
      <c r="H722" s="394">
        <v>52197</v>
      </c>
      <c r="I722" s="394">
        <v>27604</v>
      </c>
      <c r="J722" s="232">
        <v>23240</v>
      </c>
      <c r="K722" s="232">
        <v>149882</v>
      </c>
      <c r="L722" s="232"/>
      <c r="M722" s="226">
        <v>0</v>
      </c>
      <c r="N722" s="226">
        <v>0</v>
      </c>
      <c r="O722" s="232">
        <v>27337</v>
      </c>
      <c r="P722" s="232">
        <v>27337</v>
      </c>
      <c r="Q722" s="232"/>
      <c r="R722" s="394">
        <v>127557</v>
      </c>
      <c r="S722" s="232">
        <v>-1074</v>
      </c>
      <c r="T722" s="398">
        <v>126483</v>
      </c>
      <c r="U722" s="232"/>
      <c r="V722" s="398"/>
      <c r="W722" s="398"/>
      <c r="X722" s="398">
        <v>752560</v>
      </c>
      <c r="Y722" s="398">
        <v>53754</v>
      </c>
    </row>
    <row r="723" spans="1:25">
      <c r="A723" s="392">
        <v>97823</v>
      </c>
      <c r="B723" s="393" t="s">
        <v>1420</v>
      </c>
      <c r="C723" s="235">
        <v>1.91E-5</v>
      </c>
      <c r="D723" s="235">
        <v>1.5400000000000002E-5</v>
      </c>
      <c r="E723" s="232">
        <v>68252</v>
      </c>
      <c r="F723" s="232" t="s">
        <v>1930</v>
      </c>
      <c r="G723" s="394">
        <v>8619</v>
      </c>
      <c r="H723" s="394">
        <v>9605</v>
      </c>
      <c r="I723" s="394">
        <v>5079</v>
      </c>
      <c r="J723" s="232">
        <v>9731</v>
      </c>
      <c r="K723" s="232">
        <v>33034</v>
      </c>
      <c r="L723" s="232"/>
      <c r="M723" s="226">
        <v>0</v>
      </c>
      <c r="N723" s="226">
        <v>0</v>
      </c>
      <c r="O723" s="232">
        <v>1052</v>
      </c>
      <c r="P723" s="232">
        <v>1052</v>
      </c>
      <c r="Q723" s="232"/>
      <c r="R723" s="394">
        <v>23472</v>
      </c>
      <c r="S723" s="232">
        <v>3052</v>
      </c>
      <c r="T723" s="398">
        <v>26524</v>
      </c>
      <c r="U723" s="232"/>
      <c r="V723" s="398"/>
      <c r="W723" s="398"/>
      <c r="X723" s="398">
        <v>138477</v>
      </c>
      <c r="Y723" s="398">
        <v>9891</v>
      </c>
    </row>
    <row r="724" spans="1:25">
      <c r="A724" s="392">
        <v>97831</v>
      </c>
      <c r="B724" s="393" t="s">
        <v>1421</v>
      </c>
      <c r="C724" s="235">
        <v>1.8760000000000001E-4</v>
      </c>
      <c r="D724" s="235">
        <v>1.6359999999999999E-4</v>
      </c>
      <c r="E724" s="232">
        <v>670375</v>
      </c>
      <c r="F724" s="232" t="s">
        <v>1930</v>
      </c>
      <c r="G724" s="394">
        <v>84657</v>
      </c>
      <c r="H724" s="394">
        <v>94337</v>
      </c>
      <c r="I724" s="394">
        <v>49889</v>
      </c>
      <c r="J724" s="232">
        <v>52515</v>
      </c>
      <c r="K724" s="232">
        <v>281398</v>
      </c>
      <c r="L724" s="232"/>
      <c r="M724" s="226">
        <v>0</v>
      </c>
      <c r="N724" s="226">
        <v>0</v>
      </c>
      <c r="O724" s="232">
        <v>1652</v>
      </c>
      <c r="P724" s="232">
        <v>1652</v>
      </c>
      <c r="Q724" s="232"/>
      <c r="R724" s="394">
        <v>230537</v>
      </c>
      <c r="S724" s="232">
        <v>18942</v>
      </c>
      <c r="T724" s="398">
        <v>249479</v>
      </c>
      <c r="U724" s="232"/>
      <c r="V724" s="398"/>
      <c r="W724" s="398"/>
      <c r="X724" s="398">
        <v>1360117</v>
      </c>
      <c r="Y724" s="398">
        <v>97150</v>
      </c>
    </row>
    <row r="725" spans="1:25">
      <c r="A725" s="392">
        <v>97837</v>
      </c>
      <c r="B725" s="393" t="s">
        <v>1422</v>
      </c>
      <c r="C725" s="235">
        <v>8.4999999999999999E-6</v>
      </c>
      <c r="D725" s="235">
        <v>1.0000000000000001E-5</v>
      </c>
      <c r="E725" s="232">
        <v>30374</v>
      </c>
      <c r="F725" s="232" t="s">
        <v>1930</v>
      </c>
      <c r="G725" s="394">
        <v>3836</v>
      </c>
      <c r="H725" s="394">
        <v>4274</v>
      </c>
      <c r="I725" s="394">
        <v>2260</v>
      </c>
      <c r="J725" s="232">
        <v>1655</v>
      </c>
      <c r="K725" s="232">
        <v>12025</v>
      </c>
      <c r="L725" s="232"/>
      <c r="M725" s="226">
        <v>0</v>
      </c>
      <c r="N725" s="226">
        <v>0</v>
      </c>
      <c r="O725" s="232">
        <v>2403</v>
      </c>
      <c r="P725" s="232">
        <v>2403</v>
      </c>
      <c r="Q725" s="232"/>
      <c r="R725" s="394">
        <v>10445</v>
      </c>
      <c r="S725" s="232">
        <v>145</v>
      </c>
      <c r="T725" s="398">
        <v>10590</v>
      </c>
      <c r="U725" s="232"/>
      <c r="V725" s="398"/>
      <c r="W725" s="398"/>
      <c r="X725" s="398">
        <v>61626</v>
      </c>
      <c r="Y725" s="398">
        <v>4402</v>
      </c>
    </row>
    <row r="726" spans="1:25">
      <c r="A726" s="392">
        <v>97840</v>
      </c>
      <c r="B726" s="393" t="s">
        <v>1423</v>
      </c>
      <c r="C726" s="235">
        <v>1.3219999999999999E-4</v>
      </c>
      <c r="D726" s="235">
        <v>1.0560000000000001E-4</v>
      </c>
      <c r="E726" s="232">
        <v>472407</v>
      </c>
      <c r="F726" s="232" t="s">
        <v>1930</v>
      </c>
      <c r="G726" s="394">
        <v>59657</v>
      </c>
      <c r="H726" s="394">
        <v>66479</v>
      </c>
      <c r="I726" s="394">
        <v>35156</v>
      </c>
      <c r="J726" s="232">
        <v>81190</v>
      </c>
      <c r="K726" s="232">
        <v>242482</v>
      </c>
      <c r="L726" s="232"/>
      <c r="M726" s="226">
        <v>0</v>
      </c>
      <c r="N726" s="226">
        <v>0</v>
      </c>
      <c r="O726" s="232">
        <v>0</v>
      </c>
      <c r="P726" s="232">
        <v>0</v>
      </c>
      <c r="Q726" s="232"/>
      <c r="R726" s="394">
        <v>162457</v>
      </c>
      <c r="S726" s="232">
        <v>42286</v>
      </c>
      <c r="T726" s="398">
        <v>204743</v>
      </c>
      <c r="U726" s="232"/>
      <c r="V726" s="398"/>
      <c r="W726" s="398"/>
      <c r="X726" s="398">
        <v>958462</v>
      </c>
      <c r="Y726" s="398">
        <v>68461</v>
      </c>
    </row>
    <row r="727" spans="1:25">
      <c r="A727" s="392">
        <v>97841</v>
      </c>
      <c r="B727" s="393" t="s">
        <v>1424</v>
      </c>
      <c r="C727" s="235">
        <v>1.4100000000000001E-5</v>
      </c>
      <c r="D727" s="235">
        <v>1.2099999999999999E-5</v>
      </c>
      <c r="E727" s="232">
        <v>50385</v>
      </c>
      <c r="F727" s="232" t="s">
        <v>1930</v>
      </c>
      <c r="G727" s="394">
        <v>6363</v>
      </c>
      <c r="H727" s="394">
        <v>7090</v>
      </c>
      <c r="I727" s="394">
        <v>3750</v>
      </c>
      <c r="J727" s="232">
        <v>1531</v>
      </c>
      <c r="K727" s="232">
        <v>18734</v>
      </c>
      <c r="L727" s="232"/>
      <c r="M727" s="226">
        <v>0</v>
      </c>
      <c r="N727" s="226">
        <v>0</v>
      </c>
      <c r="O727" s="232">
        <v>185</v>
      </c>
      <c r="P727" s="232">
        <v>185</v>
      </c>
      <c r="Q727" s="232"/>
      <c r="R727" s="394">
        <v>17327</v>
      </c>
      <c r="S727" s="232">
        <v>221</v>
      </c>
      <c r="T727" s="398">
        <v>17548</v>
      </c>
      <c r="U727" s="232"/>
      <c r="V727" s="398"/>
      <c r="W727" s="398"/>
      <c r="X727" s="398">
        <v>102226</v>
      </c>
      <c r="Y727" s="398">
        <v>7302</v>
      </c>
    </row>
    <row r="728" spans="1:25">
      <c r="A728" s="392">
        <v>97847</v>
      </c>
      <c r="B728" s="393" t="s">
        <v>1425</v>
      </c>
      <c r="C728" s="235">
        <v>1.7999999999999999E-6</v>
      </c>
      <c r="D728" s="235">
        <v>1.7E-6</v>
      </c>
      <c r="E728" s="232">
        <v>6432</v>
      </c>
      <c r="F728" s="232" t="s">
        <v>1930</v>
      </c>
      <c r="G728" s="394">
        <v>812</v>
      </c>
      <c r="H728" s="394">
        <v>905</v>
      </c>
      <c r="I728" s="394">
        <v>479</v>
      </c>
      <c r="J728" s="232">
        <v>3323</v>
      </c>
      <c r="K728" s="232">
        <v>5519</v>
      </c>
      <c r="L728" s="232"/>
      <c r="M728" s="226">
        <v>0</v>
      </c>
      <c r="N728" s="226">
        <v>0</v>
      </c>
      <c r="O728" s="232">
        <v>0</v>
      </c>
      <c r="P728" s="232">
        <v>0</v>
      </c>
      <c r="Q728" s="232"/>
      <c r="R728" s="394">
        <v>2212</v>
      </c>
      <c r="S728" s="232">
        <v>1458</v>
      </c>
      <c r="T728" s="398">
        <v>3670</v>
      </c>
      <c r="U728" s="232"/>
      <c r="V728" s="398"/>
      <c r="W728" s="398"/>
      <c r="X728" s="398">
        <v>13050</v>
      </c>
      <c r="Y728" s="398">
        <v>932</v>
      </c>
    </row>
    <row r="729" spans="1:25">
      <c r="A729" s="392">
        <v>97851</v>
      </c>
      <c r="B729" s="393" t="s">
        <v>1426</v>
      </c>
      <c r="C729" s="235">
        <v>2.5589999999999999E-4</v>
      </c>
      <c r="D729" s="235">
        <v>2.7540000000000003E-4</v>
      </c>
      <c r="E729" s="232">
        <v>914440</v>
      </c>
      <c r="F729" s="232" t="s">
        <v>1930</v>
      </c>
      <c r="G729" s="394">
        <v>115478</v>
      </c>
      <c r="H729" s="394">
        <v>128682</v>
      </c>
      <c r="I729" s="394">
        <v>68052</v>
      </c>
      <c r="J729" s="232">
        <v>0</v>
      </c>
      <c r="K729" s="232">
        <v>312212</v>
      </c>
      <c r="L729" s="232"/>
      <c r="M729" s="226">
        <v>0</v>
      </c>
      <c r="N729" s="226">
        <v>0</v>
      </c>
      <c r="O729" s="232">
        <v>58733</v>
      </c>
      <c r="P729" s="232">
        <v>58733</v>
      </c>
      <c r="Q729" s="232"/>
      <c r="R729" s="394">
        <v>314469</v>
      </c>
      <c r="S729" s="232">
        <v>-23588</v>
      </c>
      <c r="T729" s="398">
        <v>290881</v>
      </c>
      <c r="U729" s="232"/>
      <c r="V729" s="398"/>
      <c r="W729" s="398"/>
      <c r="X729" s="398">
        <v>1855299</v>
      </c>
      <c r="Y729" s="398">
        <v>132520</v>
      </c>
    </row>
    <row r="730" spans="1:25">
      <c r="A730" s="392">
        <v>97853</v>
      </c>
      <c r="B730" s="393" t="s">
        <v>1427</v>
      </c>
      <c r="C730" s="235">
        <v>7.6600000000000005E-5</v>
      </c>
      <c r="D730" s="235">
        <v>7.9900000000000004E-5</v>
      </c>
      <c r="E730" s="232">
        <v>273724</v>
      </c>
      <c r="F730" s="232" t="s">
        <v>1930</v>
      </c>
      <c r="G730" s="394">
        <v>34567</v>
      </c>
      <c r="H730" s="394">
        <v>38519</v>
      </c>
      <c r="I730" s="394">
        <v>20370</v>
      </c>
      <c r="J730" s="232">
        <v>1253</v>
      </c>
      <c r="K730" s="232">
        <v>94709</v>
      </c>
      <c r="L730" s="232"/>
      <c r="M730" s="226">
        <v>0</v>
      </c>
      <c r="N730" s="226">
        <v>0</v>
      </c>
      <c r="O730" s="232">
        <v>22037</v>
      </c>
      <c r="P730" s="232">
        <v>22037</v>
      </c>
      <c r="Q730" s="232"/>
      <c r="R730" s="394">
        <v>94132</v>
      </c>
      <c r="S730" s="232">
        <v>-9995</v>
      </c>
      <c r="T730" s="398">
        <v>84137</v>
      </c>
      <c r="U730" s="232"/>
      <c r="V730" s="398"/>
      <c r="W730" s="398"/>
      <c r="X730" s="398">
        <v>555357</v>
      </c>
      <c r="Y730" s="398">
        <v>39668</v>
      </c>
    </row>
    <row r="731" spans="1:25">
      <c r="A731" s="392">
        <v>97861</v>
      </c>
      <c r="B731" s="393" t="s">
        <v>1428</v>
      </c>
      <c r="C731" s="235">
        <v>4.4700000000000002E-5</v>
      </c>
      <c r="D731" s="235">
        <v>4.5500000000000001E-5</v>
      </c>
      <c r="E731" s="232">
        <v>159732</v>
      </c>
      <c r="F731" s="232" t="s">
        <v>1930</v>
      </c>
      <c r="G731" s="394">
        <v>20171</v>
      </c>
      <c r="H731" s="394">
        <v>22478</v>
      </c>
      <c r="I731" s="394">
        <v>11887</v>
      </c>
      <c r="J731" s="232">
        <v>12484</v>
      </c>
      <c r="K731" s="232">
        <v>67020</v>
      </c>
      <c r="L731" s="232"/>
      <c r="M731" s="226">
        <v>0</v>
      </c>
      <c r="N731" s="226">
        <v>0</v>
      </c>
      <c r="O731" s="232">
        <v>7163</v>
      </c>
      <c r="P731" s="232">
        <v>7163</v>
      </c>
      <c r="Q731" s="232"/>
      <c r="R731" s="394">
        <v>54931</v>
      </c>
      <c r="S731" s="232">
        <v>-142</v>
      </c>
      <c r="T731" s="398">
        <v>54789</v>
      </c>
      <c r="U731" s="232"/>
      <c r="V731" s="398"/>
      <c r="W731" s="398"/>
      <c r="X731" s="398">
        <v>324079</v>
      </c>
      <c r="Y731" s="398">
        <v>23148</v>
      </c>
    </row>
    <row r="732" spans="1:25">
      <c r="A732" s="392">
        <v>97871</v>
      </c>
      <c r="B732" s="393" t="s">
        <v>1429</v>
      </c>
      <c r="C732" s="235">
        <v>2.6209999999999997E-4</v>
      </c>
      <c r="D732" s="235">
        <v>3.0079999999999999E-4</v>
      </c>
      <c r="E732" s="232">
        <v>936595</v>
      </c>
      <c r="F732" s="232" t="s">
        <v>1930</v>
      </c>
      <c r="G732" s="394">
        <v>118276</v>
      </c>
      <c r="H732" s="394">
        <v>131801</v>
      </c>
      <c r="I732" s="394">
        <v>69701</v>
      </c>
      <c r="J732" s="232">
        <v>166936</v>
      </c>
      <c r="K732" s="232">
        <v>486714</v>
      </c>
      <c r="L732" s="232"/>
      <c r="M732" s="226">
        <v>0</v>
      </c>
      <c r="N732" s="226">
        <v>0</v>
      </c>
      <c r="O732" s="232">
        <v>32580</v>
      </c>
      <c r="P732" s="232">
        <v>32580</v>
      </c>
      <c r="Q732" s="232"/>
      <c r="R732" s="394">
        <v>322088</v>
      </c>
      <c r="S732" s="232">
        <v>92300</v>
      </c>
      <c r="T732" s="398">
        <v>414388</v>
      </c>
      <c r="U732" s="232"/>
      <c r="V732" s="398"/>
      <c r="W732" s="398"/>
      <c r="X732" s="398">
        <v>1900249</v>
      </c>
      <c r="Y732" s="398">
        <v>135731</v>
      </c>
    </row>
    <row r="733" spans="1:25">
      <c r="A733" s="392">
        <v>97877</v>
      </c>
      <c r="B733" s="393" t="s">
        <v>1430</v>
      </c>
      <c r="C733" s="235">
        <v>8.8999999999999995E-6</v>
      </c>
      <c r="D733" s="235">
        <v>7.6000000000000001E-6</v>
      </c>
      <c r="E733" s="232">
        <v>31803</v>
      </c>
      <c r="F733" s="232" t="s">
        <v>1930</v>
      </c>
      <c r="G733" s="394">
        <v>4016</v>
      </c>
      <c r="H733" s="394">
        <v>4475</v>
      </c>
      <c r="I733" s="394">
        <v>2367</v>
      </c>
      <c r="J733" s="232">
        <v>7330</v>
      </c>
      <c r="K733" s="232">
        <v>18188</v>
      </c>
      <c r="L733" s="232"/>
      <c r="M733" s="226">
        <v>0</v>
      </c>
      <c r="N733" s="226">
        <v>0</v>
      </c>
      <c r="O733" s="232">
        <v>0</v>
      </c>
      <c r="P733" s="232">
        <v>0</v>
      </c>
      <c r="Q733" s="232"/>
      <c r="R733" s="394">
        <v>10937</v>
      </c>
      <c r="S733" s="232">
        <v>2825</v>
      </c>
      <c r="T733" s="398">
        <v>13762</v>
      </c>
      <c r="U733" s="232"/>
      <c r="V733" s="398"/>
      <c r="W733" s="398"/>
      <c r="X733" s="398">
        <v>64526</v>
      </c>
      <c r="Y733" s="398">
        <v>4609</v>
      </c>
    </row>
    <row r="734" spans="1:25">
      <c r="A734" s="392">
        <v>97901</v>
      </c>
      <c r="B734" s="393" t="s">
        <v>1431</v>
      </c>
      <c r="C734" s="235">
        <v>3.8295999999999998E-3</v>
      </c>
      <c r="D734" s="235">
        <v>4.0067999999999996E-3</v>
      </c>
      <c r="E734" s="232">
        <v>13684792</v>
      </c>
      <c r="F734" s="232" t="s">
        <v>1930</v>
      </c>
      <c r="G734" s="394">
        <v>1728149</v>
      </c>
      <c r="H734" s="394">
        <v>1925768</v>
      </c>
      <c r="I734" s="394">
        <v>1018417</v>
      </c>
      <c r="J734" s="232">
        <v>10460</v>
      </c>
      <c r="K734" s="232">
        <v>4682794</v>
      </c>
      <c r="L734" s="232"/>
      <c r="M734" s="226">
        <v>0</v>
      </c>
      <c r="N734" s="226">
        <v>0</v>
      </c>
      <c r="O734" s="232">
        <v>373931</v>
      </c>
      <c r="P734" s="232">
        <v>373931</v>
      </c>
      <c r="Q734" s="232"/>
      <c r="R734" s="394">
        <v>4706100</v>
      </c>
      <c r="S734" s="232">
        <v>-120209</v>
      </c>
      <c r="T734" s="398">
        <v>4585891</v>
      </c>
      <c r="U734" s="232"/>
      <c r="V734" s="398"/>
      <c r="W734" s="398"/>
      <c r="X734" s="398">
        <v>27764952</v>
      </c>
      <c r="Y734" s="398">
        <v>1983189</v>
      </c>
    </row>
    <row r="735" spans="1:25">
      <c r="A735" s="392">
        <v>97911</v>
      </c>
      <c r="B735" s="393" t="s">
        <v>1432</v>
      </c>
      <c r="C735" s="235">
        <v>1.2029E-3</v>
      </c>
      <c r="D735" s="235">
        <v>1.2121E-3</v>
      </c>
      <c r="E735" s="232">
        <v>4298474</v>
      </c>
      <c r="F735" s="232" t="s">
        <v>1930</v>
      </c>
      <c r="G735" s="394">
        <v>542822</v>
      </c>
      <c r="H735" s="394">
        <v>604895</v>
      </c>
      <c r="I735" s="394">
        <v>319891</v>
      </c>
      <c r="J735" s="232">
        <v>42409</v>
      </c>
      <c r="K735" s="232">
        <v>1510017</v>
      </c>
      <c r="L735" s="232"/>
      <c r="M735" s="226">
        <v>0</v>
      </c>
      <c r="N735" s="226">
        <v>0</v>
      </c>
      <c r="O735" s="232">
        <v>17861</v>
      </c>
      <c r="P735" s="232">
        <v>17861</v>
      </c>
      <c r="Q735" s="232"/>
      <c r="R735" s="394">
        <v>1478214</v>
      </c>
      <c r="S735" s="232">
        <v>-227</v>
      </c>
      <c r="T735" s="398">
        <v>1477987</v>
      </c>
      <c r="U735" s="232"/>
      <c r="V735" s="398"/>
      <c r="W735" s="398"/>
      <c r="X735" s="398">
        <v>8721136</v>
      </c>
      <c r="Y735" s="398">
        <v>622931</v>
      </c>
    </row>
    <row r="736" spans="1:25">
      <c r="A736" s="392">
        <v>97913</v>
      </c>
      <c r="B736" s="393" t="s">
        <v>1433</v>
      </c>
      <c r="C736" s="235">
        <v>2.2900000000000001E-5</v>
      </c>
      <c r="D736" s="235">
        <v>2.8600000000000001E-5</v>
      </c>
      <c r="E736" s="232">
        <v>81831</v>
      </c>
      <c r="F736" s="232" t="s">
        <v>1930</v>
      </c>
      <c r="G736" s="394">
        <v>10334</v>
      </c>
      <c r="H736" s="394">
        <v>11515</v>
      </c>
      <c r="I736" s="394">
        <v>6090</v>
      </c>
      <c r="J736" s="232">
        <v>11275</v>
      </c>
      <c r="K736" s="232">
        <v>39214</v>
      </c>
      <c r="L736" s="232"/>
      <c r="M736" s="226">
        <v>0</v>
      </c>
      <c r="N736" s="226">
        <v>0</v>
      </c>
      <c r="O736" s="232">
        <v>0</v>
      </c>
      <c r="P736" s="232">
        <v>0</v>
      </c>
      <c r="Q736" s="232"/>
      <c r="R736" s="394">
        <v>28141</v>
      </c>
      <c r="S736" s="232">
        <v>7145</v>
      </c>
      <c r="T736" s="398">
        <v>35286</v>
      </c>
      <c r="U736" s="232"/>
      <c r="V736" s="398"/>
      <c r="W736" s="398"/>
      <c r="X736" s="398">
        <v>166027</v>
      </c>
      <c r="Y736" s="398">
        <v>11859</v>
      </c>
    </row>
    <row r="737" spans="1:25">
      <c r="A737" s="392">
        <v>97917</v>
      </c>
      <c r="B737" s="393" t="s">
        <v>1434</v>
      </c>
      <c r="C737" s="235">
        <v>1.7799999999999999E-5</v>
      </c>
      <c r="D737" s="235">
        <v>1.84E-5</v>
      </c>
      <c r="E737" s="232">
        <v>63607</v>
      </c>
      <c r="F737" s="232" t="s">
        <v>1930</v>
      </c>
      <c r="G737" s="394">
        <v>8032</v>
      </c>
      <c r="H737" s="394">
        <v>8951</v>
      </c>
      <c r="I737" s="394">
        <v>4734</v>
      </c>
      <c r="J737" s="232">
        <v>8840</v>
      </c>
      <c r="K737" s="232">
        <v>30557</v>
      </c>
      <c r="L737" s="232"/>
      <c r="M737" s="226">
        <v>0</v>
      </c>
      <c r="N737" s="226">
        <v>0</v>
      </c>
      <c r="O737" s="232">
        <v>0</v>
      </c>
      <c r="P737" s="232">
        <v>0</v>
      </c>
      <c r="Q737" s="232"/>
      <c r="R737" s="394">
        <v>21874</v>
      </c>
      <c r="S737" s="232">
        <v>4360</v>
      </c>
      <c r="T737" s="398">
        <v>26234</v>
      </c>
      <c r="U737" s="232"/>
      <c r="V737" s="398"/>
      <c r="W737" s="398"/>
      <c r="X737" s="398">
        <v>129052</v>
      </c>
      <c r="Y737" s="398">
        <v>9218</v>
      </c>
    </row>
    <row r="738" spans="1:25">
      <c r="A738" s="392">
        <v>97921</v>
      </c>
      <c r="B738" s="393" t="s">
        <v>1435</v>
      </c>
      <c r="C738" s="235">
        <v>2.14E-4</v>
      </c>
      <c r="D738" s="235">
        <v>2.073E-4</v>
      </c>
      <c r="E738" s="232">
        <v>764713</v>
      </c>
      <c r="F738" s="232" t="s">
        <v>1930</v>
      </c>
      <c r="G738" s="394">
        <v>96570</v>
      </c>
      <c r="H738" s="394">
        <v>107613</v>
      </c>
      <c r="I738" s="394">
        <v>56910</v>
      </c>
      <c r="J738" s="232">
        <v>13148</v>
      </c>
      <c r="K738" s="232">
        <v>274241</v>
      </c>
      <c r="L738" s="232"/>
      <c r="M738" s="226">
        <v>0</v>
      </c>
      <c r="N738" s="226">
        <v>0</v>
      </c>
      <c r="O738" s="232">
        <v>9935</v>
      </c>
      <c r="P738" s="232">
        <v>9935</v>
      </c>
      <c r="Q738" s="232"/>
      <c r="R738" s="394">
        <v>262979</v>
      </c>
      <c r="S738" s="232">
        <v>424</v>
      </c>
      <c r="T738" s="398">
        <v>263403</v>
      </c>
      <c r="U738" s="232"/>
      <c r="V738" s="398"/>
      <c r="W738" s="398"/>
      <c r="X738" s="398">
        <v>1551520</v>
      </c>
      <c r="Y738" s="398">
        <v>110822</v>
      </c>
    </row>
    <row r="739" spans="1:25">
      <c r="A739" s="392">
        <v>97931</v>
      </c>
      <c r="B739" s="393" t="s">
        <v>1436</v>
      </c>
      <c r="C739" s="235">
        <v>7.7700000000000005E-5</v>
      </c>
      <c r="D739" s="235">
        <v>6.6699999999999995E-5</v>
      </c>
      <c r="E739" s="232">
        <v>277655</v>
      </c>
      <c r="F739" s="232" t="s">
        <v>1930</v>
      </c>
      <c r="G739" s="394">
        <v>35063</v>
      </c>
      <c r="H739" s="394">
        <v>39072</v>
      </c>
      <c r="I739" s="394">
        <v>20663</v>
      </c>
      <c r="J739" s="232">
        <v>13943</v>
      </c>
      <c r="K739" s="232">
        <v>108741</v>
      </c>
      <c r="L739" s="232"/>
      <c r="M739" s="226">
        <v>0</v>
      </c>
      <c r="N739" s="226">
        <v>0</v>
      </c>
      <c r="O739" s="232">
        <v>883</v>
      </c>
      <c r="P739" s="232">
        <v>883</v>
      </c>
      <c r="Q739" s="232"/>
      <c r="R739" s="394">
        <v>95484</v>
      </c>
      <c r="S739" s="232">
        <v>4509</v>
      </c>
      <c r="T739" s="398">
        <v>99993</v>
      </c>
      <c r="U739" s="232"/>
      <c r="V739" s="398"/>
      <c r="W739" s="398"/>
      <c r="X739" s="398">
        <v>563332</v>
      </c>
      <c r="Y739" s="398">
        <v>40238</v>
      </c>
    </row>
    <row r="740" spans="1:25">
      <c r="A740" s="392">
        <v>97941</v>
      </c>
      <c r="B740" s="393" t="s">
        <v>1437</v>
      </c>
      <c r="C740" s="235">
        <v>2.195E-4</v>
      </c>
      <c r="D740" s="235">
        <v>2.143E-4</v>
      </c>
      <c r="E740" s="232">
        <v>784367</v>
      </c>
      <c r="F740" s="232" t="s">
        <v>1930</v>
      </c>
      <c r="G740" s="394">
        <v>99052</v>
      </c>
      <c r="H740" s="394">
        <v>110378</v>
      </c>
      <c r="I740" s="394">
        <v>58372</v>
      </c>
      <c r="J740" s="232">
        <v>31274</v>
      </c>
      <c r="K740" s="232">
        <v>299076</v>
      </c>
      <c r="L740" s="232"/>
      <c r="M740" s="226">
        <v>0</v>
      </c>
      <c r="N740" s="226">
        <v>0</v>
      </c>
      <c r="O740" s="232">
        <v>2187</v>
      </c>
      <c r="P740" s="232">
        <v>2187</v>
      </c>
      <c r="Q740" s="232"/>
      <c r="R740" s="394">
        <v>269738</v>
      </c>
      <c r="S740" s="232">
        <v>9971</v>
      </c>
      <c r="T740" s="398">
        <v>279709</v>
      </c>
      <c r="U740" s="232"/>
      <c r="V740" s="398"/>
      <c r="W740" s="398"/>
      <c r="X740" s="398">
        <v>1591395</v>
      </c>
      <c r="Y740" s="398">
        <v>113670</v>
      </c>
    </row>
    <row r="741" spans="1:25">
      <c r="A741" s="392">
        <v>97947</v>
      </c>
      <c r="B741" s="393" t="s">
        <v>1438</v>
      </c>
      <c r="C741" s="235">
        <v>1.5E-5</v>
      </c>
      <c r="D741" s="235">
        <v>1.52E-5</v>
      </c>
      <c r="E741" s="232">
        <v>53601</v>
      </c>
      <c r="F741" s="232" t="s">
        <v>1930</v>
      </c>
      <c r="G741" s="394">
        <v>6769</v>
      </c>
      <c r="H741" s="394">
        <v>7543</v>
      </c>
      <c r="I741" s="394">
        <v>3989</v>
      </c>
      <c r="J741" s="232">
        <v>8745</v>
      </c>
      <c r="K741" s="232">
        <v>27046</v>
      </c>
      <c r="L741" s="232"/>
      <c r="M741" s="226">
        <v>0</v>
      </c>
      <c r="N741" s="226">
        <v>0</v>
      </c>
      <c r="O741" s="232">
        <v>0</v>
      </c>
      <c r="P741" s="232">
        <v>0</v>
      </c>
      <c r="Q741" s="232"/>
      <c r="R741" s="394">
        <v>18433</v>
      </c>
      <c r="S741" s="232">
        <v>5226</v>
      </c>
      <c r="T741" s="398">
        <v>23659</v>
      </c>
      <c r="U741" s="232"/>
      <c r="V741" s="398"/>
      <c r="W741" s="398"/>
      <c r="X741" s="398">
        <v>108751</v>
      </c>
      <c r="Y741" s="398">
        <v>7768</v>
      </c>
    </row>
    <row r="742" spans="1:25">
      <c r="A742" s="392">
        <v>97948</v>
      </c>
      <c r="B742" s="393" t="s">
        <v>1439</v>
      </c>
      <c r="C742" s="235">
        <v>2.65E-5</v>
      </c>
      <c r="D742" s="235">
        <v>2.6100000000000001E-5</v>
      </c>
      <c r="E742" s="232">
        <v>94696</v>
      </c>
      <c r="F742" s="232" t="s">
        <v>1930</v>
      </c>
      <c r="G742" s="394">
        <v>11958</v>
      </c>
      <c r="H742" s="394">
        <v>13326</v>
      </c>
      <c r="I742" s="394">
        <v>7047</v>
      </c>
      <c r="J742" s="232">
        <v>3141</v>
      </c>
      <c r="K742" s="232">
        <v>35472</v>
      </c>
      <c r="L742" s="232"/>
      <c r="M742" s="226">
        <v>0</v>
      </c>
      <c r="N742" s="226">
        <v>0</v>
      </c>
      <c r="O742" s="232">
        <v>2057</v>
      </c>
      <c r="P742" s="232">
        <v>2057</v>
      </c>
      <c r="Q742" s="232"/>
      <c r="R742" s="394">
        <v>32565</v>
      </c>
      <c r="S742" s="232">
        <v>-1007</v>
      </c>
      <c r="T742" s="398">
        <v>31558</v>
      </c>
      <c r="U742" s="232"/>
      <c r="V742" s="398"/>
      <c r="W742" s="398"/>
      <c r="X742" s="398">
        <v>192127</v>
      </c>
      <c r="Y742" s="398">
        <v>13723</v>
      </c>
    </row>
    <row r="743" spans="1:25">
      <c r="A743" s="392">
        <v>97951</v>
      </c>
      <c r="B743" s="393" t="s">
        <v>1440</v>
      </c>
      <c r="C743" s="235">
        <v>1.1284000000000001E-3</v>
      </c>
      <c r="D743" s="235">
        <v>1.1746E-3</v>
      </c>
      <c r="E743" s="232">
        <v>4032254</v>
      </c>
      <c r="F743" s="232" t="s">
        <v>1930</v>
      </c>
      <c r="G743" s="394">
        <v>509203</v>
      </c>
      <c r="H743" s="394">
        <v>567431</v>
      </c>
      <c r="I743" s="394">
        <v>300079</v>
      </c>
      <c r="J743" s="232">
        <v>33934</v>
      </c>
      <c r="K743" s="232">
        <v>1410647</v>
      </c>
      <c r="L743" s="232"/>
      <c r="M743" s="226">
        <v>0</v>
      </c>
      <c r="N743" s="226">
        <v>0</v>
      </c>
      <c r="O743" s="232">
        <v>50</v>
      </c>
      <c r="P743" s="232">
        <v>50</v>
      </c>
      <c r="Q743" s="232"/>
      <c r="R743" s="394">
        <v>1386663</v>
      </c>
      <c r="S743" s="232">
        <v>15432</v>
      </c>
      <c r="T743" s="398">
        <v>1402095</v>
      </c>
      <c r="U743" s="232"/>
      <c r="V743" s="398"/>
      <c r="W743" s="398"/>
      <c r="X743" s="398">
        <v>8181004</v>
      </c>
      <c r="Y743" s="398">
        <v>584351</v>
      </c>
    </row>
    <row r="744" spans="1:25">
      <c r="A744" s="392">
        <v>97957</v>
      </c>
      <c r="B744" s="393" t="s">
        <v>1441</v>
      </c>
      <c r="C744" s="235">
        <v>1.3900000000000001E-5</v>
      </c>
      <c r="D744" s="235">
        <v>1.49E-5</v>
      </c>
      <c r="E744" s="232">
        <v>49671</v>
      </c>
      <c r="F744" s="232" t="s">
        <v>1930</v>
      </c>
      <c r="G744" s="394">
        <v>6273</v>
      </c>
      <c r="H744" s="394">
        <v>6990</v>
      </c>
      <c r="I744" s="394">
        <v>3696</v>
      </c>
      <c r="J744" s="232">
        <v>8438</v>
      </c>
      <c r="K744" s="232">
        <v>25397</v>
      </c>
      <c r="L744" s="232"/>
      <c r="M744" s="226">
        <v>0</v>
      </c>
      <c r="N744" s="226">
        <v>0</v>
      </c>
      <c r="O744" s="232">
        <v>0</v>
      </c>
      <c r="P744" s="232">
        <v>0</v>
      </c>
      <c r="Q744" s="232"/>
      <c r="R744" s="394">
        <v>17081</v>
      </c>
      <c r="S744" s="232">
        <v>3996</v>
      </c>
      <c r="T744" s="398">
        <v>21077</v>
      </c>
      <c r="U744" s="232"/>
      <c r="V744" s="398"/>
      <c r="W744" s="398"/>
      <c r="X744" s="398">
        <v>100776</v>
      </c>
      <c r="Y744" s="398">
        <v>7198</v>
      </c>
    </row>
    <row r="745" spans="1:25">
      <c r="A745" s="392">
        <v>98001</v>
      </c>
      <c r="B745" s="393" t="s">
        <v>1442</v>
      </c>
      <c r="C745" s="235">
        <v>5.3790000000000001E-3</v>
      </c>
      <c r="D745" s="235">
        <v>5.3171E-3</v>
      </c>
      <c r="E745" s="232">
        <v>19221458</v>
      </c>
      <c r="F745" s="232" t="s">
        <v>1930</v>
      </c>
      <c r="G745" s="394">
        <v>2427333</v>
      </c>
      <c r="H745" s="394">
        <v>2704906</v>
      </c>
      <c r="I745" s="394">
        <v>1430454</v>
      </c>
      <c r="J745" s="232">
        <v>256183</v>
      </c>
      <c r="K745" s="232">
        <v>6818876</v>
      </c>
      <c r="L745" s="232"/>
      <c r="M745" s="226">
        <v>0</v>
      </c>
      <c r="N745" s="226">
        <v>0</v>
      </c>
      <c r="O745" s="232">
        <v>41090</v>
      </c>
      <c r="P745" s="232">
        <v>41090</v>
      </c>
      <c r="Q745" s="232"/>
      <c r="R745" s="394">
        <v>6610119</v>
      </c>
      <c r="S745" s="232">
        <v>106119</v>
      </c>
      <c r="T745" s="398">
        <v>6716238</v>
      </c>
      <c r="U745" s="232"/>
      <c r="V745" s="398"/>
      <c r="W745" s="398"/>
      <c r="X745" s="398">
        <v>38998245</v>
      </c>
      <c r="Y745" s="398">
        <v>2785558</v>
      </c>
    </row>
    <row r="746" spans="1:25">
      <c r="A746" s="392">
        <v>98002</v>
      </c>
      <c r="B746" s="393" t="s">
        <v>1443</v>
      </c>
      <c r="C746" s="235">
        <v>5.5999999999999997E-6</v>
      </c>
      <c r="D746" s="235">
        <v>6.1999999999999999E-6</v>
      </c>
      <c r="E746" s="232">
        <v>20011</v>
      </c>
      <c r="F746" s="232" t="s">
        <v>1930</v>
      </c>
      <c r="G746" s="394">
        <v>2527</v>
      </c>
      <c r="H746" s="394">
        <v>2816</v>
      </c>
      <c r="I746" s="394">
        <v>1489</v>
      </c>
      <c r="J746" s="232">
        <v>2231</v>
      </c>
      <c r="K746" s="232">
        <v>9063</v>
      </c>
      <c r="L746" s="232"/>
      <c r="M746" s="226">
        <v>0</v>
      </c>
      <c r="N746" s="226">
        <v>0</v>
      </c>
      <c r="O746" s="232">
        <v>0</v>
      </c>
      <c r="P746" s="232">
        <v>0</v>
      </c>
      <c r="Q746" s="232"/>
      <c r="R746" s="394">
        <v>6882</v>
      </c>
      <c r="S746" s="232">
        <v>1034</v>
      </c>
      <c r="T746" s="398">
        <v>7916</v>
      </c>
      <c r="U746" s="232"/>
      <c r="V746" s="398"/>
      <c r="W746" s="398"/>
      <c r="X746" s="398">
        <v>40601</v>
      </c>
      <c r="Y746" s="398">
        <v>2900</v>
      </c>
    </row>
    <row r="747" spans="1:25">
      <c r="A747" s="392">
        <v>98003</v>
      </c>
      <c r="B747" s="393" t="s">
        <v>1444</v>
      </c>
      <c r="C747" s="235">
        <v>6.9999999999999994E-5</v>
      </c>
      <c r="D747" s="235">
        <v>6.9499999999999995E-5</v>
      </c>
      <c r="E747" s="232">
        <v>250140</v>
      </c>
      <c r="F747" s="232" t="s">
        <v>1930</v>
      </c>
      <c r="G747" s="394">
        <v>31588</v>
      </c>
      <c r="H747" s="394">
        <v>35201</v>
      </c>
      <c r="I747" s="394">
        <v>18615</v>
      </c>
      <c r="J747" s="232">
        <v>46560</v>
      </c>
      <c r="K747" s="232">
        <v>131964</v>
      </c>
      <c r="L747" s="232"/>
      <c r="M747" s="226">
        <v>0</v>
      </c>
      <c r="N747" s="226">
        <v>0</v>
      </c>
      <c r="O747" s="232">
        <v>0</v>
      </c>
      <c r="P747" s="232">
        <v>0</v>
      </c>
      <c r="Q747" s="232"/>
      <c r="R747" s="394">
        <v>86021</v>
      </c>
      <c r="S747" s="232">
        <v>28407</v>
      </c>
      <c r="T747" s="398">
        <v>114428</v>
      </c>
      <c r="U747" s="232"/>
      <c r="V747" s="398"/>
      <c r="W747" s="398"/>
      <c r="X747" s="398">
        <v>507506</v>
      </c>
      <c r="Y747" s="398">
        <v>36250</v>
      </c>
    </row>
    <row r="748" spans="1:25">
      <c r="A748" s="392">
        <v>98004</v>
      </c>
      <c r="B748" s="393" t="s">
        <v>1445</v>
      </c>
      <c r="C748" s="235">
        <v>1.3569999999999999E-4</v>
      </c>
      <c r="D748" s="235">
        <v>1.2530000000000001E-4</v>
      </c>
      <c r="E748" s="232">
        <v>484914</v>
      </c>
      <c r="F748" s="232" t="s">
        <v>1930</v>
      </c>
      <c r="G748" s="394">
        <v>61236</v>
      </c>
      <c r="H748" s="394">
        <v>68239</v>
      </c>
      <c r="I748" s="394">
        <v>36087</v>
      </c>
      <c r="J748" s="232">
        <v>83232</v>
      </c>
      <c r="K748" s="232">
        <v>248794</v>
      </c>
      <c r="L748" s="232"/>
      <c r="M748" s="226">
        <v>0</v>
      </c>
      <c r="N748" s="226">
        <v>0</v>
      </c>
      <c r="O748" s="232">
        <v>0</v>
      </c>
      <c r="P748" s="232">
        <v>0</v>
      </c>
      <c r="Q748" s="232"/>
      <c r="R748" s="394">
        <v>166758</v>
      </c>
      <c r="S748" s="232">
        <v>35472</v>
      </c>
      <c r="T748" s="398">
        <v>202230</v>
      </c>
      <c r="U748" s="232"/>
      <c r="V748" s="398"/>
      <c r="W748" s="398"/>
      <c r="X748" s="398">
        <v>983837</v>
      </c>
      <c r="Y748" s="398">
        <v>70273</v>
      </c>
    </row>
    <row r="749" spans="1:25">
      <c r="A749" s="392">
        <v>98008</v>
      </c>
      <c r="B749" s="393" t="s">
        <v>1446</v>
      </c>
      <c r="C749" s="235">
        <v>6.8000000000000001E-6</v>
      </c>
      <c r="D749" s="235">
        <v>7.1999999999999997E-6</v>
      </c>
      <c r="E749" s="232">
        <v>24299</v>
      </c>
      <c r="F749" s="232" t="s">
        <v>1930</v>
      </c>
      <c r="G749" s="394">
        <v>3069</v>
      </c>
      <c r="H749" s="394">
        <v>3420</v>
      </c>
      <c r="I749" s="394">
        <v>1808</v>
      </c>
      <c r="J749" s="232">
        <v>8</v>
      </c>
      <c r="K749" s="232">
        <v>8305</v>
      </c>
      <c r="L749" s="232"/>
      <c r="M749" s="226">
        <v>0</v>
      </c>
      <c r="N749" s="226">
        <v>0</v>
      </c>
      <c r="O749" s="232">
        <v>952</v>
      </c>
      <c r="P749" s="232">
        <v>952</v>
      </c>
      <c r="Q749" s="232"/>
      <c r="R749" s="394">
        <v>8356</v>
      </c>
      <c r="S749" s="232">
        <v>-427</v>
      </c>
      <c r="T749" s="398">
        <v>7929</v>
      </c>
      <c r="U749" s="232"/>
      <c r="V749" s="398"/>
      <c r="W749" s="398"/>
      <c r="X749" s="398">
        <v>49301</v>
      </c>
      <c r="Y749" s="398">
        <v>3521</v>
      </c>
    </row>
    <row r="750" spans="1:25">
      <c r="A750" s="392">
        <v>98011</v>
      </c>
      <c r="B750" s="393" t="s">
        <v>1447</v>
      </c>
      <c r="C750" s="235">
        <v>3.4218999999999999E-3</v>
      </c>
      <c r="D750" s="235">
        <v>3.4512000000000002E-3</v>
      </c>
      <c r="E750" s="232">
        <v>12227906</v>
      </c>
      <c r="F750" s="232" t="s">
        <v>1930</v>
      </c>
      <c r="G750" s="394">
        <v>1544170</v>
      </c>
      <c r="H750" s="394">
        <v>1720751</v>
      </c>
      <c r="I750" s="394">
        <v>909996</v>
      </c>
      <c r="J750" s="232">
        <v>66568</v>
      </c>
      <c r="K750" s="232">
        <v>4241485</v>
      </c>
      <c r="L750" s="232"/>
      <c r="M750" s="226">
        <v>0</v>
      </c>
      <c r="N750" s="226">
        <v>0</v>
      </c>
      <c r="O750" s="232">
        <v>150118</v>
      </c>
      <c r="P750" s="232">
        <v>150118</v>
      </c>
      <c r="Q750" s="232"/>
      <c r="R750" s="394">
        <v>4205087</v>
      </c>
      <c r="S750" s="232">
        <v>-85934</v>
      </c>
      <c r="T750" s="398">
        <v>4119153</v>
      </c>
      <c r="U750" s="232"/>
      <c r="V750" s="398"/>
      <c r="W750" s="398"/>
      <c r="X750" s="398">
        <v>24809090</v>
      </c>
      <c r="Y750" s="398">
        <v>1772058</v>
      </c>
    </row>
    <row r="751" spans="1:25">
      <c r="A751" s="392">
        <v>98013</v>
      </c>
      <c r="B751" s="393" t="s">
        <v>1448</v>
      </c>
      <c r="C751" s="235">
        <v>1.4520000000000001E-4</v>
      </c>
      <c r="D751" s="235">
        <v>1.3990000000000001E-4</v>
      </c>
      <c r="E751" s="232">
        <v>518861</v>
      </c>
      <c r="F751" s="232" t="s">
        <v>1930</v>
      </c>
      <c r="G751" s="394">
        <v>65523</v>
      </c>
      <c r="H751" s="394">
        <v>73016</v>
      </c>
      <c r="I751" s="394">
        <v>38613</v>
      </c>
      <c r="J751" s="232">
        <v>99128</v>
      </c>
      <c r="K751" s="232">
        <v>276280</v>
      </c>
      <c r="L751" s="232"/>
      <c r="M751" s="226">
        <v>0</v>
      </c>
      <c r="N751" s="226">
        <v>0</v>
      </c>
      <c r="O751" s="232">
        <v>0</v>
      </c>
      <c r="P751" s="232">
        <v>0</v>
      </c>
      <c r="Q751" s="232"/>
      <c r="R751" s="394">
        <v>178433</v>
      </c>
      <c r="S751" s="232">
        <v>59422</v>
      </c>
      <c r="T751" s="398">
        <v>237855</v>
      </c>
      <c r="U751" s="232"/>
      <c r="V751" s="398"/>
      <c r="W751" s="398"/>
      <c r="X751" s="398">
        <v>1052713</v>
      </c>
      <c r="Y751" s="398">
        <v>75193</v>
      </c>
    </row>
    <row r="752" spans="1:25">
      <c r="A752" s="392">
        <v>98021</v>
      </c>
      <c r="B752" s="393" t="s">
        <v>1449</v>
      </c>
      <c r="C752" s="235">
        <v>4.0899999999999998E-5</v>
      </c>
      <c r="D752" s="235">
        <v>4.2400000000000001E-5</v>
      </c>
      <c r="E752" s="232">
        <v>146153</v>
      </c>
      <c r="F752" s="232" t="s">
        <v>1930</v>
      </c>
      <c r="G752" s="394">
        <v>18457</v>
      </c>
      <c r="H752" s="394">
        <v>20567</v>
      </c>
      <c r="I752" s="394">
        <v>10877</v>
      </c>
      <c r="J752" s="232">
        <v>13022</v>
      </c>
      <c r="K752" s="232">
        <v>62923</v>
      </c>
      <c r="L752" s="232"/>
      <c r="M752" s="226">
        <v>0</v>
      </c>
      <c r="N752" s="226">
        <v>0</v>
      </c>
      <c r="O752" s="232">
        <v>14426</v>
      </c>
      <c r="P752" s="232">
        <v>14426</v>
      </c>
      <c r="Q752" s="232"/>
      <c r="R752" s="394">
        <v>50261</v>
      </c>
      <c r="S752" s="232">
        <v>-3394</v>
      </c>
      <c r="T752" s="398">
        <v>46867</v>
      </c>
      <c r="U752" s="232"/>
      <c r="V752" s="398"/>
      <c r="W752" s="398"/>
      <c r="X752" s="398">
        <v>296529</v>
      </c>
      <c r="Y752" s="398">
        <v>21180</v>
      </c>
    </row>
    <row r="753" spans="1:25">
      <c r="A753" s="392">
        <v>98023</v>
      </c>
      <c r="B753" s="393" t="s">
        <v>1450</v>
      </c>
      <c r="C753" s="235">
        <v>1.1800000000000001E-5</v>
      </c>
      <c r="D753" s="235">
        <v>8.8000000000000004E-6</v>
      </c>
      <c r="E753" s="232">
        <v>42166</v>
      </c>
      <c r="F753" s="232" t="s">
        <v>1930</v>
      </c>
      <c r="G753" s="394">
        <v>5325</v>
      </c>
      <c r="H753" s="394">
        <v>5934</v>
      </c>
      <c r="I753" s="394">
        <v>3138</v>
      </c>
      <c r="J753" s="232">
        <v>3315</v>
      </c>
      <c r="K753" s="232">
        <v>17712</v>
      </c>
      <c r="L753" s="232"/>
      <c r="M753" s="226">
        <v>0</v>
      </c>
      <c r="N753" s="226">
        <v>0</v>
      </c>
      <c r="O753" s="232">
        <v>6434</v>
      </c>
      <c r="P753" s="232">
        <v>6434</v>
      </c>
      <c r="Q753" s="232"/>
      <c r="R753" s="394">
        <v>14501</v>
      </c>
      <c r="S753" s="232">
        <v>-1689</v>
      </c>
      <c r="T753" s="398">
        <v>12812</v>
      </c>
      <c r="U753" s="232"/>
      <c r="V753" s="398"/>
      <c r="W753" s="398"/>
      <c r="X753" s="398">
        <v>85551</v>
      </c>
      <c r="Y753" s="398">
        <v>6111</v>
      </c>
    </row>
    <row r="754" spans="1:25">
      <c r="A754" s="392">
        <v>98031</v>
      </c>
      <c r="B754" s="393" t="s">
        <v>1451</v>
      </c>
      <c r="C754" s="235">
        <v>1.3129999999999999E-4</v>
      </c>
      <c r="D754" s="235">
        <v>1.5410000000000001E-4</v>
      </c>
      <c r="E754" s="232">
        <v>469191</v>
      </c>
      <c r="F754" s="232" t="s">
        <v>1930</v>
      </c>
      <c r="G754" s="394">
        <v>59251</v>
      </c>
      <c r="H754" s="394">
        <v>66026</v>
      </c>
      <c r="I754" s="394">
        <v>34917</v>
      </c>
      <c r="J754" s="232">
        <v>2585</v>
      </c>
      <c r="K754" s="232">
        <v>162779</v>
      </c>
      <c r="L754" s="232"/>
      <c r="M754" s="226">
        <v>0</v>
      </c>
      <c r="N754" s="226">
        <v>0</v>
      </c>
      <c r="O754" s="232">
        <v>44121</v>
      </c>
      <c r="P754" s="232">
        <v>44121</v>
      </c>
      <c r="Q754" s="232"/>
      <c r="R754" s="394">
        <v>161351</v>
      </c>
      <c r="S754" s="232">
        <v>-15239</v>
      </c>
      <c r="T754" s="398">
        <v>146112</v>
      </c>
      <c r="U754" s="232"/>
      <c r="V754" s="398"/>
      <c r="W754" s="398"/>
      <c r="X754" s="398">
        <v>951937</v>
      </c>
      <c r="Y754" s="398">
        <v>67995</v>
      </c>
    </row>
    <row r="755" spans="1:25">
      <c r="A755" s="392">
        <v>98041</v>
      </c>
      <c r="B755" s="393" t="s">
        <v>1452</v>
      </c>
      <c r="C755" s="235">
        <v>2.1320000000000001E-4</v>
      </c>
      <c r="D755" s="235">
        <v>2.3560000000000001E-4</v>
      </c>
      <c r="E755" s="232">
        <v>761854</v>
      </c>
      <c r="F755" s="232" t="s">
        <v>1930</v>
      </c>
      <c r="G755" s="394">
        <v>96209</v>
      </c>
      <c r="H755" s="394">
        <v>107211</v>
      </c>
      <c r="I755" s="394">
        <v>56697</v>
      </c>
      <c r="J755" s="232">
        <v>8673</v>
      </c>
      <c r="K755" s="232">
        <v>268790</v>
      </c>
      <c r="L755" s="232"/>
      <c r="M755" s="226">
        <v>0</v>
      </c>
      <c r="N755" s="226">
        <v>0</v>
      </c>
      <c r="O755" s="232">
        <v>31456</v>
      </c>
      <c r="P755" s="232">
        <v>31456</v>
      </c>
      <c r="Q755" s="232"/>
      <c r="R755" s="394">
        <v>261996</v>
      </c>
      <c r="S755" s="232">
        <v>-3038</v>
      </c>
      <c r="T755" s="398">
        <v>258958</v>
      </c>
      <c r="U755" s="232"/>
      <c r="V755" s="398"/>
      <c r="W755" s="398"/>
      <c r="X755" s="398">
        <v>1545720</v>
      </c>
      <c r="Y755" s="398">
        <v>110407</v>
      </c>
    </row>
    <row r="756" spans="1:25">
      <c r="A756" s="392">
        <v>98051</v>
      </c>
      <c r="B756" s="393" t="s">
        <v>1453</v>
      </c>
      <c r="C756" s="235">
        <v>2.4059999999999999E-4</v>
      </c>
      <c r="D756" s="235">
        <v>2.9750000000000002E-4</v>
      </c>
      <c r="E756" s="232">
        <v>859766</v>
      </c>
      <c r="F756" s="232" t="s">
        <v>1930</v>
      </c>
      <c r="G756" s="394">
        <v>108573</v>
      </c>
      <c r="H756" s="394">
        <v>120990</v>
      </c>
      <c r="I756" s="394">
        <v>63983</v>
      </c>
      <c r="J756" s="232">
        <v>13303</v>
      </c>
      <c r="K756" s="232">
        <v>306849</v>
      </c>
      <c r="L756" s="232"/>
      <c r="M756" s="226">
        <v>0</v>
      </c>
      <c r="N756" s="226">
        <v>0</v>
      </c>
      <c r="O756" s="232">
        <v>74628</v>
      </c>
      <c r="P756" s="232">
        <v>74628</v>
      </c>
      <c r="Q756" s="232"/>
      <c r="R756" s="394">
        <v>295667</v>
      </c>
      <c r="S756" s="232">
        <v>-18060</v>
      </c>
      <c r="T756" s="398">
        <v>277607</v>
      </c>
      <c r="U756" s="232"/>
      <c r="V756" s="398"/>
      <c r="W756" s="398"/>
      <c r="X756" s="398">
        <v>1744372</v>
      </c>
      <c r="Y756" s="398">
        <v>124597</v>
      </c>
    </row>
    <row r="757" spans="1:25">
      <c r="A757" s="392">
        <v>98061</v>
      </c>
      <c r="B757" s="393" t="s">
        <v>1454</v>
      </c>
      <c r="C757" s="235">
        <v>1.2799999999999999E-4</v>
      </c>
      <c r="D757" s="235">
        <v>1.208E-4</v>
      </c>
      <c r="E757" s="232">
        <v>457399</v>
      </c>
      <c r="F757" s="232" t="s">
        <v>1930</v>
      </c>
      <c r="G757" s="394">
        <v>57761</v>
      </c>
      <c r="H757" s="394">
        <v>64366</v>
      </c>
      <c r="I757" s="394">
        <v>34039</v>
      </c>
      <c r="J757" s="232">
        <v>6704</v>
      </c>
      <c r="K757" s="232">
        <v>162870</v>
      </c>
      <c r="L757" s="232"/>
      <c r="M757" s="226">
        <v>0</v>
      </c>
      <c r="N757" s="226">
        <v>0</v>
      </c>
      <c r="O757" s="232">
        <v>12055</v>
      </c>
      <c r="P757" s="232">
        <v>12055</v>
      </c>
      <c r="Q757" s="232"/>
      <c r="R757" s="394">
        <v>157296</v>
      </c>
      <c r="S757" s="232">
        <v>-4110</v>
      </c>
      <c r="T757" s="398">
        <v>153186</v>
      </c>
      <c r="U757" s="232"/>
      <c r="V757" s="398"/>
      <c r="W757" s="398"/>
      <c r="X757" s="398">
        <v>928012</v>
      </c>
      <c r="Y757" s="398">
        <v>66286</v>
      </c>
    </row>
    <row r="758" spans="1:25">
      <c r="A758" s="392">
        <v>98071</v>
      </c>
      <c r="B758" s="393" t="s">
        <v>1455</v>
      </c>
      <c r="C758" s="235">
        <v>5.2899999999999998E-5</v>
      </c>
      <c r="D758" s="235">
        <v>4.74E-5</v>
      </c>
      <c r="E758" s="232">
        <v>189034</v>
      </c>
      <c r="F758" s="232" t="s">
        <v>1930</v>
      </c>
      <c r="G758" s="394">
        <v>23872</v>
      </c>
      <c r="H758" s="394">
        <v>26602</v>
      </c>
      <c r="I758" s="394">
        <v>14068</v>
      </c>
      <c r="J758" s="232">
        <v>36083</v>
      </c>
      <c r="K758" s="232">
        <v>100625</v>
      </c>
      <c r="L758" s="232"/>
      <c r="M758" s="226">
        <v>0</v>
      </c>
      <c r="N758" s="226">
        <v>0</v>
      </c>
      <c r="O758" s="232">
        <v>0</v>
      </c>
      <c r="P758" s="232">
        <v>0</v>
      </c>
      <c r="Q758" s="232"/>
      <c r="R758" s="394">
        <v>65007</v>
      </c>
      <c r="S758" s="232">
        <v>16629</v>
      </c>
      <c r="T758" s="398">
        <v>81636</v>
      </c>
      <c r="U758" s="232"/>
      <c r="V758" s="398"/>
      <c r="W758" s="398"/>
      <c r="X758" s="398">
        <v>383530</v>
      </c>
      <c r="Y758" s="398">
        <v>27395</v>
      </c>
    </row>
    <row r="759" spans="1:25">
      <c r="A759" s="392">
        <v>98081</v>
      </c>
      <c r="B759" s="393" t="s">
        <v>1456</v>
      </c>
      <c r="C759" s="235">
        <v>1.45E-5</v>
      </c>
      <c r="D759" s="235">
        <v>1.5800000000000001E-5</v>
      </c>
      <c r="E759" s="232">
        <v>51815</v>
      </c>
      <c r="F759" s="232" t="s">
        <v>1930</v>
      </c>
      <c r="G759" s="394">
        <v>6543</v>
      </c>
      <c r="H759" s="394">
        <v>7291</v>
      </c>
      <c r="I759" s="394">
        <v>3856</v>
      </c>
      <c r="J759" s="232">
        <v>0</v>
      </c>
      <c r="K759" s="232">
        <v>17690</v>
      </c>
      <c r="L759" s="232"/>
      <c r="M759" s="226">
        <v>0</v>
      </c>
      <c r="N759" s="226">
        <v>0</v>
      </c>
      <c r="O759" s="232">
        <v>2836</v>
      </c>
      <c r="P759" s="232">
        <v>2836</v>
      </c>
      <c r="Q759" s="232"/>
      <c r="R759" s="394">
        <v>17819</v>
      </c>
      <c r="S759" s="232">
        <v>-1676</v>
      </c>
      <c r="T759" s="398">
        <v>16143</v>
      </c>
      <c r="U759" s="232"/>
      <c r="V759" s="398"/>
      <c r="W759" s="398"/>
      <c r="X759" s="398">
        <v>105126</v>
      </c>
      <c r="Y759" s="398">
        <v>7509</v>
      </c>
    </row>
    <row r="760" spans="1:25">
      <c r="A760" s="392">
        <v>98091</v>
      </c>
      <c r="B760" s="393" t="s">
        <v>1457</v>
      </c>
      <c r="C760" s="235">
        <v>4.8099999999999997E-5</v>
      </c>
      <c r="D760" s="235">
        <v>6.7000000000000002E-5</v>
      </c>
      <c r="E760" s="232">
        <v>171882</v>
      </c>
      <c r="F760" s="232" t="s">
        <v>1930</v>
      </c>
      <c r="G760" s="394">
        <v>21706</v>
      </c>
      <c r="H760" s="394">
        <v>24188</v>
      </c>
      <c r="I760" s="394">
        <v>12791</v>
      </c>
      <c r="J760" s="232">
        <v>8098</v>
      </c>
      <c r="K760" s="232">
        <v>66783</v>
      </c>
      <c r="L760" s="232"/>
      <c r="M760" s="226">
        <v>0</v>
      </c>
      <c r="N760" s="226">
        <v>0</v>
      </c>
      <c r="O760" s="232">
        <v>21848</v>
      </c>
      <c r="P760" s="232">
        <v>21848</v>
      </c>
      <c r="Q760" s="232"/>
      <c r="R760" s="394">
        <v>59109</v>
      </c>
      <c r="S760" s="232">
        <v>-4037</v>
      </c>
      <c r="T760" s="398">
        <v>55072</v>
      </c>
      <c r="U760" s="232"/>
      <c r="V760" s="398"/>
      <c r="W760" s="398"/>
      <c r="X760" s="398">
        <v>348729</v>
      </c>
      <c r="Y760" s="398">
        <v>24909</v>
      </c>
    </row>
    <row r="761" spans="1:25">
      <c r="A761" s="392">
        <v>98101</v>
      </c>
      <c r="B761" s="393" t="s">
        <v>1458</v>
      </c>
      <c r="C761" s="235">
        <v>2.7560000000000002E-3</v>
      </c>
      <c r="D761" s="235">
        <v>2.6901E-3</v>
      </c>
      <c r="E761" s="232">
        <v>9848362</v>
      </c>
      <c r="F761" s="232" t="s">
        <v>1930</v>
      </c>
      <c r="G761" s="394">
        <v>1243675</v>
      </c>
      <c r="H761" s="394">
        <v>1385893</v>
      </c>
      <c r="I761" s="394">
        <v>732911</v>
      </c>
      <c r="J761" s="232">
        <v>131685</v>
      </c>
      <c r="K761" s="232">
        <v>3494164</v>
      </c>
      <c r="L761" s="232"/>
      <c r="M761" s="226">
        <v>0</v>
      </c>
      <c r="N761" s="226">
        <v>0</v>
      </c>
      <c r="O761" s="232">
        <v>95570</v>
      </c>
      <c r="P761" s="232">
        <v>95570</v>
      </c>
      <c r="Q761" s="232"/>
      <c r="R761" s="394">
        <v>3386780</v>
      </c>
      <c r="S761" s="232">
        <v>-11045</v>
      </c>
      <c r="T761" s="398">
        <v>3375735</v>
      </c>
      <c r="U761" s="232"/>
      <c r="V761" s="398"/>
      <c r="W761" s="398"/>
      <c r="X761" s="398">
        <v>19981254</v>
      </c>
      <c r="Y761" s="398">
        <v>1427217</v>
      </c>
    </row>
    <row r="762" spans="1:25">
      <c r="A762" s="392">
        <v>98102</v>
      </c>
      <c r="B762" s="393" t="s">
        <v>1459</v>
      </c>
      <c r="C762" s="235">
        <v>1.56E-4</v>
      </c>
      <c r="D762" s="235">
        <v>1.573E-4</v>
      </c>
      <c r="E762" s="232">
        <v>557454</v>
      </c>
      <c r="F762" s="232" t="s">
        <v>1930</v>
      </c>
      <c r="G762" s="394">
        <v>70397</v>
      </c>
      <c r="H762" s="394">
        <v>78446</v>
      </c>
      <c r="I762" s="394">
        <v>41486</v>
      </c>
      <c r="J762" s="232">
        <v>6598</v>
      </c>
      <c r="K762" s="232">
        <v>196927</v>
      </c>
      <c r="L762" s="232"/>
      <c r="M762" s="226">
        <v>0</v>
      </c>
      <c r="N762" s="226">
        <v>0</v>
      </c>
      <c r="O762" s="232">
        <v>7519</v>
      </c>
      <c r="P762" s="232">
        <v>7519</v>
      </c>
      <c r="Q762" s="232"/>
      <c r="R762" s="394">
        <v>191705</v>
      </c>
      <c r="S762" s="232">
        <v>-2496</v>
      </c>
      <c r="T762" s="398">
        <v>189209</v>
      </c>
      <c r="U762" s="232"/>
      <c r="V762" s="398"/>
      <c r="W762" s="398"/>
      <c r="X762" s="398">
        <v>1131014</v>
      </c>
      <c r="Y762" s="398">
        <v>80786</v>
      </c>
    </row>
    <row r="763" spans="1:25">
      <c r="A763" s="392">
        <v>98103</v>
      </c>
      <c r="B763" s="393" t="s">
        <v>1460</v>
      </c>
      <c r="C763" s="235">
        <v>5.0699999999999996E-4</v>
      </c>
      <c r="D763" s="235">
        <v>5.04E-4</v>
      </c>
      <c r="E763" s="232">
        <v>1811727</v>
      </c>
      <c r="F763" s="232" t="s">
        <v>1930</v>
      </c>
      <c r="G763" s="394">
        <v>228789</v>
      </c>
      <c r="H763" s="394">
        <v>254952</v>
      </c>
      <c r="I763" s="394">
        <v>134828</v>
      </c>
      <c r="J763" s="232">
        <v>21982</v>
      </c>
      <c r="K763" s="232">
        <v>640551</v>
      </c>
      <c r="L763" s="232"/>
      <c r="M763" s="226">
        <v>0</v>
      </c>
      <c r="N763" s="226">
        <v>0</v>
      </c>
      <c r="O763" s="232">
        <v>28162</v>
      </c>
      <c r="P763" s="232">
        <v>28162</v>
      </c>
      <c r="Q763" s="232"/>
      <c r="R763" s="394">
        <v>623040</v>
      </c>
      <c r="S763" s="232">
        <v>-5137</v>
      </c>
      <c r="T763" s="398">
        <v>617903</v>
      </c>
      <c r="U763" s="232"/>
      <c r="V763" s="398"/>
      <c r="W763" s="398"/>
      <c r="X763" s="398">
        <v>3675797</v>
      </c>
      <c r="Y763" s="398">
        <v>262554</v>
      </c>
    </row>
    <row r="764" spans="1:25">
      <c r="A764" s="392">
        <v>98107</v>
      </c>
      <c r="B764" s="393" t="s">
        <v>1461</v>
      </c>
      <c r="C764" s="235">
        <v>7.9000000000000006E-6</v>
      </c>
      <c r="D764" s="235">
        <v>9.3999999999999998E-6</v>
      </c>
      <c r="E764" s="232">
        <v>28230</v>
      </c>
      <c r="F764" s="232" t="s">
        <v>1930</v>
      </c>
      <c r="G764" s="394">
        <v>3565</v>
      </c>
      <c r="H764" s="394">
        <v>3973</v>
      </c>
      <c r="I764" s="394">
        <v>2101</v>
      </c>
      <c r="J764" s="232">
        <v>10109</v>
      </c>
      <c r="K764" s="232">
        <v>19748</v>
      </c>
      <c r="L764" s="232"/>
      <c r="M764" s="226">
        <v>0</v>
      </c>
      <c r="N764" s="226">
        <v>0</v>
      </c>
      <c r="O764" s="232">
        <v>0</v>
      </c>
      <c r="P764" s="232">
        <v>0</v>
      </c>
      <c r="Q764" s="232"/>
      <c r="R764" s="394">
        <v>9708</v>
      </c>
      <c r="S764" s="232">
        <v>4861</v>
      </c>
      <c r="T764" s="398">
        <v>14569</v>
      </c>
      <c r="U764" s="232"/>
      <c r="V764" s="398"/>
      <c r="W764" s="398"/>
      <c r="X764" s="398">
        <v>57276</v>
      </c>
      <c r="Y764" s="398">
        <v>4091</v>
      </c>
    </row>
    <row r="765" spans="1:25">
      <c r="A765" s="392">
        <v>98109</v>
      </c>
      <c r="B765" s="393" t="s">
        <v>1462</v>
      </c>
      <c r="C765" s="235">
        <v>1.4339999999999999E-4</v>
      </c>
      <c r="D765" s="235">
        <v>1.595E-4</v>
      </c>
      <c r="E765" s="232">
        <v>512429</v>
      </c>
      <c r="F765" s="232" t="s">
        <v>1930</v>
      </c>
      <c r="G765" s="394">
        <v>64711</v>
      </c>
      <c r="H765" s="394">
        <v>72111</v>
      </c>
      <c r="I765" s="394">
        <v>38135</v>
      </c>
      <c r="J765" s="232">
        <v>20483</v>
      </c>
      <c r="K765" s="232">
        <v>195440</v>
      </c>
      <c r="L765" s="232"/>
      <c r="M765" s="226">
        <v>0</v>
      </c>
      <c r="N765" s="226">
        <v>0</v>
      </c>
      <c r="O765" s="232">
        <v>2179</v>
      </c>
      <c r="P765" s="232">
        <v>2179</v>
      </c>
      <c r="Q765" s="232"/>
      <c r="R765" s="394">
        <v>176221</v>
      </c>
      <c r="S765" s="232">
        <v>1656</v>
      </c>
      <c r="T765" s="398">
        <v>177877</v>
      </c>
      <c r="U765" s="232"/>
      <c r="V765" s="398"/>
      <c r="W765" s="398"/>
      <c r="X765" s="398">
        <v>1039663</v>
      </c>
      <c r="Y765" s="398">
        <v>74261</v>
      </c>
    </row>
    <row r="766" spans="1:25" s="357" customFormat="1">
      <c r="A766" s="392">
        <v>98111</v>
      </c>
      <c r="B766" s="393" t="s">
        <v>1463</v>
      </c>
      <c r="C766" s="235">
        <v>9.8539999999999999E-4</v>
      </c>
      <c r="D766" s="235">
        <v>1.0231999999999999E-3</v>
      </c>
      <c r="E766" s="232">
        <v>3521254</v>
      </c>
      <c r="F766" s="232" t="s">
        <v>1930</v>
      </c>
      <c r="G766" s="394">
        <v>444673</v>
      </c>
      <c r="H766" s="394">
        <v>495523</v>
      </c>
      <c r="I766" s="394">
        <v>262050</v>
      </c>
      <c r="J766" s="232">
        <v>0</v>
      </c>
      <c r="K766" s="232">
        <v>1202246</v>
      </c>
      <c r="L766" s="232"/>
      <c r="M766" s="226">
        <v>0</v>
      </c>
      <c r="N766" s="226">
        <v>0</v>
      </c>
      <c r="O766" s="232">
        <v>120575</v>
      </c>
      <c r="P766" s="232">
        <v>120575</v>
      </c>
      <c r="Q766" s="232"/>
      <c r="R766" s="394">
        <v>1210933</v>
      </c>
      <c r="S766" s="232">
        <v>-57653</v>
      </c>
      <c r="T766" s="398">
        <v>1153280</v>
      </c>
      <c r="U766" s="232"/>
      <c r="V766" s="398"/>
      <c r="W766" s="398"/>
      <c r="X766" s="398">
        <v>7144241</v>
      </c>
      <c r="Y766" s="398">
        <v>510297</v>
      </c>
    </row>
    <row r="767" spans="1:25">
      <c r="A767" s="392">
        <v>98113</v>
      </c>
      <c r="B767" s="393" t="s">
        <v>1464</v>
      </c>
      <c r="C767" s="235">
        <v>2.9099999999999999E-5</v>
      </c>
      <c r="D767" s="235">
        <v>3.3899999999999997E-5</v>
      </c>
      <c r="E767" s="232">
        <v>103987</v>
      </c>
      <c r="F767" s="232" t="s">
        <v>1930</v>
      </c>
      <c r="G767" s="394">
        <v>13132</v>
      </c>
      <c r="H767" s="394">
        <v>14633</v>
      </c>
      <c r="I767" s="394">
        <v>7739</v>
      </c>
      <c r="J767" s="232">
        <v>6358</v>
      </c>
      <c r="K767" s="232">
        <v>41862</v>
      </c>
      <c r="L767" s="232"/>
      <c r="M767" s="226">
        <v>0</v>
      </c>
      <c r="N767" s="226">
        <v>0</v>
      </c>
      <c r="O767" s="232">
        <v>208</v>
      </c>
      <c r="P767" s="232">
        <v>208</v>
      </c>
      <c r="Q767" s="232"/>
      <c r="R767" s="394">
        <v>35760</v>
      </c>
      <c r="S767" s="232">
        <v>3546</v>
      </c>
      <c r="T767" s="398">
        <v>39306</v>
      </c>
      <c r="U767" s="232"/>
      <c r="V767" s="398"/>
      <c r="W767" s="398"/>
      <c r="X767" s="398">
        <v>210978</v>
      </c>
      <c r="Y767" s="398">
        <v>15070</v>
      </c>
    </row>
    <row r="768" spans="1:25">
      <c r="A768" s="392">
        <v>98121</v>
      </c>
      <c r="B768" s="393" t="s">
        <v>1465</v>
      </c>
      <c r="C768" s="235">
        <v>2.0430000000000001E-4</v>
      </c>
      <c r="D768" s="235">
        <v>2.1259999999999999E-4</v>
      </c>
      <c r="E768" s="232">
        <v>730051</v>
      </c>
      <c r="F768" s="232" t="s">
        <v>1930</v>
      </c>
      <c r="G768" s="394">
        <v>92193</v>
      </c>
      <c r="H768" s="394">
        <v>102735</v>
      </c>
      <c r="I768" s="394">
        <v>54330</v>
      </c>
      <c r="J768" s="232">
        <v>2610</v>
      </c>
      <c r="K768" s="232">
        <v>251868</v>
      </c>
      <c r="L768" s="232"/>
      <c r="M768" s="226">
        <v>0</v>
      </c>
      <c r="N768" s="226">
        <v>0</v>
      </c>
      <c r="O768" s="232">
        <v>19958</v>
      </c>
      <c r="P768" s="232">
        <v>19958</v>
      </c>
      <c r="Q768" s="232"/>
      <c r="R768" s="394">
        <v>251059</v>
      </c>
      <c r="S768" s="232">
        <v>-8719</v>
      </c>
      <c r="T768" s="398">
        <v>242340</v>
      </c>
      <c r="U768" s="232"/>
      <c r="V768" s="398"/>
      <c r="W768" s="398"/>
      <c r="X768" s="398">
        <v>1481194</v>
      </c>
      <c r="Y768" s="398">
        <v>105798</v>
      </c>
    </row>
    <row r="769" spans="1:25">
      <c r="A769" s="392">
        <v>98131</v>
      </c>
      <c r="B769" s="393" t="s">
        <v>1466</v>
      </c>
      <c r="C769" s="235">
        <v>2.5710000000000002E-4</v>
      </c>
      <c r="D769" s="235">
        <v>2.519E-4</v>
      </c>
      <c r="E769" s="232">
        <v>918728</v>
      </c>
      <c r="F769" s="232" t="s">
        <v>1930</v>
      </c>
      <c r="G769" s="394">
        <v>116019</v>
      </c>
      <c r="H769" s="394">
        <v>129286</v>
      </c>
      <c r="I769" s="394">
        <v>68371</v>
      </c>
      <c r="J769" s="232">
        <v>29228</v>
      </c>
      <c r="K769" s="232">
        <v>342904</v>
      </c>
      <c r="L769" s="232"/>
      <c r="M769" s="226">
        <v>0</v>
      </c>
      <c r="N769" s="226">
        <v>0</v>
      </c>
      <c r="O769" s="232">
        <v>11913</v>
      </c>
      <c r="P769" s="232">
        <v>11913</v>
      </c>
      <c r="Q769" s="232"/>
      <c r="R769" s="394">
        <v>315944</v>
      </c>
      <c r="S769" s="232">
        <v>-2412</v>
      </c>
      <c r="T769" s="398">
        <v>313532</v>
      </c>
      <c r="U769" s="232"/>
      <c r="V769" s="398"/>
      <c r="W769" s="398"/>
      <c r="X769" s="398">
        <v>1863999</v>
      </c>
      <c r="Y769" s="398">
        <v>133141</v>
      </c>
    </row>
    <row r="770" spans="1:25">
      <c r="A770" s="392">
        <v>98141</v>
      </c>
      <c r="B770" s="393" t="s">
        <v>1467</v>
      </c>
      <c r="C770" s="235">
        <v>2.8600000000000001E-4</v>
      </c>
      <c r="D770" s="235">
        <v>2.8699999999999998E-4</v>
      </c>
      <c r="E770" s="232">
        <v>1022000</v>
      </c>
      <c r="F770" s="232" t="s">
        <v>1930</v>
      </c>
      <c r="G770" s="394">
        <v>129061</v>
      </c>
      <c r="H770" s="394">
        <v>143819</v>
      </c>
      <c r="I770" s="394">
        <v>76057</v>
      </c>
      <c r="J770" s="232">
        <v>1067</v>
      </c>
      <c r="K770" s="232">
        <v>350004</v>
      </c>
      <c r="L770" s="232"/>
      <c r="M770" s="226">
        <v>0</v>
      </c>
      <c r="N770" s="226">
        <v>0</v>
      </c>
      <c r="O770" s="232">
        <v>21946</v>
      </c>
      <c r="P770" s="232">
        <v>21946</v>
      </c>
      <c r="Q770" s="232"/>
      <c r="R770" s="394">
        <v>351458</v>
      </c>
      <c r="S770" s="232">
        <v>-11457</v>
      </c>
      <c r="T770" s="398">
        <v>340001</v>
      </c>
      <c r="U770" s="232"/>
      <c r="V770" s="398"/>
      <c r="W770" s="398"/>
      <c r="X770" s="398">
        <v>2073526</v>
      </c>
      <c r="Y770" s="398">
        <v>148107</v>
      </c>
    </row>
    <row r="771" spans="1:25">
      <c r="A771" s="392">
        <v>98147</v>
      </c>
      <c r="B771" s="393" t="s">
        <v>1468</v>
      </c>
      <c r="C771" s="235">
        <v>1.03E-5</v>
      </c>
      <c r="D771" s="235">
        <v>1.0699999999999999E-5</v>
      </c>
      <c r="E771" s="232">
        <v>36806</v>
      </c>
      <c r="F771" s="232" t="s">
        <v>1930</v>
      </c>
      <c r="G771" s="394">
        <v>4648</v>
      </c>
      <c r="H771" s="394">
        <v>5180</v>
      </c>
      <c r="I771" s="394">
        <v>2739</v>
      </c>
      <c r="J771" s="232">
        <v>9401</v>
      </c>
      <c r="K771" s="232">
        <v>21968</v>
      </c>
      <c r="L771" s="232"/>
      <c r="M771" s="226">
        <v>0</v>
      </c>
      <c r="N771" s="226">
        <v>0</v>
      </c>
      <c r="O771" s="232">
        <v>0</v>
      </c>
      <c r="P771" s="232">
        <v>0</v>
      </c>
      <c r="Q771" s="232"/>
      <c r="R771" s="394">
        <v>12657</v>
      </c>
      <c r="S771" s="232">
        <v>4856</v>
      </c>
      <c r="T771" s="398">
        <v>17513</v>
      </c>
      <c r="U771" s="232"/>
      <c r="V771" s="398"/>
      <c r="W771" s="398"/>
      <c r="X771" s="398">
        <v>74676</v>
      </c>
      <c r="Y771" s="398">
        <v>5334</v>
      </c>
    </row>
    <row r="772" spans="1:25">
      <c r="A772" s="392">
        <v>98161</v>
      </c>
      <c r="B772" s="393" t="s">
        <v>1469</v>
      </c>
      <c r="C772" s="235">
        <v>5.6999999999999996E-6</v>
      </c>
      <c r="D772" s="235">
        <v>6.1999999999999999E-6</v>
      </c>
      <c r="E772" s="232">
        <v>20369</v>
      </c>
      <c r="F772" s="232" t="s">
        <v>1930</v>
      </c>
      <c r="G772" s="394">
        <v>2572</v>
      </c>
      <c r="H772" s="394">
        <v>2866</v>
      </c>
      <c r="I772" s="394">
        <v>1516</v>
      </c>
      <c r="J772" s="232">
        <v>3821</v>
      </c>
      <c r="K772" s="232">
        <v>10775</v>
      </c>
      <c r="L772" s="232"/>
      <c r="M772" s="226">
        <v>0</v>
      </c>
      <c r="N772" s="226">
        <v>0</v>
      </c>
      <c r="O772" s="232">
        <v>0</v>
      </c>
      <c r="P772" s="232">
        <v>0</v>
      </c>
      <c r="Q772" s="232"/>
      <c r="R772" s="394">
        <v>7005</v>
      </c>
      <c r="S772" s="232">
        <v>1814</v>
      </c>
      <c r="T772" s="398">
        <v>8819</v>
      </c>
      <c r="U772" s="232"/>
      <c r="V772" s="398"/>
      <c r="W772" s="398"/>
      <c r="X772" s="398">
        <v>41326</v>
      </c>
      <c r="Y772" s="398">
        <v>2952</v>
      </c>
    </row>
    <row r="773" spans="1:25">
      <c r="A773" s="392">
        <v>98201</v>
      </c>
      <c r="B773" s="393" t="s">
        <v>1470</v>
      </c>
      <c r="C773" s="235">
        <v>3.1876000000000001E-3</v>
      </c>
      <c r="D773" s="235">
        <v>3.3482999999999998E-3</v>
      </c>
      <c r="E773" s="232">
        <v>11390653</v>
      </c>
      <c r="F773" s="232" t="s">
        <v>1930</v>
      </c>
      <c r="G773" s="394">
        <v>1438440</v>
      </c>
      <c r="H773" s="394">
        <v>1602929</v>
      </c>
      <c r="I773" s="394">
        <v>847688</v>
      </c>
      <c r="J773" s="232">
        <v>89568</v>
      </c>
      <c r="K773" s="232">
        <v>3978625</v>
      </c>
      <c r="L773" s="232"/>
      <c r="M773" s="226">
        <v>0</v>
      </c>
      <c r="N773" s="226">
        <v>0</v>
      </c>
      <c r="O773" s="232">
        <v>255454</v>
      </c>
      <c r="P773" s="232">
        <v>255454</v>
      </c>
      <c r="Q773" s="232"/>
      <c r="R773" s="394">
        <v>3917162</v>
      </c>
      <c r="S773" s="232">
        <v>-51353</v>
      </c>
      <c r="T773" s="398">
        <v>3865809</v>
      </c>
      <c r="U773" s="232"/>
      <c r="V773" s="398"/>
      <c r="W773" s="398"/>
      <c r="X773" s="398">
        <v>23110393</v>
      </c>
      <c r="Y773" s="398">
        <v>1650724</v>
      </c>
    </row>
    <row r="774" spans="1:25">
      <c r="A774" s="392">
        <v>98205</v>
      </c>
      <c r="B774" s="393" t="s">
        <v>1471</v>
      </c>
      <c r="C774" s="235">
        <v>2.62E-5</v>
      </c>
      <c r="D774" s="235">
        <v>4.0899999999999998E-5</v>
      </c>
      <c r="E774" s="232">
        <v>93624</v>
      </c>
      <c r="F774" s="232" t="s">
        <v>1930</v>
      </c>
      <c r="G774" s="394">
        <v>11823</v>
      </c>
      <c r="H774" s="394">
        <v>13175</v>
      </c>
      <c r="I774" s="394">
        <v>6967</v>
      </c>
      <c r="J774" s="232">
        <v>2716</v>
      </c>
      <c r="K774" s="232">
        <v>34681</v>
      </c>
      <c r="L774" s="232"/>
      <c r="M774" s="226">
        <v>0</v>
      </c>
      <c r="N774" s="226">
        <v>0</v>
      </c>
      <c r="O774" s="232">
        <v>18133</v>
      </c>
      <c r="P774" s="232">
        <v>18133</v>
      </c>
      <c r="Q774" s="232"/>
      <c r="R774" s="394">
        <v>32197</v>
      </c>
      <c r="S774" s="232">
        <v>-5204</v>
      </c>
      <c r="T774" s="398">
        <v>26993</v>
      </c>
      <c r="U774" s="232"/>
      <c r="V774" s="398"/>
      <c r="W774" s="398"/>
      <c r="X774" s="398">
        <v>189952</v>
      </c>
      <c r="Y774" s="398">
        <v>13568</v>
      </c>
    </row>
    <row r="775" spans="1:25">
      <c r="A775" s="392">
        <v>98211</v>
      </c>
      <c r="B775" s="393" t="s">
        <v>1472</v>
      </c>
      <c r="C775" s="235">
        <v>8.8690000000000004E-4</v>
      </c>
      <c r="D775" s="235">
        <v>9.0399999999999996E-4</v>
      </c>
      <c r="E775" s="232">
        <v>3169272</v>
      </c>
      <c r="F775" s="232" t="s">
        <v>1930</v>
      </c>
      <c r="G775" s="394">
        <v>400223</v>
      </c>
      <c r="H775" s="394">
        <v>445990</v>
      </c>
      <c r="I775" s="394">
        <v>235856</v>
      </c>
      <c r="J775" s="232">
        <v>18915</v>
      </c>
      <c r="K775" s="232">
        <v>1100984</v>
      </c>
      <c r="L775" s="232"/>
      <c r="M775" s="226">
        <v>0</v>
      </c>
      <c r="N775" s="226">
        <v>0</v>
      </c>
      <c r="O775" s="232">
        <v>83993</v>
      </c>
      <c r="P775" s="232">
        <v>83993</v>
      </c>
      <c r="Q775" s="232"/>
      <c r="R775" s="394">
        <v>1089889</v>
      </c>
      <c r="S775" s="232">
        <v>-48155</v>
      </c>
      <c r="T775" s="398">
        <v>1041734</v>
      </c>
      <c r="U775" s="232"/>
      <c r="V775" s="398"/>
      <c r="W775" s="398"/>
      <c r="X775" s="398">
        <v>6430107</v>
      </c>
      <c r="Y775" s="398">
        <v>459288</v>
      </c>
    </row>
    <row r="776" spans="1:25">
      <c r="A776" s="392">
        <v>98218</v>
      </c>
      <c r="B776" s="393" t="s">
        <v>1473</v>
      </c>
      <c r="C776" s="235">
        <v>1.77E-5</v>
      </c>
      <c r="D776" s="235">
        <v>1.8099999999999999E-5</v>
      </c>
      <c r="E776" s="232">
        <v>63250</v>
      </c>
      <c r="F776" s="232" t="s">
        <v>1930</v>
      </c>
      <c r="G776" s="394">
        <v>7987</v>
      </c>
      <c r="H776" s="394">
        <v>8900</v>
      </c>
      <c r="I776" s="394">
        <v>4707</v>
      </c>
      <c r="J776" s="232">
        <v>3276</v>
      </c>
      <c r="K776" s="232">
        <v>24870</v>
      </c>
      <c r="L776" s="232"/>
      <c r="M776" s="226">
        <v>0</v>
      </c>
      <c r="N776" s="226">
        <v>0</v>
      </c>
      <c r="O776" s="232">
        <v>402</v>
      </c>
      <c r="P776" s="232">
        <v>402</v>
      </c>
      <c r="Q776" s="232"/>
      <c r="R776" s="394">
        <v>21751</v>
      </c>
      <c r="S776" s="232">
        <v>1426</v>
      </c>
      <c r="T776" s="398">
        <v>23177</v>
      </c>
      <c r="U776" s="232"/>
      <c r="V776" s="398"/>
      <c r="W776" s="398"/>
      <c r="X776" s="398">
        <v>128327</v>
      </c>
      <c r="Y776" s="398">
        <v>9166</v>
      </c>
    </row>
    <row r="777" spans="1:25">
      <c r="A777" s="392">
        <v>98221</v>
      </c>
      <c r="B777" s="393" t="s">
        <v>1474</v>
      </c>
      <c r="C777" s="235">
        <v>2.51E-5</v>
      </c>
      <c r="D777" s="235">
        <v>2.72E-5</v>
      </c>
      <c r="E777" s="232">
        <v>89693</v>
      </c>
      <c r="F777" s="232" t="s">
        <v>1930</v>
      </c>
      <c r="G777" s="394">
        <v>11327</v>
      </c>
      <c r="H777" s="394">
        <v>12622</v>
      </c>
      <c r="I777" s="394">
        <v>6675</v>
      </c>
      <c r="J777" s="232">
        <v>5674</v>
      </c>
      <c r="K777" s="232">
        <v>36298</v>
      </c>
      <c r="L777" s="232"/>
      <c r="M777" s="226">
        <v>0</v>
      </c>
      <c r="N777" s="226">
        <v>0</v>
      </c>
      <c r="O777" s="232">
        <v>4945</v>
      </c>
      <c r="P777" s="232">
        <v>4945</v>
      </c>
      <c r="Q777" s="232"/>
      <c r="R777" s="394">
        <v>30845</v>
      </c>
      <c r="S777" s="232">
        <v>1301</v>
      </c>
      <c r="T777" s="398">
        <v>32146</v>
      </c>
      <c r="U777" s="232"/>
      <c r="V777" s="398"/>
      <c r="W777" s="398"/>
      <c r="X777" s="398">
        <v>181977</v>
      </c>
      <c r="Y777" s="398">
        <v>12998</v>
      </c>
    </row>
    <row r="778" spans="1:25">
      <c r="A778" s="392">
        <v>98231</v>
      </c>
      <c r="B778" s="393" t="s">
        <v>1475</v>
      </c>
      <c r="C778" s="235">
        <v>2.9200000000000002E-5</v>
      </c>
      <c r="D778" s="235">
        <v>3.1699999999999998E-5</v>
      </c>
      <c r="E778" s="232">
        <v>104344</v>
      </c>
      <c r="F778" s="232" t="s">
        <v>1930</v>
      </c>
      <c r="G778" s="394">
        <v>13177</v>
      </c>
      <c r="H778" s="394">
        <v>14684</v>
      </c>
      <c r="I778" s="394">
        <v>7765</v>
      </c>
      <c r="J778" s="232">
        <v>4113</v>
      </c>
      <c r="K778" s="232">
        <v>39739</v>
      </c>
      <c r="L778" s="232"/>
      <c r="M778" s="226">
        <v>0</v>
      </c>
      <c r="N778" s="226">
        <v>0</v>
      </c>
      <c r="O778" s="232">
        <v>3530</v>
      </c>
      <c r="P778" s="232">
        <v>3530</v>
      </c>
      <c r="Q778" s="232"/>
      <c r="R778" s="394">
        <v>35883</v>
      </c>
      <c r="S778" s="232">
        <v>-632</v>
      </c>
      <c r="T778" s="398">
        <v>35251</v>
      </c>
      <c r="U778" s="232"/>
      <c r="V778" s="398"/>
      <c r="W778" s="398"/>
      <c r="X778" s="398">
        <v>211703</v>
      </c>
      <c r="Y778" s="398">
        <v>15121</v>
      </c>
    </row>
    <row r="779" spans="1:25">
      <c r="A779" s="392">
        <v>98237</v>
      </c>
      <c r="B779" s="393" t="s">
        <v>1476</v>
      </c>
      <c r="C779" s="235">
        <v>6.2999999999999998E-6</v>
      </c>
      <c r="D779" s="235">
        <v>6.7000000000000002E-6</v>
      </c>
      <c r="E779" s="232">
        <v>22513</v>
      </c>
      <c r="F779" s="232" t="s">
        <v>1930</v>
      </c>
      <c r="G779" s="394">
        <v>2843</v>
      </c>
      <c r="H779" s="394">
        <v>3168</v>
      </c>
      <c r="I779" s="394">
        <v>1675</v>
      </c>
      <c r="J779" s="232">
        <v>2106</v>
      </c>
      <c r="K779" s="232">
        <v>9792</v>
      </c>
      <c r="L779" s="232"/>
      <c r="M779" s="226">
        <v>0</v>
      </c>
      <c r="N779" s="226">
        <v>0</v>
      </c>
      <c r="O779" s="232">
        <v>119</v>
      </c>
      <c r="P779" s="232">
        <v>119</v>
      </c>
      <c r="Q779" s="232"/>
      <c r="R779" s="394">
        <v>7742</v>
      </c>
      <c r="S779" s="232">
        <v>1567</v>
      </c>
      <c r="T779" s="398">
        <v>9309</v>
      </c>
      <c r="U779" s="232"/>
      <c r="V779" s="398"/>
      <c r="W779" s="398"/>
      <c r="X779" s="398">
        <v>45676</v>
      </c>
      <c r="Y779" s="398">
        <v>3263</v>
      </c>
    </row>
    <row r="780" spans="1:25">
      <c r="A780" s="392">
        <v>98241</v>
      </c>
      <c r="B780" s="393" t="s">
        <v>1477</v>
      </c>
      <c r="C780" s="235">
        <v>9.0999999999999993E-6</v>
      </c>
      <c r="D780" s="235">
        <v>1.7799999999999999E-5</v>
      </c>
      <c r="E780" s="232">
        <v>32518</v>
      </c>
      <c r="F780" s="232" t="s">
        <v>1930</v>
      </c>
      <c r="G780" s="394">
        <v>4106</v>
      </c>
      <c r="H780" s="394">
        <v>4576</v>
      </c>
      <c r="I780" s="394">
        <v>2420</v>
      </c>
      <c r="J780" s="232">
        <v>4727</v>
      </c>
      <c r="K780" s="232">
        <v>15829</v>
      </c>
      <c r="L780" s="232"/>
      <c r="M780" s="226">
        <v>0</v>
      </c>
      <c r="N780" s="226">
        <v>0</v>
      </c>
      <c r="O780" s="232">
        <v>11297</v>
      </c>
      <c r="P780" s="232">
        <v>11297</v>
      </c>
      <c r="Q780" s="232"/>
      <c r="R780" s="394">
        <v>11183</v>
      </c>
      <c r="S780" s="232">
        <v>-1508</v>
      </c>
      <c r="T780" s="398">
        <v>9675</v>
      </c>
      <c r="U780" s="232"/>
      <c r="V780" s="398"/>
      <c r="W780" s="398"/>
      <c r="X780" s="398">
        <v>65976</v>
      </c>
      <c r="Y780" s="398">
        <v>4713</v>
      </c>
    </row>
    <row r="781" spans="1:25">
      <c r="A781" s="392">
        <v>98251</v>
      </c>
      <c r="B781" s="393" t="s">
        <v>1478</v>
      </c>
      <c r="C781" s="235">
        <v>2.3E-6</v>
      </c>
      <c r="D781" s="235">
        <v>2.5000000000000002E-6</v>
      </c>
      <c r="E781" s="232">
        <v>8219</v>
      </c>
      <c r="F781" s="232" t="s">
        <v>1930</v>
      </c>
      <c r="G781" s="394">
        <v>1038</v>
      </c>
      <c r="H781" s="394">
        <v>1156</v>
      </c>
      <c r="I781" s="394">
        <v>612</v>
      </c>
      <c r="J781" s="232">
        <v>2307</v>
      </c>
      <c r="K781" s="232">
        <v>5113</v>
      </c>
      <c r="L781" s="232"/>
      <c r="M781" s="226">
        <v>0</v>
      </c>
      <c r="N781" s="226">
        <v>0</v>
      </c>
      <c r="O781" s="232">
        <v>0</v>
      </c>
      <c r="P781" s="232">
        <v>0</v>
      </c>
      <c r="Q781" s="232"/>
      <c r="R781" s="394">
        <v>2826</v>
      </c>
      <c r="S781" s="232">
        <v>1025</v>
      </c>
      <c r="T781" s="398">
        <v>3851</v>
      </c>
      <c r="U781" s="232"/>
      <c r="V781" s="398"/>
      <c r="W781" s="398"/>
      <c r="X781" s="398">
        <v>16675</v>
      </c>
      <c r="Y781" s="398">
        <v>1191</v>
      </c>
    </row>
    <row r="782" spans="1:25">
      <c r="A782" s="392">
        <v>98261</v>
      </c>
      <c r="B782" s="393" t="s">
        <v>1479</v>
      </c>
      <c r="C782" s="235">
        <v>3.54E-5</v>
      </c>
      <c r="D782" s="235">
        <v>3.3699999999999999E-5</v>
      </c>
      <c r="E782" s="232">
        <v>126499</v>
      </c>
      <c r="F782" s="232" t="s">
        <v>1930</v>
      </c>
      <c r="G782" s="394">
        <v>15975</v>
      </c>
      <c r="H782" s="394">
        <v>17802</v>
      </c>
      <c r="I782" s="394">
        <v>9414</v>
      </c>
      <c r="J782" s="232">
        <v>5954</v>
      </c>
      <c r="K782" s="232">
        <v>49145</v>
      </c>
      <c r="L782" s="232"/>
      <c r="M782" s="226">
        <v>0</v>
      </c>
      <c r="N782" s="226">
        <v>0</v>
      </c>
      <c r="O782" s="232">
        <v>0</v>
      </c>
      <c r="P782" s="232">
        <v>0</v>
      </c>
      <c r="Q782" s="232"/>
      <c r="R782" s="394">
        <v>43502</v>
      </c>
      <c r="S782" s="232">
        <v>1319</v>
      </c>
      <c r="T782" s="398">
        <v>44821</v>
      </c>
      <c r="U782" s="232"/>
      <c r="V782" s="398"/>
      <c r="W782" s="398"/>
      <c r="X782" s="398">
        <v>256653</v>
      </c>
      <c r="Y782" s="398">
        <v>18332</v>
      </c>
    </row>
    <row r="783" spans="1:25">
      <c r="A783" s="392">
        <v>98271</v>
      </c>
      <c r="B783" s="393" t="s">
        <v>1480</v>
      </c>
      <c r="C783" s="235">
        <v>6.9E-6</v>
      </c>
      <c r="D783" s="235">
        <v>5.2000000000000002E-6</v>
      </c>
      <c r="E783" s="232">
        <v>24657</v>
      </c>
      <c r="F783" s="232" t="s">
        <v>1930</v>
      </c>
      <c r="G783" s="394">
        <v>3114</v>
      </c>
      <c r="H783" s="394">
        <v>3470</v>
      </c>
      <c r="I783" s="394">
        <v>1835</v>
      </c>
      <c r="J783" s="232">
        <v>3723</v>
      </c>
      <c r="K783" s="232">
        <v>12142</v>
      </c>
      <c r="L783" s="232"/>
      <c r="M783" s="226">
        <v>0</v>
      </c>
      <c r="N783" s="226">
        <v>0</v>
      </c>
      <c r="O783" s="232">
        <v>0</v>
      </c>
      <c r="P783" s="232">
        <v>0</v>
      </c>
      <c r="Q783" s="232"/>
      <c r="R783" s="394">
        <v>8479</v>
      </c>
      <c r="S783" s="232">
        <v>1802</v>
      </c>
      <c r="T783" s="398">
        <v>10281</v>
      </c>
      <c r="U783" s="232"/>
      <c r="V783" s="398"/>
      <c r="W783" s="398"/>
      <c r="X783" s="398">
        <v>50026</v>
      </c>
      <c r="Y783" s="398">
        <v>3573</v>
      </c>
    </row>
    <row r="784" spans="1:25">
      <c r="A784" s="392">
        <v>98301</v>
      </c>
      <c r="B784" s="393" t="s">
        <v>1481</v>
      </c>
      <c r="C784" s="235">
        <v>1.8286999999999999E-3</v>
      </c>
      <c r="D784" s="235">
        <v>1.7742000000000001E-3</v>
      </c>
      <c r="E784" s="232">
        <v>6534724</v>
      </c>
      <c r="F784" s="232" t="s">
        <v>1930</v>
      </c>
      <c r="G784" s="394">
        <v>825221</v>
      </c>
      <c r="H784" s="394">
        <v>919588</v>
      </c>
      <c r="I784" s="394">
        <v>486312</v>
      </c>
      <c r="J784" s="232">
        <v>153816</v>
      </c>
      <c r="K784" s="232">
        <v>2384937</v>
      </c>
      <c r="L784" s="232"/>
      <c r="M784" s="226">
        <v>0</v>
      </c>
      <c r="N784" s="226">
        <v>0</v>
      </c>
      <c r="O784" s="232">
        <v>0</v>
      </c>
      <c r="P784" s="232">
        <v>0</v>
      </c>
      <c r="Q784" s="232"/>
      <c r="R784" s="394">
        <v>2247244</v>
      </c>
      <c r="S784" s="232">
        <v>58383</v>
      </c>
      <c r="T784" s="398">
        <v>2305627</v>
      </c>
      <c r="U784" s="232"/>
      <c r="V784" s="398"/>
      <c r="W784" s="398"/>
      <c r="X784" s="398">
        <v>13258243</v>
      </c>
      <c r="Y784" s="398">
        <v>947007</v>
      </c>
    </row>
    <row r="785" spans="1:25">
      <c r="A785" s="392">
        <v>98304</v>
      </c>
      <c r="B785" s="393" t="s">
        <v>1482</v>
      </c>
      <c r="C785" s="235">
        <v>2.02E-5</v>
      </c>
      <c r="D785" s="235">
        <v>2.0699999999999998E-5</v>
      </c>
      <c r="E785" s="232">
        <v>72183</v>
      </c>
      <c r="F785" s="232" t="s">
        <v>1930</v>
      </c>
      <c r="G785" s="394">
        <v>9115</v>
      </c>
      <c r="H785" s="394">
        <v>10158</v>
      </c>
      <c r="I785" s="394">
        <v>5372</v>
      </c>
      <c r="J785" s="232">
        <v>7943</v>
      </c>
      <c r="K785" s="232">
        <v>32588</v>
      </c>
      <c r="L785" s="232"/>
      <c r="M785" s="226">
        <v>0</v>
      </c>
      <c r="N785" s="226">
        <v>0</v>
      </c>
      <c r="O785" s="232">
        <v>0</v>
      </c>
      <c r="P785" s="232">
        <v>0</v>
      </c>
      <c r="Q785" s="232"/>
      <c r="R785" s="394">
        <v>24823</v>
      </c>
      <c r="S785" s="232">
        <v>3206</v>
      </c>
      <c r="T785" s="398">
        <v>28029</v>
      </c>
      <c r="U785" s="232"/>
      <c r="V785" s="398"/>
      <c r="W785" s="398"/>
      <c r="X785" s="398">
        <v>146452</v>
      </c>
      <c r="Y785" s="398">
        <v>10461</v>
      </c>
    </row>
    <row r="786" spans="1:25">
      <c r="A786" s="392">
        <v>98308</v>
      </c>
      <c r="B786" s="393" t="s">
        <v>1483</v>
      </c>
      <c r="C786" s="235">
        <v>1.56E-5</v>
      </c>
      <c r="D786" s="235">
        <v>1.6099999999999998E-5</v>
      </c>
      <c r="E786" s="232">
        <v>55745</v>
      </c>
      <c r="F786" s="232" t="s">
        <v>1930</v>
      </c>
      <c r="G786" s="394">
        <v>7040</v>
      </c>
      <c r="H786" s="394">
        <v>7845</v>
      </c>
      <c r="I786" s="394">
        <v>4149</v>
      </c>
      <c r="J786" s="232">
        <v>10741</v>
      </c>
      <c r="K786" s="232">
        <v>29775</v>
      </c>
      <c r="L786" s="232"/>
      <c r="M786" s="226">
        <v>0</v>
      </c>
      <c r="N786" s="226">
        <v>0</v>
      </c>
      <c r="O786" s="232">
        <v>0</v>
      </c>
      <c r="P786" s="232">
        <v>0</v>
      </c>
      <c r="Q786" s="232"/>
      <c r="R786" s="394">
        <v>19170</v>
      </c>
      <c r="S786" s="232">
        <v>4928</v>
      </c>
      <c r="T786" s="398">
        <v>24098</v>
      </c>
      <c r="U786" s="232"/>
      <c r="V786" s="398"/>
      <c r="W786" s="398"/>
      <c r="X786" s="398">
        <v>113101</v>
      </c>
      <c r="Y786" s="398">
        <v>8079</v>
      </c>
    </row>
    <row r="787" spans="1:25">
      <c r="A787" s="392">
        <v>98311</v>
      </c>
      <c r="B787" s="393" t="s">
        <v>1484</v>
      </c>
      <c r="C787" s="235">
        <v>1.036E-3</v>
      </c>
      <c r="D787" s="235">
        <v>1.1073999999999999E-3</v>
      </c>
      <c r="E787" s="232">
        <v>3702069</v>
      </c>
      <c r="F787" s="232" t="s">
        <v>1930</v>
      </c>
      <c r="G787" s="394">
        <v>467506</v>
      </c>
      <c r="H787" s="394">
        <v>520967</v>
      </c>
      <c r="I787" s="394">
        <v>275507</v>
      </c>
      <c r="J787" s="232">
        <v>0</v>
      </c>
      <c r="K787" s="232">
        <v>1263980</v>
      </c>
      <c r="L787" s="232"/>
      <c r="M787" s="226">
        <v>0</v>
      </c>
      <c r="N787" s="226">
        <v>0</v>
      </c>
      <c r="O787" s="232">
        <v>158560</v>
      </c>
      <c r="P787" s="232">
        <v>158560</v>
      </c>
      <c r="Q787" s="232"/>
      <c r="R787" s="394">
        <v>1273115</v>
      </c>
      <c r="S787" s="232">
        <v>-81075</v>
      </c>
      <c r="T787" s="398">
        <v>1192040</v>
      </c>
      <c r="U787" s="232"/>
      <c r="V787" s="398"/>
      <c r="W787" s="398"/>
      <c r="X787" s="398">
        <v>7511095</v>
      </c>
      <c r="Y787" s="398">
        <v>536501</v>
      </c>
    </row>
    <row r="788" spans="1:25">
      <c r="A788" s="392">
        <v>98313</v>
      </c>
      <c r="B788" s="393" t="s">
        <v>1485</v>
      </c>
      <c r="C788" s="235">
        <v>1.951E-4</v>
      </c>
      <c r="D788" s="235">
        <v>2.1000000000000001E-4</v>
      </c>
      <c r="E788" s="232">
        <v>697175</v>
      </c>
      <c r="F788" s="232" t="s">
        <v>1930</v>
      </c>
      <c r="G788" s="394">
        <v>88041</v>
      </c>
      <c r="H788" s="394">
        <v>98109</v>
      </c>
      <c r="I788" s="394">
        <v>51884</v>
      </c>
      <c r="J788" s="232">
        <v>179278</v>
      </c>
      <c r="K788" s="232">
        <v>417312</v>
      </c>
      <c r="L788" s="232"/>
      <c r="M788" s="226">
        <v>0</v>
      </c>
      <c r="N788" s="226">
        <v>0</v>
      </c>
      <c r="O788" s="232">
        <v>0</v>
      </c>
      <c r="P788" s="232">
        <v>0</v>
      </c>
      <c r="Q788" s="232"/>
      <c r="R788" s="394">
        <v>239754</v>
      </c>
      <c r="S788" s="232">
        <v>113138</v>
      </c>
      <c r="T788" s="398">
        <v>352892</v>
      </c>
      <c r="U788" s="232"/>
      <c r="V788" s="398"/>
      <c r="W788" s="398"/>
      <c r="X788" s="398">
        <v>1414493</v>
      </c>
      <c r="Y788" s="398">
        <v>101034</v>
      </c>
    </row>
    <row r="789" spans="1:25">
      <c r="A789" s="392">
        <v>98321</v>
      </c>
      <c r="B789" s="393" t="s">
        <v>1486</v>
      </c>
      <c r="C789" s="235">
        <v>1.3499999999999999E-5</v>
      </c>
      <c r="D789" s="235">
        <v>1.6900000000000001E-5</v>
      </c>
      <c r="E789" s="232">
        <v>48241</v>
      </c>
      <c r="F789" s="232" t="s">
        <v>1930</v>
      </c>
      <c r="G789" s="394">
        <v>6092</v>
      </c>
      <c r="H789" s="394">
        <v>6789</v>
      </c>
      <c r="I789" s="394">
        <v>3590</v>
      </c>
      <c r="J789" s="232">
        <v>21</v>
      </c>
      <c r="K789" s="232">
        <v>16492</v>
      </c>
      <c r="L789" s="232"/>
      <c r="M789" s="226">
        <v>0</v>
      </c>
      <c r="N789" s="226">
        <v>0</v>
      </c>
      <c r="O789" s="232">
        <v>3618</v>
      </c>
      <c r="P789" s="232">
        <v>3618</v>
      </c>
      <c r="Q789" s="232"/>
      <c r="R789" s="394">
        <v>16590</v>
      </c>
      <c r="S789" s="232">
        <v>-2035</v>
      </c>
      <c r="T789" s="398">
        <v>14555</v>
      </c>
      <c r="U789" s="232"/>
      <c r="V789" s="398"/>
      <c r="W789" s="398"/>
      <c r="X789" s="398">
        <v>97876</v>
      </c>
      <c r="Y789" s="398">
        <v>6991</v>
      </c>
    </row>
    <row r="790" spans="1:25">
      <c r="A790" s="392">
        <v>98331</v>
      </c>
      <c r="B790" s="393" t="s">
        <v>1487</v>
      </c>
      <c r="C790" s="235">
        <v>1.7E-6</v>
      </c>
      <c r="D790" s="235">
        <v>8.3999999999999992E-6</v>
      </c>
      <c r="E790" s="232">
        <v>6075</v>
      </c>
      <c r="F790" s="232" t="s">
        <v>1930</v>
      </c>
      <c r="G790" s="394">
        <v>767</v>
      </c>
      <c r="H790" s="394">
        <v>855</v>
      </c>
      <c r="I790" s="394">
        <v>452</v>
      </c>
      <c r="J790" s="232">
        <v>1849</v>
      </c>
      <c r="K790" s="232">
        <v>3923</v>
      </c>
      <c r="L790" s="232"/>
      <c r="M790" s="226">
        <v>0</v>
      </c>
      <c r="N790" s="226">
        <v>0</v>
      </c>
      <c r="O790" s="232">
        <v>6615</v>
      </c>
      <c r="P790" s="232">
        <v>6615</v>
      </c>
      <c r="Q790" s="232"/>
      <c r="R790" s="394">
        <v>2089</v>
      </c>
      <c r="S790" s="232">
        <v>-938</v>
      </c>
      <c r="T790" s="398">
        <v>1151</v>
      </c>
      <c r="U790" s="232"/>
      <c r="V790" s="398"/>
      <c r="W790" s="398"/>
      <c r="X790" s="398">
        <v>12325</v>
      </c>
      <c r="Y790" s="398">
        <v>880</v>
      </c>
    </row>
    <row r="791" spans="1:25">
      <c r="A791" s="392">
        <v>98401</v>
      </c>
      <c r="B791" s="397" t="s">
        <v>1488</v>
      </c>
      <c r="C791" s="235">
        <v>2.9325000000000002E-3</v>
      </c>
      <c r="D791" s="235">
        <v>2.9618000000000001E-3</v>
      </c>
      <c r="E791" s="232">
        <v>10479072</v>
      </c>
      <c r="F791" s="232" t="s">
        <v>1930</v>
      </c>
      <c r="G791" s="394">
        <v>1323323</v>
      </c>
      <c r="H791" s="394">
        <v>1474649</v>
      </c>
      <c r="I791" s="394">
        <v>779849</v>
      </c>
      <c r="J791" s="232">
        <v>271249</v>
      </c>
      <c r="K791" s="232">
        <v>3849070</v>
      </c>
      <c r="L791" s="232"/>
      <c r="M791" s="226">
        <v>0</v>
      </c>
      <c r="N791" s="226">
        <v>0</v>
      </c>
      <c r="O791" s="232">
        <v>0</v>
      </c>
      <c r="P791" s="232">
        <v>0</v>
      </c>
      <c r="Q791" s="232"/>
      <c r="R791" s="394">
        <v>3603676</v>
      </c>
      <c r="S791" s="232">
        <v>114393</v>
      </c>
      <c r="T791" s="398">
        <v>3718069</v>
      </c>
      <c r="U791" s="232"/>
      <c r="V791" s="398"/>
      <c r="W791" s="398"/>
      <c r="X791" s="398">
        <v>21260895</v>
      </c>
      <c r="Y791" s="398">
        <v>1518619</v>
      </c>
    </row>
    <row r="792" spans="1:25">
      <c r="A792" s="392">
        <v>98404</v>
      </c>
      <c r="B792" s="393" t="s">
        <v>1489</v>
      </c>
      <c r="C792" s="235">
        <v>1.5E-5</v>
      </c>
      <c r="D792" s="235">
        <v>1.43E-5</v>
      </c>
      <c r="E792" s="232">
        <v>53601</v>
      </c>
      <c r="F792" s="232" t="s">
        <v>1930</v>
      </c>
      <c r="G792" s="394">
        <v>6769</v>
      </c>
      <c r="H792" s="394">
        <v>7543</v>
      </c>
      <c r="I792" s="394">
        <v>3989</v>
      </c>
      <c r="J792" s="232">
        <v>3920</v>
      </c>
      <c r="K792" s="232">
        <v>22221</v>
      </c>
      <c r="L792" s="232"/>
      <c r="M792" s="226">
        <v>0</v>
      </c>
      <c r="N792" s="226">
        <v>0</v>
      </c>
      <c r="O792" s="232">
        <v>252</v>
      </c>
      <c r="P792" s="232">
        <v>252</v>
      </c>
      <c r="Q792" s="232"/>
      <c r="R792" s="394">
        <v>18433</v>
      </c>
      <c r="S792" s="232">
        <v>2833</v>
      </c>
      <c r="T792" s="398">
        <v>21266</v>
      </c>
      <c r="U792" s="232"/>
      <c r="V792" s="398"/>
      <c r="W792" s="398"/>
      <c r="X792" s="398">
        <v>108751</v>
      </c>
      <c r="Y792" s="398">
        <v>7768</v>
      </c>
    </row>
    <row r="793" spans="1:25">
      <c r="A793" s="392">
        <v>98411</v>
      </c>
      <c r="B793" s="397" t="s">
        <v>1490</v>
      </c>
      <c r="C793" s="235">
        <v>1.7830999999999999E-3</v>
      </c>
      <c r="D793" s="235">
        <v>1.9082000000000001E-3</v>
      </c>
      <c r="E793" s="232">
        <v>6371776</v>
      </c>
      <c r="F793" s="232" t="s">
        <v>1930</v>
      </c>
      <c r="G793" s="394">
        <v>804643</v>
      </c>
      <c r="H793" s="394">
        <v>896657</v>
      </c>
      <c r="I793" s="394">
        <v>474185</v>
      </c>
      <c r="J793" s="232">
        <v>0</v>
      </c>
      <c r="K793" s="232">
        <v>2175485</v>
      </c>
      <c r="L793" s="232"/>
      <c r="M793" s="226">
        <v>0</v>
      </c>
      <c r="N793" s="226">
        <v>0</v>
      </c>
      <c r="O793" s="232">
        <v>283075</v>
      </c>
      <c r="P793" s="232">
        <v>283075</v>
      </c>
      <c r="Q793" s="232"/>
      <c r="R793" s="394">
        <v>2191207</v>
      </c>
      <c r="S793" s="232">
        <v>-111962</v>
      </c>
      <c r="T793" s="398">
        <v>2079245</v>
      </c>
      <c r="U793" s="232"/>
      <c r="V793" s="398"/>
      <c r="W793" s="398"/>
      <c r="X793" s="398">
        <v>12927639</v>
      </c>
      <c r="Y793" s="398">
        <v>923393</v>
      </c>
    </row>
    <row r="794" spans="1:25">
      <c r="A794" s="392">
        <v>98414</v>
      </c>
      <c r="B794" s="393" t="s">
        <v>1491</v>
      </c>
      <c r="C794" s="235">
        <v>3.5099999999999999E-5</v>
      </c>
      <c r="D794" s="235">
        <v>3.01E-5</v>
      </c>
      <c r="E794" s="232">
        <v>125427</v>
      </c>
      <c r="F794" s="232" t="s">
        <v>1930</v>
      </c>
      <c r="G794" s="394">
        <v>15839</v>
      </c>
      <c r="H794" s="394">
        <v>17650</v>
      </c>
      <c r="I794" s="394">
        <v>9334</v>
      </c>
      <c r="J794" s="232">
        <v>14912</v>
      </c>
      <c r="K794" s="232">
        <v>57735</v>
      </c>
      <c r="L794" s="232"/>
      <c r="M794" s="226">
        <v>0</v>
      </c>
      <c r="N794" s="226">
        <v>0</v>
      </c>
      <c r="O794" s="232">
        <v>14845</v>
      </c>
      <c r="P794" s="232">
        <v>6074</v>
      </c>
      <c r="Q794" s="232"/>
      <c r="R794" s="394">
        <v>43134</v>
      </c>
      <c r="S794" s="232">
        <v>5998</v>
      </c>
      <c r="T794" s="398">
        <v>49132</v>
      </c>
      <c r="U794" s="232"/>
      <c r="V794" s="398"/>
      <c r="W794" s="398"/>
      <c r="X794" s="398">
        <v>254478</v>
      </c>
      <c r="Y794" s="398">
        <v>18177</v>
      </c>
    </row>
    <row r="795" spans="1:25">
      <c r="A795" s="392">
        <v>98417</v>
      </c>
      <c r="B795" s="393" t="s">
        <v>1492</v>
      </c>
      <c r="C795" s="235">
        <v>2.1699999999999999E-5</v>
      </c>
      <c r="D795" s="235">
        <v>2.23E-5</v>
      </c>
      <c r="E795" s="232">
        <v>77543</v>
      </c>
      <c r="F795" s="232" t="s">
        <v>1930</v>
      </c>
      <c r="G795" s="394">
        <v>9792</v>
      </c>
      <c r="H795" s="394">
        <v>10913</v>
      </c>
      <c r="I795" s="394">
        <v>5771</v>
      </c>
      <c r="J795" s="232">
        <v>8470</v>
      </c>
      <c r="K795" s="232">
        <v>34946</v>
      </c>
      <c r="L795" s="232"/>
      <c r="M795" s="226">
        <v>0</v>
      </c>
      <c r="N795" s="226">
        <v>0</v>
      </c>
      <c r="O795" s="232">
        <v>0</v>
      </c>
      <c r="P795" s="232">
        <v>0</v>
      </c>
      <c r="Q795" s="232"/>
      <c r="R795" s="394">
        <v>26667</v>
      </c>
      <c r="S795" s="232">
        <v>3585</v>
      </c>
      <c r="T795" s="398">
        <v>30252</v>
      </c>
      <c r="U795" s="232"/>
      <c r="V795" s="398"/>
      <c r="W795" s="398"/>
      <c r="X795" s="398">
        <v>157327</v>
      </c>
      <c r="Y795" s="398">
        <v>11238</v>
      </c>
    </row>
    <row r="796" spans="1:25">
      <c r="A796" s="392">
        <v>98421</v>
      </c>
      <c r="B796" s="393" t="s">
        <v>1493</v>
      </c>
      <c r="C796" s="235">
        <v>1.081E-4</v>
      </c>
      <c r="D796" s="235">
        <v>1.121E-4</v>
      </c>
      <c r="E796" s="232">
        <v>386287</v>
      </c>
      <c r="F796" s="232" t="s">
        <v>1930</v>
      </c>
      <c r="G796" s="394">
        <v>48781</v>
      </c>
      <c r="H796" s="394">
        <v>54360</v>
      </c>
      <c r="I796" s="394">
        <v>28747</v>
      </c>
      <c r="J796" s="232">
        <v>9022</v>
      </c>
      <c r="K796" s="232">
        <v>140910</v>
      </c>
      <c r="L796" s="232"/>
      <c r="M796" s="226">
        <v>0</v>
      </c>
      <c r="N796" s="226">
        <v>0</v>
      </c>
      <c r="O796" s="232">
        <v>12973</v>
      </c>
      <c r="P796" s="232">
        <v>12973</v>
      </c>
      <c r="Q796" s="232"/>
      <c r="R796" s="394">
        <v>132841</v>
      </c>
      <c r="S796" s="232">
        <v>-1943</v>
      </c>
      <c r="T796" s="398">
        <v>130898</v>
      </c>
      <c r="U796" s="232"/>
      <c r="V796" s="398"/>
      <c r="W796" s="398"/>
      <c r="X796" s="398">
        <v>783735</v>
      </c>
      <c r="Y796" s="398">
        <v>55980</v>
      </c>
    </row>
    <row r="797" spans="1:25">
      <c r="A797" s="392">
        <v>98427</v>
      </c>
      <c r="B797" s="393" t="s">
        <v>1494</v>
      </c>
      <c r="C797" s="235">
        <v>2.9000000000000002E-6</v>
      </c>
      <c r="D797" s="235">
        <v>3.1E-6</v>
      </c>
      <c r="E797" s="232">
        <v>10363</v>
      </c>
      <c r="F797" s="232" t="s">
        <v>1930</v>
      </c>
      <c r="G797" s="394">
        <v>1309</v>
      </c>
      <c r="H797" s="394">
        <v>1459</v>
      </c>
      <c r="I797" s="394">
        <v>771</v>
      </c>
      <c r="J797" s="232">
        <v>3216</v>
      </c>
      <c r="K797" s="232">
        <v>6755</v>
      </c>
      <c r="L797" s="232"/>
      <c r="M797" s="226">
        <v>0</v>
      </c>
      <c r="N797" s="226">
        <v>0</v>
      </c>
      <c r="O797" s="232">
        <v>0</v>
      </c>
      <c r="P797" s="232">
        <v>0</v>
      </c>
      <c r="Q797" s="232"/>
      <c r="R797" s="394">
        <v>3564</v>
      </c>
      <c r="S797" s="232">
        <v>1373</v>
      </c>
      <c r="T797" s="398">
        <v>4937</v>
      </c>
      <c r="U797" s="232"/>
      <c r="V797" s="398"/>
      <c r="W797" s="398"/>
      <c r="X797" s="398">
        <v>21025</v>
      </c>
      <c r="Y797" s="398">
        <v>1502</v>
      </c>
    </row>
    <row r="798" spans="1:25">
      <c r="A798" s="392">
        <v>98431</v>
      </c>
      <c r="B798" s="393" t="s">
        <v>1495</v>
      </c>
      <c r="C798" s="235">
        <v>2.062E-4</v>
      </c>
      <c r="D798" s="235">
        <v>1.997E-4</v>
      </c>
      <c r="E798" s="232">
        <v>736840</v>
      </c>
      <c r="F798" s="232" t="s">
        <v>1930</v>
      </c>
      <c r="G798" s="394">
        <v>93050</v>
      </c>
      <c r="H798" s="394">
        <v>103691</v>
      </c>
      <c r="I798" s="394">
        <v>54835</v>
      </c>
      <c r="J798" s="232">
        <v>1885</v>
      </c>
      <c r="K798" s="232">
        <v>253461</v>
      </c>
      <c r="L798" s="232"/>
      <c r="M798" s="226">
        <v>0</v>
      </c>
      <c r="N798" s="226">
        <v>0</v>
      </c>
      <c r="O798" s="232">
        <v>15181</v>
      </c>
      <c r="P798" s="232">
        <v>15181</v>
      </c>
      <c r="Q798" s="232"/>
      <c r="R798" s="394">
        <v>253394</v>
      </c>
      <c r="S798" s="232">
        <v>-10515</v>
      </c>
      <c r="T798" s="398">
        <v>242879</v>
      </c>
      <c r="U798" s="232"/>
      <c r="V798" s="398"/>
      <c r="W798" s="398"/>
      <c r="X798" s="398">
        <v>1494969</v>
      </c>
      <c r="Y798" s="398">
        <v>106782</v>
      </c>
    </row>
    <row r="799" spans="1:25">
      <c r="A799" s="392">
        <v>98441</v>
      </c>
      <c r="B799" s="393" t="s">
        <v>1496</v>
      </c>
      <c r="C799" s="235">
        <v>1.1959999999999999E-4</v>
      </c>
      <c r="D799" s="235">
        <v>1.0230000000000001E-4</v>
      </c>
      <c r="E799" s="232">
        <v>427382</v>
      </c>
      <c r="F799" s="232" t="s">
        <v>1930</v>
      </c>
      <c r="G799" s="394">
        <v>53971</v>
      </c>
      <c r="H799" s="394">
        <v>60142</v>
      </c>
      <c r="I799" s="394">
        <v>31806</v>
      </c>
      <c r="J799" s="232">
        <v>21485</v>
      </c>
      <c r="K799" s="232">
        <v>167404</v>
      </c>
      <c r="L799" s="232"/>
      <c r="M799" s="226">
        <v>0</v>
      </c>
      <c r="N799" s="226">
        <v>0</v>
      </c>
      <c r="O799" s="232">
        <v>9105</v>
      </c>
      <c r="P799" s="232">
        <v>9105</v>
      </c>
      <c r="Q799" s="232"/>
      <c r="R799" s="394">
        <v>146973</v>
      </c>
      <c r="S799" s="232">
        <v>1675</v>
      </c>
      <c r="T799" s="398">
        <v>148648</v>
      </c>
      <c r="U799" s="232"/>
      <c r="V799" s="398"/>
      <c r="W799" s="398"/>
      <c r="X799" s="398">
        <v>867111</v>
      </c>
      <c r="Y799" s="398">
        <v>61936</v>
      </c>
    </row>
    <row r="800" spans="1:25">
      <c r="A800" s="392">
        <v>98451</v>
      </c>
      <c r="B800" s="397" t="s">
        <v>1497</v>
      </c>
      <c r="C800" s="235">
        <v>3.2100000000000001E-5</v>
      </c>
      <c r="D800" s="235">
        <v>4.6100000000000002E-5</v>
      </c>
      <c r="E800" s="232">
        <v>114707</v>
      </c>
      <c r="F800" s="232" t="s">
        <v>1930</v>
      </c>
      <c r="G800" s="394">
        <v>14485</v>
      </c>
      <c r="H800" s="394">
        <v>16142</v>
      </c>
      <c r="I800" s="394">
        <v>8536</v>
      </c>
      <c r="J800" s="232">
        <v>247</v>
      </c>
      <c r="K800" s="232">
        <v>39410</v>
      </c>
      <c r="L800" s="232"/>
      <c r="M800" s="226">
        <v>0</v>
      </c>
      <c r="N800" s="226">
        <v>0</v>
      </c>
      <c r="O800" s="232">
        <v>16546</v>
      </c>
      <c r="P800" s="232">
        <v>16546</v>
      </c>
      <c r="Q800" s="232"/>
      <c r="R800" s="394">
        <v>39447</v>
      </c>
      <c r="S800" s="232">
        <v>-5957</v>
      </c>
      <c r="T800" s="398">
        <v>33490</v>
      </c>
      <c r="U800" s="232"/>
      <c r="V800" s="398"/>
      <c r="W800" s="398"/>
      <c r="X800" s="398">
        <v>232728</v>
      </c>
      <c r="Y800" s="398">
        <v>16623</v>
      </c>
    </row>
    <row r="801" spans="1:25">
      <c r="A801" s="392">
        <v>98471</v>
      </c>
      <c r="B801" s="393" t="s">
        <v>1642</v>
      </c>
      <c r="C801" s="235">
        <v>6.7000000000000002E-6</v>
      </c>
      <c r="D801" s="235">
        <v>6.3999999999999997E-6</v>
      </c>
      <c r="E801" s="232">
        <v>23942</v>
      </c>
      <c r="F801" s="232" t="s">
        <v>1930</v>
      </c>
      <c r="G801" s="394">
        <v>3023</v>
      </c>
      <c r="H801" s="394">
        <v>3369</v>
      </c>
      <c r="I801" s="394">
        <v>1782</v>
      </c>
      <c r="J801" s="232">
        <v>4342</v>
      </c>
      <c r="K801" s="232">
        <v>12516</v>
      </c>
      <c r="L801" s="232"/>
      <c r="M801" s="226">
        <v>0</v>
      </c>
      <c r="N801" s="226">
        <v>0</v>
      </c>
      <c r="O801" s="232">
        <v>0</v>
      </c>
      <c r="P801" s="232">
        <v>0</v>
      </c>
      <c r="Q801" s="232"/>
      <c r="R801" s="394">
        <v>8233</v>
      </c>
      <c r="S801" s="232">
        <v>1875</v>
      </c>
      <c r="T801" s="398">
        <v>10108</v>
      </c>
      <c r="U801" s="232"/>
      <c r="V801" s="398"/>
      <c r="W801" s="398"/>
      <c r="X801" s="398">
        <v>48576</v>
      </c>
      <c r="Y801" s="398">
        <v>3470</v>
      </c>
    </row>
    <row r="802" spans="1:25">
      <c r="A802" s="392">
        <v>98481</v>
      </c>
      <c r="B802" s="393" t="s">
        <v>1498</v>
      </c>
      <c r="C802" s="235">
        <v>5.9799999999999997E-5</v>
      </c>
      <c r="D802" s="235">
        <v>6.1600000000000007E-5</v>
      </c>
      <c r="E802" s="232">
        <v>213691</v>
      </c>
      <c r="F802" s="232" t="s">
        <v>1930</v>
      </c>
      <c r="G802" s="394">
        <v>26985</v>
      </c>
      <c r="H802" s="394">
        <v>30072</v>
      </c>
      <c r="I802" s="394">
        <v>15903</v>
      </c>
      <c r="J802" s="232">
        <v>1093</v>
      </c>
      <c r="K802" s="232">
        <v>74053</v>
      </c>
      <c r="L802" s="232"/>
      <c r="M802" s="226">
        <v>0</v>
      </c>
      <c r="N802" s="226">
        <v>0</v>
      </c>
      <c r="O802" s="232">
        <v>7753</v>
      </c>
      <c r="P802" s="232">
        <v>7753</v>
      </c>
      <c r="Q802" s="232"/>
      <c r="R802" s="394">
        <v>73487</v>
      </c>
      <c r="S802" s="232">
        <v>-3200</v>
      </c>
      <c r="T802" s="398">
        <v>70287</v>
      </c>
      <c r="U802" s="232"/>
      <c r="V802" s="398"/>
      <c r="W802" s="398"/>
      <c r="X802" s="398">
        <v>433556</v>
      </c>
      <c r="Y802" s="398">
        <v>30968</v>
      </c>
    </row>
    <row r="803" spans="1:25">
      <c r="A803" s="392">
        <v>98501</v>
      </c>
      <c r="B803" s="393" t="s">
        <v>1499</v>
      </c>
      <c r="C803" s="235">
        <v>1.8075999999999999E-3</v>
      </c>
      <c r="D803" s="235">
        <v>1.655E-3</v>
      </c>
      <c r="E803" s="232">
        <v>6459325</v>
      </c>
      <c r="F803" s="232" t="s">
        <v>1930</v>
      </c>
      <c r="G803" s="394">
        <v>815699</v>
      </c>
      <c r="H803" s="394">
        <v>908977</v>
      </c>
      <c r="I803" s="394">
        <v>480700</v>
      </c>
      <c r="J803" s="232">
        <v>350469</v>
      </c>
      <c r="K803" s="232">
        <v>2555845</v>
      </c>
      <c r="L803" s="232"/>
      <c r="M803" s="226">
        <v>0</v>
      </c>
      <c r="N803" s="226">
        <v>0</v>
      </c>
      <c r="O803" s="232">
        <v>0</v>
      </c>
      <c r="P803" s="232">
        <v>0</v>
      </c>
      <c r="Q803" s="232"/>
      <c r="R803" s="394">
        <v>2221314</v>
      </c>
      <c r="S803" s="232">
        <v>137727</v>
      </c>
      <c r="T803" s="398">
        <v>2359041</v>
      </c>
      <c r="U803" s="232"/>
      <c r="V803" s="398"/>
      <c r="W803" s="398"/>
      <c r="X803" s="398">
        <v>13105266</v>
      </c>
      <c r="Y803" s="398">
        <v>936080</v>
      </c>
    </row>
    <row r="804" spans="1:25">
      <c r="A804" s="392">
        <v>98511</v>
      </c>
      <c r="B804" s="393" t="s">
        <v>1500</v>
      </c>
      <c r="C804" s="235">
        <v>4.4400000000000002E-5</v>
      </c>
      <c r="D804" s="235">
        <v>4.9400000000000001E-5</v>
      </c>
      <c r="E804" s="232">
        <v>158660</v>
      </c>
      <c r="F804" s="232" t="s">
        <v>1930</v>
      </c>
      <c r="G804" s="394">
        <v>20036</v>
      </c>
      <c r="H804" s="394">
        <v>22327</v>
      </c>
      <c r="I804" s="394">
        <v>11807</v>
      </c>
      <c r="J804" s="232">
        <v>5323</v>
      </c>
      <c r="K804" s="232">
        <v>59493</v>
      </c>
      <c r="L804" s="232"/>
      <c r="M804" s="226">
        <v>0</v>
      </c>
      <c r="N804" s="226">
        <v>0</v>
      </c>
      <c r="O804" s="232">
        <v>6172</v>
      </c>
      <c r="P804" s="232">
        <v>6172</v>
      </c>
      <c r="Q804" s="232"/>
      <c r="R804" s="394">
        <v>54562</v>
      </c>
      <c r="S804" s="232">
        <v>923</v>
      </c>
      <c r="T804" s="398">
        <v>55485</v>
      </c>
      <c r="U804" s="232"/>
      <c r="V804" s="398"/>
      <c r="W804" s="398"/>
      <c r="X804" s="398">
        <v>321904</v>
      </c>
      <c r="Y804" s="398">
        <v>22993</v>
      </c>
    </row>
    <row r="805" spans="1:25">
      <c r="A805" s="392">
        <v>98517</v>
      </c>
      <c r="B805" s="393" t="s">
        <v>1501</v>
      </c>
      <c r="C805" s="235">
        <v>0</v>
      </c>
      <c r="D805" s="235">
        <v>2.3999999999999999E-6</v>
      </c>
      <c r="E805" s="232">
        <v>0</v>
      </c>
      <c r="F805" s="232" t="s">
        <v>1930</v>
      </c>
      <c r="G805" s="394">
        <v>0</v>
      </c>
      <c r="H805" s="394">
        <v>0</v>
      </c>
      <c r="I805" s="394">
        <v>0</v>
      </c>
      <c r="J805" s="232">
        <v>2485</v>
      </c>
      <c r="K805" s="232">
        <v>2485</v>
      </c>
      <c r="L805" s="232"/>
      <c r="M805" s="226">
        <v>0</v>
      </c>
      <c r="N805" s="226">
        <v>0</v>
      </c>
      <c r="O805" s="232">
        <v>982</v>
      </c>
      <c r="P805" s="232">
        <v>982</v>
      </c>
      <c r="Q805" s="232"/>
      <c r="R805" s="394">
        <v>0</v>
      </c>
      <c r="S805" s="232">
        <v>913</v>
      </c>
      <c r="T805" s="398">
        <v>913</v>
      </c>
      <c r="U805" s="232"/>
      <c r="V805" s="398"/>
      <c r="W805" s="398"/>
      <c r="X805" s="398">
        <v>0</v>
      </c>
      <c r="Y805" s="398">
        <v>0</v>
      </c>
    </row>
    <row r="806" spans="1:25">
      <c r="A806" s="392">
        <v>98521</v>
      </c>
      <c r="B806" s="393" t="s">
        <v>1502</v>
      </c>
      <c r="C806" s="235">
        <v>6.581E-4</v>
      </c>
      <c r="D806" s="235">
        <v>6.3349999999999995E-4</v>
      </c>
      <c r="E806" s="232">
        <v>2351672</v>
      </c>
      <c r="F806" s="232" t="s">
        <v>1930</v>
      </c>
      <c r="G806" s="394">
        <v>296975</v>
      </c>
      <c r="H806" s="394">
        <v>330935</v>
      </c>
      <c r="I806" s="394">
        <v>175011</v>
      </c>
      <c r="J806" s="232">
        <v>36082</v>
      </c>
      <c r="K806" s="232">
        <v>839003</v>
      </c>
      <c r="L806" s="232"/>
      <c r="M806" s="226">
        <v>0</v>
      </c>
      <c r="N806" s="226">
        <v>0</v>
      </c>
      <c r="O806" s="232">
        <v>27528</v>
      </c>
      <c r="P806" s="232">
        <v>27528</v>
      </c>
      <c r="Q806" s="232"/>
      <c r="R806" s="394">
        <v>808723</v>
      </c>
      <c r="S806" s="232">
        <v>-4024</v>
      </c>
      <c r="T806" s="398">
        <v>804699</v>
      </c>
      <c r="U806" s="232"/>
      <c r="V806" s="398"/>
      <c r="W806" s="398"/>
      <c r="X806" s="398">
        <v>4771286</v>
      </c>
      <c r="Y806" s="398">
        <v>340802</v>
      </c>
    </row>
    <row r="807" spans="1:25">
      <c r="A807" s="392">
        <v>98601</v>
      </c>
      <c r="B807" s="393" t="s">
        <v>1503</v>
      </c>
      <c r="C807" s="235">
        <v>3.6321000000000001E-3</v>
      </c>
      <c r="D807" s="235">
        <v>3.5866000000000001E-3</v>
      </c>
      <c r="E807" s="232">
        <v>12979041</v>
      </c>
      <c r="F807" s="232" t="s">
        <v>1930</v>
      </c>
      <c r="G807" s="394">
        <v>1639025</v>
      </c>
      <c r="H807" s="394">
        <v>1826453</v>
      </c>
      <c r="I807" s="394">
        <v>965895</v>
      </c>
      <c r="J807" s="232">
        <v>58744</v>
      </c>
      <c r="K807" s="232">
        <v>4490117</v>
      </c>
      <c r="L807" s="232"/>
      <c r="M807" s="226">
        <v>0</v>
      </c>
      <c r="N807" s="226">
        <v>0</v>
      </c>
      <c r="O807" s="232">
        <v>34509</v>
      </c>
      <c r="P807" s="232">
        <v>34509</v>
      </c>
      <c r="Q807" s="232"/>
      <c r="R807" s="394">
        <v>4463397</v>
      </c>
      <c r="S807" s="232">
        <v>-17964</v>
      </c>
      <c r="T807" s="398">
        <v>4445433</v>
      </c>
      <c r="U807" s="232"/>
      <c r="V807" s="398"/>
      <c r="W807" s="398"/>
      <c r="X807" s="398">
        <v>26333059</v>
      </c>
      <c r="Y807" s="398">
        <v>1880912</v>
      </c>
    </row>
    <row r="808" spans="1:25">
      <c r="A808" s="392">
        <v>98604</v>
      </c>
      <c r="B808" s="393" t="s">
        <v>1504</v>
      </c>
      <c r="C808" s="235">
        <v>1.45E-5</v>
      </c>
      <c r="D808" s="235">
        <v>1.2099999999999999E-5</v>
      </c>
      <c r="E808" s="232">
        <v>51815</v>
      </c>
      <c r="F808" s="232" t="s">
        <v>1930</v>
      </c>
      <c r="G808" s="394">
        <v>6543</v>
      </c>
      <c r="H808" s="394">
        <v>7291</v>
      </c>
      <c r="I808" s="394">
        <v>3856</v>
      </c>
      <c r="J808" s="232">
        <v>6637</v>
      </c>
      <c r="K808" s="232">
        <v>24327</v>
      </c>
      <c r="L808" s="232"/>
      <c r="M808" s="226">
        <v>0</v>
      </c>
      <c r="N808" s="226">
        <v>0</v>
      </c>
      <c r="O808" s="232">
        <v>131</v>
      </c>
      <c r="P808" s="232">
        <v>131</v>
      </c>
      <c r="Q808" s="232"/>
      <c r="R808" s="394">
        <v>17819</v>
      </c>
      <c r="S808" s="232">
        <v>3952</v>
      </c>
      <c r="T808" s="398">
        <v>21771</v>
      </c>
      <c r="U808" s="232"/>
      <c r="V808" s="398"/>
      <c r="W808" s="398"/>
      <c r="X808" s="398">
        <v>105126</v>
      </c>
      <c r="Y808" s="398">
        <v>7509</v>
      </c>
    </row>
    <row r="809" spans="1:25">
      <c r="A809" s="392">
        <v>98607</v>
      </c>
      <c r="B809" s="393" t="s">
        <v>1505</v>
      </c>
      <c r="C809" s="235">
        <v>5.2000000000000002E-6</v>
      </c>
      <c r="D809" s="235">
        <v>5.4E-6</v>
      </c>
      <c r="E809" s="232">
        <v>18582</v>
      </c>
      <c r="F809" s="232" t="s">
        <v>1930</v>
      </c>
      <c r="G809" s="394">
        <v>2347</v>
      </c>
      <c r="H809" s="394">
        <v>2615</v>
      </c>
      <c r="I809" s="394">
        <v>1383</v>
      </c>
      <c r="J809" s="232">
        <v>1296</v>
      </c>
      <c r="K809" s="232">
        <v>7641</v>
      </c>
      <c r="L809" s="232"/>
      <c r="M809" s="226">
        <v>0</v>
      </c>
      <c r="N809" s="226">
        <v>0</v>
      </c>
      <c r="O809" s="232">
        <v>571</v>
      </c>
      <c r="P809" s="232">
        <v>571</v>
      </c>
      <c r="Q809" s="232"/>
      <c r="R809" s="394">
        <v>6390</v>
      </c>
      <c r="S809" s="232">
        <v>347</v>
      </c>
      <c r="T809" s="398">
        <v>6737</v>
      </c>
      <c r="U809" s="232"/>
      <c r="V809" s="398"/>
      <c r="W809" s="398"/>
      <c r="X809" s="398">
        <v>37700</v>
      </c>
      <c r="Y809" s="398">
        <v>2693</v>
      </c>
    </row>
    <row r="810" spans="1:25">
      <c r="A810" s="392">
        <v>98608</v>
      </c>
      <c r="B810" s="393" t="s">
        <v>1506</v>
      </c>
      <c r="C810" s="235">
        <v>6.3899999999999995E-5</v>
      </c>
      <c r="D810" s="235">
        <v>5.1799999999999999E-5</v>
      </c>
      <c r="E810" s="232">
        <v>228342</v>
      </c>
      <c r="F810" s="232" t="s">
        <v>1930</v>
      </c>
      <c r="G810" s="394">
        <v>28836</v>
      </c>
      <c r="H810" s="394">
        <v>32133</v>
      </c>
      <c r="I810" s="394">
        <v>16993</v>
      </c>
      <c r="J810" s="232">
        <v>27458</v>
      </c>
      <c r="K810" s="232">
        <v>105420</v>
      </c>
      <c r="L810" s="232"/>
      <c r="M810" s="226">
        <v>0</v>
      </c>
      <c r="N810" s="226">
        <v>0</v>
      </c>
      <c r="O810" s="232">
        <v>503</v>
      </c>
      <c r="P810" s="232">
        <v>503</v>
      </c>
      <c r="Q810" s="232"/>
      <c r="R810" s="394">
        <v>78525</v>
      </c>
      <c r="S810" s="232">
        <v>7719</v>
      </c>
      <c r="T810" s="398">
        <v>86244</v>
      </c>
      <c r="U810" s="232"/>
      <c r="V810" s="398"/>
      <c r="W810" s="398"/>
      <c r="X810" s="398">
        <v>463281</v>
      </c>
      <c r="Y810" s="398">
        <v>33091</v>
      </c>
    </row>
    <row r="811" spans="1:25">
      <c r="A811" s="392">
        <v>98611</v>
      </c>
      <c r="B811" s="393" t="s">
        <v>1507</v>
      </c>
      <c r="C811" s="235">
        <v>1.0620000000000001E-4</v>
      </c>
      <c r="D811" s="235">
        <v>1.1959999999999999E-4</v>
      </c>
      <c r="E811" s="232">
        <v>379498</v>
      </c>
      <c r="F811" s="232" t="s">
        <v>1930</v>
      </c>
      <c r="G811" s="394">
        <v>47924</v>
      </c>
      <c r="H811" s="394">
        <v>53405</v>
      </c>
      <c r="I811" s="394">
        <v>28242</v>
      </c>
      <c r="J811" s="232">
        <v>17232</v>
      </c>
      <c r="K811" s="232">
        <v>146803</v>
      </c>
      <c r="L811" s="232"/>
      <c r="M811" s="226">
        <v>0</v>
      </c>
      <c r="N811" s="226">
        <v>0</v>
      </c>
      <c r="O811" s="232">
        <v>12950</v>
      </c>
      <c r="P811" s="232">
        <v>12950</v>
      </c>
      <c r="Q811" s="232"/>
      <c r="R811" s="394">
        <v>130507</v>
      </c>
      <c r="S811" s="232">
        <v>1683</v>
      </c>
      <c r="T811" s="398">
        <v>132190</v>
      </c>
      <c r="U811" s="232"/>
      <c r="V811" s="398"/>
      <c r="W811" s="398"/>
      <c r="X811" s="398">
        <v>769960</v>
      </c>
      <c r="Y811" s="398">
        <v>54997</v>
      </c>
    </row>
    <row r="812" spans="1:25">
      <c r="A812" s="392">
        <v>98621</v>
      </c>
      <c r="B812" s="393" t="s">
        <v>1508</v>
      </c>
      <c r="C812" s="235">
        <v>1.3870000000000001E-4</v>
      </c>
      <c r="D812" s="235">
        <v>1.2899999999999999E-4</v>
      </c>
      <c r="E812" s="232">
        <v>495634</v>
      </c>
      <c r="F812" s="232" t="s">
        <v>1930</v>
      </c>
      <c r="G812" s="394">
        <v>62590</v>
      </c>
      <c r="H812" s="394">
        <v>69747</v>
      </c>
      <c r="I812" s="394">
        <v>36885</v>
      </c>
      <c r="J812" s="232">
        <v>11317</v>
      </c>
      <c r="K812" s="232">
        <v>180539</v>
      </c>
      <c r="L812" s="232"/>
      <c r="M812" s="226">
        <v>0</v>
      </c>
      <c r="N812" s="226">
        <v>0</v>
      </c>
      <c r="O812" s="232">
        <v>5729</v>
      </c>
      <c r="P812" s="232">
        <v>5729</v>
      </c>
      <c r="Q812" s="232"/>
      <c r="R812" s="394">
        <v>170445</v>
      </c>
      <c r="S812" s="232">
        <v>247</v>
      </c>
      <c r="T812" s="398">
        <v>170692</v>
      </c>
      <c r="U812" s="232"/>
      <c r="V812" s="398"/>
      <c r="W812" s="398"/>
      <c r="X812" s="398">
        <v>1005588</v>
      </c>
      <c r="Y812" s="398">
        <v>71827</v>
      </c>
    </row>
    <row r="813" spans="1:25">
      <c r="A813" s="392">
        <v>98627</v>
      </c>
      <c r="B813" s="393" t="s">
        <v>1509</v>
      </c>
      <c r="C813" s="235">
        <v>7.4000000000000003E-6</v>
      </c>
      <c r="D813" s="235">
        <v>7.7999999999999999E-6</v>
      </c>
      <c r="E813" s="232">
        <v>26443</v>
      </c>
      <c r="F813" s="232" t="s">
        <v>1930</v>
      </c>
      <c r="G813" s="394">
        <v>3339</v>
      </c>
      <c r="H813" s="394">
        <v>3721</v>
      </c>
      <c r="I813" s="394">
        <v>1968</v>
      </c>
      <c r="J813" s="232">
        <v>0</v>
      </c>
      <c r="K813" s="232">
        <v>9028</v>
      </c>
      <c r="L813" s="232"/>
      <c r="M813" s="226">
        <v>0</v>
      </c>
      <c r="N813" s="226">
        <v>0</v>
      </c>
      <c r="O813" s="232">
        <v>1602</v>
      </c>
      <c r="P813" s="232">
        <v>1602</v>
      </c>
      <c r="Q813" s="232"/>
      <c r="R813" s="394">
        <v>9094</v>
      </c>
      <c r="S813" s="232">
        <v>-657</v>
      </c>
      <c r="T813" s="398">
        <v>8437</v>
      </c>
      <c r="U813" s="232"/>
      <c r="V813" s="398"/>
      <c r="W813" s="398"/>
      <c r="X813" s="398">
        <v>53651</v>
      </c>
      <c r="Y813" s="398">
        <v>3832</v>
      </c>
    </row>
    <row r="814" spans="1:25">
      <c r="A814" s="392">
        <v>98631</v>
      </c>
      <c r="B814" s="393" t="s">
        <v>1510</v>
      </c>
      <c r="C814" s="235">
        <v>9.3860000000000005E-4</v>
      </c>
      <c r="D814" s="235">
        <v>1.0042E-3</v>
      </c>
      <c r="E814" s="232">
        <v>3354018</v>
      </c>
      <c r="F814" s="232" t="s">
        <v>1930</v>
      </c>
      <c r="G814" s="394">
        <v>423554</v>
      </c>
      <c r="H814" s="394">
        <v>471988</v>
      </c>
      <c r="I814" s="394">
        <v>249605</v>
      </c>
      <c r="J814" s="232">
        <v>9495</v>
      </c>
      <c r="K814" s="232">
        <v>1154642</v>
      </c>
      <c r="L814" s="232"/>
      <c r="M814" s="226">
        <v>0</v>
      </c>
      <c r="N814" s="226">
        <v>0</v>
      </c>
      <c r="O814" s="232">
        <v>88443</v>
      </c>
      <c r="P814" s="232">
        <v>88443</v>
      </c>
      <c r="Q814" s="232"/>
      <c r="R814" s="394">
        <v>1153422</v>
      </c>
      <c r="S814" s="232">
        <v>-42491</v>
      </c>
      <c r="T814" s="398">
        <v>1110931</v>
      </c>
      <c r="U814" s="232"/>
      <c r="V814" s="398"/>
      <c r="W814" s="398"/>
      <c r="X814" s="398">
        <v>6804936</v>
      </c>
      <c r="Y814" s="398">
        <v>486062</v>
      </c>
    </row>
    <row r="815" spans="1:25">
      <c r="A815" s="392">
        <v>98637</v>
      </c>
      <c r="B815" s="393" t="s">
        <v>1511</v>
      </c>
      <c r="C815" s="235">
        <v>2.3499999999999999E-5</v>
      </c>
      <c r="D815" s="235">
        <v>1.5800000000000001E-5</v>
      </c>
      <c r="E815" s="232">
        <v>83976</v>
      </c>
      <c r="F815" s="232" t="s">
        <v>1930</v>
      </c>
      <c r="G815" s="394">
        <v>10605</v>
      </c>
      <c r="H815" s="394">
        <v>11818</v>
      </c>
      <c r="I815" s="394">
        <v>6249</v>
      </c>
      <c r="J815" s="232">
        <v>21431</v>
      </c>
      <c r="K815" s="232">
        <v>50103</v>
      </c>
      <c r="L815" s="232"/>
      <c r="M815" s="226">
        <v>0</v>
      </c>
      <c r="N815" s="226">
        <v>0</v>
      </c>
      <c r="O815" s="232">
        <v>0</v>
      </c>
      <c r="P815" s="232">
        <v>0</v>
      </c>
      <c r="Q815" s="232"/>
      <c r="R815" s="394">
        <v>28879</v>
      </c>
      <c r="S815" s="232">
        <v>8904</v>
      </c>
      <c r="T815" s="398">
        <v>37783</v>
      </c>
      <c r="U815" s="232"/>
      <c r="V815" s="398"/>
      <c r="W815" s="398"/>
      <c r="X815" s="398">
        <v>170377</v>
      </c>
      <c r="Y815" s="398">
        <v>12170</v>
      </c>
    </row>
    <row r="816" spans="1:25">
      <c r="A816" s="392">
        <v>98641</v>
      </c>
      <c r="B816" s="393" t="s">
        <v>1512</v>
      </c>
      <c r="C816" s="235">
        <v>2.8739999999999999E-4</v>
      </c>
      <c r="D816" s="235">
        <v>2.7090000000000003E-4</v>
      </c>
      <c r="E816" s="232">
        <v>1027003</v>
      </c>
      <c r="F816" s="232" t="s">
        <v>1930</v>
      </c>
      <c r="G816" s="394">
        <v>129692</v>
      </c>
      <c r="H816" s="394">
        <v>144523</v>
      </c>
      <c r="I816" s="394">
        <v>76429</v>
      </c>
      <c r="J816" s="232">
        <v>29124</v>
      </c>
      <c r="K816" s="232">
        <v>379768</v>
      </c>
      <c r="L816" s="232"/>
      <c r="M816" s="226">
        <v>0</v>
      </c>
      <c r="N816" s="226">
        <v>0</v>
      </c>
      <c r="O816" s="232">
        <v>4978</v>
      </c>
      <c r="P816" s="232">
        <v>4978</v>
      </c>
      <c r="Q816" s="232"/>
      <c r="R816" s="394">
        <v>353179</v>
      </c>
      <c r="S816" s="232">
        <v>5975</v>
      </c>
      <c r="T816" s="398">
        <v>359154</v>
      </c>
      <c r="U816" s="232"/>
      <c r="V816" s="398"/>
      <c r="W816" s="398"/>
      <c r="X816" s="398">
        <v>2083676</v>
      </c>
      <c r="Y816" s="398">
        <v>148832</v>
      </c>
    </row>
    <row r="817" spans="1:25">
      <c r="A817" s="392">
        <v>98647</v>
      </c>
      <c r="B817" s="393" t="s">
        <v>1620</v>
      </c>
      <c r="C817" s="235">
        <v>0</v>
      </c>
      <c r="D817" s="235">
        <v>0</v>
      </c>
      <c r="E817" s="232">
        <v>0</v>
      </c>
      <c r="F817" s="232" t="s">
        <v>1930</v>
      </c>
      <c r="G817" s="394">
        <v>0</v>
      </c>
      <c r="H817" s="394">
        <v>0</v>
      </c>
      <c r="I817" s="394">
        <v>0</v>
      </c>
      <c r="J817" s="232">
        <v>0</v>
      </c>
      <c r="K817" s="232">
        <v>0</v>
      </c>
      <c r="L817" s="232"/>
      <c r="M817" s="226">
        <v>0</v>
      </c>
      <c r="N817" s="226">
        <v>0</v>
      </c>
      <c r="O817" s="232">
        <v>0</v>
      </c>
      <c r="P817" s="232">
        <v>0</v>
      </c>
      <c r="Q817" s="232"/>
      <c r="R817" s="394">
        <v>0</v>
      </c>
      <c r="S817" s="232">
        <v>-1498</v>
      </c>
      <c r="T817" s="398">
        <v>-1498</v>
      </c>
      <c r="U817" s="232"/>
      <c r="V817" s="398"/>
      <c r="W817" s="398"/>
      <c r="X817" s="398">
        <v>0</v>
      </c>
      <c r="Y817" s="398">
        <v>0</v>
      </c>
    </row>
    <row r="818" spans="1:25">
      <c r="A818" s="392">
        <v>98701</v>
      </c>
      <c r="B818" s="393" t="s">
        <v>1513</v>
      </c>
      <c r="C818" s="235">
        <v>9.9500000000000001E-4</v>
      </c>
      <c r="D818" s="235">
        <v>9.7790000000000008E-4</v>
      </c>
      <c r="E818" s="232">
        <v>3555559</v>
      </c>
      <c r="F818" s="232" t="s">
        <v>1930</v>
      </c>
      <c r="G818" s="394">
        <v>449005</v>
      </c>
      <c r="H818" s="394">
        <v>500350</v>
      </c>
      <c r="I818" s="394">
        <v>264603</v>
      </c>
      <c r="J818" s="232">
        <v>51449</v>
      </c>
      <c r="K818" s="232">
        <v>1265407</v>
      </c>
      <c r="L818" s="232"/>
      <c r="M818" s="226">
        <v>0</v>
      </c>
      <c r="N818" s="226">
        <v>0</v>
      </c>
      <c r="O818" s="232">
        <v>86872</v>
      </c>
      <c r="P818" s="232">
        <v>86872</v>
      </c>
      <c r="Q818" s="232"/>
      <c r="R818" s="394">
        <v>1222731</v>
      </c>
      <c r="S818" s="232">
        <v>-20033</v>
      </c>
      <c r="T818" s="398">
        <v>1202698</v>
      </c>
      <c r="U818" s="232"/>
      <c r="V818" s="398"/>
      <c r="W818" s="398"/>
      <c r="X818" s="398">
        <v>7213842</v>
      </c>
      <c r="Y818" s="398">
        <v>515269</v>
      </c>
    </row>
    <row r="819" spans="1:25">
      <c r="A819" s="392">
        <v>98711</v>
      </c>
      <c r="B819" s="393" t="s">
        <v>1514</v>
      </c>
      <c r="C819" s="235">
        <v>1.4550000000000001E-4</v>
      </c>
      <c r="D819" s="235">
        <v>1.671E-4</v>
      </c>
      <c r="E819" s="232">
        <v>519933</v>
      </c>
      <c r="F819" s="232" t="s">
        <v>1930</v>
      </c>
      <c r="G819" s="394">
        <v>65658</v>
      </c>
      <c r="H819" s="394">
        <v>73166</v>
      </c>
      <c r="I819" s="394">
        <v>38693</v>
      </c>
      <c r="J819" s="232">
        <v>0</v>
      </c>
      <c r="K819" s="232">
        <v>177517</v>
      </c>
      <c r="L819" s="232"/>
      <c r="M819" s="226">
        <v>0</v>
      </c>
      <c r="N819" s="226">
        <v>0</v>
      </c>
      <c r="O819" s="232">
        <v>47529</v>
      </c>
      <c r="P819" s="232">
        <v>47529</v>
      </c>
      <c r="Q819" s="232"/>
      <c r="R819" s="394">
        <v>178801</v>
      </c>
      <c r="S819" s="232">
        <v>-20527</v>
      </c>
      <c r="T819" s="398">
        <v>158274</v>
      </c>
      <c r="U819" s="232"/>
      <c r="V819" s="398"/>
      <c r="W819" s="398"/>
      <c r="X819" s="398">
        <v>1054888</v>
      </c>
      <c r="Y819" s="398">
        <v>75348</v>
      </c>
    </row>
    <row r="820" spans="1:25">
      <c r="A820" s="392">
        <v>98717</v>
      </c>
      <c r="B820" s="393" t="s">
        <v>1515</v>
      </c>
      <c r="C820" s="235">
        <v>1.6500000000000001E-5</v>
      </c>
      <c r="D820" s="235">
        <v>2.2399999999999999E-5</v>
      </c>
      <c r="E820" s="232">
        <v>58962</v>
      </c>
      <c r="F820" s="232" t="s">
        <v>1930</v>
      </c>
      <c r="G820" s="394">
        <v>7446</v>
      </c>
      <c r="H820" s="394">
        <v>8298</v>
      </c>
      <c r="I820" s="394">
        <v>4388</v>
      </c>
      <c r="J820" s="232">
        <v>1349</v>
      </c>
      <c r="K820" s="232">
        <v>21481</v>
      </c>
      <c r="L820" s="232"/>
      <c r="M820" s="226">
        <v>0</v>
      </c>
      <c r="N820" s="226">
        <v>0</v>
      </c>
      <c r="O820" s="232">
        <v>7244</v>
      </c>
      <c r="P820" s="232">
        <v>7244</v>
      </c>
      <c r="Q820" s="232"/>
      <c r="R820" s="394">
        <v>20276</v>
      </c>
      <c r="S820" s="232">
        <v>-2080</v>
      </c>
      <c r="T820" s="398">
        <v>18196</v>
      </c>
      <c r="U820" s="232"/>
      <c r="V820" s="398"/>
      <c r="W820" s="398"/>
      <c r="X820" s="398">
        <v>119627</v>
      </c>
      <c r="Y820" s="398">
        <v>8545</v>
      </c>
    </row>
    <row r="821" spans="1:25">
      <c r="A821" s="392">
        <v>98801</v>
      </c>
      <c r="B821" s="393" t="s">
        <v>1516</v>
      </c>
      <c r="C821" s="235">
        <v>2.3004000000000002E-3</v>
      </c>
      <c r="D821" s="235">
        <v>2.1632999999999999E-3</v>
      </c>
      <c r="E821" s="232">
        <v>8220309</v>
      </c>
      <c r="F821" s="232" t="s">
        <v>1930</v>
      </c>
      <c r="G821" s="394">
        <v>1038081</v>
      </c>
      <c r="H821" s="394">
        <v>1156788</v>
      </c>
      <c r="I821" s="394">
        <v>611752</v>
      </c>
      <c r="J821" s="232">
        <v>347472</v>
      </c>
      <c r="K821" s="232">
        <v>3154093</v>
      </c>
      <c r="L821" s="232"/>
      <c r="M821" s="226">
        <v>0</v>
      </c>
      <c r="N821" s="226">
        <v>0</v>
      </c>
      <c r="O821" s="232">
        <v>38042</v>
      </c>
      <c r="P821" s="232">
        <v>38042</v>
      </c>
      <c r="Q821" s="232"/>
      <c r="R821" s="394">
        <v>2826904</v>
      </c>
      <c r="S821" s="232">
        <v>116079</v>
      </c>
      <c r="T821" s="398">
        <v>2942983</v>
      </c>
      <c r="U821" s="232"/>
      <c r="V821" s="398"/>
      <c r="W821" s="398"/>
      <c r="X821" s="398">
        <v>16678112</v>
      </c>
      <c r="Y821" s="398">
        <v>1191281</v>
      </c>
    </row>
    <row r="822" spans="1:25">
      <c r="A822" s="392">
        <v>98811</v>
      </c>
      <c r="B822" s="393" t="s">
        <v>1517</v>
      </c>
      <c r="C822" s="235">
        <v>6.6279999999999996E-4</v>
      </c>
      <c r="D822" s="235">
        <v>6.8610000000000003E-4</v>
      </c>
      <c r="E822" s="232">
        <v>2368467</v>
      </c>
      <c r="F822" s="232" t="s">
        <v>1930</v>
      </c>
      <c r="G822" s="394">
        <v>299096</v>
      </c>
      <c r="H822" s="394">
        <v>333298</v>
      </c>
      <c r="I822" s="394">
        <v>176260</v>
      </c>
      <c r="J822" s="232">
        <v>46702</v>
      </c>
      <c r="K822" s="232">
        <v>855356</v>
      </c>
      <c r="L822" s="232"/>
      <c r="M822" s="226">
        <v>0</v>
      </c>
      <c r="N822" s="226">
        <v>0</v>
      </c>
      <c r="O822" s="232">
        <v>5167</v>
      </c>
      <c r="P822" s="232">
        <v>5167</v>
      </c>
      <c r="Q822" s="232"/>
      <c r="R822" s="394">
        <v>814498</v>
      </c>
      <c r="S822" s="232">
        <v>3125</v>
      </c>
      <c r="T822" s="398">
        <v>817623</v>
      </c>
      <c r="U822" s="232"/>
      <c r="V822" s="398"/>
      <c r="W822" s="398"/>
      <c r="X822" s="398">
        <v>4805361</v>
      </c>
      <c r="Y822" s="398">
        <v>343236</v>
      </c>
    </row>
    <row r="823" spans="1:25">
      <c r="A823" s="392">
        <v>98817</v>
      </c>
      <c r="B823" s="393" t="s">
        <v>1518</v>
      </c>
      <c r="C823" s="235">
        <v>1.3900000000000001E-5</v>
      </c>
      <c r="D823" s="235">
        <v>1.7E-5</v>
      </c>
      <c r="E823" s="232">
        <v>49671</v>
      </c>
      <c r="F823" s="232" t="s">
        <v>1930</v>
      </c>
      <c r="G823" s="394">
        <v>6273</v>
      </c>
      <c r="H823" s="394">
        <v>6990</v>
      </c>
      <c r="I823" s="394">
        <v>3696</v>
      </c>
      <c r="J823" s="232">
        <v>1397</v>
      </c>
      <c r="K823" s="232">
        <v>18356</v>
      </c>
      <c r="L823" s="232"/>
      <c r="M823" s="226">
        <v>0</v>
      </c>
      <c r="N823" s="226">
        <v>0</v>
      </c>
      <c r="O823" s="232">
        <v>3944</v>
      </c>
      <c r="P823" s="232">
        <v>3944</v>
      </c>
      <c r="Q823" s="232"/>
      <c r="R823" s="394">
        <v>17081</v>
      </c>
      <c r="S823" s="232">
        <v>-106</v>
      </c>
      <c r="T823" s="398">
        <v>16975</v>
      </c>
      <c r="U823" s="232"/>
      <c r="V823" s="398"/>
      <c r="W823" s="398"/>
      <c r="X823" s="398">
        <v>100776</v>
      </c>
      <c r="Y823" s="398">
        <v>7198</v>
      </c>
    </row>
    <row r="824" spans="1:25">
      <c r="A824" s="392">
        <v>98901</v>
      </c>
      <c r="B824" s="393" t="s">
        <v>1519</v>
      </c>
      <c r="C824" s="235">
        <v>2.8689999999999998E-4</v>
      </c>
      <c r="D824" s="235">
        <v>2.8390000000000002E-4</v>
      </c>
      <c r="E824" s="232">
        <v>1025216</v>
      </c>
      <c r="F824" s="232" t="s">
        <v>1930</v>
      </c>
      <c r="G824" s="394">
        <v>129467</v>
      </c>
      <c r="H824" s="394">
        <v>144271</v>
      </c>
      <c r="I824" s="394">
        <v>76296</v>
      </c>
      <c r="J824" s="232">
        <v>26969</v>
      </c>
      <c r="K824" s="232">
        <v>377003</v>
      </c>
      <c r="L824" s="232"/>
      <c r="M824" s="226">
        <v>0</v>
      </c>
      <c r="N824" s="226">
        <v>0</v>
      </c>
      <c r="O824" s="232">
        <v>11026</v>
      </c>
      <c r="P824" s="232">
        <v>11026</v>
      </c>
      <c r="Q824" s="232"/>
      <c r="R824" s="394">
        <v>352564</v>
      </c>
      <c r="S824" s="232">
        <v>3933</v>
      </c>
      <c r="T824" s="398">
        <v>356497</v>
      </c>
      <c r="U824" s="232"/>
      <c r="V824" s="398"/>
      <c r="W824" s="398"/>
      <c r="X824" s="398">
        <v>2080051</v>
      </c>
      <c r="Y824" s="398">
        <v>148573</v>
      </c>
    </row>
    <row r="825" spans="1:25">
      <c r="A825" s="392">
        <v>98904</v>
      </c>
      <c r="B825" s="393" t="s">
        <v>1520</v>
      </c>
      <c r="C825" s="235">
        <v>4.0999999999999997E-6</v>
      </c>
      <c r="D825" s="235">
        <v>3.9999999999999998E-6</v>
      </c>
      <c r="E825" s="232">
        <v>14651</v>
      </c>
      <c r="F825" s="232" t="s">
        <v>1930</v>
      </c>
      <c r="G825" s="394">
        <v>1850</v>
      </c>
      <c r="H825" s="394">
        <v>2061</v>
      </c>
      <c r="I825" s="394">
        <v>1090</v>
      </c>
      <c r="J825" s="232">
        <v>303</v>
      </c>
      <c r="K825" s="232">
        <v>5304</v>
      </c>
      <c r="L825" s="232"/>
      <c r="M825" s="226">
        <v>0</v>
      </c>
      <c r="N825" s="226">
        <v>0</v>
      </c>
      <c r="O825" s="232">
        <v>775</v>
      </c>
      <c r="P825" s="232">
        <v>775</v>
      </c>
      <c r="Q825" s="232"/>
      <c r="R825" s="394">
        <v>5038</v>
      </c>
      <c r="S825" s="232">
        <v>-495</v>
      </c>
      <c r="T825" s="398">
        <v>4543</v>
      </c>
      <c r="U825" s="232"/>
      <c r="V825" s="398"/>
      <c r="W825" s="398"/>
      <c r="X825" s="398">
        <v>29725</v>
      </c>
      <c r="Y825" s="398">
        <v>2123</v>
      </c>
    </row>
    <row r="826" spans="1:25">
      <c r="A826" s="392">
        <v>98911</v>
      </c>
      <c r="B826" s="393" t="s">
        <v>1521</v>
      </c>
      <c r="C826" s="235">
        <v>2.16E-5</v>
      </c>
      <c r="D826" s="235">
        <v>1.59E-5</v>
      </c>
      <c r="E826" s="232">
        <v>77186</v>
      </c>
      <c r="F826" s="232" t="s">
        <v>1930</v>
      </c>
      <c r="G826" s="394">
        <v>9747</v>
      </c>
      <c r="H826" s="394">
        <v>10862</v>
      </c>
      <c r="I826" s="394">
        <v>5744</v>
      </c>
      <c r="J826" s="232">
        <v>15983</v>
      </c>
      <c r="K826" s="232">
        <v>42336</v>
      </c>
      <c r="L826" s="232"/>
      <c r="M826" s="226">
        <v>0</v>
      </c>
      <c r="N826" s="226">
        <v>0</v>
      </c>
      <c r="O826" s="232">
        <v>869</v>
      </c>
      <c r="P826" s="232">
        <v>869</v>
      </c>
      <c r="Q826" s="232"/>
      <c r="R826" s="394">
        <v>26544</v>
      </c>
      <c r="S826" s="232">
        <v>7305</v>
      </c>
      <c r="T826" s="398">
        <v>33849</v>
      </c>
      <c r="U826" s="232"/>
      <c r="V826" s="398"/>
      <c r="W826" s="398"/>
      <c r="X826" s="398">
        <v>156602</v>
      </c>
      <c r="Y826" s="398">
        <v>11186</v>
      </c>
    </row>
    <row r="827" spans="1:25">
      <c r="A827" s="392">
        <v>99001</v>
      </c>
      <c r="B827" s="393" t="s">
        <v>1522</v>
      </c>
      <c r="C827" s="235">
        <v>9.2741000000000004E-3</v>
      </c>
      <c r="D827" s="235">
        <v>8.8266000000000004E-3</v>
      </c>
      <c r="E827" s="232">
        <v>33140310</v>
      </c>
      <c r="F827" s="232" t="s">
        <v>1930</v>
      </c>
      <c r="G827" s="394">
        <v>4185040</v>
      </c>
      <c r="H827" s="394">
        <v>4663611</v>
      </c>
      <c r="I827" s="394">
        <v>2466289</v>
      </c>
      <c r="J827" s="232">
        <v>958109</v>
      </c>
      <c r="K827" s="232">
        <v>12273049</v>
      </c>
      <c r="L827" s="232"/>
      <c r="M827" s="226">
        <v>0</v>
      </c>
      <c r="N827" s="226">
        <v>0</v>
      </c>
      <c r="O827" s="232">
        <v>0</v>
      </c>
      <c r="P827" s="232">
        <v>0</v>
      </c>
      <c r="Q827" s="232"/>
      <c r="R827" s="394">
        <v>11396710</v>
      </c>
      <c r="S827" s="232">
        <v>357531</v>
      </c>
      <c r="T827" s="398">
        <v>11754241</v>
      </c>
      <c r="U827" s="232"/>
      <c r="V827" s="398"/>
      <c r="W827" s="398"/>
      <c r="X827" s="398">
        <v>67238078</v>
      </c>
      <c r="Y827" s="398">
        <v>4802667</v>
      </c>
    </row>
    <row r="828" spans="1:25">
      <c r="A828" s="392">
        <v>99011</v>
      </c>
      <c r="B828" s="393" t="s">
        <v>1523</v>
      </c>
      <c r="C828" s="235">
        <v>3.8425E-3</v>
      </c>
      <c r="D828" s="235">
        <v>3.8520999999999998E-3</v>
      </c>
      <c r="E828" s="232">
        <v>13730889</v>
      </c>
      <c r="F828" s="232" t="s">
        <v>1930</v>
      </c>
      <c r="G828" s="394">
        <v>1733970</v>
      </c>
      <c r="H828" s="394">
        <v>1932255</v>
      </c>
      <c r="I828" s="394">
        <v>1021848</v>
      </c>
      <c r="J828" s="232">
        <v>69324</v>
      </c>
      <c r="K828" s="232">
        <v>4757397</v>
      </c>
      <c r="L828" s="232"/>
      <c r="M828" s="226">
        <v>0</v>
      </c>
      <c r="N828" s="226">
        <v>0</v>
      </c>
      <c r="O828" s="232">
        <v>7173</v>
      </c>
      <c r="P828" s="232">
        <v>7173</v>
      </c>
      <c r="Q828" s="232"/>
      <c r="R828" s="394">
        <v>4721952</v>
      </c>
      <c r="S828" s="232">
        <v>-40650</v>
      </c>
      <c r="T828" s="398">
        <v>4681302</v>
      </c>
      <c r="U828" s="232"/>
      <c r="V828" s="398"/>
      <c r="W828" s="398"/>
      <c r="X828" s="398">
        <v>27858479</v>
      </c>
      <c r="Y828" s="398">
        <v>1989869</v>
      </c>
    </row>
    <row r="829" spans="1:25">
      <c r="A829" s="392">
        <v>99013</v>
      </c>
      <c r="B829" s="393" t="s">
        <v>1524</v>
      </c>
      <c r="C829" s="235">
        <v>4.07E-5</v>
      </c>
      <c r="D829" s="235">
        <v>4.7599999999999998E-5</v>
      </c>
      <c r="E829" s="232">
        <v>145438</v>
      </c>
      <c r="F829" s="232" t="s">
        <v>1930</v>
      </c>
      <c r="G829" s="394">
        <v>18366</v>
      </c>
      <c r="H829" s="394">
        <v>20467</v>
      </c>
      <c r="I829" s="394">
        <v>10823</v>
      </c>
      <c r="J829" s="232">
        <v>5621</v>
      </c>
      <c r="K829" s="232">
        <v>55277</v>
      </c>
      <c r="L829" s="232"/>
      <c r="M829" s="226">
        <v>0</v>
      </c>
      <c r="N829" s="226">
        <v>0</v>
      </c>
      <c r="O829" s="232">
        <v>1139</v>
      </c>
      <c r="P829" s="232">
        <v>1139</v>
      </c>
      <c r="Q829" s="232"/>
      <c r="R829" s="394">
        <v>50015</v>
      </c>
      <c r="S829" s="232">
        <v>-588</v>
      </c>
      <c r="T829" s="398">
        <v>49427</v>
      </c>
      <c r="U829" s="232"/>
      <c r="V829" s="398"/>
      <c r="W829" s="398"/>
      <c r="X829" s="398">
        <v>295079</v>
      </c>
      <c r="Y829" s="398">
        <v>21077</v>
      </c>
    </row>
    <row r="830" spans="1:25">
      <c r="A830" s="392">
        <v>99014</v>
      </c>
      <c r="B830" s="393" t="s">
        <v>1525</v>
      </c>
      <c r="C830" s="235">
        <v>2.0400000000000001E-5</v>
      </c>
      <c r="D830" s="235">
        <v>2.1299999999999999E-5</v>
      </c>
      <c r="E830" s="232">
        <v>72898</v>
      </c>
      <c r="F830" s="232" t="s">
        <v>1930</v>
      </c>
      <c r="G830" s="394">
        <v>9206</v>
      </c>
      <c r="H830" s="394">
        <v>10259</v>
      </c>
      <c r="I830" s="394">
        <v>5425</v>
      </c>
      <c r="J830" s="232">
        <v>8294</v>
      </c>
      <c r="K830" s="232">
        <v>33184</v>
      </c>
      <c r="L830" s="232"/>
      <c r="M830" s="226">
        <v>0</v>
      </c>
      <c r="N830" s="226">
        <v>0</v>
      </c>
      <c r="O830" s="232">
        <v>983</v>
      </c>
      <c r="P830" s="232">
        <v>983</v>
      </c>
      <c r="Q830" s="232"/>
      <c r="R830" s="394">
        <v>25069</v>
      </c>
      <c r="S830" s="232">
        <v>6096</v>
      </c>
      <c r="T830" s="398">
        <v>31165</v>
      </c>
      <c r="U830" s="232"/>
      <c r="V830" s="398"/>
      <c r="W830" s="398"/>
      <c r="X830" s="398">
        <v>147902</v>
      </c>
      <c r="Y830" s="398">
        <v>10564</v>
      </c>
    </row>
    <row r="831" spans="1:25">
      <c r="A831" s="392">
        <v>99017</v>
      </c>
      <c r="B831" s="393" t="s">
        <v>1526</v>
      </c>
      <c r="C831" s="235">
        <v>3.6199999999999999E-5</v>
      </c>
      <c r="D831" s="235">
        <v>4.8600000000000002E-5</v>
      </c>
      <c r="E831" s="232">
        <v>129358</v>
      </c>
      <c r="F831" s="232" t="s">
        <v>1930</v>
      </c>
      <c r="G831" s="394">
        <v>16336</v>
      </c>
      <c r="H831" s="394">
        <v>18204</v>
      </c>
      <c r="I831" s="394">
        <v>9627</v>
      </c>
      <c r="J831" s="232">
        <v>2120</v>
      </c>
      <c r="K831" s="232">
        <v>46287</v>
      </c>
      <c r="L831" s="232"/>
      <c r="M831" s="226">
        <v>0</v>
      </c>
      <c r="N831" s="226">
        <v>0</v>
      </c>
      <c r="O831" s="232">
        <v>15065</v>
      </c>
      <c r="P831" s="232">
        <v>15065</v>
      </c>
      <c r="Q831" s="232"/>
      <c r="R831" s="394">
        <v>44485</v>
      </c>
      <c r="S831" s="232">
        <v>-3151</v>
      </c>
      <c r="T831" s="398">
        <v>41334</v>
      </c>
      <c r="U831" s="232"/>
      <c r="V831" s="398"/>
      <c r="W831" s="398"/>
      <c r="X831" s="398">
        <v>262453</v>
      </c>
      <c r="Y831" s="398">
        <v>18746</v>
      </c>
    </row>
    <row r="832" spans="1:25">
      <c r="A832" s="392">
        <v>99021</v>
      </c>
      <c r="B832" s="393" t="s">
        <v>1527</v>
      </c>
      <c r="C832" s="235">
        <v>1.3100000000000001E-4</v>
      </c>
      <c r="D832" s="235">
        <v>1.405E-4</v>
      </c>
      <c r="E832" s="232">
        <v>468119</v>
      </c>
      <c r="F832" s="232" t="s">
        <v>1930</v>
      </c>
      <c r="G832" s="394">
        <v>59115</v>
      </c>
      <c r="H832" s="394">
        <v>65875</v>
      </c>
      <c r="I832" s="394">
        <v>34837</v>
      </c>
      <c r="J832" s="232">
        <v>4753</v>
      </c>
      <c r="K832" s="232">
        <v>164580</v>
      </c>
      <c r="L832" s="232"/>
      <c r="M832" s="226">
        <v>0</v>
      </c>
      <c r="N832" s="226">
        <v>0</v>
      </c>
      <c r="O832" s="232">
        <v>17294</v>
      </c>
      <c r="P832" s="232">
        <v>17294</v>
      </c>
      <c r="Q832" s="232"/>
      <c r="R832" s="394">
        <v>160983</v>
      </c>
      <c r="S832" s="232">
        <v>-4177</v>
      </c>
      <c r="T832" s="398">
        <v>156806</v>
      </c>
      <c r="U832" s="232"/>
      <c r="V832" s="398"/>
      <c r="W832" s="398"/>
      <c r="X832" s="398">
        <v>949762</v>
      </c>
      <c r="Y832" s="398">
        <v>67839</v>
      </c>
    </row>
    <row r="833" spans="1:25">
      <c r="A833" s="392">
        <v>99022</v>
      </c>
      <c r="B833" s="393" t="s">
        <v>211</v>
      </c>
      <c r="C833" s="235">
        <v>7.7000000000000008E-6</v>
      </c>
      <c r="D833" s="235">
        <v>8.8000000000000004E-6</v>
      </c>
      <c r="E833" s="232">
        <v>27515</v>
      </c>
      <c r="F833" s="232" t="s">
        <v>1930</v>
      </c>
      <c r="G833" s="394">
        <v>3475</v>
      </c>
      <c r="H833" s="394">
        <v>3872</v>
      </c>
      <c r="I833" s="394">
        <v>2048</v>
      </c>
      <c r="J833" s="232">
        <v>9629</v>
      </c>
      <c r="K833" s="232">
        <v>19024</v>
      </c>
      <c r="L833" s="232"/>
      <c r="M833" s="226">
        <v>0</v>
      </c>
      <c r="N833" s="226">
        <v>0</v>
      </c>
      <c r="O833" s="232">
        <v>0</v>
      </c>
      <c r="P833" s="232">
        <v>0</v>
      </c>
      <c r="Q833" s="232"/>
      <c r="R833" s="394">
        <v>9462</v>
      </c>
      <c r="S833" s="232">
        <v>5197</v>
      </c>
      <c r="T833" s="398">
        <v>14659</v>
      </c>
      <c r="U833" s="232"/>
      <c r="V833" s="398"/>
      <c r="W833" s="398"/>
      <c r="X833" s="398">
        <v>55826</v>
      </c>
      <c r="Y833" s="398">
        <v>3988</v>
      </c>
    </row>
    <row r="834" spans="1:25">
      <c r="A834" s="392">
        <v>99031</v>
      </c>
      <c r="B834" s="393" t="s">
        <v>1528</v>
      </c>
      <c r="C834" s="235">
        <v>9.7499999999999998E-5</v>
      </c>
      <c r="D834" s="235">
        <v>1.208E-4</v>
      </c>
      <c r="E834" s="232">
        <v>348409</v>
      </c>
      <c r="F834" s="232" t="s">
        <v>1930</v>
      </c>
      <c r="G834" s="394">
        <v>43998</v>
      </c>
      <c r="H834" s="394">
        <v>49030</v>
      </c>
      <c r="I834" s="394">
        <v>25928</v>
      </c>
      <c r="J834" s="232">
        <v>0</v>
      </c>
      <c r="K834" s="232">
        <v>118956</v>
      </c>
      <c r="L834" s="232"/>
      <c r="M834" s="226">
        <v>0</v>
      </c>
      <c r="N834" s="226">
        <v>0</v>
      </c>
      <c r="O834" s="232">
        <v>47140</v>
      </c>
      <c r="P834" s="232">
        <v>47140</v>
      </c>
      <c r="Q834" s="232"/>
      <c r="R834" s="394">
        <v>119815</v>
      </c>
      <c r="S834" s="232">
        <v>-18443</v>
      </c>
      <c r="T834" s="398">
        <v>101372</v>
      </c>
      <c r="U834" s="232"/>
      <c r="V834" s="398"/>
      <c r="W834" s="398"/>
      <c r="X834" s="398">
        <v>706884</v>
      </c>
      <c r="Y834" s="398">
        <v>50491</v>
      </c>
    </row>
    <row r="835" spans="1:25">
      <c r="A835" s="392">
        <v>99041</v>
      </c>
      <c r="B835" s="393" t="s">
        <v>1529</v>
      </c>
      <c r="C835" s="235">
        <v>6.4840000000000004E-4</v>
      </c>
      <c r="D835" s="235">
        <v>6.3840000000000001E-4</v>
      </c>
      <c r="E835" s="232">
        <v>2317009</v>
      </c>
      <c r="F835" s="232" t="s">
        <v>1930</v>
      </c>
      <c r="G835" s="394">
        <v>292598</v>
      </c>
      <c r="H835" s="394">
        <v>326057</v>
      </c>
      <c r="I835" s="394">
        <v>172431</v>
      </c>
      <c r="J835" s="232">
        <v>15213</v>
      </c>
      <c r="K835" s="232">
        <v>806299</v>
      </c>
      <c r="L835" s="232"/>
      <c r="M835" s="226">
        <v>0</v>
      </c>
      <c r="N835" s="226">
        <v>0</v>
      </c>
      <c r="O835" s="232">
        <v>34317</v>
      </c>
      <c r="P835" s="232">
        <v>34317</v>
      </c>
      <c r="Q835" s="232"/>
      <c r="R835" s="394">
        <v>796803</v>
      </c>
      <c r="S835" s="232">
        <v>-2733</v>
      </c>
      <c r="T835" s="398">
        <v>794070</v>
      </c>
      <c r="U835" s="232"/>
      <c r="V835" s="398"/>
      <c r="W835" s="398"/>
      <c r="X835" s="398">
        <v>4700960</v>
      </c>
      <c r="Y835" s="398">
        <v>335779</v>
      </c>
    </row>
    <row r="836" spans="1:25">
      <c r="A836" s="392">
        <v>99047</v>
      </c>
      <c r="B836" s="393" t="s">
        <v>1530</v>
      </c>
      <c r="C836" s="235">
        <v>1.38E-5</v>
      </c>
      <c r="D836" s="235">
        <v>1.33E-5</v>
      </c>
      <c r="E836" s="232">
        <v>49313</v>
      </c>
      <c r="F836" s="232" t="s">
        <v>1930</v>
      </c>
      <c r="G836" s="394">
        <v>6227</v>
      </c>
      <c r="H836" s="394">
        <v>6940</v>
      </c>
      <c r="I836" s="394">
        <v>3670</v>
      </c>
      <c r="J836" s="232">
        <v>9303</v>
      </c>
      <c r="K836" s="232">
        <v>26140</v>
      </c>
      <c r="L836" s="232"/>
      <c r="M836" s="226">
        <v>0</v>
      </c>
      <c r="N836" s="226">
        <v>0</v>
      </c>
      <c r="O836" s="232">
        <v>0</v>
      </c>
      <c r="P836" s="232">
        <v>0</v>
      </c>
      <c r="Q836" s="232"/>
      <c r="R836" s="394">
        <v>16958</v>
      </c>
      <c r="S836" s="232">
        <v>4203</v>
      </c>
      <c r="T836" s="398">
        <v>21161</v>
      </c>
      <c r="U836" s="232"/>
      <c r="V836" s="398"/>
      <c r="W836" s="398"/>
      <c r="X836" s="398">
        <v>100051</v>
      </c>
      <c r="Y836" s="398">
        <v>7146</v>
      </c>
    </row>
    <row r="837" spans="1:25">
      <c r="A837" s="392">
        <v>99051</v>
      </c>
      <c r="B837" s="393" t="s">
        <v>1531</v>
      </c>
      <c r="C837" s="235">
        <v>3.592E-4</v>
      </c>
      <c r="D837" s="235">
        <v>3.4049999999999998E-4</v>
      </c>
      <c r="E837" s="232">
        <v>1283575</v>
      </c>
      <c r="F837" s="232" t="s">
        <v>1930</v>
      </c>
      <c r="G837" s="394">
        <v>162093</v>
      </c>
      <c r="H837" s="394">
        <v>180628</v>
      </c>
      <c r="I837" s="394">
        <v>95523</v>
      </c>
      <c r="J837" s="232">
        <v>8852</v>
      </c>
      <c r="K837" s="232">
        <v>447096</v>
      </c>
      <c r="L837" s="232"/>
      <c r="M837" s="226">
        <v>0</v>
      </c>
      <c r="N837" s="226">
        <v>0</v>
      </c>
      <c r="O837" s="232">
        <v>18931</v>
      </c>
      <c r="P837" s="232">
        <v>18931</v>
      </c>
      <c r="Q837" s="232"/>
      <c r="R837" s="394">
        <v>441412</v>
      </c>
      <c r="S837" s="232">
        <v>-2530</v>
      </c>
      <c r="T837" s="398">
        <v>438882</v>
      </c>
      <c r="U837" s="232"/>
      <c r="V837" s="398"/>
      <c r="W837" s="398"/>
      <c r="X837" s="398">
        <v>2604233</v>
      </c>
      <c r="Y837" s="398">
        <v>186015</v>
      </c>
    </row>
    <row r="838" spans="1:25">
      <c r="A838" s="392">
        <v>99061</v>
      </c>
      <c r="B838" s="393" t="s">
        <v>1532</v>
      </c>
      <c r="C838" s="235">
        <v>5.4999999999999999E-6</v>
      </c>
      <c r="D838" s="235">
        <v>6.1E-6</v>
      </c>
      <c r="E838" s="232">
        <v>19654</v>
      </c>
      <c r="F838" s="232" t="s">
        <v>1930</v>
      </c>
      <c r="G838" s="394">
        <v>2482</v>
      </c>
      <c r="H838" s="394">
        <v>2766</v>
      </c>
      <c r="I838" s="394">
        <v>1463</v>
      </c>
      <c r="J838" s="232">
        <v>3443</v>
      </c>
      <c r="K838" s="232">
        <v>10154</v>
      </c>
      <c r="L838" s="232"/>
      <c r="M838" s="226">
        <v>0</v>
      </c>
      <c r="N838" s="226">
        <v>0</v>
      </c>
      <c r="O838" s="232">
        <v>0</v>
      </c>
      <c r="P838" s="232">
        <v>0</v>
      </c>
      <c r="Q838" s="232"/>
      <c r="R838" s="394">
        <v>6759</v>
      </c>
      <c r="S838" s="232">
        <v>2601</v>
      </c>
      <c r="T838" s="398">
        <v>9360</v>
      </c>
      <c r="U838" s="232"/>
      <c r="V838" s="398"/>
      <c r="W838" s="398"/>
      <c r="X838" s="398">
        <v>39876</v>
      </c>
      <c r="Y838" s="398">
        <v>2848</v>
      </c>
    </row>
    <row r="839" spans="1:25">
      <c r="A839" s="392">
        <v>99071</v>
      </c>
      <c r="B839" s="393" t="s">
        <v>1533</v>
      </c>
      <c r="C839" s="235">
        <v>2.3799999999999999E-5</v>
      </c>
      <c r="D839" s="235">
        <v>2.4499999999999999E-5</v>
      </c>
      <c r="E839" s="232">
        <v>85048</v>
      </c>
      <c r="F839" s="232" t="s">
        <v>1930</v>
      </c>
      <c r="G839" s="394">
        <v>10740</v>
      </c>
      <c r="H839" s="394">
        <v>11968</v>
      </c>
      <c r="I839" s="394">
        <v>6329</v>
      </c>
      <c r="J839" s="232">
        <v>3611</v>
      </c>
      <c r="K839" s="232">
        <v>32648</v>
      </c>
      <c r="L839" s="232"/>
      <c r="M839" s="226">
        <v>0</v>
      </c>
      <c r="N839" s="226">
        <v>0</v>
      </c>
      <c r="O839" s="232">
        <v>2854</v>
      </c>
      <c r="P839" s="232">
        <v>2854</v>
      </c>
      <c r="Q839" s="232"/>
      <c r="R839" s="394">
        <v>29247</v>
      </c>
      <c r="S839" s="232">
        <v>-50</v>
      </c>
      <c r="T839" s="398">
        <v>29197</v>
      </c>
      <c r="U839" s="232"/>
      <c r="V839" s="398"/>
      <c r="W839" s="398"/>
      <c r="X839" s="398">
        <v>172552</v>
      </c>
      <c r="Y839" s="398">
        <v>12325</v>
      </c>
    </row>
    <row r="840" spans="1:25">
      <c r="A840" s="392">
        <v>99081</v>
      </c>
      <c r="B840" s="393" t="s">
        <v>1534</v>
      </c>
      <c r="C840" s="235">
        <v>3.8800000000000001E-5</v>
      </c>
      <c r="D840" s="235">
        <v>3.65E-5</v>
      </c>
      <c r="E840" s="232">
        <v>138649</v>
      </c>
      <c r="F840" s="232" t="s">
        <v>1930</v>
      </c>
      <c r="G840" s="394">
        <v>17509</v>
      </c>
      <c r="H840" s="394">
        <v>19512</v>
      </c>
      <c r="I840" s="394">
        <v>10318</v>
      </c>
      <c r="J840" s="232">
        <v>14004</v>
      </c>
      <c r="K840" s="232">
        <v>61343</v>
      </c>
      <c r="L840" s="232"/>
      <c r="M840" s="226">
        <v>0</v>
      </c>
      <c r="N840" s="226">
        <v>0</v>
      </c>
      <c r="O840" s="232">
        <v>2087</v>
      </c>
      <c r="P840" s="232">
        <v>2087</v>
      </c>
      <c r="Q840" s="232"/>
      <c r="R840" s="394">
        <v>47680</v>
      </c>
      <c r="S840" s="232">
        <v>1965</v>
      </c>
      <c r="T840" s="398">
        <v>49645</v>
      </c>
      <c r="U840" s="232"/>
      <c r="V840" s="398"/>
      <c r="W840" s="398"/>
      <c r="X840" s="398">
        <v>281304</v>
      </c>
      <c r="Y840" s="398">
        <v>20093</v>
      </c>
    </row>
    <row r="841" spans="1:25">
      <c r="A841" s="392">
        <v>99091</v>
      </c>
      <c r="B841" s="393" t="s">
        <v>1535</v>
      </c>
      <c r="C841" s="235">
        <v>1.5800000000000001E-5</v>
      </c>
      <c r="D841" s="235">
        <v>5.4E-6</v>
      </c>
      <c r="E841" s="232">
        <v>56460</v>
      </c>
      <c r="F841" s="232" t="s">
        <v>1930</v>
      </c>
      <c r="G841" s="394">
        <v>7130</v>
      </c>
      <c r="H841" s="394">
        <v>7945</v>
      </c>
      <c r="I841" s="394">
        <v>4202</v>
      </c>
      <c r="J841" s="232">
        <v>22260</v>
      </c>
      <c r="K841" s="232">
        <v>41537</v>
      </c>
      <c r="L841" s="232"/>
      <c r="M841" s="226">
        <v>0</v>
      </c>
      <c r="N841" s="226">
        <v>0</v>
      </c>
      <c r="O841" s="232">
        <v>0</v>
      </c>
      <c r="P841" s="232">
        <v>0</v>
      </c>
      <c r="Q841" s="232"/>
      <c r="R841" s="394">
        <v>19416</v>
      </c>
      <c r="S841" s="232">
        <v>8346</v>
      </c>
      <c r="T841" s="398">
        <v>27762</v>
      </c>
      <c r="U841" s="232"/>
      <c r="V841" s="398"/>
      <c r="W841" s="398"/>
      <c r="X841" s="398">
        <v>114551</v>
      </c>
      <c r="Y841" s="398">
        <v>8182</v>
      </c>
    </row>
    <row r="842" spans="1:25">
      <c r="A842" s="392">
        <v>99101</v>
      </c>
      <c r="B842" s="393" t="s">
        <v>1536</v>
      </c>
      <c r="C842" s="235">
        <v>1.9082999999999999E-3</v>
      </c>
      <c r="D842" s="235">
        <v>2.1218000000000001E-3</v>
      </c>
      <c r="E842" s="232">
        <v>6819169</v>
      </c>
      <c r="F842" s="232" t="s">
        <v>1930</v>
      </c>
      <c r="G842" s="394">
        <v>861141</v>
      </c>
      <c r="H842" s="394">
        <v>959616</v>
      </c>
      <c r="I842" s="394">
        <v>507480</v>
      </c>
      <c r="J842" s="232">
        <v>10815</v>
      </c>
      <c r="K842" s="232">
        <v>2339052</v>
      </c>
      <c r="L842" s="232"/>
      <c r="M842" s="226">
        <v>0</v>
      </c>
      <c r="N842" s="226">
        <v>0</v>
      </c>
      <c r="O842" s="232">
        <v>367179</v>
      </c>
      <c r="P842" s="232">
        <v>367179</v>
      </c>
      <c r="Q842" s="232"/>
      <c r="R842" s="394">
        <v>2345062</v>
      </c>
      <c r="S842" s="232">
        <v>-122654</v>
      </c>
      <c r="T842" s="398">
        <v>2222408</v>
      </c>
      <c r="U842" s="232"/>
      <c r="V842" s="398"/>
      <c r="W842" s="398"/>
      <c r="X842" s="398">
        <v>13835351</v>
      </c>
      <c r="Y842" s="398">
        <v>988228</v>
      </c>
    </row>
    <row r="843" spans="1:25">
      <c r="A843" s="392">
        <v>99104</v>
      </c>
      <c r="B843" s="393" t="s">
        <v>1537</v>
      </c>
      <c r="C843" s="235">
        <v>3.1999999999999999E-5</v>
      </c>
      <c r="D843" s="235">
        <v>3.2700000000000002E-5</v>
      </c>
      <c r="E843" s="232">
        <v>114350</v>
      </c>
      <c r="F843" s="232" t="s">
        <v>1930</v>
      </c>
      <c r="G843" s="394">
        <v>14440</v>
      </c>
      <c r="H843" s="394">
        <v>16092</v>
      </c>
      <c r="I843" s="394">
        <v>8510</v>
      </c>
      <c r="J843" s="232">
        <v>21325</v>
      </c>
      <c r="K843" s="232">
        <v>60367</v>
      </c>
      <c r="L843" s="232"/>
      <c r="M843" s="226">
        <v>0</v>
      </c>
      <c r="N843" s="226">
        <v>0</v>
      </c>
      <c r="O843" s="232">
        <v>0</v>
      </c>
      <c r="P843" s="232">
        <v>0</v>
      </c>
      <c r="Q843" s="232"/>
      <c r="R843" s="394">
        <v>39324</v>
      </c>
      <c r="S843" s="232">
        <v>10435</v>
      </c>
      <c r="T843" s="398">
        <v>49759</v>
      </c>
      <c r="U843" s="232"/>
      <c r="V843" s="398"/>
      <c r="W843" s="398"/>
      <c r="X843" s="398">
        <v>232003</v>
      </c>
      <c r="Y843" s="398">
        <v>16571</v>
      </c>
    </row>
    <row r="844" spans="1:25">
      <c r="A844" s="392">
        <v>99109</v>
      </c>
      <c r="B844" s="393" t="s">
        <v>1538</v>
      </c>
      <c r="C844" s="235">
        <v>1.139E-4</v>
      </c>
      <c r="D844" s="235">
        <v>1.169E-4</v>
      </c>
      <c r="E844" s="232">
        <v>407013</v>
      </c>
      <c r="F844" s="232" t="s">
        <v>1930</v>
      </c>
      <c r="G844" s="394">
        <v>51399</v>
      </c>
      <c r="H844" s="394">
        <v>57276</v>
      </c>
      <c r="I844" s="394">
        <v>30290</v>
      </c>
      <c r="J844" s="232">
        <v>758</v>
      </c>
      <c r="K844" s="232">
        <v>139723</v>
      </c>
      <c r="L844" s="232"/>
      <c r="M844" s="226">
        <v>0</v>
      </c>
      <c r="N844" s="226">
        <v>0</v>
      </c>
      <c r="O844" s="232">
        <v>10415</v>
      </c>
      <c r="P844" s="232">
        <v>10415</v>
      </c>
      <c r="Q844" s="232"/>
      <c r="R844" s="394">
        <v>139969</v>
      </c>
      <c r="S844" s="232">
        <v>-5820</v>
      </c>
      <c r="T844" s="398">
        <v>134149</v>
      </c>
      <c r="U844" s="232"/>
      <c r="V844" s="398"/>
      <c r="W844" s="398"/>
      <c r="X844" s="398">
        <v>825785</v>
      </c>
      <c r="Y844" s="398">
        <v>58984</v>
      </c>
    </row>
    <row r="845" spans="1:25">
      <c r="A845" s="392">
        <v>99110</v>
      </c>
      <c r="B845" s="393" t="s">
        <v>1539</v>
      </c>
      <c r="C845" s="235">
        <v>1.9249999999999999E-4</v>
      </c>
      <c r="D845" s="235">
        <v>1.437E-4</v>
      </c>
      <c r="E845" s="232">
        <v>687885</v>
      </c>
      <c r="F845" s="232" t="s">
        <v>1930</v>
      </c>
      <c r="G845" s="394">
        <v>86868</v>
      </c>
      <c r="H845" s="394">
        <v>96802</v>
      </c>
      <c r="I845" s="394">
        <v>51192</v>
      </c>
      <c r="J845" s="232">
        <v>136815</v>
      </c>
      <c r="K845" s="232">
        <v>371677</v>
      </c>
      <c r="L845" s="232"/>
      <c r="M845" s="226">
        <v>0</v>
      </c>
      <c r="N845" s="226">
        <v>0</v>
      </c>
      <c r="O845" s="232">
        <v>0</v>
      </c>
      <c r="P845" s="232">
        <v>0</v>
      </c>
      <c r="Q845" s="232"/>
      <c r="R845" s="394">
        <v>236558</v>
      </c>
      <c r="S845" s="232">
        <v>58439</v>
      </c>
      <c r="T845" s="398">
        <v>294997</v>
      </c>
      <c r="U845" s="232"/>
      <c r="V845" s="398"/>
      <c r="W845" s="398"/>
      <c r="X845" s="398">
        <v>1395643</v>
      </c>
      <c r="Y845" s="398">
        <v>99688</v>
      </c>
    </row>
    <row r="846" spans="1:25">
      <c r="A846" s="392">
        <v>99111</v>
      </c>
      <c r="B846" s="393" t="s">
        <v>1540</v>
      </c>
      <c r="C846" s="235">
        <v>1.3797E-3</v>
      </c>
      <c r="D846" s="235">
        <v>1.3064999999999999E-3</v>
      </c>
      <c r="E846" s="232">
        <v>4930256</v>
      </c>
      <c r="F846" s="232" t="s">
        <v>1930</v>
      </c>
      <c r="G846" s="394">
        <v>622605</v>
      </c>
      <c r="H846" s="394">
        <v>693801</v>
      </c>
      <c r="I846" s="394">
        <v>366908</v>
      </c>
      <c r="J846" s="232">
        <v>64043</v>
      </c>
      <c r="K846" s="232">
        <v>1747357</v>
      </c>
      <c r="L846" s="232"/>
      <c r="M846" s="226">
        <v>0</v>
      </c>
      <c r="N846" s="226">
        <v>0</v>
      </c>
      <c r="O846" s="232">
        <v>33822</v>
      </c>
      <c r="P846" s="232">
        <v>33822</v>
      </c>
      <c r="Q846" s="232"/>
      <c r="R846" s="394">
        <v>1695479</v>
      </c>
      <c r="S846" s="232">
        <v>-10100</v>
      </c>
      <c r="T846" s="398">
        <v>1685379</v>
      </c>
      <c r="U846" s="232"/>
      <c r="V846" s="398"/>
      <c r="W846" s="398"/>
      <c r="X846" s="398">
        <v>10002952</v>
      </c>
      <c r="Y846" s="398">
        <v>714489</v>
      </c>
    </row>
    <row r="847" spans="1:25">
      <c r="A847" s="392">
        <v>99201</v>
      </c>
      <c r="B847" s="393" t="s">
        <v>1541</v>
      </c>
      <c r="C847" s="235">
        <v>3.5152000000000003E-2</v>
      </c>
      <c r="D847" s="235">
        <v>3.5284299999999998E-2</v>
      </c>
      <c r="E847" s="232">
        <v>125613071</v>
      </c>
      <c r="F847" s="232" t="s">
        <v>1930</v>
      </c>
      <c r="G847" s="394">
        <v>15862727</v>
      </c>
      <c r="H847" s="394">
        <v>17676675</v>
      </c>
      <c r="I847" s="394">
        <v>9348077</v>
      </c>
      <c r="J847" s="232">
        <v>1249958</v>
      </c>
      <c r="K847" s="232">
        <v>44137437</v>
      </c>
      <c r="L847" s="232"/>
      <c r="M847" s="226">
        <v>0</v>
      </c>
      <c r="N847" s="226">
        <v>0</v>
      </c>
      <c r="O847" s="232">
        <v>0</v>
      </c>
      <c r="P847" s="232">
        <v>0</v>
      </c>
      <c r="Q847" s="232"/>
      <c r="R847" s="394">
        <v>43197414</v>
      </c>
      <c r="S847" s="232">
        <v>663106</v>
      </c>
      <c r="T847" s="398">
        <v>43860520</v>
      </c>
      <c r="U847" s="232"/>
      <c r="V847" s="398"/>
      <c r="W847" s="398"/>
      <c r="X847" s="398">
        <v>254855234</v>
      </c>
      <c r="Y847" s="398">
        <v>18203744</v>
      </c>
    </row>
    <row r="848" spans="1:25">
      <c r="A848" s="392">
        <v>99202</v>
      </c>
      <c r="B848" s="393" t="s">
        <v>1542</v>
      </c>
      <c r="C848" s="235">
        <v>2.8838000000000002E-3</v>
      </c>
      <c r="D848" s="235">
        <v>2.8322E-3</v>
      </c>
      <c r="E848" s="232">
        <v>10305046</v>
      </c>
      <c r="F848" s="232" t="s">
        <v>1930</v>
      </c>
      <c r="G848" s="394">
        <v>1301346</v>
      </c>
      <c r="H848" s="394">
        <v>1450160</v>
      </c>
      <c r="I848" s="394">
        <v>766898</v>
      </c>
      <c r="J848" s="232">
        <v>0</v>
      </c>
      <c r="K848" s="232">
        <v>3518404</v>
      </c>
      <c r="L848" s="232"/>
      <c r="M848" s="226">
        <v>0</v>
      </c>
      <c r="N848" s="226">
        <v>0</v>
      </c>
      <c r="O848" s="232">
        <v>51544</v>
      </c>
      <c r="P848" s="232">
        <v>51544</v>
      </c>
      <c r="Q848" s="232"/>
      <c r="R848" s="394">
        <v>3543830</v>
      </c>
      <c r="S848" s="232">
        <v>-56639</v>
      </c>
      <c r="T848" s="398">
        <v>3487191</v>
      </c>
      <c r="U848" s="232"/>
      <c r="V848" s="398"/>
      <c r="W848" s="398"/>
      <c r="X848" s="398">
        <v>20907815</v>
      </c>
      <c r="Y848" s="398">
        <v>1493399</v>
      </c>
    </row>
    <row r="849" spans="1:25">
      <c r="A849" s="392">
        <v>99203</v>
      </c>
      <c r="B849" s="393" t="s">
        <v>1543</v>
      </c>
      <c r="C849" s="235">
        <v>3.8450000000000002E-4</v>
      </c>
      <c r="D849" s="235">
        <v>3.5179999999999999E-4</v>
      </c>
      <c r="E849" s="232">
        <v>1373982</v>
      </c>
      <c r="F849" s="232" t="s">
        <v>1930</v>
      </c>
      <c r="G849" s="394">
        <v>173510</v>
      </c>
      <c r="H849" s="394">
        <v>193351</v>
      </c>
      <c r="I849" s="394">
        <v>102251</v>
      </c>
      <c r="J849" s="232">
        <v>59190</v>
      </c>
      <c r="K849" s="232">
        <v>528302</v>
      </c>
      <c r="L849" s="232"/>
      <c r="M849" s="226">
        <v>0</v>
      </c>
      <c r="N849" s="226">
        <v>0</v>
      </c>
      <c r="O849" s="232">
        <v>10509</v>
      </c>
      <c r="P849" s="232">
        <v>10509</v>
      </c>
      <c r="Q849" s="232"/>
      <c r="R849" s="394">
        <v>472502</v>
      </c>
      <c r="S849" s="232">
        <v>15582</v>
      </c>
      <c r="T849" s="398">
        <v>488084</v>
      </c>
      <c r="U849" s="232"/>
      <c r="V849" s="398"/>
      <c r="W849" s="398"/>
      <c r="X849" s="398">
        <v>2787660</v>
      </c>
      <c r="Y849" s="398">
        <v>199116</v>
      </c>
    </row>
    <row r="850" spans="1:25">
      <c r="A850" s="392">
        <v>99204</v>
      </c>
      <c r="B850" s="393" t="s">
        <v>1544</v>
      </c>
      <c r="C850" s="235">
        <v>1.0219999999999999E-3</v>
      </c>
      <c r="D850" s="235">
        <v>9.4149999999999995E-4</v>
      </c>
      <c r="E850" s="232">
        <v>3652041</v>
      </c>
      <c r="F850" s="232" t="s">
        <v>1930</v>
      </c>
      <c r="G850" s="394">
        <v>461189</v>
      </c>
      <c r="H850" s="394">
        <v>513927</v>
      </c>
      <c r="I850" s="394">
        <v>271784</v>
      </c>
      <c r="J850" s="232">
        <v>137503</v>
      </c>
      <c r="K850" s="232">
        <v>1384403</v>
      </c>
      <c r="L850" s="232"/>
      <c r="M850" s="226">
        <v>0</v>
      </c>
      <c r="N850" s="226">
        <v>0</v>
      </c>
      <c r="O850" s="232">
        <v>0</v>
      </c>
      <c r="P850" s="232">
        <v>0</v>
      </c>
      <c r="Q850" s="232"/>
      <c r="R850" s="394">
        <v>1255910</v>
      </c>
      <c r="S850" s="232">
        <v>71658</v>
      </c>
      <c r="T850" s="398">
        <v>1327568</v>
      </c>
      <c r="U850" s="232"/>
      <c r="V850" s="398"/>
      <c r="W850" s="398"/>
      <c r="X850" s="398">
        <v>7409594</v>
      </c>
      <c r="Y850" s="398">
        <v>529251</v>
      </c>
    </row>
    <row r="851" spans="1:25">
      <c r="A851" s="392">
        <v>99206</v>
      </c>
      <c r="B851" s="393" t="s">
        <v>1545</v>
      </c>
      <c r="C851" s="235">
        <v>1.7485999999999999E-3</v>
      </c>
      <c r="D851" s="235">
        <v>1.6375999999999999E-3</v>
      </c>
      <c r="E851" s="232">
        <v>6248493</v>
      </c>
      <c r="F851" s="232" t="s">
        <v>1930</v>
      </c>
      <c r="G851" s="394">
        <v>789075</v>
      </c>
      <c r="H851" s="394">
        <v>879308</v>
      </c>
      <c r="I851" s="394">
        <v>465010</v>
      </c>
      <c r="J851" s="232">
        <v>428026</v>
      </c>
      <c r="K851" s="232">
        <v>2561419</v>
      </c>
      <c r="L851" s="232"/>
      <c r="M851" s="226">
        <v>0</v>
      </c>
      <c r="N851" s="226">
        <v>0</v>
      </c>
      <c r="O851" s="232">
        <v>75683</v>
      </c>
      <c r="P851" s="232">
        <v>75683</v>
      </c>
      <c r="Q851" s="232"/>
      <c r="R851" s="394">
        <v>2148811</v>
      </c>
      <c r="S851" s="232">
        <v>253748</v>
      </c>
      <c r="T851" s="398">
        <v>2402559</v>
      </c>
      <c r="U851" s="232"/>
      <c r="V851" s="398"/>
      <c r="W851" s="398"/>
      <c r="X851" s="398">
        <v>12677511</v>
      </c>
      <c r="Y851" s="398">
        <v>905526</v>
      </c>
    </row>
    <row r="852" spans="1:25">
      <c r="A852" s="392">
        <v>99207</v>
      </c>
      <c r="B852" s="393" t="s">
        <v>1947</v>
      </c>
      <c r="C852" s="235">
        <v>1.111E-4</v>
      </c>
      <c r="D852" s="235">
        <v>1.206E-4</v>
      </c>
      <c r="E852" s="232">
        <v>397008</v>
      </c>
      <c r="F852" s="232" t="s">
        <v>1930</v>
      </c>
      <c r="G852" s="394">
        <v>50135</v>
      </c>
      <c r="H852" s="394">
        <v>55868</v>
      </c>
      <c r="I852" s="394">
        <v>29545</v>
      </c>
      <c r="J852" s="232">
        <v>138831</v>
      </c>
      <c r="K852" s="232">
        <v>274379</v>
      </c>
      <c r="L852" s="232"/>
      <c r="M852" s="226">
        <v>0</v>
      </c>
      <c r="N852" s="226">
        <v>0</v>
      </c>
      <c r="O852" s="232">
        <v>586</v>
      </c>
      <c r="P852" s="232">
        <v>586</v>
      </c>
      <c r="Q852" s="232"/>
      <c r="R852" s="394">
        <v>136528</v>
      </c>
      <c r="S852" s="232">
        <v>79725</v>
      </c>
      <c r="T852" s="398">
        <v>216253</v>
      </c>
      <c r="U852" s="232"/>
      <c r="V852" s="398"/>
      <c r="W852" s="398"/>
      <c r="X852" s="398">
        <v>805485</v>
      </c>
      <c r="Y852" s="398">
        <v>57534</v>
      </c>
    </row>
    <row r="853" spans="1:25">
      <c r="A853" s="392">
        <v>99208</v>
      </c>
      <c r="B853" s="393" t="s">
        <v>1547</v>
      </c>
      <c r="C853" s="235">
        <v>3.2929999999999998E-4</v>
      </c>
      <c r="D853" s="235">
        <v>3.0939999999999999E-4</v>
      </c>
      <c r="E853" s="232">
        <v>1176729</v>
      </c>
      <c r="F853" s="232" t="s">
        <v>1930</v>
      </c>
      <c r="G853" s="394">
        <v>148600</v>
      </c>
      <c r="H853" s="394">
        <v>165593</v>
      </c>
      <c r="I853" s="394">
        <v>87572</v>
      </c>
      <c r="J853" s="232">
        <v>47651</v>
      </c>
      <c r="K853" s="232">
        <v>449416</v>
      </c>
      <c r="L853" s="232"/>
      <c r="M853" s="226">
        <v>0</v>
      </c>
      <c r="N853" s="226">
        <v>0</v>
      </c>
      <c r="O853" s="232">
        <v>6430</v>
      </c>
      <c r="P853" s="232">
        <v>6430</v>
      </c>
      <c r="Q853" s="232"/>
      <c r="R853" s="394">
        <v>404669</v>
      </c>
      <c r="S853" s="232">
        <v>11134</v>
      </c>
      <c r="T853" s="398">
        <v>415803</v>
      </c>
      <c r="U853" s="232"/>
      <c r="V853" s="398"/>
      <c r="W853" s="398"/>
      <c r="X853" s="398">
        <v>2387455</v>
      </c>
      <c r="Y853" s="398">
        <v>170531</v>
      </c>
    </row>
    <row r="854" spans="1:25">
      <c r="A854" s="392">
        <v>99210</v>
      </c>
      <c r="B854" s="393" t="s">
        <v>1548</v>
      </c>
      <c r="C854" s="235">
        <v>1.8843E-3</v>
      </c>
      <c r="D854" s="235">
        <v>1.7913E-3</v>
      </c>
      <c r="E854" s="232">
        <v>6733407</v>
      </c>
      <c r="F854" s="232" t="s">
        <v>1930</v>
      </c>
      <c r="G854" s="394">
        <v>850311</v>
      </c>
      <c r="H854" s="394">
        <v>947547</v>
      </c>
      <c r="I854" s="394">
        <v>501098</v>
      </c>
      <c r="J854" s="232">
        <v>359261</v>
      </c>
      <c r="K854" s="232">
        <v>2658217</v>
      </c>
      <c r="L854" s="232"/>
      <c r="M854" s="226">
        <v>0</v>
      </c>
      <c r="N854" s="226">
        <v>0</v>
      </c>
      <c r="O854" s="232">
        <v>0</v>
      </c>
      <c r="P854" s="232">
        <v>0</v>
      </c>
      <c r="Q854" s="232"/>
      <c r="R854" s="394">
        <v>2315569</v>
      </c>
      <c r="S854" s="232">
        <v>140238</v>
      </c>
      <c r="T854" s="398">
        <v>2455807</v>
      </c>
      <c r="U854" s="232"/>
      <c r="V854" s="398"/>
      <c r="W854" s="398"/>
      <c r="X854" s="398">
        <v>13661348</v>
      </c>
      <c r="Y854" s="398">
        <v>975800</v>
      </c>
    </row>
    <row r="855" spans="1:25">
      <c r="A855" s="392">
        <v>99211</v>
      </c>
      <c r="B855" s="393" t="s">
        <v>1549</v>
      </c>
      <c r="C855" s="235">
        <v>3.7671200000000002E-2</v>
      </c>
      <c r="D855" s="235">
        <v>3.8786099999999997E-2</v>
      </c>
      <c r="E855" s="232">
        <v>134615246</v>
      </c>
      <c r="F855" s="232" t="s">
        <v>1930</v>
      </c>
      <c r="G855" s="394">
        <v>16999543</v>
      </c>
      <c r="H855" s="394">
        <v>18943490</v>
      </c>
      <c r="I855" s="394">
        <v>10018015</v>
      </c>
      <c r="J855" s="232">
        <v>325015</v>
      </c>
      <c r="K855" s="232">
        <v>46286063</v>
      </c>
      <c r="L855" s="232"/>
      <c r="M855" s="226">
        <v>0</v>
      </c>
      <c r="N855" s="226">
        <v>0</v>
      </c>
      <c r="O855" s="232">
        <v>2255886</v>
      </c>
      <c r="P855" s="232">
        <v>2255886</v>
      </c>
      <c r="Q855" s="232"/>
      <c r="R855" s="394">
        <v>46293196</v>
      </c>
      <c r="S855" s="232">
        <v>-923144</v>
      </c>
      <c r="T855" s="398">
        <v>45370052</v>
      </c>
      <c r="U855" s="232"/>
      <c r="V855" s="398"/>
      <c r="W855" s="398"/>
      <c r="X855" s="398">
        <v>273119666</v>
      </c>
      <c r="Y855" s="398">
        <v>19508332</v>
      </c>
    </row>
    <row r="856" spans="1:25">
      <c r="A856" s="392">
        <v>99212</v>
      </c>
      <c r="B856" s="393" t="s">
        <v>1550</v>
      </c>
      <c r="C856" s="235">
        <v>8.7200000000000005E-5</v>
      </c>
      <c r="D856" s="235">
        <v>6.7999999999999999E-5</v>
      </c>
      <c r="E856" s="232">
        <v>311603</v>
      </c>
      <c r="F856" s="232" t="s">
        <v>1930</v>
      </c>
      <c r="G856" s="394">
        <v>39350</v>
      </c>
      <c r="H856" s="394">
        <v>43850</v>
      </c>
      <c r="I856" s="394">
        <v>23189</v>
      </c>
      <c r="J856" s="232">
        <v>14108</v>
      </c>
      <c r="K856" s="232">
        <v>120497</v>
      </c>
      <c r="L856" s="232"/>
      <c r="M856" s="226">
        <v>0</v>
      </c>
      <c r="N856" s="226">
        <v>0</v>
      </c>
      <c r="O856" s="232">
        <v>8064</v>
      </c>
      <c r="P856" s="232">
        <v>8064</v>
      </c>
      <c r="Q856" s="232"/>
      <c r="R856" s="394">
        <v>107158</v>
      </c>
      <c r="S856" s="232">
        <v>-5873</v>
      </c>
      <c r="T856" s="398">
        <v>101285</v>
      </c>
      <c r="U856" s="232"/>
      <c r="V856" s="398"/>
      <c r="W856" s="398"/>
      <c r="X856" s="398">
        <v>632208</v>
      </c>
      <c r="Y856" s="398">
        <v>45157</v>
      </c>
    </row>
    <row r="857" spans="1:25">
      <c r="A857" s="392">
        <v>99213</v>
      </c>
      <c r="B857" s="393" t="s">
        <v>1551</v>
      </c>
      <c r="C857" s="235">
        <v>6.6209999999999999E-4</v>
      </c>
      <c r="D857" s="235">
        <v>6.7770000000000005E-4</v>
      </c>
      <c r="E857" s="232">
        <v>2365965</v>
      </c>
      <c r="F857" s="232" t="s">
        <v>1930</v>
      </c>
      <c r="G857" s="394">
        <v>298780</v>
      </c>
      <c r="H857" s="394">
        <v>332946</v>
      </c>
      <c r="I857" s="394">
        <v>176074</v>
      </c>
      <c r="J857" s="232">
        <v>18345</v>
      </c>
      <c r="K857" s="232">
        <v>826145</v>
      </c>
      <c r="L857" s="232"/>
      <c r="M857" s="226">
        <v>0</v>
      </c>
      <c r="N857" s="226">
        <v>0</v>
      </c>
      <c r="O857" s="232">
        <v>56734</v>
      </c>
      <c r="P857" s="232">
        <v>56734</v>
      </c>
      <c r="Q857" s="232"/>
      <c r="R857" s="394">
        <v>813638</v>
      </c>
      <c r="S857" s="232">
        <v>-20836</v>
      </c>
      <c r="T857" s="398">
        <v>792802</v>
      </c>
      <c r="U857" s="232"/>
      <c r="V857" s="398"/>
      <c r="W857" s="398"/>
      <c r="X857" s="398">
        <v>4800286</v>
      </c>
      <c r="Y857" s="398">
        <v>342874</v>
      </c>
    </row>
    <row r="858" spans="1:25">
      <c r="A858" s="392">
        <v>99218</v>
      </c>
      <c r="B858" s="393" t="s">
        <v>1552</v>
      </c>
      <c r="C858" s="235">
        <v>3.7810000000000001E-3</v>
      </c>
      <c r="D858" s="235">
        <v>3.4424E-3</v>
      </c>
      <c r="E858" s="232">
        <v>13511124</v>
      </c>
      <c r="F858" s="232" t="s">
        <v>1930</v>
      </c>
      <c r="G858" s="394">
        <v>1706218</v>
      </c>
      <c r="H858" s="394">
        <v>1901329</v>
      </c>
      <c r="I858" s="394">
        <v>1005493</v>
      </c>
      <c r="J858" s="232">
        <v>735647</v>
      </c>
      <c r="K858" s="232">
        <v>5348687</v>
      </c>
      <c r="L858" s="232"/>
      <c r="M858" s="226">
        <v>0</v>
      </c>
      <c r="N858" s="226">
        <v>0</v>
      </c>
      <c r="O858" s="232">
        <v>0</v>
      </c>
      <c r="P858" s="232">
        <v>0</v>
      </c>
      <c r="Q858" s="232"/>
      <c r="R858" s="394">
        <v>4646376</v>
      </c>
      <c r="S858" s="232">
        <v>298884</v>
      </c>
      <c r="T858" s="398">
        <v>4945260</v>
      </c>
      <c r="U858" s="232"/>
      <c r="V858" s="398"/>
      <c r="W858" s="398"/>
      <c r="X858" s="398">
        <v>27412598</v>
      </c>
      <c r="Y858" s="398">
        <v>1958021</v>
      </c>
    </row>
    <row r="859" spans="1:25">
      <c r="A859" s="392">
        <v>99221</v>
      </c>
      <c r="B859" s="393" t="s">
        <v>1553</v>
      </c>
      <c r="C859" s="235">
        <v>1.2297799999999999E-2</v>
      </c>
      <c r="D859" s="235">
        <v>1.26739E-2</v>
      </c>
      <c r="E859" s="232">
        <v>43945278</v>
      </c>
      <c r="F859" s="232" t="s">
        <v>1930</v>
      </c>
      <c r="G859" s="394">
        <v>5549518</v>
      </c>
      <c r="H859" s="394">
        <v>6184121</v>
      </c>
      <c r="I859" s="394">
        <v>3270391</v>
      </c>
      <c r="J859" s="232">
        <v>0</v>
      </c>
      <c r="K859" s="232">
        <v>15004030</v>
      </c>
      <c r="L859" s="232"/>
      <c r="M859" s="226">
        <v>0</v>
      </c>
      <c r="N859" s="226">
        <v>0</v>
      </c>
      <c r="O859" s="232">
        <v>516216</v>
      </c>
      <c r="P859" s="232">
        <v>516216</v>
      </c>
      <c r="Q859" s="232"/>
      <c r="R859" s="394">
        <v>15112459</v>
      </c>
      <c r="S859" s="232">
        <v>-325556</v>
      </c>
      <c r="T859" s="398">
        <v>14786903</v>
      </c>
      <c r="U859" s="232"/>
      <c r="V859" s="398"/>
      <c r="W859" s="398"/>
      <c r="X859" s="398">
        <v>89160181</v>
      </c>
      <c r="Y859" s="398">
        <v>6368514</v>
      </c>
    </row>
    <row r="860" spans="1:25">
      <c r="A860" s="392">
        <v>99222</v>
      </c>
      <c r="B860" s="393" t="s">
        <v>1554</v>
      </c>
      <c r="C860" s="235">
        <v>3.3200000000000001E-5</v>
      </c>
      <c r="D860" s="235">
        <v>3.5599999999999998E-5</v>
      </c>
      <c r="E860" s="232">
        <v>118638</v>
      </c>
      <c r="F860" s="232" t="s">
        <v>1930</v>
      </c>
      <c r="G860" s="394">
        <v>14982</v>
      </c>
      <c r="H860" s="394">
        <v>16695</v>
      </c>
      <c r="I860" s="394">
        <v>8829</v>
      </c>
      <c r="J860" s="232">
        <v>0</v>
      </c>
      <c r="K860" s="232">
        <v>40506</v>
      </c>
      <c r="L860" s="232"/>
      <c r="M860" s="226">
        <v>0</v>
      </c>
      <c r="N860" s="226">
        <v>0</v>
      </c>
      <c r="O860" s="232">
        <v>6905</v>
      </c>
      <c r="P860" s="232">
        <v>6905</v>
      </c>
      <c r="Q860" s="232"/>
      <c r="R860" s="394">
        <v>40799</v>
      </c>
      <c r="S860" s="232">
        <v>-3241</v>
      </c>
      <c r="T860" s="398">
        <v>37558</v>
      </c>
      <c r="U860" s="232"/>
      <c r="V860" s="398"/>
      <c r="W860" s="398"/>
      <c r="X860" s="398">
        <v>240703</v>
      </c>
      <c r="Y860" s="398">
        <v>17193</v>
      </c>
    </row>
    <row r="861" spans="1:25">
      <c r="A861" s="392">
        <v>99231</v>
      </c>
      <c r="B861" s="393" t="s">
        <v>1555</v>
      </c>
      <c r="C861" s="235">
        <v>4.0339999999999999E-4</v>
      </c>
      <c r="D861" s="235">
        <v>3.5159999999999998E-4</v>
      </c>
      <c r="E861" s="232">
        <v>1441520</v>
      </c>
      <c r="F861" s="232" t="s">
        <v>1930</v>
      </c>
      <c r="G861" s="394">
        <v>182039</v>
      </c>
      <c r="H861" s="394">
        <v>202855</v>
      </c>
      <c r="I861" s="394">
        <v>107277</v>
      </c>
      <c r="J861" s="232">
        <v>66139</v>
      </c>
      <c r="K861" s="232">
        <v>558310</v>
      </c>
      <c r="L861" s="232"/>
      <c r="M861" s="226">
        <v>0</v>
      </c>
      <c r="N861" s="226">
        <v>0</v>
      </c>
      <c r="O861" s="232">
        <v>16095</v>
      </c>
      <c r="P861" s="232">
        <v>16095</v>
      </c>
      <c r="Q861" s="232"/>
      <c r="R861" s="394">
        <v>495728</v>
      </c>
      <c r="S861" s="232">
        <v>11562</v>
      </c>
      <c r="T861" s="398">
        <v>507290</v>
      </c>
      <c r="U861" s="232"/>
      <c r="V861" s="398"/>
      <c r="W861" s="398"/>
      <c r="X861" s="398">
        <v>2924687</v>
      </c>
      <c r="Y861" s="398">
        <v>208904</v>
      </c>
    </row>
    <row r="862" spans="1:25">
      <c r="A862" s="392">
        <v>99241</v>
      </c>
      <c r="B862" s="393" t="s">
        <v>1556</v>
      </c>
      <c r="C862" s="235">
        <v>5.8560000000000003E-4</v>
      </c>
      <c r="D862" s="235">
        <v>5.6070000000000002E-4</v>
      </c>
      <c r="E862" s="232">
        <v>2092598</v>
      </c>
      <c r="F862" s="232" t="s">
        <v>1930</v>
      </c>
      <c r="G862" s="394">
        <v>264258</v>
      </c>
      <c r="H862" s="394">
        <v>294478</v>
      </c>
      <c r="I862" s="394">
        <v>155730</v>
      </c>
      <c r="J862" s="232">
        <v>11814</v>
      </c>
      <c r="K862" s="232">
        <v>726280</v>
      </c>
      <c r="L862" s="232"/>
      <c r="M862" s="226">
        <v>0</v>
      </c>
      <c r="N862" s="226">
        <v>0</v>
      </c>
      <c r="O862" s="232">
        <v>16937</v>
      </c>
      <c r="P862" s="232">
        <v>16937</v>
      </c>
      <c r="Q862" s="232"/>
      <c r="R862" s="394">
        <v>719629</v>
      </c>
      <c r="S862" s="232">
        <v>-17091</v>
      </c>
      <c r="T862" s="398">
        <v>702538</v>
      </c>
      <c r="U862" s="232"/>
      <c r="V862" s="398"/>
      <c r="W862" s="398"/>
      <c r="X862" s="398">
        <v>4245654</v>
      </c>
      <c r="Y862" s="398">
        <v>303258</v>
      </c>
    </row>
    <row r="863" spans="1:25">
      <c r="A863" s="392">
        <v>99251</v>
      </c>
      <c r="B863" s="393" t="s">
        <v>1557</v>
      </c>
      <c r="C863" s="235">
        <v>1.6408E-3</v>
      </c>
      <c r="D863" s="235">
        <v>1.6358E-3</v>
      </c>
      <c r="E863" s="232">
        <v>5863277</v>
      </c>
      <c r="F863" s="232" t="s">
        <v>1930</v>
      </c>
      <c r="G863" s="394">
        <v>740429</v>
      </c>
      <c r="H863" s="394">
        <v>825100</v>
      </c>
      <c r="I863" s="394">
        <v>436343</v>
      </c>
      <c r="J863" s="232">
        <v>13231</v>
      </c>
      <c r="K863" s="232">
        <v>2015103</v>
      </c>
      <c r="L863" s="232"/>
      <c r="M863" s="226">
        <v>0</v>
      </c>
      <c r="N863" s="226">
        <v>0</v>
      </c>
      <c r="O863" s="232">
        <v>13877</v>
      </c>
      <c r="P863" s="232">
        <v>13877</v>
      </c>
      <c r="Q863" s="232"/>
      <c r="R863" s="394">
        <v>2016338</v>
      </c>
      <c r="S863" s="232">
        <v>-5123</v>
      </c>
      <c r="T863" s="398">
        <v>2011215</v>
      </c>
      <c r="U863" s="232"/>
      <c r="V863" s="398"/>
      <c r="W863" s="398"/>
      <c r="X863" s="398">
        <v>11895951</v>
      </c>
      <c r="Y863" s="398">
        <v>849701</v>
      </c>
    </row>
    <row r="864" spans="1:25">
      <c r="A864" s="392">
        <v>99252</v>
      </c>
      <c r="B864" s="393" t="s">
        <v>1558</v>
      </c>
      <c r="C864" s="235">
        <v>6.4139999999999998E-4</v>
      </c>
      <c r="D864" s="235">
        <v>6.6200000000000005E-4</v>
      </c>
      <c r="E864" s="232">
        <v>2291995</v>
      </c>
      <c r="F864" s="232" t="s">
        <v>1930</v>
      </c>
      <c r="G864" s="394">
        <v>289439</v>
      </c>
      <c r="H864" s="394">
        <v>322537</v>
      </c>
      <c r="I864" s="394">
        <v>170569</v>
      </c>
      <c r="J864" s="232">
        <v>0</v>
      </c>
      <c r="K864" s="232">
        <v>782545</v>
      </c>
      <c r="L864" s="232"/>
      <c r="M864" s="226">
        <v>0</v>
      </c>
      <c r="N864" s="226">
        <v>0</v>
      </c>
      <c r="O864" s="232">
        <v>180129</v>
      </c>
      <c r="P864" s="232">
        <v>180129</v>
      </c>
      <c r="Q864" s="232"/>
      <c r="R864" s="394">
        <v>788200</v>
      </c>
      <c r="S864" s="232">
        <v>-98927</v>
      </c>
      <c r="T864" s="398">
        <v>689273</v>
      </c>
      <c r="U864" s="232"/>
      <c r="V864" s="398"/>
      <c r="W864" s="398"/>
      <c r="X864" s="398">
        <v>4650209</v>
      </c>
      <c r="Y864" s="398">
        <v>332154</v>
      </c>
    </row>
    <row r="865" spans="1:25">
      <c r="A865" s="392">
        <v>99261</v>
      </c>
      <c r="B865" s="393" t="s">
        <v>1559</v>
      </c>
      <c r="C865" s="235">
        <v>2.3002999999999999E-3</v>
      </c>
      <c r="D865" s="235">
        <v>2.2407E-3</v>
      </c>
      <c r="E865" s="232">
        <v>8219952</v>
      </c>
      <c r="F865" s="232" t="s">
        <v>1930</v>
      </c>
      <c r="G865" s="394">
        <v>1038036</v>
      </c>
      <c r="H865" s="394">
        <v>1156738</v>
      </c>
      <c r="I865" s="394">
        <v>611726</v>
      </c>
      <c r="J865" s="232">
        <v>1412</v>
      </c>
      <c r="K865" s="232">
        <v>2807912</v>
      </c>
      <c r="L865" s="232"/>
      <c r="M865" s="226">
        <v>0</v>
      </c>
      <c r="N865" s="226">
        <v>0</v>
      </c>
      <c r="O865" s="232">
        <v>68985</v>
      </c>
      <c r="P865" s="232">
        <v>68985</v>
      </c>
      <c r="Q865" s="232"/>
      <c r="R865" s="394">
        <v>2826781</v>
      </c>
      <c r="S865" s="232">
        <v>-48876</v>
      </c>
      <c r="T865" s="398">
        <v>2777905</v>
      </c>
      <c r="U865" s="232"/>
      <c r="V865" s="398"/>
      <c r="W865" s="398"/>
      <c r="X865" s="398">
        <v>16677387</v>
      </c>
      <c r="Y865" s="398">
        <v>1191229</v>
      </c>
    </row>
    <row r="866" spans="1:25">
      <c r="A866" s="392">
        <v>99271</v>
      </c>
      <c r="B866" s="393" t="s">
        <v>1560</v>
      </c>
      <c r="C866" s="235">
        <v>4.6093000000000002E-3</v>
      </c>
      <c r="D866" s="235">
        <v>4.2773000000000004E-3</v>
      </c>
      <c r="E866" s="232">
        <v>16470992</v>
      </c>
      <c r="F866" s="232" t="s">
        <v>1930</v>
      </c>
      <c r="G866" s="394">
        <v>2079997</v>
      </c>
      <c r="H866" s="394">
        <v>2317851</v>
      </c>
      <c r="I866" s="394">
        <v>1225765</v>
      </c>
      <c r="J866" s="232">
        <v>368930</v>
      </c>
      <c r="K866" s="232">
        <v>5992543</v>
      </c>
      <c r="L866" s="232"/>
      <c r="M866" s="226">
        <v>0</v>
      </c>
      <c r="N866" s="226">
        <v>0</v>
      </c>
      <c r="O866" s="232">
        <v>66564</v>
      </c>
      <c r="P866" s="232">
        <v>66564</v>
      </c>
      <c r="Q866" s="232"/>
      <c r="R866" s="394">
        <v>5664254</v>
      </c>
      <c r="S866" s="232">
        <v>76409</v>
      </c>
      <c r="T866" s="398">
        <v>5740663</v>
      </c>
      <c r="U866" s="232"/>
      <c r="V866" s="398"/>
      <c r="W866" s="398"/>
      <c r="X866" s="398">
        <v>33417849</v>
      </c>
      <c r="Y866" s="398">
        <v>2386963</v>
      </c>
    </row>
    <row r="867" spans="1:25">
      <c r="A867" s="392">
        <v>99281</v>
      </c>
      <c r="B867" s="393" t="s">
        <v>1561</v>
      </c>
      <c r="C867" s="235">
        <v>2.6021999999999998E-3</v>
      </c>
      <c r="D867" s="235">
        <v>2.4237E-3</v>
      </c>
      <c r="E867" s="232">
        <v>9298769</v>
      </c>
      <c r="F867" s="232" t="s">
        <v>1930</v>
      </c>
      <c r="G867" s="394">
        <v>1174271</v>
      </c>
      <c r="H867" s="394">
        <v>1308552</v>
      </c>
      <c r="I867" s="394">
        <v>692011</v>
      </c>
      <c r="J867" s="232">
        <v>98896</v>
      </c>
      <c r="K867" s="232">
        <v>3273730</v>
      </c>
      <c r="L867" s="232"/>
      <c r="M867" s="226">
        <v>0</v>
      </c>
      <c r="N867" s="226">
        <v>0</v>
      </c>
      <c r="O867" s="232">
        <v>11923</v>
      </c>
      <c r="P867" s="232">
        <v>11923</v>
      </c>
      <c r="Q867" s="232"/>
      <c r="R867" s="394">
        <v>3197779</v>
      </c>
      <c r="S867" s="232">
        <v>4109</v>
      </c>
      <c r="T867" s="398">
        <v>3201888</v>
      </c>
      <c r="U867" s="232"/>
      <c r="V867" s="398"/>
      <c r="W867" s="398"/>
      <c r="X867" s="398">
        <v>18866189</v>
      </c>
      <c r="Y867" s="398">
        <v>1347570</v>
      </c>
    </row>
    <row r="868" spans="1:25">
      <c r="A868" s="392">
        <v>99291</v>
      </c>
      <c r="B868" s="393" t="s">
        <v>1562</v>
      </c>
      <c r="C868" s="235">
        <v>8.4670000000000004E-4</v>
      </c>
      <c r="D868" s="235">
        <v>8.4909999999999998E-4</v>
      </c>
      <c r="E868" s="232">
        <v>3025620</v>
      </c>
      <c r="F868" s="232" t="s">
        <v>1930</v>
      </c>
      <c r="G868" s="394">
        <v>382083</v>
      </c>
      <c r="H868" s="394">
        <v>425775</v>
      </c>
      <c r="I868" s="394">
        <v>225165</v>
      </c>
      <c r="J868" s="232">
        <v>6282</v>
      </c>
      <c r="K868" s="232">
        <v>1039305</v>
      </c>
      <c r="L868" s="232"/>
      <c r="M868" s="226">
        <v>0</v>
      </c>
      <c r="N868" s="226">
        <v>0</v>
      </c>
      <c r="O868" s="232">
        <v>87590</v>
      </c>
      <c r="P868" s="232">
        <v>87590</v>
      </c>
      <c r="Q868" s="232"/>
      <c r="R868" s="394">
        <v>1040488</v>
      </c>
      <c r="S868" s="232">
        <v>-48476</v>
      </c>
      <c r="T868" s="398">
        <v>992012</v>
      </c>
      <c r="U868" s="232"/>
      <c r="V868" s="398"/>
      <c r="W868" s="398"/>
      <c r="X868" s="398">
        <v>6138653</v>
      </c>
      <c r="Y868" s="398">
        <v>438470</v>
      </c>
    </row>
    <row r="869" spans="1:25">
      <c r="A869" s="392">
        <v>99301</v>
      </c>
      <c r="B869" s="393" t="s">
        <v>1563</v>
      </c>
      <c r="C869" s="235">
        <v>1.5418000000000001E-3</v>
      </c>
      <c r="D869" s="235">
        <v>1.6092999999999999E-3</v>
      </c>
      <c r="E869" s="232">
        <v>5509508</v>
      </c>
      <c r="F869" s="232" t="s">
        <v>1930</v>
      </c>
      <c r="G869" s="394">
        <v>695754</v>
      </c>
      <c r="H869" s="394">
        <v>775315</v>
      </c>
      <c r="I869" s="394">
        <v>410015</v>
      </c>
      <c r="J869" s="232">
        <v>0</v>
      </c>
      <c r="K869" s="232">
        <v>1881084</v>
      </c>
      <c r="L869" s="232"/>
      <c r="M869" s="226">
        <v>0</v>
      </c>
      <c r="N869" s="226">
        <v>0</v>
      </c>
      <c r="O869" s="232">
        <v>198715</v>
      </c>
      <c r="P869" s="232">
        <v>198715</v>
      </c>
      <c r="Q869" s="232"/>
      <c r="R869" s="394">
        <v>1894679</v>
      </c>
      <c r="S869" s="232">
        <v>-82306</v>
      </c>
      <c r="T869" s="398">
        <v>1812373</v>
      </c>
      <c r="U869" s="232"/>
      <c r="V869" s="398"/>
      <c r="W869" s="398"/>
      <c r="X869" s="398">
        <v>11178192</v>
      </c>
      <c r="Y869" s="398">
        <v>798433</v>
      </c>
    </row>
    <row r="870" spans="1:25">
      <c r="A870" s="392">
        <v>99304</v>
      </c>
      <c r="B870" s="393" t="s">
        <v>1564</v>
      </c>
      <c r="C870" s="235">
        <v>6.8000000000000001E-6</v>
      </c>
      <c r="D870" s="235">
        <v>7.6000000000000001E-6</v>
      </c>
      <c r="E870" s="232">
        <v>24299</v>
      </c>
      <c r="F870" s="232" t="s">
        <v>1930</v>
      </c>
      <c r="G870" s="394">
        <v>3069</v>
      </c>
      <c r="H870" s="394">
        <v>3420</v>
      </c>
      <c r="I870" s="394">
        <v>1808</v>
      </c>
      <c r="J870" s="232">
        <v>7276</v>
      </c>
      <c r="K870" s="232">
        <v>15573</v>
      </c>
      <c r="L870" s="232"/>
      <c r="M870" s="226">
        <v>0</v>
      </c>
      <c r="N870" s="226">
        <v>0</v>
      </c>
      <c r="O870" s="232">
        <v>0</v>
      </c>
      <c r="P870" s="232">
        <v>0</v>
      </c>
      <c r="Q870" s="232"/>
      <c r="R870" s="394">
        <v>8356</v>
      </c>
      <c r="S870" s="232">
        <v>3445</v>
      </c>
      <c r="T870" s="398">
        <v>11801</v>
      </c>
      <c r="U870" s="232"/>
      <c r="V870" s="398"/>
      <c r="W870" s="398"/>
      <c r="X870" s="398">
        <v>49301</v>
      </c>
      <c r="Y870" s="398">
        <v>3521</v>
      </c>
    </row>
    <row r="871" spans="1:25">
      <c r="A871" s="392">
        <v>99311</v>
      </c>
      <c r="B871" s="393" t="s">
        <v>1565</v>
      </c>
      <c r="C871" s="235">
        <v>5.5099999999999998E-5</v>
      </c>
      <c r="D871" s="235">
        <v>5.9700000000000001E-5</v>
      </c>
      <c r="E871" s="232">
        <v>196896</v>
      </c>
      <c r="F871" s="232" t="s">
        <v>1930</v>
      </c>
      <c r="G871" s="394">
        <v>24864</v>
      </c>
      <c r="H871" s="394">
        <v>27708</v>
      </c>
      <c r="I871" s="394">
        <v>14653</v>
      </c>
      <c r="J871" s="232">
        <v>2040</v>
      </c>
      <c r="K871" s="232">
        <v>69265</v>
      </c>
      <c r="L871" s="232"/>
      <c r="M871" s="226">
        <v>0</v>
      </c>
      <c r="N871" s="226">
        <v>0</v>
      </c>
      <c r="O871" s="232">
        <v>10929</v>
      </c>
      <c r="P871" s="232">
        <v>10929</v>
      </c>
      <c r="Q871" s="232"/>
      <c r="R871" s="394">
        <v>67711</v>
      </c>
      <c r="S871" s="232">
        <v>-3930</v>
      </c>
      <c r="T871" s="398">
        <v>63781</v>
      </c>
      <c r="U871" s="232"/>
      <c r="V871" s="398"/>
      <c r="W871" s="398"/>
      <c r="X871" s="398">
        <v>399480</v>
      </c>
      <c r="Y871" s="398">
        <v>28534</v>
      </c>
    </row>
    <row r="872" spans="1:25">
      <c r="A872" s="392">
        <v>99321</v>
      </c>
      <c r="B872" s="393" t="s">
        <v>1566</v>
      </c>
      <c r="C872" s="235">
        <v>1.024E-4</v>
      </c>
      <c r="D872" s="235">
        <v>8.6399999999999999E-5</v>
      </c>
      <c r="E872" s="232">
        <v>365919</v>
      </c>
      <c r="F872" s="232" t="s">
        <v>1930</v>
      </c>
      <c r="G872" s="394">
        <v>46209</v>
      </c>
      <c r="H872" s="394">
        <v>51493</v>
      </c>
      <c r="I872" s="394">
        <v>27232</v>
      </c>
      <c r="J872" s="232">
        <v>78783</v>
      </c>
      <c r="K872" s="232">
        <v>203717</v>
      </c>
      <c r="L872" s="232"/>
      <c r="M872" s="226">
        <v>0</v>
      </c>
      <c r="N872" s="226">
        <v>0</v>
      </c>
      <c r="O872" s="232">
        <v>0</v>
      </c>
      <c r="P872" s="232">
        <v>0</v>
      </c>
      <c r="Q872" s="232"/>
      <c r="R872" s="394">
        <v>125837</v>
      </c>
      <c r="S872" s="232">
        <v>43509</v>
      </c>
      <c r="T872" s="398">
        <v>169346</v>
      </c>
      <c r="U872" s="232"/>
      <c r="V872" s="398"/>
      <c r="W872" s="398"/>
      <c r="X872" s="398">
        <v>742409</v>
      </c>
      <c r="Y872" s="398">
        <v>53029</v>
      </c>
    </row>
    <row r="873" spans="1:25">
      <c r="A873" s="392">
        <v>99401</v>
      </c>
      <c r="B873" s="393" t="s">
        <v>1567</v>
      </c>
      <c r="C873" s="235">
        <v>7.6619999999999998E-4</v>
      </c>
      <c r="D873" s="235">
        <v>7.7590000000000005E-4</v>
      </c>
      <c r="E873" s="232">
        <v>2737959</v>
      </c>
      <c r="F873" s="232" t="s">
        <v>1930</v>
      </c>
      <c r="G873" s="394">
        <v>345756</v>
      </c>
      <c r="H873" s="394">
        <v>385294</v>
      </c>
      <c r="I873" s="394">
        <v>203758</v>
      </c>
      <c r="J873" s="232">
        <v>6083</v>
      </c>
      <c r="K873" s="232">
        <v>940891</v>
      </c>
      <c r="L873" s="232"/>
      <c r="M873" s="226">
        <v>0</v>
      </c>
      <c r="N873" s="226">
        <v>0</v>
      </c>
      <c r="O873" s="232">
        <v>55021</v>
      </c>
      <c r="P873" s="232">
        <v>55021</v>
      </c>
      <c r="Q873" s="232"/>
      <c r="R873" s="394">
        <v>941564</v>
      </c>
      <c r="S873" s="232">
        <v>-20962</v>
      </c>
      <c r="T873" s="398">
        <v>920602</v>
      </c>
      <c r="U873" s="232"/>
      <c r="V873" s="398"/>
      <c r="W873" s="398"/>
      <c r="X873" s="398">
        <v>5555020</v>
      </c>
      <c r="Y873" s="398">
        <v>396783</v>
      </c>
    </row>
    <row r="874" spans="1:25">
      <c r="A874" s="392">
        <v>99404</v>
      </c>
      <c r="B874" s="393" t="s">
        <v>1568</v>
      </c>
      <c r="C874" s="235">
        <v>8.1000000000000004E-6</v>
      </c>
      <c r="D874" s="235">
        <v>8.4999999999999999E-6</v>
      </c>
      <c r="E874" s="232">
        <v>28945</v>
      </c>
      <c r="F874" s="232" t="s">
        <v>1930</v>
      </c>
      <c r="G874" s="394">
        <v>3655</v>
      </c>
      <c r="H874" s="394">
        <v>4074</v>
      </c>
      <c r="I874" s="394">
        <v>2154</v>
      </c>
      <c r="J874" s="232">
        <v>2273</v>
      </c>
      <c r="K874" s="232">
        <v>12156</v>
      </c>
      <c r="L874" s="232"/>
      <c r="M874" s="226">
        <v>0</v>
      </c>
      <c r="N874" s="226">
        <v>0</v>
      </c>
      <c r="O874" s="232">
        <v>0</v>
      </c>
      <c r="P874" s="232">
        <v>0</v>
      </c>
      <c r="Q874" s="232"/>
      <c r="R874" s="394">
        <v>9954</v>
      </c>
      <c r="S874" s="232">
        <v>1068</v>
      </c>
      <c r="T874" s="398">
        <v>11022</v>
      </c>
      <c r="U874" s="232"/>
      <c r="V874" s="398"/>
      <c r="W874" s="398"/>
      <c r="X874" s="398">
        <v>58726</v>
      </c>
      <c r="Y874" s="398">
        <v>4195</v>
      </c>
    </row>
    <row r="875" spans="1:25">
      <c r="A875" s="392">
        <v>99405</v>
      </c>
      <c r="B875" s="393" t="s">
        <v>1569</v>
      </c>
      <c r="C875" s="235">
        <v>5.91E-5</v>
      </c>
      <c r="D875" s="235">
        <v>5.9799999999999997E-5</v>
      </c>
      <c r="E875" s="232">
        <v>211189</v>
      </c>
      <c r="F875" s="232" t="s">
        <v>1930</v>
      </c>
      <c r="G875" s="394">
        <v>26670</v>
      </c>
      <c r="H875" s="394">
        <v>29719</v>
      </c>
      <c r="I875" s="394">
        <v>15717</v>
      </c>
      <c r="J875" s="232">
        <v>20640</v>
      </c>
      <c r="K875" s="232">
        <v>92746</v>
      </c>
      <c r="L875" s="232"/>
      <c r="M875" s="226">
        <v>0</v>
      </c>
      <c r="N875" s="226">
        <v>0</v>
      </c>
      <c r="O875" s="232">
        <v>0</v>
      </c>
      <c r="P875" s="232">
        <v>0</v>
      </c>
      <c r="Q875" s="232"/>
      <c r="R875" s="394">
        <v>72627</v>
      </c>
      <c r="S875" s="232">
        <v>9677</v>
      </c>
      <c r="T875" s="398">
        <v>82304</v>
      </c>
      <c r="U875" s="232"/>
      <c r="V875" s="398"/>
      <c r="W875" s="398"/>
      <c r="X875" s="398">
        <v>428480</v>
      </c>
      <c r="Y875" s="398">
        <v>30605</v>
      </c>
    </row>
    <row r="876" spans="1:25">
      <c r="A876" s="392">
        <v>99411</v>
      </c>
      <c r="B876" s="393" t="s">
        <v>1570</v>
      </c>
      <c r="C876" s="235">
        <v>1.6799999999999999E-4</v>
      </c>
      <c r="D876" s="235">
        <v>1.7139999999999999E-4</v>
      </c>
      <c r="E876" s="232">
        <v>600336</v>
      </c>
      <c r="F876" s="232" t="s">
        <v>1930</v>
      </c>
      <c r="G876" s="394">
        <v>75812</v>
      </c>
      <c r="H876" s="394">
        <v>84481</v>
      </c>
      <c r="I876" s="394">
        <v>44677</v>
      </c>
      <c r="J876" s="232">
        <v>21289</v>
      </c>
      <c r="K876" s="232">
        <v>226259</v>
      </c>
      <c r="L876" s="232"/>
      <c r="M876" s="226">
        <v>0</v>
      </c>
      <c r="N876" s="226">
        <v>0</v>
      </c>
      <c r="O876" s="232">
        <v>0</v>
      </c>
      <c r="P876" s="232">
        <v>0</v>
      </c>
      <c r="Q876" s="232"/>
      <c r="R876" s="394">
        <v>206451</v>
      </c>
      <c r="S876" s="232">
        <v>16093</v>
      </c>
      <c r="T876" s="398">
        <v>222544</v>
      </c>
      <c r="U876" s="232"/>
      <c r="V876" s="398"/>
      <c r="W876" s="398"/>
      <c r="X876" s="398">
        <v>1218015</v>
      </c>
      <c r="Y876" s="398">
        <v>87000</v>
      </c>
    </row>
    <row r="877" spans="1:25">
      <c r="A877" s="392">
        <v>99413</v>
      </c>
      <c r="B877" s="393" t="s">
        <v>1571</v>
      </c>
      <c r="C877" s="235">
        <v>3.3899999999999997E-5</v>
      </c>
      <c r="D877" s="235">
        <v>2.0400000000000001E-5</v>
      </c>
      <c r="E877" s="232">
        <v>121139</v>
      </c>
      <c r="F877" s="232" t="s">
        <v>1930</v>
      </c>
      <c r="G877" s="394">
        <v>15298</v>
      </c>
      <c r="H877" s="394">
        <v>17047</v>
      </c>
      <c r="I877" s="394">
        <v>9015</v>
      </c>
      <c r="J877" s="232">
        <v>29441</v>
      </c>
      <c r="K877" s="232">
        <v>70801</v>
      </c>
      <c r="L877" s="232"/>
      <c r="M877" s="226">
        <v>0</v>
      </c>
      <c r="N877" s="226">
        <v>0</v>
      </c>
      <c r="O877" s="232">
        <v>1708</v>
      </c>
      <c r="P877" s="232">
        <v>1708</v>
      </c>
      <c r="Q877" s="232"/>
      <c r="R877" s="394">
        <v>41659</v>
      </c>
      <c r="S877" s="232">
        <v>9283</v>
      </c>
      <c r="T877" s="398">
        <v>50942</v>
      </c>
      <c r="U877" s="232"/>
      <c r="V877" s="398"/>
      <c r="W877" s="398"/>
      <c r="X877" s="398">
        <v>245778</v>
      </c>
      <c r="Y877" s="398">
        <v>17555</v>
      </c>
    </row>
    <row r="878" spans="1:25">
      <c r="A878" s="392">
        <v>99421</v>
      </c>
      <c r="B878" s="393" t="s">
        <v>1572</v>
      </c>
      <c r="C878" s="235">
        <v>1.0699999999999999E-5</v>
      </c>
      <c r="D878" s="235">
        <v>1.3499999999999999E-5</v>
      </c>
      <c r="E878" s="232">
        <v>38236</v>
      </c>
      <c r="F878" s="232" t="s">
        <v>1930</v>
      </c>
      <c r="G878" s="394">
        <v>4828</v>
      </c>
      <c r="H878" s="394">
        <v>5380</v>
      </c>
      <c r="I878" s="394">
        <v>2845</v>
      </c>
      <c r="J878" s="232">
        <v>677</v>
      </c>
      <c r="K878" s="232">
        <v>13730</v>
      </c>
      <c r="L878" s="232"/>
      <c r="M878" s="226">
        <v>0</v>
      </c>
      <c r="N878" s="226">
        <v>0</v>
      </c>
      <c r="O878" s="232">
        <v>4184</v>
      </c>
      <c r="P878" s="232">
        <v>4184</v>
      </c>
      <c r="Q878" s="232"/>
      <c r="R878" s="394">
        <v>13149</v>
      </c>
      <c r="S878" s="232">
        <v>-2202</v>
      </c>
      <c r="T878" s="398">
        <v>10947</v>
      </c>
      <c r="U878" s="232"/>
      <c r="V878" s="398"/>
      <c r="W878" s="398"/>
      <c r="X878" s="398">
        <v>77576</v>
      </c>
      <c r="Y878" s="398">
        <v>5541</v>
      </c>
    </row>
    <row r="879" spans="1:25">
      <c r="A879" s="392">
        <v>99431</v>
      </c>
      <c r="B879" s="393" t="s">
        <v>1573</v>
      </c>
      <c r="C879" s="235">
        <v>1.91E-5</v>
      </c>
      <c r="D879" s="235">
        <v>1.4800000000000001E-5</v>
      </c>
      <c r="E879" s="232">
        <v>68252</v>
      </c>
      <c r="F879" s="232" t="s">
        <v>1930</v>
      </c>
      <c r="G879" s="394">
        <v>8619</v>
      </c>
      <c r="H879" s="394">
        <v>9605</v>
      </c>
      <c r="I879" s="394">
        <v>5079</v>
      </c>
      <c r="J879" s="232">
        <v>4385</v>
      </c>
      <c r="K879" s="232">
        <v>27688</v>
      </c>
      <c r="L879" s="232"/>
      <c r="M879" s="226">
        <v>0</v>
      </c>
      <c r="N879" s="226">
        <v>0</v>
      </c>
      <c r="O879" s="232">
        <v>5883</v>
      </c>
      <c r="P879" s="232">
        <v>5883</v>
      </c>
      <c r="Q879" s="232"/>
      <c r="R879" s="394">
        <v>23472</v>
      </c>
      <c r="S879" s="232">
        <v>-1235</v>
      </c>
      <c r="T879" s="398">
        <v>22237</v>
      </c>
      <c r="U879" s="232"/>
      <c r="V879" s="398"/>
      <c r="W879" s="398"/>
      <c r="X879" s="398">
        <v>138477</v>
      </c>
      <c r="Y879" s="398">
        <v>9891</v>
      </c>
    </row>
    <row r="880" spans="1:25" customFormat="1">
      <c r="A880" s="392">
        <v>99501</v>
      </c>
      <c r="B880" s="393" t="s">
        <v>1574</v>
      </c>
      <c r="C880" s="235">
        <v>1.6310999999999999E-3</v>
      </c>
      <c r="D880" s="235">
        <v>1.6478E-3</v>
      </c>
      <c r="E880" s="232">
        <v>5828615</v>
      </c>
      <c r="F880" s="232" t="s">
        <v>1930</v>
      </c>
      <c r="G880" s="394">
        <v>736052</v>
      </c>
      <c r="H880" s="394">
        <v>820221</v>
      </c>
      <c r="I880" s="394">
        <v>433763</v>
      </c>
      <c r="J880" s="232">
        <v>84141</v>
      </c>
      <c r="K880" s="232">
        <v>2074177</v>
      </c>
      <c r="L880" s="232"/>
      <c r="M880" s="226">
        <v>0</v>
      </c>
      <c r="N880" s="226">
        <v>0</v>
      </c>
      <c r="O880" s="232">
        <v>5377</v>
      </c>
      <c r="P880" s="232">
        <v>5377</v>
      </c>
      <c r="Q880" s="232"/>
      <c r="R880" s="394">
        <v>2004418</v>
      </c>
      <c r="S880" s="232">
        <v>25016</v>
      </c>
      <c r="T880" s="398">
        <v>2029434</v>
      </c>
      <c r="U880" s="232"/>
      <c r="V880" s="398"/>
      <c r="W880" s="398"/>
      <c r="X880" s="398">
        <v>11825625</v>
      </c>
      <c r="Y880" s="398">
        <v>844678</v>
      </c>
    </row>
    <row r="881" spans="1:25" customFormat="1">
      <c r="A881" s="392">
        <v>99502</v>
      </c>
      <c r="B881" s="393" t="s">
        <v>1575</v>
      </c>
      <c r="C881" s="235">
        <v>1.5109999999999999E-4</v>
      </c>
      <c r="D881" s="235">
        <v>1.4459999999999999E-4</v>
      </c>
      <c r="E881" s="232">
        <v>539945</v>
      </c>
      <c r="F881" s="232" t="s">
        <v>1930</v>
      </c>
      <c r="G881" s="394">
        <v>68186</v>
      </c>
      <c r="H881" s="394">
        <v>75983</v>
      </c>
      <c r="I881" s="394">
        <v>40182</v>
      </c>
      <c r="J881" s="232">
        <v>11097</v>
      </c>
      <c r="K881" s="232">
        <v>195448</v>
      </c>
      <c r="L881" s="232"/>
      <c r="M881" s="226">
        <v>0</v>
      </c>
      <c r="N881" s="226">
        <v>0</v>
      </c>
      <c r="O881" s="232">
        <v>9731</v>
      </c>
      <c r="P881" s="232">
        <v>9731</v>
      </c>
      <c r="Q881" s="232"/>
      <c r="R881" s="394">
        <v>185683</v>
      </c>
      <c r="S881" s="232">
        <v>4026</v>
      </c>
      <c r="T881" s="398">
        <v>189709</v>
      </c>
      <c r="U881" s="232"/>
      <c r="V881" s="398"/>
      <c r="W881" s="398"/>
      <c r="X881" s="398">
        <v>1095489</v>
      </c>
      <c r="Y881" s="398">
        <v>78248</v>
      </c>
    </row>
    <row r="882" spans="1:25" customFormat="1">
      <c r="A882" s="392">
        <v>99508</v>
      </c>
      <c r="B882" s="393" t="s">
        <v>1576</v>
      </c>
      <c r="C882" s="235">
        <v>2.0800000000000001E-5</v>
      </c>
      <c r="D882" s="235">
        <v>2.0999999999999999E-5</v>
      </c>
      <c r="E882" s="232">
        <v>74327</v>
      </c>
      <c r="F882" s="232" t="s">
        <v>1930</v>
      </c>
      <c r="G882" s="394">
        <v>9386</v>
      </c>
      <c r="H882" s="394">
        <v>10460</v>
      </c>
      <c r="I882" s="394">
        <v>5531</v>
      </c>
      <c r="J882" s="232">
        <v>10</v>
      </c>
      <c r="K882" s="232">
        <v>25387</v>
      </c>
      <c r="L882" s="232"/>
      <c r="M882" s="226">
        <v>0</v>
      </c>
      <c r="N882" s="226">
        <v>0</v>
      </c>
      <c r="O882" s="232">
        <v>1106</v>
      </c>
      <c r="P882" s="232">
        <v>1106</v>
      </c>
      <c r="Q882" s="232"/>
      <c r="R882" s="394">
        <v>25561</v>
      </c>
      <c r="S882" s="232">
        <v>-587</v>
      </c>
      <c r="T882" s="398">
        <v>24974</v>
      </c>
      <c r="U882" s="232"/>
      <c r="V882" s="398"/>
      <c r="W882" s="398"/>
      <c r="X882" s="398">
        <v>150802</v>
      </c>
      <c r="Y882" s="398">
        <v>10771</v>
      </c>
    </row>
    <row r="883" spans="1:25" customFormat="1">
      <c r="A883" s="392">
        <v>99509</v>
      </c>
      <c r="B883" s="393" t="s">
        <v>1577</v>
      </c>
      <c r="C883" s="235">
        <v>2.0699999999999998E-5</v>
      </c>
      <c r="D883" s="235">
        <v>2.5199999999999999E-5</v>
      </c>
      <c r="E883" s="232">
        <v>73970</v>
      </c>
      <c r="F883" s="232" t="s">
        <v>1930</v>
      </c>
      <c r="G883" s="394">
        <v>9341</v>
      </c>
      <c r="H883" s="394">
        <v>10409</v>
      </c>
      <c r="I883" s="394">
        <v>5505</v>
      </c>
      <c r="J883" s="232">
        <v>0</v>
      </c>
      <c r="K883" s="232">
        <v>25255</v>
      </c>
      <c r="L883" s="232"/>
      <c r="M883" s="226">
        <v>0</v>
      </c>
      <c r="N883" s="226">
        <v>0</v>
      </c>
      <c r="O883" s="232">
        <v>5846</v>
      </c>
      <c r="P883" s="232">
        <v>5846</v>
      </c>
      <c r="Q883" s="232"/>
      <c r="R883" s="394">
        <v>25438</v>
      </c>
      <c r="S883" s="232">
        <v>-2629</v>
      </c>
      <c r="T883" s="398">
        <v>22809</v>
      </c>
      <c r="U883" s="232"/>
      <c r="V883" s="398"/>
      <c r="W883" s="398"/>
      <c r="X883" s="398">
        <v>150077</v>
      </c>
      <c r="Y883" s="398">
        <v>10720</v>
      </c>
    </row>
    <row r="884" spans="1:25" customFormat="1">
      <c r="A884" s="392">
        <v>99511</v>
      </c>
      <c r="B884" s="393" t="s">
        <v>1578</v>
      </c>
      <c r="C884" s="235">
        <v>1.3119E-3</v>
      </c>
      <c r="D884" s="235">
        <v>1.3293999999999999E-3</v>
      </c>
      <c r="E884" s="232">
        <v>4687978</v>
      </c>
      <c r="F884" s="232" t="s">
        <v>1930</v>
      </c>
      <c r="G884" s="394">
        <v>592009</v>
      </c>
      <c r="H884" s="394">
        <v>659707</v>
      </c>
      <c r="I884" s="394">
        <v>348878</v>
      </c>
      <c r="J884" s="232">
        <v>0</v>
      </c>
      <c r="K884" s="232">
        <v>1600594</v>
      </c>
      <c r="L884" s="232"/>
      <c r="M884" s="226">
        <v>0</v>
      </c>
      <c r="N884" s="226">
        <v>0</v>
      </c>
      <c r="O884" s="232">
        <v>146853</v>
      </c>
      <c r="P884" s="232">
        <v>146853</v>
      </c>
      <c r="Q884" s="232"/>
      <c r="R884" s="394">
        <v>1612161</v>
      </c>
      <c r="S884" s="232">
        <v>-75551</v>
      </c>
      <c r="T884" s="398">
        <v>1536610</v>
      </c>
      <c r="U884" s="232"/>
      <c r="V884" s="398"/>
      <c r="W884" s="398"/>
      <c r="X884" s="398">
        <v>9511396</v>
      </c>
      <c r="Y884" s="398">
        <v>679378</v>
      </c>
    </row>
    <row r="885" spans="1:25" customFormat="1">
      <c r="A885" s="392">
        <v>99521</v>
      </c>
      <c r="B885" s="393" t="s">
        <v>1579</v>
      </c>
      <c r="C885" s="235">
        <v>4.8440000000000001E-4</v>
      </c>
      <c r="D885" s="235">
        <v>4.8200000000000001E-4</v>
      </c>
      <c r="E885" s="232">
        <v>1730968</v>
      </c>
      <c r="F885" s="232" t="s">
        <v>1930</v>
      </c>
      <c r="G885" s="394">
        <v>218591</v>
      </c>
      <c r="H885" s="394">
        <v>243587</v>
      </c>
      <c r="I885" s="394">
        <v>128818</v>
      </c>
      <c r="J885" s="232">
        <v>10929</v>
      </c>
      <c r="K885" s="232">
        <v>601925</v>
      </c>
      <c r="L885" s="232"/>
      <c r="M885" s="226">
        <v>0</v>
      </c>
      <c r="N885" s="226">
        <v>0</v>
      </c>
      <c r="O885" s="232">
        <v>58464</v>
      </c>
      <c r="P885" s="232">
        <v>58464</v>
      </c>
      <c r="Q885" s="232"/>
      <c r="R885" s="394">
        <v>595267</v>
      </c>
      <c r="S885" s="232">
        <v>-17512</v>
      </c>
      <c r="T885" s="398">
        <v>577755</v>
      </c>
      <c r="U885" s="232"/>
      <c r="V885" s="398"/>
      <c r="W885" s="398"/>
      <c r="X885" s="398">
        <v>3511945</v>
      </c>
      <c r="Y885" s="398">
        <v>250850</v>
      </c>
    </row>
    <row r="886" spans="1:25" customFormat="1">
      <c r="A886" s="392">
        <v>99527</v>
      </c>
      <c r="B886" s="393" t="s">
        <v>1580</v>
      </c>
      <c r="C886" s="235">
        <v>1.03E-5</v>
      </c>
      <c r="D886" s="235">
        <v>1.1E-5</v>
      </c>
      <c r="E886" s="232">
        <v>36806</v>
      </c>
      <c r="F886" s="232" t="s">
        <v>1930</v>
      </c>
      <c r="G886" s="394">
        <v>4648</v>
      </c>
      <c r="H886" s="394">
        <v>5180</v>
      </c>
      <c r="I886" s="394">
        <v>2739</v>
      </c>
      <c r="J886" s="232">
        <v>1688</v>
      </c>
      <c r="K886" s="232">
        <v>14255</v>
      </c>
      <c r="L886" s="232"/>
      <c r="M886" s="226">
        <v>0</v>
      </c>
      <c r="N886" s="226">
        <v>0</v>
      </c>
      <c r="O886" s="232">
        <v>0</v>
      </c>
      <c r="P886" s="232">
        <v>0</v>
      </c>
      <c r="Q886" s="232"/>
      <c r="R886" s="394">
        <v>12657</v>
      </c>
      <c r="S886" s="232">
        <v>736</v>
      </c>
      <c r="T886" s="398">
        <v>13393</v>
      </c>
      <c r="U886" s="232"/>
      <c r="V886" s="398"/>
      <c r="W886" s="398"/>
      <c r="X886" s="398">
        <v>74676</v>
      </c>
      <c r="Y886" s="398">
        <v>5334</v>
      </c>
    </row>
    <row r="887" spans="1:25" customFormat="1">
      <c r="A887" s="392">
        <v>99531</v>
      </c>
      <c r="B887" s="393" t="s">
        <v>1581</v>
      </c>
      <c r="C887" s="235">
        <v>9.0500000000000004E-5</v>
      </c>
      <c r="D887" s="235">
        <v>8.6299999999999997E-5</v>
      </c>
      <c r="E887" s="232">
        <v>323395</v>
      </c>
      <c r="F887" s="232" t="s">
        <v>1930</v>
      </c>
      <c r="G887" s="394">
        <v>40839</v>
      </c>
      <c r="H887" s="394">
        <v>45509</v>
      </c>
      <c r="I887" s="394">
        <v>24067</v>
      </c>
      <c r="J887" s="232">
        <v>44770</v>
      </c>
      <c r="K887" s="232">
        <v>155185</v>
      </c>
      <c r="L887" s="232"/>
      <c r="M887" s="226">
        <v>0</v>
      </c>
      <c r="N887" s="226">
        <v>0</v>
      </c>
      <c r="O887" s="232">
        <v>0</v>
      </c>
      <c r="P887" s="232">
        <v>0</v>
      </c>
      <c r="Q887" s="232"/>
      <c r="R887" s="394">
        <v>111213</v>
      </c>
      <c r="S887" s="232">
        <v>26934</v>
      </c>
      <c r="T887" s="398">
        <v>138147</v>
      </c>
      <c r="U887" s="232"/>
      <c r="V887" s="398"/>
      <c r="W887" s="398"/>
      <c r="X887" s="398">
        <v>656133</v>
      </c>
      <c r="Y887" s="398">
        <v>46866</v>
      </c>
    </row>
    <row r="888" spans="1:25" customFormat="1">
      <c r="A888" s="392">
        <v>99601</v>
      </c>
      <c r="B888" s="393" t="s">
        <v>1582</v>
      </c>
      <c r="C888" s="235">
        <v>5.3302000000000002E-3</v>
      </c>
      <c r="D888" s="235">
        <v>5.9021999999999998E-3</v>
      </c>
      <c r="E888" s="232">
        <v>19047075</v>
      </c>
      <c r="F888" s="232" t="s">
        <v>1930</v>
      </c>
      <c r="G888" s="394">
        <v>2405311</v>
      </c>
      <c r="H888" s="394">
        <v>2680366</v>
      </c>
      <c r="I888" s="394">
        <v>1417476</v>
      </c>
      <c r="J888" s="232">
        <v>65247</v>
      </c>
      <c r="K888" s="232">
        <v>6568400</v>
      </c>
      <c r="L888" s="232"/>
      <c r="M888" s="226">
        <v>0</v>
      </c>
      <c r="N888" s="226">
        <v>0</v>
      </c>
      <c r="O888" s="232">
        <v>928621</v>
      </c>
      <c r="P888" s="232">
        <v>928621</v>
      </c>
      <c r="Q888" s="232"/>
      <c r="R888" s="394">
        <v>6550150</v>
      </c>
      <c r="S888" s="232">
        <v>-266091</v>
      </c>
      <c r="T888" s="398">
        <v>6284059</v>
      </c>
      <c r="U888" s="232"/>
      <c r="V888" s="398"/>
      <c r="W888" s="398"/>
      <c r="X888" s="398">
        <v>38644440</v>
      </c>
      <c r="Y888" s="398">
        <v>2760287</v>
      </c>
    </row>
    <row r="889" spans="1:25" customFormat="1">
      <c r="A889" s="392">
        <v>99602</v>
      </c>
      <c r="B889" s="393" t="s">
        <v>1583</v>
      </c>
      <c r="C889" s="235">
        <v>6.1199999999999997E-5</v>
      </c>
      <c r="D889" s="235">
        <v>6.1500000000000004E-5</v>
      </c>
      <c r="E889" s="232">
        <v>218694</v>
      </c>
      <c r="F889" s="232" t="s">
        <v>1930</v>
      </c>
      <c r="G889" s="394">
        <v>27617</v>
      </c>
      <c r="H889" s="394">
        <v>30775</v>
      </c>
      <c r="I889" s="394">
        <v>16275</v>
      </c>
      <c r="J889" s="232">
        <v>1658</v>
      </c>
      <c r="K889" s="232">
        <v>76325</v>
      </c>
      <c r="L889" s="232"/>
      <c r="M889" s="226">
        <v>0</v>
      </c>
      <c r="N889" s="226">
        <v>0</v>
      </c>
      <c r="O889" s="232">
        <v>6526</v>
      </c>
      <c r="P889" s="232">
        <v>6526</v>
      </c>
      <c r="Q889" s="232"/>
      <c r="R889" s="394">
        <v>75207</v>
      </c>
      <c r="S889" s="232">
        <v>-111</v>
      </c>
      <c r="T889" s="398">
        <v>75096</v>
      </c>
      <c r="U889" s="232"/>
      <c r="V889" s="398"/>
      <c r="W889" s="398"/>
      <c r="X889" s="398">
        <v>443706</v>
      </c>
      <c r="Y889" s="398">
        <v>31693</v>
      </c>
    </row>
    <row r="890" spans="1:25" customFormat="1">
      <c r="A890" s="392">
        <v>99603</v>
      </c>
      <c r="B890" s="393" t="s">
        <v>1584</v>
      </c>
      <c r="C890" s="235">
        <v>1.426E-4</v>
      </c>
      <c r="D890" s="235">
        <v>1.5540000000000001E-4</v>
      </c>
      <c r="E890" s="232">
        <v>509571</v>
      </c>
      <c r="F890" s="232" t="s">
        <v>1930</v>
      </c>
      <c r="G890" s="394">
        <v>64350</v>
      </c>
      <c r="H890" s="394">
        <v>71709</v>
      </c>
      <c r="I890" s="394">
        <v>37922</v>
      </c>
      <c r="J890" s="232">
        <v>14753</v>
      </c>
      <c r="K890" s="232">
        <v>188734</v>
      </c>
      <c r="L890" s="232"/>
      <c r="M890" s="226">
        <v>0</v>
      </c>
      <c r="N890" s="226">
        <v>0</v>
      </c>
      <c r="O890" s="232">
        <v>8251</v>
      </c>
      <c r="P890" s="232">
        <v>8251</v>
      </c>
      <c r="Q890" s="232"/>
      <c r="R890" s="394">
        <v>175238</v>
      </c>
      <c r="S890" s="232">
        <v>20930</v>
      </c>
      <c r="T890" s="398">
        <v>196168</v>
      </c>
      <c r="U890" s="232"/>
      <c r="V890" s="398"/>
      <c r="W890" s="398"/>
      <c r="X890" s="398">
        <v>1033863</v>
      </c>
      <c r="Y890" s="398">
        <v>73847</v>
      </c>
    </row>
    <row r="891" spans="1:25" customFormat="1">
      <c r="A891" s="392">
        <v>99604</v>
      </c>
      <c r="B891" s="393" t="s">
        <v>1585</v>
      </c>
      <c r="C891" s="235">
        <v>1.043E-4</v>
      </c>
      <c r="D891" s="235">
        <v>9.1100000000000005E-5</v>
      </c>
      <c r="E891" s="232">
        <v>372708</v>
      </c>
      <c r="F891" s="232" t="s">
        <v>1930</v>
      </c>
      <c r="G891" s="394">
        <v>47067</v>
      </c>
      <c r="H891" s="394">
        <v>52448</v>
      </c>
      <c r="I891" s="394">
        <v>27737</v>
      </c>
      <c r="J891" s="232">
        <v>31003</v>
      </c>
      <c r="K891" s="232">
        <v>158255</v>
      </c>
      <c r="L891" s="232"/>
      <c r="M891" s="226">
        <v>0</v>
      </c>
      <c r="N891" s="226">
        <v>0</v>
      </c>
      <c r="O891" s="232">
        <v>0</v>
      </c>
      <c r="P891" s="232">
        <v>0</v>
      </c>
      <c r="Q891" s="232"/>
      <c r="R891" s="394">
        <v>128172</v>
      </c>
      <c r="S891" s="232">
        <v>13845</v>
      </c>
      <c r="T891" s="398">
        <v>142017</v>
      </c>
      <c r="U891" s="232"/>
      <c r="V891" s="398"/>
      <c r="W891" s="398"/>
      <c r="X891" s="398">
        <v>756185</v>
      </c>
      <c r="Y891" s="398">
        <v>54013</v>
      </c>
    </row>
    <row r="892" spans="1:25" customFormat="1">
      <c r="A892" s="392">
        <v>99609</v>
      </c>
      <c r="B892" s="393" t="s">
        <v>1586</v>
      </c>
      <c r="C892" s="235">
        <v>2.9499999999999999E-5</v>
      </c>
      <c r="D892" s="235">
        <v>2.8799999999999999E-5</v>
      </c>
      <c r="E892" s="232">
        <v>105416</v>
      </c>
      <c r="F892" s="232" t="s">
        <v>1930</v>
      </c>
      <c r="G892" s="394">
        <v>13312</v>
      </c>
      <c r="H892" s="394">
        <v>14834</v>
      </c>
      <c r="I892" s="394">
        <v>7845</v>
      </c>
      <c r="J892" s="232">
        <v>5822</v>
      </c>
      <c r="K892" s="232">
        <v>41813</v>
      </c>
      <c r="L892" s="232"/>
      <c r="M892" s="226">
        <v>0</v>
      </c>
      <c r="N892" s="226">
        <v>0</v>
      </c>
      <c r="O892" s="232">
        <v>747</v>
      </c>
      <c r="P892" s="232">
        <v>747</v>
      </c>
      <c r="Q892" s="232"/>
      <c r="R892" s="394">
        <v>36252</v>
      </c>
      <c r="S892" s="232">
        <v>2308</v>
      </c>
      <c r="T892" s="398">
        <v>38560</v>
      </c>
      <c r="U892" s="232"/>
      <c r="V892" s="398"/>
      <c r="W892" s="398"/>
      <c r="X892" s="398">
        <v>213878</v>
      </c>
      <c r="Y892" s="398">
        <v>15277</v>
      </c>
    </row>
    <row r="893" spans="1:25" customFormat="1">
      <c r="A893" s="392">
        <v>99610</v>
      </c>
      <c r="B893" s="393" t="s">
        <v>1587</v>
      </c>
      <c r="C893" s="235">
        <v>1.6770000000000001E-4</v>
      </c>
      <c r="D893" s="235">
        <v>1.683E-4</v>
      </c>
      <c r="E893" s="232">
        <v>599264</v>
      </c>
      <c r="F893" s="232" t="s">
        <v>1930</v>
      </c>
      <c r="G893" s="394">
        <v>75676</v>
      </c>
      <c r="H893" s="394">
        <v>84330</v>
      </c>
      <c r="I893" s="394">
        <v>44597</v>
      </c>
      <c r="J893" s="232">
        <v>8149</v>
      </c>
      <c r="K893" s="232">
        <v>212752</v>
      </c>
      <c r="L893" s="232"/>
      <c r="M893" s="226">
        <v>0</v>
      </c>
      <c r="N893" s="226">
        <v>0</v>
      </c>
      <c r="O893" s="232">
        <v>10694</v>
      </c>
      <c r="P893" s="232">
        <v>10694</v>
      </c>
      <c r="Q893" s="232"/>
      <c r="R893" s="394">
        <v>206082</v>
      </c>
      <c r="S893" s="232">
        <v>-1439</v>
      </c>
      <c r="T893" s="398">
        <v>204643</v>
      </c>
      <c r="U893" s="232"/>
      <c r="V893" s="398"/>
      <c r="W893" s="398"/>
      <c r="X893" s="398">
        <v>1215840</v>
      </c>
      <c r="Y893" s="398">
        <v>86845</v>
      </c>
    </row>
    <row r="894" spans="1:25" customFormat="1">
      <c r="A894" s="392">
        <v>99611</v>
      </c>
      <c r="B894" s="393" t="s">
        <v>1588</v>
      </c>
      <c r="C894" s="235">
        <v>3.1828E-3</v>
      </c>
      <c r="D894" s="235">
        <v>3.2022000000000001E-3</v>
      </c>
      <c r="E894" s="232">
        <v>11373500</v>
      </c>
      <c r="F894" s="232" t="s">
        <v>1930</v>
      </c>
      <c r="G894" s="394">
        <v>1436274</v>
      </c>
      <c r="H894" s="394">
        <v>1600516</v>
      </c>
      <c r="I894" s="394">
        <v>846412</v>
      </c>
      <c r="J894" s="232">
        <v>26344</v>
      </c>
      <c r="K894" s="232">
        <v>3909546</v>
      </c>
      <c r="L894" s="232"/>
      <c r="M894" s="226">
        <v>0</v>
      </c>
      <c r="N894" s="226">
        <v>0</v>
      </c>
      <c r="O894" s="232">
        <v>142908</v>
      </c>
      <c r="P894" s="232">
        <v>142908</v>
      </c>
      <c r="Q894" s="232"/>
      <c r="R894" s="394">
        <v>3911263</v>
      </c>
      <c r="S894" s="232">
        <v>-69414</v>
      </c>
      <c r="T894" s="398">
        <v>3841849</v>
      </c>
      <c r="U894" s="232"/>
      <c r="V894" s="398"/>
      <c r="W894" s="398"/>
      <c r="X894" s="398">
        <v>23075593</v>
      </c>
      <c r="Y894" s="398">
        <v>1648238</v>
      </c>
    </row>
    <row r="895" spans="1:25" customFormat="1">
      <c r="A895" s="392">
        <v>99613</v>
      </c>
      <c r="B895" s="393" t="s">
        <v>1589</v>
      </c>
      <c r="C895" s="235">
        <v>3.1920000000000001E-4</v>
      </c>
      <c r="D895" s="235">
        <v>3.3720000000000001E-4</v>
      </c>
      <c r="E895" s="232">
        <v>1140638</v>
      </c>
      <c r="F895" s="232" t="s">
        <v>1930</v>
      </c>
      <c r="G895" s="394">
        <v>144043</v>
      </c>
      <c r="H895" s="394">
        <v>160514</v>
      </c>
      <c r="I895" s="394">
        <v>84886</v>
      </c>
      <c r="J895" s="232">
        <v>108321</v>
      </c>
      <c r="K895" s="232">
        <v>497764</v>
      </c>
      <c r="L895" s="232"/>
      <c r="M895" s="226">
        <v>0</v>
      </c>
      <c r="N895" s="226">
        <v>0</v>
      </c>
      <c r="O895" s="232">
        <v>28456</v>
      </c>
      <c r="P895" s="232">
        <v>28456</v>
      </c>
      <c r="Q895" s="232"/>
      <c r="R895" s="394">
        <v>392257</v>
      </c>
      <c r="S895" s="232">
        <v>95254</v>
      </c>
      <c r="T895" s="398">
        <v>487511</v>
      </c>
      <c r="U895" s="232"/>
      <c r="V895" s="398"/>
      <c r="W895" s="398"/>
      <c r="X895" s="398">
        <v>2314229</v>
      </c>
      <c r="Y895" s="398">
        <v>165300</v>
      </c>
    </row>
    <row r="896" spans="1:25" customFormat="1">
      <c r="A896" s="392">
        <v>99621</v>
      </c>
      <c r="B896" s="393" t="s">
        <v>1590</v>
      </c>
      <c r="C896" s="235">
        <v>3.3040000000000001E-4</v>
      </c>
      <c r="D896" s="235">
        <v>3.5530000000000002E-4</v>
      </c>
      <c r="E896" s="232">
        <v>1180660</v>
      </c>
      <c r="F896" s="232" t="s">
        <v>1930</v>
      </c>
      <c r="G896" s="394">
        <v>149097</v>
      </c>
      <c r="H896" s="394">
        <v>166147</v>
      </c>
      <c r="I896" s="394">
        <v>87864</v>
      </c>
      <c r="J896" s="232">
        <v>6319</v>
      </c>
      <c r="K896" s="232">
        <v>409427</v>
      </c>
      <c r="L896" s="232"/>
      <c r="M896" s="226">
        <v>0</v>
      </c>
      <c r="N896" s="226">
        <v>0</v>
      </c>
      <c r="O896" s="232">
        <v>37346</v>
      </c>
      <c r="P896" s="232">
        <v>37346</v>
      </c>
      <c r="Q896" s="232"/>
      <c r="R896" s="394">
        <v>406020</v>
      </c>
      <c r="S896" s="232">
        <v>-2630</v>
      </c>
      <c r="T896" s="398">
        <v>403390</v>
      </c>
      <c r="U896" s="232"/>
      <c r="V896" s="398"/>
      <c r="W896" s="398"/>
      <c r="X896" s="398">
        <v>2395430</v>
      </c>
      <c r="Y896" s="398">
        <v>171100</v>
      </c>
    </row>
    <row r="897" spans="1:25" customFormat="1">
      <c r="A897" s="392">
        <v>99623</v>
      </c>
      <c r="B897" s="393" t="s">
        <v>1591</v>
      </c>
      <c r="C897" s="235">
        <v>1.6699999999999999E-5</v>
      </c>
      <c r="D897" s="235">
        <v>1.08E-5</v>
      </c>
      <c r="E897" s="232">
        <v>59676</v>
      </c>
      <c r="F897" s="232" t="s">
        <v>1930</v>
      </c>
      <c r="G897" s="394">
        <v>7536</v>
      </c>
      <c r="H897" s="394">
        <v>8398</v>
      </c>
      <c r="I897" s="394">
        <v>4441</v>
      </c>
      <c r="J897" s="232">
        <v>8179</v>
      </c>
      <c r="K897" s="232">
        <v>28554</v>
      </c>
      <c r="L897" s="232"/>
      <c r="M897" s="226">
        <v>0</v>
      </c>
      <c r="N897" s="226">
        <v>0</v>
      </c>
      <c r="O897" s="232">
        <v>15189</v>
      </c>
      <c r="P897" s="232">
        <v>15189</v>
      </c>
      <c r="Q897" s="232"/>
      <c r="R897" s="394">
        <v>20522</v>
      </c>
      <c r="S897" s="232">
        <v>-2491</v>
      </c>
      <c r="T897" s="398">
        <v>18031</v>
      </c>
      <c r="U897" s="232"/>
      <c r="V897" s="398"/>
      <c r="W897" s="398"/>
      <c r="X897" s="398">
        <v>121077</v>
      </c>
      <c r="Y897" s="398">
        <v>8648</v>
      </c>
    </row>
    <row r="898" spans="1:25" customFormat="1">
      <c r="A898" s="392">
        <v>99631</v>
      </c>
      <c r="B898" s="393" t="s">
        <v>1592</v>
      </c>
      <c r="C898" s="235">
        <v>7.6899999999999999E-5</v>
      </c>
      <c r="D898" s="235">
        <v>1.078E-4</v>
      </c>
      <c r="E898" s="232">
        <v>274796</v>
      </c>
      <c r="F898" s="232" t="s">
        <v>1930</v>
      </c>
      <c r="G898" s="394">
        <v>34702</v>
      </c>
      <c r="H898" s="394">
        <v>38671</v>
      </c>
      <c r="I898" s="394">
        <v>20450</v>
      </c>
      <c r="J898" s="232">
        <v>267</v>
      </c>
      <c r="K898" s="232">
        <v>94090</v>
      </c>
      <c r="L898" s="232"/>
      <c r="M898" s="226">
        <v>0</v>
      </c>
      <c r="N898" s="226">
        <v>0</v>
      </c>
      <c r="O898" s="232">
        <v>45055</v>
      </c>
      <c r="P898" s="232">
        <v>45055</v>
      </c>
      <c r="Q898" s="232"/>
      <c r="R898" s="394">
        <v>94500</v>
      </c>
      <c r="S898" s="232">
        <v>-15160</v>
      </c>
      <c r="T898" s="398">
        <v>79340</v>
      </c>
      <c r="U898" s="232"/>
      <c r="V898" s="398"/>
      <c r="W898" s="398"/>
      <c r="X898" s="398">
        <v>557532</v>
      </c>
      <c r="Y898" s="398">
        <v>39823</v>
      </c>
    </row>
    <row r="899" spans="1:25" customFormat="1">
      <c r="A899" s="392">
        <v>99651</v>
      </c>
      <c r="B899" s="393" t="s">
        <v>1593</v>
      </c>
      <c r="C899" s="235">
        <v>6.5199999999999999E-5</v>
      </c>
      <c r="D899" s="235">
        <v>6.5300000000000002E-5</v>
      </c>
      <c r="E899" s="232">
        <v>232987</v>
      </c>
      <c r="F899" s="232" t="s">
        <v>1930</v>
      </c>
      <c r="G899" s="394">
        <v>29422</v>
      </c>
      <c r="H899" s="394">
        <v>32787</v>
      </c>
      <c r="I899" s="394">
        <v>17339</v>
      </c>
      <c r="J899" s="232">
        <v>5735</v>
      </c>
      <c r="K899" s="232">
        <v>85283</v>
      </c>
      <c r="L899" s="232"/>
      <c r="M899" s="226">
        <v>0</v>
      </c>
      <c r="N899" s="226">
        <v>0</v>
      </c>
      <c r="O899" s="232">
        <v>6382</v>
      </c>
      <c r="P899" s="232">
        <v>6382</v>
      </c>
      <c r="Q899" s="232"/>
      <c r="R899" s="394">
        <v>80123</v>
      </c>
      <c r="S899" s="232">
        <v>-172</v>
      </c>
      <c r="T899" s="398">
        <v>79951</v>
      </c>
      <c r="U899" s="232"/>
      <c r="V899" s="398"/>
      <c r="W899" s="398"/>
      <c r="X899" s="398">
        <v>472706</v>
      </c>
      <c r="Y899" s="398">
        <v>33764</v>
      </c>
    </row>
    <row r="900" spans="1:25" customFormat="1">
      <c r="A900" s="392">
        <v>99661</v>
      </c>
      <c r="B900" s="393" t="s">
        <v>1594</v>
      </c>
      <c r="C900" s="235">
        <v>3.4400000000000003E-5</v>
      </c>
      <c r="D900" s="235">
        <v>3.4799999999999999E-5</v>
      </c>
      <c r="E900" s="232">
        <v>122926</v>
      </c>
      <c r="F900" s="232" t="s">
        <v>1930</v>
      </c>
      <c r="G900" s="394">
        <v>15523</v>
      </c>
      <c r="H900" s="394">
        <v>17299</v>
      </c>
      <c r="I900" s="394">
        <v>9148</v>
      </c>
      <c r="J900" s="232">
        <v>42818</v>
      </c>
      <c r="K900" s="232">
        <v>84788</v>
      </c>
      <c r="L900" s="232"/>
      <c r="M900" s="226">
        <v>0</v>
      </c>
      <c r="N900" s="226">
        <v>0</v>
      </c>
      <c r="O900" s="232">
        <v>0</v>
      </c>
      <c r="P900" s="232">
        <v>0</v>
      </c>
      <c r="Q900" s="232"/>
      <c r="R900" s="394">
        <v>42273</v>
      </c>
      <c r="S900" s="232">
        <v>21749</v>
      </c>
      <c r="T900" s="398">
        <v>64022</v>
      </c>
      <c r="U900" s="232"/>
      <c r="V900" s="398"/>
      <c r="W900" s="398"/>
      <c r="X900" s="398">
        <v>249403</v>
      </c>
      <c r="Y900" s="398">
        <v>17814</v>
      </c>
    </row>
    <row r="901" spans="1:25" customFormat="1">
      <c r="A901" s="392">
        <v>99701</v>
      </c>
      <c r="B901" s="393" t="s">
        <v>1595</v>
      </c>
      <c r="C901" s="235">
        <v>3.0582000000000001E-3</v>
      </c>
      <c r="D901" s="235">
        <v>2.9930999999999998E-3</v>
      </c>
      <c r="E901" s="232">
        <v>10928251</v>
      </c>
      <c r="F901" s="232" t="s">
        <v>1930</v>
      </c>
      <c r="G901" s="394">
        <v>1380046</v>
      </c>
      <c r="H901" s="394">
        <v>1537859</v>
      </c>
      <c r="I901" s="394">
        <v>813276</v>
      </c>
      <c r="J901" s="232">
        <v>51738</v>
      </c>
      <c r="K901" s="232">
        <v>3782919</v>
      </c>
      <c r="L901" s="232"/>
      <c r="M901" s="226">
        <v>0</v>
      </c>
      <c r="N901" s="226">
        <v>0</v>
      </c>
      <c r="O901" s="232">
        <v>19492</v>
      </c>
      <c r="P901" s="232">
        <v>19492</v>
      </c>
      <c r="Q901" s="232"/>
      <c r="R901" s="394">
        <v>3758146</v>
      </c>
      <c r="S901" s="232">
        <v>10860</v>
      </c>
      <c r="T901" s="398">
        <v>3769006</v>
      </c>
      <c r="U901" s="232"/>
      <c r="V901" s="398"/>
      <c r="W901" s="398"/>
      <c r="X901" s="398">
        <v>22172231</v>
      </c>
      <c r="Y901" s="398">
        <v>1583713</v>
      </c>
    </row>
    <row r="902" spans="1:25" customFormat="1">
      <c r="A902" s="392">
        <v>99705</v>
      </c>
      <c r="B902" s="393" t="s">
        <v>1596</v>
      </c>
      <c r="C902" s="235">
        <v>1.6310000000000001E-4</v>
      </c>
      <c r="D902" s="235">
        <v>1.5530000000000001E-4</v>
      </c>
      <c r="E902" s="232">
        <v>582826</v>
      </c>
      <c r="F902" s="232" t="s">
        <v>1930</v>
      </c>
      <c r="G902" s="394">
        <v>73601</v>
      </c>
      <c r="H902" s="394">
        <v>82018</v>
      </c>
      <c r="I902" s="394">
        <v>43374</v>
      </c>
      <c r="J902" s="232">
        <v>41043</v>
      </c>
      <c r="K902" s="232">
        <v>240036</v>
      </c>
      <c r="L902" s="232"/>
      <c r="M902" s="226">
        <v>0</v>
      </c>
      <c r="N902" s="226">
        <v>0</v>
      </c>
      <c r="O902" s="232">
        <v>0</v>
      </c>
      <c r="P902" s="232">
        <v>0</v>
      </c>
      <c r="Q902" s="232"/>
      <c r="R902" s="394">
        <v>200430</v>
      </c>
      <c r="S902" s="232">
        <v>15385</v>
      </c>
      <c r="T902" s="398">
        <v>215815</v>
      </c>
      <c r="U902" s="232"/>
      <c r="V902" s="398"/>
      <c r="W902" s="398"/>
      <c r="X902" s="398">
        <v>1182490</v>
      </c>
      <c r="Y902" s="398">
        <v>84463</v>
      </c>
    </row>
    <row r="903" spans="1:25" customFormat="1">
      <c r="A903" s="392">
        <v>99711</v>
      </c>
      <c r="B903" s="393" t="s">
        <v>1597</v>
      </c>
      <c r="C903" s="235">
        <v>4.2759999999999999E-4</v>
      </c>
      <c r="D903" s="235">
        <v>4.2489999999999997E-4</v>
      </c>
      <c r="E903" s="232">
        <v>1527997</v>
      </c>
      <c r="F903" s="232" t="s">
        <v>1930</v>
      </c>
      <c r="G903" s="394">
        <v>192959</v>
      </c>
      <c r="H903" s="394">
        <v>215025</v>
      </c>
      <c r="I903" s="394">
        <v>113713</v>
      </c>
      <c r="J903" s="232">
        <v>13335</v>
      </c>
      <c r="K903" s="232">
        <v>535032</v>
      </c>
      <c r="L903" s="232"/>
      <c r="M903" s="226">
        <v>0</v>
      </c>
      <c r="N903" s="226">
        <v>0</v>
      </c>
      <c r="O903" s="232">
        <v>6398</v>
      </c>
      <c r="P903" s="232">
        <v>6398</v>
      </c>
      <c r="Q903" s="232"/>
      <c r="R903" s="394">
        <v>525467</v>
      </c>
      <c r="S903" s="232">
        <v>3845</v>
      </c>
      <c r="T903" s="398">
        <v>529312</v>
      </c>
      <c r="U903" s="232"/>
      <c r="V903" s="398"/>
      <c r="W903" s="398"/>
      <c r="X903" s="398">
        <v>3100139</v>
      </c>
      <c r="Y903" s="398">
        <v>221436</v>
      </c>
    </row>
    <row r="904" spans="1:25" customFormat="1">
      <c r="A904" s="392">
        <v>99717</v>
      </c>
      <c r="B904" s="393" t="s">
        <v>1598</v>
      </c>
      <c r="C904" s="235">
        <v>1.6099999999999998E-5</v>
      </c>
      <c r="D904" s="235">
        <v>2.6599999999999999E-5</v>
      </c>
      <c r="E904" s="232">
        <v>57532</v>
      </c>
      <c r="F904" s="232" t="s">
        <v>1930</v>
      </c>
      <c r="G904" s="394">
        <v>7265</v>
      </c>
      <c r="H904" s="394">
        <v>8096</v>
      </c>
      <c r="I904" s="394">
        <v>4282</v>
      </c>
      <c r="J904" s="232">
        <v>643</v>
      </c>
      <c r="K904" s="232">
        <v>20286</v>
      </c>
      <c r="L904" s="232"/>
      <c r="M904" s="226">
        <v>0</v>
      </c>
      <c r="N904" s="226">
        <v>0</v>
      </c>
      <c r="O904" s="232">
        <v>14397</v>
      </c>
      <c r="P904" s="232">
        <v>14397</v>
      </c>
      <c r="Q904" s="232"/>
      <c r="R904" s="394">
        <v>19785</v>
      </c>
      <c r="S904" s="232">
        <v>-5357</v>
      </c>
      <c r="T904" s="398">
        <v>14428</v>
      </c>
      <c r="U904" s="232"/>
      <c r="V904" s="398"/>
      <c r="W904" s="398"/>
      <c r="X904" s="398">
        <v>116726</v>
      </c>
      <c r="Y904" s="398">
        <v>8338</v>
      </c>
    </row>
    <row r="905" spans="1:25" customFormat="1">
      <c r="A905" s="392">
        <v>99721</v>
      </c>
      <c r="B905" s="393" t="s">
        <v>1599</v>
      </c>
      <c r="C905" s="235">
        <v>5.8069999999999997E-4</v>
      </c>
      <c r="D905" s="235">
        <v>6.1160000000000001E-4</v>
      </c>
      <c r="E905" s="232">
        <v>2075088</v>
      </c>
      <c r="F905" s="232" t="s">
        <v>1930</v>
      </c>
      <c r="G905" s="394">
        <v>262047</v>
      </c>
      <c r="H905" s="394">
        <v>292013</v>
      </c>
      <c r="I905" s="394">
        <v>154427</v>
      </c>
      <c r="J905" s="232">
        <v>1738</v>
      </c>
      <c r="K905" s="232">
        <v>710225</v>
      </c>
      <c r="L905" s="232"/>
      <c r="M905" s="226">
        <v>0</v>
      </c>
      <c r="N905" s="226">
        <v>0</v>
      </c>
      <c r="O905" s="232">
        <v>57382</v>
      </c>
      <c r="P905" s="232">
        <v>57382</v>
      </c>
      <c r="Q905" s="232"/>
      <c r="R905" s="394">
        <v>713608</v>
      </c>
      <c r="S905" s="232">
        <v>-27497</v>
      </c>
      <c r="T905" s="398">
        <v>686111</v>
      </c>
      <c r="U905" s="232"/>
      <c r="V905" s="398"/>
      <c r="W905" s="398"/>
      <c r="X905" s="398">
        <v>4210128</v>
      </c>
      <c r="Y905" s="398">
        <v>300720</v>
      </c>
    </row>
    <row r="906" spans="1:25" customFormat="1">
      <c r="A906" s="392">
        <v>99727</v>
      </c>
      <c r="B906" s="393" t="s">
        <v>1600</v>
      </c>
      <c r="C906" s="235">
        <v>1.6200000000000001E-5</v>
      </c>
      <c r="D906" s="235">
        <v>1.98E-5</v>
      </c>
      <c r="E906" s="232">
        <v>57890</v>
      </c>
      <c r="F906" s="232" t="s">
        <v>1930</v>
      </c>
      <c r="G906" s="394">
        <v>7310</v>
      </c>
      <c r="H906" s="394">
        <v>8146</v>
      </c>
      <c r="I906" s="394">
        <v>4308</v>
      </c>
      <c r="J906" s="232">
        <v>43316</v>
      </c>
      <c r="K906" s="232">
        <v>63080</v>
      </c>
      <c r="L906" s="232"/>
      <c r="M906" s="226">
        <v>0</v>
      </c>
      <c r="N906" s="226">
        <v>0</v>
      </c>
      <c r="O906" s="232">
        <v>0</v>
      </c>
      <c r="P906" s="232">
        <v>0</v>
      </c>
      <c r="Q906" s="232"/>
      <c r="R906" s="394">
        <v>19908</v>
      </c>
      <c r="S906" s="232">
        <v>27243</v>
      </c>
      <c r="T906" s="398">
        <v>47151</v>
      </c>
      <c r="U906" s="232"/>
      <c r="V906" s="398"/>
      <c r="W906" s="398"/>
      <c r="X906" s="398">
        <v>117451</v>
      </c>
      <c r="Y906" s="398">
        <v>8389</v>
      </c>
    </row>
    <row r="907" spans="1:25" customFormat="1">
      <c r="A907" s="392">
        <v>99801</v>
      </c>
      <c r="B907" s="393" t="s">
        <v>1601</v>
      </c>
      <c r="C907" s="235">
        <v>4.6778000000000002E-3</v>
      </c>
      <c r="D907" s="235">
        <v>4.7737999999999999E-3</v>
      </c>
      <c r="E907" s="232">
        <v>16715772</v>
      </c>
      <c r="F907" s="232" t="s">
        <v>1930</v>
      </c>
      <c r="G907" s="394">
        <v>2110909</v>
      </c>
      <c r="H907" s="394">
        <v>2352297</v>
      </c>
      <c r="I907" s="394">
        <v>1243981</v>
      </c>
      <c r="J907" s="232">
        <v>0</v>
      </c>
      <c r="K907" s="232">
        <v>5707187</v>
      </c>
      <c r="L907" s="232"/>
      <c r="M907" s="226">
        <v>0</v>
      </c>
      <c r="N907" s="226">
        <v>0</v>
      </c>
      <c r="O907" s="232">
        <v>524280</v>
      </c>
      <c r="P907" s="232">
        <v>524280</v>
      </c>
      <c r="Q907" s="232"/>
      <c r="R907" s="394">
        <v>5748431</v>
      </c>
      <c r="S907" s="232">
        <v>-219130</v>
      </c>
      <c r="T907" s="398">
        <v>5529301</v>
      </c>
      <c r="U907" s="232"/>
      <c r="V907" s="398"/>
      <c r="W907" s="398"/>
      <c r="X907" s="398">
        <v>33914480</v>
      </c>
      <c r="Y907" s="398">
        <v>2422436</v>
      </c>
    </row>
    <row r="908" spans="1:25" customFormat="1">
      <c r="A908" s="392">
        <v>99802</v>
      </c>
      <c r="B908" s="393" t="s">
        <v>1602</v>
      </c>
      <c r="C908" s="235">
        <v>1.13E-5</v>
      </c>
      <c r="D908" s="235">
        <v>1.1600000000000001E-5</v>
      </c>
      <c r="E908" s="232">
        <v>40380</v>
      </c>
      <c r="F908" s="232" t="s">
        <v>1930</v>
      </c>
      <c r="G908" s="394">
        <v>5099</v>
      </c>
      <c r="H908" s="394">
        <v>5683</v>
      </c>
      <c r="I908" s="394">
        <v>3005</v>
      </c>
      <c r="J908" s="232">
        <v>4919</v>
      </c>
      <c r="K908" s="232">
        <v>18706</v>
      </c>
      <c r="L908" s="232"/>
      <c r="M908" s="226">
        <v>0</v>
      </c>
      <c r="N908" s="226">
        <v>0</v>
      </c>
      <c r="O908" s="232">
        <v>0</v>
      </c>
      <c r="P908" s="232">
        <v>0</v>
      </c>
      <c r="Q908" s="232"/>
      <c r="R908" s="394">
        <v>13886</v>
      </c>
      <c r="S908" s="232">
        <v>2288</v>
      </c>
      <c r="T908" s="398">
        <v>16174</v>
      </c>
      <c r="U908" s="232"/>
      <c r="V908" s="398"/>
      <c r="W908" s="398"/>
      <c r="X908" s="398">
        <v>81926</v>
      </c>
      <c r="Y908" s="398">
        <v>5852</v>
      </c>
    </row>
    <row r="909" spans="1:25" customFormat="1">
      <c r="A909" s="392">
        <v>99804</v>
      </c>
      <c r="B909" s="393" t="s">
        <v>1603</v>
      </c>
      <c r="C909" s="235">
        <v>7.3200000000000004E-5</v>
      </c>
      <c r="D909" s="235">
        <v>7.2200000000000007E-5</v>
      </c>
      <c r="E909" s="232">
        <v>261575</v>
      </c>
      <c r="F909" s="232" t="s">
        <v>1930</v>
      </c>
      <c r="G909" s="394">
        <v>33032</v>
      </c>
      <c r="H909" s="394">
        <v>36809</v>
      </c>
      <c r="I909" s="394">
        <v>19466</v>
      </c>
      <c r="J909" s="232">
        <v>16780</v>
      </c>
      <c r="K909" s="232">
        <v>106087</v>
      </c>
      <c r="L909" s="232"/>
      <c r="M909" s="226">
        <v>0</v>
      </c>
      <c r="N909" s="226">
        <v>0</v>
      </c>
      <c r="O909" s="232">
        <v>65</v>
      </c>
      <c r="P909" s="232">
        <v>65</v>
      </c>
      <c r="Q909" s="232"/>
      <c r="R909" s="394">
        <v>89954</v>
      </c>
      <c r="S909" s="232">
        <v>7583</v>
      </c>
      <c r="T909" s="398">
        <v>97537</v>
      </c>
      <c r="U909" s="232"/>
      <c r="V909" s="398"/>
      <c r="W909" s="398"/>
      <c r="X909" s="398">
        <v>530707</v>
      </c>
      <c r="Y909" s="398">
        <v>37907</v>
      </c>
    </row>
    <row r="910" spans="1:25" customFormat="1">
      <c r="A910" s="392">
        <v>99811</v>
      </c>
      <c r="B910" s="393" t="s">
        <v>1604</v>
      </c>
      <c r="C910" s="235">
        <v>6.3816000000000003E-3</v>
      </c>
      <c r="D910" s="235">
        <v>6.4218000000000001E-3</v>
      </c>
      <c r="E910" s="232">
        <v>22804175</v>
      </c>
      <c r="F910" s="232" t="s">
        <v>1930</v>
      </c>
      <c r="G910" s="394">
        <v>2879767</v>
      </c>
      <c r="H910" s="394">
        <v>3209077</v>
      </c>
      <c r="I910" s="394">
        <v>1697078</v>
      </c>
      <c r="J910" s="232">
        <v>0</v>
      </c>
      <c r="K910" s="232">
        <v>7785922</v>
      </c>
      <c r="L910" s="232"/>
      <c r="M910" s="226">
        <v>0</v>
      </c>
      <c r="N910" s="226">
        <v>0</v>
      </c>
      <c r="O910" s="232">
        <v>466307</v>
      </c>
      <c r="P910" s="232">
        <v>466307</v>
      </c>
      <c r="Q910" s="232"/>
      <c r="R910" s="394">
        <v>7842189</v>
      </c>
      <c r="S910" s="232">
        <v>-275530</v>
      </c>
      <c r="T910" s="398">
        <v>7566659</v>
      </c>
      <c r="U910" s="232"/>
      <c r="V910" s="398"/>
      <c r="W910" s="398"/>
      <c r="X910" s="398">
        <v>46267187</v>
      </c>
      <c r="Y910" s="398">
        <v>3304763</v>
      </c>
    </row>
    <row r="911" spans="1:25" customFormat="1">
      <c r="A911" s="392">
        <v>99812</v>
      </c>
      <c r="B911" s="393" t="s">
        <v>1605</v>
      </c>
      <c r="C911" s="235">
        <v>1.6900000000000001E-5</v>
      </c>
      <c r="D911" s="235">
        <v>1.88E-5</v>
      </c>
      <c r="E911" s="232">
        <v>60391</v>
      </c>
      <c r="F911" s="232" t="s">
        <v>1930</v>
      </c>
      <c r="G911" s="394">
        <v>7626</v>
      </c>
      <c r="H911" s="394">
        <v>8499</v>
      </c>
      <c r="I911" s="394">
        <v>4494</v>
      </c>
      <c r="J911" s="232">
        <v>22043</v>
      </c>
      <c r="K911" s="232">
        <v>42662</v>
      </c>
      <c r="L911" s="232"/>
      <c r="M911" s="226">
        <v>0</v>
      </c>
      <c r="N911" s="226">
        <v>0</v>
      </c>
      <c r="O911" s="232">
        <v>0</v>
      </c>
      <c r="P911" s="232">
        <v>0</v>
      </c>
      <c r="Q911" s="232"/>
      <c r="R911" s="394">
        <v>20768</v>
      </c>
      <c r="S911" s="232">
        <v>10029</v>
      </c>
      <c r="T911" s="398">
        <v>30797</v>
      </c>
      <c r="U911" s="232"/>
      <c r="V911" s="398"/>
      <c r="W911" s="398"/>
      <c r="X911" s="398">
        <v>122527</v>
      </c>
      <c r="Y911" s="398">
        <v>8752</v>
      </c>
    </row>
    <row r="912" spans="1:25" customFormat="1">
      <c r="A912" s="392">
        <v>99818</v>
      </c>
      <c r="B912" s="393" t="s">
        <v>1606</v>
      </c>
      <c r="C912" s="235">
        <v>4.7500000000000003E-5</v>
      </c>
      <c r="D912" s="235">
        <v>3.5599999999999998E-5</v>
      </c>
      <c r="E912" s="232">
        <v>169738</v>
      </c>
      <c r="F912" s="232" t="s">
        <v>1930</v>
      </c>
      <c r="G912" s="394">
        <v>21435</v>
      </c>
      <c r="H912" s="394">
        <v>23886</v>
      </c>
      <c r="I912" s="394">
        <v>12632</v>
      </c>
      <c r="J912" s="232">
        <v>8749</v>
      </c>
      <c r="K912" s="232">
        <v>66702</v>
      </c>
      <c r="L912" s="232"/>
      <c r="M912" s="226">
        <v>0</v>
      </c>
      <c r="N912" s="226">
        <v>0</v>
      </c>
      <c r="O912" s="232">
        <v>2346</v>
      </c>
      <c r="P912" s="232">
        <v>2346</v>
      </c>
      <c r="Q912" s="232"/>
      <c r="R912" s="394">
        <v>58372</v>
      </c>
      <c r="S912" s="232">
        <v>683</v>
      </c>
      <c r="T912" s="398">
        <v>59055</v>
      </c>
      <c r="U912" s="232"/>
      <c r="V912" s="398"/>
      <c r="W912" s="398"/>
      <c r="X912" s="398">
        <v>344379</v>
      </c>
      <c r="Y912" s="398">
        <v>24598</v>
      </c>
    </row>
    <row r="913" spans="1:25" customFormat="1">
      <c r="A913" s="392">
        <v>99821</v>
      </c>
      <c r="B913" s="393" t="s">
        <v>1607</v>
      </c>
      <c r="C913" s="235">
        <v>8.81E-5</v>
      </c>
      <c r="D913" s="235">
        <v>9.8200000000000002E-5</v>
      </c>
      <c r="E913" s="232">
        <v>314819</v>
      </c>
      <c r="F913" s="232" t="s">
        <v>1930</v>
      </c>
      <c r="G913" s="394">
        <v>39756</v>
      </c>
      <c r="H913" s="394">
        <v>44302</v>
      </c>
      <c r="I913" s="394">
        <v>23429</v>
      </c>
      <c r="J913" s="232">
        <v>10315</v>
      </c>
      <c r="K913" s="232">
        <v>117802</v>
      </c>
      <c r="L913" s="232"/>
      <c r="M913" s="226">
        <v>0</v>
      </c>
      <c r="N913" s="226">
        <v>0</v>
      </c>
      <c r="O913" s="232">
        <v>6360</v>
      </c>
      <c r="P913" s="232">
        <v>6360</v>
      </c>
      <c r="Q913" s="232"/>
      <c r="R913" s="394">
        <v>108264</v>
      </c>
      <c r="S913" s="232">
        <v>4972</v>
      </c>
      <c r="T913" s="398">
        <v>113236</v>
      </c>
      <c r="U913" s="232"/>
      <c r="V913" s="398"/>
      <c r="W913" s="398"/>
      <c r="X913" s="398">
        <v>638733</v>
      </c>
      <c r="Y913" s="398">
        <v>45623</v>
      </c>
    </row>
    <row r="914" spans="1:25" customFormat="1">
      <c r="A914" s="392">
        <v>99831</v>
      </c>
      <c r="B914" s="393" t="s">
        <v>1608</v>
      </c>
      <c r="C914" s="235">
        <v>5.5899999999999997E-5</v>
      </c>
      <c r="D914" s="235">
        <v>5.5399999999999998E-5</v>
      </c>
      <c r="E914" s="232">
        <v>199755</v>
      </c>
      <c r="F914" s="232" t="s">
        <v>1930</v>
      </c>
      <c r="G914" s="394">
        <v>25225</v>
      </c>
      <c r="H914" s="394">
        <v>28110</v>
      </c>
      <c r="I914" s="394">
        <v>14866</v>
      </c>
      <c r="J914" s="232">
        <v>9354</v>
      </c>
      <c r="K914" s="232">
        <v>77555</v>
      </c>
      <c r="L914" s="232"/>
      <c r="M914" s="226">
        <v>0</v>
      </c>
      <c r="N914" s="226">
        <v>0</v>
      </c>
      <c r="O914" s="232">
        <v>3600</v>
      </c>
      <c r="P914" s="232">
        <v>3600</v>
      </c>
      <c r="Q914" s="232"/>
      <c r="R914" s="394">
        <v>68694</v>
      </c>
      <c r="S914" s="232">
        <v>2767</v>
      </c>
      <c r="T914" s="398">
        <v>71461</v>
      </c>
      <c r="U914" s="232"/>
      <c r="V914" s="398"/>
      <c r="W914" s="398"/>
      <c r="X914" s="398">
        <v>405280</v>
      </c>
      <c r="Y914" s="398">
        <v>28948</v>
      </c>
    </row>
    <row r="915" spans="1:25" customFormat="1">
      <c r="A915" s="392">
        <v>99841</v>
      </c>
      <c r="B915" s="393" t="s">
        <v>1609</v>
      </c>
      <c r="C915" s="235">
        <v>5.0500000000000001E-5</v>
      </c>
      <c r="D915" s="235">
        <v>1.59E-5</v>
      </c>
      <c r="E915" s="232">
        <v>180458</v>
      </c>
      <c r="F915" s="232" t="s">
        <v>1930</v>
      </c>
      <c r="G915" s="394">
        <v>22789</v>
      </c>
      <c r="H915" s="394">
        <v>25394</v>
      </c>
      <c r="I915" s="394">
        <v>13430</v>
      </c>
      <c r="J915" s="232">
        <v>45271</v>
      </c>
      <c r="K915" s="232">
        <v>106884</v>
      </c>
      <c r="L915" s="232"/>
      <c r="M915" s="226">
        <v>0</v>
      </c>
      <c r="N915" s="226">
        <v>0</v>
      </c>
      <c r="O915" s="232">
        <v>10398</v>
      </c>
      <c r="P915" s="232">
        <v>10398</v>
      </c>
      <c r="Q915" s="232"/>
      <c r="R915" s="394">
        <v>62058</v>
      </c>
      <c r="S915" s="232">
        <v>10465</v>
      </c>
      <c r="T915" s="398">
        <v>72523</v>
      </c>
      <c r="U915" s="232"/>
      <c r="V915" s="398"/>
      <c r="W915" s="398"/>
      <c r="X915" s="398">
        <v>366130</v>
      </c>
      <c r="Y915" s="398">
        <v>26152</v>
      </c>
    </row>
    <row r="916" spans="1:25" customFormat="1">
      <c r="A916" s="392">
        <v>99851</v>
      </c>
      <c r="B916" s="393" t="s">
        <v>1610</v>
      </c>
      <c r="C916" s="235">
        <v>7.5000000000000002E-6</v>
      </c>
      <c r="D916" s="235">
        <v>7.9000000000000006E-6</v>
      </c>
      <c r="E916" s="232">
        <v>26801</v>
      </c>
      <c r="F916" s="232" t="s">
        <v>1930</v>
      </c>
      <c r="G916" s="394">
        <v>3384</v>
      </c>
      <c r="H916" s="394">
        <v>3771</v>
      </c>
      <c r="I916" s="394">
        <v>1994</v>
      </c>
      <c r="J916" s="232">
        <v>0</v>
      </c>
      <c r="K916" s="232">
        <v>9149</v>
      </c>
      <c r="L916" s="232"/>
      <c r="M916" s="226">
        <v>0</v>
      </c>
      <c r="N916" s="226">
        <v>0</v>
      </c>
      <c r="O916" s="232">
        <v>11415</v>
      </c>
      <c r="P916" s="232">
        <v>11415</v>
      </c>
      <c r="Q916" s="232"/>
      <c r="R916" s="394">
        <v>9217</v>
      </c>
      <c r="S916" s="232">
        <v>-4630</v>
      </c>
      <c r="T916" s="398">
        <v>4587</v>
      </c>
      <c r="U916" s="232"/>
      <c r="V916" s="398"/>
      <c r="W916" s="398"/>
      <c r="X916" s="398">
        <v>54376</v>
      </c>
      <c r="Y916" s="398">
        <v>3884</v>
      </c>
    </row>
    <row r="917" spans="1:25" customFormat="1">
      <c r="A917" s="392">
        <v>99901</v>
      </c>
      <c r="B917" s="393" t="s">
        <v>1611</v>
      </c>
      <c r="C917" s="235">
        <v>1.5862999999999999E-3</v>
      </c>
      <c r="D917" s="235">
        <v>1.5942E-3</v>
      </c>
      <c r="E917" s="232">
        <v>5668526</v>
      </c>
      <c r="F917" s="232" t="s">
        <v>1930</v>
      </c>
      <c r="G917" s="394">
        <v>715835</v>
      </c>
      <c r="H917" s="394">
        <v>797693</v>
      </c>
      <c r="I917" s="394">
        <v>421850</v>
      </c>
      <c r="J917" s="232">
        <v>4297</v>
      </c>
      <c r="K917" s="232">
        <v>1939675</v>
      </c>
      <c r="L917" s="232"/>
      <c r="M917" s="226">
        <v>0</v>
      </c>
      <c r="N917" s="226">
        <v>0</v>
      </c>
      <c r="O917" s="232">
        <v>85459</v>
      </c>
      <c r="P917" s="232">
        <v>85459</v>
      </c>
      <c r="Q917" s="232"/>
      <c r="R917" s="394">
        <v>1949364</v>
      </c>
      <c r="S917" s="232">
        <v>-24181</v>
      </c>
      <c r="T917" s="398">
        <v>1925183</v>
      </c>
      <c r="U917" s="232"/>
      <c r="V917" s="398"/>
      <c r="W917" s="398"/>
      <c r="X917" s="398">
        <v>11500821</v>
      </c>
      <c r="Y917" s="398">
        <v>821478</v>
      </c>
    </row>
    <row r="918" spans="1:25" customFormat="1">
      <c r="A918" s="392">
        <v>99911</v>
      </c>
      <c r="B918" s="393" t="s">
        <v>1612</v>
      </c>
      <c r="C918" s="235">
        <v>2.4049999999999999E-4</v>
      </c>
      <c r="D918" s="235">
        <v>2.219E-4</v>
      </c>
      <c r="E918" s="232">
        <v>859409</v>
      </c>
      <c r="F918" s="232" t="s">
        <v>1930</v>
      </c>
      <c r="G918" s="394">
        <v>108528</v>
      </c>
      <c r="H918" s="394">
        <v>120938</v>
      </c>
      <c r="I918" s="394">
        <v>63957</v>
      </c>
      <c r="J918" s="232">
        <v>44157</v>
      </c>
      <c r="K918" s="232">
        <v>337580</v>
      </c>
      <c r="L918" s="232"/>
      <c r="M918" s="226">
        <v>0</v>
      </c>
      <c r="N918" s="226">
        <v>0</v>
      </c>
      <c r="O918" s="232">
        <v>3477</v>
      </c>
      <c r="P918" s="232">
        <v>3477</v>
      </c>
      <c r="Q918" s="232"/>
      <c r="R918" s="394">
        <v>295544</v>
      </c>
      <c r="S918" s="232">
        <v>11627</v>
      </c>
      <c r="T918" s="398">
        <v>307171</v>
      </c>
      <c r="U918" s="232"/>
      <c r="V918" s="398"/>
      <c r="W918" s="398"/>
      <c r="X918" s="398">
        <v>1743647</v>
      </c>
      <c r="Y918" s="398">
        <v>124545</v>
      </c>
    </row>
    <row r="919" spans="1:25" customFormat="1" ht="32.25" customHeight="1">
      <c r="A919" s="392">
        <v>99921</v>
      </c>
      <c r="B919" s="302" t="s">
        <v>1613</v>
      </c>
      <c r="C919" s="235">
        <v>1.484E-4</v>
      </c>
      <c r="D919" s="235">
        <v>1.315E-4</v>
      </c>
      <c r="E919" s="232">
        <v>530296</v>
      </c>
      <c r="F919" s="232" t="s">
        <v>1930</v>
      </c>
      <c r="G919" s="394">
        <v>66967</v>
      </c>
      <c r="H919" s="394">
        <v>74625</v>
      </c>
      <c r="I919" s="394">
        <v>39464</v>
      </c>
      <c r="J919" s="232">
        <v>21858</v>
      </c>
      <c r="K919" s="232">
        <v>202914</v>
      </c>
      <c r="L919" s="232"/>
      <c r="M919" s="226">
        <v>0</v>
      </c>
      <c r="N919" s="226">
        <v>0</v>
      </c>
      <c r="O919" s="232">
        <v>9322</v>
      </c>
      <c r="P919" s="232">
        <v>9322</v>
      </c>
      <c r="Q919" s="232"/>
      <c r="R919" s="394">
        <v>182365</v>
      </c>
      <c r="S919" s="232">
        <v>2529</v>
      </c>
      <c r="T919" s="398">
        <v>184894</v>
      </c>
      <c r="U919" s="232"/>
      <c r="V919" s="398"/>
      <c r="W919" s="398"/>
      <c r="X919" s="398">
        <v>1075914</v>
      </c>
      <c r="Y919" s="398">
        <v>76850</v>
      </c>
    </row>
    <row r="920" spans="1:25">
      <c r="A920" s="392">
        <v>99931</v>
      </c>
      <c r="B920" t="s">
        <v>1614</v>
      </c>
      <c r="C920" s="235">
        <v>2.4899999999999999E-5</v>
      </c>
      <c r="D920" s="235">
        <v>2.1699999999999999E-5</v>
      </c>
      <c r="E920" s="232">
        <v>88978</v>
      </c>
      <c r="F920" s="232" t="s">
        <v>1930</v>
      </c>
      <c r="G920" s="394">
        <v>11236</v>
      </c>
      <c r="H920" s="394">
        <v>12521</v>
      </c>
      <c r="I920" s="394">
        <v>6622</v>
      </c>
      <c r="J920" s="232">
        <v>8616</v>
      </c>
      <c r="K920" s="232">
        <v>38995</v>
      </c>
      <c r="L920" s="232"/>
      <c r="M920" s="226">
        <v>0</v>
      </c>
      <c r="N920" s="226">
        <v>0</v>
      </c>
      <c r="O920" s="232">
        <v>1235</v>
      </c>
      <c r="P920" s="232">
        <v>1235</v>
      </c>
      <c r="Q920" s="232"/>
      <c r="R920" s="394">
        <v>30599</v>
      </c>
      <c r="S920" s="232">
        <v>1501</v>
      </c>
      <c r="T920" s="398">
        <v>32100</v>
      </c>
      <c r="U920" s="232"/>
      <c r="V920" s="398"/>
      <c r="W920" s="398"/>
      <c r="X920" s="398">
        <v>180527</v>
      </c>
      <c r="Y920" s="398">
        <v>12895</v>
      </c>
    </row>
    <row r="921" spans="1:25" customFormat="1">
      <c r="A921" s="392">
        <v>99941</v>
      </c>
      <c r="B921" t="s">
        <v>1615</v>
      </c>
      <c r="C921" s="235">
        <v>5.9200000000000002E-5</v>
      </c>
      <c r="D921" s="235">
        <v>7.7399999999999998E-5</v>
      </c>
      <c r="E921" s="232">
        <v>211547</v>
      </c>
      <c r="F921" s="232" t="s">
        <v>1930</v>
      </c>
      <c r="G921" s="394">
        <v>26715</v>
      </c>
      <c r="H921" s="394">
        <v>29769</v>
      </c>
      <c r="I921" s="394">
        <v>15743</v>
      </c>
      <c r="J921" s="232">
        <v>0</v>
      </c>
      <c r="K921" s="232">
        <v>72227</v>
      </c>
      <c r="L921" s="232"/>
      <c r="M921" s="226">
        <v>0</v>
      </c>
      <c r="N921" s="226">
        <v>0</v>
      </c>
      <c r="O921" s="232">
        <v>30407</v>
      </c>
      <c r="P921" s="232">
        <v>30407</v>
      </c>
      <c r="Q921" s="232"/>
      <c r="R921" s="394">
        <v>72749</v>
      </c>
      <c r="S921" s="232">
        <v>-12790</v>
      </c>
      <c r="T921" s="398">
        <v>59959</v>
      </c>
      <c r="U921" s="232"/>
      <c r="V921" s="398"/>
      <c r="W921" s="398"/>
      <c r="X921" s="398">
        <v>429205</v>
      </c>
      <c r="Y921" s="398">
        <v>30657</v>
      </c>
    </row>
    <row r="922" spans="1:25" customFormat="1">
      <c r="A922" s="392">
        <v>99991</v>
      </c>
      <c r="B922" t="s">
        <v>1616</v>
      </c>
      <c r="C922" s="235">
        <v>4.4270000000000003E-4</v>
      </c>
      <c r="D922" s="235">
        <v>5.0869999999999995E-4</v>
      </c>
      <c r="E922" s="232">
        <v>1581956</v>
      </c>
      <c r="F922" s="232" t="s">
        <v>1930</v>
      </c>
      <c r="G922" s="394">
        <v>199773</v>
      </c>
      <c r="H922" s="394">
        <v>222618</v>
      </c>
      <c r="I922" s="394">
        <v>117729</v>
      </c>
      <c r="J922" s="232">
        <v>0</v>
      </c>
      <c r="K922" s="232">
        <v>540120</v>
      </c>
      <c r="L922" s="232"/>
      <c r="M922" s="226">
        <v>0</v>
      </c>
      <c r="N922" s="226">
        <v>0</v>
      </c>
      <c r="O922" s="232">
        <v>88563</v>
      </c>
      <c r="P922" s="232">
        <v>88563</v>
      </c>
      <c r="Q922" s="232"/>
      <c r="R922" s="394">
        <v>544023</v>
      </c>
      <c r="S922" s="232">
        <v>-31652</v>
      </c>
      <c r="T922" s="398">
        <v>512371</v>
      </c>
      <c r="U922" s="232"/>
      <c r="V922" s="398"/>
      <c r="W922" s="398"/>
      <c r="X922" s="398">
        <v>3209616</v>
      </c>
      <c r="Y922" s="398">
        <v>229256</v>
      </c>
    </row>
    <row r="923" spans="1:25" customFormat="1">
      <c r="A923">
        <v>99999</v>
      </c>
      <c r="B923" t="s">
        <v>1617</v>
      </c>
      <c r="C923">
        <v>1.0007E-3</v>
      </c>
      <c r="D923">
        <v>1.0093000000000001E-3</v>
      </c>
      <c r="E923">
        <v>3575927</v>
      </c>
      <c r="F923" t="s">
        <v>1930</v>
      </c>
      <c r="G923">
        <v>451577</v>
      </c>
      <c r="H923" s="394">
        <v>503216</v>
      </c>
      <c r="I923">
        <v>266119</v>
      </c>
      <c r="J923">
        <v>198528</v>
      </c>
      <c r="K923" s="232">
        <v>1419440</v>
      </c>
      <c r="L923" s="232"/>
      <c r="M923" s="226">
        <v>0</v>
      </c>
      <c r="N923" s="226">
        <v>0</v>
      </c>
      <c r="O923">
        <v>1141</v>
      </c>
      <c r="P923" s="232">
        <v>1141</v>
      </c>
      <c r="Q923" s="232"/>
      <c r="R923">
        <v>1229735</v>
      </c>
      <c r="S923">
        <v>86511</v>
      </c>
      <c r="T923">
        <v>1316246</v>
      </c>
      <c r="X923">
        <v>7255167</v>
      </c>
      <c r="Y923">
        <v>518221</v>
      </c>
    </row>
    <row r="924" spans="1:25" customFormat="1">
      <c r="J924" s="387"/>
      <c r="K924" s="92"/>
      <c r="M924" s="387"/>
      <c r="N924" s="387"/>
      <c r="O924" s="387"/>
      <c r="P924" s="387"/>
      <c r="Q924" s="387"/>
      <c r="S924" s="387">
        <v>10</v>
      </c>
      <c r="T924" s="387">
        <v>1228874991</v>
      </c>
    </row>
    <row r="925" spans="1:25">
      <c r="A925" s="227"/>
      <c r="B925" s="228"/>
      <c r="C925" s="235"/>
      <c r="J925" s="389"/>
    </row>
    <row r="926" spans="1:25" s="95" customFormat="1">
      <c r="A926" s="90"/>
      <c r="B926" s="54" t="s">
        <v>3623</v>
      </c>
      <c r="C926" s="235"/>
      <c r="D926" s="235"/>
      <c r="E926" s="92"/>
      <c r="F926" s="92"/>
      <c r="G926" s="93"/>
      <c r="H926" s="94"/>
      <c r="I926" s="93"/>
      <c r="J926" s="389"/>
      <c r="K926" s="94"/>
      <c r="L926" s="93"/>
      <c r="M926" s="93"/>
      <c r="N926" s="93"/>
      <c r="O926" s="93"/>
      <c r="P926" s="94"/>
      <c r="Q926" s="93"/>
      <c r="R926" s="93"/>
      <c r="S926" s="93"/>
      <c r="T926" s="93"/>
    </row>
    <row r="927" spans="1:25">
      <c r="B927" s="210" t="s">
        <v>691</v>
      </c>
      <c r="C927" s="254" t="s">
        <v>692</v>
      </c>
      <c r="J927" s="389"/>
    </row>
    <row r="928" spans="1:25">
      <c r="A928" s="227"/>
      <c r="B928" s="131" t="s">
        <v>2027</v>
      </c>
      <c r="C928" s="227">
        <v>96331</v>
      </c>
      <c r="D928" s="392"/>
      <c r="H928" s="226"/>
      <c r="J928" s="389"/>
      <c r="K928" s="226"/>
      <c r="P928" s="226"/>
    </row>
    <row r="929" spans="1:16">
      <c r="A929" s="227"/>
      <c r="B929" s="131" t="s">
        <v>2028</v>
      </c>
      <c r="C929" s="227">
        <v>94611</v>
      </c>
      <c r="D929" s="392"/>
      <c r="H929" s="226"/>
      <c r="J929" s="390"/>
      <c r="K929" s="226"/>
      <c r="P929" s="226"/>
    </row>
    <row r="930" spans="1:16">
      <c r="A930" s="227"/>
      <c r="B930" s="131" t="s">
        <v>1041</v>
      </c>
      <c r="C930" s="227">
        <v>93402</v>
      </c>
      <c r="D930" s="392"/>
      <c r="H930" s="226"/>
      <c r="J930" s="389"/>
      <c r="K930" s="226"/>
      <c r="P930" s="226"/>
    </row>
    <row r="931" spans="1:16">
      <c r="A931" s="227"/>
      <c r="B931" s="131" t="s">
        <v>2499</v>
      </c>
      <c r="C931" s="227">
        <v>90151</v>
      </c>
      <c r="D931" s="395"/>
      <c r="H931" s="226"/>
      <c r="J931" s="389"/>
      <c r="K931" s="226"/>
      <c r="P931" s="226"/>
    </row>
    <row r="932" spans="1:16">
      <c r="A932" s="227"/>
      <c r="B932" s="131" t="s">
        <v>1105</v>
      </c>
      <c r="C932" s="227">
        <v>94109</v>
      </c>
      <c r="D932" s="392"/>
      <c r="H932" s="226"/>
      <c r="J932" s="390"/>
      <c r="K932" s="226"/>
      <c r="P932" s="226"/>
    </row>
    <row r="933" spans="1:16">
      <c r="A933" s="227"/>
      <c r="B933" s="131" t="s">
        <v>738</v>
      </c>
      <c r="C933" s="227">
        <v>90101</v>
      </c>
      <c r="D933" s="392"/>
      <c r="H933" s="226"/>
      <c r="J933" s="389"/>
      <c r="K933" s="226"/>
      <c r="P933" s="226"/>
    </row>
    <row r="934" spans="1:16">
      <c r="A934" s="227"/>
      <c r="B934" s="131" t="s">
        <v>741</v>
      </c>
      <c r="C934" s="227">
        <v>90117</v>
      </c>
      <c r="D934" s="392"/>
      <c r="H934" s="226"/>
      <c r="J934" s="389"/>
      <c r="K934" s="226"/>
      <c r="P934" s="226"/>
    </row>
    <row r="935" spans="1:16">
      <c r="A935" s="227"/>
      <c r="B935" s="131" t="s">
        <v>1948</v>
      </c>
      <c r="C935" s="227">
        <v>98411</v>
      </c>
      <c r="D935" s="392"/>
      <c r="H935" s="226"/>
      <c r="J935" s="389"/>
      <c r="K935" s="226"/>
      <c r="P935" s="226"/>
    </row>
    <row r="936" spans="1:16">
      <c r="A936" s="227"/>
      <c r="B936" s="131" t="s">
        <v>1492</v>
      </c>
      <c r="C936" s="227">
        <v>98417</v>
      </c>
      <c r="D936" s="392"/>
      <c r="H936" s="226"/>
      <c r="J936" s="389"/>
      <c r="K936" s="226"/>
      <c r="P936" s="226"/>
    </row>
    <row r="937" spans="1:16">
      <c r="A937" s="227"/>
      <c r="B937" s="131" t="s">
        <v>1350</v>
      </c>
      <c r="C937" s="227">
        <v>97008</v>
      </c>
      <c r="D937" s="392"/>
      <c r="H937" s="226"/>
      <c r="J937" s="389"/>
      <c r="K937" s="226"/>
      <c r="P937" s="226"/>
    </row>
    <row r="938" spans="1:16">
      <c r="A938" s="227"/>
      <c r="B938" s="131" t="s">
        <v>1351</v>
      </c>
      <c r="C938" s="227">
        <v>97010</v>
      </c>
      <c r="D938" s="392"/>
      <c r="H938" s="226"/>
      <c r="J938" s="389"/>
      <c r="K938" s="226"/>
      <c r="P938" s="226"/>
    </row>
    <row r="939" spans="1:16">
      <c r="A939" s="227"/>
      <c r="B939" s="131" t="s">
        <v>735</v>
      </c>
      <c r="C939" s="227">
        <v>90096</v>
      </c>
      <c r="D939" s="392"/>
      <c r="H939" s="226"/>
      <c r="J939" s="389"/>
      <c r="K939" s="226"/>
      <c r="P939" s="226"/>
    </row>
    <row r="940" spans="1:16">
      <c r="A940" s="227"/>
      <c r="B940" s="131" t="s">
        <v>786</v>
      </c>
      <c r="C940" s="227">
        <v>90805</v>
      </c>
      <c r="D940" s="392"/>
      <c r="H940" s="226"/>
      <c r="J940" s="389"/>
      <c r="K940" s="226"/>
      <c r="P940" s="226"/>
    </row>
    <row r="941" spans="1:16">
      <c r="A941" s="227"/>
      <c r="B941" s="131" t="s">
        <v>929</v>
      </c>
      <c r="C941" s="227">
        <v>92109</v>
      </c>
      <c r="D941" s="392"/>
      <c r="H941" s="226"/>
      <c r="J941" s="390"/>
      <c r="K941" s="226"/>
      <c r="P941" s="226"/>
    </row>
    <row r="942" spans="1:16">
      <c r="A942" s="227"/>
      <c r="B942" s="131" t="s">
        <v>747</v>
      </c>
      <c r="C942" s="227">
        <v>90201</v>
      </c>
      <c r="D942" s="392"/>
      <c r="H942" s="226"/>
      <c r="J942" s="389"/>
      <c r="K942" s="226"/>
      <c r="P942" s="226"/>
    </row>
    <row r="943" spans="1:16">
      <c r="A943" s="227"/>
      <c r="B943" s="131" t="s">
        <v>750</v>
      </c>
      <c r="C943" s="227">
        <v>90206</v>
      </c>
      <c r="D943" s="392"/>
      <c r="H943" s="226"/>
      <c r="J943" s="389"/>
      <c r="K943" s="226"/>
      <c r="P943" s="226"/>
    </row>
    <row r="944" spans="1:16">
      <c r="A944" s="227"/>
      <c r="B944" s="131" t="s">
        <v>748</v>
      </c>
      <c r="C944" s="227">
        <v>90203</v>
      </c>
      <c r="D944" s="392"/>
      <c r="H944" s="226"/>
      <c r="J944" s="390"/>
      <c r="K944" s="226"/>
      <c r="P944" s="226"/>
    </row>
    <row r="945" spans="1:16">
      <c r="A945" s="227"/>
      <c r="B945" s="131" t="s">
        <v>749</v>
      </c>
      <c r="C945" s="227">
        <v>90205</v>
      </c>
      <c r="D945" s="392"/>
      <c r="H945" s="226"/>
      <c r="J945" s="389"/>
      <c r="K945" s="226"/>
      <c r="P945" s="226"/>
    </row>
    <row r="946" spans="1:16">
      <c r="A946" s="227"/>
      <c r="B946" s="131" t="s">
        <v>752</v>
      </c>
      <c r="C946" s="227">
        <v>90301</v>
      </c>
      <c r="D946" s="392"/>
      <c r="H946" s="226"/>
      <c r="J946" s="389"/>
      <c r="K946" s="226"/>
      <c r="P946" s="226"/>
    </row>
    <row r="947" spans="1:16">
      <c r="A947" s="227"/>
      <c r="B947" s="131" t="s">
        <v>1024</v>
      </c>
      <c r="C947" s="227">
        <v>93209</v>
      </c>
      <c r="D947" s="392"/>
      <c r="H947" s="226"/>
      <c r="J947" s="389"/>
      <c r="K947" s="226"/>
      <c r="P947" s="226"/>
    </row>
    <row r="948" spans="1:16">
      <c r="A948" s="227"/>
      <c r="B948" s="131" t="s">
        <v>2029</v>
      </c>
      <c r="C948" s="227">
        <v>92021</v>
      </c>
      <c r="D948" s="392"/>
      <c r="H948" s="226"/>
      <c r="J948" s="389"/>
      <c r="K948" s="226"/>
      <c r="P948" s="226"/>
    </row>
    <row r="949" spans="1:16">
      <c r="A949" s="227"/>
      <c r="B949" s="131" t="s">
        <v>2030</v>
      </c>
      <c r="C949" s="227">
        <v>94351</v>
      </c>
      <c r="D949" s="392"/>
      <c r="H949" s="226"/>
      <c r="J949" s="389"/>
      <c r="K949" s="226"/>
      <c r="P949" s="226"/>
    </row>
    <row r="950" spans="1:16">
      <c r="A950" s="227"/>
      <c r="B950" s="131" t="s">
        <v>2031</v>
      </c>
      <c r="C950" s="227">
        <v>94347</v>
      </c>
      <c r="D950" s="392"/>
      <c r="H950" s="226"/>
      <c r="J950" s="389"/>
      <c r="K950" s="226"/>
      <c r="P950" s="226"/>
    </row>
    <row r="951" spans="1:16">
      <c r="A951" s="227"/>
      <c r="B951" s="131" t="s">
        <v>755</v>
      </c>
      <c r="C951" s="227">
        <v>90401</v>
      </c>
      <c r="D951" s="392"/>
      <c r="H951" s="226"/>
      <c r="J951" s="389"/>
      <c r="K951" s="226"/>
      <c r="P951" s="226"/>
    </row>
    <row r="952" spans="1:16">
      <c r="A952" s="227"/>
      <c r="B952" s="131" t="s">
        <v>2032</v>
      </c>
      <c r="C952" s="227">
        <v>90451</v>
      </c>
      <c r="D952" s="392"/>
      <c r="H952" s="226"/>
      <c r="J952" s="389"/>
      <c r="K952" s="226"/>
      <c r="P952" s="226"/>
    </row>
    <row r="953" spans="1:16">
      <c r="A953" s="227"/>
      <c r="B953" s="131" t="s">
        <v>2033</v>
      </c>
      <c r="C953" s="227">
        <v>99271</v>
      </c>
      <c r="D953" s="392"/>
      <c r="H953" s="226"/>
      <c r="J953" s="390"/>
      <c r="K953" s="226"/>
      <c r="P953" s="226"/>
    </row>
    <row r="954" spans="1:16">
      <c r="A954" s="227"/>
      <c r="B954" s="131" t="s">
        <v>737</v>
      </c>
      <c r="C954" s="227">
        <v>90099</v>
      </c>
      <c r="D954" s="392"/>
      <c r="H954" s="226"/>
      <c r="J954" s="389"/>
      <c r="K954" s="226"/>
      <c r="P954" s="226"/>
    </row>
    <row r="955" spans="1:16">
      <c r="A955" s="227"/>
      <c r="B955" s="131" t="s">
        <v>1596</v>
      </c>
      <c r="C955" s="227">
        <v>99705</v>
      </c>
      <c r="D955" s="392"/>
      <c r="H955" s="226"/>
      <c r="J955" s="389"/>
      <c r="K955" s="226"/>
      <c r="P955" s="226"/>
    </row>
    <row r="956" spans="1:16">
      <c r="A956" s="227"/>
      <c r="B956" s="131" t="s">
        <v>1949</v>
      </c>
      <c r="C956" s="227">
        <v>97651</v>
      </c>
      <c r="D956" s="392"/>
      <c r="H956" s="226"/>
      <c r="J956" s="390"/>
      <c r="K956" s="226"/>
      <c r="P956" s="226"/>
    </row>
    <row r="957" spans="1:16">
      <c r="A957" s="227"/>
      <c r="B957" s="131" t="s">
        <v>2034</v>
      </c>
      <c r="C957" s="227">
        <v>95106</v>
      </c>
      <c r="D957" s="392"/>
      <c r="H957" s="226"/>
      <c r="J957" s="389"/>
      <c r="K957" s="226"/>
      <c r="P957" s="226"/>
    </row>
    <row r="958" spans="1:16">
      <c r="A958" s="227"/>
      <c r="B958" s="131" t="s">
        <v>764</v>
      </c>
      <c r="C958" s="227">
        <v>90501</v>
      </c>
      <c r="D958" s="392"/>
      <c r="H958" s="226"/>
      <c r="J958" s="389"/>
      <c r="K958" s="226"/>
      <c r="P958" s="226"/>
    </row>
    <row r="959" spans="1:16">
      <c r="A959" s="227"/>
      <c r="B959" s="131" t="s">
        <v>1950</v>
      </c>
      <c r="C959" s="227">
        <v>97611</v>
      </c>
      <c r="D959" s="392"/>
      <c r="H959" s="226"/>
      <c r="J959" s="389"/>
      <c r="K959" s="226"/>
      <c r="P959" s="226"/>
    </row>
    <row r="960" spans="1:16">
      <c r="A960" s="227"/>
      <c r="B960" s="131" t="s">
        <v>1393</v>
      </c>
      <c r="C960" s="227">
        <v>97607</v>
      </c>
      <c r="D960" s="392"/>
      <c r="H960" s="226"/>
      <c r="J960" s="389"/>
      <c r="K960" s="226"/>
      <c r="P960" s="226"/>
    </row>
    <row r="961" spans="1:16">
      <c r="A961" s="227"/>
      <c r="B961" s="131" t="s">
        <v>2753</v>
      </c>
      <c r="C961" s="227">
        <v>97613</v>
      </c>
      <c r="D961" s="392"/>
      <c r="H961" s="226"/>
      <c r="J961" s="389"/>
      <c r="K961" s="226"/>
      <c r="P961" s="226"/>
    </row>
    <row r="962" spans="1:16">
      <c r="A962" s="227"/>
      <c r="B962" s="131" t="s">
        <v>1951</v>
      </c>
      <c r="C962" s="227">
        <v>91121</v>
      </c>
      <c r="D962" s="392"/>
      <c r="H962" s="226"/>
      <c r="J962" s="389"/>
      <c r="K962" s="226"/>
      <c r="P962" s="226"/>
    </row>
    <row r="963" spans="1:16">
      <c r="A963" s="227"/>
      <c r="B963" s="131" t="s">
        <v>838</v>
      </c>
      <c r="C963" s="51">
        <v>91127</v>
      </c>
      <c r="D963" s="392"/>
      <c r="H963" s="226"/>
      <c r="J963" s="389"/>
      <c r="K963" s="226"/>
      <c r="P963" s="226"/>
    </row>
    <row r="964" spans="1:16">
      <c r="A964" s="227"/>
      <c r="B964" s="131" t="s">
        <v>839</v>
      </c>
      <c r="C964" s="227">
        <v>91128</v>
      </c>
      <c r="D964" s="392"/>
      <c r="H964" s="226"/>
      <c r="J964" s="389"/>
      <c r="K964" s="226"/>
      <c r="P964" s="226"/>
    </row>
    <row r="965" spans="1:16">
      <c r="A965" s="227"/>
      <c r="B965" s="131" t="s">
        <v>2035</v>
      </c>
      <c r="C965" s="227">
        <v>91681</v>
      </c>
      <c r="D965" s="392"/>
      <c r="H965" s="226"/>
      <c r="J965" s="390"/>
      <c r="K965" s="226"/>
      <c r="P965" s="226"/>
    </row>
    <row r="966" spans="1:16">
      <c r="A966" s="227"/>
      <c r="B966" s="131" t="s">
        <v>2036</v>
      </c>
      <c r="C966" s="227">
        <v>90811</v>
      </c>
      <c r="D966" s="392"/>
      <c r="H966" s="226"/>
      <c r="J966" s="389"/>
      <c r="K966" s="226"/>
      <c r="P966" s="226"/>
    </row>
    <row r="967" spans="1:16">
      <c r="A967" s="227"/>
      <c r="B967" s="131" t="s">
        <v>2038</v>
      </c>
      <c r="C967" s="227">
        <v>90721</v>
      </c>
      <c r="D967" s="392"/>
      <c r="H967" s="226"/>
      <c r="J967" s="389"/>
      <c r="K967" s="226"/>
      <c r="P967" s="226"/>
    </row>
    <row r="968" spans="1:16">
      <c r="A968" s="227"/>
      <c r="B968" s="131" t="s">
        <v>2037</v>
      </c>
      <c r="C968" s="227">
        <v>98271</v>
      </c>
      <c r="D968" s="392"/>
      <c r="H968" s="226"/>
      <c r="J968" s="390"/>
      <c r="K968" s="226"/>
      <c r="P968" s="226"/>
    </row>
    <row r="969" spans="1:16">
      <c r="A969" s="227"/>
      <c r="B969" s="131" t="s">
        <v>767</v>
      </c>
      <c r="C969" s="227">
        <v>90601</v>
      </c>
      <c r="D969" s="392"/>
      <c r="H969" s="226"/>
      <c r="J969" s="389"/>
      <c r="K969" s="226"/>
      <c r="P969" s="226"/>
    </row>
    <row r="970" spans="1:16">
      <c r="A970" s="227"/>
      <c r="B970" s="131" t="s">
        <v>259</v>
      </c>
      <c r="C970" s="227">
        <v>90602</v>
      </c>
      <c r="D970" s="392"/>
      <c r="H970" s="226"/>
      <c r="J970" s="389"/>
      <c r="K970" s="226"/>
      <c r="P970" s="226"/>
    </row>
    <row r="971" spans="1:16">
      <c r="A971" s="227"/>
      <c r="B971" s="131" t="s">
        <v>768</v>
      </c>
      <c r="C971" s="227">
        <v>90605</v>
      </c>
      <c r="D971" s="392"/>
      <c r="H971" s="226"/>
      <c r="J971" s="389"/>
      <c r="K971" s="226"/>
      <c r="P971" s="226"/>
    </row>
    <row r="972" spans="1:16">
      <c r="A972" s="227"/>
      <c r="B972" s="131" t="s">
        <v>2039</v>
      </c>
      <c r="C972" s="227">
        <v>97461</v>
      </c>
      <c r="D972" s="392"/>
      <c r="H972" s="226"/>
      <c r="J972" s="389"/>
      <c r="K972" s="226"/>
      <c r="P972" s="226"/>
    </row>
    <row r="973" spans="1:16">
      <c r="A973" s="227"/>
      <c r="B973" s="131" t="s">
        <v>1384</v>
      </c>
      <c r="C973" s="227">
        <v>97463</v>
      </c>
      <c r="D973" s="392"/>
      <c r="H973" s="226"/>
      <c r="J973" s="389"/>
      <c r="K973" s="226"/>
      <c r="P973" s="226"/>
    </row>
    <row r="974" spans="1:16">
      <c r="A974" s="227"/>
      <c r="B974" s="131" t="s">
        <v>777</v>
      </c>
      <c r="C974" s="227">
        <v>90705</v>
      </c>
      <c r="D974" s="392"/>
      <c r="H974" s="226"/>
      <c r="J974" s="389"/>
      <c r="K974" s="226"/>
      <c r="P974" s="226"/>
    </row>
    <row r="975" spans="1:16">
      <c r="A975" s="227"/>
      <c r="B975" s="131" t="s">
        <v>2040</v>
      </c>
      <c r="C975" s="227">
        <v>98451</v>
      </c>
      <c r="D975" s="392"/>
      <c r="H975" s="226"/>
      <c r="J975" s="389"/>
      <c r="K975" s="226"/>
      <c r="P975" s="226"/>
    </row>
    <row r="976" spans="1:16">
      <c r="A976" s="227"/>
      <c r="B976" s="131" t="s">
        <v>2041</v>
      </c>
      <c r="C976" s="227">
        <v>96451</v>
      </c>
      <c r="D976" s="392"/>
      <c r="H976" s="226"/>
      <c r="J976" s="389"/>
      <c r="K976" s="226"/>
      <c r="P976" s="226"/>
    </row>
    <row r="977" spans="1:16">
      <c r="A977" s="227"/>
      <c r="B977" s="131" t="s">
        <v>2042</v>
      </c>
      <c r="C977" s="227">
        <v>96121</v>
      </c>
      <c r="D977" s="392"/>
      <c r="H977" s="226"/>
      <c r="J977" s="390"/>
      <c r="K977" s="226"/>
      <c r="P977" s="226"/>
    </row>
    <row r="978" spans="1:16">
      <c r="A978" s="227"/>
      <c r="B978" s="131" t="s">
        <v>2500</v>
      </c>
      <c r="C978" s="227">
        <v>91091</v>
      </c>
      <c r="D978" s="392"/>
      <c r="H978" s="226"/>
      <c r="J978" s="389"/>
      <c r="K978" s="226"/>
      <c r="P978" s="226"/>
    </row>
    <row r="979" spans="1:16">
      <c r="A979" s="227"/>
      <c r="B979" s="131" t="s">
        <v>2043</v>
      </c>
      <c r="C979" s="227">
        <v>90611</v>
      </c>
      <c r="D979" s="392"/>
      <c r="H979" s="226"/>
      <c r="J979" s="389"/>
      <c r="K979" s="226"/>
      <c r="P979" s="226"/>
    </row>
    <row r="980" spans="1:16">
      <c r="A980" s="227"/>
      <c r="B980" s="131" t="s">
        <v>1345</v>
      </c>
      <c r="C980" s="227">
        <v>96918</v>
      </c>
      <c r="D980" s="392"/>
      <c r="H980" s="226"/>
      <c r="J980" s="390"/>
      <c r="K980" s="226"/>
      <c r="P980" s="226"/>
    </row>
    <row r="981" spans="1:16">
      <c r="A981" s="227"/>
      <c r="B981" s="131" t="s">
        <v>2044</v>
      </c>
      <c r="C981" s="227">
        <v>96911</v>
      </c>
      <c r="D981" s="392"/>
      <c r="H981" s="226"/>
      <c r="J981" s="389"/>
      <c r="K981" s="226"/>
      <c r="P981" s="226"/>
    </row>
    <row r="982" spans="1:16">
      <c r="A982" s="227"/>
      <c r="B982" s="131" t="s">
        <v>1547</v>
      </c>
      <c r="C982" s="227">
        <v>99208</v>
      </c>
      <c r="D982" s="392"/>
      <c r="H982" s="226"/>
      <c r="J982" s="389"/>
      <c r="K982" s="226"/>
      <c r="P982" s="226"/>
    </row>
    <row r="983" spans="1:16">
      <c r="A983" s="227"/>
      <c r="B983" s="131" t="s">
        <v>2045</v>
      </c>
      <c r="C983" s="227">
        <v>91631</v>
      </c>
      <c r="D983" s="392"/>
      <c r="H983" s="226"/>
      <c r="J983" s="389"/>
      <c r="K983" s="226"/>
      <c r="P983" s="226"/>
    </row>
    <row r="984" spans="1:16">
      <c r="A984" s="227"/>
      <c r="B984" s="131" t="s">
        <v>775</v>
      </c>
      <c r="C984" s="227">
        <v>90701</v>
      </c>
      <c r="D984" s="392"/>
      <c r="H984" s="226"/>
      <c r="J984" s="389"/>
      <c r="K984" s="226"/>
      <c r="P984" s="226"/>
    </row>
    <row r="985" spans="1:16">
      <c r="A985" s="227"/>
      <c r="B985" s="131" t="s">
        <v>776</v>
      </c>
      <c r="C985" s="227">
        <v>90704</v>
      </c>
      <c r="D985" s="392"/>
      <c r="H985" s="226"/>
      <c r="J985" s="389"/>
      <c r="K985" s="226"/>
      <c r="P985" s="226"/>
    </row>
    <row r="986" spans="1:16">
      <c r="A986" s="227"/>
      <c r="B986" s="131" t="s">
        <v>2756</v>
      </c>
      <c r="C986" s="227">
        <v>91633</v>
      </c>
      <c r="D986" s="392"/>
      <c r="H986" s="226"/>
      <c r="J986" s="389"/>
      <c r="K986" s="226"/>
      <c r="P986" s="226"/>
    </row>
    <row r="987" spans="1:16">
      <c r="A987" s="227"/>
      <c r="B987" s="131" t="s">
        <v>2046</v>
      </c>
      <c r="C987" s="227">
        <v>90631</v>
      </c>
      <c r="D987" s="392"/>
      <c r="H987" s="226"/>
      <c r="J987" s="389"/>
      <c r="K987" s="226"/>
      <c r="P987" s="226"/>
    </row>
    <row r="988" spans="1:16">
      <c r="A988" s="227"/>
      <c r="B988" s="131" t="s">
        <v>2047</v>
      </c>
      <c r="C988" s="227">
        <v>90731</v>
      </c>
      <c r="D988" s="392"/>
      <c r="H988" s="226"/>
      <c r="J988" s="389"/>
      <c r="K988" s="226"/>
      <c r="P988" s="226"/>
    </row>
    <row r="989" spans="1:16">
      <c r="A989" s="227"/>
      <c r="B989" s="131" t="s">
        <v>1952</v>
      </c>
      <c r="C989" s="227">
        <v>93621</v>
      </c>
      <c r="D989" s="392"/>
      <c r="H989" s="226"/>
      <c r="J989" s="390"/>
      <c r="K989" s="226"/>
      <c r="P989" s="226"/>
    </row>
    <row r="990" spans="1:16">
      <c r="A990" s="227"/>
      <c r="B990" s="131" t="s">
        <v>1070</v>
      </c>
      <c r="C990" s="227">
        <v>93623</v>
      </c>
      <c r="D990" s="392"/>
      <c r="H990" s="226"/>
      <c r="J990" s="389"/>
      <c r="K990" s="226"/>
      <c r="P990" s="226"/>
    </row>
    <row r="991" spans="1:16">
      <c r="A991" s="227"/>
      <c r="B991" s="131" t="s">
        <v>2048</v>
      </c>
      <c r="C991" s="227">
        <v>91020</v>
      </c>
      <c r="D991" s="392"/>
      <c r="H991" s="226"/>
      <c r="J991" s="389"/>
      <c r="K991" s="226"/>
      <c r="P991" s="226"/>
    </row>
    <row r="992" spans="1:16">
      <c r="A992" s="227"/>
      <c r="B992" s="131" t="s">
        <v>2049</v>
      </c>
      <c r="C992" s="227">
        <v>95141</v>
      </c>
      <c r="D992" s="392"/>
      <c r="H992" s="226"/>
      <c r="J992" s="390"/>
      <c r="K992" s="226"/>
      <c r="P992" s="226"/>
    </row>
    <row r="993" spans="1:16">
      <c r="A993" s="227"/>
      <c r="B993" s="131" t="s">
        <v>1190</v>
      </c>
      <c r="C993" s="227">
        <v>95103</v>
      </c>
      <c r="D993" s="392"/>
      <c r="H993" s="226"/>
      <c r="J993" s="389"/>
      <c r="K993" s="226"/>
      <c r="P993" s="226"/>
    </row>
    <row r="994" spans="1:16">
      <c r="A994" s="227"/>
      <c r="B994" s="131" t="s">
        <v>2050</v>
      </c>
      <c r="C994" s="227">
        <v>93021</v>
      </c>
      <c r="D994" s="392"/>
      <c r="H994" s="226"/>
      <c r="J994" s="389"/>
      <c r="K994" s="226"/>
      <c r="P994" s="226"/>
    </row>
    <row r="995" spans="1:16">
      <c r="A995" s="227"/>
      <c r="B995" s="131" t="s">
        <v>784</v>
      </c>
      <c r="C995" s="227">
        <v>90801</v>
      </c>
      <c r="D995" s="392"/>
      <c r="H995" s="226"/>
      <c r="J995" s="389"/>
      <c r="K995" s="226"/>
      <c r="P995" s="226"/>
    </row>
    <row r="996" spans="1:16">
      <c r="A996" s="227"/>
      <c r="B996" s="131" t="s">
        <v>785</v>
      </c>
      <c r="C996" s="227">
        <v>90804</v>
      </c>
      <c r="D996" s="392"/>
      <c r="H996" s="226"/>
      <c r="J996" s="389"/>
      <c r="K996" s="226"/>
      <c r="P996" s="226"/>
    </row>
    <row r="997" spans="1:16">
      <c r="A997" s="227"/>
      <c r="B997" s="131" t="s">
        <v>787</v>
      </c>
      <c r="C997" s="227">
        <v>90808</v>
      </c>
      <c r="D997" s="392"/>
      <c r="H997" s="226"/>
      <c r="J997" s="389"/>
      <c r="K997" s="226"/>
      <c r="P997" s="226"/>
    </row>
    <row r="998" spans="1:16">
      <c r="A998" s="227"/>
      <c r="B998" s="131" t="s">
        <v>1076</v>
      </c>
      <c r="C998" s="227">
        <v>93671</v>
      </c>
      <c r="D998" s="392"/>
      <c r="H998" s="226"/>
      <c r="J998" s="390"/>
      <c r="K998" s="226"/>
      <c r="P998" s="226"/>
    </row>
    <row r="999" spans="1:16">
      <c r="A999" s="227"/>
      <c r="B999" s="131" t="s">
        <v>2776</v>
      </c>
      <c r="C999" s="227">
        <v>93677</v>
      </c>
      <c r="D999" s="392"/>
      <c r="H999" s="226"/>
      <c r="J999" s="389"/>
      <c r="K999" s="226"/>
      <c r="P999" s="226"/>
    </row>
    <row r="1000" spans="1:16">
      <c r="A1000" s="227"/>
      <c r="B1000" s="131" t="s">
        <v>2051</v>
      </c>
      <c r="C1000" s="227">
        <v>97441</v>
      </c>
      <c r="D1000" s="392"/>
      <c r="H1000" s="226"/>
      <c r="J1000" s="389"/>
      <c r="K1000" s="226"/>
      <c r="P1000" s="226"/>
    </row>
    <row r="1001" spans="1:16">
      <c r="A1001" s="227"/>
      <c r="B1001" s="131" t="s">
        <v>2052</v>
      </c>
      <c r="C1001" s="227">
        <v>93111</v>
      </c>
      <c r="D1001" s="392"/>
      <c r="H1001" s="226"/>
      <c r="J1001" s="389"/>
      <c r="K1001" s="226"/>
      <c r="P1001" s="226"/>
    </row>
    <row r="1002" spans="1:16">
      <c r="A1002" s="227"/>
      <c r="B1002" s="131" t="s">
        <v>2053</v>
      </c>
      <c r="C1002" s="227">
        <v>91111</v>
      </c>
      <c r="D1002" s="392"/>
      <c r="H1002" s="226"/>
      <c r="J1002" s="389"/>
      <c r="K1002" s="226"/>
      <c r="P1002" s="226"/>
    </row>
    <row r="1003" spans="1:16">
      <c r="A1003" s="227"/>
      <c r="B1003" s="131" t="s">
        <v>2054</v>
      </c>
      <c r="C1003" s="227">
        <v>96231</v>
      </c>
      <c r="D1003" s="392"/>
      <c r="H1003" s="226"/>
      <c r="J1003" s="389"/>
      <c r="K1003" s="226"/>
      <c r="P1003" s="226"/>
    </row>
    <row r="1004" spans="1:16">
      <c r="A1004" s="227"/>
      <c r="B1004" s="131" t="s">
        <v>2055</v>
      </c>
      <c r="C1004" s="51">
        <v>99831</v>
      </c>
      <c r="D1004" s="392"/>
      <c r="H1004" s="226"/>
      <c r="J1004" s="389"/>
      <c r="K1004" s="226"/>
      <c r="P1004" s="226"/>
    </row>
    <row r="1005" spans="1:16">
      <c r="A1005" s="227"/>
      <c r="B1005" s="131" t="s">
        <v>2056</v>
      </c>
      <c r="C1005" s="227">
        <v>91151</v>
      </c>
      <c r="D1005" s="392"/>
      <c r="H1005" s="226"/>
      <c r="J1005" s="389"/>
      <c r="K1005" s="226"/>
      <c r="P1005" s="226"/>
    </row>
    <row r="1006" spans="1:16">
      <c r="A1006" s="227"/>
      <c r="B1006" s="131" t="s">
        <v>844</v>
      </c>
      <c r="C1006" s="227">
        <v>91154</v>
      </c>
      <c r="D1006" s="392"/>
      <c r="H1006" s="226"/>
      <c r="J1006" s="389"/>
      <c r="K1006" s="226"/>
      <c r="P1006" s="226"/>
    </row>
    <row r="1007" spans="1:16">
      <c r="A1007" s="227"/>
      <c r="B1007" s="131" t="s">
        <v>792</v>
      </c>
      <c r="C1007" s="227">
        <v>90901</v>
      </c>
      <c r="D1007" s="392"/>
      <c r="H1007" s="226"/>
      <c r="J1007" s="390"/>
      <c r="K1007" s="226"/>
      <c r="P1007" s="226"/>
    </row>
    <row r="1008" spans="1:16">
      <c r="A1008" s="227"/>
      <c r="B1008" s="131" t="s">
        <v>2057</v>
      </c>
      <c r="C1008" s="227">
        <v>90941</v>
      </c>
      <c r="D1008" s="392"/>
      <c r="H1008" s="226"/>
      <c r="J1008" s="389"/>
      <c r="K1008" s="226"/>
      <c r="P1008" s="226"/>
    </row>
    <row r="1009" spans="1:16">
      <c r="A1009" s="227"/>
      <c r="B1009" s="131" t="s">
        <v>2058</v>
      </c>
      <c r="C1009" s="227">
        <v>99521</v>
      </c>
      <c r="D1009" s="392"/>
      <c r="H1009" s="226"/>
      <c r="J1009" s="389"/>
      <c r="K1009" s="226"/>
      <c r="P1009" s="226"/>
    </row>
    <row r="1010" spans="1:16">
      <c r="A1010" s="227"/>
      <c r="B1010" s="131" t="s">
        <v>1580</v>
      </c>
      <c r="C1010" s="227">
        <v>99527</v>
      </c>
      <c r="D1010" s="392"/>
      <c r="H1010" s="226"/>
      <c r="J1010" s="390"/>
      <c r="K1010" s="226"/>
      <c r="P1010" s="226"/>
    </row>
    <row r="1011" spans="1:16">
      <c r="A1011" s="227"/>
      <c r="B1011" s="131" t="s">
        <v>1576</v>
      </c>
      <c r="C1011" s="227">
        <v>99508</v>
      </c>
      <c r="D1011" s="392"/>
      <c r="H1011" s="226"/>
      <c r="J1011" s="389"/>
      <c r="K1011" s="226"/>
      <c r="P1011" s="226"/>
    </row>
    <row r="1012" spans="1:16">
      <c r="A1012" s="227"/>
      <c r="B1012" s="131" t="s">
        <v>1156</v>
      </c>
      <c r="C1012" s="227">
        <v>94532</v>
      </c>
      <c r="D1012" s="392"/>
      <c r="H1012" s="226"/>
      <c r="J1012" s="389"/>
      <c r="K1012" s="226"/>
      <c r="P1012" s="226"/>
    </row>
    <row r="1013" spans="1:16">
      <c r="A1013" s="227"/>
      <c r="B1013" s="131" t="s">
        <v>1953</v>
      </c>
      <c r="C1013" s="227">
        <v>91071</v>
      </c>
      <c r="D1013" s="392"/>
      <c r="H1013" s="226"/>
      <c r="J1013" s="389"/>
      <c r="K1013" s="226"/>
      <c r="P1013" s="226"/>
    </row>
    <row r="1014" spans="1:16">
      <c r="A1014" s="227"/>
      <c r="B1014" s="131" t="s">
        <v>826</v>
      </c>
      <c r="C1014" s="227">
        <v>91077</v>
      </c>
      <c r="D1014" s="392"/>
      <c r="H1014" s="226"/>
      <c r="J1014" s="389"/>
      <c r="K1014" s="226"/>
      <c r="P1014" s="226"/>
    </row>
    <row r="1015" spans="1:16">
      <c r="A1015" s="227"/>
      <c r="B1015" s="131" t="s">
        <v>2059</v>
      </c>
      <c r="C1015" s="227">
        <v>92331</v>
      </c>
      <c r="D1015" s="392"/>
      <c r="H1015" s="226"/>
      <c r="J1015" s="389"/>
      <c r="K1015" s="226"/>
      <c r="P1015" s="226"/>
    </row>
    <row r="1016" spans="1:16">
      <c r="A1016" s="227"/>
      <c r="B1016" s="131" t="s">
        <v>2060</v>
      </c>
      <c r="C1016" s="227">
        <v>92414</v>
      </c>
      <c r="D1016" s="392"/>
      <c r="H1016" s="226"/>
      <c r="J1016" s="389"/>
      <c r="K1016" s="226"/>
      <c r="P1016" s="226"/>
    </row>
    <row r="1017" spans="1:16">
      <c r="A1017" s="227"/>
      <c r="B1017" s="131" t="s">
        <v>2061</v>
      </c>
      <c r="C1017" s="227">
        <v>99511</v>
      </c>
      <c r="D1017" s="392"/>
      <c r="H1017" s="226"/>
      <c r="J1017" s="389"/>
      <c r="K1017" s="226"/>
      <c r="P1017" s="226"/>
    </row>
    <row r="1018" spans="1:16">
      <c r="A1018" s="227"/>
      <c r="B1018" s="131" t="s">
        <v>2062</v>
      </c>
      <c r="C1018" s="51">
        <v>99941</v>
      </c>
      <c r="D1018" s="392"/>
      <c r="H1018" s="226"/>
      <c r="J1018" s="389"/>
      <c r="K1018" s="226"/>
      <c r="P1018" s="226"/>
    </row>
    <row r="1019" spans="1:16">
      <c r="A1019" s="227"/>
      <c r="B1019" s="131" t="s">
        <v>1298</v>
      </c>
      <c r="C1019" s="227">
        <v>96405</v>
      </c>
      <c r="D1019" s="392"/>
      <c r="H1019" s="226"/>
      <c r="J1019" s="390"/>
      <c r="K1019" s="226"/>
      <c r="P1019" s="226"/>
    </row>
    <row r="1020" spans="1:16">
      <c r="A1020" s="227"/>
      <c r="B1020" s="131" t="s">
        <v>1954</v>
      </c>
      <c r="C1020" s="227">
        <v>98811</v>
      </c>
      <c r="D1020" s="392"/>
      <c r="H1020" s="226"/>
      <c r="J1020" s="389"/>
      <c r="K1020" s="226"/>
      <c r="P1020" s="226"/>
    </row>
    <row r="1021" spans="1:16">
      <c r="A1021" s="227"/>
      <c r="B1021" s="131" t="s">
        <v>1518</v>
      </c>
      <c r="C1021" s="227">
        <v>98817</v>
      </c>
      <c r="D1021" s="392"/>
      <c r="H1021" s="226"/>
      <c r="J1021" s="389"/>
      <c r="K1021" s="226"/>
      <c r="P1021" s="226"/>
    </row>
    <row r="1022" spans="1:16">
      <c r="A1022" s="227"/>
      <c r="B1022" s="131" t="s">
        <v>2063</v>
      </c>
      <c r="C1022" s="227">
        <v>92561</v>
      </c>
      <c r="D1022" s="392"/>
      <c r="H1022" s="226"/>
      <c r="J1022" s="390"/>
      <c r="K1022" s="226"/>
      <c r="P1022" s="226"/>
    </row>
    <row r="1023" spans="1:16">
      <c r="A1023" s="227"/>
      <c r="B1023" s="131" t="s">
        <v>1459</v>
      </c>
      <c r="C1023" s="227">
        <v>98102</v>
      </c>
      <c r="D1023" s="392"/>
      <c r="H1023" s="226"/>
      <c r="J1023" s="389"/>
      <c r="K1023" s="226"/>
      <c r="P1023" s="226"/>
    </row>
    <row r="1024" spans="1:16">
      <c r="A1024" s="227"/>
      <c r="B1024" s="131" t="s">
        <v>2064</v>
      </c>
      <c r="C1024" s="227">
        <v>95321</v>
      </c>
      <c r="D1024" s="392"/>
      <c r="H1024" s="226"/>
      <c r="J1024" s="389"/>
      <c r="K1024" s="226"/>
      <c r="P1024" s="226"/>
    </row>
    <row r="1025" spans="1:16">
      <c r="A1025" s="227"/>
      <c r="B1025" s="131" t="s">
        <v>2065</v>
      </c>
      <c r="C1025" s="227">
        <v>91861</v>
      </c>
      <c r="D1025" s="392"/>
      <c r="H1025" s="226"/>
      <c r="J1025" s="389"/>
      <c r="K1025" s="226"/>
      <c r="P1025" s="226"/>
    </row>
    <row r="1026" spans="1:16">
      <c r="A1026" s="227"/>
      <c r="B1026" s="131" t="s">
        <v>2066</v>
      </c>
      <c r="C1026" s="227">
        <v>92421</v>
      </c>
      <c r="D1026" s="392"/>
      <c r="H1026" s="226"/>
      <c r="J1026" s="389"/>
      <c r="K1026" s="226"/>
      <c r="P1026" s="226"/>
    </row>
    <row r="1027" spans="1:16">
      <c r="A1027" s="227"/>
      <c r="B1027" s="131" t="s">
        <v>799</v>
      </c>
      <c r="C1027" s="227">
        <v>91001</v>
      </c>
      <c r="D1027" s="392"/>
      <c r="H1027" s="226"/>
      <c r="J1027" s="389"/>
      <c r="K1027" s="226"/>
      <c r="P1027" s="226"/>
    </row>
    <row r="1028" spans="1:16">
      <c r="A1028" s="227"/>
      <c r="B1028" s="131" t="s">
        <v>802</v>
      </c>
      <c r="C1028" s="227">
        <v>91004</v>
      </c>
      <c r="D1028" s="392"/>
      <c r="H1028" s="226"/>
      <c r="J1028" s="389"/>
      <c r="K1028" s="226"/>
      <c r="P1028" s="226"/>
    </row>
    <row r="1029" spans="1:16">
      <c r="A1029" s="227"/>
      <c r="B1029" s="131" t="s">
        <v>2777</v>
      </c>
      <c r="C1029" s="227">
        <v>91006</v>
      </c>
      <c r="D1029" s="392"/>
      <c r="H1029" s="226"/>
      <c r="J1029" s="389"/>
      <c r="K1029" s="226"/>
      <c r="P1029" s="226"/>
    </row>
    <row r="1030" spans="1:16">
      <c r="A1030" s="227"/>
      <c r="B1030" s="131" t="s">
        <v>2778</v>
      </c>
      <c r="C1030" s="227">
        <v>91003</v>
      </c>
      <c r="D1030" s="392"/>
      <c r="H1030" s="226"/>
      <c r="J1030" s="389"/>
      <c r="K1030" s="226"/>
      <c r="P1030" s="226"/>
    </row>
    <row r="1031" spans="1:16">
      <c r="A1031" s="227"/>
      <c r="B1031" s="131" t="s">
        <v>806</v>
      </c>
      <c r="C1031" s="227">
        <v>91009</v>
      </c>
      <c r="D1031" s="392"/>
      <c r="H1031" s="226"/>
      <c r="J1031" s="390"/>
      <c r="K1031" s="226"/>
      <c r="P1031" s="226"/>
    </row>
    <row r="1032" spans="1:16">
      <c r="A1032" s="227"/>
      <c r="B1032" s="131" t="s">
        <v>819</v>
      </c>
      <c r="C1032" s="227">
        <v>91042</v>
      </c>
      <c r="D1032" s="392"/>
      <c r="H1032" s="226"/>
      <c r="J1032" s="389"/>
      <c r="K1032" s="226"/>
      <c r="P1032" s="226"/>
    </row>
    <row r="1033" spans="1:16">
      <c r="A1033" s="227"/>
      <c r="B1033" s="131" t="s">
        <v>2067</v>
      </c>
      <c r="C1033" s="227">
        <v>98711</v>
      </c>
      <c r="D1033" s="392"/>
      <c r="H1033" s="226"/>
      <c r="J1033" s="389"/>
      <c r="K1033" s="226"/>
      <c r="P1033" s="226"/>
    </row>
    <row r="1034" spans="1:16">
      <c r="A1034" s="227"/>
      <c r="B1034" s="131" t="s">
        <v>1515</v>
      </c>
      <c r="C1034" s="227">
        <v>98717</v>
      </c>
      <c r="D1034" s="392"/>
      <c r="H1034" s="226"/>
      <c r="J1034" s="390"/>
      <c r="K1034" s="226"/>
      <c r="P1034" s="226"/>
    </row>
    <row r="1035" spans="1:16">
      <c r="A1035" s="227"/>
      <c r="B1035" s="131" t="s">
        <v>829</v>
      </c>
      <c r="C1035" s="227">
        <v>91101</v>
      </c>
      <c r="D1035" s="392"/>
      <c r="H1035" s="226"/>
      <c r="J1035" s="389"/>
      <c r="K1035" s="226"/>
      <c r="P1035" s="226"/>
    </row>
    <row r="1036" spans="1:16">
      <c r="A1036" s="227"/>
      <c r="B1036" s="131" t="s">
        <v>2068</v>
      </c>
      <c r="C1036" s="227">
        <v>93531</v>
      </c>
      <c r="D1036" s="392"/>
      <c r="H1036" s="226"/>
      <c r="J1036" s="389"/>
      <c r="K1036" s="226"/>
      <c r="P1036" s="226"/>
    </row>
    <row r="1037" spans="1:16">
      <c r="A1037" s="227"/>
      <c r="B1037" s="131" t="s">
        <v>2751</v>
      </c>
      <c r="C1037" s="227">
        <v>93537</v>
      </c>
      <c r="D1037" s="392"/>
      <c r="H1037" s="226"/>
      <c r="J1037" s="389"/>
      <c r="K1037" s="226"/>
      <c r="P1037" s="226"/>
    </row>
    <row r="1038" spans="1:16">
      <c r="A1038" s="227"/>
      <c r="B1038" s="131" t="s">
        <v>2069</v>
      </c>
      <c r="C1038" s="227">
        <v>97111</v>
      </c>
      <c r="D1038" s="392"/>
      <c r="H1038" s="226"/>
      <c r="J1038" s="389"/>
      <c r="K1038" s="226"/>
      <c r="P1038" s="226"/>
    </row>
    <row r="1039" spans="1:16">
      <c r="A1039" s="227"/>
      <c r="B1039" s="131" t="s">
        <v>847</v>
      </c>
      <c r="C1039" s="227">
        <v>91201</v>
      </c>
      <c r="D1039" s="392"/>
      <c r="H1039" s="226"/>
      <c r="J1039" s="389"/>
      <c r="K1039" s="226"/>
      <c r="P1039" s="226"/>
    </row>
    <row r="1040" spans="1:16">
      <c r="A1040" s="227"/>
      <c r="B1040" s="131" t="s">
        <v>2779</v>
      </c>
      <c r="C1040" s="227">
        <v>91206</v>
      </c>
      <c r="D1040" s="392"/>
      <c r="H1040" s="226"/>
      <c r="J1040" s="389"/>
      <c r="K1040" s="226"/>
      <c r="P1040" s="226"/>
    </row>
    <row r="1041" spans="1:16">
      <c r="A1041" s="227"/>
      <c r="B1041" s="131" t="s">
        <v>2780</v>
      </c>
      <c r="C1041" s="227">
        <v>91203</v>
      </c>
      <c r="D1041" s="392"/>
      <c r="H1041" s="226"/>
      <c r="J1041" s="389"/>
      <c r="K1041" s="226"/>
      <c r="P1041" s="226"/>
    </row>
    <row r="1042" spans="1:16">
      <c r="A1042" s="227"/>
      <c r="B1042" s="131" t="s">
        <v>851</v>
      </c>
      <c r="C1042" s="227">
        <v>91208</v>
      </c>
      <c r="D1042" s="392"/>
      <c r="H1042" s="226"/>
      <c r="J1042" s="389"/>
      <c r="K1042" s="226"/>
      <c r="P1042" s="226"/>
    </row>
    <row r="1043" spans="1:16">
      <c r="A1043" s="227"/>
      <c r="B1043" s="131" t="s">
        <v>848</v>
      </c>
      <c r="C1043" s="227">
        <v>91202</v>
      </c>
      <c r="D1043" s="392"/>
      <c r="H1043" s="226"/>
      <c r="J1043" s="390"/>
      <c r="K1043" s="226"/>
      <c r="P1043" s="226"/>
    </row>
    <row r="1044" spans="1:16">
      <c r="A1044" s="227"/>
      <c r="B1044" s="131" t="s">
        <v>1955</v>
      </c>
      <c r="C1044" s="227">
        <v>90111</v>
      </c>
      <c r="D1044" s="392"/>
      <c r="H1044" s="226"/>
      <c r="J1044" s="389"/>
      <c r="K1044" s="226"/>
      <c r="P1044" s="226"/>
    </row>
    <row r="1045" spans="1:16">
      <c r="A1045" s="227"/>
      <c r="B1045" s="131" t="s">
        <v>2070</v>
      </c>
      <c r="C1045" s="227">
        <v>90011</v>
      </c>
      <c r="D1045" s="392"/>
      <c r="H1045" s="226"/>
      <c r="J1045" s="389"/>
      <c r="K1045" s="226"/>
      <c r="P1045" s="226"/>
    </row>
    <row r="1046" spans="1:16">
      <c r="A1046" s="227"/>
      <c r="B1046" s="131" t="s">
        <v>2071</v>
      </c>
      <c r="C1046" s="227">
        <v>93931</v>
      </c>
      <c r="D1046" s="392"/>
      <c r="H1046" s="226"/>
      <c r="J1046" s="390"/>
      <c r="K1046" s="226"/>
      <c r="P1046" s="226"/>
    </row>
    <row r="1047" spans="1:16">
      <c r="A1047" s="227"/>
      <c r="B1047" s="131" t="s">
        <v>862</v>
      </c>
      <c r="C1047" s="227">
        <v>91301</v>
      </c>
      <c r="D1047" s="392"/>
      <c r="H1047" s="226"/>
      <c r="J1047" s="389"/>
      <c r="K1047" s="226"/>
      <c r="P1047" s="226"/>
    </row>
    <row r="1048" spans="1:16">
      <c r="A1048" s="227"/>
      <c r="B1048" s="131" t="s">
        <v>2781</v>
      </c>
      <c r="C1048" s="227">
        <v>91306</v>
      </c>
      <c r="D1048" s="392"/>
      <c r="H1048" s="226"/>
      <c r="J1048" s="389"/>
      <c r="K1048" s="226"/>
      <c r="P1048" s="226"/>
    </row>
    <row r="1049" spans="1:16">
      <c r="A1049" s="227"/>
      <c r="B1049" s="131" t="s">
        <v>865</v>
      </c>
      <c r="C1049" s="227">
        <v>91308</v>
      </c>
      <c r="D1049" s="392"/>
      <c r="H1049" s="226"/>
      <c r="J1049" s="389"/>
      <c r="K1049" s="226"/>
      <c r="P1049" s="226"/>
    </row>
    <row r="1050" spans="1:16">
      <c r="A1050" s="227"/>
      <c r="B1050" s="131" t="s">
        <v>2072</v>
      </c>
      <c r="C1050" s="227">
        <v>91461</v>
      </c>
      <c r="D1050" s="392"/>
      <c r="H1050" s="226"/>
      <c r="J1050" s="389"/>
      <c r="K1050" s="226"/>
      <c r="P1050" s="226"/>
    </row>
    <row r="1051" spans="1:16">
      <c r="A1051" s="227"/>
      <c r="B1051" s="131" t="s">
        <v>2073</v>
      </c>
      <c r="C1051" s="227">
        <v>91010</v>
      </c>
      <c r="D1051" s="392"/>
      <c r="H1051" s="226"/>
      <c r="J1051" s="389"/>
      <c r="K1051" s="226"/>
      <c r="P1051" s="226"/>
    </row>
    <row r="1052" spans="1:16">
      <c r="A1052" s="227"/>
      <c r="B1052" s="131" t="s">
        <v>804</v>
      </c>
      <c r="C1052" s="227">
        <v>91007</v>
      </c>
      <c r="D1052" s="392"/>
      <c r="H1052" s="226"/>
      <c r="J1052" s="389"/>
      <c r="K1052" s="226"/>
      <c r="P1052" s="226"/>
    </row>
    <row r="1053" spans="1:16">
      <c r="A1053" s="227"/>
      <c r="B1053" s="131" t="s">
        <v>872</v>
      </c>
      <c r="C1053" s="227">
        <v>91401</v>
      </c>
      <c r="D1053" s="392"/>
      <c r="H1053" s="226"/>
      <c r="J1053" s="389"/>
      <c r="K1053" s="226"/>
      <c r="P1053" s="226"/>
    </row>
    <row r="1054" spans="1:16">
      <c r="A1054" s="227"/>
      <c r="B1054" s="131" t="s">
        <v>2074</v>
      </c>
      <c r="C1054" s="227">
        <v>93171</v>
      </c>
      <c r="D1054" s="392"/>
      <c r="H1054" s="226"/>
      <c r="J1054" s="389"/>
      <c r="K1054" s="226"/>
      <c r="P1054" s="226"/>
    </row>
    <row r="1055" spans="1:16">
      <c r="A1055" s="227"/>
      <c r="B1055" s="131" t="s">
        <v>882</v>
      </c>
      <c r="C1055" s="227">
        <v>91501</v>
      </c>
      <c r="D1055" s="392"/>
      <c r="H1055" s="226"/>
      <c r="J1055" s="390"/>
      <c r="K1055" s="226"/>
      <c r="P1055" s="226"/>
    </row>
    <row r="1056" spans="1:16">
      <c r="A1056" s="227"/>
      <c r="B1056" s="131" t="s">
        <v>883</v>
      </c>
      <c r="C1056" s="227">
        <v>91504</v>
      </c>
      <c r="D1056" s="392"/>
      <c r="H1056" s="226"/>
      <c r="J1056" s="389"/>
      <c r="K1056" s="226"/>
      <c r="P1056" s="226"/>
    </row>
    <row r="1057" spans="1:16">
      <c r="A1057" s="227"/>
      <c r="B1057" s="131" t="s">
        <v>2075</v>
      </c>
      <c r="C1057" s="227">
        <v>96312</v>
      </c>
      <c r="D1057" s="392"/>
      <c r="H1057" s="226"/>
      <c r="J1057" s="389"/>
      <c r="K1057" s="226"/>
      <c r="P1057" s="226"/>
    </row>
    <row r="1058" spans="1:16">
      <c r="A1058" s="227"/>
      <c r="B1058" s="131" t="s">
        <v>2076</v>
      </c>
      <c r="C1058" s="227">
        <v>96241</v>
      </c>
      <c r="D1058" s="392"/>
      <c r="H1058" s="226"/>
      <c r="J1058" s="390"/>
      <c r="K1058" s="226"/>
      <c r="P1058" s="226"/>
    </row>
    <row r="1059" spans="1:16">
      <c r="A1059" s="227"/>
      <c r="B1059" s="131" t="s">
        <v>2077</v>
      </c>
      <c r="C1059" s="227">
        <v>94431</v>
      </c>
      <c r="D1059" s="392"/>
      <c r="H1059" s="226"/>
      <c r="J1059" s="389"/>
      <c r="K1059" s="226"/>
      <c r="P1059" s="226"/>
    </row>
    <row r="1060" spans="1:16">
      <c r="A1060" s="227"/>
      <c r="B1060" s="131" t="s">
        <v>1148</v>
      </c>
      <c r="C1060" s="227">
        <v>94437</v>
      </c>
      <c r="D1060" s="392"/>
      <c r="H1060" s="226"/>
      <c r="J1060" s="389"/>
      <c r="K1060" s="226"/>
      <c r="P1060" s="226"/>
    </row>
    <row r="1061" spans="1:16">
      <c r="A1061" s="227"/>
      <c r="B1061" s="131" t="s">
        <v>2078</v>
      </c>
      <c r="C1061" s="227">
        <v>91671</v>
      </c>
      <c r="D1061" s="392"/>
      <c r="H1061" s="226"/>
      <c r="J1061" s="389"/>
      <c r="K1061" s="226"/>
      <c r="P1061" s="226"/>
    </row>
    <row r="1062" spans="1:16">
      <c r="A1062" s="227"/>
      <c r="B1062" s="131" t="s">
        <v>805</v>
      </c>
      <c r="C1062" s="227">
        <v>91008</v>
      </c>
      <c r="D1062" s="392"/>
      <c r="H1062" s="226"/>
      <c r="J1062" s="389"/>
      <c r="K1062" s="226"/>
      <c r="P1062" s="226"/>
    </row>
    <row r="1063" spans="1:16">
      <c r="A1063" s="227"/>
      <c r="B1063" s="131" t="s">
        <v>1312</v>
      </c>
      <c r="C1063" s="227">
        <v>96512</v>
      </c>
      <c r="D1063" s="392"/>
      <c r="H1063" s="226"/>
      <c r="J1063" s="389"/>
      <c r="K1063" s="226"/>
      <c r="P1063" s="226"/>
    </row>
    <row r="1064" spans="1:16">
      <c r="A1064" s="227"/>
      <c r="B1064" s="131" t="s">
        <v>1309</v>
      </c>
      <c r="C1064" s="227">
        <v>96507</v>
      </c>
      <c r="D1064" s="392"/>
      <c r="H1064" s="226"/>
      <c r="J1064" s="389"/>
      <c r="K1064" s="226"/>
      <c r="P1064" s="226"/>
    </row>
    <row r="1065" spans="1:16">
      <c r="A1065" s="227"/>
      <c r="B1065" s="131" t="s">
        <v>1640</v>
      </c>
      <c r="C1065" s="227">
        <v>91015</v>
      </c>
      <c r="D1065" s="392"/>
      <c r="H1065" s="226"/>
      <c r="J1065" s="389"/>
      <c r="K1065" s="226"/>
      <c r="P1065" s="226"/>
    </row>
    <row r="1066" spans="1:16">
      <c r="A1066" s="227"/>
      <c r="B1066" s="131" t="s">
        <v>2079</v>
      </c>
      <c r="C1066" s="227">
        <v>96521</v>
      </c>
      <c r="D1066" s="392"/>
      <c r="H1066" s="226"/>
      <c r="J1066" s="389"/>
      <c r="K1066" s="226"/>
      <c r="P1066" s="226"/>
    </row>
    <row r="1067" spans="1:16">
      <c r="A1067" s="227"/>
      <c r="B1067" s="131" t="s">
        <v>2080</v>
      </c>
      <c r="C1067" s="227">
        <v>91024</v>
      </c>
      <c r="D1067" s="392"/>
      <c r="H1067" s="226"/>
      <c r="J1067" s="390"/>
      <c r="K1067" s="226"/>
      <c r="P1067" s="226"/>
    </row>
    <row r="1068" spans="1:16">
      <c r="A1068" s="227"/>
      <c r="B1068" s="131" t="s">
        <v>2081</v>
      </c>
      <c r="C1068" s="227">
        <v>96821</v>
      </c>
      <c r="D1068" s="392"/>
      <c r="H1068" s="226"/>
      <c r="J1068" s="389"/>
      <c r="K1068" s="226"/>
      <c r="P1068" s="226"/>
    </row>
    <row r="1069" spans="1:16">
      <c r="A1069" s="227"/>
      <c r="B1069" s="131" t="s">
        <v>884</v>
      </c>
      <c r="C1069" s="227">
        <v>91601</v>
      </c>
      <c r="D1069" s="392"/>
      <c r="H1069" s="226"/>
      <c r="J1069" s="389"/>
      <c r="K1069" s="226"/>
      <c r="P1069" s="226"/>
    </row>
    <row r="1070" spans="1:16">
      <c r="A1070" s="51"/>
      <c r="B1070" s="131" t="s">
        <v>885</v>
      </c>
      <c r="C1070" s="227">
        <v>91604</v>
      </c>
      <c r="D1070" s="392"/>
      <c r="H1070" s="226"/>
      <c r="J1070" s="390"/>
      <c r="K1070" s="226"/>
      <c r="P1070" s="226"/>
    </row>
    <row r="1071" spans="1:16">
      <c r="A1071" s="51"/>
      <c r="B1071" s="131" t="s">
        <v>2082</v>
      </c>
      <c r="C1071" s="227">
        <v>96391</v>
      </c>
      <c r="D1071" s="392"/>
      <c r="H1071" s="226"/>
      <c r="J1071" s="389"/>
      <c r="K1071" s="226"/>
      <c r="P1071" s="226"/>
    </row>
    <row r="1072" spans="1:16">
      <c r="A1072" s="51"/>
      <c r="B1072" s="131" t="s">
        <v>2083</v>
      </c>
      <c r="C1072" s="227">
        <v>99221</v>
      </c>
      <c r="D1072" s="392"/>
      <c r="H1072" s="226"/>
      <c r="J1072" s="389"/>
      <c r="K1072" s="226"/>
      <c r="P1072" s="226"/>
    </row>
    <row r="1073" spans="1:16">
      <c r="A1073" s="227"/>
      <c r="B1073" s="131" t="s">
        <v>2084</v>
      </c>
      <c r="C1073" s="227">
        <v>91051</v>
      </c>
      <c r="D1073" s="392"/>
      <c r="H1073" s="226"/>
      <c r="J1073" s="389"/>
      <c r="K1073" s="226"/>
      <c r="P1073" s="226"/>
    </row>
    <row r="1074" spans="1:16">
      <c r="A1074" s="227"/>
      <c r="B1074" s="131" t="s">
        <v>897</v>
      </c>
      <c r="C1074" s="227">
        <v>91701</v>
      </c>
      <c r="D1074" s="392"/>
      <c r="H1074" s="226"/>
      <c r="J1074" s="389"/>
      <c r="K1074" s="226"/>
      <c r="P1074" s="226"/>
    </row>
    <row r="1075" spans="1:16">
      <c r="A1075" s="227"/>
      <c r="B1075" s="131" t="s">
        <v>898</v>
      </c>
      <c r="C1075" s="227">
        <v>91704</v>
      </c>
      <c r="D1075" s="392"/>
      <c r="H1075" s="226"/>
      <c r="J1075" s="389"/>
      <c r="K1075" s="226"/>
      <c r="P1075" s="226"/>
    </row>
    <row r="1076" spans="1:16">
      <c r="A1076" s="227"/>
      <c r="B1076" s="131" t="s">
        <v>2782</v>
      </c>
      <c r="C1076" s="227">
        <v>91706</v>
      </c>
      <c r="D1076" s="392"/>
      <c r="H1076" s="226"/>
      <c r="J1076" s="390"/>
      <c r="K1076" s="226"/>
      <c r="P1076" s="226"/>
    </row>
    <row r="1077" spans="1:16">
      <c r="A1077" s="227"/>
      <c r="B1077" s="131" t="s">
        <v>2085</v>
      </c>
      <c r="C1077" s="227">
        <v>91881</v>
      </c>
      <c r="D1077" s="392"/>
      <c r="H1077" s="226"/>
      <c r="J1077" s="389"/>
      <c r="K1077" s="226"/>
      <c r="P1077" s="226"/>
    </row>
    <row r="1078" spans="1:16">
      <c r="A1078" s="227"/>
      <c r="B1078" s="131" t="s">
        <v>901</v>
      </c>
      <c r="C1078" s="227">
        <v>91801</v>
      </c>
      <c r="D1078" s="392"/>
      <c r="H1078" s="226"/>
      <c r="J1078" s="389"/>
      <c r="K1078" s="226"/>
      <c r="P1078" s="226"/>
    </row>
    <row r="1079" spans="1:16">
      <c r="A1079" s="227"/>
      <c r="B1079" s="131" t="s">
        <v>902</v>
      </c>
      <c r="C1079" s="227">
        <v>91804</v>
      </c>
      <c r="D1079" s="392"/>
      <c r="H1079" s="226"/>
      <c r="J1079" s="389"/>
      <c r="K1079" s="226"/>
      <c r="P1079" s="226"/>
    </row>
    <row r="1080" spans="1:16">
      <c r="A1080" s="227"/>
      <c r="B1080" s="131" t="s">
        <v>2086</v>
      </c>
      <c r="C1080" s="227">
        <v>91691</v>
      </c>
      <c r="D1080" s="392"/>
      <c r="H1080" s="226"/>
      <c r="J1080" s="389"/>
      <c r="K1080" s="226"/>
      <c r="P1080" s="226"/>
    </row>
    <row r="1081" spans="1:16">
      <c r="A1081" s="227"/>
      <c r="B1081" s="131" t="s">
        <v>1554</v>
      </c>
      <c r="C1081" s="227">
        <v>99222</v>
      </c>
      <c r="D1081" s="392"/>
      <c r="H1081" s="226"/>
      <c r="J1081" s="389"/>
      <c r="K1081" s="226"/>
      <c r="P1081" s="226"/>
    </row>
    <row r="1082" spans="1:16">
      <c r="A1082" s="227"/>
      <c r="B1082" s="131" t="s">
        <v>1043</v>
      </c>
      <c r="C1082" s="227">
        <v>93408</v>
      </c>
      <c r="D1082" s="392"/>
      <c r="H1082" s="226"/>
      <c r="J1082" s="389"/>
      <c r="K1082" s="226"/>
      <c r="P1082" s="226"/>
    </row>
    <row r="1083" spans="1:16">
      <c r="A1083" s="227"/>
      <c r="B1083" s="131" t="s">
        <v>1258</v>
      </c>
      <c r="C1083" s="227">
        <v>96009</v>
      </c>
      <c r="D1083" s="392"/>
      <c r="H1083" s="226"/>
      <c r="J1083" s="389"/>
      <c r="K1083" s="226"/>
      <c r="P1083" s="226"/>
    </row>
    <row r="1084" spans="1:16">
      <c r="A1084" s="227"/>
      <c r="B1084" s="131" t="s">
        <v>2087</v>
      </c>
      <c r="C1084" s="227">
        <v>92441</v>
      </c>
      <c r="D1084" s="392"/>
      <c r="H1084" s="226"/>
      <c r="J1084" s="389"/>
      <c r="K1084" s="226"/>
      <c r="P1084" s="226"/>
    </row>
    <row r="1085" spans="1:16">
      <c r="A1085" s="227"/>
      <c r="B1085" s="131" t="s">
        <v>2088</v>
      </c>
      <c r="C1085" s="227">
        <v>96811</v>
      </c>
      <c r="D1085" s="392"/>
      <c r="H1085" s="226"/>
      <c r="J1085" s="390"/>
      <c r="K1085" s="226"/>
      <c r="P1085" s="226"/>
    </row>
    <row r="1086" spans="1:16">
      <c r="A1086" s="227"/>
      <c r="B1086" s="131" t="s">
        <v>1956</v>
      </c>
      <c r="C1086" s="227">
        <v>96011</v>
      </c>
      <c r="D1086" s="392"/>
      <c r="H1086" s="226"/>
      <c r="J1086" s="389"/>
      <c r="K1086" s="226"/>
      <c r="P1086" s="226"/>
    </row>
    <row r="1087" spans="1:16">
      <c r="A1087" s="227"/>
      <c r="B1087" s="131" t="s">
        <v>1261</v>
      </c>
      <c r="C1087" s="227">
        <v>96018</v>
      </c>
      <c r="D1087" s="392"/>
      <c r="H1087" s="226"/>
      <c r="J1087" s="389"/>
      <c r="K1087" s="226"/>
      <c r="P1087" s="226"/>
    </row>
    <row r="1088" spans="1:16">
      <c r="A1088" s="227"/>
      <c r="B1088" s="131" t="s">
        <v>1254</v>
      </c>
      <c r="C1088" s="227">
        <v>96003</v>
      </c>
      <c r="D1088" s="392"/>
      <c r="H1088" s="226"/>
      <c r="J1088" s="390"/>
      <c r="K1088" s="226"/>
      <c r="P1088" s="226"/>
    </row>
    <row r="1089" spans="1:16">
      <c r="A1089" s="227"/>
      <c r="B1089" s="131" t="s">
        <v>1256</v>
      </c>
      <c r="C1089" s="227">
        <v>96005</v>
      </c>
      <c r="D1089" s="392"/>
      <c r="H1089" s="226"/>
      <c r="J1089" s="389"/>
      <c r="K1089" s="226"/>
      <c r="P1089" s="226"/>
    </row>
    <row r="1090" spans="1:16">
      <c r="A1090" s="227"/>
      <c r="B1090" s="131" t="s">
        <v>1260</v>
      </c>
      <c r="C1090" s="227">
        <v>96012</v>
      </c>
      <c r="D1090" s="392"/>
      <c r="H1090" s="226"/>
      <c r="J1090" s="389"/>
      <c r="K1090" s="226"/>
      <c r="P1090" s="226"/>
    </row>
    <row r="1091" spans="1:16">
      <c r="A1091" s="227"/>
      <c r="B1091" s="131" t="s">
        <v>915</v>
      </c>
      <c r="C1091" s="227">
        <v>91901</v>
      </c>
      <c r="D1091" s="392"/>
      <c r="H1091" s="226"/>
      <c r="J1091" s="389"/>
      <c r="K1091" s="226"/>
      <c r="P1091" s="226"/>
    </row>
    <row r="1092" spans="1:16">
      <c r="A1092" s="227"/>
      <c r="B1092" s="131" t="s">
        <v>917</v>
      </c>
      <c r="C1092" s="227">
        <v>91904</v>
      </c>
      <c r="D1092" s="392"/>
      <c r="H1092" s="226"/>
      <c r="J1092" s="389"/>
      <c r="K1092" s="226"/>
      <c r="P1092" s="226"/>
    </row>
    <row r="1093" spans="1:16">
      <c r="A1093" s="227"/>
      <c r="B1093" s="131" t="s">
        <v>2783</v>
      </c>
      <c r="C1093" s="227">
        <v>91903</v>
      </c>
      <c r="D1093" s="392"/>
      <c r="H1093" s="226"/>
      <c r="J1093" s="389"/>
      <c r="K1093" s="226"/>
      <c r="P1093" s="226"/>
    </row>
    <row r="1094" spans="1:16">
      <c r="A1094" s="227"/>
      <c r="B1094" s="131" t="s">
        <v>922</v>
      </c>
      <c r="C1094" s="227">
        <v>92001</v>
      </c>
      <c r="D1094" s="392"/>
      <c r="H1094" s="226"/>
      <c r="J1094" s="389"/>
      <c r="K1094" s="226"/>
      <c r="P1094" s="226"/>
    </row>
    <row r="1095" spans="1:16">
      <c r="A1095" s="227"/>
      <c r="B1095" s="131" t="s">
        <v>1957</v>
      </c>
      <c r="C1095" s="227">
        <v>93641</v>
      </c>
      <c r="D1095" s="392"/>
      <c r="H1095" s="226"/>
      <c r="J1095" s="389"/>
      <c r="K1095" s="226"/>
      <c r="P1095" s="226"/>
    </row>
    <row r="1096" spans="1:16">
      <c r="A1096" s="227"/>
      <c r="B1096" s="131" t="s">
        <v>1073</v>
      </c>
      <c r="C1096" s="227">
        <v>93647</v>
      </c>
      <c r="D1096" s="392"/>
      <c r="H1096" s="226"/>
      <c r="J1096" s="389"/>
      <c r="K1096" s="226"/>
      <c r="P1096" s="226"/>
    </row>
    <row r="1097" spans="1:16">
      <c r="A1097" s="227"/>
      <c r="B1097" s="131" t="s">
        <v>2089</v>
      </c>
      <c r="C1097" s="227">
        <v>98041</v>
      </c>
      <c r="D1097" s="392"/>
      <c r="H1097" s="226"/>
      <c r="J1097" s="390"/>
      <c r="K1097" s="226"/>
      <c r="P1097" s="226"/>
    </row>
    <row r="1098" spans="1:16">
      <c r="A1098" s="227"/>
      <c r="B1098" s="131" t="s">
        <v>2767</v>
      </c>
      <c r="C1098" s="227">
        <v>96612</v>
      </c>
      <c r="D1098" s="392"/>
      <c r="H1098" s="226"/>
      <c r="J1098" s="389"/>
      <c r="K1098" s="226"/>
      <c r="P1098" s="226"/>
    </row>
    <row r="1099" spans="1:16">
      <c r="A1099" s="227"/>
      <c r="B1099" s="131" t="s">
        <v>2090</v>
      </c>
      <c r="C1099" s="227">
        <v>90751</v>
      </c>
      <c r="D1099" s="392"/>
      <c r="H1099" s="226"/>
      <c r="J1099" s="389"/>
      <c r="K1099" s="226"/>
      <c r="P1099" s="226"/>
    </row>
    <row r="1100" spans="1:16">
      <c r="A1100" s="227"/>
      <c r="B1100" s="131" t="s">
        <v>927</v>
      </c>
      <c r="C1100" s="227">
        <v>92101</v>
      </c>
      <c r="D1100" s="392"/>
      <c r="H1100" s="226"/>
      <c r="J1100" s="390"/>
      <c r="K1100" s="226"/>
      <c r="P1100" s="226"/>
    </row>
    <row r="1101" spans="1:16">
      <c r="A1101" s="227"/>
      <c r="B1101" s="131" t="s">
        <v>928</v>
      </c>
      <c r="C1101" s="227">
        <v>92104</v>
      </c>
      <c r="D1101" s="392"/>
      <c r="H1101" s="226"/>
      <c r="J1101" s="389"/>
      <c r="K1101" s="226"/>
      <c r="P1101" s="226"/>
    </row>
    <row r="1102" spans="1:16">
      <c r="A1102" s="227"/>
      <c r="B1102" s="131" t="s">
        <v>1958</v>
      </c>
      <c r="C1102" s="227">
        <v>91821</v>
      </c>
      <c r="D1102" s="392"/>
      <c r="H1102" s="226"/>
      <c r="J1102" s="389"/>
      <c r="K1102" s="226"/>
      <c r="P1102" s="226"/>
    </row>
    <row r="1103" spans="1:16">
      <c r="A1103" s="227"/>
      <c r="B1103" s="131" t="s">
        <v>2091</v>
      </c>
      <c r="C1103" s="227">
        <v>90931</v>
      </c>
      <c r="D1103" s="392"/>
      <c r="H1103" s="226"/>
      <c r="J1103" s="389"/>
      <c r="K1103" s="226"/>
      <c r="P1103" s="226"/>
    </row>
    <row r="1104" spans="1:16">
      <c r="A1104" s="227"/>
      <c r="B1104" s="131" t="s">
        <v>932</v>
      </c>
      <c r="C1104" s="227">
        <v>92201</v>
      </c>
      <c r="D1104" s="392"/>
      <c r="H1104" s="226"/>
      <c r="J1104" s="389"/>
      <c r="K1104" s="226"/>
      <c r="P1104" s="226"/>
    </row>
    <row r="1105" spans="1:16">
      <c r="A1105" s="227"/>
      <c r="B1105" s="252" t="s">
        <v>1931</v>
      </c>
      <c r="C1105" s="227">
        <v>92214</v>
      </c>
      <c r="D1105" s="392"/>
      <c r="H1105" s="226"/>
      <c r="J1105" s="389"/>
      <c r="K1105" s="226"/>
      <c r="P1105" s="226"/>
    </row>
    <row r="1106" spans="1:16">
      <c r="A1106" s="227"/>
      <c r="B1106" s="131" t="s">
        <v>2092</v>
      </c>
      <c r="C1106" s="227">
        <v>95131</v>
      </c>
      <c r="D1106" s="392"/>
      <c r="H1106" s="226"/>
      <c r="J1106" s="389"/>
      <c r="K1106" s="226"/>
      <c r="P1106" s="226"/>
    </row>
    <row r="1107" spans="1:16">
      <c r="A1107" s="227"/>
      <c r="B1107" s="131" t="s">
        <v>2501</v>
      </c>
      <c r="C1107" s="227">
        <v>93441</v>
      </c>
      <c r="D1107" s="392"/>
      <c r="H1107" s="226"/>
      <c r="J1107" s="389"/>
      <c r="K1107" s="226"/>
      <c r="P1107" s="226"/>
    </row>
    <row r="1108" spans="1:16">
      <c r="A1108" s="227"/>
      <c r="B1108" s="131" t="s">
        <v>1050</v>
      </c>
      <c r="C1108" s="227">
        <v>93442</v>
      </c>
      <c r="D1108" s="392"/>
      <c r="H1108" s="226"/>
      <c r="J1108" s="389"/>
      <c r="K1108" s="226"/>
      <c r="P1108" s="226"/>
    </row>
    <row r="1109" spans="1:16">
      <c r="A1109" s="227"/>
      <c r="B1109" s="131" t="s">
        <v>2093</v>
      </c>
      <c r="C1109" s="227">
        <v>98091</v>
      </c>
      <c r="D1109" s="392"/>
      <c r="H1109" s="226"/>
      <c r="J1109" s="390"/>
      <c r="K1109" s="226"/>
      <c r="P1109" s="226"/>
    </row>
    <row r="1110" spans="1:16">
      <c r="A1110" s="227"/>
      <c r="B1110" s="131" t="s">
        <v>933</v>
      </c>
      <c r="C1110" s="227">
        <v>92301</v>
      </c>
      <c r="D1110" s="392"/>
      <c r="H1110" s="226"/>
      <c r="J1110" s="389"/>
      <c r="K1110" s="226"/>
      <c r="P1110" s="226"/>
    </row>
    <row r="1111" spans="1:16">
      <c r="A1111" s="227"/>
      <c r="B1111" s="131" t="s">
        <v>934</v>
      </c>
      <c r="C1111" s="227">
        <v>92302</v>
      </c>
      <c r="D1111" s="392"/>
      <c r="H1111" s="226"/>
      <c r="J1111" s="389"/>
      <c r="K1111" s="226"/>
      <c r="P1111" s="226"/>
    </row>
    <row r="1112" spans="1:16">
      <c r="A1112" s="227"/>
      <c r="B1112" s="131" t="s">
        <v>1959</v>
      </c>
      <c r="C1112" s="227">
        <v>98211</v>
      </c>
      <c r="D1112" s="392"/>
      <c r="H1112" s="226"/>
      <c r="J1112" s="390"/>
      <c r="K1112" s="226"/>
      <c r="P1112" s="226"/>
    </row>
    <row r="1113" spans="1:16">
      <c r="A1113" s="227"/>
      <c r="B1113" s="131" t="s">
        <v>1473</v>
      </c>
      <c r="C1113" s="227">
        <v>98218</v>
      </c>
      <c r="D1113" s="392"/>
      <c r="H1113" s="226"/>
      <c r="J1113" s="389"/>
      <c r="K1113" s="226"/>
      <c r="P1113" s="226"/>
    </row>
    <row r="1114" spans="1:16">
      <c r="A1114" s="227"/>
      <c r="B1114" s="131" t="s">
        <v>957</v>
      </c>
      <c r="C1114" s="227">
        <v>92506</v>
      </c>
      <c r="D1114" s="392"/>
      <c r="H1114" s="226"/>
      <c r="J1114" s="389"/>
      <c r="K1114" s="226"/>
      <c r="P1114" s="226"/>
    </row>
    <row r="1115" spans="1:16">
      <c r="A1115" s="227"/>
      <c r="B1115" s="131" t="s">
        <v>2760</v>
      </c>
      <c r="C1115" s="227">
        <v>92508</v>
      </c>
      <c r="D1115" s="392"/>
      <c r="H1115" s="226"/>
      <c r="J1115" s="389"/>
      <c r="K1115" s="226"/>
      <c r="P1115" s="226"/>
    </row>
    <row r="1116" spans="1:16">
      <c r="A1116" s="227"/>
      <c r="B1116" s="131" t="s">
        <v>1619</v>
      </c>
      <c r="C1116" s="227">
        <v>96519</v>
      </c>
      <c r="D1116" s="392"/>
      <c r="H1116" s="226"/>
      <c r="J1116" s="389"/>
      <c r="K1116" s="226"/>
      <c r="P1116" s="226"/>
    </row>
    <row r="1117" spans="1:16">
      <c r="A1117" s="227"/>
      <c r="B1117" s="131" t="s">
        <v>2094</v>
      </c>
      <c r="C1117" s="227">
        <v>94341</v>
      </c>
      <c r="D1117" s="392"/>
      <c r="H1117" s="226"/>
      <c r="J1117" s="389"/>
      <c r="K1117" s="226"/>
      <c r="P1117" s="226"/>
    </row>
    <row r="1118" spans="1:16">
      <c r="A1118" s="227"/>
      <c r="B1118" s="131" t="s">
        <v>2095</v>
      </c>
      <c r="C1118" s="227">
        <v>94641</v>
      </c>
      <c r="D1118" s="392"/>
      <c r="H1118" s="226"/>
      <c r="J1118" s="389"/>
      <c r="K1118" s="226"/>
      <c r="P1118" s="226"/>
    </row>
    <row r="1119" spans="1:16">
      <c r="A1119" s="227"/>
      <c r="B1119" s="131" t="s">
        <v>2096</v>
      </c>
      <c r="C1119" s="227">
        <v>90813</v>
      </c>
      <c r="D1119" s="392"/>
      <c r="H1119" s="226"/>
      <c r="J1119" s="389"/>
      <c r="K1119" s="226"/>
      <c r="P1119" s="226"/>
    </row>
    <row r="1120" spans="1:16">
      <c r="A1120" s="227"/>
      <c r="B1120" s="131" t="s">
        <v>1116</v>
      </c>
      <c r="C1120" s="227">
        <v>94168</v>
      </c>
      <c r="D1120" s="392"/>
      <c r="H1120" s="226"/>
      <c r="J1120" s="389"/>
      <c r="K1120" s="226"/>
      <c r="P1120" s="226"/>
    </row>
    <row r="1121" spans="1:16">
      <c r="A1121" s="227"/>
      <c r="B1121" s="131" t="s">
        <v>2097</v>
      </c>
      <c r="C1121" s="227">
        <v>98911</v>
      </c>
      <c r="D1121" s="392"/>
      <c r="H1121" s="226"/>
      <c r="J1121" s="390"/>
      <c r="K1121" s="226"/>
      <c r="P1121" s="226"/>
    </row>
    <row r="1122" spans="1:16">
      <c r="A1122" s="227"/>
      <c r="B1122" s="131" t="s">
        <v>2098</v>
      </c>
      <c r="C1122" s="227">
        <v>97521</v>
      </c>
      <c r="D1122" s="392"/>
      <c r="H1122" s="226"/>
      <c r="J1122" s="389"/>
      <c r="K1122" s="226"/>
      <c r="P1122" s="226"/>
    </row>
    <row r="1123" spans="1:16">
      <c r="A1123" s="227"/>
      <c r="B1123" s="131" t="s">
        <v>1641</v>
      </c>
      <c r="C1123" s="227">
        <v>97527</v>
      </c>
      <c r="D1123" s="392"/>
      <c r="H1123" s="226"/>
      <c r="J1123" s="389"/>
      <c r="K1123" s="226"/>
      <c r="P1123" s="226"/>
    </row>
    <row r="1124" spans="1:16">
      <c r="A1124" s="227"/>
      <c r="B1124" s="131" t="s">
        <v>942</v>
      </c>
      <c r="C1124" s="227">
        <v>92401</v>
      </c>
      <c r="D1124" s="392"/>
      <c r="H1124" s="226"/>
      <c r="J1124" s="390"/>
      <c r="K1124" s="226"/>
      <c r="P1124" s="226"/>
    </row>
    <row r="1125" spans="1:16">
      <c r="A1125" s="227"/>
      <c r="B1125" s="131" t="s">
        <v>1960</v>
      </c>
      <c r="C1125" s="227">
        <v>91311</v>
      </c>
      <c r="D1125" s="392"/>
      <c r="H1125" s="226"/>
      <c r="J1125" s="389"/>
      <c r="K1125" s="226"/>
      <c r="P1125" s="226"/>
    </row>
    <row r="1126" spans="1:16">
      <c r="A1126" s="227"/>
      <c r="B1126" s="131" t="s">
        <v>867</v>
      </c>
      <c r="C1126" s="227">
        <v>91317</v>
      </c>
      <c r="D1126" s="392"/>
      <c r="H1126" s="226"/>
      <c r="J1126" s="389"/>
      <c r="K1126" s="226"/>
      <c r="P1126" s="226"/>
    </row>
    <row r="1127" spans="1:16">
      <c r="A1127" s="227"/>
      <c r="B1127" s="131" t="s">
        <v>2099</v>
      </c>
      <c r="C1127" s="227">
        <v>91261</v>
      </c>
      <c r="D1127" s="392"/>
      <c r="H1127" s="226"/>
      <c r="J1127" s="389"/>
      <c r="K1127" s="226"/>
      <c r="P1127" s="226"/>
    </row>
    <row r="1128" spans="1:16">
      <c r="A1128" s="227"/>
      <c r="B1128" s="131" t="s">
        <v>2100</v>
      </c>
      <c r="C1128" s="227">
        <v>91851</v>
      </c>
      <c r="D1128" s="392"/>
      <c r="H1128" s="226"/>
      <c r="J1128" s="389"/>
      <c r="K1128" s="226"/>
      <c r="P1128" s="226"/>
    </row>
    <row r="1129" spans="1:16">
      <c r="A1129" s="227"/>
      <c r="B1129" s="131" t="s">
        <v>1374</v>
      </c>
      <c r="C1129" s="227">
        <v>97408</v>
      </c>
      <c r="D1129" s="392"/>
      <c r="H1129" s="226"/>
      <c r="J1129" s="389"/>
      <c r="K1129" s="226"/>
      <c r="P1129" s="226"/>
    </row>
    <row r="1130" spans="1:16">
      <c r="A1130" s="227"/>
      <c r="B1130" s="131" t="s">
        <v>2101</v>
      </c>
      <c r="C1130" s="227">
        <v>96641</v>
      </c>
      <c r="D1130" s="392"/>
      <c r="H1130" s="226"/>
      <c r="J1130" s="389"/>
      <c r="K1130" s="226"/>
      <c r="P1130" s="226"/>
    </row>
    <row r="1131" spans="1:16">
      <c r="A1131" s="227"/>
      <c r="B1131" s="131" t="s">
        <v>2102</v>
      </c>
      <c r="C1131" s="227">
        <v>93031</v>
      </c>
      <c r="D1131" s="392"/>
      <c r="H1131" s="226"/>
      <c r="J1131" s="389"/>
      <c r="K1131" s="226"/>
      <c r="P1131" s="226"/>
    </row>
    <row r="1132" spans="1:16">
      <c r="A1132" s="227"/>
      <c r="B1132" s="131" t="s">
        <v>1005</v>
      </c>
      <c r="C1132" s="227">
        <v>93027</v>
      </c>
      <c r="D1132" s="392"/>
      <c r="H1132" s="226"/>
      <c r="J1132" s="389"/>
      <c r="K1132" s="226"/>
      <c r="P1132" s="226"/>
    </row>
    <row r="1133" spans="1:16">
      <c r="A1133" s="227"/>
      <c r="B1133" s="131" t="s">
        <v>2103</v>
      </c>
      <c r="C1133" s="227">
        <v>96051</v>
      </c>
      <c r="D1133" s="392"/>
      <c r="H1133" s="226"/>
      <c r="J1133" s="390"/>
      <c r="K1133" s="226"/>
      <c r="P1133" s="226"/>
    </row>
    <row r="1134" spans="1:16">
      <c r="A1134" s="227"/>
      <c r="B1134" s="131" t="s">
        <v>2104</v>
      </c>
      <c r="C1134" s="227">
        <v>92571</v>
      </c>
      <c r="D1134" s="392"/>
      <c r="H1134" s="226"/>
      <c r="J1134" s="389"/>
      <c r="K1134" s="226"/>
      <c r="P1134" s="226"/>
    </row>
    <row r="1135" spans="1:16">
      <c r="A1135" s="227"/>
      <c r="B1135" s="131" t="s">
        <v>2105</v>
      </c>
      <c r="C1135" s="227">
        <v>93631</v>
      </c>
      <c r="D1135" s="392"/>
      <c r="H1135" s="226"/>
      <c r="J1135" s="389"/>
      <c r="K1135" s="226"/>
      <c r="P1135" s="226"/>
    </row>
    <row r="1136" spans="1:16">
      <c r="A1136" s="227"/>
      <c r="B1136" s="252" t="s">
        <v>1932</v>
      </c>
      <c r="C1136" s="227">
        <v>93604</v>
      </c>
      <c r="D1136" s="392"/>
      <c r="H1136" s="226"/>
      <c r="J1136" s="390"/>
      <c r="K1136" s="226"/>
      <c r="P1136" s="226"/>
    </row>
    <row r="1137" spans="1:16">
      <c r="A1137" s="227"/>
      <c r="B1137" s="131" t="s">
        <v>955</v>
      </c>
      <c r="C1137" s="227">
        <v>92504</v>
      </c>
      <c r="D1137" s="392"/>
      <c r="H1137" s="226"/>
      <c r="J1137" s="389"/>
      <c r="K1137" s="226"/>
      <c r="P1137" s="226"/>
    </row>
    <row r="1138" spans="1:16">
      <c r="A1138" s="227"/>
      <c r="B1138" s="131" t="s">
        <v>953</v>
      </c>
      <c r="C1138" s="227">
        <v>92501</v>
      </c>
      <c r="D1138" s="392"/>
      <c r="H1138" s="226"/>
      <c r="J1138" s="389"/>
      <c r="K1138" s="226"/>
      <c r="P1138" s="226"/>
    </row>
    <row r="1139" spans="1:16">
      <c r="A1139" s="227"/>
      <c r="B1139" s="131" t="s">
        <v>956</v>
      </c>
      <c r="C1139" s="227">
        <v>92505</v>
      </c>
      <c r="D1139" s="392"/>
      <c r="H1139" s="226"/>
      <c r="J1139" s="389"/>
      <c r="K1139" s="226"/>
      <c r="P1139" s="226"/>
    </row>
    <row r="1140" spans="1:16">
      <c r="A1140" s="227"/>
      <c r="B1140" s="131" t="s">
        <v>1961</v>
      </c>
      <c r="C1140" s="227">
        <v>93921</v>
      </c>
      <c r="D1140" s="392"/>
      <c r="H1140" s="226"/>
      <c r="J1140" s="389"/>
      <c r="K1140" s="226"/>
      <c r="P1140" s="226"/>
    </row>
    <row r="1141" spans="1:16">
      <c r="A1141" s="227"/>
      <c r="B1141" s="131" t="s">
        <v>2106</v>
      </c>
      <c r="C1141" s="227">
        <v>99431</v>
      </c>
      <c r="D1141" s="392"/>
      <c r="H1141" s="226"/>
      <c r="J1141" s="389"/>
      <c r="K1141" s="226"/>
      <c r="P1141" s="226"/>
    </row>
    <row r="1142" spans="1:16">
      <c r="A1142" s="227"/>
      <c r="B1142" s="131" t="s">
        <v>970</v>
      </c>
      <c r="C1142" s="227">
        <v>92604</v>
      </c>
      <c r="D1142" s="392"/>
      <c r="H1142" s="226"/>
      <c r="J1142" s="389"/>
      <c r="K1142" s="226"/>
      <c r="P1142" s="226"/>
    </row>
    <row r="1143" spans="1:16">
      <c r="A1143" s="227"/>
      <c r="B1143" s="131" t="s">
        <v>968</v>
      </c>
      <c r="C1143" s="227">
        <v>92601</v>
      </c>
      <c r="D1143" s="392"/>
      <c r="H1143" s="226"/>
      <c r="J1143" s="389"/>
      <c r="K1143" s="226"/>
      <c r="P1143" s="226"/>
    </row>
    <row r="1144" spans="1:16">
      <c r="A1144" s="227"/>
      <c r="B1144" s="131" t="s">
        <v>972</v>
      </c>
      <c r="C1144" s="227">
        <v>92608</v>
      </c>
      <c r="D1144" s="392"/>
      <c r="H1144" s="226"/>
      <c r="J1144" s="389"/>
      <c r="K1144" s="226"/>
      <c r="P1144" s="226"/>
    </row>
    <row r="1145" spans="1:16">
      <c r="A1145" s="227"/>
      <c r="B1145" s="131" t="s">
        <v>984</v>
      </c>
      <c r="C1145" s="227">
        <v>92704</v>
      </c>
      <c r="D1145" s="392"/>
      <c r="H1145" s="226"/>
      <c r="J1145" s="390"/>
      <c r="K1145" s="226"/>
      <c r="P1145" s="226"/>
    </row>
    <row r="1146" spans="1:16">
      <c r="A1146" s="227"/>
      <c r="B1146" s="131" t="s">
        <v>983</v>
      </c>
      <c r="C1146" s="227">
        <v>92701</v>
      </c>
      <c r="D1146" s="392"/>
      <c r="H1146" s="226"/>
      <c r="J1146" s="389"/>
      <c r="K1146" s="226"/>
      <c r="P1146" s="226"/>
    </row>
    <row r="1147" spans="1:16">
      <c r="A1147" s="227"/>
      <c r="B1147" s="131" t="s">
        <v>2107</v>
      </c>
      <c r="C1147" s="227">
        <v>93651</v>
      </c>
      <c r="D1147" s="392"/>
      <c r="H1147" s="226"/>
      <c r="J1147" s="389"/>
      <c r="K1147" s="226"/>
      <c r="P1147" s="226"/>
    </row>
    <row r="1148" spans="1:16">
      <c r="A1148" s="227"/>
      <c r="B1148" s="131" t="s">
        <v>985</v>
      </c>
      <c r="C1148" s="227">
        <v>92801</v>
      </c>
      <c r="D1148" s="392"/>
      <c r="H1148" s="226"/>
      <c r="J1148" s="390"/>
      <c r="K1148" s="226"/>
      <c r="P1148" s="226"/>
    </row>
    <row r="1149" spans="1:16">
      <c r="A1149" s="227"/>
      <c r="B1149" s="131" t="s">
        <v>987</v>
      </c>
      <c r="C1149" s="227">
        <v>92804</v>
      </c>
      <c r="D1149" s="392"/>
      <c r="H1149" s="226"/>
      <c r="J1149" s="389"/>
      <c r="K1149" s="226"/>
      <c r="P1149" s="226"/>
    </row>
    <row r="1150" spans="1:16">
      <c r="A1150" s="227"/>
      <c r="B1150" s="131" t="s">
        <v>986</v>
      </c>
      <c r="C1150" s="227">
        <v>92802</v>
      </c>
      <c r="D1150" s="392"/>
      <c r="H1150" s="226"/>
      <c r="J1150" s="389"/>
      <c r="K1150" s="226"/>
      <c r="P1150" s="226"/>
    </row>
    <row r="1151" spans="1:16">
      <c r="A1151" s="227"/>
      <c r="B1151" s="131" t="s">
        <v>2108</v>
      </c>
      <c r="C1151" s="227">
        <v>96081</v>
      </c>
      <c r="D1151" s="392"/>
      <c r="H1151" s="226"/>
      <c r="J1151" s="389"/>
      <c r="K1151" s="226"/>
      <c r="P1151" s="226"/>
    </row>
    <row r="1152" spans="1:16">
      <c r="A1152" s="227"/>
      <c r="B1152" s="131" t="s">
        <v>994</v>
      </c>
      <c r="C1152" s="227">
        <v>92901</v>
      </c>
      <c r="D1152" s="392"/>
      <c r="H1152" s="226"/>
      <c r="J1152" s="389"/>
      <c r="K1152" s="226"/>
      <c r="P1152" s="226"/>
    </row>
    <row r="1153" spans="1:16">
      <c r="A1153" s="227"/>
      <c r="B1153" s="131" t="s">
        <v>1001</v>
      </c>
      <c r="C1153" s="227">
        <v>93001</v>
      </c>
      <c r="D1153" s="392"/>
      <c r="H1153" s="226"/>
      <c r="J1153" s="389"/>
      <c r="K1153" s="226"/>
      <c r="P1153" s="226"/>
    </row>
    <row r="1154" spans="1:16">
      <c r="A1154" s="227"/>
      <c r="B1154" s="131" t="s">
        <v>1002</v>
      </c>
      <c r="C1154" s="227">
        <v>93009</v>
      </c>
      <c r="D1154" s="392"/>
      <c r="H1154" s="226"/>
      <c r="J1154" s="390"/>
      <c r="K1154" s="226"/>
      <c r="P1154" s="226"/>
    </row>
    <row r="1155" spans="1:16">
      <c r="A1155" s="227"/>
      <c r="B1155" s="131" t="s">
        <v>2109</v>
      </c>
      <c r="C1155" s="227">
        <v>92921</v>
      </c>
      <c r="D1155" s="392"/>
      <c r="H1155" s="226"/>
      <c r="J1155" s="389"/>
      <c r="K1155" s="226"/>
      <c r="P1155" s="226"/>
    </row>
    <row r="1156" spans="1:16">
      <c r="A1156" s="227"/>
      <c r="B1156" s="131" t="s">
        <v>2110</v>
      </c>
      <c r="C1156" s="227">
        <v>98621</v>
      </c>
      <c r="D1156" s="392"/>
      <c r="H1156" s="226"/>
      <c r="J1156" s="389"/>
      <c r="K1156" s="226"/>
      <c r="P1156" s="226"/>
    </row>
    <row r="1157" spans="1:16">
      <c r="A1157" s="227"/>
      <c r="B1157" s="131" t="s">
        <v>1509</v>
      </c>
      <c r="C1157" s="227">
        <v>98627</v>
      </c>
      <c r="D1157" s="392"/>
      <c r="H1157" s="226"/>
      <c r="J1157" s="389"/>
      <c r="K1157" s="226"/>
      <c r="P1157" s="226"/>
    </row>
    <row r="1158" spans="1:16">
      <c r="A1158" s="227"/>
      <c r="B1158" s="131" t="s">
        <v>2111</v>
      </c>
      <c r="C1158" s="227">
        <v>91221</v>
      </c>
      <c r="D1158" s="392"/>
      <c r="H1158" s="226"/>
      <c r="J1158" s="389"/>
      <c r="K1158" s="226"/>
      <c r="P1158" s="226"/>
    </row>
    <row r="1159" spans="1:16">
      <c r="A1159" s="227"/>
      <c r="B1159" s="131" t="s">
        <v>2112</v>
      </c>
      <c r="C1159" s="227">
        <v>92861</v>
      </c>
      <c r="D1159" s="392"/>
      <c r="H1159" s="226"/>
      <c r="J1159" s="389"/>
      <c r="K1159" s="226"/>
      <c r="P1159" s="226"/>
    </row>
    <row r="1160" spans="1:16">
      <c r="A1160" s="227"/>
      <c r="B1160" s="131" t="s">
        <v>1962</v>
      </c>
      <c r="C1160" s="227">
        <v>94311</v>
      </c>
      <c r="D1160" s="392"/>
      <c r="H1160" s="226"/>
      <c r="J1160" s="389"/>
      <c r="K1160" s="226"/>
      <c r="P1160" s="226"/>
    </row>
    <row r="1161" spans="1:16">
      <c r="A1161" s="227"/>
      <c r="B1161" s="131" t="s">
        <v>1132</v>
      </c>
      <c r="C1161" s="227">
        <v>94317</v>
      </c>
      <c r="D1161" s="392"/>
      <c r="H1161" s="226"/>
      <c r="J1161" s="389"/>
      <c r="K1161" s="226"/>
      <c r="P1161" s="226"/>
    </row>
    <row r="1162" spans="1:16">
      <c r="A1162" s="227"/>
      <c r="B1162" s="131" t="s">
        <v>1131</v>
      </c>
      <c r="C1162" s="227">
        <v>94313</v>
      </c>
      <c r="D1162" s="392"/>
      <c r="H1162" s="226"/>
      <c r="J1162" s="389"/>
      <c r="K1162" s="226"/>
      <c r="P1162" s="226"/>
    </row>
    <row r="1163" spans="1:16">
      <c r="A1163" s="227"/>
      <c r="B1163" s="131" t="s">
        <v>1007</v>
      </c>
      <c r="C1163" s="227">
        <v>93101</v>
      </c>
      <c r="D1163" s="392"/>
      <c r="H1163" s="226"/>
      <c r="J1163" s="390"/>
      <c r="K1163" s="226"/>
      <c r="P1163" s="226"/>
    </row>
    <row r="1164" spans="1:16">
      <c r="A1164" s="227"/>
      <c r="B1164" s="131" t="s">
        <v>260</v>
      </c>
      <c r="C1164" s="227">
        <v>93103</v>
      </c>
      <c r="D1164" s="392"/>
      <c r="H1164" s="226"/>
      <c r="J1164" s="389"/>
      <c r="K1164" s="226"/>
      <c r="P1164" s="226"/>
    </row>
    <row r="1165" spans="1:16">
      <c r="A1165" s="227"/>
      <c r="B1165" s="131" t="s">
        <v>1963</v>
      </c>
      <c r="C1165" s="227">
        <v>93211</v>
      </c>
      <c r="D1165" s="392"/>
      <c r="H1165" s="226"/>
      <c r="J1165" s="389"/>
      <c r="K1165" s="226"/>
      <c r="P1165" s="226"/>
    </row>
    <row r="1166" spans="1:16">
      <c r="A1166" s="227"/>
      <c r="B1166" s="131" t="s">
        <v>1026</v>
      </c>
      <c r="C1166" s="227">
        <v>93212</v>
      </c>
      <c r="D1166" s="392"/>
      <c r="H1166" s="226"/>
      <c r="J1166" s="390"/>
      <c r="K1166" s="226"/>
      <c r="P1166" s="226"/>
    </row>
    <row r="1167" spans="1:16">
      <c r="A1167" s="227"/>
      <c r="B1167" s="131" t="s">
        <v>1021</v>
      </c>
      <c r="C1167" s="227">
        <v>93201</v>
      </c>
      <c r="D1167" s="392"/>
      <c r="H1167" s="226"/>
      <c r="J1167" s="389"/>
      <c r="K1167" s="226"/>
      <c r="P1167" s="226"/>
    </row>
    <row r="1168" spans="1:16">
      <c r="A1168" s="227"/>
      <c r="B1168" s="131" t="s">
        <v>1023</v>
      </c>
      <c r="C1168" s="227">
        <v>93204</v>
      </c>
      <c r="D1168" s="392"/>
      <c r="H1168" s="226"/>
      <c r="J1168" s="389"/>
      <c r="K1168" s="226"/>
      <c r="P1168" s="226"/>
    </row>
    <row r="1169" spans="1:16">
      <c r="A1169" s="227"/>
      <c r="B1169" s="131" t="s">
        <v>1550</v>
      </c>
      <c r="C1169" s="227">
        <v>99212</v>
      </c>
      <c r="D1169" s="392"/>
      <c r="H1169" s="226"/>
      <c r="J1169" s="389"/>
      <c r="K1169" s="226"/>
      <c r="P1169" s="226"/>
    </row>
    <row r="1170" spans="1:16">
      <c r="A1170" s="227"/>
      <c r="B1170" s="131" t="s">
        <v>1349</v>
      </c>
      <c r="C1170" s="227">
        <v>97005</v>
      </c>
      <c r="D1170" s="392"/>
      <c r="H1170" s="226"/>
      <c r="J1170" s="389"/>
      <c r="K1170" s="226"/>
      <c r="P1170" s="226"/>
    </row>
    <row r="1171" spans="1:16">
      <c r="A1171" s="227"/>
      <c r="B1171" s="131" t="s">
        <v>2113</v>
      </c>
      <c r="C1171" s="51">
        <v>99931</v>
      </c>
      <c r="D1171" s="392"/>
      <c r="H1171" s="226"/>
      <c r="J1171" s="389"/>
      <c r="K1171" s="226"/>
      <c r="P1171" s="226"/>
    </row>
    <row r="1172" spans="1:16">
      <c r="A1172" s="227"/>
      <c r="B1172" s="131" t="s">
        <v>1618</v>
      </c>
      <c r="C1172" s="227">
        <v>92509</v>
      </c>
      <c r="D1172" s="392"/>
      <c r="H1172" s="226"/>
      <c r="J1172" s="389"/>
      <c r="K1172" s="226"/>
      <c r="P1172" s="226"/>
    </row>
    <row r="1173" spans="1:16">
      <c r="A1173" s="227"/>
      <c r="B1173" s="131" t="s">
        <v>2114</v>
      </c>
      <c r="C1173" s="227">
        <v>98021</v>
      </c>
      <c r="D1173" s="392"/>
      <c r="H1173" s="226"/>
      <c r="J1173" s="389"/>
      <c r="K1173" s="226"/>
      <c r="P1173" s="226"/>
    </row>
    <row r="1174" spans="1:16">
      <c r="A1174" s="227"/>
      <c r="B1174" s="131" t="s">
        <v>1450</v>
      </c>
      <c r="C1174" s="227">
        <v>98023</v>
      </c>
      <c r="D1174" s="392"/>
      <c r="H1174" s="226"/>
      <c r="J1174" s="389"/>
      <c r="K1174" s="226"/>
      <c r="P1174" s="226"/>
    </row>
    <row r="1175" spans="1:16">
      <c r="A1175" s="227"/>
      <c r="B1175" s="131" t="s">
        <v>2026</v>
      </c>
      <c r="C1175" s="220">
        <v>70505</v>
      </c>
      <c r="D1175" s="392"/>
      <c r="H1175" s="226"/>
      <c r="J1175" s="390"/>
      <c r="K1175" s="226"/>
      <c r="P1175" s="226"/>
    </row>
    <row r="1176" spans="1:16">
      <c r="A1176" s="227"/>
      <c r="B1176" s="131" t="s">
        <v>2772</v>
      </c>
      <c r="C1176" s="227">
        <v>99603</v>
      </c>
      <c r="D1176" s="392"/>
      <c r="H1176" s="226"/>
      <c r="J1176" s="389"/>
      <c r="K1176" s="226"/>
      <c r="P1176" s="226"/>
    </row>
    <row r="1177" spans="1:16">
      <c r="A1177" s="227"/>
      <c r="B1177" s="131" t="s">
        <v>1587</v>
      </c>
      <c r="C1177" s="227">
        <v>99610</v>
      </c>
      <c r="D1177" s="392"/>
      <c r="H1177" s="226"/>
      <c r="J1177" s="389"/>
      <c r="K1177" s="226"/>
      <c r="P1177" s="226"/>
    </row>
    <row r="1178" spans="1:16">
      <c r="A1178" s="227"/>
      <c r="B1178" s="131" t="s">
        <v>2115</v>
      </c>
      <c r="C1178" s="227">
        <v>92681</v>
      </c>
      <c r="D1178" s="392"/>
      <c r="H1178" s="226"/>
      <c r="J1178" s="390"/>
      <c r="K1178" s="226"/>
      <c r="P1178" s="226"/>
    </row>
    <row r="1179" spans="1:16">
      <c r="A1179" s="227"/>
      <c r="B1179" s="131" t="s">
        <v>1008</v>
      </c>
      <c r="C1179" s="227">
        <v>93108</v>
      </c>
      <c r="D1179" s="392"/>
      <c r="H1179" s="226"/>
      <c r="J1179" s="389"/>
      <c r="K1179" s="226"/>
      <c r="P1179" s="226"/>
    </row>
    <row r="1180" spans="1:16">
      <c r="A1180" s="227"/>
      <c r="B1180" s="131" t="s">
        <v>1964</v>
      </c>
      <c r="C1180" s="227">
        <v>97951</v>
      </c>
      <c r="D1180" s="392"/>
      <c r="H1180" s="226"/>
      <c r="J1180" s="389"/>
      <c r="K1180" s="226"/>
      <c r="P1180" s="226"/>
    </row>
    <row r="1181" spans="1:16">
      <c r="A1181" s="227"/>
      <c r="B1181" s="131" t="s">
        <v>1441</v>
      </c>
      <c r="C1181" s="227">
        <v>97957</v>
      </c>
      <c r="D1181" s="392"/>
      <c r="H1181" s="226"/>
      <c r="J1181" s="389"/>
      <c r="K1181" s="226"/>
      <c r="P1181" s="226"/>
    </row>
    <row r="1182" spans="1:16">
      <c r="A1182" s="227"/>
      <c r="B1182" s="131" t="s">
        <v>2116</v>
      </c>
      <c r="C1182" s="227">
        <v>92111</v>
      </c>
      <c r="D1182" s="392"/>
      <c r="H1182" s="226"/>
      <c r="J1182" s="389"/>
      <c r="K1182" s="226"/>
      <c r="P1182" s="226"/>
    </row>
    <row r="1183" spans="1:16">
      <c r="A1183" s="227"/>
      <c r="B1183" s="131" t="s">
        <v>1028</v>
      </c>
      <c r="C1183" s="227">
        <v>93301</v>
      </c>
      <c r="D1183" s="392"/>
      <c r="H1183" s="226"/>
      <c r="J1183" s="389"/>
      <c r="K1183" s="226"/>
      <c r="P1183" s="226"/>
    </row>
    <row r="1184" spans="1:16">
      <c r="A1184" s="227"/>
      <c r="B1184" s="131" t="s">
        <v>1029</v>
      </c>
      <c r="C1184" s="227">
        <v>93304</v>
      </c>
      <c r="D1184" s="392"/>
      <c r="H1184" s="226"/>
      <c r="J1184" s="389"/>
      <c r="K1184" s="226"/>
      <c r="P1184" s="226"/>
    </row>
    <row r="1185" spans="1:16">
      <c r="A1185" s="227"/>
      <c r="B1185" s="131" t="s">
        <v>1030</v>
      </c>
      <c r="C1185" s="227">
        <v>93305</v>
      </c>
      <c r="D1185" s="392"/>
      <c r="H1185" s="226"/>
      <c r="J1185" s="389"/>
      <c r="K1185" s="226"/>
      <c r="P1185" s="226"/>
    </row>
    <row r="1186" spans="1:16">
      <c r="A1186" s="227"/>
      <c r="B1186" s="131" t="s">
        <v>1548</v>
      </c>
      <c r="C1186" s="227">
        <v>99210</v>
      </c>
      <c r="D1186" s="392"/>
      <c r="H1186" s="226"/>
      <c r="J1186" s="389"/>
      <c r="K1186" s="226"/>
      <c r="P1186" s="226"/>
    </row>
    <row r="1187" spans="1:16">
      <c r="A1187" s="227"/>
      <c r="B1187" s="131" t="s">
        <v>1352</v>
      </c>
      <c r="C1187" s="227">
        <v>97011</v>
      </c>
      <c r="D1187" s="392"/>
      <c r="H1187" s="226"/>
      <c r="J1187" s="390"/>
      <c r="K1187" s="226"/>
      <c r="P1187" s="226"/>
    </row>
    <row r="1188" spans="1:16">
      <c r="A1188" s="227"/>
      <c r="B1188" s="131" t="s">
        <v>1354</v>
      </c>
      <c r="C1188" s="227">
        <v>97013</v>
      </c>
      <c r="D1188" s="392"/>
      <c r="H1188" s="226"/>
      <c r="J1188" s="389"/>
      <c r="K1188" s="226"/>
      <c r="P1188" s="226"/>
    </row>
    <row r="1189" spans="1:16">
      <c r="A1189" s="227"/>
      <c r="B1189" s="131" t="s">
        <v>2768</v>
      </c>
      <c r="C1189" s="227">
        <v>97012</v>
      </c>
      <c r="D1189" s="392"/>
      <c r="H1189" s="226"/>
      <c r="J1189" s="389"/>
      <c r="K1189" s="226"/>
      <c r="P1189" s="226"/>
    </row>
    <row r="1190" spans="1:16">
      <c r="A1190" s="227"/>
      <c r="B1190" s="131" t="s">
        <v>1356</v>
      </c>
      <c r="C1190" s="227">
        <v>97018</v>
      </c>
      <c r="D1190" s="392"/>
      <c r="H1190" s="226"/>
      <c r="J1190" s="390"/>
      <c r="K1190" s="226"/>
      <c r="P1190" s="226"/>
    </row>
    <row r="1191" spans="1:16">
      <c r="A1191" s="227"/>
      <c r="B1191" s="131" t="s">
        <v>2117</v>
      </c>
      <c r="C1191" s="227">
        <v>90911</v>
      </c>
      <c r="D1191" s="392"/>
      <c r="H1191" s="226"/>
      <c r="J1191" s="389"/>
      <c r="K1191" s="226"/>
      <c r="P1191" s="226"/>
    </row>
    <row r="1192" spans="1:16">
      <c r="A1192" s="227"/>
      <c r="B1192" s="131" t="s">
        <v>794</v>
      </c>
      <c r="C1192" s="227">
        <v>90917</v>
      </c>
      <c r="D1192" s="392"/>
      <c r="H1192" s="226"/>
      <c r="J1192" s="389"/>
      <c r="K1192" s="226"/>
      <c r="P1192" s="226"/>
    </row>
    <row r="1193" spans="1:16">
      <c r="A1193" s="227"/>
      <c r="B1193" s="131" t="s">
        <v>2118</v>
      </c>
      <c r="C1193" s="227">
        <v>90641</v>
      </c>
      <c r="D1193" s="392"/>
      <c r="H1193" s="226"/>
      <c r="J1193" s="389"/>
      <c r="K1193" s="226"/>
      <c r="P1193" s="226"/>
    </row>
    <row r="1194" spans="1:16">
      <c r="A1194" s="227"/>
      <c r="B1194" s="131" t="s">
        <v>2119</v>
      </c>
      <c r="C1194" s="227">
        <v>98641</v>
      </c>
      <c r="D1194" s="392"/>
      <c r="H1194" s="226"/>
      <c r="J1194" s="389"/>
      <c r="K1194" s="226"/>
      <c r="P1194" s="226"/>
    </row>
    <row r="1195" spans="1:16">
      <c r="A1195" s="227"/>
      <c r="B1195" s="131" t="s">
        <v>3520</v>
      </c>
      <c r="C1195" s="227" t="s">
        <v>3518</v>
      </c>
      <c r="D1195" s="392"/>
      <c r="H1195" s="226"/>
      <c r="J1195" s="389"/>
      <c r="K1195" s="226"/>
      <c r="P1195" s="226"/>
    </row>
    <row r="1196" spans="1:16">
      <c r="A1196" s="227"/>
      <c r="B1196" s="131" t="s">
        <v>2120</v>
      </c>
      <c r="C1196" s="227">
        <v>98161</v>
      </c>
      <c r="D1196" s="392"/>
      <c r="H1196" s="226"/>
      <c r="J1196" s="389"/>
      <c r="K1196" s="226"/>
      <c r="P1196" s="226"/>
    </row>
    <row r="1197" spans="1:16">
      <c r="A1197" s="227"/>
      <c r="B1197" s="131" t="s">
        <v>2121</v>
      </c>
      <c r="C1197" s="227">
        <v>97731</v>
      </c>
      <c r="D1197" s="392"/>
      <c r="H1197" s="226"/>
      <c r="J1197" s="389"/>
      <c r="K1197" s="226"/>
      <c r="P1197" s="226"/>
    </row>
    <row r="1198" spans="1:16">
      <c r="A1198" s="227"/>
      <c r="B1198" s="131" t="s">
        <v>2122</v>
      </c>
      <c r="C1198" s="51">
        <v>99851</v>
      </c>
      <c r="D1198" s="392"/>
      <c r="H1198" s="226"/>
      <c r="J1198" s="389"/>
      <c r="K1198" s="226"/>
      <c r="P1198" s="226"/>
    </row>
    <row r="1199" spans="1:16">
      <c r="A1199" s="227"/>
      <c r="B1199" s="131" t="s">
        <v>2123</v>
      </c>
      <c r="C1199" s="227">
        <v>90131</v>
      </c>
      <c r="D1199" s="392"/>
      <c r="H1199" s="226"/>
      <c r="J1199" s="390"/>
      <c r="K1199" s="226"/>
      <c r="P1199" s="226"/>
    </row>
    <row r="1200" spans="1:16">
      <c r="A1200" s="227"/>
      <c r="B1200" s="131" t="s">
        <v>2124</v>
      </c>
      <c r="C1200" s="227">
        <v>91651</v>
      </c>
      <c r="D1200" s="392"/>
      <c r="H1200" s="226"/>
      <c r="J1200" s="389"/>
      <c r="K1200" s="226"/>
      <c r="P1200" s="226"/>
    </row>
    <row r="1201" spans="1:16">
      <c r="A1201" s="227"/>
      <c r="B1201" s="131" t="s">
        <v>2125</v>
      </c>
      <c r="C1201" s="227">
        <v>94211</v>
      </c>
      <c r="D1201" s="392"/>
      <c r="H1201" s="226"/>
      <c r="J1201" s="389"/>
      <c r="K1201" s="226"/>
      <c r="P1201" s="226"/>
    </row>
    <row r="1202" spans="1:16">
      <c r="A1202" s="227"/>
      <c r="B1202" s="131" t="s">
        <v>2126</v>
      </c>
      <c r="C1202" s="227">
        <v>94331</v>
      </c>
      <c r="D1202" s="392"/>
      <c r="H1202" s="226"/>
      <c r="J1202" s="390"/>
      <c r="K1202" s="226"/>
      <c r="P1202" s="226"/>
    </row>
    <row r="1203" spans="1:16">
      <c r="A1203" s="227"/>
      <c r="B1203" s="131" t="s">
        <v>2127</v>
      </c>
      <c r="C1203" s="227">
        <v>92431</v>
      </c>
      <c r="D1203" s="392"/>
      <c r="H1203" s="226"/>
      <c r="J1203" s="389"/>
      <c r="K1203" s="226"/>
      <c r="P1203" s="226"/>
    </row>
    <row r="1204" spans="1:16">
      <c r="A1204" s="227"/>
      <c r="B1204" s="131" t="s">
        <v>2128</v>
      </c>
      <c r="C1204" s="227">
        <v>97821</v>
      </c>
      <c r="D1204" s="392"/>
      <c r="H1204" s="226"/>
      <c r="J1204" s="389"/>
      <c r="K1204" s="226"/>
      <c r="P1204" s="226"/>
    </row>
    <row r="1205" spans="1:16">
      <c r="A1205" s="227"/>
      <c r="B1205" s="131" t="s">
        <v>1420</v>
      </c>
      <c r="C1205" s="227">
        <v>97823</v>
      </c>
      <c r="D1205" s="392"/>
      <c r="H1205" s="226"/>
      <c r="J1205" s="389"/>
      <c r="K1205" s="226"/>
      <c r="P1205" s="226"/>
    </row>
    <row r="1206" spans="1:16">
      <c r="A1206" s="227"/>
      <c r="B1206" s="131" t="s">
        <v>2129</v>
      </c>
      <c r="C1206" s="227">
        <v>93141</v>
      </c>
      <c r="D1206" s="392"/>
      <c r="H1206" s="226"/>
      <c r="J1206" s="389"/>
      <c r="K1206" s="226"/>
      <c r="P1206" s="226"/>
    </row>
    <row r="1207" spans="1:16">
      <c r="A1207" s="227"/>
      <c r="B1207" s="131" t="s">
        <v>2130</v>
      </c>
      <c r="C1207" s="227">
        <v>98081</v>
      </c>
      <c r="D1207" s="392"/>
      <c r="H1207" s="226"/>
      <c r="J1207" s="389"/>
      <c r="K1207" s="226"/>
      <c r="P1207" s="226"/>
    </row>
    <row r="1208" spans="1:16">
      <c r="A1208" s="227"/>
      <c r="B1208" s="131" t="s">
        <v>2131</v>
      </c>
      <c r="C1208" s="227">
        <v>92671</v>
      </c>
      <c r="D1208" s="392"/>
      <c r="H1208" s="226"/>
      <c r="J1208" s="389"/>
      <c r="K1208" s="226"/>
      <c r="P1208" s="226"/>
    </row>
    <row r="1209" spans="1:16">
      <c r="A1209" s="227"/>
      <c r="B1209" s="131" t="s">
        <v>2132</v>
      </c>
      <c r="C1209" s="227">
        <v>97421</v>
      </c>
      <c r="D1209" s="392"/>
      <c r="H1209" s="226"/>
      <c r="J1209" s="389"/>
      <c r="K1209" s="226"/>
      <c r="P1209" s="226"/>
    </row>
    <row r="1210" spans="1:16">
      <c r="A1210" s="227"/>
      <c r="B1210" s="131" t="s">
        <v>1379</v>
      </c>
      <c r="C1210" s="227">
        <v>97423</v>
      </c>
      <c r="D1210" s="392"/>
      <c r="H1210" s="226"/>
      <c r="J1210" s="389"/>
      <c r="K1210" s="226"/>
      <c r="P1210" s="226"/>
    </row>
    <row r="1211" spans="1:16">
      <c r="A1211" s="227"/>
      <c r="B1211" s="131" t="s">
        <v>1965</v>
      </c>
      <c r="C1211" s="227">
        <v>92611</v>
      </c>
      <c r="D1211" s="392"/>
      <c r="H1211" s="226"/>
      <c r="J1211" s="390"/>
      <c r="K1211" s="226"/>
      <c r="P1211" s="226"/>
    </row>
    <row r="1212" spans="1:16">
      <c r="A1212" s="227"/>
      <c r="B1212" s="131" t="s">
        <v>2761</v>
      </c>
      <c r="C1212" s="227">
        <v>92613</v>
      </c>
      <c r="D1212" s="392"/>
      <c r="H1212" s="226"/>
      <c r="J1212" s="389"/>
      <c r="K1212" s="226"/>
      <c r="P1212" s="226"/>
    </row>
    <row r="1213" spans="1:16">
      <c r="A1213" s="227"/>
      <c r="B1213" s="131" t="s">
        <v>2794</v>
      </c>
      <c r="C1213" s="227">
        <v>92614</v>
      </c>
      <c r="D1213" s="392"/>
      <c r="H1213" s="226"/>
      <c r="J1213" s="389"/>
      <c r="K1213" s="226"/>
      <c r="P1213" s="226"/>
    </row>
    <row r="1214" spans="1:16">
      <c r="A1214" s="227"/>
      <c r="B1214" s="131" t="s">
        <v>954</v>
      </c>
      <c r="C1214" s="227">
        <v>92502</v>
      </c>
      <c r="D1214" s="392"/>
      <c r="H1214" s="226"/>
      <c r="J1214" s="390"/>
      <c r="K1214" s="226"/>
      <c r="P1214" s="226"/>
    </row>
    <row r="1215" spans="1:16">
      <c r="A1215" s="227"/>
      <c r="B1215" s="131" t="s">
        <v>2502</v>
      </c>
      <c r="C1215" s="227">
        <v>94531</v>
      </c>
      <c r="D1215" s="392"/>
      <c r="H1215" s="226"/>
      <c r="J1215" s="389"/>
      <c r="K1215" s="226"/>
      <c r="P1215" s="226"/>
    </row>
    <row r="1216" spans="1:16">
      <c r="A1216" s="227"/>
      <c r="B1216" s="131" t="s">
        <v>2503</v>
      </c>
      <c r="C1216" s="227">
        <v>94541</v>
      </c>
      <c r="D1216" s="392"/>
      <c r="H1216" s="226"/>
      <c r="J1216" s="389"/>
      <c r="K1216" s="226"/>
      <c r="P1216" s="226"/>
    </row>
    <row r="1217" spans="1:16">
      <c r="A1217" s="227"/>
      <c r="B1217" s="131" t="s">
        <v>1158</v>
      </c>
      <c r="C1217" s="227">
        <v>94547</v>
      </c>
      <c r="D1217" s="392"/>
      <c r="H1217" s="226"/>
      <c r="J1217" s="389"/>
      <c r="K1217" s="226"/>
      <c r="P1217" s="226"/>
    </row>
    <row r="1218" spans="1:16">
      <c r="A1218" s="227"/>
      <c r="B1218" s="131" t="s">
        <v>1184</v>
      </c>
      <c r="C1218" s="227">
        <v>95005</v>
      </c>
      <c r="D1218" s="392"/>
      <c r="H1218" s="226"/>
      <c r="J1218" s="389"/>
      <c r="K1218" s="226"/>
      <c r="P1218" s="226"/>
    </row>
    <row r="1219" spans="1:16">
      <c r="A1219" s="227"/>
      <c r="B1219" s="131" t="s">
        <v>2504</v>
      </c>
      <c r="C1219" s="227">
        <v>98111</v>
      </c>
      <c r="D1219" s="392"/>
      <c r="H1219" s="226"/>
      <c r="J1219" s="389"/>
      <c r="K1219" s="226"/>
      <c r="P1219" s="226"/>
    </row>
    <row r="1220" spans="1:16">
      <c r="A1220" s="227"/>
      <c r="B1220" s="131" t="s">
        <v>1461</v>
      </c>
      <c r="C1220" s="227">
        <v>98107</v>
      </c>
      <c r="D1220" s="392"/>
      <c r="H1220" s="226"/>
      <c r="J1220" s="389"/>
      <c r="K1220" s="226"/>
      <c r="P1220" s="226"/>
    </row>
    <row r="1221" spans="1:16">
      <c r="A1221" s="227"/>
      <c r="B1221" s="131" t="s">
        <v>1464</v>
      </c>
      <c r="C1221" s="227">
        <v>98113</v>
      </c>
      <c r="D1221" s="392"/>
      <c r="H1221" s="226"/>
      <c r="J1221" s="389"/>
      <c r="K1221" s="226"/>
      <c r="P1221" s="226"/>
    </row>
    <row r="1222" spans="1:16">
      <c r="A1222" s="227"/>
      <c r="B1222" s="131" t="s">
        <v>1583</v>
      </c>
      <c r="C1222" s="227">
        <v>99602</v>
      </c>
      <c r="D1222" s="392"/>
      <c r="H1222" s="226"/>
      <c r="J1222" s="389"/>
      <c r="K1222" s="226"/>
      <c r="P1222" s="226"/>
    </row>
    <row r="1223" spans="1:16">
      <c r="A1223" s="227"/>
      <c r="B1223" s="131" t="s">
        <v>1040</v>
      </c>
      <c r="C1223" s="227">
        <v>93401</v>
      </c>
      <c r="D1223" s="392"/>
      <c r="H1223" s="226"/>
      <c r="J1223" s="390"/>
      <c r="K1223" s="226"/>
      <c r="P1223" s="226"/>
    </row>
    <row r="1224" spans="1:16">
      <c r="A1224" s="227"/>
      <c r="B1224" s="131" t="s">
        <v>3506</v>
      </c>
      <c r="C1224" s="227">
        <v>97491</v>
      </c>
      <c r="D1224" s="392"/>
      <c r="H1224" s="226"/>
      <c r="J1224" s="389"/>
      <c r="K1224" s="226"/>
      <c r="P1224" s="226"/>
    </row>
    <row r="1225" spans="1:16">
      <c r="A1225" s="227"/>
      <c r="B1225" s="131" t="s">
        <v>2505</v>
      </c>
      <c r="C1225" s="227">
        <v>95151</v>
      </c>
      <c r="D1225" s="392"/>
      <c r="H1225" s="226"/>
      <c r="J1225" s="389"/>
      <c r="K1225" s="226"/>
      <c r="P1225" s="226"/>
    </row>
    <row r="1226" spans="1:16">
      <c r="A1226" s="227"/>
      <c r="B1226" s="131" t="s">
        <v>1294</v>
      </c>
      <c r="C1226" s="227">
        <v>96381</v>
      </c>
      <c r="D1226" s="392"/>
      <c r="H1226" s="226"/>
      <c r="J1226" s="390"/>
      <c r="K1226" s="226"/>
      <c r="P1226" s="226"/>
    </row>
    <row r="1227" spans="1:16">
      <c r="A1227" s="227"/>
      <c r="B1227" s="131" t="s">
        <v>2506</v>
      </c>
      <c r="C1227" s="227">
        <v>95611</v>
      </c>
      <c r="D1227" s="392"/>
      <c r="H1227" s="226"/>
      <c r="J1227" s="389"/>
      <c r="K1227" s="226"/>
      <c r="P1227" s="226"/>
    </row>
    <row r="1228" spans="1:16">
      <c r="A1228" s="227"/>
      <c r="B1228" s="131" t="s">
        <v>1054</v>
      </c>
      <c r="C1228" s="227">
        <v>93501</v>
      </c>
      <c r="D1228" s="392"/>
      <c r="H1228" s="226"/>
      <c r="J1228" s="389"/>
      <c r="K1228" s="226"/>
      <c r="P1228" s="226"/>
    </row>
    <row r="1229" spans="1:16">
      <c r="A1229" s="227"/>
      <c r="B1229" s="131" t="s">
        <v>2507</v>
      </c>
      <c r="C1229" s="227">
        <v>93511</v>
      </c>
      <c r="D1229" s="392"/>
      <c r="H1229" s="226"/>
      <c r="J1229" s="389"/>
      <c r="K1229" s="226"/>
      <c r="P1229" s="226"/>
    </row>
    <row r="1230" spans="1:16">
      <c r="A1230" s="227"/>
      <c r="B1230" s="131" t="s">
        <v>1056</v>
      </c>
      <c r="C1230" s="227">
        <v>93517</v>
      </c>
      <c r="D1230" s="392"/>
      <c r="H1230" s="226"/>
      <c r="J1230" s="389"/>
      <c r="K1230" s="226"/>
      <c r="P1230" s="226"/>
    </row>
    <row r="1231" spans="1:16">
      <c r="A1231" s="227"/>
      <c r="B1231" s="131" t="s">
        <v>2508</v>
      </c>
      <c r="C1231" s="227">
        <v>99631</v>
      </c>
      <c r="D1231" s="392"/>
      <c r="H1231" s="226"/>
      <c r="J1231" s="389"/>
      <c r="K1231" s="226"/>
      <c r="P1231" s="226"/>
    </row>
    <row r="1232" spans="1:16">
      <c r="A1232" s="227"/>
      <c r="B1232" s="131" t="s">
        <v>2509</v>
      </c>
      <c r="C1232" s="227">
        <v>99261</v>
      </c>
      <c r="D1232" s="392"/>
      <c r="H1232" s="226"/>
      <c r="J1232" s="390"/>
      <c r="K1232" s="226"/>
      <c r="P1232" s="226"/>
    </row>
    <row r="1233" spans="1:16">
      <c r="A1233" s="227"/>
      <c r="B1233" s="131" t="s">
        <v>2510</v>
      </c>
      <c r="C1233" s="227">
        <v>98241</v>
      </c>
      <c r="D1233" s="392"/>
      <c r="H1233" s="226"/>
      <c r="J1233" s="389"/>
      <c r="K1233" s="226"/>
      <c r="P1233" s="226"/>
    </row>
    <row r="1234" spans="1:16">
      <c r="A1234" s="227"/>
      <c r="B1234" s="131" t="s">
        <v>2511</v>
      </c>
      <c r="C1234" s="227">
        <v>99251</v>
      </c>
      <c r="D1234" s="392"/>
      <c r="H1234" s="226"/>
      <c r="J1234" s="389"/>
      <c r="K1234" s="226"/>
      <c r="P1234" s="226"/>
    </row>
    <row r="1235" spans="1:16">
      <c r="A1235" s="227"/>
      <c r="B1235" s="131" t="s">
        <v>1558</v>
      </c>
      <c r="C1235" s="227">
        <v>99252</v>
      </c>
      <c r="D1235" s="392"/>
      <c r="H1235" s="226"/>
      <c r="J1235" s="389"/>
      <c r="K1235" s="226"/>
      <c r="P1235" s="226"/>
    </row>
    <row r="1236" spans="1:16">
      <c r="A1236" s="227"/>
      <c r="B1236" s="131" t="s">
        <v>2512</v>
      </c>
      <c r="C1236" s="227">
        <v>96631</v>
      </c>
      <c r="D1236" s="392"/>
      <c r="H1236" s="226"/>
      <c r="J1236" s="389"/>
      <c r="K1236" s="226"/>
      <c r="P1236" s="226"/>
    </row>
    <row r="1237" spans="1:16">
      <c r="A1237" s="227"/>
      <c r="B1237" s="131" t="s">
        <v>2513</v>
      </c>
      <c r="C1237" s="227">
        <v>96651</v>
      </c>
      <c r="D1237" s="392"/>
      <c r="H1237" s="226"/>
      <c r="J1237" s="389"/>
      <c r="K1237" s="226"/>
      <c r="P1237" s="226"/>
    </row>
    <row r="1238" spans="1:16">
      <c r="A1238" s="227"/>
      <c r="B1238" s="131" t="s">
        <v>1062</v>
      </c>
      <c r="C1238" s="227">
        <v>93601</v>
      </c>
      <c r="D1238" s="392"/>
      <c r="H1238" s="226"/>
      <c r="J1238" s="389"/>
      <c r="K1238" s="226"/>
      <c r="P1238" s="226"/>
    </row>
    <row r="1239" spans="1:16">
      <c r="A1239" s="227"/>
      <c r="B1239" s="131" t="s">
        <v>1068</v>
      </c>
      <c r="C1239" s="227">
        <v>93618</v>
      </c>
      <c r="D1239" s="392"/>
      <c r="H1239" s="226"/>
      <c r="J1239" s="389"/>
      <c r="K1239" s="226"/>
      <c r="P1239" s="226"/>
    </row>
    <row r="1240" spans="1:16">
      <c r="A1240" s="227"/>
      <c r="B1240" s="131" t="s">
        <v>1966</v>
      </c>
      <c r="C1240" s="227">
        <v>93611</v>
      </c>
      <c r="D1240" s="392"/>
      <c r="H1240" s="226"/>
      <c r="J1240" s="389"/>
      <c r="K1240" s="226"/>
      <c r="P1240" s="226"/>
    </row>
    <row r="1241" spans="1:16">
      <c r="A1241" s="227"/>
      <c r="B1241" s="131" t="s">
        <v>1067</v>
      </c>
      <c r="C1241" s="227">
        <v>93617</v>
      </c>
      <c r="D1241" s="392"/>
      <c r="H1241" s="226"/>
      <c r="J1241" s="390"/>
      <c r="K1241" s="226"/>
      <c r="P1241" s="226"/>
    </row>
    <row r="1242" spans="1:16">
      <c r="A1242" s="227"/>
      <c r="B1242" s="131" t="s">
        <v>1079</v>
      </c>
      <c r="C1242" s="227">
        <v>93701</v>
      </c>
      <c r="D1242" s="392"/>
      <c r="H1242" s="226"/>
      <c r="J1242" s="389"/>
      <c r="K1242" s="226"/>
      <c r="P1242" s="226"/>
    </row>
    <row r="1243" spans="1:16">
      <c r="A1243" s="227"/>
      <c r="B1243" s="131" t="s">
        <v>1080</v>
      </c>
      <c r="C1243" s="227">
        <v>93704</v>
      </c>
      <c r="D1243" s="392"/>
      <c r="H1243" s="226"/>
      <c r="J1243" s="389"/>
      <c r="K1243" s="226"/>
      <c r="P1243" s="226"/>
    </row>
    <row r="1244" spans="1:16">
      <c r="A1244" s="227"/>
      <c r="B1244" s="131" t="s">
        <v>2514</v>
      </c>
      <c r="C1244" s="227">
        <v>98331</v>
      </c>
      <c r="D1244" s="392"/>
      <c r="H1244" s="226"/>
      <c r="J1244" s="390"/>
      <c r="K1244" s="226"/>
      <c r="P1244" s="226"/>
    </row>
    <row r="1245" spans="1:16">
      <c r="A1245" s="227"/>
      <c r="B1245" s="131" t="s">
        <v>2515</v>
      </c>
      <c r="C1245" s="227">
        <v>94151</v>
      </c>
      <c r="D1245" s="392"/>
      <c r="H1245" s="226"/>
      <c r="J1245" s="389"/>
      <c r="K1245" s="226"/>
      <c r="P1245" s="226"/>
    </row>
    <row r="1246" spans="1:16">
      <c r="A1246" s="227"/>
      <c r="B1246" s="131" t="s">
        <v>1114</v>
      </c>
      <c r="C1246" s="227">
        <v>94157</v>
      </c>
      <c r="D1246" s="392"/>
      <c r="H1246" s="226"/>
      <c r="J1246" s="389"/>
      <c r="K1246" s="226"/>
      <c r="P1246" s="226"/>
    </row>
    <row r="1247" spans="1:16">
      <c r="A1247" s="227"/>
      <c r="B1247" s="131" t="s">
        <v>2516</v>
      </c>
      <c r="C1247" s="227">
        <v>91241</v>
      </c>
      <c r="D1247" s="392"/>
      <c r="H1247" s="226"/>
      <c r="J1247" s="389"/>
      <c r="K1247" s="226"/>
      <c r="P1247" s="226"/>
    </row>
    <row r="1248" spans="1:16">
      <c r="A1248" s="227"/>
      <c r="B1248" s="131" t="s">
        <v>1220</v>
      </c>
      <c r="C1248" s="227">
        <v>95412</v>
      </c>
      <c r="D1248" s="392"/>
      <c r="H1248" s="226"/>
      <c r="J1248" s="389"/>
      <c r="K1248" s="226"/>
      <c r="P1248" s="226"/>
    </row>
    <row r="1249" spans="1:16">
      <c r="A1249" s="227"/>
      <c r="B1249" s="131" t="s">
        <v>1967</v>
      </c>
      <c r="C1249" s="227">
        <v>99611</v>
      </c>
      <c r="D1249" s="392"/>
      <c r="H1249" s="226"/>
      <c r="J1249" s="389"/>
      <c r="K1249" s="226"/>
      <c r="P1249" s="226"/>
    </row>
    <row r="1250" spans="1:16">
      <c r="A1250" s="227"/>
      <c r="B1250" s="131" t="s">
        <v>2810</v>
      </c>
      <c r="C1250" s="227">
        <v>99613</v>
      </c>
      <c r="D1250" s="392"/>
      <c r="H1250" s="226"/>
      <c r="J1250" s="389"/>
      <c r="K1250" s="226"/>
      <c r="P1250" s="226"/>
    </row>
    <row r="1251" spans="1:16">
      <c r="A1251" s="227"/>
      <c r="B1251" s="131" t="s">
        <v>918</v>
      </c>
      <c r="C1251" s="227">
        <v>91908</v>
      </c>
      <c r="D1251" s="392"/>
      <c r="H1251" s="226"/>
      <c r="J1251" s="389"/>
      <c r="K1251" s="226"/>
      <c r="P1251" s="226"/>
    </row>
    <row r="1252" spans="1:16">
      <c r="A1252" s="227"/>
      <c r="B1252" s="131" t="s">
        <v>1969</v>
      </c>
      <c r="C1252" s="227">
        <v>90121</v>
      </c>
      <c r="D1252" s="392"/>
      <c r="H1252" s="226"/>
      <c r="J1252" s="389"/>
      <c r="K1252" s="226"/>
      <c r="P1252" s="226"/>
    </row>
    <row r="1253" spans="1:16">
      <c r="A1253" s="227"/>
      <c r="B1253" s="131" t="s">
        <v>1082</v>
      </c>
      <c r="C1253" s="227">
        <v>93803</v>
      </c>
      <c r="D1253" s="392"/>
      <c r="H1253" s="226"/>
      <c r="J1253" s="390"/>
      <c r="K1253" s="226"/>
      <c r="P1253" s="226"/>
    </row>
    <row r="1254" spans="1:16">
      <c r="A1254" s="227"/>
      <c r="B1254" s="131" t="s">
        <v>1081</v>
      </c>
      <c r="C1254" s="227">
        <v>93801</v>
      </c>
      <c r="D1254" s="392"/>
      <c r="H1254" s="226"/>
      <c r="J1254" s="389"/>
      <c r="K1254" s="226"/>
      <c r="P1254" s="226"/>
    </row>
    <row r="1255" spans="1:16">
      <c r="A1255" s="227"/>
      <c r="B1255" s="131" t="s">
        <v>1083</v>
      </c>
      <c r="C1255" s="227">
        <v>93806</v>
      </c>
      <c r="D1255" s="392"/>
      <c r="H1255" s="226"/>
      <c r="J1255" s="389"/>
      <c r="K1255" s="226"/>
      <c r="P1255" s="226"/>
    </row>
    <row r="1256" spans="1:16">
      <c r="A1256" s="227"/>
      <c r="B1256" s="131" t="s">
        <v>2517</v>
      </c>
      <c r="C1256" s="227">
        <v>91411</v>
      </c>
      <c r="D1256" s="392"/>
      <c r="H1256" s="226"/>
      <c r="J1256" s="390"/>
      <c r="K1256" s="226"/>
      <c r="P1256" s="226"/>
    </row>
    <row r="1257" spans="1:16">
      <c r="A1257" s="227"/>
      <c r="B1257" s="131" t="s">
        <v>874</v>
      </c>
      <c r="C1257" s="227">
        <v>91417</v>
      </c>
      <c r="D1257" s="392"/>
      <c r="H1257" s="226"/>
      <c r="J1257" s="389"/>
      <c r="K1257" s="226"/>
      <c r="P1257" s="226"/>
    </row>
    <row r="1258" spans="1:16">
      <c r="A1258" s="227"/>
      <c r="B1258" s="131" t="s">
        <v>2518</v>
      </c>
      <c r="C1258" s="227">
        <v>98061</v>
      </c>
      <c r="D1258" s="392"/>
      <c r="H1258" s="226"/>
      <c r="J1258" s="389"/>
      <c r="K1258" s="226"/>
      <c r="P1258" s="226"/>
    </row>
    <row r="1259" spans="1:16">
      <c r="A1259" s="227"/>
      <c r="B1259" s="131" t="s">
        <v>2815</v>
      </c>
      <c r="C1259" s="227">
        <v>93904</v>
      </c>
      <c r="D1259" s="392"/>
      <c r="H1259" s="226"/>
      <c r="J1259" s="389"/>
      <c r="K1259" s="226"/>
      <c r="P1259" s="226"/>
    </row>
    <row r="1260" spans="1:16">
      <c r="A1260" s="227"/>
      <c r="B1260" s="131" t="s">
        <v>1085</v>
      </c>
      <c r="C1260" s="227">
        <v>93901</v>
      </c>
      <c r="D1260" s="392"/>
      <c r="H1260" s="226"/>
      <c r="J1260" s="389"/>
      <c r="K1260" s="226"/>
      <c r="P1260" s="226"/>
    </row>
    <row r="1261" spans="1:16">
      <c r="A1261" s="227"/>
      <c r="B1261" s="131" t="s">
        <v>1087</v>
      </c>
      <c r="C1261" s="227">
        <v>93906</v>
      </c>
      <c r="D1261" s="392"/>
      <c r="H1261" s="226"/>
      <c r="J1261" s="389"/>
      <c r="K1261" s="226"/>
      <c r="P1261" s="226"/>
    </row>
    <row r="1262" spans="1:16">
      <c r="A1262" s="227"/>
      <c r="B1262" s="131" t="s">
        <v>1088</v>
      </c>
      <c r="C1262" s="227">
        <v>93908</v>
      </c>
      <c r="D1262" s="392"/>
      <c r="H1262" s="226"/>
      <c r="J1262" s="389"/>
      <c r="K1262" s="226"/>
      <c r="P1262" s="226"/>
    </row>
    <row r="1263" spans="1:16">
      <c r="A1263" s="227"/>
      <c r="B1263" s="131" t="s">
        <v>1174</v>
      </c>
      <c r="C1263" s="227">
        <v>94908</v>
      </c>
      <c r="D1263" s="392"/>
      <c r="H1263" s="226"/>
      <c r="J1263" s="389"/>
      <c r="K1263" s="226"/>
      <c r="P1263" s="226"/>
    </row>
    <row r="1264" spans="1:16">
      <c r="A1264" s="227"/>
      <c r="B1264" s="131" t="s">
        <v>2519</v>
      </c>
      <c r="C1264" s="227">
        <v>90161</v>
      </c>
      <c r="D1264" s="392"/>
      <c r="H1264" s="226"/>
      <c r="J1264" s="389"/>
      <c r="K1264" s="226"/>
      <c r="P1264" s="226"/>
    </row>
    <row r="1265" spans="1:16">
      <c r="A1265" s="227"/>
      <c r="B1265" s="131" t="s">
        <v>1095</v>
      </c>
      <c r="C1265" s="227">
        <v>94001</v>
      </c>
      <c r="D1265" s="392"/>
      <c r="H1265" s="226"/>
      <c r="J1265" s="390"/>
      <c r="K1265" s="226"/>
      <c r="P1265" s="226"/>
    </row>
    <row r="1266" spans="1:16">
      <c r="A1266" s="227"/>
      <c r="B1266" s="131" t="s">
        <v>1097</v>
      </c>
      <c r="C1266" s="227">
        <v>94004</v>
      </c>
      <c r="D1266" s="392"/>
      <c r="H1266" s="226"/>
      <c r="J1266" s="389"/>
      <c r="K1266" s="226"/>
      <c r="P1266" s="226"/>
    </row>
    <row r="1267" spans="1:16">
      <c r="A1267" s="227"/>
      <c r="B1267" s="131" t="s">
        <v>1968</v>
      </c>
      <c r="C1267" s="227">
        <v>94111</v>
      </c>
      <c r="D1267" s="392"/>
      <c r="H1267" s="226"/>
      <c r="J1267" s="389"/>
      <c r="K1267" s="226"/>
      <c r="P1267" s="226"/>
    </row>
    <row r="1268" spans="1:16">
      <c r="A1268" s="227"/>
      <c r="B1268" s="131" t="s">
        <v>2814</v>
      </c>
      <c r="C1268" s="227">
        <v>94117</v>
      </c>
      <c r="D1268" s="392"/>
      <c r="H1268" s="226"/>
      <c r="J1268" s="390"/>
      <c r="K1268" s="226"/>
      <c r="P1268" s="226"/>
    </row>
    <row r="1269" spans="1:16">
      <c r="A1269" s="227"/>
      <c r="B1269" s="131" t="s">
        <v>1970</v>
      </c>
      <c r="C1269" s="227">
        <v>97411</v>
      </c>
      <c r="D1269" s="392"/>
      <c r="H1269" s="226"/>
      <c r="J1269" s="389"/>
      <c r="K1269" s="226"/>
      <c r="P1269" s="226"/>
    </row>
    <row r="1270" spans="1:16">
      <c r="A1270" s="227"/>
      <c r="B1270" s="131" t="s">
        <v>1377</v>
      </c>
      <c r="C1270" s="227">
        <v>97413</v>
      </c>
      <c r="D1270" s="392"/>
      <c r="H1270" s="226"/>
      <c r="J1270" s="389"/>
      <c r="K1270" s="226"/>
      <c r="P1270" s="226"/>
    </row>
    <row r="1271" spans="1:16">
      <c r="A1271" s="227"/>
      <c r="B1271" s="131" t="s">
        <v>1376</v>
      </c>
      <c r="C1271" s="227">
        <v>97412</v>
      </c>
      <c r="D1271" s="392"/>
      <c r="H1271" s="226"/>
      <c r="J1271" s="389"/>
      <c r="K1271" s="226"/>
      <c r="P1271" s="226"/>
    </row>
    <row r="1272" spans="1:16">
      <c r="A1272" s="227"/>
      <c r="B1272" s="131" t="s">
        <v>2520</v>
      </c>
      <c r="C1272" s="227">
        <v>97431</v>
      </c>
      <c r="D1272" s="392"/>
      <c r="H1272" s="226"/>
      <c r="J1272" s="389"/>
      <c r="K1272" s="226"/>
      <c r="P1272" s="226"/>
    </row>
    <row r="1273" spans="1:16">
      <c r="A1273" s="227"/>
      <c r="B1273" s="131" t="s">
        <v>2521</v>
      </c>
      <c r="C1273" s="227">
        <v>97471</v>
      </c>
      <c r="D1273" s="392"/>
      <c r="H1273" s="226"/>
      <c r="J1273" s="389"/>
      <c r="K1273" s="226"/>
      <c r="P1273" s="226"/>
    </row>
    <row r="1274" spans="1:16">
      <c r="A1274" s="227"/>
      <c r="B1274" s="131" t="s">
        <v>2522</v>
      </c>
      <c r="C1274" s="227">
        <v>92351</v>
      </c>
      <c r="D1274" s="392"/>
      <c r="H1274" s="226"/>
      <c r="J1274" s="389"/>
      <c r="K1274" s="226"/>
      <c r="P1274" s="226"/>
    </row>
    <row r="1275" spans="1:16">
      <c r="A1275" s="227"/>
      <c r="B1275" s="131" t="s">
        <v>1102</v>
      </c>
      <c r="C1275" s="227">
        <v>94101</v>
      </c>
      <c r="D1275" s="392"/>
      <c r="H1275" s="226"/>
      <c r="J1275" s="389"/>
      <c r="K1275" s="226"/>
      <c r="P1275" s="226"/>
    </row>
    <row r="1276" spans="1:16">
      <c r="A1276" s="227"/>
      <c r="B1276" s="131" t="s">
        <v>1109</v>
      </c>
      <c r="C1276" s="227">
        <v>94118</v>
      </c>
      <c r="D1276" s="392"/>
      <c r="H1276" s="226"/>
      <c r="J1276" s="389"/>
      <c r="K1276" s="226"/>
      <c r="P1276" s="226"/>
    </row>
    <row r="1277" spans="1:16">
      <c r="A1277" s="227"/>
      <c r="B1277" s="131" t="s">
        <v>1103</v>
      </c>
      <c r="C1277" s="227">
        <v>94102</v>
      </c>
      <c r="D1277" s="392"/>
      <c r="H1277" s="226"/>
      <c r="J1277" s="390"/>
      <c r="K1277" s="226"/>
      <c r="P1277" s="226"/>
    </row>
    <row r="1278" spans="1:16">
      <c r="A1278" s="227"/>
      <c r="B1278" s="131" t="s">
        <v>1119</v>
      </c>
      <c r="C1278" s="227">
        <v>94201</v>
      </c>
      <c r="D1278" s="392"/>
      <c r="H1278" s="226"/>
      <c r="J1278" s="389"/>
      <c r="K1278" s="226"/>
      <c r="P1278" s="226"/>
    </row>
    <row r="1279" spans="1:16">
      <c r="A1279" s="227"/>
      <c r="B1279" s="131" t="s">
        <v>1120</v>
      </c>
      <c r="C1279" s="227">
        <v>94204</v>
      </c>
      <c r="D1279" s="392"/>
      <c r="H1279" s="226"/>
      <c r="J1279" s="389"/>
      <c r="K1279" s="226"/>
      <c r="P1279" s="226"/>
    </row>
    <row r="1280" spans="1:16">
      <c r="A1280" s="227"/>
      <c r="B1280" s="131" t="s">
        <v>1121</v>
      </c>
      <c r="C1280" s="227">
        <v>94205</v>
      </c>
      <c r="D1280" s="392"/>
      <c r="H1280" s="226"/>
      <c r="J1280" s="390"/>
      <c r="K1280" s="226"/>
      <c r="P1280" s="226"/>
    </row>
    <row r="1281" spans="1:16">
      <c r="A1281" s="227"/>
      <c r="B1281" s="131" t="s">
        <v>2523</v>
      </c>
      <c r="C1281" s="227">
        <v>95831</v>
      </c>
      <c r="D1281" s="392"/>
      <c r="H1281" s="226"/>
      <c r="J1281" s="389"/>
      <c r="K1281" s="226"/>
      <c r="P1281" s="226"/>
    </row>
    <row r="1282" spans="1:16">
      <c r="A1282" s="227"/>
      <c r="B1282" s="131" t="s">
        <v>1971</v>
      </c>
      <c r="C1282" s="227">
        <v>97721</v>
      </c>
      <c r="D1282" s="392"/>
      <c r="H1282" s="226"/>
      <c r="J1282" s="389"/>
      <c r="K1282" s="226"/>
      <c r="P1282" s="226"/>
    </row>
    <row r="1283" spans="1:16">
      <c r="A1283" s="227"/>
      <c r="B1283" s="131" t="s">
        <v>1408</v>
      </c>
      <c r="C1283" s="227">
        <v>97717</v>
      </c>
      <c r="D1283" s="392"/>
      <c r="H1283" s="226"/>
      <c r="J1283" s="389"/>
      <c r="K1283" s="226"/>
      <c r="P1283" s="226"/>
    </row>
    <row r="1284" spans="1:16">
      <c r="A1284" s="227"/>
      <c r="B1284" s="131" t="s">
        <v>1129</v>
      </c>
      <c r="C1284" s="227">
        <v>94301</v>
      </c>
      <c r="D1284" s="392"/>
      <c r="H1284" s="226"/>
      <c r="J1284" s="389"/>
      <c r="K1284" s="226"/>
      <c r="P1284" s="226"/>
    </row>
    <row r="1285" spans="1:16">
      <c r="A1285" s="227"/>
      <c r="B1285" s="131" t="s">
        <v>2524</v>
      </c>
      <c r="C1285" s="227">
        <v>91441</v>
      </c>
      <c r="D1285" s="392"/>
      <c r="H1285" s="226"/>
      <c r="J1285" s="389"/>
      <c r="K1285" s="226"/>
      <c r="P1285" s="226"/>
    </row>
    <row r="1286" spans="1:16">
      <c r="A1286" s="227"/>
      <c r="B1286" s="131" t="s">
        <v>1972</v>
      </c>
      <c r="C1286" s="227">
        <v>92531</v>
      </c>
      <c r="D1286" s="392"/>
      <c r="H1286" s="226"/>
      <c r="J1286" s="389"/>
      <c r="K1286" s="226"/>
      <c r="P1286" s="226"/>
    </row>
    <row r="1287" spans="1:16">
      <c r="A1287" s="227"/>
      <c r="B1287" s="131" t="s">
        <v>2525</v>
      </c>
      <c r="C1287" s="227">
        <v>90141</v>
      </c>
      <c r="D1287" s="392"/>
      <c r="H1287" s="226"/>
      <c r="J1287" s="389"/>
      <c r="K1287" s="226"/>
      <c r="P1287" s="226"/>
    </row>
    <row r="1288" spans="1:16">
      <c r="A1288" s="227"/>
      <c r="B1288" s="131" t="s">
        <v>1138</v>
      </c>
      <c r="C1288" s="227">
        <v>94401</v>
      </c>
      <c r="D1288" s="392"/>
      <c r="H1288" s="226"/>
      <c r="J1288" s="389"/>
      <c r="K1288" s="226"/>
      <c r="P1288" s="226"/>
    </row>
    <row r="1289" spans="1:16">
      <c r="A1289" s="227"/>
      <c r="B1289" s="131" t="s">
        <v>1140</v>
      </c>
      <c r="C1289" s="227">
        <v>94403</v>
      </c>
      <c r="D1289" s="392"/>
      <c r="H1289" s="226"/>
      <c r="J1289" s="390"/>
      <c r="K1289" s="226"/>
      <c r="P1289" s="226"/>
    </row>
    <row r="1290" spans="1:16">
      <c r="A1290" s="227"/>
      <c r="B1290" s="131" t="s">
        <v>1139</v>
      </c>
      <c r="C1290" s="227">
        <v>94402</v>
      </c>
      <c r="D1290" s="392"/>
      <c r="H1290" s="226"/>
      <c r="J1290" s="389"/>
      <c r="K1290" s="226"/>
      <c r="P1290" s="226"/>
    </row>
    <row r="1291" spans="1:16">
      <c r="A1291" s="227"/>
      <c r="B1291" s="131" t="s">
        <v>1973</v>
      </c>
      <c r="C1291" s="227">
        <v>99111</v>
      </c>
      <c r="D1291" s="392"/>
      <c r="H1291" s="226"/>
      <c r="J1291" s="389"/>
      <c r="K1291" s="226"/>
      <c r="P1291" s="226"/>
    </row>
    <row r="1292" spans="1:16">
      <c r="A1292" s="227"/>
      <c r="B1292" s="131" t="s">
        <v>2025</v>
      </c>
      <c r="C1292" s="227">
        <v>94501</v>
      </c>
      <c r="D1292" s="392"/>
      <c r="H1292" s="226"/>
      <c r="J1292" s="390"/>
      <c r="K1292" s="226"/>
      <c r="P1292" s="226"/>
    </row>
    <row r="1293" spans="1:16">
      <c r="A1293" s="227"/>
      <c r="B1293" s="131" t="s">
        <v>1974</v>
      </c>
      <c r="C1293" s="227">
        <v>94511</v>
      </c>
      <c r="D1293" s="392"/>
      <c r="H1293" s="226"/>
      <c r="J1293" s="389"/>
      <c r="K1293" s="226"/>
      <c r="P1293" s="226"/>
    </row>
    <row r="1294" spans="1:16">
      <c r="A1294" s="227"/>
      <c r="B1294" s="131" t="s">
        <v>2813</v>
      </c>
      <c r="C1294" s="227">
        <v>94517</v>
      </c>
      <c r="D1294" s="392"/>
      <c r="H1294" s="226"/>
      <c r="J1294" s="389"/>
      <c r="K1294" s="226"/>
      <c r="P1294" s="226"/>
    </row>
    <row r="1295" spans="1:16">
      <c r="A1295" s="227"/>
      <c r="B1295" s="131" t="s">
        <v>1151</v>
      </c>
      <c r="C1295" s="227">
        <v>94512</v>
      </c>
      <c r="D1295" s="392"/>
      <c r="H1295" s="226"/>
      <c r="J1295" s="389"/>
      <c r="K1295" s="226"/>
      <c r="P1295" s="226"/>
    </row>
    <row r="1296" spans="1:16">
      <c r="A1296" s="227"/>
      <c r="B1296" s="131" t="s">
        <v>2526</v>
      </c>
      <c r="C1296" s="227">
        <v>97211</v>
      </c>
      <c r="D1296" s="392"/>
      <c r="H1296" s="226"/>
      <c r="J1296" s="389"/>
      <c r="K1296" s="226"/>
      <c r="P1296" s="226"/>
    </row>
    <row r="1297" spans="1:16">
      <c r="A1297" s="227"/>
      <c r="B1297" s="131" t="s">
        <v>2527</v>
      </c>
      <c r="C1297" s="227">
        <v>97217</v>
      </c>
      <c r="D1297" s="392"/>
      <c r="H1297" s="226"/>
      <c r="J1297" s="389"/>
      <c r="K1297" s="226"/>
      <c r="P1297" s="226"/>
    </row>
    <row r="1298" spans="1:16">
      <c r="A1298" s="227"/>
      <c r="B1298" s="131" t="s">
        <v>1160</v>
      </c>
      <c r="C1298" s="227">
        <v>94601</v>
      </c>
      <c r="D1298" s="392"/>
      <c r="H1298" s="226"/>
      <c r="J1298" s="389"/>
      <c r="K1298" s="226"/>
      <c r="P1298" s="226"/>
    </row>
    <row r="1299" spans="1:16">
      <c r="A1299" s="227"/>
      <c r="B1299" s="131" t="s">
        <v>1161</v>
      </c>
      <c r="C1299" s="227">
        <v>94604</v>
      </c>
      <c r="D1299" s="392"/>
      <c r="H1299" s="226"/>
      <c r="J1299" s="389"/>
      <c r="K1299" s="226"/>
      <c r="P1299" s="226"/>
    </row>
    <row r="1300" spans="1:16">
      <c r="A1300" s="227"/>
      <c r="B1300" s="131" t="s">
        <v>1162</v>
      </c>
      <c r="C1300" s="227">
        <v>94606</v>
      </c>
      <c r="D1300" s="392"/>
      <c r="H1300" s="226"/>
      <c r="J1300" s="389"/>
      <c r="K1300" s="226"/>
      <c r="P1300" s="226"/>
    </row>
    <row r="1301" spans="1:16">
      <c r="A1301" s="227"/>
      <c r="B1301" s="131" t="s">
        <v>2769</v>
      </c>
      <c r="C1301" s="227">
        <v>97213</v>
      </c>
      <c r="D1301" s="392"/>
      <c r="H1301" s="226"/>
      <c r="J1301" s="390"/>
      <c r="K1301" s="226"/>
      <c r="P1301" s="226"/>
    </row>
    <row r="1302" spans="1:16">
      <c r="A1302" s="227"/>
      <c r="B1302" s="131" t="s">
        <v>1975</v>
      </c>
      <c r="C1302" s="227">
        <v>91811</v>
      </c>
      <c r="D1302" s="392"/>
      <c r="H1302" s="226"/>
      <c r="J1302" s="389"/>
      <c r="K1302" s="226"/>
      <c r="P1302" s="226"/>
    </row>
    <row r="1303" spans="1:16">
      <c r="A1303" s="227"/>
      <c r="B1303" s="131" t="s">
        <v>2757</v>
      </c>
      <c r="C1303" s="227">
        <v>91812</v>
      </c>
      <c r="D1303" s="392"/>
      <c r="H1303" s="226"/>
      <c r="J1303" s="389"/>
      <c r="K1303" s="226"/>
      <c r="P1303" s="226"/>
    </row>
    <row r="1304" spans="1:16">
      <c r="A1304" s="227"/>
      <c r="B1304" s="131" t="s">
        <v>905</v>
      </c>
      <c r="C1304" s="227">
        <v>91813</v>
      </c>
      <c r="D1304" s="392"/>
      <c r="H1304" s="226"/>
      <c r="J1304" s="390"/>
      <c r="K1304" s="226"/>
      <c r="P1304" s="226"/>
    </row>
    <row r="1305" spans="1:16">
      <c r="A1305" s="227"/>
      <c r="B1305" s="131" t="s">
        <v>770</v>
      </c>
      <c r="C1305" s="227">
        <v>90617</v>
      </c>
      <c r="D1305" s="392"/>
      <c r="H1305" s="226"/>
      <c r="J1305" s="389"/>
      <c r="K1305" s="226"/>
      <c r="P1305" s="226"/>
    </row>
    <row r="1306" spans="1:16">
      <c r="A1306" s="227"/>
      <c r="B1306" s="131" t="s">
        <v>1976</v>
      </c>
      <c r="C1306" s="227">
        <v>94121</v>
      </c>
      <c r="D1306" s="392"/>
      <c r="H1306" s="226"/>
      <c r="J1306" s="389"/>
      <c r="K1306" s="226"/>
      <c r="P1306" s="226"/>
    </row>
    <row r="1307" spans="1:16">
      <c r="A1307" s="227"/>
      <c r="B1307" s="131" t="s">
        <v>2812</v>
      </c>
      <c r="C1307" s="227">
        <v>94127</v>
      </c>
      <c r="D1307" s="392"/>
      <c r="H1307" s="226"/>
      <c r="J1307" s="389"/>
      <c r="K1307" s="226"/>
      <c r="P1307" s="226"/>
    </row>
    <row r="1308" spans="1:16">
      <c r="A1308" s="227"/>
      <c r="B1308" s="131" t="s">
        <v>2528</v>
      </c>
      <c r="C1308" s="227">
        <v>95621</v>
      </c>
      <c r="D1308" s="392"/>
      <c r="H1308" s="226"/>
      <c r="J1308" s="389"/>
      <c r="K1308" s="226"/>
      <c r="P1308" s="226"/>
    </row>
    <row r="1309" spans="1:16">
      <c r="A1309" s="227"/>
      <c r="B1309" s="131" t="s">
        <v>1232</v>
      </c>
      <c r="C1309" s="227">
        <v>95617</v>
      </c>
      <c r="D1309" s="392"/>
      <c r="H1309" s="226"/>
      <c r="J1309" s="389"/>
      <c r="K1309" s="226"/>
      <c r="P1309" s="226"/>
    </row>
    <row r="1310" spans="1:16">
      <c r="A1310" s="227"/>
      <c r="B1310" s="131" t="s">
        <v>2529</v>
      </c>
      <c r="C1310" s="227">
        <v>91251</v>
      </c>
      <c r="D1310" s="392"/>
      <c r="H1310" s="226"/>
      <c r="J1310" s="390"/>
      <c r="K1310" s="226"/>
      <c r="P1310" s="226"/>
    </row>
    <row r="1311" spans="1:16">
      <c r="A1311" s="227"/>
      <c r="B1311" s="131" t="s">
        <v>2530</v>
      </c>
      <c r="C1311" s="227">
        <v>96831</v>
      </c>
      <c r="D1311" s="392"/>
      <c r="H1311" s="226"/>
      <c r="J1311" s="389"/>
      <c r="K1311" s="226"/>
      <c r="P1311" s="226"/>
    </row>
    <row r="1312" spans="1:16">
      <c r="A1312" s="227"/>
      <c r="B1312" s="131" t="s">
        <v>2531</v>
      </c>
      <c r="C1312" s="227">
        <v>94251</v>
      </c>
      <c r="D1312" s="392"/>
      <c r="H1312" s="226"/>
      <c r="J1312" s="389"/>
      <c r="K1312" s="226"/>
      <c r="P1312" s="226"/>
    </row>
    <row r="1313" spans="1:16">
      <c r="A1313" s="227"/>
      <c r="B1313" s="131" t="s">
        <v>1167</v>
      </c>
      <c r="C1313" s="227">
        <v>94701</v>
      </c>
      <c r="D1313" s="392"/>
      <c r="H1313" s="226"/>
      <c r="J1313" s="389"/>
      <c r="K1313" s="226"/>
      <c r="P1313" s="226"/>
    </row>
    <row r="1314" spans="1:16">
      <c r="A1314" s="227"/>
      <c r="B1314" s="131" t="s">
        <v>1168</v>
      </c>
      <c r="C1314" s="227">
        <v>94704</v>
      </c>
      <c r="D1314" s="392"/>
      <c r="H1314" s="226"/>
      <c r="J1314" s="389"/>
      <c r="K1314" s="226"/>
      <c r="P1314" s="226"/>
    </row>
    <row r="1315" spans="1:16">
      <c r="A1315" s="227"/>
      <c r="B1315" s="131" t="s">
        <v>2532</v>
      </c>
      <c r="C1315" s="227">
        <v>91014</v>
      </c>
      <c r="D1315" s="392"/>
      <c r="H1315" s="226"/>
      <c r="J1315" s="389"/>
      <c r="K1315" s="226"/>
      <c r="P1315" s="226"/>
    </row>
    <row r="1316" spans="1:16">
      <c r="A1316" s="227"/>
      <c r="B1316" s="131" t="s">
        <v>2533</v>
      </c>
      <c r="C1316" s="227">
        <v>96731</v>
      </c>
      <c r="D1316" s="392"/>
      <c r="H1316" s="226"/>
      <c r="J1316" s="389"/>
      <c r="K1316" s="226"/>
      <c r="P1316" s="226"/>
    </row>
    <row r="1317" spans="1:16">
      <c r="A1317" s="227"/>
      <c r="B1317" s="131" t="s">
        <v>1333</v>
      </c>
      <c r="C1317" s="227">
        <v>96733</v>
      </c>
      <c r="D1317" s="392"/>
      <c r="H1317" s="226"/>
      <c r="J1317" s="389"/>
      <c r="K1317" s="226"/>
      <c r="P1317" s="226"/>
    </row>
    <row r="1318" spans="1:16">
      <c r="A1318" s="227"/>
      <c r="B1318" s="131" t="s">
        <v>2534</v>
      </c>
      <c r="C1318" s="227">
        <v>99202</v>
      </c>
      <c r="D1318" s="392"/>
      <c r="H1318" s="226"/>
      <c r="J1318" s="389"/>
      <c r="K1318" s="226"/>
      <c r="P1318" s="226"/>
    </row>
    <row r="1319" spans="1:16">
      <c r="A1319" s="227"/>
      <c r="B1319" s="131" t="s">
        <v>2535</v>
      </c>
      <c r="C1319" s="227">
        <v>94011</v>
      </c>
      <c r="D1319" s="392"/>
      <c r="H1319" s="226"/>
      <c r="J1319" s="390"/>
      <c r="K1319" s="226"/>
      <c r="P1319" s="226"/>
    </row>
    <row r="1320" spans="1:16">
      <c r="A1320" s="227"/>
      <c r="B1320" s="131" t="s">
        <v>2536</v>
      </c>
      <c r="C1320" s="227">
        <v>92631</v>
      </c>
      <c r="D1320" s="392"/>
      <c r="H1320" s="226"/>
      <c r="J1320" s="389"/>
      <c r="K1320" s="226"/>
      <c r="P1320" s="226"/>
    </row>
    <row r="1321" spans="1:16">
      <c r="A1321" s="227"/>
      <c r="B1321" s="131" t="s">
        <v>1237</v>
      </c>
      <c r="C1321" s="227">
        <v>95733</v>
      </c>
      <c r="D1321" s="392"/>
      <c r="H1321" s="226"/>
      <c r="J1321" s="389"/>
      <c r="K1321" s="226"/>
      <c r="P1321" s="226"/>
    </row>
    <row r="1322" spans="1:16">
      <c r="A1322" s="227"/>
      <c r="B1322" s="131" t="s">
        <v>2537</v>
      </c>
      <c r="C1322" s="227">
        <v>91431</v>
      </c>
      <c r="D1322" s="392"/>
      <c r="H1322" s="226"/>
      <c r="J1322" s="390"/>
      <c r="K1322" s="226"/>
      <c r="P1322" s="226"/>
    </row>
    <row r="1323" spans="1:16">
      <c r="A1323" s="227"/>
      <c r="B1323" s="131" t="s">
        <v>2538</v>
      </c>
      <c r="C1323" s="227">
        <v>96041</v>
      </c>
      <c r="D1323" s="392"/>
      <c r="H1323" s="226"/>
      <c r="J1323" s="389"/>
      <c r="K1323" s="226"/>
      <c r="P1323" s="226"/>
    </row>
    <row r="1324" spans="1:16">
      <c r="A1324" s="227"/>
      <c r="B1324" s="131" t="s">
        <v>1170</v>
      </c>
      <c r="C1324" s="227">
        <v>94801</v>
      </c>
      <c r="D1324" s="392"/>
      <c r="H1324" s="226"/>
      <c r="J1324" s="389"/>
      <c r="K1324" s="226"/>
      <c r="P1324" s="226"/>
    </row>
    <row r="1325" spans="1:16">
      <c r="A1325" s="227"/>
      <c r="B1325" s="131" t="s">
        <v>1171</v>
      </c>
      <c r="C1325" s="227">
        <v>94804</v>
      </c>
      <c r="D1325" s="392"/>
      <c r="H1325" s="226"/>
      <c r="J1325" s="389"/>
      <c r="K1325" s="226"/>
      <c r="P1325" s="226"/>
    </row>
    <row r="1326" spans="1:16">
      <c r="A1326" s="227"/>
      <c r="B1326" s="131" t="s">
        <v>2539</v>
      </c>
      <c r="C1326" s="227">
        <v>91661</v>
      </c>
      <c r="D1326" s="392"/>
      <c r="H1326" s="226"/>
      <c r="J1326" s="389"/>
      <c r="K1326" s="226"/>
      <c r="P1326" s="226"/>
    </row>
    <row r="1327" spans="1:16">
      <c r="A1327" s="227"/>
      <c r="B1327" s="131" t="s">
        <v>2540</v>
      </c>
      <c r="C1327" s="227">
        <v>99051</v>
      </c>
      <c r="D1327" s="392"/>
      <c r="H1327" s="226"/>
      <c r="J1327" s="389"/>
      <c r="K1327" s="226"/>
      <c r="P1327" s="226"/>
    </row>
    <row r="1328" spans="1:16">
      <c r="A1328" s="227"/>
      <c r="B1328" s="131" t="s">
        <v>1525</v>
      </c>
      <c r="C1328" s="227">
        <v>99014</v>
      </c>
      <c r="D1328" s="392"/>
      <c r="H1328" s="226"/>
      <c r="J1328" s="389"/>
      <c r="K1328" s="226"/>
      <c r="P1328" s="226"/>
    </row>
    <row r="1329" spans="1:16">
      <c r="A1329" s="227"/>
      <c r="B1329" s="131" t="s">
        <v>1173</v>
      </c>
      <c r="C1329" s="227">
        <v>94901</v>
      </c>
      <c r="D1329" s="392"/>
      <c r="H1329" s="226"/>
      <c r="J1329" s="389"/>
      <c r="K1329" s="226"/>
      <c r="P1329" s="226"/>
    </row>
    <row r="1330" spans="1:16">
      <c r="A1330" s="227"/>
      <c r="B1330" s="131" t="s">
        <v>1462</v>
      </c>
      <c r="C1330" s="227">
        <v>98109</v>
      </c>
      <c r="D1330" s="392"/>
      <c r="H1330" s="226"/>
      <c r="J1330" s="389"/>
      <c r="K1330" s="226"/>
      <c r="P1330" s="226"/>
    </row>
    <row r="1331" spans="1:16">
      <c r="A1331" s="227"/>
      <c r="B1331" s="131" t="s">
        <v>2808</v>
      </c>
      <c r="C1331" s="227">
        <v>98205</v>
      </c>
      <c r="D1331" s="392"/>
      <c r="H1331" s="226"/>
      <c r="J1331" s="390"/>
      <c r="K1331" s="226"/>
      <c r="P1331" s="226"/>
    </row>
    <row r="1332" spans="1:16">
      <c r="A1332" s="227"/>
      <c r="B1332" s="131" t="s">
        <v>2541</v>
      </c>
      <c r="C1332" s="227">
        <v>96661</v>
      </c>
      <c r="D1332" s="392"/>
      <c r="H1332" s="226"/>
      <c r="J1332" s="389"/>
      <c r="K1332" s="226"/>
      <c r="P1332" s="226"/>
    </row>
    <row r="1333" spans="1:16">
      <c r="A1333" s="227"/>
      <c r="B1333" s="131" t="s">
        <v>1182</v>
      </c>
      <c r="C1333" s="227">
        <v>95001</v>
      </c>
      <c r="D1333" s="392"/>
      <c r="H1333" s="226"/>
      <c r="J1333" s="389"/>
      <c r="K1333" s="226"/>
      <c r="P1333" s="226"/>
    </row>
    <row r="1334" spans="1:16">
      <c r="A1334" s="227"/>
      <c r="B1334" s="131" t="s">
        <v>1188</v>
      </c>
      <c r="C1334" s="227">
        <v>95017</v>
      </c>
      <c r="D1334" s="392"/>
      <c r="H1334" s="226"/>
      <c r="J1334" s="390"/>
      <c r="K1334" s="226"/>
      <c r="P1334" s="226"/>
    </row>
    <row r="1335" spans="1:16">
      <c r="A1335" s="227"/>
      <c r="B1335" s="131" t="s">
        <v>1977</v>
      </c>
      <c r="C1335" s="227">
        <v>96711</v>
      </c>
      <c r="D1335" s="392"/>
      <c r="H1335" s="226"/>
      <c r="J1335" s="389"/>
      <c r="K1335" s="226"/>
      <c r="P1335" s="226"/>
    </row>
    <row r="1336" spans="1:16">
      <c r="A1336" s="227"/>
      <c r="B1336" s="131" t="s">
        <v>2542</v>
      </c>
      <c r="C1336" s="227">
        <v>94131</v>
      </c>
      <c r="D1336" s="392"/>
      <c r="H1336" s="226"/>
      <c r="J1336" s="389"/>
      <c r="K1336" s="226"/>
      <c r="P1336" s="226"/>
    </row>
    <row r="1337" spans="1:16">
      <c r="A1337" s="227"/>
      <c r="B1337" s="131" t="s">
        <v>2543</v>
      </c>
      <c r="C1337" s="227">
        <v>95841</v>
      </c>
      <c r="D1337" s="392"/>
      <c r="H1337" s="226"/>
      <c r="J1337" s="389"/>
      <c r="K1337" s="226"/>
      <c r="P1337" s="226"/>
    </row>
    <row r="1338" spans="1:16">
      <c r="A1338" s="227"/>
      <c r="B1338" s="131" t="s">
        <v>2544</v>
      </c>
      <c r="C1338" s="227">
        <v>90511</v>
      </c>
      <c r="D1338" s="392"/>
      <c r="H1338" s="226"/>
      <c r="J1338" s="389"/>
      <c r="K1338" s="226"/>
      <c r="P1338" s="226"/>
    </row>
    <row r="1339" spans="1:16">
      <c r="A1339" s="227"/>
      <c r="B1339" s="131" t="s">
        <v>1189</v>
      </c>
      <c r="C1339" s="227">
        <v>95101</v>
      </c>
      <c r="D1339" s="392"/>
      <c r="H1339" s="226"/>
      <c r="J1339" s="389"/>
      <c r="K1339" s="226"/>
      <c r="P1339" s="226"/>
    </row>
    <row r="1340" spans="1:16">
      <c r="A1340" s="227"/>
      <c r="B1340" s="131" t="s">
        <v>1191</v>
      </c>
      <c r="C1340" s="227">
        <v>95104</v>
      </c>
      <c r="D1340" s="392"/>
      <c r="H1340" s="226"/>
      <c r="J1340" s="389"/>
      <c r="K1340" s="226"/>
      <c r="P1340" s="226"/>
    </row>
    <row r="1341" spans="1:16">
      <c r="A1341" s="227"/>
      <c r="B1341" s="131" t="s">
        <v>1194</v>
      </c>
      <c r="C1341" s="227">
        <v>95110</v>
      </c>
      <c r="D1341" s="392"/>
      <c r="H1341" s="226"/>
      <c r="J1341" s="389"/>
      <c r="K1341" s="226"/>
      <c r="P1341" s="226"/>
    </row>
    <row r="1342" spans="1:16">
      <c r="A1342" s="227"/>
      <c r="B1342" s="131" t="s">
        <v>1207</v>
      </c>
      <c r="C1342" s="227">
        <v>95201</v>
      </c>
      <c r="D1342" s="392"/>
      <c r="H1342" s="226"/>
      <c r="J1342" s="389"/>
      <c r="K1342" s="226"/>
      <c r="P1342" s="226"/>
    </row>
    <row r="1343" spans="1:16">
      <c r="A1343" s="227"/>
      <c r="B1343" s="131" t="s">
        <v>1208</v>
      </c>
      <c r="C1343" s="227">
        <v>95204</v>
      </c>
      <c r="D1343" s="392"/>
      <c r="H1343" s="226"/>
      <c r="J1343" s="390"/>
      <c r="K1343" s="226"/>
      <c r="P1343" s="226"/>
    </row>
    <row r="1344" spans="1:16">
      <c r="A1344" s="227"/>
      <c r="B1344" s="131" t="s">
        <v>2545</v>
      </c>
      <c r="C1344" s="51">
        <v>99921</v>
      </c>
      <c r="D1344" s="392"/>
      <c r="H1344" s="226"/>
      <c r="J1344" s="389"/>
      <c r="K1344" s="226"/>
      <c r="P1344" s="226"/>
    </row>
    <row r="1345" spans="1:16">
      <c r="A1345" s="227"/>
      <c r="B1345" s="131" t="s">
        <v>1141</v>
      </c>
      <c r="C1345" s="227">
        <v>94408</v>
      </c>
      <c r="D1345" s="392"/>
      <c r="H1345" s="226"/>
      <c r="J1345" s="389"/>
      <c r="K1345" s="226"/>
      <c r="P1345" s="226"/>
    </row>
    <row r="1346" spans="1:16">
      <c r="A1346" s="227"/>
      <c r="B1346" s="131" t="s">
        <v>1978</v>
      </c>
      <c r="C1346" s="227">
        <v>91331</v>
      </c>
      <c r="D1346" s="392"/>
      <c r="H1346" s="226"/>
      <c r="J1346" s="390"/>
      <c r="K1346" s="226"/>
      <c r="P1346" s="226"/>
    </row>
    <row r="1347" spans="1:16">
      <c r="A1347" s="227"/>
      <c r="B1347" s="131" t="s">
        <v>2546</v>
      </c>
      <c r="C1347" s="227">
        <v>93121</v>
      </c>
      <c r="D1347" s="392"/>
      <c r="H1347" s="226"/>
      <c r="J1347" s="389"/>
      <c r="K1347" s="226"/>
      <c r="P1347" s="226"/>
    </row>
    <row r="1348" spans="1:16">
      <c r="A1348" s="227"/>
      <c r="B1348" s="131" t="s">
        <v>1011</v>
      </c>
      <c r="C1348" s="227">
        <v>93127</v>
      </c>
      <c r="D1348" s="392"/>
      <c r="H1348" s="226"/>
      <c r="J1348" s="389"/>
      <c r="K1348" s="226"/>
      <c r="P1348" s="226"/>
    </row>
    <row r="1349" spans="1:16">
      <c r="A1349" s="227"/>
      <c r="B1349" s="131" t="s">
        <v>2547</v>
      </c>
      <c r="C1349" s="227">
        <v>95171</v>
      </c>
      <c r="D1349" s="392"/>
      <c r="H1349" s="226"/>
      <c r="J1349" s="389"/>
      <c r="K1349" s="226"/>
      <c r="P1349" s="226"/>
    </row>
    <row r="1350" spans="1:16">
      <c r="A1350" s="227"/>
      <c r="B1350" s="131" t="s">
        <v>2548</v>
      </c>
      <c r="C1350" s="227">
        <v>93421</v>
      </c>
      <c r="D1350" s="392"/>
      <c r="H1350" s="226"/>
      <c r="J1350" s="389"/>
      <c r="K1350" s="226"/>
      <c r="P1350" s="226"/>
    </row>
    <row r="1351" spans="1:16">
      <c r="A1351" s="227"/>
      <c r="B1351" s="131" t="s">
        <v>1539</v>
      </c>
      <c r="C1351" s="227">
        <v>99110</v>
      </c>
      <c r="D1351" s="392"/>
      <c r="H1351" s="226"/>
      <c r="J1351" s="389"/>
      <c r="K1351" s="226"/>
      <c r="P1351" s="226"/>
    </row>
    <row r="1352" spans="1:16">
      <c r="A1352" s="227"/>
      <c r="B1352" s="131" t="s">
        <v>2807</v>
      </c>
      <c r="C1352" s="227">
        <v>99109</v>
      </c>
      <c r="D1352" s="392"/>
      <c r="H1352" s="226"/>
      <c r="J1352" s="389"/>
      <c r="K1352" s="226"/>
      <c r="P1352" s="226"/>
    </row>
    <row r="1353" spans="1:16">
      <c r="A1353" s="227"/>
      <c r="B1353" s="131" t="s">
        <v>2549</v>
      </c>
      <c r="C1353" s="227">
        <v>92821</v>
      </c>
      <c r="D1353" s="392"/>
      <c r="H1353" s="226"/>
      <c r="J1353" s="389"/>
      <c r="K1353" s="226"/>
      <c r="P1353" s="226"/>
    </row>
    <row r="1354" spans="1:16">
      <c r="A1354" s="227"/>
      <c r="B1354" s="131" t="s">
        <v>2550</v>
      </c>
      <c r="C1354" s="227">
        <v>98521</v>
      </c>
      <c r="D1354" s="392"/>
      <c r="H1354" s="226"/>
      <c r="J1354" s="389"/>
      <c r="K1354" s="226"/>
      <c r="P1354" s="226"/>
    </row>
    <row r="1355" spans="1:16">
      <c r="A1355" s="227"/>
      <c r="B1355" s="131" t="s">
        <v>1979</v>
      </c>
      <c r="C1355" s="227">
        <v>92321</v>
      </c>
      <c r="D1355" s="392"/>
      <c r="H1355" s="226"/>
      <c r="J1355" s="390"/>
      <c r="K1355" s="226"/>
      <c r="P1355" s="226"/>
    </row>
    <row r="1356" spans="1:16">
      <c r="A1356" s="227"/>
      <c r="B1356" s="131" t="s">
        <v>938</v>
      </c>
      <c r="C1356" s="227">
        <v>92327</v>
      </c>
      <c r="D1356" s="395"/>
      <c r="H1356" s="226"/>
      <c r="J1356" s="389"/>
      <c r="K1356" s="226"/>
      <c r="P1356" s="226"/>
    </row>
    <row r="1357" spans="1:16">
      <c r="A1357" s="227"/>
      <c r="B1357" s="131" t="s">
        <v>1980</v>
      </c>
      <c r="C1357" s="227">
        <v>95411</v>
      </c>
      <c r="D1357" s="392"/>
      <c r="H1357" s="226"/>
      <c r="J1357" s="389"/>
      <c r="K1357" s="226"/>
      <c r="P1357" s="226"/>
    </row>
    <row r="1358" spans="1:16">
      <c r="A1358" s="227"/>
      <c r="B1358" s="131" t="s">
        <v>2811</v>
      </c>
      <c r="C1358" s="227">
        <v>95413</v>
      </c>
      <c r="D1358" s="392"/>
      <c r="H1358" s="226"/>
      <c r="J1358" s="390"/>
      <c r="K1358" s="226"/>
      <c r="P1358" s="226"/>
    </row>
    <row r="1359" spans="1:16">
      <c r="A1359" s="227"/>
      <c r="B1359" s="131" t="s">
        <v>2806</v>
      </c>
      <c r="C1359" s="227">
        <v>95415</v>
      </c>
      <c r="D1359" s="392"/>
      <c r="H1359" s="226"/>
      <c r="J1359" s="389"/>
      <c r="K1359" s="226"/>
      <c r="P1359" s="226"/>
    </row>
    <row r="1360" spans="1:16">
      <c r="A1360" s="227"/>
      <c r="B1360" s="131" t="s">
        <v>2551</v>
      </c>
      <c r="C1360" s="227">
        <v>92851</v>
      </c>
      <c r="D1360" s="392"/>
      <c r="H1360" s="226"/>
      <c r="J1360" s="389"/>
      <c r="K1360" s="226"/>
      <c r="P1360" s="226"/>
    </row>
    <row r="1361" spans="1:16">
      <c r="A1361" s="227"/>
      <c r="B1361" s="131" t="s">
        <v>2552</v>
      </c>
      <c r="C1361" s="227">
        <v>99291</v>
      </c>
      <c r="D1361" s="392"/>
      <c r="H1361" s="226"/>
      <c r="J1361" s="389"/>
      <c r="K1361" s="226"/>
      <c r="P1361" s="226"/>
    </row>
    <row r="1362" spans="1:16">
      <c r="A1362" s="227"/>
      <c r="B1362" s="131" t="s">
        <v>2553</v>
      </c>
      <c r="C1362" s="227">
        <v>96541</v>
      </c>
      <c r="D1362" s="392"/>
      <c r="H1362" s="226"/>
      <c r="J1362" s="389"/>
      <c r="K1362" s="226"/>
      <c r="P1362" s="226"/>
    </row>
    <row r="1363" spans="1:16">
      <c r="A1363" s="227"/>
      <c r="B1363" s="131" t="s">
        <v>2554</v>
      </c>
      <c r="C1363" s="227">
        <v>95431</v>
      </c>
      <c r="D1363" s="392"/>
      <c r="H1363" s="226"/>
      <c r="J1363" s="389"/>
      <c r="K1363" s="226"/>
      <c r="P1363" s="226"/>
    </row>
    <row r="1364" spans="1:16">
      <c r="A1364" s="227"/>
      <c r="B1364" s="131" t="s">
        <v>2555</v>
      </c>
      <c r="C1364" s="227">
        <v>98131</v>
      </c>
      <c r="D1364" s="392"/>
      <c r="H1364" s="226"/>
      <c r="J1364" s="389"/>
      <c r="K1364" s="226"/>
      <c r="P1364" s="226"/>
    </row>
    <row r="1365" spans="1:16">
      <c r="A1365" s="227"/>
      <c r="B1365" s="131" t="s">
        <v>2556</v>
      </c>
      <c r="C1365" s="227">
        <v>92461</v>
      </c>
      <c r="D1365" s="392"/>
      <c r="H1365" s="226"/>
      <c r="J1365" s="389"/>
      <c r="K1365" s="226"/>
      <c r="P1365" s="226"/>
    </row>
    <row r="1366" spans="1:16">
      <c r="A1366" s="227"/>
      <c r="B1366" s="131" t="s">
        <v>947</v>
      </c>
      <c r="C1366" s="227">
        <v>92427</v>
      </c>
      <c r="D1366" s="392"/>
      <c r="H1366" s="226"/>
      <c r="J1366" s="389"/>
      <c r="K1366" s="226"/>
      <c r="P1366" s="226"/>
    </row>
    <row r="1367" spans="1:16">
      <c r="A1367" s="227"/>
      <c r="B1367" s="131" t="s">
        <v>2557</v>
      </c>
      <c r="C1367" s="227">
        <v>98051</v>
      </c>
      <c r="D1367" s="392"/>
      <c r="H1367" s="226"/>
      <c r="J1367" s="390"/>
      <c r="K1367" s="226"/>
      <c r="P1367" s="226"/>
    </row>
    <row r="1368" spans="1:16">
      <c r="A1368" s="227"/>
      <c r="B1368" s="131" t="s">
        <v>830</v>
      </c>
      <c r="C1368" s="227">
        <v>91102</v>
      </c>
      <c r="D1368" s="392"/>
      <c r="H1368" s="226"/>
      <c r="J1368" s="389"/>
      <c r="K1368" s="226"/>
      <c r="P1368" s="226"/>
    </row>
    <row r="1369" spans="1:16">
      <c r="A1369" s="227"/>
      <c r="B1369" s="131" t="s">
        <v>2558</v>
      </c>
      <c r="C1369" s="227">
        <v>94521</v>
      </c>
      <c r="D1369" s="392"/>
      <c r="H1369" s="226"/>
      <c r="J1369" s="389"/>
      <c r="K1369" s="226"/>
      <c r="P1369" s="226"/>
    </row>
    <row r="1370" spans="1:16">
      <c r="A1370" s="227"/>
      <c r="B1370" s="131" t="s">
        <v>1154</v>
      </c>
      <c r="C1370" s="227">
        <v>94527</v>
      </c>
      <c r="D1370" s="392"/>
      <c r="H1370" s="226"/>
      <c r="J1370" s="390"/>
      <c r="K1370" s="226"/>
      <c r="P1370" s="226"/>
    </row>
    <row r="1371" spans="1:16">
      <c r="A1371" s="227"/>
      <c r="B1371" s="131" t="s">
        <v>1981</v>
      </c>
      <c r="C1371" s="227">
        <v>98311</v>
      </c>
      <c r="D1371" s="392"/>
      <c r="H1371" s="226"/>
      <c r="J1371" s="389"/>
      <c r="K1371" s="226"/>
      <c r="P1371" s="226"/>
    </row>
    <row r="1372" spans="1:16">
      <c r="A1372" s="227"/>
      <c r="B1372" s="131" t="s">
        <v>1485</v>
      </c>
      <c r="C1372" s="227">
        <v>98313</v>
      </c>
      <c r="D1372" s="392"/>
      <c r="H1372" s="226"/>
      <c r="J1372" s="389"/>
      <c r="K1372" s="226"/>
      <c r="P1372" s="226"/>
    </row>
    <row r="1373" spans="1:16">
      <c r="A1373" s="227"/>
      <c r="B1373" s="131" t="s">
        <v>1483</v>
      </c>
      <c r="C1373" s="227">
        <v>98308</v>
      </c>
      <c r="D1373" s="392"/>
      <c r="H1373" s="226"/>
      <c r="J1373" s="389"/>
      <c r="K1373" s="226"/>
      <c r="P1373" s="226"/>
    </row>
    <row r="1374" spans="1:16">
      <c r="A1374" s="227"/>
      <c r="B1374" s="131" t="s">
        <v>2559</v>
      </c>
      <c r="C1374" s="227">
        <v>92341</v>
      </c>
      <c r="D1374" s="392"/>
      <c r="H1374" s="226"/>
      <c r="J1374" s="389"/>
      <c r="K1374" s="226"/>
      <c r="P1374" s="226"/>
    </row>
    <row r="1375" spans="1:16">
      <c r="A1375" s="227"/>
      <c r="B1375" s="131" t="s">
        <v>1212</v>
      </c>
      <c r="C1375" s="227">
        <v>95301</v>
      </c>
      <c r="D1375" s="392"/>
      <c r="H1375" s="226"/>
      <c r="J1375" s="389"/>
      <c r="K1375" s="226"/>
      <c r="P1375" s="226"/>
    </row>
    <row r="1376" spans="1:16">
      <c r="A1376" s="227"/>
      <c r="B1376" s="131" t="s">
        <v>2560</v>
      </c>
      <c r="C1376" s="227">
        <v>91002</v>
      </c>
      <c r="D1376" s="392"/>
      <c r="H1376" s="226"/>
      <c r="J1376" s="389"/>
      <c r="K1376" s="226"/>
      <c r="P1376" s="226"/>
    </row>
    <row r="1377" spans="1:16">
      <c r="A1377" s="227"/>
      <c r="B1377" s="131" t="s">
        <v>1982</v>
      </c>
      <c r="C1377" s="227">
        <v>91451</v>
      </c>
      <c r="D1377" s="392"/>
      <c r="H1377" s="226"/>
      <c r="J1377" s="389"/>
      <c r="K1377" s="226"/>
      <c r="P1377" s="226"/>
    </row>
    <row r="1378" spans="1:16">
      <c r="A1378" s="227"/>
      <c r="B1378" s="131" t="s">
        <v>2805</v>
      </c>
      <c r="C1378" s="227">
        <v>91457</v>
      </c>
      <c r="D1378" s="392"/>
      <c r="H1378" s="226"/>
      <c r="J1378" s="389"/>
      <c r="K1378" s="226"/>
      <c r="P1378" s="226"/>
    </row>
    <row r="1379" spans="1:16">
      <c r="A1379" s="227"/>
      <c r="B1379" s="131" t="s">
        <v>1216</v>
      </c>
      <c r="C1379" s="227">
        <v>95401</v>
      </c>
      <c r="D1379" s="392"/>
      <c r="H1379" s="226"/>
      <c r="J1379" s="390"/>
      <c r="K1379" s="226"/>
      <c r="P1379" s="226"/>
    </row>
    <row r="1380" spans="1:16">
      <c r="A1380" s="227"/>
      <c r="B1380" s="131" t="s">
        <v>1217</v>
      </c>
      <c r="C1380" s="227">
        <v>95404</v>
      </c>
      <c r="D1380" s="392"/>
      <c r="H1380" s="226"/>
      <c r="J1380" s="389"/>
      <c r="K1380" s="226"/>
      <c r="P1380" s="226"/>
    </row>
    <row r="1381" spans="1:16">
      <c r="A1381" s="227"/>
      <c r="B1381" s="131" t="s">
        <v>876</v>
      </c>
      <c r="C1381" s="227">
        <v>91423</v>
      </c>
      <c r="D1381" s="392"/>
      <c r="H1381" s="226"/>
      <c r="J1381" s="389"/>
      <c r="K1381" s="226"/>
      <c r="P1381" s="226"/>
    </row>
    <row r="1382" spans="1:16">
      <c r="A1382" s="227"/>
      <c r="B1382" s="131" t="s">
        <v>2561</v>
      </c>
      <c r="C1382" s="227">
        <v>90861</v>
      </c>
      <c r="D1382" s="392"/>
      <c r="H1382" s="226"/>
      <c r="J1382" s="390"/>
      <c r="K1382" s="226"/>
      <c r="P1382" s="226"/>
    </row>
    <row r="1383" spans="1:16">
      <c r="A1383" s="227"/>
      <c r="B1383" s="131" t="s">
        <v>2562</v>
      </c>
      <c r="C1383" s="227">
        <v>93451</v>
      </c>
      <c r="D1383" s="392"/>
      <c r="H1383" s="226"/>
      <c r="J1383" s="389"/>
      <c r="K1383" s="226"/>
      <c r="P1383" s="226"/>
    </row>
    <row r="1384" spans="1:16">
      <c r="A1384" s="227"/>
      <c r="B1384" s="131" t="s">
        <v>1983</v>
      </c>
      <c r="C1384" s="227">
        <v>92931</v>
      </c>
      <c r="D1384" s="392"/>
      <c r="H1384" s="226"/>
      <c r="J1384" s="389"/>
      <c r="K1384" s="226"/>
      <c r="P1384" s="226"/>
    </row>
    <row r="1385" spans="1:16">
      <c r="A1385" s="227"/>
      <c r="B1385" s="131" t="s">
        <v>998</v>
      </c>
      <c r="C1385" s="227">
        <v>92917</v>
      </c>
      <c r="D1385" s="392"/>
      <c r="H1385" s="226"/>
      <c r="J1385" s="389"/>
      <c r="K1385" s="226"/>
      <c r="P1385" s="226"/>
    </row>
    <row r="1386" spans="1:16">
      <c r="A1386" s="227"/>
      <c r="B1386" s="131" t="s">
        <v>2563</v>
      </c>
      <c r="C1386" s="227">
        <v>97631</v>
      </c>
      <c r="D1386" s="392"/>
      <c r="H1386" s="226"/>
      <c r="J1386" s="389"/>
      <c r="K1386" s="226"/>
      <c r="P1386" s="226"/>
    </row>
    <row r="1387" spans="1:16">
      <c r="A1387" s="227"/>
      <c r="B1387" s="131" t="s">
        <v>1400</v>
      </c>
      <c r="C1387" s="227">
        <v>97637</v>
      </c>
      <c r="D1387" s="392"/>
      <c r="H1387" s="226"/>
      <c r="J1387" s="389"/>
      <c r="K1387" s="226"/>
      <c r="P1387" s="226"/>
    </row>
    <row r="1388" spans="1:16">
      <c r="A1388" s="227"/>
      <c r="B1388" s="131" t="s">
        <v>2564</v>
      </c>
      <c r="C1388" s="227">
        <v>90421</v>
      </c>
      <c r="D1388" s="392"/>
      <c r="H1388" s="226"/>
      <c r="J1388" s="390"/>
      <c r="K1388" s="226"/>
      <c r="P1388" s="226"/>
    </row>
    <row r="1389" spans="1:16">
      <c r="A1389" s="227"/>
      <c r="B1389" s="131" t="s">
        <v>2565</v>
      </c>
      <c r="C1389" s="227">
        <v>94321</v>
      </c>
      <c r="D1389" s="392"/>
      <c r="H1389" s="226"/>
      <c r="J1389" s="389"/>
      <c r="K1389" s="226"/>
      <c r="P1389" s="226"/>
    </row>
    <row r="1390" spans="1:16">
      <c r="A1390" s="227"/>
      <c r="B1390" s="131" t="s">
        <v>1225</v>
      </c>
      <c r="C1390" s="227">
        <v>95501</v>
      </c>
      <c r="D1390" s="392"/>
      <c r="H1390" s="226"/>
      <c r="J1390" s="389"/>
      <c r="K1390" s="226"/>
      <c r="P1390" s="226"/>
    </row>
    <row r="1391" spans="1:16">
      <c r="A1391" s="227"/>
      <c r="B1391" s="131" t="s">
        <v>1226</v>
      </c>
      <c r="C1391" s="227">
        <v>95504</v>
      </c>
      <c r="D1391" s="392"/>
      <c r="H1391" s="226"/>
      <c r="J1391" s="389"/>
      <c r="K1391" s="226"/>
      <c r="P1391" s="226"/>
    </row>
    <row r="1392" spans="1:16">
      <c r="A1392" s="227"/>
      <c r="B1392" s="131" t="s">
        <v>1984</v>
      </c>
      <c r="C1392" s="227">
        <v>95511</v>
      </c>
      <c r="D1392" s="392"/>
      <c r="H1392" s="226"/>
      <c r="J1392" s="389"/>
      <c r="K1392" s="226"/>
      <c r="P1392" s="226"/>
    </row>
    <row r="1393" spans="1:16">
      <c r="A1393" s="227"/>
      <c r="B1393" s="131" t="s">
        <v>2566</v>
      </c>
      <c r="C1393" s="227">
        <v>95517</v>
      </c>
      <c r="D1393" s="392"/>
      <c r="H1393" s="226"/>
      <c r="J1393" s="389"/>
      <c r="K1393" s="226"/>
      <c r="P1393" s="226"/>
    </row>
    <row r="1394" spans="1:16">
      <c r="A1394" s="227"/>
      <c r="B1394" s="131" t="s">
        <v>1228</v>
      </c>
      <c r="C1394" s="227">
        <v>95513</v>
      </c>
      <c r="D1394" s="392"/>
      <c r="H1394" s="226"/>
      <c r="J1394" s="389"/>
      <c r="K1394" s="226"/>
      <c r="P1394" s="226"/>
    </row>
    <row r="1395" spans="1:16">
      <c r="A1395" s="227"/>
      <c r="B1395" s="131" t="s">
        <v>2567</v>
      </c>
      <c r="C1395" s="227">
        <v>92651</v>
      </c>
      <c r="D1395" s="392"/>
      <c r="H1395" s="226"/>
      <c r="J1395" s="389"/>
      <c r="K1395" s="226"/>
      <c r="P1395" s="226"/>
    </row>
    <row r="1396" spans="1:16">
      <c r="A1396" s="227"/>
      <c r="B1396" s="131" t="s">
        <v>2568</v>
      </c>
      <c r="C1396" s="227">
        <v>94261</v>
      </c>
      <c r="D1396" s="392"/>
      <c r="H1396" s="226"/>
      <c r="J1396" s="389"/>
      <c r="K1396" s="226"/>
      <c r="P1396" s="226"/>
    </row>
    <row r="1397" spans="1:16">
      <c r="A1397" s="227"/>
      <c r="B1397" s="131" t="s">
        <v>1985</v>
      </c>
      <c r="C1397" s="227">
        <v>98431</v>
      </c>
      <c r="D1397" s="392"/>
      <c r="H1397" s="226"/>
      <c r="J1397" s="390"/>
      <c r="K1397" s="226"/>
      <c r="P1397" s="226"/>
    </row>
    <row r="1398" spans="1:16">
      <c r="A1398" s="227"/>
      <c r="B1398" s="131" t="s">
        <v>1489</v>
      </c>
      <c r="C1398" s="227">
        <v>98404</v>
      </c>
      <c r="D1398" s="392"/>
      <c r="H1398" s="226"/>
      <c r="J1398" s="389"/>
      <c r="K1398" s="226"/>
      <c r="P1398" s="226"/>
    </row>
    <row r="1399" spans="1:16">
      <c r="A1399" s="227"/>
      <c r="B1399" s="131" t="s">
        <v>2569</v>
      </c>
      <c r="C1399" s="227">
        <v>91841</v>
      </c>
      <c r="D1399" s="392"/>
      <c r="H1399" s="226"/>
      <c r="J1399" s="389"/>
      <c r="K1399" s="226"/>
      <c r="P1399" s="226"/>
    </row>
    <row r="1400" spans="1:16">
      <c r="A1400" s="227"/>
      <c r="B1400" s="131" t="s">
        <v>2570</v>
      </c>
      <c r="C1400" s="227">
        <v>93521</v>
      </c>
      <c r="D1400" s="392"/>
      <c r="H1400" s="226"/>
      <c r="J1400" s="390"/>
      <c r="K1400" s="226"/>
      <c r="P1400" s="226"/>
    </row>
    <row r="1401" spans="1:16">
      <c r="A1401" s="227"/>
      <c r="B1401" s="131" t="s">
        <v>1058</v>
      </c>
      <c r="C1401" s="227">
        <v>93527</v>
      </c>
      <c r="D1401" s="392"/>
      <c r="H1401" s="226"/>
      <c r="J1401" s="389"/>
      <c r="K1401" s="226"/>
      <c r="P1401" s="226"/>
    </row>
    <row r="1402" spans="1:16">
      <c r="A1402" s="227"/>
      <c r="B1402" s="131" t="s">
        <v>1986</v>
      </c>
      <c r="C1402" s="227">
        <v>93661</v>
      </c>
      <c r="D1402" s="392"/>
      <c r="H1402" s="226"/>
      <c r="J1402" s="389"/>
      <c r="K1402" s="226"/>
      <c r="P1402" s="226"/>
    </row>
    <row r="1403" spans="1:16">
      <c r="A1403" s="227"/>
      <c r="B1403" s="131" t="s">
        <v>2766</v>
      </c>
      <c r="C1403" s="227">
        <v>96508</v>
      </c>
      <c r="D1403" s="392"/>
      <c r="H1403" s="226"/>
      <c r="J1403" s="389"/>
      <c r="K1403" s="226"/>
      <c r="P1403" s="226"/>
    </row>
    <row r="1404" spans="1:16">
      <c r="A1404" s="227"/>
      <c r="B1404" s="131" t="s">
        <v>2571</v>
      </c>
      <c r="C1404" s="51">
        <v>99841</v>
      </c>
      <c r="D1404" s="392"/>
      <c r="H1404" s="226"/>
      <c r="J1404" s="389"/>
      <c r="K1404" s="226"/>
      <c r="P1404" s="226"/>
    </row>
    <row r="1405" spans="1:16">
      <c r="A1405" s="227"/>
      <c r="B1405" s="131" t="s">
        <v>1413</v>
      </c>
      <c r="C1405" s="227">
        <v>97802</v>
      </c>
      <c r="D1405" s="392"/>
      <c r="H1405" s="226"/>
      <c r="J1405" s="389"/>
      <c r="K1405" s="226"/>
      <c r="P1405" s="226"/>
    </row>
    <row r="1406" spans="1:16">
      <c r="A1406" s="227"/>
      <c r="B1406" s="131" t="s">
        <v>1987</v>
      </c>
      <c r="C1406" s="227">
        <v>97811</v>
      </c>
      <c r="D1406" s="392"/>
      <c r="H1406" s="226"/>
      <c r="J1406" s="389"/>
      <c r="K1406" s="226"/>
      <c r="P1406" s="226"/>
    </row>
    <row r="1407" spans="1:16">
      <c r="A1407" s="227"/>
      <c r="B1407" s="131" t="s">
        <v>1417</v>
      </c>
      <c r="C1407" s="227">
        <v>97817</v>
      </c>
      <c r="D1407" s="392"/>
      <c r="H1407" s="226"/>
      <c r="J1407" s="389"/>
      <c r="K1407" s="226"/>
      <c r="P1407" s="226"/>
    </row>
    <row r="1408" spans="1:16">
      <c r="A1408" s="227"/>
      <c r="B1408" s="131" t="s">
        <v>2804</v>
      </c>
      <c r="C1408" s="227">
        <v>97818</v>
      </c>
      <c r="D1408" s="392"/>
      <c r="H1408" s="226"/>
      <c r="J1408" s="389"/>
      <c r="K1408" s="226"/>
      <c r="P1408" s="226"/>
    </row>
    <row r="1409" spans="1:16">
      <c r="A1409" s="227"/>
      <c r="B1409" s="131" t="s">
        <v>2572</v>
      </c>
      <c r="C1409" s="227">
        <v>93341</v>
      </c>
      <c r="D1409" s="392"/>
      <c r="H1409" s="226"/>
      <c r="J1409" s="390"/>
      <c r="K1409" s="226"/>
      <c r="P1409" s="226"/>
    </row>
    <row r="1410" spans="1:16">
      <c r="A1410" s="227"/>
      <c r="B1410" s="131" t="s">
        <v>1230</v>
      </c>
      <c r="C1410" s="227">
        <v>95601</v>
      </c>
      <c r="D1410" s="392"/>
      <c r="H1410" s="226"/>
      <c r="J1410" s="389"/>
      <c r="K1410" s="226"/>
      <c r="P1410" s="226"/>
    </row>
    <row r="1411" spans="1:16">
      <c r="A1411" s="227"/>
      <c r="B1411" s="131" t="s">
        <v>2573</v>
      </c>
      <c r="C1411" s="227">
        <v>97941</v>
      </c>
      <c r="D1411" s="392"/>
      <c r="H1411" s="226"/>
      <c r="J1411" s="389"/>
      <c r="K1411" s="226"/>
      <c r="P1411" s="226"/>
    </row>
    <row r="1412" spans="1:16">
      <c r="A1412" s="227"/>
      <c r="B1412" s="131" t="s">
        <v>1438</v>
      </c>
      <c r="C1412" s="227">
        <v>97947</v>
      </c>
      <c r="D1412" s="392"/>
      <c r="H1412" s="226"/>
      <c r="J1412" s="390"/>
      <c r="K1412" s="226"/>
      <c r="P1412" s="226"/>
    </row>
    <row r="1413" spans="1:16">
      <c r="A1413" s="227"/>
      <c r="B1413" s="131" t="s">
        <v>1234</v>
      </c>
      <c r="C1413" s="227">
        <v>95701</v>
      </c>
      <c r="D1413" s="392"/>
      <c r="H1413" s="226"/>
      <c r="J1413" s="389"/>
      <c r="K1413" s="226"/>
      <c r="P1413" s="226"/>
    </row>
    <row r="1414" spans="1:16">
      <c r="A1414" s="227"/>
      <c r="B1414" s="131" t="s">
        <v>1439</v>
      </c>
      <c r="C1414" s="227">
        <v>97948</v>
      </c>
      <c r="D1414" s="392"/>
      <c r="H1414" s="226"/>
      <c r="J1414" s="389"/>
      <c r="K1414" s="226"/>
      <c r="P1414" s="226"/>
    </row>
    <row r="1415" spans="1:16">
      <c r="A1415" s="227"/>
      <c r="B1415" s="131" t="s">
        <v>2574</v>
      </c>
      <c r="C1415" s="227">
        <v>94421</v>
      </c>
      <c r="D1415" s="392"/>
      <c r="H1415" s="226"/>
      <c r="J1415" s="389"/>
      <c r="K1415" s="226"/>
      <c r="P1415" s="226"/>
    </row>
    <row r="1416" spans="1:16">
      <c r="A1416" s="227"/>
      <c r="B1416" s="131" t="s">
        <v>1145</v>
      </c>
      <c r="C1416" s="227">
        <v>94427</v>
      </c>
      <c r="D1416" s="392"/>
      <c r="H1416" s="226"/>
      <c r="J1416" s="389"/>
      <c r="K1416" s="226"/>
      <c r="P1416" s="226"/>
    </row>
    <row r="1417" spans="1:16">
      <c r="A1417" s="227"/>
      <c r="B1417" s="131" t="s">
        <v>2803</v>
      </c>
      <c r="C1417" s="227">
        <v>94428</v>
      </c>
      <c r="D1417" s="392"/>
      <c r="H1417" s="226"/>
      <c r="J1417" s="389"/>
      <c r="K1417" s="226"/>
      <c r="P1417" s="226"/>
    </row>
    <row r="1418" spans="1:16">
      <c r="A1418" s="227"/>
      <c r="B1418" s="131" t="s">
        <v>2575</v>
      </c>
      <c r="C1418" s="227">
        <v>93191</v>
      </c>
      <c r="D1418" s="392"/>
      <c r="H1418" s="226"/>
      <c r="J1418" s="389"/>
      <c r="K1418" s="226"/>
      <c r="P1418" s="226"/>
    </row>
    <row r="1419" spans="1:16">
      <c r="A1419" s="227"/>
      <c r="B1419" s="131" t="s">
        <v>2576</v>
      </c>
      <c r="C1419" s="227">
        <v>91831</v>
      </c>
      <c r="D1419" s="392"/>
      <c r="H1419" s="226"/>
      <c r="J1419" s="389"/>
      <c r="K1419" s="226"/>
      <c r="P1419" s="226"/>
    </row>
    <row r="1420" spans="1:16">
      <c r="A1420" s="227"/>
      <c r="B1420" s="131" t="s">
        <v>2577</v>
      </c>
      <c r="C1420" s="227">
        <v>92831</v>
      </c>
      <c r="D1420" s="392"/>
      <c r="H1420" s="226"/>
      <c r="J1420" s="389"/>
      <c r="K1420" s="226"/>
      <c r="P1420" s="226"/>
    </row>
    <row r="1421" spans="1:16">
      <c r="A1421" s="227"/>
      <c r="B1421" s="131" t="s">
        <v>2578</v>
      </c>
      <c r="C1421" s="227">
        <v>95911</v>
      </c>
      <c r="D1421" s="392"/>
      <c r="H1421" s="226"/>
      <c r="J1421" s="390"/>
      <c r="K1421" s="226"/>
      <c r="P1421" s="226"/>
    </row>
    <row r="1422" spans="1:16">
      <c r="A1422" s="227"/>
      <c r="B1422" s="131" t="s">
        <v>1251</v>
      </c>
      <c r="C1422" s="227">
        <v>95917</v>
      </c>
      <c r="D1422" s="392"/>
      <c r="H1422" s="226"/>
      <c r="J1422" s="389"/>
      <c r="K1422" s="226"/>
      <c r="P1422" s="226"/>
    </row>
    <row r="1423" spans="1:16">
      <c r="A1423" s="227"/>
      <c r="B1423" s="131" t="s">
        <v>2579</v>
      </c>
      <c r="C1423" s="227">
        <v>95711</v>
      </c>
      <c r="D1423" s="392"/>
      <c r="H1423" s="226"/>
      <c r="J1423" s="389"/>
      <c r="K1423" s="226"/>
      <c r="P1423" s="226"/>
    </row>
    <row r="1424" spans="1:16">
      <c r="A1424" s="227"/>
      <c r="B1424" s="131" t="s">
        <v>2580</v>
      </c>
      <c r="C1424" s="227">
        <v>95721</v>
      </c>
      <c r="D1424" s="392"/>
      <c r="H1424" s="226"/>
      <c r="J1424" s="390"/>
      <c r="K1424" s="226"/>
      <c r="P1424" s="226"/>
    </row>
    <row r="1425" spans="1:16">
      <c r="A1425" s="227"/>
      <c r="B1425" s="131" t="s">
        <v>2581</v>
      </c>
      <c r="C1425" s="227">
        <v>99021</v>
      </c>
      <c r="D1425" s="392"/>
      <c r="H1425" s="226"/>
      <c r="J1425" s="389"/>
      <c r="K1425" s="226"/>
      <c r="P1425" s="226"/>
    </row>
    <row r="1426" spans="1:16">
      <c r="A1426" s="227"/>
      <c r="B1426" s="131" t="s">
        <v>2764</v>
      </c>
      <c r="C1426" s="227">
        <v>95802</v>
      </c>
      <c r="D1426" s="392"/>
      <c r="H1426" s="226"/>
      <c r="J1426" s="389"/>
      <c r="K1426" s="226"/>
      <c r="P1426" s="226"/>
    </row>
    <row r="1427" spans="1:16">
      <c r="A1427" s="227"/>
      <c r="B1427" s="131" t="s">
        <v>1238</v>
      </c>
      <c r="C1427" s="227">
        <v>95801</v>
      </c>
      <c r="D1427" s="392"/>
      <c r="H1427" s="226"/>
      <c r="J1427" s="389"/>
      <c r="K1427" s="226"/>
      <c r="P1427" s="226"/>
    </row>
    <row r="1428" spans="1:16">
      <c r="A1428" s="227"/>
      <c r="B1428" s="131" t="s">
        <v>1240</v>
      </c>
      <c r="C1428" s="227">
        <v>95804</v>
      </c>
      <c r="D1428" s="392"/>
      <c r="H1428" s="226"/>
      <c r="J1428" s="389"/>
      <c r="K1428" s="226"/>
      <c r="P1428" s="226"/>
    </row>
    <row r="1429" spans="1:16">
      <c r="A1429" s="227"/>
      <c r="B1429" s="131" t="s">
        <v>2802</v>
      </c>
      <c r="C1429" s="227">
        <v>90092</v>
      </c>
      <c r="D1429" s="392"/>
      <c r="H1429" s="226"/>
      <c r="J1429" s="389"/>
      <c r="K1429" s="226"/>
      <c r="P1429" s="226"/>
    </row>
    <row r="1430" spans="1:16">
      <c r="A1430" s="227"/>
      <c r="B1430" s="131" t="s">
        <v>2582</v>
      </c>
      <c r="C1430" s="227">
        <v>99081</v>
      </c>
      <c r="D1430" s="392"/>
      <c r="H1430" s="226"/>
      <c r="J1430" s="389"/>
      <c r="K1430" s="226"/>
      <c r="P1430" s="226"/>
    </row>
    <row r="1431" spans="1:16">
      <c r="A1431" s="227"/>
      <c r="B1431" s="131" t="s">
        <v>2583</v>
      </c>
      <c r="C1431" s="227">
        <v>96071</v>
      </c>
      <c r="D1431" s="392"/>
      <c r="H1431" s="226"/>
      <c r="J1431" s="389"/>
      <c r="K1431" s="226"/>
      <c r="P1431" s="226"/>
    </row>
    <row r="1432" spans="1:16">
      <c r="A1432" s="227"/>
      <c r="B1432" s="131" t="s">
        <v>1096</v>
      </c>
      <c r="C1432" s="227">
        <v>94002</v>
      </c>
      <c r="D1432" s="392"/>
      <c r="H1432" s="226"/>
      <c r="J1432" s="389"/>
      <c r="K1432" s="226"/>
      <c r="P1432" s="226"/>
    </row>
    <row r="1433" spans="1:16">
      <c r="A1433" s="227"/>
      <c r="B1433" s="131" t="s">
        <v>2584</v>
      </c>
      <c r="C1433" s="227">
        <v>97840</v>
      </c>
      <c r="D1433" s="392"/>
      <c r="H1433" s="226"/>
      <c r="J1433" s="390"/>
      <c r="K1433" s="226"/>
      <c r="P1433" s="226"/>
    </row>
    <row r="1434" spans="1:16">
      <c r="A1434" s="227"/>
      <c r="B1434" s="131" t="s">
        <v>1425</v>
      </c>
      <c r="C1434" s="227">
        <v>97847</v>
      </c>
      <c r="D1434" s="392"/>
      <c r="H1434" s="226"/>
      <c r="J1434" s="389"/>
      <c r="K1434" s="226"/>
      <c r="P1434" s="226"/>
    </row>
    <row r="1435" spans="1:16">
      <c r="A1435" s="227"/>
      <c r="B1435" s="131" t="s">
        <v>2585</v>
      </c>
      <c r="C1435" s="227">
        <v>97921</v>
      </c>
      <c r="D1435" s="392"/>
      <c r="H1435" s="226"/>
      <c r="J1435" s="389"/>
      <c r="K1435" s="226"/>
      <c r="P1435" s="226"/>
    </row>
    <row r="1436" spans="1:16">
      <c r="A1436" s="227"/>
      <c r="B1436" s="131" t="s">
        <v>2586</v>
      </c>
      <c r="C1436" s="227">
        <v>95221</v>
      </c>
      <c r="D1436" s="392"/>
      <c r="H1436" s="226"/>
      <c r="J1436" s="390"/>
      <c r="K1436" s="226"/>
      <c r="P1436" s="226"/>
    </row>
    <row r="1437" spans="1:16">
      <c r="A1437" s="227"/>
      <c r="B1437" s="131" t="s">
        <v>2587</v>
      </c>
      <c r="C1437" s="227">
        <v>93610</v>
      </c>
      <c r="D1437" s="392"/>
      <c r="H1437" s="226"/>
      <c r="J1437" s="389"/>
      <c r="K1437" s="226"/>
      <c r="P1437" s="226"/>
    </row>
    <row r="1438" spans="1:16">
      <c r="A1438" s="227"/>
      <c r="B1438" s="131" t="s">
        <v>1248</v>
      </c>
      <c r="C1438" s="227">
        <v>95901</v>
      </c>
      <c r="D1438" s="392"/>
      <c r="H1438" s="226"/>
      <c r="J1438" s="389"/>
      <c r="K1438" s="226"/>
      <c r="P1438" s="226"/>
    </row>
    <row r="1439" spans="1:16">
      <c r="A1439" s="227"/>
      <c r="B1439" s="131" t="s">
        <v>1988</v>
      </c>
      <c r="C1439" s="227">
        <v>90114</v>
      </c>
      <c r="D1439" s="392"/>
      <c r="H1439" s="226"/>
      <c r="J1439" s="389"/>
      <c r="K1439" s="226"/>
      <c r="P1439" s="226"/>
    </row>
    <row r="1440" spans="1:16">
      <c r="A1440" s="227"/>
      <c r="B1440" s="131" t="s">
        <v>1253</v>
      </c>
      <c r="C1440" s="227">
        <v>96001</v>
      </c>
      <c r="D1440" s="392"/>
      <c r="H1440" s="226"/>
      <c r="J1440" s="389"/>
      <c r="K1440" s="226"/>
      <c r="P1440" s="226"/>
    </row>
    <row r="1441" spans="1:16">
      <c r="A1441" s="227"/>
      <c r="B1441" s="131" t="s">
        <v>1255</v>
      </c>
      <c r="C1441" s="227">
        <v>96004</v>
      </c>
      <c r="D1441" s="392"/>
      <c r="H1441" s="226"/>
      <c r="J1441" s="389"/>
      <c r="K1441" s="226"/>
      <c r="P1441" s="226"/>
    </row>
    <row r="1442" spans="1:16">
      <c r="A1442" s="227"/>
      <c r="B1442" s="131" t="s">
        <v>2801</v>
      </c>
      <c r="C1442" s="227">
        <v>96008</v>
      </c>
      <c r="D1442" s="392"/>
      <c r="H1442" s="226"/>
      <c r="J1442" s="389"/>
      <c r="K1442" s="226"/>
      <c r="P1442" s="226"/>
    </row>
    <row r="1443" spans="1:16">
      <c r="A1443" s="227"/>
      <c r="B1443" s="131" t="s">
        <v>833</v>
      </c>
      <c r="C1443" s="227">
        <v>91108</v>
      </c>
      <c r="D1443" s="392"/>
      <c r="H1443" s="226"/>
      <c r="J1443" s="389"/>
      <c r="K1443" s="226"/>
      <c r="P1443" s="226"/>
    </row>
    <row r="1444" spans="1:16">
      <c r="A1444" s="227"/>
      <c r="B1444" s="131" t="s">
        <v>1181</v>
      </c>
      <c r="C1444" s="227">
        <v>94941</v>
      </c>
      <c r="D1444" s="392"/>
      <c r="H1444" s="226"/>
      <c r="J1444" s="389"/>
      <c r="K1444" s="226"/>
      <c r="P1444" s="226"/>
    </row>
    <row r="1445" spans="1:16">
      <c r="A1445" s="227"/>
      <c r="B1445" s="131" t="s">
        <v>2588</v>
      </c>
      <c r="C1445" s="227">
        <v>95122</v>
      </c>
      <c r="D1445" s="392"/>
      <c r="H1445" s="226"/>
      <c r="J1445" s="390"/>
      <c r="K1445" s="226"/>
      <c r="P1445" s="226"/>
    </row>
    <row r="1446" spans="1:16">
      <c r="A1446" s="227"/>
      <c r="B1446" s="131" t="s">
        <v>971</v>
      </c>
      <c r="C1446" s="227">
        <v>92607</v>
      </c>
      <c r="D1446" s="392"/>
      <c r="H1446" s="226"/>
      <c r="J1446" s="389"/>
      <c r="K1446" s="226"/>
      <c r="P1446" s="226"/>
    </row>
    <row r="1447" spans="1:16">
      <c r="A1447" s="227"/>
      <c r="B1447" s="131" t="s">
        <v>2589</v>
      </c>
      <c r="C1447" s="227">
        <v>96431</v>
      </c>
      <c r="D1447" s="392"/>
      <c r="H1447" s="226"/>
      <c r="J1447" s="389"/>
      <c r="K1447" s="226"/>
      <c r="P1447" s="226"/>
    </row>
    <row r="1448" spans="1:16">
      <c r="A1448" s="227"/>
      <c r="B1448" s="131" t="s">
        <v>778</v>
      </c>
      <c r="C1448" s="227">
        <v>90709</v>
      </c>
      <c r="D1448" s="392"/>
      <c r="H1448" s="226"/>
      <c r="J1448" s="390"/>
      <c r="K1448" s="226"/>
      <c r="P1448" s="226"/>
    </row>
    <row r="1449" spans="1:16">
      <c r="A1449" s="227"/>
      <c r="B1449" s="131" t="s">
        <v>2590</v>
      </c>
      <c r="C1449" s="227">
        <v>91341</v>
      </c>
      <c r="D1449" s="392"/>
      <c r="H1449" s="226"/>
      <c r="J1449" s="389"/>
      <c r="K1449" s="226"/>
      <c r="P1449" s="226"/>
    </row>
    <row r="1450" spans="1:16">
      <c r="A1450" s="227"/>
      <c r="B1450" s="131" t="s">
        <v>2591</v>
      </c>
      <c r="C1450" s="227">
        <v>92941</v>
      </c>
      <c r="D1450" s="392"/>
      <c r="H1450" s="226"/>
      <c r="J1450" s="389"/>
      <c r="K1450" s="226"/>
      <c r="P1450" s="226"/>
    </row>
    <row r="1451" spans="1:16">
      <c r="A1451" s="227"/>
      <c r="B1451" s="131" t="s">
        <v>2592</v>
      </c>
      <c r="C1451" s="227">
        <v>94551</v>
      </c>
      <c r="D1451" s="392"/>
      <c r="H1451" s="226"/>
      <c r="J1451" s="389"/>
      <c r="K1451" s="226"/>
      <c r="P1451" s="226"/>
    </row>
    <row r="1452" spans="1:16">
      <c r="A1452" s="227"/>
      <c r="B1452" s="131" t="s">
        <v>2593</v>
      </c>
      <c r="C1452" s="227">
        <v>99022</v>
      </c>
      <c r="D1452" s="392"/>
      <c r="H1452" s="226"/>
      <c r="J1452" s="389"/>
      <c r="K1452" s="226"/>
      <c r="P1452" s="226"/>
    </row>
    <row r="1453" spans="1:16">
      <c r="A1453" s="227"/>
      <c r="B1453" s="131" t="s">
        <v>2594</v>
      </c>
      <c r="C1453" s="227">
        <v>96031</v>
      </c>
      <c r="D1453" s="392"/>
      <c r="H1453" s="226"/>
      <c r="J1453" s="389"/>
      <c r="K1453" s="226"/>
      <c r="P1453" s="226"/>
    </row>
    <row r="1454" spans="1:16">
      <c r="A1454" s="227"/>
      <c r="B1454" s="131" t="s">
        <v>2595</v>
      </c>
      <c r="C1454" s="227">
        <v>98414</v>
      </c>
      <c r="D1454" s="392"/>
      <c r="H1454" s="226"/>
      <c r="J1454" s="389"/>
      <c r="K1454" s="226"/>
      <c r="P1454" s="226"/>
    </row>
    <row r="1455" spans="1:16">
      <c r="A1455" s="227"/>
      <c r="B1455" s="131" t="s">
        <v>1269</v>
      </c>
      <c r="C1455" s="227">
        <v>96101</v>
      </c>
      <c r="D1455" s="392"/>
      <c r="H1455" s="226"/>
      <c r="J1455" s="389"/>
      <c r="K1455" s="226"/>
      <c r="P1455" s="226"/>
    </row>
    <row r="1456" spans="1:16">
      <c r="A1456" s="227"/>
      <c r="B1456" s="131" t="s">
        <v>2800</v>
      </c>
      <c r="C1456" s="227">
        <v>96102</v>
      </c>
      <c r="D1456" s="392"/>
      <c r="H1456" s="226"/>
      <c r="J1456" s="389"/>
      <c r="K1456" s="226"/>
      <c r="P1456" s="226"/>
    </row>
    <row r="1457" spans="1:16">
      <c r="A1457" s="227"/>
      <c r="B1457" s="131" t="s">
        <v>2596</v>
      </c>
      <c r="C1457" s="227">
        <v>93011</v>
      </c>
      <c r="D1457" s="392"/>
      <c r="H1457" s="226"/>
      <c r="J1457" s="390"/>
      <c r="K1457" s="226"/>
      <c r="P1457" s="226"/>
    </row>
    <row r="1458" spans="1:16">
      <c r="A1458" s="227"/>
      <c r="B1458" s="131" t="s">
        <v>1989</v>
      </c>
      <c r="C1458" s="227">
        <v>99011</v>
      </c>
      <c r="D1458" s="392"/>
      <c r="H1458" s="226"/>
      <c r="J1458" s="389"/>
      <c r="K1458" s="226"/>
      <c r="P1458" s="226"/>
    </row>
    <row r="1459" spans="1:16">
      <c r="A1459" s="227"/>
      <c r="B1459" s="131" t="s">
        <v>1526</v>
      </c>
      <c r="C1459" s="227">
        <v>99017</v>
      </c>
      <c r="D1459" s="392"/>
      <c r="H1459" s="226"/>
      <c r="J1459" s="389"/>
      <c r="K1459" s="226"/>
      <c r="P1459" s="226"/>
    </row>
    <row r="1460" spans="1:16">
      <c r="A1460" s="227"/>
      <c r="B1460" s="131" t="s">
        <v>1990</v>
      </c>
      <c r="C1460" s="227">
        <v>99013</v>
      </c>
      <c r="D1460" s="392"/>
      <c r="H1460" s="226"/>
      <c r="J1460" s="390"/>
      <c r="K1460" s="226"/>
      <c r="P1460" s="226"/>
    </row>
    <row r="1461" spans="1:16">
      <c r="A1461" s="227"/>
      <c r="B1461" s="131" t="s">
        <v>1273</v>
      </c>
      <c r="C1461" s="227">
        <v>96201</v>
      </c>
      <c r="D1461" s="392"/>
      <c r="H1461" s="226"/>
      <c r="J1461" s="389"/>
      <c r="K1461" s="226"/>
      <c r="P1461" s="226"/>
    </row>
    <row r="1462" spans="1:16">
      <c r="A1462" s="227"/>
      <c r="B1462" s="131" t="s">
        <v>1274</v>
      </c>
      <c r="C1462" s="227">
        <v>96204</v>
      </c>
      <c r="D1462" s="392"/>
      <c r="H1462" s="226"/>
      <c r="J1462" s="389"/>
      <c r="K1462" s="226"/>
      <c r="P1462" s="226"/>
    </row>
    <row r="1463" spans="1:16">
      <c r="A1463" s="227"/>
      <c r="B1463" s="131" t="s">
        <v>2597</v>
      </c>
      <c r="C1463" s="227">
        <v>91161</v>
      </c>
      <c r="D1463" s="392"/>
      <c r="H1463" s="226"/>
      <c r="J1463" s="389"/>
      <c r="K1463" s="226"/>
      <c r="P1463" s="226"/>
    </row>
    <row r="1464" spans="1:16">
      <c r="A1464" s="227"/>
      <c r="B1464" s="131" t="s">
        <v>1280</v>
      </c>
      <c r="C1464" s="227">
        <v>96301</v>
      </c>
      <c r="D1464" s="392"/>
      <c r="H1464" s="226"/>
      <c r="J1464" s="389"/>
      <c r="K1464" s="226"/>
      <c r="P1464" s="226"/>
    </row>
    <row r="1465" spans="1:16">
      <c r="A1465" s="227"/>
      <c r="B1465" s="131" t="s">
        <v>1282</v>
      </c>
      <c r="C1465" s="227">
        <v>96304</v>
      </c>
      <c r="D1465" s="392"/>
      <c r="H1465" s="226"/>
      <c r="J1465" s="389"/>
      <c r="K1465" s="226"/>
      <c r="P1465" s="226"/>
    </row>
    <row r="1466" spans="1:16">
      <c r="A1466" s="227"/>
      <c r="B1466" s="131" t="s">
        <v>1284</v>
      </c>
      <c r="C1466" s="227">
        <v>96310</v>
      </c>
      <c r="D1466" s="392"/>
      <c r="H1466" s="226"/>
      <c r="J1466" s="390"/>
      <c r="K1466" s="226"/>
      <c r="P1466" s="226"/>
    </row>
    <row r="1467" spans="1:16">
      <c r="A1467" s="227"/>
      <c r="B1467" s="131" t="s">
        <v>1283</v>
      </c>
      <c r="C1467" s="227">
        <v>96305</v>
      </c>
      <c r="D1467" s="392"/>
      <c r="H1467" s="226"/>
      <c r="J1467" s="389"/>
      <c r="K1467" s="226"/>
      <c r="P1467" s="226"/>
    </row>
    <row r="1468" spans="1:16">
      <c r="A1468" s="227"/>
      <c r="B1468" s="131" t="s">
        <v>1991</v>
      </c>
      <c r="C1468" s="227">
        <v>94921</v>
      </c>
      <c r="D1468" s="392"/>
      <c r="H1468" s="226"/>
      <c r="J1468" s="389"/>
      <c r="K1468" s="226"/>
      <c r="P1468" s="226"/>
    </row>
    <row r="1469" spans="1:16">
      <c r="A1469" s="227"/>
      <c r="B1469" s="131" t="s">
        <v>1179</v>
      </c>
      <c r="C1469" s="227">
        <v>94927</v>
      </c>
      <c r="D1469" s="392"/>
      <c r="H1469" s="226"/>
      <c r="J1469" s="389"/>
      <c r="K1469" s="226"/>
      <c r="P1469" s="226"/>
    </row>
    <row r="1470" spans="1:16">
      <c r="A1470" s="227"/>
      <c r="B1470" s="131" t="s">
        <v>1178</v>
      </c>
      <c r="C1470" s="227">
        <v>94923</v>
      </c>
      <c r="D1470" s="392"/>
      <c r="H1470" s="226"/>
      <c r="J1470" s="389"/>
      <c r="K1470" s="226"/>
      <c r="P1470" s="226"/>
    </row>
    <row r="1471" spans="1:16">
      <c r="A1471" s="227"/>
      <c r="B1471" s="131" t="s">
        <v>2598</v>
      </c>
      <c r="C1471" s="227">
        <v>91611</v>
      </c>
      <c r="D1471" s="392"/>
      <c r="H1471" s="226"/>
      <c r="J1471" s="389"/>
      <c r="K1471" s="226"/>
      <c r="P1471" s="226"/>
    </row>
    <row r="1472" spans="1:16">
      <c r="A1472" s="227"/>
      <c r="B1472" s="131" t="s">
        <v>1992</v>
      </c>
      <c r="C1472" s="227">
        <v>91231</v>
      </c>
      <c r="D1472" s="392"/>
      <c r="H1472" s="226"/>
      <c r="J1472" s="389"/>
      <c r="K1472" s="226"/>
      <c r="P1472" s="226"/>
    </row>
    <row r="1473" spans="1:16">
      <c r="A1473" s="227"/>
      <c r="B1473" s="131" t="s">
        <v>855</v>
      </c>
      <c r="C1473" s="227">
        <v>91217</v>
      </c>
      <c r="D1473" s="392"/>
      <c r="H1473" s="226"/>
      <c r="J1473" s="389"/>
      <c r="K1473" s="226"/>
      <c r="P1473" s="226"/>
    </row>
    <row r="1474" spans="1:16">
      <c r="A1474" s="227"/>
      <c r="B1474" s="131" t="s">
        <v>858</v>
      </c>
      <c r="C1474" s="227">
        <v>91233</v>
      </c>
      <c r="D1474" s="392"/>
      <c r="H1474" s="226"/>
      <c r="J1474" s="389"/>
      <c r="K1474" s="226"/>
      <c r="P1474" s="226"/>
    </row>
    <row r="1475" spans="1:16">
      <c r="A1475" s="227"/>
      <c r="B1475" s="131" t="s">
        <v>2599</v>
      </c>
      <c r="C1475" s="227">
        <v>99206</v>
      </c>
      <c r="D1475" s="392"/>
      <c r="H1475" s="226"/>
      <c r="J1475" s="390"/>
      <c r="K1475" s="226"/>
      <c r="P1475" s="226"/>
    </row>
    <row r="1476" spans="1:16">
      <c r="A1476" s="227"/>
      <c r="B1476" s="131" t="s">
        <v>2600</v>
      </c>
      <c r="C1476" s="227">
        <v>90461</v>
      </c>
      <c r="D1476" s="392"/>
      <c r="H1476" s="226"/>
      <c r="J1476" s="389"/>
      <c r="K1476" s="226"/>
      <c r="P1476" s="226"/>
    </row>
    <row r="1477" spans="1:16">
      <c r="A1477" s="227"/>
      <c r="B1477" s="131" t="s">
        <v>1993</v>
      </c>
      <c r="C1477" s="227">
        <v>98631</v>
      </c>
      <c r="D1477" s="392"/>
      <c r="H1477" s="226"/>
      <c r="J1477" s="389"/>
      <c r="K1477" s="226"/>
      <c r="P1477" s="226"/>
    </row>
    <row r="1478" spans="1:16">
      <c r="A1478" s="227"/>
      <c r="B1478" s="131" t="s">
        <v>1511</v>
      </c>
      <c r="C1478" s="227">
        <v>98637</v>
      </c>
      <c r="D1478" s="392"/>
      <c r="H1478" s="226"/>
      <c r="J1478" s="390"/>
      <c r="K1478" s="226"/>
      <c r="P1478" s="226"/>
    </row>
    <row r="1479" spans="1:16">
      <c r="A1479" s="227"/>
      <c r="B1479" s="131" t="s">
        <v>2601</v>
      </c>
      <c r="C1479" s="227">
        <v>96251</v>
      </c>
      <c r="D1479" s="392"/>
      <c r="H1479" s="226"/>
      <c r="J1479" s="389"/>
      <c r="K1479" s="226"/>
      <c r="P1479" s="226"/>
    </row>
    <row r="1480" spans="1:16">
      <c r="A1480" s="227"/>
      <c r="B1480" s="131" t="s">
        <v>1994</v>
      </c>
      <c r="C1480" s="227">
        <v>93691</v>
      </c>
      <c r="D1480" s="392"/>
      <c r="H1480" s="226"/>
      <c r="J1480" s="389"/>
      <c r="K1480" s="226"/>
      <c r="P1480" s="226"/>
    </row>
    <row r="1481" spans="1:16">
      <c r="A1481" s="227"/>
      <c r="B1481" s="131" t="s">
        <v>2602</v>
      </c>
      <c r="C1481" s="227">
        <v>99621</v>
      </c>
      <c r="D1481" s="392"/>
      <c r="H1481" s="226"/>
      <c r="J1481" s="389"/>
      <c r="K1481" s="226"/>
      <c r="P1481" s="226"/>
    </row>
    <row r="1482" spans="1:16">
      <c r="A1482" s="227"/>
      <c r="B1482" s="131" t="s">
        <v>3504</v>
      </c>
      <c r="C1482" s="227">
        <v>99623</v>
      </c>
      <c r="D1482" s="392"/>
      <c r="H1482" s="226"/>
      <c r="J1482" s="389"/>
      <c r="K1482" s="226"/>
      <c r="P1482" s="226"/>
    </row>
    <row r="1483" spans="1:16">
      <c r="A1483" s="227"/>
      <c r="B1483" s="131" t="s">
        <v>2603</v>
      </c>
      <c r="C1483" s="227">
        <v>91321</v>
      </c>
      <c r="D1483" s="392"/>
      <c r="H1483" s="226"/>
      <c r="J1483" s="389"/>
      <c r="K1483" s="226"/>
      <c r="P1483" s="226"/>
    </row>
    <row r="1484" spans="1:16">
      <c r="A1484" s="227"/>
      <c r="B1484" s="131" t="s">
        <v>3505</v>
      </c>
      <c r="C1484" s="227">
        <v>91327</v>
      </c>
      <c r="D1484" s="392"/>
      <c r="H1484" s="226"/>
      <c r="J1484" s="389"/>
      <c r="K1484" s="226"/>
      <c r="P1484" s="226"/>
    </row>
    <row r="1485" spans="1:16">
      <c r="A1485" s="227"/>
      <c r="B1485" s="131" t="s">
        <v>2604</v>
      </c>
      <c r="C1485" s="227">
        <v>94621</v>
      </c>
      <c r="D1485" s="392"/>
      <c r="H1485" s="226"/>
      <c r="J1485" s="389"/>
      <c r="K1485" s="226"/>
      <c r="P1485" s="226"/>
    </row>
    <row r="1486" spans="1:16">
      <c r="A1486" s="227"/>
      <c r="B1486" s="131" t="s">
        <v>2605</v>
      </c>
      <c r="C1486" s="227">
        <v>92011</v>
      </c>
      <c r="D1486" s="392"/>
      <c r="H1486" s="226"/>
      <c r="J1486" s="389"/>
      <c r="K1486" s="226"/>
      <c r="P1486" s="226"/>
    </row>
    <row r="1487" spans="1:16">
      <c r="A1487" s="227"/>
      <c r="B1487" s="131" t="s">
        <v>925</v>
      </c>
      <c r="C1487" s="227">
        <v>92017</v>
      </c>
      <c r="D1487" s="392"/>
      <c r="H1487" s="226"/>
      <c r="J1487" s="390"/>
      <c r="K1487" s="226"/>
      <c r="P1487" s="226"/>
    </row>
    <row r="1488" spans="1:16">
      <c r="A1488" s="227"/>
      <c r="B1488" s="131" t="s">
        <v>1616</v>
      </c>
      <c r="C1488" s="51">
        <v>99991</v>
      </c>
      <c r="D1488" s="392"/>
      <c r="H1488" s="226"/>
      <c r="J1488" s="389"/>
      <c r="K1488" s="226"/>
      <c r="P1488" s="226"/>
    </row>
    <row r="1489" spans="1:16">
      <c r="A1489" s="227"/>
      <c r="B1489" s="131" t="s">
        <v>1617</v>
      </c>
      <c r="C1489" s="51">
        <v>99999</v>
      </c>
      <c r="D1489" s="392"/>
      <c r="H1489" s="226"/>
      <c r="J1489" s="389"/>
      <c r="K1489" s="226"/>
      <c r="P1489" s="226"/>
    </row>
    <row r="1490" spans="1:16">
      <c r="A1490" s="227"/>
      <c r="B1490" s="131" t="s">
        <v>2609</v>
      </c>
      <c r="C1490" s="227">
        <v>92811</v>
      </c>
      <c r="D1490" s="392"/>
      <c r="H1490" s="226"/>
      <c r="J1490" s="390"/>
      <c r="K1490" s="226"/>
      <c r="P1490" s="226"/>
    </row>
    <row r="1491" spans="1:16">
      <c r="A1491" s="227"/>
      <c r="B1491" s="131" t="s">
        <v>923</v>
      </c>
      <c r="C1491" s="227">
        <v>92005</v>
      </c>
      <c r="D1491" s="392"/>
      <c r="H1491" s="226"/>
      <c r="J1491" s="389"/>
      <c r="K1491" s="226"/>
      <c r="P1491" s="226"/>
    </row>
    <row r="1492" spans="1:16">
      <c r="A1492" s="227"/>
      <c r="B1492" s="131" t="s">
        <v>1296</v>
      </c>
      <c r="C1492" s="227">
        <v>96401</v>
      </c>
      <c r="D1492" s="392"/>
      <c r="H1492" s="226"/>
      <c r="J1492" s="389"/>
      <c r="K1492" s="226"/>
      <c r="P1492" s="226"/>
    </row>
    <row r="1493" spans="1:16">
      <c r="A1493" s="227"/>
      <c r="B1493" s="131" t="s">
        <v>1297</v>
      </c>
      <c r="C1493" s="227">
        <v>96404</v>
      </c>
      <c r="D1493" s="392"/>
      <c r="H1493" s="226"/>
      <c r="J1493" s="389"/>
      <c r="K1493" s="226"/>
      <c r="P1493" s="226"/>
    </row>
    <row r="1494" spans="1:16">
      <c r="A1494" s="227"/>
      <c r="B1494" s="131" t="s">
        <v>2610</v>
      </c>
      <c r="C1494" s="227">
        <v>96421</v>
      </c>
      <c r="D1494" s="392"/>
      <c r="H1494" s="226"/>
      <c r="J1494" s="389"/>
      <c r="K1494" s="226"/>
      <c r="P1494" s="226"/>
    </row>
    <row r="1495" spans="1:16">
      <c r="A1495" s="227"/>
      <c r="B1495" s="131" t="s">
        <v>2611</v>
      </c>
      <c r="C1495" s="227">
        <v>91026</v>
      </c>
      <c r="D1495" s="392"/>
      <c r="H1495" s="226"/>
      <c r="J1495" s="389"/>
      <c r="K1495" s="226"/>
      <c r="P1495" s="226"/>
    </row>
    <row r="1496" spans="1:16">
      <c r="A1496" s="227"/>
      <c r="B1496" s="131" t="s">
        <v>1218</v>
      </c>
      <c r="C1496" s="227">
        <v>95405</v>
      </c>
      <c r="D1496" s="392"/>
      <c r="H1496" s="226"/>
      <c r="J1496" s="389"/>
      <c r="K1496" s="226"/>
      <c r="P1496" s="226"/>
    </row>
    <row r="1497" spans="1:16">
      <c r="A1497" s="227"/>
      <c r="B1497" s="131" t="s">
        <v>1098</v>
      </c>
      <c r="C1497" s="227">
        <v>94005</v>
      </c>
      <c r="D1497" s="392"/>
      <c r="H1497" s="226"/>
      <c r="J1497" s="389"/>
      <c r="K1497" s="226"/>
      <c r="P1497" s="226"/>
    </row>
    <row r="1498" spans="1:16">
      <c r="A1498" s="227"/>
      <c r="B1498" s="131" t="s">
        <v>1209</v>
      </c>
      <c r="C1498" s="227">
        <v>95205</v>
      </c>
      <c r="D1498" s="392"/>
      <c r="H1498" s="226"/>
      <c r="J1498" s="389"/>
      <c r="K1498" s="226"/>
      <c r="P1498" s="226"/>
    </row>
    <row r="1499" spans="1:16">
      <c r="A1499" s="227"/>
      <c r="B1499" s="131" t="s">
        <v>958</v>
      </c>
      <c r="C1499" s="227">
        <v>92507</v>
      </c>
      <c r="D1499" s="392"/>
      <c r="H1499" s="226"/>
      <c r="J1499" s="390"/>
      <c r="K1499" s="226"/>
      <c r="P1499" s="226"/>
    </row>
    <row r="1500" spans="1:16">
      <c r="A1500" s="227"/>
      <c r="B1500" s="131" t="s">
        <v>1995</v>
      </c>
      <c r="C1500" s="227">
        <v>92511</v>
      </c>
      <c r="D1500" s="392"/>
      <c r="H1500" s="226"/>
      <c r="J1500" s="389"/>
      <c r="K1500" s="226"/>
      <c r="P1500" s="226"/>
    </row>
    <row r="1501" spans="1:16">
      <c r="A1501" s="227"/>
      <c r="B1501" s="131" t="s">
        <v>2774</v>
      </c>
      <c r="C1501" s="227">
        <v>92113</v>
      </c>
      <c r="D1501" s="392"/>
      <c r="H1501" s="226"/>
      <c r="J1501" s="389"/>
      <c r="K1501" s="226"/>
      <c r="P1501" s="226"/>
    </row>
    <row r="1502" spans="1:16">
      <c r="A1502" s="227"/>
      <c r="B1502" s="131" t="s">
        <v>2765</v>
      </c>
      <c r="C1502" s="227">
        <v>96502</v>
      </c>
      <c r="D1502" s="392"/>
      <c r="H1502" s="226"/>
      <c r="J1502" s="390"/>
      <c r="K1502" s="226"/>
      <c r="P1502" s="226"/>
    </row>
    <row r="1503" spans="1:16">
      <c r="A1503" s="227"/>
      <c r="B1503" s="131" t="s">
        <v>1305</v>
      </c>
      <c r="C1503" s="227">
        <v>96501</v>
      </c>
      <c r="D1503" s="392"/>
      <c r="H1503" s="226"/>
      <c r="J1503" s="389"/>
      <c r="K1503" s="226"/>
      <c r="P1503" s="226"/>
    </row>
    <row r="1504" spans="1:16">
      <c r="A1504" s="227"/>
      <c r="B1504" s="131" t="s">
        <v>1308</v>
      </c>
      <c r="C1504" s="227">
        <v>96504</v>
      </c>
      <c r="D1504" s="392"/>
      <c r="H1504" s="226"/>
      <c r="J1504" s="389"/>
      <c r="K1504" s="226"/>
      <c r="P1504" s="226"/>
    </row>
    <row r="1505" spans="1:16">
      <c r="A1505" s="227"/>
      <c r="B1505" s="255" t="s">
        <v>2612</v>
      </c>
      <c r="C1505" s="227">
        <v>98471</v>
      </c>
      <c r="D1505" s="392"/>
      <c r="H1505" s="226"/>
      <c r="J1505" s="389"/>
      <c r="K1505" s="226"/>
      <c r="P1505" s="226"/>
    </row>
    <row r="1506" spans="1:16">
      <c r="A1506" s="227"/>
      <c r="B1506" s="131" t="s">
        <v>2775</v>
      </c>
      <c r="C1506" s="227">
        <v>97913</v>
      </c>
      <c r="D1506" s="392"/>
      <c r="H1506" s="226"/>
      <c r="J1506" s="389"/>
      <c r="K1506" s="226"/>
      <c r="P1506" s="226"/>
    </row>
    <row r="1507" spans="1:16">
      <c r="A1507" s="227"/>
      <c r="B1507" s="131" t="s">
        <v>2613</v>
      </c>
      <c r="C1507" s="227">
        <v>90621</v>
      </c>
      <c r="D1507" s="392"/>
      <c r="H1507" s="226"/>
      <c r="J1507" s="389"/>
      <c r="K1507" s="226"/>
      <c r="P1507" s="226"/>
    </row>
    <row r="1508" spans="1:16">
      <c r="A1508" s="227"/>
      <c r="B1508" s="131" t="s">
        <v>2614</v>
      </c>
      <c r="C1508" s="227">
        <v>91621</v>
      </c>
      <c r="D1508" s="392"/>
      <c r="H1508" s="226"/>
      <c r="J1508" s="389"/>
      <c r="K1508" s="226"/>
      <c r="P1508" s="226"/>
    </row>
    <row r="1509" spans="1:16">
      <c r="A1509" s="227"/>
      <c r="B1509" s="131" t="s">
        <v>1996</v>
      </c>
      <c r="C1509" s="227">
        <v>91871</v>
      </c>
      <c r="D1509" s="392"/>
      <c r="H1509" s="226"/>
      <c r="J1509" s="389"/>
      <c r="K1509" s="226"/>
      <c r="P1509" s="226"/>
    </row>
    <row r="1510" spans="1:16">
      <c r="A1510" s="227"/>
      <c r="B1510" s="131" t="s">
        <v>2615</v>
      </c>
      <c r="C1510" s="227">
        <v>98231</v>
      </c>
      <c r="D1510" s="392"/>
      <c r="H1510" s="226"/>
      <c r="J1510" s="389"/>
      <c r="K1510" s="226"/>
      <c r="P1510" s="226"/>
    </row>
    <row r="1511" spans="1:16">
      <c r="A1511" s="227"/>
      <c r="B1511" s="131" t="s">
        <v>2616</v>
      </c>
      <c r="C1511" s="227">
        <v>99311</v>
      </c>
      <c r="D1511" s="392"/>
      <c r="H1511" s="226"/>
      <c r="J1511" s="390"/>
      <c r="K1511" s="226"/>
      <c r="P1511" s="226"/>
    </row>
    <row r="1512" spans="1:16">
      <c r="A1512" s="227"/>
      <c r="B1512" s="131" t="s">
        <v>2606</v>
      </c>
      <c r="C1512" s="227">
        <v>96751</v>
      </c>
      <c r="D1512" s="392"/>
      <c r="H1512" s="226"/>
      <c r="J1512" s="389"/>
      <c r="K1512" s="226"/>
      <c r="P1512" s="226"/>
    </row>
    <row r="1513" spans="1:16">
      <c r="A1513" s="227"/>
      <c r="B1513" s="131" t="s">
        <v>2607</v>
      </c>
      <c r="C1513" s="227">
        <v>99711</v>
      </c>
      <c r="D1513" s="392"/>
      <c r="H1513" s="226"/>
      <c r="J1513" s="389"/>
      <c r="K1513" s="226"/>
      <c r="P1513" s="226"/>
    </row>
    <row r="1514" spans="1:16">
      <c r="A1514" s="227"/>
      <c r="B1514" s="131" t="s">
        <v>2608</v>
      </c>
      <c r="C1514" s="227">
        <v>99717</v>
      </c>
      <c r="D1514" s="392"/>
      <c r="H1514" s="226"/>
      <c r="J1514" s="390"/>
      <c r="K1514" s="226"/>
      <c r="P1514" s="226"/>
    </row>
    <row r="1515" spans="1:16">
      <c r="A1515" s="227"/>
      <c r="B1515" s="131" t="s">
        <v>1316</v>
      </c>
      <c r="C1515" s="227">
        <v>96601</v>
      </c>
      <c r="D1515" s="392"/>
      <c r="H1515" s="226"/>
      <c r="J1515" s="389"/>
      <c r="K1515" s="226"/>
      <c r="P1515" s="226"/>
    </row>
    <row r="1516" spans="1:16">
      <c r="A1516" s="227"/>
      <c r="B1516" s="131" t="s">
        <v>1317</v>
      </c>
      <c r="C1516" s="227">
        <v>96604</v>
      </c>
      <c r="D1516" s="392"/>
      <c r="H1516" s="226"/>
      <c r="J1516" s="389"/>
      <c r="K1516" s="226"/>
      <c r="P1516" s="226"/>
    </row>
    <row r="1517" spans="1:16">
      <c r="A1517" s="227"/>
      <c r="B1517" s="131" t="s">
        <v>1997</v>
      </c>
      <c r="C1517" s="227">
        <v>91012</v>
      </c>
      <c r="D1517" s="392"/>
      <c r="H1517" s="226"/>
      <c r="J1517" s="389"/>
      <c r="K1517" s="226"/>
      <c r="P1517" s="226"/>
    </row>
    <row r="1518" spans="1:16">
      <c r="A1518" s="227"/>
      <c r="B1518" s="131" t="s">
        <v>753</v>
      </c>
      <c r="C1518" s="227">
        <v>90305</v>
      </c>
      <c r="D1518" s="392"/>
      <c r="H1518" s="226"/>
      <c r="J1518" s="389"/>
      <c r="K1518" s="226"/>
      <c r="P1518" s="226"/>
    </row>
    <row r="1519" spans="1:16">
      <c r="A1519" s="227"/>
      <c r="B1519" s="131" t="s">
        <v>2617</v>
      </c>
      <c r="C1519" s="227">
        <v>98421</v>
      </c>
      <c r="D1519" s="392"/>
      <c r="H1519" s="226"/>
      <c r="J1519" s="389"/>
      <c r="K1519" s="226"/>
      <c r="P1519" s="226"/>
    </row>
    <row r="1520" spans="1:16">
      <c r="A1520" s="227"/>
      <c r="B1520" s="131" t="s">
        <v>2799</v>
      </c>
      <c r="C1520" s="227">
        <v>98427</v>
      </c>
      <c r="D1520" s="392"/>
      <c r="H1520" s="226"/>
      <c r="J1520" s="389"/>
      <c r="K1520" s="226"/>
      <c r="P1520" s="226"/>
    </row>
    <row r="1521" spans="1:16">
      <c r="A1521" s="227"/>
      <c r="B1521" s="131" t="s">
        <v>2618</v>
      </c>
      <c r="C1521" s="227">
        <v>95821</v>
      </c>
      <c r="D1521" s="392"/>
      <c r="H1521" s="226"/>
      <c r="J1521" s="389"/>
      <c r="K1521" s="226"/>
      <c r="P1521" s="226"/>
    </row>
    <row r="1522" spans="1:16">
      <c r="A1522" s="227"/>
      <c r="B1522" s="131" t="s">
        <v>2619</v>
      </c>
      <c r="C1522" s="227">
        <v>91021</v>
      </c>
      <c r="D1522" s="392"/>
      <c r="H1522" s="226"/>
      <c r="J1522" s="389"/>
      <c r="K1522" s="226"/>
      <c r="P1522" s="226"/>
    </row>
    <row r="1523" spans="1:16">
      <c r="A1523" s="227"/>
      <c r="B1523" s="131" t="s">
        <v>2798</v>
      </c>
      <c r="C1523" s="227">
        <v>91027</v>
      </c>
      <c r="D1523" s="392"/>
      <c r="H1523" s="226"/>
      <c r="J1523" s="390"/>
      <c r="K1523" s="226"/>
      <c r="P1523" s="226"/>
    </row>
    <row r="1524" spans="1:16">
      <c r="A1524" s="227"/>
      <c r="B1524" s="131" t="s">
        <v>2620</v>
      </c>
      <c r="C1524" s="227">
        <v>94161</v>
      </c>
      <c r="D1524" s="392"/>
      <c r="H1524" s="226"/>
      <c r="J1524" s="389"/>
      <c r="K1524" s="226"/>
      <c r="P1524" s="226"/>
    </row>
    <row r="1525" spans="1:16">
      <c r="A1525" s="227"/>
      <c r="B1525" s="131" t="s">
        <v>2621</v>
      </c>
      <c r="C1525" s="227">
        <v>98441</v>
      </c>
      <c r="D1525" s="392"/>
      <c r="H1525" s="226"/>
      <c r="J1525" s="389"/>
      <c r="K1525" s="226"/>
      <c r="P1525" s="226"/>
    </row>
    <row r="1526" spans="1:16">
      <c r="A1526" s="227"/>
      <c r="B1526" s="131" t="s">
        <v>2622</v>
      </c>
      <c r="C1526" s="227">
        <v>91061</v>
      </c>
      <c r="D1526" s="392"/>
      <c r="H1526" s="226"/>
      <c r="J1526" s="390"/>
      <c r="K1526" s="226"/>
      <c r="P1526" s="226"/>
    </row>
    <row r="1527" spans="1:16">
      <c r="A1527" s="227"/>
      <c r="B1527" s="131" t="s">
        <v>824</v>
      </c>
      <c r="C1527" s="227">
        <v>91067</v>
      </c>
      <c r="D1527" s="392"/>
      <c r="H1527" s="226"/>
      <c r="J1527" s="389"/>
      <c r="K1527" s="226"/>
      <c r="P1527" s="226"/>
    </row>
    <row r="1528" spans="1:16">
      <c r="A1528" s="227"/>
      <c r="B1528" s="131" t="s">
        <v>2797</v>
      </c>
      <c r="C1528" s="227">
        <v>94812</v>
      </c>
      <c r="D1528" s="392"/>
      <c r="H1528" s="226"/>
      <c r="J1528" s="389"/>
      <c r="K1528" s="226"/>
      <c r="P1528" s="226"/>
    </row>
    <row r="1529" spans="1:16">
      <c r="A1529" s="227"/>
      <c r="B1529" s="131" t="s">
        <v>2623</v>
      </c>
      <c r="C1529" s="227">
        <v>95921</v>
      </c>
      <c r="D1529" s="392"/>
      <c r="H1529" s="226"/>
      <c r="J1529" s="389"/>
      <c r="K1529" s="226"/>
      <c r="P1529" s="226"/>
    </row>
    <row r="1530" spans="1:16">
      <c r="A1530" s="227"/>
      <c r="B1530" s="131" t="s">
        <v>1327</v>
      </c>
      <c r="C1530" s="227">
        <v>96701</v>
      </c>
      <c r="D1530" s="392"/>
      <c r="H1530" s="226"/>
      <c r="J1530" s="389"/>
      <c r="K1530" s="226"/>
      <c r="P1530" s="226"/>
    </row>
    <row r="1531" spans="1:16">
      <c r="A1531" s="227"/>
      <c r="B1531" s="131" t="s">
        <v>1328</v>
      </c>
      <c r="C1531" s="227">
        <v>96704</v>
      </c>
      <c r="D1531" s="392"/>
      <c r="H1531" s="226"/>
      <c r="J1531" s="389"/>
      <c r="K1531" s="226"/>
      <c r="P1531" s="226"/>
    </row>
    <row r="1532" spans="1:16">
      <c r="A1532" s="227"/>
      <c r="B1532" s="131" t="s">
        <v>1329</v>
      </c>
      <c r="C1532" s="227">
        <v>96708</v>
      </c>
      <c r="D1532" s="392"/>
      <c r="H1532" s="226"/>
      <c r="J1532" s="389"/>
      <c r="K1532" s="226"/>
      <c r="P1532" s="226"/>
    </row>
    <row r="1533" spans="1:16">
      <c r="A1533" s="227"/>
      <c r="B1533" s="131" t="s">
        <v>1336</v>
      </c>
      <c r="C1533" s="227">
        <v>96801</v>
      </c>
      <c r="D1533" s="392"/>
      <c r="H1533" s="226"/>
      <c r="J1533" s="389"/>
      <c r="K1533" s="226"/>
      <c r="P1533" s="226"/>
    </row>
    <row r="1534" spans="1:16">
      <c r="A1534" s="227"/>
      <c r="B1534" s="131" t="s">
        <v>1337</v>
      </c>
      <c r="C1534" s="227">
        <v>96804</v>
      </c>
      <c r="D1534" s="392"/>
      <c r="H1534" s="226"/>
      <c r="J1534" s="389"/>
      <c r="K1534" s="226"/>
      <c r="P1534" s="226"/>
    </row>
    <row r="1535" spans="1:16">
      <c r="A1535" s="227"/>
      <c r="B1535" s="131" t="s">
        <v>1338</v>
      </c>
      <c r="C1535" s="227">
        <v>96808</v>
      </c>
      <c r="D1535" s="392"/>
      <c r="H1535" s="226"/>
      <c r="J1535" s="390"/>
      <c r="K1535" s="226"/>
      <c r="P1535" s="226"/>
    </row>
    <row r="1536" spans="1:16">
      <c r="A1536" s="227"/>
      <c r="B1536" s="131" t="s">
        <v>2624</v>
      </c>
      <c r="C1536" s="227">
        <v>96912</v>
      </c>
      <c r="D1536" s="392"/>
      <c r="H1536" s="226"/>
      <c r="J1536" s="389"/>
      <c r="K1536" s="226"/>
      <c r="P1536" s="226"/>
    </row>
    <row r="1537" spans="1:16">
      <c r="A1537" s="227"/>
      <c r="B1537" s="131" t="s">
        <v>1998</v>
      </c>
      <c r="C1537" s="227">
        <v>93911</v>
      </c>
      <c r="D1537" s="392"/>
      <c r="H1537" s="226"/>
      <c r="J1537" s="389"/>
      <c r="K1537" s="226"/>
      <c r="P1537" s="226"/>
    </row>
    <row r="1538" spans="1:16">
      <c r="A1538" s="227"/>
      <c r="B1538" s="131" t="s">
        <v>1091</v>
      </c>
      <c r="C1538" s="227">
        <v>93913</v>
      </c>
      <c r="D1538" s="392"/>
      <c r="H1538" s="226"/>
      <c r="J1538" s="390"/>
      <c r="K1538" s="226"/>
      <c r="P1538" s="226"/>
    </row>
    <row r="1539" spans="1:16">
      <c r="A1539" s="227"/>
      <c r="B1539" s="131" t="s">
        <v>1342</v>
      </c>
      <c r="C1539" s="227">
        <v>96901</v>
      </c>
      <c r="D1539" s="392"/>
      <c r="H1539" s="226"/>
      <c r="J1539" s="389"/>
      <c r="K1539" s="226"/>
      <c r="P1539" s="226"/>
    </row>
    <row r="1540" spans="1:16">
      <c r="A1540" s="227"/>
      <c r="B1540" s="131" t="s">
        <v>2625</v>
      </c>
      <c r="C1540" s="227">
        <v>97841</v>
      </c>
      <c r="D1540" s="392"/>
      <c r="H1540" s="226"/>
      <c r="J1540" s="389"/>
      <c r="K1540" s="226"/>
      <c r="P1540" s="226"/>
    </row>
    <row r="1541" spans="1:16">
      <c r="A1541" s="227"/>
      <c r="B1541" s="131" t="s">
        <v>1022</v>
      </c>
      <c r="C1541" s="227">
        <v>93202</v>
      </c>
      <c r="D1541" s="392"/>
      <c r="H1541" s="226"/>
      <c r="J1541" s="389"/>
      <c r="K1541" s="226"/>
      <c r="P1541" s="226"/>
    </row>
    <row r="1542" spans="1:16">
      <c r="A1542" s="227"/>
      <c r="B1542" s="131" t="s">
        <v>1064</v>
      </c>
      <c r="C1542" s="227">
        <v>93609</v>
      </c>
      <c r="D1542" s="392"/>
      <c r="H1542" s="226"/>
      <c r="J1542" s="389"/>
      <c r="K1542" s="226"/>
      <c r="P1542" s="226"/>
    </row>
    <row r="1543" spans="1:16">
      <c r="A1543" s="227"/>
      <c r="B1543" s="131" t="s">
        <v>1348</v>
      </c>
      <c r="C1543" s="227">
        <v>97004</v>
      </c>
      <c r="D1543" s="392"/>
      <c r="H1543" s="226"/>
      <c r="J1543" s="389"/>
      <c r="K1543" s="226"/>
      <c r="P1543" s="226"/>
    </row>
    <row r="1544" spans="1:16">
      <c r="A1544" s="227"/>
      <c r="B1544" s="131" t="s">
        <v>1346</v>
      </c>
      <c r="C1544" s="227">
        <v>97001</v>
      </c>
      <c r="D1544" s="392"/>
      <c r="H1544" s="226"/>
      <c r="J1544" s="390"/>
      <c r="K1544" s="226"/>
      <c r="P1544" s="226"/>
    </row>
    <row r="1545" spans="1:16">
      <c r="A1545" s="227"/>
      <c r="B1545" s="131" t="s">
        <v>1347</v>
      </c>
      <c r="C1545" s="227">
        <v>97002</v>
      </c>
      <c r="D1545" s="392"/>
      <c r="H1545" s="226"/>
      <c r="J1545" s="389"/>
      <c r="K1545" s="226"/>
      <c r="P1545" s="226"/>
    </row>
    <row r="1546" spans="1:16">
      <c r="A1546" s="227"/>
      <c r="B1546" s="131" t="s">
        <v>1355</v>
      </c>
      <c r="C1546" s="227">
        <v>97015</v>
      </c>
      <c r="D1546" s="392"/>
      <c r="H1546" s="226"/>
      <c r="J1546" s="389"/>
      <c r="K1546" s="226"/>
      <c r="P1546" s="226"/>
    </row>
    <row r="1547" spans="1:16">
      <c r="A1547" s="227"/>
      <c r="B1547" s="131" t="s">
        <v>2626</v>
      </c>
      <c r="C1547" s="227">
        <v>90441</v>
      </c>
      <c r="D1547" s="392"/>
      <c r="H1547" s="226"/>
      <c r="J1547" s="389"/>
      <c r="K1547" s="226"/>
      <c r="P1547" s="226"/>
    </row>
    <row r="1548" spans="1:16">
      <c r="A1548" s="227"/>
      <c r="B1548" s="131" t="s">
        <v>2627</v>
      </c>
      <c r="C1548" s="227">
        <v>97851</v>
      </c>
      <c r="D1548" s="392"/>
      <c r="H1548" s="226"/>
      <c r="J1548" s="389"/>
      <c r="K1548" s="226"/>
      <c r="P1548" s="226"/>
    </row>
    <row r="1549" spans="1:16">
      <c r="A1549" s="227"/>
      <c r="B1549" s="131" t="s">
        <v>1427</v>
      </c>
      <c r="C1549" s="227">
        <v>97853</v>
      </c>
      <c r="D1549" s="392"/>
      <c r="H1549" s="226"/>
      <c r="J1549" s="389"/>
      <c r="K1549" s="226"/>
      <c r="P1549" s="226"/>
    </row>
    <row r="1550" spans="1:16">
      <c r="A1550" s="227"/>
      <c r="B1550" s="131" t="s">
        <v>1357</v>
      </c>
      <c r="C1550" s="227">
        <v>97101</v>
      </c>
      <c r="D1550" s="392"/>
      <c r="H1550" s="226"/>
      <c r="J1550" s="389"/>
      <c r="K1550" s="226"/>
      <c r="P1550" s="226"/>
    </row>
    <row r="1551" spans="1:16">
      <c r="A1551" s="227"/>
      <c r="B1551" s="131" t="s">
        <v>1358</v>
      </c>
      <c r="C1551" s="227">
        <v>97104</v>
      </c>
      <c r="D1551" s="392"/>
      <c r="H1551" s="226"/>
      <c r="J1551" s="389"/>
      <c r="K1551" s="226"/>
      <c r="P1551" s="226"/>
    </row>
    <row r="1552" spans="1:16">
      <c r="A1552" s="227"/>
      <c r="B1552" s="131" t="s">
        <v>1362</v>
      </c>
      <c r="C1552" s="227">
        <v>97201</v>
      </c>
      <c r="D1552" s="392"/>
      <c r="H1552" s="226"/>
      <c r="J1552" s="389"/>
      <c r="K1552" s="226"/>
      <c r="P1552" s="226"/>
    </row>
    <row r="1553" spans="1:16">
      <c r="A1553" s="227"/>
      <c r="B1553" s="131" t="s">
        <v>2796</v>
      </c>
      <c r="C1553" s="227">
        <v>97304</v>
      </c>
      <c r="D1553" s="392"/>
      <c r="H1553" s="226"/>
      <c r="J1553" s="390"/>
      <c r="K1553" s="226"/>
      <c r="P1553" s="226"/>
    </row>
    <row r="1554" spans="1:16">
      <c r="A1554" s="227"/>
      <c r="B1554" s="131" t="s">
        <v>1367</v>
      </c>
      <c r="C1554" s="227">
        <v>97301</v>
      </c>
      <c r="D1554" s="392"/>
      <c r="H1554" s="226"/>
      <c r="J1554" s="389"/>
      <c r="K1554" s="226"/>
      <c r="P1554" s="226"/>
    </row>
    <row r="1555" spans="1:16">
      <c r="A1555" s="227"/>
      <c r="B1555" s="131" t="s">
        <v>1569</v>
      </c>
      <c r="C1555" s="227">
        <v>99405</v>
      </c>
      <c r="D1555" s="392"/>
      <c r="H1555" s="226"/>
      <c r="J1555" s="389"/>
      <c r="K1555" s="226"/>
      <c r="P1555" s="226"/>
    </row>
    <row r="1556" spans="1:16">
      <c r="A1556" s="227"/>
      <c r="B1556" s="131" t="s">
        <v>728</v>
      </c>
      <c r="C1556" s="220">
        <v>72265</v>
      </c>
      <c r="D1556" s="392"/>
      <c r="H1556" s="226"/>
      <c r="J1556" s="390"/>
      <c r="K1556" s="226"/>
      <c r="P1556" s="226"/>
    </row>
    <row r="1557" spans="1:16">
      <c r="A1557" s="227"/>
      <c r="B1557" s="131" t="s">
        <v>2762</v>
      </c>
      <c r="C1557" s="227">
        <v>94112</v>
      </c>
      <c r="D1557" s="392"/>
      <c r="H1557" s="226"/>
      <c r="J1557" s="389"/>
      <c r="K1557" s="226"/>
      <c r="P1557" s="226"/>
    </row>
    <row r="1558" spans="1:16">
      <c r="A1558" s="227"/>
      <c r="B1558" s="131" t="s">
        <v>1042</v>
      </c>
      <c r="C1558" s="227">
        <v>93406</v>
      </c>
      <c r="D1558" s="392"/>
      <c r="H1558" s="226"/>
      <c r="J1558" s="389"/>
      <c r="K1558" s="226"/>
      <c r="P1558" s="226"/>
    </row>
    <row r="1559" spans="1:16">
      <c r="A1559" s="227"/>
      <c r="B1559" s="131" t="s">
        <v>2628</v>
      </c>
      <c r="C1559" s="227">
        <v>99651</v>
      </c>
      <c r="D1559" s="392"/>
      <c r="H1559" s="226"/>
      <c r="J1559" s="389"/>
      <c r="K1559" s="226"/>
      <c r="P1559" s="226"/>
    </row>
    <row r="1560" spans="1:16">
      <c r="A1560" s="227"/>
      <c r="B1560" s="131" t="s">
        <v>2629</v>
      </c>
      <c r="C1560" s="227">
        <v>98611</v>
      </c>
      <c r="D1560" s="392"/>
      <c r="H1560" s="226"/>
      <c r="J1560" s="389"/>
      <c r="K1560" s="226"/>
      <c r="P1560" s="226"/>
    </row>
    <row r="1561" spans="1:16">
      <c r="A1561" s="227"/>
      <c r="B1561" s="131" t="s">
        <v>1505</v>
      </c>
      <c r="C1561" s="227">
        <v>98607</v>
      </c>
      <c r="D1561" s="392"/>
      <c r="H1561" s="226"/>
      <c r="J1561" s="389"/>
      <c r="K1561" s="226"/>
      <c r="P1561" s="226"/>
    </row>
    <row r="1562" spans="1:16">
      <c r="A1562" s="227"/>
      <c r="B1562" s="131" t="s">
        <v>2630</v>
      </c>
      <c r="C1562" s="227">
        <v>91641</v>
      </c>
      <c r="D1562" s="392"/>
      <c r="H1562" s="226"/>
      <c r="J1562" s="389"/>
      <c r="K1562" s="226"/>
      <c r="P1562" s="226"/>
    </row>
    <row r="1563" spans="1:16">
      <c r="A1563" s="227"/>
      <c r="B1563" s="131" t="s">
        <v>2631</v>
      </c>
      <c r="C1563" s="227">
        <v>95161</v>
      </c>
      <c r="D1563" s="392"/>
      <c r="H1563" s="226"/>
      <c r="J1563" s="389"/>
      <c r="K1563" s="226"/>
      <c r="P1563" s="226"/>
    </row>
    <row r="1564" spans="1:16">
      <c r="A1564" s="227"/>
      <c r="B1564" s="131" t="s">
        <v>2632</v>
      </c>
      <c r="C1564" s="227">
        <v>96361</v>
      </c>
      <c r="D1564" s="392"/>
      <c r="H1564" s="226"/>
      <c r="J1564" s="389"/>
      <c r="K1564" s="226"/>
      <c r="P1564" s="226"/>
    </row>
    <row r="1565" spans="1:16">
      <c r="A1565" s="227"/>
      <c r="B1565" s="131" t="s">
        <v>1104</v>
      </c>
      <c r="C1565" s="227">
        <v>94108</v>
      </c>
      <c r="D1565" s="392"/>
      <c r="H1565" s="226"/>
      <c r="J1565" s="390"/>
      <c r="K1565" s="226"/>
      <c r="P1565" s="226"/>
    </row>
    <row r="1566" spans="1:16">
      <c r="A1566" s="227"/>
      <c r="B1566" s="131" t="s">
        <v>2633</v>
      </c>
      <c r="C1566" s="227">
        <v>96351</v>
      </c>
      <c r="D1566" s="392"/>
      <c r="H1566" s="226"/>
      <c r="J1566" s="389"/>
      <c r="K1566" s="226"/>
      <c r="P1566" s="226"/>
    </row>
    <row r="1567" spans="1:16">
      <c r="A1567" s="227"/>
      <c r="B1567" s="131" t="s">
        <v>2634</v>
      </c>
      <c r="C1567" s="227">
        <v>93331</v>
      </c>
      <c r="D1567" s="392"/>
      <c r="H1567" s="226"/>
      <c r="J1567" s="389"/>
      <c r="K1567" s="226"/>
      <c r="P1567" s="226"/>
    </row>
    <row r="1568" spans="1:16">
      <c r="A1568" s="227"/>
      <c r="B1568" s="131" t="s">
        <v>2635</v>
      </c>
      <c r="C1568" s="227">
        <v>96021</v>
      </c>
      <c r="D1568" s="392"/>
      <c r="H1568" s="226"/>
      <c r="J1568" s="390"/>
      <c r="K1568" s="226"/>
      <c r="P1568" s="226"/>
    </row>
    <row r="1569" spans="1:16">
      <c r="A1569" s="227"/>
      <c r="B1569" s="131" t="s">
        <v>2636</v>
      </c>
      <c r="C1569" s="227">
        <v>95421</v>
      </c>
      <c r="D1569" s="392"/>
      <c r="H1569" s="226"/>
      <c r="J1569" s="389"/>
      <c r="K1569" s="226"/>
      <c r="P1569" s="226"/>
    </row>
    <row r="1570" spans="1:16">
      <c r="A1570" s="227"/>
      <c r="B1570" s="131" t="s">
        <v>1370</v>
      </c>
      <c r="C1570" s="227">
        <v>97401</v>
      </c>
      <c r="D1570" s="392"/>
      <c r="H1570" s="226"/>
      <c r="J1570" s="389"/>
      <c r="K1570" s="226"/>
      <c r="P1570" s="226"/>
    </row>
    <row r="1571" spans="1:16">
      <c r="A1571" s="227"/>
      <c r="B1571" s="131" t="s">
        <v>1372</v>
      </c>
      <c r="C1571" s="227">
        <v>97404</v>
      </c>
      <c r="D1571" s="392"/>
      <c r="H1571" s="226"/>
      <c r="J1571" s="389"/>
      <c r="K1571" s="226"/>
      <c r="P1571" s="226"/>
    </row>
    <row r="1572" spans="1:16">
      <c r="A1572" s="227"/>
      <c r="B1572" s="131" t="s">
        <v>2795</v>
      </c>
      <c r="C1572" s="227">
        <v>97402</v>
      </c>
      <c r="D1572" s="392"/>
      <c r="H1572" s="226"/>
      <c r="J1572" s="389"/>
      <c r="K1572" s="226"/>
      <c r="P1572" s="226"/>
    </row>
    <row r="1573" spans="1:16">
      <c r="A1573" s="227"/>
      <c r="B1573" s="131" t="s">
        <v>2637</v>
      </c>
      <c r="C1573" s="227">
        <v>91921</v>
      </c>
      <c r="D1573" s="392"/>
      <c r="H1573" s="226"/>
      <c r="J1573" s="389"/>
      <c r="K1573" s="226"/>
      <c r="P1573" s="226"/>
    </row>
    <row r="1574" spans="1:16">
      <c r="A1574" s="227"/>
      <c r="B1574" s="131" t="s">
        <v>1249</v>
      </c>
      <c r="C1574" s="227">
        <v>95908</v>
      </c>
      <c r="D1574" s="392"/>
      <c r="H1574" s="226"/>
      <c r="J1574" s="389"/>
      <c r="K1574" s="226"/>
      <c r="P1574" s="226"/>
    </row>
    <row r="1575" spans="1:16">
      <c r="A1575" s="227"/>
      <c r="B1575" s="131" t="s">
        <v>2638</v>
      </c>
      <c r="C1575" s="227">
        <v>99411</v>
      </c>
      <c r="D1575" s="392"/>
      <c r="H1575" s="226"/>
      <c r="J1575" s="389"/>
      <c r="K1575" s="226"/>
      <c r="P1575" s="226"/>
    </row>
    <row r="1576" spans="1:16">
      <c r="A1576" s="227"/>
      <c r="B1576" s="131" t="s">
        <v>1571</v>
      </c>
      <c r="C1576" s="227">
        <v>99413</v>
      </c>
      <c r="D1576" s="392"/>
      <c r="H1576" s="226"/>
      <c r="J1576" s="389"/>
      <c r="K1576" s="226"/>
      <c r="P1576" s="226"/>
    </row>
    <row r="1577" spans="1:16">
      <c r="A1577" s="227"/>
      <c r="B1577" s="131" t="s">
        <v>1388</v>
      </c>
      <c r="C1577" s="227">
        <v>97501</v>
      </c>
      <c r="D1577" s="392"/>
      <c r="H1577" s="226"/>
      <c r="J1577" s="390"/>
      <c r="K1577" s="226"/>
      <c r="P1577" s="226"/>
    </row>
    <row r="1578" spans="1:16">
      <c r="A1578" s="227"/>
      <c r="B1578" s="131" t="s">
        <v>2639</v>
      </c>
      <c r="C1578" s="227">
        <v>90431</v>
      </c>
      <c r="D1578" s="392"/>
      <c r="H1578" s="226"/>
      <c r="J1578" s="389"/>
      <c r="K1578" s="226"/>
      <c r="P1578" s="226"/>
    </row>
    <row r="1579" spans="1:16">
      <c r="A1579" s="227"/>
      <c r="B1579" s="131" t="s">
        <v>2640</v>
      </c>
      <c r="C1579" s="227">
        <v>95211</v>
      </c>
      <c r="D1579" s="392"/>
      <c r="H1579" s="226"/>
      <c r="J1579" s="389"/>
      <c r="K1579" s="226"/>
      <c r="P1579" s="226"/>
    </row>
    <row r="1580" spans="1:16">
      <c r="A1580" s="227"/>
      <c r="B1580" s="131" t="s">
        <v>2641</v>
      </c>
      <c r="C1580" s="227">
        <v>95181</v>
      </c>
      <c r="D1580" s="392"/>
      <c r="H1580" s="226"/>
      <c r="J1580" s="390"/>
      <c r="K1580" s="226"/>
      <c r="P1580" s="226"/>
    </row>
    <row r="1581" spans="1:16">
      <c r="A1581" s="227"/>
      <c r="B1581" s="131" t="s">
        <v>2642</v>
      </c>
      <c r="C1581" s="227">
        <v>93351</v>
      </c>
      <c r="D1581" s="392"/>
      <c r="H1581" s="226"/>
      <c r="J1581" s="389"/>
      <c r="K1581" s="226"/>
      <c r="P1581" s="226"/>
    </row>
    <row r="1582" spans="1:16">
      <c r="A1582" s="227"/>
      <c r="B1582" s="131" t="s">
        <v>1192</v>
      </c>
      <c r="C1582" s="227">
        <v>95105</v>
      </c>
      <c r="D1582" s="392"/>
      <c r="H1582" s="226"/>
      <c r="J1582" s="389"/>
      <c r="K1582" s="226"/>
      <c r="P1582" s="226"/>
    </row>
    <row r="1583" spans="1:16">
      <c r="A1583" s="227"/>
      <c r="B1583" s="131" t="s">
        <v>2643</v>
      </c>
      <c r="C1583" s="227">
        <v>94711</v>
      </c>
      <c r="D1583" s="392"/>
      <c r="H1583" s="226"/>
      <c r="J1583" s="389"/>
      <c r="K1583" s="226"/>
      <c r="P1583" s="226"/>
    </row>
    <row r="1584" spans="1:16">
      <c r="A1584" s="227"/>
      <c r="B1584" s="131" t="s">
        <v>1999</v>
      </c>
      <c r="C1584" s="227">
        <v>99211</v>
      </c>
      <c r="D1584" s="392"/>
      <c r="H1584" s="226"/>
      <c r="J1584" s="389"/>
      <c r="K1584" s="226"/>
      <c r="P1584" s="226"/>
    </row>
    <row r="1585" spans="1:16384">
      <c r="A1585" s="227"/>
      <c r="B1585" s="131" t="s">
        <v>2000</v>
      </c>
      <c r="C1585" s="227">
        <v>99213</v>
      </c>
      <c r="D1585" s="392"/>
      <c r="H1585" s="226"/>
      <c r="J1585" s="389"/>
      <c r="K1585" s="226"/>
      <c r="P1585" s="226"/>
    </row>
    <row r="1586" spans="1:16384">
      <c r="A1586" s="227"/>
      <c r="B1586" s="131" t="s">
        <v>1552</v>
      </c>
      <c r="C1586" s="227">
        <v>99218</v>
      </c>
      <c r="D1586" s="392"/>
      <c r="H1586" s="226"/>
      <c r="J1586" s="389"/>
      <c r="K1586" s="226"/>
      <c r="P1586" s="226"/>
    </row>
    <row r="1587" spans="1:16384">
      <c r="A1587" s="227"/>
      <c r="B1587" s="131" t="s">
        <v>2644</v>
      </c>
      <c r="C1587" s="227">
        <v>97641</v>
      </c>
      <c r="D1587" s="392"/>
      <c r="H1587" s="226"/>
      <c r="J1587" s="389"/>
      <c r="K1587" s="226"/>
      <c r="P1587" s="226"/>
    </row>
    <row r="1588" spans="1:16384">
      <c r="A1588" s="227"/>
      <c r="B1588" s="131" t="s">
        <v>2001</v>
      </c>
      <c r="C1588" s="227">
        <v>97621</v>
      </c>
      <c r="D1588" s="392"/>
      <c r="H1588" s="226"/>
      <c r="J1588" s="389"/>
      <c r="K1588" s="226"/>
      <c r="P1588" s="226"/>
    </row>
    <row r="1589" spans="1:16384">
      <c r="A1589" s="227"/>
      <c r="B1589" s="131" t="s">
        <v>2002</v>
      </c>
      <c r="C1589" s="227">
        <v>97627</v>
      </c>
      <c r="D1589" s="392"/>
      <c r="H1589" s="226"/>
      <c r="J1589" s="390"/>
      <c r="K1589" s="226"/>
      <c r="P1589" s="226"/>
    </row>
    <row r="1590" spans="1:16384">
      <c r="A1590" s="227"/>
      <c r="B1590" s="131" t="s">
        <v>2003</v>
      </c>
      <c r="C1590" s="227">
        <v>97623</v>
      </c>
      <c r="D1590" s="392"/>
      <c r="H1590" s="226"/>
      <c r="J1590" s="389"/>
      <c r="K1590" s="226"/>
      <c r="P1590" s="226"/>
    </row>
    <row r="1591" spans="1:16384">
      <c r="A1591" s="227"/>
      <c r="B1591" s="131" t="s">
        <v>1392</v>
      </c>
      <c r="C1591" s="227">
        <v>97601</v>
      </c>
      <c r="D1591" s="392"/>
      <c r="H1591" s="226"/>
      <c r="J1591" s="389"/>
      <c r="K1591" s="226"/>
      <c r="P1591" s="226"/>
    </row>
    <row r="1592" spans="1:16384">
      <c r="A1592" s="227"/>
      <c r="B1592" s="131" t="s">
        <v>2645</v>
      </c>
      <c r="C1592" s="227">
        <v>93681</v>
      </c>
      <c r="D1592" s="392"/>
      <c r="H1592" s="226"/>
      <c r="J1592" s="390"/>
      <c r="K1592" s="226"/>
      <c r="P1592" s="226"/>
    </row>
    <row r="1593" spans="1:16384">
      <c r="A1593" s="227"/>
      <c r="B1593" s="131" t="s">
        <v>2646</v>
      </c>
      <c r="C1593" s="227">
        <v>97871</v>
      </c>
      <c r="D1593" s="392"/>
      <c r="H1593" s="226"/>
      <c r="J1593" s="389"/>
      <c r="K1593" s="226"/>
      <c r="P1593" s="226"/>
    </row>
    <row r="1594" spans="1:16384">
      <c r="A1594" s="227"/>
      <c r="B1594" s="131" t="s">
        <v>1430</v>
      </c>
      <c r="C1594" s="227">
        <v>97877</v>
      </c>
      <c r="D1594" s="392"/>
      <c r="H1594" s="226"/>
      <c r="J1594" s="389"/>
      <c r="K1594" s="226"/>
      <c r="P1594" s="226"/>
    </row>
    <row r="1595" spans="1:16384">
      <c r="A1595" s="227"/>
      <c r="B1595" s="131" t="s">
        <v>1575</v>
      </c>
      <c r="C1595" s="227">
        <v>99502</v>
      </c>
      <c r="D1595" s="392"/>
      <c r="H1595" s="226"/>
      <c r="J1595" s="389"/>
      <c r="K1595" s="226"/>
      <c r="P1595" s="226"/>
    </row>
    <row r="1596" spans="1:16384">
      <c r="A1596" s="227"/>
      <c r="B1596" s="131" t="s">
        <v>2004</v>
      </c>
      <c r="C1596" s="227">
        <v>97911</v>
      </c>
      <c r="D1596" s="392"/>
      <c r="H1596" s="226"/>
      <c r="J1596" s="389"/>
      <c r="K1596" s="226"/>
      <c r="P1596" s="226"/>
    </row>
    <row r="1597" spans="1:16384">
      <c r="A1597" s="227"/>
      <c r="B1597" s="131" t="s">
        <v>1434</v>
      </c>
      <c r="C1597" s="227">
        <v>97917</v>
      </c>
      <c r="D1597" s="392"/>
      <c r="H1597" s="226"/>
      <c r="J1597" s="389"/>
      <c r="K1597" s="226"/>
      <c r="P1597" s="226"/>
    </row>
    <row r="1598" spans="1:16384">
      <c r="A1598" s="392"/>
      <c r="B1598" s="393" t="s">
        <v>3739</v>
      </c>
      <c r="C1598" s="392">
        <v>91414</v>
      </c>
      <c r="D1598" s="393"/>
      <c r="E1598" s="392"/>
      <c r="F1598" s="393"/>
      <c r="G1598" s="392"/>
      <c r="H1598" s="393"/>
      <c r="I1598" s="392"/>
      <c r="J1598" s="393"/>
      <c r="K1598" s="392"/>
      <c r="L1598" s="393"/>
      <c r="M1598" s="392"/>
      <c r="N1598" s="393"/>
      <c r="O1598" s="392"/>
      <c r="P1598" s="393"/>
      <c r="Q1598" s="392"/>
      <c r="R1598" s="393"/>
      <c r="S1598" s="392"/>
      <c r="T1598" s="393"/>
      <c r="U1598" s="392"/>
      <c r="V1598" s="393"/>
      <c r="W1598" s="392"/>
      <c r="X1598" s="393"/>
      <c r="Y1598" s="392"/>
      <c r="Z1598" s="393"/>
      <c r="AA1598" s="392"/>
      <c r="AB1598" s="393"/>
      <c r="AC1598" s="392"/>
      <c r="AD1598" s="393"/>
      <c r="AE1598" s="392"/>
      <c r="AF1598" s="393"/>
      <c r="AG1598" s="392"/>
      <c r="AH1598" s="393"/>
      <c r="AI1598" s="392"/>
      <c r="AJ1598" s="393"/>
      <c r="AK1598" s="392"/>
      <c r="AL1598" s="393"/>
      <c r="AM1598" s="392"/>
      <c r="AN1598" s="393"/>
      <c r="AO1598" s="392"/>
      <c r="AP1598" s="393"/>
      <c r="AQ1598" s="392"/>
      <c r="AR1598" s="393"/>
      <c r="AS1598" s="392"/>
      <c r="AT1598" s="393"/>
      <c r="AU1598" s="392"/>
      <c r="AV1598" s="393"/>
      <c r="AW1598" s="392"/>
      <c r="AX1598" s="393"/>
      <c r="AY1598" s="392"/>
      <c r="AZ1598" s="393"/>
      <c r="BA1598" s="392"/>
      <c r="BB1598" s="393"/>
      <c r="BC1598" s="392"/>
      <c r="BD1598" s="393"/>
      <c r="BE1598" s="392"/>
      <c r="BF1598" s="393"/>
      <c r="BG1598" s="392"/>
      <c r="BH1598" s="393"/>
      <c r="BI1598" s="392"/>
      <c r="BJ1598" s="393"/>
      <c r="BK1598" s="392"/>
      <c r="BL1598" s="393"/>
      <c r="BM1598" s="392"/>
      <c r="BN1598" s="393"/>
      <c r="BO1598" s="392"/>
      <c r="BP1598" s="393"/>
      <c r="BQ1598" s="392"/>
      <c r="BR1598" s="393"/>
      <c r="BS1598" s="392"/>
      <c r="BT1598" s="393"/>
      <c r="BU1598" s="392"/>
      <c r="BV1598" s="393"/>
      <c r="BW1598" s="392"/>
      <c r="BX1598" s="393"/>
      <c r="BY1598" s="392"/>
      <c r="BZ1598" s="393"/>
      <c r="CA1598" s="392"/>
      <c r="CB1598" s="393"/>
      <c r="CC1598" s="392"/>
      <c r="CD1598" s="393"/>
      <c r="CE1598" s="392"/>
      <c r="CF1598" s="393"/>
      <c r="CG1598" s="392"/>
      <c r="CH1598" s="393"/>
      <c r="CI1598" s="392"/>
      <c r="CJ1598" s="393"/>
      <c r="CK1598" s="392"/>
      <c r="CL1598" s="393"/>
      <c r="CM1598" s="392"/>
      <c r="CN1598" s="393"/>
      <c r="CO1598" s="392"/>
      <c r="CP1598" s="393"/>
      <c r="CQ1598" s="392"/>
      <c r="CR1598" s="393"/>
      <c r="CS1598" s="392"/>
      <c r="CT1598" s="393"/>
      <c r="CU1598" s="392"/>
      <c r="CV1598" s="393"/>
      <c r="CW1598" s="392"/>
      <c r="CX1598" s="393"/>
      <c r="CY1598" s="392"/>
      <c r="CZ1598" s="393"/>
      <c r="DA1598" s="392"/>
      <c r="DB1598" s="393"/>
      <c r="DC1598" s="392"/>
      <c r="DD1598" s="393"/>
      <c r="DE1598" s="392"/>
      <c r="DF1598" s="393"/>
      <c r="DG1598" s="392"/>
      <c r="DH1598" s="393"/>
      <c r="DI1598" s="392"/>
      <c r="DJ1598" s="393"/>
      <c r="DK1598" s="392"/>
      <c r="DL1598" s="393"/>
      <c r="DM1598" s="392"/>
      <c r="DN1598" s="393"/>
      <c r="DO1598" s="392"/>
      <c r="DP1598" s="393"/>
      <c r="DQ1598" s="392"/>
      <c r="DR1598" s="393"/>
      <c r="DS1598" s="392"/>
      <c r="DT1598" s="393"/>
      <c r="DU1598" s="392"/>
      <c r="DV1598" s="393"/>
      <c r="DW1598" s="392"/>
      <c r="DX1598" s="393"/>
      <c r="DY1598" s="392"/>
      <c r="DZ1598" s="393"/>
      <c r="EA1598" s="392"/>
      <c r="EB1598" s="393"/>
      <c r="EC1598" s="392"/>
      <c r="ED1598" s="393"/>
      <c r="EE1598" s="392"/>
      <c r="EF1598" s="393"/>
      <c r="EG1598" s="392"/>
      <c r="EH1598" s="393"/>
      <c r="EI1598" s="392"/>
      <c r="EJ1598" s="393"/>
      <c r="EK1598" s="392"/>
      <c r="EL1598" s="393"/>
      <c r="EM1598" s="392"/>
      <c r="EN1598" s="393"/>
      <c r="EO1598" s="392"/>
      <c r="EP1598" s="393"/>
      <c r="EQ1598" s="392"/>
      <c r="ER1598" s="393"/>
      <c r="ES1598" s="392"/>
      <c r="ET1598" s="393"/>
      <c r="EU1598" s="392"/>
      <c r="EV1598" s="393"/>
      <c r="EW1598" s="392"/>
      <c r="EX1598" s="393"/>
      <c r="EY1598" s="392"/>
      <c r="EZ1598" s="393"/>
      <c r="FA1598" s="392"/>
      <c r="FB1598" s="393"/>
      <c r="FC1598" s="392"/>
      <c r="FD1598" s="393"/>
      <c r="FE1598" s="392"/>
      <c r="FF1598" s="393"/>
      <c r="FG1598" s="392"/>
      <c r="FH1598" s="393"/>
      <c r="FI1598" s="392"/>
      <c r="FJ1598" s="393"/>
      <c r="FK1598" s="392"/>
      <c r="FL1598" s="393"/>
      <c r="FM1598" s="392"/>
      <c r="FN1598" s="393"/>
      <c r="FO1598" s="392"/>
      <c r="FP1598" s="393"/>
      <c r="FQ1598" s="392"/>
      <c r="FR1598" s="393"/>
      <c r="FS1598" s="392"/>
      <c r="FT1598" s="393"/>
      <c r="FU1598" s="392"/>
      <c r="FV1598" s="393"/>
      <c r="FW1598" s="392"/>
      <c r="FX1598" s="393"/>
      <c r="FY1598" s="392"/>
      <c r="FZ1598" s="393"/>
      <c r="GA1598" s="392"/>
      <c r="GB1598" s="393"/>
      <c r="GC1598" s="392"/>
      <c r="GD1598" s="393"/>
      <c r="GE1598" s="392"/>
      <c r="GF1598" s="393"/>
      <c r="GG1598" s="392"/>
      <c r="GH1598" s="393"/>
      <c r="GI1598" s="392"/>
      <c r="GJ1598" s="393"/>
      <c r="GK1598" s="392"/>
      <c r="GL1598" s="393"/>
      <c r="GM1598" s="392"/>
      <c r="GN1598" s="393"/>
      <c r="GO1598" s="392"/>
      <c r="GP1598" s="393"/>
      <c r="GQ1598" s="392"/>
      <c r="GR1598" s="393"/>
      <c r="GS1598" s="392"/>
      <c r="GT1598" s="393"/>
      <c r="GU1598" s="392"/>
      <c r="GV1598" s="393"/>
      <c r="GW1598" s="392"/>
      <c r="GX1598" s="393"/>
      <c r="GY1598" s="392"/>
      <c r="GZ1598" s="393"/>
      <c r="HA1598" s="392"/>
      <c r="HB1598" s="393"/>
      <c r="HC1598" s="392"/>
      <c r="HD1598" s="393"/>
      <c r="HE1598" s="392"/>
      <c r="HF1598" s="393"/>
      <c r="HG1598" s="392"/>
      <c r="HH1598" s="393"/>
      <c r="HI1598" s="392"/>
      <c r="HJ1598" s="393"/>
      <c r="HK1598" s="392"/>
      <c r="HL1598" s="393"/>
      <c r="HM1598" s="392"/>
      <c r="HN1598" s="393"/>
      <c r="HO1598" s="392"/>
      <c r="HP1598" s="393"/>
      <c r="HQ1598" s="392"/>
      <c r="HR1598" s="393"/>
      <c r="HS1598" s="392"/>
      <c r="HT1598" s="393"/>
      <c r="HU1598" s="392"/>
      <c r="HV1598" s="393"/>
      <c r="HW1598" s="392"/>
      <c r="HX1598" s="393"/>
      <c r="HY1598" s="392"/>
      <c r="HZ1598" s="393"/>
      <c r="IA1598" s="392"/>
      <c r="IB1598" s="393"/>
      <c r="IC1598" s="392"/>
      <c r="ID1598" s="393"/>
      <c r="IE1598" s="392"/>
      <c r="IF1598" s="393"/>
      <c r="IG1598" s="392"/>
      <c r="IH1598" s="393"/>
      <c r="II1598" s="392"/>
      <c r="IJ1598" s="393"/>
      <c r="IK1598" s="392"/>
      <c r="IL1598" s="393"/>
      <c r="IM1598" s="392"/>
      <c r="IN1598" s="393"/>
      <c r="IO1598" s="392"/>
      <c r="IP1598" s="393"/>
      <c r="IQ1598" s="392"/>
      <c r="IR1598" s="393"/>
      <c r="IS1598" s="392"/>
      <c r="IT1598" s="393"/>
      <c r="IU1598" s="392"/>
      <c r="IV1598" s="393"/>
      <c r="IW1598" s="392"/>
      <c r="IX1598" s="393"/>
      <c r="IY1598" s="392"/>
      <c r="IZ1598" s="393"/>
      <c r="JA1598" s="392"/>
      <c r="JB1598" s="393"/>
      <c r="JC1598" s="392"/>
      <c r="JD1598" s="393"/>
      <c r="JE1598" s="392"/>
      <c r="JF1598" s="393"/>
      <c r="JG1598" s="392"/>
      <c r="JH1598" s="393"/>
      <c r="JI1598" s="392"/>
      <c r="JJ1598" s="393"/>
      <c r="JK1598" s="392"/>
      <c r="JL1598" s="393"/>
      <c r="JM1598" s="392"/>
      <c r="JN1598" s="393"/>
      <c r="JO1598" s="392"/>
      <c r="JP1598" s="393"/>
      <c r="JQ1598" s="392"/>
      <c r="JR1598" s="393"/>
      <c r="JS1598" s="392"/>
      <c r="JT1598" s="393"/>
      <c r="JU1598" s="392"/>
      <c r="JV1598" s="393"/>
      <c r="JW1598" s="392"/>
      <c r="JX1598" s="393"/>
      <c r="JY1598" s="392"/>
      <c r="JZ1598" s="393"/>
      <c r="KA1598" s="392"/>
      <c r="KB1598" s="393"/>
      <c r="KC1598" s="392"/>
      <c r="KD1598" s="393"/>
      <c r="KE1598" s="392"/>
      <c r="KF1598" s="393"/>
      <c r="KG1598" s="392"/>
      <c r="KH1598" s="393"/>
      <c r="KI1598" s="392"/>
      <c r="KJ1598" s="393"/>
      <c r="KK1598" s="392"/>
      <c r="KL1598" s="393"/>
      <c r="KM1598" s="392"/>
      <c r="KN1598" s="393"/>
      <c r="KO1598" s="392"/>
      <c r="KP1598" s="393"/>
      <c r="KQ1598" s="392"/>
      <c r="KR1598" s="393"/>
      <c r="KS1598" s="392"/>
      <c r="KT1598" s="393"/>
      <c r="KU1598" s="392"/>
      <c r="KV1598" s="393"/>
      <c r="KW1598" s="392"/>
      <c r="KX1598" s="393"/>
      <c r="KY1598" s="392"/>
      <c r="KZ1598" s="393"/>
      <c r="LA1598" s="392"/>
      <c r="LB1598" s="393"/>
      <c r="LC1598" s="392"/>
      <c r="LD1598" s="393"/>
      <c r="LE1598" s="392"/>
      <c r="LF1598" s="393"/>
      <c r="LG1598" s="392"/>
      <c r="LH1598" s="393"/>
      <c r="LI1598" s="392"/>
      <c r="LJ1598" s="393"/>
      <c r="LK1598" s="392"/>
      <c r="LL1598" s="393"/>
      <c r="LM1598" s="392"/>
      <c r="LN1598" s="393"/>
      <c r="LO1598" s="392"/>
      <c r="LP1598" s="393"/>
      <c r="LQ1598" s="392"/>
      <c r="LR1598" s="393"/>
      <c r="LS1598" s="392"/>
      <c r="LT1598" s="393"/>
      <c r="LU1598" s="392"/>
      <c r="LV1598" s="393"/>
      <c r="LW1598" s="392"/>
      <c r="LX1598" s="393"/>
      <c r="LY1598" s="392"/>
      <c r="LZ1598" s="393"/>
      <c r="MA1598" s="392"/>
      <c r="MB1598" s="393"/>
      <c r="MC1598" s="392"/>
      <c r="MD1598" s="393"/>
      <c r="ME1598" s="392"/>
      <c r="MF1598" s="393"/>
      <c r="MG1598" s="392"/>
      <c r="MH1598" s="393"/>
      <c r="MI1598" s="392"/>
      <c r="MJ1598" s="393"/>
      <c r="MK1598" s="392"/>
      <c r="ML1598" s="393"/>
      <c r="MM1598" s="392"/>
      <c r="MN1598" s="393"/>
      <c r="MO1598" s="392"/>
      <c r="MP1598" s="393"/>
      <c r="MQ1598" s="392"/>
      <c r="MR1598" s="393"/>
      <c r="MS1598" s="392"/>
      <c r="MT1598" s="393"/>
      <c r="MU1598" s="392"/>
      <c r="MV1598" s="393"/>
      <c r="MW1598" s="392"/>
      <c r="MX1598" s="393"/>
      <c r="MY1598" s="392"/>
      <c r="MZ1598" s="393"/>
      <c r="NA1598" s="392"/>
      <c r="NB1598" s="393"/>
      <c r="NC1598" s="392"/>
      <c r="ND1598" s="393"/>
      <c r="NE1598" s="392"/>
      <c r="NF1598" s="393"/>
      <c r="NG1598" s="392"/>
      <c r="NH1598" s="393"/>
      <c r="NI1598" s="392"/>
      <c r="NJ1598" s="393"/>
      <c r="NK1598" s="392"/>
      <c r="NL1598" s="393"/>
      <c r="NM1598" s="392"/>
      <c r="NN1598" s="393"/>
      <c r="NO1598" s="392"/>
      <c r="NP1598" s="393"/>
      <c r="NQ1598" s="392"/>
      <c r="NR1598" s="393"/>
      <c r="NS1598" s="392"/>
      <c r="NT1598" s="393"/>
      <c r="NU1598" s="392"/>
      <c r="NV1598" s="393"/>
      <c r="NW1598" s="392"/>
      <c r="NX1598" s="393"/>
      <c r="NY1598" s="392"/>
      <c r="NZ1598" s="393"/>
      <c r="OA1598" s="392"/>
      <c r="OB1598" s="393"/>
      <c r="OC1598" s="392"/>
      <c r="OD1598" s="393"/>
      <c r="OE1598" s="392"/>
      <c r="OF1598" s="393"/>
      <c r="OG1598" s="392"/>
      <c r="OH1598" s="393"/>
      <c r="OI1598" s="392"/>
      <c r="OJ1598" s="393"/>
      <c r="OK1598" s="392"/>
      <c r="OL1598" s="393"/>
      <c r="OM1598" s="392"/>
      <c r="ON1598" s="393"/>
      <c r="OO1598" s="392"/>
      <c r="OP1598" s="393"/>
      <c r="OQ1598" s="392"/>
      <c r="OR1598" s="393"/>
      <c r="OS1598" s="392"/>
      <c r="OT1598" s="393"/>
      <c r="OU1598" s="392"/>
      <c r="OV1598" s="393"/>
      <c r="OW1598" s="392"/>
      <c r="OX1598" s="393"/>
      <c r="OY1598" s="392"/>
      <c r="OZ1598" s="393"/>
      <c r="PA1598" s="392"/>
      <c r="PB1598" s="393"/>
      <c r="PC1598" s="392"/>
      <c r="PD1598" s="393"/>
      <c r="PE1598" s="392"/>
      <c r="PF1598" s="393"/>
      <c r="PG1598" s="392"/>
      <c r="PH1598" s="393"/>
      <c r="PI1598" s="392"/>
      <c r="PJ1598" s="393"/>
      <c r="PK1598" s="392"/>
      <c r="PL1598" s="393"/>
      <c r="PM1598" s="392"/>
      <c r="PN1598" s="393"/>
      <c r="PO1598" s="392"/>
      <c r="PP1598" s="393"/>
      <c r="PQ1598" s="392"/>
      <c r="PR1598" s="393"/>
      <c r="PS1598" s="392"/>
      <c r="PT1598" s="393"/>
      <c r="PU1598" s="392"/>
      <c r="PV1598" s="393"/>
      <c r="PW1598" s="392"/>
      <c r="PX1598" s="393"/>
      <c r="PY1598" s="392"/>
      <c r="PZ1598" s="393"/>
      <c r="QA1598" s="392"/>
      <c r="QB1598" s="393"/>
      <c r="QC1598" s="392"/>
      <c r="QD1598" s="393"/>
      <c r="QE1598" s="392"/>
      <c r="QF1598" s="393"/>
      <c r="QG1598" s="392"/>
      <c r="QH1598" s="393"/>
      <c r="QI1598" s="392"/>
      <c r="QJ1598" s="393"/>
      <c r="QK1598" s="392"/>
      <c r="QL1598" s="393"/>
      <c r="QM1598" s="392"/>
      <c r="QN1598" s="393"/>
      <c r="QO1598" s="392"/>
      <c r="QP1598" s="393"/>
      <c r="QQ1598" s="392"/>
      <c r="QR1598" s="393"/>
      <c r="QS1598" s="392"/>
      <c r="QT1598" s="393"/>
      <c r="QU1598" s="392"/>
      <c r="QV1598" s="393"/>
      <c r="QW1598" s="392"/>
      <c r="QX1598" s="393"/>
      <c r="QY1598" s="392"/>
      <c r="QZ1598" s="393"/>
      <c r="RA1598" s="392"/>
      <c r="RB1598" s="393"/>
      <c r="RC1598" s="392"/>
      <c r="RD1598" s="393"/>
      <c r="RE1598" s="392"/>
      <c r="RF1598" s="393"/>
      <c r="RG1598" s="392"/>
      <c r="RH1598" s="393"/>
      <c r="RI1598" s="392"/>
      <c r="RJ1598" s="393"/>
      <c r="RK1598" s="392"/>
      <c r="RL1598" s="393"/>
      <c r="RM1598" s="392"/>
      <c r="RN1598" s="393"/>
      <c r="RO1598" s="392"/>
      <c r="RP1598" s="393"/>
      <c r="RQ1598" s="392"/>
      <c r="RR1598" s="393"/>
      <c r="RS1598" s="392"/>
      <c r="RT1598" s="393"/>
      <c r="RU1598" s="392"/>
      <c r="RV1598" s="393"/>
      <c r="RW1598" s="392"/>
      <c r="RX1598" s="393"/>
      <c r="RY1598" s="392"/>
      <c r="RZ1598" s="393"/>
      <c r="SA1598" s="392"/>
      <c r="SB1598" s="393"/>
      <c r="SC1598" s="392"/>
      <c r="SD1598" s="393"/>
      <c r="SE1598" s="392"/>
      <c r="SF1598" s="393"/>
      <c r="SG1598" s="392"/>
      <c r="SH1598" s="393"/>
      <c r="SI1598" s="392"/>
      <c r="SJ1598" s="393"/>
      <c r="SK1598" s="392"/>
      <c r="SL1598" s="393"/>
      <c r="SM1598" s="392"/>
      <c r="SN1598" s="393"/>
      <c r="SO1598" s="392"/>
      <c r="SP1598" s="393"/>
      <c r="SQ1598" s="392"/>
      <c r="SR1598" s="393"/>
      <c r="SS1598" s="392"/>
      <c r="ST1598" s="393"/>
      <c r="SU1598" s="392"/>
      <c r="SV1598" s="393"/>
      <c r="SW1598" s="392"/>
      <c r="SX1598" s="393"/>
      <c r="SY1598" s="392"/>
      <c r="SZ1598" s="393"/>
      <c r="TA1598" s="392"/>
      <c r="TB1598" s="393"/>
      <c r="TC1598" s="392"/>
      <c r="TD1598" s="393"/>
      <c r="TE1598" s="392"/>
      <c r="TF1598" s="393"/>
      <c r="TG1598" s="392"/>
      <c r="TH1598" s="393"/>
      <c r="TI1598" s="392"/>
      <c r="TJ1598" s="393"/>
      <c r="TK1598" s="392"/>
      <c r="TL1598" s="393"/>
      <c r="TM1598" s="392"/>
      <c r="TN1598" s="393"/>
      <c r="TO1598" s="392"/>
      <c r="TP1598" s="393"/>
      <c r="TQ1598" s="392"/>
      <c r="TR1598" s="393"/>
      <c r="TS1598" s="392"/>
      <c r="TT1598" s="393"/>
      <c r="TU1598" s="392"/>
      <c r="TV1598" s="393"/>
      <c r="TW1598" s="392"/>
      <c r="TX1598" s="393"/>
      <c r="TY1598" s="392"/>
      <c r="TZ1598" s="393"/>
      <c r="UA1598" s="392"/>
      <c r="UB1598" s="393"/>
      <c r="UC1598" s="392"/>
      <c r="UD1598" s="393"/>
      <c r="UE1598" s="392"/>
      <c r="UF1598" s="393"/>
      <c r="UG1598" s="392"/>
      <c r="UH1598" s="393"/>
      <c r="UI1598" s="392"/>
      <c r="UJ1598" s="393"/>
      <c r="UK1598" s="392"/>
      <c r="UL1598" s="393"/>
      <c r="UM1598" s="392"/>
      <c r="UN1598" s="393"/>
      <c r="UO1598" s="392"/>
      <c r="UP1598" s="393"/>
      <c r="UQ1598" s="392"/>
      <c r="UR1598" s="393"/>
      <c r="US1598" s="392"/>
      <c r="UT1598" s="393"/>
      <c r="UU1598" s="392"/>
      <c r="UV1598" s="393"/>
      <c r="UW1598" s="392"/>
      <c r="UX1598" s="393"/>
      <c r="UY1598" s="392"/>
      <c r="UZ1598" s="393"/>
      <c r="VA1598" s="392"/>
      <c r="VB1598" s="393"/>
      <c r="VC1598" s="392"/>
      <c r="VD1598" s="393"/>
      <c r="VE1598" s="392"/>
      <c r="VF1598" s="393"/>
      <c r="VG1598" s="392"/>
      <c r="VH1598" s="393"/>
      <c r="VI1598" s="392"/>
      <c r="VJ1598" s="393"/>
      <c r="VK1598" s="392"/>
      <c r="VL1598" s="393"/>
      <c r="VM1598" s="392"/>
      <c r="VN1598" s="393"/>
      <c r="VO1598" s="392"/>
      <c r="VP1598" s="393"/>
      <c r="VQ1598" s="392"/>
      <c r="VR1598" s="393"/>
      <c r="VS1598" s="392"/>
      <c r="VT1598" s="393"/>
      <c r="VU1598" s="392"/>
      <c r="VV1598" s="393"/>
      <c r="VW1598" s="392"/>
      <c r="VX1598" s="393"/>
      <c r="VY1598" s="392"/>
      <c r="VZ1598" s="393"/>
      <c r="WA1598" s="392"/>
      <c r="WB1598" s="393"/>
      <c r="WC1598" s="392"/>
      <c r="WD1598" s="393"/>
      <c r="WE1598" s="392"/>
      <c r="WF1598" s="393"/>
      <c r="WG1598" s="392"/>
      <c r="WH1598" s="393"/>
      <c r="WI1598" s="392"/>
      <c r="WJ1598" s="393"/>
      <c r="WK1598" s="392"/>
      <c r="WL1598" s="393"/>
      <c r="WM1598" s="392"/>
      <c r="WN1598" s="393"/>
      <c r="WO1598" s="392"/>
      <c r="WP1598" s="393"/>
      <c r="WQ1598" s="392"/>
      <c r="WR1598" s="393"/>
      <c r="WS1598" s="392"/>
      <c r="WT1598" s="393"/>
      <c r="WU1598" s="392"/>
      <c r="WV1598" s="393"/>
      <c r="WW1598" s="392"/>
      <c r="WX1598" s="393"/>
      <c r="WY1598" s="392"/>
      <c r="WZ1598" s="393"/>
      <c r="XA1598" s="392"/>
      <c r="XB1598" s="393"/>
      <c r="XC1598" s="392"/>
      <c r="XD1598" s="393"/>
      <c r="XE1598" s="392"/>
      <c r="XF1598" s="393"/>
      <c r="XG1598" s="392"/>
      <c r="XH1598" s="393"/>
      <c r="XI1598" s="392"/>
      <c r="XJ1598" s="393"/>
      <c r="XK1598" s="392"/>
      <c r="XL1598" s="393"/>
      <c r="XM1598" s="392"/>
      <c r="XN1598" s="393"/>
      <c r="XO1598" s="392"/>
      <c r="XP1598" s="393"/>
      <c r="XQ1598" s="392"/>
      <c r="XR1598" s="393"/>
      <c r="XS1598" s="392"/>
      <c r="XT1598" s="393"/>
      <c r="XU1598" s="392"/>
      <c r="XV1598" s="393"/>
      <c r="XW1598" s="392"/>
      <c r="XX1598" s="393"/>
      <c r="XY1598" s="392"/>
      <c r="XZ1598" s="393"/>
      <c r="YA1598" s="392"/>
      <c r="YB1598" s="393"/>
      <c r="YC1598" s="392"/>
      <c r="YD1598" s="393"/>
      <c r="YE1598" s="392"/>
      <c r="YF1598" s="393"/>
      <c r="YG1598" s="392"/>
      <c r="YH1598" s="393"/>
      <c r="YI1598" s="392"/>
      <c r="YJ1598" s="393"/>
      <c r="YK1598" s="392"/>
      <c r="YL1598" s="393"/>
      <c r="YM1598" s="392"/>
      <c r="YN1598" s="393"/>
      <c r="YO1598" s="392"/>
      <c r="YP1598" s="393"/>
      <c r="YQ1598" s="392"/>
      <c r="YR1598" s="393"/>
      <c r="YS1598" s="392"/>
      <c r="YT1598" s="393"/>
      <c r="YU1598" s="392"/>
      <c r="YV1598" s="393"/>
      <c r="YW1598" s="392"/>
      <c r="YX1598" s="393"/>
      <c r="YY1598" s="392"/>
      <c r="YZ1598" s="393"/>
      <c r="ZA1598" s="392"/>
      <c r="ZB1598" s="393"/>
      <c r="ZC1598" s="392"/>
      <c r="ZD1598" s="393"/>
      <c r="ZE1598" s="392"/>
      <c r="ZF1598" s="393"/>
      <c r="ZG1598" s="392"/>
      <c r="ZH1598" s="393"/>
      <c r="ZI1598" s="392"/>
      <c r="ZJ1598" s="393"/>
      <c r="ZK1598" s="392"/>
      <c r="ZL1598" s="393"/>
      <c r="ZM1598" s="392"/>
      <c r="ZN1598" s="393"/>
      <c r="ZO1598" s="392"/>
      <c r="ZP1598" s="393"/>
      <c r="ZQ1598" s="392"/>
      <c r="ZR1598" s="393"/>
      <c r="ZS1598" s="392"/>
      <c r="ZT1598" s="393"/>
      <c r="ZU1598" s="392"/>
      <c r="ZV1598" s="393"/>
      <c r="ZW1598" s="392"/>
      <c r="ZX1598" s="393"/>
      <c r="ZY1598" s="392"/>
      <c r="ZZ1598" s="393"/>
      <c r="AAA1598" s="392"/>
      <c r="AAB1598" s="393"/>
      <c r="AAC1598" s="392"/>
      <c r="AAD1598" s="393"/>
      <c r="AAE1598" s="392"/>
      <c r="AAF1598" s="393"/>
      <c r="AAG1598" s="392"/>
      <c r="AAH1598" s="393"/>
      <c r="AAI1598" s="392"/>
      <c r="AAJ1598" s="393"/>
      <c r="AAK1598" s="392"/>
      <c r="AAL1598" s="393"/>
      <c r="AAM1598" s="392"/>
      <c r="AAN1598" s="393"/>
      <c r="AAO1598" s="392"/>
      <c r="AAP1598" s="393"/>
      <c r="AAQ1598" s="392"/>
      <c r="AAR1598" s="393"/>
      <c r="AAS1598" s="392"/>
      <c r="AAT1598" s="393"/>
      <c r="AAU1598" s="392"/>
      <c r="AAV1598" s="393"/>
      <c r="AAW1598" s="392"/>
      <c r="AAX1598" s="393"/>
      <c r="AAY1598" s="392"/>
      <c r="AAZ1598" s="393"/>
      <c r="ABA1598" s="392"/>
      <c r="ABB1598" s="393"/>
      <c r="ABC1598" s="392"/>
      <c r="ABD1598" s="393"/>
      <c r="ABE1598" s="392"/>
      <c r="ABF1598" s="393"/>
      <c r="ABG1598" s="392"/>
      <c r="ABH1598" s="393"/>
      <c r="ABI1598" s="392"/>
      <c r="ABJ1598" s="393"/>
      <c r="ABK1598" s="392"/>
      <c r="ABL1598" s="393"/>
      <c r="ABM1598" s="392"/>
      <c r="ABN1598" s="393"/>
      <c r="ABO1598" s="392"/>
      <c r="ABP1598" s="393"/>
      <c r="ABQ1598" s="392"/>
      <c r="ABR1598" s="393"/>
      <c r="ABS1598" s="392"/>
      <c r="ABT1598" s="393"/>
      <c r="ABU1598" s="392"/>
      <c r="ABV1598" s="393"/>
      <c r="ABW1598" s="392"/>
      <c r="ABX1598" s="393"/>
      <c r="ABY1598" s="392"/>
      <c r="ABZ1598" s="393"/>
      <c r="ACA1598" s="392"/>
      <c r="ACB1598" s="393"/>
      <c r="ACC1598" s="392"/>
      <c r="ACD1598" s="393"/>
      <c r="ACE1598" s="392"/>
      <c r="ACF1598" s="393"/>
      <c r="ACG1598" s="392"/>
      <c r="ACH1598" s="393"/>
      <c r="ACI1598" s="392"/>
      <c r="ACJ1598" s="393"/>
      <c r="ACK1598" s="392"/>
      <c r="ACL1598" s="393"/>
      <c r="ACM1598" s="392"/>
      <c r="ACN1598" s="393"/>
      <c r="ACO1598" s="392"/>
      <c r="ACP1598" s="393"/>
      <c r="ACQ1598" s="392"/>
      <c r="ACR1598" s="393"/>
      <c r="ACS1598" s="392"/>
      <c r="ACT1598" s="393"/>
      <c r="ACU1598" s="392"/>
      <c r="ACV1598" s="393"/>
      <c r="ACW1598" s="392"/>
      <c r="ACX1598" s="393"/>
      <c r="ACY1598" s="392"/>
      <c r="ACZ1598" s="393"/>
      <c r="ADA1598" s="392"/>
      <c r="ADB1598" s="393"/>
      <c r="ADC1598" s="392"/>
      <c r="ADD1598" s="393"/>
      <c r="ADE1598" s="392"/>
      <c r="ADF1598" s="393"/>
      <c r="ADG1598" s="392"/>
      <c r="ADH1598" s="393"/>
      <c r="ADI1598" s="392"/>
      <c r="ADJ1598" s="393"/>
      <c r="ADK1598" s="392"/>
      <c r="ADL1598" s="393"/>
      <c r="ADM1598" s="392"/>
      <c r="ADN1598" s="393"/>
      <c r="ADO1598" s="392"/>
      <c r="ADP1598" s="393"/>
      <c r="ADQ1598" s="392"/>
      <c r="ADR1598" s="393"/>
      <c r="ADS1598" s="392"/>
      <c r="ADT1598" s="393"/>
      <c r="ADU1598" s="392"/>
      <c r="ADV1598" s="393"/>
      <c r="ADW1598" s="392"/>
      <c r="ADX1598" s="393"/>
      <c r="ADY1598" s="392"/>
      <c r="ADZ1598" s="393"/>
      <c r="AEA1598" s="392"/>
      <c r="AEB1598" s="393"/>
      <c r="AEC1598" s="392"/>
      <c r="AED1598" s="393"/>
      <c r="AEE1598" s="392"/>
      <c r="AEF1598" s="393"/>
      <c r="AEG1598" s="392"/>
      <c r="AEH1598" s="393"/>
      <c r="AEI1598" s="392"/>
      <c r="AEJ1598" s="393"/>
      <c r="AEK1598" s="392"/>
      <c r="AEL1598" s="393"/>
      <c r="AEM1598" s="392"/>
      <c r="AEN1598" s="393"/>
      <c r="AEO1598" s="392"/>
      <c r="AEP1598" s="393"/>
      <c r="AEQ1598" s="392"/>
      <c r="AER1598" s="393"/>
      <c r="AES1598" s="392"/>
      <c r="AET1598" s="393"/>
      <c r="AEU1598" s="392"/>
      <c r="AEV1598" s="393"/>
      <c r="AEW1598" s="392"/>
      <c r="AEX1598" s="393"/>
      <c r="AEY1598" s="392"/>
      <c r="AEZ1598" s="393"/>
      <c r="AFA1598" s="392"/>
      <c r="AFB1598" s="393"/>
      <c r="AFC1598" s="392"/>
      <c r="AFD1598" s="393"/>
      <c r="AFE1598" s="392"/>
      <c r="AFF1598" s="393"/>
      <c r="AFG1598" s="392"/>
      <c r="AFH1598" s="393"/>
      <c r="AFI1598" s="392"/>
      <c r="AFJ1598" s="393"/>
      <c r="AFK1598" s="392"/>
      <c r="AFL1598" s="393"/>
      <c r="AFM1598" s="392"/>
      <c r="AFN1598" s="393"/>
      <c r="AFO1598" s="392"/>
      <c r="AFP1598" s="393"/>
      <c r="AFQ1598" s="392"/>
      <c r="AFR1598" s="393"/>
      <c r="AFS1598" s="392"/>
      <c r="AFT1598" s="393"/>
      <c r="AFU1598" s="392"/>
      <c r="AFV1598" s="393"/>
      <c r="AFW1598" s="392"/>
      <c r="AFX1598" s="393"/>
      <c r="AFY1598" s="392"/>
      <c r="AFZ1598" s="393"/>
      <c r="AGA1598" s="392"/>
      <c r="AGB1598" s="393"/>
      <c r="AGC1598" s="392"/>
      <c r="AGD1598" s="393"/>
      <c r="AGE1598" s="392"/>
      <c r="AGF1598" s="393"/>
      <c r="AGG1598" s="392"/>
      <c r="AGH1598" s="393"/>
      <c r="AGI1598" s="392"/>
      <c r="AGJ1598" s="393"/>
      <c r="AGK1598" s="392"/>
      <c r="AGL1598" s="393"/>
      <c r="AGM1598" s="392"/>
      <c r="AGN1598" s="393"/>
      <c r="AGO1598" s="392"/>
      <c r="AGP1598" s="393"/>
      <c r="AGQ1598" s="392"/>
      <c r="AGR1598" s="393"/>
      <c r="AGS1598" s="392"/>
      <c r="AGT1598" s="393"/>
      <c r="AGU1598" s="392"/>
      <c r="AGV1598" s="393"/>
      <c r="AGW1598" s="392"/>
      <c r="AGX1598" s="393"/>
      <c r="AGY1598" s="392"/>
      <c r="AGZ1598" s="393"/>
      <c r="AHA1598" s="392"/>
      <c r="AHB1598" s="393"/>
      <c r="AHC1598" s="392"/>
      <c r="AHD1598" s="393"/>
      <c r="AHE1598" s="392"/>
      <c r="AHF1598" s="393"/>
      <c r="AHG1598" s="392"/>
      <c r="AHH1598" s="393"/>
      <c r="AHI1598" s="392"/>
      <c r="AHJ1598" s="393"/>
      <c r="AHK1598" s="392"/>
      <c r="AHL1598" s="393"/>
      <c r="AHM1598" s="392"/>
      <c r="AHN1598" s="393"/>
      <c r="AHO1598" s="392"/>
      <c r="AHP1598" s="393"/>
      <c r="AHQ1598" s="392"/>
      <c r="AHR1598" s="393"/>
      <c r="AHS1598" s="392"/>
      <c r="AHT1598" s="393"/>
      <c r="AHU1598" s="392"/>
      <c r="AHV1598" s="393"/>
      <c r="AHW1598" s="392"/>
      <c r="AHX1598" s="393"/>
      <c r="AHY1598" s="392"/>
      <c r="AHZ1598" s="393"/>
      <c r="AIA1598" s="392"/>
      <c r="AIB1598" s="393"/>
      <c r="AIC1598" s="392"/>
      <c r="AID1598" s="393"/>
      <c r="AIE1598" s="392"/>
      <c r="AIF1598" s="393"/>
      <c r="AIG1598" s="392"/>
      <c r="AIH1598" s="393"/>
      <c r="AII1598" s="392"/>
      <c r="AIJ1598" s="393"/>
      <c r="AIK1598" s="392"/>
      <c r="AIL1598" s="393"/>
      <c r="AIM1598" s="392"/>
      <c r="AIN1598" s="393"/>
      <c r="AIO1598" s="392"/>
      <c r="AIP1598" s="393"/>
      <c r="AIQ1598" s="392"/>
      <c r="AIR1598" s="393"/>
      <c r="AIS1598" s="392"/>
      <c r="AIT1598" s="393"/>
      <c r="AIU1598" s="392"/>
      <c r="AIV1598" s="393"/>
      <c r="AIW1598" s="392"/>
      <c r="AIX1598" s="393"/>
      <c r="AIY1598" s="392"/>
      <c r="AIZ1598" s="393"/>
      <c r="AJA1598" s="392"/>
      <c r="AJB1598" s="393"/>
      <c r="AJC1598" s="392"/>
      <c r="AJD1598" s="393"/>
      <c r="AJE1598" s="392"/>
      <c r="AJF1598" s="393"/>
      <c r="AJG1598" s="392"/>
      <c r="AJH1598" s="393"/>
      <c r="AJI1598" s="392"/>
      <c r="AJJ1598" s="393"/>
      <c r="AJK1598" s="392"/>
      <c r="AJL1598" s="393"/>
      <c r="AJM1598" s="392"/>
      <c r="AJN1598" s="393"/>
      <c r="AJO1598" s="392"/>
      <c r="AJP1598" s="393"/>
      <c r="AJQ1598" s="392"/>
      <c r="AJR1598" s="393"/>
      <c r="AJS1598" s="392"/>
      <c r="AJT1598" s="393"/>
      <c r="AJU1598" s="392"/>
      <c r="AJV1598" s="393"/>
      <c r="AJW1598" s="392"/>
      <c r="AJX1598" s="393"/>
      <c r="AJY1598" s="392"/>
      <c r="AJZ1598" s="393"/>
      <c r="AKA1598" s="392"/>
      <c r="AKB1598" s="393"/>
      <c r="AKC1598" s="392"/>
      <c r="AKD1598" s="393"/>
      <c r="AKE1598" s="392"/>
      <c r="AKF1598" s="393"/>
      <c r="AKG1598" s="392"/>
      <c r="AKH1598" s="393"/>
      <c r="AKI1598" s="392"/>
      <c r="AKJ1598" s="393"/>
      <c r="AKK1598" s="392"/>
      <c r="AKL1598" s="393"/>
      <c r="AKM1598" s="392"/>
      <c r="AKN1598" s="393"/>
      <c r="AKO1598" s="392"/>
      <c r="AKP1598" s="393"/>
      <c r="AKQ1598" s="392"/>
      <c r="AKR1598" s="393"/>
      <c r="AKS1598" s="392"/>
      <c r="AKT1598" s="393"/>
      <c r="AKU1598" s="392"/>
      <c r="AKV1598" s="393"/>
      <c r="AKW1598" s="392"/>
      <c r="AKX1598" s="393"/>
      <c r="AKY1598" s="392"/>
      <c r="AKZ1598" s="393"/>
      <c r="ALA1598" s="392"/>
      <c r="ALB1598" s="393"/>
      <c r="ALC1598" s="392"/>
      <c r="ALD1598" s="393"/>
      <c r="ALE1598" s="392"/>
      <c r="ALF1598" s="393"/>
      <c r="ALG1598" s="392"/>
      <c r="ALH1598" s="393"/>
      <c r="ALI1598" s="392"/>
      <c r="ALJ1598" s="393"/>
      <c r="ALK1598" s="392"/>
      <c r="ALL1598" s="393"/>
      <c r="ALM1598" s="392"/>
      <c r="ALN1598" s="393"/>
      <c r="ALO1598" s="392"/>
      <c r="ALP1598" s="393"/>
      <c r="ALQ1598" s="392"/>
      <c r="ALR1598" s="393"/>
      <c r="ALS1598" s="392"/>
      <c r="ALT1598" s="393"/>
      <c r="ALU1598" s="392"/>
      <c r="ALV1598" s="393"/>
      <c r="ALW1598" s="392"/>
      <c r="ALX1598" s="393"/>
      <c r="ALY1598" s="392"/>
      <c r="ALZ1598" s="393"/>
      <c r="AMA1598" s="392"/>
      <c r="AMB1598" s="393"/>
      <c r="AMC1598" s="392"/>
      <c r="AMD1598" s="393"/>
      <c r="AME1598" s="392"/>
      <c r="AMF1598" s="393"/>
      <c r="AMG1598" s="392"/>
      <c r="AMH1598" s="393"/>
      <c r="AMI1598" s="392"/>
      <c r="AMJ1598" s="393"/>
      <c r="AMK1598" s="392"/>
      <c r="AML1598" s="393"/>
      <c r="AMM1598" s="392"/>
      <c r="AMN1598" s="393"/>
      <c r="AMO1598" s="392"/>
      <c r="AMP1598" s="393"/>
      <c r="AMQ1598" s="392"/>
      <c r="AMR1598" s="393"/>
      <c r="AMS1598" s="392"/>
      <c r="AMT1598" s="393"/>
      <c r="AMU1598" s="392"/>
      <c r="AMV1598" s="393"/>
      <c r="AMW1598" s="392"/>
      <c r="AMX1598" s="393"/>
      <c r="AMY1598" s="392"/>
      <c r="AMZ1598" s="393"/>
      <c r="ANA1598" s="392"/>
      <c r="ANB1598" s="393"/>
      <c r="ANC1598" s="392"/>
      <c r="AND1598" s="393"/>
      <c r="ANE1598" s="392"/>
      <c r="ANF1598" s="393"/>
      <c r="ANG1598" s="392"/>
      <c r="ANH1598" s="393"/>
      <c r="ANI1598" s="392"/>
      <c r="ANJ1598" s="393"/>
      <c r="ANK1598" s="392"/>
      <c r="ANL1598" s="393"/>
      <c r="ANM1598" s="392"/>
      <c r="ANN1598" s="393"/>
      <c r="ANO1598" s="392"/>
      <c r="ANP1598" s="393"/>
      <c r="ANQ1598" s="392"/>
      <c r="ANR1598" s="393"/>
      <c r="ANS1598" s="392"/>
      <c r="ANT1598" s="393"/>
      <c r="ANU1598" s="392"/>
      <c r="ANV1598" s="393"/>
      <c r="ANW1598" s="392"/>
      <c r="ANX1598" s="393"/>
      <c r="ANY1598" s="392"/>
      <c r="ANZ1598" s="393"/>
      <c r="AOA1598" s="392"/>
      <c r="AOB1598" s="393"/>
      <c r="AOC1598" s="392"/>
      <c r="AOD1598" s="393"/>
      <c r="AOE1598" s="392"/>
      <c r="AOF1598" s="393"/>
      <c r="AOG1598" s="392"/>
      <c r="AOH1598" s="393"/>
      <c r="AOI1598" s="392"/>
      <c r="AOJ1598" s="393"/>
      <c r="AOK1598" s="392"/>
      <c r="AOL1598" s="393"/>
      <c r="AOM1598" s="392"/>
      <c r="AON1598" s="393"/>
      <c r="AOO1598" s="392"/>
      <c r="AOP1598" s="393"/>
      <c r="AOQ1598" s="392"/>
      <c r="AOR1598" s="393"/>
      <c r="AOS1598" s="392"/>
      <c r="AOT1598" s="393"/>
      <c r="AOU1598" s="392"/>
      <c r="AOV1598" s="393"/>
      <c r="AOW1598" s="392"/>
      <c r="AOX1598" s="393"/>
      <c r="AOY1598" s="392"/>
      <c r="AOZ1598" s="393"/>
      <c r="APA1598" s="392"/>
      <c r="APB1598" s="393"/>
      <c r="APC1598" s="392"/>
      <c r="APD1598" s="393"/>
      <c r="APE1598" s="392"/>
      <c r="APF1598" s="393"/>
      <c r="APG1598" s="392"/>
      <c r="APH1598" s="393"/>
      <c r="API1598" s="392"/>
      <c r="APJ1598" s="393"/>
      <c r="APK1598" s="392"/>
      <c r="APL1598" s="393"/>
      <c r="APM1598" s="392"/>
      <c r="APN1598" s="393"/>
      <c r="APO1598" s="392"/>
      <c r="APP1598" s="393"/>
      <c r="APQ1598" s="392"/>
      <c r="APR1598" s="393"/>
      <c r="APS1598" s="392"/>
      <c r="APT1598" s="393"/>
      <c r="APU1598" s="392"/>
      <c r="APV1598" s="393"/>
      <c r="APW1598" s="392"/>
      <c r="APX1598" s="393"/>
      <c r="APY1598" s="392"/>
      <c r="APZ1598" s="393"/>
      <c r="AQA1598" s="392"/>
      <c r="AQB1598" s="393"/>
      <c r="AQC1598" s="392"/>
      <c r="AQD1598" s="393"/>
      <c r="AQE1598" s="392"/>
      <c r="AQF1598" s="393"/>
      <c r="AQG1598" s="392"/>
      <c r="AQH1598" s="393"/>
      <c r="AQI1598" s="392"/>
      <c r="AQJ1598" s="393"/>
      <c r="AQK1598" s="392"/>
      <c r="AQL1598" s="393"/>
      <c r="AQM1598" s="392"/>
      <c r="AQN1598" s="393"/>
      <c r="AQO1598" s="392"/>
      <c r="AQP1598" s="393"/>
      <c r="AQQ1598" s="392"/>
      <c r="AQR1598" s="393"/>
      <c r="AQS1598" s="392"/>
      <c r="AQT1598" s="393"/>
      <c r="AQU1598" s="392"/>
      <c r="AQV1598" s="393"/>
      <c r="AQW1598" s="392"/>
      <c r="AQX1598" s="393"/>
      <c r="AQY1598" s="392"/>
      <c r="AQZ1598" s="393"/>
      <c r="ARA1598" s="392"/>
      <c r="ARB1598" s="393"/>
      <c r="ARC1598" s="392"/>
      <c r="ARD1598" s="393"/>
      <c r="ARE1598" s="392"/>
      <c r="ARF1598" s="393"/>
      <c r="ARG1598" s="392"/>
      <c r="ARH1598" s="393"/>
      <c r="ARI1598" s="392"/>
      <c r="ARJ1598" s="393"/>
      <c r="ARK1598" s="392"/>
      <c r="ARL1598" s="393"/>
      <c r="ARM1598" s="392"/>
      <c r="ARN1598" s="393"/>
      <c r="ARO1598" s="392"/>
      <c r="ARP1598" s="393"/>
      <c r="ARQ1598" s="392"/>
      <c r="ARR1598" s="393"/>
      <c r="ARS1598" s="392"/>
      <c r="ART1598" s="393"/>
      <c r="ARU1598" s="392"/>
      <c r="ARV1598" s="393"/>
      <c r="ARW1598" s="392"/>
      <c r="ARX1598" s="393"/>
      <c r="ARY1598" s="392"/>
      <c r="ARZ1598" s="393"/>
      <c r="ASA1598" s="392"/>
      <c r="ASB1598" s="393"/>
      <c r="ASC1598" s="392"/>
      <c r="ASD1598" s="393"/>
      <c r="ASE1598" s="392"/>
      <c r="ASF1598" s="393"/>
      <c r="ASG1598" s="392"/>
      <c r="ASH1598" s="393"/>
      <c r="ASI1598" s="392"/>
      <c r="ASJ1598" s="393"/>
      <c r="ASK1598" s="392"/>
      <c r="ASL1598" s="393"/>
      <c r="ASM1598" s="392"/>
      <c r="ASN1598" s="393"/>
      <c r="ASO1598" s="392"/>
      <c r="ASP1598" s="393"/>
      <c r="ASQ1598" s="392"/>
      <c r="ASR1598" s="393"/>
      <c r="ASS1598" s="392"/>
      <c r="AST1598" s="393"/>
      <c r="ASU1598" s="392"/>
      <c r="ASV1598" s="393"/>
      <c r="ASW1598" s="392"/>
      <c r="ASX1598" s="393"/>
      <c r="ASY1598" s="392"/>
      <c r="ASZ1598" s="393"/>
      <c r="ATA1598" s="392"/>
      <c r="ATB1598" s="393"/>
      <c r="ATC1598" s="392"/>
      <c r="ATD1598" s="393"/>
      <c r="ATE1598" s="392"/>
      <c r="ATF1598" s="393"/>
      <c r="ATG1598" s="392"/>
      <c r="ATH1598" s="393"/>
      <c r="ATI1598" s="392"/>
      <c r="ATJ1598" s="393"/>
      <c r="ATK1598" s="392"/>
      <c r="ATL1598" s="393"/>
      <c r="ATM1598" s="392"/>
      <c r="ATN1598" s="393"/>
      <c r="ATO1598" s="392"/>
      <c r="ATP1598" s="393"/>
      <c r="ATQ1598" s="392"/>
      <c r="ATR1598" s="393"/>
      <c r="ATS1598" s="392"/>
      <c r="ATT1598" s="393"/>
      <c r="ATU1598" s="392"/>
      <c r="ATV1598" s="393"/>
      <c r="ATW1598" s="392"/>
      <c r="ATX1598" s="393"/>
      <c r="ATY1598" s="392"/>
      <c r="ATZ1598" s="393"/>
      <c r="AUA1598" s="392"/>
      <c r="AUB1598" s="393"/>
      <c r="AUC1598" s="392"/>
      <c r="AUD1598" s="393"/>
      <c r="AUE1598" s="392"/>
      <c r="AUF1598" s="393"/>
      <c r="AUG1598" s="392"/>
      <c r="AUH1598" s="393"/>
      <c r="AUI1598" s="392"/>
      <c r="AUJ1598" s="393"/>
      <c r="AUK1598" s="392"/>
      <c r="AUL1598" s="393"/>
      <c r="AUM1598" s="392"/>
      <c r="AUN1598" s="393"/>
      <c r="AUO1598" s="392"/>
      <c r="AUP1598" s="393"/>
      <c r="AUQ1598" s="392"/>
      <c r="AUR1598" s="393"/>
      <c r="AUS1598" s="392"/>
      <c r="AUT1598" s="393"/>
      <c r="AUU1598" s="392"/>
      <c r="AUV1598" s="393"/>
      <c r="AUW1598" s="392"/>
      <c r="AUX1598" s="393"/>
      <c r="AUY1598" s="392"/>
      <c r="AUZ1598" s="393"/>
      <c r="AVA1598" s="392"/>
      <c r="AVB1598" s="393"/>
      <c r="AVC1598" s="392"/>
      <c r="AVD1598" s="393"/>
      <c r="AVE1598" s="392"/>
      <c r="AVF1598" s="393"/>
      <c r="AVG1598" s="392"/>
      <c r="AVH1598" s="393"/>
      <c r="AVI1598" s="392"/>
      <c r="AVJ1598" s="393"/>
      <c r="AVK1598" s="392"/>
      <c r="AVL1598" s="393"/>
      <c r="AVM1598" s="392"/>
      <c r="AVN1598" s="393"/>
      <c r="AVO1598" s="392"/>
      <c r="AVP1598" s="393"/>
      <c r="AVQ1598" s="392"/>
      <c r="AVR1598" s="393"/>
      <c r="AVS1598" s="392"/>
      <c r="AVT1598" s="393"/>
      <c r="AVU1598" s="392"/>
      <c r="AVV1598" s="393"/>
      <c r="AVW1598" s="392"/>
      <c r="AVX1598" s="393"/>
      <c r="AVY1598" s="392"/>
      <c r="AVZ1598" s="393"/>
      <c r="AWA1598" s="392"/>
      <c r="AWB1598" s="393"/>
      <c r="AWC1598" s="392"/>
      <c r="AWD1598" s="393"/>
      <c r="AWE1598" s="392"/>
      <c r="AWF1598" s="393"/>
      <c r="AWG1598" s="392"/>
      <c r="AWH1598" s="393"/>
      <c r="AWI1598" s="392"/>
      <c r="AWJ1598" s="393"/>
      <c r="AWK1598" s="392"/>
      <c r="AWL1598" s="393"/>
      <c r="AWM1598" s="392"/>
      <c r="AWN1598" s="393"/>
      <c r="AWO1598" s="392"/>
      <c r="AWP1598" s="393"/>
      <c r="AWQ1598" s="392"/>
      <c r="AWR1598" s="393"/>
      <c r="AWS1598" s="392"/>
      <c r="AWT1598" s="393"/>
      <c r="AWU1598" s="392"/>
      <c r="AWV1598" s="393"/>
      <c r="AWW1598" s="392"/>
      <c r="AWX1598" s="393"/>
      <c r="AWY1598" s="392"/>
      <c r="AWZ1598" s="393"/>
      <c r="AXA1598" s="392"/>
      <c r="AXB1598" s="393"/>
      <c r="AXC1598" s="392"/>
      <c r="AXD1598" s="393"/>
      <c r="AXE1598" s="392"/>
      <c r="AXF1598" s="393"/>
      <c r="AXG1598" s="392"/>
      <c r="AXH1598" s="393"/>
      <c r="AXI1598" s="392"/>
      <c r="AXJ1598" s="393"/>
      <c r="AXK1598" s="392"/>
      <c r="AXL1598" s="393"/>
      <c r="AXM1598" s="392"/>
      <c r="AXN1598" s="393"/>
      <c r="AXO1598" s="392"/>
      <c r="AXP1598" s="393"/>
      <c r="AXQ1598" s="392"/>
      <c r="AXR1598" s="393"/>
      <c r="AXS1598" s="392"/>
      <c r="AXT1598" s="393"/>
      <c r="AXU1598" s="392"/>
      <c r="AXV1598" s="393"/>
      <c r="AXW1598" s="392"/>
      <c r="AXX1598" s="393"/>
      <c r="AXY1598" s="392"/>
      <c r="AXZ1598" s="393"/>
      <c r="AYA1598" s="392"/>
      <c r="AYB1598" s="393"/>
      <c r="AYC1598" s="392"/>
      <c r="AYD1598" s="393"/>
      <c r="AYE1598" s="392"/>
      <c r="AYF1598" s="393"/>
      <c r="AYG1598" s="392"/>
      <c r="AYH1598" s="393"/>
      <c r="AYI1598" s="392"/>
      <c r="AYJ1598" s="393"/>
      <c r="AYK1598" s="392"/>
      <c r="AYL1598" s="393"/>
      <c r="AYM1598" s="392"/>
      <c r="AYN1598" s="393"/>
      <c r="AYO1598" s="392"/>
      <c r="AYP1598" s="393"/>
      <c r="AYQ1598" s="392"/>
      <c r="AYR1598" s="393"/>
      <c r="AYS1598" s="392"/>
      <c r="AYT1598" s="393"/>
      <c r="AYU1598" s="392"/>
      <c r="AYV1598" s="393"/>
      <c r="AYW1598" s="392"/>
      <c r="AYX1598" s="393"/>
      <c r="AYY1598" s="392"/>
      <c r="AYZ1598" s="393"/>
      <c r="AZA1598" s="392"/>
      <c r="AZB1598" s="393"/>
      <c r="AZC1598" s="392"/>
      <c r="AZD1598" s="393"/>
      <c r="AZE1598" s="392"/>
      <c r="AZF1598" s="393"/>
      <c r="AZG1598" s="392"/>
      <c r="AZH1598" s="393"/>
      <c r="AZI1598" s="392"/>
      <c r="AZJ1598" s="393"/>
      <c r="AZK1598" s="392"/>
      <c r="AZL1598" s="393"/>
      <c r="AZM1598" s="392"/>
      <c r="AZN1598" s="393"/>
      <c r="AZO1598" s="392"/>
      <c r="AZP1598" s="393"/>
      <c r="AZQ1598" s="392"/>
      <c r="AZR1598" s="393"/>
      <c r="AZS1598" s="392"/>
      <c r="AZT1598" s="393"/>
      <c r="AZU1598" s="392"/>
      <c r="AZV1598" s="393"/>
      <c r="AZW1598" s="392"/>
      <c r="AZX1598" s="393"/>
      <c r="AZY1598" s="392"/>
      <c r="AZZ1598" s="393"/>
      <c r="BAA1598" s="392"/>
      <c r="BAB1598" s="393"/>
      <c r="BAC1598" s="392"/>
      <c r="BAD1598" s="393"/>
      <c r="BAE1598" s="392"/>
      <c r="BAF1598" s="393"/>
      <c r="BAG1598" s="392"/>
      <c r="BAH1598" s="393"/>
      <c r="BAI1598" s="392"/>
      <c r="BAJ1598" s="393"/>
      <c r="BAK1598" s="392"/>
      <c r="BAL1598" s="393"/>
      <c r="BAM1598" s="392"/>
      <c r="BAN1598" s="393"/>
      <c r="BAO1598" s="392"/>
      <c r="BAP1598" s="393"/>
      <c r="BAQ1598" s="392"/>
      <c r="BAR1598" s="393"/>
      <c r="BAS1598" s="392"/>
      <c r="BAT1598" s="393"/>
      <c r="BAU1598" s="392"/>
      <c r="BAV1598" s="393"/>
      <c r="BAW1598" s="392"/>
      <c r="BAX1598" s="393"/>
      <c r="BAY1598" s="392"/>
      <c r="BAZ1598" s="393"/>
      <c r="BBA1598" s="392"/>
      <c r="BBB1598" s="393"/>
      <c r="BBC1598" s="392"/>
      <c r="BBD1598" s="393"/>
      <c r="BBE1598" s="392"/>
      <c r="BBF1598" s="393"/>
      <c r="BBG1598" s="392"/>
      <c r="BBH1598" s="393"/>
      <c r="BBI1598" s="392"/>
      <c r="BBJ1598" s="393"/>
      <c r="BBK1598" s="392"/>
      <c r="BBL1598" s="393"/>
      <c r="BBM1598" s="392"/>
      <c r="BBN1598" s="393"/>
      <c r="BBO1598" s="392"/>
      <c r="BBP1598" s="393"/>
      <c r="BBQ1598" s="392"/>
      <c r="BBR1598" s="393"/>
      <c r="BBS1598" s="392"/>
      <c r="BBT1598" s="393"/>
      <c r="BBU1598" s="392"/>
      <c r="BBV1598" s="393"/>
      <c r="BBW1598" s="392"/>
      <c r="BBX1598" s="393"/>
      <c r="BBY1598" s="392"/>
      <c r="BBZ1598" s="393"/>
      <c r="BCA1598" s="392"/>
      <c r="BCB1598" s="393"/>
      <c r="BCC1598" s="392"/>
      <c r="BCD1598" s="393"/>
      <c r="BCE1598" s="392"/>
      <c r="BCF1598" s="393"/>
      <c r="BCG1598" s="392"/>
      <c r="BCH1598" s="393"/>
      <c r="BCI1598" s="392"/>
      <c r="BCJ1598" s="393"/>
      <c r="BCK1598" s="392"/>
      <c r="BCL1598" s="393"/>
      <c r="BCM1598" s="392"/>
      <c r="BCN1598" s="393"/>
      <c r="BCO1598" s="392"/>
      <c r="BCP1598" s="393"/>
      <c r="BCQ1598" s="392"/>
      <c r="BCR1598" s="393"/>
      <c r="BCS1598" s="392"/>
      <c r="BCT1598" s="393"/>
      <c r="BCU1598" s="392"/>
      <c r="BCV1598" s="393"/>
      <c r="BCW1598" s="392"/>
      <c r="BCX1598" s="393"/>
      <c r="BCY1598" s="392"/>
      <c r="BCZ1598" s="393"/>
      <c r="BDA1598" s="392"/>
      <c r="BDB1598" s="393"/>
      <c r="BDC1598" s="392"/>
      <c r="BDD1598" s="393"/>
      <c r="BDE1598" s="392"/>
      <c r="BDF1598" s="393"/>
      <c r="BDG1598" s="392"/>
      <c r="BDH1598" s="393"/>
      <c r="BDI1598" s="392"/>
      <c r="BDJ1598" s="393"/>
      <c r="BDK1598" s="392"/>
      <c r="BDL1598" s="393"/>
      <c r="BDM1598" s="392"/>
      <c r="BDN1598" s="393"/>
      <c r="BDO1598" s="392"/>
      <c r="BDP1598" s="393"/>
      <c r="BDQ1598" s="392"/>
      <c r="BDR1598" s="393"/>
      <c r="BDS1598" s="392"/>
      <c r="BDT1598" s="393"/>
      <c r="BDU1598" s="392"/>
      <c r="BDV1598" s="393"/>
      <c r="BDW1598" s="392"/>
      <c r="BDX1598" s="393"/>
      <c r="BDY1598" s="392"/>
      <c r="BDZ1598" s="393"/>
      <c r="BEA1598" s="392"/>
      <c r="BEB1598" s="393"/>
      <c r="BEC1598" s="392"/>
      <c r="BED1598" s="393"/>
      <c r="BEE1598" s="392"/>
      <c r="BEF1598" s="393"/>
      <c r="BEG1598" s="392"/>
      <c r="BEH1598" s="393"/>
      <c r="BEI1598" s="392"/>
      <c r="BEJ1598" s="393"/>
      <c r="BEK1598" s="392"/>
      <c r="BEL1598" s="393"/>
      <c r="BEM1598" s="392"/>
      <c r="BEN1598" s="393"/>
      <c r="BEO1598" s="392"/>
      <c r="BEP1598" s="393"/>
      <c r="BEQ1598" s="392"/>
      <c r="BER1598" s="393"/>
      <c r="BES1598" s="392"/>
      <c r="BET1598" s="393"/>
      <c r="BEU1598" s="392"/>
      <c r="BEV1598" s="393"/>
      <c r="BEW1598" s="392"/>
      <c r="BEX1598" s="393"/>
      <c r="BEY1598" s="392"/>
      <c r="BEZ1598" s="393"/>
      <c r="BFA1598" s="392"/>
      <c r="BFB1598" s="393"/>
      <c r="BFC1598" s="392"/>
      <c r="BFD1598" s="393"/>
      <c r="BFE1598" s="392"/>
      <c r="BFF1598" s="393"/>
      <c r="BFG1598" s="392"/>
      <c r="BFH1598" s="393"/>
      <c r="BFI1598" s="392"/>
      <c r="BFJ1598" s="393"/>
      <c r="BFK1598" s="392"/>
      <c r="BFL1598" s="393"/>
      <c r="BFM1598" s="392"/>
      <c r="BFN1598" s="393"/>
      <c r="BFO1598" s="392"/>
      <c r="BFP1598" s="393"/>
      <c r="BFQ1598" s="392"/>
      <c r="BFR1598" s="393"/>
      <c r="BFS1598" s="392"/>
      <c r="BFT1598" s="393"/>
      <c r="BFU1598" s="392"/>
      <c r="BFV1598" s="393"/>
      <c r="BFW1598" s="392"/>
      <c r="BFX1598" s="393"/>
      <c r="BFY1598" s="392"/>
      <c r="BFZ1598" s="393"/>
      <c r="BGA1598" s="392"/>
      <c r="BGB1598" s="393"/>
      <c r="BGC1598" s="392"/>
      <c r="BGD1598" s="393"/>
      <c r="BGE1598" s="392"/>
      <c r="BGF1598" s="393"/>
      <c r="BGG1598" s="392"/>
      <c r="BGH1598" s="393"/>
      <c r="BGI1598" s="392"/>
      <c r="BGJ1598" s="393"/>
      <c r="BGK1598" s="392"/>
      <c r="BGL1598" s="393"/>
      <c r="BGM1598" s="392"/>
      <c r="BGN1598" s="393"/>
      <c r="BGO1598" s="392"/>
      <c r="BGP1598" s="393"/>
      <c r="BGQ1598" s="392"/>
      <c r="BGR1598" s="393"/>
      <c r="BGS1598" s="392"/>
      <c r="BGT1598" s="393"/>
      <c r="BGU1598" s="392"/>
      <c r="BGV1598" s="393"/>
      <c r="BGW1598" s="392"/>
      <c r="BGX1598" s="393"/>
      <c r="BGY1598" s="392"/>
      <c r="BGZ1598" s="393"/>
      <c r="BHA1598" s="392"/>
      <c r="BHB1598" s="393"/>
      <c r="BHC1598" s="392"/>
      <c r="BHD1598" s="393"/>
      <c r="BHE1598" s="392"/>
      <c r="BHF1598" s="393"/>
      <c r="BHG1598" s="392"/>
      <c r="BHH1598" s="393"/>
      <c r="BHI1598" s="392"/>
      <c r="BHJ1598" s="393"/>
      <c r="BHK1598" s="392"/>
      <c r="BHL1598" s="393"/>
      <c r="BHM1598" s="392"/>
      <c r="BHN1598" s="393"/>
      <c r="BHO1598" s="392"/>
      <c r="BHP1598" s="393"/>
      <c r="BHQ1598" s="392"/>
      <c r="BHR1598" s="393"/>
      <c r="BHS1598" s="392"/>
      <c r="BHT1598" s="393"/>
      <c r="BHU1598" s="392"/>
      <c r="BHV1598" s="393"/>
      <c r="BHW1598" s="392"/>
      <c r="BHX1598" s="393"/>
      <c r="BHY1598" s="392"/>
      <c r="BHZ1598" s="393"/>
      <c r="BIA1598" s="392"/>
      <c r="BIB1598" s="393"/>
      <c r="BIC1598" s="392"/>
      <c r="BID1598" s="393"/>
      <c r="BIE1598" s="392"/>
      <c r="BIF1598" s="393"/>
      <c r="BIG1598" s="392"/>
      <c r="BIH1598" s="393"/>
      <c r="BII1598" s="392"/>
      <c r="BIJ1598" s="393"/>
      <c r="BIK1598" s="392"/>
      <c r="BIL1598" s="393"/>
      <c r="BIM1598" s="392"/>
      <c r="BIN1598" s="393"/>
      <c r="BIO1598" s="392"/>
      <c r="BIP1598" s="393"/>
      <c r="BIQ1598" s="392"/>
      <c r="BIR1598" s="393"/>
      <c r="BIS1598" s="392"/>
      <c r="BIT1598" s="393"/>
      <c r="BIU1598" s="392"/>
      <c r="BIV1598" s="393"/>
      <c r="BIW1598" s="392"/>
      <c r="BIX1598" s="393"/>
      <c r="BIY1598" s="392"/>
      <c r="BIZ1598" s="393"/>
      <c r="BJA1598" s="392"/>
      <c r="BJB1598" s="393"/>
      <c r="BJC1598" s="392"/>
      <c r="BJD1598" s="393"/>
      <c r="BJE1598" s="392"/>
      <c r="BJF1598" s="393"/>
      <c r="BJG1598" s="392"/>
      <c r="BJH1598" s="393"/>
      <c r="BJI1598" s="392"/>
      <c r="BJJ1598" s="393"/>
      <c r="BJK1598" s="392"/>
      <c r="BJL1598" s="393"/>
      <c r="BJM1598" s="392"/>
      <c r="BJN1598" s="393"/>
      <c r="BJO1598" s="392"/>
      <c r="BJP1598" s="393"/>
      <c r="BJQ1598" s="392"/>
      <c r="BJR1598" s="393"/>
      <c r="BJS1598" s="392"/>
      <c r="BJT1598" s="393"/>
      <c r="BJU1598" s="392"/>
      <c r="BJV1598" s="393"/>
      <c r="BJW1598" s="392"/>
      <c r="BJX1598" s="393"/>
      <c r="BJY1598" s="392"/>
      <c r="BJZ1598" s="393"/>
      <c r="BKA1598" s="392"/>
      <c r="BKB1598" s="393"/>
      <c r="BKC1598" s="392"/>
      <c r="BKD1598" s="393"/>
      <c r="BKE1598" s="392"/>
      <c r="BKF1598" s="393"/>
      <c r="BKG1598" s="392"/>
      <c r="BKH1598" s="393"/>
      <c r="BKI1598" s="392"/>
      <c r="BKJ1598" s="393"/>
      <c r="BKK1598" s="392"/>
      <c r="BKL1598" s="393"/>
      <c r="BKM1598" s="392"/>
      <c r="BKN1598" s="393"/>
      <c r="BKO1598" s="392"/>
      <c r="BKP1598" s="393"/>
      <c r="BKQ1598" s="392"/>
      <c r="BKR1598" s="393"/>
      <c r="BKS1598" s="392"/>
      <c r="BKT1598" s="393"/>
      <c r="BKU1598" s="392"/>
      <c r="BKV1598" s="393"/>
      <c r="BKW1598" s="392"/>
      <c r="BKX1598" s="393"/>
      <c r="BKY1598" s="392"/>
      <c r="BKZ1598" s="393"/>
      <c r="BLA1598" s="392"/>
      <c r="BLB1598" s="393"/>
      <c r="BLC1598" s="392"/>
      <c r="BLD1598" s="393"/>
      <c r="BLE1598" s="392"/>
      <c r="BLF1598" s="393"/>
      <c r="BLG1598" s="392"/>
      <c r="BLH1598" s="393"/>
      <c r="BLI1598" s="392"/>
      <c r="BLJ1598" s="393"/>
      <c r="BLK1598" s="392"/>
      <c r="BLL1598" s="393"/>
      <c r="BLM1598" s="392"/>
      <c r="BLN1598" s="393"/>
      <c r="BLO1598" s="392"/>
      <c r="BLP1598" s="393"/>
      <c r="BLQ1598" s="392"/>
      <c r="BLR1598" s="393"/>
      <c r="BLS1598" s="392"/>
      <c r="BLT1598" s="393"/>
      <c r="BLU1598" s="392"/>
      <c r="BLV1598" s="393"/>
      <c r="BLW1598" s="392"/>
      <c r="BLX1598" s="393"/>
      <c r="BLY1598" s="392"/>
      <c r="BLZ1598" s="393"/>
      <c r="BMA1598" s="392"/>
      <c r="BMB1598" s="393"/>
      <c r="BMC1598" s="392"/>
      <c r="BMD1598" s="393"/>
      <c r="BME1598" s="392"/>
      <c r="BMF1598" s="393"/>
      <c r="BMG1598" s="392"/>
      <c r="BMH1598" s="393"/>
      <c r="BMI1598" s="392"/>
      <c r="BMJ1598" s="393"/>
      <c r="BMK1598" s="392"/>
      <c r="BML1598" s="393"/>
      <c r="BMM1598" s="392"/>
      <c r="BMN1598" s="393"/>
      <c r="BMO1598" s="392"/>
      <c r="BMP1598" s="393"/>
      <c r="BMQ1598" s="392"/>
      <c r="BMR1598" s="393"/>
      <c r="BMS1598" s="392"/>
      <c r="BMT1598" s="393"/>
      <c r="BMU1598" s="392"/>
      <c r="BMV1598" s="393"/>
      <c r="BMW1598" s="392"/>
      <c r="BMX1598" s="393"/>
      <c r="BMY1598" s="392"/>
      <c r="BMZ1598" s="393"/>
      <c r="BNA1598" s="392"/>
      <c r="BNB1598" s="393"/>
      <c r="BNC1598" s="392"/>
      <c r="BND1598" s="393"/>
      <c r="BNE1598" s="392"/>
      <c r="BNF1598" s="393"/>
      <c r="BNG1598" s="392"/>
      <c r="BNH1598" s="393"/>
      <c r="BNI1598" s="392"/>
      <c r="BNJ1598" s="393"/>
      <c r="BNK1598" s="392"/>
      <c r="BNL1598" s="393"/>
      <c r="BNM1598" s="392"/>
      <c r="BNN1598" s="393"/>
      <c r="BNO1598" s="392"/>
      <c r="BNP1598" s="393"/>
      <c r="BNQ1598" s="392"/>
      <c r="BNR1598" s="393"/>
      <c r="BNS1598" s="392"/>
      <c r="BNT1598" s="393"/>
      <c r="BNU1598" s="392"/>
      <c r="BNV1598" s="393"/>
      <c r="BNW1598" s="392"/>
      <c r="BNX1598" s="393"/>
      <c r="BNY1598" s="392"/>
      <c r="BNZ1598" s="393"/>
      <c r="BOA1598" s="392"/>
      <c r="BOB1598" s="393"/>
      <c r="BOC1598" s="392"/>
      <c r="BOD1598" s="393"/>
      <c r="BOE1598" s="392"/>
      <c r="BOF1598" s="393"/>
      <c r="BOG1598" s="392"/>
      <c r="BOH1598" s="393"/>
      <c r="BOI1598" s="392"/>
      <c r="BOJ1598" s="393"/>
      <c r="BOK1598" s="392"/>
      <c r="BOL1598" s="393"/>
      <c r="BOM1598" s="392"/>
      <c r="BON1598" s="393"/>
      <c r="BOO1598" s="392"/>
      <c r="BOP1598" s="393"/>
      <c r="BOQ1598" s="392"/>
      <c r="BOR1598" s="393"/>
      <c r="BOS1598" s="392"/>
      <c r="BOT1598" s="393"/>
      <c r="BOU1598" s="392"/>
      <c r="BOV1598" s="393"/>
      <c r="BOW1598" s="392"/>
      <c r="BOX1598" s="393"/>
      <c r="BOY1598" s="392"/>
      <c r="BOZ1598" s="393"/>
      <c r="BPA1598" s="392"/>
      <c r="BPB1598" s="393"/>
      <c r="BPC1598" s="392"/>
      <c r="BPD1598" s="393"/>
      <c r="BPE1598" s="392"/>
      <c r="BPF1598" s="393"/>
      <c r="BPG1598" s="392"/>
      <c r="BPH1598" s="393"/>
      <c r="BPI1598" s="392"/>
      <c r="BPJ1598" s="393"/>
      <c r="BPK1598" s="392"/>
      <c r="BPL1598" s="393"/>
      <c r="BPM1598" s="392"/>
      <c r="BPN1598" s="393"/>
      <c r="BPO1598" s="392"/>
      <c r="BPP1598" s="393"/>
      <c r="BPQ1598" s="392"/>
      <c r="BPR1598" s="393"/>
      <c r="BPS1598" s="392"/>
      <c r="BPT1598" s="393"/>
      <c r="BPU1598" s="392"/>
      <c r="BPV1598" s="393"/>
      <c r="BPW1598" s="392"/>
      <c r="BPX1598" s="393"/>
      <c r="BPY1598" s="392"/>
      <c r="BPZ1598" s="393"/>
      <c r="BQA1598" s="392"/>
      <c r="BQB1598" s="393"/>
      <c r="BQC1598" s="392"/>
      <c r="BQD1598" s="393"/>
      <c r="BQE1598" s="392"/>
      <c r="BQF1598" s="393"/>
      <c r="BQG1598" s="392"/>
      <c r="BQH1598" s="393"/>
      <c r="BQI1598" s="392"/>
      <c r="BQJ1598" s="393"/>
      <c r="BQK1598" s="392"/>
      <c r="BQL1598" s="393"/>
      <c r="BQM1598" s="392"/>
      <c r="BQN1598" s="393"/>
      <c r="BQO1598" s="392"/>
      <c r="BQP1598" s="393"/>
      <c r="BQQ1598" s="392"/>
      <c r="BQR1598" s="393"/>
      <c r="BQS1598" s="392"/>
      <c r="BQT1598" s="393"/>
      <c r="BQU1598" s="392"/>
      <c r="BQV1598" s="393"/>
      <c r="BQW1598" s="392"/>
      <c r="BQX1598" s="393"/>
      <c r="BQY1598" s="392"/>
      <c r="BQZ1598" s="393"/>
      <c r="BRA1598" s="392"/>
      <c r="BRB1598" s="393"/>
      <c r="BRC1598" s="392"/>
      <c r="BRD1598" s="393"/>
      <c r="BRE1598" s="392"/>
      <c r="BRF1598" s="393"/>
      <c r="BRG1598" s="392"/>
      <c r="BRH1598" s="393"/>
      <c r="BRI1598" s="392"/>
      <c r="BRJ1598" s="393"/>
      <c r="BRK1598" s="392"/>
      <c r="BRL1598" s="393"/>
      <c r="BRM1598" s="392"/>
      <c r="BRN1598" s="393"/>
      <c r="BRO1598" s="392"/>
      <c r="BRP1598" s="393"/>
      <c r="BRQ1598" s="392"/>
      <c r="BRR1598" s="393"/>
      <c r="BRS1598" s="392"/>
      <c r="BRT1598" s="393"/>
      <c r="BRU1598" s="392"/>
      <c r="BRV1598" s="393"/>
      <c r="BRW1598" s="392"/>
      <c r="BRX1598" s="393"/>
      <c r="BRY1598" s="392"/>
      <c r="BRZ1598" s="393"/>
      <c r="BSA1598" s="392"/>
      <c r="BSB1598" s="393"/>
      <c r="BSC1598" s="392"/>
      <c r="BSD1598" s="393"/>
      <c r="BSE1598" s="392"/>
      <c r="BSF1598" s="393"/>
      <c r="BSG1598" s="392"/>
      <c r="BSH1598" s="393"/>
      <c r="BSI1598" s="392"/>
      <c r="BSJ1598" s="393"/>
      <c r="BSK1598" s="392"/>
      <c r="BSL1598" s="393"/>
      <c r="BSM1598" s="392"/>
      <c r="BSN1598" s="393"/>
      <c r="BSO1598" s="392"/>
      <c r="BSP1598" s="393"/>
      <c r="BSQ1598" s="392"/>
      <c r="BSR1598" s="393"/>
      <c r="BSS1598" s="392"/>
      <c r="BST1598" s="393"/>
      <c r="BSU1598" s="392"/>
      <c r="BSV1598" s="393"/>
      <c r="BSW1598" s="392"/>
      <c r="BSX1598" s="393"/>
      <c r="BSY1598" s="392"/>
      <c r="BSZ1598" s="393"/>
      <c r="BTA1598" s="392"/>
      <c r="BTB1598" s="393"/>
      <c r="BTC1598" s="392"/>
      <c r="BTD1598" s="393"/>
      <c r="BTE1598" s="392"/>
      <c r="BTF1598" s="393"/>
      <c r="BTG1598" s="392"/>
      <c r="BTH1598" s="393"/>
      <c r="BTI1598" s="392"/>
      <c r="BTJ1598" s="393"/>
      <c r="BTK1598" s="392"/>
      <c r="BTL1598" s="393"/>
      <c r="BTM1598" s="392"/>
      <c r="BTN1598" s="393"/>
      <c r="BTO1598" s="392"/>
      <c r="BTP1598" s="393"/>
      <c r="BTQ1598" s="392"/>
      <c r="BTR1598" s="393"/>
      <c r="BTS1598" s="392"/>
      <c r="BTT1598" s="393"/>
      <c r="BTU1598" s="392"/>
      <c r="BTV1598" s="393"/>
      <c r="BTW1598" s="392"/>
      <c r="BTX1598" s="393"/>
      <c r="BTY1598" s="392"/>
      <c r="BTZ1598" s="393"/>
      <c r="BUA1598" s="392"/>
      <c r="BUB1598" s="393"/>
      <c r="BUC1598" s="392"/>
      <c r="BUD1598" s="393"/>
      <c r="BUE1598" s="392"/>
      <c r="BUF1598" s="393"/>
      <c r="BUG1598" s="392"/>
      <c r="BUH1598" s="393"/>
      <c r="BUI1598" s="392"/>
      <c r="BUJ1598" s="393"/>
      <c r="BUK1598" s="392"/>
      <c r="BUL1598" s="393"/>
      <c r="BUM1598" s="392"/>
      <c r="BUN1598" s="393"/>
      <c r="BUO1598" s="392"/>
      <c r="BUP1598" s="393"/>
      <c r="BUQ1598" s="392"/>
      <c r="BUR1598" s="393"/>
      <c r="BUS1598" s="392"/>
      <c r="BUT1598" s="393"/>
      <c r="BUU1598" s="392"/>
      <c r="BUV1598" s="393"/>
      <c r="BUW1598" s="392"/>
      <c r="BUX1598" s="393"/>
      <c r="BUY1598" s="392"/>
      <c r="BUZ1598" s="393"/>
      <c r="BVA1598" s="392"/>
      <c r="BVB1598" s="393"/>
      <c r="BVC1598" s="392"/>
      <c r="BVD1598" s="393"/>
      <c r="BVE1598" s="392"/>
      <c r="BVF1598" s="393"/>
      <c r="BVG1598" s="392"/>
      <c r="BVH1598" s="393"/>
      <c r="BVI1598" s="392"/>
      <c r="BVJ1598" s="393"/>
      <c r="BVK1598" s="392"/>
      <c r="BVL1598" s="393"/>
      <c r="BVM1598" s="392"/>
      <c r="BVN1598" s="393"/>
      <c r="BVO1598" s="392"/>
      <c r="BVP1598" s="393"/>
      <c r="BVQ1598" s="392"/>
      <c r="BVR1598" s="393"/>
      <c r="BVS1598" s="392"/>
      <c r="BVT1598" s="393"/>
      <c r="BVU1598" s="392"/>
      <c r="BVV1598" s="393"/>
      <c r="BVW1598" s="392"/>
      <c r="BVX1598" s="393"/>
      <c r="BVY1598" s="392"/>
      <c r="BVZ1598" s="393"/>
      <c r="BWA1598" s="392"/>
      <c r="BWB1598" s="393"/>
      <c r="BWC1598" s="392"/>
      <c r="BWD1598" s="393"/>
      <c r="BWE1598" s="392"/>
      <c r="BWF1598" s="393"/>
      <c r="BWG1598" s="392"/>
      <c r="BWH1598" s="393"/>
      <c r="BWI1598" s="392"/>
      <c r="BWJ1598" s="393"/>
      <c r="BWK1598" s="392"/>
      <c r="BWL1598" s="393"/>
      <c r="BWM1598" s="392"/>
      <c r="BWN1598" s="393"/>
      <c r="BWO1598" s="392"/>
      <c r="BWP1598" s="393"/>
      <c r="BWQ1598" s="392"/>
      <c r="BWR1598" s="393"/>
      <c r="BWS1598" s="392"/>
      <c r="BWT1598" s="393"/>
      <c r="BWU1598" s="392"/>
      <c r="BWV1598" s="393"/>
      <c r="BWW1598" s="392"/>
      <c r="BWX1598" s="393"/>
      <c r="BWY1598" s="392"/>
      <c r="BWZ1598" s="393"/>
      <c r="BXA1598" s="392"/>
      <c r="BXB1598" s="393"/>
      <c r="BXC1598" s="392"/>
      <c r="BXD1598" s="393"/>
      <c r="BXE1598" s="392"/>
      <c r="BXF1598" s="393"/>
      <c r="BXG1598" s="392"/>
      <c r="BXH1598" s="393"/>
      <c r="BXI1598" s="392"/>
      <c r="BXJ1598" s="393"/>
      <c r="BXK1598" s="392"/>
      <c r="BXL1598" s="393"/>
      <c r="BXM1598" s="392"/>
      <c r="BXN1598" s="393"/>
      <c r="BXO1598" s="392"/>
      <c r="BXP1598" s="393"/>
      <c r="BXQ1598" s="392"/>
      <c r="BXR1598" s="393"/>
      <c r="BXS1598" s="392"/>
      <c r="BXT1598" s="393"/>
      <c r="BXU1598" s="392"/>
      <c r="BXV1598" s="393"/>
      <c r="BXW1598" s="392"/>
      <c r="BXX1598" s="393"/>
      <c r="BXY1598" s="392"/>
      <c r="BXZ1598" s="393"/>
      <c r="BYA1598" s="392"/>
      <c r="BYB1598" s="393"/>
      <c r="BYC1598" s="392"/>
      <c r="BYD1598" s="393"/>
      <c r="BYE1598" s="392"/>
      <c r="BYF1598" s="393"/>
      <c r="BYG1598" s="392"/>
      <c r="BYH1598" s="393"/>
      <c r="BYI1598" s="392"/>
      <c r="BYJ1598" s="393"/>
      <c r="BYK1598" s="392"/>
      <c r="BYL1598" s="393"/>
      <c r="BYM1598" s="392"/>
      <c r="BYN1598" s="393"/>
      <c r="BYO1598" s="392"/>
      <c r="BYP1598" s="393"/>
      <c r="BYQ1598" s="392"/>
      <c r="BYR1598" s="393"/>
      <c r="BYS1598" s="392"/>
      <c r="BYT1598" s="393"/>
      <c r="BYU1598" s="392"/>
      <c r="BYV1598" s="393"/>
      <c r="BYW1598" s="392"/>
      <c r="BYX1598" s="393"/>
      <c r="BYY1598" s="392"/>
      <c r="BYZ1598" s="393"/>
      <c r="BZA1598" s="392"/>
      <c r="BZB1598" s="393"/>
      <c r="BZC1598" s="392"/>
      <c r="BZD1598" s="393"/>
      <c r="BZE1598" s="392"/>
      <c r="BZF1598" s="393"/>
      <c r="BZG1598" s="392"/>
      <c r="BZH1598" s="393"/>
      <c r="BZI1598" s="392"/>
      <c r="BZJ1598" s="393"/>
      <c r="BZK1598" s="392"/>
      <c r="BZL1598" s="393"/>
      <c r="BZM1598" s="392"/>
      <c r="BZN1598" s="393"/>
      <c r="BZO1598" s="392"/>
      <c r="BZP1598" s="393"/>
      <c r="BZQ1598" s="392"/>
      <c r="BZR1598" s="393"/>
      <c r="BZS1598" s="392"/>
      <c r="BZT1598" s="393"/>
      <c r="BZU1598" s="392"/>
      <c r="BZV1598" s="393"/>
      <c r="BZW1598" s="392"/>
      <c r="BZX1598" s="393"/>
      <c r="BZY1598" s="392"/>
      <c r="BZZ1598" s="393"/>
      <c r="CAA1598" s="392"/>
      <c r="CAB1598" s="393"/>
      <c r="CAC1598" s="392"/>
      <c r="CAD1598" s="393"/>
      <c r="CAE1598" s="392"/>
      <c r="CAF1598" s="393"/>
      <c r="CAG1598" s="392"/>
      <c r="CAH1598" s="393"/>
      <c r="CAI1598" s="392"/>
      <c r="CAJ1598" s="393"/>
      <c r="CAK1598" s="392"/>
      <c r="CAL1598" s="393"/>
      <c r="CAM1598" s="392"/>
      <c r="CAN1598" s="393"/>
      <c r="CAO1598" s="392"/>
      <c r="CAP1598" s="393"/>
      <c r="CAQ1598" s="392"/>
      <c r="CAR1598" s="393"/>
      <c r="CAS1598" s="392"/>
      <c r="CAT1598" s="393"/>
      <c r="CAU1598" s="392"/>
      <c r="CAV1598" s="393"/>
      <c r="CAW1598" s="392"/>
      <c r="CAX1598" s="393"/>
      <c r="CAY1598" s="392"/>
      <c r="CAZ1598" s="393"/>
      <c r="CBA1598" s="392"/>
      <c r="CBB1598" s="393"/>
      <c r="CBC1598" s="392"/>
      <c r="CBD1598" s="393"/>
      <c r="CBE1598" s="392"/>
      <c r="CBF1598" s="393"/>
      <c r="CBG1598" s="392"/>
      <c r="CBH1598" s="393"/>
      <c r="CBI1598" s="392"/>
      <c r="CBJ1598" s="393"/>
      <c r="CBK1598" s="392"/>
      <c r="CBL1598" s="393"/>
      <c r="CBM1598" s="392"/>
      <c r="CBN1598" s="393"/>
      <c r="CBO1598" s="392"/>
      <c r="CBP1598" s="393"/>
      <c r="CBQ1598" s="392"/>
      <c r="CBR1598" s="393"/>
      <c r="CBS1598" s="392"/>
      <c r="CBT1598" s="393"/>
      <c r="CBU1598" s="392"/>
      <c r="CBV1598" s="393"/>
      <c r="CBW1598" s="392"/>
      <c r="CBX1598" s="393"/>
      <c r="CBY1598" s="392"/>
      <c r="CBZ1598" s="393"/>
      <c r="CCA1598" s="392"/>
      <c r="CCB1598" s="393"/>
      <c r="CCC1598" s="392"/>
      <c r="CCD1598" s="393"/>
      <c r="CCE1598" s="392"/>
      <c r="CCF1598" s="393"/>
      <c r="CCG1598" s="392"/>
      <c r="CCH1598" s="393"/>
      <c r="CCI1598" s="392"/>
      <c r="CCJ1598" s="393"/>
      <c r="CCK1598" s="392"/>
      <c r="CCL1598" s="393"/>
      <c r="CCM1598" s="392"/>
      <c r="CCN1598" s="393"/>
      <c r="CCO1598" s="392"/>
      <c r="CCP1598" s="393"/>
      <c r="CCQ1598" s="392"/>
      <c r="CCR1598" s="393"/>
      <c r="CCS1598" s="392"/>
      <c r="CCT1598" s="393"/>
      <c r="CCU1598" s="392"/>
      <c r="CCV1598" s="393"/>
      <c r="CCW1598" s="392"/>
      <c r="CCX1598" s="393"/>
      <c r="CCY1598" s="392"/>
      <c r="CCZ1598" s="393"/>
      <c r="CDA1598" s="392"/>
      <c r="CDB1598" s="393"/>
      <c r="CDC1598" s="392"/>
      <c r="CDD1598" s="393"/>
      <c r="CDE1598" s="392"/>
      <c r="CDF1598" s="393"/>
      <c r="CDG1598" s="392"/>
      <c r="CDH1598" s="393"/>
      <c r="CDI1598" s="392"/>
      <c r="CDJ1598" s="393"/>
      <c r="CDK1598" s="392"/>
      <c r="CDL1598" s="393"/>
      <c r="CDM1598" s="392"/>
      <c r="CDN1598" s="393"/>
      <c r="CDO1598" s="392"/>
      <c r="CDP1598" s="393"/>
      <c r="CDQ1598" s="392"/>
      <c r="CDR1598" s="393"/>
      <c r="CDS1598" s="392"/>
      <c r="CDT1598" s="393"/>
      <c r="CDU1598" s="392"/>
      <c r="CDV1598" s="393"/>
      <c r="CDW1598" s="392"/>
      <c r="CDX1598" s="393"/>
      <c r="CDY1598" s="392"/>
      <c r="CDZ1598" s="393"/>
      <c r="CEA1598" s="392"/>
      <c r="CEB1598" s="393"/>
      <c r="CEC1598" s="392"/>
      <c r="CED1598" s="393"/>
      <c r="CEE1598" s="392"/>
      <c r="CEF1598" s="393"/>
      <c r="CEG1598" s="392"/>
      <c r="CEH1598" s="393"/>
      <c r="CEI1598" s="392"/>
      <c r="CEJ1598" s="393"/>
      <c r="CEK1598" s="392"/>
      <c r="CEL1598" s="393"/>
      <c r="CEM1598" s="392"/>
      <c r="CEN1598" s="393"/>
      <c r="CEO1598" s="392"/>
      <c r="CEP1598" s="393"/>
      <c r="CEQ1598" s="392"/>
      <c r="CER1598" s="393"/>
      <c r="CES1598" s="392"/>
      <c r="CET1598" s="393"/>
      <c r="CEU1598" s="392"/>
      <c r="CEV1598" s="393"/>
      <c r="CEW1598" s="392"/>
      <c r="CEX1598" s="393"/>
      <c r="CEY1598" s="392"/>
      <c r="CEZ1598" s="393"/>
      <c r="CFA1598" s="392"/>
      <c r="CFB1598" s="393"/>
      <c r="CFC1598" s="392"/>
      <c r="CFD1598" s="393"/>
      <c r="CFE1598" s="392"/>
      <c r="CFF1598" s="393"/>
      <c r="CFG1598" s="392"/>
      <c r="CFH1598" s="393"/>
      <c r="CFI1598" s="392"/>
      <c r="CFJ1598" s="393"/>
      <c r="CFK1598" s="392"/>
      <c r="CFL1598" s="393"/>
      <c r="CFM1598" s="392"/>
      <c r="CFN1598" s="393"/>
      <c r="CFO1598" s="392"/>
      <c r="CFP1598" s="393"/>
      <c r="CFQ1598" s="392"/>
      <c r="CFR1598" s="393"/>
      <c r="CFS1598" s="392"/>
      <c r="CFT1598" s="393"/>
      <c r="CFU1598" s="392"/>
      <c r="CFV1598" s="393"/>
      <c r="CFW1598" s="392"/>
      <c r="CFX1598" s="393"/>
      <c r="CFY1598" s="392"/>
      <c r="CFZ1598" s="393"/>
      <c r="CGA1598" s="392"/>
      <c r="CGB1598" s="393"/>
      <c r="CGC1598" s="392"/>
      <c r="CGD1598" s="393"/>
      <c r="CGE1598" s="392"/>
      <c r="CGF1598" s="393"/>
      <c r="CGG1598" s="392"/>
      <c r="CGH1598" s="393"/>
      <c r="CGI1598" s="392"/>
      <c r="CGJ1598" s="393"/>
      <c r="CGK1598" s="392"/>
      <c r="CGL1598" s="393"/>
      <c r="CGM1598" s="392"/>
      <c r="CGN1598" s="393"/>
      <c r="CGO1598" s="392"/>
      <c r="CGP1598" s="393"/>
      <c r="CGQ1598" s="392"/>
      <c r="CGR1598" s="393"/>
      <c r="CGS1598" s="392"/>
      <c r="CGT1598" s="393"/>
      <c r="CGU1598" s="392"/>
      <c r="CGV1598" s="393"/>
      <c r="CGW1598" s="392"/>
      <c r="CGX1598" s="393"/>
      <c r="CGY1598" s="392"/>
      <c r="CGZ1598" s="393"/>
      <c r="CHA1598" s="392"/>
      <c r="CHB1598" s="393"/>
      <c r="CHC1598" s="392"/>
      <c r="CHD1598" s="393"/>
      <c r="CHE1598" s="392"/>
      <c r="CHF1598" s="393"/>
      <c r="CHG1598" s="392"/>
      <c r="CHH1598" s="393"/>
      <c r="CHI1598" s="392"/>
      <c r="CHJ1598" s="393"/>
      <c r="CHK1598" s="392"/>
      <c r="CHL1598" s="393"/>
      <c r="CHM1598" s="392"/>
      <c r="CHN1598" s="393"/>
      <c r="CHO1598" s="392"/>
      <c r="CHP1598" s="393"/>
      <c r="CHQ1598" s="392"/>
      <c r="CHR1598" s="393"/>
      <c r="CHS1598" s="392"/>
      <c r="CHT1598" s="393"/>
      <c r="CHU1598" s="392"/>
      <c r="CHV1598" s="393"/>
      <c r="CHW1598" s="392"/>
      <c r="CHX1598" s="393"/>
      <c r="CHY1598" s="392"/>
      <c r="CHZ1598" s="393"/>
      <c r="CIA1598" s="392"/>
      <c r="CIB1598" s="393"/>
      <c r="CIC1598" s="392"/>
      <c r="CID1598" s="393"/>
      <c r="CIE1598" s="392"/>
      <c r="CIF1598" s="393"/>
      <c r="CIG1598" s="392"/>
      <c r="CIH1598" s="393"/>
      <c r="CII1598" s="392"/>
      <c r="CIJ1598" s="393"/>
      <c r="CIK1598" s="392"/>
      <c r="CIL1598" s="393"/>
      <c r="CIM1598" s="392"/>
      <c r="CIN1598" s="393"/>
      <c r="CIO1598" s="392"/>
      <c r="CIP1598" s="393"/>
      <c r="CIQ1598" s="392"/>
      <c r="CIR1598" s="393"/>
      <c r="CIS1598" s="392"/>
      <c r="CIT1598" s="393"/>
      <c r="CIU1598" s="392"/>
      <c r="CIV1598" s="393"/>
      <c r="CIW1598" s="392"/>
      <c r="CIX1598" s="393"/>
      <c r="CIY1598" s="392"/>
      <c r="CIZ1598" s="393"/>
      <c r="CJA1598" s="392"/>
      <c r="CJB1598" s="393"/>
      <c r="CJC1598" s="392"/>
      <c r="CJD1598" s="393"/>
      <c r="CJE1598" s="392"/>
      <c r="CJF1598" s="393"/>
      <c r="CJG1598" s="392"/>
      <c r="CJH1598" s="393"/>
      <c r="CJI1598" s="392"/>
      <c r="CJJ1598" s="393"/>
      <c r="CJK1598" s="392"/>
      <c r="CJL1598" s="393"/>
      <c r="CJM1598" s="392"/>
      <c r="CJN1598" s="393"/>
      <c r="CJO1598" s="392"/>
      <c r="CJP1598" s="393"/>
      <c r="CJQ1598" s="392"/>
      <c r="CJR1598" s="393"/>
      <c r="CJS1598" s="392"/>
      <c r="CJT1598" s="393"/>
      <c r="CJU1598" s="392"/>
      <c r="CJV1598" s="393"/>
      <c r="CJW1598" s="392"/>
      <c r="CJX1598" s="393"/>
      <c r="CJY1598" s="392"/>
      <c r="CJZ1598" s="393"/>
      <c r="CKA1598" s="392"/>
      <c r="CKB1598" s="393"/>
      <c r="CKC1598" s="392"/>
      <c r="CKD1598" s="393"/>
      <c r="CKE1598" s="392"/>
      <c r="CKF1598" s="393"/>
      <c r="CKG1598" s="392"/>
      <c r="CKH1598" s="393"/>
      <c r="CKI1598" s="392"/>
      <c r="CKJ1598" s="393"/>
      <c r="CKK1598" s="392"/>
      <c r="CKL1598" s="393"/>
      <c r="CKM1598" s="392"/>
      <c r="CKN1598" s="393"/>
      <c r="CKO1598" s="392"/>
      <c r="CKP1598" s="393"/>
      <c r="CKQ1598" s="392"/>
      <c r="CKR1598" s="393"/>
      <c r="CKS1598" s="392"/>
      <c r="CKT1598" s="393"/>
      <c r="CKU1598" s="392"/>
      <c r="CKV1598" s="393"/>
      <c r="CKW1598" s="392"/>
      <c r="CKX1598" s="393"/>
      <c r="CKY1598" s="392"/>
      <c r="CKZ1598" s="393"/>
      <c r="CLA1598" s="392"/>
      <c r="CLB1598" s="393"/>
      <c r="CLC1598" s="392"/>
      <c r="CLD1598" s="393"/>
      <c r="CLE1598" s="392"/>
      <c r="CLF1598" s="393"/>
      <c r="CLG1598" s="392"/>
      <c r="CLH1598" s="393"/>
      <c r="CLI1598" s="392"/>
      <c r="CLJ1598" s="393"/>
      <c r="CLK1598" s="392"/>
      <c r="CLL1598" s="393"/>
      <c r="CLM1598" s="392"/>
      <c r="CLN1598" s="393"/>
      <c r="CLO1598" s="392"/>
      <c r="CLP1598" s="393"/>
      <c r="CLQ1598" s="392"/>
      <c r="CLR1598" s="393"/>
      <c r="CLS1598" s="392"/>
      <c r="CLT1598" s="393"/>
      <c r="CLU1598" s="392"/>
      <c r="CLV1598" s="393"/>
      <c r="CLW1598" s="392"/>
      <c r="CLX1598" s="393"/>
      <c r="CLY1598" s="392"/>
      <c r="CLZ1598" s="393"/>
      <c r="CMA1598" s="392"/>
      <c r="CMB1598" s="393"/>
      <c r="CMC1598" s="392"/>
      <c r="CMD1598" s="393"/>
      <c r="CME1598" s="392"/>
      <c r="CMF1598" s="393"/>
      <c r="CMG1598" s="392"/>
      <c r="CMH1598" s="393"/>
      <c r="CMI1598" s="392"/>
      <c r="CMJ1598" s="393"/>
      <c r="CMK1598" s="392"/>
      <c r="CML1598" s="393"/>
      <c r="CMM1598" s="392"/>
      <c r="CMN1598" s="393"/>
      <c r="CMO1598" s="392"/>
      <c r="CMP1598" s="393"/>
      <c r="CMQ1598" s="392"/>
      <c r="CMR1598" s="393"/>
      <c r="CMS1598" s="392"/>
      <c r="CMT1598" s="393"/>
      <c r="CMU1598" s="392"/>
      <c r="CMV1598" s="393"/>
      <c r="CMW1598" s="392"/>
      <c r="CMX1598" s="393"/>
      <c r="CMY1598" s="392"/>
      <c r="CMZ1598" s="393"/>
      <c r="CNA1598" s="392"/>
      <c r="CNB1598" s="393"/>
      <c r="CNC1598" s="392"/>
      <c r="CND1598" s="393"/>
      <c r="CNE1598" s="392"/>
      <c r="CNF1598" s="393"/>
      <c r="CNG1598" s="392"/>
      <c r="CNH1598" s="393"/>
      <c r="CNI1598" s="392"/>
      <c r="CNJ1598" s="393"/>
      <c r="CNK1598" s="392"/>
      <c r="CNL1598" s="393"/>
      <c r="CNM1598" s="392"/>
      <c r="CNN1598" s="393"/>
      <c r="CNO1598" s="392"/>
      <c r="CNP1598" s="393"/>
      <c r="CNQ1598" s="392"/>
      <c r="CNR1598" s="393"/>
      <c r="CNS1598" s="392"/>
      <c r="CNT1598" s="393"/>
      <c r="CNU1598" s="392"/>
      <c r="CNV1598" s="393"/>
      <c r="CNW1598" s="392"/>
      <c r="CNX1598" s="393"/>
      <c r="CNY1598" s="392"/>
      <c r="CNZ1598" s="393"/>
      <c r="COA1598" s="392"/>
      <c r="COB1598" s="393"/>
      <c r="COC1598" s="392"/>
      <c r="COD1598" s="393"/>
      <c r="COE1598" s="392"/>
      <c r="COF1598" s="393"/>
      <c r="COG1598" s="392"/>
      <c r="COH1598" s="393"/>
      <c r="COI1598" s="392"/>
      <c r="COJ1598" s="393"/>
      <c r="COK1598" s="392"/>
      <c r="COL1598" s="393"/>
      <c r="COM1598" s="392"/>
      <c r="CON1598" s="393"/>
      <c r="COO1598" s="392"/>
      <c r="COP1598" s="393"/>
      <c r="COQ1598" s="392"/>
      <c r="COR1598" s="393"/>
      <c r="COS1598" s="392"/>
      <c r="COT1598" s="393"/>
      <c r="COU1598" s="392"/>
      <c r="COV1598" s="393"/>
      <c r="COW1598" s="392"/>
      <c r="COX1598" s="393"/>
      <c r="COY1598" s="392"/>
      <c r="COZ1598" s="393"/>
      <c r="CPA1598" s="392"/>
      <c r="CPB1598" s="393"/>
      <c r="CPC1598" s="392"/>
      <c r="CPD1598" s="393"/>
      <c r="CPE1598" s="392"/>
      <c r="CPF1598" s="393"/>
      <c r="CPG1598" s="392"/>
      <c r="CPH1598" s="393"/>
      <c r="CPI1598" s="392"/>
      <c r="CPJ1598" s="393"/>
      <c r="CPK1598" s="392"/>
      <c r="CPL1598" s="393"/>
      <c r="CPM1598" s="392"/>
      <c r="CPN1598" s="393"/>
      <c r="CPO1598" s="392"/>
      <c r="CPP1598" s="393"/>
      <c r="CPQ1598" s="392"/>
      <c r="CPR1598" s="393"/>
      <c r="CPS1598" s="392"/>
      <c r="CPT1598" s="393"/>
      <c r="CPU1598" s="392"/>
      <c r="CPV1598" s="393"/>
      <c r="CPW1598" s="392"/>
      <c r="CPX1598" s="393"/>
      <c r="CPY1598" s="392"/>
      <c r="CPZ1598" s="393"/>
      <c r="CQA1598" s="392"/>
      <c r="CQB1598" s="393"/>
      <c r="CQC1598" s="392"/>
      <c r="CQD1598" s="393"/>
      <c r="CQE1598" s="392"/>
      <c r="CQF1598" s="393"/>
      <c r="CQG1598" s="392"/>
      <c r="CQH1598" s="393"/>
      <c r="CQI1598" s="392"/>
      <c r="CQJ1598" s="393"/>
      <c r="CQK1598" s="392"/>
      <c r="CQL1598" s="393"/>
      <c r="CQM1598" s="392"/>
      <c r="CQN1598" s="393"/>
      <c r="CQO1598" s="392"/>
      <c r="CQP1598" s="393"/>
      <c r="CQQ1598" s="392"/>
      <c r="CQR1598" s="393"/>
      <c r="CQS1598" s="392"/>
      <c r="CQT1598" s="393"/>
      <c r="CQU1598" s="392"/>
      <c r="CQV1598" s="393"/>
      <c r="CQW1598" s="392"/>
      <c r="CQX1598" s="393"/>
      <c r="CQY1598" s="392"/>
      <c r="CQZ1598" s="393"/>
      <c r="CRA1598" s="392"/>
      <c r="CRB1598" s="393"/>
      <c r="CRC1598" s="392"/>
      <c r="CRD1598" s="393"/>
      <c r="CRE1598" s="392"/>
      <c r="CRF1598" s="393"/>
      <c r="CRG1598" s="392"/>
      <c r="CRH1598" s="393"/>
      <c r="CRI1598" s="392"/>
      <c r="CRJ1598" s="393"/>
      <c r="CRK1598" s="392"/>
      <c r="CRL1598" s="393"/>
      <c r="CRM1598" s="392"/>
      <c r="CRN1598" s="393"/>
      <c r="CRO1598" s="392"/>
      <c r="CRP1598" s="393"/>
      <c r="CRQ1598" s="392"/>
      <c r="CRR1598" s="393"/>
      <c r="CRS1598" s="392"/>
      <c r="CRT1598" s="393"/>
      <c r="CRU1598" s="392"/>
      <c r="CRV1598" s="393"/>
      <c r="CRW1598" s="392"/>
      <c r="CRX1598" s="393"/>
      <c r="CRY1598" s="392"/>
      <c r="CRZ1598" s="393"/>
      <c r="CSA1598" s="392"/>
      <c r="CSB1598" s="393"/>
      <c r="CSC1598" s="392"/>
      <c r="CSD1598" s="393"/>
      <c r="CSE1598" s="392"/>
      <c r="CSF1598" s="393"/>
      <c r="CSG1598" s="392"/>
      <c r="CSH1598" s="393"/>
      <c r="CSI1598" s="392"/>
      <c r="CSJ1598" s="393"/>
      <c r="CSK1598" s="392"/>
      <c r="CSL1598" s="393"/>
      <c r="CSM1598" s="392"/>
      <c r="CSN1598" s="393"/>
      <c r="CSO1598" s="392"/>
      <c r="CSP1598" s="393"/>
      <c r="CSQ1598" s="392"/>
      <c r="CSR1598" s="393"/>
      <c r="CSS1598" s="392"/>
      <c r="CST1598" s="393"/>
      <c r="CSU1598" s="392"/>
      <c r="CSV1598" s="393"/>
      <c r="CSW1598" s="392"/>
      <c r="CSX1598" s="393"/>
      <c r="CSY1598" s="392"/>
      <c r="CSZ1598" s="393"/>
      <c r="CTA1598" s="392"/>
      <c r="CTB1598" s="393"/>
      <c r="CTC1598" s="392"/>
      <c r="CTD1598" s="393"/>
      <c r="CTE1598" s="392"/>
      <c r="CTF1598" s="393"/>
      <c r="CTG1598" s="392"/>
      <c r="CTH1598" s="393"/>
      <c r="CTI1598" s="392"/>
      <c r="CTJ1598" s="393"/>
      <c r="CTK1598" s="392"/>
      <c r="CTL1598" s="393"/>
      <c r="CTM1598" s="392"/>
      <c r="CTN1598" s="393"/>
      <c r="CTO1598" s="392"/>
      <c r="CTP1598" s="393"/>
      <c r="CTQ1598" s="392"/>
      <c r="CTR1598" s="393"/>
      <c r="CTS1598" s="392"/>
      <c r="CTT1598" s="393"/>
      <c r="CTU1598" s="392"/>
      <c r="CTV1598" s="393"/>
      <c r="CTW1598" s="392"/>
      <c r="CTX1598" s="393"/>
      <c r="CTY1598" s="392"/>
      <c r="CTZ1598" s="393"/>
      <c r="CUA1598" s="392"/>
      <c r="CUB1598" s="393"/>
      <c r="CUC1598" s="392"/>
      <c r="CUD1598" s="393"/>
      <c r="CUE1598" s="392"/>
      <c r="CUF1598" s="393"/>
      <c r="CUG1598" s="392"/>
      <c r="CUH1598" s="393"/>
      <c r="CUI1598" s="392"/>
      <c r="CUJ1598" s="393"/>
      <c r="CUK1598" s="392"/>
      <c r="CUL1598" s="393"/>
      <c r="CUM1598" s="392"/>
      <c r="CUN1598" s="393"/>
      <c r="CUO1598" s="392"/>
      <c r="CUP1598" s="393"/>
      <c r="CUQ1598" s="392"/>
      <c r="CUR1598" s="393"/>
      <c r="CUS1598" s="392"/>
      <c r="CUT1598" s="393"/>
      <c r="CUU1598" s="392"/>
      <c r="CUV1598" s="393"/>
      <c r="CUW1598" s="392"/>
      <c r="CUX1598" s="393"/>
      <c r="CUY1598" s="392"/>
      <c r="CUZ1598" s="393"/>
      <c r="CVA1598" s="392"/>
      <c r="CVB1598" s="393"/>
      <c r="CVC1598" s="392"/>
      <c r="CVD1598" s="393"/>
      <c r="CVE1598" s="392"/>
      <c r="CVF1598" s="393"/>
      <c r="CVG1598" s="392"/>
      <c r="CVH1598" s="393"/>
      <c r="CVI1598" s="392"/>
      <c r="CVJ1598" s="393"/>
      <c r="CVK1598" s="392"/>
      <c r="CVL1598" s="393"/>
      <c r="CVM1598" s="392"/>
      <c r="CVN1598" s="393"/>
      <c r="CVO1598" s="392"/>
      <c r="CVP1598" s="393"/>
      <c r="CVQ1598" s="392"/>
      <c r="CVR1598" s="393"/>
      <c r="CVS1598" s="392"/>
      <c r="CVT1598" s="393"/>
      <c r="CVU1598" s="392"/>
      <c r="CVV1598" s="393"/>
      <c r="CVW1598" s="392"/>
      <c r="CVX1598" s="393"/>
      <c r="CVY1598" s="392"/>
      <c r="CVZ1598" s="393"/>
      <c r="CWA1598" s="392"/>
      <c r="CWB1598" s="393"/>
      <c r="CWC1598" s="392"/>
      <c r="CWD1598" s="393"/>
      <c r="CWE1598" s="392"/>
      <c r="CWF1598" s="393"/>
      <c r="CWG1598" s="392"/>
      <c r="CWH1598" s="393"/>
      <c r="CWI1598" s="392"/>
      <c r="CWJ1598" s="393"/>
      <c r="CWK1598" s="392"/>
      <c r="CWL1598" s="393"/>
      <c r="CWM1598" s="392"/>
      <c r="CWN1598" s="393"/>
      <c r="CWO1598" s="392"/>
      <c r="CWP1598" s="393"/>
      <c r="CWQ1598" s="392"/>
      <c r="CWR1598" s="393"/>
      <c r="CWS1598" s="392"/>
      <c r="CWT1598" s="393"/>
      <c r="CWU1598" s="392"/>
      <c r="CWV1598" s="393"/>
      <c r="CWW1598" s="392"/>
      <c r="CWX1598" s="393"/>
      <c r="CWY1598" s="392"/>
      <c r="CWZ1598" s="393"/>
      <c r="CXA1598" s="392"/>
      <c r="CXB1598" s="393"/>
      <c r="CXC1598" s="392"/>
      <c r="CXD1598" s="393"/>
      <c r="CXE1598" s="392"/>
      <c r="CXF1598" s="393"/>
      <c r="CXG1598" s="392"/>
      <c r="CXH1598" s="393"/>
      <c r="CXI1598" s="392"/>
      <c r="CXJ1598" s="393"/>
      <c r="CXK1598" s="392"/>
      <c r="CXL1598" s="393"/>
      <c r="CXM1598" s="392"/>
      <c r="CXN1598" s="393"/>
      <c r="CXO1598" s="392"/>
      <c r="CXP1598" s="393"/>
      <c r="CXQ1598" s="392"/>
      <c r="CXR1598" s="393"/>
      <c r="CXS1598" s="392"/>
      <c r="CXT1598" s="393"/>
      <c r="CXU1598" s="392"/>
      <c r="CXV1598" s="393"/>
      <c r="CXW1598" s="392"/>
      <c r="CXX1598" s="393"/>
      <c r="CXY1598" s="392"/>
      <c r="CXZ1598" s="393"/>
      <c r="CYA1598" s="392"/>
      <c r="CYB1598" s="393"/>
      <c r="CYC1598" s="392"/>
      <c r="CYD1598" s="393"/>
      <c r="CYE1598" s="392"/>
      <c r="CYF1598" s="393"/>
      <c r="CYG1598" s="392"/>
      <c r="CYH1598" s="393"/>
      <c r="CYI1598" s="392"/>
      <c r="CYJ1598" s="393"/>
      <c r="CYK1598" s="392"/>
      <c r="CYL1598" s="393"/>
      <c r="CYM1598" s="392"/>
      <c r="CYN1598" s="393"/>
      <c r="CYO1598" s="392"/>
      <c r="CYP1598" s="393"/>
      <c r="CYQ1598" s="392"/>
      <c r="CYR1598" s="393"/>
      <c r="CYS1598" s="392"/>
      <c r="CYT1598" s="393"/>
      <c r="CYU1598" s="392"/>
      <c r="CYV1598" s="393"/>
      <c r="CYW1598" s="392"/>
      <c r="CYX1598" s="393"/>
      <c r="CYY1598" s="392"/>
      <c r="CYZ1598" s="393"/>
      <c r="CZA1598" s="392"/>
      <c r="CZB1598" s="393"/>
      <c r="CZC1598" s="392"/>
      <c r="CZD1598" s="393"/>
      <c r="CZE1598" s="392"/>
      <c r="CZF1598" s="393"/>
      <c r="CZG1598" s="392"/>
      <c r="CZH1598" s="393"/>
      <c r="CZI1598" s="392"/>
      <c r="CZJ1598" s="393"/>
      <c r="CZK1598" s="392"/>
      <c r="CZL1598" s="393"/>
      <c r="CZM1598" s="392"/>
      <c r="CZN1598" s="393"/>
      <c r="CZO1598" s="392"/>
      <c r="CZP1598" s="393"/>
      <c r="CZQ1598" s="392"/>
      <c r="CZR1598" s="393"/>
      <c r="CZS1598" s="392"/>
      <c r="CZT1598" s="393"/>
      <c r="CZU1598" s="392"/>
      <c r="CZV1598" s="393"/>
      <c r="CZW1598" s="392"/>
      <c r="CZX1598" s="393"/>
      <c r="CZY1598" s="392"/>
      <c r="CZZ1598" s="393"/>
      <c r="DAA1598" s="392"/>
      <c r="DAB1598" s="393"/>
      <c r="DAC1598" s="392"/>
      <c r="DAD1598" s="393"/>
      <c r="DAE1598" s="392"/>
      <c r="DAF1598" s="393"/>
      <c r="DAG1598" s="392"/>
      <c r="DAH1598" s="393"/>
      <c r="DAI1598" s="392"/>
      <c r="DAJ1598" s="393"/>
      <c r="DAK1598" s="392"/>
      <c r="DAL1598" s="393"/>
      <c r="DAM1598" s="392"/>
      <c r="DAN1598" s="393"/>
      <c r="DAO1598" s="392"/>
      <c r="DAP1598" s="393"/>
      <c r="DAQ1598" s="392"/>
      <c r="DAR1598" s="393"/>
      <c r="DAS1598" s="392"/>
      <c r="DAT1598" s="393"/>
      <c r="DAU1598" s="392"/>
      <c r="DAV1598" s="393"/>
      <c r="DAW1598" s="392"/>
      <c r="DAX1598" s="393"/>
      <c r="DAY1598" s="392"/>
      <c r="DAZ1598" s="393"/>
      <c r="DBA1598" s="392"/>
      <c r="DBB1598" s="393"/>
      <c r="DBC1598" s="392"/>
      <c r="DBD1598" s="393"/>
      <c r="DBE1598" s="392"/>
      <c r="DBF1598" s="393"/>
      <c r="DBG1598" s="392"/>
      <c r="DBH1598" s="393"/>
      <c r="DBI1598" s="392"/>
      <c r="DBJ1598" s="393"/>
      <c r="DBK1598" s="392"/>
      <c r="DBL1598" s="393"/>
      <c r="DBM1598" s="392"/>
      <c r="DBN1598" s="393"/>
      <c r="DBO1598" s="392"/>
      <c r="DBP1598" s="393"/>
      <c r="DBQ1598" s="392"/>
      <c r="DBR1598" s="393"/>
      <c r="DBS1598" s="392"/>
      <c r="DBT1598" s="393"/>
      <c r="DBU1598" s="392"/>
      <c r="DBV1598" s="393"/>
      <c r="DBW1598" s="392"/>
      <c r="DBX1598" s="393"/>
      <c r="DBY1598" s="392"/>
      <c r="DBZ1598" s="393"/>
      <c r="DCA1598" s="392"/>
      <c r="DCB1598" s="393"/>
      <c r="DCC1598" s="392"/>
      <c r="DCD1598" s="393"/>
      <c r="DCE1598" s="392"/>
      <c r="DCF1598" s="393"/>
      <c r="DCG1598" s="392"/>
      <c r="DCH1598" s="393"/>
      <c r="DCI1598" s="392"/>
      <c r="DCJ1598" s="393"/>
      <c r="DCK1598" s="392"/>
      <c r="DCL1598" s="393"/>
      <c r="DCM1598" s="392"/>
      <c r="DCN1598" s="393"/>
      <c r="DCO1598" s="392"/>
      <c r="DCP1598" s="393"/>
      <c r="DCQ1598" s="392"/>
      <c r="DCR1598" s="393"/>
      <c r="DCS1598" s="392"/>
      <c r="DCT1598" s="393"/>
      <c r="DCU1598" s="392"/>
      <c r="DCV1598" s="393"/>
      <c r="DCW1598" s="392"/>
      <c r="DCX1598" s="393"/>
      <c r="DCY1598" s="392"/>
      <c r="DCZ1598" s="393"/>
      <c r="DDA1598" s="392"/>
      <c r="DDB1598" s="393"/>
      <c r="DDC1598" s="392"/>
      <c r="DDD1598" s="393"/>
      <c r="DDE1598" s="392"/>
      <c r="DDF1598" s="393"/>
      <c r="DDG1598" s="392"/>
      <c r="DDH1598" s="393"/>
      <c r="DDI1598" s="392"/>
      <c r="DDJ1598" s="393"/>
      <c r="DDK1598" s="392"/>
      <c r="DDL1598" s="393"/>
      <c r="DDM1598" s="392"/>
      <c r="DDN1598" s="393"/>
      <c r="DDO1598" s="392"/>
      <c r="DDP1598" s="393"/>
      <c r="DDQ1598" s="392"/>
      <c r="DDR1598" s="393"/>
      <c r="DDS1598" s="392"/>
      <c r="DDT1598" s="393"/>
      <c r="DDU1598" s="392"/>
      <c r="DDV1598" s="393"/>
      <c r="DDW1598" s="392"/>
      <c r="DDX1598" s="393"/>
      <c r="DDY1598" s="392"/>
      <c r="DDZ1598" s="393"/>
      <c r="DEA1598" s="392"/>
      <c r="DEB1598" s="393"/>
      <c r="DEC1598" s="392"/>
      <c r="DED1598" s="393"/>
      <c r="DEE1598" s="392"/>
      <c r="DEF1598" s="393"/>
      <c r="DEG1598" s="392"/>
      <c r="DEH1598" s="393"/>
      <c r="DEI1598" s="392"/>
      <c r="DEJ1598" s="393"/>
      <c r="DEK1598" s="392"/>
      <c r="DEL1598" s="393"/>
      <c r="DEM1598" s="392"/>
      <c r="DEN1598" s="393"/>
      <c r="DEO1598" s="392"/>
      <c r="DEP1598" s="393"/>
      <c r="DEQ1598" s="392"/>
      <c r="DER1598" s="393"/>
      <c r="DES1598" s="392"/>
      <c r="DET1598" s="393"/>
      <c r="DEU1598" s="392"/>
      <c r="DEV1598" s="393"/>
      <c r="DEW1598" s="392"/>
      <c r="DEX1598" s="393"/>
      <c r="DEY1598" s="392"/>
      <c r="DEZ1598" s="393"/>
      <c r="DFA1598" s="392"/>
      <c r="DFB1598" s="393"/>
      <c r="DFC1598" s="392"/>
      <c r="DFD1598" s="393"/>
      <c r="DFE1598" s="392"/>
      <c r="DFF1598" s="393"/>
      <c r="DFG1598" s="392"/>
      <c r="DFH1598" s="393"/>
      <c r="DFI1598" s="392"/>
      <c r="DFJ1598" s="393"/>
      <c r="DFK1598" s="392"/>
      <c r="DFL1598" s="393"/>
      <c r="DFM1598" s="392"/>
      <c r="DFN1598" s="393"/>
      <c r="DFO1598" s="392"/>
      <c r="DFP1598" s="393"/>
      <c r="DFQ1598" s="392"/>
      <c r="DFR1598" s="393"/>
      <c r="DFS1598" s="392"/>
      <c r="DFT1598" s="393"/>
      <c r="DFU1598" s="392"/>
      <c r="DFV1598" s="393"/>
      <c r="DFW1598" s="392"/>
      <c r="DFX1598" s="393"/>
      <c r="DFY1598" s="392"/>
      <c r="DFZ1598" s="393"/>
      <c r="DGA1598" s="392"/>
      <c r="DGB1598" s="393"/>
      <c r="DGC1598" s="392"/>
      <c r="DGD1598" s="393"/>
      <c r="DGE1598" s="392"/>
      <c r="DGF1598" s="393"/>
      <c r="DGG1598" s="392"/>
      <c r="DGH1598" s="393"/>
      <c r="DGI1598" s="392"/>
      <c r="DGJ1598" s="393"/>
      <c r="DGK1598" s="392"/>
      <c r="DGL1598" s="393"/>
      <c r="DGM1598" s="392"/>
      <c r="DGN1598" s="393"/>
      <c r="DGO1598" s="392"/>
      <c r="DGP1598" s="393"/>
      <c r="DGQ1598" s="392"/>
      <c r="DGR1598" s="393"/>
      <c r="DGS1598" s="392"/>
      <c r="DGT1598" s="393"/>
      <c r="DGU1598" s="392"/>
      <c r="DGV1598" s="393"/>
      <c r="DGW1598" s="392"/>
      <c r="DGX1598" s="393"/>
      <c r="DGY1598" s="392"/>
      <c r="DGZ1598" s="393"/>
      <c r="DHA1598" s="392"/>
      <c r="DHB1598" s="393"/>
      <c r="DHC1598" s="392"/>
      <c r="DHD1598" s="393"/>
      <c r="DHE1598" s="392"/>
      <c r="DHF1598" s="393"/>
      <c r="DHG1598" s="392"/>
      <c r="DHH1598" s="393"/>
      <c r="DHI1598" s="392"/>
      <c r="DHJ1598" s="393"/>
      <c r="DHK1598" s="392"/>
      <c r="DHL1598" s="393"/>
      <c r="DHM1598" s="392"/>
      <c r="DHN1598" s="393"/>
      <c r="DHO1598" s="392"/>
      <c r="DHP1598" s="393"/>
      <c r="DHQ1598" s="392"/>
      <c r="DHR1598" s="393"/>
      <c r="DHS1598" s="392"/>
      <c r="DHT1598" s="393"/>
      <c r="DHU1598" s="392"/>
      <c r="DHV1598" s="393"/>
      <c r="DHW1598" s="392"/>
      <c r="DHX1598" s="393"/>
      <c r="DHY1598" s="392"/>
      <c r="DHZ1598" s="393"/>
      <c r="DIA1598" s="392"/>
      <c r="DIB1598" s="393"/>
      <c r="DIC1598" s="392"/>
      <c r="DID1598" s="393"/>
      <c r="DIE1598" s="392"/>
      <c r="DIF1598" s="393"/>
      <c r="DIG1598" s="392"/>
      <c r="DIH1598" s="393"/>
      <c r="DII1598" s="392"/>
      <c r="DIJ1598" s="393"/>
      <c r="DIK1598" s="392"/>
      <c r="DIL1598" s="393"/>
      <c r="DIM1598" s="392"/>
      <c r="DIN1598" s="393"/>
      <c r="DIO1598" s="392"/>
      <c r="DIP1598" s="393"/>
      <c r="DIQ1598" s="392"/>
      <c r="DIR1598" s="393"/>
      <c r="DIS1598" s="392"/>
      <c r="DIT1598" s="393"/>
      <c r="DIU1598" s="392"/>
      <c r="DIV1598" s="393"/>
      <c r="DIW1598" s="392"/>
      <c r="DIX1598" s="393"/>
      <c r="DIY1598" s="392"/>
      <c r="DIZ1598" s="393"/>
      <c r="DJA1598" s="392"/>
      <c r="DJB1598" s="393"/>
      <c r="DJC1598" s="392"/>
      <c r="DJD1598" s="393"/>
      <c r="DJE1598" s="392"/>
      <c r="DJF1598" s="393"/>
      <c r="DJG1598" s="392"/>
      <c r="DJH1598" s="393"/>
      <c r="DJI1598" s="392"/>
      <c r="DJJ1598" s="393"/>
      <c r="DJK1598" s="392"/>
      <c r="DJL1598" s="393"/>
      <c r="DJM1598" s="392"/>
      <c r="DJN1598" s="393"/>
      <c r="DJO1598" s="392"/>
      <c r="DJP1598" s="393"/>
      <c r="DJQ1598" s="392"/>
      <c r="DJR1598" s="393"/>
      <c r="DJS1598" s="392"/>
      <c r="DJT1598" s="393"/>
      <c r="DJU1598" s="392"/>
      <c r="DJV1598" s="393"/>
      <c r="DJW1598" s="392"/>
      <c r="DJX1598" s="393"/>
      <c r="DJY1598" s="392"/>
      <c r="DJZ1598" s="393"/>
      <c r="DKA1598" s="392"/>
      <c r="DKB1598" s="393"/>
      <c r="DKC1598" s="392"/>
      <c r="DKD1598" s="393"/>
      <c r="DKE1598" s="392"/>
      <c r="DKF1598" s="393"/>
      <c r="DKG1598" s="392"/>
      <c r="DKH1598" s="393"/>
      <c r="DKI1598" s="392"/>
      <c r="DKJ1598" s="393"/>
      <c r="DKK1598" s="392"/>
      <c r="DKL1598" s="393"/>
      <c r="DKM1598" s="392"/>
      <c r="DKN1598" s="393"/>
      <c r="DKO1598" s="392"/>
      <c r="DKP1598" s="393"/>
      <c r="DKQ1598" s="392"/>
      <c r="DKR1598" s="393"/>
      <c r="DKS1598" s="392"/>
      <c r="DKT1598" s="393"/>
      <c r="DKU1598" s="392"/>
      <c r="DKV1598" s="393"/>
      <c r="DKW1598" s="392"/>
      <c r="DKX1598" s="393"/>
      <c r="DKY1598" s="392"/>
      <c r="DKZ1598" s="393"/>
      <c r="DLA1598" s="392"/>
      <c r="DLB1598" s="393"/>
      <c r="DLC1598" s="392"/>
      <c r="DLD1598" s="393"/>
      <c r="DLE1598" s="392"/>
      <c r="DLF1598" s="393"/>
      <c r="DLG1598" s="392"/>
      <c r="DLH1598" s="393"/>
      <c r="DLI1598" s="392"/>
      <c r="DLJ1598" s="393"/>
      <c r="DLK1598" s="392"/>
      <c r="DLL1598" s="393"/>
      <c r="DLM1598" s="392"/>
      <c r="DLN1598" s="393"/>
      <c r="DLO1598" s="392"/>
      <c r="DLP1598" s="393"/>
      <c r="DLQ1598" s="392"/>
      <c r="DLR1598" s="393"/>
      <c r="DLS1598" s="392"/>
      <c r="DLT1598" s="393"/>
      <c r="DLU1598" s="392"/>
      <c r="DLV1598" s="393"/>
      <c r="DLW1598" s="392"/>
      <c r="DLX1598" s="393"/>
      <c r="DLY1598" s="392"/>
      <c r="DLZ1598" s="393"/>
      <c r="DMA1598" s="392"/>
      <c r="DMB1598" s="393"/>
      <c r="DMC1598" s="392"/>
      <c r="DMD1598" s="393"/>
      <c r="DME1598" s="392"/>
      <c r="DMF1598" s="393"/>
      <c r="DMG1598" s="392"/>
      <c r="DMH1598" s="393"/>
      <c r="DMI1598" s="392"/>
      <c r="DMJ1598" s="393"/>
      <c r="DMK1598" s="392"/>
      <c r="DML1598" s="393"/>
      <c r="DMM1598" s="392"/>
      <c r="DMN1598" s="393"/>
      <c r="DMO1598" s="392"/>
      <c r="DMP1598" s="393"/>
      <c r="DMQ1598" s="392"/>
      <c r="DMR1598" s="393"/>
      <c r="DMS1598" s="392"/>
      <c r="DMT1598" s="393"/>
      <c r="DMU1598" s="392"/>
      <c r="DMV1598" s="393"/>
      <c r="DMW1598" s="392"/>
      <c r="DMX1598" s="393"/>
      <c r="DMY1598" s="392"/>
      <c r="DMZ1598" s="393"/>
      <c r="DNA1598" s="392"/>
      <c r="DNB1598" s="393"/>
      <c r="DNC1598" s="392"/>
      <c r="DND1598" s="393"/>
      <c r="DNE1598" s="392"/>
      <c r="DNF1598" s="393"/>
      <c r="DNG1598" s="392"/>
      <c r="DNH1598" s="393"/>
      <c r="DNI1598" s="392"/>
      <c r="DNJ1598" s="393"/>
      <c r="DNK1598" s="392"/>
      <c r="DNL1598" s="393"/>
      <c r="DNM1598" s="392"/>
      <c r="DNN1598" s="393"/>
      <c r="DNO1598" s="392"/>
      <c r="DNP1598" s="393"/>
      <c r="DNQ1598" s="392"/>
      <c r="DNR1598" s="393"/>
      <c r="DNS1598" s="392"/>
      <c r="DNT1598" s="393"/>
      <c r="DNU1598" s="392"/>
      <c r="DNV1598" s="393"/>
      <c r="DNW1598" s="392"/>
      <c r="DNX1598" s="393"/>
      <c r="DNY1598" s="392"/>
      <c r="DNZ1598" s="393"/>
      <c r="DOA1598" s="392"/>
      <c r="DOB1598" s="393"/>
      <c r="DOC1598" s="392"/>
      <c r="DOD1598" s="393"/>
      <c r="DOE1598" s="392"/>
      <c r="DOF1598" s="393"/>
      <c r="DOG1598" s="392"/>
      <c r="DOH1598" s="393"/>
      <c r="DOI1598" s="392"/>
      <c r="DOJ1598" s="393"/>
      <c r="DOK1598" s="392"/>
      <c r="DOL1598" s="393"/>
      <c r="DOM1598" s="392"/>
      <c r="DON1598" s="393"/>
      <c r="DOO1598" s="392"/>
      <c r="DOP1598" s="393"/>
      <c r="DOQ1598" s="392"/>
      <c r="DOR1598" s="393"/>
      <c r="DOS1598" s="392"/>
      <c r="DOT1598" s="393"/>
      <c r="DOU1598" s="392"/>
      <c r="DOV1598" s="393"/>
      <c r="DOW1598" s="392"/>
      <c r="DOX1598" s="393"/>
      <c r="DOY1598" s="392"/>
      <c r="DOZ1598" s="393"/>
      <c r="DPA1598" s="392"/>
      <c r="DPB1598" s="393"/>
      <c r="DPC1598" s="392"/>
      <c r="DPD1598" s="393"/>
      <c r="DPE1598" s="392"/>
      <c r="DPF1598" s="393"/>
      <c r="DPG1598" s="392"/>
      <c r="DPH1598" s="393"/>
      <c r="DPI1598" s="392"/>
      <c r="DPJ1598" s="393"/>
      <c r="DPK1598" s="392"/>
      <c r="DPL1598" s="393"/>
      <c r="DPM1598" s="392"/>
      <c r="DPN1598" s="393"/>
      <c r="DPO1598" s="392"/>
      <c r="DPP1598" s="393"/>
      <c r="DPQ1598" s="392"/>
      <c r="DPR1598" s="393"/>
      <c r="DPS1598" s="392"/>
      <c r="DPT1598" s="393"/>
      <c r="DPU1598" s="392"/>
      <c r="DPV1598" s="393"/>
      <c r="DPW1598" s="392"/>
      <c r="DPX1598" s="393"/>
      <c r="DPY1598" s="392"/>
      <c r="DPZ1598" s="393"/>
      <c r="DQA1598" s="392"/>
      <c r="DQB1598" s="393"/>
      <c r="DQC1598" s="392"/>
      <c r="DQD1598" s="393"/>
      <c r="DQE1598" s="392"/>
      <c r="DQF1598" s="393"/>
      <c r="DQG1598" s="392"/>
      <c r="DQH1598" s="393"/>
      <c r="DQI1598" s="392"/>
      <c r="DQJ1598" s="393"/>
      <c r="DQK1598" s="392"/>
      <c r="DQL1598" s="393"/>
      <c r="DQM1598" s="392"/>
      <c r="DQN1598" s="393"/>
      <c r="DQO1598" s="392"/>
      <c r="DQP1598" s="393"/>
      <c r="DQQ1598" s="392"/>
      <c r="DQR1598" s="393"/>
      <c r="DQS1598" s="392"/>
      <c r="DQT1598" s="393"/>
      <c r="DQU1598" s="392"/>
      <c r="DQV1598" s="393"/>
      <c r="DQW1598" s="392"/>
      <c r="DQX1598" s="393"/>
      <c r="DQY1598" s="392"/>
      <c r="DQZ1598" s="393"/>
      <c r="DRA1598" s="392"/>
      <c r="DRB1598" s="393"/>
      <c r="DRC1598" s="392"/>
      <c r="DRD1598" s="393"/>
      <c r="DRE1598" s="392"/>
      <c r="DRF1598" s="393"/>
      <c r="DRG1598" s="392"/>
      <c r="DRH1598" s="393"/>
      <c r="DRI1598" s="392"/>
      <c r="DRJ1598" s="393"/>
      <c r="DRK1598" s="392"/>
      <c r="DRL1598" s="393"/>
      <c r="DRM1598" s="392"/>
      <c r="DRN1598" s="393"/>
      <c r="DRO1598" s="392"/>
      <c r="DRP1598" s="393"/>
      <c r="DRQ1598" s="392"/>
      <c r="DRR1598" s="393"/>
      <c r="DRS1598" s="392"/>
      <c r="DRT1598" s="393"/>
      <c r="DRU1598" s="392"/>
      <c r="DRV1598" s="393"/>
      <c r="DRW1598" s="392"/>
      <c r="DRX1598" s="393"/>
      <c r="DRY1598" s="392"/>
      <c r="DRZ1598" s="393"/>
      <c r="DSA1598" s="392"/>
      <c r="DSB1598" s="393"/>
      <c r="DSC1598" s="392"/>
      <c r="DSD1598" s="393"/>
      <c r="DSE1598" s="392"/>
      <c r="DSF1598" s="393"/>
      <c r="DSG1598" s="392"/>
      <c r="DSH1598" s="393"/>
      <c r="DSI1598" s="392"/>
      <c r="DSJ1598" s="393"/>
      <c r="DSK1598" s="392"/>
      <c r="DSL1598" s="393"/>
      <c r="DSM1598" s="392"/>
      <c r="DSN1598" s="393"/>
      <c r="DSO1598" s="392"/>
      <c r="DSP1598" s="393"/>
      <c r="DSQ1598" s="392"/>
      <c r="DSR1598" s="393"/>
      <c r="DSS1598" s="392"/>
      <c r="DST1598" s="393"/>
      <c r="DSU1598" s="392"/>
      <c r="DSV1598" s="393"/>
      <c r="DSW1598" s="392"/>
      <c r="DSX1598" s="393"/>
      <c r="DSY1598" s="392"/>
      <c r="DSZ1598" s="393"/>
      <c r="DTA1598" s="392"/>
      <c r="DTB1598" s="393"/>
      <c r="DTC1598" s="392"/>
      <c r="DTD1598" s="393"/>
      <c r="DTE1598" s="392"/>
      <c r="DTF1598" s="393"/>
      <c r="DTG1598" s="392"/>
      <c r="DTH1598" s="393"/>
      <c r="DTI1598" s="392"/>
      <c r="DTJ1598" s="393"/>
      <c r="DTK1598" s="392"/>
      <c r="DTL1598" s="393"/>
      <c r="DTM1598" s="392"/>
      <c r="DTN1598" s="393"/>
      <c r="DTO1598" s="392"/>
      <c r="DTP1598" s="393"/>
      <c r="DTQ1598" s="392"/>
      <c r="DTR1598" s="393"/>
      <c r="DTS1598" s="392"/>
      <c r="DTT1598" s="393"/>
      <c r="DTU1598" s="392"/>
      <c r="DTV1598" s="393"/>
      <c r="DTW1598" s="392"/>
      <c r="DTX1598" s="393"/>
      <c r="DTY1598" s="392"/>
      <c r="DTZ1598" s="393"/>
      <c r="DUA1598" s="392"/>
      <c r="DUB1598" s="393"/>
      <c r="DUC1598" s="392"/>
      <c r="DUD1598" s="393"/>
      <c r="DUE1598" s="392"/>
      <c r="DUF1598" s="393"/>
      <c r="DUG1598" s="392"/>
      <c r="DUH1598" s="393"/>
      <c r="DUI1598" s="392"/>
      <c r="DUJ1598" s="393"/>
      <c r="DUK1598" s="392"/>
      <c r="DUL1598" s="393"/>
      <c r="DUM1598" s="392"/>
      <c r="DUN1598" s="393"/>
      <c r="DUO1598" s="392"/>
      <c r="DUP1598" s="393"/>
      <c r="DUQ1598" s="392"/>
      <c r="DUR1598" s="393"/>
      <c r="DUS1598" s="392"/>
      <c r="DUT1598" s="393"/>
      <c r="DUU1598" s="392"/>
      <c r="DUV1598" s="393"/>
      <c r="DUW1598" s="392"/>
      <c r="DUX1598" s="393"/>
      <c r="DUY1598" s="392"/>
      <c r="DUZ1598" s="393"/>
      <c r="DVA1598" s="392"/>
      <c r="DVB1598" s="393"/>
      <c r="DVC1598" s="392"/>
      <c r="DVD1598" s="393"/>
      <c r="DVE1598" s="392"/>
      <c r="DVF1598" s="393"/>
      <c r="DVG1598" s="392"/>
      <c r="DVH1598" s="393"/>
      <c r="DVI1598" s="392"/>
      <c r="DVJ1598" s="393"/>
      <c r="DVK1598" s="392"/>
      <c r="DVL1598" s="393"/>
      <c r="DVM1598" s="392"/>
      <c r="DVN1598" s="393"/>
      <c r="DVO1598" s="392"/>
      <c r="DVP1598" s="393"/>
      <c r="DVQ1598" s="392"/>
      <c r="DVR1598" s="393"/>
      <c r="DVS1598" s="392"/>
      <c r="DVT1598" s="393"/>
      <c r="DVU1598" s="392"/>
      <c r="DVV1598" s="393"/>
      <c r="DVW1598" s="392"/>
      <c r="DVX1598" s="393"/>
      <c r="DVY1598" s="392"/>
      <c r="DVZ1598" s="393"/>
      <c r="DWA1598" s="392"/>
      <c r="DWB1598" s="393"/>
      <c r="DWC1598" s="392"/>
      <c r="DWD1598" s="393"/>
      <c r="DWE1598" s="392"/>
      <c r="DWF1598" s="393"/>
      <c r="DWG1598" s="392"/>
      <c r="DWH1598" s="393"/>
      <c r="DWI1598" s="392"/>
      <c r="DWJ1598" s="393"/>
      <c r="DWK1598" s="392"/>
      <c r="DWL1598" s="393"/>
      <c r="DWM1598" s="392"/>
      <c r="DWN1598" s="393"/>
      <c r="DWO1598" s="392"/>
      <c r="DWP1598" s="393"/>
      <c r="DWQ1598" s="392"/>
      <c r="DWR1598" s="393"/>
      <c r="DWS1598" s="392"/>
      <c r="DWT1598" s="393"/>
      <c r="DWU1598" s="392"/>
      <c r="DWV1598" s="393"/>
      <c r="DWW1598" s="392"/>
      <c r="DWX1598" s="393"/>
      <c r="DWY1598" s="392"/>
      <c r="DWZ1598" s="393"/>
      <c r="DXA1598" s="392"/>
      <c r="DXB1598" s="393"/>
      <c r="DXC1598" s="392"/>
      <c r="DXD1598" s="393"/>
      <c r="DXE1598" s="392"/>
      <c r="DXF1598" s="393"/>
      <c r="DXG1598" s="392"/>
      <c r="DXH1598" s="393"/>
      <c r="DXI1598" s="392"/>
      <c r="DXJ1598" s="393"/>
      <c r="DXK1598" s="392"/>
      <c r="DXL1598" s="393"/>
      <c r="DXM1598" s="392"/>
      <c r="DXN1598" s="393"/>
      <c r="DXO1598" s="392"/>
      <c r="DXP1598" s="393"/>
      <c r="DXQ1598" s="392"/>
      <c r="DXR1598" s="393"/>
      <c r="DXS1598" s="392"/>
      <c r="DXT1598" s="393"/>
      <c r="DXU1598" s="392"/>
      <c r="DXV1598" s="393"/>
      <c r="DXW1598" s="392"/>
      <c r="DXX1598" s="393"/>
      <c r="DXY1598" s="392"/>
      <c r="DXZ1598" s="393"/>
      <c r="DYA1598" s="392"/>
      <c r="DYB1598" s="393"/>
      <c r="DYC1598" s="392"/>
      <c r="DYD1598" s="393"/>
      <c r="DYE1598" s="392"/>
      <c r="DYF1598" s="393"/>
      <c r="DYG1598" s="392"/>
      <c r="DYH1598" s="393"/>
      <c r="DYI1598" s="392"/>
      <c r="DYJ1598" s="393"/>
      <c r="DYK1598" s="392"/>
      <c r="DYL1598" s="393"/>
      <c r="DYM1598" s="392"/>
      <c r="DYN1598" s="393"/>
      <c r="DYO1598" s="392"/>
      <c r="DYP1598" s="393"/>
      <c r="DYQ1598" s="392"/>
      <c r="DYR1598" s="393"/>
      <c r="DYS1598" s="392"/>
      <c r="DYT1598" s="393"/>
      <c r="DYU1598" s="392"/>
      <c r="DYV1598" s="393"/>
      <c r="DYW1598" s="392"/>
      <c r="DYX1598" s="393"/>
      <c r="DYY1598" s="392"/>
      <c r="DYZ1598" s="393"/>
      <c r="DZA1598" s="392"/>
      <c r="DZB1598" s="393"/>
      <c r="DZC1598" s="392"/>
      <c r="DZD1598" s="393"/>
      <c r="DZE1598" s="392"/>
      <c r="DZF1598" s="393"/>
      <c r="DZG1598" s="392"/>
      <c r="DZH1598" s="393"/>
      <c r="DZI1598" s="392"/>
      <c r="DZJ1598" s="393"/>
      <c r="DZK1598" s="392"/>
      <c r="DZL1598" s="393"/>
      <c r="DZM1598" s="392"/>
      <c r="DZN1598" s="393"/>
      <c r="DZO1598" s="392"/>
      <c r="DZP1598" s="393"/>
      <c r="DZQ1598" s="392"/>
      <c r="DZR1598" s="393"/>
      <c r="DZS1598" s="392"/>
      <c r="DZT1598" s="393"/>
      <c r="DZU1598" s="392"/>
      <c r="DZV1598" s="393"/>
      <c r="DZW1598" s="392"/>
      <c r="DZX1598" s="393"/>
      <c r="DZY1598" s="392"/>
      <c r="DZZ1598" s="393"/>
      <c r="EAA1598" s="392"/>
      <c r="EAB1598" s="393"/>
      <c r="EAC1598" s="392"/>
      <c r="EAD1598" s="393"/>
      <c r="EAE1598" s="392"/>
      <c r="EAF1598" s="393"/>
      <c r="EAG1598" s="392"/>
      <c r="EAH1598" s="393"/>
      <c r="EAI1598" s="392"/>
      <c r="EAJ1598" s="393"/>
      <c r="EAK1598" s="392"/>
      <c r="EAL1598" s="393"/>
      <c r="EAM1598" s="392"/>
      <c r="EAN1598" s="393"/>
      <c r="EAO1598" s="392"/>
      <c r="EAP1598" s="393"/>
      <c r="EAQ1598" s="392"/>
      <c r="EAR1598" s="393"/>
      <c r="EAS1598" s="392"/>
      <c r="EAT1598" s="393"/>
      <c r="EAU1598" s="392"/>
      <c r="EAV1598" s="393"/>
      <c r="EAW1598" s="392"/>
      <c r="EAX1598" s="393"/>
      <c r="EAY1598" s="392"/>
      <c r="EAZ1598" s="393"/>
      <c r="EBA1598" s="392"/>
      <c r="EBB1598" s="393"/>
      <c r="EBC1598" s="392"/>
      <c r="EBD1598" s="393"/>
      <c r="EBE1598" s="392"/>
      <c r="EBF1598" s="393"/>
      <c r="EBG1598" s="392"/>
      <c r="EBH1598" s="393"/>
      <c r="EBI1598" s="392"/>
      <c r="EBJ1598" s="393"/>
      <c r="EBK1598" s="392"/>
      <c r="EBL1598" s="393"/>
      <c r="EBM1598" s="392"/>
      <c r="EBN1598" s="393"/>
      <c r="EBO1598" s="392"/>
      <c r="EBP1598" s="393"/>
      <c r="EBQ1598" s="392"/>
      <c r="EBR1598" s="393"/>
      <c r="EBS1598" s="392"/>
      <c r="EBT1598" s="393"/>
      <c r="EBU1598" s="392"/>
      <c r="EBV1598" s="393"/>
      <c r="EBW1598" s="392"/>
      <c r="EBX1598" s="393"/>
      <c r="EBY1598" s="392"/>
      <c r="EBZ1598" s="393"/>
      <c r="ECA1598" s="392"/>
      <c r="ECB1598" s="393"/>
      <c r="ECC1598" s="392"/>
      <c r="ECD1598" s="393"/>
      <c r="ECE1598" s="392"/>
      <c r="ECF1598" s="393"/>
      <c r="ECG1598" s="392"/>
      <c r="ECH1598" s="393"/>
      <c r="ECI1598" s="392"/>
      <c r="ECJ1598" s="393"/>
      <c r="ECK1598" s="392"/>
      <c r="ECL1598" s="393"/>
      <c r="ECM1598" s="392"/>
      <c r="ECN1598" s="393"/>
      <c r="ECO1598" s="392"/>
      <c r="ECP1598" s="393"/>
      <c r="ECQ1598" s="392"/>
      <c r="ECR1598" s="393"/>
      <c r="ECS1598" s="392"/>
      <c r="ECT1598" s="393"/>
      <c r="ECU1598" s="392"/>
      <c r="ECV1598" s="393"/>
      <c r="ECW1598" s="392"/>
      <c r="ECX1598" s="393"/>
      <c r="ECY1598" s="392"/>
      <c r="ECZ1598" s="393"/>
      <c r="EDA1598" s="392"/>
      <c r="EDB1598" s="393"/>
      <c r="EDC1598" s="392"/>
      <c r="EDD1598" s="393"/>
      <c r="EDE1598" s="392"/>
      <c r="EDF1598" s="393"/>
      <c r="EDG1598" s="392"/>
      <c r="EDH1598" s="393"/>
      <c r="EDI1598" s="392"/>
      <c r="EDJ1598" s="393"/>
      <c r="EDK1598" s="392"/>
      <c r="EDL1598" s="393"/>
      <c r="EDM1598" s="392"/>
      <c r="EDN1598" s="393"/>
      <c r="EDO1598" s="392"/>
      <c r="EDP1598" s="393"/>
      <c r="EDQ1598" s="392"/>
      <c r="EDR1598" s="393"/>
      <c r="EDS1598" s="392"/>
      <c r="EDT1598" s="393"/>
      <c r="EDU1598" s="392"/>
      <c r="EDV1598" s="393"/>
      <c r="EDW1598" s="392"/>
      <c r="EDX1598" s="393"/>
      <c r="EDY1598" s="392"/>
      <c r="EDZ1598" s="393"/>
      <c r="EEA1598" s="392"/>
      <c r="EEB1598" s="393"/>
      <c r="EEC1598" s="392"/>
      <c r="EED1598" s="393"/>
      <c r="EEE1598" s="392"/>
      <c r="EEF1598" s="393"/>
      <c r="EEG1598" s="392"/>
      <c r="EEH1598" s="393"/>
      <c r="EEI1598" s="392"/>
      <c r="EEJ1598" s="393"/>
      <c r="EEK1598" s="392"/>
      <c r="EEL1598" s="393"/>
      <c r="EEM1598" s="392"/>
      <c r="EEN1598" s="393"/>
      <c r="EEO1598" s="392"/>
      <c r="EEP1598" s="393"/>
      <c r="EEQ1598" s="392"/>
      <c r="EER1598" s="393"/>
      <c r="EES1598" s="392"/>
      <c r="EET1598" s="393"/>
      <c r="EEU1598" s="392"/>
      <c r="EEV1598" s="393"/>
      <c r="EEW1598" s="392"/>
      <c r="EEX1598" s="393"/>
      <c r="EEY1598" s="392"/>
      <c r="EEZ1598" s="393"/>
      <c r="EFA1598" s="392"/>
      <c r="EFB1598" s="393"/>
      <c r="EFC1598" s="392"/>
      <c r="EFD1598" s="393"/>
      <c r="EFE1598" s="392"/>
      <c r="EFF1598" s="393"/>
      <c r="EFG1598" s="392"/>
      <c r="EFH1598" s="393"/>
      <c r="EFI1598" s="392"/>
      <c r="EFJ1598" s="393"/>
      <c r="EFK1598" s="392"/>
      <c r="EFL1598" s="393"/>
      <c r="EFM1598" s="392"/>
      <c r="EFN1598" s="393"/>
      <c r="EFO1598" s="392"/>
      <c r="EFP1598" s="393"/>
      <c r="EFQ1598" s="392"/>
      <c r="EFR1598" s="393"/>
      <c r="EFS1598" s="392"/>
      <c r="EFT1598" s="393"/>
      <c r="EFU1598" s="392"/>
      <c r="EFV1598" s="393"/>
      <c r="EFW1598" s="392"/>
      <c r="EFX1598" s="393"/>
      <c r="EFY1598" s="392"/>
      <c r="EFZ1598" s="393"/>
      <c r="EGA1598" s="392"/>
      <c r="EGB1598" s="393"/>
      <c r="EGC1598" s="392"/>
      <c r="EGD1598" s="393"/>
      <c r="EGE1598" s="392"/>
      <c r="EGF1598" s="393"/>
      <c r="EGG1598" s="392"/>
      <c r="EGH1598" s="393"/>
      <c r="EGI1598" s="392"/>
      <c r="EGJ1598" s="393"/>
      <c r="EGK1598" s="392"/>
      <c r="EGL1598" s="393"/>
      <c r="EGM1598" s="392"/>
      <c r="EGN1598" s="393"/>
      <c r="EGO1598" s="392"/>
      <c r="EGP1598" s="393"/>
      <c r="EGQ1598" s="392"/>
      <c r="EGR1598" s="393"/>
      <c r="EGS1598" s="392"/>
      <c r="EGT1598" s="393"/>
      <c r="EGU1598" s="392"/>
      <c r="EGV1598" s="393"/>
      <c r="EGW1598" s="392"/>
      <c r="EGX1598" s="393"/>
      <c r="EGY1598" s="392"/>
      <c r="EGZ1598" s="393"/>
      <c r="EHA1598" s="392"/>
      <c r="EHB1598" s="393"/>
      <c r="EHC1598" s="392"/>
      <c r="EHD1598" s="393"/>
      <c r="EHE1598" s="392"/>
      <c r="EHF1598" s="393"/>
      <c r="EHG1598" s="392"/>
      <c r="EHH1598" s="393"/>
      <c r="EHI1598" s="392"/>
      <c r="EHJ1598" s="393"/>
      <c r="EHK1598" s="392"/>
      <c r="EHL1598" s="393"/>
      <c r="EHM1598" s="392"/>
      <c r="EHN1598" s="393"/>
      <c r="EHO1598" s="392"/>
      <c r="EHP1598" s="393"/>
      <c r="EHQ1598" s="392"/>
      <c r="EHR1598" s="393"/>
      <c r="EHS1598" s="392"/>
      <c r="EHT1598" s="393"/>
      <c r="EHU1598" s="392"/>
      <c r="EHV1598" s="393"/>
      <c r="EHW1598" s="392"/>
      <c r="EHX1598" s="393"/>
      <c r="EHY1598" s="392"/>
      <c r="EHZ1598" s="393"/>
      <c r="EIA1598" s="392"/>
      <c r="EIB1598" s="393"/>
      <c r="EIC1598" s="392"/>
      <c r="EID1598" s="393"/>
      <c r="EIE1598" s="392"/>
      <c r="EIF1598" s="393"/>
      <c r="EIG1598" s="392"/>
      <c r="EIH1598" s="393"/>
      <c r="EII1598" s="392"/>
      <c r="EIJ1598" s="393"/>
      <c r="EIK1598" s="392"/>
      <c r="EIL1598" s="393"/>
      <c r="EIM1598" s="392"/>
      <c r="EIN1598" s="393"/>
      <c r="EIO1598" s="392"/>
      <c r="EIP1598" s="393"/>
      <c r="EIQ1598" s="392"/>
      <c r="EIR1598" s="393"/>
      <c r="EIS1598" s="392"/>
      <c r="EIT1598" s="393"/>
      <c r="EIU1598" s="392"/>
      <c r="EIV1598" s="393"/>
      <c r="EIW1598" s="392"/>
      <c r="EIX1598" s="393"/>
      <c r="EIY1598" s="392"/>
      <c r="EIZ1598" s="393"/>
      <c r="EJA1598" s="392"/>
      <c r="EJB1598" s="393"/>
      <c r="EJC1598" s="392"/>
      <c r="EJD1598" s="393"/>
      <c r="EJE1598" s="392"/>
      <c r="EJF1598" s="393"/>
      <c r="EJG1598" s="392"/>
      <c r="EJH1598" s="393"/>
      <c r="EJI1598" s="392"/>
      <c r="EJJ1598" s="393"/>
      <c r="EJK1598" s="392"/>
      <c r="EJL1598" s="393"/>
      <c r="EJM1598" s="392"/>
      <c r="EJN1598" s="393"/>
      <c r="EJO1598" s="392"/>
      <c r="EJP1598" s="393"/>
      <c r="EJQ1598" s="392"/>
      <c r="EJR1598" s="393"/>
      <c r="EJS1598" s="392"/>
      <c r="EJT1598" s="393"/>
      <c r="EJU1598" s="392"/>
      <c r="EJV1598" s="393"/>
      <c r="EJW1598" s="392"/>
      <c r="EJX1598" s="393"/>
      <c r="EJY1598" s="392"/>
      <c r="EJZ1598" s="393"/>
      <c r="EKA1598" s="392"/>
      <c r="EKB1598" s="393"/>
      <c r="EKC1598" s="392"/>
      <c r="EKD1598" s="393"/>
      <c r="EKE1598" s="392"/>
      <c r="EKF1598" s="393"/>
      <c r="EKG1598" s="392"/>
      <c r="EKH1598" s="393"/>
      <c r="EKI1598" s="392"/>
      <c r="EKJ1598" s="393"/>
      <c r="EKK1598" s="392"/>
      <c r="EKL1598" s="393"/>
      <c r="EKM1598" s="392"/>
      <c r="EKN1598" s="393"/>
      <c r="EKO1598" s="392"/>
      <c r="EKP1598" s="393"/>
      <c r="EKQ1598" s="392"/>
      <c r="EKR1598" s="393"/>
      <c r="EKS1598" s="392"/>
      <c r="EKT1598" s="393"/>
      <c r="EKU1598" s="392"/>
      <c r="EKV1598" s="393"/>
      <c r="EKW1598" s="392"/>
      <c r="EKX1598" s="393"/>
      <c r="EKY1598" s="392"/>
      <c r="EKZ1598" s="393"/>
      <c r="ELA1598" s="392"/>
      <c r="ELB1598" s="393"/>
      <c r="ELC1598" s="392"/>
      <c r="ELD1598" s="393"/>
      <c r="ELE1598" s="392"/>
      <c r="ELF1598" s="393"/>
      <c r="ELG1598" s="392"/>
      <c r="ELH1598" s="393"/>
      <c r="ELI1598" s="392"/>
      <c r="ELJ1598" s="393"/>
      <c r="ELK1598" s="392"/>
      <c r="ELL1598" s="393"/>
      <c r="ELM1598" s="392"/>
      <c r="ELN1598" s="393"/>
      <c r="ELO1598" s="392"/>
      <c r="ELP1598" s="393"/>
      <c r="ELQ1598" s="392"/>
      <c r="ELR1598" s="393"/>
      <c r="ELS1598" s="392"/>
      <c r="ELT1598" s="393"/>
      <c r="ELU1598" s="392"/>
      <c r="ELV1598" s="393"/>
      <c r="ELW1598" s="392"/>
      <c r="ELX1598" s="393"/>
      <c r="ELY1598" s="392"/>
      <c r="ELZ1598" s="393"/>
      <c r="EMA1598" s="392"/>
      <c r="EMB1598" s="393"/>
      <c r="EMC1598" s="392"/>
      <c r="EMD1598" s="393"/>
      <c r="EME1598" s="392"/>
      <c r="EMF1598" s="393"/>
      <c r="EMG1598" s="392"/>
      <c r="EMH1598" s="393"/>
      <c r="EMI1598" s="392"/>
      <c r="EMJ1598" s="393"/>
      <c r="EMK1598" s="392"/>
      <c r="EML1598" s="393"/>
      <c r="EMM1598" s="392"/>
      <c r="EMN1598" s="393"/>
      <c r="EMO1598" s="392"/>
      <c r="EMP1598" s="393"/>
      <c r="EMQ1598" s="392"/>
      <c r="EMR1598" s="393"/>
      <c r="EMS1598" s="392"/>
      <c r="EMT1598" s="393"/>
      <c r="EMU1598" s="392"/>
      <c r="EMV1598" s="393"/>
      <c r="EMW1598" s="392"/>
      <c r="EMX1598" s="393"/>
      <c r="EMY1598" s="392"/>
      <c r="EMZ1598" s="393"/>
      <c r="ENA1598" s="392"/>
      <c r="ENB1598" s="393"/>
      <c r="ENC1598" s="392"/>
      <c r="END1598" s="393"/>
      <c r="ENE1598" s="392"/>
      <c r="ENF1598" s="393"/>
      <c r="ENG1598" s="392"/>
      <c r="ENH1598" s="393"/>
      <c r="ENI1598" s="392"/>
      <c r="ENJ1598" s="393"/>
      <c r="ENK1598" s="392"/>
      <c r="ENL1598" s="393"/>
      <c r="ENM1598" s="392"/>
      <c r="ENN1598" s="393"/>
      <c r="ENO1598" s="392"/>
      <c r="ENP1598" s="393"/>
      <c r="ENQ1598" s="392"/>
      <c r="ENR1598" s="393"/>
      <c r="ENS1598" s="392"/>
      <c r="ENT1598" s="393"/>
      <c r="ENU1598" s="392"/>
      <c r="ENV1598" s="393"/>
      <c r="ENW1598" s="392"/>
      <c r="ENX1598" s="393"/>
      <c r="ENY1598" s="392"/>
      <c r="ENZ1598" s="393"/>
      <c r="EOA1598" s="392"/>
      <c r="EOB1598" s="393"/>
      <c r="EOC1598" s="392"/>
      <c r="EOD1598" s="393"/>
      <c r="EOE1598" s="392"/>
      <c r="EOF1598" s="393"/>
      <c r="EOG1598" s="392"/>
      <c r="EOH1598" s="393"/>
      <c r="EOI1598" s="392"/>
      <c r="EOJ1598" s="393"/>
      <c r="EOK1598" s="392"/>
      <c r="EOL1598" s="393"/>
      <c r="EOM1598" s="392"/>
      <c r="EON1598" s="393"/>
      <c r="EOO1598" s="392"/>
      <c r="EOP1598" s="393"/>
      <c r="EOQ1598" s="392"/>
      <c r="EOR1598" s="393"/>
      <c r="EOS1598" s="392"/>
      <c r="EOT1598" s="393"/>
      <c r="EOU1598" s="392"/>
      <c r="EOV1598" s="393"/>
      <c r="EOW1598" s="392"/>
      <c r="EOX1598" s="393"/>
      <c r="EOY1598" s="392"/>
      <c r="EOZ1598" s="393"/>
      <c r="EPA1598" s="392"/>
      <c r="EPB1598" s="393"/>
      <c r="EPC1598" s="392"/>
      <c r="EPD1598" s="393"/>
      <c r="EPE1598" s="392"/>
      <c r="EPF1598" s="393"/>
      <c r="EPG1598" s="392"/>
      <c r="EPH1598" s="393"/>
      <c r="EPI1598" s="392"/>
      <c r="EPJ1598" s="393"/>
      <c r="EPK1598" s="392"/>
      <c r="EPL1598" s="393"/>
      <c r="EPM1598" s="392"/>
      <c r="EPN1598" s="393"/>
      <c r="EPO1598" s="392"/>
      <c r="EPP1598" s="393"/>
      <c r="EPQ1598" s="392"/>
      <c r="EPR1598" s="393"/>
      <c r="EPS1598" s="392"/>
      <c r="EPT1598" s="393"/>
      <c r="EPU1598" s="392"/>
      <c r="EPV1598" s="393"/>
      <c r="EPW1598" s="392"/>
      <c r="EPX1598" s="393"/>
      <c r="EPY1598" s="392"/>
      <c r="EPZ1598" s="393"/>
      <c r="EQA1598" s="392"/>
      <c r="EQB1598" s="393"/>
      <c r="EQC1598" s="392"/>
      <c r="EQD1598" s="393"/>
      <c r="EQE1598" s="392"/>
      <c r="EQF1598" s="393"/>
      <c r="EQG1598" s="392"/>
      <c r="EQH1598" s="393"/>
      <c r="EQI1598" s="392"/>
      <c r="EQJ1598" s="393"/>
      <c r="EQK1598" s="392"/>
      <c r="EQL1598" s="393"/>
      <c r="EQM1598" s="392"/>
      <c r="EQN1598" s="393"/>
      <c r="EQO1598" s="392"/>
      <c r="EQP1598" s="393"/>
      <c r="EQQ1598" s="392"/>
      <c r="EQR1598" s="393"/>
      <c r="EQS1598" s="392"/>
      <c r="EQT1598" s="393"/>
      <c r="EQU1598" s="392"/>
      <c r="EQV1598" s="393"/>
      <c r="EQW1598" s="392"/>
      <c r="EQX1598" s="393"/>
      <c r="EQY1598" s="392"/>
      <c r="EQZ1598" s="393"/>
      <c r="ERA1598" s="392"/>
      <c r="ERB1598" s="393"/>
      <c r="ERC1598" s="392"/>
      <c r="ERD1598" s="393"/>
      <c r="ERE1598" s="392"/>
      <c r="ERF1598" s="393"/>
      <c r="ERG1598" s="392"/>
      <c r="ERH1598" s="393"/>
      <c r="ERI1598" s="392"/>
      <c r="ERJ1598" s="393"/>
      <c r="ERK1598" s="392"/>
      <c r="ERL1598" s="393"/>
      <c r="ERM1598" s="392"/>
      <c r="ERN1598" s="393"/>
      <c r="ERO1598" s="392"/>
      <c r="ERP1598" s="393"/>
      <c r="ERQ1598" s="392"/>
      <c r="ERR1598" s="393"/>
      <c r="ERS1598" s="392"/>
      <c r="ERT1598" s="393"/>
      <c r="ERU1598" s="392"/>
      <c r="ERV1598" s="393"/>
      <c r="ERW1598" s="392"/>
      <c r="ERX1598" s="393"/>
      <c r="ERY1598" s="392"/>
      <c r="ERZ1598" s="393"/>
      <c r="ESA1598" s="392"/>
      <c r="ESB1598" s="393"/>
      <c r="ESC1598" s="392"/>
      <c r="ESD1598" s="393"/>
      <c r="ESE1598" s="392"/>
      <c r="ESF1598" s="393"/>
      <c r="ESG1598" s="392"/>
      <c r="ESH1598" s="393"/>
      <c r="ESI1598" s="392"/>
      <c r="ESJ1598" s="393"/>
      <c r="ESK1598" s="392"/>
      <c r="ESL1598" s="393"/>
      <c r="ESM1598" s="392"/>
      <c r="ESN1598" s="393"/>
      <c r="ESO1598" s="392"/>
      <c r="ESP1598" s="393"/>
      <c r="ESQ1598" s="392"/>
      <c r="ESR1598" s="393"/>
      <c r="ESS1598" s="392"/>
      <c r="EST1598" s="393"/>
      <c r="ESU1598" s="392"/>
      <c r="ESV1598" s="393"/>
      <c r="ESW1598" s="392"/>
      <c r="ESX1598" s="393"/>
      <c r="ESY1598" s="392"/>
      <c r="ESZ1598" s="393"/>
      <c r="ETA1598" s="392"/>
      <c r="ETB1598" s="393"/>
      <c r="ETC1598" s="392"/>
      <c r="ETD1598" s="393"/>
      <c r="ETE1598" s="392"/>
      <c r="ETF1598" s="393"/>
      <c r="ETG1598" s="392"/>
      <c r="ETH1598" s="393"/>
      <c r="ETI1598" s="392"/>
      <c r="ETJ1598" s="393"/>
      <c r="ETK1598" s="392"/>
      <c r="ETL1598" s="393"/>
      <c r="ETM1598" s="392"/>
      <c r="ETN1598" s="393"/>
      <c r="ETO1598" s="392"/>
      <c r="ETP1598" s="393"/>
      <c r="ETQ1598" s="392"/>
      <c r="ETR1598" s="393"/>
      <c r="ETS1598" s="392"/>
      <c r="ETT1598" s="393"/>
      <c r="ETU1598" s="392"/>
      <c r="ETV1598" s="393"/>
      <c r="ETW1598" s="392"/>
      <c r="ETX1598" s="393"/>
      <c r="ETY1598" s="392"/>
      <c r="ETZ1598" s="393"/>
      <c r="EUA1598" s="392"/>
      <c r="EUB1598" s="393"/>
      <c r="EUC1598" s="392"/>
      <c r="EUD1598" s="393"/>
      <c r="EUE1598" s="392"/>
      <c r="EUF1598" s="393"/>
      <c r="EUG1598" s="392"/>
      <c r="EUH1598" s="393"/>
      <c r="EUI1598" s="392"/>
      <c r="EUJ1598" s="393"/>
      <c r="EUK1598" s="392"/>
      <c r="EUL1598" s="393"/>
      <c r="EUM1598" s="392"/>
      <c r="EUN1598" s="393"/>
      <c r="EUO1598" s="392"/>
      <c r="EUP1598" s="393"/>
      <c r="EUQ1598" s="392"/>
      <c r="EUR1598" s="393"/>
      <c r="EUS1598" s="392"/>
      <c r="EUT1598" s="393"/>
      <c r="EUU1598" s="392"/>
      <c r="EUV1598" s="393"/>
      <c r="EUW1598" s="392"/>
      <c r="EUX1598" s="393"/>
      <c r="EUY1598" s="392"/>
      <c r="EUZ1598" s="393"/>
      <c r="EVA1598" s="392"/>
      <c r="EVB1598" s="393"/>
      <c r="EVC1598" s="392"/>
      <c r="EVD1598" s="393"/>
      <c r="EVE1598" s="392"/>
      <c r="EVF1598" s="393"/>
      <c r="EVG1598" s="392"/>
      <c r="EVH1598" s="393"/>
      <c r="EVI1598" s="392"/>
      <c r="EVJ1598" s="393"/>
      <c r="EVK1598" s="392"/>
      <c r="EVL1598" s="393"/>
      <c r="EVM1598" s="392"/>
      <c r="EVN1598" s="393"/>
      <c r="EVO1598" s="392"/>
      <c r="EVP1598" s="393"/>
      <c r="EVQ1598" s="392"/>
      <c r="EVR1598" s="393"/>
      <c r="EVS1598" s="392"/>
      <c r="EVT1598" s="393"/>
      <c r="EVU1598" s="392"/>
      <c r="EVV1598" s="393"/>
      <c r="EVW1598" s="392"/>
      <c r="EVX1598" s="393"/>
      <c r="EVY1598" s="392"/>
      <c r="EVZ1598" s="393"/>
      <c r="EWA1598" s="392"/>
      <c r="EWB1598" s="393"/>
      <c r="EWC1598" s="392"/>
      <c r="EWD1598" s="393"/>
      <c r="EWE1598" s="392"/>
      <c r="EWF1598" s="393"/>
      <c r="EWG1598" s="392"/>
      <c r="EWH1598" s="393"/>
      <c r="EWI1598" s="392"/>
      <c r="EWJ1598" s="393"/>
      <c r="EWK1598" s="392"/>
      <c r="EWL1598" s="393"/>
      <c r="EWM1598" s="392"/>
      <c r="EWN1598" s="393"/>
      <c r="EWO1598" s="392"/>
      <c r="EWP1598" s="393"/>
      <c r="EWQ1598" s="392"/>
      <c r="EWR1598" s="393"/>
      <c r="EWS1598" s="392"/>
      <c r="EWT1598" s="393"/>
      <c r="EWU1598" s="392"/>
      <c r="EWV1598" s="393"/>
      <c r="EWW1598" s="392"/>
      <c r="EWX1598" s="393"/>
      <c r="EWY1598" s="392"/>
      <c r="EWZ1598" s="393"/>
      <c r="EXA1598" s="392"/>
      <c r="EXB1598" s="393"/>
      <c r="EXC1598" s="392"/>
      <c r="EXD1598" s="393"/>
      <c r="EXE1598" s="392"/>
      <c r="EXF1598" s="393"/>
      <c r="EXG1598" s="392"/>
      <c r="EXH1598" s="393"/>
      <c r="EXI1598" s="392"/>
      <c r="EXJ1598" s="393"/>
      <c r="EXK1598" s="392"/>
      <c r="EXL1598" s="393"/>
      <c r="EXM1598" s="392"/>
      <c r="EXN1598" s="393"/>
      <c r="EXO1598" s="392"/>
      <c r="EXP1598" s="393"/>
      <c r="EXQ1598" s="392"/>
      <c r="EXR1598" s="393"/>
      <c r="EXS1598" s="392"/>
      <c r="EXT1598" s="393"/>
      <c r="EXU1598" s="392"/>
      <c r="EXV1598" s="393"/>
      <c r="EXW1598" s="392"/>
      <c r="EXX1598" s="393"/>
      <c r="EXY1598" s="392"/>
      <c r="EXZ1598" s="393"/>
      <c r="EYA1598" s="392"/>
      <c r="EYB1598" s="393"/>
      <c r="EYC1598" s="392"/>
      <c r="EYD1598" s="393"/>
      <c r="EYE1598" s="392"/>
      <c r="EYF1598" s="393"/>
      <c r="EYG1598" s="392"/>
      <c r="EYH1598" s="393"/>
      <c r="EYI1598" s="392"/>
      <c r="EYJ1598" s="393"/>
      <c r="EYK1598" s="392"/>
      <c r="EYL1598" s="393"/>
      <c r="EYM1598" s="392"/>
      <c r="EYN1598" s="393"/>
      <c r="EYO1598" s="392"/>
      <c r="EYP1598" s="393"/>
      <c r="EYQ1598" s="392"/>
      <c r="EYR1598" s="393"/>
      <c r="EYS1598" s="392"/>
      <c r="EYT1598" s="393"/>
      <c r="EYU1598" s="392"/>
      <c r="EYV1598" s="393"/>
      <c r="EYW1598" s="392"/>
      <c r="EYX1598" s="393"/>
      <c r="EYY1598" s="392"/>
      <c r="EYZ1598" s="393"/>
      <c r="EZA1598" s="392"/>
      <c r="EZB1598" s="393"/>
      <c r="EZC1598" s="392"/>
      <c r="EZD1598" s="393"/>
      <c r="EZE1598" s="392"/>
      <c r="EZF1598" s="393"/>
      <c r="EZG1598" s="392"/>
      <c r="EZH1598" s="393"/>
      <c r="EZI1598" s="392"/>
      <c r="EZJ1598" s="393"/>
      <c r="EZK1598" s="392"/>
      <c r="EZL1598" s="393"/>
      <c r="EZM1598" s="392"/>
      <c r="EZN1598" s="393"/>
      <c r="EZO1598" s="392"/>
      <c r="EZP1598" s="393"/>
      <c r="EZQ1598" s="392"/>
      <c r="EZR1598" s="393"/>
      <c r="EZS1598" s="392"/>
      <c r="EZT1598" s="393"/>
      <c r="EZU1598" s="392"/>
      <c r="EZV1598" s="393"/>
      <c r="EZW1598" s="392"/>
      <c r="EZX1598" s="393"/>
      <c r="EZY1598" s="392"/>
      <c r="EZZ1598" s="393"/>
      <c r="FAA1598" s="392"/>
      <c r="FAB1598" s="393"/>
      <c r="FAC1598" s="392"/>
      <c r="FAD1598" s="393"/>
      <c r="FAE1598" s="392"/>
      <c r="FAF1598" s="393"/>
      <c r="FAG1598" s="392"/>
      <c r="FAH1598" s="393"/>
      <c r="FAI1598" s="392"/>
      <c r="FAJ1598" s="393"/>
      <c r="FAK1598" s="392"/>
      <c r="FAL1598" s="393"/>
      <c r="FAM1598" s="392"/>
      <c r="FAN1598" s="393"/>
      <c r="FAO1598" s="392"/>
      <c r="FAP1598" s="393"/>
      <c r="FAQ1598" s="392"/>
      <c r="FAR1598" s="393"/>
      <c r="FAS1598" s="392"/>
      <c r="FAT1598" s="393"/>
      <c r="FAU1598" s="392"/>
      <c r="FAV1598" s="393"/>
      <c r="FAW1598" s="392"/>
      <c r="FAX1598" s="393"/>
      <c r="FAY1598" s="392"/>
      <c r="FAZ1598" s="393"/>
      <c r="FBA1598" s="392"/>
      <c r="FBB1598" s="393"/>
      <c r="FBC1598" s="392"/>
      <c r="FBD1598" s="393"/>
      <c r="FBE1598" s="392"/>
      <c r="FBF1598" s="393"/>
      <c r="FBG1598" s="392"/>
      <c r="FBH1598" s="393"/>
      <c r="FBI1598" s="392"/>
      <c r="FBJ1598" s="393"/>
      <c r="FBK1598" s="392"/>
      <c r="FBL1598" s="393"/>
      <c r="FBM1598" s="392"/>
      <c r="FBN1598" s="393"/>
      <c r="FBO1598" s="392"/>
      <c r="FBP1598" s="393"/>
      <c r="FBQ1598" s="392"/>
      <c r="FBR1598" s="393"/>
      <c r="FBS1598" s="392"/>
      <c r="FBT1598" s="393"/>
      <c r="FBU1598" s="392"/>
      <c r="FBV1598" s="393"/>
      <c r="FBW1598" s="392"/>
      <c r="FBX1598" s="393"/>
      <c r="FBY1598" s="392"/>
      <c r="FBZ1598" s="393"/>
      <c r="FCA1598" s="392"/>
      <c r="FCB1598" s="393"/>
      <c r="FCC1598" s="392"/>
      <c r="FCD1598" s="393"/>
      <c r="FCE1598" s="392"/>
      <c r="FCF1598" s="393"/>
      <c r="FCG1598" s="392"/>
      <c r="FCH1598" s="393"/>
      <c r="FCI1598" s="392"/>
      <c r="FCJ1598" s="393"/>
      <c r="FCK1598" s="392"/>
      <c r="FCL1598" s="393"/>
      <c r="FCM1598" s="392"/>
      <c r="FCN1598" s="393"/>
      <c r="FCO1598" s="392"/>
      <c r="FCP1598" s="393"/>
      <c r="FCQ1598" s="392"/>
      <c r="FCR1598" s="393"/>
      <c r="FCS1598" s="392"/>
      <c r="FCT1598" s="393"/>
      <c r="FCU1598" s="392"/>
      <c r="FCV1598" s="393"/>
      <c r="FCW1598" s="392"/>
      <c r="FCX1598" s="393"/>
      <c r="FCY1598" s="392"/>
      <c r="FCZ1598" s="393"/>
      <c r="FDA1598" s="392"/>
      <c r="FDB1598" s="393"/>
      <c r="FDC1598" s="392"/>
      <c r="FDD1598" s="393"/>
      <c r="FDE1598" s="392"/>
      <c r="FDF1598" s="393"/>
      <c r="FDG1598" s="392"/>
      <c r="FDH1598" s="393"/>
      <c r="FDI1598" s="392"/>
      <c r="FDJ1598" s="393"/>
      <c r="FDK1598" s="392"/>
      <c r="FDL1598" s="393"/>
      <c r="FDM1598" s="392"/>
      <c r="FDN1598" s="393"/>
      <c r="FDO1598" s="392"/>
      <c r="FDP1598" s="393"/>
      <c r="FDQ1598" s="392"/>
      <c r="FDR1598" s="393"/>
      <c r="FDS1598" s="392"/>
      <c r="FDT1598" s="393"/>
      <c r="FDU1598" s="392"/>
      <c r="FDV1598" s="393"/>
      <c r="FDW1598" s="392"/>
      <c r="FDX1598" s="393"/>
      <c r="FDY1598" s="392"/>
      <c r="FDZ1598" s="393"/>
      <c r="FEA1598" s="392"/>
      <c r="FEB1598" s="393"/>
      <c r="FEC1598" s="392"/>
      <c r="FED1598" s="393"/>
      <c r="FEE1598" s="392"/>
      <c r="FEF1598" s="393"/>
      <c r="FEG1598" s="392"/>
      <c r="FEH1598" s="393"/>
      <c r="FEI1598" s="392"/>
      <c r="FEJ1598" s="393"/>
      <c r="FEK1598" s="392"/>
      <c r="FEL1598" s="393"/>
      <c r="FEM1598" s="392"/>
      <c r="FEN1598" s="393"/>
      <c r="FEO1598" s="392"/>
      <c r="FEP1598" s="393"/>
      <c r="FEQ1598" s="392"/>
      <c r="FER1598" s="393"/>
      <c r="FES1598" s="392"/>
      <c r="FET1598" s="393"/>
      <c r="FEU1598" s="392"/>
      <c r="FEV1598" s="393"/>
      <c r="FEW1598" s="392"/>
      <c r="FEX1598" s="393"/>
      <c r="FEY1598" s="392"/>
      <c r="FEZ1598" s="393"/>
      <c r="FFA1598" s="392"/>
      <c r="FFB1598" s="393"/>
      <c r="FFC1598" s="392"/>
      <c r="FFD1598" s="393"/>
      <c r="FFE1598" s="392"/>
      <c r="FFF1598" s="393"/>
      <c r="FFG1598" s="392"/>
      <c r="FFH1598" s="393"/>
      <c r="FFI1598" s="392"/>
      <c r="FFJ1598" s="393"/>
      <c r="FFK1598" s="392"/>
      <c r="FFL1598" s="393"/>
      <c r="FFM1598" s="392"/>
      <c r="FFN1598" s="393"/>
      <c r="FFO1598" s="392"/>
      <c r="FFP1598" s="393"/>
      <c r="FFQ1598" s="392"/>
      <c r="FFR1598" s="393"/>
      <c r="FFS1598" s="392"/>
      <c r="FFT1598" s="393"/>
      <c r="FFU1598" s="392"/>
      <c r="FFV1598" s="393"/>
      <c r="FFW1598" s="392"/>
      <c r="FFX1598" s="393"/>
      <c r="FFY1598" s="392"/>
      <c r="FFZ1598" s="393"/>
      <c r="FGA1598" s="392"/>
      <c r="FGB1598" s="393"/>
      <c r="FGC1598" s="392"/>
      <c r="FGD1598" s="393"/>
      <c r="FGE1598" s="392"/>
      <c r="FGF1598" s="393"/>
      <c r="FGG1598" s="392"/>
      <c r="FGH1598" s="393"/>
      <c r="FGI1598" s="392"/>
      <c r="FGJ1598" s="393"/>
      <c r="FGK1598" s="392"/>
      <c r="FGL1598" s="393"/>
      <c r="FGM1598" s="392"/>
      <c r="FGN1598" s="393"/>
      <c r="FGO1598" s="392"/>
      <c r="FGP1598" s="393"/>
      <c r="FGQ1598" s="392"/>
      <c r="FGR1598" s="393"/>
      <c r="FGS1598" s="392"/>
      <c r="FGT1598" s="393"/>
      <c r="FGU1598" s="392"/>
      <c r="FGV1598" s="393"/>
      <c r="FGW1598" s="392"/>
      <c r="FGX1598" s="393"/>
      <c r="FGY1598" s="392"/>
      <c r="FGZ1598" s="393"/>
      <c r="FHA1598" s="392"/>
      <c r="FHB1598" s="393"/>
      <c r="FHC1598" s="392"/>
      <c r="FHD1598" s="393"/>
      <c r="FHE1598" s="392"/>
      <c r="FHF1598" s="393"/>
      <c r="FHG1598" s="392"/>
      <c r="FHH1598" s="393"/>
      <c r="FHI1598" s="392"/>
      <c r="FHJ1598" s="393"/>
      <c r="FHK1598" s="392"/>
      <c r="FHL1598" s="393"/>
      <c r="FHM1598" s="392"/>
      <c r="FHN1598" s="393"/>
      <c r="FHO1598" s="392"/>
      <c r="FHP1598" s="393"/>
      <c r="FHQ1598" s="392"/>
      <c r="FHR1598" s="393"/>
      <c r="FHS1598" s="392"/>
      <c r="FHT1598" s="393"/>
      <c r="FHU1598" s="392"/>
      <c r="FHV1598" s="393"/>
      <c r="FHW1598" s="392"/>
      <c r="FHX1598" s="393"/>
      <c r="FHY1598" s="392"/>
      <c r="FHZ1598" s="393"/>
      <c r="FIA1598" s="392"/>
      <c r="FIB1598" s="393"/>
      <c r="FIC1598" s="392"/>
      <c r="FID1598" s="393"/>
      <c r="FIE1598" s="392"/>
      <c r="FIF1598" s="393"/>
      <c r="FIG1598" s="392"/>
      <c r="FIH1598" s="393"/>
      <c r="FII1598" s="392"/>
      <c r="FIJ1598" s="393"/>
      <c r="FIK1598" s="392"/>
      <c r="FIL1598" s="393"/>
      <c r="FIM1598" s="392"/>
      <c r="FIN1598" s="393"/>
      <c r="FIO1598" s="392"/>
      <c r="FIP1598" s="393"/>
      <c r="FIQ1598" s="392"/>
      <c r="FIR1598" s="393"/>
      <c r="FIS1598" s="392"/>
      <c r="FIT1598" s="393"/>
      <c r="FIU1598" s="392"/>
      <c r="FIV1598" s="393"/>
      <c r="FIW1598" s="392"/>
      <c r="FIX1598" s="393"/>
      <c r="FIY1598" s="392"/>
      <c r="FIZ1598" s="393"/>
      <c r="FJA1598" s="392"/>
      <c r="FJB1598" s="393"/>
      <c r="FJC1598" s="392"/>
      <c r="FJD1598" s="393"/>
      <c r="FJE1598" s="392"/>
      <c r="FJF1598" s="393"/>
      <c r="FJG1598" s="392"/>
      <c r="FJH1598" s="393"/>
      <c r="FJI1598" s="392"/>
      <c r="FJJ1598" s="393"/>
      <c r="FJK1598" s="392"/>
      <c r="FJL1598" s="393"/>
      <c r="FJM1598" s="392"/>
      <c r="FJN1598" s="393"/>
      <c r="FJO1598" s="392"/>
      <c r="FJP1598" s="393"/>
      <c r="FJQ1598" s="392"/>
      <c r="FJR1598" s="393"/>
      <c r="FJS1598" s="392"/>
      <c r="FJT1598" s="393"/>
      <c r="FJU1598" s="392"/>
      <c r="FJV1598" s="393"/>
      <c r="FJW1598" s="392"/>
      <c r="FJX1598" s="393"/>
      <c r="FJY1598" s="392"/>
      <c r="FJZ1598" s="393"/>
      <c r="FKA1598" s="392"/>
      <c r="FKB1598" s="393"/>
      <c r="FKC1598" s="392"/>
      <c r="FKD1598" s="393"/>
      <c r="FKE1598" s="392"/>
      <c r="FKF1598" s="393"/>
      <c r="FKG1598" s="392"/>
      <c r="FKH1598" s="393"/>
      <c r="FKI1598" s="392"/>
      <c r="FKJ1598" s="393"/>
      <c r="FKK1598" s="392"/>
      <c r="FKL1598" s="393"/>
      <c r="FKM1598" s="392"/>
      <c r="FKN1598" s="393"/>
      <c r="FKO1598" s="392"/>
      <c r="FKP1598" s="393"/>
      <c r="FKQ1598" s="392"/>
      <c r="FKR1598" s="393"/>
      <c r="FKS1598" s="392"/>
      <c r="FKT1598" s="393"/>
      <c r="FKU1598" s="392"/>
      <c r="FKV1598" s="393"/>
      <c r="FKW1598" s="392"/>
      <c r="FKX1598" s="393"/>
      <c r="FKY1598" s="392"/>
      <c r="FKZ1598" s="393"/>
      <c r="FLA1598" s="392"/>
      <c r="FLB1598" s="393"/>
      <c r="FLC1598" s="392"/>
      <c r="FLD1598" s="393"/>
      <c r="FLE1598" s="392"/>
      <c r="FLF1598" s="393"/>
      <c r="FLG1598" s="392"/>
      <c r="FLH1598" s="393"/>
      <c r="FLI1598" s="392"/>
      <c r="FLJ1598" s="393"/>
      <c r="FLK1598" s="392"/>
      <c r="FLL1598" s="393"/>
      <c r="FLM1598" s="392"/>
      <c r="FLN1598" s="393"/>
      <c r="FLO1598" s="392"/>
      <c r="FLP1598" s="393"/>
      <c r="FLQ1598" s="392"/>
      <c r="FLR1598" s="393"/>
      <c r="FLS1598" s="392"/>
      <c r="FLT1598" s="393"/>
      <c r="FLU1598" s="392"/>
      <c r="FLV1598" s="393"/>
      <c r="FLW1598" s="392"/>
      <c r="FLX1598" s="393"/>
      <c r="FLY1598" s="392"/>
      <c r="FLZ1598" s="393"/>
      <c r="FMA1598" s="392"/>
      <c r="FMB1598" s="393"/>
      <c r="FMC1598" s="392"/>
      <c r="FMD1598" s="393"/>
      <c r="FME1598" s="392"/>
      <c r="FMF1598" s="393"/>
      <c r="FMG1598" s="392"/>
      <c r="FMH1598" s="393"/>
      <c r="FMI1598" s="392"/>
      <c r="FMJ1598" s="393"/>
      <c r="FMK1598" s="392"/>
      <c r="FML1598" s="393"/>
      <c r="FMM1598" s="392"/>
      <c r="FMN1598" s="393"/>
      <c r="FMO1598" s="392"/>
      <c r="FMP1598" s="393"/>
      <c r="FMQ1598" s="392"/>
      <c r="FMR1598" s="393"/>
      <c r="FMS1598" s="392"/>
      <c r="FMT1598" s="393"/>
      <c r="FMU1598" s="392"/>
      <c r="FMV1598" s="393"/>
      <c r="FMW1598" s="392"/>
      <c r="FMX1598" s="393"/>
      <c r="FMY1598" s="392"/>
      <c r="FMZ1598" s="393"/>
      <c r="FNA1598" s="392"/>
      <c r="FNB1598" s="393"/>
      <c r="FNC1598" s="392"/>
      <c r="FND1598" s="393"/>
      <c r="FNE1598" s="392"/>
      <c r="FNF1598" s="393"/>
      <c r="FNG1598" s="392"/>
      <c r="FNH1598" s="393"/>
      <c r="FNI1598" s="392"/>
      <c r="FNJ1598" s="393"/>
      <c r="FNK1598" s="392"/>
      <c r="FNL1598" s="393"/>
      <c r="FNM1598" s="392"/>
      <c r="FNN1598" s="393"/>
      <c r="FNO1598" s="392"/>
      <c r="FNP1598" s="393"/>
      <c r="FNQ1598" s="392"/>
      <c r="FNR1598" s="393"/>
      <c r="FNS1598" s="392"/>
      <c r="FNT1598" s="393"/>
      <c r="FNU1598" s="392"/>
      <c r="FNV1598" s="393"/>
      <c r="FNW1598" s="392"/>
      <c r="FNX1598" s="393"/>
      <c r="FNY1598" s="392"/>
      <c r="FNZ1598" s="393"/>
      <c r="FOA1598" s="392"/>
      <c r="FOB1598" s="393"/>
      <c r="FOC1598" s="392"/>
      <c r="FOD1598" s="393"/>
      <c r="FOE1598" s="392"/>
      <c r="FOF1598" s="393"/>
      <c r="FOG1598" s="392"/>
      <c r="FOH1598" s="393"/>
      <c r="FOI1598" s="392"/>
      <c r="FOJ1598" s="393"/>
      <c r="FOK1598" s="392"/>
      <c r="FOL1598" s="393"/>
      <c r="FOM1598" s="392"/>
      <c r="FON1598" s="393"/>
      <c r="FOO1598" s="392"/>
      <c r="FOP1598" s="393"/>
      <c r="FOQ1598" s="392"/>
      <c r="FOR1598" s="393"/>
      <c r="FOS1598" s="392"/>
      <c r="FOT1598" s="393"/>
      <c r="FOU1598" s="392"/>
      <c r="FOV1598" s="393"/>
      <c r="FOW1598" s="392"/>
      <c r="FOX1598" s="393"/>
      <c r="FOY1598" s="392"/>
      <c r="FOZ1598" s="393"/>
      <c r="FPA1598" s="392"/>
      <c r="FPB1598" s="393"/>
      <c r="FPC1598" s="392"/>
      <c r="FPD1598" s="393"/>
      <c r="FPE1598" s="392"/>
      <c r="FPF1598" s="393"/>
      <c r="FPG1598" s="392"/>
      <c r="FPH1598" s="393"/>
      <c r="FPI1598" s="392"/>
      <c r="FPJ1598" s="393"/>
      <c r="FPK1598" s="392"/>
      <c r="FPL1598" s="393"/>
      <c r="FPM1598" s="392"/>
      <c r="FPN1598" s="393"/>
      <c r="FPO1598" s="392"/>
      <c r="FPP1598" s="393"/>
      <c r="FPQ1598" s="392"/>
      <c r="FPR1598" s="393"/>
      <c r="FPS1598" s="392"/>
      <c r="FPT1598" s="393"/>
      <c r="FPU1598" s="392"/>
      <c r="FPV1598" s="393"/>
      <c r="FPW1598" s="392"/>
      <c r="FPX1598" s="393"/>
      <c r="FPY1598" s="392"/>
      <c r="FPZ1598" s="393"/>
      <c r="FQA1598" s="392"/>
      <c r="FQB1598" s="393"/>
      <c r="FQC1598" s="392"/>
      <c r="FQD1598" s="393"/>
      <c r="FQE1598" s="392"/>
      <c r="FQF1598" s="393"/>
      <c r="FQG1598" s="392"/>
      <c r="FQH1598" s="393"/>
      <c r="FQI1598" s="392"/>
      <c r="FQJ1598" s="393"/>
      <c r="FQK1598" s="392"/>
      <c r="FQL1598" s="393"/>
      <c r="FQM1598" s="392"/>
      <c r="FQN1598" s="393"/>
      <c r="FQO1598" s="392"/>
      <c r="FQP1598" s="393"/>
      <c r="FQQ1598" s="392"/>
      <c r="FQR1598" s="393"/>
      <c r="FQS1598" s="392"/>
      <c r="FQT1598" s="393"/>
      <c r="FQU1598" s="392"/>
      <c r="FQV1598" s="393"/>
      <c r="FQW1598" s="392"/>
      <c r="FQX1598" s="393"/>
      <c r="FQY1598" s="392"/>
      <c r="FQZ1598" s="393"/>
      <c r="FRA1598" s="392"/>
      <c r="FRB1598" s="393"/>
      <c r="FRC1598" s="392"/>
      <c r="FRD1598" s="393"/>
      <c r="FRE1598" s="392"/>
      <c r="FRF1598" s="393"/>
      <c r="FRG1598" s="392"/>
      <c r="FRH1598" s="393"/>
      <c r="FRI1598" s="392"/>
      <c r="FRJ1598" s="393"/>
      <c r="FRK1598" s="392"/>
      <c r="FRL1598" s="393"/>
      <c r="FRM1598" s="392"/>
      <c r="FRN1598" s="393"/>
      <c r="FRO1598" s="392"/>
      <c r="FRP1598" s="393"/>
      <c r="FRQ1598" s="392"/>
      <c r="FRR1598" s="393"/>
      <c r="FRS1598" s="392"/>
      <c r="FRT1598" s="393"/>
      <c r="FRU1598" s="392"/>
      <c r="FRV1598" s="393"/>
      <c r="FRW1598" s="392"/>
      <c r="FRX1598" s="393"/>
      <c r="FRY1598" s="392"/>
      <c r="FRZ1598" s="393"/>
      <c r="FSA1598" s="392"/>
      <c r="FSB1598" s="393"/>
      <c r="FSC1598" s="392"/>
      <c r="FSD1598" s="393"/>
      <c r="FSE1598" s="392"/>
      <c r="FSF1598" s="393"/>
      <c r="FSG1598" s="392"/>
      <c r="FSH1598" s="393"/>
      <c r="FSI1598" s="392"/>
      <c r="FSJ1598" s="393"/>
      <c r="FSK1598" s="392"/>
      <c r="FSL1598" s="393"/>
      <c r="FSM1598" s="392"/>
      <c r="FSN1598" s="393"/>
      <c r="FSO1598" s="392"/>
      <c r="FSP1598" s="393"/>
      <c r="FSQ1598" s="392"/>
      <c r="FSR1598" s="393"/>
      <c r="FSS1598" s="392"/>
      <c r="FST1598" s="393"/>
      <c r="FSU1598" s="392"/>
      <c r="FSV1598" s="393"/>
      <c r="FSW1598" s="392"/>
      <c r="FSX1598" s="393"/>
      <c r="FSY1598" s="392"/>
      <c r="FSZ1598" s="393"/>
      <c r="FTA1598" s="392"/>
      <c r="FTB1598" s="393"/>
      <c r="FTC1598" s="392"/>
      <c r="FTD1598" s="393"/>
      <c r="FTE1598" s="392"/>
      <c r="FTF1598" s="393"/>
      <c r="FTG1598" s="392"/>
      <c r="FTH1598" s="393"/>
      <c r="FTI1598" s="392"/>
      <c r="FTJ1598" s="393"/>
      <c r="FTK1598" s="392"/>
      <c r="FTL1598" s="393"/>
      <c r="FTM1598" s="392"/>
      <c r="FTN1598" s="393"/>
      <c r="FTO1598" s="392"/>
      <c r="FTP1598" s="393"/>
      <c r="FTQ1598" s="392"/>
      <c r="FTR1598" s="393"/>
      <c r="FTS1598" s="392"/>
      <c r="FTT1598" s="393"/>
      <c r="FTU1598" s="392"/>
      <c r="FTV1598" s="393"/>
      <c r="FTW1598" s="392"/>
      <c r="FTX1598" s="393"/>
      <c r="FTY1598" s="392"/>
      <c r="FTZ1598" s="393"/>
      <c r="FUA1598" s="392"/>
      <c r="FUB1598" s="393"/>
      <c r="FUC1598" s="392"/>
      <c r="FUD1598" s="393"/>
      <c r="FUE1598" s="392"/>
      <c r="FUF1598" s="393"/>
      <c r="FUG1598" s="392"/>
      <c r="FUH1598" s="393"/>
      <c r="FUI1598" s="392"/>
      <c r="FUJ1598" s="393"/>
      <c r="FUK1598" s="392"/>
      <c r="FUL1598" s="393"/>
      <c r="FUM1598" s="392"/>
      <c r="FUN1598" s="393"/>
      <c r="FUO1598" s="392"/>
      <c r="FUP1598" s="393"/>
      <c r="FUQ1598" s="392"/>
      <c r="FUR1598" s="393"/>
      <c r="FUS1598" s="392"/>
      <c r="FUT1598" s="393"/>
      <c r="FUU1598" s="392"/>
      <c r="FUV1598" s="393"/>
      <c r="FUW1598" s="392"/>
      <c r="FUX1598" s="393"/>
      <c r="FUY1598" s="392"/>
      <c r="FUZ1598" s="393"/>
      <c r="FVA1598" s="392"/>
      <c r="FVB1598" s="393"/>
      <c r="FVC1598" s="392"/>
      <c r="FVD1598" s="393"/>
      <c r="FVE1598" s="392"/>
      <c r="FVF1598" s="393"/>
      <c r="FVG1598" s="392"/>
      <c r="FVH1598" s="393"/>
      <c r="FVI1598" s="392"/>
      <c r="FVJ1598" s="393"/>
      <c r="FVK1598" s="392"/>
      <c r="FVL1598" s="393"/>
      <c r="FVM1598" s="392"/>
      <c r="FVN1598" s="393"/>
      <c r="FVO1598" s="392"/>
      <c r="FVP1598" s="393"/>
      <c r="FVQ1598" s="392"/>
      <c r="FVR1598" s="393"/>
      <c r="FVS1598" s="392"/>
      <c r="FVT1598" s="393"/>
      <c r="FVU1598" s="392"/>
      <c r="FVV1598" s="393"/>
      <c r="FVW1598" s="392"/>
      <c r="FVX1598" s="393"/>
      <c r="FVY1598" s="392"/>
      <c r="FVZ1598" s="393"/>
      <c r="FWA1598" s="392"/>
      <c r="FWB1598" s="393"/>
      <c r="FWC1598" s="392"/>
      <c r="FWD1598" s="393"/>
      <c r="FWE1598" s="392"/>
      <c r="FWF1598" s="393"/>
      <c r="FWG1598" s="392"/>
      <c r="FWH1598" s="393"/>
      <c r="FWI1598" s="392"/>
      <c r="FWJ1598" s="393"/>
      <c r="FWK1598" s="392"/>
      <c r="FWL1598" s="393"/>
      <c r="FWM1598" s="392"/>
      <c r="FWN1598" s="393"/>
      <c r="FWO1598" s="392"/>
      <c r="FWP1598" s="393"/>
      <c r="FWQ1598" s="392"/>
      <c r="FWR1598" s="393"/>
      <c r="FWS1598" s="392"/>
      <c r="FWT1598" s="393"/>
      <c r="FWU1598" s="392"/>
      <c r="FWV1598" s="393"/>
      <c r="FWW1598" s="392"/>
      <c r="FWX1598" s="393"/>
      <c r="FWY1598" s="392"/>
      <c r="FWZ1598" s="393"/>
      <c r="FXA1598" s="392"/>
      <c r="FXB1598" s="393"/>
      <c r="FXC1598" s="392"/>
      <c r="FXD1598" s="393"/>
      <c r="FXE1598" s="392"/>
      <c r="FXF1598" s="393"/>
      <c r="FXG1598" s="392"/>
      <c r="FXH1598" s="393"/>
      <c r="FXI1598" s="392"/>
      <c r="FXJ1598" s="393"/>
      <c r="FXK1598" s="392"/>
      <c r="FXL1598" s="393"/>
      <c r="FXM1598" s="392"/>
      <c r="FXN1598" s="393"/>
      <c r="FXO1598" s="392"/>
      <c r="FXP1598" s="393"/>
      <c r="FXQ1598" s="392"/>
      <c r="FXR1598" s="393"/>
      <c r="FXS1598" s="392"/>
      <c r="FXT1598" s="393"/>
      <c r="FXU1598" s="392"/>
      <c r="FXV1598" s="393"/>
      <c r="FXW1598" s="392"/>
      <c r="FXX1598" s="393"/>
      <c r="FXY1598" s="392"/>
      <c r="FXZ1598" s="393"/>
      <c r="FYA1598" s="392"/>
      <c r="FYB1598" s="393"/>
      <c r="FYC1598" s="392"/>
      <c r="FYD1598" s="393"/>
      <c r="FYE1598" s="392"/>
      <c r="FYF1598" s="393"/>
      <c r="FYG1598" s="392"/>
      <c r="FYH1598" s="393"/>
      <c r="FYI1598" s="392"/>
      <c r="FYJ1598" s="393"/>
      <c r="FYK1598" s="392"/>
      <c r="FYL1598" s="393"/>
      <c r="FYM1598" s="392"/>
      <c r="FYN1598" s="393"/>
      <c r="FYO1598" s="392"/>
      <c r="FYP1598" s="393"/>
      <c r="FYQ1598" s="392"/>
      <c r="FYR1598" s="393"/>
      <c r="FYS1598" s="392"/>
      <c r="FYT1598" s="393"/>
      <c r="FYU1598" s="392"/>
      <c r="FYV1598" s="393"/>
      <c r="FYW1598" s="392"/>
      <c r="FYX1598" s="393"/>
      <c r="FYY1598" s="392"/>
      <c r="FYZ1598" s="393"/>
      <c r="FZA1598" s="392"/>
      <c r="FZB1598" s="393"/>
      <c r="FZC1598" s="392"/>
      <c r="FZD1598" s="393"/>
      <c r="FZE1598" s="392"/>
      <c r="FZF1598" s="393"/>
      <c r="FZG1598" s="392"/>
      <c r="FZH1598" s="393"/>
      <c r="FZI1598" s="392"/>
      <c r="FZJ1598" s="393"/>
      <c r="FZK1598" s="392"/>
      <c r="FZL1598" s="393"/>
      <c r="FZM1598" s="392"/>
      <c r="FZN1598" s="393"/>
      <c r="FZO1598" s="392"/>
      <c r="FZP1598" s="393"/>
      <c r="FZQ1598" s="392"/>
      <c r="FZR1598" s="393"/>
      <c r="FZS1598" s="392"/>
      <c r="FZT1598" s="393"/>
      <c r="FZU1598" s="392"/>
      <c r="FZV1598" s="393"/>
      <c r="FZW1598" s="392"/>
      <c r="FZX1598" s="393"/>
      <c r="FZY1598" s="392"/>
      <c r="FZZ1598" s="393"/>
      <c r="GAA1598" s="392"/>
      <c r="GAB1598" s="393"/>
      <c r="GAC1598" s="392"/>
      <c r="GAD1598" s="393"/>
      <c r="GAE1598" s="392"/>
      <c r="GAF1598" s="393"/>
      <c r="GAG1598" s="392"/>
      <c r="GAH1598" s="393"/>
      <c r="GAI1598" s="392"/>
      <c r="GAJ1598" s="393"/>
      <c r="GAK1598" s="392"/>
      <c r="GAL1598" s="393"/>
      <c r="GAM1598" s="392"/>
      <c r="GAN1598" s="393"/>
      <c r="GAO1598" s="392"/>
      <c r="GAP1598" s="393"/>
      <c r="GAQ1598" s="392"/>
      <c r="GAR1598" s="393"/>
      <c r="GAS1598" s="392"/>
      <c r="GAT1598" s="393"/>
      <c r="GAU1598" s="392"/>
      <c r="GAV1598" s="393"/>
      <c r="GAW1598" s="392"/>
      <c r="GAX1598" s="393"/>
      <c r="GAY1598" s="392"/>
      <c r="GAZ1598" s="393"/>
      <c r="GBA1598" s="392"/>
      <c r="GBB1598" s="393"/>
      <c r="GBC1598" s="392"/>
      <c r="GBD1598" s="393"/>
      <c r="GBE1598" s="392"/>
      <c r="GBF1598" s="393"/>
      <c r="GBG1598" s="392"/>
      <c r="GBH1598" s="393"/>
      <c r="GBI1598" s="392"/>
      <c r="GBJ1598" s="393"/>
      <c r="GBK1598" s="392"/>
      <c r="GBL1598" s="393"/>
      <c r="GBM1598" s="392"/>
      <c r="GBN1598" s="393"/>
      <c r="GBO1598" s="392"/>
      <c r="GBP1598" s="393"/>
      <c r="GBQ1598" s="392"/>
      <c r="GBR1598" s="393"/>
      <c r="GBS1598" s="392"/>
      <c r="GBT1598" s="393"/>
      <c r="GBU1598" s="392"/>
      <c r="GBV1598" s="393"/>
      <c r="GBW1598" s="392"/>
      <c r="GBX1598" s="393"/>
      <c r="GBY1598" s="392"/>
      <c r="GBZ1598" s="393"/>
      <c r="GCA1598" s="392"/>
      <c r="GCB1598" s="393"/>
      <c r="GCC1598" s="392"/>
      <c r="GCD1598" s="393"/>
      <c r="GCE1598" s="392"/>
      <c r="GCF1598" s="393"/>
      <c r="GCG1598" s="392"/>
      <c r="GCH1598" s="393"/>
      <c r="GCI1598" s="392"/>
      <c r="GCJ1598" s="393"/>
      <c r="GCK1598" s="392"/>
      <c r="GCL1598" s="393"/>
      <c r="GCM1598" s="392"/>
      <c r="GCN1598" s="393"/>
      <c r="GCO1598" s="392"/>
      <c r="GCP1598" s="393"/>
      <c r="GCQ1598" s="392"/>
      <c r="GCR1598" s="393"/>
      <c r="GCS1598" s="392"/>
      <c r="GCT1598" s="393"/>
      <c r="GCU1598" s="392"/>
      <c r="GCV1598" s="393"/>
      <c r="GCW1598" s="392"/>
      <c r="GCX1598" s="393"/>
      <c r="GCY1598" s="392"/>
      <c r="GCZ1598" s="393"/>
      <c r="GDA1598" s="392"/>
      <c r="GDB1598" s="393"/>
      <c r="GDC1598" s="392"/>
      <c r="GDD1598" s="393"/>
      <c r="GDE1598" s="392"/>
      <c r="GDF1598" s="393"/>
      <c r="GDG1598" s="392"/>
      <c r="GDH1598" s="393"/>
      <c r="GDI1598" s="392"/>
      <c r="GDJ1598" s="393"/>
      <c r="GDK1598" s="392"/>
      <c r="GDL1598" s="393"/>
      <c r="GDM1598" s="392"/>
      <c r="GDN1598" s="393"/>
      <c r="GDO1598" s="392"/>
      <c r="GDP1598" s="393"/>
      <c r="GDQ1598" s="392"/>
      <c r="GDR1598" s="393"/>
      <c r="GDS1598" s="392"/>
      <c r="GDT1598" s="393"/>
      <c r="GDU1598" s="392"/>
      <c r="GDV1598" s="393"/>
      <c r="GDW1598" s="392"/>
      <c r="GDX1598" s="393"/>
      <c r="GDY1598" s="392"/>
      <c r="GDZ1598" s="393"/>
      <c r="GEA1598" s="392"/>
      <c r="GEB1598" s="393"/>
      <c r="GEC1598" s="392"/>
      <c r="GED1598" s="393"/>
      <c r="GEE1598" s="392"/>
      <c r="GEF1598" s="393"/>
      <c r="GEG1598" s="392"/>
      <c r="GEH1598" s="393"/>
      <c r="GEI1598" s="392"/>
      <c r="GEJ1598" s="393"/>
      <c r="GEK1598" s="392"/>
      <c r="GEL1598" s="393"/>
      <c r="GEM1598" s="392"/>
      <c r="GEN1598" s="393"/>
      <c r="GEO1598" s="392"/>
      <c r="GEP1598" s="393"/>
      <c r="GEQ1598" s="392"/>
      <c r="GER1598" s="393"/>
      <c r="GES1598" s="392"/>
      <c r="GET1598" s="393"/>
      <c r="GEU1598" s="392"/>
      <c r="GEV1598" s="393"/>
      <c r="GEW1598" s="392"/>
      <c r="GEX1598" s="393"/>
      <c r="GEY1598" s="392"/>
      <c r="GEZ1598" s="393"/>
      <c r="GFA1598" s="392"/>
      <c r="GFB1598" s="393"/>
      <c r="GFC1598" s="392"/>
      <c r="GFD1598" s="393"/>
      <c r="GFE1598" s="392"/>
      <c r="GFF1598" s="393"/>
      <c r="GFG1598" s="392"/>
      <c r="GFH1598" s="393"/>
      <c r="GFI1598" s="392"/>
      <c r="GFJ1598" s="393"/>
      <c r="GFK1598" s="392"/>
      <c r="GFL1598" s="393"/>
      <c r="GFM1598" s="392"/>
      <c r="GFN1598" s="393"/>
      <c r="GFO1598" s="392"/>
      <c r="GFP1598" s="393"/>
      <c r="GFQ1598" s="392"/>
      <c r="GFR1598" s="393"/>
      <c r="GFS1598" s="392"/>
      <c r="GFT1598" s="393"/>
      <c r="GFU1598" s="392"/>
      <c r="GFV1598" s="393"/>
      <c r="GFW1598" s="392"/>
      <c r="GFX1598" s="393"/>
      <c r="GFY1598" s="392"/>
      <c r="GFZ1598" s="393"/>
      <c r="GGA1598" s="392"/>
      <c r="GGB1598" s="393"/>
      <c r="GGC1598" s="392"/>
      <c r="GGD1598" s="393"/>
      <c r="GGE1598" s="392"/>
      <c r="GGF1598" s="393"/>
      <c r="GGG1598" s="392"/>
      <c r="GGH1598" s="393"/>
      <c r="GGI1598" s="392"/>
      <c r="GGJ1598" s="393"/>
      <c r="GGK1598" s="392"/>
      <c r="GGL1598" s="393"/>
      <c r="GGM1598" s="392"/>
      <c r="GGN1598" s="393"/>
      <c r="GGO1598" s="392"/>
      <c r="GGP1598" s="393"/>
      <c r="GGQ1598" s="392"/>
      <c r="GGR1598" s="393"/>
      <c r="GGS1598" s="392"/>
      <c r="GGT1598" s="393"/>
      <c r="GGU1598" s="392"/>
      <c r="GGV1598" s="393"/>
      <c r="GGW1598" s="392"/>
      <c r="GGX1598" s="393"/>
      <c r="GGY1598" s="392"/>
      <c r="GGZ1598" s="393"/>
      <c r="GHA1598" s="392"/>
      <c r="GHB1598" s="393"/>
      <c r="GHC1598" s="392"/>
      <c r="GHD1598" s="393"/>
      <c r="GHE1598" s="392"/>
      <c r="GHF1598" s="393"/>
      <c r="GHG1598" s="392"/>
      <c r="GHH1598" s="393"/>
      <c r="GHI1598" s="392"/>
      <c r="GHJ1598" s="393"/>
      <c r="GHK1598" s="392"/>
      <c r="GHL1598" s="393"/>
      <c r="GHM1598" s="392"/>
      <c r="GHN1598" s="393"/>
      <c r="GHO1598" s="392"/>
      <c r="GHP1598" s="393"/>
      <c r="GHQ1598" s="392"/>
      <c r="GHR1598" s="393"/>
      <c r="GHS1598" s="392"/>
      <c r="GHT1598" s="393"/>
      <c r="GHU1598" s="392"/>
      <c r="GHV1598" s="393"/>
      <c r="GHW1598" s="392"/>
      <c r="GHX1598" s="393"/>
      <c r="GHY1598" s="392"/>
      <c r="GHZ1598" s="393"/>
      <c r="GIA1598" s="392"/>
      <c r="GIB1598" s="393"/>
      <c r="GIC1598" s="392"/>
      <c r="GID1598" s="393"/>
      <c r="GIE1598" s="392"/>
      <c r="GIF1598" s="393"/>
      <c r="GIG1598" s="392"/>
      <c r="GIH1598" s="393"/>
      <c r="GII1598" s="392"/>
      <c r="GIJ1598" s="393"/>
      <c r="GIK1598" s="392"/>
      <c r="GIL1598" s="393"/>
      <c r="GIM1598" s="392"/>
      <c r="GIN1598" s="393"/>
      <c r="GIO1598" s="392"/>
      <c r="GIP1598" s="393"/>
      <c r="GIQ1598" s="392"/>
      <c r="GIR1598" s="393"/>
      <c r="GIS1598" s="392"/>
      <c r="GIT1598" s="393"/>
      <c r="GIU1598" s="392"/>
      <c r="GIV1598" s="393"/>
      <c r="GIW1598" s="392"/>
      <c r="GIX1598" s="393"/>
      <c r="GIY1598" s="392"/>
      <c r="GIZ1598" s="393"/>
      <c r="GJA1598" s="392"/>
      <c r="GJB1598" s="393"/>
      <c r="GJC1598" s="392"/>
      <c r="GJD1598" s="393"/>
      <c r="GJE1598" s="392"/>
      <c r="GJF1598" s="393"/>
      <c r="GJG1598" s="392"/>
      <c r="GJH1598" s="393"/>
      <c r="GJI1598" s="392"/>
      <c r="GJJ1598" s="393"/>
      <c r="GJK1598" s="392"/>
      <c r="GJL1598" s="393"/>
      <c r="GJM1598" s="392"/>
      <c r="GJN1598" s="393"/>
      <c r="GJO1598" s="392"/>
      <c r="GJP1598" s="393"/>
      <c r="GJQ1598" s="392"/>
      <c r="GJR1598" s="393"/>
      <c r="GJS1598" s="392"/>
      <c r="GJT1598" s="393"/>
      <c r="GJU1598" s="392"/>
      <c r="GJV1598" s="393"/>
      <c r="GJW1598" s="392"/>
      <c r="GJX1598" s="393"/>
      <c r="GJY1598" s="392"/>
      <c r="GJZ1598" s="393"/>
      <c r="GKA1598" s="392"/>
      <c r="GKB1598" s="393"/>
      <c r="GKC1598" s="392"/>
      <c r="GKD1598" s="393"/>
      <c r="GKE1598" s="392"/>
      <c r="GKF1598" s="393"/>
      <c r="GKG1598" s="392"/>
      <c r="GKH1598" s="393"/>
      <c r="GKI1598" s="392"/>
      <c r="GKJ1598" s="393"/>
      <c r="GKK1598" s="392"/>
      <c r="GKL1598" s="393"/>
      <c r="GKM1598" s="392"/>
      <c r="GKN1598" s="393"/>
      <c r="GKO1598" s="392"/>
      <c r="GKP1598" s="393"/>
      <c r="GKQ1598" s="392"/>
      <c r="GKR1598" s="393"/>
      <c r="GKS1598" s="392"/>
      <c r="GKT1598" s="393"/>
      <c r="GKU1598" s="392"/>
      <c r="GKV1598" s="393"/>
      <c r="GKW1598" s="392"/>
      <c r="GKX1598" s="393"/>
      <c r="GKY1598" s="392"/>
      <c r="GKZ1598" s="393"/>
      <c r="GLA1598" s="392"/>
      <c r="GLB1598" s="393"/>
      <c r="GLC1598" s="392"/>
      <c r="GLD1598" s="393"/>
      <c r="GLE1598" s="392"/>
      <c r="GLF1598" s="393"/>
      <c r="GLG1598" s="392"/>
      <c r="GLH1598" s="393"/>
      <c r="GLI1598" s="392"/>
      <c r="GLJ1598" s="393"/>
      <c r="GLK1598" s="392"/>
      <c r="GLL1598" s="393"/>
      <c r="GLM1598" s="392"/>
      <c r="GLN1598" s="393"/>
      <c r="GLO1598" s="392"/>
      <c r="GLP1598" s="393"/>
      <c r="GLQ1598" s="392"/>
      <c r="GLR1598" s="393"/>
      <c r="GLS1598" s="392"/>
      <c r="GLT1598" s="393"/>
      <c r="GLU1598" s="392"/>
      <c r="GLV1598" s="393"/>
      <c r="GLW1598" s="392"/>
      <c r="GLX1598" s="393"/>
      <c r="GLY1598" s="392"/>
      <c r="GLZ1598" s="393"/>
      <c r="GMA1598" s="392"/>
      <c r="GMB1598" s="393"/>
      <c r="GMC1598" s="392"/>
      <c r="GMD1598" s="393"/>
      <c r="GME1598" s="392"/>
      <c r="GMF1598" s="393"/>
      <c r="GMG1598" s="392"/>
      <c r="GMH1598" s="393"/>
      <c r="GMI1598" s="392"/>
      <c r="GMJ1598" s="393"/>
      <c r="GMK1598" s="392"/>
      <c r="GML1598" s="393"/>
      <c r="GMM1598" s="392"/>
      <c r="GMN1598" s="393"/>
      <c r="GMO1598" s="392"/>
      <c r="GMP1598" s="393"/>
      <c r="GMQ1598" s="392"/>
      <c r="GMR1598" s="393"/>
      <c r="GMS1598" s="392"/>
      <c r="GMT1598" s="393"/>
      <c r="GMU1598" s="392"/>
      <c r="GMV1598" s="393"/>
      <c r="GMW1598" s="392"/>
      <c r="GMX1598" s="393"/>
      <c r="GMY1598" s="392"/>
      <c r="GMZ1598" s="393"/>
      <c r="GNA1598" s="392"/>
      <c r="GNB1598" s="393"/>
      <c r="GNC1598" s="392"/>
      <c r="GND1598" s="393"/>
      <c r="GNE1598" s="392"/>
      <c r="GNF1598" s="393"/>
      <c r="GNG1598" s="392"/>
      <c r="GNH1598" s="393"/>
      <c r="GNI1598" s="392"/>
      <c r="GNJ1598" s="393"/>
      <c r="GNK1598" s="392"/>
      <c r="GNL1598" s="393"/>
      <c r="GNM1598" s="392"/>
      <c r="GNN1598" s="393"/>
      <c r="GNO1598" s="392"/>
      <c r="GNP1598" s="393"/>
      <c r="GNQ1598" s="392"/>
      <c r="GNR1598" s="393"/>
      <c r="GNS1598" s="392"/>
      <c r="GNT1598" s="393"/>
      <c r="GNU1598" s="392"/>
      <c r="GNV1598" s="393"/>
      <c r="GNW1598" s="392"/>
      <c r="GNX1598" s="393"/>
      <c r="GNY1598" s="392"/>
      <c r="GNZ1598" s="393"/>
      <c r="GOA1598" s="392"/>
      <c r="GOB1598" s="393"/>
      <c r="GOC1598" s="392"/>
      <c r="GOD1598" s="393"/>
      <c r="GOE1598" s="392"/>
      <c r="GOF1598" s="393"/>
      <c r="GOG1598" s="392"/>
      <c r="GOH1598" s="393"/>
      <c r="GOI1598" s="392"/>
      <c r="GOJ1598" s="393"/>
      <c r="GOK1598" s="392"/>
      <c r="GOL1598" s="393"/>
      <c r="GOM1598" s="392"/>
      <c r="GON1598" s="393"/>
      <c r="GOO1598" s="392"/>
      <c r="GOP1598" s="393"/>
      <c r="GOQ1598" s="392"/>
      <c r="GOR1598" s="393"/>
      <c r="GOS1598" s="392"/>
      <c r="GOT1598" s="393"/>
      <c r="GOU1598" s="392"/>
      <c r="GOV1598" s="393"/>
      <c r="GOW1598" s="392"/>
      <c r="GOX1598" s="393"/>
      <c r="GOY1598" s="392"/>
      <c r="GOZ1598" s="393"/>
      <c r="GPA1598" s="392"/>
      <c r="GPB1598" s="393"/>
      <c r="GPC1598" s="392"/>
      <c r="GPD1598" s="393"/>
      <c r="GPE1598" s="392"/>
      <c r="GPF1598" s="393"/>
      <c r="GPG1598" s="392"/>
      <c r="GPH1598" s="393"/>
      <c r="GPI1598" s="392"/>
      <c r="GPJ1598" s="393"/>
      <c r="GPK1598" s="392"/>
      <c r="GPL1598" s="393"/>
      <c r="GPM1598" s="392"/>
      <c r="GPN1598" s="393"/>
      <c r="GPO1598" s="392"/>
      <c r="GPP1598" s="393"/>
      <c r="GPQ1598" s="392"/>
      <c r="GPR1598" s="393"/>
      <c r="GPS1598" s="392"/>
      <c r="GPT1598" s="393"/>
      <c r="GPU1598" s="392"/>
      <c r="GPV1598" s="393"/>
      <c r="GPW1598" s="392"/>
      <c r="GPX1598" s="393"/>
      <c r="GPY1598" s="392"/>
      <c r="GPZ1598" s="393"/>
      <c r="GQA1598" s="392"/>
      <c r="GQB1598" s="393"/>
      <c r="GQC1598" s="392"/>
      <c r="GQD1598" s="393"/>
      <c r="GQE1598" s="392"/>
      <c r="GQF1598" s="393"/>
      <c r="GQG1598" s="392"/>
      <c r="GQH1598" s="393"/>
      <c r="GQI1598" s="392"/>
      <c r="GQJ1598" s="393"/>
      <c r="GQK1598" s="392"/>
      <c r="GQL1598" s="393"/>
      <c r="GQM1598" s="392"/>
      <c r="GQN1598" s="393"/>
      <c r="GQO1598" s="392"/>
      <c r="GQP1598" s="393"/>
      <c r="GQQ1598" s="392"/>
      <c r="GQR1598" s="393"/>
      <c r="GQS1598" s="392"/>
      <c r="GQT1598" s="393"/>
      <c r="GQU1598" s="392"/>
      <c r="GQV1598" s="393"/>
      <c r="GQW1598" s="392"/>
      <c r="GQX1598" s="393"/>
      <c r="GQY1598" s="392"/>
      <c r="GQZ1598" s="393"/>
      <c r="GRA1598" s="392"/>
      <c r="GRB1598" s="393"/>
      <c r="GRC1598" s="392"/>
      <c r="GRD1598" s="393"/>
      <c r="GRE1598" s="392"/>
      <c r="GRF1598" s="393"/>
      <c r="GRG1598" s="392"/>
      <c r="GRH1598" s="393"/>
      <c r="GRI1598" s="392"/>
      <c r="GRJ1598" s="393"/>
      <c r="GRK1598" s="392"/>
      <c r="GRL1598" s="393"/>
      <c r="GRM1598" s="392"/>
      <c r="GRN1598" s="393"/>
      <c r="GRO1598" s="392"/>
      <c r="GRP1598" s="393"/>
      <c r="GRQ1598" s="392"/>
      <c r="GRR1598" s="393"/>
      <c r="GRS1598" s="392"/>
      <c r="GRT1598" s="393"/>
      <c r="GRU1598" s="392"/>
      <c r="GRV1598" s="393"/>
      <c r="GRW1598" s="392"/>
      <c r="GRX1598" s="393"/>
      <c r="GRY1598" s="392"/>
      <c r="GRZ1598" s="393"/>
      <c r="GSA1598" s="392"/>
      <c r="GSB1598" s="393"/>
      <c r="GSC1598" s="392"/>
      <c r="GSD1598" s="393"/>
      <c r="GSE1598" s="392"/>
      <c r="GSF1598" s="393"/>
      <c r="GSG1598" s="392"/>
      <c r="GSH1598" s="393"/>
      <c r="GSI1598" s="392"/>
      <c r="GSJ1598" s="393"/>
      <c r="GSK1598" s="392"/>
      <c r="GSL1598" s="393"/>
      <c r="GSM1598" s="392"/>
      <c r="GSN1598" s="393"/>
      <c r="GSO1598" s="392"/>
      <c r="GSP1598" s="393"/>
      <c r="GSQ1598" s="392"/>
      <c r="GSR1598" s="393"/>
      <c r="GSS1598" s="392"/>
      <c r="GST1598" s="393"/>
      <c r="GSU1598" s="392"/>
      <c r="GSV1598" s="393"/>
      <c r="GSW1598" s="392"/>
      <c r="GSX1598" s="393"/>
      <c r="GSY1598" s="392"/>
      <c r="GSZ1598" s="393"/>
      <c r="GTA1598" s="392"/>
      <c r="GTB1598" s="393"/>
      <c r="GTC1598" s="392"/>
      <c r="GTD1598" s="393"/>
      <c r="GTE1598" s="392"/>
      <c r="GTF1598" s="393"/>
      <c r="GTG1598" s="392"/>
      <c r="GTH1598" s="393"/>
      <c r="GTI1598" s="392"/>
      <c r="GTJ1598" s="393"/>
      <c r="GTK1598" s="392"/>
      <c r="GTL1598" s="393"/>
      <c r="GTM1598" s="392"/>
      <c r="GTN1598" s="393"/>
      <c r="GTO1598" s="392"/>
      <c r="GTP1598" s="393"/>
      <c r="GTQ1598" s="392"/>
      <c r="GTR1598" s="393"/>
      <c r="GTS1598" s="392"/>
      <c r="GTT1598" s="393"/>
      <c r="GTU1598" s="392"/>
      <c r="GTV1598" s="393"/>
      <c r="GTW1598" s="392"/>
      <c r="GTX1598" s="393"/>
      <c r="GTY1598" s="392"/>
      <c r="GTZ1598" s="393"/>
      <c r="GUA1598" s="392"/>
      <c r="GUB1598" s="393"/>
      <c r="GUC1598" s="392"/>
      <c r="GUD1598" s="393"/>
      <c r="GUE1598" s="392"/>
      <c r="GUF1598" s="393"/>
      <c r="GUG1598" s="392"/>
      <c r="GUH1598" s="393"/>
      <c r="GUI1598" s="392"/>
      <c r="GUJ1598" s="393"/>
      <c r="GUK1598" s="392"/>
      <c r="GUL1598" s="393"/>
      <c r="GUM1598" s="392"/>
      <c r="GUN1598" s="393"/>
      <c r="GUO1598" s="392"/>
      <c r="GUP1598" s="393"/>
      <c r="GUQ1598" s="392"/>
      <c r="GUR1598" s="393"/>
      <c r="GUS1598" s="392"/>
      <c r="GUT1598" s="393"/>
      <c r="GUU1598" s="392"/>
      <c r="GUV1598" s="393"/>
      <c r="GUW1598" s="392"/>
      <c r="GUX1598" s="393"/>
      <c r="GUY1598" s="392"/>
      <c r="GUZ1598" s="393"/>
      <c r="GVA1598" s="392"/>
      <c r="GVB1598" s="393"/>
      <c r="GVC1598" s="392"/>
      <c r="GVD1598" s="393"/>
      <c r="GVE1598" s="392"/>
      <c r="GVF1598" s="393"/>
      <c r="GVG1598" s="392"/>
      <c r="GVH1598" s="393"/>
      <c r="GVI1598" s="392"/>
      <c r="GVJ1598" s="393"/>
      <c r="GVK1598" s="392"/>
      <c r="GVL1598" s="393"/>
      <c r="GVM1598" s="392"/>
      <c r="GVN1598" s="393"/>
      <c r="GVO1598" s="392"/>
      <c r="GVP1598" s="393"/>
      <c r="GVQ1598" s="392"/>
      <c r="GVR1598" s="393"/>
      <c r="GVS1598" s="392"/>
      <c r="GVT1598" s="393"/>
      <c r="GVU1598" s="392"/>
      <c r="GVV1598" s="393"/>
      <c r="GVW1598" s="392"/>
      <c r="GVX1598" s="393"/>
      <c r="GVY1598" s="392"/>
      <c r="GVZ1598" s="393"/>
      <c r="GWA1598" s="392"/>
      <c r="GWB1598" s="393"/>
      <c r="GWC1598" s="392"/>
      <c r="GWD1598" s="393"/>
      <c r="GWE1598" s="392"/>
      <c r="GWF1598" s="393"/>
      <c r="GWG1598" s="392"/>
      <c r="GWH1598" s="393"/>
      <c r="GWI1598" s="392"/>
      <c r="GWJ1598" s="393"/>
      <c r="GWK1598" s="392"/>
      <c r="GWL1598" s="393"/>
      <c r="GWM1598" s="392"/>
      <c r="GWN1598" s="393"/>
      <c r="GWO1598" s="392"/>
      <c r="GWP1598" s="393"/>
      <c r="GWQ1598" s="392"/>
      <c r="GWR1598" s="393"/>
      <c r="GWS1598" s="392"/>
      <c r="GWT1598" s="393"/>
      <c r="GWU1598" s="392"/>
      <c r="GWV1598" s="393"/>
      <c r="GWW1598" s="392"/>
      <c r="GWX1598" s="393"/>
      <c r="GWY1598" s="392"/>
      <c r="GWZ1598" s="393"/>
      <c r="GXA1598" s="392"/>
      <c r="GXB1598" s="393"/>
      <c r="GXC1598" s="392"/>
      <c r="GXD1598" s="393"/>
      <c r="GXE1598" s="392"/>
      <c r="GXF1598" s="393"/>
      <c r="GXG1598" s="392"/>
      <c r="GXH1598" s="393"/>
      <c r="GXI1598" s="392"/>
      <c r="GXJ1598" s="393"/>
      <c r="GXK1598" s="392"/>
      <c r="GXL1598" s="393"/>
      <c r="GXM1598" s="392"/>
      <c r="GXN1598" s="393"/>
      <c r="GXO1598" s="392"/>
      <c r="GXP1598" s="393"/>
      <c r="GXQ1598" s="392"/>
      <c r="GXR1598" s="393"/>
      <c r="GXS1598" s="392"/>
      <c r="GXT1598" s="393"/>
      <c r="GXU1598" s="392"/>
      <c r="GXV1598" s="393"/>
      <c r="GXW1598" s="392"/>
      <c r="GXX1598" s="393"/>
      <c r="GXY1598" s="392"/>
      <c r="GXZ1598" s="393"/>
      <c r="GYA1598" s="392"/>
      <c r="GYB1598" s="393"/>
      <c r="GYC1598" s="392"/>
      <c r="GYD1598" s="393"/>
      <c r="GYE1598" s="392"/>
      <c r="GYF1598" s="393"/>
      <c r="GYG1598" s="392"/>
      <c r="GYH1598" s="393"/>
      <c r="GYI1598" s="392"/>
      <c r="GYJ1598" s="393"/>
      <c r="GYK1598" s="392"/>
      <c r="GYL1598" s="393"/>
      <c r="GYM1598" s="392"/>
      <c r="GYN1598" s="393"/>
      <c r="GYO1598" s="392"/>
      <c r="GYP1598" s="393"/>
      <c r="GYQ1598" s="392"/>
      <c r="GYR1598" s="393"/>
      <c r="GYS1598" s="392"/>
      <c r="GYT1598" s="393"/>
      <c r="GYU1598" s="392"/>
      <c r="GYV1598" s="393"/>
      <c r="GYW1598" s="392"/>
      <c r="GYX1598" s="393"/>
      <c r="GYY1598" s="392"/>
      <c r="GYZ1598" s="393"/>
      <c r="GZA1598" s="392"/>
      <c r="GZB1598" s="393"/>
      <c r="GZC1598" s="392"/>
      <c r="GZD1598" s="393"/>
      <c r="GZE1598" s="392"/>
      <c r="GZF1598" s="393"/>
      <c r="GZG1598" s="392"/>
      <c r="GZH1598" s="393"/>
      <c r="GZI1598" s="392"/>
      <c r="GZJ1598" s="393"/>
      <c r="GZK1598" s="392"/>
      <c r="GZL1598" s="393"/>
      <c r="GZM1598" s="392"/>
      <c r="GZN1598" s="393"/>
      <c r="GZO1598" s="392"/>
      <c r="GZP1598" s="393"/>
      <c r="GZQ1598" s="392"/>
      <c r="GZR1598" s="393"/>
      <c r="GZS1598" s="392"/>
      <c r="GZT1598" s="393"/>
      <c r="GZU1598" s="392"/>
      <c r="GZV1598" s="393"/>
      <c r="GZW1598" s="392"/>
      <c r="GZX1598" s="393"/>
      <c r="GZY1598" s="392"/>
      <c r="GZZ1598" s="393"/>
      <c r="HAA1598" s="392"/>
      <c r="HAB1598" s="393"/>
      <c r="HAC1598" s="392"/>
      <c r="HAD1598" s="393"/>
      <c r="HAE1598" s="392"/>
      <c r="HAF1598" s="393"/>
      <c r="HAG1598" s="392"/>
      <c r="HAH1598" s="393"/>
      <c r="HAI1598" s="392"/>
      <c r="HAJ1598" s="393"/>
      <c r="HAK1598" s="392"/>
      <c r="HAL1598" s="393"/>
      <c r="HAM1598" s="392"/>
      <c r="HAN1598" s="393"/>
      <c r="HAO1598" s="392"/>
      <c r="HAP1598" s="393"/>
      <c r="HAQ1598" s="392"/>
      <c r="HAR1598" s="393"/>
      <c r="HAS1598" s="392"/>
      <c r="HAT1598" s="393"/>
      <c r="HAU1598" s="392"/>
      <c r="HAV1598" s="393"/>
      <c r="HAW1598" s="392"/>
      <c r="HAX1598" s="393"/>
      <c r="HAY1598" s="392"/>
      <c r="HAZ1598" s="393"/>
      <c r="HBA1598" s="392"/>
      <c r="HBB1598" s="393"/>
      <c r="HBC1598" s="392"/>
      <c r="HBD1598" s="393"/>
      <c r="HBE1598" s="392"/>
      <c r="HBF1598" s="393"/>
      <c r="HBG1598" s="392"/>
      <c r="HBH1598" s="393"/>
      <c r="HBI1598" s="392"/>
      <c r="HBJ1598" s="393"/>
      <c r="HBK1598" s="392"/>
      <c r="HBL1598" s="393"/>
      <c r="HBM1598" s="392"/>
      <c r="HBN1598" s="393"/>
      <c r="HBO1598" s="392"/>
      <c r="HBP1598" s="393"/>
      <c r="HBQ1598" s="392"/>
      <c r="HBR1598" s="393"/>
      <c r="HBS1598" s="392"/>
      <c r="HBT1598" s="393"/>
      <c r="HBU1598" s="392"/>
      <c r="HBV1598" s="393"/>
      <c r="HBW1598" s="392"/>
      <c r="HBX1598" s="393"/>
      <c r="HBY1598" s="392"/>
      <c r="HBZ1598" s="393"/>
      <c r="HCA1598" s="392"/>
      <c r="HCB1598" s="393"/>
      <c r="HCC1598" s="392"/>
      <c r="HCD1598" s="393"/>
      <c r="HCE1598" s="392"/>
      <c r="HCF1598" s="393"/>
      <c r="HCG1598" s="392"/>
      <c r="HCH1598" s="393"/>
      <c r="HCI1598" s="392"/>
      <c r="HCJ1598" s="393"/>
      <c r="HCK1598" s="392"/>
      <c r="HCL1598" s="393"/>
      <c r="HCM1598" s="392"/>
      <c r="HCN1598" s="393"/>
      <c r="HCO1598" s="392"/>
      <c r="HCP1598" s="393"/>
      <c r="HCQ1598" s="392"/>
      <c r="HCR1598" s="393"/>
      <c r="HCS1598" s="392"/>
      <c r="HCT1598" s="393"/>
      <c r="HCU1598" s="392"/>
      <c r="HCV1598" s="393"/>
      <c r="HCW1598" s="392"/>
      <c r="HCX1598" s="393"/>
      <c r="HCY1598" s="392"/>
      <c r="HCZ1598" s="393"/>
      <c r="HDA1598" s="392"/>
      <c r="HDB1598" s="393"/>
      <c r="HDC1598" s="392"/>
      <c r="HDD1598" s="393"/>
      <c r="HDE1598" s="392"/>
      <c r="HDF1598" s="393"/>
      <c r="HDG1598" s="392"/>
      <c r="HDH1598" s="393"/>
      <c r="HDI1598" s="392"/>
      <c r="HDJ1598" s="393"/>
      <c r="HDK1598" s="392"/>
      <c r="HDL1598" s="393"/>
      <c r="HDM1598" s="392"/>
      <c r="HDN1598" s="393"/>
      <c r="HDO1598" s="392"/>
      <c r="HDP1598" s="393"/>
      <c r="HDQ1598" s="392"/>
      <c r="HDR1598" s="393"/>
      <c r="HDS1598" s="392"/>
      <c r="HDT1598" s="393"/>
      <c r="HDU1598" s="392"/>
      <c r="HDV1598" s="393"/>
      <c r="HDW1598" s="392"/>
      <c r="HDX1598" s="393"/>
      <c r="HDY1598" s="392"/>
      <c r="HDZ1598" s="393"/>
      <c r="HEA1598" s="392"/>
      <c r="HEB1598" s="393"/>
      <c r="HEC1598" s="392"/>
      <c r="HED1598" s="393"/>
      <c r="HEE1598" s="392"/>
      <c r="HEF1598" s="393"/>
      <c r="HEG1598" s="392"/>
      <c r="HEH1598" s="393"/>
      <c r="HEI1598" s="392"/>
      <c r="HEJ1598" s="393"/>
      <c r="HEK1598" s="392"/>
      <c r="HEL1598" s="393"/>
      <c r="HEM1598" s="392"/>
      <c r="HEN1598" s="393"/>
      <c r="HEO1598" s="392"/>
      <c r="HEP1598" s="393"/>
      <c r="HEQ1598" s="392"/>
      <c r="HER1598" s="393"/>
      <c r="HES1598" s="392"/>
      <c r="HET1598" s="393"/>
      <c r="HEU1598" s="392"/>
      <c r="HEV1598" s="393"/>
      <c r="HEW1598" s="392"/>
      <c r="HEX1598" s="393"/>
      <c r="HEY1598" s="392"/>
      <c r="HEZ1598" s="393"/>
      <c r="HFA1598" s="392"/>
      <c r="HFB1598" s="393"/>
      <c r="HFC1598" s="392"/>
      <c r="HFD1598" s="393"/>
      <c r="HFE1598" s="392"/>
      <c r="HFF1598" s="393"/>
      <c r="HFG1598" s="392"/>
      <c r="HFH1598" s="393"/>
      <c r="HFI1598" s="392"/>
      <c r="HFJ1598" s="393"/>
      <c r="HFK1598" s="392"/>
      <c r="HFL1598" s="393"/>
      <c r="HFM1598" s="392"/>
      <c r="HFN1598" s="393"/>
      <c r="HFO1598" s="392"/>
      <c r="HFP1598" s="393"/>
      <c r="HFQ1598" s="392"/>
      <c r="HFR1598" s="393"/>
      <c r="HFS1598" s="392"/>
      <c r="HFT1598" s="393"/>
      <c r="HFU1598" s="392"/>
      <c r="HFV1598" s="393"/>
      <c r="HFW1598" s="392"/>
      <c r="HFX1598" s="393"/>
      <c r="HFY1598" s="392"/>
      <c r="HFZ1598" s="393"/>
      <c r="HGA1598" s="392"/>
      <c r="HGB1598" s="393"/>
      <c r="HGC1598" s="392"/>
      <c r="HGD1598" s="393"/>
      <c r="HGE1598" s="392"/>
      <c r="HGF1598" s="393"/>
      <c r="HGG1598" s="392"/>
      <c r="HGH1598" s="393"/>
      <c r="HGI1598" s="392"/>
      <c r="HGJ1598" s="393"/>
      <c r="HGK1598" s="392"/>
      <c r="HGL1598" s="393"/>
      <c r="HGM1598" s="392"/>
      <c r="HGN1598" s="393"/>
      <c r="HGO1598" s="392"/>
      <c r="HGP1598" s="393"/>
      <c r="HGQ1598" s="392"/>
      <c r="HGR1598" s="393"/>
      <c r="HGS1598" s="392"/>
      <c r="HGT1598" s="393"/>
      <c r="HGU1598" s="392"/>
      <c r="HGV1598" s="393"/>
      <c r="HGW1598" s="392"/>
      <c r="HGX1598" s="393"/>
      <c r="HGY1598" s="392"/>
      <c r="HGZ1598" s="393"/>
      <c r="HHA1598" s="392"/>
      <c r="HHB1598" s="393"/>
      <c r="HHC1598" s="392"/>
      <c r="HHD1598" s="393"/>
      <c r="HHE1598" s="392"/>
      <c r="HHF1598" s="393"/>
      <c r="HHG1598" s="392"/>
      <c r="HHH1598" s="393"/>
      <c r="HHI1598" s="392"/>
      <c r="HHJ1598" s="393"/>
      <c r="HHK1598" s="392"/>
      <c r="HHL1598" s="393"/>
      <c r="HHM1598" s="392"/>
      <c r="HHN1598" s="393"/>
      <c r="HHO1598" s="392"/>
      <c r="HHP1598" s="393"/>
      <c r="HHQ1598" s="392"/>
      <c r="HHR1598" s="393"/>
      <c r="HHS1598" s="392"/>
      <c r="HHT1598" s="393"/>
      <c r="HHU1598" s="392"/>
      <c r="HHV1598" s="393"/>
      <c r="HHW1598" s="392"/>
      <c r="HHX1598" s="393"/>
      <c r="HHY1598" s="392"/>
      <c r="HHZ1598" s="393"/>
      <c r="HIA1598" s="392"/>
      <c r="HIB1598" s="393"/>
      <c r="HIC1598" s="392"/>
      <c r="HID1598" s="393"/>
      <c r="HIE1598" s="392"/>
      <c r="HIF1598" s="393"/>
      <c r="HIG1598" s="392"/>
      <c r="HIH1598" s="393"/>
      <c r="HII1598" s="392"/>
      <c r="HIJ1598" s="393"/>
      <c r="HIK1598" s="392"/>
      <c r="HIL1598" s="393"/>
      <c r="HIM1598" s="392"/>
      <c r="HIN1598" s="393"/>
      <c r="HIO1598" s="392"/>
      <c r="HIP1598" s="393"/>
      <c r="HIQ1598" s="392"/>
      <c r="HIR1598" s="393"/>
      <c r="HIS1598" s="392"/>
      <c r="HIT1598" s="393"/>
      <c r="HIU1598" s="392"/>
      <c r="HIV1598" s="393"/>
      <c r="HIW1598" s="392"/>
      <c r="HIX1598" s="393"/>
      <c r="HIY1598" s="392"/>
      <c r="HIZ1598" s="393"/>
      <c r="HJA1598" s="392"/>
      <c r="HJB1598" s="393"/>
      <c r="HJC1598" s="392"/>
      <c r="HJD1598" s="393"/>
      <c r="HJE1598" s="392"/>
      <c r="HJF1598" s="393"/>
      <c r="HJG1598" s="392"/>
      <c r="HJH1598" s="393"/>
      <c r="HJI1598" s="392"/>
      <c r="HJJ1598" s="393"/>
      <c r="HJK1598" s="392"/>
      <c r="HJL1598" s="393"/>
      <c r="HJM1598" s="392"/>
      <c r="HJN1598" s="393"/>
      <c r="HJO1598" s="392"/>
      <c r="HJP1598" s="393"/>
      <c r="HJQ1598" s="392"/>
      <c r="HJR1598" s="393"/>
      <c r="HJS1598" s="392"/>
      <c r="HJT1598" s="393"/>
      <c r="HJU1598" s="392"/>
      <c r="HJV1598" s="393"/>
      <c r="HJW1598" s="392"/>
      <c r="HJX1598" s="393"/>
      <c r="HJY1598" s="392"/>
      <c r="HJZ1598" s="393"/>
      <c r="HKA1598" s="392"/>
      <c r="HKB1598" s="393"/>
      <c r="HKC1598" s="392"/>
      <c r="HKD1598" s="393"/>
      <c r="HKE1598" s="392"/>
      <c r="HKF1598" s="393"/>
      <c r="HKG1598" s="392"/>
      <c r="HKH1598" s="393"/>
      <c r="HKI1598" s="392"/>
      <c r="HKJ1598" s="393"/>
      <c r="HKK1598" s="392"/>
      <c r="HKL1598" s="393"/>
      <c r="HKM1598" s="392"/>
      <c r="HKN1598" s="393"/>
      <c r="HKO1598" s="392"/>
      <c r="HKP1598" s="393"/>
      <c r="HKQ1598" s="392"/>
      <c r="HKR1598" s="393"/>
      <c r="HKS1598" s="392"/>
      <c r="HKT1598" s="393"/>
      <c r="HKU1598" s="392"/>
      <c r="HKV1598" s="393"/>
      <c r="HKW1598" s="392"/>
      <c r="HKX1598" s="393"/>
      <c r="HKY1598" s="392"/>
      <c r="HKZ1598" s="393"/>
      <c r="HLA1598" s="392"/>
      <c r="HLB1598" s="393"/>
      <c r="HLC1598" s="392"/>
      <c r="HLD1598" s="393"/>
      <c r="HLE1598" s="392"/>
      <c r="HLF1598" s="393"/>
      <c r="HLG1598" s="392"/>
      <c r="HLH1598" s="393"/>
      <c r="HLI1598" s="392"/>
      <c r="HLJ1598" s="393"/>
      <c r="HLK1598" s="392"/>
      <c r="HLL1598" s="393"/>
      <c r="HLM1598" s="392"/>
      <c r="HLN1598" s="393"/>
      <c r="HLO1598" s="392"/>
      <c r="HLP1598" s="393"/>
      <c r="HLQ1598" s="392"/>
      <c r="HLR1598" s="393"/>
      <c r="HLS1598" s="392"/>
      <c r="HLT1598" s="393"/>
      <c r="HLU1598" s="392"/>
      <c r="HLV1598" s="393"/>
      <c r="HLW1598" s="392"/>
      <c r="HLX1598" s="393"/>
      <c r="HLY1598" s="392"/>
      <c r="HLZ1598" s="393"/>
      <c r="HMA1598" s="392"/>
      <c r="HMB1598" s="393"/>
      <c r="HMC1598" s="392"/>
      <c r="HMD1598" s="393"/>
      <c r="HME1598" s="392"/>
      <c r="HMF1598" s="393"/>
      <c r="HMG1598" s="392"/>
      <c r="HMH1598" s="393"/>
      <c r="HMI1598" s="392"/>
      <c r="HMJ1598" s="393"/>
      <c r="HMK1598" s="392"/>
      <c r="HML1598" s="393"/>
      <c r="HMM1598" s="392"/>
      <c r="HMN1598" s="393"/>
      <c r="HMO1598" s="392"/>
      <c r="HMP1598" s="393"/>
      <c r="HMQ1598" s="392"/>
      <c r="HMR1598" s="393"/>
      <c r="HMS1598" s="392"/>
      <c r="HMT1598" s="393"/>
      <c r="HMU1598" s="392"/>
      <c r="HMV1598" s="393"/>
      <c r="HMW1598" s="392"/>
      <c r="HMX1598" s="393"/>
      <c r="HMY1598" s="392"/>
      <c r="HMZ1598" s="393"/>
      <c r="HNA1598" s="392"/>
      <c r="HNB1598" s="393"/>
      <c r="HNC1598" s="392"/>
      <c r="HND1598" s="393"/>
      <c r="HNE1598" s="392"/>
      <c r="HNF1598" s="393"/>
      <c r="HNG1598" s="392"/>
      <c r="HNH1598" s="393"/>
      <c r="HNI1598" s="392"/>
      <c r="HNJ1598" s="393"/>
      <c r="HNK1598" s="392"/>
      <c r="HNL1598" s="393"/>
      <c r="HNM1598" s="392"/>
      <c r="HNN1598" s="393"/>
      <c r="HNO1598" s="392"/>
      <c r="HNP1598" s="393"/>
      <c r="HNQ1598" s="392"/>
      <c r="HNR1598" s="393"/>
      <c r="HNS1598" s="392"/>
      <c r="HNT1598" s="393"/>
      <c r="HNU1598" s="392"/>
      <c r="HNV1598" s="393"/>
      <c r="HNW1598" s="392"/>
      <c r="HNX1598" s="393"/>
      <c r="HNY1598" s="392"/>
      <c r="HNZ1598" s="393"/>
      <c r="HOA1598" s="392"/>
      <c r="HOB1598" s="393"/>
      <c r="HOC1598" s="392"/>
      <c r="HOD1598" s="393"/>
      <c r="HOE1598" s="392"/>
      <c r="HOF1598" s="393"/>
      <c r="HOG1598" s="392"/>
      <c r="HOH1598" s="393"/>
      <c r="HOI1598" s="392"/>
      <c r="HOJ1598" s="393"/>
      <c r="HOK1598" s="392"/>
      <c r="HOL1598" s="393"/>
      <c r="HOM1598" s="392"/>
      <c r="HON1598" s="393"/>
      <c r="HOO1598" s="392"/>
      <c r="HOP1598" s="393"/>
      <c r="HOQ1598" s="392"/>
      <c r="HOR1598" s="393"/>
      <c r="HOS1598" s="392"/>
      <c r="HOT1598" s="393"/>
      <c r="HOU1598" s="392"/>
      <c r="HOV1598" s="393"/>
      <c r="HOW1598" s="392"/>
      <c r="HOX1598" s="393"/>
      <c r="HOY1598" s="392"/>
      <c r="HOZ1598" s="393"/>
      <c r="HPA1598" s="392"/>
      <c r="HPB1598" s="393"/>
      <c r="HPC1598" s="392"/>
      <c r="HPD1598" s="393"/>
      <c r="HPE1598" s="392"/>
      <c r="HPF1598" s="393"/>
      <c r="HPG1598" s="392"/>
      <c r="HPH1598" s="393"/>
      <c r="HPI1598" s="392"/>
      <c r="HPJ1598" s="393"/>
      <c r="HPK1598" s="392"/>
      <c r="HPL1598" s="393"/>
      <c r="HPM1598" s="392"/>
      <c r="HPN1598" s="393"/>
      <c r="HPO1598" s="392"/>
      <c r="HPP1598" s="393"/>
      <c r="HPQ1598" s="392"/>
      <c r="HPR1598" s="393"/>
      <c r="HPS1598" s="392"/>
      <c r="HPT1598" s="393"/>
      <c r="HPU1598" s="392"/>
      <c r="HPV1598" s="393"/>
      <c r="HPW1598" s="392"/>
      <c r="HPX1598" s="393"/>
      <c r="HPY1598" s="392"/>
      <c r="HPZ1598" s="393"/>
      <c r="HQA1598" s="392"/>
      <c r="HQB1598" s="393"/>
      <c r="HQC1598" s="392"/>
      <c r="HQD1598" s="393"/>
      <c r="HQE1598" s="392"/>
      <c r="HQF1598" s="393"/>
      <c r="HQG1598" s="392"/>
      <c r="HQH1598" s="393"/>
      <c r="HQI1598" s="392"/>
      <c r="HQJ1598" s="393"/>
      <c r="HQK1598" s="392"/>
      <c r="HQL1598" s="393"/>
      <c r="HQM1598" s="392"/>
      <c r="HQN1598" s="393"/>
      <c r="HQO1598" s="392"/>
      <c r="HQP1598" s="393"/>
      <c r="HQQ1598" s="392"/>
      <c r="HQR1598" s="393"/>
      <c r="HQS1598" s="392"/>
      <c r="HQT1598" s="393"/>
      <c r="HQU1598" s="392"/>
      <c r="HQV1598" s="393"/>
      <c r="HQW1598" s="392"/>
      <c r="HQX1598" s="393"/>
      <c r="HQY1598" s="392"/>
      <c r="HQZ1598" s="393"/>
      <c r="HRA1598" s="392"/>
      <c r="HRB1598" s="393"/>
      <c r="HRC1598" s="392"/>
      <c r="HRD1598" s="393"/>
      <c r="HRE1598" s="392"/>
      <c r="HRF1598" s="393"/>
      <c r="HRG1598" s="392"/>
      <c r="HRH1598" s="393"/>
      <c r="HRI1598" s="392"/>
      <c r="HRJ1598" s="393"/>
      <c r="HRK1598" s="392"/>
      <c r="HRL1598" s="393"/>
      <c r="HRM1598" s="392"/>
      <c r="HRN1598" s="393"/>
      <c r="HRO1598" s="392"/>
      <c r="HRP1598" s="393"/>
      <c r="HRQ1598" s="392"/>
      <c r="HRR1598" s="393"/>
      <c r="HRS1598" s="392"/>
      <c r="HRT1598" s="393"/>
      <c r="HRU1598" s="392"/>
      <c r="HRV1598" s="393"/>
      <c r="HRW1598" s="392"/>
      <c r="HRX1598" s="393"/>
      <c r="HRY1598" s="392"/>
      <c r="HRZ1598" s="393"/>
      <c r="HSA1598" s="392"/>
      <c r="HSB1598" s="393"/>
      <c r="HSC1598" s="392"/>
      <c r="HSD1598" s="393"/>
      <c r="HSE1598" s="392"/>
      <c r="HSF1598" s="393"/>
      <c r="HSG1598" s="392"/>
      <c r="HSH1598" s="393"/>
      <c r="HSI1598" s="392"/>
      <c r="HSJ1598" s="393"/>
      <c r="HSK1598" s="392"/>
      <c r="HSL1598" s="393"/>
      <c r="HSM1598" s="392"/>
      <c r="HSN1598" s="393"/>
      <c r="HSO1598" s="392"/>
      <c r="HSP1598" s="393"/>
      <c r="HSQ1598" s="392"/>
      <c r="HSR1598" s="393"/>
      <c r="HSS1598" s="392"/>
      <c r="HST1598" s="393"/>
      <c r="HSU1598" s="392"/>
      <c r="HSV1598" s="393"/>
      <c r="HSW1598" s="392"/>
      <c r="HSX1598" s="393"/>
      <c r="HSY1598" s="392"/>
      <c r="HSZ1598" s="393"/>
      <c r="HTA1598" s="392"/>
      <c r="HTB1598" s="393"/>
      <c r="HTC1598" s="392"/>
      <c r="HTD1598" s="393"/>
      <c r="HTE1598" s="392"/>
      <c r="HTF1598" s="393"/>
      <c r="HTG1598" s="392"/>
      <c r="HTH1598" s="393"/>
      <c r="HTI1598" s="392"/>
      <c r="HTJ1598" s="393"/>
      <c r="HTK1598" s="392"/>
      <c r="HTL1598" s="393"/>
      <c r="HTM1598" s="392"/>
      <c r="HTN1598" s="393"/>
      <c r="HTO1598" s="392"/>
      <c r="HTP1598" s="393"/>
      <c r="HTQ1598" s="392"/>
      <c r="HTR1598" s="393"/>
      <c r="HTS1598" s="392"/>
      <c r="HTT1598" s="393"/>
      <c r="HTU1598" s="392"/>
      <c r="HTV1598" s="393"/>
      <c r="HTW1598" s="392"/>
      <c r="HTX1598" s="393"/>
      <c r="HTY1598" s="392"/>
      <c r="HTZ1598" s="393"/>
      <c r="HUA1598" s="392"/>
      <c r="HUB1598" s="393"/>
      <c r="HUC1598" s="392"/>
      <c r="HUD1598" s="393"/>
      <c r="HUE1598" s="392"/>
      <c r="HUF1598" s="393"/>
      <c r="HUG1598" s="392"/>
      <c r="HUH1598" s="393"/>
      <c r="HUI1598" s="392"/>
      <c r="HUJ1598" s="393"/>
      <c r="HUK1598" s="392"/>
      <c r="HUL1598" s="393"/>
      <c r="HUM1598" s="392"/>
      <c r="HUN1598" s="393"/>
      <c r="HUO1598" s="392"/>
      <c r="HUP1598" s="393"/>
      <c r="HUQ1598" s="392"/>
      <c r="HUR1598" s="393"/>
      <c r="HUS1598" s="392"/>
      <c r="HUT1598" s="393"/>
      <c r="HUU1598" s="392"/>
      <c r="HUV1598" s="393"/>
      <c r="HUW1598" s="392"/>
      <c r="HUX1598" s="393"/>
      <c r="HUY1598" s="392"/>
      <c r="HUZ1598" s="393"/>
      <c r="HVA1598" s="392"/>
      <c r="HVB1598" s="393"/>
      <c r="HVC1598" s="392"/>
      <c r="HVD1598" s="393"/>
      <c r="HVE1598" s="392"/>
      <c r="HVF1598" s="393"/>
      <c r="HVG1598" s="392"/>
      <c r="HVH1598" s="393"/>
      <c r="HVI1598" s="392"/>
      <c r="HVJ1598" s="393"/>
      <c r="HVK1598" s="392"/>
      <c r="HVL1598" s="393"/>
      <c r="HVM1598" s="392"/>
      <c r="HVN1598" s="393"/>
      <c r="HVO1598" s="392"/>
      <c r="HVP1598" s="393"/>
      <c r="HVQ1598" s="392"/>
      <c r="HVR1598" s="393"/>
      <c r="HVS1598" s="392"/>
      <c r="HVT1598" s="393"/>
      <c r="HVU1598" s="392"/>
      <c r="HVV1598" s="393"/>
      <c r="HVW1598" s="392"/>
      <c r="HVX1598" s="393"/>
      <c r="HVY1598" s="392"/>
      <c r="HVZ1598" s="393"/>
      <c r="HWA1598" s="392"/>
      <c r="HWB1598" s="393"/>
      <c r="HWC1598" s="392"/>
      <c r="HWD1598" s="393"/>
      <c r="HWE1598" s="392"/>
      <c r="HWF1598" s="393"/>
      <c r="HWG1598" s="392"/>
      <c r="HWH1598" s="393"/>
      <c r="HWI1598" s="392"/>
      <c r="HWJ1598" s="393"/>
      <c r="HWK1598" s="392"/>
      <c r="HWL1598" s="393"/>
      <c r="HWM1598" s="392"/>
      <c r="HWN1598" s="393"/>
      <c r="HWO1598" s="392"/>
      <c r="HWP1598" s="393"/>
      <c r="HWQ1598" s="392"/>
      <c r="HWR1598" s="393"/>
      <c r="HWS1598" s="392"/>
      <c r="HWT1598" s="393"/>
      <c r="HWU1598" s="392"/>
      <c r="HWV1598" s="393"/>
      <c r="HWW1598" s="392"/>
      <c r="HWX1598" s="393"/>
      <c r="HWY1598" s="392"/>
      <c r="HWZ1598" s="393"/>
      <c r="HXA1598" s="392"/>
      <c r="HXB1598" s="393"/>
      <c r="HXC1598" s="392"/>
      <c r="HXD1598" s="393"/>
      <c r="HXE1598" s="392"/>
      <c r="HXF1598" s="393"/>
      <c r="HXG1598" s="392"/>
      <c r="HXH1598" s="393"/>
      <c r="HXI1598" s="392"/>
      <c r="HXJ1598" s="393"/>
      <c r="HXK1598" s="392"/>
      <c r="HXL1598" s="393"/>
      <c r="HXM1598" s="392"/>
      <c r="HXN1598" s="393"/>
      <c r="HXO1598" s="392"/>
      <c r="HXP1598" s="393"/>
      <c r="HXQ1598" s="392"/>
      <c r="HXR1598" s="393"/>
      <c r="HXS1598" s="392"/>
      <c r="HXT1598" s="393"/>
      <c r="HXU1598" s="392"/>
      <c r="HXV1598" s="393"/>
      <c r="HXW1598" s="392"/>
      <c r="HXX1598" s="393"/>
      <c r="HXY1598" s="392"/>
      <c r="HXZ1598" s="393"/>
      <c r="HYA1598" s="392"/>
      <c r="HYB1598" s="393"/>
      <c r="HYC1598" s="392"/>
      <c r="HYD1598" s="393"/>
      <c r="HYE1598" s="392"/>
      <c r="HYF1598" s="393"/>
      <c r="HYG1598" s="392"/>
      <c r="HYH1598" s="393"/>
      <c r="HYI1598" s="392"/>
      <c r="HYJ1598" s="393"/>
      <c r="HYK1598" s="392"/>
      <c r="HYL1598" s="393"/>
      <c r="HYM1598" s="392"/>
      <c r="HYN1598" s="393"/>
      <c r="HYO1598" s="392"/>
      <c r="HYP1598" s="393"/>
      <c r="HYQ1598" s="392"/>
      <c r="HYR1598" s="393"/>
      <c r="HYS1598" s="392"/>
      <c r="HYT1598" s="393"/>
      <c r="HYU1598" s="392"/>
      <c r="HYV1598" s="393"/>
      <c r="HYW1598" s="392"/>
      <c r="HYX1598" s="393"/>
      <c r="HYY1598" s="392"/>
      <c r="HYZ1598" s="393"/>
      <c r="HZA1598" s="392"/>
      <c r="HZB1598" s="393"/>
      <c r="HZC1598" s="392"/>
      <c r="HZD1598" s="393"/>
      <c r="HZE1598" s="392"/>
      <c r="HZF1598" s="393"/>
      <c r="HZG1598" s="392"/>
      <c r="HZH1598" s="393"/>
      <c r="HZI1598" s="392"/>
      <c r="HZJ1598" s="393"/>
      <c r="HZK1598" s="392"/>
      <c r="HZL1598" s="393"/>
      <c r="HZM1598" s="392"/>
      <c r="HZN1598" s="393"/>
      <c r="HZO1598" s="392"/>
      <c r="HZP1598" s="393"/>
      <c r="HZQ1598" s="392"/>
      <c r="HZR1598" s="393"/>
      <c r="HZS1598" s="392"/>
      <c r="HZT1598" s="393"/>
      <c r="HZU1598" s="392"/>
      <c r="HZV1598" s="393"/>
      <c r="HZW1598" s="392"/>
      <c r="HZX1598" s="393"/>
      <c r="HZY1598" s="392"/>
      <c r="HZZ1598" s="393"/>
      <c r="IAA1598" s="392"/>
      <c r="IAB1598" s="393"/>
      <c r="IAC1598" s="392"/>
      <c r="IAD1598" s="393"/>
      <c r="IAE1598" s="392"/>
      <c r="IAF1598" s="393"/>
      <c r="IAG1598" s="392"/>
      <c r="IAH1598" s="393"/>
      <c r="IAI1598" s="392"/>
      <c r="IAJ1598" s="393"/>
      <c r="IAK1598" s="392"/>
      <c r="IAL1598" s="393"/>
      <c r="IAM1598" s="392"/>
      <c r="IAN1598" s="393"/>
      <c r="IAO1598" s="392"/>
      <c r="IAP1598" s="393"/>
      <c r="IAQ1598" s="392"/>
      <c r="IAR1598" s="393"/>
      <c r="IAS1598" s="392"/>
      <c r="IAT1598" s="393"/>
      <c r="IAU1598" s="392"/>
      <c r="IAV1598" s="393"/>
      <c r="IAW1598" s="392"/>
      <c r="IAX1598" s="393"/>
      <c r="IAY1598" s="392"/>
      <c r="IAZ1598" s="393"/>
      <c r="IBA1598" s="392"/>
      <c r="IBB1598" s="393"/>
      <c r="IBC1598" s="392"/>
      <c r="IBD1598" s="393"/>
      <c r="IBE1598" s="392"/>
      <c r="IBF1598" s="393"/>
      <c r="IBG1598" s="392"/>
      <c r="IBH1598" s="393"/>
      <c r="IBI1598" s="392"/>
      <c r="IBJ1598" s="393"/>
      <c r="IBK1598" s="392"/>
      <c r="IBL1598" s="393"/>
      <c r="IBM1598" s="392"/>
      <c r="IBN1598" s="393"/>
      <c r="IBO1598" s="392"/>
      <c r="IBP1598" s="393"/>
      <c r="IBQ1598" s="392"/>
      <c r="IBR1598" s="393"/>
      <c r="IBS1598" s="392"/>
      <c r="IBT1598" s="393"/>
      <c r="IBU1598" s="392"/>
      <c r="IBV1598" s="393"/>
      <c r="IBW1598" s="392"/>
      <c r="IBX1598" s="393"/>
      <c r="IBY1598" s="392"/>
      <c r="IBZ1598" s="393"/>
      <c r="ICA1598" s="392"/>
      <c r="ICB1598" s="393"/>
      <c r="ICC1598" s="392"/>
      <c r="ICD1598" s="393"/>
      <c r="ICE1598" s="392"/>
      <c r="ICF1598" s="393"/>
      <c r="ICG1598" s="392"/>
      <c r="ICH1598" s="393"/>
      <c r="ICI1598" s="392"/>
      <c r="ICJ1598" s="393"/>
      <c r="ICK1598" s="392"/>
      <c r="ICL1598" s="393"/>
      <c r="ICM1598" s="392"/>
      <c r="ICN1598" s="393"/>
      <c r="ICO1598" s="392"/>
      <c r="ICP1598" s="393"/>
      <c r="ICQ1598" s="392"/>
      <c r="ICR1598" s="393"/>
      <c r="ICS1598" s="392"/>
      <c r="ICT1598" s="393"/>
      <c r="ICU1598" s="392"/>
      <c r="ICV1598" s="393"/>
      <c r="ICW1598" s="392"/>
      <c r="ICX1598" s="393"/>
      <c r="ICY1598" s="392"/>
      <c r="ICZ1598" s="393"/>
      <c r="IDA1598" s="392"/>
      <c r="IDB1598" s="393"/>
      <c r="IDC1598" s="392"/>
      <c r="IDD1598" s="393"/>
      <c r="IDE1598" s="392"/>
      <c r="IDF1598" s="393"/>
      <c r="IDG1598" s="392"/>
      <c r="IDH1598" s="393"/>
      <c r="IDI1598" s="392"/>
      <c r="IDJ1598" s="393"/>
      <c r="IDK1598" s="392"/>
      <c r="IDL1598" s="393"/>
      <c r="IDM1598" s="392"/>
      <c r="IDN1598" s="393"/>
      <c r="IDO1598" s="392"/>
      <c r="IDP1598" s="393"/>
      <c r="IDQ1598" s="392"/>
      <c r="IDR1598" s="393"/>
      <c r="IDS1598" s="392"/>
      <c r="IDT1598" s="393"/>
      <c r="IDU1598" s="392"/>
      <c r="IDV1598" s="393"/>
      <c r="IDW1598" s="392"/>
      <c r="IDX1598" s="393"/>
      <c r="IDY1598" s="392"/>
      <c r="IDZ1598" s="393"/>
      <c r="IEA1598" s="392"/>
      <c r="IEB1598" s="393"/>
      <c r="IEC1598" s="392"/>
      <c r="IED1598" s="393"/>
      <c r="IEE1598" s="392"/>
      <c r="IEF1598" s="393"/>
      <c r="IEG1598" s="392"/>
      <c r="IEH1598" s="393"/>
      <c r="IEI1598" s="392"/>
      <c r="IEJ1598" s="393"/>
      <c r="IEK1598" s="392"/>
      <c r="IEL1598" s="393"/>
      <c r="IEM1598" s="392"/>
      <c r="IEN1598" s="393"/>
      <c r="IEO1598" s="392"/>
      <c r="IEP1598" s="393"/>
      <c r="IEQ1598" s="392"/>
      <c r="IER1598" s="393"/>
      <c r="IES1598" s="392"/>
      <c r="IET1598" s="393"/>
      <c r="IEU1598" s="392"/>
      <c r="IEV1598" s="393"/>
      <c r="IEW1598" s="392"/>
      <c r="IEX1598" s="393"/>
      <c r="IEY1598" s="392"/>
      <c r="IEZ1598" s="393"/>
      <c r="IFA1598" s="392"/>
      <c r="IFB1598" s="393"/>
      <c r="IFC1598" s="392"/>
      <c r="IFD1598" s="393"/>
      <c r="IFE1598" s="392"/>
      <c r="IFF1598" s="393"/>
      <c r="IFG1598" s="392"/>
      <c r="IFH1598" s="393"/>
      <c r="IFI1598" s="392"/>
      <c r="IFJ1598" s="393"/>
      <c r="IFK1598" s="392"/>
      <c r="IFL1598" s="393"/>
      <c r="IFM1598" s="392"/>
      <c r="IFN1598" s="393"/>
      <c r="IFO1598" s="392"/>
      <c r="IFP1598" s="393"/>
      <c r="IFQ1598" s="392"/>
      <c r="IFR1598" s="393"/>
      <c r="IFS1598" s="392"/>
      <c r="IFT1598" s="393"/>
      <c r="IFU1598" s="392"/>
      <c r="IFV1598" s="393"/>
      <c r="IFW1598" s="392"/>
      <c r="IFX1598" s="393"/>
      <c r="IFY1598" s="392"/>
      <c r="IFZ1598" s="393"/>
      <c r="IGA1598" s="392"/>
      <c r="IGB1598" s="393"/>
      <c r="IGC1598" s="392"/>
      <c r="IGD1598" s="393"/>
      <c r="IGE1598" s="392"/>
      <c r="IGF1598" s="393"/>
      <c r="IGG1598" s="392"/>
      <c r="IGH1598" s="393"/>
      <c r="IGI1598" s="392"/>
      <c r="IGJ1598" s="393"/>
      <c r="IGK1598" s="392"/>
      <c r="IGL1598" s="393"/>
      <c r="IGM1598" s="392"/>
      <c r="IGN1598" s="393"/>
      <c r="IGO1598" s="392"/>
      <c r="IGP1598" s="393"/>
      <c r="IGQ1598" s="392"/>
      <c r="IGR1598" s="393"/>
      <c r="IGS1598" s="392"/>
      <c r="IGT1598" s="393"/>
      <c r="IGU1598" s="392"/>
      <c r="IGV1598" s="393"/>
      <c r="IGW1598" s="392"/>
      <c r="IGX1598" s="393"/>
      <c r="IGY1598" s="392"/>
      <c r="IGZ1598" s="393"/>
      <c r="IHA1598" s="392"/>
      <c r="IHB1598" s="393"/>
      <c r="IHC1598" s="392"/>
      <c r="IHD1598" s="393"/>
      <c r="IHE1598" s="392"/>
      <c r="IHF1598" s="393"/>
      <c r="IHG1598" s="392"/>
      <c r="IHH1598" s="393"/>
      <c r="IHI1598" s="392"/>
      <c r="IHJ1598" s="393"/>
      <c r="IHK1598" s="392"/>
      <c r="IHL1598" s="393"/>
      <c r="IHM1598" s="392"/>
      <c r="IHN1598" s="393"/>
      <c r="IHO1598" s="392"/>
      <c r="IHP1598" s="393"/>
      <c r="IHQ1598" s="392"/>
      <c r="IHR1598" s="393"/>
      <c r="IHS1598" s="392"/>
      <c r="IHT1598" s="393"/>
      <c r="IHU1598" s="392"/>
      <c r="IHV1598" s="393"/>
      <c r="IHW1598" s="392"/>
      <c r="IHX1598" s="393"/>
      <c r="IHY1598" s="392"/>
      <c r="IHZ1598" s="393"/>
      <c r="IIA1598" s="392"/>
      <c r="IIB1598" s="393"/>
      <c r="IIC1598" s="392"/>
      <c r="IID1598" s="393"/>
      <c r="IIE1598" s="392"/>
      <c r="IIF1598" s="393"/>
      <c r="IIG1598" s="392"/>
      <c r="IIH1598" s="393"/>
      <c r="III1598" s="392"/>
      <c r="IIJ1598" s="393"/>
      <c r="IIK1598" s="392"/>
      <c r="IIL1598" s="393"/>
      <c r="IIM1598" s="392"/>
      <c r="IIN1598" s="393"/>
      <c r="IIO1598" s="392"/>
      <c r="IIP1598" s="393"/>
      <c r="IIQ1598" s="392"/>
      <c r="IIR1598" s="393"/>
      <c r="IIS1598" s="392"/>
      <c r="IIT1598" s="393"/>
      <c r="IIU1598" s="392"/>
      <c r="IIV1598" s="393"/>
      <c r="IIW1598" s="392"/>
      <c r="IIX1598" s="393"/>
      <c r="IIY1598" s="392"/>
      <c r="IIZ1598" s="393"/>
      <c r="IJA1598" s="392"/>
      <c r="IJB1598" s="393"/>
      <c r="IJC1598" s="392"/>
      <c r="IJD1598" s="393"/>
      <c r="IJE1598" s="392"/>
      <c r="IJF1598" s="393"/>
      <c r="IJG1598" s="392"/>
      <c r="IJH1598" s="393"/>
      <c r="IJI1598" s="392"/>
      <c r="IJJ1598" s="393"/>
      <c r="IJK1598" s="392"/>
      <c r="IJL1598" s="393"/>
      <c r="IJM1598" s="392"/>
      <c r="IJN1598" s="393"/>
      <c r="IJO1598" s="392"/>
      <c r="IJP1598" s="393"/>
      <c r="IJQ1598" s="392"/>
      <c r="IJR1598" s="393"/>
      <c r="IJS1598" s="392"/>
      <c r="IJT1598" s="393"/>
      <c r="IJU1598" s="392"/>
      <c r="IJV1598" s="393"/>
      <c r="IJW1598" s="392"/>
      <c r="IJX1598" s="393"/>
      <c r="IJY1598" s="392"/>
      <c r="IJZ1598" s="393"/>
      <c r="IKA1598" s="392"/>
      <c r="IKB1598" s="393"/>
      <c r="IKC1598" s="392"/>
      <c r="IKD1598" s="393"/>
      <c r="IKE1598" s="392"/>
      <c r="IKF1598" s="393"/>
      <c r="IKG1598" s="392"/>
      <c r="IKH1598" s="393"/>
      <c r="IKI1598" s="392"/>
      <c r="IKJ1598" s="393"/>
      <c r="IKK1598" s="392"/>
      <c r="IKL1598" s="393"/>
      <c r="IKM1598" s="392"/>
      <c r="IKN1598" s="393"/>
      <c r="IKO1598" s="392"/>
      <c r="IKP1598" s="393"/>
      <c r="IKQ1598" s="392"/>
      <c r="IKR1598" s="393"/>
      <c r="IKS1598" s="392"/>
      <c r="IKT1598" s="393"/>
      <c r="IKU1598" s="392"/>
      <c r="IKV1598" s="393"/>
      <c r="IKW1598" s="392"/>
      <c r="IKX1598" s="393"/>
      <c r="IKY1598" s="392"/>
      <c r="IKZ1598" s="393"/>
      <c r="ILA1598" s="392"/>
      <c r="ILB1598" s="393"/>
      <c r="ILC1598" s="392"/>
      <c r="ILD1598" s="393"/>
      <c r="ILE1598" s="392"/>
      <c r="ILF1598" s="393"/>
      <c r="ILG1598" s="392"/>
      <c r="ILH1598" s="393"/>
      <c r="ILI1598" s="392"/>
      <c r="ILJ1598" s="393"/>
      <c r="ILK1598" s="392"/>
      <c r="ILL1598" s="393"/>
      <c r="ILM1598" s="392"/>
      <c r="ILN1598" s="393"/>
      <c r="ILO1598" s="392"/>
      <c r="ILP1598" s="393"/>
      <c r="ILQ1598" s="392"/>
      <c r="ILR1598" s="393"/>
      <c r="ILS1598" s="392"/>
      <c r="ILT1598" s="393"/>
      <c r="ILU1598" s="392"/>
      <c r="ILV1598" s="393"/>
      <c r="ILW1598" s="392"/>
      <c r="ILX1598" s="393"/>
      <c r="ILY1598" s="392"/>
      <c r="ILZ1598" s="393"/>
      <c r="IMA1598" s="392"/>
      <c r="IMB1598" s="393"/>
      <c r="IMC1598" s="392"/>
      <c r="IMD1598" s="393"/>
      <c r="IME1598" s="392"/>
      <c r="IMF1598" s="393"/>
      <c r="IMG1598" s="392"/>
      <c r="IMH1598" s="393"/>
      <c r="IMI1598" s="392"/>
      <c r="IMJ1598" s="393"/>
      <c r="IMK1598" s="392"/>
      <c r="IML1598" s="393"/>
      <c r="IMM1598" s="392"/>
      <c r="IMN1598" s="393"/>
      <c r="IMO1598" s="392"/>
      <c r="IMP1598" s="393"/>
      <c r="IMQ1598" s="392"/>
      <c r="IMR1598" s="393"/>
      <c r="IMS1598" s="392"/>
      <c r="IMT1598" s="393"/>
      <c r="IMU1598" s="392"/>
      <c r="IMV1598" s="393"/>
      <c r="IMW1598" s="392"/>
      <c r="IMX1598" s="393"/>
      <c r="IMY1598" s="392"/>
      <c r="IMZ1598" s="393"/>
      <c r="INA1598" s="392"/>
      <c r="INB1598" s="393"/>
      <c r="INC1598" s="392"/>
      <c r="IND1598" s="393"/>
      <c r="INE1598" s="392"/>
      <c r="INF1598" s="393"/>
      <c r="ING1598" s="392"/>
      <c r="INH1598" s="393"/>
      <c r="INI1598" s="392"/>
      <c r="INJ1598" s="393"/>
      <c r="INK1598" s="392"/>
      <c r="INL1598" s="393"/>
      <c r="INM1598" s="392"/>
      <c r="INN1598" s="393"/>
      <c r="INO1598" s="392"/>
      <c r="INP1598" s="393"/>
      <c r="INQ1598" s="392"/>
      <c r="INR1598" s="393"/>
      <c r="INS1598" s="392"/>
      <c r="INT1598" s="393"/>
      <c r="INU1598" s="392"/>
      <c r="INV1598" s="393"/>
      <c r="INW1598" s="392"/>
      <c r="INX1598" s="393"/>
      <c r="INY1598" s="392"/>
      <c r="INZ1598" s="393"/>
      <c r="IOA1598" s="392"/>
      <c r="IOB1598" s="393"/>
      <c r="IOC1598" s="392"/>
      <c r="IOD1598" s="393"/>
      <c r="IOE1598" s="392"/>
      <c r="IOF1598" s="393"/>
      <c r="IOG1598" s="392"/>
      <c r="IOH1598" s="393"/>
      <c r="IOI1598" s="392"/>
      <c r="IOJ1598" s="393"/>
      <c r="IOK1598" s="392"/>
      <c r="IOL1598" s="393"/>
      <c r="IOM1598" s="392"/>
      <c r="ION1598" s="393"/>
      <c r="IOO1598" s="392"/>
      <c r="IOP1598" s="393"/>
      <c r="IOQ1598" s="392"/>
      <c r="IOR1598" s="393"/>
      <c r="IOS1598" s="392"/>
      <c r="IOT1598" s="393"/>
      <c r="IOU1598" s="392"/>
      <c r="IOV1598" s="393"/>
      <c r="IOW1598" s="392"/>
      <c r="IOX1598" s="393"/>
      <c r="IOY1598" s="392"/>
      <c r="IOZ1598" s="393"/>
      <c r="IPA1598" s="392"/>
      <c r="IPB1598" s="393"/>
      <c r="IPC1598" s="392"/>
      <c r="IPD1598" s="393"/>
      <c r="IPE1598" s="392"/>
      <c r="IPF1598" s="393"/>
      <c r="IPG1598" s="392"/>
      <c r="IPH1598" s="393"/>
      <c r="IPI1598" s="392"/>
      <c r="IPJ1598" s="393"/>
      <c r="IPK1598" s="392"/>
      <c r="IPL1598" s="393"/>
      <c r="IPM1598" s="392"/>
      <c r="IPN1598" s="393"/>
      <c r="IPO1598" s="392"/>
      <c r="IPP1598" s="393"/>
      <c r="IPQ1598" s="392"/>
      <c r="IPR1598" s="393"/>
      <c r="IPS1598" s="392"/>
      <c r="IPT1598" s="393"/>
      <c r="IPU1598" s="392"/>
      <c r="IPV1598" s="393"/>
      <c r="IPW1598" s="392"/>
      <c r="IPX1598" s="393"/>
      <c r="IPY1598" s="392"/>
      <c r="IPZ1598" s="393"/>
      <c r="IQA1598" s="392"/>
      <c r="IQB1598" s="393"/>
      <c r="IQC1598" s="392"/>
      <c r="IQD1598" s="393"/>
      <c r="IQE1598" s="392"/>
      <c r="IQF1598" s="393"/>
      <c r="IQG1598" s="392"/>
      <c r="IQH1598" s="393"/>
      <c r="IQI1598" s="392"/>
      <c r="IQJ1598" s="393"/>
      <c r="IQK1598" s="392"/>
      <c r="IQL1598" s="393"/>
      <c r="IQM1598" s="392"/>
      <c r="IQN1598" s="393"/>
      <c r="IQO1598" s="392"/>
      <c r="IQP1598" s="393"/>
      <c r="IQQ1598" s="392"/>
      <c r="IQR1598" s="393"/>
      <c r="IQS1598" s="392"/>
      <c r="IQT1598" s="393"/>
      <c r="IQU1598" s="392"/>
      <c r="IQV1598" s="393"/>
      <c r="IQW1598" s="392"/>
      <c r="IQX1598" s="393"/>
      <c r="IQY1598" s="392"/>
      <c r="IQZ1598" s="393"/>
      <c r="IRA1598" s="392"/>
      <c r="IRB1598" s="393"/>
      <c r="IRC1598" s="392"/>
      <c r="IRD1598" s="393"/>
      <c r="IRE1598" s="392"/>
      <c r="IRF1598" s="393"/>
      <c r="IRG1598" s="392"/>
      <c r="IRH1598" s="393"/>
      <c r="IRI1598" s="392"/>
      <c r="IRJ1598" s="393"/>
      <c r="IRK1598" s="392"/>
      <c r="IRL1598" s="393"/>
      <c r="IRM1598" s="392"/>
      <c r="IRN1598" s="393"/>
      <c r="IRO1598" s="392"/>
      <c r="IRP1598" s="393"/>
      <c r="IRQ1598" s="392"/>
      <c r="IRR1598" s="393"/>
      <c r="IRS1598" s="392"/>
      <c r="IRT1598" s="393"/>
      <c r="IRU1598" s="392"/>
      <c r="IRV1598" s="393"/>
      <c r="IRW1598" s="392"/>
      <c r="IRX1598" s="393"/>
      <c r="IRY1598" s="392"/>
      <c r="IRZ1598" s="393"/>
      <c r="ISA1598" s="392"/>
      <c r="ISB1598" s="393"/>
      <c r="ISC1598" s="392"/>
      <c r="ISD1598" s="393"/>
      <c r="ISE1598" s="392"/>
      <c r="ISF1598" s="393"/>
      <c r="ISG1598" s="392"/>
      <c r="ISH1598" s="393"/>
      <c r="ISI1598" s="392"/>
      <c r="ISJ1598" s="393"/>
      <c r="ISK1598" s="392"/>
      <c r="ISL1598" s="393"/>
      <c r="ISM1598" s="392"/>
      <c r="ISN1598" s="393"/>
      <c r="ISO1598" s="392"/>
      <c r="ISP1598" s="393"/>
      <c r="ISQ1598" s="392"/>
      <c r="ISR1598" s="393"/>
      <c r="ISS1598" s="392"/>
      <c r="IST1598" s="393"/>
      <c r="ISU1598" s="392"/>
      <c r="ISV1598" s="393"/>
      <c r="ISW1598" s="392"/>
      <c r="ISX1598" s="393"/>
      <c r="ISY1598" s="392"/>
      <c r="ISZ1598" s="393"/>
      <c r="ITA1598" s="392"/>
      <c r="ITB1598" s="393"/>
      <c r="ITC1598" s="392"/>
      <c r="ITD1598" s="393"/>
      <c r="ITE1598" s="392"/>
      <c r="ITF1598" s="393"/>
      <c r="ITG1598" s="392"/>
      <c r="ITH1598" s="393"/>
      <c r="ITI1598" s="392"/>
      <c r="ITJ1598" s="393"/>
      <c r="ITK1598" s="392"/>
      <c r="ITL1598" s="393"/>
      <c r="ITM1598" s="392"/>
      <c r="ITN1598" s="393"/>
      <c r="ITO1598" s="392"/>
      <c r="ITP1598" s="393"/>
      <c r="ITQ1598" s="392"/>
      <c r="ITR1598" s="393"/>
      <c r="ITS1598" s="392"/>
      <c r="ITT1598" s="393"/>
      <c r="ITU1598" s="392"/>
      <c r="ITV1598" s="393"/>
      <c r="ITW1598" s="392"/>
      <c r="ITX1598" s="393"/>
      <c r="ITY1598" s="392"/>
      <c r="ITZ1598" s="393"/>
      <c r="IUA1598" s="392"/>
      <c r="IUB1598" s="393"/>
      <c r="IUC1598" s="392"/>
      <c r="IUD1598" s="393"/>
      <c r="IUE1598" s="392"/>
      <c r="IUF1598" s="393"/>
      <c r="IUG1598" s="392"/>
      <c r="IUH1598" s="393"/>
      <c r="IUI1598" s="392"/>
      <c r="IUJ1598" s="393"/>
      <c r="IUK1598" s="392"/>
      <c r="IUL1598" s="393"/>
      <c r="IUM1598" s="392"/>
      <c r="IUN1598" s="393"/>
      <c r="IUO1598" s="392"/>
      <c r="IUP1598" s="393"/>
      <c r="IUQ1598" s="392"/>
      <c r="IUR1598" s="393"/>
      <c r="IUS1598" s="392"/>
      <c r="IUT1598" s="393"/>
      <c r="IUU1598" s="392"/>
      <c r="IUV1598" s="393"/>
      <c r="IUW1598" s="392"/>
      <c r="IUX1598" s="393"/>
      <c r="IUY1598" s="392"/>
      <c r="IUZ1598" s="393"/>
      <c r="IVA1598" s="392"/>
      <c r="IVB1598" s="393"/>
      <c r="IVC1598" s="392"/>
      <c r="IVD1598" s="393"/>
      <c r="IVE1598" s="392"/>
      <c r="IVF1598" s="393"/>
      <c r="IVG1598" s="392"/>
      <c r="IVH1598" s="393"/>
      <c r="IVI1598" s="392"/>
      <c r="IVJ1598" s="393"/>
      <c r="IVK1598" s="392"/>
      <c r="IVL1598" s="393"/>
      <c r="IVM1598" s="392"/>
      <c r="IVN1598" s="393"/>
      <c r="IVO1598" s="392"/>
      <c r="IVP1598" s="393"/>
      <c r="IVQ1598" s="392"/>
      <c r="IVR1598" s="393"/>
      <c r="IVS1598" s="392"/>
      <c r="IVT1598" s="393"/>
      <c r="IVU1598" s="392"/>
      <c r="IVV1598" s="393"/>
      <c r="IVW1598" s="392"/>
      <c r="IVX1598" s="393"/>
      <c r="IVY1598" s="392"/>
      <c r="IVZ1598" s="393"/>
      <c r="IWA1598" s="392"/>
      <c r="IWB1598" s="393"/>
      <c r="IWC1598" s="392"/>
      <c r="IWD1598" s="393"/>
      <c r="IWE1598" s="392"/>
      <c r="IWF1598" s="393"/>
      <c r="IWG1598" s="392"/>
      <c r="IWH1598" s="393"/>
      <c r="IWI1598" s="392"/>
      <c r="IWJ1598" s="393"/>
      <c r="IWK1598" s="392"/>
      <c r="IWL1598" s="393"/>
      <c r="IWM1598" s="392"/>
      <c r="IWN1598" s="393"/>
      <c r="IWO1598" s="392"/>
      <c r="IWP1598" s="393"/>
      <c r="IWQ1598" s="392"/>
      <c r="IWR1598" s="393"/>
      <c r="IWS1598" s="392"/>
      <c r="IWT1598" s="393"/>
      <c r="IWU1598" s="392"/>
      <c r="IWV1598" s="393"/>
      <c r="IWW1598" s="392"/>
      <c r="IWX1598" s="393"/>
      <c r="IWY1598" s="392"/>
      <c r="IWZ1598" s="393"/>
      <c r="IXA1598" s="392"/>
      <c r="IXB1598" s="393"/>
      <c r="IXC1598" s="392"/>
      <c r="IXD1598" s="393"/>
      <c r="IXE1598" s="392"/>
      <c r="IXF1598" s="393"/>
      <c r="IXG1598" s="392"/>
      <c r="IXH1598" s="393"/>
      <c r="IXI1598" s="392"/>
      <c r="IXJ1598" s="393"/>
      <c r="IXK1598" s="392"/>
      <c r="IXL1598" s="393"/>
      <c r="IXM1598" s="392"/>
      <c r="IXN1598" s="393"/>
      <c r="IXO1598" s="392"/>
      <c r="IXP1598" s="393"/>
      <c r="IXQ1598" s="392"/>
      <c r="IXR1598" s="393"/>
      <c r="IXS1598" s="392"/>
      <c r="IXT1598" s="393"/>
      <c r="IXU1598" s="392"/>
      <c r="IXV1598" s="393"/>
      <c r="IXW1598" s="392"/>
      <c r="IXX1598" s="393"/>
      <c r="IXY1598" s="392"/>
      <c r="IXZ1598" s="393"/>
      <c r="IYA1598" s="392"/>
      <c r="IYB1598" s="393"/>
      <c r="IYC1598" s="392"/>
      <c r="IYD1598" s="393"/>
      <c r="IYE1598" s="392"/>
      <c r="IYF1598" s="393"/>
      <c r="IYG1598" s="392"/>
      <c r="IYH1598" s="393"/>
      <c r="IYI1598" s="392"/>
      <c r="IYJ1598" s="393"/>
      <c r="IYK1598" s="392"/>
      <c r="IYL1598" s="393"/>
      <c r="IYM1598" s="392"/>
      <c r="IYN1598" s="393"/>
      <c r="IYO1598" s="392"/>
      <c r="IYP1598" s="393"/>
      <c r="IYQ1598" s="392"/>
      <c r="IYR1598" s="393"/>
      <c r="IYS1598" s="392"/>
      <c r="IYT1598" s="393"/>
      <c r="IYU1598" s="392"/>
      <c r="IYV1598" s="393"/>
      <c r="IYW1598" s="392"/>
      <c r="IYX1598" s="393"/>
      <c r="IYY1598" s="392"/>
      <c r="IYZ1598" s="393"/>
      <c r="IZA1598" s="392"/>
      <c r="IZB1598" s="393"/>
      <c r="IZC1598" s="392"/>
      <c r="IZD1598" s="393"/>
      <c r="IZE1598" s="392"/>
      <c r="IZF1598" s="393"/>
      <c r="IZG1598" s="392"/>
      <c r="IZH1598" s="393"/>
      <c r="IZI1598" s="392"/>
      <c r="IZJ1598" s="393"/>
      <c r="IZK1598" s="392"/>
      <c r="IZL1598" s="393"/>
      <c r="IZM1598" s="392"/>
      <c r="IZN1598" s="393"/>
      <c r="IZO1598" s="392"/>
      <c r="IZP1598" s="393"/>
      <c r="IZQ1598" s="392"/>
      <c r="IZR1598" s="393"/>
      <c r="IZS1598" s="392"/>
      <c r="IZT1598" s="393"/>
      <c r="IZU1598" s="392"/>
      <c r="IZV1598" s="393"/>
      <c r="IZW1598" s="392"/>
      <c r="IZX1598" s="393"/>
      <c r="IZY1598" s="392"/>
      <c r="IZZ1598" s="393"/>
      <c r="JAA1598" s="392"/>
      <c r="JAB1598" s="393"/>
      <c r="JAC1598" s="392"/>
      <c r="JAD1598" s="393"/>
      <c r="JAE1598" s="392"/>
      <c r="JAF1598" s="393"/>
      <c r="JAG1598" s="392"/>
      <c r="JAH1598" s="393"/>
      <c r="JAI1598" s="392"/>
      <c r="JAJ1598" s="393"/>
      <c r="JAK1598" s="392"/>
      <c r="JAL1598" s="393"/>
      <c r="JAM1598" s="392"/>
      <c r="JAN1598" s="393"/>
      <c r="JAO1598" s="392"/>
      <c r="JAP1598" s="393"/>
      <c r="JAQ1598" s="392"/>
      <c r="JAR1598" s="393"/>
      <c r="JAS1598" s="392"/>
      <c r="JAT1598" s="393"/>
      <c r="JAU1598" s="392"/>
      <c r="JAV1598" s="393"/>
      <c r="JAW1598" s="392"/>
      <c r="JAX1598" s="393"/>
      <c r="JAY1598" s="392"/>
      <c r="JAZ1598" s="393"/>
      <c r="JBA1598" s="392"/>
      <c r="JBB1598" s="393"/>
      <c r="JBC1598" s="392"/>
      <c r="JBD1598" s="393"/>
      <c r="JBE1598" s="392"/>
      <c r="JBF1598" s="393"/>
      <c r="JBG1598" s="392"/>
      <c r="JBH1598" s="393"/>
      <c r="JBI1598" s="392"/>
      <c r="JBJ1598" s="393"/>
      <c r="JBK1598" s="392"/>
      <c r="JBL1598" s="393"/>
      <c r="JBM1598" s="392"/>
      <c r="JBN1598" s="393"/>
      <c r="JBO1598" s="392"/>
      <c r="JBP1598" s="393"/>
      <c r="JBQ1598" s="392"/>
      <c r="JBR1598" s="393"/>
      <c r="JBS1598" s="392"/>
      <c r="JBT1598" s="393"/>
      <c r="JBU1598" s="392"/>
      <c r="JBV1598" s="393"/>
      <c r="JBW1598" s="392"/>
      <c r="JBX1598" s="393"/>
      <c r="JBY1598" s="392"/>
      <c r="JBZ1598" s="393"/>
      <c r="JCA1598" s="392"/>
      <c r="JCB1598" s="393"/>
      <c r="JCC1598" s="392"/>
      <c r="JCD1598" s="393"/>
      <c r="JCE1598" s="392"/>
      <c r="JCF1598" s="393"/>
      <c r="JCG1598" s="392"/>
      <c r="JCH1598" s="393"/>
      <c r="JCI1598" s="392"/>
      <c r="JCJ1598" s="393"/>
      <c r="JCK1598" s="392"/>
      <c r="JCL1598" s="393"/>
      <c r="JCM1598" s="392"/>
      <c r="JCN1598" s="393"/>
      <c r="JCO1598" s="392"/>
      <c r="JCP1598" s="393"/>
      <c r="JCQ1598" s="392"/>
      <c r="JCR1598" s="393"/>
      <c r="JCS1598" s="392"/>
      <c r="JCT1598" s="393"/>
      <c r="JCU1598" s="392"/>
      <c r="JCV1598" s="393"/>
      <c r="JCW1598" s="392"/>
      <c r="JCX1598" s="393"/>
      <c r="JCY1598" s="392"/>
      <c r="JCZ1598" s="393"/>
      <c r="JDA1598" s="392"/>
      <c r="JDB1598" s="393"/>
      <c r="JDC1598" s="392"/>
      <c r="JDD1598" s="393"/>
      <c r="JDE1598" s="392"/>
      <c r="JDF1598" s="393"/>
      <c r="JDG1598" s="392"/>
      <c r="JDH1598" s="393"/>
      <c r="JDI1598" s="392"/>
      <c r="JDJ1598" s="393"/>
      <c r="JDK1598" s="392"/>
      <c r="JDL1598" s="393"/>
      <c r="JDM1598" s="392"/>
      <c r="JDN1598" s="393"/>
      <c r="JDO1598" s="392"/>
      <c r="JDP1598" s="393"/>
      <c r="JDQ1598" s="392"/>
      <c r="JDR1598" s="393"/>
      <c r="JDS1598" s="392"/>
      <c r="JDT1598" s="393"/>
      <c r="JDU1598" s="392"/>
      <c r="JDV1598" s="393"/>
      <c r="JDW1598" s="392"/>
      <c r="JDX1598" s="393"/>
      <c r="JDY1598" s="392"/>
      <c r="JDZ1598" s="393"/>
      <c r="JEA1598" s="392"/>
      <c r="JEB1598" s="393"/>
      <c r="JEC1598" s="392"/>
      <c r="JED1598" s="393"/>
      <c r="JEE1598" s="392"/>
      <c r="JEF1598" s="393"/>
      <c r="JEG1598" s="392"/>
      <c r="JEH1598" s="393"/>
      <c r="JEI1598" s="392"/>
      <c r="JEJ1598" s="393"/>
      <c r="JEK1598" s="392"/>
      <c r="JEL1598" s="393"/>
      <c r="JEM1598" s="392"/>
      <c r="JEN1598" s="393"/>
      <c r="JEO1598" s="392"/>
      <c r="JEP1598" s="393"/>
      <c r="JEQ1598" s="392"/>
      <c r="JER1598" s="393"/>
      <c r="JES1598" s="392"/>
      <c r="JET1598" s="393"/>
      <c r="JEU1598" s="392"/>
      <c r="JEV1598" s="393"/>
      <c r="JEW1598" s="392"/>
      <c r="JEX1598" s="393"/>
      <c r="JEY1598" s="392"/>
      <c r="JEZ1598" s="393"/>
      <c r="JFA1598" s="392"/>
      <c r="JFB1598" s="393"/>
      <c r="JFC1598" s="392"/>
      <c r="JFD1598" s="393"/>
      <c r="JFE1598" s="392"/>
      <c r="JFF1598" s="393"/>
      <c r="JFG1598" s="392"/>
      <c r="JFH1598" s="393"/>
      <c r="JFI1598" s="392"/>
      <c r="JFJ1598" s="393"/>
      <c r="JFK1598" s="392"/>
      <c r="JFL1598" s="393"/>
      <c r="JFM1598" s="392"/>
      <c r="JFN1598" s="393"/>
      <c r="JFO1598" s="392"/>
      <c r="JFP1598" s="393"/>
      <c r="JFQ1598" s="392"/>
      <c r="JFR1598" s="393"/>
      <c r="JFS1598" s="392"/>
      <c r="JFT1598" s="393"/>
      <c r="JFU1598" s="392"/>
      <c r="JFV1598" s="393"/>
      <c r="JFW1598" s="392"/>
      <c r="JFX1598" s="393"/>
      <c r="JFY1598" s="392"/>
      <c r="JFZ1598" s="393"/>
      <c r="JGA1598" s="392"/>
      <c r="JGB1598" s="393"/>
      <c r="JGC1598" s="392"/>
      <c r="JGD1598" s="393"/>
      <c r="JGE1598" s="392"/>
      <c r="JGF1598" s="393"/>
      <c r="JGG1598" s="392"/>
      <c r="JGH1598" s="393"/>
      <c r="JGI1598" s="392"/>
      <c r="JGJ1598" s="393"/>
      <c r="JGK1598" s="392"/>
      <c r="JGL1598" s="393"/>
      <c r="JGM1598" s="392"/>
      <c r="JGN1598" s="393"/>
      <c r="JGO1598" s="392"/>
      <c r="JGP1598" s="393"/>
      <c r="JGQ1598" s="392"/>
      <c r="JGR1598" s="393"/>
      <c r="JGS1598" s="392"/>
      <c r="JGT1598" s="393"/>
      <c r="JGU1598" s="392"/>
      <c r="JGV1598" s="393"/>
      <c r="JGW1598" s="392"/>
      <c r="JGX1598" s="393"/>
      <c r="JGY1598" s="392"/>
      <c r="JGZ1598" s="393"/>
      <c r="JHA1598" s="392"/>
      <c r="JHB1598" s="393"/>
      <c r="JHC1598" s="392"/>
      <c r="JHD1598" s="393"/>
      <c r="JHE1598" s="392"/>
      <c r="JHF1598" s="393"/>
      <c r="JHG1598" s="392"/>
      <c r="JHH1598" s="393"/>
      <c r="JHI1598" s="392"/>
      <c r="JHJ1598" s="393"/>
      <c r="JHK1598" s="392"/>
      <c r="JHL1598" s="393"/>
      <c r="JHM1598" s="392"/>
      <c r="JHN1598" s="393"/>
      <c r="JHO1598" s="392"/>
      <c r="JHP1598" s="393"/>
      <c r="JHQ1598" s="392"/>
      <c r="JHR1598" s="393"/>
      <c r="JHS1598" s="392"/>
      <c r="JHT1598" s="393"/>
      <c r="JHU1598" s="392"/>
      <c r="JHV1598" s="393"/>
      <c r="JHW1598" s="392"/>
      <c r="JHX1598" s="393"/>
      <c r="JHY1598" s="392"/>
      <c r="JHZ1598" s="393"/>
      <c r="JIA1598" s="392"/>
      <c r="JIB1598" s="393"/>
      <c r="JIC1598" s="392"/>
      <c r="JID1598" s="393"/>
      <c r="JIE1598" s="392"/>
      <c r="JIF1598" s="393"/>
      <c r="JIG1598" s="392"/>
      <c r="JIH1598" s="393"/>
      <c r="JII1598" s="392"/>
      <c r="JIJ1598" s="393"/>
      <c r="JIK1598" s="392"/>
      <c r="JIL1598" s="393"/>
      <c r="JIM1598" s="392"/>
      <c r="JIN1598" s="393"/>
      <c r="JIO1598" s="392"/>
      <c r="JIP1598" s="393"/>
      <c r="JIQ1598" s="392"/>
      <c r="JIR1598" s="393"/>
      <c r="JIS1598" s="392"/>
      <c r="JIT1598" s="393"/>
      <c r="JIU1598" s="392"/>
      <c r="JIV1598" s="393"/>
      <c r="JIW1598" s="392"/>
      <c r="JIX1598" s="393"/>
      <c r="JIY1598" s="392"/>
      <c r="JIZ1598" s="393"/>
      <c r="JJA1598" s="392"/>
      <c r="JJB1598" s="393"/>
      <c r="JJC1598" s="392"/>
      <c r="JJD1598" s="393"/>
      <c r="JJE1598" s="392"/>
      <c r="JJF1598" s="393"/>
      <c r="JJG1598" s="392"/>
      <c r="JJH1598" s="393"/>
      <c r="JJI1598" s="392"/>
      <c r="JJJ1598" s="393"/>
      <c r="JJK1598" s="392"/>
      <c r="JJL1598" s="393"/>
      <c r="JJM1598" s="392"/>
      <c r="JJN1598" s="393"/>
      <c r="JJO1598" s="392"/>
      <c r="JJP1598" s="393"/>
      <c r="JJQ1598" s="392"/>
      <c r="JJR1598" s="393"/>
      <c r="JJS1598" s="392"/>
      <c r="JJT1598" s="393"/>
      <c r="JJU1598" s="392"/>
      <c r="JJV1598" s="393"/>
      <c r="JJW1598" s="392"/>
      <c r="JJX1598" s="393"/>
      <c r="JJY1598" s="392"/>
      <c r="JJZ1598" s="393"/>
      <c r="JKA1598" s="392"/>
      <c r="JKB1598" s="393"/>
      <c r="JKC1598" s="392"/>
      <c r="JKD1598" s="393"/>
      <c r="JKE1598" s="392"/>
      <c r="JKF1598" s="393"/>
      <c r="JKG1598" s="392"/>
      <c r="JKH1598" s="393"/>
      <c r="JKI1598" s="392"/>
      <c r="JKJ1598" s="393"/>
      <c r="JKK1598" s="392"/>
      <c r="JKL1598" s="393"/>
      <c r="JKM1598" s="392"/>
      <c r="JKN1598" s="393"/>
      <c r="JKO1598" s="392"/>
      <c r="JKP1598" s="393"/>
      <c r="JKQ1598" s="392"/>
      <c r="JKR1598" s="393"/>
      <c r="JKS1598" s="392"/>
      <c r="JKT1598" s="393"/>
      <c r="JKU1598" s="392"/>
      <c r="JKV1598" s="393"/>
      <c r="JKW1598" s="392"/>
      <c r="JKX1598" s="393"/>
      <c r="JKY1598" s="392"/>
      <c r="JKZ1598" s="393"/>
      <c r="JLA1598" s="392"/>
      <c r="JLB1598" s="393"/>
      <c r="JLC1598" s="392"/>
      <c r="JLD1598" s="393"/>
      <c r="JLE1598" s="392"/>
      <c r="JLF1598" s="393"/>
      <c r="JLG1598" s="392"/>
      <c r="JLH1598" s="393"/>
      <c r="JLI1598" s="392"/>
      <c r="JLJ1598" s="393"/>
      <c r="JLK1598" s="392"/>
      <c r="JLL1598" s="393"/>
      <c r="JLM1598" s="392"/>
      <c r="JLN1598" s="393"/>
      <c r="JLO1598" s="392"/>
      <c r="JLP1598" s="393"/>
      <c r="JLQ1598" s="392"/>
      <c r="JLR1598" s="393"/>
      <c r="JLS1598" s="392"/>
      <c r="JLT1598" s="393"/>
      <c r="JLU1598" s="392"/>
      <c r="JLV1598" s="393"/>
      <c r="JLW1598" s="392"/>
      <c r="JLX1598" s="393"/>
      <c r="JLY1598" s="392"/>
      <c r="JLZ1598" s="393"/>
      <c r="JMA1598" s="392"/>
      <c r="JMB1598" s="393"/>
      <c r="JMC1598" s="392"/>
      <c r="JMD1598" s="393"/>
      <c r="JME1598" s="392"/>
      <c r="JMF1598" s="393"/>
      <c r="JMG1598" s="392"/>
      <c r="JMH1598" s="393"/>
      <c r="JMI1598" s="392"/>
      <c r="JMJ1598" s="393"/>
      <c r="JMK1598" s="392"/>
      <c r="JML1598" s="393"/>
      <c r="JMM1598" s="392"/>
      <c r="JMN1598" s="393"/>
      <c r="JMO1598" s="392"/>
      <c r="JMP1598" s="393"/>
      <c r="JMQ1598" s="392"/>
      <c r="JMR1598" s="393"/>
      <c r="JMS1598" s="392"/>
      <c r="JMT1598" s="393"/>
      <c r="JMU1598" s="392"/>
      <c r="JMV1598" s="393"/>
      <c r="JMW1598" s="392"/>
      <c r="JMX1598" s="393"/>
      <c r="JMY1598" s="392"/>
      <c r="JMZ1598" s="393"/>
      <c r="JNA1598" s="392"/>
      <c r="JNB1598" s="393"/>
      <c r="JNC1598" s="392"/>
      <c r="JND1598" s="393"/>
      <c r="JNE1598" s="392"/>
      <c r="JNF1598" s="393"/>
      <c r="JNG1598" s="392"/>
      <c r="JNH1598" s="393"/>
      <c r="JNI1598" s="392"/>
      <c r="JNJ1598" s="393"/>
      <c r="JNK1598" s="392"/>
      <c r="JNL1598" s="393"/>
      <c r="JNM1598" s="392"/>
      <c r="JNN1598" s="393"/>
      <c r="JNO1598" s="392"/>
      <c r="JNP1598" s="393"/>
      <c r="JNQ1598" s="392"/>
      <c r="JNR1598" s="393"/>
      <c r="JNS1598" s="392"/>
      <c r="JNT1598" s="393"/>
      <c r="JNU1598" s="392"/>
      <c r="JNV1598" s="393"/>
      <c r="JNW1598" s="392"/>
      <c r="JNX1598" s="393"/>
      <c r="JNY1598" s="392"/>
      <c r="JNZ1598" s="393"/>
      <c r="JOA1598" s="392"/>
      <c r="JOB1598" s="393"/>
      <c r="JOC1598" s="392"/>
      <c r="JOD1598" s="393"/>
      <c r="JOE1598" s="392"/>
      <c r="JOF1598" s="393"/>
      <c r="JOG1598" s="392"/>
      <c r="JOH1598" s="393"/>
      <c r="JOI1598" s="392"/>
      <c r="JOJ1598" s="393"/>
      <c r="JOK1598" s="392"/>
      <c r="JOL1598" s="393"/>
      <c r="JOM1598" s="392"/>
      <c r="JON1598" s="393"/>
      <c r="JOO1598" s="392"/>
      <c r="JOP1598" s="393"/>
      <c r="JOQ1598" s="392"/>
      <c r="JOR1598" s="393"/>
      <c r="JOS1598" s="392"/>
      <c r="JOT1598" s="393"/>
      <c r="JOU1598" s="392"/>
      <c r="JOV1598" s="393"/>
      <c r="JOW1598" s="392"/>
      <c r="JOX1598" s="393"/>
      <c r="JOY1598" s="392"/>
      <c r="JOZ1598" s="393"/>
      <c r="JPA1598" s="392"/>
      <c r="JPB1598" s="393"/>
      <c r="JPC1598" s="392"/>
      <c r="JPD1598" s="393"/>
      <c r="JPE1598" s="392"/>
      <c r="JPF1598" s="393"/>
      <c r="JPG1598" s="392"/>
      <c r="JPH1598" s="393"/>
      <c r="JPI1598" s="392"/>
      <c r="JPJ1598" s="393"/>
      <c r="JPK1598" s="392"/>
      <c r="JPL1598" s="393"/>
      <c r="JPM1598" s="392"/>
      <c r="JPN1598" s="393"/>
      <c r="JPO1598" s="392"/>
      <c r="JPP1598" s="393"/>
      <c r="JPQ1598" s="392"/>
      <c r="JPR1598" s="393"/>
      <c r="JPS1598" s="392"/>
      <c r="JPT1598" s="393"/>
      <c r="JPU1598" s="392"/>
      <c r="JPV1598" s="393"/>
      <c r="JPW1598" s="392"/>
      <c r="JPX1598" s="393"/>
      <c r="JPY1598" s="392"/>
      <c r="JPZ1598" s="393"/>
      <c r="JQA1598" s="392"/>
      <c r="JQB1598" s="393"/>
      <c r="JQC1598" s="392"/>
      <c r="JQD1598" s="393"/>
      <c r="JQE1598" s="392"/>
      <c r="JQF1598" s="393"/>
      <c r="JQG1598" s="392"/>
      <c r="JQH1598" s="393"/>
      <c r="JQI1598" s="392"/>
      <c r="JQJ1598" s="393"/>
      <c r="JQK1598" s="392"/>
      <c r="JQL1598" s="393"/>
      <c r="JQM1598" s="392"/>
      <c r="JQN1598" s="393"/>
      <c r="JQO1598" s="392"/>
      <c r="JQP1598" s="393"/>
      <c r="JQQ1598" s="392"/>
      <c r="JQR1598" s="393"/>
      <c r="JQS1598" s="392"/>
      <c r="JQT1598" s="393"/>
      <c r="JQU1598" s="392"/>
      <c r="JQV1598" s="393"/>
      <c r="JQW1598" s="392"/>
      <c r="JQX1598" s="393"/>
      <c r="JQY1598" s="392"/>
      <c r="JQZ1598" s="393"/>
      <c r="JRA1598" s="392"/>
      <c r="JRB1598" s="393"/>
      <c r="JRC1598" s="392"/>
      <c r="JRD1598" s="393"/>
      <c r="JRE1598" s="392"/>
      <c r="JRF1598" s="393"/>
      <c r="JRG1598" s="392"/>
      <c r="JRH1598" s="393"/>
      <c r="JRI1598" s="392"/>
      <c r="JRJ1598" s="393"/>
      <c r="JRK1598" s="392"/>
      <c r="JRL1598" s="393"/>
      <c r="JRM1598" s="392"/>
      <c r="JRN1598" s="393"/>
      <c r="JRO1598" s="392"/>
      <c r="JRP1598" s="393"/>
      <c r="JRQ1598" s="392"/>
      <c r="JRR1598" s="393"/>
      <c r="JRS1598" s="392"/>
      <c r="JRT1598" s="393"/>
      <c r="JRU1598" s="392"/>
      <c r="JRV1598" s="393"/>
      <c r="JRW1598" s="392"/>
      <c r="JRX1598" s="393"/>
      <c r="JRY1598" s="392"/>
      <c r="JRZ1598" s="393"/>
      <c r="JSA1598" s="392"/>
      <c r="JSB1598" s="393"/>
      <c r="JSC1598" s="392"/>
      <c r="JSD1598" s="393"/>
      <c r="JSE1598" s="392"/>
      <c r="JSF1598" s="393"/>
      <c r="JSG1598" s="392"/>
      <c r="JSH1598" s="393"/>
      <c r="JSI1598" s="392"/>
      <c r="JSJ1598" s="393"/>
      <c r="JSK1598" s="392"/>
      <c r="JSL1598" s="393"/>
      <c r="JSM1598" s="392"/>
      <c r="JSN1598" s="393"/>
      <c r="JSO1598" s="392"/>
      <c r="JSP1598" s="393"/>
      <c r="JSQ1598" s="392"/>
      <c r="JSR1598" s="393"/>
      <c r="JSS1598" s="392"/>
      <c r="JST1598" s="393"/>
      <c r="JSU1598" s="392"/>
      <c r="JSV1598" s="393"/>
      <c r="JSW1598" s="392"/>
      <c r="JSX1598" s="393"/>
      <c r="JSY1598" s="392"/>
      <c r="JSZ1598" s="393"/>
      <c r="JTA1598" s="392"/>
      <c r="JTB1598" s="393"/>
      <c r="JTC1598" s="392"/>
      <c r="JTD1598" s="393"/>
      <c r="JTE1598" s="392"/>
      <c r="JTF1598" s="393"/>
      <c r="JTG1598" s="392"/>
      <c r="JTH1598" s="393"/>
      <c r="JTI1598" s="392"/>
      <c r="JTJ1598" s="393"/>
      <c r="JTK1598" s="392"/>
      <c r="JTL1598" s="393"/>
      <c r="JTM1598" s="392"/>
      <c r="JTN1598" s="393"/>
      <c r="JTO1598" s="392"/>
      <c r="JTP1598" s="393"/>
      <c r="JTQ1598" s="392"/>
      <c r="JTR1598" s="393"/>
      <c r="JTS1598" s="392"/>
      <c r="JTT1598" s="393"/>
      <c r="JTU1598" s="392"/>
      <c r="JTV1598" s="393"/>
      <c r="JTW1598" s="392"/>
      <c r="JTX1598" s="393"/>
      <c r="JTY1598" s="392"/>
      <c r="JTZ1598" s="393"/>
      <c r="JUA1598" s="392"/>
      <c r="JUB1598" s="393"/>
      <c r="JUC1598" s="392"/>
      <c r="JUD1598" s="393"/>
      <c r="JUE1598" s="392"/>
      <c r="JUF1598" s="393"/>
      <c r="JUG1598" s="392"/>
      <c r="JUH1598" s="393"/>
      <c r="JUI1598" s="392"/>
      <c r="JUJ1598" s="393"/>
      <c r="JUK1598" s="392"/>
      <c r="JUL1598" s="393"/>
      <c r="JUM1598" s="392"/>
      <c r="JUN1598" s="393"/>
      <c r="JUO1598" s="392"/>
      <c r="JUP1598" s="393"/>
      <c r="JUQ1598" s="392"/>
      <c r="JUR1598" s="393"/>
      <c r="JUS1598" s="392"/>
      <c r="JUT1598" s="393"/>
      <c r="JUU1598" s="392"/>
      <c r="JUV1598" s="393"/>
      <c r="JUW1598" s="392"/>
      <c r="JUX1598" s="393"/>
      <c r="JUY1598" s="392"/>
      <c r="JUZ1598" s="393"/>
      <c r="JVA1598" s="392"/>
      <c r="JVB1598" s="393"/>
      <c r="JVC1598" s="392"/>
      <c r="JVD1598" s="393"/>
      <c r="JVE1598" s="392"/>
      <c r="JVF1598" s="393"/>
      <c r="JVG1598" s="392"/>
      <c r="JVH1598" s="393"/>
      <c r="JVI1598" s="392"/>
      <c r="JVJ1598" s="393"/>
      <c r="JVK1598" s="392"/>
      <c r="JVL1598" s="393"/>
      <c r="JVM1598" s="392"/>
      <c r="JVN1598" s="393"/>
      <c r="JVO1598" s="392"/>
      <c r="JVP1598" s="393"/>
      <c r="JVQ1598" s="392"/>
      <c r="JVR1598" s="393"/>
      <c r="JVS1598" s="392"/>
      <c r="JVT1598" s="393"/>
      <c r="JVU1598" s="392"/>
      <c r="JVV1598" s="393"/>
      <c r="JVW1598" s="392"/>
      <c r="JVX1598" s="393"/>
      <c r="JVY1598" s="392"/>
      <c r="JVZ1598" s="393"/>
      <c r="JWA1598" s="392"/>
      <c r="JWB1598" s="393"/>
      <c r="JWC1598" s="392"/>
      <c r="JWD1598" s="393"/>
      <c r="JWE1598" s="392"/>
      <c r="JWF1598" s="393"/>
      <c r="JWG1598" s="392"/>
      <c r="JWH1598" s="393"/>
      <c r="JWI1598" s="392"/>
      <c r="JWJ1598" s="393"/>
      <c r="JWK1598" s="392"/>
      <c r="JWL1598" s="393"/>
      <c r="JWM1598" s="392"/>
      <c r="JWN1598" s="393"/>
      <c r="JWO1598" s="392"/>
      <c r="JWP1598" s="393"/>
      <c r="JWQ1598" s="392"/>
      <c r="JWR1598" s="393"/>
      <c r="JWS1598" s="392"/>
      <c r="JWT1598" s="393"/>
      <c r="JWU1598" s="392"/>
      <c r="JWV1598" s="393"/>
      <c r="JWW1598" s="392"/>
      <c r="JWX1598" s="393"/>
      <c r="JWY1598" s="392"/>
      <c r="JWZ1598" s="393"/>
      <c r="JXA1598" s="392"/>
      <c r="JXB1598" s="393"/>
      <c r="JXC1598" s="392"/>
      <c r="JXD1598" s="393"/>
      <c r="JXE1598" s="392"/>
      <c r="JXF1598" s="393"/>
      <c r="JXG1598" s="392"/>
      <c r="JXH1598" s="393"/>
      <c r="JXI1598" s="392"/>
      <c r="JXJ1598" s="393"/>
      <c r="JXK1598" s="392"/>
      <c r="JXL1598" s="393"/>
      <c r="JXM1598" s="392"/>
      <c r="JXN1598" s="393"/>
      <c r="JXO1598" s="392"/>
      <c r="JXP1598" s="393"/>
      <c r="JXQ1598" s="392"/>
      <c r="JXR1598" s="393"/>
      <c r="JXS1598" s="392"/>
      <c r="JXT1598" s="393"/>
      <c r="JXU1598" s="392"/>
      <c r="JXV1598" s="393"/>
      <c r="JXW1598" s="392"/>
      <c r="JXX1598" s="393"/>
      <c r="JXY1598" s="392"/>
      <c r="JXZ1598" s="393"/>
      <c r="JYA1598" s="392"/>
      <c r="JYB1598" s="393"/>
      <c r="JYC1598" s="392"/>
      <c r="JYD1598" s="393"/>
      <c r="JYE1598" s="392"/>
      <c r="JYF1598" s="393"/>
      <c r="JYG1598" s="392"/>
      <c r="JYH1598" s="393"/>
      <c r="JYI1598" s="392"/>
      <c r="JYJ1598" s="393"/>
      <c r="JYK1598" s="392"/>
      <c r="JYL1598" s="393"/>
      <c r="JYM1598" s="392"/>
      <c r="JYN1598" s="393"/>
      <c r="JYO1598" s="392"/>
      <c r="JYP1598" s="393"/>
      <c r="JYQ1598" s="392"/>
      <c r="JYR1598" s="393"/>
      <c r="JYS1598" s="392"/>
      <c r="JYT1598" s="393"/>
      <c r="JYU1598" s="392"/>
      <c r="JYV1598" s="393"/>
      <c r="JYW1598" s="392"/>
      <c r="JYX1598" s="393"/>
      <c r="JYY1598" s="392"/>
      <c r="JYZ1598" s="393"/>
      <c r="JZA1598" s="392"/>
      <c r="JZB1598" s="393"/>
      <c r="JZC1598" s="392"/>
      <c r="JZD1598" s="393"/>
      <c r="JZE1598" s="392"/>
      <c r="JZF1598" s="393"/>
      <c r="JZG1598" s="392"/>
      <c r="JZH1598" s="393"/>
      <c r="JZI1598" s="392"/>
      <c r="JZJ1598" s="393"/>
      <c r="JZK1598" s="392"/>
      <c r="JZL1598" s="393"/>
      <c r="JZM1598" s="392"/>
      <c r="JZN1598" s="393"/>
      <c r="JZO1598" s="392"/>
      <c r="JZP1598" s="393"/>
      <c r="JZQ1598" s="392"/>
      <c r="JZR1598" s="393"/>
      <c r="JZS1598" s="392"/>
      <c r="JZT1598" s="393"/>
      <c r="JZU1598" s="392"/>
      <c r="JZV1598" s="393"/>
      <c r="JZW1598" s="392"/>
      <c r="JZX1598" s="393"/>
      <c r="JZY1598" s="392"/>
      <c r="JZZ1598" s="393"/>
      <c r="KAA1598" s="392"/>
      <c r="KAB1598" s="393"/>
      <c r="KAC1598" s="392"/>
      <c r="KAD1598" s="393"/>
      <c r="KAE1598" s="392"/>
      <c r="KAF1598" s="393"/>
      <c r="KAG1598" s="392"/>
      <c r="KAH1598" s="393"/>
      <c r="KAI1598" s="392"/>
      <c r="KAJ1598" s="393"/>
      <c r="KAK1598" s="392"/>
      <c r="KAL1598" s="393"/>
      <c r="KAM1598" s="392"/>
      <c r="KAN1598" s="393"/>
      <c r="KAO1598" s="392"/>
      <c r="KAP1598" s="393"/>
      <c r="KAQ1598" s="392"/>
      <c r="KAR1598" s="393"/>
      <c r="KAS1598" s="392"/>
      <c r="KAT1598" s="393"/>
      <c r="KAU1598" s="392"/>
      <c r="KAV1598" s="393"/>
      <c r="KAW1598" s="392"/>
      <c r="KAX1598" s="393"/>
      <c r="KAY1598" s="392"/>
      <c r="KAZ1598" s="393"/>
      <c r="KBA1598" s="392"/>
      <c r="KBB1598" s="393"/>
      <c r="KBC1598" s="392"/>
      <c r="KBD1598" s="393"/>
      <c r="KBE1598" s="392"/>
      <c r="KBF1598" s="393"/>
      <c r="KBG1598" s="392"/>
      <c r="KBH1598" s="393"/>
      <c r="KBI1598" s="392"/>
      <c r="KBJ1598" s="393"/>
      <c r="KBK1598" s="392"/>
      <c r="KBL1598" s="393"/>
      <c r="KBM1598" s="392"/>
      <c r="KBN1598" s="393"/>
      <c r="KBO1598" s="392"/>
      <c r="KBP1598" s="393"/>
      <c r="KBQ1598" s="392"/>
      <c r="KBR1598" s="393"/>
      <c r="KBS1598" s="392"/>
      <c r="KBT1598" s="393"/>
      <c r="KBU1598" s="392"/>
      <c r="KBV1598" s="393"/>
      <c r="KBW1598" s="392"/>
      <c r="KBX1598" s="393"/>
      <c r="KBY1598" s="392"/>
      <c r="KBZ1598" s="393"/>
      <c r="KCA1598" s="392"/>
      <c r="KCB1598" s="393"/>
      <c r="KCC1598" s="392"/>
      <c r="KCD1598" s="393"/>
      <c r="KCE1598" s="392"/>
      <c r="KCF1598" s="393"/>
      <c r="KCG1598" s="392"/>
      <c r="KCH1598" s="393"/>
      <c r="KCI1598" s="392"/>
      <c r="KCJ1598" s="393"/>
      <c r="KCK1598" s="392"/>
      <c r="KCL1598" s="393"/>
      <c r="KCM1598" s="392"/>
      <c r="KCN1598" s="393"/>
      <c r="KCO1598" s="392"/>
      <c r="KCP1598" s="393"/>
      <c r="KCQ1598" s="392"/>
      <c r="KCR1598" s="393"/>
      <c r="KCS1598" s="392"/>
      <c r="KCT1598" s="393"/>
      <c r="KCU1598" s="392"/>
      <c r="KCV1598" s="393"/>
      <c r="KCW1598" s="392"/>
      <c r="KCX1598" s="393"/>
      <c r="KCY1598" s="392"/>
      <c r="KCZ1598" s="393"/>
      <c r="KDA1598" s="392"/>
      <c r="KDB1598" s="393"/>
      <c r="KDC1598" s="392"/>
      <c r="KDD1598" s="393"/>
      <c r="KDE1598" s="392"/>
      <c r="KDF1598" s="393"/>
      <c r="KDG1598" s="392"/>
      <c r="KDH1598" s="393"/>
      <c r="KDI1598" s="392"/>
      <c r="KDJ1598" s="393"/>
      <c r="KDK1598" s="392"/>
      <c r="KDL1598" s="393"/>
      <c r="KDM1598" s="392"/>
      <c r="KDN1598" s="393"/>
      <c r="KDO1598" s="392"/>
      <c r="KDP1598" s="393"/>
      <c r="KDQ1598" s="392"/>
      <c r="KDR1598" s="393"/>
      <c r="KDS1598" s="392"/>
      <c r="KDT1598" s="393"/>
      <c r="KDU1598" s="392"/>
      <c r="KDV1598" s="393"/>
      <c r="KDW1598" s="392"/>
      <c r="KDX1598" s="393"/>
      <c r="KDY1598" s="392"/>
      <c r="KDZ1598" s="393"/>
      <c r="KEA1598" s="392"/>
      <c r="KEB1598" s="393"/>
      <c r="KEC1598" s="392"/>
      <c r="KED1598" s="393"/>
      <c r="KEE1598" s="392"/>
      <c r="KEF1598" s="393"/>
      <c r="KEG1598" s="392"/>
      <c r="KEH1598" s="393"/>
      <c r="KEI1598" s="392"/>
      <c r="KEJ1598" s="393"/>
      <c r="KEK1598" s="392"/>
      <c r="KEL1598" s="393"/>
      <c r="KEM1598" s="392"/>
      <c r="KEN1598" s="393"/>
      <c r="KEO1598" s="392"/>
      <c r="KEP1598" s="393"/>
      <c r="KEQ1598" s="392"/>
      <c r="KER1598" s="393"/>
      <c r="KES1598" s="392"/>
      <c r="KET1598" s="393"/>
      <c r="KEU1598" s="392"/>
      <c r="KEV1598" s="393"/>
      <c r="KEW1598" s="392"/>
      <c r="KEX1598" s="393"/>
      <c r="KEY1598" s="392"/>
      <c r="KEZ1598" s="393"/>
      <c r="KFA1598" s="392"/>
      <c r="KFB1598" s="393"/>
      <c r="KFC1598" s="392"/>
      <c r="KFD1598" s="393"/>
      <c r="KFE1598" s="392"/>
      <c r="KFF1598" s="393"/>
      <c r="KFG1598" s="392"/>
      <c r="KFH1598" s="393"/>
      <c r="KFI1598" s="392"/>
      <c r="KFJ1598" s="393"/>
      <c r="KFK1598" s="392"/>
      <c r="KFL1598" s="393"/>
      <c r="KFM1598" s="392"/>
      <c r="KFN1598" s="393"/>
      <c r="KFO1598" s="392"/>
      <c r="KFP1598" s="393"/>
      <c r="KFQ1598" s="392"/>
      <c r="KFR1598" s="393"/>
      <c r="KFS1598" s="392"/>
      <c r="KFT1598" s="393"/>
      <c r="KFU1598" s="392"/>
      <c r="KFV1598" s="393"/>
      <c r="KFW1598" s="392"/>
      <c r="KFX1598" s="393"/>
      <c r="KFY1598" s="392"/>
      <c r="KFZ1598" s="393"/>
      <c r="KGA1598" s="392"/>
      <c r="KGB1598" s="393"/>
      <c r="KGC1598" s="392"/>
      <c r="KGD1598" s="393"/>
      <c r="KGE1598" s="392"/>
      <c r="KGF1598" s="393"/>
      <c r="KGG1598" s="392"/>
      <c r="KGH1598" s="393"/>
      <c r="KGI1598" s="392"/>
      <c r="KGJ1598" s="393"/>
      <c r="KGK1598" s="392"/>
      <c r="KGL1598" s="393"/>
      <c r="KGM1598" s="392"/>
      <c r="KGN1598" s="393"/>
      <c r="KGO1598" s="392"/>
      <c r="KGP1598" s="393"/>
      <c r="KGQ1598" s="392"/>
      <c r="KGR1598" s="393"/>
      <c r="KGS1598" s="392"/>
      <c r="KGT1598" s="393"/>
      <c r="KGU1598" s="392"/>
      <c r="KGV1598" s="393"/>
      <c r="KGW1598" s="392"/>
      <c r="KGX1598" s="393"/>
      <c r="KGY1598" s="392"/>
      <c r="KGZ1598" s="393"/>
      <c r="KHA1598" s="392"/>
      <c r="KHB1598" s="393"/>
      <c r="KHC1598" s="392"/>
      <c r="KHD1598" s="393"/>
      <c r="KHE1598" s="392"/>
      <c r="KHF1598" s="393"/>
      <c r="KHG1598" s="392"/>
      <c r="KHH1598" s="393"/>
      <c r="KHI1598" s="392"/>
      <c r="KHJ1598" s="393"/>
      <c r="KHK1598" s="392"/>
      <c r="KHL1598" s="393"/>
      <c r="KHM1598" s="392"/>
      <c r="KHN1598" s="393"/>
      <c r="KHO1598" s="392"/>
      <c r="KHP1598" s="393"/>
      <c r="KHQ1598" s="392"/>
      <c r="KHR1598" s="393"/>
      <c r="KHS1598" s="392"/>
      <c r="KHT1598" s="393"/>
      <c r="KHU1598" s="392"/>
      <c r="KHV1598" s="393"/>
      <c r="KHW1598" s="392"/>
      <c r="KHX1598" s="393"/>
      <c r="KHY1598" s="392"/>
      <c r="KHZ1598" s="393"/>
      <c r="KIA1598" s="392"/>
      <c r="KIB1598" s="393"/>
      <c r="KIC1598" s="392"/>
      <c r="KID1598" s="393"/>
      <c r="KIE1598" s="392"/>
      <c r="KIF1598" s="393"/>
      <c r="KIG1598" s="392"/>
      <c r="KIH1598" s="393"/>
      <c r="KII1598" s="392"/>
      <c r="KIJ1598" s="393"/>
      <c r="KIK1598" s="392"/>
      <c r="KIL1598" s="393"/>
      <c r="KIM1598" s="392"/>
      <c r="KIN1598" s="393"/>
      <c r="KIO1598" s="392"/>
      <c r="KIP1598" s="393"/>
      <c r="KIQ1598" s="392"/>
      <c r="KIR1598" s="393"/>
      <c r="KIS1598" s="392"/>
      <c r="KIT1598" s="393"/>
      <c r="KIU1598" s="392"/>
      <c r="KIV1598" s="393"/>
      <c r="KIW1598" s="392"/>
      <c r="KIX1598" s="393"/>
      <c r="KIY1598" s="392"/>
      <c r="KIZ1598" s="393"/>
      <c r="KJA1598" s="392"/>
      <c r="KJB1598" s="393"/>
      <c r="KJC1598" s="392"/>
      <c r="KJD1598" s="393"/>
      <c r="KJE1598" s="392"/>
      <c r="KJF1598" s="393"/>
      <c r="KJG1598" s="392"/>
      <c r="KJH1598" s="393"/>
      <c r="KJI1598" s="392"/>
      <c r="KJJ1598" s="393"/>
      <c r="KJK1598" s="392"/>
      <c r="KJL1598" s="393"/>
      <c r="KJM1598" s="392"/>
      <c r="KJN1598" s="393"/>
      <c r="KJO1598" s="392"/>
      <c r="KJP1598" s="393"/>
      <c r="KJQ1598" s="392"/>
      <c r="KJR1598" s="393"/>
      <c r="KJS1598" s="392"/>
      <c r="KJT1598" s="393"/>
      <c r="KJU1598" s="392"/>
      <c r="KJV1598" s="393"/>
      <c r="KJW1598" s="392"/>
      <c r="KJX1598" s="393"/>
      <c r="KJY1598" s="392"/>
      <c r="KJZ1598" s="393"/>
      <c r="KKA1598" s="392"/>
      <c r="KKB1598" s="393"/>
      <c r="KKC1598" s="392"/>
      <c r="KKD1598" s="393"/>
      <c r="KKE1598" s="392"/>
      <c r="KKF1598" s="393"/>
      <c r="KKG1598" s="392"/>
      <c r="KKH1598" s="393"/>
      <c r="KKI1598" s="392"/>
      <c r="KKJ1598" s="393"/>
      <c r="KKK1598" s="392"/>
      <c r="KKL1598" s="393"/>
      <c r="KKM1598" s="392"/>
      <c r="KKN1598" s="393"/>
      <c r="KKO1598" s="392"/>
      <c r="KKP1598" s="393"/>
      <c r="KKQ1598" s="392"/>
      <c r="KKR1598" s="393"/>
      <c r="KKS1598" s="392"/>
      <c r="KKT1598" s="393"/>
      <c r="KKU1598" s="392"/>
      <c r="KKV1598" s="393"/>
      <c r="KKW1598" s="392"/>
      <c r="KKX1598" s="393"/>
      <c r="KKY1598" s="392"/>
      <c r="KKZ1598" s="393"/>
      <c r="KLA1598" s="392"/>
      <c r="KLB1598" s="393"/>
      <c r="KLC1598" s="392"/>
      <c r="KLD1598" s="393"/>
      <c r="KLE1598" s="392"/>
      <c r="KLF1598" s="393"/>
      <c r="KLG1598" s="392"/>
      <c r="KLH1598" s="393"/>
      <c r="KLI1598" s="392"/>
      <c r="KLJ1598" s="393"/>
      <c r="KLK1598" s="392"/>
      <c r="KLL1598" s="393"/>
      <c r="KLM1598" s="392"/>
      <c r="KLN1598" s="393"/>
      <c r="KLO1598" s="392"/>
      <c r="KLP1598" s="393"/>
      <c r="KLQ1598" s="392"/>
      <c r="KLR1598" s="393"/>
      <c r="KLS1598" s="392"/>
      <c r="KLT1598" s="393"/>
      <c r="KLU1598" s="392"/>
      <c r="KLV1598" s="393"/>
      <c r="KLW1598" s="392"/>
      <c r="KLX1598" s="393"/>
      <c r="KLY1598" s="392"/>
      <c r="KLZ1598" s="393"/>
      <c r="KMA1598" s="392"/>
      <c r="KMB1598" s="393"/>
      <c r="KMC1598" s="392"/>
      <c r="KMD1598" s="393"/>
      <c r="KME1598" s="392"/>
      <c r="KMF1598" s="393"/>
      <c r="KMG1598" s="392"/>
      <c r="KMH1598" s="393"/>
      <c r="KMI1598" s="392"/>
      <c r="KMJ1598" s="393"/>
      <c r="KMK1598" s="392"/>
      <c r="KML1598" s="393"/>
      <c r="KMM1598" s="392"/>
      <c r="KMN1598" s="393"/>
      <c r="KMO1598" s="392"/>
      <c r="KMP1598" s="393"/>
      <c r="KMQ1598" s="392"/>
      <c r="KMR1598" s="393"/>
      <c r="KMS1598" s="392"/>
      <c r="KMT1598" s="393"/>
      <c r="KMU1598" s="392"/>
      <c r="KMV1598" s="393"/>
      <c r="KMW1598" s="392"/>
      <c r="KMX1598" s="393"/>
      <c r="KMY1598" s="392"/>
      <c r="KMZ1598" s="393"/>
      <c r="KNA1598" s="392"/>
      <c r="KNB1598" s="393"/>
      <c r="KNC1598" s="392"/>
      <c r="KND1598" s="393"/>
      <c r="KNE1598" s="392"/>
      <c r="KNF1598" s="393"/>
      <c r="KNG1598" s="392"/>
      <c r="KNH1598" s="393"/>
      <c r="KNI1598" s="392"/>
      <c r="KNJ1598" s="393"/>
      <c r="KNK1598" s="392"/>
      <c r="KNL1598" s="393"/>
      <c r="KNM1598" s="392"/>
      <c r="KNN1598" s="393"/>
      <c r="KNO1598" s="392"/>
      <c r="KNP1598" s="393"/>
      <c r="KNQ1598" s="392"/>
      <c r="KNR1598" s="393"/>
      <c r="KNS1598" s="392"/>
      <c r="KNT1598" s="393"/>
      <c r="KNU1598" s="392"/>
      <c r="KNV1598" s="393"/>
      <c r="KNW1598" s="392"/>
      <c r="KNX1598" s="393"/>
      <c r="KNY1598" s="392"/>
      <c r="KNZ1598" s="393"/>
      <c r="KOA1598" s="392"/>
      <c r="KOB1598" s="393"/>
      <c r="KOC1598" s="392"/>
      <c r="KOD1598" s="393"/>
      <c r="KOE1598" s="392"/>
      <c r="KOF1598" s="393"/>
      <c r="KOG1598" s="392"/>
      <c r="KOH1598" s="393"/>
      <c r="KOI1598" s="392"/>
      <c r="KOJ1598" s="393"/>
      <c r="KOK1598" s="392"/>
      <c r="KOL1598" s="393"/>
      <c r="KOM1598" s="392"/>
      <c r="KON1598" s="393"/>
      <c r="KOO1598" s="392"/>
      <c r="KOP1598" s="393"/>
      <c r="KOQ1598" s="392"/>
      <c r="KOR1598" s="393"/>
      <c r="KOS1598" s="392"/>
      <c r="KOT1598" s="393"/>
      <c r="KOU1598" s="392"/>
      <c r="KOV1598" s="393"/>
      <c r="KOW1598" s="392"/>
      <c r="KOX1598" s="393"/>
      <c r="KOY1598" s="392"/>
      <c r="KOZ1598" s="393"/>
      <c r="KPA1598" s="392"/>
      <c r="KPB1598" s="393"/>
      <c r="KPC1598" s="392"/>
      <c r="KPD1598" s="393"/>
      <c r="KPE1598" s="392"/>
      <c r="KPF1598" s="393"/>
      <c r="KPG1598" s="392"/>
      <c r="KPH1598" s="393"/>
      <c r="KPI1598" s="392"/>
      <c r="KPJ1598" s="393"/>
      <c r="KPK1598" s="392"/>
      <c r="KPL1598" s="393"/>
      <c r="KPM1598" s="392"/>
      <c r="KPN1598" s="393"/>
      <c r="KPO1598" s="392"/>
      <c r="KPP1598" s="393"/>
      <c r="KPQ1598" s="392"/>
      <c r="KPR1598" s="393"/>
      <c r="KPS1598" s="392"/>
      <c r="KPT1598" s="393"/>
      <c r="KPU1598" s="392"/>
      <c r="KPV1598" s="393"/>
      <c r="KPW1598" s="392"/>
      <c r="KPX1598" s="393"/>
      <c r="KPY1598" s="392"/>
      <c r="KPZ1598" s="393"/>
      <c r="KQA1598" s="392"/>
      <c r="KQB1598" s="393"/>
      <c r="KQC1598" s="392"/>
      <c r="KQD1598" s="393"/>
      <c r="KQE1598" s="392"/>
      <c r="KQF1598" s="393"/>
      <c r="KQG1598" s="392"/>
      <c r="KQH1598" s="393"/>
      <c r="KQI1598" s="392"/>
      <c r="KQJ1598" s="393"/>
      <c r="KQK1598" s="392"/>
      <c r="KQL1598" s="393"/>
      <c r="KQM1598" s="392"/>
      <c r="KQN1598" s="393"/>
      <c r="KQO1598" s="392"/>
      <c r="KQP1598" s="393"/>
      <c r="KQQ1598" s="392"/>
      <c r="KQR1598" s="393"/>
      <c r="KQS1598" s="392"/>
      <c r="KQT1598" s="393"/>
      <c r="KQU1598" s="392"/>
      <c r="KQV1598" s="393"/>
      <c r="KQW1598" s="392"/>
      <c r="KQX1598" s="393"/>
      <c r="KQY1598" s="392"/>
      <c r="KQZ1598" s="393"/>
      <c r="KRA1598" s="392"/>
      <c r="KRB1598" s="393"/>
      <c r="KRC1598" s="392"/>
      <c r="KRD1598" s="393"/>
      <c r="KRE1598" s="392"/>
      <c r="KRF1598" s="393"/>
      <c r="KRG1598" s="392"/>
      <c r="KRH1598" s="393"/>
      <c r="KRI1598" s="392"/>
      <c r="KRJ1598" s="393"/>
      <c r="KRK1598" s="392"/>
      <c r="KRL1598" s="393"/>
      <c r="KRM1598" s="392"/>
      <c r="KRN1598" s="393"/>
      <c r="KRO1598" s="392"/>
      <c r="KRP1598" s="393"/>
      <c r="KRQ1598" s="392"/>
      <c r="KRR1598" s="393"/>
      <c r="KRS1598" s="392"/>
      <c r="KRT1598" s="393"/>
      <c r="KRU1598" s="392"/>
      <c r="KRV1598" s="393"/>
      <c r="KRW1598" s="392"/>
      <c r="KRX1598" s="393"/>
      <c r="KRY1598" s="392"/>
      <c r="KRZ1598" s="393"/>
      <c r="KSA1598" s="392"/>
      <c r="KSB1598" s="393"/>
      <c r="KSC1598" s="392"/>
      <c r="KSD1598" s="393"/>
      <c r="KSE1598" s="392"/>
      <c r="KSF1598" s="393"/>
      <c r="KSG1598" s="392"/>
      <c r="KSH1598" s="393"/>
      <c r="KSI1598" s="392"/>
      <c r="KSJ1598" s="393"/>
      <c r="KSK1598" s="392"/>
      <c r="KSL1598" s="393"/>
      <c r="KSM1598" s="392"/>
      <c r="KSN1598" s="393"/>
      <c r="KSO1598" s="392"/>
      <c r="KSP1598" s="393"/>
      <c r="KSQ1598" s="392"/>
      <c r="KSR1598" s="393"/>
      <c r="KSS1598" s="392"/>
      <c r="KST1598" s="393"/>
      <c r="KSU1598" s="392"/>
      <c r="KSV1598" s="393"/>
      <c r="KSW1598" s="392"/>
      <c r="KSX1598" s="393"/>
      <c r="KSY1598" s="392"/>
      <c r="KSZ1598" s="393"/>
      <c r="KTA1598" s="392"/>
      <c r="KTB1598" s="393"/>
      <c r="KTC1598" s="392"/>
      <c r="KTD1598" s="393"/>
      <c r="KTE1598" s="392"/>
      <c r="KTF1598" s="393"/>
      <c r="KTG1598" s="392"/>
      <c r="KTH1598" s="393"/>
      <c r="KTI1598" s="392"/>
      <c r="KTJ1598" s="393"/>
      <c r="KTK1598" s="392"/>
      <c r="KTL1598" s="393"/>
      <c r="KTM1598" s="392"/>
      <c r="KTN1598" s="393"/>
      <c r="KTO1598" s="392"/>
      <c r="KTP1598" s="393"/>
      <c r="KTQ1598" s="392"/>
      <c r="KTR1598" s="393"/>
      <c r="KTS1598" s="392"/>
      <c r="KTT1598" s="393"/>
      <c r="KTU1598" s="392"/>
      <c r="KTV1598" s="393"/>
      <c r="KTW1598" s="392"/>
      <c r="KTX1598" s="393"/>
      <c r="KTY1598" s="392"/>
      <c r="KTZ1598" s="393"/>
      <c r="KUA1598" s="392"/>
      <c r="KUB1598" s="393"/>
      <c r="KUC1598" s="392"/>
      <c r="KUD1598" s="393"/>
      <c r="KUE1598" s="392"/>
      <c r="KUF1598" s="393"/>
      <c r="KUG1598" s="392"/>
      <c r="KUH1598" s="393"/>
      <c r="KUI1598" s="392"/>
      <c r="KUJ1598" s="393"/>
      <c r="KUK1598" s="392"/>
      <c r="KUL1598" s="393"/>
      <c r="KUM1598" s="392"/>
      <c r="KUN1598" s="393"/>
      <c r="KUO1598" s="392"/>
      <c r="KUP1598" s="393"/>
      <c r="KUQ1598" s="392"/>
      <c r="KUR1598" s="393"/>
      <c r="KUS1598" s="392"/>
      <c r="KUT1598" s="393"/>
      <c r="KUU1598" s="392"/>
      <c r="KUV1598" s="393"/>
      <c r="KUW1598" s="392"/>
      <c r="KUX1598" s="393"/>
      <c r="KUY1598" s="392"/>
      <c r="KUZ1598" s="393"/>
      <c r="KVA1598" s="392"/>
      <c r="KVB1598" s="393"/>
      <c r="KVC1598" s="392"/>
      <c r="KVD1598" s="393"/>
      <c r="KVE1598" s="392"/>
      <c r="KVF1598" s="393"/>
      <c r="KVG1598" s="392"/>
      <c r="KVH1598" s="393"/>
      <c r="KVI1598" s="392"/>
      <c r="KVJ1598" s="393"/>
      <c r="KVK1598" s="392"/>
      <c r="KVL1598" s="393"/>
      <c r="KVM1598" s="392"/>
      <c r="KVN1598" s="393"/>
      <c r="KVO1598" s="392"/>
      <c r="KVP1598" s="393"/>
      <c r="KVQ1598" s="392"/>
      <c r="KVR1598" s="393"/>
      <c r="KVS1598" s="392"/>
      <c r="KVT1598" s="393"/>
      <c r="KVU1598" s="392"/>
      <c r="KVV1598" s="393"/>
      <c r="KVW1598" s="392"/>
      <c r="KVX1598" s="393"/>
      <c r="KVY1598" s="392"/>
      <c r="KVZ1598" s="393"/>
      <c r="KWA1598" s="392"/>
      <c r="KWB1598" s="393"/>
      <c r="KWC1598" s="392"/>
      <c r="KWD1598" s="393"/>
      <c r="KWE1598" s="392"/>
      <c r="KWF1598" s="393"/>
      <c r="KWG1598" s="392"/>
      <c r="KWH1598" s="393"/>
      <c r="KWI1598" s="392"/>
      <c r="KWJ1598" s="393"/>
      <c r="KWK1598" s="392"/>
      <c r="KWL1598" s="393"/>
      <c r="KWM1598" s="392"/>
      <c r="KWN1598" s="393"/>
      <c r="KWO1598" s="392"/>
      <c r="KWP1598" s="393"/>
      <c r="KWQ1598" s="392"/>
      <c r="KWR1598" s="393"/>
      <c r="KWS1598" s="392"/>
      <c r="KWT1598" s="393"/>
      <c r="KWU1598" s="392"/>
      <c r="KWV1598" s="393"/>
      <c r="KWW1598" s="392"/>
      <c r="KWX1598" s="393"/>
      <c r="KWY1598" s="392"/>
      <c r="KWZ1598" s="393"/>
      <c r="KXA1598" s="392"/>
      <c r="KXB1598" s="393"/>
      <c r="KXC1598" s="392"/>
      <c r="KXD1598" s="393"/>
      <c r="KXE1598" s="392"/>
      <c r="KXF1598" s="393"/>
      <c r="KXG1598" s="392"/>
      <c r="KXH1598" s="393"/>
      <c r="KXI1598" s="392"/>
      <c r="KXJ1598" s="393"/>
      <c r="KXK1598" s="392"/>
      <c r="KXL1598" s="393"/>
      <c r="KXM1598" s="392"/>
      <c r="KXN1598" s="393"/>
      <c r="KXO1598" s="392"/>
      <c r="KXP1598" s="393"/>
      <c r="KXQ1598" s="392"/>
      <c r="KXR1598" s="393"/>
      <c r="KXS1598" s="392"/>
      <c r="KXT1598" s="393"/>
      <c r="KXU1598" s="392"/>
      <c r="KXV1598" s="393"/>
      <c r="KXW1598" s="392"/>
      <c r="KXX1598" s="393"/>
      <c r="KXY1598" s="392"/>
      <c r="KXZ1598" s="393"/>
      <c r="KYA1598" s="392"/>
      <c r="KYB1598" s="393"/>
      <c r="KYC1598" s="392"/>
      <c r="KYD1598" s="393"/>
      <c r="KYE1598" s="392"/>
      <c r="KYF1598" s="393"/>
      <c r="KYG1598" s="392"/>
      <c r="KYH1598" s="393"/>
      <c r="KYI1598" s="392"/>
      <c r="KYJ1598" s="393"/>
      <c r="KYK1598" s="392"/>
      <c r="KYL1598" s="393"/>
      <c r="KYM1598" s="392"/>
      <c r="KYN1598" s="393"/>
      <c r="KYO1598" s="392"/>
      <c r="KYP1598" s="393"/>
      <c r="KYQ1598" s="392"/>
      <c r="KYR1598" s="393"/>
      <c r="KYS1598" s="392"/>
      <c r="KYT1598" s="393"/>
      <c r="KYU1598" s="392"/>
      <c r="KYV1598" s="393"/>
      <c r="KYW1598" s="392"/>
      <c r="KYX1598" s="393"/>
      <c r="KYY1598" s="392"/>
      <c r="KYZ1598" s="393"/>
      <c r="KZA1598" s="392"/>
      <c r="KZB1598" s="393"/>
      <c r="KZC1598" s="392"/>
      <c r="KZD1598" s="393"/>
      <c r="KZE1598" s="392"/>
      <c r="KZF1598" s="393"/>
      <c r="KZG1598" s="392"/>
      <c r="KZH1598" s="393"/>
      <c r="KZI1598" s="392"/>
      <c r="KZJ1598" s="393"/>
      <c r="KZK1598" s="392"/>
      <c r="KZL1598" s="393"/>
      <c r="KZM1598" s="392"/>
      <c r="KZN1598" s="393"/>
      <c r="KZO1598" s="392"/>
      <c r="KZP1598" s="393"/>
      <c r="KZQ1598" s="392"/>
      <c r="KZR1598" s="393"/>
      <c r="KZS1598" s="392"/>
      <c r="KZT1598" s="393"/>
      <c r="KZU1598" s="392"/>
      <c r="KZV1598" s="393"/>
      <c r="KZW1598" s="392"/>
      <c r="KZX1598" s="393"/>
      <c r="KZY1598" s="392"/>
      <c r="KZZ1598" s="393"/>
      <c r="LAA1598" s="392"/>
      <c r="LAB1598" s="393"/>
      <c r="LAC1598" s="392"/>
      <c r="LAD1598" s="393"/>
      <c r="LAE1598" s="392"/>
      <c r="LAF1598" s="393"/>
      <c r="LAG1598" s="392"/>
      <c r="LAH1598" s="393"/>
      <c r="LAI1598" s="392"/>
      <c r="LAJ1598" s="393"/>
      <c r="LAK1598" s="392"/>
      <c r="LAL1598" s="393"/>
      <c r="LAM1598" s="392"/>
      <c r="LAN1598" s="393"/>
      <c r="LAO1598" s="392"/>
      <c r="LAP1598" s="393"/>
      <c r="LAQ1598" s="392"/>
      <c r="LAR1598" s="393"/>
      <c r="LAS1598" s="392"/>
      <c r="LAT1598" s="393"/>
      <c r="LAU1598" s="392"/>
      <c r="LAV1598" s="393"/>
      <c r="LAW1598" s="392"/>
      <c r="LAX1598" s="393"/>
      <c r="LAY1598" s="392"/>
      <c r="LAZ1598" s="393"/>
      <c r="LBA1598" s="392"/>
      <c r="LBB1598" s="393"/>
      <c r="LBC1598" s="392"/>
      <c r="LBD1598" s="393"/>
      <c r="LBE1598" s="392"/>
      <c r="LBF1598" s="393"/>
      <c r="LBG1598" s="392"/>
      <c r="LBH1598" s="393"/>
      <c r="LBI1598" s="392"/>
      <c r="LBJ1598" s="393"/>
      <c r="LBK1598" s="392"/>
      <c r="LBL1598" s="393"/>
      <c r="LBM1598" s="392"/>
      <c r="LBN1598" s="393"/>
      <c r="LBO1598" s="392"/>
      <c r="LBP1598" s="393"/>
      <c r="LBQ1598" s="392"/>
      <c r="LBR1598" s="393"/>
      <c r="LBS1598" s="392"/>
      <c r="LBT1598" s="393"/>
      <c r="LBU1598" s="392"/>
      <c r="LBV1598" s="393"/>
      <c r="LBW1598" s="392"/>
      <c r="LBX1598" s="393"/>
      <c r="LBY1598" s="392"/>
      <c r="LBZ1598" s="393"/>
      <c r="LCA1598" s="392"/>
      <c r="LCB1598" s="393"/>
      <c r="LCC1598" s="392"/>
      <c r="LCD1598" s="393"/>
      <c r="LCE1598" s="392"/>
      <c r="LCF1598" s="393"/>
      <c r="LCG1598" s="392"/>
      <c r="LCH1598" s="393"/>
      <c r="LCI1598" s="392"/>
      <c r="LCJ1598" s="393"/>
      <c r="LCK1598" s="392"/>
      <c r="LCL1598" s="393"/>
      <c r="LCM1598" s="392"/>
      <c r="LCN1598" s="393"/>
      <c r="LCO1598" s="392"/>
      <c r="LCP1598" s="393"/>
      <c r="LCQ1598" s="392"/>
      <c r="LCR1598" s="393"/>
      <c r="LCS1598" s="392"/>
      <c r="LCT1598" s="393"/>
      <c r="LCU1598" s="392"/>
      <c r="LCV1598" s="393"/>
      <c r="LCW1598" s="392"/>
      <c r="LCX1598" s="393"/>
      <c r="LCY1598" s="392"/>
      <c r="LCZ1598" s="393"/>
      <c r="LDA1598" s="392"/>
      <c r="LDB1598" s="393"/>
      <c r="LDC1598" s="392"/>
      <c r="LDD1598" s="393"/>
      <c r="LDE1598" s="392"/>
      <c r="LDF1598" s="393"/>
      <c r="LDG1598" s="392"/>
      <c r="LDH1598" s="393"/>
      <c r="LDI1598" s="392"/>
      <c r="LDJ1598" s="393"/>
      <c r="LDK1598" s="392"/>
      <c r="LDL1598" s="393"/>
      <c r="LDM1598" s="392"/>
      <c r="LDN1598" s="393"/>
      <c r="LDO1598" s="392"/>
      <c r="LDP1598" s="393"/>
      <c r="LDQ1598" s="392"/>
      <c r="LDR1598" s="393"/>
      <c r="LDS1598" s="392"/>
      <c r="LDT1598" s="393"/>
      <c r="LDU1598" s="392"/>
      <c r="LDV1598" s="393"/>
      <c r="LDW1598" s="392"/>
      <c r="LDX1598" s="393"/>
      <c r="LDY1598" s="392"/>
      <c r="LDZ1598" s="393"/>
      <c r="LEA1598" s="392"/>
      <c r="LEB1598" s="393"/>
      <c r="LEC1598" s="392"/>
      <c r="LED1598" s="393"/>
      <c r="LEE1598" s="392"/>
      <c r="LEF1598" s="393"/>
      <c r="LEG1598" s="392"/>
      <c r="LEH1598" s="393"/>
      <c r="LEI1598" s="392"/>
      <c r="LEJ1598" s="393"/>
      <c r="LEK1598" s="392"/>
      <c r="LEL1598" s="393"/>
      <c r="LEM1598" s="392"/>
      <c r="LEN1598" s="393"/>
      <c r="LEO1598" s="392"/>
      <c r="LEP1598" s="393"/>
      <c r="LEQ1598" s="392"/>
      <c r="LER1598" s="393"/>
      <c r="LES1598" s="392"/>
      <c r="LET1598" s="393"/>
      <c r="LEU1598" s="392"/>
      <c r="LEV1598" s="393"/>
      <c r="LEW1598" s="392"/>
      <c r="LEX1598" s="393"/>
      <c r="LEY1598" s="392"/>
      <c r="LEZ1598" s="393"/>
      <c r="LFA1598" s="392"/>
      <c r="LFB1598" s="393"/>
      <c r="LFC1598" s="392"/>
      <c r="LFD1598" s="393"/>
      <c r="LFE1598" s="392"/>
      <c r="LFF1598" s="393"/>
      <c r="LFG1598" s="392"/>
      <c r="LFH1598" s="393"/>
      <c r="LFI1598" s="392"/>
      <c r="LFJ1598" s="393"/>
      <c r="LFK1598" s="392"/>
      <c r="LFL1598" s="393"/>
      <c r="LFM1598" s="392"/>
      <c r="LFN1598" s="393"/>
      <c r="LFO1598" s="392"/>
      <c r="LFP1598" s="393"/>
      <c r="LFQ1598" s="392"/>
      <c r="LFR1598" s="393"/>
      <c r="LFS1598" s="392"/>
      <c r="LFT1598" s="393"/>
      <c r="LFU1598" s="392"/>
      <c r="LFV1598" s="393"/>
      <c r="LFW1598" s="392"/>
      <c r="LFX1598" s="393"/>
      <c r="LFY1598" s="392"/>
      <c r="LFZ1598" s="393"/>
      <c r="LGA1598" s="392"/>
      <c r="LGB1598" s="393"/>
      <c r="LGC1598" s="392"/>
      <c r="LGD1598" s="393"/>
      <c r="LGE1598" s="392"/>
      <c r="LGF1598" s="393"/>
      <c r="LGG1598" s="392"/>
      <c r="LGH1598" s="393"/>
      <c r="LGI1598" s="392"/>
      <c r="LGJ1598" s="393"/>
      <c r="LGK1598" s="392"/>
      <c r="LGL1598" s="393"/>
      <c r="LGM1598" s="392"/>
      <c r="LGN1598" s="393"/>
      <c r="LGO1598" s="392"/>
      <c r="LGP1598" s="393"/>
      <c r="LGQ1598" s="392"/>
      <c r="LGR1598" s="393"/>
      <c r="LGS1598" s="392"/>
      <c r="LGT1598" s="393"/>
      <c r="LGU1598" s="392"/>
      <c r="LGV1598" s="393"/>
      <c r="LGW1598" s="392"/>
      <c r="LGX1598" s="393"/>
      <c r="LGY1598" s="392"/>
      <c r="LGZ1598" s="393"/>
      <c r="LHA1598" s="392"/>
      <c r="LHB1598" s="393"/>
      <c r="LHC1598" s="392"/>
      <c r="LHD1598" s="393"/>
      <c r="LHE1598" s="392"/>
      <c r="LHF1598" s="393"/>
      <c r="LHG1598" s="392"/>
      <c r="LHH1598" s="393"/>
      <c r="LHI1598" s="392"/>
      <c r="LHJ1598" s="393"/>
      <c r="LHK1598" s="392"/>
      <c r="LHL1598" s="393"/>
      <c r="LHM1598" s="392"/>
      <c r="LHN1598" s="393"/>
      <c r="LHO1598" s="392"/>
      <c r="LHP1598" s="393"/>
      <c r="LHQ1598" s="392"/>
      <c r="LHR1598" s="393"/>
      <c r="LHS1598" s="392"/>
      <c r="LHT1598" s="393"/>
      <c r="LHU1598" s="392"/>
      <c r="LHV1598" s="393"/>
      <c r="LHW1598" s="392"/>
      <c r="LHX1598" s="393"/>
      <c r="LHY1598" s="392"/>
      <c r="LHZ1598" s="393"/>
      <c r="LIA1598" s="392"/>
      <c r="LIB1598" s="393"/>
      <c r="LIC1598" s="392"/>
      <c r="LID1598" s="393"/>
      <c r="LIE1598" s="392"/>
      <c r="LIF1598" s="393"/>
      <c r="LIG1598" s="392"/>
      <c r="LIH1598" s="393"/>
      <c r="LII1598" s="392"/>
      <c r="LIJ1598" s="393"/>
      <c r="LIK1598" s="392"/>
      <c r="LIL1598" s="393"/>
      <c r="LIM1598" s="392"/>
      <c r="LIN1598" s="393"/>
      <c r="LIO1598" s="392"/>
      <c r="LIP1598" s="393"/>
      <c r="LIQ1598" s="392"/>
      <c r="LIR1598" s="393"/>
      <c r="LIS1598" s="392"/>
      <c r="LIT1598" s="393"/>
      <c r="LIU1598" s="392"/>
      <c r="LIV1598" s="393"/>
      <c r="LIW1598" s="392"/>
      <c r="LIX1598" s="393"/>
      <c r="LIY1598" s="392"/>
      <c r="LIZ1598" s="393"/>
      <c r="LJA1598" s="392"/>
      <c r="LJB1598" s="393"/>
      <c r="LJC1598" s="392"/>
      <c r="LJD1598" s="393"/>
      <c r="LJE1598" s="392"/>
      <c r="LJF1598" s="393"/>
      <c r="LJG1598" s="392"/>
      <c r="LJH1598" s="393"/>
      <c r="LJI1598" s="392"/>
      <c r="LJJ1598" s="393"/>
      <c r="LJK1598" s="392"/>
      <c r="LJL1598" s="393"/>
      <c r="LJM1598" s="392"/>
      <c r="LJN1598" s="393"/>
      <c r="LJO1598" s="392"/>
      <c r="LJP1598" s="393"/>
      <c r="LJQ1598" s="392"/>
      <c r="LJR1598" s="393"/>
      <c r="LJS1598" s="392"/>
      <c r="LJT1598" s="393"/>
      <c r="LJU1598" s="392"/>
      <c r="LJV1598" s="393"/>
      <c r="LJW1598" s="392"/>
      <c r="LJX1598" s="393"/>
      <c r="LJY1598" s="392"/>
      <c r="LJZ1598" s="393"/>
      <c r="LKA1598" s="392"/>
      <c r="LKB1598" s="393"/>
      <c r="LKC1598" s="392"/>
      <c r="LKD1598" s="393"/>
      <c r="LKE1598" s="392"/>
      <c r="LKF1598" s="393"/>
      <c r="LKG1598" s="392"/>
      <c r="LKH1598" s="393"/>
      <c r="LKI1598" s="392"/>
      <c r="LKJ1598" s="393"/>
      <c r="LKK1598" s="392"/>
      <c r="LKL1598" s="393"/>
      <c r="LKM1598" s="392"/>
      <c r="LKN1598" s="393"/>
      <c r="LKO1598" s="392"/>
      <c r="LKP1598" s="393"/>
      <c r="LKQ1598" s="392"/>
      <c r="LKR1598" s="393"/>
      <c r="LKS1598" s="392"/>
      <c r="LKT1598" s="393"/>
      <c r="LKU1598" s="392"/>
      <c r="LKV1598" s="393"/>
      <c r="LKW1598" s="392"/>
      <c r="LKX1598" s="393"/>
      <c r="LKY1598" s="392"/>
      <c r="LKZ1598" s="393"/>
      <c r="LLA1598" s="392"/>
      <c r="LLB1598" s="393"/>
      <c r="LLC1598" s="392"/>
      <c r="LLD1598" s="393"/>
      <c r="LLE1598" s="392"/>
      <c r="LLF1598" s="393"/>
      <c r="LLG1598" s="392"/>
      <c r="LLH1598" s="393"/>
      <c r="LLI1598" s="392"/>
      <c r="LLJ1598" s="393"/>
      <c r="LLK1598" s="392"/>
      <c r="LLL1598" s="393"/>
      <c r="LLM1598" s="392"/>
      <c r="LLN1598" s="393"/>
      <c r="LLO1598" s="392"/>
      <c r="LLP1598" s="393"/>
      <c r="LLQ1598" s="392"/>
      <c r="LLR1598" s="393"/>
      <c r="LLS1598" s="392"/>
      <c r="LLT1598" s="393"/>
      <c r="LLU1598" s="392"/>
      <c r="LLV1598" s="393"/>
      <c r="LLW1598" s="392"/>
      <c r="LLX1598" s="393"/>
      <c r="LLY1598" s="392"/>
      <c r="LLZ1598" s="393"/>
      <c r="LMA1598" s="392"/>
      <c r="LMB1598" s="393"/>
      <c r="LMC1598" s="392"/>
      <c r="LMD1598" s="393"/>
      <c r="LME1598" s="392"/>
      <c r="LMF1598" s="393"/>
      <c r="LMG1598" s="392"/>
      <c r="LMH1598" s="393"/>
      <c r="LMI1598" s="392"/>
      <c r="LMJ1598" s="393"/>
      <c r="LMK1598" s="392"/>
      <c r="LML1598" s="393"/>
      <c r="LMM1598" s="392"/>
      <c r="LMN1598" s="393"/>
      <c r="LMO1598" s="392"/>
      <c r="LMP1598" s="393"/>
      <c r="LMQ1598" s="392"/>
      <c r="LMR1598" s="393"/>
      <c r="LMS1598" s="392"/>
      <c r="LMT1598" s="393"/>
      <c r="LMU1598" s="392"/>
      <c r="LMV1598" s="393"/>
      <c r="LMW1598" s="392"/>
      <c r="LMX1598" s="393"/>
      <c r="LMY1598" s="392"/>
      <c r="LMZ1598" s="393"/>
      <c r="LNA1598" s="392"/>
      <c r="LNB1598" s="393"/>
      <c r="LNC1598" s="392"/>
      <c r="LND1598" s="393"/>
      <c r="LNE1598" s="392"/>
      <c r="LNF1598" s="393"/>
      <c r="LNG1598" s="392"/>
      <c r="LNH1598" s="393"/>
      <c r="LNI1598" s="392"/>
      <c r="LNJ1598" s="393"/>
      <c r="LNK1598" s="392"/>
      <c r="LNL1598" s="393"/>
      <c r="LNM1598" s="392"/>
      <c r="LNN1598" s="393"/>
      <c r="LNO1598" s="392"/>
      <c r="LNP1598" s="393"/>
      <c r="LNQ1598" s="392"/>
      <c r="LNR1598" s="393"/>
      <c r="LNS1598" s="392"/>
      <c r="LNT1598" s="393"/>
      <c r="LNU1598" s="392"/>
      <c r="LNV1598" s="393"/>
      <c r="LNW1598" s="392"/>
      <c r="LNX1598" s="393"/>
      <c r="LNY1598" s="392"/>
      <c r="LNZ1598" s="393"/>
      <c r="LOA1598" s="392"/>
      <c r="LOB1598" s="393"/>
      <c r="LOC1598" s="392"/>
      <c r="LOD1598" s="393"/>
      <c r="LOE1598" s="392"/>
      <c r="LOF1598" s="393"/>
      <c r="LOG1598" s="392"/>
      <c r="LOH1598" s="393"/>
      <c r="LOI1598" s="392"/>
      <c r="LOJ1598" s="393"/>
      <c r="LOK1598" s="392"/>
      <c r="LOL1598" s="393"/>
      <c r="LOM1598" s="392"/>
      <c r="LON1598" s="393"/>
      <c r="LOO1598" s="392"/>
      <c r="LOP1598" s="393"/>
      <c r="LOQ1598" s="392"/>
      <c r="LOR1598" s="393"/>
      <c r="LOS1598" s="392"/>
      <c r="LOT1598" s="393"/>
      <c r="LOU1598" s="392"/>
      <c r="LOV1598" s="393"/>
      <c r="LOW1598" s="392"/>
      <c r="LOX1598" s="393"/>
      <c r="LOY1598" s="392"/>
      <c r="LOZ1598" s="393"/>
      <c r="LPA1598" s="392"/>
      <c r="LPB1598" s="393"/>
      <c r="LPC1598" s="392"/>
      <c r="LPD1598" s="393"/>
      <c r="LPE1598" s="392"/>
      <c r="LPF1598" s="393"/>
      <c r="LPG1598" s="392"/>
      <c r="LPH1598" s="393"/>
      <c r="LPI1598" s="392"/>
      <c r="LPJ1598" s="393"/>
      <c r="LPK1598" s="392"/>
      <c r="LPL1598" s="393"/>
      <c r="LPM1598" s="392"/>
      <c r="LPN1598" s="393"/>
      <c r="LPO1598" s="392"/>
      <c r="LPP1598" s="393"/>
      <c r="LPQ1598" s="392"/>
      <c r="LPR1598" s="393"/>
      <c r="LPS1598" s="392"/>
      <c r="LPT1598" s="393"/>
      <c r="LPU1598" s="392"/>
      <c r="LPV1598" s="393"/>
      <c r="LPW1598" s="392"/>
      <c r="LPX1598" s="393"/>
      <c r="LPY1598" s="392"/>
      <c r="LPZ1598" s="393"/>
      <c r="LQA1598" s="392"/>
      <c r="LQB1598" s="393"/>
      <c r="LQC1598" s="392"/>
      <c r="LQD1598" s="393"/>
      <c r="LQE1598" s="392"/>
      <c r="LQF1598" s="393"/>
      <c r="LQG1598" s="392"/>
      <c r="LQH1598" s="393"/>
      <c r="LQI1598" s="392"/>
      <c r="LQJ1598" s="393"/>
      <c r="LQK1598" s="392"/>
      <c r="LQL1598" s="393"/>
      <c r="LQM1598" s="392"/>
      <c r="LQN1598" s="393"/>
      <c r="LQO1598" s="392"/>
      <c r="LQP1598" s="393"/>
      <c r="LQQ1598" s="392"/>
      <c r="LQR1598" s="393"/>
      <c r="LQS1598" s="392"/>
      <c r="LQT1598" s="393"/>
      <c r="LQU1598" s="392"/>
      <c r="LQV1598" s="393"/>
      <c r="LQW1598" s="392"/>
      <c r="LQX1598" s="393"/>
      <c r="LQY1598" s="392"/>
      <c r="LQZ1598" s="393"/>
      <c r="LRA1598" s="392"/>
      <c r="LRB1598" s="393"/>
      <c r="LRC1598" s="392"/>
      <c r="LRD1598" s="393"/>
      <c r="LRE1598" s="392"/>
      <c r="LRF1598" s="393"/>
      <c r="LRG1598" s="392"/>
      <c r="LRH1598" s="393"/>
      <c r="LRI1598" s="392"/>
      <c r="LRJ1598" s="393"/>
      <c r="LRK1598" s="392"/>
      <c r="LRL1598" s="393"/>
      <c r="LRM1598" s="392"/>
      <c r="LRN1598" s="393"/>
      <c r="LRO1598" s="392"/>
      <c r="LRP1598" s="393"/>
      <c r="LRQ1598" s="392"/>
      <c r="LRR1598" s="393"/>
      <c r="LRS1598" s="392"/>
      <c r="LRT1598" s="393"/>
      <c r="LRU1598" s="392"/>
      <c r="LRV1598" s="393"/>
      <c r="LRW1598" s="392"/>
      <c r="LRX1598" s="393"/>
      <c r="LRY1598" s="392"/>
      <c r="LRZ1598" s="393"/>
      <c r="LSA1598" s="392"/>
      <c r="LSB1598" s="393"/>
      <c r="LSC1598" s="392"/>
      <c r="LSD1598" s="393"/>
      <c r="LSE1598" s="392"/>
      <c r="LSF1598" s="393"/>
      <c r="LSG1598" s="392"/>
      <c r="LSH1598" s="393"/>
      <c r="LSI1598" s="392"/>
      <c r="LSJ1598" s="393"/>
      <c r="LSK1598" s="392"/>
      <c r="LSL1598" s="393"/>
      <c r="LSM1598" s="392"/>
      <c r="LSN1598" s="393"/>
      <c r="LSO1598" s="392"/>
      <c r="LSP1598" s="393"/>
      <c r="LSQ1598" s="392"/>
      <c r="LSR1598" s="393"/>
      <c r="LSS1598" s="392"/>
      <c r="LST1598" s="393"/>
      <c r="LSU1598" s="392"/>
      <c r="LSV1598" s="393"/>
      <c r="LSW1598" s="392"/>
      <c r="LSX1598" s="393"/>
      <c r="LSY1598" s="392"/>
      <c r="LSZ1598" s="393"/>
      <c r="LTA1598" s="392"/>
      <c r="LTB1598" s="393"/>
      <c r="LTC1598" s="392"/>
      <c r="LTD1598" s="393"/>
      <c r="LTE1598" s="392"/>
      <c r="LTF1598" s="393"/>
      <c r="LTG1598" s="392"/>
      <c r="LTH1598" s="393"/>
      <c r="LTI1598" s="392"/>
      <c r="LTJ1598" s="393"/>
      <c r="LTK1598" s="392"/>
      <c r="LTL1598" s="393"/>
      <c r="LTM1598" s="392"/>
      <c r="LTN1598" s="393"/>
      <c r="LTO1598" s="392"/>
      <c r="LTP1598" s="393"/>
      <c r="LTQ1598" s="392"/>
      <c r="LTR1598" s="393"/>
      <c r="LTS1598" s="392"/>
      <c r="LTT1598" s="393"/>
      <c r="LTU1598" s="392"/>
      <c r="LTV1598" s="393"/>
      <c r="LTW1598" s="392"/>
      <c r="LTX1598" s="393"/>
      <c r="LTY1598" s="392"/>
      <c r="LTZ1598" s="393"/>
      <c r="LUA1598" s="392"/>
      <c r="LUB1598" s="393"/>
      <c r="LUC1598" s="392"/>
      <c r="LUD1598" s="393"/>
      <c r="LUE1598" s="392"/>
      <c r="LUF1598" s="393"/>
      <c r="LUG1598" s="392"/>
      <c r="LUH1598" s="393"/>
      <c r="LUI1598" s="392"/>
      <c r="LUJ1598" s="393"/>
      <c r="LUK1598" s="392"/>
      <c r="LUL1598" s="393"/>
      <c r="LUM1598" s="392"/>
      <c r="LUN1598" s="393"/>
      <c r="LUO1598" s="392"/>
      <c r="LUP1598" s="393"/>
      <c r="LUQ1598" s="392"/>
      <c r="LUR1598" s="393"/>
      <c r="LUS1598" s="392"/>
      <c r="LUT1598" s="393"/>
      <c r="LUU1598" s="392"/>
      <c r="LUV1598" s="393"/>
      <c r="LUW1598" s="392"/>
      <c r="LUX1598" s="393"/>
      <c r="LUY1598" s="392"/>
      <c r="LUZ1598" s="393"/>
      <c r="LVA1598" s="392"/>
      <c r="LVB1598" s="393"/>
      <c r="LVC1598" s="392"/>
      <c r="LVD1598" s="393"/>
      <c r="LVE1598" s="392"/>
      <c r="LVF1598" s="393"/>
      <c r="LVG1598" s="392"/>
      <c r="LVH1598" s="393"/>
      <c r="LVI1598" s="392"/>
      <c r="LVJ1598" s="393"/>
      <c r="LVK1598" s="392"/>
      <c r="LVL1598" s="393"/>
      <c r="LVM1598" s="392"/>
      <c r="LVN1598" s="393"/>
      <c r="LVO1598" s="392"/>
      <c r="LVP1598" s="393"/>
      <c r="LVQ1598" s="392"/>
      <c r="LVR1598" s="393"/>
      <c r="LVS1598" s="392"/>
      <c r="LVT1598" s="393"/>
      <c r="LVU1598" s="392"/>
      <c r="LVV1598" s="393"/>
      <c r="LVW1598" s="392"/>
      <c r="LVX1598" s="393"/>
      <c r="LVY1598" s="392"/>
      <c r="LVZ1598" s="393"/>
      <c r="LWA1598" s="392"/>
      <c r="LWB1598" s="393"/>
      <c r="LWC1598" s="392"/>
      <c r="LWD1598" s="393"/>
      <c r="LWE1598" s="392"/>
      <c r="LWF1598" s="393"/>
      <c r="LWG1598" s="392"/>
      <c r="LWH1598" s="393"/>
      <c r="LWI1598" s="392"/>
      <c r="LWJ1598" s="393"/>
      <c r="LWK1598" s="392"/>
      <c r="LWL1598" s="393"/>
      <c r="LWM1598" s="392"/>
      <c r="LWN1598" s="393"/>
      <c r="LWO1598" s="392"/>
      <c r="LWP1598" s="393"/>
      <c r="LWQ1598" s="392"/>
      <c r="LWR1598" s="393"/>
      <c r="LWS1598" s="392"/>
      <c r="LWT1598" s="393"/>
      <c r="LWU1598" s="392"/>
      <c r="LWV1598" s="393"/>
      <c r="LWW1598" s="392"/>
      <c r="LWX1598" s="393"/>
      <c r="LWY1598" s="392"/>
      <c r="LWZ1598" s="393"/>
      <c r="LXA1598" s="392"/>
      <c r="LXB1598" s="393"/>
      <c r="LXC1598" s="392"/>
      <c r="LXD1598" s="393"/>
      <c r="LXE1598" s="392"/>
      <c r="LXF1598" s="393"/>
      <c r="LXG1598" s="392"/>
      <c r="LXH1598" s="393"/>
      <c r="LXI1598" s="392"/>
      <c r="LXJ1598" s="393"/>
      <c r="LXK1598" s="392"/>
      <c r="LXL1598" s="393"/>
      <c r="LXM1598" s="392"/>
      <c r="LXN1598" s="393"/>
      <c r="LXO1598" s="392"/>
      <c r="LXP1598" s="393"/>
      <c r="LXQ1598" s="392"/>
      <c r="LXR1598" s="393"/>
      <c r="LXS1598" s="392"/>
      <c r="LXT1598" s="393"/>
      <c r="LXU1598" s="392"/>
      <c r="LXV1598" s="393"/>
      <c r="LXW1598" s="392"/>
      <c r="LXX1598" s="393"/>
      <c r="LXY1598" s="392"/>
      <c r="LXZ1598" s="393"/>
      <c r="LYA1598" s="392"/>
      <c r="LYB1598" s="393"/>
      <c r="LYC1598" s="392"/>
      <c r="LYD1598" s="393"/>
      <c r="LYE1598" s="392"/>
      <c r="LYF1598" s="393"/>
      <c r="LYG1598" s="392"/>
      <c r="LYH1598" s="393"/>
      <c r="LYI1598" s="392"/>
      <c r="LYJ1598" s="393"/>
      <c r="LYK1598" s="392"/>
      <c r="LYL1598" s="393"/>
      <c r="LYM1598" s="392"/>
      <c r="LYN1598" s="393"/>
      <c r="LYO1598" s="392"/>
      <c r="LYP1598" s="393"/>
      <c r="LYQ1598" s="392"/>
      <c r="LYR1598" s="393"/>
      <c r="LYS1598" s="392"/>
      <c r="LYT1598" s="393"/>
      <c r="LYU1598" s="392"/>
      <c r="LYV1598" s="393"/>
      <c r="LYW1598" s="392"/>
      <c r="LYX1598" s="393"/>
      <c r="LYY1598" s="392"/>
      <c r="LYZ1598" s="393"/>
      <c r="LZA1598" s="392"/>
      <c r="LZB1598" s="393"/>
      <c r="LZC1598" s="392"/>
      <c r="LZD1598" s="393"/>
      <c r="LZE1598" s="392"/>
      <c r="LZF1598" s="393"/>
      <c r="LZG1598" s="392"/>
      <c r="LZH1598" s="393"/>
      <c r="LZI1598" s="392"/>
      <c r="LZJ1598" s="393"/>
      <c r="LZK1598" s="392"/>
      <c r="LZL1598" s="393"/>
      <c r="LZM1598" s="392"/>
      <c r="LZN1598" s="393"/>
      <c r="LZO1598" s="392"/>
      <c r="LZP1598" s="393"/>
      <c r="LZQ1598" s="392"/>
      <c r="LZR1598" s="393"/>
      <c r="LZS1598" s="392"/>
      <c r="LZT1598" s="393"/>
      <c r="LZU1598" s="392"/>
      <c r="LZV1598" s="393"/>
      <c r="LZW1598" s="392"/>
      <c r="LZX1598" s="393"/>
      <c r="LZY1598" s="392"/>
      <c r="LZZ1598" s="393"/>
      <c r="MAA1598" s="392"/>
      <c r="MAB1598" s="393"/>
      <c r="MAC1598" s="392"/>
      <c r="MAD1598" s="393"/>
      <c r="MAE1598" s="392"/>
      <c r="MAF1598" s="393"/>
      <c r="MAG1598" s="392"/>
      <c r="MAH1598" s="393"/>
      <c r="MAI1598" s="392"/>
      <c r="MAJ1598" s="393"/>
      <c r="MAK1598" s="392"/>
      <c r="MAL1598" s="393"/>
      <c r="MAM1598" s="392"/>
      <c r="MAN1598" s="393"/>
      <c r="MAO1598" s="392"/>
      <c r="MAP1598" s="393"/>
      <c r="MAQ1598" s="392"/>
      <c r="MAR1598" s="393"/>
      <c r="MAS1598" s="392"/>
      <c r="MAT1598" s="393"/>
      <c r="MAU1598" s="392"/>
      <c r="MAV1598" s="393"/>
      <c r="MAW1598" s="392"/>
      <c r="MAX1598" s="393"/>
      <c r="MAY1598" s="392"/>
      <c r="MAZ1598" s="393"/>
      <c r="MBA1598" s="392"/>
      <c r="MBB1598" s="393"/>
      <c r="MBC1598" s="392"/>
      <c r="MBD1598" s="393"/>
      <c r="MBE1598" s="392"/>
      <c r="MBF1598" s="393"/>
      <c r="MBG1598" s="392"/>
      <c r="MBH1598" s="393"/>
      <c r="MBI1598" s="392"/>
      <c r="MBJ1598" s="393"/>
      <c r="MBK1598" s="392"/>
      <c r="MBL1598" s="393"/>
      <c r="MBM1598" s="392"/>
      <c r="MBN1598" s="393"/>
      <c r="MBO1598" s="392"/>
      <c r="MBP1598" s="393"/>
      <c r="MBQ1598" s="392"/>
      <c r="MBR1598" s="393"/>
      <c r="MBS1598" s="392"/>
      <c r="MBT1598" s="393"/>
      <c r="MBU1598" s="392"/>
      <c r="MBV1598" s="393"/>
      <c r="MBW1598" s="392"/>
      <c r="MBX1598" s="393"/>
      <c r="MBY1598" s="392"/>
      <c r="MBZ1598" s="393"/>
      <c r="MCA1598" s="392"/>
      <c r="MCB1598" s="393"/>
      <c r="MCC1598" s="392"/>
      <c r="MCD1598" s="393"/>
      <c r="MCE1598" s="392"/>
      <c r="MCF1598" s="393"/>
      <c r="MCG1598" s="392"/>
      <c r="MCH1598" s="393"/>
      <c r="MCI1598" s="392"/>
      <c r="MCJ1598" s="393"/>
      <c r="MCK1598" s="392"/>
      <c r="MCL1598" s="393"/>
      <c r="MCM1598" s="392"/>
      <c r="MCN1598" s="393"/>
      <c r="MCO1598" s="392"/>
      <c r="MCP1598" s="393"/>
      <c r="MCQ1598" s="392"/>
      <c r="MCR1598" s="393"/>
      <c r="MCS1598" s="392"/>
      <c r="MCT1598" s="393"/>
      <c r="MCU1598" s="392"/>
      <c r="MCV1598" s="393"/>
      <c r="MCW1598" s="392"/>
      <c r="MCX1598" s="393"/>
      <c r="MCY1598" s="392"/>
      <c r="MCZ1598" s="393"/>
      <c r="MDA1598" s="392"/>
      <c r="MDB1598" s="393"/>
      <c r="MDC1598" s="392"/>
      <c r="MDD1598" s="393"/>
      <c r="MDE1598" s="392"/>
      <c r="MDF1598" s="393"/>
      <c r="MDG1598" s="392"/>
      <c r="MDH1598" s="393"/>
      <c r="MDI1598" s="392"/>
      <c r="MDJ1598" s="393"/>
      <c r="MDK1598" s="392"/>
      <c r="MDL1598" s="393"/>
      <c r="MDM1598" s="392"/>
      <c r="MDN1598" s="393"/>
      <c r="MDO1598" s="392"/>
      <c r="MDP1598" s="393"/>
      <c r="MDQ1598" s="392"/>
      <c r="MDR1598" s="393"/>
      <c r="MDS1598" s="392"/>
      <c r="MDT1598" s="393"/>
      <c r="MDU1598" s="392"/>
      <c r="MDV1598" s="393"/>
      <c r="MDW1598" s="392"/>
      <c r="MDX1598" s="393"/>
      <c r="MDY1598" s="392"/>
      <c r="MDZ1598" s="393"/>
      <c r="MEA1598" s="392"/>
      <c r="MEB1598" s="393"/>
      <c r="MEC1598" s="392"/>
      <c r="MED1598" s="393"/>
      <c r="MEE1598" s="392"/>
      <c r="MEF1598" s="393"/>
      <c r="MEG1598" s="392"/>
      <c r="MEH1598" s="393"/>
      <c r="MEI1598" s="392"/>
      <c r="MEJ1598" s="393"/>
      <c r="MEK1598" s="392"/>
      <c r="MEL1598" s="393"/>
      <c r="MEM1598" s="392"/>
      <c r="MEN1598" s="393"/>
      <c r="MEO1598" s="392"/>
      <c r="MEP1598" s="393"/>
      <c r="MEQ1598" s="392"/>
      <c r="MER1598" s="393"/>
      <c r="MES1598" s="392"/>
      <c r="MET1598" s="393"/>
      <c r="MEU1598" s="392"/>
      <c r="MEV1598" s="393"/>
      <c r="MEW1598" s="392"/>
      <c r="MEX1598" s="393"/>
      <c r="MEY1598" s="392"/>
      <c r="MEZ1598" s="393"/>
      <c r="MFA1598" s="392"/>
      <c r="MFB1598" s="393"/>
      <c r="MFC1598" s="392"/>
      <c r="MFD1598" s="393"/>
      <c r="MFE1598" s="392"/>
      <c r="MFF1598" s="393"/>
      <c r="MFG1598" s="392"/>
      <c r="MFH1598" s="393"/>
      <c r="MFI1598" s="392"/>
      <c r="MFJ1598" s="393"/>
      <c r="MFK1598" s="392"/>
      <c r="MFL1598" s="393"/>
      <c r="MFM1598" s="392"/>
      <c r="MFN1598" s="393"/>
      <c r="MFO1598" s="392"/>
      <c r="MFP1598" s="393"/>
      <c r="MFQ1598" s="392"/>
      <c r="MFR1598" s="393"/>
      <c r="MFS1598" s="392"/>
      <c r="MFT1598" s="393"/>
      <c r="MFU1598" s="392"/>
      <c r="MFV1598" s="393"/>
      <c r="MFW1598" s="392"/>
      <c r="MFX1598" s="393"/>
      <c r="MFY1598" s="392"/>
      <c r="MFZ1598" s="393"/>
      <c r="MGA1598" s="392"/>
      <c r="MGB1598" s="393"/>
      <c r="MGC1598" s="392"/>
      <c r="MGD1598" s="393"/>
      <c r="MGE1598" s="392"/>
      <c r="MGF1598" s="393"/>
      <c r="MGG1598" s="392"/>
      <c r="MGH1598" s="393"/>
      <c r="MGI1598" s="392"/>
      <c r="MGJ1598" s="393"/>
      <c r="MGK1598" s="392"/>
      <c r="MGL1598" s="393"/>
      <c r="MGM1598" s="392"/>
      <c r="MGN1598" s="393"/>
      <c r="MGO1598" s="392"/>
      <c r="MGP1598" s="393"/>
      <c r="MGQ1598" s="392"/>
      <c r="MGR1598" s="393"/>
      <c r="MGS1598" s="392"/>
      <c r="MGT1598" s="393"/>
      <c r="MGU1598" s="392"/>
      <c r="MGV1598" s="393"/>
      <c r="MGW1598" s="392"/>
      <c r="MGX1598" s="393"/>
      <c r="MGY1598" s="392"/>
      <c r="MGZ1598" s="393"/>
      <c r="MHA1598" s="392"/>
      <c r="MHB1598" s="393"/>
      <c r="MHC1598" s="392"/>
      <c r="MHD1598" s="393"/>
      <c r="MHE1598" s="392"/>
      <c r="MHF1598" s="393"/>
      <c r="MHG1598" s="392"/>
      <c r="MHH1598" s="393"/>
      <c r="MHI1598" s="392"/>
      <c r="MHJ1598" s="393"/>
      <c r="MHK1598" s="392"/>
      <c r="MHL1598" s="393"/>
      <c r="MHM1598" s="392"/>
      <c r="MHN1598" s="393"/>
      <c r="MHO1598" s="392"/>
      <c r="MHP1598" s="393"/>
      <c r="MHQ1598" s="392"/>
      <c r="MHR1598" s="393"/>
      <c r="MHS1598" s="392"/>
      <c r="MHT1598" s="393"/>
      <c r="MHU1598" s="392"/>
      <c r="MHV1598" s="393"/>
      <c r="MHW1598" s="392"/>
      <c r="MHX1598" s="393"/>
      <c r="MHY1598" s="392"/>
      <c r="MHZ1598" s="393"/>
      <c r="MIA1598" s="392"/>
      <c r="MIB1598" s="393"/>
      <c r="MIC1598" s="392"/>
      <c r="MID1598" s="393"/>
      <c r="MIE1598" s="392"/>
      <c r="MIF1598" s="393"/>
      <c r="MIG1598" s="392"/>
      <c r="MIH1598" s="393"/>
      <c r="MII1598" s="392"/>
      <c r="MIJ1598" s="393"/>
      <c r="MIK1598" s="392"/>
      <c r="MIL1598" s="393"/>
      <c r="MIM1598" s="392"/>
      <c r="MIN1598" s="393"/>
      <c r="MIO1598" s="392"/>
      <c r="MIP1598" s="393"/>
      <c r="MIQ1598" s="392"/>
      <c r="MIR1598" s="393"/>
      <c r="MIS1598" s="392"/>
      <c r="MIT1598" s="393"/>
      <c r="MIU1598" s="392"/>
      <c r="MIV1598" s="393"/>
      <c r="MIW1598" s="392"/>
      <c r="MIX1598" s="393"/>
      <c r="MIY1598" s="392"/>
      <c r="MIZ1598" s="393"/>
      <c r="MJA1598" s="392"/>
      <c r="MJB1598" s="393"/>
      <c r="MJC1598" s="392"/>
      <c r="MJD1598" s="393"/>
      <c r="MJE1598" s="392"/>
      <c r="MJF1598" s="393"/>
      <c r="MJG1598" s="392"/>
      <c r="MJH1598" s="393"/>
      <c r="MJI1598" s="392"/>
      <c r="MJJ1598" s="393"/>
      <c r="MJK1598" s="392"/>
      <c r="MJL1598" s="393"/>
      <c r="MJM1598" s="392"/>
      <c r="MJN1598" s="393"/>
      <c r="MJO1598" s="392"/>
      <c r="MJP1598" s="393"/>
      <c r="MJQ1598" s="392"/>
      <c r="MJR1598" s="393"/>
      <c r="MJS1598" s="392"/>
      <c r="MJT1598" s="393"/>
      <c r="MJU1598" s="392"/>
      <c r="MJV1598" s="393"/>
      <c r="MJW1598" s="392"/>
      <c r="MJX1598" s="393"/>
      <c r="MJY1598" s="392"/>
      <c r="MJZ1598" s="393"/>
      <c r="MKA1598" s="392"/>
      <c r="MKB1598" s="393"/>
      <c r="MKC1598" s="392"/>
      <c r="MKD1598" s="393"/>
      <c r="MKE1598" s="392"/>
      <c r="MKF1598" s="393"/>
      <c r="MKG1598" s="392"/>
      <c r="MKH1598" s="393"/>
      <c r="MKI1598" s="392"/>
      <c r="MKJ1598" s="393"/>
      <c r="MKK1598" s="392"/>
      <c r="MKL1598" s="393"/>
      <c r="MKM1598" s="392"/>
      <c r="MKN1598" s="393"/>
      <c r="MKO1598" s="392"/>
      <c r="MKP1598" s="393"/>
      <c r="MKQ1598" s="392"/>
      <c r="MKR1598" s="393"/>
      <c r="MKS1598" s="392"/>
      <c r="MKT1598" s="393"/>
      <c r="MKU1598" s="392"/>
      <c r="MKV1598" s="393"/>
      <c r="MKW1598" s="392"/>
      <c r="MKX1598" s="393"/>
      <c r="MKY1598" s="392"/>
      <c r="MKZ1598" s="393"/>
      <c r="MLA1598" s="392"/>
      <c r="MLB1598" s="393"/>
      <c r="MLC1598" s="392"/>
      <c r="MLD1598" s="393"/>
      <c r="MLE1598" s="392"/>
      <c r="MLF1598" s="393"/>
      <c r="MLG1598" s="392"/>
      <c r="MLH1598" s="393"/>
      <c r="MLI1598" s="392"/>
      <c r="MLJ1598" s="393"/>
      <c r="MLK1598" s="392"/>
      <c r="MLL1598" s="393"/>
      <c r="MLM1598" s="392"/>
      <c r="MLN1598" s="393"/>
      <c r="MLO1598" s="392"/>
      <c r="MLP1598" s="393"/>
      <c r="MLQ1598" s="392"/>
      <c r="MLR1598" s="393"/>
      <c r="MLS1598" s="392"/>
      <c r="MLT1598" s="393"/>
      <c r="MLU1598" s="392"/>
      <c r="MLV1598" s="393"/>
      <c r="MLW1598" s="392"/>
      <c r="MLX1598" s="393"/>
      <c r="MLY1598" s="392"/>
      <c r="MLZ1598" s="393"/>
      <c r="MMA1598" s="392"/>
      <c r="MMB1598" s="393"/>
      <c r="MMC1598" s="392"/>
      <c r="MMD1598" s="393"/>
      <c r="MME1598" s="392"/>
      <c r="MMF1598" s="393"/>
      <c r="MMG1598" s="392"/>
      <c r="MMH1598" s="393"/>
      <c r="MMI1598" s="392"/>
      <c r="MMJ1598" s="393"/>
      <c r="MMK1598" s="392"/>
      <c r="MML1598" s="393"/>
      <c r="MMM1598" s="392"/>
      <c r="MMN1598" s="393"/>
      <c r="MMO1598" s="392"/>
      <c r="MMP1598" s="393"/>
      <c r="MMQ1598" s="392"/>
      <c r="MMR1598" s="393"/>
      <c r="MMS1598" s="392"/>
      <c r="MMT1598" s="393"/>
      <c r="MMU1598" s="392"/>
      <c r="MMV1598" s="393"/>
      <c r="MMW1598" s="392"/>
      <c r="MMX1598" s="393"/>
      <c r="MMY1598" s="392"/>
      <c r="MMZ1598" s="393"/>
      <c r="MNA1598" s="392"/>
      <c r="MNB1598" s="393"/>
      <c r="MNC1598" s="392"/>
      <c r="MND1598" s="393"/>
      <c r="MNE1598" s="392"/>
      <c r="MNF1598" s="393"/>
      <c r="MNG1598" s="392"/>
      <c r="MNH1598" s="393"/>
      <c r="MNI1598" s="392"/>
      <c r="MNJ1598" s="393"/>
      <c r="MNK1598" s="392"/>
      <c r="MNL1598" s="393"/>
      <c r="MNM1598" s="392"/>
      <c r="MNN1598" s="393"/>
      <c r="MNO1598" s="392"/>
      <c r="MNP1598" s="393"/>
      <c r="MNQ1598" s="392"/>
      <c r="MNR1598" s="393"/>
      <c r="MNS1598" s="392"/>
      <c r="MNT1598" s="393"/>
      <c r="MNU1598" s="392"/>
      <c r="MNV1598" s="393"/>
      <c r="MNW1598" s="392"/>
      <c r="MNX1598" s="393"/>
      <c r="MNY1598" s="392"/>
      <c r="MNZ1598" s="393"/>
      <c r="MOA1598" s="392"/>
      <c r="MOB1598" s="393"/>
      <c r="MOC1598" s="392"/>
      <c r="MOD1598" s="393"/>
      <c r="MOE1598" s="392"/>
      <c r="MOF1598" s="393"/>
      <c r="MOG1598" s="392"/>
      <c r="MOH1598" s="393"/>
      <c r="MOI1598" s="392"/>
      <c r="MOJ1598" s="393"/>
      <c r="MOK1598" s="392"/>
      <c r="MOL1598" s="393"/>
      <c r="MOM1598" s="392"/>
      <c r="MON1598" s="393"/>
      <c r="MOO1598" s="392"/>
      <c r="MOP1598" s="393"/>
      <c r="MOQ1598" s="392"/>
      <c r="MOR1598" s="393"/>
      <c r="MOS1598" s="392"/>
      <c r="MOT1598" s="393"/>
      <c r="MOU1598" s="392"/>
      <c r="MOV1598" s="393"/>
      <c r="MOW1598" s="392"/>
      <c r="MOX1598" s="393"/>
      <c r="MOY1598" s="392"/>
      <c r="MOZ1598" s="393"/>
      <c r="MPA1598" s="392"/>
      <c r="MPB1598" s="393"/>
      <c r="MPC1598" s="392"/>
      <c r="MPD1598" s="393"/>
      <c r="MPE1598" s="392"/>
      <c r="MPF1598" s="393"/>
      <c r="MPG1598" s="392"/>
      <c r="MPH1598" s="393"/>
      <c r="MPI1598" s="392"/>
      <c r="MPJ1598" s="393"/>
      <c r="MPK1598" s="392"/>
      <c r="MPL1598" s="393"/>
      <c r="MPM1598" s="392"/>
      <c r="MPN1598" s="393"/>
      <c r="MPO1598" s="392"/>
      <c r="MPP1598" s="393"/>
      <c r="MPQ1598" s="392"/>
      <c r="MPR1598" s="393"/>
      <c r="MPS1598" s="392"/>
      <c r="MPT1598" s="393"/>
      <c r="MPU1598" s="392"/>
      <c r="MPV1598" s="393"/>
      <c r="MPW1598" s="392"/>
      <c r="MPX1598" s="393"/>
      <c r="MPY1598" s="392"/>
      <c r="MPZ1598" s="393"/>
      <c r="MQA1598" s="392"/>
      <c r="MQB1598" s="393"/>
      <c r="MQC1598" s="392"/>
      <c r="MQD1598" s="393"/>
      <c r="MQE1598" s="392"/>
      <c r="MQF1598" s="393"/>
      <c r="MQG1598" s="392"/>
      <c r="MQH1598" s="393"/>
      <c r="MQI1598" s="392"/>
      <c r="MQJ1598" s="393"/>
      <c r="MQK1598" s="392"/>
      <c r="MQL1598" s="393"/>
      <c r="MQM1598" s="392"/>
      <c r="MQN1598" s="393"/>
      <c r="MQO1598" s="392"/>
      <c r="MQP1598" s="393"/>
      <c r="MQQ1598" s="392"/>
      <c r="MQR1598" s="393"/>
      <c r="MQS1598" s="392"/>
      <c r="MQT1598" s="393"/>
      <c r="MQU1598" s="392"/>
      <c r="MQV1598" s="393"/>
      <c r="MQW1598" s="392"/>
      <c r="MQX1598" s="393"/>
      <c r="MQY1598" s="392"/>
      <c r="MQZ1598" s="393"/>
      <c r="MRA1598" s="392"/>
      <c r="MRB1598" s="393"/>
      <c r="MRC1598" s="392"/>
      <c r="MRD1598" s="393"/>
      <c r="MRE1598" s="392"/>
      <c r="MRF1598" s="393"/>
      <c r="MRG1598" s="392"/>
      <c r="MRH1598" s="393"/>
      <c r="MRI1598" s="392"/>
      <c r="MRJ1598" s="393"/>
      <c r="MRK1598" s="392"/>
      <c r="MRL1598" s="393"/>
      <c r="MRM1598" s="392"/>
      <c r="MRN1598" s="393"/>
      <c r="MRO1598" s="392"/>
      <c r="MRP1598" s="393"/>
      <c r="MRQ1598" s="392"/>
      <c r="MRR1598" s="393"/>
      <c r="MRS1598" s="392"/>
      <c r="MRT1598" s="393"/>
      <c r="MRU1598" s="392"/>
      <c r="MRV1598" s="393"/>
      <c r="MRW1598" s="392"/>
      <c r="MRX1598" s="393"/>
      <c r="MRY1598" s="392"/>
      <c r="MRZ1598" s="393"/>
      <c r="MSA1598" s="392"/>
      <c r="MSB1598" s="393"/>
      <c r="MSC1598" s="392"/>
      <c r="MSD1598" s="393"/>
      <c r="MSE1598" s="392"/>
      <c r="MSF1598" s="393"/>
      <c r="MSG1598" s="392"/>
      <c r="MSH1598" s="393"/>
      <c r="MSI1598" s="392"/>
      <c r="MSJ1598" s="393"/>
      <c r="MSK1598" s="392"/>
      <c r="MSL1598" s="393"/>
      <c r="MSM1598" s="392"/>
      <c r="MSN1598" s="393"/>
      <c r="MSO1598" s="392"/>
      <c r="MSP1598" s="393"/>
      <c r="MSQ1598" s="392"/>
      <c r="MSR1598" s="393"/>
      <c r="MSS1598" s="392"/>
      <c r="MST1598" s="393"/>
      <c r="MSU1598" s="392"/>
      <c r="MSV1598" s="393"/>
      <c r="MSW1598" s="392"/>
      <c r="MSX1598" s="393"/>
      <c r="MSY1598" s="392"/>
      <c r="MSZ1598" s="393"/>
      <c r="MTA1598" s="392"/>
      <c r="MTB1598" s="393"/>
      <c r="MTC1598" s="392"/>
      <c r="MTD1598" s="393"/>
      <c r="MTE1598" s="392"/>
      <c r="MTF1598" s="393"/>
      <c r="MTG1598" s="392"/>
      <c r="MTH1598" s="393"/>
      <c r="MTI1598" s="392"/>
      <c r="MTJ1598" s="393"/>
      <c r="MTK1598" s="392"/>
      <c r="MTL1598" s="393"/>
      <c r="MTM1598" s="392"/>
      <c r="MTN1598" s="393"/>
      <c r="MTO1598" s="392"/>
      <c r="MTP1598" s="393"/>
      <c r="MTQ1598" s="392"/>
      <c r="MTR1598" s="393"/>
      <c r="MTS1598" s="392"/>
      <c r="MTT1598" s="393"/>
      <c r="MTU1598" s="392"/>
      <c r="MTV1598" s="393"/>
      <c r="MTW1598" s="392"/>
      <c r="MTX1598" s="393"/>
      <c r="MTY1598" s="392"/>
      <c r="MTZ1598" s="393"/>
      <c r="MUA1598" s="392"/>
      <c r="MUB1598" s="393"/>
      <c r="MUC1598" s="392"/>
      <c r="MUD1598" s="393"/>
      <c r="MUE1598" s="392"/>
      <c r="MUF1598" s="393"/>
      <c r="MUG1598" s="392"/>
      <c r="MUH1598" s="393"/>
      <c r="MUI1598" s="392"/>
      <c r="MUJ1598" s="393"/>
      <c r="MUK1598" s="392"/>
      <c r="MUL1598" s="393"/>
      <c r="MUM1598" s="392"/>
      <c r="MUN1598" s="393"/>
      <c r="MUO1598" s="392"/>
      <c r="MUP1598" s="393"/>
      <c r="MUQ1598" s="392"/>
      <c r="MUR1598" s="393"/>
      <c r="MUS1598" s="392"/>
      <c r="MUT1598" s="393"/>
      <c r="MUU1598" s="392"/>
      <c r="MUV1598" s="393"/>
      <c r="MUW1598" s="392"/>
      <c r="MUX1598" s="393"/>
      <c r="MUY1598" s="392"/>
      <c r="MUZ1598" s="393"/>
      <c r="MVA1598" s="392"/>
      <c r="MVB1598" s="393"/>
      <c r="MVC1598" s="392"/>
      <c r="MVD1598" s="393"/>
      <c r="MVE1598" s="392"/>
      <c r="MVF1598" s="393"/>
      <c r="MVG1598" s="392"/>
      <c r="MVH1598" s="393"/>
      <c r="MVI1598" s="392"/>
      <c r="MVJ1598" s="393"/>
      <c r="MVK1598" s="392"/>
      <c r="MVL1598" s="393"/>
      <c r="MVM1598" s="392"/>
      <c r="MVN1598" s="393"/>
      <c r="MVO1598" s="392"/>
      <c r="MVP1598" s="393"/>
      <c r="MVQ1598" s="392"/>
      <c r="MVR1598" s="393"/>
      <c r="MVS1598" s="392"/>
      <c r="MVT1598" s="393"/>
      <c r="MVU1598" s="392"/>
      <c r="MVV1598" s="393"/>
      <c r="MVW1598" s="392"/>
      <c r="MVX1598" s="393"/>
      <c r="MVY1598" s="392"/>
      <c r="MVZ1598" s="393"/>
      <c r="MWA1598" s="392"/>
      <c r="MWB1598" s="393"/>
      <c r="MWC1598" s="392"/>
      <c r="MWD1598" s="393"/>
      <c r="MWE1598" s="392"/>
      <c r="MWF1598" s="393"/>
      <c r="MWG1598" s="392"/>
      <c r="MWH1598" s="393"/>
      <c r="MWI1598" s="392"/>
      <c r="MWJ1598" s="393"/>
      <c r="MWK1598" s="392"/>
      <c r="MWL1598" s="393"/>
      <c r="MWM1598" s="392"/>
      <c r="MWN1598" s="393"/>
      <c r="MWO1598" s="392"/>
      <c r="MWP1598" s="393"/>
      <c r="MWQ1598" s="392"/>
      <c r="MWR1598" s="393"/>
      <c r="MWS1598" s="392"/>
      <c r="MWT1598" s="393"/>
      <c r="MWU1598" s="392"/>
      <c r="MWV1598" s="393"/>
      <c r="MWW1598" s="392"/>
      <c r="MWX1598" s="393"/>
      <c r="MWY1598" s="392"/>
      <c r="MWZ1598" s="393"/>
      <c r="MXA1598" s="392"/>
      <c r="MXB1598" s="393"/>
      <c r="MXC1598" s="392"/>
      <c r="MXD1598" s="393"/>
      <c r="MXE1598" s="392"/>
      <c r="MXF1598" s="393"/>
      <c r="MXG1598" s="392"/>
      <c r="MXH1598" s="393"/>
      <c r="MXI1598" s="392"/>
      <c r="MXJ1598" s="393"/>
      <c r="MXK1598" s="392"/>
      <c r="MXL1598" s="393"/>
      <c r="MXM1598" s="392"/>
      <c r="MXN1598" s="393"/>
      <c r="MXO1598" s="392"/>
      <c r="MXP1598" s="393"/>
      <c r="MXQ1598" s="392"/>
      <c r="MXR1598" s="393"/>
      <c r="MXS1598" s="392"/>
      <c r="MXT1598" s="393"/>
      <c r="MXU1598" s="392"/>
      <c r="MXV1598" s="393"/>
      <c r="MXW1598" s="392"/>
      <c r="MXX1598" s="393"/>
      <c r="MXY1598" s="392"/>
      <c r="MXZ1598" s="393"/>
      <c r="MYA1598" s="392"/>
      <c r="MYB1598" s="393"/>
      <c r="MYC1598" s="392"/>
      <c r="MYD1598" s="393"/>
      <c r="MYE1598" s="392"/>
      <c r="MYF1598" s="393"/>
      <c r="MYG1598" s="392"/>
      <c r="MYH1598" s="393"/>
      <c r="MYI1598" s="392"/>
      <c r="MYJ1598" s="393"/>
      <c r="MYK1598" s="392"/>
      <c r="MYL1598" s="393"/>
      <c r="MYM1598" s="392"/>
      <c r="MYN1598" s="393"/>
      <c r="MYO1598" s="392"/>
      <c r="MYP1598" s="393"/>
      <c r="MYQ1598" s="392"/>
      <c r="MYR1598" s="393"/>
      <c r="MYS1598" s="392"/>
      <c r="MYT1598" s="393"/>
      <c r="MYU1598" s="392"/>
      <c r="MYV1598" s="393"/>
      <c r="MYW1598" s="392"/>
      <c r="MYX1598" s="393"/>
      <c r="MYY1598" s="392"/>
      <c r="MYZ1598" s="393"/>
      <c r="MZA1598" s="392"/>
      <c r="MZB1598" s="393"/>
      <c r="MZC1598" s="392"/>
      <c r="MZD1598" s="393"/>
      <c r="MZE1598" s="392"/>
      <c r="MZF1598" s="393"/>
      <c r="MZG1598" s="392"/>
      <c r="MZH1598" s="393"/>
      <c r="MZI1598" s="392"/>
      <c r="MZJ1598" s="393"/>
      <c r="MZK1598" s="392"/>
      <c r="MZL1598" s="393"/>
      <c r="MZM1598" s="392"/>
      <c r="MZN1598" s="393"/>
      <c r="MZO1598" s="392"/>
      <c r="MZP1598" s="393"/>
      <c r="MZQ1598" s="392"/>
      <c r="MZR1598" s="393"/>
      <c r="MZS1598" s="392"/>
      <c r="MZT1598" s="393"/>
      <c r="MZU1598" s="392"/>
      <c r="MZV1598" s="393"/>
      <c r="MZW1598" s="392"/>
      <c r="MZX1598" s="393"/>
      <c r="MZY1598" s="392"/>
      <c r="MZZ1598" s="393"/>
      <c r="NAA1598" s="392"/>
      <c r="NAB1598" s="393"/>
      <c r="NAC1598" s="392"/>
      <c r="NAD1598" s="393"/>
      <c r="NAE1598" s="392"/>
      <c r="NAF1598" s="393"/>
      <c r="NAG1598" s="392"/>
      <c r="NAH1598" s="393"/>
      <c r="NAI1598" s="392"/>
      <c r="NAJ1598" s="393"/>
      <c r="NAK1598" s="392"/>
      <c r="NAL1598" s="393"/>
      <c r="NAM1598" s="392"/>
      <c r="NAN1598" s="393"/>
      <c r="NAO1598" s="392"/>
      <c r="NAP1598" s="393"/>
      <c r="NAQ1598" s="392"/>
      <c r="NAR1598" s="393"/>
      <c r="NAS1598" s="392"/>
      <c r="NAT1598" s="393"/>
      <c r="NAU1598" s="392"/>
      <c r="NAV1598" s="393"/>
      <c r="NAW1598" s="392"/>
      <c r="NAX1598" s="393"/>
      <c r="NAY1598" s="392"/>
      <c r="NAZ1598" s="393"/>
      <c r="NBA1598" s="392"/>
      <c r="NBB1598" s="393"/>
      <c r="NBC1598" s="392"/>
      <c r="NBD1598" s="393"/>
      <c r="NBE1598" s="392"/>
      <c r="NBF1598" s="393"/>
      <c r="NBG1598" s="392"/>
      <c r="NBH1598" s="393"/>
      <c r="NBI1598" s="392"/>
      <c r="NBJ1598" s="393"/>
      <c r="NBK1598" s="392"/>
      <c r="NBL1598" s="393"/>
      <c r="NBM1598" s="392"/>
      <c r="NBN1598" s="393"/>
      <c r="NBO1598" s="392"/>
      <c r="NBP1598" s="393"/>
      <c r="NBQ1598" s="392"/>
      <c r="NBR1598" s="393"/>
      <c r="NBS1598" s="392"/>
      <c r="NBT1598" s="393"/>
      <c r="NBU1598" s="392"/>
      <c r="NBV1598" s="393"/>
      <c r="NBW1598" s="392"/>
      <c r="NBX1598" s="393"/>
      <c r="NBY1598" s="392"/>
      <c r="NBZ1598" s="393"/>
      <c r="NCA1598" s="392"/>
      <c r="NCB1598" s="393"/>
      <c r="NCC1598" s="392"/>
      <c r="NCD1598" s="393"/>
      <c r="NCE1598" s="392"/>
      <c r="NCF1598" s="393"/>
      <c r="NCG1598" s="392"/>
      <c r="NCH1598" s="393"/>
      <c r="NCI1598" s="392"/>
      <c r="NCJ1598" s="393"/>
      <c r="NCK1598" s="392"/>
      <c r="NCL1598" s="393"/>
      <c r="NCM1598" s="392"/>
      <c r="NCN1598" s="393"/>
      <c r="NCO1598" s="392"/>
      <c r="NCP1598" s="393"/>
      <c r="NCQ1598" s="392"/>
      <c r="NCR1598" s="393"/>
      <c r="NCS1598" s="392"/>
      <c r="NCT1598" s="393"/>
      <c r="NCU1598" s="392"/>
      <c r="NCV1598" s="393"/>
      <c r="NCW1598" s="392"/>
      <c r="NCX1598" s="393"/>
      <c r="NCY1598" s="392"/>
      <c r="NCZ1598" s="393"/>
      <c r="NDA1598" s="392"/>
      <c r="NDB1598" s="393"/>
      <c r="NDC1598" s="392"/>
      <c r="NDD1598" s="393"/>
      <c r="NDE1598" s="392"/>
      <c r="NDF1598" s="393"/>
      <c r="NDG1598" s="392"/>
      <c r="NDH1598" s="393"/>
      <c r="NDI1598" s="392"/>
      <c r="NDJ1598" s="393"/>
      <c r="NDK1598" s="392"/>
      <c r="NDL1598" s="393"/>
      <c r="NDM1598" s="392"/>
      <c r="NDN1598" s="393"/>
      <c r="NDO1598" s="392"/>
      <c r="NDP1598" s="393"/>
      <c r="NDQ1598" s="392"/>
      <c r="NDR1598" s="393"/>
      <c r="NDS1598" s="392"/>
      <c r="NDT1598" s="393"/>
      <c r="NDU1598" s="392"/>
      <c r="NDV1598" s="393"/>
      <c r="NDW1598" s="392"/>
      <c r="NDX1598" s="393"/>
      <c r="NDY1598" s="392"/>
      <c r="NDZ1598" s="393"/>
      <c r="NEA1598" s="392"/>
      <c r="NEB1598" s="393"/>
      <c r="NEC1598" s="392"/>
      <c r="NED1598" s="393"/>
      <c r="NEE1598" s="392"/>
      <c r="NEF1598" s="393"/>
      <c r="NEG1598" s="392"/>
      <c r="NEH1598" s="393"/>
      <c r="NEI1598" s="392"/>
      <c r="NEJ1598" s="393"/>
      <c r="NEK1598" s="392"/>
      <c r="NEL1598" s="393"/>
      <c r="NEM1598" s="392"/>
      <c r="NEN1598" s="393"/>
      <c r="NEO1598" s="392"/>
      <c r="NEP1598" s="393"/>
      <c r="NEQ1598" s="392"/>
      <c r="NER1598" s="393"/>
      <c r="NES1598" s="392"/>
      <c r="NET1598" s="393"/>
      <c r="NEU1598" s="392"/>
      <c r="NEV1598" s="393"/>
      <c r="NEW1598" s="392"/>
      <c r="NEX1598" s="393"/>
      <c r="NEY1598" s="392"/>
      <c r="NEZ1598" s="393"/>
      <c r="NFA1598" s="392"/>
      <c r="NFB1598" s="393"/>
      <c r="NFC1598" s="392"/>
      <c r="NFD1598" s="393"/>
      <c r="NFE1598" s="392"/>
      <c r="NFF1598" s="393"/>
      <c r="NFG1598" s="392"/>
      <c r="NFH1598" s="393"/>
      <c r="NFI1598" s="392"/>
      <c r="NFJ1598" s="393"/>
      <c r="NFK1598" s="392"/>
      <c r="NFL1598" s="393"/>
      <c r="NFM1598" s="392"/>
      <c r="NFN1598" s="393"/>
      <c r="NFO1598" s="392"/>
      <c r="NFP1598" s="393"/>
      <c r="NFQ1598" s="392"/>
      <c r="NFR1598" s="393"/>
      <c r="NFS1598" s="392"/>
      <c r="NFT1598" s="393"/>
      <c r="NFU1598" s="392"/>
      <c r="NFV1598" s="393"/>
      <c r="NFW1598" s="392"/>
      <c r="NFX1598" s="393"/>
      <c r="NFY1598" s="392"/>
      <c r="NFZ1598" s="393"/>
      <c r="NGA1598" s="392"/>
      <c r="NGB1598" s="393"/>
      <c r="NGC1598" s="392"/>
      <c r="NGD1598" s="393"/>
      <c r="NGE1598" s="392"/>
      <c r="NGF1598" s="393"/>
      <c r="NGG1598" s="392"/>
      <c r="NGH1598" s="393"/>
      <c r="NGI1598" s="392"/>
      <c r="NGJ1598" s="393"/>
      <c r="NGK1598" s="392"/>
      <c r="NGL1598" s="393"/>
      <c r="NGM1598" s="392"/>
      <c r="NGN1598" s="393"/>
      <c r="NGO1598" s="392"/>
      <c r="NGP1598" s="393"/>
      <c r="NGQ1598" s="392"/>
      <c r="NGR1598" s="393"/>
      <c r="NGS1598" s="392"/>
      <c r="NGT1598" s="393"/>
      <c r="NGU1598" s="392"/>
      <c r="NGV1598" s="393"/>
      <c r="NGW1598" s="392"/>
      <c r="NGX1598" s="393"/>
      <c r="NGY1598" s="392"/>
      <c r="NGZ1598" s="393"/>
      <c r="NHA1598" s="392"/>
      <c r="NHB1598" s="393"/>
      <c r="NHC1598" s="392"/>
      <c r="NHD1598" s="393"/>
      <c r="NHE1598" s="392"/>
      <c r="NHF1598" s="393"/>
      <c r="NHG1598" s="392"/>
      <c r="NHH1598" s="393"/>
      <c r="NHI1598" s="392"/>
      <c r="NHJ1598" s="393"/>
      <c r="NHK1598" s="392"/>
      <c r="NHL1598" s="393"/>
      <c r="NHM1598" s="392"/>
      <c r="NHN1598" s="393"/>
      <c r="NHO1598" s="392"/>
      <c r="NHP1598" s="393"/>
      <c r="NHQ1598" s="392"/>
      <c r="NHR1598" s="393"/>
      <c r="NHS1598" s="392"/>
      <c r="NHT1598" s="393"/>
      <c r="NHU1598" s="392"/>
      <c r="NHV1598" s="393"/>
      <c r="NHW1598" s="392"/>
      <c r="NHX1598" s="393"/>
      <c r="NHY1598" s="392"/>
      <c r="NHZ1598" s="393"/>
      <c r="NIA1598" s="392"/>
      <c r="NIB1598" s="393"/>
      <c r="NIC1598" s="392"/>
      <c r="NID1598" s="393"/>
      <c r="NIE1598" s="392"/>
      <c r="NIF1598" s="393"/>
      <c r="NIG1598" s="392"/>
      <c r="NIH1598" s="393"/>
      <c r="NII1598" s="392"/>
      <c r="NIJ1598" s="393"/>
      <c r="NIK1598" s="392"/>
      <c r="NIL1598" s="393"/>
      <c r="NIM1598" s="392"/>
      <c r="NIN1598" s="393"/>
      <c r="NIO1598" s="392"/>
      <c r="NIP1598" s="393"/>
      <c r="NIQ1598" s="392"/>
      <c r="NIR1598" s="393"/>
      <c r="NIS1598" s="392"/>
      <c r="NIT1598" s="393"/>
      <c r="NIU1598" s="392"/>
      <c r="NIV1598" s="393"/>
      <c r="NIW1598" s="392"/>
      <c r="NIX1598" s="393"/>
      <c r="NIY1598" s="392"/>
      <c r="NIZ1598" s="393"/>
      <c r="NJA1598" s="392"/>
      <c r="NJB1598" s="393"/>
      <c r="NJC1598" s="392"/>
      <c r="NJD1598" s="393"/>
      <c r="NJE1598" s="392"/>
      <c r="NJF1598" s="393"/>
      <c r="NJG1598" s="392"/>
      <c r="NJH1598" s="393"/>
      <c r="NJI1598" s="392"/>
      <c r="NJJ1598" s="393"/>
      <c r="NJK1598" s="392"/>
      <c r="NJL1598" s="393"/>
      <c r="NJM1598" s="392"/>
      <c r="NJN1598" s="393"/>
      <c r="NJO1598" s="392"/>
      <c r="NJP1598" s="393"/>
      <c r="NJQ1598" s="392"/>
      <c r="NJR1598" s="393"/>
      <c r="NJS1598" s="392"/>
      <c r="NJT1598" s="393"/>
      <c r="NJU1598" s="392"/>
      <c r="NJV1598" s="393"/>
      <c r="NJW1598" s="392"/>
      <c r="NJX1598" s="393"/>
      <c r="NJY1598" s="392"/>
      <c r="NJZ1598" s="393"/>
      <c r="NKA1598" s="392"/>
      <c r="NKB1598" s="393"/>
      <c r="NKC1598" s="392"/>
      <c r="NKD1598" s="393"/>
      <c r="NKE1598" s="392"/>
      <c r="NKF1598" s="393"/>
      <c r="NKG1598" s="392"/>
      <c r="NKH1598" s="393"/>
      <c r="NKI1598" s="392"/>
      <c r="NKJ1598" s="393"/>
      <c r="NKK1598" s="392"/>
      <c r="NKL1598" s="393"/>
      <c r="NKM1598" s="392"/>
      <c r="NKN1598" s="393"/>
      <c r="NKO1598" s="392"/>
      <c r="NKP1598" s="393"/>
      <c r="NKQ1598" s="392"/>
      <c r="NKR1598" s="393"/>
      <c r="NKS1598" s="392"/>
      <c r="NKT1598" s="393"/>
      <c r="NKU1598" s="392"/>
      <c r="NKV1598" s="393"/>
      <c r="NKW1598" s="392"/>
      <c r="NKX1598" s="393"/>
      <c r="NKY1598" s="392"/>
      <c r="NKZ1598" s="393"/>
      <c r="NLA1598" s="392"/>
      <c r="NLB1598" s="393"/>
      <c r="NLC1598" s="392"/>
      <c r="NLD1598" s="393"/>
      <c r="NLE1598" s="392"/>
      <c r="NLF1598" s="393"/>
      <c r="NLG1598" s="392"/>
      <c r="NLH1598" s="393"/>
      <c r="NLI1598" s="392"/>
      <c r="NLJ1598" s="393"/>
      <c r="NLK1598" s="392"/>
      <c r="NLL1598" s="393"/>
      <c r="NLM1598" s="392"/>
      <c r="NLN1598" s="393"/>
      <c r="NLO1598" s="392"/>
      <c r="NLP1598" s="393"/>
      <c r="NLQ1598" s="392"/>
      <c r="NLR1598" s="393"/>
      <c r="NLS1598" s="392"/>
      <c r="NLT1598" s="393"/>
      <c r="NLU1598" s="392"/>
      <c r="NLV1598" s="393"/>
      <c r="NLW1598" s="392"/>
      <c r="NLX1598" s="393"/>
      <c r="NLY1598" s="392"/>
      <c r="NLZ1598" s="393"/>
      <c r="NMA1598" s="392"/>
      <c r="NMB1598" s="393"/>
      <c r="NMC1598" s="392"/>
      <c r="NMD1598" s="393"/>
      <c r="NME1598" s="392"/>
      <c r="NMF1598" s="393"/>
      <c r="NMG1598" s="392"/>
      <c r="NMH1598" s="393"/>
      <c r="NMI1598" s="392"/>
      <c r="NMJ1598" s="393"/>
      <c r="NMK1598" s="392"/>
      <c r="NML1598" s="393"/>
      <c r="NMM1598" s="392"/>
      <c r="NMN1598" s="393"/>
      <c r="NMO1598" s="392"/>
      <c r="NMP1598" s="393"/>
      <c r="NMQ1598" s="392"/>
      <c r="NMR1598" s="393"/>
      <c r="NMS1598" s="392"/>
      <c r="NMT1598" s="393"/>
      <c r="NMU1598" s="392"/>
      <c r="NMV1598" s="393"/>
      <c r="NMW1598" s="392"/>
      <c r="NMX1598" s="393"/>
      <c r="NMY1598" s="392"/>
      <c r="NMZ1598" s="393"/>
      <c r="NNA1598" s="392"/>
      <c r="NNB1598" s="393"/>
      <c r="NNC1598" s="392"/>
      <c r="NND1598" s="393"/>
      <c r="NNE1598" s="392"/>
      <c r="NNF1598" s="393"/>
      <c r="NNG1598" s="392"/>
      <c r="NNH1598" s="393"/>
      <c r="NNI1598" s="392"/>
      <c r="NNJ1598" s="393"/>
      <c r="NNK1598" s="392"/>
      <c r="NNL1598" s="393"/>
      <c r="NNM1598" s="392"/>
      <c r="NNN1598" s="393"/>
      <c r="NNO1598" s="392"/>
      <c r="NNP1598" s="393"/>
      <c r="NNQ1598" s="392"/>
      <c r="NNR1598" s="393"/>
      <c r="NNS1598" s="392"/>
      <c r="NNT1598" s="393"/>
      <c r="NNU1598" s="392"/>
      <c r="NNV1598" s="393"/>
      <c r="NNW1598" s="392"/>
      <c r="NNX1598" s="393"/>
      <c r="NNY1598" s="392"/>
      <c r="NNZ1598" s="393"/>
      <c r="NOA1598" s="392"/>
      <c r="NOB1598" s="393"/>
      <c r="NOC1598" s="392"/>
      <c r="NOD1598" s="393"/>
      <c r="NOE1598" s="392"/>
      <c r="NOF1598" s="393"/>
      <c r="NOG1598" s="392"/>
      <c r="NOH1598" s="393"/>
      <c r="NOI1598" s="392"/>
      <c r="NOJ1598" s="393"/>
      <c r="NOK1598" s="392"/>
      <c r="NOL1598" s="393"/>
      <c r="NOM1598" s="392"/>
      <c r="NON1598" s="393"/>
      <c r="NOO1598" s="392"/>
      <c r="NOP1598" s="393"/>
      <c r="NOQ1598" s="392"/>
      <c r="NOR1598" s="393"/>
      <c r="NOS1598" s="392"/>
      <c r="NOT1598" s="393"/>
      <c r="NOU1598" s="392"/>
      <c r="NOV1598" s="393"/>
      <c r="NOW1598" s="392"/>
      <c r="NOX1598" s="393"/>
      <c r="NOY1598" s="392"/>
      <c r="NOZ1598" s="393"/>
      <c r="NPA1598" s="392"/>
      <c r="NPB1598" s="393"/>
      <c r="NPC1598" s="392"/>
      <c r="NPD1598" s="393"/>
      <c r="NPE1598" s="392"/>
      <c r="NPF1598" s="393"/>
      <c r="NPG1598" s="392"/>
      <c r="NPH1598" s="393"/>
      <c r="NPI1598" s="392"/>
      <c r="NPJ1598" s="393"/>
      <c r="NPK1598" s="392"/>
      <c r="NPL1598" s="393"/>
      <c r="NPM1598" s="392"/>
      <c r="NPN1598" s="393"/>
      <c r="NPO1598" s="392"/>
      <c r="NPP1598" s="393"/>
      <c r="NPQ1598" s="392"/>
      <c r="NPR1598" s="393"/>
      <c r="NPS1598" s="392"/>
      <c r="NPT1598" s="393"/>
      <c r="NPU1598" s="392"/>
      <c r="NPV1598" s="393"/>
      <c r="NPW1598" s="392"/>
      <c r="NPX1598" s="393"/>
      <c r="NPY1598" s="392"/>
      <c r="NPZ1598" s="393"/>
      <c r="NQA1598" s="392"/>
      <c r="NQB1598" s="393"/>
      <c r="NQC1598" s="392"/>
      <c r="NQD1598" s="393"/>
      <c r="NQE1598" s="392"/>
      <c r="NQF1598" s="393"/>
      <c r="NQG1598" s="392"/>
      <c r="NQH1598" s="393"/>
      <c r="NQI1598" s="392"/>
      <c r="NQJ1598" s="393"/>
      <c r="NQK1598" s="392"/>
      <c r="NQL1598" s="393"/>
      <c r="NQM1598" s="392"/>
      <c r="NQN1598" s="393"/>
      <c r="NQO1598" s="392"/>
      <c r="NQP1598" s="393"/>
      <c r="NQQ1598" s="392"/>
      <c r="NQR1598" s="393"/>
      <c r="NQS1598" s="392"/>
      <c r="NQT1598" s="393"/>
      <c r="NQU1598" s="392"/>
      <c r="NQV1598" s="393"/>
      <c r="NQW1598" s="392"/>
      <c r="NQX1598" s="393"/>
      <c r="NQY1598" s="392"/>
      <c r="NQZ1598" s="393"/>
      <c r="NRA1598" s="392"/>
      <c r="NRB1598" s="393"/>
      <c r="NRC1598" s="392"/>
      <c r="NRD1598" s="393"/>
      <c r="NRE1598" s="392"/>
      <c r="NRF1598" s="393"/>
      <c r="NRG1598" s="392"/>
      <c r="NRH1598" s="393"/>
      <c r="NRI1598" s="392"/>
      <c r="NRJ1598" s="393"/>
      <c r="NRK1598" s="392"/>
      <c r="NRL1598" s="393"/>
      <c r="NRM1598" s="392"/>
      <c r="NRN1598" s="393"/>
      <c r="NRO1598" s="392"/>
      <c r="NRP1598" s="393"/>
      <c r="NRQ1598" s="392"/>
      <c r="NRR1598" s="393"/>
      <c r="NRS1598" s="392"/>
      <c r="NRT1598" s="393"/>
      <c r="NRU1598" s="392"/>
      <c r="NRV1598" s="393"/>
      <c r="NRW1598" s="392"/>
      <c r="NRX1598" s="393"/>
      <c r="NRY1598" s="392"/>
      <c r="NRZ1598" s="393"/>
      <c r="NSA1598" s="392"/>
      <c r="NSB1598" s="393"/>
      <c r="NSC1598" s="392"/>
      <c r="NSD1598" s="393"/>
      <c r="NSE1598" s="392"/>
      <c r="NSF1598" s="393"/>
      <c r="NSG1598" s="392"/>
      <c r="NSH1598" s="393"/>
      <c r="NSI1598" s="392"/>
      <c r="NSJ1598" s="393"/>
      <c r="NSK1598" s="392"/>
      <c r="NSL1598" s="393"/>
      <c r="NSM1598" s="392"/>
      <c r="NSN1598" s="393"/>
      <c r="NSO1598" s="392"/>
      <c r="NSP1598" s="393"/>
      <c r="NSQ1598" s="392"/>
      <c r="NSR1598" s="393"/>
      <c r="NSS1598" s="392"/>
      <c r="NST1598" s="393"/>
      <c r="NSU1598" s="392"/>
      <c r="NSV1598" s="393"/>
      <c r="NSW1598" s="392"/>
      <c r="NSX1598" s="393"/>
      <c r="NSY1598" s="392"/>
      <c r="NSZ1598" s="393"/>
      <c r="NTA1598" s="392"/>
      <c r="NTB1598" s="393"/>
      <c r="NTC1598" s="392"/>
      <c r="NTD1598" s="393"/>
      <c r="NTE1598" s="392"/>
      <c r="NTF1598" s="393"/>
      <c r="NTG1598" s="392"/>
      <c r="NTH1598" s="393"/>
      <c r="NTI1598" s="392"/>
      <c r="NTJ1598" s="393"/>
      <c r="NTK1598" s="392"/>
      <c r="NTL1598" s="393"/>
      <c r="NTM1598" s="392"/>
      <c r="NTN1598" s="393"/>
      <c r="NTO1598" s="392"/>
      <c r="NTP1598" s="393"/>
      <c r="NTQ1598" s="392"/>
      <c r="NTR1598" s="393"/>
      <c r="NTS1598" s="392"/>
      <c r="NTT1598" s="393"/>
      <c r="NTU1598" s="392"/>
      <c r="NTV1598" s="393"/>
      <c r="NTW1598" s="392"/>
      <c r="NTX1598" s="393"/>
      <c r="NTY1598" s="392"/>
      <c r="NTZ1598" s="393"/>
      <c r="NUA1598" s="392"/>
      <c r="NUB1598" s="393"/>
      <c r="NUC1598" s="392"/>
      <c r="NUD1598" s="393"/>
      <c r="NUE1598" s="392"/>
      <c r="NUF1598" s="393"/>
      <c r="NUG1598" s="392"/>
      <c r="NUH1598" s="393"/>
      <c r="NUI1598" s="392"/>
      <c r="NUJ1598" s="393"/>
      <c r="NUK1598" s="392"/>
      <c r="NUL1598" s="393"/>
      <c r="NUM1598" s="392"/>
      <c r="NUN1598" s="393"/>
      <c r="NUO1598" s="392"/>
      <c r="NUP1598" s="393"/>
      <c r="NUQ1598" s="392"/>
      <c r="NUR1598" s="393"/>
      <c r="NUS1598" s="392"/>
      <c r="NUT1598" s="393"/>
      <c r="NUU1598" s="392"/>
      <c r="NUV1598" s="393"/>
      <c r="NUW1598" s="392"/>
      <c r="NUX1598" s="393"/>
      <c r="NUY1598" s="392"/>
      <c r="NUZ1598" s="393"/>
      <c r="NVA1598" s="392"/>
      <c r="NVB1598" s="393"/>
      <c r="NVC1598" s="392"/>
      <c r="NVD1598" s="393"/>
      <c r="NVE1598" s="392"/>
      <c r="NVF1598" s="393"/>
      <c r="NVG1598" s="392"/>
      <c r="NVH1598" s="393"/>
      <c r="NVI1598" s="392"/>
      <c r="NVJ1598" s="393"/>
      <c r="NVK1598" s="392"/>
      <c r="NVL1598" s="393"/>
      <c r="NVM1598" s="392"/>
      <c r="NVN1598" s="393"/>
      <c r="NVO1598" s="392"/>
      <c r="NVP1598" s="393"/>
      <c r="NVQ1598" s="392"/>
      <c r="NVR1598" s="393"/>
      <c r="NVS1598" s="392"/>
      <c r="NVT1598" s="393"/>
      <c r="NVU1598" s="392"/>
      <c r="NVV1598" s="393"/>
      <c r="NVW1598" s="392"/>
      <c r="NVX1598" s="393"/>
      <c r="NVY1598" s="392"/>
      <c r="NVZ1598" s="393"/>
      <c r="NWA1598" s="392"/>
      <c r="NWB1598" s="393"/>
      <c r="NWC1598" s="392"/>
      <c r="NWD1598" s="393"/>
      <c r="NWE1598" s="392"/>
      <c r="NWF1598" s="393"/>
      <c r="NWG1598" s="392"/>
      <c r="NWH1598" s="393"/>
      <c r="NWI1598" s="392"/>
      <c r="NWJ1598" s="393"/>
      <c r="NWK1598" s="392"/>
      <c r="NWL1598" s="393"/>
      <c r="NWM1598" s="392"/>
      <c r="NWN1598" s="393"/>
      <c r="NWO1598" s="392"/>
      <c r="NWP1598" s="393"/>
      <c r="NWQ1598" s="392"/>
      <c r="NWR1598" s="393"/>
      <c r="NWS1598" s="392"/>
      <c r="NWT1598" s="393"/>
      <c r="NWU1598" s="392"/>
      <c r="NWV1598" s="393"/>
      <c r="NWW1598" s="392"/>
      <c r="NWX1598" s="393"/>
      <c r="NWY1598" s="392"/>
      <c r="NWZ1598" s="393"/>
      <c r="NXA1598" s="392"/>
      <c r="NXB1598" s="393"/>
      <c r="NXC1598" s="392"/>
      <c r="NXD1598" s="393"/>
      <c r="NXE1598" s="392"/>
      <c r="NXF1598" s="393"/>
      <c r="NXG1598" s="392"/>
      <c r="NXH1598" s="393"/>
      <c r="NXI1598" s="392"/>
      <c r="NXJ1598" s="393"/>
      <c r="NXK1598" s="392"/>
      <c r="NXL1598" s="393"/>
      <c r="NXM1598" s="392"/>
      <c r="NXN1598" s="393"/>
      <c r="NXO1598" s="392"/>
      <c r="NXP1598" s="393"/>
      <c r="NXQ1598" s="392"/>
      <c r="NXR1598" s="393"/>
      <c r="NXS1598" s="392"/>
      <c r="NXT1598" s="393"/>
      <c r="NXU1598" s="392"/>
      <c r="NXV1598" s="393"/>
      <c r="NXW1598" s="392"/>
      <c r="NXX1598" s="393"/>
      <c r="NXY1598" s="392"/>
      <c r="NXZ1598" s="393"/>
      <c r="NYA1598" s="392"/>
      <c r="NYB1598" s="393"/>
      <c r="NYC1598" s="392"/>
      <c r="NYD1598" s="393"/>
      <c r="NYE1598" s="392"/>
      <c r="NYF1598" s="393"/>
      <c r="NYG1598" s="392"/>
      <c r="NYH1598" s="393"/>
      <c r="NYI1598" s="392"/>
      <c r="NYJ1598" s="393"/>
      <c r="NYK1598" s="392"/>
      <c r="NYL1598" s="393"/>
      <c r="NYM1598" s="392"/>
      <c r="NYN1598" s="393"/>
      <c r="NYO1598" s="392"/>
      <c r="NYP1598" s="393"/>
      <c r="NYQ1598" s="392"/>
      <c r="NYR1598" s="393"/>
      <c r="NYS1598" s="392"/>
      <c r="NYT1598" s="393"/>
      <c r="NYU1598" s="392"/>
      <c r="NYV1598" s="393"/>
      <c r="NYW1598" s="392"/>
      <c r="NYX1598" s="393"/>
      <c r="NYY1598" s="392"/>
      <c r="NYZ1598" s="393"/>
      <c r="NZA1598" s="392"/>
      <c r="NZB1598" s="393"/>
      <c r="NZC1598" s="392"/>
      <c r="NZD1598" s="393"/>
      <c r="NZE1598" s="392"/>
      <c r="NZF1598" s="393"/>
      <c r="NZG1598" s="392"/>
      <c r="NZH1598" s="393"/>
      <c r="NZI1598" s="392"/>
      <c r="NZJ1598" s="393"/>
      <c r="NZK1598" s="392"/>
      <c r="NZL1598" s="393"/>
      <c r="NZM1598" s="392"/>
      <c r="NZN1598" s="393"/>
      <c r="NZO1598" s="392"/>
      <c r="NZP1598" s="393"/>
      <c r="NZQ1598" s="392"/>
      <c r="NZR1598" s="393"/>
      <c r="NZS1598" s="392"/>
      <c r="NZT1598" s="393"/>
      <c r="NZU1598" s="392"/>
      <c r="NZV1598" s="393"/>
      <c r="NZW1598" s="392"/>
      <c r="NZX1598" s="393"/>
      <c r="NZY1598" s="392"/>
      <c r="NZZ1598" s="393"/>
      <c r="OAA1598" s="392"/>
      <c r="OAB1598" s="393"/>
      <c r="OAC1598" s="392"/>
      <c r="OAD1598" s="393"/>
      <c r="OAE1598" s="392"/>
      <c r="OAF1598" s="393"/>
      <c r="OAG1598" s="392"/>
      <c r="OAH1598" s="393"/>
      <c r="OAI1598" s="392"/>
      <c r="OAJ1598" s="393"/>
      <c r="OAK1598" s="392"/>
      <c r="OAL1598" s="393"/>
      <c r="OAM1598" s="392"/>
      <c r="OAN1598" s="393"/>
      <c r="OAO1598" s="392"/>
      <c r="OAP1598" s="393"/>
      <c r="OAQ1598" s="392"/>
      <c r="OAR1598" s="393"/>
      <c r="OAS1598" s="392"/>
      <c r="OAT1598" s="393"/>
      <c r="OAU1598" s="392"/>
      <c r="OAV1598" s="393"/>
      <c r="OAW1598" s="392"/>
      <c r="OAX1598" s="393"/>
      <c r="OAY1598" s="392"/>
      <c r="OAZ1598" s="393"/>
      <c r="OBA1598" s="392"/>
      <c r="OBB1598" s="393"/>
      <c r="OBC1598" s="392"/>
      <c r="OBD1598" s="393"/>
      <c r="OBE1598" s="392"/>
      <c r="OBF1598" s="393"/>
      <c r="OBG1598" s="392"/>
      <c r="OBH1598" s="393"/>
      <c r="OBI1598" s="392"/>
      <c r="OBJ1598" s="393"/>
      <c r="OBK1598" s="392"/>
      <c r="OBL1598" s="393"/>
      <c r="OBM1598" s="392"/>
      <c r="OBN1598" s="393"/>
      <c r="OBO1598" s="392"/>
      <c r="OBP1598" s="393"/>
      <c r="OBQ1598" s="392"/>
      <c r="OBR1598" s="393"/>
      <c r="OBS1598" s="392"/>
      <c r="OBT1598" s="393"/>
      <c r="OBU1598" s="392"/>
      <c r="OBV1598" s="393"/>
      <c r="OBW1598" s="392"/>
      <c r="OBX1598" s="393"/>
      <c r="OBY1598" s="392"/>
      <c r="OBZ1598" s="393"/>
      <c r="OCA1598" s="392"/>
      <c r="OCB1598" s="393"/>
      <c r="OCC1598" s="392"/>
      <c r="OCD1598" s="393"/>
      <c r="OCE1598" s="392"/>
      <c r="OCF1598" s="393"/>
      <c r="OCG1598" s="392"/>
      <c r="OCH1598" s="393"/>
      <c r="OCI1598" s="392"/>
      <c r="OCJ1598" s="393"/>
      <c r="OCK1598" s="392"/>
      <c r="OCL1598" s="393"/>
      <c r="OCM1598" s="392"/>
      <c r="OCN1598" s="393"/>
      <c r="OCO1598" s="392"/>
      <c r="OCP1598" s="393"/>
      <c r="OCQ1598" s="392"/>
      <c r="OCR1598" s="393"/>
      <c r="OCS1598" s="392"/>
      <c r="OCT1598" s="393"/>
      <c r="OCU1598" s="392"/>
      <c r="OCV1598" s="393"/>
      <c r="OCW1598" s="392"/>
      <c r="OCX1598" s="393"/>
      <c r="OCY1598" s="392"/>
      <c r="OCZ1598" s="393"/>
      <c r="ODA1598" s="392"/>
      <c r="ODB1598" s="393"/>
      <c r="ODC1598" s="392"/>
      <c r="ODD1598" s="393"/>
      <c r="ODE1598" s="392"/>
      <c r="ODF1598" s="393"/>
      <c r="ODG1598" s="392"/>
      <c r="ODH1598" s="393"/>
      <c r="ODI1598" s="392"/>
      <c r="ODJ1598" s="393"/>
      <c r="ODK1598" s="392"/>
      <c r="ODL1598" s="393"/>
      <c r="ODM1598" s="392"/>
      <c r="ODN1598" s="393"/>
      <c r="ODO1598" s="392"/>
      <c r="ODP1598" s="393"/>
      <c r="ODQ1598" s="392"/>
      <c r="ODR1598" s="393"/>
      <c r="ODS1598" s="392"/>
      <c r="ODT1598" s="393"/>
      <c r="ODU1598" s="392"/>
      <c r="ODV1598" s="393"/>
      <c r="ODW1598" s="392"/>
      <c r="ODX1598" s="393"/>
      <c r="ODY1598" s="392"/>
      <c r="ODZ1598" s="393"/>
      <c r="OEA1598" s="392"/>
      <c r="OEB1598" s="393"/>
      <c r="OEC1598" s="392"/>
      <c r="OED1598" s="393"/>
      <c r="OEE1598" s="392"/>
      <c r="OEF1598" s="393"/>
      <c r="OEG1598" s="392"/>
      <c r="OEH1598" s="393"/>
      <c r="OEI1598" s="392"/>
      <c r="OEJ1598" s="393"/>
      <c r="OEK1598" s="392"/>
      <c r="OEL1598" s="393"/>
      <c r="OEM1598" s="392"/>
      <c r="OEN1598" s="393"/>
      <c r="OEO1598" s="392"/>
      <c r="OEP1598" s="393"/>
      <c r="OEQ1598" s="392"/>
      <c r="OER1598" s="393"/>
      <c r="OES1598" s="392"/>
      <c r="OET1598" s="393"/>
      <c r="OEU1598" s="392"/>
      <c r="OEV1598" s="393"/>
      <c r="OEW1598" s="392"/>
      <c r="OEX1598" s="393"/>
      <c r="OEY1598" s="392"/>
      <c r="OEZ1598" s="393"/>
      <c r="OFA1598" s="392"/>
      <c r="OFB1598" s="393"/>
      <c r="OFC1598" s="392"/>
      <c r="OFD1598" s="393"/>
      <c r="OFE1598" s="392"/>
      <c r="OFF1598" s="393"/>
      <c r="OFG1598" s="392"/>
      <c r="OFH1598" s="393"/>
      <c r="OFI1598" s="392"/>
      <c r="OFJ1598" s="393"/>
      <c r="OFK1598" s="392"/>
      <c r="OFL1598" s="393"/>
      <c r="OFM1598" s="392"/>
      <c r="OFN1598" s="393"/>
      <c r="OFO1598" s="392"/>
      <c r="OFP1598" s="393"/>
      <c r="OFQ1598" s="392"/>
      <c r="OFR1598" s="393"/>
      <c r="OFS1598" s="392"/>
      <c r="OFT1598" s="393"/>
      <c r="OFU1598" s="392"/>
      <c r="OFV1598" s="393"/>
      <c r="OFW1598" s="392"/>
      <c r="OFX1598" s="393"/>
      <c r="OFY1598" s="392"/>
      <c r="OFZ1598" s="393"/>
      <c r="OGA1598" s="392"/>
      <c r="OGB1598" s="393"/>
      <c r="OGC1598" s="392"/>
      <c r="OGD1598" s="393"/>
      <c r="OGE1598" s="392"/>
      <c r="OGF1598" s="393"/>
      <c r="OGG1598" s="392"/>
      <c r="OGH1598" s="393"/>
      <c r="OGI1598" s="392"/>
      <c r="OGJ1598" s="393"/>
      <c r="OGK1598" s="392"/>
      <c r="OGL1598" s="393"/>
      <c r="OGM1598" s="392"/>
      <c r="OGN1598" s="393"/>
      <c r="OGO1598" s="392"/>
      <c r="OGP1598" s="393"/>
      <c r="OGQ1598" s="392"/>
      <c r="OGR1598" s="393"/>
      <c r="OGS1598" s="392"/>
      <c r="OGT1598" s="393"/>
      <c r="OGU1598" s="392"/>
      <c r="OGV1598" s="393"/>
      <c r="OGW1598" s="392"/>
      <c r="OGX1598" s="393"/>
      <c r="OGY1598" s="392"/>
      <c r="OGZ1598" s="393"/>
      <c r="OHA1598" s="392"/>
      <c r="OHB1598" s="393"/>
      <c r="OHC1598" s="392"/>
      <c r="OHD1598" s="393"/>
      <c r="OHE1598" s="392"/>
      <c r="OHF1598" s="393"/>
      <c r="OHG1598" s="392"/>
      <c r="OHH1598" s="393"/>
      <c r="OHI1598" s="392"/>
      <c r="OHJ1598" s="393"/>
      <c r="OHK1598" s="392"/>
      <c r="OHL1598" s="393"/>
      <c r="OHM1598" s="392"/>
      <c r="OHN1598" s="393"/>
      <c r="OHO1598" s="392"/>
      <c r="OHP1598" s="393"/>
      <c r="OHQ1598" s="392"/>
      <c r="OHR1598" s="393"/>
      <c r="OHS1598" s="392"/>
      <c r="OHT1598" s="393"/>
      <c r="OHU1598" s="392"/>
      <c r="OHV1598" s="393"/>
      <c r="OHW1598" s="392"/>
      <c r="OHX1598" s="393"/>
      <c r="OHY1598" s="392"/>
      <c r="OHZ1598" s="393"/>
      <c r="OIA1598" s="392"/>
      <c r="OIB1598" s="393"/>
      <c r="OIC1598" s="392"/>
      <c r="OID1598" s="393"/>
      <c r="OIE1598" s="392"/>
      <c r="OIF1598" s="393"/>
      <c r="OIG1598" s="392"/>
      <c r="OIH1598" s="393"/>
      <c r="OII1598" s="392"/>
      <c r="OIJ1598" s="393"/>
      <c r="OIK1598" s="392"/>
      <c r="OIL1598" s="393"/>
      <c r="OIM1598" s="392"/>
      <c r="OIN1598" s="393"/>
      <c r="OIO1598" s="392"/>
      <c r="OIP1598" s="393"/>
      <c r="OIQ1598" s="392"/>
      <c r="OIR1598" s="393"/>
      <c r="OIS1598" s="392"/>
      <c r="OIT1598" s="393"/>
      <c r="OIU1598" s="392"/>
      <c r="OIV1598" s="393"/>
      <c r="OIW1598" s="392"/>
      <c r="OIX1598" s="393"/>
      <c r="OIY1598" s="392"/>
      <c r="OIZ1598" s="393"/>
      <c r="OJA1598" s="392"/>
      <c r="OJB1598" s="393"/>
      <c r="OJC1598" s="392"/>
      <c r="OJD1598" s="393"/>
      <c r="OJE1598" s="392"/>
      <c r="OJF1598" s="393"/>
      <c r="OJG1598" s="392"/>
      <c r="OJH1598" s="393"/>
      <c r="OJI1598" s="392"/>
      <c r="OJJ1598" s="393"/>
      <c r="OJK1598" s="392"/>
      <c r="OJL1598" s="393"/>
      <c r="OJM1598" s="392"/>
      <c r="OJN1598" s="393"/>
      <c r="OJO1598" s="392"/>
      <c r="OJP1598" s="393"/>
      <c r="OJQ1598" s="392"/>
      <c r="OJR1598" s="393"/>
      <c r="OJS1598" s="392"/>
      <c r="OJT1598" s="393"/>
      <c r="OJU1598" s="392"/>
      <c r="OJV1598" s="393"/>
      <c r="OJW1598" s="392"/>
      <c r="OJX1598" s="393"/>
      <c r="OJY1598" s="392"/>
      <c r="OJZ1598" s="393"/>
      <c r="OKA1598" s="392"/>
      <c r="OKB1598" s="393"/>
      <c r="OKC1598" s="392"/>
      <c r="OKD1598" s="393"/>
      <c r="OKE1598" s="392"/>
      <c r="OKF1598" s="393"/>
      <c r="OKG1598" s="392"/>
      <c r="OKH1598" s="393"/>
      <c r="OKI1598" s="392"/>
      <c r="OKJ1598" s="393"/>
      <c r="OKK1598" s="392"/>
      <c r="OKL1598" s="393"/>
      <c r="OKM1598" s="392"/>
      <c r="OKN1598" s="393"/>
      <c r="OKO1598" s="392"/>
      <c r="OKP1598" s="393"/>
      <c r="OKQ1598" s="392"/>
      <c r="OKR1598" s="393"/>
      <c r="OKS1598" s="392"/>
      <c r="OKT1598" s="393"/>
      <c r="OKU1598" s="392"/>
      <c r="OKV1598" s="393"/>
      <c r="OKW1598" s="392"/>
      <c r="OKX1598" s="393"/>
      <c r="OKY1598" s="392"/>
      <c r="OKZ1598" s="393"/>
      <c r="OLA1598" s="392"/>
      <c r="OLB1598" s="393"/>
      <c r="OLC1598" s="392"/>
      <c r="OLD1598" s="393"/>
      <c r="OLE1598" s="392"/>
      <c r="OLF1598" s="393"/>
      <c r="OLG1598" s="392"/>
      <c r="OLH1598" s="393"/>
      <c r="OLI1598" s="392"/>
      <c r="OLJ1598" s="393"/>
      <c r="OLK1598" s="392"/>
      <c r="OLL1598" s="393"/>
      <c r="OLM1598" s="392"/>
      <c r="OLN1598" s="393"/>
      <c r="OLO1598" s="392"/>
      <c r="OLP1598" s="393"/>
      <c r="OLQ1598" s="392"/>
      <c r="OLR1598" s="393"/>
      <c r="OLS1598" s="392"/>
      <c r="OLT1598" s="393"/>
      <c r="OLU1598" s="392"/>
      <c r="OLV1598" s="393"/>
      <c r="OLW1598" s="392"/>
      <c r="OLX1598" s="393"/>
      <c r="OLY1598" s="392"/>
      <c r="OLZ1598" s="393"/>
      <c r="OMA1598" s="392"/>
      <c r="OMB1598" s="393"/>
      <c r="OMC1598" s="392"/>
      <c r="OMD1598" s="393"/>
      <c r="OME1598" s="392"/>
      <c r="OMF1598" s="393"/>
      <c r="OMG1598" s="392"/>
      <c r="OMH1598" s="393"/>
      <c r="OMI1598" s="392"/>
      <c r="OMJ1598" s="393"/>
      <c r="OMK1598" s="392"/>
      <c r="OML1598" s="393"/>
      <c r="OMM1598" s="392"/>
      <c r="OMN1598" s="393"/>
      <c r="OMO1598" s="392"/>
      <c r="OMP1598" s="393"/>
      <c r="OMQ1598" s="392"/>
      <c r="OMR1598" s="393"/>
      <c r="OMS1598" s="392"/>
      <c r="OMT1598" s="393"/>
      <c r="OMU1598" s="392"/>
      <c r="OMV1598" s="393"/>
      <c r="OMW1598" s="392"/>
      <c r="OMX1598" s="393"/>
      <c r="OMY1598" s="392"/>
      <c r="OMZ1598" s="393"/>
      <c r="ONA1598" s="392"/>
      <c r="ONB1598" s="393"/>
      <c r="ONC1598" s="392"/>
      <c r="OND1598" s="393"/>
      <c r="ONE1598" s="392"/>
      <c r="ONF1598" s="393"/>
      <c r="ONG1598" s="392"/>
      <c r="ONH1598" s="393"/>
      <c r="ONI1598" s="392"/>
      <c r="ONJ1598" s="393"/>
      <c r="ONK1598" s="392"/>
      <c r="ONL1598" s="393"/>
      <c r="ONM1598" s="392"/>
      <c r="ONN1598" s="393"/>
      <c r="ONO1598" s="392"/>
      <c r="ONP1598" s="393"/>
      <c r="ONQ1598" s="392"/>
      <c r="ONR1598" s="393"/>
      <c r="ONS1598" s="392"/>
      <c r="ONT1598" s="393"/>
      <c r="ONU1598" s="392"/>
      <c r="ONV1598" s="393"/>
      <c r="ONW1598" s="392"/>
      <c r="ONX1598" s="393"/>
      <c r="ONY1598" s="392"/>
      <c r="ONZ1598" s="393"/>
      <c r="OOA1598" s="392"/>
      <c r="OOB1598" s="393"/>
      <c r="OOC1598" s="392"/>
      <c r="OOD1598" s="393"/>
      <c r="OOE1598" s="392"/>
      <c r="OOF1598" s="393"/>
      <c r="OOG1598" s="392"/>
      <c r="OOH1598" s="393"/>
      <c r="OOI1598" s="392"/>
      <c r="OOJ1598" s="393"/>
      <c r="OOK1598" s="392"/>
      <c r="OOL1598" s="393"/>
      <c r="OOM1598" s="392"/>
      <c r="OON1598" s="393"/>
      <c r="OOO1598" s="392"/>
      <c r="OOP1598" s="393"/>
      <c r="OOQ1598" s="392"/>
      <c r="OOR1598" s="393"/>
      <c r="OOS1598" s="392"/>
      <c r="OOT1598" s="393"/>
      <c r="OOU1598" s="392"/>
      <c r="OOV1598" s="393"/>
      <c r="OOW1598" s="392"/>
      <c r="OOX1598" s="393"/>
      <c r="OOY1598" s="392"/>
      <c r="OOZ1598" s="393"/>
      <c r="OPA1598" s="392"/>
      <c r="OPB1598" s="393"/>
      <c r="OPC1598" s="392"/>
      <c r="OPD1598" s="393"/>
      <c r="OPE1598" s="392"/>
      <c r="OPF1598" s="393"/>
      <c r="OPG1598" s="392"/>
      <c r="OPH1598" s="393"/>
      <c r="OPI1598" s="392"/>
      <c r="OPJ1598" s="393"/>
      <c r="OPK1598" s="392"/>
      <c r="OPL1598" s="393"/>
      <c r="OPM1598" s="392"/>
      <c r="OPN1598" s="393"/>
      <c r="OPO1598" s="392"/>
      <c r="OPP1598" s="393"/>
      <c r="OPQ1598" s="392"/>
      <c r="OPR1598" s="393"/>
      <c r="OPS1598" s="392"/>
      <c r="OPT1598" s="393"/>
      <c r="OPU1598" s="392"/>
      <c r="OPV1598" s="393"/>
      <c r="OPW1598" s="392"/>
      <c r="OPX1598" s="393"/>
      <c r="OPY1598" s="392"/>
      <c r="OPZ1598" s="393"/>
      <c r="OQA1598" s="392"/>
      <c r="OQB1598" s="393"/>
      <c r="OQC1598" s="392"/>
      <c r="OQD1598" s="393"/>
      <c r="OQE1598" s="392"/>
      <c r="OQF1598" s="393"/>
      <c r="OQG1598" s="392"/>
      <c r="OQH1598" s="393"/>
      <c r="OQI1598" s="392"/>
      <c r="OQJ1598" s="393"/>
      <c r="OQK1598" s="392"/>
      <c r="OQL1598" s="393"/>
      <c r="OQM1598" s="392"/>
      <c r="OQN1598" s="393"/>
      <c r="OQO1598" s="392"/>
      <c r="OQP1598" s="393"/>
      <c r="OQQ1598" s="392"/>
      <c r="OQR1598" s="393"/>
      <c r="OQS1598" s="392"/>
      <c r="OQT1598" s="393"/>
      <c r="OQU1598" s="392"/>
      <c r="OQV1598" s="393"/>
      <c r="OQW1598" s="392"/>
      <c r="OQX1598" s="393"/>
      <c r="OQY1598" s="392"/>
      <c r="OQZ1598" s="393"/>
      <c r="ORA1598" s="392"/>
      <c r="ORB1598" s="393"/>
      <c r="ORC1598" s="392"/>
      <c r="ORD1598" s="393"/>
      <c r="ORE1598" s="392"/>
      <c r="ORF1598" s="393"/>
      <c r="ORG1598" s="392"/>
      <c r="ORH1598" s="393"/>
      <c r="ORI1598" s="392"/>
      <c r="ORJ1598" s="393"/>
      <c r="ORK1598" s="392"/>
      <c r="ORL1598" s="393"/>
      <c r="ORM1598" s="392"/>
      <c r="ORN1598" s="393"/>
      <c r="ORO1598" s="392"/>
      <c r="ORP1598" s="393"/>
      <c r="ORQ1598" s="392"/>
      <c r="ORR1598" s="393"/>
      <c r="ORS1598" s="392"/>
      <c r="ORT1598" s="393"/>
      <c r="ORU1598" s="392"/>
      <c r="ORV1598" s="393"/>
      <c r="ORW1598" s="392"/>
      <c r="ORX1598" s="393"/>
      <c r="ORY1598" s="392"/>
      <c r="ORZ1598" s="393"/>
      <c r="OSA1598" s="392"/>
      <c r="OSB1598" s="393"/>
      <c r="OSC1598" s="392"/>
      <c r="OSD1598" s="393"/>
      <c r="OSE1598" s="392"/>
      <c r="OSF1598" s="393"/>
      <c r="OSG1598" s="392"/>
      <c r="OSH1598" s="393"/>
      <c r="OSI1598" s="392"/>
      <c r="OSJ1598" s="393"/>
      <c r="OSK1598" s="392"/>
      <c r="OSL1598" s="393"/>
      <c r="OSM1598" s="392"/>
      <c r="OSN1598" s="393"/>
      <c r="OSO1598" s="392"/>
      <c r="OSP1598" s="393"/>
      <c r="OSQ1598" s="392"/>
      <c r="OSR1598" s="393"/>
      <c r="OSS1598" s="392"/>
      <c r="OST1598" s="393"/>
      <c r="OSU1598" s="392"/>
      <c r="OSV1598" s="393"/>
      <c r="OSW1598" s="392"/>
      <c r="OSX1598" s="393"/>
      <c r="OSY1598" s="392"/>
      <c r="OSZ1598" s="393"/>
      <c r="OTA1598" s="392"/>
      <c r="OTB1598" s="393"/>
      <c r="OTC1598" s="392"/>
      <c r="OTD1598" s="393"/>
      <c r="OTE1598" s="392"/>
      <c r="OTF1598" s="393"/>
      <c r="OTG1598" s="392"/>
      <c r="OTH1598" s="393"/>
      <c r="OTI1598" s="392"/>
      <c r="OTJ1598" s="393"/>
      <c r="OTK1598" s="392"/>
      <c r="OTL1598" s="393"/>
      <c r="OTM1598" s="392"/>
      <c r="OTN1598" s="393"/>
      <c r="OTO1598" s="392"/>
      <c r="OTP1598" s="393"/>
      <c r="OTQ1598" s="392"/>
      <c r="OTR1598" s="393"/>
      <c r="OTS1598" s="392"/>
      <c r="OTT1598" s="393"/>
      <c r="OTU1598" s="392"/>
      <c r="OTV1598" s="393"/>
      <c r="OTW1598" s="392"/>
      <c r="OTX1598" s="393"/>
      <c r="OTY1598" s="392"/>
      <c r="OTZ1598" s="393"/>
      <c r="OUA1598" s="392"/>
      <c r="OUB1598" s="393"/>
      <c r="OUC1598" s="392"/>
      <c r="OUD1598" s="393"/>
      <c r="OUE1598" s="392"/>
      <c r="OUF1598" s="393"/>
      <c r="OUG1598" s="392"/>
      <c r="OUH1598" s="393"/>
      <c r="OUI1598" s="392"/>
      <c r="OUJ1598" s="393"/>
      <c r="OUK1598" s="392"/>
      <c r="OUL1598" s="393"/>
      <c r="OUM1598" s="392"/>
      <c r="OUN1598" s="393"/>
      <c r="OUO1598" s="392"/>
      <c r="OUP1598" s="393"/>
      <c r="OUQ1598" s="392"/>
      <c r="OUR1598" s="393"/>
      <c r="OUS1598" s="392"/>
      <c r="OUT1598" s="393"/>
      <c r="OUU1598" s="392"/>
      <c r="OUV1598" s="393"/>
      <c r="OUW1598" s="392"/>
      <c r="OUX1598" s="393"/>
      <c r="OUY1598" s="392"/>
      <c r="OUZ1598" s="393"/>
      <c r="OVA1598" s="392"/>
      <c r="OVB1598" s="393"/>
      <c r="OVC1598" s="392"/>
      <c r="OVD1598" s="393"/>
      <c r="OVE1598" s="392"/>
      <c r="OVF1598" s="393"/>
      <c r="OVG1598" s="392"/>
      <c r="OVH1598" s="393"/>
      <c r="OVI1598" s="392"/>
      <c r="OVJ1598" s="393"/>
      <c r="OVK1598" s="392"/>
      <c r="OVL1598" s="393"/>
      <c r="OVM1598" s="392"/>
      <c r="OVN1598" s="393"/>
      <c r="OVO1598" s="392"/>
      <c r="OVP1598" s="393"/>
      <c r="OVQ1598" s="392"/>
      <c r="OVR1598" s="393"/>
      <c r="OVS1598" s="392"/>
      <c r="OVT1598" s="393"/>
      <c r="OVU1598" s="392"/>
      <c r="OVV1598" s="393"/>
      <c r="OVW1598" s="392"/>
      <c r="OVX1598" s="393"/>
      <c r="OVY1598" s="392"/>
      <c r="OVZ1598" s="393"/>
      <c r="OWA1598" s="392"/>
      <c r="OWB1598" s="393"/>
      <c r="OWC1598" s="392"/>
      <c r="OWD1598" s="393"/>
      <c r="OWE1598" s="392"/>
      <c r="OWF1598" s="393"/>
      <c r="OWG1598" s="392"/>
      <c r="OWH1598" s="393"/>
      <c r="OWI1598" s="392"/>
      <c r="OWJ1598" s="393"/>
      <c r="OWK1598" s="392"/>
      <c r="OWL1598" s="393"/>
      <c r="OWM1598" s="392"/>
      <c r="OWN1598" s="393"/>
      <c r="OWO1598" s="392"/>
      <c r="OWP1598" s="393"/>
      <c r="OWQ1598" s="392"/>
      <c r="OWR1598" s="393"/>
      <c r="OWS1598" s="392"/>
      <c r="OWT1598" s="393"/>
      <c r="OWU1598" s="392"/>
      <c r="OWV1598" s="393"/>
      <c r="OWW1598" s="392"/>
      <c r="OWX1598" s="393"/>
      <c r="OWY1598" s="392"/>
      <c r="OWZ1598" s="393"/>
      <c r="OXA1598" s="392"/>
      <c r="OXB1598" s="393"/>
      <c r="OXC1598" s="392"/>
      <c r="OXD1598" s="393"/>
      <c r="OXE1598" s="392"/>
      <c r="OXF1598" s="393"/>
      <c r="OXG1598" s="392"/>
      <c r="OXH1598" s="393"/>
      <c r="OXI1598" s="392"/>
      <c r="OXJ1598" s="393"/>
      <c r="OXK1598" s="392"/>
      <c r="OXL1598" s="393"/>
      <c r="OXM1598" s="392"/>
      <c r="OXN1598" s="393"/>
      <c r="OXO1598" s="392"/>
      <c r="OXP1598" s="393"/>
      <c r="OXQ1598" s="392"/>
      <c r="OXR1598" s="393"/>
      <c r="OXS1598" s="392"/>
      <c r="OXT1598" s="393"/>
      <c r="OXU1598" s="392"/>
      <c r="OXV1598" s="393"/>
      <c r="OXW1598" s="392"/>
      <c r="OXX1598" s="393"/>
      <c r="OXY1598" s="392"/>
      <c r="OXZ1598" s="393"/>
      <c r="OYA1598" s="392"/>
      <c r="OYB1598" s="393"/>
      <c r="OYC1598" s="392"/>
      <c r="OYD1598" s="393"/>
      <c r="OYE1598" s="392"/>
      <c r="OYF1598" s="393"/>
      <c r="OYG1598" s="392"/>
      <c r="OYH1598" s="393"/>
      <c r="OYI1598" s="392"/>
      <c r="OYJ1598" s="393"/>
      <c r="OYK1598" s="392"/>
      <c r="OYL1598" s="393"/>
      <c r="OYM1598" s="392"/>
      <c r="OYN1598" s="393"/>
      <c r="OYO1598" s="392"/>
      <c r="OYP1598" s="393"/>
      <c r="OYQ1598" s="392"/>
      <c r="OYR1598" s="393"/>
      <c r="OYS1598" s="392"/>
      <c r="OYT1598" s="393"/>
      <c r="OYU1598" s="392"/>
      <c r="OYV1598" s="393"/>
      <c r="OYW1598" s="392"/>
      <c r="OYX1598" s="393"/>
      <c r="OYY1598" s="392"/>
      <c r="OYZ1598" s="393"/>
      <c r="OZA1598" s="392"/>
      <c r="OZB1598" s="393"/>
      <c r="OZC1598" s="392"/>
      <c r="OZD1598" s="393"/>
      <c r="OZE1598" s="392"/>
      <c r="OZF1598" s="393"/>
      <c r="OZG1598" s="392"/>
      <c r="OZH1598" s="393"/>
      <c r="OZI1598" s="392"/>
      <c r="OZJ1598" s="393"/>
      <c r="OZK1598" s="392"/>
      <c r="OZL1598" s="393"/>
      <c r="OZM1598" s="392"/>
      <c r="OZN1598" s="393"/>
      <c r="OZO1598" s="392"/>
      <c r="OZP1598" s="393"/>
      <c r="OZQ1598" s="392"/>
      <c r="OZR1598" s="393"/>
      <c r="OZS1598" s="392"/>
      <c r="OZT1598" s="393"/>
      <c r="OZU1598" s="392"/>
      <c r="OZV1598" s="393"/>
      <c r="OZW1598" s="392"/>
      <c r="OZX1598" s="393"/>
      <c r="OZY1598" s="392"/>
      <c r="OZZ1598" s="393"/>
      <c r="PAA1598" s="392"/>
      <c r="PAB1598" s="393"/>
      <c r="PAC1598" s="392"/>
      <c r="PAD1598" s="393"/>
      <c r="PAE1598" s="392"/>
      <c r="PAF1598" s="393"/>
      <c r="PAG1598" s="392"/>
      <c r="PAH1598" s="393"/>
      <c r="PAI1598" s="392"/>
      <c r="PAJ1598" s="393"/>
      <c r="PAK1598" s="392"/>
      <c r="PAL1598" s="393"/>
      <c r="PAM1598" s="392"/>
      <c r="PAN1598" s="393"/>
      <c r="PAO1598" s="392"/>
      <c r="PAP1598" s="393"/>
      <c r="PAQ1598" s="392"/>
      <c r="PAR1598" s="393"/>
      <c r="PAS1598" s="392"/>
      <c r="PAT1598" s="393"/>
      <c r="PAU1598" s="392"/>
      <c r="PAV1598" s="393"/>
      <c r="PAW1598" s="392"/>
      <c r="PAX1598" s="393"/>
      <c r="PAY1598" s="392"/>
      <c r="PAZ1598" s="393"/>
      <c r="PBA1598" s="392"/>
      <c r="PBB1598" s="393"/>
      <c r="PBC1598" s="392"/>
      <c r="PBD1598" s="393"/>
      <c r="PBE1598" s="392"/>
      <c r="PBF1598" s="393"/>
      <c r="PBG1598" s="392"/>
      <c r="PBH1598" s="393"/>
      <c r="PBI1598" s="392"/>
      <c r="PBJ1598" s="393"/>
      <c r="PBK1598" s="392"/>
      <c r="PBL1598" s="393"/>
      <c r="PBM1598" s="392"/>
      <c r="PBN1598" s="393"/>
      <c r="PBO1598" s="392"/>
      <c r="PBP1598" s="393"/>
      <c r="PBQ1598" s="392"/>
      <c r="PBR1598" s="393"/>
      <c r="PBS1598" s="392"/>
      <c r="PBT1598" s="393"/>
      <c r="PBU1598" s="392"/>
      <c r="PBV1598" s="393"/>
      <c r="PBW1598" s="392"/>
      <c r="PBX1598" s="393"/>
      <c r="PBY1598" s="392"/>
      <c r="PBZ1598" s="393"/>
      <c r="PCA1598" s="392"/>
      <c r="PCB1598" s="393"/>
      <c r="PCC1598" s="392"/>
      <c r="PCD1598" s="393"/>
      <c r="PCE1598" s="392"/>
      <c r="PCF1598" s="393"/>
      <c r="PCG1598" s="392"/>
      <c r="PCH1598" s="393"/>
      <c r="PCI1598" s="392"/>
      <c r="PCJ1598" s="393"/>
      <c r="PCK1598" s="392"/>
      <c r="PCL1598" s="393"/>
      <c r="PCM1598" s="392"/>
      <c r="PCN1598" s="393"/>
      <c r="PCO1598" s="392"/>
      <c r="PCP1598" s="393"/>
      <c r="PCQ1598" s="392"/>
      <c r="PCR1598" s="393"/>
      <c r="PCS1598" s="392"/>
      <c r="PCT1598" s="393"/>
      <c r="PCU1598" s="392"/>
      <c r="PCV1598" s="393"/>
      <c r="PCW1598" s="392"/>
      <c r="PCX1598" s="393"/>
      <c r="PCY1598" s="392"/>
      <c r="PCZ1598" s="393"/>
      <c r="PDA1598" s="392"/>
      <c r="PDB1598" s="393"/>
      <c r="PDC1598" s="392"/>
      <c r="PDD1598" s="393"/>
      <c r="PDE1598" s="392"/>
      <c r="PDF1598" s="393"/>
      <c r="PDG1598" s="392"/>
      <c r="PDH1598" s="393"/>
      <c r="PDI1598" s="392"/>
      <c r="PDJ1598" s="393"/>
      <c r="PDK1598" s="392"/>
      <c r="PDL1598" s="393"/>
      <c r="PDM1598" s="392"/>
      <c r="PDN1598" s="393"/>
      <c r="PDO1598" s="392"/>
      <c r="PDP1598" s="393"/>
      <c r="PDQ1598" s="392"/>
      <c r="PDR1598" s="393"/>
      <c r="PDS1598" s="392"/>
      <c r="PDT1598" s="393"/>
      <c r="PDU1598" s="392"/>
      <c r="PDV1598" s="393"/>
      <c r="PDW1598" s="392"/>
      <c r="PDX1598" s="393"/>
      <c r="PDY1598" s="392"/>
      <c r="PDZ1598" s="393"/>
      <c r="PEA1598" s="392"/>
      <c r="PEB1598" s="393"/>
      <c r="PEC1598" s="392"/>
      <c r="PED1598" s="393"/>
      <c r="PEE1598" s="392"/>
      <c r="PEF1598" s="393"/>
      <c r="PEG1598" s="392"/>
      <c r="PEH1598" s="393"/>
      <c r="PEI1598" s="392"/>
      <c r="PEJ1598" s="393"/>
      <c r="PEK1598" s="392"/>
      <c r="PEL1598" s="393"/>
      <c r="PEM1598" s="392"/>
      <c r="PEN1598" s="393"/>
      <c r="PEO1598" s="392"/>
      <c r="PEP1598" s="393"/>
      <c r="PEQ1598" s="392"/>
      <c r="PER1598" s="393"/>
      <c r="PES1598" s="392"/>
      <c r="PET1598" s="393"/>
      <c r="PEU1598" s="392"/>
      <c r="PEV1598" s="393"/>
      <c r="PEW1598" s="392"/>
      <c r="PEX1598" s="393"/>
      <c r="PEY1598" s="392"/>
      <c r="PEZ1598" s="393"/>
      <c r="PFA1598" s="392"/>
      <c r="PFB1598" s="393"/>
      <c r="PFC1598" s="392"/>
      <c r="PFD1598" s="393"/>
      <c r="PFE1598" s="392"/>
      <c r="PFF1598" s="393"/>
      <c r="PFG1598" s="392"/>
      <c r="PFH1598" s="393"/>
      <c r="PFI1598" s="392"/>
      <c r="PFJ1598" s="393"/>
      <c r="PFK1598" s="392"/>
      <c r="PFL1598" s="393"/>
      <c r="PFM1598" s="392"/>
      <c r="PFN1598" s="393"/>
      <c r="PFO1598" s="392"/>
      <c r="PFP1598" s="393"/>
      <c r="PFQ1598" s="392"/>
      <c r="PFR1598" s="393"/>
      <c r="PFS1598" s="392"/>
      <c r="PFT1598" s="393"/>
      <c r="PFU1598" s="392"/>
      <c r="PFV1598" s="393"/>
      <c r="PFW1598" s="392"/>
      <c r="PFX1598" s="393"/>
      <c r="PFY1598" s="392"/>
      <c r="PFZ1598" s="393"/>
      <c r="PGA1598" s="392"/>
      <c r="PGB1598" s="393"/>
      <c r="PGC1598" s="392"/>
      <c r="PGD1598" s="393"/>
      <c r="PGE1598" s="392"/>
      <c r="PGF1598" s="393"/>
      <c r="PGG1598" s="392"/>
      <c r="PGH1598" s="393"/>
      <c r="PGI1598" s="392"/>
      <c r="PGJ1598" s="393"/>
      <c r="PGK1598" s="392"/>
      <c r="PGL1598" s="393"/>
      <c r="PGM1598" s="392"/>
      <c r="PGN1598" s="393"/>
      <c r="PGO1598" s="392"/>
      <c r="PGP1598" s="393"/>
      <c r="PGQ1598" s="392"/>
      <c r="PGR1598" s="393"/>
      <c r="PGS1598" s="392"/>
      <c r="PGT1598" s="393"/>
      <c r="PGU1598" s="392"/>
      <c r="PGV1598" s="393"/>
      <c r="PGW1598" s="392"/>
      <c r="PGX1598" s="393"/>
      <c r="PGY1598" s="392"/>
      <c r="PGZ1598" s="393"/>
      <c r="PHA1598" s="392"/>
      <c r="PHB1598" s="393"/>
      <c r="PHC1598" s="392"/>
      <c r="PHD1598" s="393"/>
      <c r="PHE1598" s="392"/>
      <c r="PHF1598" s="393"/>
      <c r="PHG1598" s="392"/>
      <c r="PHH1598" s="393"/>
      <c r="PHI1598" s="392"/>
      <c r="PHJ1598" s="393"/>
      <c r="PHK1598" s="392"/>
      <c r="PHL1598" s="393"/>
      <c r="PHM1598" s="392"/>
      <c r="PHN1598" s="393"/>
      <c r="PHO1598" s="392"/>
      <c r="PHP1598" s="393"/>
      <c r="PHQ1598" s="392"/>
      <c r="PHR1598" s="393"/>
      <c r="PHS1598" s="392"/>
      <c r="PHT1598" s="393"/>
      <c r="PHU1598" s="392"/>
      <c r="PHV1598" s="393"/>
      <c r="PHW1598" s="392"/>
      <c r="PHX1598" s="393"/>
      <c r="PHY1598" s="392"/>
      <c r="PHZ1598" s="393"/>
      <c r="PIA1598" s="392"/>
      <c r="PIB1598" s="393"/>
      <c r="PIC1598" s="392"/>
      <c r="PID1598" s="393"/>
      <c r="PIE1598" s="392"/>
      <c r="PIF1598" s="393"/>
      <c r="PIG1598" s="392"/>
      <c r="PIH1598" s="393"/>
      <c r="PII1598" s="392"/>
      <c r="PIJ1598" s="393"/>
      <c r="PIK1598" s="392"/>
      <c r="PIL1598" s="393"/>
      <c r="PIM1598" s="392"/>
      <c r="PIN1598" s="393"/>
      <c r="PIO1598" s="392"/>
      <c r="PIP1598" s="393"/>
      <c r="PIQ1598" s="392"/>
      <c r="PIR1598" s="393"/>
      <c r="PIS1598" s="392"/>
      <c r="PIT1598" s="393"/>
      <c r="PIU1598" s="392"/>
      <c r="PIV1598" s="393"/>
      <c r="PIW1598" s="392"/>
      <c r="PIX1598" s="393"/>
      <c r="PIY1598" s="392"/>
      <c r="PIZ1598" s="393"/>
      <c r="PJA1598" s="392"/>
      <c r="PJB1598" s="393"/>
      <c r="PJC1598" s="392"/>
      <c r="PJD1598" s="393"/>
      <c r="PJE1598" s="392"/>
      <c r="PJF1598" s="393"/>
      <c r="PJG1598" s="392"/>
      <c r="PJH1598" s="393"/>
      <c r="PJI1598" s="392"/>
      <c r="PJJ1598" s="393"/>
      <c r="PJK1598" s="392"/>
      <c r="PJL1598" s="393"/>
      <c r="PJM1598" s="392"/>
      <c r="PJN1598" s="393"/>
      <c r="PJO1598" s="392"/>
      <c r="PJP1598" s="393"/>
      <c r="PJQ1598" s="392"/>
      <c r="PJR1598" s="393"/>
      <c r="PJS1598" s="392"/>
      <c r="PJT1598" s="393"/>
      <c r="PJU1598" s="392"/>
      <c r="PJV1598" s="393"/>
      <c r="PJW1598" s="392"/>
      <c r="PJX1598" s="393"/>
      <c r="PJY1598" s="392"/>
      <c r="PJZ1598" s="393"/>
      <c r="PKA1598" s="392"/>
      <c r="PKB1598" s="393"/>
      <c r="PKC1598" s="392"/>
      <c r="PKD1598" s="393"/>
      <c r="PKE1598" s="392"/>
      <c r="PKF1598" s="393"/>
      <c r="PKG1598" s="392"/>
      <c r="PKH1598" s="393"/>
      <c r="PKI1598" s="392"/>
      <c r="PKJ1598" s="393"/>
      <c r="PKK1598" s="392"/>
      <c r="PKL1598" s="393"/>
      <c r="PKM1598" s="392"/>
      <c r="PKN1598" s="393"/>
      <c r="PKO1598" s="392"/>
      <c r="PKP1598" s="393"/>
      <c r="PKQ1598" s="392"/>
      <c r="PKR1598" s="393"/>
      <c r="PKS1598" s="392"/>
      <c r="PKT1598" s="393"/>
      <c r="PKU1598" s="392"/>
      <c r="PKV1598" s="393"/>
      <c r="PKW1598" s="392"/>
      <c r="PKX1598" s="393"/>
      <c r="PKY1598" s="392"/>
      <c r="PKZ1598" s="393"/>
      <c r="PLA1598" s="392"/>
      <c r="PLB1598" s="393"/>
      <c r="PLC1598" s="392"/>
      <c r="PLD1598" s="393"/>
      <c r="PLE1598" s="392"/>
      <c r="PLF1598" s="393"/>
      <c r="PLG1598" s="392"/>
      <c r="PLH1598" s="393"/>
      <c r="PLI1598" s="392"/>
      <c r="PLJ1598" s="393"/>
      <c r="PLK1598" s="392"/>
      <c r="PLL1598" s="393"/>
      <c r="PLM1598" s="392"/>
      <c r="PLN1598" s="393"/>
      <c r="PLO1598" s="392"/>
      <c r="PLP1598" s="393"/>
      <c r="PLQ1598" s="392"/>
      <c r="PLR1598" s="393"/>
      <c r="PLS1598" s="392"/>
      <c r="PLT1598" s="393"/>
      <c r="PLU1598" s="392"/>
      <c r="PLV1598" s="393"/>
      <c r="PLW1598" s="392"/>
      <c r="PLX1598" s="393"/>
      <c r="PLY1598" s="392"/>
      <c r="PLZ1598" s="393"/>
      <c r="PMA1598" s="392"/>
      <c r="PMB1598" s="393"/>
      <c r="PMC1598" s="392"/>
      <c r="PMD1598" s="393"/>
      <c r="PME1598" s="392"/>
      <c r="PMF1598" s="393"/>
      <c r="PMG1598" s="392"/>
      <c r="PMH1598" s="393"/>
      <c r="PMI1598" s="392"/>
      <c r="PMJ1598" s="393"/>
      <c r="PMK1598" s="392"/>
      <c r="PML1598" s="393"/>
      <c r="PMM1598" s="392"/>
      <c r="PMN1598" s="393"/>
      <c r="PMO1598" s="392"/>
      <c r="PMP1598" s="393"/>
      <c r="PMQ1598" s="392"/>
      <c r="PMR1598" s="393"/>
      <c r="PMS1598" s="392"/>
      <c r="PMT1598" s="393"/>
      <c r="PMU1598" s="392"/>
      <c r="PMV1598" s="393"/>
      <c r="PMW1598" s="392"/>
      <c r="PMX1598" s="393"/>
      <c r="PMY1598" s="392"/>
      <c r="PMZ1598" s="393"/>
      <c r="PNA1598" s="392"/>
      <c r="PNB1598" s="393"/>
      <c r="PNC1598" s="392"/>
      <c r="PND1598" s="393"/>
      <c r="PNE1598" s="392"/>
      <c r="PNF1598" s="393"/>
      <c r="PNG1598" s="392"/>
      <c r="PNH1598" s="393"/>
      <c r="PNI1598" s="392"/>
      <c r="PNJ1598" s="393"/>
      <c r="PNK1598" s="392"/>
      <c r="PNL1598" s="393"/>
      <c r="PNM1598" s="392"/>
      <c r="PNN1598" s="393"/>
      <c r="PNO1598" s="392"/>
      <c r="PNP1598" s="393"/>
      <c r="PNQ1598" s="392"/>
      <c r="PNR1598" s="393"/>
      <c r="PNS1598" s="392"/>
      <c r="PNT1598" s="393"/>
      <c r="PNU1598" s="392"/>
      <c r="PNV1598" s="393"/>
      <c r="PNW1598" s="392"/>
      <c r="PNX1598" s="393"/>
      <c r="PNY1598" s="392"/>
      <c r="PNZ1598" s="393"/>
      <c r="POA1598" s="392"/>
      <c r="POB1598" s="393"/>
      <c r="POC1598" s="392"/>
      <c r="POD1598" s="393"/>
      <c r="POE1598" s="392"/>
      <c r="POF1598" s="393"/>
      <c r="POG1598" s="392"/>
      <c r="POH1598" s="393"/>
      <c r="POI1598" s="392"/>
      <c r="POJ1598" s="393"/>
      <c r="POK1598" s="392"/>
      <c r="POL1598" s="393"/>
      <c r="POM1598" s="392"/>
      <c r="PON1598" s="393"/>
      <c r="POO1598" s="392"/>
      <c r="POP1598" s="393"/>
      <c r="POQ1598" s="392"/>
      <c r="POR1598" s="393"/>
      <c r="POS1598" s="392"/>
      <c r="POT1598" s="393"/>
      <c r="POU1598" s="392"/>
      <c r="POV1598" s="393"/>
      <c r="POW1598" s="392"/>
      <c r="POX1598" s="393"/>
      <c r="POY1598" s="392"/>
      <c r="POZ1598" s="393"/>
      <c r="PPA1598" s="392"/>
      <c r="PPB1598" s="393"/>
      <c r="PPC1598" s="392"/>
      <c r="PPD1598" s="393"/>
      <c r="PPE1598" s="392"/>
      <c r="PPF1598" s="393"/>
      <c r="PPG1598" s="392"/>
      <c r="PPH1598" s="393"/>
      <c r="PPI1598" s="392"/>
      <c r="PPJ1598" s="393"/>
      <c r="PPK1598" s="392"/>
      <c r="PPL1598" s="393"/>
      <c r="PPM1598" s="392"/>
      <c r="PPN1598" s="393"/>
      <c r="PPO1598" s="392"/>
      <c r="PPP1598" s="393"/>
      <c r="PPQ1598" s="392"/>
      <c r="PPR1598" s="393"/>
      <c r="PPS1598" s="392"/>
      <c r="PPT1598" s="393"/>
      <c r="PPU1598" s="392"/>
      <c r="PPV1598" s="393"/>
      <c r="PPW1598" s="392"/>
      <c r="PPX1598" s="393"/>
      <c r="PPY1598" s="392"/>
      <c r="PPZ1598" s="393"/>
      <c r="PQA1598" s="392"/>
      <c r="PQB1598" s="393"/>
      <c r="PQC1598" s="392"/>
      <c r="PQD1598" s="393"/>
      <c r="PQE1598" s="392"/>
      <c r="PQF1598" s="393"/>
      <c r="PQG1598" s="392"/>
      <c r="PQH1598" s="393"/>
      <c r="PQI1598" s="392"/>
      <c r="PQJ1598" s="393"/>
      <c r="PQK1598" s="392"/>
      <c r="PQL1598" s="393"/>
      <c r="PQM1598" s="392"/>
      <c r="PQN1598" s="393"/>
      <c r="PQO1598" s="392"/>
      <c r="PQP1598" s="393"/>
      <c r="PQQ1598" s="392"/>
      <c r="PQR1598" s="393"/>
      <c r="PQS1598" s="392"/>
      <c r="PQT1598" s="393"/>
      <c r="PQU1598" s="392"/>
      <c r="PQV1598" s="393"/>
      <c r="PQW1598" s="392"/>
      <c r="PQX1598" s="393"/>
      <c r="PQY1598" s="392"/>
      <c r="PQZ1598" s="393"/>
      <c r="PRA1598" s="392"/>
      <c r="PRB1598" s="393"/>
      <c r="PRC1598" s="392"/>
      <c r="PRD1598" s="393"/>
      <c r="PRE1598" s="392"/>
      <c r="PRF1598" s="393"/>
      <c r="PRG1598" s="392"/>
      <c r="PRH1598" s="393"/>
      <c r="PRI1598" s="392"/>
      <c r="PRJ1598" s="393"/>
      <c r="PRK1598" s="392"/>
      <c r="PRL1598" s="393"/>
      <c r="PRM1598" s="392"/>
      <c r="PRN1598" s="393"/>
      <c r="PRO1598" s="392"/>
      <c r="PRP1598" s="393"/>
      <c r="PRQ1598" s="392"/>
      <c r="PRR1598" s="393"/>
      <c r="PRS1598" s="392"/>
      <c r="PRT1598" s="393"/>
      <c r="PRU1598" s="392"/>
      <c r="PRV1598" s="393"/>
      <c r="PRW1598" s="392"/>
      <c r="PRX1598" s="393"/>
      <c r="PRY1598" s="392"/>
      <c r="PRZ1598" s="393"/>
      <c r="PSA1598" s="392"/>
      <c r="PSB1598" s="393"/>
      <c r="PSC1598" s="392"/>
      <c r="PSD1598" s="393"/>
      <c r="PSE1598" s="392"/>
      <c r="PSF1598" s="393"/>
      <c r="PSG1598" s="392"/>
      <c r="PSH1598" s="393"/>
      <c r="PSI1598" s="392"/>
      <c r="PSJ1598" s="393"/>
      <c r="PSK1598" s="392"/>
      <c r="PSL1598" s="393"/>
      <c r="PSM1598" s="392"/>
      <c r="PSN1598" s="393"/>
      <c r="PSO1598" s="392"/>
      <c r="PSP1598" s="393"/>
      <c r="PSQ1598" s="392"/>
      <c r="PSR1598" s="393"/>
      <c r="PSS1598" s="392"/>
      <c r="PST1598" s="393"/>
      <c r="PSU1598" s="392"/>
      <c r="PSV1598" s="393"/>
      <c r="PSW1598" s="392"/>
      <c r="PSX1598" s="393"/>
      <c r="PSY1598" s="392"/>
      <c r="PSZ1598" s="393"/>
      <c r="PTA1598" s="392"/>
      <c r="PTB1598" s="393"/>
      <c r="PTC1598" s="392"/>
      <c r="PTD1598" s="393"/>
      <c r="PTE1598" s="392"/>
      <c r="PTF1598" s="393"/>
      <c r="PTG1598" s="392"/>
      <c r="PTH1598" s="393"/>
      <c r="PTI1598" s="392"/>
      <c r="PTJ1598" s="393"/>
      <c r="PTK1598" s="392"/>
      <c r="PTL1598" s="393"/>
      <c r="PTM1598" s="392"/>
      <c r="PTN1598" s="393"/>
      <c r="PTO1598" s="392"/>
      <c r="PTP1598" s="393"/>
      <c r="PTQ1598" s="392"/>
      <c r="PTR1598" s="393"/>
      <c r="PTS1598" s="392"/>
      <c r="PTT1598" s="393"/>
      <c r="PTU1598" s="392"/>
      <c r="PTV1598" s="393"/>
      <c r="PTW1598" s="392"/>
      <c r="PTX1598" s="393"/>
      <c r="PTY1598" s="392"/>
      <c r="PTZ1598" s="393"/>
      <c r="PUA1598" s="392"/>
      <c r="PUB1598" s="393"/>
      <c r="PUC1598" s="392"/>
      <c r="PUD1598" s="393"/>
      <c r="PUE1598" s="392"/>
      <c r="PUF1598" s="393"/>
      <c r="PUG1598" s="392"/>
      <c r="PUH1598" s="393"/>
      <c r="PUI1598" s="392"/>
      <c r="PUJ1598" s="393"/>
      <c r="PUK1598" s="392"/>
      <c r="PUL1598" s="393"/>
      <c r="PUM1598" s="392"/>
      <c r="PUN1598" s="393"/>
      <c r="PUO1598" s="392"/>
      <c r="PUP1598" s="393"/>
      <c r="PUQ1598" s="392"/>
      <c r="PUR1598" s="393"/>
      <c r="PUS1598" s="392"/>
      <c r="PUT1598" s="393"/>
      <c r="PUU1598" s="392"/>
      <c r="PUV1598" s="393"/>
      <c r="PUW1598" s="392"/>
      <c r="PUX1598" s="393"/>
      <c r="PUY1598" s="392"/>
      <c r="PUZ1598" s="393"/>
      <c r="PVA1598" s="392"/>
      <c r="PVB1598" s="393"/>
      <c r="PVC1598" s="392"/>
      <c r="PVD1598" s="393"/>
      <c r="PVE1598" s="392"/>
      <c r="PVF1598" s="393"/>
      <c r="PVG1598" s="392"/>
      <c r="PVH1598" s="393"/>
      <c r="PVI1598" s="392"/>
      <c r="PVJ1598" s="393"/>
      <c r="PVK1598" s="392"/>
      <c r="PVL1598" s="393"/>
      <c r="PVM1598" s="392"/>
      <c r="PVN1598" s="393"/>
      <c r="PVO1598" s="392"/>
      <c r="PVP1598" s="393"/>
      <c r="PVQ1598" s="392"/>
      <c r="PVR1598" s="393"/>
      <c r="PVS1598" s="392"/>
      <c r="PVT1598" s="393"/>
      <c r="PVU1598" s="392"/>
      <c r="PVV1598" s="393"/>
      <c r="PVW1598" s="392"/>
      <c r="PVX1598" s="393"/>
      <c r="PVY1598" s="392"/>
      <c r="PVZ1598" s="393"/>
      <c r="PWA1598" s="392"/>
      <c r="PWB1598" s="393"/>
      <c r="PWC1598" s="392"/>
      <c r="PWD1598" s="393"/>
      <c r="PWE1598" s="392"/>
      <c r="PWF1598" s="393"/>
      <c r="PWG1598" s="392"/>
      <c r="PWH1598" s="393"/>
      <c r="PWI1598" s="392"/>
      <c r="PWJ1598" s="393"/>
      <c r="PWK1598" s="392"/>
      <c r="PWL1598" s="393"/>
      <c r="PWM1598" s="392"/>
      <c r="PWN1598" s="393"/>
      <c r="PWO1598" s="392"/>
      <c r="PWP1598" s="393"/>
      <c r="PWQ1598" s="392"/>
      <c r="PWR1598" s="393"/>
      <c r="PWS1598" s="392"/>
      <c r="PWT1598" s="393"/>
      <c r="PWU1598" s="392"/>
      <c r="PWV1598" s="393"/>
      <c r="PWW1598" s="392"/>
      <c r="PWX1598" s="393"/>
      <c r="PWY1598" s="392"/>
      <c r="PWZ1598" s="393"/>
      <c r="PXA1598" s="392"/>
      <c r="PXB1598" s="393"/>
      <c r="PXC1598" s="392"/>
      <c r="PXD1598" s="393"/>
      <c r="PXE1598" s="392"/>
      <c r="PXF1598" s="393"/>
      <c r="PXG1598" s="392"/>
      <c r="PXH1598" s="393"/>
      <c r="PXI1598" s="392"/>
      <c r="PXJ1598" s="393"/>
      <c r="PXK1598" s="392"/>
      <c r="PXL1598" s="393"/>
      <c r="PXM1598" s="392"/>
      <c r="PXN1598" s="393"/>
      <c r="PXO1598" s="392"/>
      <c r="PXP1598" s="393"/>
      <c r="PXQ1598" s="392"/>
      <c r="PXR1598" s="393"/>
      <c r="PXS1598" s="392"/>
      <c r="PXT1598" s="393"/>
      <c r="PXU1598" s="392"/>
      <c r="PXV1598" s="393"/>
      <c r="PXW1598" s="392"/>
      <c r="PXX1598" s="393"/>
      <c r="PXY1598" s="392"/>
      <c r="PXZ1598" s="393"/>
      <c r="PYA1598" s="392"/>
      <c r="PYB1598" s="393"/>
      <c r="PYC1598" s="392"/>
      <c r="PYD1598" s="393"/>
      <c r="PYE1598" s="392"/>
      <c r="PYF1598" s="393"/>
      <c r="PYG1598" s="392"/>
      <c r="PYH1598" s="393"/>
      <c r="PYI1598" s="392"/>
      <c r="PYJ1598" s="393"/>
      <c r="PYK1598" s="392"/>
      <c r="PYL1598" s="393"/>
      <c r="PYM1598" s="392"/>
      <c r="PYN1598" s="393"/>
      <c r="PYO1598" s="392"/>
      <c r="PYP1598" s="393"/>
      <c r="PYQ1598" s="392"/>
      <c r="PYR1598" s="393"/>
      <c r="PYS1598" s="392"/>
      <c r="PYT1598" s="393"/>
      <c r="PYU1598" s="392"/>
      <c r="PYV1598" s="393"/>
      <c r="PYW1598" s="392"/>
      <c r="PYX1598" s="393"/>
      <c r="PYY1598" s="392"/>
      <c r="PYZ1598" s="393"/>
      <c r="PZA1598" s="392"/>
      <c r="PZB1598" s="393"/>
      <c r="PZC1598" s="392"/>
      <c r="PZD1598" s="393"/>
      <c r="PZE1598" s="392"/>
      <c r="PZF1598" s="393"/>
      <c r="PZG1598" s="392"/>
      <c r="PZH1598" s="393"/>
      <c r="PZI1598" s="392"/>
      <c r="PZJ1598" s="393"/>
      <c r="PZK1598" s="392"/>
      <c r="PZL1598" s="393"/>
      <c r="PZM1598" s="392"/>
      <c r="PZN1598" s="393"/>
      <c r="PZO1598" s="392"/>
      <c r="PZP1598" s="393"/>
      <c r="PZQ1598" s="392"/>
      <c r="PZR1598" s="393"/>
      <c r="PZS1598" s="392"/>
      <c r="PZT1598" s="393"/>
      <c r="PZU1598" s="392"/>
      <c r="PZV1598" s="393"/>
      <c r="PZW1598" s="392"/>
      <c r="PZX1598" s="393"/>
      <c r="PZY1598" s="392"/>
      <c r="PZZ1598" s="393"/>
      <c r="QAA1598" s="392"/>
      <c r="QAB1598" s="393"/>
      <c r="QAC1598" s="392"/>
      <c r="QAD1598" s="393"/>
      <c r="QAE1598" s="392"/>
      <c r="QAF1598" s="393"/>
      <c r="QAG1598" s="392"/>
      <c r="QAH1598" s="393"/>
      <c r="QAI1598" s="392"/>
      <c r="QAJ1598" s="393"/>
      <c r="QAK1598" s="392"/>
      <c r="QAL1598" s="393"/>
      <c r="QAM1598" s="392"/>
      <c r="QAN1598" s="393"/>
      <c r="QAO1598" s="392"/>
      <c r="QAP1598" s="393"/>
      <c r="QAQ1598" s="392"/>
      <c r="QAR1598" s="393"/>
      <c r="QAS1598" s="392"/>
      <c r="QAT1598" s="393"/>
      <c r="QAU1598" s="392"/>
      <c r="QAV1598" s="393"/>
      <c r="QAW1598" s="392"/>
      <c r="QAX1598" s="393"/>
      <c r="QAY1598" s="392"/>
      <c r="QAZ1598" s="393"/>
      <c r="QBA1598" s="392"/>
      <c r="QBB1598" s="393"/>
      <c r="QBC1598" s="392"/>
      <c r="QBD1598" s="393"/>
      <c r="QBE1598" s="392"/>
      <c r="QBF1598" s="393"/>
      <c r="QBG1598" s="392"/>
      <c r="QBH1598" s="393"/>
      <c r="QBI1598" s="392"/>
      <c r="QBJ1598" s="393"/>
      <c r="QBK1598" s="392"/>
      <c r="QBL1598" s="393"/>
      <c r="QBM1598" s="392"/>
      <c r="QBN1598" s="393"/>
      <c r="QBO1598" s="392"/>
      <c r="QBP1598" s="393"/>
      <c r="QBQ1598" s="392"/>
      <c r="QBR1598" s="393"/>
      <c r="QBS1598" s="392"/>
      <c r="QBT1598" s="393"/>
      <c r="QBU1598" s="392"/>
      <c r="QBV1598" s="393"/>
      <c r="QBW1598" s="392"/>
      <c r="QBX1598" s="393"/>
      <c r="QBY1598" s="392"/>
      <c r="QBZ1598" s="393"/>
      <c r="QCA1598" s="392"/>
      <c r="QCB1598" s="393"/>
      <c r="QCC1598" s="392"/>
      <c r="QCD1598" s="393"/>
      <c r="QCE1598" s="392"/>
      <c r="QCF1598" s="393"/>
      <c r="QCG1598" s="392"/>
      <c r="QCH1598" s="393"/>
      <c r="QCI1598" s="392"/>
      <c r="QCJ1598" s="393"/>
      <c r="QCK1598" s="392"/>
      <c r="QCL1598" s="393"/>
      <c r="QCM1598" s="392"/>
      <c r="QCN1598" s="393"/>
      <c r="QCO1598" s="392"/>
      <c r="QCP1598" s="393"/>
      <c r="QCQ1598" s="392"/>
      <c r="QCR1598" s="393"/>
      <c r="QCS1598" s="392"/>
      <c r="QCT1598" s="393"/>
      <c r="QCU1598" s="392"/>
      <c r="QCV1598" s="393"/>
      <c r="QCW1598" s="392"/>
      <c r="QCX1598" s="393"/>
      <c r="QCY1598" s="392"/>
      <c r="QCZ1598" s="393"/>
      <c r="QDA1598" s="392"/>
      <c r="QDB1598" s="393"/>
      <c r="QDC1598" s="392"/>
      <c r="QDD1598" s="393"/>
      <c r="QDE1598" s="392"/>
      <c r="QDF1598" s="393"/>
      <c r="QDG1598" s="392"/>
      <c r="QDH1598" s="393"/>
      <c r="QDI1598" s="392"/>
      <c r="QDJ1598" s="393"/>
      <c r="QDK1598" s="392"/>
      <c r="QDL1598" s="393"/>
      <c r="QDM1598" s="392"/>
      <c r="QDN1598" s="393"/>
      <c r="QDO1598" s="392"/>
      <c r="QDP1598" s="393"/>
      <c r="QDQ1598" s="392"/>
      <c r="QDR1598" s="393"/>
      <c r="QDS1598" s="392"/>
      <c r="QDT1598" s="393"/>
      <c r="QDU1598" s="392"/>
      <c r="QDV1598" s="393"/>
      <c r="QDW1598" s="392"/>
      <c r="QDX1598" s="393"/>
      <c r="QDY1598" s="392"/>
      <c r="QDZ1598" s="393"/>
      <c r="QEA1598" s="392"/>
      <c r="QEB1598" s="393"/>
      <c r="QEC1598" s="392"/>
      <c r="QED1598" s="393"/>
      <c r="QEE1598" s="392"/>
      <c r="QEF1598" s="393"/>
      <c r="QEG1598" s="392"/>
      <c r="QEH1598" s="393"/>
      <c r="QEI1598" s="392"/>
      <c r="QEJ1598" s="393"/>
      <c r="QEK1598" s="392"/>
      <c r="QEL1598" s="393"/>
      <c r="QEM1598" s="392"/>
      <c r="QEN1598" s="393"/>
      <c r="QEO1598" s="392"/>
      <c r="QEP1598" s="393"/>
      <c r="QEQ1598" s="392"/>
      <c r="QER1598" s="393"/>
      <c r="QES1598" s="392"/>
      <c r="QET1598" s="393"/>
      <c r="QEU1598" s="392"/>
      <c r="QEV1598" s="393"/>
      <c r="QEW1598" s="392"/>
      <c r="QEX1598" s="393"/>
      <c r="QEY1598" s="392"/>
      <c r="QEZ1598" s="393"/>
      <c r="QFA1598" s="392"/>
      <c r="QFB1598" s="393"/>
      <c r="QFC1598" s="392"/>
      <c r="QFD1598" s="393"/>
      <c r="QFE1598" s="392"/>
      <c r="QFF1598" s="393"/>
      <c r="QFG1598" s="392"/>
      <c r="QFH1598" s="393"/>
      <c r="QFI1598" s="392"/>
      <c r="QFJ1598" s="393"/>
      <c r="QFK1598" s="392"/>
      <c r="QFL1598" s="393"/>
      <c r="QFM1598" s="392"/>
      <c r="QFN1598" s="393"/>
      <c r="QFO1598" s="392"/>
      <c r="QFP1598" s="393"/>
      <c r="QFQ1598" s="392"/>
      <c r="QFR1598" s="393"/>
      <c r="QFS1598" s="392"/>
      <c r="QFT1598" s="393"/>
      <c r="QFU1598" s="392"/>
      <c r="QFV1598" s="393"/>
      <c r="QFW1598" s="392"/>
      <c r="QFX1598" s="393"/>
      <c r="QFY1598" s="392"/>
      <c r="QFZ1598" s="393"/>
      <c r="QGA1598" s="392"/>
      <c r="QGB1598" s="393"/>
      <c r="QGC1598" s="392"/>
      <c r="QGD1598" s="393"/>
      <c r="QGE1598" s="392"/>
      <c r="QGF1598" s="393"/>
      <c r="QGG1598" s="392"/>
      <c r="QGH1598" s="393"/>
      <c r="QGI1598" s="392"/>
      <c r="QGJ1598" s="393"/>
      <c r="QGK1598" s="392"/>
      <c r="QGL1598" s="393"/>
      <c r="QGM1598" s="392"/>
      <c r="QGN1598" s="393"/>
      <c r="QGO1598" s="392"/>
      <c r="QGP1598" s="393"/>
      <c r="QGQ1598" s="392"/>
      <c r="QGR1598" s="393"/>
      <c r="QGS1598" s="392"/>
      <c r="QGT1598" s="393"/>
      <c r="QGU1598" s="392"/>
      <c r="QGV1598" s="393"/>
      <c r="QGW1598" s="392"/>
      <c r="QGX1598" s="393"/>
      <c r="QGY1598" s="392"/>
      <c r="QGZ1598" s="393"/>
      <c r="QHA1598" s="392"/>
      <c r="QHB1598" s="393"/>
      <c r="QHC1598" s="392"/>
      <c r="QHD1598" s="393"/>
      <c r="QHE1598" s="392"/>
      <c r="QHF1598" s="393"/>
      <c r="QHG1598" s="392"/>
      <c r="QHH1598" s="393"/>
      <c r="QHI1598" s="392"/>
      <c r="QHJ1598" s="393"/>
      <c r="QHK1598" s="392"/>
      <c r="QHL1598" s="393"/>
      <c r="QHM1598" s="392"/>
      <c r="QHN1598" s="393"/>
      <c r="QHO1598" s="392"/>
      <c r="QHP1598" s="393"/>
      <c r="QHQ1598" s="392"/>
      <c r="QHR1598" s="393"/>
      <c r="QHS1598" s="392"/>
      <c r="QHT1598" s="393"/>
      <c r="QHU1598" s="392"/>
      <c r="QHV1598" s="393"/>
      <c r="QHW1598" s="392"/>
      <c r="QHX1598" s="393"/>
      <c r="QHY1598" s="392"/>
      <c r="QHZ1598" s="393"/>
      <c r="QIA1598" s="392"/>
      <c r="QIB1598" s="393"/>
      <c r="QIC1598" s="392"/>
      <c r="QID1598" s="393"/>
      <c r="QIE1598" s="392"/>
      <c r="QIF1598" s="393"/>
      <c r="QIG1598" s="392"/>
      <c r="QIH1598" s="393"/>
      <c r="QII1598" s="392"/>
      <c r="QIJ1598" s="393"/>
      <c r="QIK1598" s="392"/>
      <c r="QIL1598" s="393"/>
      <c r="QIM1598" s="392"/>
      <c r="QIN1598" s="393"/>
      <c r="QIO1598" s="392"/>
      <c r="QIP1598" s="393"/>
      <c r="QIQ1598" s="392"/>
      <c r="QIR1598" s="393"/>
      <c r="QIS1598" s="392"/>
      <c r="QIT1598" s="393"/>
      <c r="QIU1598" s="392"/>
      <c r="QIV1598" s="393"/>
      <c r="QIW1598" s="392"/>
      <c r="QIX1598" s="393"/>
      <c r="QIY1598" s="392"/>
      <c r="QIZ1598" s="393"/>
      <c r="QJA1598" s="392"/>
      <c r="QJB1598" s="393"/>
      <c r="QJC1598" s="392"/>
      <c r="QJD1598" s="393"/>
      <c r="QJE1598" s="392"/>
      <c r="QJF1598" s="393"/>
      <c r="QJG1598" s="392"/>
      <c r="QJH1598" s="393"/>
      <c r="QJI1598" s="392"/>
      <c r="QJJ1598" s="393"/>
      <c r="QJK1598" s="392"/>
      <c r="QJL1598" s="393"/>
      <c r="QJM1598" s="392"/>
      <c r="QJN1598" s="393"/>
      <c r="QJO1598" s="392"/>
      <c r="QJP1598" s="393"/>
      <c r="QJQ1598" s="392"/>
      <c r="QJR1598" s="393"/>
      <c r="QJS1598" s="392"/>
      <c r="QJT1598" s="393"/>
      <c r="QJU1598" s="392"/>
      <c r="QJV1598" s="393"/>
      <c r="QJW1598" s="392"/>
      <c r="QJX1598" s="393"/>
      <c r="QJY1598" s="392"/>
      <c r="QJZ1598" s="393"/>
      <c r="QKA1598" s="392"/>
      <c r="QKB1598" s="393"/>
      <c r="QKC1598" s="392"/>
      <c r="QKD1598" s="393"/>
      <c r="QKE1598" s="392"/>
      <c r="QKF1598" s="393"/>
      <c r="QKG1598" s="392"/>
      <c r="QKH1598" s="393"/>
      <c r="QKI1598" s="392"/>
      <c r="QKJ1598" s="393"/>
      <c r="QKK1598" s="392"/>
      <c r="QKL1598" s="393"/>
      <c r="QKM1598" s="392"/>
      <c r="QKN1598" s="393"/>
      <c r="QKO1598" s="392"/>
      <c r="QKP1598" s="393"/>
      <c r="QKQ1598" s="392"/>
      <c r="QKR1598" s="393"/>
      <c r="QKS1598" s="392"/>
      <c r="QKT1598" s="393"/>
      <c r="QKU1598" s="392"/>
      <c r="QKV1598" s="393"/>
      <c r="QKW1598" s="392"/>
      <c r="QKX1598" s="393"/>
      <c r="QKY1598" s="392"/>
      <c r="QKZ1598" s="393"/>
      <c r="QLA1598" s="392"/>
      <c r="QLB1598" s="393"/>
      <c r="QLC1598" s="392"/>
      <c r="QLD1598" s="393"/>
      <c r="QLE1598" s="392"/>
      <c r="QLF1598" s="393"/>
      <c r="QLG1598" s="392"/>
      <c r="QLH1598" s="393"/>
      <c r="QLI1598" s="392"/>
      <c r="QLJ1598" s="393"/>
      <c r="QLK1598" s="392"/>
      <c r="QLL1598" s="393"/>
      <c r="QLM1598" s="392"/>
      <c r="QLN1598" s="393"/>
      <c r="QLO1598" s="392"/>
      <c r="QLP1598" s="393"/>
      <c r="QLQ1598" s="392"/>
      <c r="QLR1598" s="393"/>
      <c r="QLS1598" s="392"/>
      <c r="QLT1598" s="393"/>
      <c r="QLU1598" s="392"/>
      <c r="QLV1598" s="393"/>
      <c r="QLW1598" s="392"/>
      <c r="QLX1598" s="393"/>
      <c r="QLY1598" s="392"/>
      <c r="QLZ1598" s="393"/>
      <c r="QMA1598" s="392"/>
      <c r="QMB1598" s="393"/>
      <c r="QMC1598" s="392"/>
      <c r="QMD1598" s="393"/>
      <c r="QME1598" s="392"/>
      <c r="QMF1598" s="393"/>
      <c r="QMG1598" s="392"/>
      <c r="QMH1598" s="393"/>
      <c r="QMI1598" s="392"/>
      <c r="QMJ1598" s="393"/>
      <c r="QMK1598" s="392"/>
      <c r="QML1598" s="393"/>
      <c r="QMM1598" s="392"/>
      <c r="QMN1598" s="393"/>
      <c r="QMO1598" s="392"/>
      <c r="QMP1598" s="393"/>
      <c r="QMQ1598" s="392"/>
      <c r="QMR1598" s="393"/>
      <c r="QMS1598" s="392"/>
      <c r="QMT1598" s="393"/>
      <c r="QMU1598" s="392"/>
      <c r="QMV1598" s="393"/>
      <c r="QMW1598" s="392"/>
      <c r="QMX1598" s="393"/>
      <c r="QMY1598" s="392"/>
      <c r="QMZ1598" s="393"/>
      <c r="QNA1598" s="392"/>
      <c r="QNB1598" s="393"/>
      <c r="QNC1598" s="392"/>
      <c r="QND1598" s="393"/>
      <c r="QNE1598" s="392"/>
      <c r="QNF1598" s="393"/>
      <c r="QNG1598" s="392"/>
      <c r="QNH1598" s="393"/>
      <c r="QNI1598" s="392"/>
      <c r="QNJ1598" s="393"/>
      <c r="QNK1598" s="392"/>
      <c r="QNL1598" s="393"/>
      <c r="QNM1598" s="392"/>
      <c r="QNN1598" s="393"/>
      <c r="QNO1598" s="392"/>
      <c r="QNP1598" s="393"/>
      <c r="QNQ1598" s="392"/>
      <c r="QNR1598" s="393"/>
      <c r="QNS1598" s="392"/>
      <c r="QNT1598" s="393"/>
      <c r="QNU1598" s="392"/>
      <c r="QNV1598" s="393"/>
      <c r="QNW1598" s="392"/>
      <c r="QNX1598" s="393"/>
      <c r="QNY1598" s="392"/>
      <c r="QNZ1598" s="393"/>
      <c r="QOA1598" s="392"/>
      <c r="QOB1598" s="393"/>
      <c r="QOC1598" s="392"/>
      <c r="QOD1598" s="393"/>
      <c r="QOE1598" s="392"/>
      <c r="QOF1598" s="393"/>
      <c r="QOG1598" s="392"/>
      <c r="QOH1598" s="393"/>
      <c r="QOI1598" s="392"/>
      <c r="QOJ1598" s="393"/>
      <c r="QOK1598" s="392"/>
      <c r="QOL1598" s="393"/>
      <c r="QOM1598" s="392"/>
      <c r="QON1598" s="393"/>
      <c r="QOO1598" s="392"/>
      <c r="QOP1598" s="393"/>
      <c r="QOQ1598" s="392"/>
      <c r="QOR1598" s="393"/>
      <c r="QOS1598" s="392"/>
      <c r="QOT1598" s="393"/>
      <c r="QOU1598" s="392"/>
      <c r="QOV1598" s="393"/>
      <c r="QOW1598" s="392"/>
      <c r="QOX1598" s="393"/>
      <c r="QOY1598" s="392"/>
      <c r="QOZ1598" s="393"/>
      <c r="QPA1598" s="392"/>
      <c r="QPB1598" s="393"/>
      <c r="QPC1598" s="392"/>
      <c r="QPD1598" s="393"/>
      <c r="QPE1598" s="392"/>
      <c r="QPF1598" s="393"/>
      <c r="QPG1598" s="392"/>
      <c r="QPH1598" s="393"/>
      <c r="QPI1598" s="392"/>
      <c r="QPJ1598" s="393"/>
      <c r="QPK1598" s="392"/>
      <c r="QPL1598" s="393"/>
      <c r="QPM1598" s="392"/>
      <c r="QPN1598" s="393"/>
      <c r="QPO1598" s="392"/>
      <c r="QPP1598" s="393"/>
      <c r="QPQ1598" s="392"/>
      <c r="QPR1598" s="393"/>
      <c r="QPS1598" s="392"/>
      <c r="QPT1598" s="393"/>
      <c r="QPU1598" s="392"/>
      <c r="QPV1598" s="393"/>
      <c r="QPW1598" s="392"/>
      <c r="QPX1598" s="393"/>
      <c r="QPY1598" s="392"/>
      <c r="QPZ1598" s="393"/>
      <c r="QQA1598" s="392"/>
      <c r="QQB1598" s="393"/>
      <c r="QQC1598" s="392"/>
      <c r="QQD1598" s="393"/>
      <c r="QQE1598" s="392"/>
      <c r="QQF1598" s="393"/>
      <c r="QQG1598" s="392"/>
      <c r="QQH1598" s="393"/>
      <c r="QQI1598" s="392"/>
      <c r="QQJ1598" s="393"/>
      <c r="QQK1598" s="392"/>
      <c r="QQL1598" s="393"/>
      <c r="QQM1598" s="392"/>
      <c r="QQN1598" s="393"/>
      <c r="QQO1598" s="392"/>
      <c r="QQP1598" s="393"/>
      <c r="QQQ1598" s="392"/>
      <c r="QQR1598" s="393"/>
      <c r="QQS1598" s="392"/>
      <c r="QQT1598" s="393"/>
      <c r="QQU1598" s="392"/>
      <c r="QQV1598" s="393"/>
      <c r="QQW1598" s="392"/>
      <c r="QQX1598" s="393"/>
      <c r="QQY1598" s="392"/>
      <c r="QQZ1598" s="393"/>
      <c r="QRA1598" s="392"/>
      <c r="QRB1598" s="393"/>
      <c r="QRC1598" s="392"/>
      <c r="QRD1598" s="393"/>
      <c r="QRE1598" s="392"/>
      <c r="QRF1598" s="393"/>
      <c r="QRG1598" s="392"/>
      <c r="QRH1598" s="393"/>
      <c r="QRI1598" s="392"/>
      <c r="QRJ1598" s="393"/>
      <c r="QRK1598" s="392"/>
      <c r="QRL1598" s="393"/>
      <c r="QRM1598" s="392"/>
      <c r="QRN1598" s="393"/>
      <c r="QRO1598" s="392"/>
      <c r="QRP1598" s="393"/>
      <c r="QRQ1598" s="392"/>
      <c r="QRR1598" s="393"/>
      <c r="QRS1598" s="392"/>
      <c r="QRT1598" s="393"/>
      <c r="QRU1598" s="392"/>
      <c r="QRV1598" s="393"/>
      <c r="QRW1598" s="392"/>
      <c r="QRX1598" s="393"/>
      <c r="QRY1598" s="392"/>
      <c r="QRZ1598" s="393"/>
      <c r="QSA1598" s="392"/>
      <c r="QSB1598" s="393"/>
      <c r="QSC1598" s="392"/>
      <c r="QSD1598" s="393"/>
      <c r="QSE1598" s="392"/>
      <c r="QSF1598" s="393"/>
      <c r="QSG1598" s="392"/>
      <c r="QSH1598" s="393"/>
      <c r="QSI1598" s="392"/>
      <c r="QSJ1598" s="393"/>
      <c r="QSK1598" s="392"/>
      <c r="QSL1598" s="393"/>
      <c r="QSM1598" s="392"/>
      <c r="QSN1598" s="393"/>
      <c r="QSO1598" s="392"/>
      <c r="QSP1598" s="393"/>
      <c r="QSQ1598" s="392"/>
      <c r="QSR1598" s="393"/>
      <c r="QSS1598" s="392"/>
      <c r="QST1598" s="393"/>
      <c r="QSU1598" s="392"/>
      <c r="QSV1598" s="393"/>
      <c r="QSW1598" s="392"/>
      <c r="QSX1598" s="393"/>
      <c r="QSY1598" s="392"/>
      <c r="QSZ1598" s="393"/>
      <c r="QTA1598" s="392"/>
      <c r="QTB1598" s="393"/>
      <c r="QTC1598" s="392"/>
      <c r="QTD1598" s="393"/>
      <c r="QTE1598" s="392"/>
      <c r="QTF1598" s="393"/>
      <c r="QTG1598" s="392"/>
      <c r="QTH1598" s="393"/>
      <c r="QTI1598" s="392"/>
      <c r="QTJ1598" s="393"/>
      <c r="QTK1598" s="392"/>
      <c r="QTL1598" s="393"/>
      <c r="QTM1598" s="392"/>
      <c r="QTN1598" s="393"/>
      <c r="QTO1598" s="392"/>
      <c r="QTP1598" s="393"/>
      <c r="QTQ1598" s="392"/>
      <c r="QTR1598" s="393"/>
      <c r="QTS1598" s="392"/>
      <c r="QTT1598" s="393"/>
      <c r="QTU1598" s="392"/>
      <c r="QTV1598" s="393"/>
      <c r="QTW1598" s="392"/>
      <c r="QTX1598" s="393"/>
      <c r="QTY1598" s="392"/>
      <c r="QTZ1598" s="393"/>
      <c r="QUA1598" s="392"/>
      <c r="QUB1598" s="393"/>
      <c r="QUC1598" s="392"/>
      <c r="QUD1598" s="393"/>
      <c r="QUE1598" s="392"/>
      <c r="QUF1598" s="393"/>
      <c r="QUG1598" s="392"/>
      <c r="QUH1598" s="393"/>
      <c r="QUI1598" s="392"/>
      <c r="QUJ1598" s="393"/>
      <c r="QUK1598" s="392"/>
      <c r="QUL1598" s="393"/>
      <c r="QUM1598" s="392"/>
      <c r="QUN1598" s="393"/>
      <c r="QUO1598" s="392"/>
      <c r="QUP1598" s="393"/>
      <c r="QUQ1598" s="392"/>
      <c r="QUR1598" s="393"/>
      <c r="QUS1598" s="392"/>
      <c r="QUT1598" s="393"/>
      <c r="QUU1598" s="392"/>
      <c r="QUV1598" s="393"/>
      <c r="QUW1598" s="392"/>
      <c r="QUX1598" s="393"/>
      <c r="QUY1598" s="392"/>
      <c r="QUZ1598" s="393"/>
      <c r="QVA1598" s="392"/>
      <c r="QVB1598" s="393"/>
      <c r="QVC1598" s="392"/>
      <c r="QVD1598" s="393"/>
      <c r="QVE1598" s="392"/>
      <c r="QVF1598" s="393"/>
      <c r="QVG1598" s="392"/>
      <c r="QVH1598" s="393"/>
      <c r="QVI1598" s="392"/>
      <c r="QVJ1598" s="393"/>
      <c r="QVK1598" s="392"/>
      <c r="QVL1598" s="393"/>
      <c r="QVM1598" s="392"/>
      <c r="QVN1598" s="393"/>
      <c r="QVO1598" s="392"/>
      <c r="QVP1598" s="393"/>
      <c r="QVQ1598" s="392"/>
      <c r="QVR1598" s="393"/>
      <c r="QVS1598" s="392"/>
      <c r="QVT1598" s="393"/>
      <c r="QVU1598" s="392"/>
      <c r="QVV1598" s="393"/>
      <c r="QVW1598" s="392"/>
      <c r="QVX1598" s="393"/>
      <c r="QVY1598" s="392"/>
      <c r="QVZ1598" s="393"/>
      <c r="QWA1598" s="392"/>
      <c r="QWB1598" s="393"/>
      <c r="QWC1598" s="392"/>
      <c r="QWD1598" s="393"/>
      <c r="QWE1598" s="392"/>
      <c r="QWF1598" s="393"/>
      <c r="QWG1598" s="392"/>
      <c r="QWH1598" s="393"/>
      <c r="QWI1598" s="392"/>
      <c r="QWJ1598" s="393"/>
      <c r="QWK1598" s="392"/>
      <c r="QWL1598" s="393"/>
      <c r="QWM1598" s="392"/>
      <c r="QWN1598" s="393"/>
      <c r="QWO1598" s="392"/>
      <c r="QWP1598" s="393"/>
      <c r="QWQ1598" s="392"/>
      <c r="QWR1598" s="393"/>
      <c r="QWS1598" s="392"/>
      <c r="QWT1598" s="393"/>
      <c r="QWU1598" s="392"/>
      <c r="QWV1598" s="393"/>
      <c r="QWW1598" s="392"/>
      <c r="QWX1598" s="393"/>
      <c r="QWY1598" s="392"/>
      <c r="QWZ1598" s="393"/>
      <c r="QXA1598" s="392"/>
      <c r="QXB1598" s="393"/>
      <c r="QXC1598" s="392"/>
      <c r="QXD1598" s="393"/>
      <c r="QXE1598" s="392"/>
      <c r="QXF1598" s="393"/>
      <c r="QXG1598" s="392"/>
      <c r="QXH1598" s="393"/>
      <c r="QXI1598" s="392"/>
      <c r="QXJ1598" s="393"/>
      <c r="QXK1598" s="392"/>
      <c r="QXL1598" s="393"/>
      <c r="QXM1598" s="392"/>
      <c r="QXN1598" s="393"/>
      <c r="QXO1598" s="392"/>
      <c r="QXP1598" s="393"/>
      <c r="QXQ1598" s="392"/>
      <c r="QXR1598" s="393"/>
      <c r="QXS1598" s="392"/>
      <c r="QXT1598" s="393"/>
      <c r="QXU1598" s="392"/>
      <c r="QXV1598" s="393"/>
      <c r="QXW1598" s="392"/>
      <c r="QXX1598" s="393"/>
      <c r="QXY1598" s="392"/>
      <c r="QXZ1598" s="393"/>
      <c r="QYA1598" s="392"/>
      <c r="QYB1598" s="393"/>
      <c r="QYC1598" s="392"/>
      <c r="QYD1598" s="393"/>
      <c r="QYE1598" s="392"/>
      <c r="QYF1598" s="393"/>
      <c r="QYG1598" s="392"/>
      <c r="QYH1598" s="393"/>
      <c r="QYI1598" s="392"/>
      <c r="QYJ1598" s="393"/>
      <c r="QYK1598" s="392"/>
      <c r="QYL1598" s="393"/>
      <c r="QYM1598" s="392"/>
      <c r="QYN1598" s="393"/>
      <c r="QYO1598" s="392"/>
      <c r="QYP1598" s="393"/>
      <c r="QYQ1598" s="392"/>
      <c r="QYR1598" s="393"/>
      <c r="QYS1598" s="392"/>
      <c r="QYT1598" s="393"/>
      <c r="QYU1598" s="392"/>
      <c r="QYV1598" s="393"/>
      <c r="QYW1598" s="392"/>
      <c r="QYX1598" s="393"/>
      <c r="QYY1598" s="392"/>
      <c r="QYZ1598" s="393"/>
      <c r="QZA1598" s="392"/>
      <c r="QZB1598" s="393"/>
      <c r="QZC1598" s="392"/>
      <c r="QZD1598" s="393"/>
      <c r="QZE1598" s="392"/>
      <c r="QZF1598" s="393"/>
      <c r="QZG1598" s="392"/>
      <c r="QZH1598" s="393"/>
      <c r="QZI1598" s="392"/>
      <c r="QZJ1598" s="393"/>
      <c r="QZK1598" s="392"/>
      <c r="QZL1598" s="393"/>
      <c r="QZM1598" s="392"/>
      <c r="QZN1598" s="393"/>
      <c r="QZO1598" s="392"/>
      <c r="QZP1598" s="393"/>
      <c r="QZQ1598" s="392"/>
      <c r="QZR1598" s="393"/>
      <c r="QZS1598" s="392"/>
      <c r="QZT1598" s="393"/>
      <c r="QZU1598" s="392"/>
      <c r="QZV1598" s="393"/>
      <c r="QZW1598" s="392"/>
      <c r="QZX1598" s="393"/>
      <c r="QZY1598" s="392"/>
      <c r="QZZ1598" s="393"/>
      <c r="RAA1598" s="392"/>
      <c r="RAB1598" s="393"/>
      <c r="RAC1598" s="392"/>
      <c r="RAD1598" s="393"/>
      <c r="RAE1598" s="392"/>
      <c r="RAF1598" s="393"/>
      <c r="RAG1598" s="392"/>
      <c r="RAH1598" s="393"/>
      <c r="RAI1598" s="392"/>
      <c r="RAJ1598" s="393"/>
      <c r="RAK1598" s="392"/>
      <c r="RAL1598" s="393"/>
      <c r="RAM1598" s="392"/>
      <c r="RAN1598" s="393"/>
      <c r="RAO1598" s="392"/>
      <c r="RAP1598" s="393"/>
      <c r="RAQ1598" s="392"/>
      <c r="RAR1598" s="393"/>
      <c r="RAS1598" s="392"/>
      <c r="RAT1598" s="393"/>
      <c r="RAU1598" s="392"/>
      <c r="RAV1598" s="393"/>
      <c r="RAW1598" s="392"/>
      <c r="RAX1598" s="393"/>
      <c r="RAY1598" s="392"/>
      <c r="RAZ1598" s="393"/>
      <c r="RBA1598" s="392"/>
      <c r="RBB1598" s="393"/>
      <c r="RBC1598" s="392"/>
      <c r="RBD1598" s="393"/>
      <c r="RBE1598" s="392"/>
      <c r="RBF1598" s="393"/>
      <c r="RBG1598" s="392"/>
      <c r="RBH1598" s="393"/>
      <c r="RBI1598" s="392"/>
      <c r="RBJ1598" s="393"/>
      <c r="RBK1598" s="392"/>
      <c r="RBL1598" s="393"/>
      <c r="RBM1598" s="392"/>
      <c r="RBN1598" s="393"/>
      <c r="RBO1598" s="392"/>
      <c r="RBP1598" s="393"/>
      <c r="RBQ1598" s="392"/>
      <c r="RBR1598" s="393"/>
      <c r="RBS1598" s="392"/>
      <c r="RBT1598" s="393"/>
      <c r="RBU1598" s="392"/>
      <c r="RBV1598" s="393"/>
      <c r="RBW1598" s="392"/>
      <c r="RBX1598" s="393"/>
      <c r="RBY1598" s="392"/>
      <c r="RBZ1598" s="393"/>
      <c r="RCA1598" s="392"/>
      <c r="RCB1598" s="393"/>
      <c r="RCC1598" s="392"/>
      <c r="RCD1598" s="393"/>
      <c r="RCE1598" s="392"/>
      <c r="RCF1598" s="393"/>
      <c r="RCG1598" s="392"/>
      <c r="RCH1598" s="393"/>
      <c r="RCI1598" s="392"/>
      <c r="RCJ1598" s="393"/>
      <c r="RCK1598" s="392"/>
      <c r="RCL1598" s="393"/>
      <c r="RCM1598" s="392"/>
      <c r="RCN1598" s="393"/>
      <c r="RCO1598" s="392"/>
      <c r="RCP1598" s="393"/>
      <c r="RCQ1598" s="392"/>
      <c r="RCR1598" s="393"/>
      <c r="RCS1598" s="392"/>
      <c r="RCT1598" s="393"/>
      <c r="RCU1598" s="392"/>
      <c r="RCV1598" s="393"/>
      <c r="RCW1598" s="392"/>
      <c r="RCX1598" s="393"/>
      <c r="RCY1598" s="392"/>
      <c r="RCZ1598" s="393"/>
      <c r="RDA1598" s="392"/>
      <c r="RDB1598" s="393"/>
      <c r="RDC1598" s="392"/>
      <c r="RDD1598" s="393"/>
      <c r="RDE1598" s="392"/>
      <c r="RDF1598" s="393"/>
      <c r="RDG1598" s="392"/>
      <c r="RDH1598" s="393"/>
      <c r="RDI1598" s="392"/>
      <c r="RDJ1598" s="393"/>
      <c r="RDK1598" s="392"/>
      <c r="RDL1598" s="393"/>
      <c r="RDM1598" s="392"/>
      <c r="RDN1598" s="393"/>
      <c r="RDO1598" s="392"/>
      <c r="RDP1598" s="393"/>
      <c r="RDQ1598" s="392"/>
      <c r="RDR1598" s="393"/>
      <c r="RDS1598" s="392"/>
      <c r="RDT1598" s="393"/>
      <c r="RDU1598" s="392"/>
      <c r="RDV1598" s="393"/>
      <c r="RDW1598" s="392"/>
      <c r="RDX1598" s="393"/>
      <c r="RDY1598" s="392"/>
      <c r="RDZ1598" s="393"/>
      <c r="REA1598" s="392"/>
      <c r="REB1598" s="393"/>
      <c r="REC1598" s="392"/>
      <c r="RED1598" s="393"/>
      <c r="REE1598" s="392"/>
      <c r="REF1598" s="393"/>
      <c r="REG1598" s="392"/>
      <c r="REH1598" s="393"/>
      <c r="REI1598" s="392"/>
      <c r="REJ1598" s="393"/>
      <c r="REK1598" s="392"/>
      <c r="REL1598" s="393"/>
      <c r="REM1598" s="392"/>
      <c r="REN1598" s="393"/>
      <c r="REO1598" s="392"/>
      <c r="REP1598" s="393"/>
      <c r="REQ1598" s="392"/>
      <c r="RER1598" s="393"/>
      <c r="RES1598" s="392"/>
      <c r="RET1598" s="393"/>
      <c r="REU1598" s="392"/>
      <c r="REV1598" s="393"/>
      <c r="REW1598" s="392"/>
      <c r="REX1598" s="393"/>
      <c r="REY1598" s="392"/>
      <c r="REZ1598" s="393"/>
      <c r="RFA1598" s="392"/>
      <c r="RFB1598" s="393"/>
      <c r="RFC1598" s="392"/>
      <c r="RFD1598" s="393"/>
      <c r="RFE1598" s="392"/>
      <c r="RFF1598" s="393"/>
      <c r="RFG1598" s="392"/>
      <c r="RFH1598" s="393"/>
      <c r="RFI1598" s="392"/>
      <c r="RFJ1598" s="393"/>
      <c r="RFK1598" s="392"/>
      <c r="RFL1598" s="393"/>
      <c r="RFM1598" s="392"/>
      <c r="RFN1598" s="393"/>
      <c r="RFO1598" s="392"/>
      <c r="RFP1598" s="393"/>
      <c r="RFQ1598" s="392"/>
      <c r="RFR1598" s="393"/>
      <c r="RFS1598" s="392"/>
      <c r="RFT1598" s="393"/>
      <c r="RFU1598" s="392"/>
      <c r="RFV1598" s="393"/>
      <c r="RFW1598" s="392"/>
      <c r="RFX1598" s="393"/>
      <c r="RFY1598" s="392"/>
      <c r="RFZ1598" s="393"/>
      <c r="RGA1598" s="392"/>
      <c r="RGB1598" s="393"/>
      <c r="RGC1598" s="392"/>
      <c r="RGD1598" s="393"/>
      <c r="RGE1598" s="392"/>
      <c r="RGF1598" s="393"/>
      <c r="RGG1598" s="392"/>
      <c r="RGH1598" s="393"/>
      <c r="RGI1598" s="392"/>
      <c r="RGJ1598" s="393"/>
      <c r="RGK1598" s="392"/>
      <c r="RGL1598" s="393"/>
      <c r="RGM1598" s="392"/>
      <c r="RGN1598" s="393"/>
      <c r="RGO1598" s="392"/>
      <c r="RGP1598" s="393"/>
      <c r="RGQ1598" s="392"/>
      <c r="RGR1598" s="393"/>
      <c r="RGS1598" s="392"/>
      <c r="RGT1598" s="393"/>
      <c r="RGU1598" s="392"/>
      <c r="RGV1598" s="393"/>
      <c r="RGW1598" s="392"/>
      <c r="RGX1598" s="393"/>
      <c r="RGY1598" s="392"/>
      <c r="RGZ1598" s="393"/>
      <c r="RHA1598" s="392"/>
      <c r="RHB1598" s="393"/>
      <c r="RHC1598" s="392"/>
      <c r="RHD1598" s="393"/>
      <c r="RHE1598" s="392"/>
      <c r="RHF1598" s="393"/>
      <c r="RHG1598" s="392"/>
      <c r="RHH1598" s="393"/>
      <c r="RHI1598" s="392"/>
      <c r="RHJ1598" s="393"/>
      <c r="RHK1598" s="392"/>
      <c r="RHL1598" s="393"/>
      <c r="RHM1598" s="392"/>
      <c r="RHN1598" s="393"/>
      <c r="RHO1598" s="392"/>
      <c r="RHP1598" s="393"/>
      <c r="RHQ1598" s="392"/>
      <c r="RHR1598" s="393"/>
      <c r="RHS1598" s="392"/>
      <c r="RHT1598" s="393"/>
      <c r="RHU1598" s="392"/>
      <c r="RHV1598" s="393"/>
      <c r="RHW1598" s="392"/>
      <c r="RHX1598" s="393"/>
      <c r="RHY1598" s="392"/>
      <c r="RHZ1598" s="393"/>
      <c r="RIA1598" s="392"/>
      <c r="RIB1598" s="393"/>
      <c r="RIC1598" s="392"/>
      <c r="RID1598" s="393"/>
      <c r="RIE1598" s="392"/>
      <c r="RIF1598" s="393"/>
      <c r="RIG1598" s="392"/>
      <c r="RIH1598" s="393"/>
      <c r="RII1598" s="392"/>
      <c r="RIJ1598" s="393"/>
      <c r="RIK1598" s="392"/>
      <c r="RIL1598" s="393"/>
      <c r="RIM1598" s="392"/>
      <c r="RIN1598" s="393"/>
      <c r="RIO1598" s="392"/>
      <c r="RIP1598" s="393"/>
      <c r="RIQ1598" s="392"/>
      <c r="RIR1598" s="393"/>
      <c r="RIS1598" s="392"/>
      <c r="RIT1598" s="393"/>
      <c r="RIU1598" s="392"/>
      <c r="RIV1598" s="393"/>
      <c r="RIW1598" s="392"/>
      <c r="RIX1598" s="393"/>
      <c r="RIY1598" s="392"/>
      <c r="RIZ1598" s="393"/>
      <c r="RJA1598" s="392"/>
      <c r="RJB1598" s="393"/>
      <c r="RJC1598" s="392"/>
      <c r="RJD1598" s="393"/>
      <c r="RJE1598" s="392"/>
      <c r="RJF1598" s="393"/>
      <c r="RJG1598" s="392"/>
      <c r="RJH1598" s="393"/>
      <c r="RJI1598" s="392"/>
      <c r="RJJ1598" s="393"/>
      <c r="RJK1598" s="392"/>
      <c r="RJL1598" s="393"/>
      <c r="RJM1598" s="392"/>
      <c r="RJN1598" s="393"/>
      <c r="RJO1598" s="392"/>
      <c r="RJP1598" s="393"/>
      <c r="RJQ1598" s="392"/>
      <c r="RJR1598" s="393"/>
      <c r="RJS1598" s="392"/>
      <c r="RJT1598" s="393"/>
      <c r="RJU1598" s="392"/>
      <c r="RJV1598" s="393"/>
      <c r="RJW1598" s="392"/>
      <c r="RJX1598" s="393"/>
      <c r="RJY1598" s="392"/>
      <c r="RJZ1598" s="393"/>
      <c r="RKA1598" s="392"/>
      <c r="RKB1598" s="393"/>
      <c r="RKC1598" s="392"/>
      <c r="RKD1598" s="393"/>
      <c r="RKE1598" s="392"/>
      <c r="RKF1598" s="393"/>
      <c r="RKG1598" s="392"/>
      <c r="RKH1598" s="393"/>
      <c r="RKI1598" s="392"/>
      <c r="RKJ1598" s="393"/>
      <c r="RKK1598" s="392"/>
      <c r="RKL1598" s="393"/>
      <c r="RKM1598" s="392"/>
      <c r="RKN1598" s="393"/>
      <c r="RKO1598" s="392"/>
      <c r="RKP1598" s="393"/>
      <c r="RKQ1598" s="392"/>
      <c r="RKR1598" s="393"/>
      <c r="RKS1598" s="392"/>
      <c r="RKT1598" s="393"/>
      <c r="RKU1598" s="392"/>
      <c r="RKV1598" s="393"/>
      <c r="RKW1598" s="392"/>
      <c r="RKX1598" s="393"/>
      <c r="RKY1598" s="392"/>
      <c r="RKZ1598" s="393"/>
      <c r="RLA1598" s="392"/>
      <c r="RLB1598" s="393"/>
      <c r="RLC1598" s="392"/>
      <c r="RLD1598" s="393"/>
      <c r="RLE1598" s="392"/>
      <c r="RLF1598" s="393"/>
      <c r="RLG1598" s="392"/>
      <c r="RLH1598" s="393"/>
      <c r="RLI1598" s="392"/>
      <c r="RLJ1598" s="393"/>
      <c r="RLK1598" s="392"/>
      <c r="RLL1598" s="393"/>
      <c r="RLM1598" s="392"/>
      <c r="RLN1598" s="393"/>
      <c r="RLO1598" s="392"/>
      <c r="RLP1598" s="393"/>
      <c r="RLQ1598" s="392"/>
      <c r="RLR1598" s="393"/>
      <c r="RLS1598" s="392"/>
      <c r="RLT1598" s="393"/>
      <c r="RLU1598" s="392"/>
      <c r="RLV1598" s="393"/>
      <c r="RLW1598" s="392"/>
      <c r="RLX1598" s="393"/>
      <c r="RLY1598" s="392"/>
      <c r="RLZ1598" s="393"/>
      <c r="RMA1598" s="392"/>
      <c r="RMB1598" s="393"/>
      <c r="RMC1598" s="392"/>
      <c r="RMD1598" s="393"/>
      <c r="RME1598" s="392"/>
      <c r="RMF1598" s="393"/>
      <c r="RMG1598" s="392"/>
      <c r="RMH1598" s="393"/>
      <c r="RMI1598" s="392"/>
      <c r="RMJ1598" s="393"/>
      <c r="RMK1598" s="392"/>
      <c r="RML1598" s="393"/>
      <c r="RMM1598" s="392"/>
      <c r="RMN1598" s="393"/>
      <c r="RMO1598" s="392"/>
      <c r="RMP1598" s="393"/>
      <c r="RMQ1598" s="392"/>
      <c r="RMR1598" s="393"/>
      <c r="RMS1598" s="392"/>
      <c r="RMT1598" s="393"/>
      <c r="RMU1598" s="392"/>
      <c r="RMV1598" s="393"/>
      <c r="RMW1598" s="392"/>
      <c r="RMX1598" s="393"/>
      <c r="RMY1598" s="392"/>
      <c r="RMZ1598" s="393"/>
      <c r="RNA1598" s="392"/>
      <c r="RNB1598" s="393"/>
      <c r="RNC1598" s="392"/>
      <c r="RND1598" s="393"/>
      <c r="RNE1598" s="392"/>
      <c r="RNF1598" s="393"/>
      <c r="RNG1598" s="392"/>
      <c r="RNH1598" s="393"/>
      <c r="RNI1598" s="392"/>
      <c r="RNJ1598" s="393"/>
      <c r="RNK1598" s="392"/>
      <c r="RNL1598" s="393"/>
      <c r="RNM1598" s="392"/>
      <c r="RNN1598" s="393"/>
      <c r="RNO1598" s="392"/>
      <c r="RNP1598" s="393"/>
      <c r="RNQ1598" s="392"/>
      <c r="RNR1598" s="393"/>
      <c r="RNS1598" s="392"/>
      <c r="RNT1598" s="393"/>
      <c r="RNU1598" s="392"/>
      <c r="RNV1598" s="393"/>
      <c r="RNW1598" s="392"/>
      <c r="RNX1598" s="393"/>
      <c r="RNY1598" s="392"/>
      <c r="RNZ1598" s="393"/>
      <c r="ROA1598" s="392"/>
      <c r="ROB1598" s="393"/>
      <c r="ROC1598" s="392"/>
      <c r="ROD1598" s="393"/>
      <c r="ROE1598" s="392"/>
      <c r="ROF1598" s="393"/>
      <c r="ROG1598" s="392"/>
      <c r="ROH1598" s="393"/>
      <c r="ROI1598" s="392"/>
      <c r="ROJ1598" s="393"/>
      <c r="ROK1598" s="392"/>
      <c r="ROL1598" s="393"/>
      <c r="ROM1598" s="392"/>
      <c r="RON1598" s="393"/>
      <c r="ROO1598" s="392"/>
      <c r="ROP1598" s="393"/>
      <c r="ROQ1598" s="392"/>
      <c r="ROR1598" s="393"/>
      <c r="ROS1598" s="392"/>
      <c r="ROT1598" s="393"/>
      <c r="ROU1598" s="392"/>
      <c r="ROV1598" s="393"/>
      <c r="ROW1598" s="392"/>
      <c r="ROX1598" s="393"/>
      <c r="ROY1598" s="392"/>
      <c r="ROZ1598" s="393"/>
      <c r="RPA1598" s="392"/>
      <c r="RPB1598" s="393"/>
      <c r="RPC1598" s="392"/>
      <c r="RPD1598" s="393"/>
      <c r="RPE1598" s="392"/>
      <c r="RPF1598" s="393"/>
      <c r="RPG1598" s="392"/>
      <c r="RPH1598" s="393"/>
      <c r="RPI1598" s="392"/>
      <c r="RPJ1598" s="393"/>
      <c r="RPK1598" s="392"/>
      <c r="RPL1598" s="393"/>
      <c r="RPM1598" s="392"/>
      <c r="RPN1598" s="393"/>
      <c r="RPO1598" s="392"/>
      <c r="RPP1598" s="393"/>
      <c r="RPQ1598" s="392"/>
      <c r="RPR1598" s="393"/>
      <c r="RPS1598" s="392"/>
      <c r="RPT1598" s="393"/>
      <c r="RPU1598" s="392"/>
      <c r="RPV1598" s="393"/>
      <c r="RPW1598" s="392"/>
      <c r="RPX1598" s="393"/>
      <c r="RPY1598" s="392"/>
      <c r="RPZ1598" s="393"/>
      <c r="RQA1598" s="392"/>
      <c r="RQB1598" s="393"/>
      <c r="RQC1598" s="392"/>
      <c r="RQD1598" s="393"/>
      <c r="RQE1598" s="392"/>
      <c r="RQF1598" s="393"/>
      <c r="RQG1598" s="392"/>
      <c r="RQH1598" s="393"/>
      <c r="RQI1598" s="392"/>
      <c r="RQJ1598" s="393"/>
      <c r="RQK1598" s="392"/>
      <c r="RQL1598" s="393"/>
      <c r="RQM1598" s="392"/>
      <c r="RQN1598" s="393"/>
      <c r="RQO1598" s="392"/>
      <c r="RQP1598" s="393"/>
      <c r="RQQ1598" s="392"/>
      <c r="RQR1598" s="393"/>
      <c r="RQS1598" s="392"/>
      <c r="RQT1598" s="393"/>
      <c r="RQU1598" s="392"/>
      <c r="RQV1598" s="393"/>
      <c r="RQW1598" s="392"/>
      <c r="RQX1598" s="393"/>
      <c r="RQY1598" s="392"/>
      <c r="RQZ1598" s="393"/>
      <c r="RRA1598" s="392"/>
      <c r="RRB1598" s="393"/>
      <c r="RRC1598" s="392"/>
      <c r="RRD1598" s="393"/>
      <c r="RRE1598" s="392"/>
      <c r="RRF1598" s="393"/>
      <c r="RRG1598" s="392"/>
      <c r="RRH1598" s="393"/>
      <c r="RRI1598" s="392"/>
      <c r="RRJ1598" s="393"/>
      <c r="RRK1598" s="392"/>
      <c r="RRL1598" s="393"/>
      <c r="RRM1598" s="392"/>
      <c r="RRN1598" s="393"/>
      <c r="RRO1598" s="392"/>
      <c r="RRP1598" s="393"/>
      <c r="RRQ1598" s="392"/>
      <c r="RRR1598" s="393"/>
      <c r="RRS1598" s="392"/>
      <c r="RRT1598" s="393"/>
      <c r="RRU1598" s="392"/>
      <c r="RRV1598" s="393"/>
      <c r="RRW1598" s="392"/>
      <c r="RRX1598" s="393"/>
      <c r="RRY1598" s="392"/>
      <c r="RRZ1598" s="393"/>
      <c r="RSA1598" s="392"/>
      <c r="RSB1598" s="393"/>
      <c r="RSC1598" s="392"/>
      <c r="RSD1598" s="393"/>
      <c r="RSE1598" s="392"/>
      <c r="RSF1598" s="393"/>
      <c r="RSG1598" s="392"/>
      <c r="RSH1598" s="393"/>
      <c r="RSI1598" s="392"/>
      <c r="RSJ1598" s="393"/>
      <c r="RSK1598" s="392"/>
      <c r="RSL1598" s="393"/>
      <c r="RSM1598" s="392"/>
      <c r="RSN1598" s="393"/>
      <c r="RSO1598" s="392"/>
      <c r="RSP1598" s="393"/>
      <c r="RSQ1598" s="392"/>
      <c r="RSR1598" s="393"/>
      <c r="RSS1598" s="392"/>
      <c r="RST1598" s="393"/>
      <c r="RSU1598" s="392"/>
      <c r="RSV1598" s="393"/>
      <c r="RSW1598" s="392"/>
      <c r="RSX1598" s="393"/>
      <c r="RSY1598" s="392"/>
      <c r="RSZ1598" s="393"/>
      <c r="RTA1598" s="392"/>
      <c r="RTB1598" s="393"/>
      <c r="RTC1598" s="392"/>
      <c r="RTD1598" s="393"/>
      <c r="RTE1598" s="392"/>
      <c r="RTF1598" s="393"/>
      <c r="RTG1598" s="392"/>
      <c r="RTH1598" s="393"/>
      <c r="RTI1598" s="392"/>
      <c r="RTJ1598" s="393"/>
      <c r="RTK1598" s="392"/>
      <c r="RTL1598" s="393"/>
      <c r="RTM1598" s="392"/>
      <c r="RTN1598" s="393"/>
      <c r="RTO1598" s="392"/>
      <c r="RTP1598" s="393"/>
      <c r="RTQ1598" s="392"/>
      <c r="RTR1598" s="393"/>
      <c r="RTS1598" s="392"/>
      <c r="RTT1598" s="393"/>
      <c r="RTU1598" s="392"/>
      <c r="RTV1598" s="393"/>
      <c r="RTW1598" s="392"/>
      <c r="RTX1598" s="393"/>
      <c r="RTY1598" s="392"/>
      <c r="RTZ1598" s="393"/>
      <c r="RUA1598" s="392"/>
      <c r="RUB1598" s="393"/>
      <c r="RUC1598" s="392"/>
      <c r="RUD1598" s="393"/>
      <c r="RUE1598" s="392"/>
      <c r="RUF1598" s="393"/>
      <c r="RUG1598" s="392"/>
      <c r="RUH1598" s="393"/>
      <c r="RUI1598" s="392"/>
      <c r="RUJ1598" s="393"/>
      <c r="RUK1598" s="392"/>
      <c r="RUL1598" s="393"/>
      <c r="RUM1598" s="392"/>
      <c r="RUN1598" s="393"/>
      <c r="RUO1598" s="392"/>
      <c r="RUP1598" s="393"/>
      <c r="RUQ1598" s="392"/>
      <c r="RUR1598" s="393"/>
      <c r="RUS1598" s="392"/>
      <c r="RUT1598" s="393"/>
      <c r="RUU1598" s="392"/>
      <c r="RUV1598" s="393"/>
      <c r="RUW1598" s="392"/>
      <c r="RUX1598" s="393"/>
      <c r="RUY1598" s="392"/>
      <c r="RUZ1598" s="393"/>
      <c r="RVA1598" s="392"/>
      <c r="RVB1598" s="393"/>
      <c r="RVC1598" s="392"/>
      <c r="RVD1598" s="393"/>
      <c r="RVE1598" s="392"/>
      <c r="RVF1598" s="393"/>
      <c r="RVG1598" s="392"/>
      <c r="RVH1598" s="393"/>
      <c r="RVI1598" s="392"/>
      <c r="RVJ1598" s="393"/>
      <c r="RVK1598" s="392"/>
      <c r="RVL1598" s="393"/>
      <c r="RVM1598" s="392"/>
      <c r="RVN1598" s="393"/>
      <c r="RVO1598" s="392"/>
      <c r="RVP1598" s="393"/>
      <c r="RVQ1598" s="392"/>
      <c r="RVR1598" s="393"/>
      <c r="RVS1598" s="392"/>
      <c r="RVT1598" s="393"/>
      <c r="RVU1598" s="392"/>
      <c r="RVV1598" s="393"/>
      <c r="RVW1598" s="392"/>
      <c r="RVX1598" s="393"/>
      <c r="RVY1598" s="392"/>
      <c r="RVZ1598" s="393"/>
      <c r="RWA1598" s="392"/>
      <c r="RWB1598" s="393"/>
      <c r="RWC1598" s="392"/>
      <c r="RWD1598" s="393"/>
      <c r="RWE1598" s="392"/>
      <c r="RWF1598" s="393"/>
      <c r="RWG1598" s="392"/>
      <c r="RWH1598" s="393"/>
      <c r="RWI1598" s="392"/>
      <c r="RWJ1598" s="393"/>
      <c r="RWK1598" s="392"/>
      <c r="RWL1598" s="393"/>
      <c r="RWM1598" s="392"/>
      <c r="RWN1598" s="393"/>
      <c r="RWO1598" s="392"/>
      <c r="RWP1598" s="393"/>
      <c r="RWQ1598" s="392"/>
      <c r="RWR1598" s="393"/>
      <c r="RWS1598" s="392"/>
      <c r="RWT1598" s="393"/>
      <c r="RWU1598" s="392"/>
      <c r="RWV1598" s="393"/>
      <c r="RWW1598" s="392"/>
      <c r="RWX1598" s="393"/>
      <c r="RWY1598" s="392"/>
      <c r="RWZ1598" s="393"/>
      <c r="RXA1598" s="392"/>
      <c r="RXB1598" s="393"/>
      <c r="RXC1598" s="392"/>
      <c r="RXD1598" s="393"/>
      <c r="RXE1598" s="392"/>
      <c r="RXF1598" s="393"/>
      <c r="RXG1598" s="392"/>
      <c r="RXH1598" s="393"/>
      <c r="RXI1598" s="392"/>
      <c r="RXJ1598" s="393"/>
      <c r="RXK1598" s="392"/>
      <c r="RXL1598" s="393"/>
      <c r="RXM1598" s="392"/>
      <c r="RXN1598" s="393"/>
      <c r="RXO1598" s="392"/>
      <c r="RXP1598" s="393"/>
      <c r="RXQ1598" s="392"/>
      <c r="RXR1598" s="393"/>
      <c r="RXS1598" s="392"/>
      <c r="RXT1598" s="393"/>
      <c r="RXU1598" s="392"/>
      <c r="RXV1598" s="393"/>
      <c r="RXW1598" s="392"/>
      <c r="RXX1598" s="393"/>
      <c r="RXY1598" s="392"/>
      <c r="RXZ1598" s="393"/>
      <c r="RYA1598" s="392"/>
      <c r="RYB1598" s="393"/>
      <c r="RYC1598" s="392"/>
      <c r="RYD1598" s="393"/>
      <c r="RYE1598" s="392"/>
      <c r="RYF1598" s="393"/>
      <c r="RYG1598" s="392"/>
      <c r="RYH1598" s="393"/>
      <c r="RYI1598" s="392"/>
      <c r="RYJ1598" s="393"/>
      <c r="RYK1598" s="392"/>
      <c r="RYL1598" s="393"/>
      <c r="RYM1598" s="392"/>
      <c r="RYN1598" s="393"/>
      <c r="RYO1598" s="392"/>
      <c r="RYP1598" s="393"/>
      <c r="RYQ1598" s="392"/>
      <c r="RYR1598" s="393"/>
      <c r="RYS1598" s="392"/>
      <c r="RYT1598" s="393"/>
      <c r="RYU1598" s="392"/>
      <c r="RYV1598" s="393"/>
      <c r="RYW1598" s="392"/>
      <c r="RYX1598" s="393"/>
      <c r="RYY1598" s="392"/>
      <c r="RYZ1598" s="393"/>
      <c r="RZA1598" s="392"/>
      <c r="RZB1598" s="393"/>
      <c r="RZC1598" s="392"/>
      <c r="RZD1598" s="393"/>
      <c r="RZE1598" s="392"/>
      <c r="RZF1598" s="393"/>
      <c r="RZG1598" s="392"/>
      <c r="RZH1598" s="393"/>
      <c r="RZI1598" s="392"/>
      <c r="RZJ1598" s="393"/>
      <c r="RZK1598" s="392"/>
      <c r="RZL1598" s="393"/>
      <c r="RZM1598" s="392"/>
      <c r="RZN1598" s="393"/>
      <c r="RZO1598" s="392"/>
      <c r="RZP1598" s="393"/>
      <c r="RZQ1598" s="392"/>
      <c r="RZR1598" s="393"/>
      <c r="RZS1598" s="392"/>
      <c r="RZT1598" s="393"/>
      <c r="RZU1598" s="392"/>
      <c r="RZV1598" s="393"/>
      <c r="RZW1598" s="392"/>
      <c r="RZX1598" s="393"/>
      <c r="RZY1598" s="392"/>
      <c r="RZZ1598" s="393"/>
      <c r="SAA1598" s="392"/>
      <c r="SAB1598" s="393"/>
      <c r="SAC1598" s="392"/>
      <c r="SAD1598" s="393"/>
      <c r="SAE1598" s="392"/>
      <c r="SAF1598" s="393"/>
      <c r="SAG1598" s="392"/>
      <c r="SAH1598" s="393"/>
      <c r="SAI1598" s="392"/>
      <c r="SAJ1598" s="393"/>
      <c r="SAK1598" s="392"/>
      <c r="SAL1598" s="393"/>
      <c r="SAM1598" s="392"/>
      <c r="SAN1598" s="393"/>
      <c r="SAO1598" s="392"/>
      <c r="SAP1598" s="393"/>
      <c r="SAQ1598" s="392"/>
      <c r="SAR1598" s="393"/>
      <c r="SAS1598" s="392"/>
      <c r="SAT1598" s="393"/>
      <c r="SAU1598" s="392"/>
      <c r="SAV1598" s="393"/>
      <c r="SAW1598" s="392"/>
      <c r="SAX1598" s="393"/>
      <c r="SAY1598" s="392"/>
      <c r="SAZ1598" s="393"/>
      <c r="SBA1598" s="392"/>
      <c r="SBB1598" s="393"/>
      <c r="SBC1598" s="392"/>
      <c r="SBD1598" s="393"/>
      <c r="SBE1598" s="392"/>
      <c r="SBF1598" s="393"/>
      <c r="SBG1598" s="392"/>
      <c r="SBH1598" s="393"/>
      <c r="SBI1598" s="392"/>
      <c r="SBJ1598" s="393"/>
      <c r="SBK1598" s="392"/>
      <c r="SBL1598" s="393"/>
      <c r="SBM1598" s="392"/>
      <c r="SBN1598" s="393"/>
      <c r="SBO1598" s="392"/>
      <c r="SBP1598" s="393"/>
      <c r="SBQ1598" s="392"/>
      <c r="SBR1598" s="393"/>
      <c r="SBS1598" s="392"/>
      <c r="SBT1598" s="393"/>
      <c r="SBU1598" s="392"/>
      <c r="SBV1598" s="393"/>
      <c r="SBW1598" s="392"/>
      <c r="SBX1598" s="393"/>
      <c r="SBY1598" s="392"/>
      <c r="SBZ1598" s="393"/>
      <c r="SCA1598" s="392"/>
      <c r="SCB1598" s="393"/>
      <c r="SCC1598" s="392"/>
      <c r="SCD1598" s="393"/>
      <c r="SCE1598" s="392"/>
      <c r="SCF1598" s="393"/>
      <c r="SCG1598" s="392"/>
      <c r="SCH1598" s="393"/>
      <c r="SCI1598" s="392"/>
      <c r="SCJ1598" s="393"/>
      <c r="SCK1598" s="392"/>
      <c r="SCL1598" s="393"/>
      <c r="SCM1598" s="392"/>
      <c r="SCN1598" s="393"/>
      <c r="SCO1598" s="392"/>
      <c r="SCP1598" s="393"/>
      <c r="SCQ1598" s="392"/>
      <c r="SCR1598" s="393"/>
      <c r="SCS1598" s="392"/>
      <c r="SCT1598" s="393"/>
      <c r="SCU1598" s="392"/>
      <c r="SCV1598" s="393"/>
      <c r="SCW1598" s="392"/>
      <c r="SCX1598" s="393"/>
      <c r="SCY1598" s="392"/>
      <c r="SCZ1598" s="393"/>
      <c r="SDA1598" s="392"/>
      <c r="SDB1598" s="393"/>
      <c r="SDC1598" s="392"/>
      <c r="SDD1598" s="393"/>
      <c r="SDE1598" s="392"/>
      <c r="SDF1598" s="393"/>
      <c r="SDG1598" s="392"/>
      <c r="SDH1598" s="393"/>
      <c r="SDI1598" s="392"/>
      <c r="SDJ1598" s="393"/>
      <c r="SDK1598" s="392"/>
      <c r="SDL1598" s="393"/>
      <c r="SDM1598" s="392"/>
      <c r="SDN1598" s="393"/>
      <c r="SDO1598" s="392"/>
      <c r="SDP1598" s="393"/>
      <c r="SDQ1598" s="392"/>
      <c r="SDR1598" s="393"/>
      <c r="SDS1598" s="392"/>
      <c r="SDT1598" s="393"/>
      <c r="SDU1598" s="392"/>
      <c r="SDV1598" s="393"/>
      <c r="SDW1598" s="392"/>
      <c r="SDX1598" s="393"/>
      <c r="SDY1598" s="392"/>
      <c r="SDZ1598" s="393"/>
      <c r="SEA1598" s="392"/>
      <c r="SEB1598" s="393"/>
      <c r="SEC1598" s="392"/>
      <c r="SED1598" s="393"/>
      <c r="SEE1598" s="392"/>
      <c r="SEF1598" s="393"/>
      <c r="SEG1598" s="392"/>
      <c r="SEH1598" s="393"/>
      <c r="SEI1598" s="392"/>
      <c r="SEJ1598" s="393"/>
      <c r="SEK1598" s="392"/>
      <c r="SEL1598" s="393"/>
      <c r="SEM1598" s="392"/>
      <c r="SEN1598" s="393"/>
      <c r="SEO1598" s="392"/>
      <c r="SEP1598" s="393"/>
      <c r="SEQ1598" s="392"/>
      <c r="SER1598" s="393"/>
      <c r="SES1598" s="392"/>
      <c r="SET1598" s="393"/>
      <c r="SEU1598" s="392"/>
      <c r="SEV1598" s="393"/>
      <c r="SEW1598" s="392"/>
      <c r="SEX1598" s="393"/>
      <c r="SEY1598" s="392"/>
      <c r="SEZ1598" s="393"/>
      <c r="SFA1598" s="392"/>
      <c r="SFB1598" s="393"/>
      <c r="SFC1598" s="392"/>
      <c r="SFD1598" s="393"/>
      <c r="SFE1598" s="392"/>
      <c r="SFF1598" s="393"/>
      <c r="SFG1598" s="392"/>
      <c r="SFH1598" s="393"/>
      <c r="SFI1598" s="392"/>
      <c r="SFJ1598" s="393"/>
      <c r="SFK1598" s="392"/>
      <c r="SFL1598" s="393"/>
      <c r="SFM1598" s="392"/>
      <c r="SFN1598" s="393"/>
      <c r="SFO1598" s="392"/>
      <c r="SFP1598" s="393"/>
      <c r="SFQ1598" s="392"/>
      <c r="SFR1598" s="393"/>
      <c r="SFS1598" s="392"/>
      <c r="SFT1598" s="393"/>
      <c r="SFU1598" s="392"/>
      <c r="SFV1598" s="393"/>
      <c r="SFW1598" s="392"/>
      <c r="SFX1598" s="393"/>
      <c r="SFY1598" s="392"/>
      <c r="SFZ1598" s="393"/>
      <c r="SGA1598" s="392"/>
      <c r="SGB1598" s="393"/>
      <c r="SGC1598" s="392"/>
      <c r="SGD1598" s="393"/>
      <c r="SGE1598" s="392"/>
      <c r="SGF1598" s="393"/>
      <c r="SGG1598" s="392"/>
      <c r="SGH1598" s="393"/>
      <c r="SGI1598" s="392"/>
      <c r="SGJ1598" s="393"/>
      <c r="SGK1598" s="392"/>
      <c r="SGL1598" s="393"/>
      <c r="SGM1598" s="392"/>
      <c r="SGN1598" s="393"/>
      <c r="SGO1598" s="392"/>
      <c r="SGP1598" s="393"/>
      <c r="SGQ1598" s="392"/>
      <c r="SGR1598" s="393"/>
      <c r="SGS1598" s="392"/>
      <c r="SGT1598" s="393"/>
      <c r="SGU1598" s="392"/>
      <c r="SGV1598" s="393"/>
      <c r="SGW1598" s="392"/>
      <c r="SGX1598" s="393"/>
      <c r="SGY1598" s="392"/>
      <c r="SGZ1598" s="393"/>
      <c r="SHA1598" s="392"/>
      <c r="SHB1598" s="393"/>
      <c r="SHC1598" s="392"/>
      <c r="SHD1598" s="393"/>
      <c r="SHE1598" s="392"/>
      <c r="SHF1598" s="393"/>
      <c r="SHG1598" s="392"/>
      <c r="SHH1598" s="393"/>
      <c r="SHI1598" s="392"/>
      <c r="SHJ1598" s="393"/>
      <c r="SHK1598" s="392"/>
      <c r="SHL1598" s="393"/>
      <c r="SHM1598" s="392"/>
      <c r="SHN1598" s="393"/>
      <c r="SHO1598" s="392"/>
      <c r="SHP1598" s="393"/>
      <c r="SHQ1598" s="392"/>
      <c r="SHR1598" s="393"/>
      <c r="SHS1598" s="392"/>
      <c r="SHT1598" s="393"/>
      <c r="SHU1598" s="392"/>
      <c r="SHV1598" s="393"/>
      <c r="SHW1598" s="392"/>
      <c r="SHX1598" s="393"/>
      <c r="SHY1598" s="392"/>
      <c r="SHZ1598" s="393"/>
      <c r="SIA1598" s="392"/>
      <c r="SIB1598" s="393"/>
      <c r="SIC1598" s="392"/>
      <c r="SID1598" s="393"/>
      <c r="SIE1598" s="392"/>
      <c r="SIF1598" s="393"/>
      <c r="SIG1598" s="392"/>
      <c r="SIH1598" s="393"/>
      <c r="SII1598" s="392"/>
      <c r="SIJ1598" s="393"/>
      <c r="SIK1598" s="392"/>
      <c r="SIL1598" s="393"/>
      <c r="SIM1598" s="392"/>
      <c r="SIN1598" s="393"/>
      <c r="SIO1598" s="392"/>
      <c r="SIP1598" s="393"/>
      <c r="SIQ1598" s="392"/>
      <c r="SIR1598" s="393"/>
      <c r="SIS1598" s="392"/>
      <c r="SIT1598" s="393"/>
      <c r="SIU1598" s="392"/>
      <c r="SIV1598" s="393"/>
      <c r="SIW1598" s="392"/>
      <c r="SIX1598" s="393"/>
      <c r="SIY1598" s="392"/>
      <c r="SIZ1598" s="393"/>
      <c r="SJA1598" s="392"/>
      <c r="SJB1598" s="393"/>
      <c r="SJC1598" s="392"/>
      <c r="SJD1598" s="393"/>
      <c r="SJE1598" s="392"/>
      <c r="SJF1598" s="393"/>
      <c r="SJG1598" s="392"/>
      <c r="SJH1598" s="393"/>
      <c r="SJI1598" s="392"/>
      <c r="SJJ1598" s="393"/>
      <c r="SJK1598" s="392"/>
      <c r="SJL1598" s="393"/>
      <c r="SJM1598" s="392"/>
      <c r="SJN1598" s="393"/>
      <c r="SJO1598" s="392"/>
      <c r="SJP1598" s="393"/>
      <c r="SJQ1598" s="392"/>
      <c r="SJR1598" s="393"/>
      <c r="SJS1598" s="392"/>
      <c r="SJT1598" s="393"/>
      <c r="SJU1598" s="392"/>
      <c r="SJV1598" s="393"/>
      <c r="SJW1598" s="392"/>
      <c r="SJX1598" s="393"/>
      <c r="SJY1598" s="392"/>
      <c r="SJZ1598" s="393"/>
      <c r="SKA1598" s="392"/>
      <c r="SKB1598" s="393"/>
      <c r="SKC1598" s="392"/>
      <c r="SKD1598" s="393"/>
      <c r="SKE1598" s="392"/>
      <c r="SKF1598" s="393"/>
      <c r="SKG1598" s="392"/>
      <c r="SKH1598" s="393"/>
      <c r="SKI1598" s="392"/>
      <c r="SKJ1598" s="393"/>
      <c r="SKK1598" s="392"/>
      <c r="SKL1598" s="393"/>
      <c r="SKM1598" s="392"/>
      <c r="SKN1598" s="393"/>
      <c r="SKO1598" s="392"/>
      <c r="SKP1598" s="393"/>
      <c r="SKQ1598" s="392"/>
      <c r="SKR1598" s="393"/>
      <c r="SKS1598" s="392"/>
      <c r="SKT1598" s="393"/>
      <c r="SKU1598" s="392"/>
      <c r="SKV1598" s="393"/>
      <c r="SKW1598" s="392"/>
      <c r="SKX1598" s="393"/>
      <c r="SKY1598" s="392"/>
      <c r="SKZ1598" s="393"/>
      <c r="SLA1598" s="392"/>
      <c r="SLB1598" s="393"/>
      <c r="SLC1598" s="392"/>
      <c r="SLD1598" s="393"/>
      <c r="SLE1598" s="392"/>
      <c r="SLF1598" s="393"/>
      <c r="SLG1598" s="392"/>
      <c r="SLH1598" s="393"/>
      <c r="SLI1598" s="392"/>
      <c r="SLJ1598" s="393"/>
      <c r="SLK1598" s="392"/>
      <c r="SLL1598" s="393"/>
      <c r="SLM1598" s="392"/>
      <c r="SLN1598" s="393"/>
      <c r="SLO1598" s="392"/>
      <c r="SLP1598" s="393"/>
      <c r="SLQ1598" s="392"/>
      <c r="SLR1598" s="393"/>
      <c r="SLS1598" s="392"/>
      <c r="SLT1598" s="393"/>
      <c r="SLU1598" s="392"/>
      <c r="SLV1598" s="393"/>
      <c r="SLW1598" s="392"/>
      <c r="SLX1598" s="393"/>
      <c r="SLY1598" s="392"/>
      <c r="SLZ1598" s="393"/>
      <c r="SMA1598" s="392"/>
      <c r="SMB1598" s="393"/>
      <c r="SMC1598" s="392"/>
      <c r="SMD1598" s="393"/>
      <c r="SME1598" s="392"/>
      <c r="SMF1598" s="393"/>
      <c r="SMG1598" s="392"/>
      <c r="SMH1598" s="393"/>
      <c r="SMI1598" s="392"/>
      <c r="SMJ1598" s="393"/>
      <c r="SMK1598" s="392"/>
      <c r="SML1598" s="393"/>
      <c r="SMM1598" s="392"/>
      <c r="SMN1598" s="393"/>
      <c r="SMO1598" s="392"/>
      <c r="SMP1598" s="393"/>
      <c r="SMQ1598" s="392"/>
      <c r="SMR1598" s="393"/>
      <c r="SMS1598" s="392"/>
      <c r="SMT1598" s="393"/>
      <c r="SMU1598" s="392"/>
      <c r="SMV1598" s="393"/>
      <c r="SMW1598" s="392"/>
      <c r="SMX1598" s="393"/>
      <c r="SMY1598" s="392"/>
      <c r="SMZ1598" s="393"/>
      <c r="SNA1598" s="392"/>
      <c r="SNB1598" s="393"/>
      <c r="SNC1598" s="392"/>
      <c r="SND1598" s="393"/>
      <c r="SNE1598" s="392"/>
      <c r="SNF1598" s="393"/>
      <c r="SNG1598" s="392"/>
      <c r="SNH1598" s="393"/>
      <c r="SNI1598" s="392"/>
      <c r="SNJ1598" s="393"/>
      <c r="SNK1598" s="392"/>
      <c r="SNL1598" s="393"/>
      <c r="SNM1598" s="392"/>
      <c r="SNN1598" s="393"/>
      <c r="SNO1598" s="392"/>
      <c r="SNP1598" s="393"/>
      <c r="SNQ1598" s="392"/>
      <c r="SNR1598" s="393"/>
      <c r="SNS1598" s="392"/>
      <c r="SNT1598" s="393"/>
      <c r="SNU1598" s="392"/>
      <c r="SNV1598" s="393"/>
      <c r="SNW1598" s="392"/>
      <c r="SNX1598" s="393"/>
      <c r="SNY1598" s="392"/>
      <c r="SNZ1598" s="393"/>
      <c r="SOA1598" s="392"/>
      <c r="SOB1598" s="393"/>
      <c r="SOC1598" s="392"/>
      <c r="SOD1598" s="393"/>
      <c r="SOE1598" s="392"/>
      <c r="SOF1598" s="393"/>
      <c r="SOG1598" s="392"/>
      <c r="SOH1598" s="393"/>
      <c r="SOI1598" s="392"/>
      <c r="SOJ1598" s="393"/>
      <c r="SOK1598" s="392"/>
      <c r="SOL1598" s="393"/>
      <c r="SOM1598" s="392"/>
      <c r="SON1598" s="393"/>
      <c r="SOO1598" s="392"/>
      <c r="SOP1598" s="393"/>
      <c r="SOQ1598" s="392"/>
      <c r="SOR1598" s="393"/>
      <c r="SOS1598" s="392"/>
      <c r="SOT1598" s="393"/>
      <c r="SOU1598" s="392"/>
      <c r="SOV1598" s="393"/>
      <c r="SOW1598" s="392"/>
      <c r="SOX1598" s="393"/>
      <c r="SOY1598" s="392"/>
      <c r="SOZ1598" s="393"/>
      <c r="SPA1598" s="392"/>
      <c r="SPB1598" s="393"/>
      <c r="SPC1598" s="392"/>
      <c r="SPD1598" s="393"/>
      <c r="SPE1598" s="392"/>
      <c r="SPF1598" s="393"/>
      <c r="SPG1598" s="392"/>
      <c r="SPH1598" s="393"/>
      <c r="SPI1598" s="392"/>
      <c r="SPJ1598" s="393"/>
      <c r="SPK1598" s="392"/>
      <c r="SPL1598" s="393"/>
      <c r="SPM1598" s="392"/>
      <c r="SPN1598" s="393"/>
      <c r="SPO1598" s="392"/>
      <c r="SPP1598" s="393"/>
      <c r="SPQ1598" s="392"/>
      <c r="SPR1598" s="393"/>
      <c r="SPS1598" s="392"/>
      <c r="SPT1598" s="393"/>
      <c r="SPU1598" s="392"/>
      <c r="SPV1598" s="393"/>
      <c r="SPW1598" s="392"/>
      <c r="SPX1598" s="393"/>
      <c r="SPY1598" s="392"/>
      <c r="SPZ1598" s="393"/>
      <c r="SQA1598" s="392"/>
      <c r="SQB1598" s="393"/>
      <c r="SQC1598" s="392"/>
      <c r="SQD1598" s="393"/>
      <c r="SQE1598" s="392"/>
      <c r="SQF1598" s="393"/>
      <c r="SQG1598" s="392"/>
      <c r="SQH1598" s="393"/>
      <c r="SQI1598" s="392"/>
      <c r="SQJ1598" s="393"/>
      <c r="SQK1598" s="392"/>
      <c r="SQL1598" s="393"/>
      <c r="SQM1598" s="392"/>
      <c r="SQN1598" s="393"/>
      <c r="SQO1598" s="392"/>
      <c r="SQP1598" s="393"/>
      <c r="SQQ1598" s="392"/>
      <c r="SQR1598" s="393"/>
      <c r="SQS1598" s="392"/>
      <c r="SQT1598" s="393"/>
      <c r="SQU1598" s="392"/>
      <c r="SQV1598" s="393"/>
      <c r="SQW1598" s="392"/>
      <c r="SQX1598" s="393"/>
      <c r="SQY1598" s="392"/>
      <c r="SQZ1598" s="393"/>
      <c r="SRA1598" s="392"/>
      <c r="SRB1598" s="393"/>
      <c r="SRC1598" s="392"/>
      <c r="SRD1598" s="393"/>
      <c r="SRE1598" s="392"/>
      <c r="SRF1598" s="393"/>
      <c r="SRG1598" s="392"/>
      <c r="SRH1598" s="393"/>
      <c r="SRI1598" s="392"/>
      <c r="SRJ1598" s="393"/>
      <c r="SRK1598" s="392"/>
      <c r="SRL1598" s="393"/>
      <c r="SRM1598" s="392"/>
      <c r="SRN1598" s="393"/>
      <c r="SRO1598" s="392"/>
      <c r="SRP1598" s="393"/>
      <c r="SRQ1598" s="392"/>
      <c r="SRR1598" s="393"/>
      <c r="SRS1598" s="392"/>
      <c r="SRT1598" s="393"/>
      <c r="SRU1598" s="392"/>
      <c r="SRV1598" s="393"/>
      <c r="SRW1598" s="392"/>
      <c r="SRX1598" s="393"/>
      <c r="SRY1598" s="392"/>
      <c r="SRZ1598" s="393"/>
      <c r="SSA1598" s="392"/>
      <c r="SSB1598" s="393"/>
      <c r="SSC1598" s="392"/>
      <c r="SSD1598" s="393"/>
      <c r="SSE1598" s="392"/>
      <c r="SSF1598" s="393"/>
      <c r="SSG1598" s="392"/>
      <c r="SSH1598" s="393"/>
      <c r="SSI1598" s="392"/>
      <c r="SSJ1598" s="393"/>
      <c r="SSK1598" s="392"/>
      <c r="SSL1598" s="393"/>
      <c r="SSM1598" s="392"/>
      <c r="SSN1598" s="393"/>
      <c r="SSO1598" s="392"/>
      <c r="SSP1598" s="393"/>
      <c r="SSQ1598" s="392"/>
      <c r="SSR1598" s="393"/>
      <c r="SSS1598" s="392"/>
      <c r="SST1598" s="393"/>
      <c r="SSU1598" s="392"/>
      <c r="SSV1598" s="393"/>
      <c r="SSW1598" s="392"/>
      <c r="SSX1598" s="393"/>
      <c r="SSY1598" s="392"/>
      <c r="SSZ1598" s="393"/>
      <c r="STA1598" s="392"/>
      <c r="STB1598" s="393"/>
      <c r="STC1598" s="392"/>
      <c r="STD1598" s="393"/>
      <c r="STE1598" s="392"/>
      <c r="STF1598" s="393"/>
      <c r="STG1598" s="392"/>
      <c r="STH1598" s="393"/>
      <c r="STI1598" s="392"/>
      <c r="STJ1598" s="393"/>
      <c r="STK1598" s="392"/>
      <c r="STL1598" s="393"/>
      <c r="STM1598" s="392"/>
      <c r="STN1598" s="393"/>
      <c r="STO1598" s="392"/>
      <c r="STP1598" s="393"/>
      <c r="STQ1598" s="392"/>
      <c r="STR1598" s="393"/>
      <c r="STS1598" s="392"/>
      <c r="STT1598" s="393"/>
      <c r="STU1598" s="392"/>
      <c r="STV1598" s="393"/>
      <c r="STW1598" s="392"/>
      <c r="STX1598" s="393"/>
      <c r="STY1598" s="392"/>
      <c r="STZ1598" s="393"/>
      <c r="SUA1598" s="392"/>
      <c r="SUB1598" s="393"/>
      <c r="SUC1598" s="392"/>
      <c r="SUD1598" s="393"/>
      <c r="SUE1598" s="392"/>
      <c r="SUF1598" s="393"/>
      <c r="SUG1598" s="392"/>
      <c r="SUH1598" s="393"/>
      <c r="SUI1598" s="392"/>
      <c r="SUJ1598" s="393"/>
      <c r="SUK1598" s="392"/>
      <c r="SUL1598" s="393"/>
      <c r="SUM1598" s="392"/>
      <c r="SUN1598" s="393"/>
      <c r="SUO1598" s="392"/>
      <c r="SUP1598" s="393"/>
      <c r="SUQ1598" s="392"/>
      <c r="SUR1598" s="393"/>
      <c r="SUS1598" s="392"/>
      <c r="SUT1598" s="393"/>
      <c r="SUU1598" s="392"/>
      <c r="SUV1598" s="393"/>
      <c r="SUW1598" s="392"/>
      <c r="SUX1598" s="393"/>
      <c r="SUY1598" s="392"/>
      <c r="SUZ1598" s="393"/>
      <c r="SVA1598" s="392"/>
      <c r="SVB1598" s="393"/>
      <c r="SVC1598" s="392"/>
      <c r="SVD1598" s="393"/>
      <c r="SVE1598" s="392"/>
      <c r="SVF1598" s="393"/>
      <c r="SVG1598" s="392"/>
      <c r="SVH1598" s="393"/>
      <c r="SVI1598" s="392"/>
      <c r="SVJ1598" s="393"/>
      <c r="SVK1598" s="392"/>
      <c r="SVL1598" s="393"/>
      <c r="SVM1598" s="392"/>
      <c r="SVN1598" s="393"/>
      <c r="SVO1598" s="392"/>
      <c r="SVP1598" s="393"/>
      <c r="SVQ1598" s="392"/>
      <c r="SVR1598" s="393"/>
      <c r="SVS1598" s="392"/>
      <c r="SVT1598" s="393"/>
      <c r="SVU1598" s="392"/>
      <c r="SVV1598" s="393"/>
      <c r="SVW1598" s="392"/>
      <c r="SVX1598" s="393"/>
      <c r="SVY1598" s="392"/>
      <c r="SVZ1598" s="393"/>
      <c r="SWA1598" s="392"/>
      <c r="SWB1598" s="393"/>
      <c r="SWC1598" s="392"/>
      <c r="SWD1598" s="393"/>
      <c r="SWE1598" s="392"/>
      <c r="SWF1598" s="393"/>
      <c r="SWG1598" s="392"/>
      <c r="SWH1598" s="393"/>
      <c r="SWI1598" s="392"/>
      <c r="SWJ1598" s="393"/>
      <c r="SWK1598" s="392"/>
      <c r="SWL1598" s="393"/>
      <c r="SWM1598" s="392"/>
      <c r="SWN1598" s="393"/>
      <c r="SWO1598" s="392"/>
      <c r="SWP1598" s="393"/>
      <c r="SWQ1598" s="392"/>
      <c r="SWR1598" s="393"/>
      <c r="SWS1598" s="392"/>
      <c r="SWT1598" s="393"/>
      <c r="SWU1598" s="392"/>
      <c r="SWV1598" s="393"/>
      <c r="SWW1598" s="392"/>
      <c r="SWX1598" s="393"/>
      <c r="SWY1598" s="392"/>
      <c r="SWZ1598" s="393"/>
      <c r="SXA1598" s="392"/>
      <c r="SXB1598" s="393"/>
      <c r="SXC1598" s="392"/>
      <c r="SXD1598" s="393"/>
      <c r="SXE1598" s="392"/>
      <c r="SXF1598" s="393"/>
      <c r="SXG1598" s="392"/>
      <c r="SXH1598" s="393"/>
      <c r="SXI1598" s="392"/>
      <c r="SXJ1598" s="393"/>
      <c r="SXK1598" s="392"/>
      <c r="SXL1598" s="393"/>
      <c r="SXM1598" s="392"/>
      <c r="SXN1598" s="393"/>
      <c r="SXO1598" s="392"/>
      <c r="SXP1598" s="393"/>
      <c r="SXQ1598" s="392"/>
      <c r="SXR1598" s="393"/>
      <c r="SXS1598" s="392"/>
      <c r="SXT1598" s="393"/>
      <c r="SXU1598" s="392"/>
      <c r="SXV1598" s="393"/>
      <c r="SXW1598" s="392"/>
      <c r="SXX1598" s="393"/>
      <c r="SXY1598" s="392"/>
      <c r="SXZ1598" s="393"/>
      <c r="SYA1598" s="392"/>
      <c r="SYB1598" s="393"/>
      <c r="SYC1598" s="392"/>
      <c r="SYD1598" s="393"/>
      <c r="SYE1598" s="392"/>
      <c r="SYF1598" s="393"/>
      <c r="SYG1598" s="392"/>
      <c r="SYH1598" s="393"/>
      <c r="SYI1598" s="392"/>
      <c r="SYJ1598" s="393"/>
      <c r="SYK1598" s="392"/>
      <c r="SYL1598" s="393"/>
      <c r="SYM1598" s="392"/>
      <c r="SYN1598" s="393"/>
      <c r="SYO1598" s="392"/>
      <c r="SYP1598" s="393"/>
      <c r="SYQ1598" s="392"/>
      <c r="SYR1598" s="393"/>
      <c r="SYS1598" s="392"/>
      <c r="SYT1598" s="393"/>
      <c r="SYU1598" s="392"/>
      <c r="SYV1598" s="393"/>
      <c r="SYW1598" s="392"/>
      <c r="SYX1598" s="393"/>
      <c r="SYY1598" s="392"/>
      <c r="SYZ1598" s="393"/>
      <c r="SZA1598" s="392"/>
      <c r="SZB1598" s="393"/>
      <c r="SZC1598" s="392"/>
      <c r="SZD1598" s="393"/>
      <c r="SZE1598" s="392"/>
      <c r="SZF1598" s="393"/>
      <c r="SZG1598" s="392"/>
      <c r="SZH1598" s="393"/>
      <c r="SZI1598" s="392"/>
      <c r="SZJ1598" s="393"/>
      <c r="SZK1598" s="392"/>
      <c r="SZL1598" s="393"/>
      <c r="SZM1598" s="392"/>
      <c r="SZN1598" s="393"/>
      <c r="SZO1598" s="392"/>
      <c r="SZP1598" s="393"/>
      <c r="SZQ1598" s="392"/>
      <c r="SZR1598" s="393"/>
      <c r="SZS1598" s="392"/>
      <c r="SZT1598" s="393"/>
      <c r="SZU1598" s="392"/>
      <c r="SZV1598" s="393"/>
      <c r="SZW1598" s="392"/>
      <c r="SZX1598" s="393"/>
      <c r="SZY1598" s="392"/>
      <c r="SZZ1598" s="393"/>
      <c r="TAA1598" s="392"/>
      <c r="TAB1598" s="393"/>
      <c r="TAC1598" s="392"/>
      <c r="TAD1598" s="393"/>
      <c r="TAE1598" s="392"/>
      <c r="TAF1598" s="393"/>
      <c r="TAG1598" s="392"/>
      <c r="TAH1598" s="393"/>
      <c r="TAI1598" s="392"/>
      <c r="TAJ1598" s="393"/>
      <c r="TAK1598" s="392"/>
      <c r="TAL1598" s="393"/>
      <c r="TAM1598" s="392"/>
      <c r="TAN1598" s="393"/>
      <c r="TAO1598" s="392"/>
      <c r="TAP1598" s="393"/>
      <c r="TAQ1598" s="392"/>
      <c r="TAR1598" s="393"/>
      <c r="TAS1598" s="392"/>
      <c r="TAT1598" s="393"/>
      <c r="TAU1598" s="392"/>
      <c r="TAV1598" s="393"/>
      <c r="TAW1598" s="392"/>
      <c r="TAX1598" s="393"/>
      <c r="TAY1598" s="392"/>
      <c r="TAZ1598" s="393"/>
      <c r="TBA1598" s="392"/>
      <c r="TBB1598" s="393"/>
      <c r="TBC1598" s="392"/>
      <c r="TBD1598" s="393"/>
      <c r="TBE1598" s="392"/>
      <c r="TBF1598" s="393"/>
      <c r="TBG1598" s="392"/>
      <c r="TBH1598" s="393"/>
      <c r="TBI1598" s="392"/>
      <c r="TBJ1598" s="393"/>
      <c r="TBK1598" s="392"/>
      <c r="TBL1598" s="393"/>
      <c r="TBM1598" s="392"/>
      <c r="TBN1598" s="393"/>
      <c r="TBO1598" s="392"/>
      <c r="TBP1598" s="393"/>
      <c r="TBQ1598" s="392"/>
      <c r="TBR1598" s="393"/>
      <c r="TBS1598" s="392"/>
      <c r="TBT1598" s="393"/>
      <c r="TBU1598" s="392"/>
      <c r="TBV1598" s="393"/>
      <c r="TBW1598" s="392"/>
      <c r="TBX1598" s="393"/>
      <c r="TBY1598" s="392"/>
      <c r="TBZ1598" s="393"/>
      <c r="TCA1598" s="392"/>
      <c r="TCB1598" s="393"/>
      <c r="TCC1598" s="392"/>
      <c r="TCD1598" s="393"/>
      <c r="TCE1598" s="392"/>
      <c r="TCF1598" s="393"/>
      <c r="TCG1598" s="392"/>
      <c r="TCH1598" s="393"/>
      <c r="TCI1598" s="392"/>
      <c r="TCJ1598" s="393"/>
      <c r="TCK1598" s="392"/>
      <c r="TCL1598" s="393"/>
      <c r="TCM1598" s="392"/>
      <c r="TCN1598" s="393"/>
      <c r="TCO1598" s="392"/>
      <c r="TCP1598" s="393"/>
      <c r="TCQ1598" s="392"/>
      <c r="TCR1598" s="393"/>
      <c r="TCS1598" s="392"/>
      <c r="TCT1598" s="393"/>
      <c r="TCU1598" s="392"/>
      <c r="TCV1598" s="393"/>
      <c r="TCW1598" s="392"/>
      <c r="TCX1598" s="393"/>
      <c r="TCY1598" s="392"/>
      <c r="TCZ1598" s="393"/>
      <c r="TDA1598" s="392"/>
      <c r="TDB1598" s="393"/>
      <c r="TDC1598" s="392"/>
      <c r="TDD1598" s="393"/>
      <c r="TDE1598" s="392"/>
      <c r="TDF1598" s="393"/>
      <c r="TDG1598" s="392"/>
      <c r="TDH1598" s="393"/>
      <c r="TDI1598" s="392"/>
      <c r="TDJ1598" s="393"/>
      <c r="TDK1598" s="392"/>
      <c r="TDL1598" s="393"/>
      <c r="TDM1598" s="392"/>
      <c r="TDN1598" s="393"/>
      <c r="TDO1598" s="392"/>
      <c r="TDP1598" s="393"/>
      <c r="TDQ1598" s="392"/>
      <c r="TDR1598" s="393"/>
      <c r="TDS1598" s="392"/>
      <c r="TDT1598" s="393"/>
      <c r="TDU1598" s="392"/>
      <c r="TDV1598" s="393"/>
      <c r="TDW1598" s="392"/>
      <c r="TDX1598" s="393"/>
      <c r="TDY1598" s="392"/>
      <c r="TDZ1598" s="393"/>
      <c r="TEA1598" s="392"/>
      <c r="TEB1598" s="393"/>
      <c r="TEC1598" s="392"/>
      <c r="TED1598" s="393"/>
      <c r="TEE1598" s="392"/>
      <c r="TEF1598" s="393"/>
      <c r="TEG1598" s="392"/>
      <c r="TEH1598" s="393"/>
      <c r="TEI1598" s="392"/>
      <c r="TEJ1598" s="393"/>
      <c r="TEK1598" s="392"/>
      <c r="TEL1598" s="393"/>
      <c r="TEM1598" s="392"/>
      <c r="TEN1598" s="393"/>
      <c r="TEO1598" s="392"/>
      <c r="TEP1598" s="393"/>
      <c r="TEQ1598" s="392"/>
      <c r="TER1598" s="393"/>
      <c r="TES1598" s="392"/>
      <c r="TET1598" s="393"/>
      <c r="TEU1598" s="392"/>
      <c r="TEV1598" s="393"/>
      <c r="TEW1598" s="392"/>
      <c r="TEX1598" s="393"/>
      <c r="TEY1598" s="392"/>
      <c r="TEZ1598" s="393"/>
      <c r="TFA1598" s="392"/>
      <c r="TFB1598" s="393"/>
      <c r="TFC1598" s="392"/>
      <c r="TFD1598" s="393"/>
      <c r="TFE1598" s="392"/>
      <c r="TFF1598" s="393"/>
      <c r="TFG1598" s="392"/>
      <c r="TFH1598" s="393"/>
      <c r="TFI1598" s="392"/>
      <c r="TFJ1598" s="393"/>
      <c r="TFK1598" s="392"/>
      <c r="TFL1598" s="393"/>
      <c r="TFM1598" s="392"/>
      <c r="TFN1598" s="393"/>
      <c r="TFO1598" s="392"/>
      <c r="TFP1598" s="393"/>
      <c r="TFQ1598" s="392"/>
      <c r="TFR1598" s="393"/>
      <c r="TFS1598" s="392"/>
      <c r="TFT1598" s="393"/>
      <c r="TFU1598" s="392"/>
      <c r="TFV1598" s="393"/>
      <c r="TFW1598" s="392"/>
      <c r="TFX1598" s="393"/>
      <c r="TFY1598" s="392"/>
      <c r="TFZ1598" s="393"/>
      <c r="TGA1598" s="392"/>
      <c r="TGB1598" s="393"/>
      <c r="TGC1598" s="392"/>
      <c r="TGD1598" s="393"/>
      <c r="TGE1598" s="392"/>
      <c r="TGF1598" s="393"/>
      <c r="TGG1598" s="392"/>
      <c r="TGH1598" s="393"/>
      <c r="TGI1598" s="392"/>
      <c r="TGJ1598" s="393"/>
      <c r="TGK1598" s="392"/>
      <c r="TGL1598" s="393"/>
      <c r="TGM1598" s="392"/>
      <c r="TGN1598" s="393"/>
      <c r="TGO1598" s="392"/>
      <c r="TGP1598" s="393"/>
      <c r="TGQ1598" s="392"/>
      <c r="TGR1598" s="393"/>
      <c r="TGS1598" s="392"/>
      <c r="TGT1598" s="393"/>
      <c r="TGU1598" s="392"/>
      <c r="TGV1598" s="393"/>
      <c r="TGW1598" s="392"/>
      <c r="TGX1598" s="393"/>
      <c r="TGY1598" s="392"/>
      <c r="TGZ1598" s="393"/>
      <c r="THA1598" s="392"/>
      <c r="THB1598" s="393"/>
      <c r="THC1598" s="392"/>
      <c r="THD1598" s="393"/>
      <c r="THE1598" s="392"/>
      <c r="THF1598" s="393"/>
      <c r="THG1598" s="392"/>
      <c r="THH1598" s="393"/>
      <c r="THI1598" s="392"/>
      <c r="THJ1598" s="393"/>
      <c r="THK1598" s="392"/>
      <c r="THL1598" s="393"/>
      <c r="THM1598" s="392"/>
      <c r="THN1598" s="393"/>
      <c r="THO1598" s="392"/>
      <c r="THP1598" s="393"/>
      <c r="THQ1598" s="392"/>
      <c r="THR1598" s="393"/>
      <c r="THS1598" s="392"/>
      <c r="THT1598" s="393"/>
      <c r="THU1598" s="392"/>
      <c r="THV1598" s="393"/>
      <c r="THW1598" s="392"/>
      <c r="THX1598" s="393"/>
      <c r="THY1598" s="392"/>
      <c r="THZ1598" s="393"/>
      <c r="TIA1598" s="392"/>
      <c r="TIB1598" s="393"/>
      <c r="TIC1598" s="392"/>
      <c r="TID1598" s="393"/>
      <c r="TIE1598" s="392"/>
      <c r="TIF1598" s="393"/>
      <c r="TIG1598" s="392"/>
      <c r="TIH1598" s="393"/>
      <c r="TII1598" s="392"/>
      <c r="TIJ1598" s="393"/>
      <c r="TIK1598" s="392"/>
      <c r="TIL1598" s="393"/>
      <c r="TIM1598" s="392"/>
      <c r="TIN1598" s="393"/>
      <c r="TIO1598" s="392"/>
      <c r="TIP1598" s="393"/>
      <c r="TIQ1598" s="392"/>
      <c r="TIR1598" s="393"/>
      <c r="TIS1598" s="392"/>
      <c r="TIT1598" s="393"/>
      <c r="TIU1598" s="392"/>
      <c r="TIV1598" s="393"/>
      <c r="TIW1598" s="392"/>
      <c r="TIX1598" s="393"/>
      <c r="TIY1598" s="392"/>
      <c r="TIZ1598" s="393"/>
      <c r="TJA1598" s="392"/>
      <c r="TJB1598" s="393"/>
      <c r="TJC1598" s="392"/>
      <c r="TJD1598" s="393"/>
      <c r="TJE1598" s="392"/>
      <c r="TJF1598" s="393"/>
      <c r="TJG1598" s="392"/>
      <c r="TJH1598" s="393"/>
      <c r="TJI1598" s="392"/>
      <c r="TJJ1598" s="393"/>
      <c r="TJK1598" s="392"/>
      <c r="TJL1598" s="393"/>
      <c r="TJM1598" s="392"/>
      <c r="TJN1598" s="393"/>
      <c r="TJO1598" s="392"/>
      <c r="TJP1598" s="393"/>
      <c r="TJQ1598" s="392"/>
      <c r="TJR1598" s="393"/>
      <c r="TJS1598" s="392"/>
      <c r="TJT1598" s="393"/>
      <c r="TJU1598" s="392"/>
      <c r="TJV1598" s="393"/>
      <c r="TJW1598" s="392"/>
      <c r="TJX1598" s="393"/>
      <c r="TJY1598" s="392"/>
      <c r="TJZ1598" s="393"/>
      <c r="TKA1598" s="392"/>
      <c r="TKB1598" s="393"/>
      <c r="TKC1598" s="392"/>
      <c r="TKD1598" s="393"/>
      <c r="TKE1598" s="392"/>
      <c r="TKF1598" s="393"/>
      <c r="TKG1598" s="392"/>
      <c r="TKH1598" s="393"/>
      <c r="TKI1598" s="392"/>
      <c r="TKJ1598" s="393"/>
      <c r="TKK1598" s="392"/>
      <c r="TKL1598" s="393"/>
      <c r="TKM1598" s="392"/>
      <c r="TKN1598" s="393"/>
      <c r="TKO1598" s="392"/>
      <c r="TKP1598" s="393"/>
      <c r="TKQ1598" s="392"/>
      <c r="TKR1598" s="393"/>
      <c r="TKS1598" s="392"/>
      <c r="TKT1598" s="393"/>
      <c r="TKU1598" s="392"/>
      <c r="TKV1598" s="393"/>
      <c r="TKW1598" s="392"/>
      <c r="TKX1598" s="393"/>
      <c r="TKY1598" s="392"/>
      <c r="TKZ1598" s="393"/>
      <c r="TLA1598" s="392"/>
      <c r="TLB1598" s="393"/>
      <c r="TLC1598" s="392"/>
      <c r="TLD1598" s="393"/>
      <c r="TLE1598" s="392"/>
      <c r="TLF1598" s="393"/>
      <c r="TLG1598" s="392"/>
      <c r="TLH1598" s="393"/>
      <c r="TLI1598" s="392"/>
      <c r="TLJ1598" s="393"/>
      <c r="TLK1598" s="392"/>
      <c r="TLL1598" s="393"/>
      <c r="TLM1598" s="392"/>
      <c r="TLN1598" s="393"/>
      <c r="TLO1598" s="392"/>
      <c r="TLP1598" s="393"/>
      <c r="TLQ1598" s="392"/>
      <c r="TLR1598" s="393"/>
      <c r="TLS1598" s="392"/>
      <c r="TLT1598" s="393"/>
      <c r="TLU1598" s="392"/>
      <c r="TLV1598" s="393"/>
      <c r="TLW1598" s="392"/>
      <c r="TLX1598" s="393"/>
      <c r="TLY1598" s="392"/>
      <c r="TLZ1598" s="393"/>
      <c r="TMA1598" s="392"/>
      <c r="TMB1598" s="393"/>
      <c r="TMC1598" s="392"/>
      <c r="TMD1598" s="393"/>
      <c r="TME1598" s="392"/>
      <c r="TMF1598" s="393"/>
      <c r="TMG1598" s="392"/>
      <c r="TMH1598" s="393"/>
      <c r="TMI1598" s="392"/>
      <c r="TMJ1598" s="393"/>
      <c r="TMK1598" s="392"/>
      <c r="TML1598" s="393"/>
      <c r="TMM1598" s="392"/>
      <c r="TMN1598" s="393"/>
      <c r="TMO1598" s="392"/>
      <c r="TMP1598" s="393"/>
      <c r="TMQ1598" s="392"/>
      <c r="TMR1598" s="393"/>
      <c r="TMS1598" s="392"/>
      <c r="TMT1598" s="393"/>
      <c r="TMU1598" s="392"/>
      <c r="TMV1598" s="393"/>
      <c r="TMW1598" s="392"/>
      <c r="TMX1598" s="393"/>
      <c r="TMY1598" s="392"/>
      <c r="TMZ1598" s="393"/>
      <c r="TNA1598" s="392"/>
      <c r="TNB1598" s="393"/>
      <c r="TNC1598" s="392"/>
      <c r="TND1598" s="393"/>
      <c r="TNE1598" s="392"/>
      <c r="TNF1598" s="393"/>
      <c r="TNG1598" s="392"/>
      <c r="TNH1598" s="393"/>
      <c r="TNI1598" s="392"/>
      <c r="TNJ1598" s="393"/>
      <c r="TNK1598" s="392"/>
      <c r="TNL1598" s="393"/>
      <c r="TNM1598" s="392"/>
      <c r="TNN1598" s="393"/>
      <c r="TNO1598" s="392"/>
      <c r="TNP1598" s="393"/>
      <c r="TNQ1598" s="392"/>
      <c r="TNR1598" s="393"/>
      <c r="TNS1598" s="392"/>
      <c r="TNT1598" s="393"/>
      <c r="TNU1598" s="392"/>
      <c r="TNV1598" s="393"/>
      <c r="TNW1598" s="392"/>
      <c r="TNX1598" s="393"/>
      <c r="TNY1598" s="392"/>
      <c r="TNZ1598" s="393"/>
      <c r="TOA1598" s="392"/>
      <c r="TOB1598" s="393"/>
      <c r="TOC1598" s="392"/>
      <c r="TOD1598" s="393"/>
      <c r="TOE1598" s="392"/>
      <c r="TOF1598" s="393"/>
      <c r="TOG1598" s="392"/>
      <c r="TOH1598" s="393"/>
      <c r="TOI1598" s="392"/>
      <c r="TOJ1598" s="393"/>
      <c r="TOK1598" s="392"/>
      <c r="TOL1598" s="393"/>
      <c r="TOM1598" s="392"/>
      <c r="TON1598" s="393"/>
      <c r="TOO1598" s="392"/>
      <c r="TOP1598" s="393"/>
      <c r="TOQ1598" s="392"/>
      <c r="TOR1598" s="393"/>
      <c r="TOS1598" s="392"/>
      <c r="TOT1598" s="393"/>
      <c r="TOU1598" s="392"/>
      <c r="TOV1598" s="393"/>
      <c r="TOW1598" s="392"/>
      <c r="TOX1598" s="393"/>
      <c r="TOY1598" s="392"/>
      <c r="TOZ1598" s="393"/>
      <c r="TPA1598" s="392"/>
      <c r="TPB1598" s="393"/>
      <c r="TPC1598" s="392"/>
      <c r="TPD1598" s="393"/>
      <c r="TPE1598" s="392"/>
      <c r="TPF1598" s="393"/>
      <c r="TPG1598" s="392"/>
      <c r="TPH1598" s="393"/>
      <c r="TPI1598" s="392"/>
      <c r="TPJ1598" s="393"/>
      <c r="TPK1598" s="392"/>
      <c r="TPL1598" s="393"/>
      <c r="TPM1598" s="392"/>
      <c r="TPN1598" s="393"/>
      <c r="TPO1598" s="392"/>
      <c r="TPP1598" s="393"/>
      <c r="TPQ1598" s="392"/>
      <c r="TPR1598" s="393"/>
      <c r="TPS1598" s="392"/>
      <c r="TPT1598" s="393"/>
      <c r="TPU1598" s="392"/>
      <c r="TPV1598" s="393"/>
      <c r="TPW1598" s="392"/>
      <c r="TPX1598" s="393"/>
      <c r="TPY1598" s="392"/>
      <c r="TPZ1598" s="393"/>
      <c r="TQA1598" s="392"/>
      <c r="TQB1598" s="393"/>
      <c r="TQC1598" s="392"/>
      <c r="TQD1598" s="393"/>
      <c r="TQE1598" s="392"/>
      <c r="TQF1598" s="393"/>
      <c r="TQG1598" s="392"/>
      <c r="TQH1598" s="393"/>
      <c r="TQI1598" s="392"/>
      <c r="TQJ1598" s="393"/>
      <c r="TQK1598" s="392"/>
      <c r="TQL1598" s="393"/>
      <c r="TQM1598" s="392"/>
      <c r="TQN1598" s="393"/>
      <c r="TQO1598" s="392"/>
      <c r="TQP1598" s="393"/>
      <c r="TQQ1598" s="392"/>
      <c r="TQR1598" s="393"/>
      <c r="TQS1598" s="392"/>
      <c r="TQT1598" s="393"/>
      <c r="TQU1598" s="392"/>
      <c r="TQV1598" s="393"/>
      <c r="TQW1598" s="392"/>
      <c r="TQX1598" s="393"/>
      <c r="TQY1598" s="392"/>
      <c r="TQZ1598" s="393"/>
      <c r="TRA1598" s="392"/>
      <c r="TRB1598" s="393"/>
      <c r="TRC1598" s="392"/>
      <c r="TRD1598" s="393"/>
      <c r="TRE1598" s="392"/>
      <c r="TRF1598" s="393"/>
      <c r="TRG1598" s="392"/>
      <c r="TRH1598" s="393"/>
      <c r="TRI1598" s="392"/>
      <c r="TRJ1598" s="393"/>
      <c r="TRK1598" s="392"/>
      <c r="TRL1598" s="393"/>
      <c r="TRM1598" s="392"/>
      <c r="TRN1598" s="393"/>
      <c r="TRO1598" s="392"/>
      <c r="TRP1598" s="393"/>
      <c r="TRQ1598" s="392"/>
      <c r="TRR1598" s="393"/>
      <c r="TRS1598" s="392"/>
      <c r="TRT1598" s="393"/>
      <c r="TRU1598" s="392"/>
      <c r="TRV1598" s="393"/>
      <c r="TRW1598" s="392"/>
      <c r="TRX1598" s="393"/>
      <c r="TRY1598" s="392"/>
      <c r="TRZ1598" s="393"/>
      <c r="TSA1598" s="392"/>
      <c r="TSB1598" s="393"/>
      <c r="TSC1598" s="392"/>
      <c r="TSD1598" s="393"/>
      <c r="TSE1598" s="392"/>
      <c r="TSF1598" s="393"/>
      <c r="TSG1598" s="392"/>
      <c r="TSH1598" s="393"/>
      <c r="TSI1598" s="392"/>
      <c r="TSJ1598" s="393"/>
      <c r="TSK1598" s="392"/>
      <c r="TSL1598" s="393"/>
      <c r="TSM1598" s="392"/>
      <c r="TSN1598" s="393"/>
      <c r="TSO1598" s="392"/>
      <c r="TSP1598" s="393"/>
      <c r="TSQ1598" s="392"/>
      <c r="TSR1598" s="393"/>
      <c r="TSS1598" s="392"/>
      <c r="TST1598" s="393"/>
      <c r="TSU1598" s="392"/>
      <c r="TSV1598" s="393"/>
      <c r="TSW1598" s="392"/>
      <c r="TSX1598" s="393"/>
      <c r="TSY1598" s="392"/>
      <c r="TSZ1598" s="393"/>
      <c r="TTA1598" s="392"/>
      <c r="TTB1598" s="393"/>
      <c r="TTC1598" s="392"/>
      <c r="TTD1598" s="393"/>
      <c r="TTE1598" s="392"/>
      <c r="TTF1598" s="393"/>
      <c r="TTG1598" s="392"/>
      <c r="TTH1598" s="393"/>
      <c r="TTI1598" s="392"/>
      <c r="TTJ1598" s="393"/>
      <c r="TTK1598" s="392"/>
      <c r="TTL1598" s="393"/>
      <c r="TTM1598" s="392"/>
      <c r="TTN1598" s="393"/>
      <c r="TTO1598" s="392"/>
      <c r="TTP1598" s="393"/>
      <c r="TTQ1598" s="392"/>
      <c r="TTR1598" s="393"/>
      <c r="TTS1598" s="392"/>
      <c r="TTT1598" s="393"/>
      <c r="TTU1598" s="392"/>
      <c r="TTV1598" s="393"/>
      <c r="TTW1598" s="392"/>
      <c r="TTX1598" s="393"/>
      <c r="TTY1598" s="392"/>
      <c r="TTZ1598" s="393"/>
      <c r="TUA1598" s="392"/>
      <c r="TUB1598" s="393"/>
      <c r="TUC1598" s="392"/>
      <c r="TUD1598" s="393"/>
      <c r="TUE1598" s="392"/>
      <c r="TUF1598" s="393"/>
      <c r="TUG1598" s="392"/>
      <c r="TUH1598" s="393"/>
      <c r="TUI1598" s="392"/>
      <c r="TUJ1598" s="393"/>
      <c r="TUK1598" s="392"/>
      <c r="TUL1598" s="393"/>
      <c r="TUM1598" s="392"/>
      <c r="TUN1598" s="393"/>
      <c r="TUO1598" s="392"/>
      <c r="TUP1598" s="393"/>
      <c r="TUQ1598" s="392"/>
      <c r="TUR1598" s="393"/>
      <c r="TUS1598" s="392"/>
      <c r="TUT1598" s="393"/>
      <c r="TUU1598" s="392"/>
      <c r="TUV1598" s="393"/>
      <c r="TUW1598" s="392"/>
      <c r="TUX1598" s="393"/>
      <c r="TUY1598" s="392"/>
      <c r="TUZ1598" s="393"/>
      <c r="TVA1598" s="392"/>
      <c r="TVB1598" s="393"/>
      <c r="TVC1598" s="392"/>
      <c r="TVD1598" s="393"/>
      <c r="TVE1598" s="392"/>
      <c r="TVF1598" s="393"/>
      <c r="TVG1598" s="392"/>
      <c r="TVH1598" s="393"/>
      <c r="TVI1598" s="392"/>
      <c r="TVJ1598" s="393"/>
      <c r="TVK1598" s="392"/>
      <c r="TVL1598" s="393"/>
      <c r="TVM1598" s="392"/>
      <c r="TVN1598" s="393"/>
      <c r="TVO1598" s="392"/>
      <c r="TVP1598" s="393"/>
      <c r="TVQ1598" s="392"/>
      <c r="TVR1598" s="393"/>
      <c r="TVS1598" s="392"/>
      <c r="TVT1598" s="393"/>
      <c r="TVU1598" s="392"/>
      <c r="TVV1598" s="393"/>
      <c r="TVW1598" s="392"/>
      <c r="TVX1598" s="393"/>
      <c r="TVY1598" s="392"/>
      <c r="TVZ1598" s="393"/>
      <c r="TWA1598" s="392"/>
      <c r="TWB1598" s="393"/>
      <c r="TWC1598" s="392"/>
      <c r="TWD1598" s="393"/>
      <c r="TWE1598" s="392"/>
      <c r="TWF1598" s="393"/>
      <c r="TWG1598" s="392"/>
      <c r="TWH1598" s="393"/>
      <c r="TWI1598" s="392"/>
      <c r="TWJ1598" s="393"/>
      <c r="TWK1598" s="392"/>
      <c r="TWL1598" s="393"/>
      <c r="TWM1598" s="392"/>
      <c r="TWN1598" s="393"/>
      <c r="TWO1598" s="392"/>
      <c r="TWP1598" s="393"/>
      <c r="TWQ1598" s="392"/>
      <c r="TWR1598" s="393"/>
      <c r="TWS1598" s="392"/>
      <c r="TWT1598" s="393"/>
      <c r="TWU1598" s="392"/>
      <c r="TWV1598" s="393"/>
      <c r="TWW1598" s="392"/>
      <c r="TWX1598" s="393"/>
      <c r="TWY1598" s="392"/>
      <c r="TWZ1598" s="393"/>
      <c r="TXA1598" s="392"/>
      <c r="TXB1598" s="393"/>
      <c r="TXC1598" s="392"/>
      <c r="TXD1598" s="393"/>
      <c r="TXE1598" s="392"/>
      <c r="TXF1598" s="393"/>
      <c r="TXG1598" s="392"/>
      <c r="TXH1598" s="393"/>
      <c r="TXI1598" s="392"/>
      <c r="TXJ1598" s="393"/>
      <c r="TXK1598" s="392"/>
      <c r="TXL1598" s="393"/>
      <c r="TXM1598" s="392"/>
      <c r="TXN1598" s="393"/>
      <c r="TXO1598" s="392"/>
      <c r="TXP1598" s="393"/>
      <c r="TXQ1598" s="392"/>
      <c r="TXR1598" s="393"/>
      <c r="TXS1598" s="392"/>
      <c r="TXT1598" s="393"/>
      <c r="TXU1598" s="392"/>
      <c r="TXV1598" s="393"/>
      <c r="TXW1598" s="392"/>
      <c r="TXX1598" s="393"/>
      <c r="TXY1598" s="392"/>
      <c r="TXZ1598" s="393"/>
      <c r="TYA1598" s="392"/>
      <c r="TYB1598" s="393"/>
      <c r="TYC1598" s="392"/>
      <c r="TYD1598" s="393"/>
      <c r="TYE1598" s="392"/>
      <c r="TYF1598" s="393"/>
      <c r="TYG1598" s="392"/>
      <c r="TYH1598" s="393"/>
      <c r="TYI1598" s="392"/>
      <c r="TYJ1598" s="393"/>
      <c r="TYK1598" s="392"/>
      <c r="TYL1598" s="393"/>
      <c r="TYM1598" s="392"/>
      <c r="TYN1598" s="393"/>
      <c r="TYO1598" s="392"/>
      <c r="TYP1598" s="393"/>
      <c r="TYQ1598" s="392"/>
      <c r="TYR1598" s="393"/>
      <c r="TYS1598" s="392"/>
      <c r="TYT1598" s="393"/>
      <c r="TYU1598" s="392"/>
      <c r="TYV1598" s="393"/>
      <c r="TYW1598" s="392"/>
      <c r="TYX1598" s="393"/>
      <c r="TYY1598" s="392"/>
      <c r="TYZ1598" s="393"/>
      <c r="TZA1598" s="392"/>
      <c r="TZB1598" s="393"/>
      <c r="TZC1598" s="392"/>
      <c r="TZD1598" s="393"/>
      <c r="TZE1598" s="392"/>
      <c r="TZF1598" s="393"/>
      <c r="TZG1598" s="392"/>
      <c r="TZH1598" s="393"/>
      <c r="TZI1598" s="392"/>
      <c r="TZJ1598" s="393"/>
      <c r="TZK1598" s="392"/>
      <c r="TZL1598" s="393"/>
      <c r="TZM1598" s="392"/>
      <c r="TZN1598" s="393"/>
      <c r="TZO1598" s="392"/>
      <c r="TZP1598" s="393"/>
      <c r="TZQ1598" s="392"/>
      <c r="TZR1598" s="393"/>
      <c r="TZS1598" s="392"/>
      <c r="TZT1598" s="393"/>
      <c r="TZU1598" s="392"/>
      <c r="TZV1598" s="393"/>
      <c r="TZW1598" s="392"/>
      <c r="TZX1598" s="393"/>
      <c r="TZY1598" s="392"/>
      <c r="TZZ1598" s="393"/>
      <c r="UAA1598" s="392"/>
      <c r="UAB1598" s="393"/>
      <c r="UAC1598" s="392"/>
      <c r="UAD1598" s="393"/>
      <c r="UAE1598" s="392"/>
      <c r="UAF1598" s="393"/>
      <c r="UAG1598" s="392"/>
      <c r="UAH1598" s="393"/>
      <c r="UAI1598" s="392"/>
      <c r="UAJ1598" s="393"/>
      <c r="UAK1598" s="392"/>
      <c r="UAL1598" s="393"/>
      <c r="UAM1598" s="392"/>
      <c r="UAN1598" s="393"/>
      <c r="UAO1598" s="392"/>
      <c r="UAP1598" s="393"/>
      <c r="UAQ1598" s="392"/>
      <c r="UAR1598" s="393"/>
      <c r="UAS1598" s="392"/>
      <c r="UAT1598" s="393"/>
      <c r="UAU1598" s="392"/>
      <c r="UAV1598" s="393"/>
      <c r="UAW1598" s="392"/>
      <c r="UAX1598" s="393"/>
      <c r="UAY1598" s="392"/>
      <c r="UAZ1598" s="393"/>
      <c r="UBA1598" s="392"/>
      <c r="UBB1598" s="393"/>
      <c r="UBC1598" s="392"/>
      <c r="UBD1598" s="393"/>
      <c r="UBE1598" s="392"/>
      <c r="UBF1598" s="393"/>
      <c r="UBG1598" s="392"/>
      <c r="UBH1598" s="393"/>
      <c r="UBI1598" s="392"/>
      <c r="UBJ1598" s="393"/>
      <c r="UBK1598" s="392"/>
      <c r="UBL1598" s="393"/>
      <c r="UBM1598" s="392"/>
      <c r="UBN1598" s="393"/>
      <c r="UBO1598" s="392"/>
      <c r="UBP1598" s="393"/>
      <c r="UBQ1598" s="392"/>
      <c r="UBR1598" s="393"/>
      <c r="UBS1598" s="392"/>
      <c r="UBT1598" s="393"/>
      <c r="UBU1598" s="392"/>
      <c r="UBV1598" s="393"/>
      <c r="UBW1598" s="392"/>
      <c r="UBX1598" s="393"/>
      <c r="UBY1598" s="392"/>
      <c r="UBZ1598" s="393"/>
      <c r="UCA1598" s="392"/>
      <c r="UCB1598" s="393"/>
      <c r="UCC1598" s="392"/>
      <c r="UCD1598" s="393"/>
      <c r="UCE1598" s="392"/>
      <c r="UCF1598" s="393"/>
      <c r="UCG1598" s="392"/>
      <c r="UCH1598" s="393"/>
      <c r="UCI1598" s="392"/>
      <c r="UCJ1598" s="393"/>
      <c r="UCK1598" s="392"/>
      <c r="UCL1598" s="393"/>
      <c r="UCM1598" s="392"/>
      <c r="UCN1598" s="393"/>
      <c r="UCO1598" s="392"/>
      <c r="UCP1598" s="393"/>
      <c r="UCQ1598" s="392"/>
      <c r="UCR1598" s="393"/>
      <c r="UCS1598" s="392"/>
      <c r="UCT1598" s="393"/>
      <c r="UCU1598" s="392"/>
      <c r="UCV1598" s="393"/>
      <c r="UCW1598" s="392"/>
      <c r="UCX1598" s="393"/>
      <c r="UCY1598" s="392"/>
      <c r="UCZ1598" s="393"/>
      <c r="UDA1598" s="392"/>
      <c r="UDB1598" s="393"/>
      <c r="UDC1598" s="392"/>
      <c r="UDD1598" s="393"/>
      <c r="UDE1598" s="392"/>
      <c r="UDF1598" s="393"/>
      <c r="UDG1598" s="392"/>
      <c r="UDH1598" s="393"/>
      <c r="UDI1598" s="392"/>
      <c r="UDJ1598" s="393"/>
      <c r="UDK1598" s="392"/>
      <c r="UDL1598" s="393"/>
      <c r="UDM1598" s="392"/>
      <c r="UDN1598" s="393"/>
      <c r="UDO1598" s="392"/>
      <c r="UDP1598" s="393"/>
      <c r="UDQ1598" s="392"/>
      <c r="UDR1598" s="393"/>
      <c r="UDS1598" s="392"/>
      <c r="UDT1598" s="393"/>
      <c r="UDU1598" s="392"/>
      <c r="UDV1598" s="393"/>
      <c r="UDW1598" s="392"/>
      <c r="UDX1598" s="393"/>
      <c r="UDY1598" s="392"/>
      <c r="UDZ1598" s="393"/>
      <c r="UEA1598" s="392"/>
      <c r="UEB1598" s="393"/>
      <c r="UEC1598" s="392"/>
      <c r="UED1598" s="393"/>
      <c r="UEE1598" s="392"/>
      <c r="UEF1598" s="393"/>
      <c r="UEG1598" s="392"/>
      <c r="UEH1598" s="393"/>
      <c r="UEI1598" s="392"/>
      <c r="UEJ1598" s="393"/>
      <c r="UEK1598" s="392"/>
      <c r="UEL1598" s="393"/>
      <c r="UEM1598" s="392"/>
      <c r="UEN1598" s="393"/>
      <c r="UEO1598" s="392"/>
      <c r="UEP1598" s="393"/>
      <c r="UEQ1598" s="392"/>
      <c r="UER1598" s="393"/>
      <c r="UES1598" s="392"/>
      <c r="UET1598" s="393"/>
      <c r="UEU1598" s="392"/>
      <c r="UEV1598" s="393"/>
      <c r="UEW1598" s="392"/>
      <c r="UEX1598" s="393"/>
      <c r="UEY1598" s="392"/>
      <c r="UEZ1598" s="393"/>
      <c r="UFA1598" s="392"/>
      <c r="UFB1598" s="393"/>
      <c r="UFC1598" s="392"/>
      <c r="UFD1598" s="393"/>
      <c r="UFE1598" s="392"/>
      <c r="UFF1598" s="393"/>
      <c r="UFG1598" s="392"/>
      <c r="UFH1598" s="393"/>
      <c r="UFI1598" s="392"/>
      <c r="UFJ1598" s="393"/>
      <c r="UFK1598" s="392"/>
      <c r="UFL1598" s="393"/>
      <c r="UFM1598" s="392"/>
      <c r="UFN1598" s="393"/>
      <c r="UFO1598" s="392"/>
      <c r="UFP1598" s="393"/>
      <c r="UFQ1598" s="392"/>
      <c r="UFR1598" s="393"/>
      <c r="UFS1598" s="392"/>
      <c r="UFT1598" s="393"/>
      <c r="UFU1598" s="392"/>
      <c r="UFV1598" s="393"/>
      <c r="UFW1598" s="392"/>
      <c r="UFX1598" s="393"/>
      <c r="UFY1598" s="392"/>
      <c r="UFZ1598" s="393"/>
      <c r="UGA1598" s="392"/>
      <c r="UGB1598" s="393"/>
      <c r="UGC1598" s="392"/>
      <c r="UGD1598" s="393"/>
      <c r="UGE1598" s="392"/>
      <c r="UGF1598" s="393"/>
      <c r="UGG1598" s="392"/>
      <c r="UGH1598" s="393"/>
      <c r="UGI1598" s="392"/>
      <c r="UGJ1598" s="393"/>
      <c r="UGK1598" s="392"/>
      <c r="UGL1598" s="393"/>
      <c r="UGM1598" s="392"/>
      <c r="UGN1598" s="393"/>
      <c r="UGO1598" s="392"/>
      <c r="UGP1598" s="393"/>
      <c r="UGQ1598" s="392"/>
      <c r="UGR1598" s="393"/>
      <c r="UGS1598" s="392"/>
      <c r="UGT1598" s="393"/>
      <c r="UGU1598" s="392"/>
      <c r="UGV1598" s="393"/>
      <c r="UGW1598" s="392"/>
      <c r="UGX1598" s="393"/>
      <c r="UGY1598" s="392"/>
      <c r="UGZ1598" s="393"/>
      <c r="UHA1598" s="392"/>
      <c r="UHB1598" s="393"/>
      <c r="UHC1598" s="392"/>
      <c r="UHD1598" s="393"/>
      <c r="UHE1598" s="392"/>
      <c r="UHF1598" s="393"/>
      <c r="UHG1598" s="392"/>
      <c r="UHH1598" s="393"/>
      <c r="UHI1598" s="392"/>
      <c r="UHJ1598" s="393"/>
      <c r="UHK1598" s="392"/>
      <c r="UHL1598" s="393"/>
      <c r="UHM1598" s="392"/>
      <c r="UHN1598" s="393"/>
      <c r="UHO1598" s="392"/>
      <c r="UHP1598" s="393"/>
      <c r="UHQ1598" s="392"/>
      <c r="UHR1598" s="393"/>
      <c r="UHS1598" s="392"/>
      <c r="UHT1598" s="393"/>
      <c r="UHU1598" s="392"/>
      <c r="UHV1598" s="393"/>
      <c r="UHW1598" s="392"/>
      <c r="UHX1598" s="393"/>
      <c r="UHY1598" s="392"/>
      <c r="UHZ1598" s="393"/>
      <c r="UIA1598" s="392"/>
      <c r="UIB1598" s="393"/>
      <c r="UIC1598" s="392"/>
      <c r="UID1598" s="393"/>
      <c r="UIE1598" s="392"/>
      <c r="UIF1598" s="393"/>
      <c r="UIG1598" s="392"/>
      <c r="UIH1598" s="393"/>
      <c r="UII1598" s="392"/>
      <c r="UIJ1598" s="393"/>
      <c r="UIK1598" s="392"/>
      <c r="UIL1598" s="393"/>
      <c r="UIM1598" s="392"/>
      <c r="UIN1598" s="393"/>
      <c r="UIO1598" s="392"/>
      <c r="UIP1598" s="393"/>
      <c r="UIQ1598" s="392"/>
      <c r="UIR1598" s="393"/>
      <c r="UIS1598" s="392"/>
      <c r="UIT1598" s="393"/>
      <c r="UIU1598" s="392"/>
      <c r="UIV1598" s="393"/>
      <c r="UIW1598" s="392"/>
      <c r="UIX1598" s="393"/>
      <c r="UIY1598" s="392"/>
      <c r="UIZ1598" s="393"/>
      <c r="UJA1598" s="392"/>
      <c r="UJB1598" s="393"/>
      <c r="UJC1598" s="392"/>
      <c r="UJD1598" s="393"/>
      <c r="UJE1598" s="392"/>
      <c r="UJF1598" s="393"/>
      <c r="UJG1598" s="392"/>
      <c r="UJH1598" s="393"/>
      <c r="UJI1598" s="392"/>
      <c r="UJJ1598" s="393"/>
      <c r="UJK1598" s="392"/>
      <c r="UJL1598" s="393"/>
      <c r="UJM1598" s="392"/>
      <c r="UJN1598" s="393"/>
      <c r="UJO1598" s="392"/>
      <c r="UJP1598" s="393"/>
      <c r="UJQ1598" s="392"/>
      <c r="UJR1598" s="393"/>
      <c r="UJS1598" s="392"/>
      <c r="UJT1598" s="393"/>
      <c r="UJU1598" s="392"/>
      <c r="UJV1598" s="393"/>
      <c r="UJW1598" s="392"/>
      <c r="UJX1598" s="393"/>
      <c r="UJY1598" s="392"/>
      <c r="UJZ1598" s="393"/>
      <c r="UKA1598" s="392"/>
      <c r="UKB1598" s="393"/>
      <c r="UKC1598" s="392"/>
      <c r="UKD1598" s="393"/>
      <c r="UKE1598" s="392"/>
      <c r="UKF1598" s="393"/>
      <c r="UKG1598" s="392"/>
      <c r="UKH1598" s="393"/>
      <c r="UKI1598" s="392"/>
      <c r="UKJ1598" s="393"/>
      <c r="UKK1598" s="392"/>
      <c r="UKL1598" s="393"/>
      <c r="UKM1598" s="392"/>
      <c r="UKN1598" s="393"/>
      <c r="UKO1598" s="392"/>
      <c r="UKP1598" s="393"/>
      <c r="UKQ1598" s="392"/>
      <c r="UKR1598" s="393"/>
      <c r="UKS1598" s="392"/>
      <c r="UKT1598" s="393"/>
      <c r="UKU1598" s="392"/>
      <c r="UKV1598" s="393"/>
      <c r="UKW1598" s="392"/>
      <c r="UKX1598" s="393"/>
      <c r="UKY1598" s="392"/>
      <c r="UKZ1598" s="393"/>
      <c r="ULA1598" s="392"/>
      <c r="ULB1598" s="393"/>
      <c r="ULC1598" s="392"/>
      <c r="ULD1598" s="393"/>
      <c r="ULE1598" s="392"/>
      <c r="ULF1598" s="393"/>
      <c r="ULG1598" s="392"/>
      <c r="ULH1598" s="393"/>
      <c r="ULI1598" s="392"/>
      <c r="ULJ1598" s="393"/>
      <c r="ULK1598" s="392"/>
      <c r="ULL1598" s="393"/>
      <c r="ULM1598" s="392"/>
      <c r="ULN1598" s="393"/>
      <c r="ULO1598" s="392"/>
      <c r="ULP1598" s="393"/>
      <c r="ULQ1598" s="392"/>
      <c r="ULR1598" s="393"/>
      <c r="ULS1598" s="392"/>
      <c r="ULT1598" s="393"/>
      <c r="ULU1598" s="392"/>
      <c r="ULV1598" s="393"/>
      <c r="ULW1598" s="392"/>
      <c r="ULX1598" s="393"/>
      <c r="ULY1598" s="392"/>
      <c r="ULZ1598" s="393"/>
      <c r="UMA1598" s="392"/>
      <c r="UMB1598" s="393"/>
      <c r="UMC1598" s="392"/>
      <c r="UMD1598" s="393"/>
      <c r="UME1598" s="392"/>
      <c r="UMF1598" s="393"/>
      <c r="UMG1598" s="392"/>
      <c r="UMH1598" s="393"/>
      <c r="UMI1598" s="392"/>
      <c r="UMJ1598" s="393"/>
      <c r="UMK1598" s="392"/>
      <c r="UML1598" s="393"/>
      <c r="UMM1598" s="392"/>
      <c r="UMN1598" s="393"/>
      <c r="UMO1598" s="392"/>
      <c r="UMP1598" s="393"/>
      <c r="UMQ1598" s="392"/>
      <c r="UMR1598" s="393"/>
      <c r="UMS1598" s="392"/>
      <c r="UMT1598" s="393"/>
      <c r="UMU1598" s="392"/>
      <c r="UMV1598" s="393"/>
      <c r="UMW1598" s="392"/>
      <c r="UMX1598" s="393"/>
      <c r="UMY1598" s="392"/>
      <c r="UMZ1598" s="393"/>
      <c r="UNA1598" s="392"/>
      <c r="UNB1598" s="393"/>
      <c r="UNC1598" s="392"/>
      <c r="UND1598" s="393"/>
      <c r="UNE1598" s="392"/>
      <c r="UNF1598" s="393"/>
      <c r="UNG1598" s="392"/>
      <c r="UNH1598" s="393"/>
      <c r="UNI1598" s="392"/>
      <c r="UNJ1598" s="393"/>
      <c r="UNK1598" s="392"/>
      <c r="UNL1598" s="393"/>
      <c r="UNM1598" s="392"/>
      <c r="UNN1598" s="393"/>
      <c r="UNO1598" s="392"/>
      <c r="UNP1598" s="393"/>
      <c r="UNQ1598" s="392"/>
      <c r="UNR1598" s="393"/>
      <c r="UNS1598" s="392"/>
      <c r="UNT1598" s="393"/>
      <c r="UNU1598" s="392"/>
      <c r="UNV1598" s="393"/>
      <c r="UNW1598" s="392"/>
      <c r="UNX1598" s="393"/>
      <c r="UNY1598" s="392"/>
      <c r="UNZ1598" s="393"/>
      <c r="UOA1598" s="392"/>
      <c r="UOB1598" s="393"/>
      <c r="UOC1598" s="392"/>
      <c r="UOD1598" s="393"/>
      <c r="UOE1598" s="392"/>
      <c r="UOF1598" s="393"/>
      <c r="UOG1598" s="392"/>
      <c r="UOH1598" s="393"/>
      <c r="UOI1598" s="392"/>
      <c r="UOJ1598" s="393"/>
      <c r="UOK1598" s="392"/>
      <c r="UOL1598" s="393"/>
      <c r="UOM1598" s="392"/>
      <c r="UON1598" s="393"/>
      <c r="UOO1598" s="392"/>
      <c r="UOP1598" s="393"/>
      <c r="UOQ1598" s="392"/>
      <c r="UOR1598" s="393"/>
      <c r="UOS1598" s="392"/>
      <c r="UOT1598" s="393"/>
      <c r="UOU1598" s="392"/>
      <c r="UOV1598" s="393"/>
      <c r="UOW1598" s="392"/>
      <c r="UOX1598" s="393"/>
      <c r="UOY1598" s="392"/>
      <c r="UOZ1598" s="393"/>
      <c r="UPA1598" s="392"/>
      <c r="UPB1598" s="393"/>
      <c r="UPC1598" s="392"/>
      <c r="UPD1598" s="393"/>
      <c r="UPE1598" s="392"/>
      <c r="UPF1598" s="393"/>
      <c r="UPG1598" s="392"/>
      <c r="UPH1598" s="393"/>
      <c r="UPI1598" s="392"/>
      <c r="UPJ1598" s="393"/>
      <c r="UPK1598" s="392"/>
      <c r="UPL1598" s="393"/>
      <c r="UPM1598" s="392"/>
      <c r="UPN1598" s="393"/>
      <c r="UPO1598" s="392"/>
      <c r="UPP1598" s="393"/>
      <c r="UPQ1598" s="392"/>
      <c r="UPR1598" s="393"/>
      <c r="UPS1598" s="392"/>
      <c r="UPT1598" s="393"/>
      <c r="UPU1598" s="392"/>
      <c r="UPV1598" s="393"/>
      <c r="UPW1598" s="392"/>
      <c r="UPX1598" s="393"/>
      <c r="UPY1598" s="392"/>
      <c r="UPZ1598" s="393"/>
      <c r="UQA1598" s="392"/>
      <c r="UQB1598" s="393"/>
      <c r="UQC1598" s="392"/>
      <c r="UQD1598" s="393"/>
      <c r="UQE1598" s="392"/>
      <c r="UQF1598" s="393"/>
      <c r="UQG1598" s="392"/>
      <c r="UQH1598" s="393"/>
      <c r="UQI1598" s="392"/>
      <c r="UQJ1598" s="393"/>
      <c r="UQK1598" s="392"/>
      <c r="UQL1598" s="393"/>
      <c r="UQM1598" s="392"/>
      <c r="UQN1598" s="393"/>
      <c r="UQO1598" s="392"/>
      <c r="UQP1598" s="393"/>
      <c r="UQQ1598" s="392"/>
      <c r="UQR1598" s="393"/>
      <c r="UQS1598" s="392"/>
      <c r="UQT1598" s="393"/>
      <c r="UQU1598" s="392"/>
      <c r="UQV1598" s="393"/>
      <c r="UQW1598" s="392"/>
      <c r="UQX1598" s="393"/>
      <c r="UQY1598" s="392"/>
      <c r="UQZ1598" s="393"/>
      <c r="URA1598" s="392"/>
      <c r="URB1598" s="393"/>
      <c r="URC1598" s="392"/>
      <c r="URD1598" s="393"/>
      <c r="URE1598" s="392"/>
      <c r="URF1598" s="393"/>
      <c r="URG1598" s="392"/>
      <c r="URH1598" s="393"/>
      <c r="URI1598" s="392"/>
      <c r="URJ1598" s="393"/>
      <c r="URK1598" s="392"/>
      <c r="URL1598" s="393"/>
      <c r="URM1598" s="392"/>
      <c r="URN1598" s="393"/>
      <c r="URO1598" s="392"/>
      <c r="URP1598" s="393"/>
      <c r="URQ1598" s="392"/>
      <c r="URR1598" s="393"/>
      <c r="URS1598" s="392"/>
      <c r="URT1598" s="393"/>
      <c r="URU1598" s="392"/>
      <c r="URV1598" s="393"/>
      <c r="URW1598" s="392"/>
      <c r="URX1598" s="393"/>
      <c r="URY1598" s="392"/>
      <c r="URZ1598" s="393"/>
      <c r="USA1598" s="392"/>
      <c r="USB1598" s="393"/>
      <c r="USC1598" s="392"/>
      <c r="USD1598" s="393"/>
      <c r="USE1598" s="392"/>
      <c r="USF1598" s="393"/>
      <c r="USG1598" s="392"/>
      <c r="USH1598" s="393"/>
      <c r="USI1598" s="392"/>
      <c r="USJ1598" s="393"/>
      <c r="USK1598" s="392"/>
      <c r="USL1598" s="393"/>
      <c r="USM1598" s="392"/>
      <c r="USN1598" s="393"/>
      <c r="USO1598" s="392"/>
      <c r="USP1598" s="393"/>
      <c r="USQ1598" s="392"/>
      <c r="USR1598" s="393"/>
      <c r="USS1598" s="392"/>
      <c r="UST1598" s="393"/>
      <c r="USU1598" s="392"/>
      <c r="USV1598" s="393"/>
      <c r="USW1598" s="392"/>
      <c r="USX1598" s="393"/>
      <c r="USY1598" s="392"/>
      <c r="USZ1598" s="393"/>
      <c r="UTA1598" s="392"/>
      <c r="UTB1598" s="393"/>
      <c r="UTC1598" s="392"/>
      <c r="UTD1598" s="393"/>
      <c r="UTE1598" s="392"/>
      <c r="UTF1598" s="393"/>
      <c r="UTG1598" s="392"/>
      <c r="UTH1598" s="393"/>
      <c r="UTI1598" s="392"/>
      <c r="UTJ1598" s="393"/>
      <c r="UTK1598" s="392"/>
      <c r="UTL1598" s="393"/>
      <c r="UTM1598" s="392"/>
      <c r="UTN1598" s="393"/>
      <c r="UTO1598" s="392"/>
      <c r="UTP1598" s="393"/>
      <c r="UTQ1598" s="392"/>
      <c r="UTR1598" s="393"/>
      <c r="UTS1598" s="392"/>
      <c r="UTT1598" s="393"/>
      <c r="UTU1598" s="392"/>
      <c r="UTV1598" s="393"/>
      <c r="UTW1598" s="392"/>
      <c r="UTX1598" s="393"/>
      <c r="UTY1598" s="392"/>
      <c r="UTZ1598" s="393"/>
      <c r="UUA1598" s="392"/>
      <c r="UUB1598" s="393"/>
      <c r="UUC1598" s="392"/>
      <c r="UUD1598" s="393"/>
      <c r="UUE1598" s="392"/>
      <c r="UUF1598" s="393"/>
      <c r="UUG1598" s="392"/>
      <c r="UUH1598" s="393"/>
      <c r="UUI1598" s="392"/>
      <c r="UUJ1598" s="393"/>
      <c r="UUK1598" s="392"/>
      <c r="UUL1598" s="393"/>
      <c r="UUM1598" s="392"/>
      <c r="UUN1598" s="393"/>
      <c r="UUO1598" s="392"/>
      <c r="UUP1598" s="393"/>
      <c r="UUQ1598" s="392"/>
      <c r="UUR1598" s="393"/>
      <c r="UUS1598" s="392"/>
      <c r="UUT1598" s="393"/>
      <c r="UUU1598" s="392"/>
      <c r="UUV1598" s="393"/>
      <c r="UUW1598" s="392"/>
      <c r="UUX1598" s="393"/>
      <c r="UUY1598" s="392"/>
      <c r="UUZ1598" s="393"/>
      <c r="UVA1598" s="392"/>
      <c r="UVB1598" s="393"/>
      <c r="UVC1598" s="392"/>
      <c r="UVD1598" s="393"/>
      <c r="UVE1598" s="392"/>
      <c r="UVF1598" s="393"/>
      <c r="UVG1598" s="392"/>
      <c r="UVH1598" s="393"/>
      <c r="UVI1598" s="392"/>
      <c r="UVJ1598" s="393"/>
      <c r="UVK1598" s="392"/>
      <c r="UVL1598" s="393"/>
      <c r="UVM1598" s="392"/>
      <c r="UVN1598" s="393"/>
      <c r="UVO1598" s="392"/>
      <c r="UVP1598" s="393"/>
      <c r="UVQ1598" s="392"/>
      <c r="UVR1598" s="393"/>
      <c r="UVS1598" s="392"/>
      <c r="UVT1598" s="393"/>
      <c r="UVU1598" s="392"/>
      <c r="UVV1598" s="393"/>
      <c r="UVW1598" s="392"/>
      <c r="UVX1598" s="393"/>
      <c r="UVY1598" s="392"/>
      <c r="UVZ1598" s="393"/>
      <c r="UWA1598" s="392"/>
      <c r="UWB1598" s="393"/>
      <c r="UWC1598" s="392"/>
      <c r="UWD1598" s="393"/>
      <c r="UWE1598" s="392"/>
      <c r="UWF1598" s="393"/>
      <c r="UWG1598" s="392"/>
      <c r="UWH1598" s="393"/>
      <c r="UWI1598" s="392"/>
      <c r="UWJ1598" s="393"/>
      <c r="UWK1598" s="392"/>
      <c r="UWL1598" s="393"/>
      <c r="UWM1598" s="392"/>
      <c r="UWN1598" s="393"/>
      <c r="UWO1598" s="392"/>
      <c r="UWP1598" s="393"/>
      <c r="UWQ1598" s="392"/>
      <c r="UWR1598" s="393"/>
      <c r="UWS1598" s="392"/>
      <c r="UWT1598" s="393"/>
      <c r="UWU1598" s="392"/>
      <c r="UWV1598" s="393"/>
      <c r="UWW1598" s="392"/>
      <c r="UWX1598" s="393"/>
      <c r="UWY1598" s="392"/>
      <c r="UWZ1598" s="393"/>
      <c r="UXA1598" s="392"/>
      <c r="UXB1598" s="393"/>
      <c r="UXC1598" s="392"/>
      <c r="UXD1598" s="393"/>
      <c r="UXE1598" s="392"/>
      <c r="UXF1598" s="393"/>
      <c r="UXG1598" s="392"/>
      <c r="UXH1598" s="393"/>
      <c r="UXI1598" s="392"/>
      <c r="UXJ1598" s="393"/>
      <c r="UXK1598" s="392"/>
      <c r="UXL1598" s="393"/>
      <c r="UXM1598" s="392"/>
      <c r="UXN1598" s="393"/>
      <c r="UXO1598" s="392"/>
      <c r="UXP1598" s="393"/>
      <c r="UXQ1598" s="392"/>
      <c r="UXR1598" s="393"/>
      <c r="UXS1598" s="392"/>
      <c r="UXT1598" s="393"/>
      <c r="UXU1598" s="392"/>
      <c r="UXV1598" s="393"/>
      <c r="UXW1598" s="392"/>
      <c r="UXX1598" s="393"/>
      <c r="UXY1598" s="392"/>
      <c r="UXZ1598" s="393"/>
      <c r="UYA1598" s="392"/>
      <c r="UYB1598" s="393"/>
      <c r="UYC1598" s="392"/>
      <c r="UYD1598" s="393"/>
      <c r="UYE1598" s="392"/>
      <c r="UYF1598" s="393"/>
      <c r="UYG1598" s="392"/>
      <c r="UYH1598" s="393"/>
      <c r="UYI1598" s="392"/>
      <c r="UYJ1598" s="393"/>
      <c r="UYK1598" s="392"/>
      <c r="UYL1598" s="393"/>
      <c r="UYM1598" s="392"/>
      <c r="UYN1598" s="393"/>
      <c r="UYO1598" s="392"/>
      <c r="UYP1598" s="393"/>
      <c r="UYQ1598" s="392"/>
      <c r="UYR1598" s="393"/>
      <c r="UYS1598" s="392"/>
      <c r="UYT1598" s="393"/>
      <c r="UYU1598" s="392"/>
      <c r="UYV1598" s="393"/>
      <c r="UYW1598" s="392"/>
      <c r="UYX1598" s="393"/>
      <c r="UYY1598" s="392"/>
      <c r="UYZ1598" s="393"/>
      <c r="UZA1598" s="392"/>
      <c r="UZB1598" s="393"/>
      <c r="UZC1598" s="392"/>
      <c r="UZD1598" s="393"/>
      <c r="UZE1598" s="392"/>
      <c r="UZF1598" s="393"/>
      <c r="UZG1598" s="392"/>
      <c r="UZH1598" s="393"/>
      <c r="UZI1598" s="392"/>
      <c r="UZJ1598" s="393"/>
      <c r="UZK1598" s="392"/>
      <c r="UZL1598" s="393"/>
      <c r="UZM1598" s="392"/>
      <c r="UZN1598" s="393"/>
      <c r="UZO1598" s="392"/>
      <c r="UZP1598" s="393"/>
      <c r="UZQ1598" s="392"/>
      <c r="UZR1598" s="393"/>
      <c r="UZS1598" s="392"/>
      <c r="UZT1598" s="393"/>
      <c r="UZU1598" s="392"/>
      <c r="UZV1598" s="393"/>
      <c r="UZW1598" s="392"/>
      <c r="UZX1598" s="393"/>
      <c r="UZY1598" s="392"/>
      <c r="UZZ1598" s="393"/>
      <c r="VAA1598" s="392"/>
      <c r="VAB1598" s="393"/>
      <c r="VAC1598" s="392"/>
      <c r="VAD1598" s="393"/>
      <c r="VAE1598" s="392"/>
      <c r="VAF1598" s="393"/>
      <c r="VAG1598" s="392"/>
      <c r="VAH1598" s="393"/>
      <c r="VAI1598" s="392"/>
      <c r="VAJ1598" s="393"/>
      <c r="VAK1598" s="392"/>
      <c r="VAL1598" s="393"/>
      <c r="VAM1598" s="392"/>
      <c r="VAN1598" s="393"/>
      <c r="VAO1598" s="392"/>
      <c r="VAP1598" s="393"/>
      <c r="VAQ1598" s="392"/>
      <c r="VAR1598" s="393"/>
      <c r="VAS1598" s="392"/>
      <c r="VAT1598" s="393"/>
      <c r="VAU1598" s="392"/>
      <c r="VAV1598" s="393"/>
      <c r="VAW1598" s="392"/>
      <c r="VAX1598" s="393"/>
      <c r="VAY1598" s="392"/>
      <c r="VAZ1598" s="393"/>
      <c r="VBA1598" s="392"/>
      <c r="VBB1598" s="393"/>
      <c r="VBC1598" s="392"/>
      <c r="VBD1598" s="393"/>
      <c r="VBE1598" s="392"/>
      <c r="VBF1598" s="393"/>
      <c r="VBG1598" s="392"/>
      <c r="VBH1598" s="393"/>
      <c r="VBI1598" s="392"/>
      <c r="VBJ1598" s="393"/>
      <c r="VBK1598" s="392"/>
      <c r="VBL1598" s="393"/>
      <c r="VBM1598" s="392"/>
      <c r="VBN1598" s="393"/>
      <c r="VBO1598" s="392"/>
      <c r="VBP1598" s="393"/>
      <c r="VBQ1598" s="392"/>
      <c r="VBR1598" s="393"/>
      <c r="VBS1598" s="392"/>
      <c r="VBT1598" s="393"/>
      <c r="VBU1598" s="392"/>
      <c r="VBV1598" s="393"/>
      <c r="VBW1598" s="392"/>
      <c r="VBX1598" s="393"/>
      <c r="VBY1598" s="392"/>
      <c r="VBZ1598" s="393"/>
      <c r="VCA1598" s="392"/>
      <c r="VCB1598" s="393"/>
      <c r="VCC1598" s="392"/>
      <c r="VCD1598" s="393"/>
      <c r="VCE1598" s="392"/>
      <c r="VCF1598" s="393"/>
      <c r="VCG1598" s="392"/>
      <c r="VCH1598" s="393"/>
      <c r="VCI1598" s="392"/>
      <c r="VCJ1598" s="393"/>
      <c r="VCK1598" s="392"/>
      <c r="VCL1598" s="393"/>
      <c r="VCM1598" s="392"/>
      <c r="VCN1598" s="393"/>
      <c r="VCO1598" s="392"/>
      <c r="VCP1598" s="393"/>
      <c r="VCQ1598" s="392"/>
      <c r="VCR1598" s="393"/>
      <c r="VCS1598" s="392"/>
      <c r="VCT1598" s="393"/>
      <c r="VCU1598" s="392"/>
      <c r="VCV1598" s="393"/>
      <c r="VCW1598" s="392"/>
      <c r="VCX1598" s="393"/>
      <c r="VCY1598" s="392"/>
      <c r="VCZ1598" s="393"/>
      <c r="VDA1598" s="392"/>
      <c r="VDB1598" s="393"/>
      <c r="VDC1598" s="392"/>
      <c r="VDD1598" s="393"/>
      <c r="VDE1598" s="392"/>
      <c r="VDF1598" s="393"/>
      <c r="VDG1598" s="392"/>
      <c r="VDH1598" s="393"/>
      <c r="VDI1598" s="392"/>
      <c r="VDJ1598" s="393"/>
      <c r="VDK1598" s="392"/>
      <c r="VDL1598" s="393"/>
      <c r="VDM1598" s="392"/>
      <c r="VDN1598" s="393"/>
      <c r="VDO1598" s="392"/>
      <c r="VDP1598" s="393"/>
      <c r="VDQ1598" s="392"/>
      <c r="VDR1598" s="393"/>
      <c r="VDS1598" s="392"/>
      <c r="VDT1598" s="393"/>
      <c r="VDU1598" s="392"/>
      <c r="VDV1598" s="393"/>
      <c r="VDW1598" s="392"/>
      <c r="VDX1598" s="393"/>
      <c r="VDY1598" s="392"/>
      <c r="VDZ1598" s="393"/>
      <c r="VEA1598" s="392"/>
      <c r="VEB1598" s="393"/>
      <c r="VEC1598" s="392"/>
      <c r="VED1598" s="393"/>
      <c r="VEE1598" s="392"/>
      <c r="VEF1598" s="393"/>
      <c r="VEG1598" s="392"/>
      <c r="VEH1598" s="393"/>
      <c r="VEI1598" s="392"/>
      <c r="VEJ1598" s="393"/>
      <c r="VEK1598" s="392"/>
      <c r="VEL1598" s="393"/>
      <c r="VEM1598" s="392"/>
      <c r="VEN1598" s="393"/>
      <c r="VEO1598" s="392"/>
      <c r="VEP1598" s="393"/>
      <c r="VEQ1598" s="392"/>
      <c r="VER1598" s="393"/>
      <c r="VES1598" s="392"/>
      <c r="VET1598" s="393"/>
      <c r="VEU1598" s="392"/>
      <c r="VEV1598" s="393"/>
      <c r="VEW1598" s="392"/>
      <c r="VEX1598" s="393"/>
      <c r="VEY1598" s="392"/>
      <c r="VEZ1598" s="393"/>
      <c r="VFA1598" s="392"/>
      <c r="VFB1598" s="393"/>
      <c r="VFC1598" s="392"/>
      <c r="VFD1598" s="393"/>
      <c r="VFE1598" s="392"/>
      <c r="VFF1598" s="393"/>
      <c r="VFG1598" s="392"/>
      <c r="VFH1598" s="393"/>
      <c r="VFI1598" s="392"/>
      <c r="VFJ1598" s="393"/>
      <c r="VFK1598" s="392"/>
      <c r="VFL1598" s="393"/>
      <c r="VFM1598" s="392"/>
      <c r="VFN1598" s="393"/>
      <c r="VFO1598" s="392"/>
      <c r="VFP1598" s="393"/>
      <c r="VFQ1598" s="392"/>
      <c r="VFR1598" s="393"/>
      <c r="VFS1598" s="392"/>
      <c r="VFT1598" s="393"/>
      <c r="VFU1598" s="392"/>
      <c r="VFV1598" s="393"/>
      <c r="VFW1598" s="392"/>
      <c r="VFX1598" s="393"/>
      <c r="VFY1598" s="392"/>
      <c r="VFZ1598" s="393"/>
      <c r="VGA1598" s="392"/>
      <c r="VGB1598" s="393"/>
      <c r="VGC1598" s="392"/>
      <c r="VGD1598" s="393"/>
      <c r="VGE1598" s="392"/>
      <c r="VGF1598" s="393"/>
      <c r="VGG1598" s="392"/>
      <c r="VGH1598" s="393"/>
      <c r="VGI1598" s="392"/>
      <c r="VGJ1598" s="393"/>
      <c r="VGK1598" s="392"/>
      <c r="VGL1598" s="393"/>
      <c r="VGM1598" s="392"/>
      <c r="VGN1598" s="393"/>
      <c r="VGO1598" s="392"/>
      <c r="VGP1598" s="393"/>
      <c r="VGQ1598" s="392"/>
      <c r="VGR1598" s="393"/>
      <c r="VGS1598" s="392"/>
      <c r="VGT1598" s="393"/>
      <c r="VGU1598" s="392"/>
      <c r="VGV1598" s="393"/>
      <c r="VGW1598" s="392"/>
      <c r="VGX1598" s="393"/>
      <c r="VGY1598" s="392"/>
      <c r="VGZ1598" s="393"/>
      <c r="VHA1598" s="392"/>
      <c r="VHB1598" s="393"/>
      <c r="VHC1598" s="392"/>
      <c r="VHD1598" s="393"/>
      <c r="VHE1598" s="392"/>
      <c r="VHF1598" s="393"/>
      <c r="VHG1598" s="392"/>
      <c r="VHH1598" s="393"/>
      <c r="VHI1598" s="392"/>
      <c r="VHJ1598" s="393"/>
      <c r="VHK1598" s="392"/>
      <c r="VHL1598" s="393"/>
      <c r="VHM1598" s="392"/>
      <c r="VHN1598" s="393"/>
      <c r="VHO1598" s="392"/>
      <c r="VHP1598" s="393"/>
      <c r="VHQ1598" s="392"/>
      <c r="VHR1598" s="393"/>
      <c r="VHS1598" s="392"/>
      <c r="VHT1598" s="393"/>
      <c r="VHU1598" s="392"/>
      <c r="VHV1598" s="393"/>
      <c r="VHW1598" s="392"/>
      <c r="VHX1598" s="393"/>
      <c r="VHY1598" s="392"/>
      <c r="VHZ1598" s="393"/>
      <c r="VIA1598" s="392"/>
      <c r="VIB1598" s="393"/>
      <c r="VIC1598" s="392"/>
      <c r="VID1598" s="393"/>
      <c r="VIE1598" s="392"/>
      <c r="VIF1598" s="393"/>
      <c r="VIG1598" s="392"/>
      <c r="VIH1598" s="393"/>
      <c r="VII1598" s="392"/>
      <c r="VIJ1598" s="393"/>
      <c r="VIK1598" s="392"/>
      <c r="VIL1598" s="393"/>
      <c r="VIM1598" s="392"/>
      <c r="VIN1598" s="393"/>
      <c r="VIO1598" s="392"/>
      <c r="VIP1598" s="393"/>
      <c r="VIQ1598" s="392"/>
      <c r="VIR1598" s="393"/>
      <c r="VIS1598" s="392"/>
      <c r="VIT1598" s="393"/>
      <c r="VIU1598" s="392"/>
      <c r="VIV1598" s="393"/>
      <c r="VIW1598" s="392"/>
      <c r="VIX1598" s="393"/>
      <c r="VIY1598" s="392"/>
      <c r="VIZ1598" s="393"/>
      <c r="VJA1598" s="392"/>
      <c r="VJB1598" s="393"/>
      <c r="VJC1598" s="392"/>
      <c r="VJD1598" s="393"/>
      <c r="VJE1598" s="392"/>
      <c r="VJF1598" s="393"/>
      <c r="VJG1598" s="392"/>
      <c r="VJH1598" s="393"/>
      <c r="VJI1598" s="392"/>
      <c r="VJJ1598" s="393"/>
      <c r="VJK1598" s="392"/>
      <c r="VJL1598" s="393"/>
      <c r="VJM1598" s="392"/>
      <c r="VJN1598" s="393"/>
      <c r="VJO1598" s="392"/>
      <c r="VJP1598" s="393"/>
      <c r="VJQ1598" s="392"/>
      <c r="VJR1598" s="393"/>
      <c r="VJS1598" s="392"/>
      <c r="VJT1598" s="393"/>
      <c r="VJU1598" s="392"/>
      <c r="VJV1598" s="393"/>
      <c r="VJW1598" s="392"/>
      <c r="VJX1598" s="393"/>
      <c r="VJY1598" s="392"/>
      <c r="VJZ1598" s="393"/>
      <c r="VKA1598" s="392"/>
      <c r="VKB1598" s="393"/>
      <c r="VKC1598" s="392"/>
      <c r="VKD1598" s="393"/>
      <c r="VKE1598" s="392"/>
      <c r="VKF1598" s="393"/>
      <c r="VKG1598" s="392"/>
      <c r="VKH1598" s="393"/>
      <c r="VKI1598" s="392"/>
      <c r="VKJ1598" s="393"/>
      <c r="VKK1598" s="392"/>
      <c r="VKL1598" s="393"/>
      <c r="VKM1598" s="392"/>
      <c r="VKN1598" s="393"/>
      <c r="VKO1598" s="392"/>
      <c r="VKP1598" s="393"/>
      <c r="VKQ1598" s="392"/>
      <c r="VKR1598" s="393"/>
      <c r="VKS1598" s="392"/>
      <c r="VKT1598" s="393"/>
      <c r="VKU1598" s="392"/>
      <c r="VKV1598" s="393"/>
      <c r="VKW1598" s="392"/>
      <c r="VKX1598" s="393"/>
      <c r="VKY1598" s="392"/>
      <c r="VKZ1598" s="393"/>
      <c r="VLA1598" s="392"/>
      <c r="VLB1598" s="393"/>
      <c r="VLC1598" s="392"/>
      <c r="VLD1598" s="393"/>
      <c r="VLE1598" s="392"/>
      <c r="VLF1598" s="393"/>
      <c r="VLG1598" s="392"/>
      <c r="VLH1598" s="393"/>
      <c r="VLI1598" s="392"/>
      <c r="VLJ1598" s="393"/>
      <c r="VLK1598" s="392"/>
      <c r="VLL1598" s="393"/>
      <c r="VLM1598" s="392"/>
      <c r="VLN1598" s="393"/>
      <c r="VLO1598" s="392"/>
      <c r="VLP1598" s="393"/>
      <c r="VLQ1598" s="392"/>
      <c r="VLR1598" s="393"/>
      <c r="VLS1598" s="392"/>
      <c r="VLT1598" s="393"/>
      <c r="VLU1598" s="392"/>
      <c r="VLV1598" s="393"/>
      <c r="VLW1598" s="392"/>
      <c r="VLX1598" s="393"/>
      <c r="VLY1598" s="392"/>
      <c r="VLZ1598" s="393"/>
      <c r="VMA1598" s="392"/>
      <c r="VMB1598" s="393"/>
      <c r="VMC1598" s="392"/>
      <c r="VMD1598" s="393"/>
      <c r="VME1598" s="392"/>
      <c r="VMF1598" s="393"/>
      <c r="VMG1598" s="392"/>
      <c r="VMH1598" s="393"/>
      <c r="VMI1598" s="392"/>
      <c r="VMJ1598" s="393"/>
      <c r="VMK1598" s="392"/>
      <c r="VML1598" s="393"/>
      <c r="VMM1598" s="392"/>
      <c r="VMN1598" s="393"/>
      <c r="VMO1598" s="392"/>
      <c r="VMP1598" s="393"/>
      <c r="VMQ1598" s="392"/>
      <c r="VMR1598" s="393"/>
      <c r="VMS1598" s="392"/>
      <c r="VMT1598" s="393"/>
      <c r="VMU1598" s="392"/>
      <c r="VMV1598" s="393"/>
      <c r="VMW1598" s="392"/>
      <c r="VMX1598" s="393"/>
      <c r="VMY1598" s="392"/>
      <c r="VMZ1598" s="393"/>
      <c r="VNA1598" s="392"/>
      <c r="VNB1598" s="393"/>
      <c r="VNC1598" s="392"/>
      <c r="VND1598" s="393"/>
      <c r="VNE1598" s="392"/>
      <c r="VNF1598" s="393"/>
      <c r="VNG1598" s="392"/>
      <c r="VNH1598" s="393"/>
      <c r="VNI1598" s="392"/>
      <c r="VNJ1598" s="393"/>
      <c r="VNK1598" s="392"/>
      <c r="VNL1598" s="393"/>
      <c r="VNM1598" s="392"/>
      <c r="VNN1598" s="393"/>
      <c r="VNO1598" s="392"/>
      <c r="VNP1598" s="393"/>
      <c r="VNQ1598" s="392"/>
      <c r="VNR1598" s="393"/>
      <c r="VNS1598" s="392"/>
      <c r="VNT1598" s="393"/>
      <c r="VNU1598" s="392"/>
      <c r="VNV1598" s="393"/>
      <c r="VNW1598" s="392"/>
      <c r="VNX1598" s="393"/>
      <c r="VNY1598" s="392"/>
      <c r="VNZ1598" s="393"/>
      <c r="VOA1598" s="392"/>
      <c r="VOB1598" s="393"/>
      <c r="VOC1598" s="392"/>
      <c r="VOD1598" s="393"/>
      <c r="VOE1598" s="392"/>
      <c r="VOF1598" s="393"/>
      <c r="VOG1598" s="392"/>
      <c r="VOH1598" s="393"/>
      <c r="VOI1598" s="392"/>
      <c r="VOJ1598" s="393"/>
      <c r="VOK1598" s="392"/>
      <c r="VOL1598" s="393"/>
      <c r="VOM1598" s="392"/>
      <c r="VON1598" s="393"/>
      <c r="VOO1598" s="392"/>
      <c r="VOP1598" s="393"/>
      <c r="VOQ1598" s="392"/>
      <c r="VOR1598" s="393"/>
      <c r="VOS1598" s="392"/>
      <c r="VOT1598" s="393"/>
      <c r="VOU1598" s="392"/>
      <c r="VOV1598" s="393"/>
      <c r="VOW1598" s="392"/>
      <c r="VOX1598" s="393"/>
      <c r="VOY1598" s="392"/>
      <c r="VOZ1598" s="393"/>
      <c r="VPA1598" s="392"/>
      <c r="VPB1598" s="393"/>
      <c r="VPC1598" s="392"/>
      <c r="VPD1598" s="393"/>
      <c r="VPE1598" s="392"/>
      <c r="VPF1598" s="393"/>
      <c r="VPG1598" s="392"/>
      <c r="VPH1598" s="393"/>
      <c r="VPI1598" s="392"/>
      <c r="VPJ1598" s="393"/>
      <c r="VPK1598" s="392"/>
      <c r="VPL1598" s="393"/>
      <c r="VPM1598" s="392"/>
      <c r="VPN1598" s="393"/>
      <c r="VPO1598" s="392"/>
      <c r="VPP1598" s="393"/>
      <c r="VPQ1598" s="392"/>
      <c r="VPR1598" s="393"/>
      <c r="VPS1598" s="392"/>
      <c r="VPT1598" s="393"/>
      <c r="VPU1598" s="392"/>
      <c r="VPV1598" s="393"/>
      <c r="VPW1598" s="392"/>
      <c r="VPX1598" s="393"/>
      <c r="VPY1598" s="392"/>
      <c r="VPZ1598" s="393"/>
      <c r="VQA1598" s="392"/>
      <c r="VQB1598" s="393"/>
      <c r="VQC1598" s="392"/>
      <c r="VQD1598" s="393"/>
      <c r="VQE1598" s="392"/>
      <c r="VQF1598" s="393"/>
      <c r="VQG1598" s="392"/>
      <c r="VQH1598" s="393"/>
      <c r="VQI1598" s="392"/>
      <c r="VQJ1598" s="393"/>
      <c r="VQK1598" s="392"/>
      <c r="VQL1598" s="393"/>
      <c r="VQM1598" s="392"/>
      <c r="VQN1598" s="393"/>
      <c r="VQO1598" s="392"/>
      <c r="VQP1598" s="393"/>
      <c r="VQQ1598" s="392"/>
      <c r="VQR1598" s="393"/>
      <c r="VQS1598" s="392"/>
      <c r="VQT1598" s="393"/>
      <c r="VQU1598" s="392"/>
      <c r="VQV1598" s="393"/>
      <c r="VQW1598" s="392"/>
      <c r="VQX1598" s="393"/>
      <c r="VQY1598" s="392"/>
      <c r="VQZ1598" s="393"/>
      <c r="VRA1598" s="392"/>
      <c r="VRB1598" s="393"/>
      <c r="VRC1598" s="392"/>
      <c r="VRD1598" s="393"/>
      <c r="VRE1598" s="392"/>
      <c r="VRF1598" s="393"/>
      <c r="VRG1598" s="392"/>
      <c r="VRH1598" s="393"/>
      <c r="VRI1598" s="392"/>
      <c r="VRJ1598" s="393"/>
      <c r="VRK1598" s="392"/>
      <c r="VRL1598" s="393"/>
      <c r="VRM1598" s="392"/>
      <c r="VRN1598" s="393"/>
      <c r="VRO1598" s="392"/>
      <c r="VRP1598" s="393"/>
      <c r="VRQ1598" s="392"/>
      <c r="VRR1598" s="393"/>
      <c r="VRS1598" s="392"/>
      <c r="VRT1598" s="393"/>
      <c r="VRU1598" s="392"/>
      <c r="VRV1598" s="393"/>
      <c r="VRW1598" s="392"/>
      <c r="VRX1598" s="393"/>
      <c r="VRY1598" s="392"/>
      <c r="VRZ1598" s="393"/>
      <c r="VSA1598" s="392"/>
      <c r="VSB1598" s="393"/>
      <c r="VSC1598" s="392"/>
      <c r="VSD1598" s="393"/>
      <c r="VSE1598" s="392"/>
      <c r="VSF1598" s="393"/>
      <c r="VSG1598" s="392"/>
      <c r="VSH1598" s="393"/>
      <c r="VSI1598" s="392"/>
      <c r="VSJ1598" s="393"/>
      <c r="VSK1598" s="392"/>
      <c r="VSL1598" s="393"/>
      <c r="VSM1598" s="392"/>
      <c r="VSN1598" s="393"/>
      <c r="VSO1598" s="392"/>
      <c r="VSP1598" s="393"/>
      <c r="VSQ1598" s="392"/>
      <c r="VSR1598" s="393"/>
      <c r="VSS1598" s="392"/>
      <c r="VST1598" s="393"/>
      <c r="VSU1598" s="392"/>
      <c r="VSV1598" s="393"/>
      <c r="VSW1598" s="392"/>
      <c r="VSX1598" s="393"/>
      <c r="VSY1598" s="392"/>
      <c r="VSZ1598" s="393"/>
      <c r="VTA1598" s="392"/>
      <c r="VTB1598" s="393"/>
      <c r="VTC1598" s="392"/>
      <c r="VTD1598" s="393"/>
      <c r="VTE1598" s="392"/>
      <c r="VTF1598" s="393"/>
      <c r="VTG1598" s="392"/>
      <c r="VTH1598" s="393"/>
      <c r="VTI1598" s="392"/>
      <c r="VTJ1598" s="393"/>
      <c r="VTK1598" s="392"/>
      <c r="VTL1598" s="393"/>
      <c r="VTM1598" s="392"/>
      <c r="VTN1598" s="393"/>
      <c r="VTO1598" s="392"/>
      <c r="VTP1598" s="393"/>
      <c r="VTQ1598" s="392"/>
      <c r="VTR1598" s="393"/>
      <c r="VTS1598" s="392"/>
      <c r="VTT1598" s="393"/>
      <c r="VTU1598" s="392"/>
      <c r="VTV1598" s="393"/>
      <c r="VTW1598" s="392"/>
      <c r="VTX1598" s="393"/>
      <c r="VTY1598" s="392"/>
      <c r="VTZ1598" s="393"/>
      <c r="VUA1598" s="392"/>
      <c r="VUB1598" s="393"/>
      <c r="VUC1598" s="392"/>
      <c r="VUD1598" s="393"/>
      <c r="VUE1598" s="392"/>
      <c r="VUF1598" s="393"/>
      <c r="VUG1598" s="392"/>
      <c r="VUH1598" s="393"/>
      <c r="VUI1598" s="392"/>
      <c r="VUJ1598" s="393"/>
      <c r="VUK1598" s="392"/>
      <c r="VUL1598" s="393"/>
      <c r="VUM1598" s="392"/>
      <c r="VUN1598" s="393"/>
      <c r="VUO1598" s="392"/>
      <c r="VUP1598" s="393"/>
      <c r="VUQ1598" s="392"/>
      <c r="VUR1598" s="393"/>
      <c r="VUS1598" s="392"/>
      <c r="VUT1598" s="393"/>
      <c r="VUU1598" s="392"/>
      <c r="VUV1598" s="393"/>
      <c r="VUW1598" s="392"/>
      <c r="VUX1598" s="393"/>
      <c r="VUY1598" s="392"/>
      <c r="VUZ1598" s="393"/>
      <c r="VVA1598" s="392"/>
      <c r="VVB1598" s="393"/>
      <c r="VVC1598" s="392"/>
      <c r="VVD1598" s="393"/>
      <c r="VVE1598" s="392"/>
      <c r="VVF1598" s="393"/>
      <c r="VVG1598" s="392"/>
      <c r="VVH1598" s="393"/>
      <c r="VVI1598" s="392"/>
      <c r="VVJ1598" s="393"/>
      <c r="VVK1598" s="392"/>
      <c r="VVL1598" s="393"/>
      <c r="VVM1598" s="392"/>
      <c r="VVN1598" s="393"/>
      <c r="VVO1598" s="392"/>
      <c r="VVP1598" s="393"/>
      <c r="VVQ1598" s="392"/>
      <c r="VVR1598" s="393"/>
      <c r="VVS1598" s="392"/>
      <c r="VVT1598" s="393"/>
      <c r="VVU1598" s="392"/>
      <c r="VVV1598" s="393"/>
      <c r="VVW1598" s="392"/>
      <c r="VVX1598" s="393"/>
      <c r="VVY1598" s="392"/>
      <c r="VVZ1598" s="393"/>
      <c r="VWA1598" s="392"/>
      <c r="VWB1598" s="393"/>
      <c r="VWC1598" s="392"/>
      <c r="VWD1598" s="393"/>
      <c r="VWE1598" s="392"/>
      <c r="VWF1598" s="393"/>
      <c r="VWG1598" s="392"/>
      <c r="VWH1598" s="393"/>
      <c r="VWI1598" s="392"/>
      <c r="VWJ1598" s="393"/>
      <c r="VWK1598" s="392"/>
      <c r="VWL1598" s="393"/>
      <c r="VWM1598" s="392"/>
      <c r="VWN1598" s="393"/>
      <c r="VWO1598" s="392"/>
      <c r="VWP1598" s="393"/>
      <c r="VWQ1598" s="392"/>
      <c r="VWR1598" s="393"/>
      <c r="VWS1598" s="392"/>
      <c r="VWT1598" s="393"/>
      <c r="VWU1598" s="392"/>
      <c r="VWV1598" s="393"/>
      <c r="VWW1598" s="392"/>
      <c r="VWX1598" s="393"/>
      <c r="VWY1598" s="392"/>
      <c r="VWZ1598" s="393"/>
      <c r="VXA1598" s="392"/>
      <c r="VXB1598" s="393"/>
      <c r="VXC1598" s="392"/>
      <c r="VXD1598" s="393"/>
      <c r="VXE1598" s="392"/>
      <c r="VXF1598" s="393"/>
      <c r="VXG1598" s="392"/>
      <c r="VXH1598" s="393"/>
      <c r="VXI1598" s="392"/>
      <c r="VXJ1598" s="393"/>
      <c r="VXK1598" s="392"/>
      <c r="VXL1598" s="393"/>
      <c r="VXM1598" s="392"/>
      <c r="VXN1598" s="393"/>
      <c r="VXO1598" s="392"/>
      <c r="VXP1598" s="393"/>
      <c r="VXQ1598" s="392"/>
      <c r="VXR1598" s="393"/>
      <c r="VXS1598" s="392"/>
      <c r="VXT1598" s="393"/>
      <c r="VXU1598" s="392"/>
      <c r="VXV1598" s="393"/>
      <c r="VXW1598" s="392"/>
      <c r="VXX1598" s="393"/>
      <c r="VXY1598" s="392"/>
      <c r="VXZ1598" s="393"/>
      <c r="VYA1598" s="392"/>
      <c r="VYB1598" s="393"/>
      <c r="VYC1598" s="392"/>
      <c r="VYD1598" s="393"/>
      <c r="VYE1598" s="392"/>
      <c r="VYF1598" s="393"/>
      <c r="VYG1598" s="392"/>
      <c r="VYH1598" s="393"/>
      <c r="VYI1598" s="392"/>
      <c r="VYJ1598" s="393"/>
      <c r="VYK1598" s="392"/>
      <c r="VYL1598" s="393"/>
      <c r="VYM1598" s="392"/>
      <c r="VYN1598" s="393"/>
      <c r="VYO1598" s="392"/>
      <c r="VYP1598" s="393"/>
      <c r="VYQ1598" s="392"/>
      <c r="VYR1598" s="393"/>
      <c r="VYS1598" s="392"/>
      <c r="VYT1598" s="393"/>
      <c r="VYU1598" s="392"/>
      <c r="VYV1598" s="393"/>
      <c r="VYW1598" s="392"/>
      <c r="VYX1598" s="393"/>
      <c r="VYY1598" s="392"/>
      <c r="VYZ1598" s="393"/>
      <c r="VZA1598" s="392"/>
      <c r="VZB1598" s="393"/>
      <c r="VZC1598" s="392"/>
      <c r="VZD1598" s="393"/>
      <c r="VZE1598" s="392"/>
      <c r="VZF1598" s="393"/>
      <c r="VZG1598" s="392"/>
      <c r="VZH1598" s="393"/>
      <c r="VZI1598" s="392"/>
      <c r="VZJ1598" s="393"/>
      <c r="VZK1598" s="392"/>
      <c r="VZL1598" s="393"/>
      <c r="VZM1598" s="392"/>
      <c r="VZN1598" s="393"/>
      <c r="VZO1598" s="392"/>
      <c r="VZP1598" s="393"/>
      <c r="VZQ1598" s="392"/>
      <c r="VZR1598" s="393"/>
      <c r="VZS1598" s="392"/>
      <c r="VZT1598" s="393"/>
      <c r="VZU1598" s="392"/>
      <c r="VZV1598" s="393"/>
      <c r="VZW1598" s="392"/>
      <c r="VZX1598" s="393"/>
      <c r="VZY1598" s="392"/>
      <c r="VZZ1598" s="393"/>
      <c r="WAA1598" s="392"/>
      <c r="WAB1598" s="393"/>
      <c r="WAC1598" s="392"/>
      <c r="WAD1598" s="393"/>
      <c r="WAE1598" s="392"/>
      <c r="WAF1598" s="393"/>
      <c r="WAG1598" s="392"/>
      <c r="WAH1598" s="393"/>
      <c r="WAI1598" s="392"/>
      <c r="WAJ1598" s="393"/>
      <c r="WAK1598" s="392"/>
      <c r="WAL1598" s="393"/>
      <c r="WAM1598" s="392"/>
      <c r="WAN1598" s="393"/>
      <c r="WAO1598" s="392"/>
      <c r="WAP1598" s="393"/>
      <c r="WAQ1598" s="392"/>
      <c r="WAR1598" s="393"/>
      <c r="WAS1598" s="392"/>
      <c r="WAT1598" s="393"/>
      <c r="WAU1598" s="392"/>
      <c r="WAV1598" s="393"/>
      <c r="WAW1598" s="392"/>
      <c r="WAX1598" s="393"/>
      <c r="WAY1598" s="392"/>
      <c r="WAZ1598" s="393"/>
      <c r="WBA1598" s="392"/>
      <c r="WBB1598" s="393"/>
      <c r="WBC1598" s="392"/>
      <c r="WBD1598" s="393"/>
      <c r="WBE1598" s="392"/>
      <c r="WBF1598" s="393"/>
      <c r="WBG1598" s="392"/>
      <c r="WBH1598" s="393"/>
      <c r="WBI1598" s="392"/>
      <c r="WBJ1598" s="393"/>
      <c r="WBK1598" s="392"/>
      <c r="WBL1598" s="393"/>
      <c r="WBM1598" s="392"/>
      <c r="WBN1598" s="393"/>
      <c r="WBO1598" s="392"/>
      <c r="WBP1598" s="393"/>
      <c r="WBQ1598" s="392"/>
      <c r="WBR1598" s="393"/>
      <c r="WBS1598" s="392"/>
      <c r="WBT1598" s="393"/>
      <c r="WBU1598" s="392"/>
      <c r="WBV1598" s="393"/>
      <c r="WBW1598" s="392"/>
      <c r="WBX1598" s="393"/>
      <c r="WBY1598" s="392"/>
      <c r="WBZ1598" s="393"/>
      <c r="WCA1598" s="392"/>
      <c r="WCB1598" s="393"/>
      <c r="WCC1598" s="392"/>
      <c r="WCD1598" s="393"/>
      <c r="WCE1598" s="392"/>
      <c r="WCF1598" s="393"/>
      <c r="WCG1598" s="392"/>
      <c r="WCH1598" s="393"/>
      <c r="WCI1598" s="392"/>
      <c r="WCJ1598" s="393"/>
      <c r="WCK1598" s="392"/>
      <c r="WCL1598" s="393"/>
      <c r="WCM1598" s="392"/>
      <c r="WCN1598" s="393"/>
      <c r="WCO1598" s="392"/>
      <c r="WCP1598" s="393"/>
      <c r="WCQ1598" s="392"/>
      <c r="WCR1598" s="393"/>
      <c r="WCS1598" s="392"/>
      <c r="WCT1598" s="393"/>
      <c r="WCU1598" s="392"/>
      <c r="WCV1598" s="393"/>
      <c r="WCW1598" s="392"/>
      <c r="WCX1598" s="393"/>
      <c r="WCY1598" s="392"/>
      <c r="WCZ1598" s="393"/>
      <c r="WDA1598" s="392"/>
      <c r="WDB1598" s="393"/>
      <c r="WDC1598" s="392"/>
      <c r="WDD1598" s="393"/>
      <c r="WDE1598" s="392"/>
      <c r="WDF1598" s="393"/>
      <c r="WDG1598" s="392"/>
      <c r="WDH1598" s="393"/>
      <c r="WDI1598" s="392"/>
      <c r="WDJ1598" s="393"/>
      <c r="WDK1598" s="392"/>
      <c r="WDL1598" s="393"/>
      <c r="WDM1598" s="392"/>
      <c r="WDN1598" s="393"/>
      <c r="WDO1598" s="392"/>
      <c r="WDP1598" s="393"/>
      <c r="WDQ1598" s="392"/>
      <c r="WDR1598" s="393"/>
      <c r="WDS1598" s="392"/>
      <c r="WDT1598" s="393"/>
      <c r="WDU1598" s="392"/>
      <c r="WDV1598" s="393"/>
      <c r="WDW1598" s="392"/>
      <c r="WDX1598" s="393"/>
      <c r="WDY1598" s="392"/>
      <c r="WDZ1598" s="393"/>
      <c r="WEA1598" s="392"/>
      <c r="WEB1598" s="393"/>
      <c r="WEC1598" s="392"/>
      <c r="WED1598" s="393"/>
      <c r="WEE1598" s="392"/>
      <c r="WEF1598" s="393"/>
      <c r="WEG1598" s="392"/>
      <c r="WEH1598" s="393"/>
      <c r="WEI1598" s="392"/>
      <c r="WEJ1598" s="393"/>
      <c r="WEK1598" s="392"/>
      <c r="WEL1598" s="393"/>
      <c r="WEM1598" s="392"/>
      <c r="WEN1598" s="393"/>
      <c r="WEO1598" s="392"/>
      <c r="WEP1598" s="393"/>
      <c r="WEQ1598" s="392"/>
      <c r="WER1598" s="393"/>
      <c r="WES1598" s="392"/>
      <c r="WET1598" s="393"/>
      <c r="WEU1598" s="392"/>
      <c r="WEV1598" s="393"/>
      <c r="WEW1598" s="392"/>
      <c r="WEX1598" s="393"/>
      <c r="WEY1598" s="392"/>
      <c r="WEZ1598" s="393"/>
      <c r="WFA1598" s="392"/>
      <c r="WFB1598" s="393"/>
      <c r="WFC1598" s="392"/>
      <c r="WFD1598" s="393"/>
      <c r="WFE1598" s="392"/>
      <c r="WFF1598" s="393"/>
      <c r="WFG1598" s="392"/>
      <c r="WFH1598" s="393"/>
      <c r="WFI1598" s="392"/>
      <c r="WFJ1598" s="393"/>
      <c r="WFK1598" s="392"/>
      <c r="WFL1598" s="393"/>
      <c r="WFM1598" s="392"/>
      <c r="WFN1598" s="393"/>
      <c r="WFO1598" s="392"/>
      <c r="WFP1598" s="393"/>
      <c r="WFQ1598" s="392"/>
      <c r="WFR1598" s="393"/>
      <c r="WFS1598" s="392"/>
      <c r="WFT1598" s="393"/>
      <c r="WFU1598" s="392"/>
      <c r="WFV1598" s="393"/>
      <c r="WFW1598" s="392"/>
      <c r="WFX1598" s="393"/>
      <c r="WFY1598" s="392"/>
      <c r="WFZ1598" s="393"/>
      <c r="WGA1598" s="392"/>
      <c r="WGB1598" s="393"/>
      <c r="WGC1598" s="392"/>
      <c r="WGD1598" s="393"/>
      <c r="WGE1598" s="392"/>
      <c r="WGF1598" s="393"/>
      <c r="WGG1598" s="392"/>
      <c r="WGH1598" s="393"/>
      <c r="WGI1598" s="392"/>
      <c r="WGJ1598" s="393"/>
      <c r="WGK1598" s="392"/>
      <c r="WGL1598" s="393"/>
      <c r="WGM1598" s="392"/>
      <c r="WGN1598" s="393"/>
      <c r="WGO1598" s="392"/>
      <c r="WGP1598" s="393"/>
      <c r="WGQ1598" s="392"/>
      <c r="WGR1598" s="393"/>
      <c r="WGS1598" s="392"/>
      <c r="WGT1598" s="393"/>
      <c r="WGU1598" s="392"/>
      <c r="WGV1598" s="393"/>
      <c r="WGW1598" s="392"/>
      <c r="WGX1598" s="393"/>
      <c r="WGY1598" s="392"/>
      <c r="WGZ1598" s="393"/>
      <c r="WHA1598" s="392"/>
      <c r="WHB1598" s="393"/>
      <c r="WHC1598" s="392"/>
      <c r="WHD1598" s="393"/>
      <c r="WHE1598" s="392"/>
      <c r="WHF1598" s="393"/>
      <c r="WHG1598" s="392"/>
      <c r="WHH1598" s="393"/>
      <c r="WHI1598" s="392"/>
      <c r="WHJ1598" s="393"/>
      <c r="WHK1598" s="392"/>
      <c r="WHL1598" s="393"/>
      <c r="WHM1598" s="392"/>
      <c r="WHN1598" s="393"/>
      <c r="WHO1598" s="392"/>
      <c r="WHP1598" s="393"/>
      <c r="WHQ1598" s="392"/>
      <c r="WHR1598" s="393"/>
      <c r="WHS1598" s="392"/>
      <c r="WHT1598" s="393"/>
      <c r="WHU1598" s="392"/>
      <c r="WHV1598" s="393"/>
      <c r="WHW1598" s="392"/>
      <c r="WHX1598" s="393"/>
      <c r="WHY1598" s="392"/>
      <c r="WHZ1598" s="393"/>
      <c r="WIA1598" s="392"/>
      <c r="WIB1598" s="393"/>
      <c r="WIC1598" s="392"/>
      <c r="WID1598" s="393"/>
      <c r="WIE1598" s="392"/>
      <c r="WIF1598" s="393"/>
      <c r="WIG1598" s="392"/>
      <c r="WIH1598" s="393"/>
      <c r="WII1598" s="392"/>
      <c r="WIJ1598" s="393"/>
      <c r="WIK1598" s="392"/>
      <c r="WIL1598" s="393"/>
      <c r="WIM1598" s="392"/>
      <c r="WIN1598" s="393"/>
      <c r="WIO1598" s="392"/>
      <c r="WIP1598" s="393"/>
      <c r="WIQ1598" s="392"/>
      <c r="WIR1598" s="393"/>
      <c r="WIS1598" s="392"/>
      <c r="WIT1598" s="393"/>
      <c r="WIU1598" s="392"/>
      <c r="WIV1598" s="393"/>
      <c r="WIW1598" s="392"/>
      <c r="WIX1598" s="393"/>
      <c r="WIY1598" s="392"/>
      <c r="WIZ1598" s="393"/>
      <c r="WJA1598" s="392"/>
      <c r="WJB1598" s="393"/>
      <c r="WJC1598" s="392"/>
      <c r="WJD1598" s="393"/>
      <c r="WJE1598" s="392"/>
      <c r="WJF1598" s="393"/>
      <c r="WJG1598" s="392"/>
      <c r="WJH1598" s="393"/>
      <c r="WJI1598" s="392"/>
      <c r="WJJ1598" s="393"/>
      <c r="WJK1598" s="392"/>
      <c r="WJL1598" s="393"/>
      <c r="WJM1598" s="392"/>
      <c r="WJN1598" s="393"/>
      <c r="WJO1598" s="392"/>
      <c r="WJP1598" s="393"/>
      <c r="WJQ1598" s="392"/>
      <c r="WJR1598" s="393"/>
      <c r="WJS1598" s="392"/>
      <c r="WJT1598" s="393"/>
      <c r="WJU1598" s="392"/>
      <c r="WJV1598" s="393"/>
      <c r="WJW1598" s="392"/>
      <c r="WJX1598" s="393"/>
      <c r="WJY1598" s="392"/>
      <c r="WJZ1598" s="393"/>
      <c r="WKA1598" s="392"/>
      <c r="WKB1598" s="393"/>
      <c r="WKC1598" s="392"/>
      <c r="WKD1598" s="393"/>
      <c r="WKE1598" s="392"/>
      <c r="WKF1598" s="393"/>
      <c r="WKG1598" s="392"/>
      <c r="WKH1598" s="393"/>
      <c r="WKI1598" s="392"/>
      <c r="WKJ1598" s="393"/>
      <c r="WKK1598" s="392"/>
      <c r="WKL1598" s="393"/>
      <c r="WKM1598" s="392"/>
      <c r="WKN1598" s="393"/>
      <c r="WKO1598" s="392"/>
      <c r="WKP1598" s="393"/>
      <c r="WKQ1598" s="392"/>
      <c r="WKR1598" s="393"/>
      <c r="WKS1598" s="392"/>
      <c r="WKT1598" s="393"/>
      <c r="WKU1598" s="392"/>
      <c r="WKV1598" s="393"/>
      <c r="WKW1598" s="392"/>
      <c r="WKX1598" s="393"/>
      <c r="WKY1598" s="392"/>
      <c r="WKZ1598" s="393"/>
      <c r="WLA1598" s="392"/>
      <c r="WLB1598" s="393"/>
      <c r="WLC1598" s="392"/>
      <c r="WLD1598" s="393"/>
      <c r="WLE1598" s="392"/>
      <c r="WLF1598" s="393"/>
      <c r="WLG1598" s="392"/>
      <c r="WLH1598" s="393"/>
      <c r="WLI1598" s="392"/>
      <c r="WLJ1598" s="393"/>
      <c r="WLK1598" s="392"/>
      <c r="WLL1598" s="393"/>
      <c r="WLM1598" s="392"/>
      <c r="WLN1598" s="393"/>
      <c r="WLO1598" s="392"/>
      <c r="WLP1598" s="393"/>
      <c r="WLQ1598" s="392"/>
      <c r="WLR1598" s="393"/>
      <c r="WLS1598" s="392"/>
      <c r="WLT1598" s="393"/>
      <c r="WLU1598" s="392"/>
      <c r="WLV1598" s="393"/>
      <c r="WLW1598" s="392"/>
      <c r="WLX1598" s="393"/>
      <c r="WLY1598" s="392"/>
      <c r="WLZ1598" s="393"/>
      <c r="WMA1598" s="392"/>
      <c r="WMB1598" s="393"/>
      <c r="WMC1598" s="392"/>
      <c r="WMD1598" s="393"/>
      <c r="WME1598" s="392"/>
      <c r="WMF1598" s="393"/>
      <c r="WMG1598" s="392"/>
      <c r="WMH1598" s="393"/>
      <c r="WMI1598" s="392"/>
      <c r="WMJ1598" s="393"/>
      <c r="WMK1598" s="392"/>
      <c r="WML1598" s="393"/>
      <c r="WMM1598" s="392"/>
      <c r="WMN1598" s="393"/>
      <c r="WMO1598" s="392"/>
      <c r="WMP1598" s="393"/>
      <c r="WMQ1598" s="392"/>
      <c r="WMR1598" s="393"/>
      <c r="WMS1598" s="392"/>
      <c r="WMT1598" s="393"/>
      <c r="WMU1598" s="392"/>
      <c r="WMV1598" s="393"/>
      <c r="WMW1598" s="392"/>
      <c r="WMX1598" s="393"/>
      <c r="WMY1598" s="392"/>
      <c r="WMZ1598" s="393"/>
      <c r="WNA1598" s="392"/>
      <c r="WNB1598" s="393"/>
      <c r="WNC1598" s="392"/>
      <c r="WND1598" s="393"/>
      <c r="WNE1598" s="392"/>
      <c r="WNF1598" s="393"/>
      <c r="WNG1598" s="392"/>
      <c r="WNH1598" s="393"/>
      <c r="WNI1598" s="392"/>
      <c r="WNJ1598" s="393"/>
      <c r="WNK1598" s="392"/>
      <c r="WNL1598" s="393"/>
      <c r="WNM1598" s="392"/>
      <c r="WNN1598" s="393"/>
      <c r="WNO1598" s="392"/>
      <c r="WNP1598" s="393"/>
      <c r="WNQ1598" s="392"/>
      <c r="WNR1598" s="393"/>
      <c r="WNS1598" s="392"/>
      <c r="WNT1598" s="393"/>
      <c r="WNU1598" s="392"/>
      <c r="WNV1598" s="393"/>
      <c r="WNW1598" s="392"/>
      <c r="WNX1598" s="393"/>
      <c r="WNY1598" s="392"/>
      <c r="WNZ1598" s="393"/>
      <c r="WOA1598" s="392"/>
      <c r="WOB1598" s="393"/>
      <c r="WOC1598" s="392"/>
      <c r="WOD1598" s="393"/>
      <c r="WOE1598" s="392"/>
      <c r="WOF1598" s="393"/>
      <c r="WOG1598" s="392"/>
      <c r="WOH1598" s="393"/>
      <c r="WOI1598" s="392"/>
      <c r="WOJ1598" s="393"/>
      <c r="WOK1598" s="392"/>
      <c r="WOL1598" s="393"/>
      <c r="WOM1598" s="392"/>
      <c r="WON1598" s="393"/>
      <c r="WOO1598" s="392"/>
      <c r="WOP1598" s="393"/>
      <c r="WOQ1598" s="392"/>
      <c r="WOR1598" s="393"/>
      <c r="WOS1598" s="392"/>
      <c r="WOT1598" s="393"/>
      <c r="WOU1598" s="392"/>
      <c r="WOV1598" s="393"/>
      <c r="WOW1598" s="392"/>
      <c r="WOX1598" s="393"/>
      <c r="WOY1598" s="392"/>
      <c r="WOZ1598" s="393"/>
      <c r="WPA1598" s="392"/>
      <c r="WPB1598" s="393"/>
      <c r="WPC1598" s="392"/>
      <c r="WPD1598" s="393"/>
      <c r="WPE1598" s="392"/>
      <c r="WPF1598" s="393"/>
      <c r="WPG1598" s="392"/>
      <c r="WPH1598" s="393"/>
      <c r="WPI1598" s="392"/>
      <c r="WPJ1598" s="393"/>
      <c r="WPK1598" s="392"/>
      <c r="WPL1598" s="393"/>
      <c r="WPM1598" s="392"/>
      <c r="WPN1598" s="393"/>
      <c r="WPO1598" s="392"/>
      <c r="WPP1598" s="393"/>
      <c r="WPQ1598" s="392"/>
      <c r="WPR1598" s="393"/>
      <c r="WPS1598" s="392"/>
      <c r="WPT1598" s="393"/>
      <c r="WPU1598" s="392"/>
      <c r="WPV1598" s="393"/>
      <c r="WPW1598" s="392"/>
      <c r="WPX1598" s="393"/>
      <c r="WPY1598" s="392"/>
      <c r="WPZ1598" s="393"/>
      <c r="WQA1598" s="392"/>
      <c r="WQB1598" s="393"/>
      <c r="WQC1598" s="392"/>
      <c r="WQD1598" s="393"/>
      <c r="WQE1598" s="392"/>
      <c r="WQF1598" s="393"/>
      <c r="WQG1598" s="392"/>
      <c r="WQH1598" s="393"/>
      <c r="WQI1598" s="392"/>
      <c r="WQJ1598" s="393"/>
      <c r="WQK1598" s="392"/>
      <c r="WQL1598" s="393"/>
      <c r="WQM1598" s="392"/>
      <c r="WQN1598" s="393"/>
      <c r="WQO1598" s="392"/>
      <c r="WQP1598" s="393"/>
      <c r="WQQ1598" s="392"/>
      <c r="WQR1598" s="393"/>
      <c r="WQS1598" s="392"/>
      <c r="WQT1598" s="393"/>
      <c r="WQU1598" s="392"/>
      <c r="WQV1598" s="393"/>
      <c r="WQW1598" s="392"/>
      <c r="WQX1598" s="393"/>
      <c r="WQY1598" s="392"/>
      <c r="WQZ1598" s="393"/>
      <c r="WRA1598" s="392"/>
      <c r="WRB1598" s="393"/>
      <c r="WRC1598" s="392"/>
      <c r="WRD1598" s="393"/>
      <c r="WRE1598" s="392"/>
      <c r="WRF1598" s="393"/>
      <c r="WRG1598" s="392"/>
      <c r="WRH1598" s="393"/>
      <c r="WRI1598" s="392"/>
      <c r="WRJ1598" s="393"/>
      <c r="WRK1598" s="392"/>
      <c r="WRL1598" s="393"/>
      <c r="WRM1598" s="392"/>
      <c r="WRN1598" s="393"/>
      <c r="WRO1598" s="392"/>
      <c r="WRP1598" s="393"/>
      <c r="WRQ1598" s="392"/>
      <c r="WRR1598" s="393"/>
      <c r="WRS1598" s="392"/>
      <c r="WRT1598" s="393"/>
      <c r="WRU1598" s="392"/>
      <c r="WRV1598" s="393"/>
      <c r="WRW1598" s="392"/>
      <c r="WRX1598" s="393"/>
      <c r="WRY1598" s="392"/>
      <c r="WRZ1598" s="393"/>
      <c r="WSA1598" s="392"/>
      <c r="WSB1598" s="393"/>
      <c r="WSC1598" s="392"/>
      <c r="WSD1598" s="393"/>
      <c r="WSE1598" s="392"/>
      <c r="WSF1598" s="393"/>
      <c r="WSG1598" s="392"/>
      <c r="WSH1598" s="393"/>
      <c r="WSI1598" s="392"/>
      <c r="WSJ1598" s="393"/>
      <c r="WSK1598" s="392"/>
      <c r="WSL1598" s="393"/>
      <c r="WSM1598" s="392"/>
      <c r="WSN1598" s="393"/>
      <c r="WSO1598" s="392"/>
      <c r="WSP1598" s="393"/>
      <c r="WSQ1598" s="392"/>
      <c r="WSR1598" s="393"/>
      <c r="WSS1598" s="392"/>
      <c r="WST1598" s="393"/>
      <c r="WSU1598" s="392"/>
      <c r="WSV1598" s="393"/>
      <c r="WSW1598" s="392"/>
      <c r="WSX1598" s="393"/>
      <c r="WSY1598" s="392"/>
      <c r="WSZ1598" s="393"/>
      <c r="WTA1598" s="392"/>
      <c r="WTB1598" s="393"/>
      <c r="WTC1598" s="392"/>
      <c r="WTD1598" s="393"/>
      <c r="WTE1598" s="392"/>
      <c r="WTF1598" s="393"/>
      <c r="WTG1598" s="392"/>
      <c r="WTH1598" s="393"/>
      <c r="WTI1598" s="392"/>
      <c r="WTJ1598" s="393"/>
      <c r="WTK1598" s="392"/>
      <c r="WTL1598" s="393"/>
      <c r="WTM1598" s="392"/>
      <c r="WTN1598" s="393"/>
      <c r="WTO1598" s="392"/>
      <c r="WTP1598" s="393"/>
      <c r="WTQ1598" s="392"/>
      <c r="WTR1598" s="393"/>
      <c r="WTS1598" s="392"/>
      <c r="WTT1598" s="393"/>
      <c r="WTU1598" s="392"/>
      <c r="WTV1598" s="393"/>
      <c r="WTW1598" s="392"/>
      <c r="WTX1598" s="393"/>
      <c r="WTY1598" s="392"/>
      <c r="WTZ1598" s="393"/>
      <c r="WUA1598" s="392"/>
      <c r="WUB1598" s="393"/>
      <c r="WUC1598" s="392"/>
      <c r="WUD1598" s="393"/>
      <c r="WUE1598" s="392"/>
      <c r="WUF1598" s="393"/>
      <c r="WUG1598" s="392"/>
      <c r="WUH1598" s="393"/>
      <c r="WUI1598" s="392"/>
      <c r="WUJ1598" s="393"/>
      <c r="WUK1598" s="392"/>
      <c r="WUL1598" s="393"/>
      <c r="WUM1598" s="392"/>
      <c r="WUN1598" s="393"/>
      <c r="WUO1598" s="392"/>
      <c r="WUP1598" s="393"/>
      <c r="WUQ1598" s="392"/>
      <c r="WUR1598" s="393"/>
      <c r="WUS1598" s="392"/>
      <c r="WUT1598" s="393"/>
      <c r="WUU1598" s="392"/>
      <c r="WUV1598" s="393"/>
      <c r="WUW1598" s="392"/>
      <c r="WUX1598" s="393"/>
      <c r="WUY1598" s="392"/>
      <c r="WUZ1598" s="393"/>
      <c r="WVA1598" s="392"/>
      <c r="WVB1598" s="393"/>
      <c r="WVC1598" s="392"/>
      <c r="WVD1598" s="393"/>
      <c r="WVE1598" s="392"/>
      <c r="WVF1598" s="393"/>
      <c r="WVG1598" s="392"/>
      <c r="WVH1598" s="393"/>
      <c r="WVI1598" s="392"/>
      <c r="WVJ1598" s="393"/>
      <c r="WVK1598" s="392"/>
      <c r="WVL1598" s="393"/>
      <c r="WVM1598" s="392"/>
      <c r="WVN1598" s="393"/>
      <c r="WVO1598" s="392"/>
      <c r="WVP1598" s="393"/>
      <c r="WVQ1598" s="392"/>
      <c r="WVR1598" s="393"/>
      <c r="WVS1598" s="392"/>
      <c r="WVT1598" s="393"/>
      <c r="WVU1598" s="392"/>
      <c r="WVV1598" s="393"/>
      <c r="WVW1598" s="392"/>
      <c r="WVX1598" s="393"/>
      <c r="WVY1598" s="392"/>
      <c r="WVZ1598" s="393"/>
      <c r="WWA1598" s="392"/>
      <c r="WWB1598" s="393"/>
      <c r="WWC1598" s="392"/>
      <c r="WWD1598" s="393"/>
      <c r="WWE1598" s="392"/>
      <c r="WWF1598" s="393"/>
      <c r="WWG1598" s="392"/>
      <c r="WWH1598" s="393"/>
      <c r="WWI1598" s="392"/>
      <c r="WWJ1598" s="393"/>
      <c r="WWK1598" s="392"/>
      <c r="WWL1598" s="393"/>
      <c r="WWM1598" s="392"/>
      <c r="WWN1598" s="393"/>
      <c r="WWO1598" s="392"/>
      <c r="WWP1598" s="393"/>
      <c r="WWQ1598" s="392"/>
      <c r="WWR1598" s="393"/>
      <c r="WWS1598" s="392"/>
      <c r="WWT1598" s="393"/>
      <c r="WWU1598" s="392"/>
      <c r="WWV1598" s="393"/>
      <c r="WWW1598" s="392"/>
      <c r="WWX1598" s="393"/>
      <c r="WWY1598" s="392"/>
      <c r="WWZ1598" s="393"/>
      <c r="WXA1598" s="392"/>
      <c r="WXB1598" s="393"/>
      <c r="WXC1598" s="392"/>
      <c r="WXD1598" s="393"/>
      <c r="WXE1598" s="392"/>
      <c r="WXF1598" s="393"/>
      <c r="WXG1598" s="392"/>
      <c r="WXH1598" s="393"/>
      <c r="WXI1598" s="392"/>
      <c r="WXJ1598" s="393"/>
      <c r="WXK1598" s="392"/>
      <c r="WXL1598" s="393"/>
      <c r="WXM1598" s="392"/>
      <c r="WXN1598" s="393"/>
      <c r="WXO1598" s="392"/>
      <c r="WXP1598" s="393"/>
      <c r="WXQ1598" s="392"/>
      <c r="WXR1598" s="393"/>
      <c r="WXS1598" s="392"/>
      <c r="WXT1598" s="393"/>
      <c r="WXU1598" s="392"/>
      <c r="WXV1598" s="393"/>
      <c r="WXW1598" s="392"/>
      <c r="WXX1598" s="393"/>
      <c r="WXY1598" s="392"/>
      <c r="WXZ1598" s="393"/>
      <c r="WYA1598" s="392"/>
      <c r="WYB1598" s="393"/>
      <c r="WYC1598" s="392"/>
      <c r="WYD1598" s="393"/>
      <c r="WYE1598" s="392"/>
      <c r="WYF1598" s="393"/>
      <c r="WYG1598" s="392"/>
      <c r="WYH1598" s="393"/>
      <c r="WYI1598" s="392"/>
      <c r="WYJ1598" s="393"/>
      <c r="WYK1598" s="392"/>
      <c r="WYL1598" s="393"/>
      <c r="WYM1598" s="392"/>
      <c r="WYN1598" s="393"/>
      <c r="WYO1598" s="392"/>
      <c r="WYP1598" s="393"/>
      <c r="WYQ1598" s="392"/>
      <c r="WYR1598" s="393"/>
      <c r="WYS1598" s="392"/>
      <c r="WYT1598" s="393"/>
      <c r="WYU1598" s="392"/>
      <c r="WYV1598" s="393"/>
      <c r="WYW1598" s="392"/>
      <c r="WYX1598" s="393"/>
      <c r="WYY1598" s="392"/>
      <c r="WYZ1598" s="393"/>
      <c r="WZA1598" s="392"/>
      <c r="WZB1598" s="393"/>
      <c r="WZC1598" s="392"/>
      <c r="WZD1598" s="393"/>
      <c r="WZE1598" s="392"/>
      <c r="WZF1598" s="393"/>
      <c r="WZG1598" s="392"/>
      <c r="WZH1598" s="393"/>
      <c r="WZI1598" s="392"/>
      <c r="WZJ1598" s="393"/>
      <c r="WZK1598" s="392"/>
      <c r="WZL1598" s="393"/>
      <c r="WZM1598" s="392"/>
      <c r="WZN1598" s="393"/>
      <c r="WZO1598" s="392"/>
      <c r="WZP1598" s="393"/>
      <c r="WZQ1598" s="392"/>
      <c r="WZR1598" s="393"/>
      <c r="WZS1598" s="392"/>
      <c r="WZT1598" s="393"/>
      <c r="WZU1598" s="392"/>
      <c r="WZV1598" s="393"/>
      <c r="WZW1598" s="392"/>
      <c r="WZX1598" s="393"/>
      <c r="WZY1598" s="392"/>
      <c r="WZZ1598" s="393"/>
      <c r="XAA1598" s="392"/>
      <c r="XAB1598" s="393"/>
      <c r="XAC1598" s="392"/>
      <c r="XAD1598" s="393"/>
      <c r="XAE1598" s="392"/>
      <c r="XAF1598" s="393"/>
      <c r="XAG1598" s="392"/>
      <c r="XAH1598" s="393"/>
      <c r="XAI1598" s="392"/>
      <c r="XAJ1598" s="393"/>
      <c r="XAK1598" s="392"/>
      <c r="XAL1598" s="393"/>
      <c r="XAM1598" s="392"/>
      <c r="XAN1598" s="393"/>
      <c r="XAO1598" s="392"/>
      <c r="XAP1598" s="393"/>
      <c r="XAQ1598" s="392"/>
      <c r="XAR1598" s="393"/>
      <c r="XAS1598" s="392"/>
      <c r="XAT1598" s="393"/>
      <c r="XAU1598" s="392"/>
      <c r="XAV1598" s="393"/>
      <c r="XAW1598" s="392"/>
      <c r="XAX1598" s="393"/>
      <c r="XAY1598" s="392"/>
      <c r="XAZ1598" s="393"/>
      <c r="XBA1598" s="392"/>
      <c r="XBB1598" s="393"/>
      <c r="XBC1598" s="392"/>
      <c r="XBD1598" s="393"/>
      <c r="XBE1598" s="392"/>
      <c r="XBF1598" s="393"/>
      <c r="XBG1598" s="392"/>
      <c r="XBH1598" s="393"/>
      <c r="XBI1598" s="392"/>
      <c r="XBJ1598" s="393"/>
      <c r="XBK1598" s="392"/>
      <c r="XBL1598" s="393"/>
      <c r="XBM1598" s="392"/>
      <c r="XBN1598" s="393"/>
      <c r="XBO1598" s="392"/>
      <c r="XBP1598" s="393"/>
      <c r="XBQ1598" s="392"/>
      <c r="XBR1598" s="393"/>
      <c r="XBS1598" s="392"/>
      <c r="XBT1598" s="393"/>
      <c r="XBU1598" s="392"/>
      <c r="XBV1598" s="393"/>
      <c r="XBW1598" s="392"/>
      <c r="XBX1598" s="393"/>
      <c r="XBY1598" s="392"/>
      <c r="XBZ1598" s="393"/>
      <c r="XCA1598" s="392"/>
      <c r="XCB1598" s="393"/>
      <c r="XCC1598" s="392"/>
      <c r="XCD1598" s="393"/>
      <c r="XCE1598" s="392"/>
      <c r="XCF1598" s="393"/>
      <c r="XCG1598" s="392"/>
      <c r="XCH1598" s="393"/>
      <c r="XCI1598" s="392"/>
      <c r="XCJ1598" s="393"/>
      <c r="XCK1598" s="392"/>
      <c r="XCL1598" s="393"/>
      <c r="XCM1598" s="392"/>
      <c r="XCN1598" s="393"/>
      <c r="XCO1598" s="392"/>
      <c r="XCP1598" s="393"/>
      <c r="XCQ1598" s="392"/>
      <c r="XCR1598" s="393"/>
      <c r="XCS1598" s="392"/>
      <c r="XCT1598" s="393"/>
      <c r="XCU1598" s="392"/>
      <c r="XCV1598" s="393"/>
      <c r="XCW1598" s="392"/>
      <c r="XCX1598" s="393"/>
      <c r="XCY1598" s="392"/>
      <c r="XCZ1598" s="393"/>
      <c r="XDA1598" s="392"/>
      <c r="XDB1598" s="393"/>
      <c r="XDC1598" s="392"/>
      <c r="XDD1598" s="393"/>
      <c r="XDE1598" s="392"/>
      <c r="XDF1598" s="393"/>
      <c r="XDG1598" s="392"/>
      <c r="XDH1598" s="393"/>
      <c r="XDI1598" s="392"/>
      <c r="XDJ1598" s="393"/>
      <c r="XDK1598" s="392"/>
      <c r="XDL1598" s="393"/>
      <c r="XDM1598" s="392"/>
      <c r="XDN1598" s="393"/>
      <c r="XDO1598" s="392"/>
      <c r="XDP1598" s="393"/>
      <c r="XDQ1598" s="392"/>
      <c r="XDR1598" s="393"/>
      <c r="XDS1598" s="392"/>
      <c r="XDT1598" s="393"/>
      <c r="XDU1598" s="392"/>
      <c r="XDV1598" s="393"/>
      <c r="XDW1598" s="392"/>
      <c r="XDX1598" s="393"/>
      <c r="XDY1598" s="392"/>
      <c r="XDZ1598" s="393"/>
      <c r="XEA1598" s="392"/>
      <c r="XEB1598" s="393"/>
      <c r="XEC1598" s="392"/>
      <c r="XED1598" s="393"/>
      <c r="XEE1598" s="392"/>
      <c r="XEF1598" s="393"/>
      <c r="XEG1598" s="392"/>
      <c r="XEH1598" s="393"/>
      <c r="XEI1598" s="392"/>
      <c r="XEJ1598" s="393"/>
      <c r="XEK1598" s="392"/>
      <c r="XEL1598" s="393"/>
      <c r="XEM1598" s="392"/>
      <c r="XEN1598" s="393"/>
      <c r="XEO1598" s="392"/>
      <c r="XEP1598" s="393"/>
      <c r="XEQ1598" s="392"/>
      <c r="XER1598" s="393"/>
      <c r="XES1598" s="392"/>
      <c r="XET1598" s="393"/>
      <c r="XEU1598" s="392"/>
      <c r="XEV1598" s="393"/>
      <c r="XEW1598" s="392"/>
      <c r="XEX1598" s="393"/>
      <c r="XEY1598" s="392"/>
      <c r="XEZ1598" s="393"/>
      <c r="XFA1598" s="392"/>
      <c r="XFB1598" s="393"/>
      <c r="XFC1598" s="392"/>
      <c r="XFD1598" s="393"/>
    </row>
    <row r="1599" spans="1:16384">
      <c r="A1599" s="227"/>
      <c r="B1599" s="131" t="s">
        <v>2647</v>
      </c>
      <c r="C1599" s="227">
        <v>96611</v>
      </c>
      <c r="D1599" s="392"/>
      <c r="H1599" s="226"/>
      <c r="J1599" s="389"/>
      <c r="K1599" s="226"/>
      <c r="P1599" s="226"/>
    </row>
    <row r="1600" spans="1:16384">
      <c r="A1600" s="227"/>
      <c r="B1600" s="131" t="s">
        <v>2648</v>
      </c>
      <c r="C1600" s="227">
        <v>96741</v>
      </c>
      <c r="D1600" s="392"/>
      <c r="H1600" s="226"/>
      <c r="J1600" s="389"/>
      <c r="K1600" s="226"/>
      <c r="P1600" s="226"/>
    </row>
    <row r="1601" spans="1:16">
      <c r="A1601" s="227"/>
      <c r="B1601" s="131" t="s">
        <v>1404</v>
      </c>
      <c r="C1601" s="227">
        <v>97701</v>
      </c>
      <c r="D1601" s="392"/>
      <c r="H1601" s="226"/>
      <c r="J1601" s="389"/>
      <c r="K1601" s="226"/>
      <c r="P1601" s="226"/>
    </row>
    <row r="1602" spans="1:16">
      <c r="A1602" s="227"/>
      <c r="B1602" s="131" t="s">
        <v>2649</v>
      </c>
      <c r="C1602" s="227">
        <v>92541</v>
      </c>
      <c r="D1602" s="392"/>
      <c r="H1602" s="226"/>
      <c r="J1602" s="390"/>
      <c r="K1602" s="226"/>
      <c r="P1602" s="226"/>
    </row>
    <row r="1603" spans="1:16">
      <c r="A1603" s="227"/>
      <c r="B1603" s="131" t="s">
        <v>2005</v>
      </c>
      <c r="C1603" s="227">
        <v>94221</v>
      </c>
      <c r="D1603" s="392"/>
      <c r="H1603" s="226"/>
      <c r="J1603" s="389"/>
      <c r="K1603" s="226"/>
      <c r="P1603" s="226"/>
    </row>
    <row r="1604" spans="1:16">
      <c r="A1604" s="227"/>
      <c r="B1604" s="131" t="s">
        <v>1122</v>
      </c>
      <c r="C1604" s="227">
        <v>94209</v>
      </c>
      <c r="D1604" s="392"/>
      <c r="H1604" s="226"/>
      <c r="J1604" s="389"/>
      <c r="K1604" s="226"/>
      <c r="P1604" s="226"/>
    </row>
    <row r="1605" spans="1:16">
      <c r="A1605" s="227"/>
      <c r="B1605" s="131" t="s">
        <v>2650</v>
      </c>
      <c r="C1605" s="227">
        <v>96341</v>
      </c>
      <c r="D1605" s="392"/>
      <c r="H1605" s="226"/>
      <c r="J1605" s="390"/>
      <c r="K1605" s="226"/>
      <c r="P1605" s="226"/>
    </row>
    <row r="1606" spans="1:16">
      <c r="A1606" s="227"/>
      <c r="B1606" s="131" t="s">
        <v>2651</v>
      </c>
      <c r="C1606" s="227">
        <v>93821</v>
      </c>
      <c r="D1606" s="392"/>
      <c r="H1606" s="226"/>
      <c r="J1606" s="389"/>
      <c r="K1606" s="226"/>
      <c r="P1606" s="226"/>
    </row>
    <row r="1607" spans="1:16">
      <c r="A1607" s="227"/>
      <c r="B1607" s="131" t="s">
        <v>2652</v>
      </c>
      <c r="C1607" s="227">
        <v>95851</v>
      </c>
      <c r="D1607" s="392"/>
      <c r="H1607" s="226"/>
      <c r="J1607" s="389"/>
      <c r="K1607" s="226"/>
      <c r="P1607" s="226"/>
    </row>
    <row r="1608" spans="1:16">
      <c r="A1608" s="227"/>
      <c r="B1608" s="131" t="s">
        <v>1247</v>
      </c>
      <c r="C1608" s="227">
        <v>95853</v>
      </c>
      <c r="D1608" s="392"/>
      <c r="H1608" s="226"/>
      <c r="J1608" s="389"/>
      <c r="K1608" s="226"/>
      <c r="P1608" s="226"/>
    </row>
    <row r="1609" spans="1:16">
      <c r="A1609" s="227"/>
      <c r="B1609" s="131" t="s">
        <v>1412</v>
      </c>
      <c r="C1609" s="227">
        <v>97801</v>
      </c>
      <c r="D1609" s="392"/>
      <c r="H1609" s="226"/>
      <c r="J1609" s="389"/>
      <c r="K1609" s="226"/>
      <c r="P1609" s="226"/>
    </row>
    <row r="1610" spans="1:16">
      <c r="A1610" s="227"/>
      <c r="B1610" s="131" t="s">
        <v>1414</v>
      </c>
      <c r="C1610" s="227">
        <v>97803</v>
      </c>
      <c r="D1610" s="392"/>
      <c r="H1610" s="226"/>
      <c r="J1610" s="389"/>
      <c r="K1610" s="226"/>
      <c r="P1610" s="226"/>
    </row>
    <row r="1611" spans="1:16">
      <c r="A1611" s="227"/>
      <c r="B1611" s="131" t="s">
        <v>1415</v>
      </c>
      <c r="C1611" s="227">
        <v>97805</v>
      </c>
      <c r="D1611" s="392"/>
      <c r="H1611" s="226"/>
      <c r="J1611" s="389"/>
      <c r="K1611" s="226"/>
      <c r="P1611" s="226"/>
    </row>
    <row r="1612" spans="1:16">
      <c r="A1612" s="227"/>
      <c r="B1612" s="131" t="s">
        <v>2006</v>
      </c>
      <c r="C1612" s="227">
        <v>97711</v>
      </c>
      <c r="D1612" s="392"/>
      <c r="H1612" s="226"/>
      <c r="J1612" s="389"/>
      <c r="K1612" s="226"/>
      <c r="P1612" s="226"/>
    </row>
    <row r="1613" spans="1:16">
      <c r="A1613" s="227"/>
      <c r="B1613" s="131" t="s">
        <v>2007</v>
      </c>
      <c r="C1613" s="227">
        <v>97727</v>
      </c>
      <c r="D1613" s="392"/>
      <c r="H1613" s="226"/>
      <c r="J1613" s="389"/>
      <c r="K1613" s="226"/>
      <c r="P1613" s="226"/>
    </row>
    <row r="1614" spans="1:16">
      <c r="A1614" s="227"/>
      <c r="B1614" s="131" t="s">
        <v>1431</v>
      </c>
      <c r="C1614" s="227">
        <v>97901</v>
      </c>
      <c r="D1614" s="392"/>
      <c r="H1614" s="226"/>
      <c r="J1614" s="390"/>
      <c r="K1614" s="226"/>
      <c r="P1614" s="226"/>
    </row>
    <row r="1615" spans="1:16">
      <c r="A1615" s="227"/>
      <c r="B1615" s="131" t="s">
        <v>1407</v>
      </c>
      <c r="C1615" s="227">
        <v>97713</v>
      </c>
      <c r="D1615" s="392"/>
      <c r="H1615" s="226"/>
      <c r="J1615" s="389"/>
      <c r="K1615" s="226"/>
      <c r="P1615" s="226"/>
    </row>
    <row r="1616" spans="1:16">
      <c r="A1616" s="227"/>
      <c r="B1616" s="131" t="s">
        <v>2653</v>
      </c>
      <c r="C1616" s="227">
        <v>98071</v>
      </c>
      <c r="D1616" s="392"/>
      <c r="H1616" s="226"/>
      <c r="J1616" s="389"/>
      <c r="K1616" s="226"/>
      <c r="P1616" s="226"/>
    </row>
    <row r="1617" spans="1:16">
      <c r="A1617" s="227"/>
      <c r="B1617" s="131" t="s">
        <v>2008</v>
      </c>
      <c r="C1617" s="227">
        <v>93321</v>
      </c>
      <c r="D1617" s="392"/>
      <c r="H1617" s="226"/>
      <c r="J1617" s="390"/>
      <c r="K1617" s="226"/>
      <c r="P1617" s="226"/>
    </row>
    <row r="1618" spans="1:16">
      <c r="A1618" s="227"/>
      <c r="B1618" s="131" t="s">
        <v>1035</v>
      </c>
      <c r="C1618" s="227">
        <v>93323</v>
      </c>
      <c r="D1618" s="392"/>
      <c r="H1618" s="226"/>
      <c r="J1618" s="389"/>
      <c r="K1618" s="226"/>
      <c r="P1618" s="226"/>
    </row>
    <row r="1619" spans="1:16">
      <c r="A1619" s="227"/>
      <c r="B1619" s="131" t="s">
        <v>1037</v>
      </c>
      <c r="C1619" s="227">
        <v>93333</v>
      </c>
      <c r="D1619" s="392"/>
      <c r="H1619" s="226"/>
      <c r="J1619" s="389"/>
      <c r="K1619" s="226"/>
      <c r="P1619" s="226"/>
    </row>
    <row r="1620" spans="1:16">
      <c r="A1620" s="227"/>
      <c r="B1620" s="131" t="s">
        <v>2654</v>
      </c>
      <c r="C1620" s="227">
        <v>99203</v>
      </c>
      <c r="D1620" s="392"/>
      <c r="H1620" s="226"/>
      <c r="J1620" s="389"/>
      <c r="K1620" s="226"/>
      <c r="P1620" s="226"/>
    </row>
    <row r="1621" spans="1:16">
      <c r="A1621" s="227"/>
      <c r="B1621" s="131" t="s">
        <v>2655</v>
      </c>
      <c r="C1621" s="227">
        <v>99421</v>
      </c>
      <c r="D1621" s="392"/>
      <c r="H1621" s="226"/>
      <c r="J1621" s="389"/>
      <c r="K1621" s="226"/>
      <c r="P1621" s="226"/>
    </row>
    <row r="1622" spans="1:16">
      <c r="A1622" s="227"/>
      <c r="B1622" s="131" t="s">
        <v>2656</v>
      </c>
      <c r="C1622" s="227">
        <v>93161</v>
      </c>
      <c r="D1622" s="392"/>
      <c r="H1622" s="226"/>
      <c r="J1622" s="389"/>
      <c r="K1622" s="226"/>
      <c r="P1622" s="226"/>
    </row>
    <row r="1623" spans="1:16">
      <c r="A1623" s="227"/>
      <c r="B1623" s="131" t="s">
        <v>2657</v>
      </c>
      <c r="C1623" s="227">
        <v>98261</v>
      </c>
      <c r="D1623" s="392"/>
      <c r="H1623" s="226"/>
      <c r="J1623" s="390"/>
      <c r="K1623" s="226"/>
      <c r="P1623" s="226"/>
    </row>
    <row r="1624" spans="1:16">
      <c r="A1624" s="227"/>
      <c r="B1624" s="131" t="s">
        <v>1476</v>
      </c>
      <c r="C1624" s="227">
        <v>98237</v>
      </c>
      <c r="D1624" s="392"/>
      <c r="H1624" s="226"/>
      <c r="J1624" s="389"/>
      <c r="K1624" s="226"/>
      <c r="P1624" s="226"/>
    </row>
    <row r="1625" spans="1:16">
      <c r="A1625" s="227"/>
      <c r="B1625" s="131" t="s">
        <v>1444</v>
      </c>
      <c r="C1625" s="227">
        <v>98003</v>
      </c>
      <c r="D1625" s="392"/>
      <c r="H1625" s="226"/>
      <c r="J1625" s="389"/>
      <c r="K1625" s="226"/>
      <c r="P1625" s="226"/>
    </row>
    <row r="1626" spans="1:16">
      <c r="A1626" s="227"/>
      <c r="B1626" s="131" t="s">
        <v>2793</v>
      </c>
      <c r="C1626" s="227">
        <v>98008</v>
      </c>
      <c r="D1626" s="392"/>
      <c r="H1626" s="226"/>
      <c r="J1626" s="389"/>
      <c r="K1626" s="226"/>
      <c r="P1626" s="226"/>
    </row>
    <row r="1627" spans="1:16">
      <c r="A1627" s="227"/>
      <c r="B1627" s="131" t="s">
        <v>1443</v>
      </c>
      <c r="C1627" s="227">
        <v>98002</v>
      </c>
      <c r="D1627" s="392"/>
      <c r="H1627" s="226"/>
      <c r="J1627" s="389"/>
      <c r="K1627" s="226"/>
      <c r="P1627" s="226"/>
    </row>
    <row r="1628" spans="1:16">
      <c r="A1628" s="227"/>
      <c r="B1628" s="131" t="s">
        <v>1442</v>
      </c>
      <c r="C1628" s="227">
        <v>98001</v>
      </c>
      <c r="D1628" s="392"/>
      <c r="H1628" s="226"/>
      <c r="J1628" s="389"/>
      <c r="K1628" s="226"/>
      <c r="P1628" s="226"/>
    </row>
    <row r="1629" spans="1:16">
      <c r="A1629" s="227"/>
      <c r="B1629" s="131" t="s">
        <v>1445</v>
      </c>
      <c r="C1629" s="227">
        <v>98004</v>
      </c>
      <c r="D1629" s="392"/>
      <c r="H1629" s="226"/>
      <c r="J1629" s="389"/>
      <c r="K1629" s="226"/>
      <c r="P1629" s="226"/>
    </row>
    <row r="1630" spans="1:16">
      <c r="A1630" s="227"/>
      <c r="B1630" s="131" t="s">
        <v>2658</v>
      </c>
      <c r="C1630" s="227">
        <v>97861</v>
      </c>
      <c r="D1630" s="392"/>
      <c r="H1630" s="226"/>
      <c r="J1630" s="389"/>
      <c r="K1630" s="226"/>
      <c r="P1630" s="226"/>
    </row>
    <row r="1631" spans="1:16">
      <c r="A1631" s="227"/>
      <c r="B1631" s="131" t="s">
        <v>2009</v>
      </c>
      <c r="C1631" s="227">
        <v>97311</v>
      </c>
      <c r="D1631" s="392"/>
      <c r="H1631" s="226"/>
      <c r="J1631" s="389"/>
      <c r="K1631" s="226"/>
      <c r="P1631" s="226"/>
    </row>
    <row r="1632" spans="1:16">
      <c r="A1632" s="227"/>
      <c r="B1632" s="131" t="s">
        <v>2659</v>
      </c>
      <c r="C1632" s="227">
        <v>93431</v>
      </c>
      <c r="D1632" s="392"/>
      <c r="H1632" s="226"/>
      <c r="J1632" s="390"/>
      <c r="K1632" s="226"/>
      <c r="P1632" s="226"/>
    </row>
    <row r="1633" spans="1:16">
      <c r="A1633" s="227"/>
      <c r="B1633" s="131" t="s">
        <v>2660</v>
      </c>
      <c r="C1633" s="227">
        <v>91214</v>
      </c>
      <c r="D1633" s="392"/>
      <c r="H1633" s="226"/>
      <c r="J1633" s="389"/>
      <c r="K1633" s="226"/>
      <c r="P1633" s="226"/>
    </row>
    <row r="1634" spans="1:16">
      <c r="A1634" s="227"/>
      <c r="B1634" s="131" t="s">
        <v>1458</v>
      </c>
      <c r="C1634" s="227">
        <v>98101</v>
      </c>
      <c r="D1634" s="392"/>
      <c r="H1634" s="226"/>
      <c r="J1634" s="389"/>
      <c r="K1634" s="226"/>
      <c r="P1634" s="226"/>
    </row>
    <row r="1635" spans="1:16">
      <c r="A1635" s="227"/>
      <c r="B1635" s="131" t="s">
        <v>2792</v>
      </c>
      <c r="C1635" s="227">
        <v>98103</v>
      </c>
      <c r="D1635" s="392"/>
      <c r="H1635" s="226"/>
      <c r="J1635" s="390"/>
      <c r="K1635" s="226"/>
      <c r="P1635" s="226"/>
    </row>
    <row r="1636" spans="1:16">
      <c r="A1636" s="227"/>
      <c r="B1636" s="131" t="s">
        <v>2661</v>
      </c>
      <c r="C1636" s="227">
        <v>98141</v>
      </c>
      <c r="D1636" s="392"/>
      <c r="H1636" s="226"/>
      <c r="J1636" s="389"/>
      <c r="K1636" s="226"/>
      <c r="P1636" s="226"/>
    </row>
    <row r="1637" spans="1:16">
      <c r="A1637" s="227"/>
      <c r="B1637" s="131" t="s">
        <v>2791</v>
      </c>
      <c r="C1637" s="227">
        <v>98147</v>
      </c>
      <c r="D1637" s="392"/>
      <c r="H1637" s="226"/>
      <c r="J1637" s="389"/>
      <c r="K1637" s="226"/>
      <c r="P1637" s="226"/>
    </row>
    <row r="1638" spans="1:16">
      <c r="A1638" s="227"/>
      <c r="B1638" s="131" t="s">
        <v>2685</v>
      </c>
      <c r="C1638" s="227">
        <v>91032</v>
      </c>
      <c r="D1638" s="392"/>
      <c r="H1638" s="226"/>
      <c r="J1638" s="389"/>
      <c r="K1638" s="226"/>
      <c r="P1638" s="226"/>
    </row>
    <row r="1639" spans="1:16">
      <c r="A1639" s="227"/>
      <c r="B1639" s="131" t="s">
        <v>2686</v>
      </c>
      <c r="C1639" s="227">
        <v>97831</v>
      </c>
      <c r="D1639" s="392"/>
      <c r="H1639" s="226"/>
      <c r="J1639" s="389"/>
      <c r="K1639" s="226"/>
      <c r="P1639" s="226"/>
    </row>
    <row r="1640" spans="1:16">
      <c r="A1640" s="227"/>
      <c r="B1640" s="131" t="s">
        <v>2790</v>
      </c>
      <c r="C1640" s="227">
        <v>97837</v>
      </c>
      <c r="D1640" s="392"/>
      <c r="H1640" s="226"/>
      <c r="J1640" s="389"/>
      <c r="K1640" s="226"/>
      <c r="P1640" s="226"/>
    </row>
    <row r="1641" spans="1:16">
      <c r="A1641" s="227"/>
      <c r="B1641" s="131" t="s">
        <v>2662</v>
      </c>
      <c r="C1641" s="227">
        <v>98221</v>
      </c>
      <c r="D1641" s="392"/>
      <c r="H1641" s="226"/>
      <c r="J1641" s="389"/>
      <c r="K1641" s="226"/>
      <c r="P1641" s="226"/>
    </row>
    <row r="1642" spans="1:16">
      <c r="A1642" s="227"/>
      <c r="B1642" s="131" t="s">
        <v>2010</v>
      </c>
      <c r="C1642" s="227">
        <v>98011</v>
      </c>
      <c r="D1642" s="392"/>
      <c r="H1642" s="226"/>
      <c r="J1642" s="389"/>
      <c r="K1642" s="226"/>
      <c r="P1642" s="226"/>
    </row>
    <row r="1643" spans="1:16">
      <c r="A1643" s="227"/>
      <c r="B1643" s="131" t="s">
        <v>2809</v>
      </c>
      <c r="C1643" s="227">
        <v>98013</v>
      </c>
      <c r="D1643" s="392"/>
      <c r="H1643" s="226"/>
      <c r="J1643" s="389"/>
      <c r="K1643" s="226"/>
      <c r="P1643" s="226"/>
    </row>
    <row r="1644" spans="1:16">
      <c r="A1644" s="227"/>
      <c r="B1644" s="131" t="s">
        <v>2011</v>
      </c>
      <c r="C1644" s="227">
        <v>97531</v>
      </c>
      <c r="D1644" s="392"/>
      <c r="H1644" s="226"/>
      <c r="J1644" s="390"/>
      <c r="K1644" s="226"/>
      <c r="P1644" s="226"/>
    </row>
    <row r="1645" spans="1:16">
      <c r="A1645" s="227"/>
      <c r="B1645" s="131" t="s">
        <v>1470</v>
      </c>
      <c r="C1645" s="227">
        <v>98201</v>
      </c>
      <c r="D1645" s="392"/>
      <c r="H1645" s="226"/>
      <c r="J1645" s="389"/>
      <c r="K1645" s="226"/>
      <c r="P1645" s="226"/>
    </row>
    <row r="1646" spans="1:16">
      <c r="A1646" s="227"/>
      <c r="B1646" s="131" t="s">
        <v>1405</v>
      </c>
      <c r="C1646" s="227">
        <v>97705</v>
      </c>
      <c r="D1646" s="392"/>
      <c r="H1646" s="226"/>
      <c r="J1646" s="389"/>
      <c r="K1646" s="226"/>
      <c r="P1646" s="226"/>
    </row>
    <row r="1647" spans="1:16">
      <c r="A1647" s="227"/>
      <c r="B1647" s="131" t="s">
        <v>1287</v>
      </c>
      <c r="C1647" s="227">
        <v>96318</v>
      </c>
      <c r="D1647" s="392"/>
      <c r="H1647" s="226"/>
      <c r="J1647" s="390"/>
      <c r="K1647" s="226"/>
      <c r="P1647" s="226"/>
    </row>
    <row r="1648" spans="1:16">
      <c r="A1648" s="227"/>
      <c r="B1648" s="131" t="s">
        <v>2012</v>
      </c>
      <c r="C1648" s="227">
        <v>95311</v>
      </c>
      <c r="D1648" s="392"/>
      <c r="H1648" s="226"/>
      <c r="J1648" s="389"/>
      <c r="K1648" s="226"/>
      <c r="P1648" s="226"/>
    </row>
    <row r="1649" spans="1:16">
      <c r="A1649" s="227"/>
      <c r="B1649" s="131" t="s">
        <v>1214</v>
      </c>
      <c r="C1649" s="227">
        <v>95317</v>
      </c>
      <c r="D1649" s="392"/>
      <c r="H1649" s="226"/>
      <c r="J1649" s="389"/>
      <c r="K1649" s="226"/>
      <c r="P1649" s="226"/>
    </row>
    <row r="1650" spans="1:16">
      <c r="A1650" s="227"/>
      <c r="B1650" s="131" t="s">
        <v>2663</v>
      </c>
      <c r="C1650" s="227">
        <v>91421</v>
      </c>
      <c r="D1650" s="392"/>
      <c r="H1650" s="226"/>
      <c r="J1650" s="389"/>
      <c r="K1650" s="226"/>
      <c r="P1650" s="226"/>
    </row>
    <row r="1651" spans="1:16">
      <c r="A1651" s="227"/>
      <c r="B1651" s="131" t="s">
        <v>1481</v>
      </c>
      <c r="C1651" s="227">
        <v>98301</v>
      </c>
      <c r="D1651" s="392"/>
      <c r="H1651" s="226"/>
      <c r="J1651" s="389"/>
      <c r="K1651" s="226"/>
      <c r="P1651" s="226"/>
    </row>
    <row r="1652" spans="1:16">
      <c r="A1652" s="227"/>
      <c r="B1652" s="131" t="s">
        <v>1482</v>
      </c>
      <c r="C1652" s="227">
        <v>98304</v>
      </c>
      <c r="D1652" s="392"/>
      <c r="H1652" s="226"/>
      <c r="J1652" s="389"/>
      <c r="K1652" s="226"/>
      <c r="P1652" s="226"/>
    </row>
    <row r="1653" spans="1:16">
      <c r="A1653" s="227"/>
      <c r="B1653" s="131" t="s">
        <v>2664</v>
      </c>
      <c r="C1653" s="227">
        <v>94241</v>
      </c>
      <c r="D1653" s="392"/>
      <c r="H1653" s="226"/>
      <c r="J1653" s="389"/>
      <c r="K1653" s="226"/>
      <c r="P1653" s="226"/>
    </row>
    <row r="1654" spans="1:16">
      <c r="A1654" s="227"/>
      <c r="B1654" s="131" t="s">
        <v>2665</v>
      </c>
      <c r="C1654" s="227">
        <v>96681</v>
      </c>
      <c r="D1654" s="392"/>
      <c r="H1654" s="226"/>
      <c r="J1654" s="389"/>
      <c r="K1654" s="226"/>
      <c r="P1654" s="226"/>
    </row>
    <row r="1655" spans="1:16">
      <c r="A1655" s="227"/>
      <c r="B1655" s="131" t="s">
        <v>2666</v>
      </c>
      <c r="C1655" s="220">
        <v>72593</v>
      </c>
      <c r="D1655" s="392"/>
      <c r="H1655" s="226"/>
      <c r="J1655" s="389"/>
      <c r="K1655" s="226"/>
      <c r="P1655" s="226"/>
    </row>
    <row r="1656" spans="1:16">
      <c r="A1656" s="227"/>
      <c r="B1656" s="131" t="s">
        <v>2667</v>
      </c>
      <c r="C1656" s="227">
        <v>95121</v>
      </c>
      <c r="D1656" s="392"/>
      <c r="H1656" s="226"/>
      <c r="J1656" s="390"/>
      <c r="K1656" s="226"/>
      <c r="P1656" s="226"/>
    </row>
    <row r="1657" spans="1:16">
      <c r="A1657" s="227"/>
      <c r="B1657" s="131" t="s">
        <v>1199</v>
      </c>
      <c r="C1657" s="227">
        <v>95123</v>
      </c>
      <c r="D1657" s="392"/>
      <c r="H1657" s="226"/>
      <c r="J1657" s="389"/>
      <c r="K1657" s="226"/>
      <c r="P1657" s="226"/>
    </row>
    <row r="1658" spans="1:16">
      <c r="A1658" s="227"/>
      <c r="B1658" s="131" t="s">
        <v>2668</v>
      </c>
      <c r="C1658" s="227">
        <v>99531</v>
      </c>
      <c r="D1658" s="392"/>
      <c r="H1658" s="226"/>
      <c r="J1658" s="389"/>
      <c r="K1658" s="226"/>
      <c r="P1658" s="226"/>
    </row>
    <row r="1659" spans="1:16">
      <c r="A1659" s="227"/>
      <c r="B1659" s="131" t="s">
        <v>2669</v>
      </c>
      <c r="C1659" s="227">
        <v>96671</v>
      </c>
      <c r="D1659" s="392"/>
      <c r="H1659" s="226"/>
      <c r="J1659" s="390"/>
      <c r="K1659" s="226"/>
      <c r="P1659" s="226"/>
    </row>
    <row r="1660" spans="1:16">
      <c r="A1660" s="227"/>
      <c r="B1660" s="131" t="s">
        <v>2670</v>
      </c>
      <c r="C1660" s="227">
        <v>91081</v>
      </c>
      <c r="D1660" s="392"/>
      <c r="H1660" s="226"/>
      <c r="J1660" s="389"/>
      <c r="K1660" s="226"/>
      <c r="P1660" s="226"/>
    </row>
    <row r="1661" spans="1:16">
      <c r="A1661" s="227"/>
      <c r="B1661" s="131" t="s">
        <v>822</v>
      </c>
      <c r="C1661" s="227">
        <v>91057</v>
      </c>
      <c r="D1661" s="392"/>
      <c r="H1661" s="226"/>
      <c r="J1661" s="389"/>
      <c r="K1661" s="226"/>
      <c r="P1661" s="226"/>
    </row>
    <row r="1662" spans="1:16">
      <c r="A1662" s="227"/>
      <c r="B1662" s="131" t="s">
        <v>2671</v>
      </c>
      <c r="C1662" s="227">
        <v>96461</v>
      </c>
      <c r="D1662" s="392"/>
      <c r="H1662" s="226"/>
      <c r="J1662" s="389"/>
      <c r="K1662" s="226"/>
      <c r="P1662" s="226"/>
    </row>
    <row r="1663" spans="1:16">
      <c r="A1663" s="227"/>
      <c r="B1663" s="131" t="s">
        <v>2013</v>
      </c>
      <c r="C1663" s="227">
        <v>92311</v>
      </c>
      <c r="D1663" s="392"/>
      <c r="H1663" s="226"/>
      <c r="J1663" s="389"/>
      <c r="K1663" s="226"/>
      <c r="P1663" s="226"/>
    </row>
    <row r="1664" spans="1:16">
      <c r="A1664" s="227"/>
      <c r="B1664" s="131" t="s">
        <v>936</v>
      </c>
      <c r="C1664" s="227">
        <v>92317</v>
      </c>
      <c r="D1664" s="392"/>
      <c r="H1664" s="226"/>
      <c r="J1664" s="389"/>
      <c r="K1664" s="226"/>
      <c r="P1664" s="226"/>
    </row>
    <row r="1665" spans="1:16">
      <c r="A1665" s="227"/>
      <c r="B1665" s="131" t="s">
        <v>1373</v>
      </c>
      <c r="C1665" s="227">
        <v>97405</v>
      </c>
      <c r="D1665" s="392"/>
      <c r="H1665" s="226"/>
      <c r="J1665" s="389"/>
      <c r="K1665" s="226"/>
      <c r="P1665" s="226"/>
    </row>
    <row r="1666" spans="1:16">
      <c r="A1666" s="227"/>
      <c r="B1666" s="131" t="s">
        <v>2672</v>
      </c>
      <c r="C1666" s="227">
        <v>91911</v>
      </c>
      <c r="D1666" s="392"/>
      <c r="H1666" s="226"/>
      <c r="J1666" s="389"/>
      <c r="K1666" s="226"/>
      <c r="P1666" s="226"/>
    </row>
    <row r="1667" spans="1:16">
      <c r="A1667" s="227"/>
      <c r="B1667" s="131" t="s">
        <v>920</v>
      </c>
      <c r="C1667" s="227">
        <v>91917</v>
      </c>
      <c r="D1667" s="392"/>
      <c r="H1667" s="226"/>
      <c r="J1667" s="389"/>
      <c r="K1667" s="226"/>
      <c r="P1667" s="226"/>
    </row>
    <row r="1668" spans="1:16">
      <c r="A1668" s="227"/>
      <c r="B1668" s="131" t="s">
        <v>2673</v>
      </c>
      <c r="C1668" s="227">
        <v>97481</v>
      </c>
      <c r="D1668" s="392"/>
      <c r="H1668" s="226"/>
      <c r="J1668" s="390"/>
      <c r="K1668" s="226"/>
      <c r="P1668" s="226"/>
    </row>
    <row r="1669" spans="1:16">
      <c r="A1669" s="227"/>
      <c r="B1669" s="131" t="s">
        <v>840</v>
      </c>
      <c r="C1669" s="51">
        <v>91138</v>
      </c>
      <c r="D1669" s="392"/>
      <c r="H1669" s="226"/>
      <c r="J1669" s="389"/>
      <c r="K1669" s="226"/>
      <c r="P1669" s="226"/>
    </row>
    <row r="1670" spans="1:16">
      <c r="A1670" s="227"/>
      <c r="B1670" s="131" t="s">
        <v>2674</v>
      </c>
      <c r="C1670" s="227">
        <v>95111</v>
      </c>
      <c r="D1670" s="392"/>
      <c r="H1670" s="226"/>
      <c r="J1670" s="389"/>
      <c r="K1670" s="226"/>
      <c r="P1670" s="226"/>
    </row>
    <row r="1671" spans="1:16">
      <c r="A1671" s="227"/>
      <c r="B1671" s="131" t="s">
        <v>1196</v>
      </c>
      <c r="C1671" s="227">
        <v>95113</v>
      </c>
      <c r="D1671" s="392"/>
      <c r="H1671" s="226"/>
      <c r="J1671" s="390"/>
      <c r="K1671" s="226"/>
      <c r="P1671" s="226"/>
    </row>
    <row r="1672" spans="1:16">
      <c r="A1672" s="227"/>
      <c r="B1672" s="131" t="s">
        <v>2675</v>
      </c>
      <c r="C1672" s="227">
        <v>94021</v>
      </c>
      <c r="D1672" s="392"/>
      <c r="H1672" s="226"/>
      <c r="J1672" s="389"/>
      <c r="K1672" s="226"/>
      <c r="P1672" s="226"/>
    </row>
    <row r="1673" spans="1:16">
      <c r="A1673" s="227"/>
      <c r="B1673" s="131" t="s">
        <v>795</v>
      </c>
      <c r="C1673" s="227">
        <v>90918</v>
      </c>
      <c r="D1673" s="392"/>
      <c r="H1673" s="226"/>
      <c r="J1673" s="389"/>
      <c r="K1673" s="226"/>
      <c r="P1673" s="226"/>
    </row>
    <row r="1674" spans="1:16">
      <c r="A1674" s="227"/>
      <c r="B1674" s="131" t="s">
        <v>1089</v>
      </c>
      <c r="C1674" s="227">
        <v>93910</v>
      </c>
      <c r="D1674" s="392"/>
      <c r="H1674" s="226"/>
      <c r="J1674" s="389"/>
      <c r="K1674" s="226"/>
      <c r="P1674" s="226"/>
    </row>
    <row r="1675" spans="1:16">
      <c r="A1675" s="227"/>
      <c r="B1675" s="131" t="s">
        <v>810</v>
      </c>
      <c r="C1675" s="227">
        <v>91013</v>
      </c>
      <c r="D1675" s="392"/>
      <c r="H1675" s="226"/>
      <c r="J1675" s="389"/>
      <c r="K1675" s="226"/>
      <c r="P1675" s="226"/>
    </row>
    <row r="1676" spans="1:16">
      <c r="A1676" s="227"/>
      <c r="B1676" s="131" t="s">
        <v>2676</v>
      </c>
      <c r="C1676" s="227">
        <v>96311</v>
      </c>
      <c r="D1676" s="392"/>
      <c r="H1676" s="226"/>
      <c r="J1676" s="389"/>
      <c r="K1676" s="226"/>
      <c r="P1676" s="226"/>
    </row>
    <row r="1677" spans="1:16">
      <c r="A1677" s="227"/>
      <c r="B1677" s="131" t="s">
        <v>2677</v>
      </c>
      <c r="C1677" s="227">
        <v>92841</v>
      </c>
      <c r="D1677" s="392"/>
      <c r="H1677" s="226"/>
      <c r="J1677" s="389"/>
      <c r="K1677" s="226"/>
      <c r="P1677" s="226"/>
    </row>
    <row r="1678" spans="1:16">
      <c r="A1678" s="227"/>
      <c r="B1678" s="131" t="s">
        <v>1586</v>
      </c>
      <c r="C1678" s="227">
        <v>99609</v>
      </c>
      <c r="D1678" s="392"/>
      <c r="H1678" s="226"/>
      <c r="J1678" s="389"/>
      <c r="K1678" s="226"/>
      <c r="P1678" s="226"/>
    </row>
    <row r="1679" spans="1:16">
      <c r="A1679" s="227"/>
      <c r="B1679" s="131" t="s">
        <v>2014</v>
      </c>
      <c r="C1679" s="227">
        <v>91011</v>
      </c>
      <c r="D1679" s="392"/>
      <c r="H1679" s="226"/>
      <c r="J1679" s="389"/>
      <c r="K1679" s="226"/>
      <c r="P1679" s="226"/>
    </row>
    <row r="1680" spans="1:16">
      <c r="A1680" s="227"/>
      <c r="B1680" s="131" t="s">
        <v>2015</v>
      </c>
      <c r="C1680" s="227">
        <v>91017</v>
      </c>
      <c r="D1680" s="392"/>
      <c r="H1680" s="226"/>
      <c r="J1680" s="390"/>
      <c r="K1680" s="226"/>
      <c r="P1680" s="226"/>
    </row>
    <row r="1681" spans="1:16">
      <c r="A1681" s="227"/>
      <c r="B1681" s="131" t="s">
        <v>1185</v>
      </c>
      <c r="C1681" s="227">
        <v>95008</v>
      </c>
      <c r="D1681" s="392"/>
      <c r="H1681" s="226"/>
      <c r="J1681" s="389"/>
      <c r="K1681" s="226"/>
      <c r="P1681" s="226"/>
    </row>
    <row r="1682" spans="1:16">
      <c r="A1682" s="227"/>
      <c r="B1682" s="131" t="s">
        <v>2678</v>
      </c>
      <c r="C1682" s="227">
        <v>72657</v>
      </c>
      <c r="D1682" s="392"/>
      <c r="H1682" s="226"/>
      <c r="J1682" s="389"/>
      <c r="K1682" s="226"/>
      <c r="P1682" s="226"/>
    </row>
    <row r="1683" spans="1:16">
      <c r="A1683" s="227"/>
      <c r="B1683" s="131" t="s">
        <v>2679</v>
      </c>
      <c r="C1683" s="227">
        <v>90307</v>
      </c>
      <c r="D1683" s="392"/>
      <c r="H1683" s="226"/>
      <c r="J1683" s="390"/>
      <c r="K1683" s="226"/>
      <c r="P1683" s="226"/>
    </row>
    <row r="1684" spans="1:16">
      <c r="A1684" s="227"/>
      <c r="B1684" s="131" t="s">
        <v>2680</v>
      </c>
      <c r="C1684" s="227">
        <v>98031</v>
      </c>
      <c r="D1684" s="392"/>
      <c r="H1684" s="226"/>
      <c r="J1684" s="389"/>
      <c r="K1684" s="226"/>
      <c r="P1684" s="226"/>
    </row>
    <row r="1685" spans="1:16">
      <c r="A1685" s="227"/>
      <c r="B1685" s="131" t="s">
        <v>2681</v>
      </c>
      <c r="C1685" s="227">
        <v>98121</v>
      </c>
      <c r="D1685" s="392"/>
      <c r="H1685" s="226"/>
      <c r="J1685" s="389"/>
      <c r="K1685" s="226"/>
      <c r="P1685" s="226"/>
    </row>
    <row r="1686" spans="1:16">
      <c r="A1686" s="227"/>
      <c r="B1686" s="131" t="s">
        <v>2682</v>
      </c>
      <c r="C1686" s="227">
        <v>96411</v>
      </c>
      <c r="D1686" s="392"/>
      <c r="H1686" s="226"/>
      <c r="J1686" s="389"/>
      <c r="K1686" s="226"/>
      <c r="P1686" s="226"/>
    </row>
    <row r="1687" spans="1:16">
      <c r="A1687" s="227"/>
      <c r="B1687" s="131" t="s">
        <v>2683</v>
      </c>
      <c r="C1687" s="227">
        <v>92661</v>
      </c>
      <c r="D1687" s="392"/>
      <c r="H1687" s="226"/>
      <c r="J1687" s="389"/>
      <c r="K1687" s="226"/>
      <c r="P1687" s="226"/>
    </row>
    <row r="1688" spans="1:16">
      <c r="A1688" s="227"/>
      <c r="B1688" s="131" t="s">
        <v>2684</v>
      </c>
      <c r="C1688" s="227">
        <v>96111</v>
      </c>
      <c r="D1688" s="392"/>
      <c r="H1688" s="226"/>
      <c r="J1688" s="389"/>
      <c r="K1688" s="226"/>
      <c r="P1688" s="226"/>
    </row>
    <row r="1689" spans="1:16">
      <c r="A1689" s="227"/>
      <c r="B1689" s="131" t="s">
        <v>2687</v>
      </c>
      <c r="C1689" s="227">
        <v>96061</v>
      </c>
      <c r="D1689" s="392"/>
      <c r="H1689" s="226"/>
      <c r="J1689" s="389"/>
      <c r="K1689" s="226"/>
      <c r="P1689" s="226"/>
    </row>
    <row r="1690" spans="1:16">
      <c r="A1690" s="227"/>
      <c r="B1690" s="131" t="s">
        <v>2688</v>
      </c>
      <c r="C1690" s="227">
        <v>98481</v>
      </c>
      <c r="D1690" s="392"/>
      <c r="H1690" s="226"/>
      <c r="J1690" s="389"/>
      <c r="K1690" s="226"/>
      <c r="P1690" s="226"/>
    </row>
    <row r="1691" spans="1:16">
      <c r="A1691" s="227"/>
      <c r="B1691" s="131" t="s">
        <v>2689</v>
      </c>
      <c r="C1691" s="227">
        <v>93602</v>
      </c>
      <c r="D1691" s="392"/>
      <c r="H1691" s="226"/>
      <c r="J1691" s="389"/>
      <c r="K1691" s="226"/>
      <c r="P1691" s="226"/>
    </row>
    <row r="1692" spans="1:16">
      <c r="A1692" s="227"/>
      <c r="B1692" s="131" t="s">
        <v>1488</v>
      </c>
      <c r="C1692" s="227">
        <v>98401</v>
      </c>
      <c r="D1692" s="392"/>
      <c r="H1692" s="226"/>
      <c r="J1692" s="390"/>
      <c r="K1692" s="226"/>
      <c r="P1692" s="226"/>
    </row>
    <row r="1693" spans="1:16">
      <c r="A1693" s="227"/>
      <c r="B1693" s="131" t="s">
        <v>2690</v>
      </c>
      <c r="C1693" s="51">
        <v>99821</v>
      </c>
      <c r="D1693" s="392"/>
      <c r="H1693" s="226"/>
      <c r="J1693" s="389"/>
      <c r="K1693" s="226"/>
      <c r="P1693" s="226"/>
    </row>
    <row r="1694" spans="1:16">
      <c r="A1694" s="227"/>
      <c r="B1694" s="131" t="s">
        <v>2691</v>
      </c>
      <c r="C1694" s="227">
        <v>96211</v>
      </c>
      <c r="D1694" s="392"/>
      <c r="H1694" s="226"/>
      <c r="J1694" s="389"/>
      <c r="K1694" s="226"/>
      <c r="P1694" s="226"/>
    </row>
    <row r="1695" spans="1:16">
      <c r="A1695" s="227"/>
      <c r="B1695" s="131" t="s">
        <v>2016</v>
      </c>
      <c r="C1695" s="227">
        <v>94911</v>
      </c>
      <c r="D1695" s="392"/>
      <c r="H1695" s="226"/>
      <c r="J1695" s="390"/>
      <c r="K1695" s="226"/>
      <c r="P1695" s="226"/>
    </row>
    <row r="1696" spans="1:16">
      <c r="A1696" s="227"/>
      <c r="B1696" s="131" t="s">
        <v>1176</v>
      </c>
      <c r="C1696" s="227">
        <v>94917</v>
      </c>
      <c r="D1696" s="392"/>
      <c r="H1696" s="226"/>
      <c r="J1696" s="389"/>
      <c r="K1696" s="226"/>
      <c r="P1696" s="226"/>
    </row>
    <row r="1697" spans="1:16">
      <c r="A1697" s="227"/>
      <c r="B1697" s="131" t="s">
        <v>2692</v>
      </c>
      <c r="C1697" s="227">
        <v>92621</v>
      </c>
      <c r="D1697" s="392"/>
      <c r="H1697" s="226"/>
      <c r="J1697" s="389"/>
      <c r="K1697" s="226"/>
      <c r="P1697" s="226"/>
    </row>
    <row r="1698" spans="1:16">
      <c r="A1698" s="227"/>
      <c r="B1698" s="131" t="s">
        <v>1499</v>
      </c>
      <c r="C1698" s="227">
        <v>98501</v>
      </c>
      <c r="D1698" s="392"/>
      <c r="H1698" s="226"/>
      <c r="J1698" s="389"/>
      <c r="K1698" s="226"/>
      <c r="P1698" s="226"/>
    </row>
    <row r="1699" spans="1:16">
      <c r="A1699" s="227"/>
      <c r="B1699" s="131" t="s">
        <v>2693</v>
      </c>
      <c r="C1699" s="227">
        <v>97931</v>
      </c>
      <c r="D1699" s="392"/>
      <c r="H1699" s="226"/>
      <c r="J1699" s="389"/>
      <c r="K1699" s="226"/>
      <c r="P1699" s="226"/>
    </row>
    <row r="1700" spans="1:16">
      <c r="A1700" s="227"/>
      <c r="B1700" s="131" t="s">
        <v>2694</v>
      </c>
      <c r="C1700" s="227">
        <v>93914</v>
      </c>
      <c r="D1700" s="392"/>
      <c r="H1700" s="226"/>
      <c r="J1700" s="389"/>
      <c r="K1700" s="226"/>
      <c r="P1700" s="226"/>
    </row>
    <row r="1701" spans="1:16">
      <c r="A1701" s="227"/>
      <c r="B1701" s="131" t="s">
        <v>2695</v>
      </c>
      <c r="C1701" s="227">
        <v>90651</v>
      </c>
      <c r="D1701" s="392"/>
      <c r="H1701" s="226"/>
      <c r="J1701" s="390"/>
      <c r="K1701" s="226"/>
      <c r="P1701" s="226"/>
    </row>
    <row r="1702" spans="1:16">
      <c r="A1702" s="227"/>
      <c r="B1702" s="131" t="s">
        <v>2696</v>
      </c>
      <c r="C1702" s="227">
        <v>94171</v>
      </c>
      <c r="D1702" s="392"/>
      <c r="H1702" s="226"/>
      <c r="J1702" s="389"/>
      <c r="K1702" s="226"/>
      <c r="P1702" s="226"/>
    </row>
    <row r="1703" spans="1:16">
      <c r="A1703" s="227"/>
      <c r="B1703" s="131" t="s">
        <v>1118</v>
      </c>
      <c r="C1703" s="227">
        <v>94172</v>
      </c>
      <c r="D1703" s="392"/>
      <c r="H1703" s="226"/>
      <c r="J1703" s="389"/>
      <c r="K1703" s="226"/>
      <c r="P1703" s="226"/>
    </row>
    <row r="1704" spans="1:16">
      <c r="A1704" s="227"/>
      <c r="B1704" s="131" t="s">
        <v>2697</v>
      </c>
      <c r="C1704" s="227">
        <v>91041</v>
      </c>
      <c r="D1704" s="392"/>
      <c r="H1704" s="226"/>
      <c r="J1704" s="389"/>
      <c r="K1704" s="226"/>
      <c r="P1704" s="226"/>
    </row>
    <row r="1705" spans="1:16">
      <c r="A1705" s="227"/>
      <c r="B1705" s="131" t="s">
        <v>2698</v>
      </c>
      <c r="C1705" s="227">
        <v>91047</v>
      </c>
      <c r="D1705" s="392"/>
      <c r="H1705" s="226"/>
      <c r="J1705" s="389"/>
      <c r="K1705" s="226"/>
      <c r="P1705" s="226"/>
    </row>
    <row r="1706" spans="1:16">
      <c r="A1706" s="227"/>
      <c r="B1706" s="131" t="s">
        <v>2699</v>
      </c>
      <c r="C1706" s="227">
        <v>97131</v>
      </c>
      <c r="D1706" s="392"/>
      <c r="H1706" s="226"/>
      <c r="J1706" s="389"/>
      <c r="K1706" s="226"/>
      <c r="P1706" s="226"/>
    </row>
    <row r="1707" spans="1:16">
      <c r="A1707" s="227"/>
      <c r="B1707" s="131" t="s">
        <v>1503</v>
      </c>
      <c r="C1707" s="227">
        <v>98601</v>
      </c>
      <c r="D1707" s="392"/>
      <c r="H1707" s="226"/>
      <c r="J1707" s="389"/>
      <c r="K1707" s="226"/>
      <c r="P1707" s="226"/>
    </row>
    <row r="1708" spans="1:16">
      <c r="A1708" s="227"/>
      <c r="B1708" s="131" t="s">
        <v>1513</v>
      </c>
      <c r="C1708" s="227">
        <v>98701</v>
      </c>
      <c r="D1708" s="392"/>
      <c r="H1708" s="226"/>
      <c r="J1708" s="389"/>
      <c r="K1708" s="226"/>
      <c r="P1708" s="226"/>
    </row>
    <row r="1709" spans="1:16">
      <c r="A1709" s="227"/>
      <c r="B1709" s="131" t="s">
        <v>2700</v>
      </c>
      <c r="C1709" s="227">
        <v>96721</v>
      </c>
      <c r="D1709" s="392"/>
      <c r="H1709" s="226"/>
      <c r="J1709" s="389"/>
      <c r="K1709" s="226"/>
      <c r="P1709" s="226"/>
    </row>
    <row r="1710" spans="1:16">
      <c r="A1710" s="227"/>
      <c r="B1710" s="131" t="s">
        <v>2701</v>
      </c>
      <c r="C1710" s="227">
        <v>95011</v>
      </c>
      <c r="D1710" s="392"/>
      <c r="H1710" s="226"/>
      <c r="J1710" s="390"/>
      <c r="K1710" s="226"/>
      <c r="P1710" s="226"/>
    </row>
    <row r="1711" spans="1:16">
      <c r="A1711" s="227"/>
      <c r="B1711" s="131" t="s">
        <v>2702</v>
      </c>
      <c r="C1711" s="227">
        <v>92451</v>
      </c>
      <c r="D1711" s="392"/>
      <c r="H1711" s="226"/>
      <c r="J1711" s="389"/>
      <c r="K1711" s="226"/>
      <c r="P1711" s="226"/>
    </row>
    <row r="1712" spans="1:16">
      <c r="A1712" s="227"/>
      <c r="B1712" s="131" t="s">
        <v>2703</v>
      </c>
      <c r="C1712" s="227">
        <v>93311</v>
      </c>
      <c r="D1712" s="392"/>
      <c r="H1712" s="226"/>
      <c r="J1712" s="389"/>
      <c r="K1712" s="226"/>
      <c r="P1712" s="226"/>
    </row>
    <row r="1713" spans="1:16">
      <c r="A1713" s="227"/>
      <c r="B1713" s="131" t="s">
        <v>1033</v>
      </c>
      <c r="C1713" s="227">
        <v>93317</v>
      </c>
      <c r="D1713" s="392"/>
      <c r="H1713" s="226"/>
      <c r="J1713" s="390"/>
      <c r="K1713" s="226"/>
      <c r="P1713" s="226"/>
    </row>
    <row r="1714" spans="1:16">
      <c r="A1714" s="227"/>
      <c r="B1714" s="131" t="s">
        <v>2704</v>
      </c>
      <c r="C1714" s="227">
        <v>90211</v>
      </c>
      <c r="D1714" s="392"/>
      <c r="H1714" s="226"/>
      <c r="J1714" s="389"/>
      <c r="K1714" s="226"/>
      <c r="P1714" s="226"/>
    </row>
    <row r="1715" spans="1:16">
      <c r="A1715" s="227"/>
      <c r="B1715" s="131" t="s">
        <v>2705</v>
      </c>
      <c r="C1715" s="227">
        <v>96302</v>
      </c>
      <c r="D1715" s="392"/>
      <c r="H1715" s="226"/>
      <c r="J1715" s="389"/>
      <c r="K1715" s="226"/>
      <c r="P1715" s="226"/>
    </row>
    <row r="1716" spans="1:16">
      <c r="A1716" s="227"/>
      <c r="B1716" s="131" t="s">
        <v>2706</v>
      </c>
      <c r="C1716" s="227">
        <v>93181</v>
      </c>
      <c r="D1716" s="392"/>
      <c r="H1716" s="226"/>
      <c r="J1716" s="389"/>
      <c r="K1716" s="226"/>
      <c r="P1716" s="226"/>
    </row>
    <row r="1717" spans="1:16">
      <c r="A1717" s="227"/>
      <c r="B1717" s="131" t="s">
        <v>2017</v>
      </c>
      <c r="C1717" s="227">
        <v>92911</v>
      </c>
      <c r="D1717" s="392"/>
      <c r="H1717" s="226"/>
      <c r="J1717" s="389"/>
      <c r="K1717" s="226"/>
      <c r="P1717" s="226"/>
    </row>
    <row r="1718" spans="1:16">
      <c r="A1718" s="227"/>
      <c r="B1718" s="131" t="s">
        <v>997</v>
      </c>
      <c r="C1718" s="227">
        <v>92914</v>
      </c>
      <c r="D1718" s="392"/>
      <c r="H1718" s="226"/>
      <c r="J1718" s="389"/>
      <c r="K1718" s="226"/>
      <c r="P1718" s="226"/>
    </row>
    <row r="1719" spans="1:16">
      <c r="A1719" s="227"/>
      <c r="B1719" s="131" t="s">
        <v>996</v>
      </c>
      <c r="C1719" s="227">
        <v>92913</v>
      </c>
      <c r="D1719" s="392"/>
      <c r="H1719" s="226"/>
      <c r="J1719" s="389"/>
      <c r="K1719" s="226"/>
      <c r="P1719" s="226"/>
    </row>
    <row r="1720" spans="1:16">
      <c r="A1720" s="227"/>
      <c r="B1720" s="131" t="s">
        <v>2707</v>
      </c>
      <c r="C1720" s="227">
        <v>93471</v>
      </c>
      <c r="D1720" s="392"/>
      <c r="H1720" s="226"/>
      <c r="J1720" s="389"/>
      <c r="K1720" s="226"/>
      <c r="P1720" s="226"/>
    </row>
    <row r="1721" spans="1:16">
      <c r="A1721" s="227"/>
      <c r="B1721" s="131" t="s">
        <v>736</v>
      </c>
      <c r="C1721" s="227">
        <v>90098</v>
      </c>
      <c r="D1721" s="392"/>
      <c r="H1721" s="226"/>
      <c r="J1721" s="389"/>
      <c r="K1721" s="226"/>
      <c r="P1721" s="226"/>
    </row>
    <row r="1722" spans="1:16">
      <c r="A1722" s="227"/>
      <c r="B1722" s="131" t="s">
        <v>2708</v>
      </c>
      <c r="C1722" s="227">
        <v>97121</v>
      </c>
      <c r="D1722" s="392"/>
      <c r="H1722" s="226"/>
      <c r="J1722" s="390"/>
      <c r="K1722" s="226"/>
      <c r="P1722" s="226"/>
    </row>
    <row r="1723" spans="1:16">
      <c r="A1723" s="227"/>
      <c r="B1723" s="131" t="s">
        <v>1516</v>
      </c>
      <c r="C1723" s="227">
        <v>98801</v>
      </c>
      <c r="D1723" s="392"/>
      <c r="H1723" s="226"/>
      <c r="J1723" s="389"/>
      <c r="K1723" s="226"/>
      <c r="P1723" s="226"/>
    </row>
    <row r="1724" spans="1:16">
      <c r="A1724" s="227"/>
      <c r="B1724" s="131" t="s">
        <v>2709</v>
      </c>
      <c r="C1724" s="227">
        <v>92521</v>
      </c>
      <c r="D1724" s="392"/>
      <c r="H1724" s="226"/>
      <c r="J1724" s="389"/>
      <c r="K1724" s="226"/>
      <c r="P1724" s="226"/>
    </row>
    <row r="1725" spans="1:16">
      <c r="A1725" s="227"/>
      <c r="B1725" s="131" t="s">
        <v>1046</v>
      </c>
      <c r="C1725" s="227">
        <v>93417</v>
      </c>
      <c r="D1725" s="392"/>
      <c r="H1725" s="226"/>
      <c r="J1725" s="390"/>
      <c r="K1725" s="226"/>
      <c r="P1725" s="226"/>
    </row>
    <row r="1726" spans="1:16">
      <c r="A1726" s="227"/>
      <c r="B1726" s="131" t="s">
        <v>1027</v>
      </c>
      <c r="C1726" s="227">
        <v>93219</v>
      </c>
      <c r="D1726" s="392"/>
      <c r="H1726" s="226"/>
      <c r="J1726" s="389"/>
      <c r="K1726" s="226"/>
      <c r="P1726" s="226"/>
    </row>
    <row r="1727" spans="1:16">
      <c r="A1727" s="227"/>
      <c r="B1727" s="131" t="s">
        <v>961</v>
      </c>
      <c r="C1727" s="227">
        <v>92513</v>
      </c>
      <c r="D1727" s="392"/>
      <c r="H1727" s="226"/>
      <c r="J1727" s="389"/>
      <c r="K1727" s="226"/>
      <c r="P1727" s="226"/>
    </row>
    <row r="1728" spans="1:16">
      <c r="A1728" s="227"/>
      <c r="B1728" s="131" t="s">
        <v>2018</v>
      </c>
      <c r="C1728" s="227">
        <v>97661</v>
      </c>
      <c r="D1728" s="392"/>
      <c r="H1728" s="226"/>
      <c r="J1728" s="389"/>
      <c r="K1728" s="226"/>
      <c r="P1728" s="226"/>
    </row>
    <row r="1729" spans="1:16">
      <c r="A1729" s="227"/>
      <c r="B1729" s="131" t="s">
        <v>2710</v>
      </c>
      <c r="C1729" s="227">
        <v>94931</v>
      </c>
      <c r="D1729" s="392"/>
      <c r="H1729" s="226"/>
      <c r="J1729" s="389"/>
      <c r="K1729" s="226"/>
      <c r="P1729" s="226"/>
    </row>
    <row r="1730" spans="1:16">
      <c r="A1730" s="227"/>
      <c r="B1730" s="256" t="s">
        <v>2711</v>
      </c>
      <c r="C1730" s="227">
        <v>94937</v>
      </c>
      <c r="D1730" s="392"/>
      <c r="H1730" s="226"/>
      <c r="J1730" s="389"/>
      <c r="K1730" s="226"/>
      <c r="P1730" s="226"/>
    </row>
    <row r="1731" spans="1:16">
      <c r="A1731" s="227"/>
      <c r="B1731" s="131" t="s">
        <v>2712</v>
      </c>
      <c r="C1731" s="227">
        <v>96221</v>
      </c>
      <c r="D1731" s="392"/>
      <c r="H1731" s="226"/>
      <c r="J1731" s="389"/>
      <c r="K1731" s="226"/>
      <c r="P1731" s="226"/>
    </row>
    <row r="1732" spans="1:16">
      <c r="A1732" s="227"/>
      <c r="B1732" s="131" t="s">
        <v>2713</v>
      </c>
      <c r="C1732" s="227">
        <v>97511</v>
      </c>
      <c r="D1732" s="392"/>
      <c r="H1732" s="226"/>
      <c r="J1732" s="389"/>
      <c r="K1732" s="226"/>
      <c r="P1732" s="226"/>
    </row>
    <row r="1733" spans="1:16">
      <c r="A1733" s="227"/>
      <c r="B1733" s="131" t="s">
        <v>1183</v>
      </c>
      <c r="C1733" s="227">
        <v>95002</v>
      </c>
      <c r="D1733" s="392"/>
      <c r="H1733" s="226"/>
      <c r="J1733" s="389"/>
      <c r="K1733" s="226"/>
      <c r="P1733" s="226"/>
    </row>
    <row r="1734" spans="1:16">
      <c r="A1734" s="227"/>
      <c r="B1734" s="131" t="s">
        <v>2714</v>
      </c>
      <c r="C1734" s="227">
        <v>98251</v>
      </c>
      <c r="D1734" s="392"/>
      <c r="H1734" s="226"/>
      <c r="J1734" s="390"/>
      <c r="K1734" s="226"/>
      <c r="P1734" s="226"/>
    </row>
    <row r="1735" spans="1:16">
      <c r="A1735" s="227"/>
      <c r="B1735" s="131" t="s">
        <v>1519</v>
      </c>
      <c r="C1735" s="227">
        <v>98901</v>
      </c>
      <c r="D1735" s="392"/>
      <c r="H1735" s="226"/>
      <c r="J1735" s="389"/>
      <c r="K1735" s="226"/>
      <c r="P1735" s="226"/>
    </row>
    <row r="1736" spans="1:16">
      <c r="A1736" s="227"/>
      <c r="B1736" s="131" t="s">
        <v>2789</v>
      </c>
      <c r="C1736" s="227">
        <v>98904</v>
      </c>
      <c r="D1736" s="392"/>
      <c r="H1736" s="226"/>
      <c r="J1736" s="389"/>
      <c r="K1736" s="226"/>
      <c r="P1736" s="226"/>
    </row>
    <row r="1737" spans="1:16">
      <c r="A1737" s="227"/>
      <c r="B1737" s="131" t="s">
        <v>1522</v>
      </c>
      <c r="C1737" s="227">
        <v>99001</v>
      </c>
      <c r="D1737" s="392"/>
      <c r="H1737" s="226"/>
      <c r="J1737" s="390"/>
      <c r="K1737" s="226"/>
      <c r="P1737" s="226"/>
    </row>
    <row r="1738" spans="1:16">
      <c r="A1738" s="227"/>
      <c r="B1738" s="131" t="s">
        <v>2752</v>
      </c>
      <c r="C1738" s="227">
        <v>99061</v>
      </c>
      <c r="D1738" s="392"/>
      <c r="H1738" s="226"/>
      <c r="J1738" s="389"/>
      <c r="K1738" s="226"/>
      <c r="P1738" s="226"/>
    </row>
    <row r="1739" spans="1:16">
      <c r="A1739" s="227"/>
      <c r="B1739" s="131" t="s">
        <v>1031</v>
      </c>
      <c r="C1739" s="227">
        <v>93309</v>
      </c>
      <c r="D1739" s="392"/>
      <c r="H1739" s="226"/>
      <c r="J1739" s="389"/>
      <c r="K1739" s="226"/>
      <c r="P1739" s="226"/>
    </row>
    <row r="1740" spans="1:16">
      <c r="A1740" s="227"/>
      <c r="B1740" s="131" t="s">
        <v>2715</v>
      </c>
      <c r="C1740" s="227">
        <v>91211</v>
      </c>
      <c r="D1740" s="392"/>
      <c r="H1740" s="226"/>
      <c r="J1740" s="389"/>
      <c r="K1740" s="226"/>
      <c r="P1740" s="226"/>
    </row>
    <row r="1741" spans="1:16">
      <c r="A1741" s="227"/>
      <c r="B1741" s="252" t="s">
        <v>1934</v>
      </c>
      <c r="C1741" s="227">
        <v>94947</v>
      </c>
      <c r="D1741" s="392"/>
      <c r="H1741" s="226"/>
      <c r="J1741" s="389"/>
      <c r="K1741" s="226"/>
      <c r="P1741" s="226"/>
    </row>
    <row r="1742" spans="1:16">
      <c r="A1742" s="227"/>
      <c r="B1742" s="131" t="s">
        <v>853</v>
      </c>
      <c r="C1742" s="227">
        <v>91213</v>
      </c>
      <c r="D1742" s="392"/>
      <c r="H1742" s="226"/>
      <c r="J1742" s="389"/>
      <c r="K1742" s="226"/>
      <c r="P1742" s="226"/>
    </row>
    <row r="1743" spans="1:16">
      <c r="A1743" s="227"/>
      <c r="B1743" s="131" t="s">
        <v>1536</v>
      </c>
      <c r="C1743" s="227">
        <v>99101</v>
      </c>
      <c r="D1743" s="392"/>
      <c r="H1743" s="226"/>
      <c r="J1743" s="389"/>
      <c r="K1743" s="226"/>
      <c r="P1743" s="226"/>
    </row>
    <row r="1744" spans="1:16">
      <c r="A1744" s="227"/>
      <c r="B1744" s="131" t="s">
        <v>2788</v>
      </c>
      <c r="C1744" s="227">
        <v>99104</v>
      </c>
      <c r="D1744" s="392"/>
      <c r="H1744" s="226"/>
      <c r="J1744" s="389"/>
      <c r="K1744" s="226"/>
      <c r="P1744" s="226"/>
    </row>
    <row r="1745" spans="1:16">
      <c r="A1745" s="227"/>
      <c r="B1745" s="131" t="s">
        <v>2716</v>
      </c>
      <c r="C1745" s="227">
        <v>92551</v>
      </c>
      <c r="D1745" s="392"/>
      <c r="H1745" s="226"/>
      <c r="J1745" s="389"/>
      <c r="K1745" s="226"/>
      <c r="P1745" s="226"/>
    </row>
    <row r="1746" spans="1:16">
      <c r="A1746" s="227"/>
      <c r="B1746" s="131" t="s">
        <v>2717</v>
      </c>
      <c r="C1746" s="227">
        <v>96321</v>
      </c>
      <c r="D1746" s="392"/>
      <c r="H1746" s="226"/>
      <c r="J1746" s="390"/>
      <c r="K1746" s="226"/>
      <c r="P1746" s="226"/>
    </row>
    <row r="1747" spans="1:16">
      <c r="A1747" s="227"/>
      <c r="B1747" s="131" t="s">
        <v>1186</v>
      </c>
      <c r="C1747" s="227">
        <v>95009</v>
      </c>
      <c r="D1747" s="392"/>
      <c r="H1747" s="226"/>
      <c r="J1747" s="389"/>
      <c r="K1747" s="226"/>
      <c r="P1747" s="226"/>
    </row>
    <row r="1748" spans="1:16">
      <c r="A1748" s="227"/>
      <c r="B1748" s="131" t="s">
        <v>2718</v>
      </c>
      <c r="C1748" s="227">
        <v>92641</v>
      </c>
      <c r="D1748" s="392"/>
      <c r="H1748" s="226"/>
      <c r="J1748" s="389"/>
      <c r="K1748" s="226"/>
      <c r="P1748" s="226"/>
    </row>
    <row r="1749" spans="1:16">
      <c r="A1749" s="227"/>
      <c r="B1749" s="131" t="s">
        <v>2719</v>
      </c>
      <c r="C1749" s="227">
        <v>90411</v>
      </c>
      <c r="D1749" s="392"/>
      <c r="H1749" s="226"/>
      <c r="J1749" s="390"/>
      <c r="K1749" s="226"/>
      <c r="P1749" s="226"/>
    </row>
    <row r="1750" spans="1:16">
      <c r="A1750" s="227"/>
      <c r="B1750" s="131" t="s">
        <v>758</v>
      </c>
      <c r="C1750" s="227">
        <v>90417</v>
      </c>
      <c r="D1750" s="392"/>
      <c r="H1750" s="226"/>
      <c r="J1750" s="389"/>
      <c r="K1750" s="226"/>
      <c r="P1750" s="226"/>
    </row>
    <row r="1751" spans="1:16">
      <c r="A1751" s="227"/>
      <c r="B1751" s="131" t="s">
        <v>757</v>
      </c>
      <c r="C1751" s="227">
        <v>90413</v>
      </c>
      <c r="D1751" s="392"/>
      <c r="H1751" s="226"/>
      <c r="J1751" s="389"/>
      <c r="K1751" s="226"/>
      <c r="P1751" s="226"/>
    </row>
    <row r="1752" spans="1:16">
      <c r="A1752" s="227"/>
      <c r="B1752" s="131" t="s">
        <v>2720</v>
      </c>
      <c r="C1752" s="227">
        <v>98321</v>
      </c>
      <c r="D1752" s="392"/>
      <c r="H1752" s="226"/>
      <c r="J1752" s="389"/>
      <c r="K1752" s="226"/>
      <c r="P1752" s="226"/>
    </row>
    <row r="1753" spans="1:16">
      <c r="A1753" s="227"/>
      <c r="B1753" s="131" t="s">
        <v>1541</v>
      </c>
      <c r="C1753" s="51">
        <v>99201</v>
      </c>
      <c r="D1753" s="392"/>
      <c r="H1753" s="226"/>
      <c r="J1753" s="389"/>
      <c r="K1753" s="226"/>
      <c r="P1753" s="226"/>
    </row>
    <row r="1754" spans="1:16">
      <c r="A1754" s="227"/>
      <c r="B1754" s="131" t="s">
        <v>1544</v>
      </c>
      <c r="C1754" s="227">
        <v>99204</v>
      </c>
      <c r="D1754" s="392"/>
      <c r="H1754" s="226"/>
      <c r="J1754" s="389"/>
      <c r="K1754" s="226"/>
      <c r="P1754" s="226"/>
    </row>
    <row r="1755" spans="1:16">
      <c r="A1755" s="227"/>
      <c r="B1755" s="131" t="s">
        <v>1546</v>
      </c>
      <c r="C1755" s="227">
        <v>99207</v>
      </c>
      <c r="D1755" s="392"/>
      <c r="H1755" s="226"/>
      <c r="J1755" s="389"/>
      <c r="K1755" s="226"/>
      <c r="P1755" s="226"/>
    </row>
    <row r="1756" spans="1:16">
      <c r="A1756" s="227"/>
      <c r="B1756" s="131" t="s">
        <v>2721</v>
      </c>
      <c r="C1756" s="227">
        <v>99281</v>
      </c>
      <c r="D1756" s="392"/>
      <c r="H1756" s="226"/>
      <c r="J1756" s="389"/>
      <c r="K1756" s="226"/>
      <c r="P1756" s="226"/>
    </row>
    <row r="1757" spans="1:16">
      <c r="A1757" s="227"/>
      <c r="B1757" s="131" t="s">
        <v>2722</v>
      </c>
      <c r="C1757" s="227">
        <v>93461</v>
      </c>
      <c r="D1757" s="392"/>
      <c r="H1757" s="226"/>
      <c r="J1757" s="389"/>
      <c r="K1757" s="226"/>
      <c r="P1757" s="226"/>
    </row>
    <row r="1758" spans="1:16">
      <c r="A1758" s="227"/>
      <c r="B1758" s="131" t="s">
        <v>2723</v>
      </c>
      <c r="C1758" s="227">
        <v>93151</v>
      </c>
      <c r="D1758" s="392"/>
      <c r="H1758" s="226"/>
      <c r="J1758" s="390"/>
      <c r="K1758" s="226"/>
      <c r="P1758" s="226"/>
    </row>
    <row r="1759" spans="1:16">
      <c r="A1759" s="227"/>
      <c r="B1759" s="131" t="s">
        <v>1016</v>
      </c>
      <c r="C1759" s="227">
        <v>93157</v>
      </c>
      <c r="D1759" s="392"/>
      <c r="H1759" s="226"/>
      <c r="J1759" s="389"/>
      <c r="K1759" s="226"/>
      <c r="P1759" s="226"/>
    </row>
    <row r="1760" spans="1:16">
      <c r="A1760" s="227"/>
      <c r="B1760" s="131" t="s">
        <v>2724</v>
      </c>
      <c r="C1760" s="227">
        <v>98511</v>
      </c>
      <c r="D1760" s="392"/>
      <c r="H1760" s="226"/>
      <c r="J1760" s="389"/>
      <c r="K1760" s="226"/>
      <c r="P1760" s="226"/>
    </row>
    <row r="1761" spans="1:16">
      <c r="A1761" s="227"/>
      <c r="B1761" s="131" t="s">
        <v>1501</v>
      </c>
      <c r="C1761" s="227">
        <v>98517</v>
      </c>
      <c r="D1761" s="392"/>
      <c r="H1761" s="226"/>
      <c r="J1761" s="390"/>
      <c r="K1761" s="226"/>
      <c r="P1761" s="226"/>
    </row>
    <row r="1762" spans="1:16">
      <c r="A1762" s="227"/>
      <c r="B1762" s="131" t="s">
        <v>2725</v>
      </c>
      <c r="C1762" s="227">
        <v>99661</v>
      </c>
      <c r="D1762" s="392"/>
      <c r="H1762" s="226"/>
      <c r="J1762" s="389"/>
      <c r="K1762" s="226"/>
      <c r="P1762" s="226"/>
    </row>
    <row r="1763" spans="1:16">
      <c r="A1763" s="227"/>
      <c r="B1763" s="131" t="s">
        <v>2726</v>
      </c>
      <c r="C1763" s="227">
        <v>94031</v>
      </c>
      <c r="D1763" s="392"/>
      <c r="H1763" s="226"/>
      <c r="J1763" s="389"/>
      <c r="K1763" s="226"/>
      <c r="P1763" s="226"/>
    </row>
    <row r="1764" spans="1:16">
      <c r="A1764" s="227"/>
      <c r="B1764" s="131" t="s">
        <v>1563</v>
      </c>
      <c r="C1764" s="227">
        <v>99301</v>
      </c>
      <c r="D1764" s="392"/>
      <c r="H1764" s="226"/>
      <c r="J1764" s="389"/>
      <c r="K1764" s="226"/>
      <c r="P1764" s="226"/>
    </row>
    <row r="1765" spans="1:16">
      <c r="A1765" s="227"/>
      <c r="B1765" s="131" t="s">
        <v>1564</v>
      </c>
      <c r="C1765" s="227">
        <v>99304</v>
      </c>
      <c r="D1765" s="392"/>
      <c r="H1765" s="226"/>
      <c r="J1765" s="389"/>
      <c r="K1765" s="226"/>
      <c r="P1765" s="226"/>
    </row>
    <row r="1766" spans="1:16">
      <c r="A1766" s="227"/>
      <c r="B1766" s="131" t="s">
        <v>2727</v>
      </c>
      <c r="C1766" s="227">
        <v>99321</v>
      </c>
      <c r="D1766" s="392"/>
      <c r="H1766" s="226"/>
      <c r="J1766" s="389"/>
      <c r="K1766" s="226"/>
      <c r="P1766" s="226"/>
    </row>
    <row r="1767" spans="1:16">
      <c r="A1767" s="227"/>
      <c r="B1767" s="131" t="s">
        <v>2728</v>
      </c>
      <c r="C1767" s="227">
        <v>93131</v>
      </c>
      <c r="D1767" s="392"/>
      <c r="H1767" s="226"/>
      <c r="J1767" s="389"/>
      <c r="K1767" s="226"/>
      <c r="P1767" s="226"/>
    </row>
    <row r="1768" spans="1:16">
      <c r="A1768" s="227"/>
      <c r="B1768" s="131" t="s">
        <v>1013</v>
      </c>
      <c r="C1768" s="227">
        <v>93137</v>
      </c>
      <c r="D1768" s="392"/>
      <c r="H1768" s="226"/>
      <c r="J1768" s="389"/>
      <c r="K1768" s="226"/>
      <c r="P1768" s="226"/>
    </row>
    <row r="1769" spans="1:16">
      <c r="A1769" s="227"/>
      <c r="B1769" s="131" t="s">
        <v>2019</v>
      </c>
      <c r="C1769" s="227">
        <v>90711</v>
      </c>
      <c r="D1769" s="392"/>
      <c r="H1769" s="226"/>
      <c r="J1769" s="389"/>
      <c r="K1769" s="226"/>
      <c r="P1769" s="226"/>
    </row>
    <row r="1770" spans="1:16">
      <c r="A1770" s="227"/>
      <c r="B1770" s="131" t="s">
        <v>1567</v>
      </c>
      <c r="C1770" s="227">
        <v>99401</v>
      </c>
      <c r="D1770" s="392"/>
      <c r="H1770" s="226"/>
      <c r="J1770" s="390"/>
      <c r="K1770" s="226"/>
      <c r="P1770" s="226"/>
    </row>
    <row r="1771" spans="1:16">
      <c r="A1771" s="227"/>
      <c r="B1771" s="131" t="s">
        <v>1568</v>
      </c>
      <c r="C1771" s="227">
        <v>99404</v>
      </c>
      <c r="D1771" s="392"/>
      <c r="H1771" s="226"/>
      <c r="J1771" s="389"/>
      <c r="K1771" s="226"/>
      <c r="P1771" s="226"/>
    </row>
    <row r="1772" spans="1:16">
      <c r="A1772" s="227"/>
      <c r="B1772" s="131" t="s">
        <v>2729</v>
      </c>
      <c r="C1772" s="227">
        <v>90741</v>
      </c>
      <c r="D1772" s="392"/>
      <c r="H1772" s="226"/>
      <c r="J1772" s="389"/>
      <c r="K1772" s="226"/>
      <c r="P1772" s="226"/>
    </row>
    <row r="1773" spans="1:16">
      <c r="A1773" s="227"/>
      <c r="B1773" s="131" t="s">
        <v>1574</v>
      </c>
      <c r="C1773" s="227">
        <v>99501</v>
      </c>
      <c r="D1773" s="392"/>
      <c r="H1773" s="226"/>
      <c r="J1773" s="390"/>
      <c r="K1773" s="226"/>
      <c r="P1773" s="226"/>
    </row>
    <row r="1774" spans="1:16">
      <c r="A1774" s="227"/>
      <c r="B1774" s="131" t="s">
        <v>1577</v>
      </c>
      <c r="C1774" s="227">
        <v>99509</v>
      </c>
      <c r="D1774" s="392"/>
      <c r="H1774" s="226"/>
      <c r="J1774" s="389"/>
      <c r="K1774" s="226"/>
      <c r="P1774" s="226"/>
    </row>
    <row r="1775" spans="1:16">
      <c r="A1775" s="227"/>
      <c r="B1775" s="131" t="s">
        <v>2787</v>
      </c>
      <c r="C1775" s="227">
        <v>91302</v>
      </c>
      <c r="D1775" s="392"/>
      <c r="H1775" s="226"/>
      <c r="J1775" s="389"/>
      <c r="K1775" s="226"/>
      <c r="P1775" s="226"/>
    </row>
    <row r="1776" spans="1:16">
      <c r="A1776" s="227"/>
      <c r="B1776" s="131" t="s">
        <v>2730</v>
      </c>
      <c r="C1776" s="227">
        <v>99041</v>
      </c>
      <c r="D1776" s="392"/>
      <c r="H1776" s="226"/>
      <c r="J1776" s="389"/>
      <c r="K1776" s="226"/>
      <c r="P1776" s="226"/>
    </row>
    <row r="1777" spans="1:16">
      <c r="A1777" s="227"/>
      <c r="B1777" s="131" t="s">
        <v>1530</v>
      </c>
      <c r="C1777" s="227">
        <v>99047</v>
      </c>
      <c r="D1777" s="392"/>
      <c r="H1777" s="226"/>
      <c r="J1777" s="389"/>
      <c r="K1777" s="226"/>
      <c r="P1777" s="226"/>
    </row>
    <row r="1778" spans="1:16">
      <c r="A1778" s="227"/>
      <c r="B1778" s="131" t="s">
        <v>1582</v>
      </c>
      <c r="C1778" s="227">
        <v>99601</v>
      </c>
      <c r="D1778" s="392"/>
      <c r="H1778" s="226"/>
      <c r="J1778" s="389"/>
      <c r="K1778" s="226"/>
      <c r="P1778" s="226"/>
    </row>
    <row r="1779" spans="1:16">
      <c r="A1779" s="227"/>
      <c r="B1779" s="131" t="s">
        <v>1585</v>
      </c>
      <c r="C1779" s="227">
        <v>99604</v>
      </c>
      <c r="D1779" s="392"/>
      <c r="H1779" s="226"/>
      <c r="J1779" s="390"/>
      <c r="K1779" s="226"/>
      <c r="P1779" s="226"/>
    </row>
    <row r="1780" spans="1:16">
      <c r="A1780" s="227"/>
      <c r="B1780" s="131" t="s">
        <v>2731</v>
      </c>
      <c r="C1780" s="227">
        <v>94411</v>
      </c>
      <c r="D1780" s="392"/>
      <c r="H1780" s="226"/>
      <c r="J1780" s="389"/>
      <c r="K1780" s="226"/>
      <c r="P1780" s="226"/>
    </row>
    <row r="1781" spans="1:16">
      <c r="A1781" s="227"/>
      <c r="B1781" s="131" t="s">
        <v>1143</v>
      </c>
      <c r="C1781" s="227">
        <v>94412</v>
      </c>
      <c r="D1781" s="392"/>
      <c r="H1781" s="226"/>
      <c r="J1781" s="389"/>
      <c r="K1781" s="226"/>
      <c r="P1781" s="226"/>
    </row>
    <row r="1782" spans="1:16">
      <c r="A1782" s="227"/>
      <c r="B1782" s="131" t="s">
        <v>2732</v>
      </c>
      <c r="C1782" s="227">
        <v>91141</v>
      </c>
      <c r="D1782" s="392"/>
      <c r="H1782" s="226"/>
      <c r="J1782" s="389"/>
      <c r="K1782" s="226"/>
      <c r="P1782" s="226"/>
    </row>
    <row r="1783" spans="1:16">
      <c r="A1783" s="227"/>
      <c r="B1783" s="131" t="s">
        <v>842</v>
      </c>
      <c r="C1783" s="227">
        <v>91147</v>
      </c>
      <c r="D1783" s="392"/>
      <c r="H1783" s="226"/>
      <c r="J1783" s="389"/>
      <c r="K1783" s="226"/>
      <c r="P1783" s="226"/>
    </row>
    <row r="1784" spans="1:16">
      <c r="A1784" s="227"/>
      <c r="B1784" s="131" t="s">
        <v>2733</v>
      </c>
      <c r="C1784" s="227">
        <v>99071</v>
      </c>
      <c r="D1784" s="392"/>
      <c r="H1784" s="226"/>
      <c r="J1784" s="389"/>
      <c r="K1784" s="226"/>
      <c r="P1784" s="226"/>
    </row>
    <row r="1785" spans="1:16">
      <c r="A1785" s="227"/>
      <c r="B1785" s="131" t="s">
        <v>2734</v>
      </c>
      <c r="C1785" s="227">
        <v>94231</v>
      </c>
      <c r="D1785" s="392"/>
      <c r="H1785" s="226"/>
      <c r="J1785" s="389"/>
      <c r="K1785" s="226"/>
      <c r="P1785" s="226"/>
    </row>
    <row r="1786" spans="1:16">
      <c r="A1786" s="227"/>
      <c r="B1786" s="131" t="s">
        <v>2735</v>
      </c>
      <c r="C1786" s="227">
        <v>99231</v>
      </c>
      <c r="D1786" s="392"/>
      <c r="H1786" s="226"/>
      <c r="J1786" s="389"/>
      <c r="K1786" s="226"/>
      <c r="P1786" s="226"/>
    </row>
    <row r="1787" spans="1:16">
      <c r="A1787" s="227"/>
      <c r="B1787" s="131" t="s">
        <v>2736</v>
      </c>
      <c r="C1787" s="227">
        <v>99091</v>
      </c>
      <c r="D1787" s="392"/>
      <c r="H1787" s="226"/>
      <c r="J1787" s="389"/>
      <c r="K1787" s="226"/>
      <c r="P1787" s="226"/>
    </row>
    <row r="1788" spans="1:16">
      <c r="A1788" s="227"/>
      <c r="B1788" s="131" t="s">
        <v>836</v>
      </c>
      <c r="C1788" s="227">
        <v>91120</v>
      </c>
      <c r="D1788" s="392"/>
      <c r="H1788" s="226"/>
      <c r="J1788" s="390"/>
      <c r="K1788" s="226"/>
      <c r="P1788" s="226"/>
    </row>
    <row r="1789" spans="1:16">
      <c r="A1789" s="227"/>
      <c r="B1789" s="131" t="s">
        <v>950</v>
      </c>
      <c r="C1789" s="227">
        <v>92444</v>
      </c>
      <c r="D1789" s="392"/>
      <c r="H1789" s="226"/>
      <c r="J1789" s="389"/>
      <c r="K1789" s="226"/>
      <c r="P1789" s="226"/>
    </row>
    <row r="1790" spans="1:16">
      <c r="A1790" s="227"/>
      <c r="B1790" s="131" t="s">
        <v>2737</v>
      </c>
      <c r="C1790" s="227">
        <v>90521</v>
      </c>
      <c r="D1790" s="392"/>
      <c r="H1790" s="226"/>
      <c r="J1790" s="389"/>
      <c r="K1790" s="226"/>
      <c r="P1790" s="226"/>
    </row>
    <row r="1791" spans="1:16">
      <c r="A1791" s="227"/>
      <c r="B1791" s="131" t="s">
        <v>34</v>
      </c>
      <c r="C1791" s="227">
        <v>90507</v>
      </c>
      <c r="D1791" s="392"/>
      <c r="H1791" s="226"/>
      <c r="J1791" s="390"/>
      <c r="K1791" s="226"/>
      <c r="P1791" s="226"/>
    </row>
    <row r="1792" spans="1:16">
      <c r="A1792" s="227"/>
      <c r="B1792" s="131" t="s">
        <v>969</v>
      </c>
      <c r="C1792" s="227">
        <v>92602</v>
      </c>
      <c r="D1792" s="392"/>
      <c r="H1792" s="226"/>
      <c r="J1792" s="389"/>
      <c r="K1792" s="226"/>
      <c r="P1792" s="226"/>
    </row>
    <row r="1793" spans="1:16">
      <c r="A1793" s="227"/>
      <c r="B1793" s="131" t="s">
        <v>886</v>
      </c>
      <c r="C1793" s="227">
        <v>91608</v>
      </c>
      <c r="D1793" s="392"/>
      <c r="H1793" s="226"/>
      <c r="J1793" s="389"/>
      <c r="K1793" s="226"/>
      <c r="P1793" s="226"/>
    </row>
    <row r="1794" spans="1:16">
      <c r="A1794" s="227"/>
      <c r="B1794" s="131" t="s">
        <v>48</v>
      </c>
      <c r="C1794" s="227">
        <v>91119</v>
      </c>
      <c r="D1794" s="392"/>
      <c r="H1794" s="226"/>
      <c r="J1794" s="389"/>
      <c r="K1794" s="226"/>
      <c r="P1794" s="226"/>
    </row>
    <row r="1795" spans="1:16">
      <c r="A1795" s="227"/>
      <c r="B1795" s="131" t="s">
        <v>832</v>
      </c>
      <c r="C1795" s="227">
        <v>91107</v>
      </c>
      <c r="D1795" s="392"/>
      <c r="H1795" s="226"/>
      <c r="J1795" s="389"/>
      <c r="K1795" s="226"/>
      <c r="P1795" s="226"/>
    </row>
    <row r="1796" spans="1:16">
      <c r="A1796" s="227"/>
      <c r="B1796" s="131" t="s">
        <v>2786</v>
      </c>
      <c r="C1796" s="227">
        <v>91818</v>
      </c>
      <c r="D1796" s="392"/>
      <c r="H1796" s="226"/>
      <c r="J1796" s="389"/>
      <c r="K1796" s="226"/>
      <c r="P1796" s="226"/>
    </row>
    <row r="1797" spans="1:16">
      <c r="A1797" s="227"/>
      <c r="B1797" s="131" t="s">
        <v>907</v>
      </c>
      <c r="C1797" s="227">
        <v>91819</v>
      </c>
      <c r="D1797" s="392"/>
      <c r="H1797" s="226"/>
      <c r="J1797" s="389"/>
      <c r="K1797" s="226"/>
      <c r="P1797" s="226"/>
    </row>
    <row r="1798" spans="1:16">
      <c r="A1798" s="227"/>
      <c r="B1798" s="131" t="s">
        <v>2738</v>
      </c>
      <c r="C1798" s="227">
        <v>96371</v>
      </c>
      <c r="D1798" s="392"/>
      <c r="H1798" s="226"/>
      <c r="J1798" s="389"/>
      <c r="K1798" s="226"/>
      <c r="P1798" s="226"/>
    </row>
    <row r="1799" spans="1:16">
      <c r="A1799" s="227"/>
      <c r="B1799" s="131" t="s">
        <v>2739</v>
      </c>
      <c r="C1799" s="227">
        <v>96441</v>
      </c>
      <c r="D1799" s="392"/>
      <c r="H1799" s="226"/>
      <c r="J1799" s="389"/>
      <c r="K1799" s="226"/>
      <c r="P1799" s="226"/>
    </row>
    <row r="1800" spans="1:16">
      <c r="A1800" s="227"/>
      <c r="B1800" s="131" t="s">
        <v>2740</v>
      </c>
      <c r="C1800" s="227">
        <v>90921</v>
      </c>
      <c r="D1800" s="392"/>
      <c r="H1800" s="226"/>
      <c r="J1800" s="390"/>
      <c r="K1800" s="226"/>
      <c r="P1800" s="226"/>
    </row>
    <row r="1801" spans="1:16">
      <c r="A1801" s="227"/>
      <c r="B1801" s="131" t="s">
        <v>2020</v>
      </c>
      <c r="C1801" s="227">
        <v>92411</v>
      </c>
      <c r="D1801" s="392"/>
      <c r="H1801" s="226"/>
      <c r="J1801" s="389"/>
      <c r="K1801" s="226"/>
      <c r="P1801" s="226"/>
    </row>
    <row r="1802" spans="1:16">
      <c r="A1802" s="227"/>
      <c r="B1802" s="131" t="s">
        <v>945</v>
      </c>
      <c r="C1802" s="227">
        <v>92417</v>
      </c>
      <c r="D1802" s="392"/>
      <c r="H1802" s="226"/>
      <c r="J1802" s="389"/>
      <c r="K1802" s="226"/>
      <c r="P1802" s="226"/>
    </row>
    <row r="1803" spans="1:16">
      <c r="A1803" s="227"/>
      <c r="B1803" s="131" t="s">
        <v>943</v>
      </c>
      <c r="C1803" s="227">
        <v>92403</v>
      </c>
      <c r="D1803" s="392"/>
      <c r="H1803" s="226"/>
      <c r="J1803" s="390"/>
      <c r="K1803" s="226"/>
      <c r="P1803" s="226"/>
    </row>
    <row r="1804" spans="1:16">
      <c r="A1804" s="227"/>
      <c r="B1804" s="131" t="s">
        <v>1595</v>
      </c>
      <c r="C1804" s="227">
        <v>99701</v>
      </c>
      <c r="D1804" s="392"/>
      <c r="H1804" s="226"/>
      <c r="J1804" s="389"/>
      <c r="K1804" s="226"/>
      <c r="P1804" s="226"/>
    </row>
    <row r="1805" spans="1:16">
      <c r="A1805" s="227"/>
      <c r="B1805" s="131" t="s">
        <v>2741</v>
      </c>
      <c r="C1805" s="227">
        <v>99721</v>
      </c>
      <c r="D1805" s="392"/>
      <c r="H1805" s="226"/>
      <c r="J1805" s="389"/>
      <c r="K1805" s="226"/>
      <c r="P1805" s="226"/>
    </row>
    <row r="1806" spans="1:16">
      <c r="A1806" s="227"/>
      <c r="B1806" s="131" t="s">
        <v>1600</v>
      </c>
      <c r="C1806" s="227">
        <v>99727</v>
      </c>
      <c r="D1806" s="392"/>
      <c r="H1806" s="226"/>
      <c r="J1806" s="389"/>
      <c r="K1806" s="226"/>
      <c r="P1806" s="226"/>
    </row>
    <row r="1807" spans="1:16">
      <c r="A1807" s="227"/>
      <c r="B1807" s="131" t="s">
        <v>2742</v>
      </c>
      <c r="C1807" s="227">
        <v>95811</v>
      </c>
      <c r="D1807" s="392"/>
      <c r="H1807" s="226"/>
      <c r="J1807" s="389"/>
      <c r="K1807" s="226"/>
      <c r="P1807" s="226"/>
    </row>
    <row r="1808" spans="1:16">
      <c r="A1808" s="227"/>
      <c r="B1808" s="131" t="s">
        <v>1242</v>
      </c>
      <c r="C1808" s="227">
        <v>95813</v>
      </c>
      <c r="D1808" s="392"/>
      <c r="H1808" s="226"/>
      <c r="J1808" s="389"/>
      <c r="K1808" s="226"/>
      <c r="P1808" s="226"/>
    </row>
    <row r="1809" spans="1:16">
      <c r="A1809" s="227"/>
      <c r="B1809" s="131" t="s">
        <v>2021</v>
      </c>
      <c r="C1809" s="227">
        <v>96531</v>
      </c>
      <c r="D1809" s="392"/>
      <c r="H1809" s="226"/>
      <c r="J1809" s="389"/>
      <c r="K1809" s="226"/>
      <c r="P1809" s="226"/>
    </row>
    <row r="1810" spans="1:16">
      <c r="A1810" s="227"/>
      <c r="B1810" s="131" t="s">
        <v>1307</v>
      </c>
      <c r="C1810" s="227">
        <v>96503</v>
      </c>
      <c r="D1810" s="392"/>
      <c r="H1810" s="226"/>
      <c r="J1810" s="389"/>
      <c r="K1810" s="226"/>
      <c r="P1810" s="226"/>
    </row>
    <row r="1811" spans="1:16">
      <c r="A1811" s="227"/>
      <c r="B1811" s="131" t="s">
        <v>2022</v>
      </c>
      <c r="C1811" s="227">
        <v>99811</v>
      </c>
      <c r="D1811" s="392"/>
      <c r="H1811" s="226"/>
      <c r="J1811" s="389"/>
      <c r="K1811" s="226"/>
      <c r="P1811" s="226"/>
    </row>
    <row r="1812" spans="1:16">
      <c r="A1812" s="227"/>
      <c r="B1812" s="131" t="s">
        <v>2023</v>
      </c>
      <c r="C1812" s="51">
        <v>99818</v>
      </c>
      <c r="D1812" s="392"/>
      <c r="H1812" s="226"/>
      <c r="J1812" s="390"/>
      <c r="K1812" s="226"/>
      <c r="P1812" s="226"/>
    </row>
    <row r="1813" spans="1:16">
      <c r="A1813" s="227"/>
      <c r="B1813" s="131" t="s">
        <v>1601</v>
      </c>
      <c r="C1813" s="227">
        <v>99801</v>
      </c>
      <c r="D1813" s="392"/>
      <c r="H1813" s="226"/>
      <c r="J1813" s="389"/>
      <c r="K1813" s="226"/>
      <c r="P1813" s="226"/>
    </row>
    <row r="1814" spans="1:16">
      <c r="A1814" s="227"/>
      <c r="B1814" s="131" t="s">
        <v>1603</v>
      </c>
      <c r="C1814" s="227">
        <v>99804</v>
      </c>
      <c r="D1814" s="392"/>
      <c r="H1814" s="226"/>
      <c r="J1814" s="389"/>
      <c r="K1814" s="226"/>
      <c r="P1814" s="226"/>
    </row>
    <row r="1815" spans="1:16">
      <c r="A1815" s="227"/>
      <c r="B1815" s="131" t="s">
        <v>2773</v>
      </c>
      <c r="C1815" s="227">
        <v>99802</v>
      </c>
      <c r="D1815" s="392"/>
      <c r="H1815" s="226"/>
      <c r="J1815" s="390"/>
      <c r="K1815" s="226"/>
      <c r="P1815" s="226"/>
    </row>
    <row r="1816" spans="1:16">
      <c r="A1816" s="227"/>
      <c r="B1816" s="131" t="s">
        <v>1605</v>
      </c>
      <c r="C1816" s="51">
        <v>99812</v>
      </c>
      <c r="D1816" s="392"/>
      <c r="H1816" s="226"/>
      <c r="J1816" s="389"/>
      <c r="K1816" s="226"/>
      <c r="P1816" s="226"/>
    </row>
    <row r="1817" spans="1:16">
      <c r="A1817" s="227"/>
      <c r="B1817" s="131" t="s">
        <v>2743</v>
      </c>
      <c r="C1817" s="227">
        <v>95191</v>
      </c>
      <c r="D1817" s="392"/>
      <c r="H1817" s="226"/>
      <c r="J1817" s="389"/>
      <c r="K1817" s="226"/>
      <c r="P1817" s="226"/>
    </row>
    <row r="1818" spans="1:16">
      <c r="A1818" s="227"/>
      <c r="B1818" s="131" t="s">
        <v>2744</v>
      </c>
      <c r="C1818" s="227">
        <v>90812</v>
      </c>
      <c r="D1818" s="392"/>
      <c r="H1818" s="226"/>
      <c r="J1818" s="389"/>
      <c r="K1818" s="226"/>
      <c r="P1818" s="226"/>
    </row>
    <row r="1819" spans="1:16">
      <c r="A1819" s="227"/>
      <c r="B1819" s="131" t="s">
        <v>2745</v>
      </c>
      <c r="C1819" s="227">
        <v>97221</v>
      </c>
      <c r="D1819" s="392"/>
      <c r="H1819" s="226"/>
      <c r="J1819" s="389"/>
      <c r="K1819" s="226"/>
      <c r="P1819" s="226"/>
    </row>
    <row r="1820" spans="1:16">
      <c r="A1820" s="227"/>
      <c r="B1820" s="131" t="s">
        <v>2746</v>
      </c>
      <c r="C1820" s="227">
        <v>99031</v>
      </c>
      <c r="D1820" s="392"/>
      <c r="H1820" s="226"/>
      <c r="J1820" s="389"/>
      <c r="K1820" s="226"/>
      <c r="P1820" s="226"/>
    </row>
    <row r="1821" spans="1:16">
      <c r="A1821" s="227"/>
      <c r="B1821" s="131" t="s">
        <v>2024</v>
      </c>
      <c r="C1821" s="227">
        <v>93411</v>
      </c>
      <c r="D1821" s="392"/>
      <c r="H1821" s="226"/>
      <c r="J1821" s="389"/>
      <c r="K1821" s="226"/>
      <c r="P1821" s="226"/>
    </row>
    <row r="1822" spans="1:16">
      <c r="A1822" s="227"/>
      <c r="B1822" s="131" t="s">
        <v>1045</v>
      </c>
      <c r="C1822" s="227">
        <v>93413</v>
      </c>
      <c r="D1822" s="392"/>
      <c r="H1822" s="226"/>
      <c r="J1822" s="389"/>
      <c r="K1822" s="226"/>
      <c r="P1822" s="226"/>
    </row>
    <row r="1823" spans="1:16">
      <c r="A1823" s="227"/>
      <c r="B1823" s="131" t="s">
        <v>2747</v>
      </c>
      <c r="C1823" s="227">
        <v>97451</v>
      </c>
      <c r="D1823" s="392"/>
      <c r="H1823" s="226"/>
      <c r="J1823" s="389"/>
      <c r="K1823" s="226"/>
      <c r="P1823" s="226"/>
    </row>
    <row r="1824" spans="1:16">
      <c r="A1824" s="227"/>
      <c r="B1824" s="131" t="s">
        <v>2748</v>
      </c>
      <c r="C1824" s="227">
        <v>94631</v>
      </c>
      <c r="D1824" s="392"/>
      <c r="H1824" s="226"/>
      <c r="J1824" s="390"/>
      <c r="K1824" s="226"/>
      <c r="P1824" s="226"/>
    </row>
    <row r="1825" spans="1:16">
      <c r="A1825" s="227"/>
      <c r="B1825" s="131" t="s">
        <v>2749</v>
      </c>
      <c r="C1825" s="227">
        <v>91171</v>
      </c>
      <c r="D1825" s="392"/>
      <c r="H1825" s="226"/>
      <c r="J1825" s="389"/>
      <c r="K1825" s="226"/>
      <c r="P1825" s="226"/>
    </row>
    <row r="1826" spans="1:16">
      <c r="A1826" s="227"/>
      <c r="B1826" s="131" t="s">
        <v>831</v>
      </c>
      <c r="C1826" s="227">
        <v>91104</v>
      </c>
      <c r="D1826" s="392"/>
      <c r="H1826" s="226"/>
      <c r="J1826" s="389"/>
      <c r="K1826" s="226"/>
      <c r="P1826" s="226"/>
    </row>
    <row r="1827" spans="1:16">
      <c r="A1827" s="227"/>
      <c r="B1827" s="131" t="s">
        <v>2785</v>
      </c>
      <c r="C1827" s="227">
        <v>91109</v>
      </c>
      <c r="D1827" s="392"/>
      <c r="H1827" s="226"/>
      <c r="J1827" s="385"/>
      <c r="K1827" s="226"/>
      <c r="P1827" s="226"/>
    </row>
    <row r="1828" spans="1:16">
      <c r="A1828" s="227"/>
      <c r="B1828" s="131" t="s">
        <v>2750</v>
      </c>
      <c r="C1828" s="227">
        <v>96621</v>
      </c>
      <c r="D1828" s="392"/>
      <c r="H1828" s="226"/>
      <c r="K1828" s="226"/>
      <c r="P1828" s="226"/>
    </row>
    <row r="1829" spans="1:16">
      <c r="A1829" s="227"/>
      <c r="B1829" s="131" t="s">
        <v>2498</v>
      </c>
      <c r="C1829" s="227">
        <v>96511</v>
      </c>
      <c r="D1829" s="392"/>
      <c r="H1829" s="226"/>
      <c r="K1829" s="226"/>
      <c r="P1829" s="226"/>
    </row>
    <row r="1830" spans="1:16">
      <c r="A1830" s="227"/>
      <c r="B1830" s="131" t="s">
        <v>1611</v>
      </c>
      <c r="C1830" s="51">
        <v>99901</v>
      </c>
      <c r="D1830" s="392"/>
      <c r="H1830" s="226"/>
      <c r="K1830" s="226"/>
      <c r="P1830" s="226"/>
    </row>
    <row r="1831" spans="1:16">
      <c r="A1831" s="227"/>
      <c r="B1831" s="131" t="s">
        <v>3521</v>
      </c>
      <c r="C1831" s="227">
        <v>98604</v>
      </c>
      <c r="D1831" s="392"/>
      <c r="H1831" s="226"/>
      <c r="K1831" s="226"/>
      <c r="P1831" s="226"/>
    </row>
    <row r="1832" spans="1:16">
      <c r="A1832" s="227"/>
      <c r="B1832" s="131" t="s">
        <v>1506</v>
      </c>
      <c r="C1832" s="227">
        <v>98608</v>
      </c>
      <c r="D1832" s="392"/>
      <c r="H1832" s="226"/>
      <c r="K1832" s="226"/>
      <c r="P1832" s="226"/>
    </row>
    <row r="1833" spans="1:16">
      <c r="A1833" s="227"/>
      <c r="B1833" s="131" t="s">
        <v>2497</v>
      </c>
      <c r="C1833" s="51">
        <v>99911</v>
      </c>
      <c r="D1833" s="392"/>
      <c r="H1833" s="226"/>
      <c r="K1833" s="226"/>
      <c r="P1833" s="226"/>
    </row>
    <row r="1834" spans="1:16">
      <c r="A1834" s="227"/>
      <c r="B1834" s="131" t="s">
        <v>731</v>
      </c>
      <c r="C1834" s="227">
        <v>90001</v>
      </c>
      <c r="D1834" s="392"/>
      <c r="H1834" s="226"/>
      <c r="K1834" s="226"/>
      <c r="P1834" s="226"/>
    </row>
    <row r="1835" spans="1:16">
      <c r="A1835" s="227"/>
      <c r="B1835" s="131" t="s">
        <v>2784</v>
      </c>
      <c r="C1835" s="227">
        <v>90002</v>
      </c>
      <c r="D1835" s="392"/>
      <c r="H1835" s="226"/>
      <c r="K1835" s="226"/>
      <c r="P1835" s="226"/>
    </row>
    <row r="1836" spans="1:16">
      <c r="A1836" s="227"/>
      <c r="B1836" s="131" t="s">
        <v>2496</v>
      </c>
      <c r="C1836" s="227">
        <v>91719</v>
      </c>
      <c r="D1836" s="392"/>
      <c r="H1836" s="226"/>
      <c r="K1836" s="226"/>
      <c r="P1836" s="226"/>
    </row>
    <row r="1837" spans="1:16">
      <c r="A1837" s="227"/>
      <c r="B1837" s="131" t="s">
        <v>2494</v>
      </c>
      <c r="C1837" s="227">
        <v>93541</v>
      </c>
      <c r="D1837" s="392"/>
      <c r="H1837" s="226"/>
      <c r="K1837" s="226"/>
      <c r="P1837" s="226"/>
    </row>
    <row r="1838" spans="1:16">
      <c r="A1838" s="227"/>
      <c r="B1838" s="131" t="s">
        <v>2495</v>
      </c>
      <c r="C1838" s="227">
        <v>99241</v>
      </c>
      <c r="D1838" s="392"/>
      <c r="H1838" s="226"/>
      <c r="K1838" s="226"/>
      <c r="P1838" s="226"/>
    </row>
    <row r="1839" spans="1:16">
      <c r="A1839" s="227"/>
      <c r="B1839" s="393"/>
      <c r="C1839" s="392"/>
      <c r="D1839" s="392"/>
      <c r="H1839" s="226"/>
      <c r="K1839" s="226"/>
      <c r="P1839" s="226"/>
    </row>
    <row r="1840" spans="1:16">
      <c r="B1840" s="393"/>
      <c r="C1840" s="392"/>
      <c r="D1840" s="392"/>
      <c r="H1840" s="226"/>
      <c r="K1840" s="226"/>
      <c r="P1840" s="226"/>
    </row>
    <row r="1841" spans="2:16">
      <c r="B1841" s="393"/>
      <c r="C1841" s="392"/>
      <c r="D1841" s="392"/>
      <c r="H1841" s="226"/>
      <c r="K1841" s="226"/>
      <c r="P1841" s="226"/>
    </row>
    <row r="1842" spans="2:16">
      <c r="B1842" s="393"/>
      <c r="C1842" s="392"/>
      <c r="D1842" s="392"/>
      <c r="H1842" s="226"/>
      <c r="K1842" s="226"/>
      <c r="P1842" s="226"/>
    </row>
    <row r="1843" spans="2:16">
      <c r="B1843" s="393"/>
      <c r="C1843" s="392"/>
      <c r="D1843"/>
      <c r="H1843" s="226"/>
      <c r="K1843" s="226"/>
      <c r="P1843" s="226"/>
    </row>
    <row r="1844" spans="2:16">
      <c r="B1844" s="392"/>
      <c r="C1844" s="235"/>
      <c r="H1844" s="226"/>
      <c r="K1844" s="226"/>
      <c r="P1844" s="226"/>
    </row>
    <row r="1845" spans="2:16">
      <c r="B1845" s="392"/>
      <c r="C1845" s="235"/>
      <c r="H1845" s="226"/>
      <c r="K1845" s="226"/>
      <c r="P1845" s="226"/>
    </row>
    <row r="1846" spans="2:16">
      <c r="B1846" s="392"/>
      <c r="C1846" s="235"/>
      <c r="H1846" s="226"/>
      <c r="K1846" s="226"/>
      <c r="P1846" s="226"/>
    </row>
    <row r="1847" spans="2:16">
      <c r="B1847" s="392"/>
      <c r="C1847" s="235"/>
      <c r="H1847" s="226"/>
      <c r="K1847" s="226"/>
      <c r="P1847" s="226"/>
    </row>
    <row r="1848" spans="2:16">
      <c r="B1848" s="392"/>
      <c r="C1848" s="235"/>
      <c r="H1848" s="226"/>
      <c r="K1848" s="226"/>
      <c r="P1848" s="226"/>
    </row>
    <row r="1849" spans="2:16">
      <c r="B1849" s="392"/>
      <c r="C1849" s="235"/>
      <c r="H1849" s="226"/>
      <c r="K1849" s="226"/>
      <c r="P1849" s="226"/>
    </row>
    <row r="1850" spans="2:16">
      <c r="B1850" s="392"/>
      <c r="C1850" s="235"/>
      <c r="H1850" s="226"/>
      <c r="K1850" s="226"/>
      <c r="P1850" s="226"/>
    </row>
    <row r="1851" spans="2:16">
      <c r="B1851" s="392"/>
      <c r="C1851" s="235"/>
      <c r="H1851" s="226"/>
      <c r="K1851" s="226"/>
      <c r="P1851" s="226"/>
    </row>
    <row r="1852" spans="2:16">
      <c r="B1852" s="392"/>
      <c r="C1852" s="235"/>
      <c r="H1852" s="226"/>
      <c r="K1852" s="226"/>
      <c r="P1852" s="226"/>
    </row>
    <row r="1853" spans="2:16">
      <c r="B1853" s="392"/>
      <c r="C1853" s="235"/>
      <c r="H1853" s="226"/>
      <c r="K1853" s="226"/>
      <c r="P1853" s="226"/>
    </row>
    <row r="1854" spans="2:16">
      <c r="B1854" s="392"/>
      <c r="C1854" s="235"/>
      <c r="H1854" s="226"/>
      <c r="K1854" s="226"/>
      <c r="P1854" s="226"/>
    </row>
    <row r="1855" spans="2:16">
      <c r="B1855" s="392"/>
      <c r="C1855" s="235"/>
      <c r="H1855" s="226"/>
      <c r="K1855" s="226"/>
      <c r="P1855" s="226"/>
    </row>
    <row r="1856" spans="2:16">
      <c r="B1856" s="392"/>
      <c r="C1856" s="235"/>
      <c r="H1856" s="226"/>
      <c r="K1856" s="226"/>
      <c r="P1856" s="226"/>
    </row>
    <row r="1857" spans="2:16">
      <c r="B1857" s="392"/>
      <c r="C1857" s="235"/>
      <c r="H1857" s="226"/>
      <c r="K1857" s="226"/>
      <c r="P1857" s="226"/>
    </row>
    <row r="1858" spans="2:16">
      <c r="B1858" s="392"/>
      <c r="C1858" s="235"/>
      <c r="H1858" s="226"/>
      <c r="K1858" s="226"/>
      <c r="P1858" s="226"/>
    </row>
    <row r="1859" spans="2:16">
      <c r="B1859" s="253"/>
      <c r="H1859" s="226"/>
      <c r="K1859" s="226"/>
      <c r="P1859" s="226"/>
    </row>
    <row r="1860" spans="2:16">
      <c r="B1860" s="253"/>
      <c r="H1860" s="226"/>
      <c r="K1860" s="226"/>
      <c r="P1860" s="226"/>
    </row>
    <row r="1861" spans="2:16">
      <c r="B1861" s="253"/>
      <c r="H1861" s="226"/>
      <c r="K1861" s="226"/>
      <c r="P1861" s="226"/>
    </row>
    <row r="1862" spans="2:16">
      <c r="B1862" s="253"/>
      <c r="H1862" s="226"/>
      <c r="K1862" s="226"/>
      <c r="P1862" s="226"/>
    </row>
    <row r="1863" spans="2:16">
      <c r="B1863" s="253"/>
      <c r="H1863" s="226"/>
      <c r="K1863" s="226"/>
      <c r="P1863" s="226"/>
    </row>
    <row r="1864" spans="2:16">
      <c r="B1864" s="253"/>
      <c r="H1864" s="226"/>
      <c r="K1864" s="226"/>
      <c r="P1864" s="226"/>
    </row>
    <row r="1865" spans="2:16">
      <c r="B1865" s="253"/>
      <c r="H1865" s="226"/>
      <c r="K1865" s="226"/>
      <c r="P1865" s="226"/>
    </row>
    <row r="1866" spans="2:16">
      <c r="B1866" s="253"/>
      <c r="H1866" s="226"/>
      <c r="K1866" s="226"/>
      <c r="P1866" s="226"/>
    </row>
    <row r="1867" spans="2:16">
      <c r="B1867" s="253"/>
      <c r="H1867" s="226"/>
      <c r="K1867" s="226"/>
      <c r="P1867" s="226"/>
    </row>
    <row r="1868" spans="2:16">
      <c r="B1868" s="253"/>
      <c r="H1868" s="226"/>
      <c r="K1868" s="226"/>
      <c r="P1868" s="226"/>
    </row>
    <row r="1869" spans="2:16">
      <c r="B1869" s="253"/>
      <c r="H1869" s="226"/>
      <c r="K1869" s="226"/>
      <c r="P1869" s="226"/>
    </row>
    <row r="1870" spans="2:16">
      <c r="B1870" s="253"/>
      <c r="H1870" s="226"/>
      <c r="K1870" s="226"/>
      <c r="P1870" s="226"/>
    </row>
    <row r="1871" spans="2:16">
      <c r="B1871" s="253"/>
      <c r="H1871" s="226"/>
      <c r="K1871" s="226"/>
      <c r="P1871" s="226"/>
    </row>
    <row r="1872" spans="2:16">
      <c r="B1872" s="253"/>
      <c r="H1872" s="226"/>
      <c r="K1872" s="226"/>
      <c r="P1872" s="226"/>
    </row>
    <row r="1873" spans="2:16">
      <c r="B1873" s="253"/>
      <c r="H1873" s="226"/>
      <c r="K1873" s="226"/>
      <c r="P1873" s="226"/>
    </row>
    <row r="1874" spans="2:16">
      <c r="B1874" s="253"/>
      <c r="H1874" s="226"/>
      <c r="K1874" s="226"/>
      <c r="P1874" s="226"/>
    </row>
    <row r="1875" spans="2:16">
      <c r="B1875" s="253"/>
      <c r="H1875" s="226"/>
      <c r="K1875" s="226"/>
      <c r="P1875" s="226"/>
    </row>
    <row r="1876" spans="2:16">
      <c r="B1876" s="253"/>
      <c r="H1876" s="226"/>
      <c r="K1876" s="226"/>
      <c r="P1876" s="226"/>
    </row>
    <row r="1877" spans="2:16">
      <c r="B1877" s="253"/>
      <c r="H1877" s="226"/>
      <c r="K1877" s="226"/>
      <c r="P1877" s="226"/>
    </row>
    <row r="1878" spans="2:16">
      <c r="B1878" s="253"/>
      <c r="H1878" s="226"/>
      <c r="K1878" s="226"/>
      <c r="P1878" s="226"/>
    </row>
    <row r="1879" spans="2:16">
      <c r="B1879" s="253"/>
      <c r="H1879" s="226"/>
      <c r="K1879" s="226"/>
      <c r="P1879" s="226"/>
    </row>
    <row r="1880" spans="2:16">
      <c r="B1880" s="253"/>
      <c r="H1880" s="226"/>
      <c r="K1880" s="226"/>
      <c r="P1880" s="226"/>
    </row>
    <row r="1881" spans="2:16">
      <c r="B1881" s="253"/>
      <c r="H1881" s="226"/>
      <c r="K1881" s="226"/>
      <c r="P1881" s="226"/>
    </row>
    <row r="1882" spans="2:16">
      <c r="B1882" s="253"/>
      <c r="H1882" s="226"/>
      <c r="K1882" s="226"/>
      <c r="P1882" s="226"/>
    </row>
    <row r="1883" spans="2:16">
      <c r="B1883" s="253"/>
      <c r="H1883" s="226"/>
      <c r="K1883" s="226"/>
      <c r="P1883" s="226"/>
    </row>
    <row r="1884" spans="2:16">
      <c r="B1884" s="253"/>
      <c r="H1884" s="226"/>
      <c r="K1884" s="226"/>
      <c r="P1884" s="226"/>
    </row>
    <row r="1885" spans="2:16">
      <c r="B1885" s="253"/>
      <c r="H1885" s="226"/>
      <c r="K1885" s="226"/>
      <c r="P1885" s="226"/>
    </row>
    <row r="1886" spans="2:16">
      <c r="B1886" s="253"/>
      <c r="H1886" s="226"/>
      <c r="K1886" s="226"/>
      <c r="P1886" s="226"/>
    </row>
    <row r="1887" spans="2:16">
      <c r="B1887" s="253"/>
      <c r="H1887" s="226"/>
      <c r="K1887" s="226"/>
      <c r="P1887" s="226"/>
    </row>
    <row r="1888" spans="2:16">
      <c r="B1888" s="253"/>
      <c r="H1888" s="226"/>
      <c r="K1888" s="226"/>
      <c r="P1888" s="226"/>
    </row>
    <row r="1889" spans="2:16">
      <c r="B1889" s="253"/>
      <c r="H1889" s="226"/>
      <c r="K1889" s="226"/>
      <c r="P1889" s="226"/>
    </row>
    <row r="1890" spans="2:16">
      <c r="B1890" s="253"/>
      <c r="H1890" s="226"/>
      <c r="K1890" s="226"/>
      <c r="P1890" s="226"/>
    </row>
    <row r="1891" spans="2:16">
      <c r="B1891" s="253"/>
      <c r="H1891" s="226"/>
      <c r="K1891" s="226"/>
      <c r="P1891" s="226"/>
    </row>
    <row r="1892" spans="2:16">
      <c r="B1892" s="253"/>
      <c r="H1892" s="226"/>
      <c r="K1892" s="226"/>
      <c r="P1892" s="226"/>
    </row>
    <row r="1893" spans="2:16">
      <c r="B1893" s="253"/>
      <c r="H1893" s="226"/>
      <c r="K1893" s="226"/>
      <c r="P1893" s="226"/>
    </row>
    <row r="1894" spans="2:16">
      <c r="B1894" s="253"/>
      <c r="H1894" s="226"/>
      <c r="K1894" s="226"/>
      <c r="P1894" s="226"/>
    </row>
    <row r="1895" spans="2:16">
      <c r="B1895" s="253"/>
      <c r="H1895" s="226"/>
      <c r="K1895" s="226"/>
      <c r="P1895" s="226"/>
    </row>
    <row r="1896" spans="2:16">
      <c r="B1896" s="253"/>
      <c r="H1896" s="226"/>
      <c r="K1896" s="226"/>
      <c r="P1896" s="226"/>
    </row>
    <row r="1897" spans="2:16">
      <c r="B1897" s="253"/>
      <c r="H1897" s="226"/>
      <c r="K1897" s="226"/>
      <c r="P1897" s="226"/>
    </row>
    <row r="1898" spans="2:16">
      <c r="B1898" s="253"/>
      <c r="H1898" s="226"/>
      <c r="K1898" s="226"/>
      <c r="P1898" s="226"/>
    </row>
    <row r="1899" spans="2:16">
      <c r="B1899" s="253"/>
      <c r="H1899" s="226"/>
      <c r="K1899" s="226"/>
      <c r="P1899" s="226"/>
    </row>
    <row r="1900" spans="2:16">
      <c r="B1900" s="253"/>
      <c r="H1900" s="226"/>
      <c r="K1900" s="226"/>
      <c r="P1900" s="226"/>
    </row>
    <row r="1901" spans="2:16">
      <c r="B1901" s="253"/>
      <c r="H1901" s="226"/>
      <c r="K1901" s="226"/>
      <c r="P1901" s="226"/>
    </row>
    <row r="1902" spans="2:16">
      <c r="B1902" s="253"/>
      <c r="H1902" s="226"/>
      <c r="K1902" s="226"/>
      <c r="P1902" s="226"/>
    </row>
    <row r="1903" spans="2:16">
      <c r="B1903" s="253"/>
      <c r="H1903" s="226"/>
      <c r="K1903" s="226"/>
      <c r="P1903" s="226"/>
    </row>
    <row r="1904" spans="2:16">
      <c r="B1904" s="253"/>
      <c r="H1904" s="226"/>
      <c r="K1904" s="226"/>
      <c r="P1904" s="226"/>
    </row>
    <row r="1905" spans="2:16">
      <c r="B1905" s="253"/>
      <c r="H1905" s="226"/>
      <c r="K1905" s="226"/>
      <c r="P1905" s="226"/>
    </row>
    <row r="1906" spans="2:16">
      <c r="B1906" s="253"/>
      <c r="H1906" s="226"/>
      <c r="K1906" s="226"/>
      <c r="P1906" s="226"/>
    </row>
    <row r="1907" spans="2:16">
      <c r="B1907" s="253"/>
      <c r="H1907" s="226"/>
      <c r="K1907" s="226"/>
      <c r="P1907" s="226"/>
    </row>
    <row r="1908" spans="2:16">
      <c r="B1908" s="253"/>
      <c r="H1908" s="226"/>
      <c r="K1908" s="226"/>
      <c r="P1908" s="226"/>
    </row>
  </sheetData>
  <sheetProtection algorithmName="SHA-512" hashValue="0VTb+U0VftKlbRy5ijpm3PIYQKphux+tZYwJ3uMRv6tjOEDf0LODg8Ua6FE0Qk5NM8z1T+TjXWbgnvxQXjdQ2g==" saltValue="yfkeNxdonmopLx7QnaaSGg==" spinCount="100000" sheet="1" objects="1" scenarios="1"/>
  <autoFilter ref="A7:T924" xr:uid="{A86E2DE0-9FF4-4C02-97CB-4D6704BF96EB}">
    <sortState xmlns:xlrd2="http://schemas.microsoft.com/office/spreadsheetml/2017/richdata2" ref="A8:T924">
      <sortCondition descending="1" sortBy="cellColor" ref="A9:A924" dxfId="8"/>
    </sortState>
  </autoFilter>
  <sortState xmlns:xlrd2="http://schemas.microsoft.com/office/spreadsheetml/2017/richdata2" ref="B928:C1843">
    <sortCondition ref="B928:B1843"/>
    <sortCondition ref="C928:C1843"/>
  </sortState>
  <conditionalFormatting sqref="C1844:C1858">
    <cfRule type="duplicateValues" dxfId="7" priority="4"/>
  </conditionalFormatting>
  <conditionalFormatting sqref="C1844:C1858">
    <cfRule type="duplicateValues" dxfId="6" priority="3"/>
  </conditionalFormatting>
  <conditionalFormatting sqref="B1844:B1858">
    <cfRule type="duplicateValues" dxfId="5" priority="2"/>
  </conditionalFormatting>
  <conditionalFormatting sqref="B1844:B1858">
    <cfRule type="duplicateValues" dxfId="4" priority="1"/>
  </conditionalFormatting>
  <pageMargins left="0.7" right="0.7" top="0.75" bottom="0.75" header="0.3" footer="0.3"/>
  <pageSetup paperSize="5" scale="40"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A2ED-0C0A-474B-B730-F8F8EE892924}">
  <sheetPr>
    <pageSetUpPr fitToPage="1"/>
  </sheetPr>
  <dimension ref="A1:U1910"/>
  <sheetViews>
    <sheetView zoomScale="90" zoomScaleNormal="90" workbookViewId="0">
      <pane ySplit="7" topLeftCell="A11" activePane="bottomLeft" state="frozen"/>
      <selection activeCell="E4" sqref="E4"/>
      <selection pane="bottomLeft"/>
    </sheetView>
  </sheetViews>
  <sheetFormatPr defaultColWidth="9.140625" defaultRowHeight="15"/>
  <cols>
    <col min="1" max="1" width="10.5703125" style="226" customWidth="1"/>
    <col min="2" max="2" width="48.85546875" style="226" customWidth="1"/>
    <col min="3" max="3" width="13.85546875" style="226" customWidth="1"/>
    <col min="4" max="4" width="13.85546875" style="235" customWidth="1"/>
    <col min="5" max="5" width="30.140625" style="226" customWidth="1"/>
    <col min="6" max="6" width="3.85546875" style="226" customWidth="1"/>
    <col min="7" max="7" width="18.28515625" style="226" customWidth="1"/>
    <col min="8" max="8" width="20" style="89" customWidth="1"/>
    <col min="9" max="9" width="16.85546875" style="226" customWidth="1"/>
    <col min="10" max="10" width="19.42578125" style="226" customWidth="1"/>
    <col min="11" max="11" width="20" style="89" customWidth="1"/>
    <col min="12" max="12" width="3.85546875" style="226" customWidth="1"/>
    <col min="13" max="13" width="18.28515625" style="226" customWidth="1"/>
    <col min="14" max="14" width="11.85546875" style="226" customWidth="1"/>
    <col min="15" max="15" width="19.42578125" style="226" customWidth="1"/>
    <col min="16" max="16" width="20" style="89" customWidth="1"/>
    <col min="17" max="17" width="3.85546875" style="226" customWidth="1"/>
    <col min="18" max="18" width="21.140625" style="226" bestFit="1" customWidth="1"/>
    <col min="19" max="19" width="22.42578125" style="226" customWidth="1"/>
    <col min="20" max="20" width="19.140625" style="226" bestFit="1" customWidth="1"/>
    <col min="21" max="21" width="13.28515625" style="226" bestFit="1" customWidth="1"/>
    <col min="22" max="16384" width="9.140625" style="226"/>
  </cols>
  <sheetData>
    <row r="1" spans="1:21" ht="30">
      <c r="A1" s="226" t="s">
        <v>3589</v>
      </c>
      <c r="C1" s="372" t="s">
        <v>3723</v>
      </c>
      <c r="D1" s="373" t="s">
        <v>3724</v>
      </c>
      <c r="H1" s="226"/>
    </row>
    <row r="2" spans="1:21">
      <c r="A2" s="226" t="s">
        <v>1926</v>
      </c>
      <c r="C2" s="368">
        <v>0</v>
      </c>
      <c r="D2" s="368">
        <v>0</v>
      </c>
      <c r="E2" s="233">
        <v>0</v>
      </c>
      <c r="G2" s="233">
        <v>0</v>
      </c>
      <c r="H2" s="233">
        <v>0</v>
      </c>
      <c r="I2" s="233">
        <v>0</v>
      </c>
      <c r="J2" s="233">
        <v>0</v>
      </c>
      <c r="K2" s="233">
        <v>0</v>
      </c>
      <c r="M2" s="233">
        <v>0</v>
      </c>
      <c r="N2" s="233">
        <v>0</v>
      </c>
      <c r="O2" s="233">
        <v>0</v>
      </c>
      <c r="P2" s="233">
        <v>0</v>
      </c>
      <c r="R2" s="233">
        <v>0</v>
      </c>
      <c r="S2" s="233">
        <v>0</v>
      </c>
      <c r="T2" s="233">
        <v>0</v>
      </c>
    </row>
    <row r="3" spans="1:21" s="95" customFormat="1">
      <c r="A3" s="90"/>
      <c r="B3" s="54" t="s">
        <v>715</v>
      </c>
      <c r="C3" s="343">
        <f>SUM(C8:C920)</f>
        <v>1.0000000000000009</v>
      </c>
      <c r="D3" s="343">
        <f>SUM(D8:D920)</f>
        <v>1.0000000000000002</v>
      </c>
      <c r="E3" s="233">
        <f>SUM(E8:E920)</f>
        <v>2730922015</v>
      </c>
      <c r="F3" s="233"/>
      <c r="G3" s="233">
        <f>SUM(G8:G920)</f>
        <v>467603002</v>
      </c>
      <c r="H3" s="233">
        <f>SUM(H8:H920)</f>
        <v>66610997</v>
      </c>
      <c r="I3" s="233">
        <f>SUM(I8:I920)</f>
        <v>445095014</v>
      </c>
      <c r="J3" s="233">
        <f>SUM(J8:J920)</f>
        <v>38373065</v>
      </c>
      <c r="K3" s="233">
        <f>SUM(K8:K920)</f>
        <v>1017682078</v>
      </c>
      <c r="L3" s="233"/>
      <c r="M3" s="233">
        <f>SUM(M8:M920)</f>
        <v>0</v>
      </c>
      <c r="N3" s="233">
        <f>SUM(N8:N920)</f>
        <v>0</v>
      </c>
      <c r="O3" s="233">
        <f>SUM(O8:O920)</f>
        <v>38372960</v>
      </c>
      <c r="P3" s="233">
        <f>SUM(P8:P920)</f>
        <v>38372960</v>
      </c>
      <c r="Q3" s="233"/>
      <c r="R3" s="233">
        <f>SUM(R8:R920)</f>
        <v>1216512993</v>
      </c>
      <c r="S3" s="233">
        <f>SUM(S8:S920)</f>
        <v>24</v>
      </c>
      <c r="T3" s="233">
        <f>SUM(T8:T920)</f>
        <v>1216513017</v>
      </c>
      <c r="U3" s="92"/>
    </row>
    <row r="4" spans="1:21" s="95" customFormat="1">
      <c r="A4" s="90"/>
      <c r="B4" s="54" t="s">
        <v>3519</v>
      </c>
      <c r="C4" s="343">
        <v>1</v>
      </c>
      <c r="D4" s="343">
        <v>1.0000000000000002</v>
      </c>
      <c r="E4" s="304">
        <v>2730922015</v>
      </c>
      <c r="F4" s="92"/>
      <c r="G4" s="92">
        <v>467603002</v>
      </c>
      <c r="H4" s="238">
        <v>66610997</v>
      </c>
      <c r="I4" s="92">
        <v>445095014</v>
      </c>
      <c r="J4" s="92">
        <v>38373065</v>
      </c>
      <c r="K4" s="238">
        <v>1017682078</v>
      </c>
      <c r="L4" s="92"/>
      <c r="M4" s="233">
        <v>0</v>
      </c>
      <c r="N4" s="233">
        <v>0</v>
      </c>
      <c r="O4" s="92">
        <v>38372960</v>
      </c>
      <c r="P4" s="94">
        <v>38372960</v>
      </c>
      <c r="Q4" s="93"/>
      <c r="R4" s="93">
        <v>1216512993</v>
      </c>
      <c r="S4" s="93">
        <v>24</v>
      </c>
      <c r="T4" s="93">
        <v>1216513017</v>
      </c>
    </row>
    <row r="5" spans="1:21">
      <c r="B5">
        <v>0</v>
      </c>
      <c r="C5">
        <v>0</v>
      </c>
      <c r="D5">
        <v>0</v>
      </c>
      <c r="E5">
        <v>0</v>
      </c>
      <c r="G5">
        <v>0</v>
      </c>
      <c r="H5">
        <v>0</v>
      </c>
      <c r="I5">
        <v>0</v>
      </c>
      <c r="J5">
        <v>0</v>
      </c>
      <c r="K5">
        <v>0</v>
      </c>
      <c r="M5">
        <v>0</v>
      </c>
      <c r="N5">
        <v>0</v>
      </c>
      <c r="O5">
        <v>0</v>
      </c>
      <c r="P5">
        <v>0</v>
      </c>
      <c r="R5">
        <v>0</v>
      </c>
      <c r="S5">
        <v>0</v>
      </c>
      <c r="T5">
        <v>0</v>
      </c>
    </row>
    <row r="6" spans="1:21">
      <c r="G6" s="83" t="s">
        <v>2</v>
      </c>
      <c r="H6" s="83"/>
      <c r="I6" s="83"/>
      <c r="J6" s="83"/>
      <c r="K6" s="84"/>
      <c r="M6" s="83" t="s">
        <v>3</v>
      </c>
      <c r="N6" s="83"/>
      <c r="O6" s="83"/>
      <c r="P6" s="84"/>
      <c r="R6" s="83" t="s">
        <v>4</v>
      </c>
      <c r="S6" s="83"/>
      <c r="T6" s="83"/>
    </row>
    <row r="7" spans="1:21"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1">
      <c r="A8" s="358">
        <v>91414</v>
      </c>
      <c r="B8" s="359" t="s">
        <v>3614</v>
      </c>
      <c r="C8" s="235">
        <v>2.2200000000000001E-5</v>
      </c>
      <c r="D8" s="371"/>
      <c r="E8" s="345">
        <v>60626</v>
      </c>
      <c r="F8" s="232"/>
      <c r="G8" s="345">
        <v>10381</v>
      </c>
      <c r="H8" s="345">
        <v>1478</v>
      </c>
      <c r="I8" s="345">
        <v>9881</v>
      </c>
      <c r="J8" s="345">
        <v>17022</v>
      </c>
      <c r="K8" s="345">
        <v>38762</v>
      </c>
      <c r="L8" s="232"/>
      <c r="M8" s="345">
        <v>0</v>
      </c>
      <c r="N8" s="345">
        <v>0</v>
      </c>
      <c r="O8" s="345">
        <v>0</v>
      </c>
      <c r="P8" s="345">
        <v>0</v>
      </c>
      <c r="Q8" s="232"/>
      <c r="R8" s="345">
        <v>27007</v>
      </c>
      <c r="S8" s="345">
        <v>4255</v>
      </c>
      <c r="T8" s="345">
        <v>31262</v>
      </c>
    </row>
    <row r="9" spans="1:21">
      <c r="A9" s="346">
        <v>92414</v>
      </c>
      <c r="B9" s="347" t="s">
        <v>70</v>
      </c>
      <c r="C9" s="371"/>
      <c r="D9" s="235">
        <v>0</v>
      </c>
      <c r="E9" s="345">
        <v>0</v>
      </c>
      <c r="F9" s="232"/>
      <c r="G9" s="345">
        <v>0</v>
      </c>
      <c r="H9" s="345">
        <v>0</v>
      </c>
      <c r="I9" s="345">
        <v>0</v>
      </c>
      <c r="J9" s="345">
        <v>0</v>
      </c>
      <c r="K9" s="345">
        <v>0</v>
      </c>
      <c r="L9" s="232"/>
      <c r="M9" s="345">
        <v>0</v>
      </c>
      <c r="N9" s="345">
        <v>0</v>
      </c>
      <c r="O9" s="345">
        <v>1184</v>
      </c>
      <c r="P9" s="345">
        <v>1184</v>
      </c>
      <c r="Q9" s="232"/>
      <c r="R9" s="345">
        <v>0</v>
      </c>
      <c r="S9" s="345">
        <v>-2085</v>
      </c>
      <c r="T9" s="345">
        <v>-2085</v>
      </c>
    </row>
    <row r="10" spans="1:21" ht="30">
      <c r="A10" s="346">
        <v>92608</v>
      </c>
      <c r="B10" s="347" t="s">
        <v>3718</v>
      </c>
      <c r="C10" s="371"/>
      <c r="D10" s="235">
        <v>0</v>
      </c>
      <c r="E10" s="345">
        <v>0</v>
      </c>
      <c r="F10" s="232"/>
      <c r="G10" s="345">
        <v>0</v>
      </c>
      <c r="H10" s="345">
        <v>0</v>
      </c>
      <c r="I10" s="345">
        <v>0</v>
      </c>
      <c r="J10" s="345">
        <v>0</v>
      </c>
      <c r="K10" s="345">
        <v>0</v>
      </c>
      <c r="L10" s="232"/>
      <c r="M10" s="345">
        <v>0</v>
      </c>
      <c r="N10" s="345">
        <v>0</v>
      </c>
      <c r="O10" s="345">
        <v>0</v>
      </c>
      <c r="P10" s="345">
        <v>0</v>
      </c>
      <c r="Q10" s="232"/>
      <c r="R10" s="345">
        <v>0</v>
      </c>
      <c r="S10" s="345">
        <v>-752</v>
      </c>
      <c r="T10" s="345">
        <v>-752</v>
      </c>
    </row>
    <row r="11" spans="1:21">
      <c r="A11" s="362">
        <v>93027</v>
      </c>
      <c r="B11" s="363" t="s">
        <v>1005</v>
      </c>
      <c r="C11" s="371"/>
      <c r="D11" s="235">
        <v>1.5E-5</v>
      </c>
      <c r="E11" s="345">
        <v>0</v>
      </c>
      <c r="F11" s="232"/>
      <c r="G11" s="345">
        <v>0</v>
      </c>
      <c r="H11" s="345">
        <v>0</v>
      </c>
      <c r="I11" s="345">
        <v>0</v>
      </c>
      <c r="J11" s="345">
        <v>441</v>
      </c>
      <c r="K11" s="345">
        <v>441</v>
      </c>
      <c r="L11" s="232"/>
      <c r="M11" s="345">
        <v>0</v>
      </c>
      <c r="N11" s="345">
        <v>0</v>
      </c>
      <c r="O11" s="345">
        <v>14352</v>
      </c>
      <c r="P11" s="345">
        <v>14352</v>
      </c>
      <c r="Q11" s="232"/>
      <c r="R11" s="345">
        <v>0</v>
      </c>
      <c r="S11" s="345">
        <v>-3541</v>
      </c>
      <c r="T11" s="345">
        <v>-3541</v>
      </c>
    </row>
    <row r="12" spans="1:21">
      <c r="A12" s="362">
        <v>93028</v>
      </c>
      <c r="B12" s="363" t="s">
        <v>3615</v>
      </c>
      <c r="C12" s="371"/>
      <c r="D12" s="371"/>
      <c r="E12" s="345">
        <v>0</v>
      </c>
      <c r="F12" s="232"/>
      <c r="G12" s="345">
        <v>0</v>
      </c>
      <c r="H12" s="345">
        <v>0</v>
      </c>
      <c r="I12" s="345">
        <v>0</v>
      </c>
      <c r="J12" s="345">
        <v>3696</v>
      </c>
      <c r="K12" s="345">
        <v>3696</v>
      </c>
      <c r="L12" s="232"/>
      <c r="M12" s="345">
        <v>0</v>
      </c>
      <c r="N12" s="345">
        <v>0</v>
      </c>
      <c r="O12" s="345">
        <v>0</v>
      </c>
      <c r="P12" s="345">
        <v>0</v>
      </c>
      <c r="Q12" s="232"/>
      <c r="R12" s="345">
        <v>0</v>
      </c>
      <c r="S12" s="345">
        <v>924</v>
      </c>
      <c r="T12" s="345">
        <v>924</v>
      </c>
    </row>
    <row r="13" spans="1:21">
      <c r="A13" s="346">
        <v>93202</v>
      </c>
      <c r="B13" s="347" t="s">
        <v>1022</v>
      </c>
      <c r="C13" s="371"/>
      <c r="D13" s="235">
        <v>0</v>
      </c>
      <c r="E13" s="345">
        <v>0</v>
      </c>
      <c r="F13" s="232"/>
      <c r="G13" s="345">
        <v>0</v>
      </c>
      <c r="H13" s="345">
        <v>0</v>
      </c>
      <c r="I13" s="345">
        <v>0</v>
      </c>
      <c r="J13" s="345">
        <v>0</v>
      </c>
      <c r="K13" s="345">
        <v>0</v>
      </c>
      <c r="L13" s="232"/>
      <c r="M13" s="345">
        <v>0</v>
      </c>
      <c r="N13" s="345">
        <v>0</v>
      </c>
      <c r="O13" s="345">
        <v>25055</v>
      </c>
      <c r="P13" s="345">
        <v>25055</v>
      </c>
      <c r="Q13" s="232"/>
      <c r="R13" s="345">
        <v>0</v>
      </c>
      <c r="S13" s="345">
        <v>-78126</v>
      </c>
      <c r="T13" s="345">
        <v>-78126</v>
      </c>
    </row>
    <row r="14" spans="1:21">
      <c r="A14" s="362">
        <v>93402</v>
      </c>
      <c r="B14" s="363" t="s">
        <v>1041</v>
      </c>
      <c r="C14" s="371"/>
      <c r="D14" s="235">
        <v>9.6399999999999999E-5</v>
      </c>
      <c r="E14" s="345">
        <v>0</v>
      </c>
      <c r="F14" s="232"/>
      <c r="G14" s="345">
        <v>0</v>
      </c>
      <c r="H14" s="345">
        <v>0</v>
      </c>
      <c r="I14" s="345">
        <v>0</v>
      </c>
      <c r="J14" s="345">
        <v>0</v>
      </c>
      <c r="K14" s="345">
        <v>0</v>
      </c>
      <c r="L14" s="232"/>
      <c r="M14" s="345">
        <v>0</v>
      </c>
      <c r="N14" s="345">
        <v>0</v>
      </c>
      <c r="O14" s="345">
        <v>72060</v>
      </c>
      <c r="P14" s="345">
        <v>72060</v>
      </c>
      <c r="Q14" s="232"/>
      <c r="R14" s="345">
        <v>0</v>
      </c>
      <c r="S14" s="345">
        <v>-17741</v>
      </c>
      <c r="T14" s="345">
        <v>-17741</v>
      </c>
    </row>
    <row r="15" spans="1:21">
      <c r="A15" s="346">
        <v>93408</v>
      </c>
      <c r="B15" s="347" t="s">
        <v>1043</v>
      </c>
      <c r="C15" s="371"/>
      <c r="D15" s="235">
        <v>0</v>
      </c>
      <c r="E15" s="345">
        <v>0</v>
      </c>
      <c r="F15" s="232"/>
      <c r="G15" s="345">
        <v>0</v>
      </c>
      <c r="H15" s="345">
        <v>0</v>
      </c>
      <c r="I15" s="345">
        <v>0</v>
      </c>
      <c r="J15" s="345">
        <v>0</v>
      </c>
      <c r="K15" s="345">
        <v>0</v>
      </c>
      <c r="L15" s="232"/>
      <c r="M15" s="345">
        <v>0</v>
      </c>
      <c r="N15" s="345">
        <v>0</v>
      </c>
      <c r="O15" s="345">
        <v>724296</v>
      </c>
      <c r="P15" s="345">
        <v>724296</v>
      </c>
      <c r="Q15" s="232"/>
      <c r="R15" s="345">
        <v>0</v>
      </c>
      <c r="S15" s="345">
        <v>-413845</v>
      </c>
      <c r="T15" s="345">
        <v>-413845</v>
      </c>
    </row>
    <row r="16" spans="1:21">
      <c r="A16" s="346">
        <v>94402</v>
      </c>
      <c r="B16" s="347" t="s">
        <v>1139</v>
      </c>
      <c r="C16" s="371"/>
      <c r="D16" s="235">
        <v>0</v>
      </c>
      <c r="E16" s="345">
        <v>0</v>
      </c>
      <c r="F16" s="232"/>
      <c r="G16" s="345">
        <v>0</v>
      </c>
      <c r="H16" s="345">
        <v>0</v>
      </c>
      <c r="I16" s="345">
        <v>0</v>
      </c>
      <c r="J16" s="345">
        <v>0</v>
      </c>
      <c r="K16" s="345">
        <v>0</v>
      </c>
      <c r="L16" s="232"/>
      <c r="M16" s="345">
        <v>0</v>
      </c>
      <c r="N16" s="345">
        <v>0</v>
      </c>
      <c r="O16" s="345">
        <v>0</v>
      </c>
      <c r="P16" s="345">
        <v>0</v>
      </c>
      <c r="Q16" s="232"/>
      <c r="R16" s="345">
        <v>0</v>
      </c>
      <c r="S16" s="345">
        <v>-767649</v>
      </c>
      <c r="T16" s="345">
        <v>-767649</v>
      </c>
    </row>
    <row r="17" spans="1:20">
      <c r="A17" s="346">
        <v>94512</v>
      </c>
      <c r="B17" s="347" t="s">
        <v>1151</v>
      </c>
      <c r="C17" s="371"/>
      <c r="D17" s="235">
        <v>0</v>
      </c>
      <c r="E17" s="345">
        <v>0</v>
      </c>
      <c r="F17" s="232"/>
      <c r="G17" s="345">
        <v>0</v>
      </c>
      <c r="H17" s="345">
        <v>0</v>
      </c>
      <c r="I17" s="345">
        <v>0</v>
      </c>
      <c r="J17" s="345">
        <v>0</v>
      </c>
      <c r="K17" s="345">
        <v>0</v>
      </c>
      <c r="L17" s="232"/>
      <c r="M17" s="345">
        <v>0</v>
      </c>
      <c r="N17" s="345">
        <v>0</v>
      </c>
      <c r="O17" s="345">
        <v>0</v>
      </c>
      <c r="P17" s="345">
        <v>0</v>
      </c>
      <c r="Q17" s="232"/>
      <c r="R17" s="345">
        <v>0</v>
      </c>
      <c r="S17" s="345">
        <v>-59923</v>
      </c>
      <c r="T17" s="345">
        <v>-59923</v>
      </c>
    </row>
    <row r="18" spans="1:20">
      <c r="A18" s="362">
        <v>94606</v>
      </c>
      <c r="B18" s="363" t="s">
        <v>1162</v>
      </c>
      <c r="C18" s="371"/>
      <c r="D18" s="235">
        <v>1.9019999999999999E-4</v>
      </c>
      <c r="E18" s="345">
        <v>0</v>
      </c>
      <c r="F18" s="232"/>
      <c r="G18" s="345">
        <v>0</v>
      </c>
      <c r="H18" s="345">
        <v>0</v>
      </c>
      <c r="I18" s="345">
        <v>0</v>
      </c>
      <c r="J18" s="345">
        <v>0</v>
      </c>
      <c r="K18" s="345">
        <v>0</v>
      </c>
      <c r="L18" s="232"/>
      <c r="M18" s="345">
        <v>0</v>
      </c>
      <c r="N18" s="345">
        <v>0</v>
      </c>
      <c r="O18" s="345">
        <v>194185</v>
      </c>
      <c r="P18" s="345">
        <v>194185</v>
      </c>
      <c r="Q18" s="232"/>
      <c r="R18" s="345">
        <v>0</v>
      </c>
      <c r="S18" s="345">
        <v>-60935</v>
      </c>
      <c r="T18" s="345">
        <v>-60935</v>
      </c>
    </row>
    <row r="19" spans="1:20">
      <c r="A19" s="346">
        <v>95412</v>
      </c>
      <c r="B19" s="347" t="s">
        <v>3719</v>
      </c>
      <c r="C19" s="371"/>
      <c r="D19" s="235">
        <v>0</v>
      </c>
      <c r="E19" s="345">
        <v>0</v>
      </c>
      <c r="F19" s="232"/>
      <c r="G19" s="345">
        <v>0</v>
      </c>
      <c r="H19" s="345">
        <v>0</v>
      </c>
      <c r="I19" s="345">
        <v>0</v>
      </c>
      <c r="J19" s="345">
        <v>0</v>
      </c>
      <c r="K19" s="345">
        <v>0</v>
      </c>
      <c r="L19" s="232"/>
      <c r="M19" s="345">
        <v>0</v>
      </c>
      <c r="N19" s="345">
        <v>0</v>
      </c>
      <c r="O19" s="345">
        <v>0</v>
      </c>
      <c r="P19" s="345">
        <v>0</v>
      </c>
      <c r="Q19" s="232"/>
      <c r="R19" s="345">
        <v>0</v>
      </c>
      <c r="S19" s="345">
        <v>-9383</v>
      </c>
      <c r="T19" s="345">
        <v>-9383</v>
      </c>
    </row>
    <row r="20" spans="1:20">
      <c r="A20" s="346">
        <v>97010</v>
      </c>
      <c r="B20" s="347" t="s">
        <v>1351</v>
      </c>
      <c r="C20" s="371"/>
      <c r="D20" s="235">
        <v>0</v>
      </c>
      <c r="E20" s="345">
        <v>0</v>
      </c>
      <c r="F20" s="232"/>
      <c r="G20" s="345">
        <v>0</v>
      </c>
      <c r="H20" s="345">
        <v>0</v>
      </c>
      <c r="I20" s="345">
        <v>0</v>
      </c>
      <c r="J20" s="345">
        <v>0</v>
      </c>
      <c r="K20" s="345">
        <v>0</v>
      </c>
      <c r="L20" s="232"/>
      <c r="M20" s="345">
        <v>0</v>
      </c>
      <c r="N20" s="345">
        <v>0</v>
      </c>
      <c r="O20" s="345">
        <v>0</v>
      </c>
      <c r="P20" s="345">
        <v>0</v>
      </c>
      <c r="Q20" s="232"/>
      <c r="R20" s="345">
        <v>0</v>
      </c>
      <c r="S20" s="345">
        <v>-777787</v>
      </c>
      <c r="T20" s="345">
        <v>-777787</v>
      </c>
    </row>
    <row r="21" spans="1:20">
      <c r="A21" s="346">
        <v>97302</v>
      </c>
      <c r="B21" s="347" t="s">
        <v>3617</v>
      </c>
      <c r="C21" s="371"/>
      <c r="D21" s="371"/>
      <c r="E21" s="345">
        <v>0</v>
      </c>
      <c r="F21" s="232"/>
      <c r="G21" s="345">
        <v>0</v>
      </c>
      <c r="H21" s="345">
        <v>0</v>
      </c>
      <c r="I21" s="345">
        <v>0</v>
      </c>
      <c r="J21" s="345">
        <v>10885</v>
      </c>
      <c r="K21" s="345">
        <v>10885</v>
      </c>
      <c r="L21" s="232"/>
      <c r="M21" s="345">
        <v>0</v>
      </c>
      <c r="N21" s="345">
        <v>0</v>
      </c>
      <c r="O21" s="345">
        <v>0</v>
      </c>
      <c r="P21" s="345">
        <v>0</v>
      </c>
      <c r="Q21" s="232"/>
      <c r="R21" s="345">
        <v>0</v>
      </c>
      <c r="S21" s="345">
        <v>2721</v>
      </c>
      <c r="T21" s="345">
        <v>2721</v>
      </c>
    </row>
    <row r="22" spans="1:20">
      <c r="A22" s="346">
        <v>97491</v>
      </c>
      <c r="B22" s="347" t="s">
        <v>3720</v>
      </c>
      <c r="C22" s="371"/>
      <c r="D22" s="235">
        <v>0</v>
      </c>
      <c r="E22" s="345">
        <v>0</v>
      </c>
      <c r="F22" s="232"/>
      <c r="G22" s="345">
        <v>0</v>
      </c>
      <c r="H22" s="345">
        <v>0</v>
      </c>
      <c r="I22" s="345">
        <v>0</v>
      </c>
      <c r="J22" s="345">
        <v>0</v>
      </c>
      <c r="K22" s="345">
        <v>0</v>
      </c>
      <c r="L22" s="232"/>
      <c r="M22" s="345">
        <v>0</v>
      </c>
      <c r="N22" s="345">
        <v>0</v>
      </c>
      <c r="O22" s="345">
        <v>0</v>
      </c>
      <c r="P22" s="345">
        <v>0</v>
      </c>
      <c r="Q22" s="232"/>
      <c r="R22" s="345">
        <v>0</v>
      </c>
      <c r="S22" s="345">
        <v>-2921</v>
      </c>
      <c r="T22" s="345">
        <v>-2921</v>
      </c>
    </row>
    <row r="23" spans="1:20">
      <c r="A23" s="369">
        <v>71786</v>
      </c>
      <c r="B23" s="347" t="s">
        <v>1491</v>
      </c>
      <c r="C23" s="371"/>
      <c r="D23" s="371"/>
      <c r="E23" s="345">
        <v>0</v>
      </c>
      <c r="F23" s="232"/>
      <c r="G23" s="345">
        <v>0</v>
      </c>
      <c r="H23" s="345">
        <v>0</v>
      </c>
      <c r="I23" s="345">
        <v>0</v>
      </c>
      <c r="J23" s="345">
        <v>0</v>
      </c>
      <c r="K23" s="345">
        <v>0</v>
      </c>
      <c r="L23" s="232"/>
      <c r="M23" s="345">
        <v>0</v>
      </c>
      <c r="N23" s="345">
        <v>0</v>
      </c>
      <c r="O23" s="345">
        <v>16309</v>
      </c>
      <c r="P23" s="345">
        <v>16309</v>
      </c>
      <c r="Q23" s="232"/>
      <c r="R23" s="345">
        <v>0</v>
      </c>
      <c r="S23" s="345">
        <v>-8040</v>
      </c>
      <c r="T23" s="345">
        <v>-8040</v>
      </c>
    </row>
    <row r="24" spans="1:20">
      <c r="A24" s="370">
        <v>98414</v>
      </c>
      <c r="B24" s="344" t="s">
        <v>1491</v>
      </c>
      <c r="C24" s="235">
        <v>3.01E-5</v>
      </c>
      <c r="D24" s="235">
        <v>4.1600000000000002E-5</v>
      </c>
      <c r="E24" s="345">
        <v>82201</v>
      </c>
      <c r="F24" s="232"/>
      <c r="G24" s="345">
        <v>14075</v>
      </c>
      <c r="H24" s="345">
        <v>2005</v>
      </c>
      <c r="I24" s="345">
        <v>13397</v>
      </c>
      <c r="J24" s="345">
        <v>12992</v>
      </c>
      <c r="K24" s="345">
        <v>42469</v>
      </c>
      <c r="L24" s="232"/>
      <c r="M24" s="345">
        <v>0</v>
      </c>
      <c r="N24" s="345">
        <v>0</v>
      </c>
      <c r="O24" s="345">
        <v>8099</v>
      </c>
      <c r="P24" s="345">
        <v>8099</v>
      </c>
      <c r="Q24" s="232"/>
      <c r="R24" s="345">
        <v>36617</v>
      </c>
      <c r="S24" s="345">
        <v>3512</v>
      </c>
      <c r="T24" s="345">
        <v>40129</v>
      </c>
    </row>
    <row r="25" spans="1:20">
      <c r="A25" s="369">
        <v>92509</v>
      </c>
      <c r="B25" s="347" t="s">
        <v>1618</v>
      </c>
      <c r="C25" s="371"/>
      <c r="D25" s="371"/>
      <c r="E25" s="345">
        <v>0</v>
      </c>
      <c r="F25" s="232"/>
      <c r="G25" s="345">
        <v>0</v>
      </c>
      <c r="H25" s="345">
        <v>0</v>
      </c>
      <c r="I25" s="345">
        <v>0</v>
      </c>
      <c r="J25" s="345">
        <v>0</v>
      </c>
      <c r="K25" s="345">
        <v>0</v>
      </c>
      <c r="L25" s="232"/>
      <c r="M25" s="345">
        <v>0</v>
      </c>
      <c r="N25" s="345">
        <v>0</v>
      </c>
      <c r="O25" s="345">
        <v>260868</v>
      </c>
      <c r="P25" s="345">
        <v>260868</v>
      </c>
      <c r="Q25" s="232"/>
      <c r="R25" s="345">
        <v>0</v>
      </c>
      <c r="S25" s="345">
        <v>-295145</v>
      </c>
      <c r="T25" s="345">
        <v>-295145</v>
      </c>
    </row>
    <row r="26" spans="1:20">
      <c r="A26" s="369">
        <v>96519</v>
      </c>
      <c r="B26" s="347" t="s">
        <v>1619</v>
      </c>
      <c r="C26" s="371"/>
      <c r="D26" s="371"/>
      <c r="E26" s="345">
        <v>0</v>
      </c>
      <c r="F26" s="232"/>
      <c r="G26" s="345">
        <v>0</v>
      </c>
      <c r="H26" s="345">
        <v>0</v>
      </c>
      <c r="I26" s="345">
        <v>0</v>
      </c>
      <c r="J26" s="345">
        <v>0</v>
      </c>
      <c r="K26" s="345">
        <v>0</v>
      </c>
      <c r="L26" s="232"/>
      <c r="M26" s="345">
        <v>0</v>
      </c>
      <c r="N26" s="345">
        <v>0</v>
      </c>
      <c r="O26" s="345">
        <v>207555</v>
      </c>
      <c r="P26" s="345">
        <v>207555</v>
      </c>
      <c r="Q26" s="232"/>
      <c r="R26" s="345">
        <v>0</v>
      </c>
      <c r="S26" s="345">
        <v>-216126</v>
      </c>
      <c r="T26" s="345">
        <v>-216126</v>
      </c>
    </row>
    <row r="27" spans="1:20">
      <c r="A27" s="370">
        <v>97461</v>
      </c>
      <c r="B27" s="356" t="s">
        <v>1383</v>
      </c>
      <c r="C27" s="235">
        <v>5.7600000000000001E-4</v>
      </c>
      <c r="D27" s="235">
        <v>5.3019999999999999E-4</v>
      </c>
      <c r="E27" s="345">
        <v>1573011</v>
      </c>
      <c r="F27" s="232"/>
      <c r="G27" s="345">
        <v>269339</v>
      </c>
      <c r="H27" s="345">
        <v>38368</v>
      </c>
      <c r="I27" s="345">
        <v>256375</v>
      </c>
      <c r="J27" s="345">
        <v>14572</v>
      </c>
      <c r="K27" s="345">
        <v>578654</v>
      </c>
      <c r="L27" s="232"/>
      <c r="M27" s="345">
        <v>0</v>
      </c>
      <c r="N27" s="345">
        <v>0</v>
      </c>
      <c r="O27" s="345">
        <v>33434</v>
      </c>
      <c r="P27" s="345">
        <v>33434</v>
      </c>
      <c r="Q27" s="232"/>
      <c r="R27" s="345">
        <v>700711</v>
      </c>
      <c r="S27" s="345">
        <v>-18371</v>
      </c>
      <c r="T27" s="345">
        <v>682340</v>
      </c>
    </row>
    <row r="28" spans="1:20">
      <c r="A28" s="369">
        <v>97463</v>
      </c>
      <c r="B28" s="347" t="s">
        <v>1384</v>
      </c>
      <c r="C28" s="371"/>
      <c r="D28" s="371"/>
      <c r="E28" s="345">
        <v>0</v>
      </c>
      <c r="F28" s="232"/>
      <c r="G28" s="345">
        <v>0</v>
      </c>
      <c r="H28" s="345">
        <v>0</v>
      </c>
      <c r="I28" s="345">
        <v>0</v>
      </c>
      <c r="J28" s="345">
        <v>0</v>
      </c>
      <c r="K28" s="345">
        <v>0</v>
      </c>
      <c r="L28" s="232"/>
      <c r="M28" s="345">
        <v>0</v>
      </c>
      <c r="N28" s="345">
        <v>0</v>
      </c>
      <c r="O28" s="345">
        <v>22190</v>
      </c>
      <c r="P28" s="345">
        <v>22190</v>
      </c>
      <c r="Q28" s="232"/>
      <c r="R28" s="345">
        <v>0</v>
      </c>
      <c r="S28" s="345">
        <v>-8862</v>
      </c>
      <c r="T28" s="345">
        <v>-8862</v>
      </c>
    </row>
    <row r="29" spans="1:20" ht="13.5" customHeight="1">
      <c r="A29" s="370">
        <v>98604</v>
      </c>
      <c r="B29" s="356" t="s">
        <v>1504</v>
      </c>
      <c r="C29" s="235">
        <v>1.2099999999999999E-5</v>
      </c>
      <c r="D29" s="235">
        <v>1.29E-5</v>
      </c>
      <c r="E29" s="345">
        <v>33044</v>
      </c>
      <c r="F29" s="232"/>
      <c r="G29" s="345">
        <v>5658</v>
      </c>
      <c r="H29" s="345">
        <v>806</v>
      </c>
      <c r="I29" s="345">
        <v>5386</v>
      </c>
      <c r="J29" s="345">
        <v>3783</v>
      </c>
      <c r="K29" s="345">
        <v>15633</v>
      </c>
      <c r="L29" s="232"/>
      <c r="M29" s="345">
        <v>0</v>
      </c>
      <c r="N29" s="345">
        <v>0</v>
      </c>
      <c r="O29" s="345">
        <v>263</v>
      </c>
      <c r="P29" s="345">
        <v>263</v>
      </c>
      <c r="Q29" s="232"/>
      <c r="R29" s="345">
        <v>14720</v>
      </c>
      <c r="S29" s="345">
        <v>2511</v>
      </c>
      <c r="T29" s="345">
        <v>17231</v>
      </c>
    </row>
    <row r="30" spans="1:20">
      <c r="A30" s="369">
        <v>98647</v>
      </c>
      <c r="B30" s="347" t="s">
        <v>1620</v>
      </c>
      <c r="C30" s="371"/>
      <c r="D30" s="371"/>
      <c r="E30" s="345">
        <v>0</v>
      </c>
      <c r="F30" s="232"/>
      <c r="G30" s="345">
        <v>0</v>
      </c>
      <c r="H30" s="345">
        <v>0</v>
      </c>
      <c r="I30" s="345">
        <v>0</v>
      </c>
      <c r="J30" s="345">
        <v>0</v>
      </c>
      <c r="K30" s="345">
        <v>0</v>
      </c>
      <c r="L30" s="232"/>
      <c r="M30" s="345">
        <v>0</v>
      </c>
      <c r="N30" s="345">
        <v>0</v>
      </c>
      <c r="O30" s="345">
        <v>1498</v>
      </c>
      <c r="P30" s="345">
        <v>1498</v>
      </c>
      <c r="Q30" s="232"/>
      <c r="R30" s="345">
        <v>0</v>
      </c>
      <c r="S30" s="345">
        <v>-684</v>
      </c>
      <c r="T30" s="345">
        <v>-684</v>
      </c>
    </row>
    <row r="31" spans="1:20">
      <c r="A31" s="351">
        <v>70505</v>
      </c>
      <c r="B31" s="344" t="s">
        <v>727</v>
      </c>
      <c r="C31" s="235">
        <v>3.2890000000000003E-4</v>
      </c>
      <c r="D31" s="235">
        <v>3.6600000000000001E-4</v>
      </c>
      <c r="E31" s="345">
        <v>898200</v>
      </c>
      <c r="F31" s="232"/>
      <c r="G31" s="345">
        <v>153795</v>
      </c>
      <c r="H31" s="345">
        <v>21909</v>
      </c>
      <c r="I31" s="345">
        <v>146392</v>
      </c>
      <c r="J31" s="345">
        <v>0</v>
      </c>
      <c r="K31" s="345">
        <v>322096</v>
      </c>
      <c r="L31" s="232"/>
      <c r="M31" s="345">
        <v>0</v>
      </c>
      <c r="N31" s="345">
        <v>0</v>
      </c>
      <c r="O31" s="345">
        <v>58557</v>
      </c>
      <c r="P31" s="345">
        <v>58557</v>
      </c>
      <c r="Q31" s="232"/>
      <c r="R31" s="345">
        <v>400111</v>
      </c>
      <c r="S31" s="345">
        <v>-24557</v>
      </c>
      <c r="T31" s="345">
        <v>375554</v>
      </c>
    </row>
    <row r="32" spans="1:20">
      <c r="A32" s="351">
        <v>72265</v>
      </c>
      <c r="B32" s="344" t="s">
        <v>728</v>
      </c>
      <c r="C32" s="235">
        <v>1.44E-4</v>
      </c>
      <c r="D32" s="235">
        <v>1.538E-4</v>
      </c>
      <c r="E32" s="345">
        <v>393253</v>
      </c>
      <c r="F32" s="232"/>
      <c r="G32" s="345">
        <v>67335</v>
      </c>
      <c r="H32" s="345">
        <v>9592</v>
      </c>
      <c r="I32" s="345">
        <v>64094</v>
      </c>
      <c r="J32" s="345">
        <v>7536</v>
      </c>
      <c r="K32" s="345">
        <v>148557</v>
      </c>
      <c r="L32" s="232"/>
      <c r="M32" s="345">
        <v>0</v>
      </c>
      <c r="N32" s="345">
        <v>0</v>
      </c>
      <c r="O32" s="345">
        <v>6839</v>
      </c>
      <c r="P32" s="345">
        <v>6839</v>
      </c>
      <c r="Q32" s="232"/>
      <c r="R32" s="345">
        <v>175178</v>
      </c>
      <c r="S32" s="345">
        <v>-2</v>
      </c>
      <c r="T32" s="345">
        <v>175176</v>
      </c>
    </row>
    <row r="33" spans="1:20">
      <c r="A33" s="351">
        <v>72593</v>
      </c>
      <c r="B33" s="344" t="s">
        <v>729</v>
      </c>
      <c r="C33" s="235">
        <v>6.1E-6</v>
      </c>
      <c r="D33" s="235">
        <v>6.0000000000000002E-6</v>
      </c>
      <c r="E33" s="345">
        <v>16659</v>
      </c>
      <c r="F33" s="232"/>
      <c r="G33" s="345">
        <v>2852</v>
      </c>
      <c r="H33" s="345">
        <v>406</v>
      </c>
      <c r="I33" s="345">
        <v>2715</v>
      </c>
      <c r="J33" s="345">
        <v>1508</v>
      </c>
      <c r="K33" s="345">
        <v>7481</v>
      </c>
      <c r="L33" s="232"/>
      <c r="M33" s="345">
        <v>0</v>
      </c>
      <c r="N33" s="345">
        <v>0</v>
      </c>
      <c r="O33" s="345">
        <v>844</v>
      </c>
      <c r="P33" s="345">
        <v>844</v>
      </c>
      <c r="Q33" s="232"/>
      <c r="R33" s="345">
        <v>7421</v>
      </c>
      <c r="S33" s="345">
        <v>505</v>
      </c>
      <c r="T33" s="345">
        <v>7926</v>
      </c>
    </row>
    <row r="34" spans="1:20">
      <c r="A34" s="351">
        <v>72657</v>
      </c>
      <c r="B34" s="344" t="s">
        <v>730</v>
      </c>
      <c r="C34" s="235">
        <v>3.7200000000000003E-5</v>
      </c>
      <c r="D34" s="235">
        <v>3.9199999999999997E-5</v>
      </c>
      <c r="E34" s="345">
        <v>101590</v>
      </c>
      <c r="F34" s="232"/>
      <c r="G34" s="345">
        <v>17395</v>
      </c>
      <c r="H34" s="345">
        <v>2478</v>
      </c>
      <c r="I34" s="345">
        <v>16558</v>
      </c>
      <c r="J34" s="345">
        <v>0</v>
      </c>
      <c r="K34" s="345">
        <v>36431</v>
      </c>
      <c r="L34" s="232"/>
      <c r="M34" s="345">
        <v>0</v>
      </c>
      <c r="N34" s="345">
        <v>0</v>
      </c>
      <c r="O34" s="345">
        <v>6739</v>
      </c>
      <c r="P34" s="345">
        <v>6739</v>
      </c>
      <c r="Q34" s="232"/>
      <c r="R34" s="345">
        <v>45254</v>
      </c>
      <c r="S34" s="345">
        <v>-3514</v>
      </c>
      <c r="T34" s="345">
        <v>41740</v>
      </c>
    </row>
    <row r="35" spans="1:20">
      <c r="A35" s="351">
        <v>90001</v>
      </c>
      <c r="B35" s="344" t="s">
        <v>731</v>
      </c>
      <c r="C35" s="235">
        <v>8.6050000000000005E-4</v>
      </c>
      <c r="D35" s="235">
        <v>8.61E-4</v>
      </c>
      <c r="E35" s="345">
        <v>2349958</v>
      </c>
      <c r="F35" s="232"/>
      <c r="G35" s="345">
        <v>402372</v>
      </c>
      <c r="H35" s="345">
        <v>57319</v>
      </c>
      <c r="I35" s="345">
        <v>383004</v>
      </c>
      <c r="J35" s="345">
        <v>12346</v>
      </c>
      <c r="K35" s="345">
        <v>855041</v>
      </c>
      <c r="L35" s="232"/>
      <c r="M35" s="345">
        <v>0</v>
      </c>
      <c r="N35" s="345">
        <v>0</v>
      </c>
      <c r="O35" s="345">
        <v>6268</v>
      </c>
      <c r="P35" s="345">
        <v>6268</v>
      </c>
      <c r="Q35" s="232"/>
      <c r="R35" s="345">
        <v>1046809</v>
      </c>
      <c r="S35" s="345">
        <v>1394</v>
      </c>
      <c r="T35" s="345">
        <v>1048203</v>
      </c>
    </row>
    <row r="36" spans="1:20">
      <c r="A36" s="351">
        <v>90002</v>
      </c>
      <c r="B36" s="344" t="s">
        <v>3639</v>
      </c>
      <c r="C36" s="235">
        <v>8.3999999999999992E-6</v>
      </c>
      <c r="D36" s="235">
        <v>9.5000000000000005E-6</v>
      </c>
      <c r="E36" s="345">
        <v>22940</v>
      </c>
      <c r="F36" s="232"/>
      <c r="G36" s="345">
        <v>3928</v>
      </c>
      <c r="H36" s="345">
        <v>559</v>
      </c>
      <c r="I36" s="345">
        <v>3739</v>
      </c>
      <c r="J36" s="345">
        <v>1912</v>
      </c>
      <c r="K36" s="345">
        <v>10138</v>
      </c>
      <c r="L36" s="232"/>
      <c r="M36" s="345">
        <v>0</v>
      </c>
      <c r="N36" s="345">
        <v>0</v>
      </c>
      <c r="O36" s="345">
        <v>0</v>
      </c>
      <c r="P36" s="345">
        <v>0</v>
      </c>
      <c r="Q36" s="232"/>
      <c r="R36" s="345">
        <v>10219</v>
      </c>
      <c r="S36" s="345">
        <v>873</v>
      </c>
      <c r="T36" s="345">
        <v>11092</v>
      </c>
    </row>
    <row r="37" spans="1:20">
      <c r="A37" s="351">
        <v>90011</v>
      </c>
      <c r="B37" s="344" t="s">
        <v>733</v>
      </c>
      <c r="C37" s="235">
        <v>1.8009999999999999E-4</v>
      </c>
      <c r="D37" s="235">
        <v>1.916E-4</v>
      </c>
      <c r="E37" s="345">
        <v>491839</v>
      </c>
      <c r="F37" s="232"/>
      <c r="G37" s="345">
        <v>84215</v>
      </c>
      <c r="H37" s="345">
        <v>11996</v>
      </c>
      <c r="I37" s="345">
        <v>80162</v>
      </c>
      <c r="J37" s="345">
        <v>0</v>
      </c>
      <c r="K37" s="345">
        <v>176373</v>
      </c>
      <c r="L37" s="232"/>
      <c r="M37" s="345">
        <v>0</v>
      </c>
      <c r="N37" s="345">
        <v>0</v>
      </c>
      <c r="O37" s="345">
        <v>25090</v>
      </c>
      <c r="P37" s="345">
        <v>25090</v>
      </c>
      <c r="Q37" s="232"/>
      <c r="R37" s="345">
        <v>219094</v>
      </c>
      <c r="S37" s="345">
        <v>-13726</v>
      </c>
      <c r="T37" s="345">
        <v>205368</v>
      </c>
    </row>
    <row r="38" spans="1:20" ht="30">
      <c r="A38" s="351">
        <v>90092</v>
      </c>
      <c r="B38" s="344" t="s">
        <v>2802</v>
      </c>
      <c r="C38" s="235">
        <v>3.9530000000000001E-4</v>
      </c>
      <c r="D38" s="235">
        <v>3.547E-4</v>
      </c>
      <c r="E38" s="345">
        <v>1079533</v>
      </c>
      <c r="F38" s="232"/>
      <c r="G38" s="345">
        <v>184843</v>
      </c>
      <c r="H38" s="345">
        <v>26332</v>
      </c>
      <c r="I38" s="345">
        <v>175946</v>
      </c>
      <c r="J38" s="345">
        <v>52449</v>
      </c>
      <c r="K38" s="345">
        <v>439570</v>
      </c>
      <c r="L38" s="232"/>
      <c r="M38" s="345">
        <v>0</v>
      </c>
      <c r="N38" s="345">
        <v>0</v>
      </c>
      <c r="O38" s="345">
        <v>13888</v>
      </c>
      <c r="P38" s="345">
        <v>13888</v>
      </c>
      <c r="Q38" s="232"/>
      <c r="R38" s="345">
        <v>480888</v>
      </c>
      <c r="S38" s="345">
        <v>-12591</v>
      </c>
      <c r="T38" s="345">
        <v>468297</v>
      </c>
    </row>
    <row r="39" spans="1:20">
      <c r="A39" s="351">
        <v>90096</v>
      </c>
      <c r="B39" s="344" t="s">
        <v>735</v>
      </c>
      <c r="C39" s="235">
        <v>9.722E-4</v>
      </c>
      <c r="D39" s="235">
        <v>9.1730000000000002E-4</v>
      </c>
      <c r="E39" s="345">
        <v>2655002</v>
      </c>
      <c r="F39" s="232"/>
      <c r="G39" s="345">
        <v>454604</v>
      </c>
      <c r="H39" s="345">
        <v>64759</v>
      </c>
      <c r="I39" s="345">
        <v>432721</v>
      </c>
      <c r="J39" s="345">
        <v>154352</v>
      </c>
      <c r="K39" s="345">
        <v>1106436</v>
      </c>
      <c r="L39" s="232"/>
      <c r="M39" s="345">
        <v>0</v>
      </c>
      <c r="N39" s="345">
        <v>0</v>
      </c>
      <c r="O39" s="345">
        <v>112677</v>
      </c>
      <c r="P39" s="345">
        <v>112677</v>
      </c>
      <c r="Q39" s="232"/>
      <c r="R39" s="345">
        <v>1182694</v>
      </c>
      <c r="S39" s="345">
        <v>-13741</v>
      </c>
      <c r="T39" s="345">
        <v>1168953</v>
      </c>
    </row>
    <row r="40" spans="1:20">
      <c r="A40" s="351">
        <v>90098</v>
      </c>
      <c r="B40" s="344" t="s">
        <v>736</v>
      </c>
      <c r="C40" s="235">
        <v>2.521E-4</v>
      </c>
      <c r="D40" s="235">
        <v>3.1510000000000002E-4</v>
      </c>
      <c r="E40" s="345">
        <v>688465</v>
      </c>
      <c r="F40" s="232"/>
      <c r="G40" s="345">
        <v>117883</v>
      </c>
      <c r="H40" s="345">
        <v>16793</v>
      </c>
      <c r="I40" s="345">
        <v>112208</v>
      </c>
      <c r="J40" s="345">
        <v>14122</v>
      </c>
      <c r="K40" s="345">
        <v>261006</v>
      </c>
      <c r="L40" s="232"/>
      <c r="M40" s="345">
        <v>0</v>
      </c>
      <c r="N40" s="345">
        <v>0</v>
      </c>
      <c r="O40" s="345">
        <v>69540</v>
      </c>
      <c r="P40" s="345">
        <v>69540</v>
      </c>
      <c r="Q40" s="232"/>
      <c r="R40" s="345">
        <v>306683</v>
      </c>
      <c r="S40" s="345">
        <v>-39915</v>
      </c>
      <c r="T40" s="345">
        <v>266768</v>
      </c>
    </row>
    <row r="41" spans="1:20">
      <c r="A41" s="351">
        <v>90099</v>
      </c>
      <c r="B41" s="344" t="s">
        <v>3640</v>
      </c>
      <c r="C41" s="235">
        <v>6.7389999999999995E-4</v>
      </c>
      <c r="D41" s="235">
        <v>6.8800000000000003E-4</v>
      </c>
      <c r="E41" s="345">
        <v>1840368</v>
      </c>
      <c r="F41" s="232"/>
      <c r="G41" s="345">
        <v>315118</v>
      </c>
      <c r="H41" s="345">
        <v>44889</v>
      </c>
      <c r="I41" s="345">
        <v>299950</v>
      </c>
      <c r="J41" s="345">
        <v>43670</v>
      </c>
      <c r="K41" s="345">
        <v>703627</v>
      </c>
      <c r="L41" s="232"/>
      <c r="M41" s="345">
        <v>0</v>
      </c>
      <c r="N41" s="345">
        <v>0</v>
      </c>
      <c r="O41" s="345">
        <v>63390</v>
      </c>
      <c r="P41" s="345">
        <v>63390</v>
      </c>
      <c r="Q41" s="232"/>
      <c r="R41" s="345">
        <v>819808</v>
      </c>
      <c r="S41" s="345">
        <v>-7313</v>
      </c>
      <c r="T41" s="345">
        <v>812495</v>
      </c>
    </row>
    <row r="42" spans="1:20">
      <c r="A42" s="351">
        <v>90101</v>
      </c>
      <c r="B42" s="344" t="s">
        <v>738</v>
      </c>
      <c r="C42" s="235">
        <v>6.2302E-3</v>
      </c>
      <c r="D42" s="235">
        <v>6.4729000000000002E-3</v>
      </c>
      <c r="E42" s="345">
        <v>17014190</v>
      </c>
      <c r="F42" s="232"/>
      <c r="G42" s="345">
        <v>2913260</v>
      </c>
      <c r="H42" s="345">
        <v>415000</v>
      </c>
      <c r="I42" s="345">
        <v>2773031</v>
      </c>
      <c r="J42" s="345">
        <v>66528</v>
      </c>
      <c r="K42" s="345">
        <v>6167819</v>
      </c>
      <c r="L42" s="232"/>
      <c r="M42" s="345">
        <v>0</v>
      </c>
      <c r="N42" s="345">
        <v>0</v>
      </c>
      <c r="O42" s="345">
        <v>337135</v>
      </c>
      <c r="P42" s="345">
        <v>337135</v>
      </c>
      <c r="Q42" s="232"/>
      <c r="R42" s="345">
        <v>7579119</v>
      </c>
      <c r="S42" s="345">
        <v>-7540</v>
      </c>
      <c r="T42" s="345">
        <v>7571579</v>
      </c>
    </row>
    <row r="43" spans="1:20">
      <c r="A43" s="351">
        <v>90111</v>
      </c>
      <c r="B43" s="344" t="s">
        <v>739</v>
      </c>
      <c r="C43" s="235">
        <v>4.9528000000000003E-3</v>
      </c>
      <c r="D43" s="235">
        <v>5.0667999999999998E-3</v>
      </c>
      <c r="E43" s="345">
        <v>13525710</v>
      </c>
      <c r="F43" s="232"/>
      <c r="G43" s="345">
        <v>2315944</v>
      </c>
      <c r="H43" s="345">
        <v>329911</v>
      </c>
      <c r="I43" s="345">
        <v>2204467</v>
      </c>
      <c r="J43" s="345">
        <v>12792</v>
      </c>
      <c r="K43" s="345">
        <v>4863114</v>
      </c>
      <c r="L43" s="232"/>
      <c r="M43" s="345">
        <v>0</v>
      </c>
      <c r="N43" s="345">
        <v>0</v>
      </c>
      <c r="O43" s="345">
        <v>170370</v>
      </c>
      <c r="P43" s="345">
        <v>170370</v>
      </c>
      <c r="Q43" s="232"/>
      <c r="R43" s="345">
        <v>6025146</v>
      </c>
      <c r="S43" s="345">
        <v>-63111</v>
      </c>
      <c r="T43" s="345">
        <v>5962035</v>
      </c>
    </row>
    <row r="44" spans="1:20">
      <c r="A44" s="351">
        <v>90114</v>
      </c>
      <c r="B44" s="344" t="s">
        <v>740</v>
      </c>
      <c r="C44" s="235">
        <v>1.1188999999999999E-3</v>
      </c>
      <c r="D44" s="235">
        <v>1.0735E-3</v>
      </c>
      <c r="E44" s="345">
        <v>3055629</v>
      </c>
      <c r="F44" s="232"/>
      <c r="G44" s="345">
        <v>523201</v>
      </c>
      <c r="H44" s="345">
        <v>74531</v>
      </c>
      <c r="I44" s="345">
        <v>498017</v>
      </c>
      <c r="J44" s="345">
        <v>1384955</v>
      </c>
      <c r="K44" s="345">
        <v>2480704</v>
      </c>
      <c r="L44" s="232"/>
      <c r="M44" s="345">
        <v>0</v>
      </c>
      <c r="N44" s="345">
        <v>0</v>
      </c>
      <c r="O44" s="345">
        <v>0</v>
      </c>
      <c r="P44" s="345">
        <v>0</v>
      </c>
      <c r="Q44" s="232"/>
      <c r="R44" s="345">
        <v>1361156</v>
      </c>
      <c r="S44" s="345">
        <v>632710</v>
      </c>
      <c r="T44" s="345">
        <v>1993866</v>
      </c>
    </row>
    <row r="45" spans="1:20">
      <c r="A45" s="351">
        <v>90117</v>
      </c>
      <c r="B45" s="344" t="s">
        <v>741</v>
      </c>
      <c r="C45" s="235">
        <v>1.3219999999999999E-4</v>
      </c>
      <c r="D45" s="235">
        <v>1.36E-4</v>
      </c>
      <c r="E45" s="345">
        <v>361028</v>
      </c>
      <c r="F45" s="232"/>
      <c r="G45" s="345">
        <v>61817</v>
      </c>
      <c r="H45" s="345">
        <v>8806</v>
      </c>
      <c r="I45" s="345">
        <v>58842</v>
      </c>
      <c r="J45" s="345">
        <v>38678</v>
      </c>
      <c r="K45" s="345">
        <v>168143</v>
      </c>
      <c r="L45" s="232"/>
      <c r="M45" s="345">
        <v>0</v>
      </c>
      <c r="N45" s="345">
        <v>0</v>
      </c>
      <c r="O45" s="345">
        <v>0</v>
      </c>
      <c r="P45" s="345">
        <v>0</v>
      </c>
      <c r="Q45" s="232"/>
      <c r="R45" s="345">
        <v>160823</v>
      </c>
      <c r="S45" s="345">
        <v>20680</v>
      </c>
      <c r="T45" s="345">
        <v>181503</v>
      </c>
    </row>
    <row r="46" spans="1:20">
      <c r="A46" s="351">
        <v>90121</v>
      </c>
      <c r="B46" s="344" t="s">
        <v>742</v>
      </c>
      <c r="C46" s="235">
        <v>1.1077999999999999E-3</v>
      </c>
      <c r="D46" s="235">
        <v>1.0601E-3</v>
      </c>
      <c r="E46" s="345">
        <v>3025315</v>
      </c>
      <c r="F46" s="232"/>
      <c r="G46" s="345">
        <v>518011</v>
      </c>
      <c r="H46" s="345">
        <v>73792</v>
      </c>
      <c r="I46" s="345">
        <v>493076</v>
      </c>
      <c r="J46" s="345">
        <v>0</v>
      </c>
      <c r="K46" s="345">
        <v>1084879</v>
      </c>
      <c r="L46" s="232"/>
      <c r="M46" s="345">
        <v>0</v>
      </c>
      <c r="N46" s="345">
        <v>0</v>
      </c>
      <c r="O46" s="345">
        <v>82679</v>
      </c>
      <c r="P46" s="345">
        <v>82679</v>
      </c>
      <c r="Q46" s="232"/>
      <c r="R46" s="345">
        <v>1347653</v>
      </c>
      <c r="S46" s="345">
        <v>-45699</v>
      </c>
      <c r="T46" s="345">
        <v>1301954</v>
      </c>
    </row>
    <row r="47" spans="1:20">
      <c r="A47" s="351">
        <v>90131</v>
      </c>
      <c r="B47" s="344" t="s">
        <v>743</v>
      </c>
      <c r="C47" s="235">
        <v>4.9050000000000005E-4</v>
      </c>
      <c r="D47" s="235">
        <v>4.7830000000000003E-4</v>
      </c>
      <c r="E47" s="345">
        <v>1339517</v>
      </c>
      <c r="F47" s="232"/>
      <c r="G47" s="345">
        <v>229359</v>
      </c>
      <c r="H47" s="345">
        <v>32673</v>
      </c>
      <c r="I47" s="345">
        <v>218319</v>
      </c>
      <c r="J47" s="345">
        <v>2990</v>
      </c>
      <c r="K47" s="345">
        <v>483341</v>
      </c>
      <c r="L47" s="232"/>
      <c r="M47" s="345">
        <v>0</v>
      </c>
      <c r="N47" s="345">
        <v>0</v>
      </c>
      <c r="O47" s="345">
        <v>23769</v>
      </c>
      <c r="P47" s="345">
        <v>23769</v>
      </c>
      <c r="Q47" s="232"/>
      <c r="R47" s="345">
        <v>596700</v>
      </c>
      <c r="S47" s="345">
        <v>-11874</v>
      </c>
      <c r="T47" s="345">
        <v>584826</v>
      </c>
    </row>
    <row r="48" spans="1:20">
      <c r="A48" s="351">
        <v>90141</v>
      </c>
      <c r="B48" s="344" t="s">
        <v>744</v>
      </c>
      <c r="C48" s="235">
        <v>1.4770000000000001E-4</v>
      </c>
      <c r="D48" s="235">
        <v>1.4770000000000001E-4</v>
      </c>
      <c r="E48" s="345">
        <v>403357</v>
      </c>
      <c r="F48" s="232"/>
      <c r="G48" s="345">
        <v>69065</v>
      </c>
      <c r="H48" s="345">
        <v>9838</v>
      </c>
      <c r="I48" s="345">
        <v>65741</v>
      </c>
      <c r="J48" s="345">
        <v>5227</v>
      </c>
      <c r="K48" s="345">
        <v>149871</v>
      </c>
      <c r="L48" s="232"/>
      <c r="M48" s="345">
        <v>0</v>
      </c>
      <c r="N48" s="345">
        <v>0</v>
      </c>
      <c r="O48" s="345">
        <v>5164</v>
      </c>
      <c r="P48" s="345">
        <v>5164</v>
      </c>
      <c r="Q48" s="232"/>
      <c r="R48" s="345">
        <v>179679</v>
      </c>
      <c r="S48" s="345">
        <v>-1596</v>
      </c>
      <c r="T48" s="345">
        <v>178083</v>
      </c>
    </row>
    <row r="49" spans="1:20">
      <c r="A49" s="351">
        <v>90151</v>
      </c>
      <c r="B49" s="344" t="s">
        <v>745</v>
      </c>
      <c r="C49" s="235">
        <v>9.3000000000000007E-6</v>
      </c>
      <c r="D49" s="235">
        <v>9.7000000000000003E-6</v>
      </c>
      <c r="E49" s="345">
        <v>25398</v>
      </c>
      <c r="F49" s="232"/>
      <c r="G49" s="345">
        <v>4349</v>
      </c>
      <c r="H49" s="345">
        <v>620</v>
      </c>
      <c r="I49" s="345">
        <v>4139</v>
      </c>
      <c r="J49" s="345">
        <v>0</v>
      </c>
      <c r="K49" s="345">
        <v>9108</v>
      </c>
      <c r="L49" s="232"/>
      <c r="M49" s="345">
        <v>0</v>
      </c>
      <c r="N49" s="345">
        <v>0</v>
      </c>
      <c r="O49" s="345">
        <v>3296</v>
      </c>
      <c r="P49" s="345">
        <v>3296</v>
      </c>
      <c r="Q49" s="232"/>
      <c r="R49" s="345">
        <v>11314</v>
      </c>
      <c r="S49" s="345">
        <v>-1485</v>
      </c>
      <c r="T49" s="345">
        <v>9829</v>
      </c>
    </row>
    <row r="50" spans="1:20">
      <c r="A50" s="351">
        <v>90161</v>
      </c>
      <c r="B50" s="344" t="s">
        <v>746</v>
      </c>
      <c r="C50" s="235">
        <v>3.57E-5</v>
      </c>
      <c r="D50" s="235">
        <v>4.3999999999999999E-5</v>
      </c>
      <c r="E50" s="345">
        <v>97494</v>
      </c>
      <c r="F50" s="232"/>
      <c r="G50" s="345">
        <v>16693</v>
      </c>
      <c r="H50" s="345">
        <v>2378</v>
      </c>
      <c r="I50" s="345">
        <v>15890</v>
      </c>
      <c r="J50" s="345">
        <v>2808</v>
      </c>
      <c r="K50" s="345">
        <v>37769</v>
      </c>
      <c r="L50" s="232"/>
      <c r="M50" s="345">
        <v>0</v>
      </c>
      <c r="N50" s="345">
        <v>0</v>
      </c>
      <c r="O50" s="345">
        <v>7097</v>
      </c>
      <c r="P50" s="345">
        <v>7097</v>
      </c>
      <c r="Q50" s="232"/>
      <c r="R50" s="345">
        <v>43430</v>
      </c>
      <c r="S50" s="345">
        <v>336</v>
      </c>
      <c r="T50" s="345">
        <v>43766</v>
      </c>
    </row>
    <row r="51" spans="1:20">
      <c r="A51" s="351">
        <v>90201</v>
      </c>
      <c r="B51" s="344" t="s">
        <v>747</v>
      </c>
      <c r="C51" s="235">
        <v>1.2569E-3</v>
      </c>
      <c r="D51" s="235">
        <v>1.1705999999999999E-3</v>
      </c>
      <c r="E51" s="345">
        <v>3432496</v>
      </c>
      <c r="F51" s="232"/>
      <c r="G51" s="345">
        <v>587730</v>
      </c>
      <c r="H51" s="345">
        <v>83723</v>
      </c>
      <c r="I51" s="345">
        <v>559440</v>
      </c>
      <c r="J51" s="345">
        <v>62679</v>
      </c>
      <c r="K51" s="345">
        <v>1293572</v>
      </c>
      <c r="L51" s="232"/>
      <c r="M51" s="345">
        <v>0</v>
      </c>
      <c r="N51" s="345">
        <v>0</v>
      </c>
      <c r="O51" s="345">
        <v>37432</v>
      </c>
      <c r="P51" s="345">
        <v>37432</v>
      </c>
      <c r="Q51" s="232"/>
      <c r="R51" s="345">
        <v>1529035</v>
      </c>
      <c r="S51" s="345">
        <v>2957</v>
      </c>
      <c r="T51" s="345">
        <v>1531992</v>
      </c>
    </row>
    <row r="52" spans="1:20">
      <c r="A52" s="351">
        <v>90203</v>
      </c>
      <c r="B52" s="344" t="s">
        <v>3641</v>
      </c>
      <c r="C52" s="235">
        <v>2.0019999999999999E-4</v>
      </c>
      <c r="D52" s="235">
        <v>1.9909999999999999E-4</v>
      </c>
      <c r="E52" s="345">
        <v>546731</v>
      </c>
      <c r="F52" s="232"/>
      <c r="G52" s="345">
        <v>93614</v>
      </c>
      <c r="H52" s="345">
        <v>13336</v>
      </c>
      <c r="I52" s="345">
        <v>89108</v>
      </c>
      <c r="J52" s="345">
        <v>5278</v>
      </c>
      <c r="K52" s="345">
        <v>201336</v>
      </c>
      <c r="L52" s="232"/>
      <c r="M52" s="345">
        <v>0</v>
      </c>
      <c r="N52" s="345">
        <v>0</v>
      </c>
      <c r="O52" s="345">
        <v>17742</v>
      </c>
      <c r="P52" s="345">
        <v>17742</v>
      </c>
      <c r="Q52" s="232"/>
      <c r="R52" s="345">
        <v>243546</v>
      </c>
      <c r="S52" s="345">
        <v>-9710</v>
      </c>
      <c r="T52" s="345">
        <v>233836</v>
      </c>
    </row>
    <row r="53" spans="1:20">
      <c r="A53" s="351">
        <v>90205</v>
      </c>
      <c r="B53" s="344" t="s">
        <v>749</v>
      </c>
      <c r="C53" s="235">
        <v>3.04E-5</v>
      </c>
      <c r="D53" s="235">
        <v>3.2499999999999997E-5</v>
      </c>
      <c r="E53" s="345">
        <v>83020</v>
      </c>
      <c r="F53" s="232"/>
      <c r="G53" s="345">
        <v>14215</v>
      </c>
      <c r="H53" s="345">
        <v>2025</v>
      </c>
      <c r="I53" s="345">
        <v>13531</v>
      </c>
      <c r="J53" s="345">
        <v>1777</v>
      </c>
      <c r="K53" s="345">
        <v>31548</v>
      </c>
      <c r="L53" s="232"/>
      <c r="M53" s="345">
        <v>0</v>
      </c>
      <c r="N53" s="345">
        <v>0</v>
      </c>
      <c r="O53" s="345">
        <v>1763</v>
      </c>
      <c r="P53" s="345">
        <v>1763</v>
      </c>
      <c r="Q53" s="232"/>
      <c r="R53" s="345">
        <v>36982</v>
      </c>
      <c r="S53" s="345">
        <v>-98</v>
      </c>
      <c r="T53" s="345">
        <v>36884</v>
      </c>
    </row>
    <row r="54" spans="1:20">
      <c r="A54" s="351">
        <v>90206</v>
      </c>
      <c r="B54" s="344" t="s">
        <v>3642</v>
      </c>
      <c r="C54" s="235">
        <v>3.6160000000000001E-4</v>
      </c>
      <c r="D54" s="235">
        <v>4.1950000000000001E-4</v>
      </c>
      <c r="E54" s="345">
        <v>987501</v>
      </c>
      <c r="F54" s="232"/>
      <c r="G54" s="345">
        <v>169085</v>
      </c>
      <c r="H54" s="345">
        <v>24086</v>
      </c>
      <c r="I54" s="345">
        <v>160946</v>
      </c>
      <c r="J54" s="345">
        <v>0</v>
      </c>
      <c r="K54" s="345">
        <v>354117</v>
      </c>
      <c r="L54" s="232"/>
      <c r="M54" s="345">
        <v>0</v>
      </c>
      <c r="N54" s="345">
        <v>0</v>
      </c>
      <c r="O54" s="345">
        <v>57571</v>
      </c>
      <c r="P54" s="345">
        <v>57571</v>
      </c>
      <c r="Q54" s="232"/>
      <c r="R54" s="345">
        <v>439891</v>
      </c>
      <c r="S54" s="345">
        <v>-19711</v>
      </c>
      <c r="T54" s="345">
        <v>420180</v>
      </c>
    </row>
    <row r="55" spans="1:20">
      <c r="A55" s="351">
        <v>90211</v>
      </c>
      <c r="B55" s="344" t="s">
        <v>751</v>
      </c>
      <c r="C55" s="235">
        <v>1.5799999999999999E-4</v>
      </c>
      <c r="D55" s="235">
        <v>1.5330000000000001E-4</v>
      </c>
      <c r="E55" s="345">
        <v>431486</v>
      </c>
      <c r="F55" s="232"/>
      <c r="G55" s="345">
        <v>73881</v>
      </c>
      <c r="H55" s="345">
        <v>10525</v>
      </c>
      <c r="I55" s="345">
        <v>70325</v>
      </c>
      <c r="J55" s="345">
        <v>10065</v>
      </c>
      <c r="K55" s="345">
        <v>164796</v>
      </c>
      <c r="L55" s="232"/>
      <c r="M55" s="345">
        <v>0</v>
      </c>
      <c r="N55" s="345">
        <v>0</v>
      </c>
      <c r="O55" s="345">
        <v>4315</v>
      </c>
      <c r="P55" s="345">
        <v>4315</v>
      </c>
      <c r="Q55" s="232"/>
      <c r="R55" s="345">
        <v>192209</v>
      </c>
      <c r="S55" s="345">
        <v>-1941</v>
      </c>
      <c r="T55" s="345">
        <v>190268</v>
      </c>
    </row>
    <row r="56" spans="1:20">
      <c r="A56" s="351">
        <v>90301</v>
      </c>
      <c r="B56" s="344" t="s">
        <v>752</v>
      </c>
      <c r="C56" s="235">
        <v>7.339E-4</v>
      </c>
      <c r="D56" s="235">
        <v>7.0640000000000004E-4</v>
      </c>
      <c r="E56" s="345">
        <v>2004224</v>
      </c>
      <c r="F56" s="232"/>
      <c r="G56" s="345">
        <v>343174</v>
      </c>
      <c r="H56" s="345">
        <v>48886</v>
      </c>
      <c r="I56" s="345">
        <v>326655</v>
      </c>
      <c r="J56" s="345">
        <v>0</v>
      </c>
      <c r="K56" s="345">
        <v>718715</v>
      </c>
      <c r="L56" s="232"/>
      <c r="M56" s="345">
        <v>0</v>
      </c>
      <c r="N56" s="345">
        <v>0</v>
      </c>
      <c r="O56" s="345">
        <v>7727</v>
      </c>
      <c r="P56" s="345">
        <v>7727</v>
      </c>
      <c r="Q56" s="232"/>
      <c r="R56" s="345">
        <v>892799</v>
      </c>
      <c r="S56" s="345">
        <v>-2404</v>
      </c>
      <c r="T56" s="345">
        <v>890395</v>
      </c>
    </row>
    <row r="57" spans="1:20">
      <c r="A57" s="351">
        <v>90305</v>
      </c>
      <c r="B57" s="344" t="s">
        <v>753</v>
      </c>
      <c r="C57" s="235">
        <v>1.404E-4</v>
      </c>
      <c r="D57" s="235">
        <v>1.4909999999999999E-4</v>
      </c>
      <c r="E57" s="345">
        <v>383421</v>
      </c>
      <c r="F57" s="232"/>
      <c r="G57" s="345">
        <v>65651</v>
      </c>
      <c r="H57" s="345">
        <v>9352</v>
      </c>
      <c r="I57" s="345">
        <v>62491</v>
      </c>
      <c r="J57" s="345">
        <v>13757</v>
      </c>
      <c r="K57" s="345">
        <v>151251</v>
      </c>
      <c r="L57" s="232"/>
      <c r="M57" s="345">
        <v>0</v>
      </c>
      <c r="N57" s="345">
        <v>0</v>
      </c>
      <c r="O57" s="345">
        <v>0</v>
      </c>
      <c r="P57" s="345">
        <v>0</v>
      </c>
      <c r="Q57" s="232"/>
      <c r="R57" s="345">
        <v>170798</v>
      </c>
      <c r="S57" s="345">
        <v>9721</v>
      </c>
      <c r="T57" s="345">
        <v>180519</v>
      </c>
    </row>
    <row r="58" spans="1:20">
      <c r="A58" s="351">
        <v>90307</v>
      </c>
      <c r="B58" s="344" t="s">
        <v>754</v>
      </c>
      <c r="C58" s="235">
        <v>5.8000000000000004E-6</v>
      </c>
      <c r="D58" s="235">
        <v>6.6000000000000003E-6</v>
      </c>
      <c r="E58" s="345">
        <v>15839</v>
      </c>
      <c r="F58" s="232"/>
      <c r="G58" s="345">
        <v>2712</v>
      </c>
      <c r="H58" s="345">
        <v>386</v>
      </c>
      <c r="I58" s="345">
        <v>2582</v>
      </c>
      <c r="J58" s="345">
        <v>746</v>
      </c>
      <c r="K58" s="345">
        <v>6426</v>
      </c>
      <c r="L58" s="232"/>
      <c r="M58" s="345">
        <v>0</v>
      </c>
      <c r="N58" s="345">
        <v>0</v>
      </c>
      <c r="O58" s="345">
        <v>24</v>
      </c>
      <c r="P58" s="345">
        <v>24</v>
      </c>
      <c r="Q58" s="232"/>
      <c r="R58" s="345">
        <v>7056</v>
      </c>
      <c r="S58" s="345">
        <v>303</v>
      </c>
      <c r="T58" s="345">
        <v>7359</v>
      </c>
    </row>
    <row r="59" spans="1:20">
      <c r="A59" s="351">
        <v>90401</v>
      </c>
      <c r="B59" s="344" t="s">
        <v>755</v>
      </c>
      <c r="C59" s="235">
        <v>1.2876000000000001E-3</v>
      </c>
      <c r="D59" s="235">
        <v>1.2583E-3</v>
      </c>
      <c r="E59" s="345">
        <v>3516335</v>
      </c>
      <c r="F59" s="232"/>
      <c r="G59" s="345">
        <v>602086</v>
      </c>
      <c r="H59" s="345">
        <v>85768</v>
      </c>
      <c r="I59" s="345">
        <v>573104</v>
      </c>
      <c r="J59" s="345">
        <v>79589</v>
      </c>
      <c r="K59" s="345">
        <v>1340547</v>
      </c>
      <c r="L59" s="232"/>
      <c r="M59" s="345">
        <v>0</v>
      </c>
      <c r="N59" s="345">
        <v>0</v>
      </c>
      <c r="O59" s="345">
        <v>12903</v>
      </c>
      <c r="P59" s="345">
        <v>12903</v>
      </c>
      <c r="Q59" s="232"/>
      <c r="R59" s="345">
        <v>1566382</v>
      </c>
      <c r="S59" s="345">
        <v>29320</v>
      </c>
      <c r="T59" s="345">
        <v>1595702</v>
      </c>
    </row>
    <row r="60" spans="1:20">
      <c r="A60" s="351">
        <v>90411</v>
      </c>
      <c r="B60" s="344" t="s">
        <v>756</v>
      </c>
      <c r="C60" s="235">
        <v>3.2929999999999998E-4</v>
      </c>
      <c r="D60" s="235">
        <v>3.5110000000000002E-4</v>
      </c>
      <c r="E60" s="345">
        <v>899293</v>
      </c>
      <c r="F60" s="232"/>
      <c r="G60" s="345">
        <v>153982</v>
      </c>
      <c r="H60" s="345">
        <v>21935</v>
      </c>
      <c r="I60" s="345">
        <v>146570</v>
      </c>
      <c r="J60" s="345">
        <v>0</v>
      </c>
      <c r="K60" s="345">
        <v>322487</v>
      </c>
      <c r="L60" s="232"/>
      <c r="M60" s="345">
        <v>0</v>
      </c>
      <c r="N60" s="345">
        <v>0</v>
      </c>
      <c r="O60" s="345">
        <v>39964</v>
      </c>
      <c r="P60" s="345">
        <v>39964</v>
      </c>
      <c r="Q60" s="232"/>
      <c r="R60" s="345">
        <v>400598</v>
      </c>
      <c r="S60" s="345">
        <v>-22186</v>
      </c>
      <c r="T60" s="345">
        <v>378412</v>
      </c>
    </row>
    <row r="61" spans="1:20">
      <c r="A61" s="351">
        <v>90413</v>
      </c>
      <c r="B61" s="344" t="s">
        <v>757</v>
      </c>
      <c r="C61" s="235">
        <v>3.4900000000000001E-5</v>
      </c>
      <c r="D61" s="235">
        <v>3.4700000000000003E-5</v>
      </c>
      <c r="E61" s="345">
        <v>95309</v>
      </c>
      <c r="F61" s="232"/>
      <c r="G61" s="345">
        <v>16319</v>
      </c>
      <c r="H61" s="345">
        <v>2324</v>
      </c>
      <c r="I61" s="345">
        <v>15534</v>
      </c>
      <c r="J61" s="345">
        <v>3239</v>
      </c>
      <c r="K61" s="345">
        <v>37416</v>
      </c>
      <c r="L61" s="232"/>
      <c r="M61" s="345">
        <v>0</v>
      </c>
      <c r="N61" s="345">
        <v>0</v>
      </c>
      <c r="O61" s="345">
        <v>458</v>
      </c>
      <c r="P61" s="345">
        <v>458</v>
      </c>
      <c r="Q61" s="232"/>
      <c r="R61" s="345">
        <v>42456</v>
      </c>
      <c r="S61" s="345">
        <v>2578</v>
      </c>
      <c r="T61" s="345">
        <v>45034</v>
      </c>
    </row>
    <row r="62" spans="1:20">
      <c r="A62" s="351">
        <v>90417</v>
      </c>
      <c r="B62" s="344" t="s">
        <v>758</v>
      </c>
      <c r="C62" s="235">
        <v>1.06E-5</v>
      </c>
      <c r="D62" s="235">
        <v>1.19E-5</v>
      </c>
      <c r="E62" s="345">
        <v>28948</v>
      </c>
      <c r="F62" s="232"/>
      <c r="G62" s="345">
        <v>4957</v>
      </c>
      <c r="H62" s="345">
        <v>706</v>
      </c>
      <c r="I62" s="345">
        <v>4718</v>
      </c>
      <c r="J62" s="345">
        <v>4847</v>
      </c>
      <c r="K62" s="345">
        <v>15228</v>
      </c>
      <c r="L62" s="232"/>
      <c r="M62" s="345">
        <v>0</v>
      </c>
      <c r="N62" s="345">
        <v>0</v>
      </c>
      <c r="O62" s="345">
        <v>0</v>
      </c>
      <c r="P62" s="345">
        <v>0</v>
      </c>
      <c r="Q62" s="232"/>
      <c r="R62" s="345">
        <v>12895</v>
      </c>
      <c r="S62" s="345">
        <v>2003</v>
      </c>
      <c r="T62" s="345">
        <v>14898</v>
      </c>
    </row>
    <row r="63" spans="1:20">
      <c r="A63" s="351">
        <v>90421</v>
      </c>
      <c r="B63" s="344" t="s">
        <v>759</v>
      </c>
      <c r="C63" s="235">
        <v>1.98E-5</v>
      </c>
      <c r="D63" s="235">
        <v>2.09E-5</v>
      </c>
      <c r="E63" s="345">
        <v>54072</v>
      </c>
      <c r="F63" s="232"/>
      <c r="G63" s="345">
        <v>9259</v>
      </c>
      <c r="H63" s="345">
        <v>1319</v>
      </c>
      <c r="I63" s="345">
        <v>8813</v>
      </c>
      <c r="J63" s="345">
        <v>0</v>
      </c>
      <c r="K63" s="345">
        <v>19391</v>
      </c>
      <c r="L63" s="232"/>
      <c r="M63" s="345">
        <v>0</v>
      </c>
      <c r="N63" s="345">
        <v>0</v>
      </c>
      <c r="O63" s="345">
        <v>4296</v>
      </c>
      <c r="P63" s="345">
        <v>4296</v>
      </c>
      <c r="Q63" s="232"/>
      <c r="R63" s="345">
        <v>24087</v>
      </c>
      <c r="S63" s="345">
        <v>-2020</v>
      </c>
      <c r="T63" s="345">
        <v>22067</v>
      </c>
    </row>
    <row r="64" spans="1:20">
      <c r="A64" s="351">
        <v>90431</v>
      </c>
      <c r="B64" s="344" t="s">
        <v>760</v>
      </c>
      <c r="C64" s="235">
        <v>4.8099999999999997E-5</v>
      </c>
      <c r="D64" s="235">
        <v>4.5099999999999998E-5</v>
      </c>
      <c r="E64" s="345">
        <v>131357</v>
      </c>
      <c r="F64" s="232"/>
      <c r="G64" s="345">
        <v>22492</v>
      </c>
      <c r="H64" s="345">
        <v>3204</v>
      </c>
      <c r="I64" s="345">
        <v>21409</v>
      </c>
      <c r="J64" s="345">
        <v>4313</v>
      </c>
      <c r="K64" s="345">
        <v>51418</v>
      </c>
      <c r="L64" s="232"/>
      <c r="M64" s="345">
        <v>0</v>
      </c>
      <c r="N64" s="345">
        <v>0</v>
      </c>
      <c r="O64" s="345">
        <v>1462</v>
      </c>
      <c r="P64" s="345">
        <v>1462</v>
      </c>
      <c r="Q64" s="232"/>
      <c r="R64" s="345">
        <v>58514</v>
      </c>
      <c r="S64" s="345">
        <v>2712</v>
      </c>
      <c r="T64" s="345">
        <v>61226</v>
      </c>
    </row>
    <row r="65" spans="1:20">
      <c r="A65" s="351">
        <v>90441</v>
      </c>
      <c r="B65" s="344" t="s">
        <v>761</v>
      </c>
      <c r="C65" s="235">
        <v>6.7000000000000002E-6</v>
      </c>
      <c r="D65" s="235">
        <v>7.5000000000000002E-6</v>
      </c>
      <c r="E65" s="345">
        <v>18297</v>
      </c>
      <c r="F65" s="232"/>
      <c r="G65" s="345">
        <v>3133</v>
      </c>
      <c r="H65" s="345">
        <v>447</v>
      </c>
      <c r="I65" s="345">
        <v>2982</v>
      </c>
      <c r="J65" s="345">
        <v>1456</v>
      </c>
      <c r="K65" s="345">
        <v>8018</v>
      </c>
      <c r="L65" s="232"/>
      <c r="M65" s="345">
        <v>0</v>
      </c>
      <c r="N65" s="345">
        <v>0</v>
      </c>
      <c r="O65" s="345">
        <v>0</v>
      </c>
      <c r="P65" s="345">
        <v>0</v>
      </c>
      <c r="Q65" s="232"/>
      <c r="R65" s="345">
        <v>8151</v>
      </c>
      <c r="S65" s="345">
        <v>398</v>
      </c>
      <c r="T65" s="345">
        <v>8549</v>
      </c>
    </row>
    <row r="66" spans="1:20">
      <c r="A66" s="351">
        <v>90451</v>
      </c>
      <c r="B66" s="344" t="s">
        <v>762</v>
      </c>
      <c r="C66" s="235">
        <v>2.3099999999999999E-5</v>
      </c>
      <c r="D66" s="235">
        <v>2.05E-5</v>
      </c>
      <c r="E66" s="345">
        <v>63084</v>
      </c>
      <c r="F66" s="232"/>
      <c r="G66" s="345">
        <v>10802</v>
      </c>
      <c r="H66" s="345">
        <v>1539</v>
      </c>
      <c r="I66" s="345">
        <v>10282</v>
      </c>
      <c r="J66" s="345">
        <v>4388</v>
      </c>
      <c r="K66" s="345">
        <v>27011</v>
      </c>
      <c r="L66" s="232"/>
      <c r="M66" s="345">
        <v>0</v>
      </c>
      <c r="N66" s="345">
        <v>0</v>
      </c>
      <c r="O66" s="345">
        <v>360</v>
      </c>
      <c r="P66" s="345">
        <v>360</v>
      </c>
      <c r="Q66" s="232"/>
      <c r="R66" s="345">
        <v>28101</v>
      </c>
      <c r="S66" s="345">
        <v>1540</v>
      </c>
      <c r="T66" s="345">
        <v>29641</v>
      </c>
    </row>
    <row r="67" spans="1:20">
      <c r="A67" s="351">
        <v>90461</v>
      </c>
      <c r="B67" s="344" t="s">
        <v>763</v>
      </c>
      <c r="C67" s="235">
        <v>2.0999999999999998E-6</v>
      </c>
      <c r="D67" s="235">
        <v>5.5999999999999997E-6</v>
      </c>
      <c r="E67" s="345">
        <v>5735</v>
      </c>
      <c r="F67" s="232"/>
      <c r="G67" s="345">
        <v>982</v>
      </c>
      <c r="H67" s="345">
        <v>140</v>
      </c>
      <c r="I67" s="345">
        <v>935</v>
      </c>
      <c r="J67" s="345">
        <v>67</v>
      </c>
      <c r="K67" s="345">
        <v>2124</v>
      </c>
      <c r="L67" s="232"/>
      <c r="M67" s="345">
        <v>0</v>
      </c>
      <c r="N67" s="345">
        <v>0</v>
      </c>
      <c r="O67" s="345">
        <v>5895</v>
      </c>
      <c r="P67" s="345">
        <v>5895</v>
      </c>
      <c r="Q67" s="232"/>
      <c r="R67" s="345">
        <v>2555</v>
      </c>
      <c r="S67" s="345">
        <v>-961</v>
      </c>
      <c r="T67" s="345">
        <v>1594</v>
      </c>
    </row>
    <row r="68" spans="1:20">
      <c r="A68" s="351">
        <v>90501</v>
      </c>
      <c r="B68" s="344" t="s">
        <v>764</v>
      </c>
      <c r="C68" s="235">
        <v>1.4587000000000001E-3</v>
      </c>
      <c r="D68" s="235">
        <v>1.3675E-3</v>
      </c>
      <c r="E68" s="345">
        <v>3983596</v>
      </c>
      <c r="F68" s="232"/>
      <c r="G68" s="345">
        <v>682092</v>
      </c>
      <c r="H68" s="345">
        <v>97166</v>
      </c>
      <c r="I68" s="345">
        <v>649260</v>
      </c>
      <c r="J68" s="345">
        <v>104668</v>
      </c>
      <c r="K68" s="345">
        <v>1533186</v>
      </c>
      <c r="L68" s="232"/>
      <c r="M68" s="345">
        <v>0</v>
      </c>
      <c r="N68" s="345">
        <v>0</v>
      </c>
      <c r="O68" s="345">
        <v>4461</v>
      </c>
      <c r="P68" s="345">
        <v>4461</v>
      </c>
      <c r="Q68" s="232"/>
      <c r="R68" s="345">
        <v>1774528</v>
      </c>
      <c r="S68" s="345">
        <v>33610</v>
      </c>
      <c r="T68" s="345">
        <v>1808138</v>
      </c>
    </row>
    <row r="69" spans="1:20">
      <c r="A69" s="351">
        <v>90507</v>
      </c>
      <c r="B69" s="344" t="s">
        <v>34</v>
      </c>
      <c r="C69" s="235">
        <v>3.4000000000000001E-6</v>
      </c>
      <c r="D69" s="235">
        <v>6.3999999999999997E-6</v>
      </c>
      <c r="E69" s="345">
        <v>9285</v>
      </c>
      <c r="F69" s="232"/>
      <c r="G69" s="345">
        <v>1590</v>
      </c>
      <c r="H69" s="345">
        <v>226</v>
      </c>
      <c r="I69" s="345">
        <v>1513</v>
      </c>
      <c r="J69" s="345">
        <v>11773</v>
      </c>
      <c r="K69" s="345">
        <v>15102</v>
      </c>
      <c r="L69" s="232"/>
      <c r="M69" s="345">
        <v>0</v>
      </c>
      <c r="N69" s="345">
        <v>0</v>
      </c>
      <c r="O69" s="345">
        <v>0</v>
      </c>
      <c r="P69" s="345">
        <v>0</v>
      </c>
      <c r="Q69" s="232"/>
      <c r="R69" s="345">
        <v>4136</v>
      </c>
      <c r="S69" s="345">
        <v>5978</v>
      </c>
      <c r="T69" s="345">
        <v>10114</v>
      </c>
    </row>
    <row r="70" spans="1:20">
      <c r="A70" s="351">
        <v>90511</v>
      </c>
      <c r="B70" s="344" t="s">
        <v>765</v>
      </c>
      <c r="C70" s="235">
        <v>1.011E-4</v>
      </c>
      <c r="D70" s="235">
        <v>8.25E-5</v>
      </c>
      <c r="E70" s="345">
        <v>276096</v>
      </c>
      <c r="F70" s="232"/>
      <c r="G70" s="345">
        <v>47275</v>
      </c>
      <c r="H70" s="345">
        <v>6734</v>
      </c>
      <c r="I70" s="345">
        <v>44999</v>
      </c>
      <c r="J70" s="345">
        <v>31491</v>
      </c>
      <c r="K70" s="345">
        <v>130499</v>
      </c>
      <c r="L70" s="232"/>
      <c r="M70" s="345">
        <v>0</v>
      </c>
      <c r="N70" s="345">
        <v>0</v>
      </c>
      <c r="O70" s="345">
        <v>0</v>
      </c>
      <c r="P70" s="345">
        <v>0</v>
      </c>
      <c r="Q70" s="232"/>
      <c r="R70" s="345">
        <v>122989</v>
      </c>
      <c r="S70" s="345">
        <v>11554</v>
      </c>
      <c r="T70" s="345">
        <v>134543</v>
      </c>
    </row>
    <row r="71" spans="1:20">
      <c r="A71" s="351">
        <v>90521</v>
      </c>
      <c r="B71" s="344" t="s">
        <v>766</v>
      </c>
      <c r="C71" s="235">
        <v>1.371E-4</v>
      </c>
      <c r="D71" s="235">
        <v>1.281E-4</v>
      </c>
      <c r="E71" s="345">
        <v>374409</v>
      </c>
      <c r="F71" s="232"/>
      <c r="G71" s="345">
        <v>64108</v>
      </c>
      <c r="H71" s="345">
        <v>9132</v>
      </c>
      <c r="I71" s="345">
        <v>61023</v>
      </c>
      <c r="J71" s="345">
        <v>0</v>
      </c>
      <c r="K71" s="345">
        <v>134263</v>
      </c>
      <c r="L71" s="232"/>
      <c r="M71" s="345">
        <v>0</v>
      </c>
      <c r="N71" s="345">
        <v>0</v>
      </c>
      <c r="O71" s="345">
        <v>17308</v>
      </c>
      <c r="P71" s="345">
        <v>17308</v>
      </c>
      <c r="Q71" s="232"/>
      <c r="R71" s="345">
        <v>166784</v>
      </c>
      <c r="S71" s="345">
        <v>-9423</v>
      </c>
      <c r="T71" s="345">
        <v>157361</v>
      </c>
    </row>
    <row r="72" spans="1:20">
      <c r="A72" s="351">
        <v>90601</v>
      </c>
      <c r="B72" s="344" t="s">
        <v>767</v>
      </c>
      <c r="C72" s="235">
        <v>1.1100999999999999E-3</v>
      </c>
      <c r="D72" s="235">
        <v>1.1383999999999999E-3</v>
      </c>
      <c r="E72" s="345">
        <v>3031597</v>
      </c>
      <c r="F72" s="232"/>
      <c r="G72" s="345">
        <v>519086</v>
      </c>
      <c r="H72" s="345">
        <v>73945</v>
      </c>
      <c r="I72" s="345">
        <v>494100</v>
      </c>
      <c r="J72" s="345">
        <v>8511</v>
      </c>
      <c r="K72" s="345">
        <v>1095642</v>
      </c>
      <c r="L72" s="232"/>
      <c r="M72" s="345">
        <v>0</v>
      </c>
      <c r="N72" s="345">
        <v>0</v>
      </c>
      <c r="O72" s="345">
        <v>25458</v>
      </c>
      <c r="P72" s="345">
        <v>25458</v>
      </c>
      <c r="Q72" s="232"/>
      <c r="R72" s="345">
        <v>1350451</v>
      </c>
      <c r="S72" s="345">
        <v>-7560</v>
      </c>
      <c r="T72" s="345">
        <v>1342891</v>
      </c>
    </row>
    <row r="73" spans="1:20">
      <c r="A73" s="351">
        <v>90602</v>
      </c>
      <c r="B73" s="344" t="s">
        <v>259</v>
      </c>
      <c r="C73" s="235">
        <v>9.2999999999999997E-5</v>
      </c>
      <c r="D73" s="235">
        <v>6.3100000000000002E-5</v>
      </c>
      <c r="E73" s="345">
        <v>253976</v>
      </c>
      <c r="F73" s="232"/>
      <c r="G73" s="345">
        <v>43487</v>
      </c>
      <c r="H73" s="345">
        <v>6195</v>
      </c>
      <c r="I73" s="345">
        <v>41394</v>
      </c>
      <c r="J73" s="345">
        <v>48781</v>
      </c>
      <c r="K73" s="345">
        <v>139857</v>
      </c>
      <c r="L73" s="232"/>
      <c r="M73" s="345">
        <v>0</v>
      </c>
      <c r="N73" s="345">
        <v>0</v>
      </c>
      <c r="O73" s="345">
        <v>0</v>
      </c>
      <c r="P73" s="345">
        <v>0</v>
      </c>
      <c r="Q73" s="232"/>
      <c r="R73" s="345">
        <v>113136</v>
      </c>
      <c r="S73" s="345">
        <v>23692</v>
      </c>
      <c r="T73" s="345">
        <v>136828</v>
      </c>
    </row>
    <row r="74" spans="1:20">
      <c r="A74" s="351">
        <v>90605</v>
      </c>
      <c r="B74" s="344" t="s">
        <v>3643</v>
      </c>
      <c r="C74" s="235">
        <v>4.9799999999999998E-5</v>
      </c>
      <c r="D74" s="235">
        <v>3.9199999999999997E-5</v>
      </c>
      <c r="E74" s="345">
        <v>136000</v>
      </c>
      <c r="F74" s="232"/>
      <c r="G74" s="345">
        <v>23287</v>
      </c>
      <c r="H74" s="345">
        <v>3317</v>
      </c>
      <c r="I74" s="345">
        <v>22166</v>
      </c>
      <c r="J74" s="345">
        <v>19578</v>
      </c>
      <c r="K74" s="345">
        <v>68348</v>
      </c>
      <c r="L74" s="232"/>
      <c r="M74" s="345">
        <v>0</v>
      </c>
      <c r="N74" s="345">
        <v>0</v>
      </c>
      <c r="O74" s="345">
        <v>0</v>
      </c>
      <c r="P74" s="345">
        <v>0</v>
      </c>
      <c r="Q74" s="232"/>
      <c r="R74" s="345">
        <v>60582</v>
      </c>
      <c r="S74" s="345">
        <v>8653</v>
      </c>
      <c r="T74" s="345">
        <v>69235</v>
      </c>
    </row>
    <row r="75" spans="1:20">
      <c r="A75" s="351">
        <v>90611</v>
      </c>
      <c r="B75" s="344" t="s">
        <v>769</v>
      </c>
      <c r="C75" s="235">
        <v>1.526E-4</v>
      </c>
      <c r="D75" s="235">
        <v>1.4009999999999999E-4</v>
      </c>
      <c r="E75" s="345">
        <v>416739</v>
      </c>
      <c r="F75" s="232"/>
      <c r="G75" s="345">
        <v>71356</v>
      </c>
      <c r="H75" s="345">
        <v>10165</v>
      </c>
      <c r="I75" s="345">
        <v>67921</v>
      </c>
      <c r="J75" s="345">
        <v>4970</v>
      </c>
      <c r="K75" s="345">
        <v>154412</v>
      </c>
      <c r="L75" s="232"/>
      <c r="M75" s="345">
        <v>0</v>
      </c>
      <c r="N75" s="345">
        <v>0</v>
      </c>
      <c r="O75" s="345">
        <v>13216</v>
      </c>
      <c r="P75" s="345">
        <v>13216</v>
      </c>
      <c r="Q75" s="232"/>
      <c r="R75" s="345">
        <v>185640</v>
      </c>
      <c r="S75" s="345">
        <v>-6430</v>
      </c>
      <c r="T75" s="345">
        <v>179210</v>
      </c>
    </row>
    <row r="76" spans="1:20">
      <c r="A76" s="351">
        <v>90617</v>
      </c>
      <c r="B76" s="344" t="s">
        <v>770</v>
      </c>
      <c r="C76" s="235">
        <v>2.8600000000000001E-5</v>
      </c>
      <c r="D76" s="235">
        <v>2.72E-5</v>
      </c>
      <c r="E76" s="345">
        <v>78104</v>
      </c>
      <c r="F76" s="232"/>
      <c r="G76" s="345">
        <v>13373</v>
      </c>
      <c r="H76" s="345">
        <v>1905</v>
      </c>
      <c r="I76" s="345">
        <v>12730</v>
      </c>
      <c r="J76" s="345">
        <v>5886</v>
      </c>
      <c r="K76" s="345">
        <v>33894</v>
      </c>
      <c r="L76" s="232"/>
      <c r="M76" s="345">
        <v>0</v>
      </c>
      <c r="N76" s="345">
        <v>0</v>
      </c>
      <c r="O76" s="345">
        <v>0</v>
      </c>
      <c r="P76" s="345">
        <v>0</v>
      </c>
      <c r="Q76" s="232"/>
      <c r="R76" s="345">
        <v>34792</v>
      </c>
      <c r="S76" s="345">
        <v>2840</v>
      </c>
      <c r="T76" s="345">
        <v>37632</v>
      </c>
    </row>
    <row r="77" spans="1:20">
      <c r="A77" s="351">
        <v>90621</v>
      </c>
      <c r="B77" s="344" t="s">
        <v>771</v>
      </c>
      <c r="C77" s="235">
        <v>6.97E-5</v>
      </c>
      <c r="D77" s="235">
        <v>6.5699999999999998E-5</v>
      </c>
      <c r="E77" s="345">
        <v>190345</v>
      </c>
      <c r="F77" s="232"/>
      <c r="G77" s="345">
        <v>32592</v>
      </c>
      <c r="H77" s="345">
        <v>4642</v>
      </c>
      <c r="I77" s="345">
        <v>31023</v>
      </c>
      <c r="J77" s="345">
        <v>2208</v>
      </c>
      <c r="K77" s="345">
        <v>70465</v>
      </c>
      <c r="L77" s="232"/>
      <c r="M77" s="345">
        <v>0</v>
      </c>
      <c r="N77" s="345">
        <v>0</v>
      </c>
      <c r="O77" s="345">
        <v>9522</v>
      </c>
      <c r="P77" s="345">
        <v>9522</v>
      </c>
      <c r="Q77" s="232"/>
      <c r="R77" s="345">
        <v>84791</v>
      </c>
      <c r="S77" s="345">
        <v>-5748</v>
      </c>
      <c r="T77" s="345">
        <v>79043</v>
      </c>
    </row>
    <row r="78" spans="1:20">
      <c r="A78" s="351">
        <v>90631</v>
      </c>
      <c r="B78" s="344" t="s">
        <v>772</v>
      </c>
      <c r="C78" s="235">
        <v>3.6430000000000002E-4</v>
      </c>
      <c r="D78" s="235">
        <v>3.7120000000000002E-4</v>
      </c>
      <c r="E78" s="345">
        <v>994875</v>
      </c>
      <c r="F78" s="232"/>
      <c r="G78" s="345">
        <v>170348</v>
      </c>
      <c r="H78" s="345">
        <v>24266</v>
      </c>
      <c r="I78" s="345">
        <v>162148</v>
      </c>
      <c r="J78" s="345">
        <v>6544</v>
      </c>
      <c r="K78" s="345">
        <v>363306</v>
      </c>
      <c r="L78" s="232"/>
      <c r="M78" s="345">
        <v>0</v>
      </c>
      <c r="N78" s="345">
        <v>0</v>
      </c>
      <c r="O78" s="345">
        <v>12172</v>
      </c>
      <c r="P78" s="345">
        <v>12172</v>
      </c>
      <c r="Q78" s="232"/>
      <c r="R78" s="345">
        <v>443176</v>
      </c>
      <c r="S78" s="345">
        <v>-488</v>
      </c>
      <c r="T78" s="345">
        <v>442688</v>
      </c>
    </row>
    <row r="79" spans="1:20">
      <c r="A79" s="351">
        <v>90641</v>
      </c>
      <c r="B79" s="344" t="s">
        <v>773</v>
      </c>
      <c r="C79" s="235">
        <v>1.1800000000000001E-5</v>
      </c>
      <c r="D79" s="235">
        <v>1.2999999999999999E-5</v>
      </c>
      <c r="E79" s="345">
        <v>32225</v>
      </c>
      <c r="F79" s="232"/>
      <c r="G79" s="345">
        <v>5518</v>
      </c>
      <c r="H79" s="345">
        <v>786</v>
      </c>
      <c r="I79" s="345">
        <v>5252</v>
      </c>
      <c r="J79" s="345">
        <v>217</v>
      </c>
      <c r="K79" s="345">
        <v>11773</v>
      </c>
      <c r="L79" s="232"/>
      <c r="M79" s="345">
        <v>0</v>
      </c>
      <c r="N79" s="345">
        <v>0</v>
      </c>
      <c r="O79" s="345">
        <v>117</v>
      </c>
      <c r="P79" s="345">
        <v>117</v>
      </c>
      <c r="Q79" s="232"/>
      <c r="R79" s="345">
        <v>14355</v>
      </c>
      <c r="S79" s="345">
        <v>32</v>
      </c>
      <c r="T79" s="345">
        <v>14387</v>
      </c>
    </row>
    <row r="80" spans="1:20">
      <c r="A80" s="351">
        <v>90651</v>
      </c>
      <c r="B80" s="344" t="s">
        <v>774</v>
      </c>
      <c r="C80" s="235">
        <v>1.031E-4</v>
      </c>
      <c r="D80" s="235">
        <v>1.064E-4</v>
      </c>
      <c r="E80" s="345">
        <v>281558</v>
      </c>
      <c r="F80" s="232"/>
      <c r="G80" s="345">
        <v>48210</v>
      </c>
      <c r="H80" s="345">
        <v>6868</v>
      </c>
      <c r="I80" s="345">
        <v>45889</v>
      </c>
      <c r="J80" s="345">
        <v>103130</v>
      </c>
      <c r="K80" s="345">
        <v>204097</v>
      </c>
      <c r="L80" s="232"/>
      <c r="M80" s="345">
        <v>0</v>
      </c>
      <c r="N80" s="345">
        <v>0</v>
      </c>
      <c r="O80" s="345">
        <v>0</v>
      </c>
      <c r="P80" s="345">
        <v>0</v>
      </c>
      <c r="Q80" s="232"/>
      <c r="R80" s="345">
        <v>125422</v>
      </c>
      <c r="S80" s="345">
        <v>50353</v>
      </c>
      <c r="T80" s="345">
        <v>175775</v>
      </c>
    </row>
    <row r="81" spans="1:20">
      <c r="A81" s="351">
        <v>90701</v>
      </c>
      <c r="B81" s="344" t="s">
        <v>775</v>
      </c>
      <c r="C81" s="235">
        <v>2.6227999999999998E-3</v>
      </c>
      <c r="D81" s="235">
        <v>2.6327999999999998E-3</v>
      </c>
      <c r="E81" s="345">
        <v>7162662</v>
      </c>
      <c r="F81" s="232"/>
      <c r="G81" s="345">
        <v>1226429</v>
      </c>
      <c r="H81" s="345">
        <v>174707</v>
      </c>
      <c r="I81" s="345">
        <v>1167395</v>
      </c>
      <c r="J81" s="345">
        <v>56500</v>
      </c>
      <c r="K81" s="345">
        <v>2625031</v>
      </c>
      <c r="L81" s="232"/>
      <c r="M81" s="345">
        <v>0</v>
      </c>
      <c r="N81" s="345">
        <v>0</v>
      </c>
      <c r="O81" s="345">
        <v>161267</v>
      </c>
      <c r="P81" s="345">
        <v>161267</v>
      </c>
      <c r="Q81" s="232"/>
      <c r="R81" s="345">
        <v>3190670</v>
      </c>
      <c r="S81" s="345">
        <v>-27550</v>
      </c>
      <c r="T81" s="345">
        <v>3163120</v>
      </c>
    </row>
    <row r="82" spans="1:20">
      <c r="A82" s="351">
        <v>90704</v>
      </c>
      <c r="B82" s="344" t="s">
        <v>776</v>
      </c>
      <c r="C82" s="235">
        <v>4.4299999999999999E-5</v>
      </c>
      <c r="D82" s="235">
        <v>3.4100000000000002E-5</v>
      </c>
      <c r="E82" s="345">
        <v>120980</v>
      </c>
      <c r="F82" s="232"/>
      <c r="G82" s="345">
        <v>20715</v>
      </c>
      <c r="H82" s="345">
        <v>2951</v>
      </c>
      <c r="I82" s="345">
        <v>19718</v>
      </c>
      <c r="J82" s="345">
        <v>26018</v>
      </c>
      <c r="K82" s="345">
        <v>69402</v>
      </c>
      <c r="L82" s="232"/>
      <c r="M82" s="345">
        <v>0</v>
      </c>
      <c r="N82" s="345">
        <v>0</v>
      </c>
      <c r="O82" s="345">
        <v>0</v>
      </c>
      <c r="P82" s="345">
        <v>0</v>
      </c>
      <c r="Q82" s="232"/>
      <c r="R82" s="345">
        <v>53892</v>
      </c>
      <c r="S82" s="345">
        <v>10331</v>
      </c>
      <c r="T82" s="345">
        <v>64223</v>
      </c>
    </row>
    <row r="83" spans="1:20">
      <c r="A83" s="351">
        <v>90705</v>
      </c>
      <c r="B83" s="344" t="s">
        <v>777</v>
      </c>
      <c r="C83" s="235">
        <v>4.1199999999999999E-5</v>
      </c>
      <c r="D83" s="235">
        <v>3.6000000000000001E-5</v>
      </c>
      <c r="E83" s="345">
        <v>112514</v>
      </c>
      <c r="F83" s="232"/>
      <c r="G83" s="345">
        <v>19265</v>
      </c>
      <c r="H83" s="345">
        <v>2745</v>
      </c>
      <c r="I83" s="345">
        <v>18338</v>
      </c>
      <c r="J83" s="345">
        <v>14850</v>
      </c>
      <c r="K83" s="345">
        <v>55198</v>
      </c>
      <c r="L83" s="232"/>
      <c r="M83" s="345">
        <v>0</v>
      </c>
      <c r="N83" s="345">
        <v>0</v>
      </c>
      <c r="O83" s="345">
        <v>5580</v>
      </c>
      <c r="P83" s="345">
        <v>5580</v>
      </c>
      <c r="Q83" s="232"/>
      <c r="R83" s="345">
        <v>50120</v>
      </c>
      <c r="S83" s="345">
        <v>5322</v>
      </c>
      <c r="T83" s="345">
        <v>55442</v>
      </c>
    </row>
    <row r="84" spans="1:20">
      <c r="A84" s="351">
        <v>90709</v>
      </c>
      <c r="B84" s="344" t="s">
        <v>778</v>
      </c>
      <c r="C84" s="235">
        <v>1.474E-4</v>
      </c>
      <c r="D84" s="235">
        <v>1.683E-4</v>
      </c>
      <c r="E84" s="345">
        <v>402538</v>
      </c>
      <c r="F84" s="232"/>
      <c r="G84" s="345">
        <v>68925</v>
      </c>
      <c r="H84" s="345">
        <v>9819</v>
      </c>
      <c r="I84" s="345">
        <v>65607</v>
      </c>
      <c r="J84" s="345">
        <v>29311</v>
      </c>
      <c r="K84" s="345">
        <v>173662</v>
      </c>
      <c r="L84" s="232"/>
      <c r="M84" s="345">
        <v>0</v>
      </c>
      <c r="N84" s="345">
        <v>0</v>
      </c>
      <c r="O84" s="345">
        <v>28480</v>
      </c>
      <c r="P84" s="345">
        <v>28480</v>
      </c>
      <c r="Q84" s="232"/>
      <c r="R84" s="345">
        <v>179314</v>
      </c>
      <c r="S84" s="345">
        <v>-8090</v>
      </c>
      <c r="T84" s="345">
        <v>171224</v>
      </c>
    </row>
    <row r="85" spans="1:20">
      <c r="A85" s="351">
        <v>90711</v>
      </c>
      <c r="B85" s="344" t="s">
        <v>779</v>
      </c>
      <c r="C85" s="235">
        <v>1.5481E-3</v>
      </c>
      <c r="D85" s="235">
        <v>1.6165000000000001E-3</v>
      </c>
      <c r="E85" s="345">
        <v>4227740</v>
      </c>
      <c r="F85" s="232"/>
      <c r="G85" s="345">
        <v>723896</v>
      </c>
      <c r="H85" s="345">
        <v>103121</v>
      </c>
      <c r="I85" s="345">
        <v>689052</v>
      </c>
      <c r="J85" s="345">
        <v>0</v>
      </c>
      <c r="K85" s="345">
        <v>1516069</v>
      </c>
      <c r="L85" s="232"/>
      <c r="M85" s="345">
        <v>0</v>
      </c>
      <c r="N85" s="345">
        <v>0</v>
      </c>
      <c r="O85" s="345">
        <v>141744</v>
      </c>
      <c r="P85" s="345">
        <v>141744</v>
      </c>
      <c r="Q85" s="232"/>
      <c r="R85" s="345">
        <v>1883284</v>
      </c>
      <c r="S85" s="345">
        <v>-80901</v>
      </c>
      <c r="T85" s="345">
        <v>1802383</v>
      </c>
    </row>
    <row r="86" spans="1:20">
      <c r="A86" s="351">
        <v>90721</v>
      </c>
      <c r="B86" s="344" t="s">
        <v>780</v>
      </c>
      <c r="C86" s="235">
        <v>2.1399999999999998E-5</v>
      </c>
      <c r="D86" s="235">
        <v>2.8200000000000001E-5</v>
      </c>
      <c r="E86" s="345">
        <v>58442</v>
      </c>
      <c r="F86" s="232"/>
      <c r="G86" s="345">
        <v>10007</v>
      </c>
      <c r="H86" s="345">
        <v>1425</v>
      </c>
      <c r="I86" s="345">
        <v>9525</v>
      </c>
      <c r="J86" s="345">
        <v>157</v>
      </c>
      <c r="K86" s="345">
        <v>21114</v>
      </c>
      <c r="L86" s="232"/>
      <c r="M86" s="345">
        <v>0</v>
      </c>
      <c r="N86" s="345">
        <v>0</v>
      </c>
      <c r="O86" s="345">
        <v>6486</v>
      </c>
      <c r="P86" s="345">
        <v>6486</v>
      </c>
      <c r="Q86" s="232"/>
      <c r="R86" s="345">
        <v>26033</v>
      </c>
      <c r="S86" s="345">
        <v>-1729</v>
      </c>
      <c r="T86" s="345">
        <v>24304</v>
      </c>
    </row>
    <row r="87" spans="1:20">
      <c r="A87" s="351">
        <v>90731</v>
      </c>
      <c r="B87" s="344" t="s">
        <v>781</v>
      </c>
      <c r="C87" s="235">
        <v>1.384E-4</v>
      </c>
      <c r="D87" s="235">
        <v>1.4919999999999999E-4</v>
      </c>
      <c r="E87" s="345">
        <v>377960</v>
      </c>
      <c r="F87" s="232"/>
      <c r="G87" s="345">
        <v>64716</v>
      </c>
      <c r="H87" s="345">
        <v>9219</v>
      </c>
      <c r="I87" s="345">
        <v>61601</v>
      </c>
      <c r="J87" s="345">
        <v>0</v>
      </c>
      <c r="K87" s="345">
        <v>135536</v>
      </c>
      <c r="L87" s="232"/>
      <c r="M87" s="345">
        <v>0</v>
      </c>
      <c r="N87" s="345">
        <v>0</v>
      </c>
      <c r="O87" s="345">
        <v>17153</v>
      </c>
      <c r="P87" s="345">
        <v>17153</v>
      </c>
      <c r="Q87" s="232"/>
      <c r="R87" s="345">
        <v>168365</v>
      </c>
      <c r="S87" s="345">
        <v>-7847</v>
      </c>
      <c r="T87" s="345">
        <v>160518</v>
      </c>
    </row>
    <row r="88" spans="1:20">
      <c r="A88" s="351">
        <v>90741</v>
      </c>
      <c r="B88" s="344" t="s">
        <v>782</v>
      </c>
      <c r="C88" s="235">
        <v>1.38E-5</v>
      </c>
      <c r="D88" s="235">
        <v>1.52E-5</v>
      </c>
      <c r="E88" s="345">
        <v>37687</v>
      </c>
      <c r="F88" s="232"/>
      <c r="G88" s="345">
        <v>6453</v>
      </c>
      <c r="H88" s="345">
        <v>919</v>
      </c>
      <c r="I88" s="345">
        <v>6142</v>
      </c>
      <c r="J88" s="345">
        <v>3237</v>
      </c>
      <c r="K88" s="345">
        <v>16751</v>
      </c>
      <c r="L88" s="232"/>
      <c r="M88" s="345">
        <v>0</v>
      </c>
      <c r="N88" s="345">
        <v>0</v>
      </c>
      <c r="O88" s="345">
        <v>1091</v>
      </c>
      <c r="P88" s="345">
        <v>1091</v>
      </c>
      <c r="Q88" s="232"/>
      <c r="R88" s="345">
        <v>16788</v>
      </c>
      <c r="S88" s="345">
        <v>1605</v>
      </c>
      <c r="T88" s="345">
        <v>18393</v>
      </c>
    </row>
    <row r="89" spans="1:20">
      <c r="A89" s="351">
        <v>90751</v>
      </c>
      <c r="B89" s="344" t="s">
        <v>783</v>
      </c>
      <c r="C89" s="235">
        <v>6.3E-5</v>
      </c>
      <c r="D89" s="235">
        <v>7.9499999999999994E-5</v>
      </c>
      <c r="E89" s="345">
        <v>172048</v>
      </c>
      <c r="F89" s="232"/>
      <c r="G89" s="345">
        <v>29459</v>
      </c>
      <c r="H89" s="345">
        <v>4197</v>
      </c>
      <c r="I89" s="345">
        <v>28041</v>
      </c>
      <c r="J89" s="345">
        <v>1902</v>
      </c>
      <c r="K89" s="345">
        <v>63599</v>
      </c>
      <c r="L89" s="232"/>
      <c r="M89" s="345">
        <v>0</v>
      </c>
      <c r="N89" s="345">
        <v>0</v>
      </c>
      <c r="O89" s="345">
        <v>16916</v>
      </c>
      <c r="P89" s="345">
        <v>16916</v>
      </c>
      <c r="Q89" s="232"/>
      <c r="R89" s="345">
        <v>76640</v>
      </c>
      <c r="S89" s="345">
        <v>-2503</v>
      </c>
      <c r="T89" s="345">
        <v>74137</v>
      </c>
    </row>
    <row r="90" spans="1:20">
      <c r="A90" s="351">
        <v>90801</v>
      </c>
      <c r="B90" s="344" t="s">
        <v>784</v>
      </c>
      <c r="C90" s="235">
        <v>1.2669999999999999E-3</v>
      </c>
      <c r="D90" s="235">
        <v>1.338E-3</v>
      </c>
      <c r="E90" s="345">
        <v>3460078</v>
      </c>
      <c r="F90" s="232"/>
      <c r="G90" s="345">
        <v>592453</v>
      </c>
      <c r="H90" s="345">
        <v>84396</v>
      </c>
      <c r="I90" s="345">
        <v>563935</v>
      </c>
      <c r="J90" s="345">
        <v>30862</v>
      </c>
      <c r="K90" s="345">
        <v>1271646</v>
      </c>
      <c r="L90" s="232"/>
      <c r="M90" s="345">
        <v>0</v>
      </c>
      <c r="N90" s="345">
        <v>0</v>
      </c>
      <c r="O90" s="345">
        <v>151759</v>
      </c>
      <c r="P90" s="345">
        <v>151759</v>
      </c>
      <c r="Q90" s="232"/>
      <c r="R90" s="345">
        <v>1541322</v>
      </c>
      <c r="S90" s="345">
        <v>14339</v>
      </c>
      <c r="T90" s="345">
        <v>1555661</v>
      </c>
    </row>
    <row r="91" spans="1:20">
      <c r="A91" s="351">
        <v>90804</v>
      </c>
      <c r="B91" s="344" t="s">
        <v>785</v>
      </c>
      <c r="C91" s="235">
        <v>5.5999999999999997E-6</v>
      </c>
      <c r="D91" s="235">
        <v>6.0000000000000002E-6</v>
      </c>
      <c r="E91" s="345">
        <v>15293</v>
      </c>
      <c r="F91" s="232"/>
      <c r="G91" s="345">
        <v>2619</v>
      </c>
      <c r="H91" s="345">
        <v>373</v>
      </c>
      <c r="I91" s="345">
        <v>2493</v>
      </c>
      <c r="J91" s="345">
        <v>189</v>
      </c>
      <c r="K91" s="345">
        <v>5674</v>
      </c>
      <c r="L91" s="232"/>
      <c r="M91" s="345">
        <v>0</v>
      </c>
      <c r="N91" s="345">
        <v>0</v>
      </c>
      <c r="O91" s="345">
        <v>479</v>
      </c>
      <c r="P91" s="345">
        <v>479</v>
      </c>
      <c r="Q91" s="232"/>
      <c r="R91" s="345">
        <v>6812</v>
      </c>
      <c r="S91" s="345">
        <v>251</v>
      </c>
      <c r="T91" s="345">
        <v>7063</v>
      </c>
    </row>
    <row r="92" spans="1:20">
      <c r="A92" s="351">
        <v>90805</v>
      </c>
      <c r="B92" s="344" t="s">
        <v>786</v>
      </c>
      <c r="C92" s="235">
        <v>6.5900000000000003E-5</v>
      </c>
      <c r="D92" s="235">
        <v>6.6600000000000006E-5</v>
      </c>
      <c r="E92" s="345">
        <v>179968</v>
      </c>
      <c r="F92" s="232"/>
      <c r="G92" s="345">
        <v>30815</v>
      </c>
      <c r="H92" s="345">
        <v>4390</v>
      </c>
      <c r="I92" s="345">
        <v>29332</v>
      </c>
      <c r="J92" s="345">
        <v>26214</v>
      </c>
      <c r="K92" s="345">
        <v>90751</v>
      </c>
      <c r="L92" s="232"/>
      <c r="M92" s="345">
        <v>0</v>
      </c>
      <c r="N92" s="345">
        <v>0</v>
      </c>
      <c r="O92" s="345">
        <v>0</v>
      </c>
      <c r="P92" s="345">
        <v>0</v>
      </c>
      <c r="Q92" s="232"/>
      <c r="R92" s="345">
        <v>80168</v>
      </c>
      <c r="S92" s="345">
        <v>12759</v>
      </c>
      <c r="T92" s="345">
        <v>92927</v>
      </c>
    </row>
    <row r="93" spans="1:20">
      <c r="A93" s="351">
        <v>90808</v>
      </c>
      <c r="B93" s="344" t="s">
        <v>3644</v>
      </c>
      <c r="C93" s="235">
        <v>1.395E-4</v>
      </c>
      <c r="D93" s="235">
        <v>1.0119999999999999E-4</v>
      </c>
      <c r="E93" s="345">
        <v>380964</v>
      </c>
      <c r="F93" s="232"/>
      <c r="G93" s="345">
        <v>65231</v>
      </c>
      <c r="H93" s="345">
        <v>9292</v>
      </c>
      <c r="I93" s="345">
        <v>62091</v>
      </c>
      <c r="J93" s="345">
        <v>40200</v>
      </c>
      <c r="K93" s="345">
        <v>176814</v>
      </c>
      <c r="L93" s="232"/>
      <c r="M93" s="345">
        <v>0</v>
      </c>
      <c r="N93" s="345">
        <v>0</v>
      </c>
      <c r="O93" s="345">
        <v>702</v>
      </c>
      <c r="P93" s="345">
        <v>702</v>
      </c>
      <c r="Q93" s="232"/>
      <c r="R93" s="345">
        <v>169704</v>
      </c>
      <c r="S93" s="345">
        <v>10423</v>
      </c>
      <c r="T93" s="345">
        <v>180127</v>
      </c>
    </row>
    <row r="94" spans="1:20">
      <c r="A94" s="351">
        <v>90811</v>
      </c>
      <c r="B94" s="344" t="s">
        <v>788</v>
      </c>
      <c r="C94" s="235">
        <v>3.4900000000000001E-5</v>
      </c>
      <c r="D94" s="235">
        <v>3.6199999999999999E-5</v>
      </c>
      <c r="E94" s="345">
        <v>95309</v>
      </c>
      <c r="F94" s="232"/>
      <c r="G94" s="345">
        <v>16319</v>
      </c>
      <c r="H94" s="345">
        <v>2324</v>
      </c>
      <c r="I94" s="345">
        <v>15534</v>
      </c>
      <c r="J94" s="345">
        <v>0</v>
      </c>
      <c r="K94" s="345">
        <v>34177</v>
      </c>
      <c r="L94" s="232"/>
      <c r="M94" s="345">
        <v>0</v>
      </c>
      <c r="N94" s="345">
        <v>0</v>
      </c>
      <c r="O94" s="345">
        <v>9832</v>
      </c>
      <c r="P94" s="345">
        <v>9832</v>
      </c>
      <c r="Q94" s="232"/>
      <c r="R94" s="345">
        <v>42456</v>
      </c>
      <c r="S94" s="345">
        <v>-4056</v>
      </c>
      <c r="T94" s="345">
        <v>38400</v>
      </c>
    </row>
    <row r="95" spans="1:20">
      <c r="A95" s="351">
        <v>90812</v>
      </c>
      <c r="B95" s="344" t="s">
        <v>789</v>
      </c>
      <c r="C95" s="235">
        <v>2.2100000000000001E-4</v>
      </c>
      <c r="D95" s="235">
        <v>2.2489999999999999E-4</v>
      </c>
      <c r="E95" s="345">
        <v>603534</v>
      </c>
      <c r="F95" s="232"/>
      <c r="G95" s="345">
        <v>103340</v>
      </c>
      <c r="H95" s="345">
        <v>14721</v>
      </c>
      <c r="I95" s="345">
        <v>98366</v>
      </c>
      <c r="J95" s="345">
        <v>5327</v>
      </c>
      <c r="K95" s="345">
        <v>221754</v>
      </c>
      <c r="L95" s="232"/>
      <c r="M95" s="345">
        <v>0</v>
      </c>
      <c r="N95" s="345">
        <v>0</v>
      </c>
      <c r="O95" s="345">
        <v>12070</v>
      </c>
      <c r="P95" s="345">
        <v>12070</v>
      </c>
      <c r="Q95" s="232"/>
      <c r="R95" s="345">
        <v>268849</v>
      </c>
      <c r="S95" s="345">
        <v>-3204</v>
      </c>
      <c r="T95" s="345">
        <v>265645</v>
      </c>
    </row>
    <row r="96" spans="1:20">
      <c r="A96" s="351">
        <v>90813</v>
      </c>
      <c r="B96" s="344" t="s">
        <v>790</v>
      </c>
      <c r="C96" s="235">
        <v>4.6E-6</v>
      </c>
      <c r="D96" s="235">
        <v>5.0000000000000004E-6</v>
      </c>
      <c r="E96" s="345">
        <v>12562</v>
      </c>
      <c r="F96" s="232"/>
      <c r="G96" s="345">
        <v>2151</v>
      </c>
      <c r="H96" s="345">
        <v>307</v>
      </c>
      <c r="I96" s="345">
        <v>2047</v>
      </c>
      <c r="J96" s="345">
        <v>0</v>
      </c>
      <c r="K96" s="345">
        <v>4505</v>
      </c>
      <c r="L96" s="232"/>
      <c r="M96" s="345">
        <v>0</v>
      </c>
      <c r="N96" s="345">
        <v>0</v>
      </c>
      <c r="O96" s="345">
        <v>1049</v>
      </c>
      <c r="P96" s="345">
        <v>1049</v>
      </c>
      <c r="Q96" s="232"/>
      <c r="R96" s="345">
        <v>5596</v>
      </c>
      <c r="S96" s="345">
        <v>-559</v>
      </c>
      <c r="T96" s="345">
        <v>5037</v>
      </c>
    </row>
    <row r="97" spans="1:20">
      <c r="A97" s="351">
        <v>90861</v>
      </c>
      <c r="B97" s="344" t="s">
        <v>791</v>
      </c>
      <c r="C97" s="235">
        <v>8.4999999999999999E-6</v>
      </c>
      <c r="D97" s="235">
        <v>7.7999999999999999E-6</v>
      </c>
      <c r="E97" s="345">
        <v>23213</v>
      </c>
      <c r="F97" s="232"/>
      <c r="G97" s="345">
        <v>3975</v>
      </c>
      <c r="H97" s="345">
        <v>566</v>
      </c>
      <c r="I97" s="345">
        <v>3783</v>
      </c>
      <c r="J97" s="345">
        <v>7590</v>
      </c>
      <c r="K97" s="345">
        <v>15914</v>
      </c>
      <c r="L97" s="232"/>
      <c r="M97" s="345">
        <v>0</v>
      </c>
      <c r="N97" s="345">
        <v>0</v>
      </c>
      <c r="O97" s="345">
        <v>0</v>
      </c>
      <c r="P97" s="345">
        <v>0</v>
      </c>
      <c r="Q97" s="232"/>
      <c r="R97" s="345">
        <v>10340</v>
      </c>
      <c r="S97" s="345">
        <v>3178</v>
      </c>
      <c r="T97" s="345">
        <v>13518</v>
      </c>
    </row>
    <row r="98" spans="1:20">
      <c r="A98" s="351">
        <v>90901</v>
      </c>
      <c r="B98" s="344" t="s">
        <v>792</v>
      </c>
      <c r="C98" s="235">
        <v>2.274E-3</v>
      </c>
      <c r="D98" s="235">
        <v>2.1440000000000001E-3</v>
      </c>
      <c r="E98" s="345">
        <v>6210117</v>
      </c>
      <c r="F98" s="232"/>
      <c r="G98" s="345">
        <v>1063329</v>
      </c>
      <c r="H98" s="345">
        <v>151474</v>
      </c>
      <c r="I98" s="345">
        <v>1012146</v>
      </c>
      <c r="J98" s="345">
        <v>94867</v>
      </c>
      <c r="K98" s="345">
        <v>2321816</v>
      </c>
      <c r="L98" s="232"/>
      <c r="M98" s="345">
        <v>0</v>
      </c>
      <c r="N98" s="345">
        <v>0</v>
      </c>
      <c r="O98" s="345">
        <v>12787</v>
      </c>
      <c r="P98" s="345">
        <v>12787</v>
      </c>
      <c r="Q98" s="232"/>
      <c r="R98" s="345">
        <v>2766351</v>
      </c>
      <c r="S98" s="345">
        <v>10469</v>
      </c>
      <c r="T98" s="345">
        <v>2776820</v>
      </c>
    </row>
    <row r="99" spans="1:20">
      <c r="A99" s="351">
        <v>90911</v>
      </c>
      <c r="B99" s="344" t="s">
        <v>793</v>
      </c>
      <c r="C99" s="235">
        <v>3.8539999999999999E-4</v>
      </c>
      <c r="D99" s="235">
        <v>4.037E-4</v>
      </c>
      <c r="E99" s="345">
        <v>1052497</v>
      </c>
      <c r="F99" s="232"/>
      <c r="G99" s="345">
        <v>180214</v>
      </c>
      <c r="H99" s="345">
        <v>25672</v>
      </c>
      <c r="I99" s="345">
        <v>171540</v>
      </c>
      <c r="J99" s="345">
        <v>3402</v>
      </c>
      <c r="K99" s="345">
        <v>380828</v>
      </c>
      <c r="L99" s="232"/>
      <c r="M99" s="345">
        <v>0</v>
      </c>
      <c r="N99" s="345">
        <v>0</v>
      </c>
      <c r="O99" s="345">
        <v>47605</v>
      </c>
      <c r="P99" s="345">
        <v>47605</v>
      </c>
      <c r="Q99" s="232"/>
      <c r="R99" s="345">
        <v>468844</v>
      </c>
      <c r="S99" s="345">
        <v>-17641</v>
      </c>
      <c r="T99" s="345">
        <v>451203</v>
      </c>
    </row>
    <row r="100" spans="1:20">
      <c r="A100" s="351">
        <v>90917</v>
      </c>
      <c r="B100" s="344" t="s">
        <v>794</v>
      </c>
      <c r="C100" s="235">
        <v>8.1000000000000004E-6</v>
      </c>
      <c r="D100" s="235">
        <v>1.1800000000000001E-5</v>
      </c>
      <c r="E100" s="345">
        <v>22120</v>
      </c>
      <c r="F100" s="232"/>
      <c r="G100" s="345">
        <v>3788</v>
      </c>
      <c r="H100" s="345">
        <v>539</v>
      </c>
      <c r="I100" s="345">
        <v>3605</v>
      </c>
      <c r="J100" s="345">
        <v>377</v>
      </c>
      <c r="K100" s="345">
        <v>8309</v>
      </c>
      <c r="L100" s="232"/>
      <c r="M100" s="345">
        <v>0</v>
      </c>
      <c r="N100" s="345">
        <v>0</v>
      </c>
      <c r="O100" s="345">
        <v>3369</v>
      </c>
      <c r="P100" s="345">
        <v>3369</v>
      </c>
      <c r="Q100" s="232"/>
      <c r="R100" s="345">
        <v>9854</v>
      </c>
      <c r="S100" s="345">
        <v>-461</v>
      </c>
      <c r="T100" s="345">
        <v>9393</v>
      </c>
    </row>
    <row r="101" spans="1:20" ht="30">
      <c r="A101" s="351">
        <v>90918</v>
      </c>
      <c r="B101" s="344" t="s">
        <v>3645</v>
      </c>
      <c r="C101" s="235">
        <v>1.06E-5</v>
      </c>
      <c r="D101" s="235">
        <v>1.13E-5</v>
      </c>
      <c r="E101" s="345">
        <v>28948</v>
      </c>
      <c r="F101" s="232"/>
      <c r="G101" s="345">
        <v>4957</v>
      </c>
      <c r="H101" s="345">
        <v>706</v>
      </c>
      <c r="I101" s="345">
        <v>4718</v>
      </c>
      <c r="J101" s="345">
        <v>0</v>
      </c>
      <c r="K101" s="345">
        <v>10381</v>
      </c>
      <c r="L101" s="232"/>
      <c r="M101" s="345">
        <v>0</v>
      </c>
      <c r="N101" s="345">
        <v>0</v>
      </c>
      <c r="O101" s="345">
        <v>2125</v>
      </c>
      <c r="P101" s="345">
        <v>2125</v>
      </c>
      <c r="Q101" s="232"/>
      <c r="R101" s="345">
        <v>12895</v>
      </c>
      <c r="S101" s="345">
        <v>-1151</v>
      </c>
      <c r="T101" s="345">
        <v>11744</v>
      </c>
    </row>
    <row r="102" spans="1:20">
      <c r="A102" s="351">
        <v>90921</v>
      </c>
      <c r="B102" s="344" t="s">
        <v>796</v>
      </c>
      <c r="C102" s="235">
        <v>1.2129999999999999E-4</v>
      </c>
      <c r="D102" s="235">
        <v>1.2789999999999999E-4</v>
      </c>
      <c r="E102" s="345">
        <v>331261</v>
      </c>
      <c r="F102" s="232"/>
      <c r="G102" s="345">
        <v>56720</v>
      </c>
      <c r="H102" s="345">
        <v>8080</v>
      </c>
      <c r="I102" s="345">
        <v>53990</v>
      </c>
      <c r="J102" s="345">
        <v>14157</v>
      </c>
      <c r="K102" s="345">
        <v>132947</v>
      </c>
      <c r="L102" s="232"/>
      <c r="M102" s="345">
        <v>0</v>
      </c>
      <c r="N102" s="345">
        <v>0</v>
      </c>
      <c r="O102" s="345">
        <v>3883</v>
      </c>
      <c r="P102" s="345">
        <v>3883</v>
      </c>
      <c r="Q102" s="232"/>
      <c r="R102" s="345">
        <v>147563</v>
      </c>
      <c r="S102" s="345">
        <v>5889</v>
      </c>
      <c r="T102" s="345">
        <v>153452</v>
      </c>
    </row>
    <row r="103" spans="1:20">
      <c r="A103" s="351">
        <v>90931</v>
      </c>
      <c r="B103" s="344" t="s">
        <v>797</v>
      </c>
      <c r="C103" s="235">
        <v>3.7299999999999999E-5</v>
      </c>
      <c r="D103" s="235">
        <v>3.8099999999999998E-5</v>
      </c>
      <c r="E103" s="345">
        <v>101863</v>
      </c>
      <c r="F103" s="232"/>
      <c r="G103" s="345">
        <v>17442</v>
      </c>
      <c r="H103" s="345">
        <v>2484</v>
      </c>
      <c r="I103" s="345">
        <v>16602</v>
      </c>
      <c r="J103" s="345">
        <v>0</v>
      </c>
      <c r="K103" s="345">
        <v>36528</v>
      </c>
      <c r="L103" s="232"/>
      <c r="M103" s="345">
        <v>0</v>
      </c>
      <c r="N103" s="345">
        <v>0</v>
      </c>
      <c r="O103" s="345">
        <v>11531</v>
      </c>
      <c r="P103" s="345">
        <v>11531</v>
      </c>
      <c r="Q103" s="232"/>
      <c r="R103" s="345">
        <v>45376</v>
      </c>
      <c r="S103" s="345">
        <v>-4509</v>
      </c>
      <c r="T103" s="345">
        <v>40867</v>
      </c>
    </row>
    <row r="104" spans="1:20">
      <c r="A104" s="351">
        <v>90941</v>
      </c>
      <c r="B104" s="344" t="s">
        <v>798</v>
      </c>
      <c r="C104" s="235">
        <v>8.5400000000000002E-5</v>
      </c>
      <c r="D104" s="235">
        <v>8.2000000000000001E-5</v>
      </c>
      <c r="E104" s="345">
        <v>233221</v>
      </c>
      <c r="F104" s="232"/>
      <c r="G104" s="345">
        <v>39933</v>
      </c>
      <c r="H104" s="345">
        <v>5688</v>
      </c>
      <c r="I104" s="345">
        <v>38011</v>
      </c>
      <c r="J104" s="345">
        <v>6140</v>
      </c>
      <c r="K104" s="345">
        <v>89772</v>
      </c>
      <c r="L104" s="232"/>
      <c r="M104" s="345">
        <v>0</v>
      </c>
      <c r="N104" s="345">
        <v>0</v>
      </c>
      <c r="O104" s="345">
        <v>5789</v>
      </c>
      <c r="P104" s="345">
        <v>5789</v>
      </c>
      <c r="Q104" s="232"/>
      <c r="R104" s="345">
        <v>103890</v>
      </c>
      <c r="S104" s="345">
        <v>-2436</v>
      </c>
      <c r="T104" s="345">
        <v>101454</v>
      </c>
    </row>
    <row r="105" spans="1:20">
      <c r="A105" s="351">
        <v>91001</v>
      </c>
      <c r="B105" s="344" t="s">
        <v>799</v>
      </c>
      <c r="C105" s="235">
        <v>7.2779999999999997E-3</v>
      </c>
      <c r="D105" s="235">
        <v>6.6366999999999997E-3</v>
      </c>
      <c r="E105" s="345">
        <v>19875650</v>
      </c>
      <c r="F105" s="232"/>
      <c r="G105" s="345">
        <v>3403215</v>
      </c>
      <c r="H105" s="345">
        <v>484794</v>
      </c>
      <c r="I105" s="345">
        <v>3239401</v>
      </c>
      <c r="J105" s="345">
        <v>348849</v>
      </c>
      <c r="K105" s="345">
        <v>7476259</v>
      </c>
      <c r="L105" s="232"/>
      <c r="M105" s="345">
        <v>0</v>
      </c>
      <c r="N105" s="345">
        <v>0</v>
      </c>
      <c r="O105" s="345">
        <v>211170</v>
      </c>
      <c r="P105" s="345">
        <v>211170</v>
      </c>
      <c r="Q105" s="232"/>
      <c r="R105" s="345">
        <v>8853782</v>
      </c>
      <c r="S105" s="345">
        <v>-34417</v>
      </c>
      <c r="T105" s="345">
        <v>8819365</v>
      </c>
    </row>
    <row r="106" spans="1:20">
      <c r="A106" s="351">
        <v>91002</v>
      </c>
      <c r="B106" s="344" t="s">
        <v>800</v>
      </c>
      <c r="C106" s="235">
        <v>1.2939E-3</v>
      </c>
      <c r="D106" s="235">
        <v>9.4410000000000002E-4</v>
      </c>
      <c r="E106" s="345">
        <v>3533540</v>
      </c>
      <c r="F106" s="232"/>
      <c r="G106" s="345">
        <v>605032</v>
      </c>
      <c r="H106" s="345">
        <v>86188</v>
      </c>
      <c r="I106" s="345">
        <v>575908</v>
      </c>
      <c r="J106" s="345">
        <v>305840</v>
      </c>
      <c r="K106" s="345">
        <v>1572968</v>
      </c>
      <c r="L106" s="232"/>
      <c r="M106" s="345">
        <v>0</v>
      </c>
      <c r="N106" s="345">
        <v>0</v>
      </c>
      <c r="O106" s="345">
        <v>9040</v>
      </c>
      <c r="P106" s="345">
        <v>9040</v>
      </c>
      <c r="Q106" s="232"/>
      <c r="R106" s="345">
        <v>1574046</v>
      </c>
      <c r="S106" s="345">
        <v>70870</v>
      </c>
      <c r="T106" s="345">
        <v>1644916</v>
      </c>
    </row>
    <row r="107" spans="1:20">
      <c r="A107" s="351">
        <v>91003</v>
      </c>
      <c r="B107" s="344" t="s">
        <v>3646</v>
      </c>
      <c r="C107" s="235">
        <v>5.9570000000000001E-4</v>
      </c>
      <c r="D107" s="235">
        <v>5.354E-4</v>
      </c>
      <c r="E107" s="345">
        <v>1626810</v>
      </c>
      <c r="F107" s="232"/>
      <c r="G107" s="345">
        <v>278551</v>
      </c>
      <c r="H107" s="345">
        <v>39680</v>
      </c>
      <c r="I107" s="345">
        <v>265143</v>
      </c>
      <c r="J107" s="345">
        <v>53688</v>
      </c>
      <c r="K107" s="345">
        <v>637062</v>
      </c>
      <c r="L107" s="232"/>
      <c r="M107" s="345">
        <v>0</v>
      </c>
      <c r="N107" s="345">
        <v>0</v>
      </c>
      <c r="O107" s="345">
        <v>23363</v>
      </c>
      <c r="P107" s="345">
        <v>23363</v>
      </c>
      <c r="Q107" s="232"/>
      <c r="R107" s="345">
        <v>724677</v>
      </c>
      <c r="S107" s="345">
        <v>3187</v>
      </c>
      <c r="T107" s="345">
        <v>727864</v>
      </c>
    </row>
    <row r="108" spans="1:20">
      <c r="A108" s="351">
        <v>91004</v>
      </c>
      <c r="B108" s="344" t="s">
        <v>802</v>
      </c>
      <c r="C108" s="235">
        <v>3.3300000000000003E-5</v>
      </c>
      <c r="D108" s="235">
        <v>3.6600000000000002E-5</v>
      </c>
      <c r="E108" s="345">
        <v>90940</v>
      </c>
      <c r="F108" s="232"/>
      <c r="G108" s="345">
        <v>15571</v>
      </c>
      <c r="H108" s="345">
        <v>2219</v>
      </c>
      <c r="I108" s="345">
        <v>14822</v>
      </c>
      <c r="J108" s="345">
        <v>9268</v>
      </c>
      <c r="K108" s="345">
        <v>41880</v>
      </c>
      <c r="L108" s="232"/>
      <c r="M108" s="345">
        <v>0</v>
      </c>
      <c r="N108" s="345">
        <v>0</v>
      </c>
      <c r="O108" s="345">
        <v>3368</v>
      </c>
      <c r="P108" s="345">
        <v>3368</v>
      </c>
      <c r="Q108" s="232"/>
      <c r="R108" s="345">
        <v>40510</v>
      </c>
      <c r="S108" s="345">
        <v>4961</v>
      </c>
      <c r="T108" s="345">
        <v>45471</v>
      </c>
    </row>
    <row r="109" spans="1:20" ht="30">
      <c r="A109" s="351">
        <v>91006</v>
      </c>
      <c r="B109" s="344" t="s">
        <v>3647</v>
      </c>
      <c r="C109" s="235">
        <v>1.0489E-3</v>
      </c>
      <c r="D109" s="235">
        <v>1.0660999999999999E-3</v>
      </c>
      <c r="E109" s="345">
        <v>2864464</v>
      </c>
      <c r="F109" s="232"/>
      <c r="G109" s="345">
        <v>490469</v>
      </c>
      <c r="H109" s="345">
        <v>69869</v>
      </c>
      <c r="I109" s="345">
        <v>466860</v>
      </c>
      <c r="J109" s="345">
        <v>0</v>
      </c>
      <c r="K109" s="345">
        <v>1027198</v>
      </c>
      <c r="L109" s="232"/>
      <c r="M109" s="345">
        <v>0</v>
      </c>
      <c r="N109" s="345">
        <v>0</v>
      </c>
      <c r="O109" s="345">
        <v>63246</v>
      </c>
      <c r="P109" s="345">
        <v>63246</v>
      </c>
      <c r="Q109" s="232"/>
      <c r="R109" s="345">
        <v>1276000</v>
      </c>
      <c r="S109" s="345">
        <v>-14322</v>
      </c>
      <c r="T109" s="345">
        <v>1261678</v>
      </c>
    </row>
    <row r="110" spans="1:20">
      <c r="A110" s="351">
        <v>91007</v>
      </c>
      <c r="B110" s="344" t="s">
        <v>804</v>
      </c>
      <c r="C110" s="235">
        <v>1.0900000000000001E-5</v>
      </c>
      <c r="D110" s="235">
        <v>8.4999999999999999E-6</v>
      </c>
      <c r="E110" s="345">
        <v>29767</v>
      </c>
      <c r="F110" s="232"/>
      <c r="G110" s="345">
        <v>5097</v>
      </c>
      <c r="H110" s="345">
        <v>726</v>
      </c>
      <c r="I110" s="345">
        <v>4852</v>
      </c>
      <c r="J110" s="345">
        <v>4515</v>
      </c>
      <c r="K110" s="345">
        <v>15190</v>
      </c>
      <c r="L110" s="232"/>
      <c r="M110" s="345">
        <v>0</v>
      </c>
      <c r="N110" s="345">
        <v>0</v>
      </c>
      <c r="O110" s="345">
        <v>0</v>
      </c>
      <c r="P110" s="345">
        <v>0</v>
      </c>
      <c r="Q110" s="232"/>
      <c r="R110" s="345">
        <v>13260</v>
      </c>
      <c r="S110" s="345">
        <v>3098</v>
      </c>
      <c r="T110" s="345">
        <v>16358</v>
      </c>
    </row>
    <row r="111" spans="1:20">
      <c r="A111" s="351">
        <v>91008</v>
      </c>
      <c r="B111" s="344" t="s">
        <v>805</v>
      </c>
      <c r="C111" s="235">
        <v>1.474E-4</v>
      </c>
      <c r="D111" s="235">
        <v>1.3909999999999999E-4</v>
      </c>
      <c r="E111" s="345">
        <v>402538</v>
      </c>
      <c r="F111" s="232"/>
      <c r="G111" s="345">
        <v>68925</v>
      </c>
      <c r="H111" s="345">
        <v>9819</v>
      </c>
      <c r="I111" s="345">
        <v>65607</v>
      </c>
      <c r="J111" s="345">
        <v>30807</v>
      </c>
      <c r="K111" s="345">
        <v>175158</v>
      </c>
      <c r="L111" s="232"/>
      <c r="M111" s="345">
        <v>0</v>
      </c>
      <c r="N111" s="345">
        <v>0</v>
      </c>
      <c r="O111" s="345">
        <v>0</v>
      </c>
      <c r="P111" s="345">
        <v>0</v>
      </c>
      <c r="Q111" s="232"/>
      <c r="R111" s="345">
        <v>179314</v>
      </c>
      <c r="S111" s="345">
        <v>19442</v>
      </c>
      <c r="T111" s="345">
        <v>198756</v>
      </c>
    </row>
    <row r="112" spans="1:20">
      <c r="A112" s="351">
        <v>91009</v>
      </c>
      <c r="B112" s="344" t="s">
        <v>806</v>
      </c>
      <c r="C112" s="235">
        <v>8.3000000000000002E-6</v>
      </c>
      <c r="D112" s="235">
        <v>1.59E-5</v>
      </c>
      <c r="E112" s="345">
        <v>22667</v>
      </c>
      <c r="F112" s="232"/>
      <c r="G112" s="345">
        <v>3881</v>
      </c>
      <c r="H112" s="345">
        <v>553</v>
      </c>
      <c r="I112" s="345">
        <v>3694</v>
      </c>
      <c r="J112" s="345">
        <v>3287</v>
      </c>
      <c r="K112" s="345">
        <v>11415</v>
      </c>
      <c r="L112" s="232"/>
      <c r="M112" s="345">
        <v>0</v>
      </c>
      <c r="N112" s="345">
        <v>0</v>
      </c>
      <c r="O112" s="345">
        <v>642</v>
      </c>
      <c r="P112" s="345">
        <v>642</v>
      </c>
      <c r="Q112" s="232"/>
      <c r="R112" s="345">
        <v>10097</v>
      </c>
      <c r="S112" s="345">
        <v>756</v>
      </c>
      <c r="T112" s="345">
        <v>10853</v>
      </c>
    </row>
    <row r="113" spans="1:20">
      <c r="A113" s="351">
        <v>91010</v>
      </c>
      <c r="B113" s="344" t="s">
        <v>807</v>
      </c>
      <c r="C113" s="235">
        <v>5.1E-5</v>
      </c>
      <c r="D113" s="235">
        <v>5.8699999999999997E-5</v>
      </c>
      <c r="E113" s="345">
        <v>139277</v>
      </c>
      <c r="F113" s="232"/>
      <c r="G113" s="345">
        <v>23848</v>
      </c>
      <c r="H113" s="345">
        <v>3397</v>
      </c>
      <c r="I113" s="345">
        <v>22700</v>
      </c>
      <c r="J113" s="345">
        <v>704</v>
      </c>
      <c r="K113" s="345">
        <v>50649</v>
      </c>
      <c r="L113" s="232"/>
      <c r="M113" s="345">
        <v>0</v>
      </c>
      <c r="N113" s="345">
        <v>0</v>
      </c>
      <c r="O113" s="345">
        <v>7679</v>
      </c>
      <c r="P113" s="345">
        <v>7679</v>
      </c>
      <c r="Q113" s="232"/>
      <c r="R113" s="345">
        <v>62042</v>
      </c>
      <c r="S113" s="345">
        <v>-338</v>
      </c>
      <c r="T113" s="345">
        <v>61704</v>
      </c>
    </row>
    <row r="114" spans="1:20">
      <c r="A114" s="351">
        <v>91011</v>
      </c>
      <c r="B114" s="344" t="s">
        <v>808</v>
      </c>
      <c r="C114" s="235">
        <v>3.2009999999999997E-4</v>
      </c>
      <c r="D114" s="235">
        <v>3.6509999999999998E-4</v>
      </c>
      <c r="E114" s="345">
        <v>874168</v>
      </c>
      <c r="F114" s="232"/>
      <c r="G114" s="345">
        <v>149680</v>
      </c>
      <c r="H114" s="345">
        <v>21322</v>
      </c>
      <c r="I114" s="345">
        <v>142475</v>
      </c>
      <c r="J114" s="345">
        <v>14173</v>
      </c>
      <c r="K114" s="345">
        <v>327650</v>
      </c>
      <c r="L114" s="232"/>
      <c r="M114" s="345">
        <v>0</v>
      </c>
      <c r="N114" s="345">
        <v>0</v>
      </c>
      <c r="O114" s="345">
        <v>26422</v>
      </c>
      <c r="P114" s="345">
        <v>26422</v>
      </c>
      <c r="Q114" s="232"/>
      <c r="R114" s="345">
        <v>389406</v>
      </c>
      <c r="S114" s="345">
        <v>6664</v>
      </c>
      <c r="T114" s="345">
        <v>396070</v>
      </c>
    </row>
    <row r="115" spans="1:20">
      <c r="A115" s="351">
        <v>91012</v>
      </c>
      <c r="B115" s="344" t="s">
        <v>809</v>
      </c>
      <c r="C115" s="235">
        <v>1.4600000000000001E-5</v>
      </c>
      <c r="D115" s="235">
        <v>1.42E-5</v>
      </c>
      <c r="E115" s="345">
        <v>39871</v>
      </c>
      <c r="F115" s="232"/>
      <c r="G115" s="345">
        <v>6827</v>
      </c>
      <c r="H115" s="345">
        <v>973</v>
      </c>
      <c r="I115" s="345">
        <v>6498</v>
      </c>
      <c r="J115" s="345">
        <v>4187</v>
      </c>
      <c r="K115" s="345">
        <v>18485</v>
      </c>
      <c r="L115" s="232"/>
      <c r="M115" s="345">
        <v>0</v>
      </c>
      <c r="N115" s="345">
        <v>0</v>
      </c>
      <c r="O115" s="345">
        <v>2327</v>
      </c>
      <c r="P115" s="345">
        <v>2327</v>
      </c>
      <c r="Q115" s="232"/>
      <c r="R115" s="345">
        <v>17761</v>
      </c>
      <c r="S115" s="345">
        <v>1138</v>
      </c>
      <c r="T115" s="345">
        <v>18899</v>
      </c>
    </row>
    <row r="116" spans="1:20">
      <c r="A116" s="351">
        <v>91013</v>
      </c>
      <c r="B116" s="344" t="s">
        <v>810</v>
      </c>
      <c r="C116" s="235">
        <v>3.4999999999999997E-5</v>
      </c>
      <c r="D116" s="235">
        <v>1.9899999999999999E-5</v>
      </c>
      <c r="E116" s="345">
        <v>95582</v>
      </c>
      <c r="F116" s="232"/>
      <c r="G116" s="345">
        <v>16366</v>
      </c>
      <c r="H116" s="345">
        <v>2331</v>
      </c>
      <c r="I116" s="345">
        <v>15578</v>
      </c>
      <c r="J116" s="345">
        <v>48607</v>
      </c>
      <c r="K116" s="345">
        <v>82882</v>
      </c>
      <c r="L116" s="232"/>
      <c r="M116" s="345">
        <v>0</v>
      </c>
      <c r="N116" s="345">
        <v>0</v>
      </c>
      <c r="O116" s="345">
        <v>0</v>
      </c>
      <c r="P116" s="345">
        <v>0</v>
      </c>
      <c r="Q116" s="232"/>
      <c r="R116" s="345">
        <v>42578</v>
      </c>
      <c r="S116" s="345">
        <v>19543</v>
      </c>
      <c r="T116" s="345">
        <v>62121</v>
      </c>
    </row>
    <row r="117" spans="1:20">
      <c r="A117" s="351">
        <v>91014</v>
      </c>
      <c r="B117" s="344" t="s">
        <v>811</v>
      </c>
      <c r="C117" s="235">
        <v>1.7640000000000001E-4</v>
      </c>
      <c r="D117" s="235">
        <v>2.02E-4</v>
      </c>
      <c r="E117" s="345">
        <v>481735</v>
      </c>
      <c r="F117" s="232"/>
      <c r="G117" s="345">
        <v>82485</v>
      </c>
      <c r="H117" s="345">
        <v>11750</v>
      </c>
      <c r="I117" s="345">
        <v>78515</v>
      </c>
      <c r="J117" s="345">
        <v>658</v>
      </c>
      <c r="K117" s="345">
        <v>173408</v>
      </c>
      <c r="L117" s="232"/>
      <c r="M117" s="345">
        <v>0</v>
      </c>
      <c r="N117" s="345">
        <v>0</v>
      </c>
      <c r="O117" s="345">
        <v>26573</v>
      </c>
      <c r="P117" s="345">
        <v>26573</v>
      </c>
      <c r="Q117" s="232"/>
      <c r="R117" s="345">
        <v>214593</v>
      </c>
      <c r="S117" s="345">
        <v>-9823</v>
      </c>
      <c r="T117" s="345">
        <v>204770</v>
      </c>
    </row>
    <row r="118" spans="1:20">
      <c r="A118" s="351">
        <v>91015</v>
      </c>
      <c r="B118" s="344" t="s">
        <v>1640</v>
      </c>
      <c r="C118" s="235">
        <v>1.8499999999999999E-5</v>
      </c>
      <c r="D118" s="235">
        <v>1.9400000000000001E-5</v>
      </c>
      <c r="E118" s="345">
        <v>50522</v>
      </c>
      <c r="F118" s="232"/>
      <c r="G118" s="345">
        <v>8651</v>
      </c>
      <c r="H118" s="345">
        <v>1232</v>
      </c>
      <c r="I118" s="345">
        <v>8234</v>
      </c>
      <c r="J118" s="345">
        <v>21884</v>
      </c>
      <c r="K118" s="345">
        <v>40001</v>
      </c>
      <c r="L118" s="232"/>
      <c r="M118" s="345">
        <v>0</v>
      </c>
      <c r="N118" s="345">
        <v>0</v>
      </c>
      <c r="O118" s="345">
        <v>0</v>
      </c>
      <c r="P118" s="345">
        <v>0</v>
      </c>
      <c r="Q118" s="232"/>
      <c r="R118" s="345">
        <v>22505</v>
      </c>
      <c r="S118" s="345">
        <v>6737</v>
      </c>
      <c r="T118" s="345">
        <v>29242</v>
      </c>
    </row>
    <row r="119" spans="1:20">
      <c r="A119" s="351">
        <v>91017</v>
      </c>
      <c r="B119" s="344" t="s">
        <v>812</v>
      </c>
      <c r="C119" s="235">
        <v>2.4700000000000001E-5</v>
      </c>
      <c r="D119" s="235">
        <v>2.3499999999999999E-5</v>
      </c>
      <c r="E119" s="345">
        <v>67454</v>
      </c>
      <c r="F119" s="232"/>
      <c r="G119" s="345">
        <v>11550</v>
      </c>
      <c r="H119" s="345">
        <v>1645</v>
      </c>
      <c r="I119" s="345">
        <v>10994</v>
      </c>
      <c r="J119" s="345">
        <v>5489</v>
      </c>
      <c r="K119" s="345">
        <v>29678</v>
      </c>
      <c r="L119" s="232"/>
      <c r="M119" s="345">
        <v>0</v>
      </c>
      <c r="N119" s="345">
        <v>0</v>
      </c>
      <c r="O119" s="345">
        <v>0</v>
      </c>
      <c r="P119" s="345">
        <v>0</v>
      </c>
      <c r="Q119" s="232"/>
      <c r="R119" s="345">
        <v>30048</v>
      </c>
      <c r="S119" s="345">
        <v>4188</v>
      </c>
      <c r="T119" s="345">
        <v>34236</v>
      </c>
    </row>
    <row r="120" spans="1:20">
      <c r="A120" s="351">
        <v>91020</v>
      </c>
      <c r="B120" s="344" t="s">
        <v>813</v>
      </c>
      <c r="C120" s="235">
        <v>2.2900000000000001E-5</v>
      </c>
      <c r="D120" s="235">
        <v>2.9200000000000002E-5</v>
      </c>
      <c r="E120" s="345">
        <v>62538</v>
      </c>
      <c r="F120" s="232"/>
      <c r="G120" s="345">
        <v>10708</v>
      </c>
      <c r="H120" s="345">
        <v>1526</v>
      </c>
      <c r="I120" s="345">
        <v>10193</v>
      </c>
      <c r="J120" s="345">
        <v>4697</v>
      </c>
      <c r="K120" s="345">
        <v>27124</v>
      </c>
      <c r="L120" s="232"/>
      <c r="M120" s="345">
        <v>0</v>
      </c>
      <c r="N120" s="345">
        <v>0</v>
      </c>
      <c r="O120" s="345">
        <v>5632</v>
      </c>
      <c r="P120" s="345">
        <v>5632</v>
      </c>
      <c r="Q120" s="232"/>
      <c r="R120" s="345">
        <v>27858</v>
      </c>
      <c r="S120" s="345">
        <v>516</v>
      </c>
      <c r="T120" s="345">
        <v>28374</v>
      </c>
    </row>
    <row r="121" spans="1:20">
      <c r="A121" s="351">
        <v>91021</v>
      </c>
      <c r="B121" s="344" t="s">
        <v>814</v>
      </c>
      <c r="C121" s="235">
        <v>9.2460000000000003E-4</v>
      </c>
      <c r="D121" s="235">
        <v>8.8009999999999998E-4</v>
      </c>
      <c r="E121" s="345">
        <v>2525010</v>
      </c>
      <c r="F121" s="232"/>
      <c r="G121" s="345">
        <v>432346</v>
      </c>
      <c r="H121" s="345">
        <v>61588</v>
      </c>
      <c r="I121" s="345">
        <v>411535</v>
      </c>
      <c r="J121" s="345">
        <v>56023</v>
      </c>
      <c r="K121" s="345">
        <v>961492</v>
      </c>
      <c r="L121" s="232"/>
      <c r="M121" s="345">
        <v>0</v>
      </c>
      <c r="N121" s="345">
        <v>0</v>
      </c>
      <c r="O121" s="345">
        <v>13548</v>
      </c>
      <c r="P121" s="345">
        <v>13548</v>
      </c>
      <c r="Q121" s="232"/>
      <c r="R121" s="345">
        <v>1124788</v>
      </c>
      <c r="S121" s="345">
        <v>-5680</v>
      </c>
      <c r="T121" s="345">
        <v>1119108</v>
      </c>
    </row>
    <row r="122" spans="1:20">
      <c r="A122" s="351">
        <v>91024</v>
      </c>
      <c r="B122" s="344" t="s">
        <v>815</v>
      </c>
      <c r="C122" s="235">
        <v>9.3599999999999998E-5</v>
      </c>
      <c r="D122" s="235">
        <v>9.3800000000000003E-5</v>
      </c>
      <c r="E122" s="345">
        <v>255614</v>
      </c>
      <c r="F122" s="232"/>
      <c r="G122" s="345">
        <v>43768</v>
      </c>
      <c r="H122" s="345">
        <v>6234</v>
      </c>
      <c r="I122" s="345">
        <v>41661</v>
      </c>
      <c r="J122" s="345">
        <v>22087</v>
      </c>
      <c r="K122" s="345">
        <v>113750</v>
      </c>
      <c r="L122" s="232"/>
      <c r="M122" s="345">
        <v>0</v>
      </c>
      <c r="N122" s="345">
        <v>0</v>
      </c>
      <c r="O122" s="345">
        <v>0</v>
      </c>
      <c r="P122" s="345">
        <v>0</v>
      </c>
      <c r="Q122" s="232"/>
      <c r="R122" s="345">
        <v>113866</v>
      </c>
      <c r="S122" s="345">
        <v>13315</v>
      </c>
      <c r="T122" s="345">
        <v>127181</v>
      </c>
    </row>
    <row r="123" spans="1:20">
      <c r="A123" s="351">
        <v>91026</v>
      </c>
      <c r="B123" s="344" t="s">
        <v>43</v>
      </c>
      <c r="C123" s="235">
        <v>3.1099999999999997E-5</v>
      </c>
      <c r="D123" s="235">
        <v>4.5599999999999997E-5</v>
      </c>
      <c r="E123" s="345">
        <v>84932</v>
      </c>
      <c r="F123" s="232"/>
      <c r="G123" s="345">
        <v>14542</v>
      </c>
      <c r="H123" s="345">
        <v>2072</v>
      </c>
      <c r="I123" s="345">
        <v>13842</v>
      </c>
      <c r="J123" s="345">
        <v>32022</v>
      </c>
      <c r="K123" s="345">
        <v>62478</v>
      </c>
      <c r="L123" s="232"/>
      <c r="M123" s="345">
        <v>0</v>
      </c>
      <c r="N123" s="345">
        <v>0</v>
      </c>
      <c r="O123" s="345">
        <v>0</v>
      </c>
      <c r="P123" s="345">
        <v>0</v>
      </c>
      <c r="Q123" s="232"/>
      <c r="R123" s="345">
        <v>37834</v>
      </c>
      <c r="S123" s="345">
        <v>20924</v>
      </c>
      <c r="T123" s="345">
        <v>58758</v>
      </c>
    </row>
    <row r="124" spans="1:20">
      <c r="A124" s="351">
        <v>91027</v>
      </c>
      <c r="B124" s="344" t="s">
        <v>2798</v>
      </c>
      <c r="C124" s="235">
        <v>1.7E-5</v>
      </c>
      <c r="D124" s="235">
        <v>1.6699999999999999E-5</v>
      </c>
      <c r="E124" s="345">
        <v>46426</v>
      </c>
      <c r="F124" s="232"/>
      <c r="G124" s="345">
        <v>7949</v>
      </c>
      <c r="H124" s="345">
        <v>1132</v>
      </c>
      <c r="I124" s="345">
        <v>7567</v>
      </c>
      <c r="J124" s="345">
        <v>15193</v>
      </c>
      <c r="K124" s="345">
        <v>31841</v>
      </c>
      <c r="L124" s="232"/>
      <c r="M124" s="345">
        <v>0</v>
      </c>
      <c r="N124" s="345">
        <v>0</v>
      </c>
      <c r="O124" s="345">
        <v>0</v>
      </c>
      <c r="P124" s="345">
        <v>0</v>
      </c>
      <c r="Q124" s="232"/>
      <c r="R124" s="345">
        <v>20681</v>
      </c>
      <c r="S124" s="345">
        <v>8116</v>
      </c>
      <c r="T124" s="345">
        <v>28797</v>
      </c>
    </row>
    <row r="125" spans="1:20">
      <c r="A125" s="351">
        <v>91032</v>
      </c>
      <c r="B125" s="344" t="s">
        <v>817</v>
      </c>
      <c r="C125" s="235">
        <v>1.66E-5</v>
      </c>
      <c r="D125" s="235">
        <v>1.6399999999999999E-5</v>
      </c>
      <c r="E125" s="345">
        <v>45333</v>
      </c>
      <c r="F125" s="232"/>
      <c r="G125" s="345">
        <v>7762</v>
      </c>
      <c r="H125" s="345">
        <v>1105</v>
      </c>
      <c r="I125" s="345">
        <v>7389</v>
      </c>
      <c r="J125" s="345">
        <v>19226</v>
      </c>
      <c r="K125" s="345">
        <v>35482</v>
      </c>
      <c r="L125" s="232"/>
      <c r="M125" s="345">
        <v>0</v>
      </c>
      <c r="N125" s="345">
        <v>0</v>
      </c>
      <c r="O125" s="345">
        <v>0</v>
      </c>
      <c r="P125" s="345">
        <v>0</v>
      </c>
      <c r="Q125" s="232"/>
      <c r="R125" s="345">
        <v>20194</v>
      </c>
      <c r="S125" s="345">
        <v>9093</v>
      </c>
      <c r="T125" s="345">
        <v>29287</v>
      </c>
    </row>
    <row r="126" spans="1:20">
      <c r="A126" s="351">
        <v>91041</v>
      </c>
      <c r="B126" s="344" t="s">
        <v>818</v>
      </c>
      <c r="C126" s="235">
        <v>4.3379999999999997E-4</v>
      </c>
      <c r="D126" s="235">
        <v>4.373E-4</v>
      </c>
      <c r="E126" s="345">
        <v>1184674</v>
      </c>
      <c r="F126" s="232"/>
      <c r="G126" s="345">
        <v>202846</v>
      </c>
      <c r="H126" s="345">
        <v>28895</v>
      </c>
      <c r="I126" s="345">
        <v>193082</v>
      </c>
      <c r="J126" s="345">
        <v>0</v>
      </c>
      <c r="K126" s="345">
        <v>424823</v>
      </c>
      <c r="L126" s="232"/>
      <c r="M126" s="345">
        <v>0</v>
      </c>
      <c r="N126" s="345">
        <v>0</v>
      </c>
      <c r="O126" s="345">
        <v>62219</v>
      </c>
      <c r="P126" s="345">
        <v>62219</v>
      </c>
      <c r="Q126" s="232"/>
      <c r="R126" s="345">
        <v>527723</v>
      </c>
      <c r="S126" s="345">
        <v>-42923</v>
      </c>
      <c r="T126" s="345">
        <v>484800</v>
      </c>
    </row>
    <row r="127" spans="1:20">
      <c r="A127" s="351">
        <v>91042</v>
      </c>
      <c r="B127" s="344" t="s">
        <v>819</v>
      </c>
      <c r="C127" s="235">
        <v>2.6259999999999999E-4</v>
      </c>
      <c r="D127" s="235">
        <v>2.6630000000000002E-4</v>
      </c>
      <c r="E127" s="345">
        <v>717140</v>
      </c>
      <c r="F127" s="232"/>
      <c r="G127" s="345">
        <v>122793</v>
      </c>
      <c r="H127" s="345">
        <v>17493</v>
      </c>
      <c r="I127" s="345">
        <v>116882</v>
      </c>
      <c r="J127" s="345">
        <v>14664</v>
      </c>
      <c r="K127" s="345">
        <v>271832</v>
      </c>
      <c r="L127" s="232"/>
      <c r="M127" s="345">
        <v>0</v>
      </c>
      <c r="N127" s="345">
        <v>0</v>
      </c>
      <c r="O127" s="345">
        <v>14986</v>
      </c>
      <c r="P127" s="345">
        <v>14986</v>
      </c>
      <c r="Q127" s="232"/>
      <c r="R127" s="345">
        <v>319456</v>
      </c>
      <c r="S127" s="345">
        <v>273</v>
      </c>
      <c r="T127" s="345">
        <v>319729</v>
      </c>
    </row>
    <row r="128" spans="1:20">
      <c r="A128" s="351">
        <v>91047</v>
      </c>
      <c r="B128" s="344" t="s">
        <v>820</v>
      </c>
      <c r="C128" s="235">
        <v>1.15E-5</v>
      </c>
      <c r="D128" s="235">
        <v>1.24E-5</v>
      </c>
      <c r="E128" s="345">
        <v>31406</v>
      </c>
      <c r="F128" s="232"/>
      <c r="G128" s="345">
        <v>5377</v>
      </c>
      <c r="H128" s="345">
        <v>766</v>
      </c>
      <c r="I128" s="345">
        <v>5119</v>
      </c>
      <c r="J128" s="345">
        <v>22634</v>
      </c>
      <c r="K128" s="345">
        <v>33896</v>
      </c>
      <c r="L128" s="232"/>
      <c r="M128" s="345">
        <v>0</v>
      </c>
      <c r="N128" s="345">
        <v>0</v>
      </c>
      <c r="O128" s="345">
        <v>0</v>
      </c>
      <c r="P128" s="345">
        <v>0</v>
      </c>
      <c r="Q128" s="232"/>
      <c r="R128" s="345">
        <v>13990</v>
      </c>
      <c r="S128" s="345">
        <v>11270</v>
      </c>
      <c r="T128" s="345">
        <v>25260</v>
      </c>
    </row>
    <row r="129" spans="1:20">
      <c r="A129" s="351">
        <v>91051</v>
      </c>
      <c r="B129" s="344" t="s">
        <v>821</v>
      </c>
      <c r="C129" s="235">
        <v>6.2799999999999995E-5</v>
      </c>
      <c r="D129" s="235">
        <v>6.7999999999999999E-5</v>
      </c>
      <c r="E129" s="345">
        <v>171502</v>
      </c>
      <c r="F129" s="232"/>
      <c r="G129" s="345">
        <v>29365</v>
      </c>
      <c r="H129" s="345">
        <v>4183</v>
      </c>
      <c r="I129" s="345">
        <v>27952</v>
      </c>
      <c r="J129" s="345">
        <v>871</v>
      </c>
      <c r="K129" s="345">
        <v>62371</v>
      </c>
      <c r="L129" s="232"/>
      <c r="M129" s="345">
        <v>0</v>
      </c>
      <c r="N129" s="345">
        <v>0</v>
      </c>
      <c r="O129" s="345">
        <v>4847</v>
      </c>
      <c r="P129" s="345">
        <v>4847</v>
      </c>
      <c r="Q129" s="232"/>
      <c r="R129" s="345">
        <v>76397</v>
      </c>
      <c r="S129" s="345">
        <v>-1473</v>
      </c>
      <c r="T129" s="345">
        <v>74924</v>
      </c>
    </row>
    <row r="130" spans="1:20">
      <c r="A130" s="351">
        <v>91057</v>
      </c>
      <c r="B130" s="344" t="s">
        <v>822</v>
      </c>
      <c r="C130" s="235">
        <v>1.5699999999999999E-5</v>
      </c>
      <c r="D130" s="235">
        <v>1.3699999999999999E-5</v>
      </c>
      <c r="E130" s="345">
        <v>42875</v>
      </c>
      <c r="F130" s="232"/>
      <c r="G130" s="345">
        <v>7341</v>
      </c>
      <c r="H130" s="345">
        <v>1046</v>
      </c>
      <c r="I130" s="345">
        <v>6988</v>
      </c>
      <c r="J130" s="345">
        <v>8738</v>
      </c>
      <c r="K130" s="345">
        <v>24113</v>
      </c>
      <c r="L130" s="232"/>
      <c r="M130" s="345">
        <v>0</v>
      </c>
      <c r="N130" s="345">
        <v>0</v>
      </c>
      <c r="O130" s="345">
        <v>0</v>
      </c>
      <c r="P130" s="345">
        <v>0</v>
      </c>
      <c r="Q130" s="232"/>
      <c r="R130" s="345">
        <v>19099</v>
      </c>
      <c r="S130" s="345">
        <v>3957</v>
      </c>
      <c r="T130" s="345">
        <v>23056</v>
      </c>
    </row>
    <row r="131" spans="1:20">
      <c r="A131" s="351">
        <v>91061</v>
      </c>
      <c r="B131" s="344" t="s">
        <v>823</v>
      </c>
      <c r="C131" s="235">
        <v>3.8039999999999998E-4</v>
      </c>
      <c r="D131" s="235">
        <v>3.657E-4</v>
      </c>
      <c r="E131" s="345">
        <v>1038843</v>
      </c>
      <c r="F131" s="232"/>
      <c r="G131" s="345">
        <v>177876</v>
      </c>
      <c r="H131" s="345">
        <v>25339</v>
      </c>
      <c r="I131" s="345">
        <v>169314</v>
      </c>
      <c r="J131" s="345">
        <v>11692</v>
      </c>
      <c r="K131" s="345">
        <v>384221</v>
      </c>
      <c r="L131" s="232"/>
      <c r="M131" s="345">
        <v>0</v>
      </c>
      <c r="N131" s="345">
        <v>0</v>
      </c>
      <c r="O131" s="345">
        <v>19860</v>
      </c>
      <c r="P131" s="345">
        <v>19860</v>
      </c>
      <c r="Q131" s="232"/>
      <c r="R131" s="345">
        <v>462762</v>
      </c>
      <c r="S131" s="345">
        <v>-8533</v>
      </c>
      <c r="T131" s="345">
        <v>454229</v>
      </c>
    </row>
    <row r="132" spans="1:20">
      <c r="A132" s="351">
        <v>91067</v>
      </c>
      <c r="B132" s="344" t="s">
        <v>824</v>
      </c>
      <c r="C132" s="235">
        <v>1.6200000000000001E-5</v>
      </c>
      <c r="D132" s="235">
        <v>1.6900000000000001E-5</v>
      </c>
      <c r="E132" s="345">
        <v>44241</v>
      </c>
      <c r="F132" s="232"/>
      <c r="G132" s="345">
        <v>7575</v>
      </c>
      <c r="H132" s="345">
        <v>1079</v>
      </c>
      <c r="I132" s="345">
        <v>7211</v>
      </c>
      <c r="J132" s="345">
        <v>1968</v>
      </c>
      <c r="K132" s="345">
        <v>17833</v>
      </c>
      <c r="L132" s="232"/>
      <c r="M132" s="345">
        <v>0</v>
      </c>
      <c r="N132" s="345">
        <v>0</v>
      </c>
      <c r="O132" s="345">
        <v>203</v>
      </c>
      <c r="P132" s="345">
        <v>203</v>
      </c>
      <c r="Q132" s="232"/>
      <c r="R132" s="345">
        <v>19708</v>
      </c>
      <c r="S132" s="345">
        <v>1241</v>
      </c>
      <c r="T132" s="345">
        <v>20949</v>
      </c>
    </row>
    <row r="133" spans="1:20">
      <c r="A133" s="351">
        <v>91071</v>
      </c>
      <c r="B133" s="344" t="s">
        <v>3648</v>
      </c>
      <c r="C133" s="235">
        <v>2.4489999999999999E-4</v>
      </c>
      <c r="D133" s="235">
        <v>2.354E-4</v>
      </c>
      <c r="E133" s="345">
        <v>668803</v>
      </c>
      <c r="F133" s="232"/>
      <c r="G133" s="345">
        <v>114516</v>
      </c>
      <c r="H133" s="345">
        <v>16313</v>
      </c>
      <c r="I133" s="345">
        <v>109004</v>
      </c>
      <c r="J133" s="345">
        <v>0</v>
      </c>
      <c r="K133" s="345">
        <v>239833</v>
      </c>
      <c r="L133" s="232"/>
      <c r="M133" s="345">
        <v>0</v>
      </c>
      <c r="N133" s="345">
        <v>0</v>
      </c>
      <c r="O133" s="345">
        <v>12755</v>
      </c>
      <c r="P133" s="345">
        <v>12755</v>
      </c>
      <c r="Q133" s="232"/>
      <c r="R133" s="345">
        <v>297924</v>
      </c>
      <c r="S133" s="345">
        <v>-6634</v>
      </c>
      <c r="T133" s="345">
        <v>291290</v>
      </c>
    </row>
    <row r="134" spans="1:20">
      <c r="A134" s="351">
        <v>91077</v>
      </c>
      <c r="B134" s="344" t="s">
        <v>826</v>
      </c>
      <c r="C134" s="235">
        <v>5.9000000000000003E-6</v>
      </c>
      <c r="D134" s="235">
        <v>3.1E-6</v>
      </c>
      <c r="E134" s="345">
        <v>16112</v>
      </c>
      <c r="F134" s="232"/>
      <c r="G134" s="345">
        <v>2759</v>
      </c>
      <c r="H134" s="345">
        <v>393</v>
      </c>
      <c r="I134" s="345">
        <v>2626</v>
      </c>
      <c r="J134" s="345">
        <v>3562</v>
      </c>
      <c r="K134" s="345">
        <v>9340</v>
      </c>
      <c r="L134" s="232"/>
      <c r="M134" s="345">
        <v>0</v>
      </c>
      <c r="N134" s="345">
        <v>0</v>
      </c>
      <c r="O134" s="345">
        <v>0</v>
      </c>
      <c r="P134" s="345">
        <v>0</v>
      </c>
      <c r="Q134" s="232"/>
      <c r="R134" s="345">
        <v>7177</v>
      </c>
      <c r="S134" s="345">
        <v>1342</v>
      </c>
      <c r="T134" s="345">
        <v>8519</v>
      </c>
    </row>
    <row r="135" spans="1:20">
      <c r="A135" s="351">
        <v>91081</v>
      </c>
      <c r="B135" s="344" t="s">
        <v>827</v>
      </c>
      <c r="C135" s="235">
        <v>4.2739999999999998E-4</v>
      </c>
      <c r="D135" s="235">
        <v>3.8870000000000002E-4</v>
      </c>
      <c r="E135" s="345">
        <v>1167196</v>
      </c>
      <c r="F135" s="232"/>
      <c r="G135" s="345">
        <v>199854</v>
      </c>
      <c r="H135" s="345">
        <v>28470</v>
      </c>
      <c r="I135" s="345">
        <v>190234</v>
      </c>
      <c r="J135" s="345">
        <v>30285</v>
      </c>
      <c r="K135" s="345">
        <v>448843</v>
      </c>
      <c r="L135" s="232"/>
      <c r="M135" s="345">
        <v>0</v>
      </c>
      <c r="N135" s="345">
        <v>0</v>
      </c>
      <c r="O135" s="345">
        <v>0</v>
      </c>
      <c r="P135" s="345">
        <v>0</v>
      </c>
      <c r="Q135" s="232"/>
      <c r="R135" s="345">
        <v>519938</v>
      </c>
      <c r="S135" s="345">
        <v>9199</v>
      </c>
      <c r="T135" s="345">
        <v>529137</v>
      </c>
    </row>
    <row r="136" spans="1:20">
      <c r="A136" s="351">
        <v>91091</v>
      </c>
      <c r="B136" s="344" t="s">
        <v>828</v>
      </c>
      <c r="C136" s="235">
        <v>5.4540000000000003E-4</v>
      </c>
      <c r="D136" s="235">
        <v>5.0319999999999998E-4</v>
      </c>
      <c r="E136" s="345">
        <v>1489445</v>
      </c>
      <c r="F136" s="232"/>
      <c r="G136" s="345">
        <v>255031</v>
      </c>
      <c r="H136" s="345">
        <v>36330</v>
      </c>
      <c r="I136" s="345">
        <v>242755</v>
      </c>
      <c r="J136" s="345">
        <v>27236</v>
      </c>
      <c r="K136" s="345">
        <v>561352</v>
      </c>
      <c r="L136" s="232"/>
      <c r="M136" s="345">
        <v>0</v>
      </c>
      <c r="N136" s="345">
        <v>0</v>
      </c>
      <c r="O136" s="345">
        <v>39624</v>
      </c>
      <c r="P136" s="345">
        <v>39624</v>
      </c>
      <c r="Q136" s="232"/>
      <c r="R136" s="345">
        <v>663486</v>
      </c>
      <c r="S136" s="345">
        <v>-17164</v>
      </c>
      <c r="T136" s="345">
        <v>646322</v>
      </c>
    </row>
    <row r="137" spans="1:20">
      <c r="A137" s="351">
        <v>91101</v>
      </c>
      <c r="B137" s="344" t="s">
        <v>829</v>
      </c>
      <c r="C137" s="235">
        <v>1.32874E-2</v>
      </c>
      <c r="D137" s="235">
        <v>1.3608800000000001E-2</v>
      </c>
      <c r="E137" s="345">
        <v>36286853</v>
      </c>
      <c r="F137" s="232"/>
      <c r="G137" s="345">
        <v>6213228</v>
      </c>
      <c r="H137" s="345">
        <v>885087</v>
      </c>
      <c r="I137" s="345">
        <v>5914155</v>
      </c>
      <c r="J137" s="345">
        <v>0</v>
      </c>
      <c r="K137" s="345">
        <v>13012470</v>
      </c>
      <c r="L137" s="232"/>
      <c r="M137" s="345">
        <v>0</v>
      </c>
      <c r="N137" s="345">
        <v>0</v>
      </c>
      <c r="O137" s="345">
        <v>935259</v>
      </c>
      <c r="P137" s="345">
        <v>935259</v>
      </c>
      <c r="Q137" s="232"/>
      <c r="R137" s="345">
        <v>16164295</v>
      </c>
      <c r="S137" s="345">
        <v>-203601</v>
      </c>
      <c r="T137" s="345">
        <v>15960694</v>
      </c>
    </row>
    <row r="138" spans="1:20">
      <c r="A138" s="351">
        <v>91102</v>
      </c>
      <c r="B138" s="344" t="s">
        <v>830</v>
      </c>
      <c r="C138" s="235">
        <v>3.279E-4</v>
      </c>
      <c r="D138" s="235">
        <v>3.2509999999999999E-4</v>
      </c>
      <c r="E138" s="345">
        <v>895469</v>
      </c>
      <c r="F138" s="232"/>
      <c r="G138" s="345">
        <v>153327</v>
      </c>
      <c r="H138" s="345">
        <v>21841</v>
      </c>
      <c r="I138" s="345">
        <v>145947</v>
      </c>
      <c r="J138" s="345">
        <v>15005</v>
      </c>
      <c r="K138" s="345">
        <v>336120</v>
      </c>
      <c r="L138" s="232"/>
      <c r="M138" s="345">
        <v>0</v>
      </c>
      <c r="N138" s="345">
        <v>0</v>
      </c>
      <c r="O138" s="345">
        <v>925</v>
      </c>
      <c r="P138" s="345">
        <v>925</v>
      </c>
      <c r="Q138" s="232"/>
      <c r="R138" s="345">
        <v>398895</v>
      </c>
      <c r="S138" s="345">
        <v>-5501</v>
      </c>
      <c r="T138" s="345">
        <v>393394</v>
      </c>
    </row>
    <row r="139" spans="1:20">
      <c r="A139" s="351">
        <v>91104</v>
      </c>
      <c r="B139" s="344" t="s">
        <v>831</v>
      </c>
      <c r="C139" s="235">
        <v>1.66E-5</v>
      </c>
      <c r="D139" s="235">
        <v>6.9999999999999999E-6</v>
      </c>
      <c r="E139" s="345">
        <v>45333</v>
      </c>
      <c r="F139" s="232"/>
      <c r="G139" s="345">
        <v>7762</v>
      </c>
      <c r="H139" s="345">
        <v>1105</v>
      </c>
      <c r="I139" s="345">
        <v>7389</v>
      </c>
      <c r="J139" s="345">
        <v>13759</v>
      </c>
      <c r="K139" s="345">
        <v>30015</v>
      </c>
      <c r="L139" s="232"/>
      <c r="M139" s="345">
        <v>0</v>
      </c>
      <c r="N139" s="345">
        <v>0</v>
      </c>
      <c r="O139" s="345">
        <v>0</v>
      </c>
      <c r="P139" s="345">
        <v>0</v>
      </c>
      <c r="Q139" s="232"/>
      <c r="R139" s="345">
        <v>20194</v>
      </c>
      <c r="S139" s="345">
        <v>4017</v>
      </c>
      <c r="T139" s="345">
        <v>24211</v>
      </c>
    </row>
    <row r="140" spans="1:20">
      <c r="A140" s="351">
        <v>91107</v>
      </c>
      <c r="B140" s="344" t="s">
        <v>3649</v>
      </c>
      <c r="C140" s="235">
        <v>5.4500000000000003E-5</v>
      </c>
      <c r="D140" s="235">
        <v>5.8999999999999998E-5</v>
      </c>
      <c r="E140" s="345">
        <v>148835</v>
      </c>
      <c r="F140" s="232"/>
      <c r="G140" s="345">
        <v>25484</v>
      </c>
      <c r="H140" s="345">
        <v>3631</v>
      </c>
      <c r="I140" s="345">
        <v>24258</v>
      </c>
      <c r="J140" s="345">
        <v>12685</v>
      </c>
      <c r="K140" s="345">
        <v>66058</v>
      </c>
      <c r="L140" s="232"/>
      <c r="M140" s="345">
        <v>0</v>
      </c>
      <c r="N140" s="345">
        <v>0</v>
      </c>
      <c r="O140" s="345">
        <v>2257</v>
      </c>
      <c r="P140" s="345">
        <v>2257</v>
      </c>
      <c r="Q140" s="232"/>
      <c r="R140" s="345">
        <v>66300</v>
      </c>
      <c r="S140" s="345">
        <v>5016</v>
      </c>
      <c r="T140" s="345">
        <v>71316</v>
      </c>
    </row>
    <row r="141" spans="1:20">
      <c r="A141" s="351">
        <v>91108</v>
      </c>
      <c r="B141" s="344" t="s">
        <v>3650</v>
      </c>
      <c r="C141" s="235">
        <v>1.1929E-3</v>
      </c>
      <c r="D141" s="235">
        <v>1.2019000000000001E-3</v>
      </c>
      <c r="E141" s="345">
        <v>3257717</v>
      </c>
      <c r="F141" s="232"/>
      <c r="G141" s="345">
        <v>557804</v>
      </c>
      <c r="H141" s="345">
        <v>79460</v>
      </c>
      <c r="I141" s="345">
        <v>530954</v>
      </c>
      <c r="J141" s="345">
        <v>81445</v>
      </c>
      <c r="K141" s="345">
        <v>1249663</v>
      </c>
      <c r="L141" s="232"/>
      <c r="M141" s="345">
        <v>0</v>
      </c>
      <c r="N141" s="345">
        <v>0</v>
      </c>
      <c r="O141" s="345">
        <v>0</v>
      </c>
      <c r="P141" s="345">
        <v>0</v>
      </c>
      <c r="Q141" s="232"/>
      <c r="R141" s="345">
        <v>1451178</v>
      </c>
      <c r="S141" s="345">
        <v>40685</v>
      </c>
      <c r="T141" s="345">
        <v>1491863</v>
      </c>
    </row>
    <row r="142" spans="1:20">
      <c r="A142" s="351">
        <v>91109</v>
      </c>
      <c r="B142" s="344" t="s">
        <v>2785</v>
      </c>
      <c r="C142" s="235">
        <v>9.8300000000000004E-5</v>
      </c>
      <c r="D142" s="235">
        <v>1E-4</v>
      </c>
      <c r="E142" s="345">
        <v>268450</v>
      </c>
      <c r="F142" s="232"/>
      <c r="G142" s="345">
        <v>45965</v>
      </c>
      <c r="H142" s="345">
        <v>6548</v>
      </c>
      <c r="I142" s="345">
        <v>43753</v>
      </c>
      <c r="J142" s="345">
        <v>5573</v>
      </c>
      <c r="K142" s="345">
        <v>101839</v>
      </c>
      <c r="L142" s="232"/>
      <c r="M142" s="345">
        <v>0</v>
      </c>
      <c r="N142" s="345">
        <v>0</v>
      </c>
      <c r="O142" s="345">
        <v>108</v>
      </c>
      <c r="P142" s="345">
        <v>108</v>
      </c>
      <c r="Q142" s="232"/>
      <c r="R142" s="345">
        <v>119583</v>
      </c>
      <c r="S142" s="345">
        <v>2680</v>
      </c>
      <c r="T142" s="345">
        <v>122263</v>
      </c>
    </row>
    <row r="143" spans="1:20">
      <c r="A143" s="351">
        <v>91111</v>
      </c>
      <c r="B143" s="344" t="s">
        <v>835</v>
      </c>
      <c r="C143" s="235">
        <v>1.973E-4</v>
      </c>
      <c r="D143" s="235">
        <v>2.3499999999999999E-4</v>
      </c>
      <c r="E143" s="345">
        <v>538811</v>
      </c>
      <c r="F143" s="232"/>
      <c r="G143" s="345">
        <v>92258</v>
      </c>
      <c r="H143" s="345">
        <v>13143</v>
      </c>
      <c r="I143" s="345">
        <v>87817</v>
      </c>
      <c r="J143" s="345">
        <v>8882</v>
      </c>
      <c r="K143" s="345">
        <v>202100</v>
      </c>
      <c r="L143" s="232"/>
      <c r="M143" s="345">
        <v>0</v>
      </c>
      <c r="N143" s="345">
        <v>0</v>
      </c>
      <c r="O143" s="345">
        <v>19294</v>
      </c>
      <c r="P143" s="345">
        <v>19294</v>
      </c>
      <c r="Q143" s="232"/>
      <c r="R143" s="345">
        <v>240018</v>
      </c>
      <c r="S143" s="345">
        <v>5623</v>
      </c>
      <c r="T143" s="345">
        <v>245641</v>
      </c>
    </row>
    <row r="144" spans="1:20">
      <c r="A144" s="351">
        <v>91120</v>
      </c>
      <c r="B144" s="344" t="s">
        <v>3651</v>
      </c>
      <c r="C144" s="235">
        <v>1.807E-4</v>
      </c>
      <c r="D144" s="235">
        <v>1.2679999999999999E-4</v>
      </c>
      <c r="E144" s="345">
        <v>493478</v>
      </c>
      <c r="F144" s="232"/>
      <c r="G144" s="345">
        <v>84496</v>
      </c>
      <c r="H144" s="345">
        <v>12036</v>
      </c>
      <c r="I144" s="345">
        <v>80429</v>
      </c>
      <c r="J144" s="345">
        <v>34909</v>
      </c>
      <c r="K144" s="345">
        <v>211870</v>
      </c>
      <c r="L144" s="232"/>
      <c r="M144" s="345">
        <v>0</v>
      </c>
      <c r="N144" s="345">
        <v>0</v>
      </c>
      <c r="O144" s="345">
        <v>10750</v>
      </c>
      <c r="P144" s="345">
        <v>10750</v>
      </c>
      <c r="Q144" s="232"/>
      <c r="R144" s="345">
        <v>219824</v>
      </c>
      <c r="S144" s="345">
        <v>-1266</v>
      </c>
      <c r="T144" s="345">
        <v>218558</v>
      </c>
    </row>
    <row r="145" spans="1:20">
      <c r="A145" s="351">
        <v>91121</v>
      </c>
      <c r="B145" s="344" t="s">
        <v>837</v>
      </c>
      <c r="C145" s="235">
        <v>1.03844E-2</v>
      </c>
      <c r="D145" s="235">
        <v>1.02925E-2</v>
      </c>
      <c r="E145" s="345">
        <v>28358986</v>
      </c>
      <c r="F145" s="232"/>
      <c r="G145" s="345">
        <v>4855777</v>
      </c>
      <c r="H145" s="345">
        <v>691716</v>
      </c>
      <c r="I145" s="345">
        <v>4622045</v>
      </c>
      <c r="J145" s="345">
        <v>0</v>
      </c>
      <c r="K145" s="345">
        <v>10169538</v>
      </c>
      <c r="L145" s="232"/>
      <c r="M145" s="345">
        <v>0</v>
      </c>
      <c r="N145" s="345">
        <v>0</v>
      </c>
      <c r="O145" s="345">
        <v>462767</v>
      </c>
      <c r="P145" s="345">
        <v>462767</v>
      </c>
      <c r="Q145" s="232"/>
      <c r="R145" s="345">
        <v>12632758</v>
      </c>
      <c r="S145" s="345">
        <v>-250458</v>
      </c>
      <c r="T145" s="345">
        <v>12382300</v>
      </c>
    </row>
    <row r="146" spans="1:20">
      <c r="A146" s="351">
        <v>91127</v>
      </c>
      <c r="B146" s="344" t="s">
        <v>838</v>
      </c>
      <c r="C146" s="235">
        <v>2.7989999999999997E-4</v>
      </c>
      <c r="D146" s="235">
        <v>2.8370000000000001E-4</v>
      </c>
      <c r="E146" s="345">
        <v>764385</v>
      </c>
      <c r="F146" s="232"/>
      <c r="G146" s="345">
        <v>130882</v>
      </c>
      <c r="H146" s="345">
        <v>18644</v>
      </c>
      <c r="I146" s="345">
        <v>124582</v>
      </c>
      <c r="J146" s="345">
        <v>45499</v>
      </c>
      <c r="K146" s="345">
        <v>319607</v>
      </c>
      <c r="L146" s="232"/>
      <c r="M146" s="345">
        <v>0</v>
      </c>
      <c r="N146" s="345">
        <v>0</v>
      </c>
      <c r="O146" s="345">
        <v>0</v>
      </c>
      <c r="P146" s="345">
        <v>0</v>
      </c>
      <c r="Q146" s="232"/>
      <c r="R146" s="345">
        <v>340502</v>
      </c>
      <c r="S146" s="345">
        <v>23566</v>
      </c>
      <c r="T146" s="345">
        <v>364068</v>
      </c>
    </row>
    <row r="147" spans="1:20">
      <c r="A147" s="351">
        <v>91128</v>
      </c>
      <c r="B147" s="344" t="s">
        <v>839</v>
      </c>
      <c r="C147" s="235">
        <v>4.6710000000000002E-4</v>
      </c>
      <c r="D147" s="235">
        <v>5.1060000000000005E-4</v>
      </c>
      <c r="E147" s="345">
        <v>1275614</v>
      </c>
      <c r="F147" s="232"/>
      <c r="G147" s="345">
        <v>218417</v>
      </c>
      <c r="H147" s="345">
        <v>31114</v>
      </c>
      <c r="I147" s="345">
        <v>207904</v>
      </c>
      <c r="J147" s="345">
        <v>4437</v>
      </c>
      <c r="K147" s="345">
        <v>461872</v>
      </c>
      <c r="L147" s="232"/>
      <c r="M147" s="345">
        <v>0</v>
      </c>
      <c r="N147" s="345">
        <v>0</v>
      </c>
      <c r="O147" s="345">
        <v>31667</v>
      </c>
      <c r="P147" s="345">
        <v>31667</v>
      </c>
      <c r="Q147" s="232"/>
      <c r="R147" s="345">
        <v>568233</v>
      </c>
      <c r="S147" s="345">
        <v>-3537</v>
      </c>
      <c r="T147" s="345">
        <v>564696</v>
      </c>
    </row>
    <row r="148" spans="1:20">
      <c r="A148" s="351">
        <v>91138</v>
      </c>
      <c r="B148" s="344" t="s">
        <v>3652</v>
      </c>
      <c r="C148" s="235">
        <v>4.8010000000000001E-4</v>
      </c>
      <c r="D148" s="235">
        <v>4.8819999999999999E-4</v>
      </c>
      <c r="E148" s="345">
        <v>1311116</v>
      </c>
      <c r="F148" s="232"/>
      <c r="G148" s="345">
        <v>224496</v>
      </c>
      <c r="H148" s="345">
        <v>31980</v>
      </c>
      <c r="I148" s="345">
        <v>213690</v>
      </c>
      <c r="J148" s="345">
        <v>0</v>
      </c>
      <c r="K148" s="345">
        <v>470166</v>
      </c>
      <c r="L148" s="232"/>
      <c r="M148" s="345">
        <v>0</v>
      </c>
      <c r="N148" s="345">
        <v>0</v>
      </c>
      <c r="O148" s="345">
        <v>174521</v>
      </c>
      <c r="P148" s="345">
        <v>174521</v>
      </c>
      <c r="Q148" s="232"/>
      <c r="R148" s="345">
        <v>584048</v>
      </c>
      <c r="S148" s="345">
        <v>-78769</v>
      </c>
      <c r="T148" s="345">
        <v>505279</v>
      </c>
    </row>
    <row r="149" spans="1:20">
      <c r="A149" s="351">
        <v>91141</v>
      </c>
      <c r="B149" s="344" t="s">
        <v>841</v>
      </c>
      <c r="C149" s="235">
        <v>6.3610000000000001E-4</v>
      </c>
      <c r="D149" s="235">
        <v>5.5960000000000005E-4</v>
      </c>
      <c r="E149" s="345">
        <v>1737139</v>
      </c>
      <c r="F149" s="232"/>
      <c r="G149" s="345">
        <v>297442</v>
      </c>
      <c r="H149" s="345">
        <v>42371</v>
      </c>
      <c r="I149" s="345">
        <v>283125</v>
      </c>
      <c r="J149" s="345">
        <v>30937</v>
      </c>
      <c r="K149" s="345">
        <v>653875</v>
      </c>
      <c r="L149" s="232"/>
      <c r="M149" s="345">
        <v>0</v>
      </c>
      <c r="N149" s="345">
        <v>0</v>
      </c>
      <c r="O149" s="345">
        <v>33284</v>
      </c>
      <c r="P149" s="345">
        <v>33284</v>
      </c>
      <c r="Q149" s="232"/>
      <c r="R149" s="345">
        <v>773824</v>
      </c>
      <c r="S149" s="345">
        <v>-24712</v>
      </c>
      <c r="T149" s="345">
        <v>749112</v>
      </c>
    </row>
    <row r="150" spans="1:20">
      <c r="A150" s="351">
        <v>91147</v>
      </c>
      <c r="B150" s="344" t="s">
        <v>842</v>
      </c>
      <c r="C150" s="235">
        <v>2.5400000000000001E-5</v>
      </c>
      <c r="D150" s="235">
        <v>2.87E-5</v>
      </c>
      <c r="E150" s="345">
        <v>69365</v>
      </c>
      <c r="F150" s="232"/>
      <c r="G150" s="345">
        <v>11877</v>
      </c>
      <c r="H150" s="345">
        <v>1692</v>
      </c>
      <c r="I150" s="345">
        <v>11305</v>
      </c>
      <c r="J150" s="345">
        <v>2503</v>
      </c>
      <c r="K150" s="345">
        <v>27377</v>
      </c>
      <c r="L150" s="232"/>
      <c r="M150" s="345">
        <v>0</v>
      </c>
      <c r="N150" s="345">
        <v>0</v>
      </c>
      <c r="O150" s="345">
        <v>541</v>
      </c>
      <c r="P150" s="345">
        <v>541</v>
      </c>
      <c r="Q150" s="232"/>
      <c r="R150" s="345">
        <v>30899</v>
      </c>
      <c r="S150" s="345">
        <v>3267</v>
      </c>
      <c r="T150" s="345">
        <v>34166</v>
      </c>
    </row>
    <row r="151" spans="1:20">
      <c r="A151" s="351">
        <v>91151</v>
      </c>
      <c r="B151" s="344" t="s">
        <v>843</v>
      </c>
      <c r="C151" s="235">
        <v>5.8460000000000001E-4</v>
      </c>
      <c r="D151" s="235">
        <v>6.2589999999999998E-4</v>
      </c>
      <c r="E151" s="345">
        <v>1596497</v>
      </c>
      <c r="F151" s="232"/>
      <c r="G151" s="345">
        <v>273361</v>
      </c>
      <c r="H151" s="345">
        <v>38941</v>
      </c>
      <c r="I151" s="345">
        <v>260203</v>
      </c>
      <c r="J151" s="345">
        <v>0</v>
      </c>
      <c r="K151" s="345">
        <v>572505</v>
      </c>
      <c r="L151" s="232"/>
      <c r="M151" s="345">
        <v>0</v>
      </c>
      <c r="N151" s="345">
        <v>0</v>
      </c>
      <c r="O151" s="345">
        <v>101019</v>
      </c>
      <c r="P151" s="345">
        <v>101019</v>
      </c>
      <c r="Q151" s="232"/>
      <c r="R151" s="345">
        <v>711173</v>
      </c>
      <c r="S151" s="345">
        <v>-34619</v>
      </c>
      <c r="T151" s="345">
        <v>676554</v>
      </c>
    </row>
    <row r="152" spans="1:20">
      <c r="A152" s="351">
        <v>91154</v>
      </c>
      <c r="B152" s="344" t="s">
        <v>3653</v>
      </c>
      <c r="C152" s="235">
        <v>2.0999999999999999E-5</v>
      </c>
      <c r="D152" s="235">
        <v>2.41E-5</v>
      </c>
      <c r="E152" s="345">
        <v>57349</v>
      </c>
      <c r="F152" s="232"/>
      <c r="G152" s="345">
        <v>9820</v>
      </c>
      <c r="H152" s="345">
        <v>1399</v>
      </c>
      <c r="I152" s="345">
        <v>9347</v>
      </c>
      <c r="J152" s="345">
        <v>2221</v>
      </c>
      <c r="K152" s="345">
        <v>22787</v>
      </c>
      <c r="L152" s="232"/>
      <c r="M152" s="345">
        <v>0</v>
      </c>
      <c r="N152" s="345">
        <v>0</v>
      </c>
      <c r="O152" s="345">
        <v>5358</v>
      </c>
      <c r="P152" s="345">
        <v>5358</v>
      </c>
      <c r="Q152" s="232"/>
      <c r="R152" s="345">
        <v>25547</v>
      </c>
      <c r="S152" s="345">
        <v>672</v>
      </c>
      <c r="T152" s="345">
        <v>26219</v>
      </c>
    </row>
    <row r="153" spans="1:20">
      <c r="A153" s="351">
        <v>91161</v>
      </c>
      <c r="B153" s="344" t="s">
        <v>845</v>
      </c>
      <c r="C153" s="235">
        <v>1.0509999999999999E-4</v>
      </c>
      <c r="D153" s="235">
        <v>7.9699999999999999E-5</v>
      </c>
      <c r="E153" s="345">
        <v>287020</v>
      </c>
      <c r="F153" s="232"/>
      <c r="G153" s="345">
        <v>49145</v>
      </c>
      <c r="H153" s="345">
        <v>7001</v>
      </c>
      <c r="I153" s="345">
        <v>46779</v>
      </c>
      <c r="J153" s="345">
        <v>11514</v>
      </c>
      <c r="K153" s="345">
        <v>114439</v>
      </c>
      <c r="L153" s="232"/>
      <c r="M153" s="345">
        <v>0</v>
      </c>
      <c r="N153" s="345">
        <v>0</v>
      </c>
      <c r="O153" s="345">
        <v>7092</v>
      </c>
      <c r="P153" s="345">
        <v>7092</v>
      </c>
      <c r="Q153" s="232"/>
      <c r="R153" s="345">
        <v>127856</v>
      </c>
      <c r="S153" s="345">
        <v>2399</v>
      </c>
      <c r="T153" s="345">
        <v>130255</v>
      </c>
    </row>
    <row r="154" spans="1:20">
      <c r="A154" s="351">
        <v>91171</v>
      </c>
      <c r="B154" s="344" t="s">
        <v>846</v>
      </c>
      <c r="C154" s="235">
        <v>2.6820000000000001E-4</v>
      </c>
      <c r="D154" s="235">
        <v>2.3790000000000001E-4</v>
      </c>
      <c r="E154" s="345">
        <v>732433</v>
      </c>
      <c r="F154" s="232"/>
      <c r="G154" s="345">
        <v>125411</v>
      </c>
      <c r="H154" s="345">
        <v>17865</v>
      </c>
      <c r="I154" s="345">
        <v>119374</v>
      </c>
      <c r="J154" s="345">
        <v>27025</v>
      </c>
      <c r="K154" s="345">
        <v>289675</v>
      </c>
      <c r="L154" s="232"/>
      <c r="M154" s="345">
        <v>0</v>
      </c>
      <c r="N154" s="345">
        <v>0</v>
      </c>
      <c r="O154" s="345">
        <v>21019</v>
      </c>
      <c r="P154" s="345">
        <v>21019</v>
      </c>
      <c r="Q154" s="232"/>
      <c r="R154" s="345">
        <v>326269</v>
      </c>
      <c r="S154" s="345">
        <v>-7372</v>
      </c>
      <c r="T154" s="345">
        <v>318897</v>
      </c>
    </row>
    <row r="155" spans="1:20">
      <c r="A155" s="351">
        <v>91201</v>
      </c>
      <c r="B155" s="344" t="s">
        <v>847</v>
      </c>
      <c r="C155" s="235">
        <v>2.2897999999999998E-3</v>
      </c>
      <c r="D155" s="235">
        <v>2.2587000000000002E-3</v>
      </c>
      <c r="E155" s="345">
        <v>6253265</v>
      </c>
      <c r="F155" s="232"/>
      <c r="G155" s="345">
        <v>1070717</v>
      </c>
      <c r="H155" s="345">
        <v>152526</v>
      </c>
      <c r="I155" s="345">
        <v>1019179</v>
      </c>
      <c r="J155" s="345">
        <v>0</v>
      </c>
      <c r="K155" s="345">
        <v>2242422</v>
      </c>
      <c r="L155" s="232"/>
      <c r="M155" s="345">
        <v>0</v>
      </c>
      <c r="N155" s="345">
        <v>0</v>
      </c>
      <c r="O155" s="345">
        <v>119721</v>
      </c>
      <c r="P155" s="345">
        <v>119721</v>
      </c>
      <c r="Q155" s="232"/>
      <c r="R155" s="345">
        <v>2785571</v>
      </c>
      <c r="S155" s="345">
        <v>-32799</v>
      </c>
      <c r="T155" s="345">
        <v>2752772</v>
      </c>
    </row>
    <row r="156" spans="1:20">
      <c r="A156" s="351">
        <v>91202</v>
      </c>
      <c r="B156" s="344" t="s">
        <v>3654</v>
      </c>
      <c r="C156" s="235">
        <v>1.752E-4</v>
      </c>
      <c r="D156" s="235">
        <v>1.9579999999999999E-4</v>
      </c>
      <c r="E156" s="345">
        <v>478458</v>
      </c>
      <c r="F156" s="232"/>
      <c r="G156" s="345">
        <v>81924</v>
      </c>
      <c r="H156" s="345">
        <v>11670</v>
      </c>
      <c r="I156" s="345">
        <v>77981</v>
      </c>
      <c r="J156" s="345">
        <v>10225</v>
      </c>
      <c r="K156" s="345">
        <v>181800</v>
      </c>
      <c r="L156" s="232"/>
      <c r="M156" s="345">
        <v>0</v>
      </c>
      <c r="N156" s="345">
        <v>0</v>
      </c>
      <c r="O156" s="345">
        <v>16754</v>
      </c>
      <c r="P156" s="345">
        <v>16754</v>
      </c>
      <c r="Q156" s="232"/>
      <c r="R156" s="345">
        <v>213133</v>
      </c>
      <c r="S156" s="345">
        <v>5067</v>
      </c>
      <c r="T156" s="345">
        <v>218200</v>
      </c>
    </row>
    <row r="157" spans="1:20">
      <c r="A157" s="351">
        <v>91203</v>
      </c>
      <c r="B157" s="344" t="s">
        <v>3655</v>
      </c>
      <c r="C157" s="235">
        <v>2.2670000000000001E-4</v>
      </c>
      <c r="D157" s="235">
        <v>2.3000000000000001E-4</v>
      </c>
      <c r="E157" s="345">
        <v>619100</v>
      </c>
      <c r="F157" s="232"/>
      <c r="G157" s="345">
        <v>106006</v>
      </c>
      <c r="H157" s="345">
        <v>15101</v>
      </c>
      <c r="I157" s="345">
        <v>100903</v>
      </c>
      <c r="J157" s="345">
        <v>40050</v>
      </c>
      <c r="K157" s="345">
        <v>262060</v>
      </c>
      <c r="L157" s="232"/>
      <c r="M157" s="345">
        <v>0</v>
      </c>
      <c r="N157" s="345">
        <v>0</v>
      </c>
      <c r="O157" s="345">
        <v>0</v>
      </c>
      <c r="P157" s="345">
        <v>0</v>
      </c>
      <c r="Q157" s="232"/>
      <c r="R157" s="345">
        <v>275783</v>
      </c>
      <c r="S157" s="345">
        <v>17405</v>
      </c>
      <c r="T157" s="345">
        <v>293188</v>
      </c>
    </row>
    <row r="158" spans="1:20">
      <c r="A158" s="351">
        <v>91206</v>
      </c>
      <c r="B158" s="344" t="s">
        <v>3656</v>
      </c>
      <c r="C158" s="235">
        <v>9.525E-4</v>
      </c>
      <c r="D158" s="235">
        <v>9.0660000000000003E-4</v>
      </c>
      <c r="E158" s="345">
        <v>2601203</v>
      </c>
      <c r="F158" s="232"/>
      <c r="G158" s="345">
        <v>445392</v>
      </c>
      <c r="H158" s="345">
        <v>63447</v>
      </c>
      <c r="I158" s="345">
        <v>423953</v>
      </c>
      <c r="J158" s="345">
        <v>57771</v>
      </c>
      <c r="K158" s="345">
        <v>990563</v>
      </c>
      <c r="L158" s="232"/>
      <c r="M158" s="345">
        <v>0</v>
      </c>
      <c r="N158" s="345">
        <v>0</v>
      </c>
      <c r="O158" s="345">
        <v>341</v>
      </c>
      <c r="P158" s="345">
        <v>341</v>
      </c>
      <c r="Q158" s="232"/>
      <c r="R158" s="345">
        <v>1158729</v>
      </c>
      <c r="S158" s="345">
        <v>19006</v>
      </c>
      <c r="T158" s="345">
        <v>1177735</v>
      </c>
    </row>
    <row r="159" spans="1:20">
      <c r="A159" s="351">
        <v>91208</v>
      </c>
      <c r="B159" s="344" t="s">
        <v>3657</v>
      </c>
      <c r="C159" s="235">
        <v>1.9000000000000001E-5</v>
      </c>
      <c r="D159" s="235">
        <v>1.3200000000000001E-5</v>
      </c>
      <c r="E159" s="345">
        <v>51888</v>
      </c>
      <c r="F159" s="232"/>
      <c r="G159" s="345">
        <v>8884</v>
      </c>
      <c r="H159" s="345">
        <v>1265</v>
      </c>
      <c r="I159" s="345">
        <v>8457</v>
      </c>
      <c r="J159" s="345">
        <v>5152</v>
      </c>
      <c r="K159" s="345">
        <v>23758</v>
      </c>
      <c r="L159" s="232"/>
      <c r="M159" s="345">
        <v>0</v>
      </c>
      <c r="N159" s="345">
        <v>0</v>
      </c>
      <c r="O159" s="345">
        <v>391</v>
      </c>
      <c r="P159" s="345">
        <v>391</v>
      </c>
      <c r="Q159" s="232"/>
      <c r="R159" s="345">
        <v>23114</v>
      </c>
      <c r="S159" s="345">
        <v>1443</v>
      </c>
      <c r="T159" s="345">
        <v>24557</v>
      </c>
    </row>
    <row r="160" spans="1:20">
      <c r="A160" s="351">
        <v>91211</v>
      </c>
      <c r="B160" s="344" t="s">
        <v>852</v>
      </c>
      <c r="C160" s="235">
        <v>4.4870000000000001E-4</v>
      </c>
      <c r="D160" s="235">
        <v>4.526E-4</v>
      </c>
      <c r="E160" s="345">
        <v>1225365</v>
      </c>
      <c r="F160" s="232"/>
      <c r="G160" s="345">
        <v>209813</v>
      </c>
      <c r="H160" s="345">
        <v>29888</v>
      </c>
      <c r="I160" s="345">
        <v>199714</v>
      </c>
      <c r="J160" s="345">
        <v>2140</v>
      </c>
      <c r="K160" s="345">
        <v>441555</v>
      </c>
      <c r="L160" s="232"/>
      <c r="M160" s="345">
        <v>0</v>
      </c>
      <c r="N160" s="345">
        <v>0</v>
      </c>
      <c r="O160" s="345">
        <v>30724</v>
      </c>
      <c r="P160" s="345">
        <v>30724</v>
      </c>
      <c r="Q160" s="232"/>
      <c r="R160" s="345">
        <v>545849</v>
      </c>
      <c r="S160" s="345">
        <v>-8662</v>
      </c>
      <c r="T160" s="345">
        <v>537187</v>
      </c>
    </row>
    <row r="161" spans="1:20" s="361" customFormat="1">
      <c r="A161" s="351">
        <v>91213</v>
      </c>
      <c r="B161" s="344" t="s">
        <v>853</v>
      </c>
      <c r="C161" s="235">
        <v>2.9200000000000002E-5</v>
      </c>
      <c r="D161" s="235">
        <v>2.4700000000000001E-5</v>
      </c>
      <c r="E161" s="345">
        <v>79743</v>
      </c>
      <c r="F161" s="232"/>
      <c r="G161" s="345">
        <v>13654</v>
      </c>
      <c r="H161" s="345">
        <v>1945</v>
      </c>
      <c r="I161" s="345">
        <v>12997</v>
      </c>
      <c r="J161" s="345">
        <v>2582</v>
      </c>
      <c r="K161" s="345">
        <v>31178</v>
      </c>
      <c r="L161" s="232"/>
      <c r="M161" s="345">
        <v>0</v>
      </c>
      <c r="N161" s="345">
        <v>0</v>
      </c>
      <c r="O161" s="345">
        <v>7181</v>
      </c>
      <c r="P161" s="345">
        <v>7181</v>
      </c>
      <c r="Q161" s="232"/>
      <c r="R161" s="345">
        <v>35522</v>
      </c>
      <c r="S161" s="345">
        <v>-3069</v>
      </c>
      <c r="T161" s="345">
        <v>32453</v>
      </c>
    </row>
    <row r="162" spans="1:20">
      <c r="A162" s="351">
        <v>91214</v>
      </c>
      <c r="B162" s="344" t="s">
        <v>854</v>
      </c>
      <c r="C162" s="235">
        <v>3.5800000000000003E-5</v>
      </c>
      <c r="D162" s="235">
        <v>3.0499999999999999E-5</v>
      </c>
      <c r="E162" s="345">
        <v>97767</v>
      </c>
      <c r="F162" s="232"/>
      <c r="G162" s="345">
        <v>16740</v>
      </c>
      <c r="H162" s="345">
        <v>2385</v>
      </c>
      <c r="I162" s="345">
        <v>15934</v>
      </c>
      <c r="J162" s="345">
        <v>616</v>
      </c>
      <c r="K162" s="345">
        <v>35675</v>
      </c>
      <c r="L162" s="232"/>
      <c r="M162" s="345">
        <v>0</v>
      </c>
      <c r="N162" s="345">
        <v>0</v>
      </c>
      <c r="O162" s="345">
        <v>2786</v>
      </c>
      <c r="P162" s="345">
        <v>2786</v>
      </c>
      <c r="Q162" s="232"/>
      <c r="R162" s="345">
        <v>43551</v>
      </c>
      <c r="S162" s="345">
        <v>-780</v>
      </c>
      <c r="T162" s="345">
        <v>42771</v>
      </c>
    </row>
    <row r="163" spans="1:20">
      <c r="A163" s="351">
        <v>91217</v>
      </c>
      <c r="B163" s="344" t="s">
        <v>855</v>
      </c>
      <c r="C163" s="235">
        <v>2.0400000000000001E-5</v>
      </c>
      <c r="D163" s="235">
        <v>1.77E-5</v>
      </c>
      <c r="E163" s="345">
        <v>55711</v>
      </c>
      <c r="F163" s="232"/>
      <c r="G163" s="345">
        <v>9539</v>
      </c>
      <c r="H163" s="345">
        <v>1359</v>
      </c>
      <c r="I163" s="345">
        <v>9080</v>
      </c>
      <c r="J163" s="345">
        <v>10923</v>
      </c>
      <c r="K163" s="345">
        <v>30901</v>
      </c>
      <c r="L163" s="232"/>
      <c r="M163" s="345">
        <v>0</v>
      </c>
      <c r="N163" s="345">
        <v>0</v>
      </c>
      <c r="O163" s="345">
        <v>2432</v>
      </c>
      <c r="P163" s="345">
        <v>2432</v>
      </c>
      <c r="Q163" s="232"/>
      <c r="R163" s="345">
        <v>24817</v>
      </c>
      <c r="S163" s="345">
        <v>4556</v>
      </c>
      <c r="T163" s="345">
        <v>29373</v>
      </c>
    </row>
    <row r="164" spans="1:20">
      <c r="A164" s="351">
        <v>91221</v>
      </c>
      <c r="B164" s="344" t="s">
        <v>856</v>
      </c>
      <c r="C164" s="235">
        <v>1.099E-4</v>
      </c>
      <c r="D164" s="235">
        <v>1.2329999999999999E-4</v>
      </c>
      <c r="E164" s="345">
        <v>300128</v>
      </c>
      <c r="F164" s="232"/>
      <c r="G164" s="345">
        <v>51390</v>
      </c>
      <c r="H164" s="345">
        <v>7321</v>
      </c>
      <c r="I164" s="345">
        <v>48916</v>
      </c>
      <c r="J164" s="345">
        <v>654</v>
      </c>
      <c r="K164" s="345">
        <v>108281</v>
      </c>
      <c r="L164" s="232"/>
      <c r="M164" s="345">
        <v>0</v>
      </c>
      <c r="N164" s="345">
        <v>0</v>
      </c>
      <c r="O164" s="345">
        <v>20665</v>
      </c>
      <c r="P164" s="345">
        <v>20665</v>
      </c>
      <c r="Q164" s="232"/>
      <c r="R164" s="345">
        <v>133695</v>
      </c>
      <c r="S164" s="345">
        <v>-7573</v>
      </c>
      <c r="T164" s="345">
        <v>126122</v>
      </c>
    </row>
    <row r="165" spans="1:20">
      <c r="A165" s="351">
        <v>91231</v>
      </c>
      <c r="B165" s="344" t="s">
        <v>857</v>
      </c>
      <c r="C165" s="235">
        <v>1.8722999999999999E-3</v>
      </c>
      <c r="D165" s="235">
        <v>1.8527000000000001E-3</v>
      </c>
      <c r="E165" s="345">
        <v>5113105</v>
      </c>
      <c r="F165" s="232"/>
      <c r="G165" s="345">
        <v>875493</v>
      </c>
      <c r="H165" s="345">
        <v>124716</v>
      </c>
      <c r="I165" s="345">
        <v>833351</v>
      </c>
      <c r="J165" s="345">
        <v>18006</v>
      </c>
      <c r="K165" s="345">
        <v>1851566</v>
      </c>
      <c r="L165" s="232"/>
      <c r="M165" s="345">
        <v>0</v>
      </c>
      <c r="N165" s="345">
        <v>0</v>
      </c>
      <c r="O165" s="345">
        <v>66031</v>
      </c>
      <c r="P165" s="345">
        <v>66031</v>
      </c>
      <c r="Q165" s="232"/>
      <c r="R165" s="345">
        <v>2277677</v>
      </c>
      <c r="S165" s="345">
        <v>-42184</v>
      </c>
      <c r="T165" s="345">
        <v>2235493</v>
      </c>
    </row>
    <row r="166" spans="1:20">
      <c r="A166" s="351">
        <v>91233</v>
      </c>
      <c r="B166" s="344" t="s">
        <v>858</v>
      </c>
      <c r="C166" s="235">
        <v>6.1699999999999995E-5</v>
      </c>
      <c r="D166" s="235">
        <v>5.3499999999999999E-5</v>
      </c>
      <c r="E166" s="345">
        <v>168498</v>
      </c>
      <c r="F166" s="232"/>
      <c r="G166" s="345">
        <v>28851</v>
      </c>
      <c r="H166" s="345">
        <v>4110</v>
      </c>
      <c r="I166" s="345">
        <v>27462</v>
      </c>
      <c r="J166" s="345">
        <v>7267</v>
      </c>
      <c r="K166" s="345">
        <v>67690</v>
      </c>
      <c r="L166" s="232"/>
      <c r="M166" s="345">
        <v>0</v>
      </c>
      <c r="N166" s="345">
        <v>0</v>
      </c>
      <c r="O166" s="345">
        <v>4782</v>
      </c>
      <c r="P166" s="345">
        <v>4782</v>
      </c>
      <c r="Q166" s="232"/>
      <c r="R166" s="345">
        <v>75059</v>
      </c>
      <c r="S166" s="345">
        <v>2602</v>
      </c>
      <c r="T166" s="345">
        <v>77661</v>
      </c>
    </row>
    <row r="167" spans="1:20">
      <c r="A167" s="351">
        <v>91241</v>
      </c>
      <c r="B167" s="344" t="s">
        <v>859</v>
      </c>
      <c r="C167" s="235">
        <v>5.3499999999999999E-5</v>
      </c>
      <c r="D167" s="235">
        <v>4.3099999999999997E-5</v>
      </c>
      <c r="E167" s="345">
        <v>146104</v>
      </c>
      <c r="F167" s="232"/>
      <c r="G167" s="345">
        <v>25017</v>
      </c>
      <c r="H167" s="345">
        <v>3563</v>
      </c>
      <c r="I167" s="345">
        <v>23813</v>
      </c>
      <c r="J167" s="345">
        <v>10739</v>
      </c>
      <c r="K167" s="345">
        <v>63132</v>
      </c>
      <c r="L167" s="232"/>
      <c r="M167" s="345">
        <v>0</v>
      </c>
      <c r="N167" s="345">
        <v>0</v>
      </c>
      <c r="O167" s="345">
        <v>757</v>
      </c>
      <c r="P167" s="345">
        <v>757</v>
      </c>
      <c r="Q167" s="232"/>
      <c r="R167" s="345">
        <v>65083</v>
      </c>
      <c r="S167" s="345">
        <v>2335</v>
      </c>
      <c r="T167" s="345">
        <v>67418</v>
      </c>
    </row>
    <row r="168" spans="1:20">
      <c r="A168" s="351">
        <v>91251</v>
      </c>
      <c r="B168" s="344" t="s">
        <v>860</v>
      </c>
      <c r="C168" s="235">
        <v>2.0000000000000002E-5</v>
      </c>
      <c r="D168" s="235">
        <v>2.9499999999999999E-5</v>
      </c>
      <c r="E168" s="345">
        <v>54618</v>
      </c>
      <c r="F168" s="232"/>
      <c r="G168" s="345">
        <v>9352</v>
      </c>
      <c r="H168" s="345">
        <v>1333</v>
      </c>
      <c r="I168" s="345">
        <v>8902</v>
      </c>
      <c r="J168" s="345">
        <v>6811</v>
      </c>
      <c r="K168" s="345">
        <v>26398</v>
      </c>
      <c r="L168" s="232"/>
      <c r="M168" s="345">
        <v>0</v>
      </c>
      <c r="N168" s="345">
        <v>0</v>
      </c>
      <c r="O168" s="345">
        <v>8749</v>
      </c>
      <c r="P168" s="345">
        <v>8749</v>
      </c>
      <c r="Q168" s="232"/>
      <c r="R168" s="345">
        <v>24330</v>
      </c>
      <c r="S168" s="345">
        <v>-538</v>
      </c>
      <c r="T168" s="345">
        <v>23792</v>
      </c>
    </row>
    <row r="169" spans="1:20">
      <c r="A169" s="351">
        <v>91261</v>
      </c>
      <c r="B169" s="344" t="s">
        <v>861</v>
      </c>
      <c r="C169" s="235">
        <v>9.7000000000000003E-6</v>
      </c>
      <c r="D169" s="235">
        <v>1.06E-5</v>
      </c>
      <c r="E169" s="345">
        <v>26490</v>
      </c>
      <c r="F169" s="232"/>
      <c r="G169" s="345">
        <v>4536</v>
      </c>
      <c r="H169" s="345">
        <v>646</v>
      </c>
      <c r="I169" s="345">
        <v>4317</v>
      </c>
      <c r="J169" s="345">
        <v>369</v>
      </c>
      <c r="K169" s="345">
        <v>9868</v>
      </c>
      <c r="L169" s="232"/>
      <c r="M169" s="345">
        <v>0</v>
      </c>
      <c r="N169" s="345">
        <v>0</v>
      </c>
      <c r="O169" s="345">
        <v>1669</v>
      </c>
      <c r="P169" s="345">
        <v>1669</v>
      </c>
      <c r="Q169" s="232"/>
      <c r="R169" s="345">
        <v>11800</v>
      </c>
      <c r="S169" s="345">
        <v>153</v>
      </c>
      <c r="T169" s="345">
        <v>11953</v>
      </c>
    </row>
    <row r="170" spans="1:20">
      <c r="A170" s="351">
        <v>91301</v>
      </c>
      <c r="B170" s="344" t="s">
        <v>862</v>
      </c>
      <c r="C170" s="235">
        <v>7.9497999999999999E-3</v>
      </c>
      <c r="D170" s="235">
        <v>7.7812000000000003E-3</v>
      </c>
      <c r="E170" s="345">
        <v>21710284</v>
      </c>
      <c r="F170" s="232"/>
      <c r="G170" s="345">
        <v>3717350</v>
      </c>
      <c r="H170" s="345">
        <v>529544</v>
      </c>
      <c r="I170" s="345">
        <v>3538416</v>
      </c>
      <c r="J170" s="345">
        <v>36295</v>
      </c>
      <c r="K170" s="345">
        <v>7821605</v>
      </c>
      <c r="L170" s="232"/>
      <c r="M170" s="345">
        <v>0</v>
      </c>
      <c r="N170" s="345">
        <v>0</v>
      </c>
      <c r="O170" s="345">
        <v>128256</v>
      </c>
      <c r="P170" s="345">
        <v>128256</v>
      </c>
      <c r="Q170" s="232"/>
      <c r="R170" s="345">
        <v>9671035</v>
      </c>
      <c r="S170" s="345">
        <v>-81376</v>
      </c>
      <c r="T170" s="345">
        <v>9589659</v>
      </c>
    </row>
    <row r="171" spans="1:20">
      <c r="A171" s="351">
        <v>91302</v>
      </c>
      <c r="B171" s="344" t="s">
        <v>3658</v>
      </c>
      <c r="C171" s="235">
        <v>5.354E-4</v>
      </c>
      <c r="D171" s="235">
        <v>5.4440000000000001E-4</v>
      </c>
      <c r="E171" s="345">
        <v>1462136</v>
      </c>
      <c r="F171" s="232"/>
      <c r="G171" s="345">
        <v>250355</v>
      </c>
      <c r="H171" s="345">
        <v>35664</v>
      </c>
      <c r="I171" s="345">
        <v>238304</v>
      </c>
      <c r="J171" s="345">
        <v>990</v>
      </c>
      <c r="K171" s="345">
        <v>525313</v>
      </c>
      <c r="L171" s="232"/>
      <c r="M171" s="345">
        <v>0</v>
      </c>
      <c r="N171" s="345">
        <v>0</v>
      </c>
      <c r="O171" s="345">
        <v>50684</v>
      </c>
      <c r="P171" s="345">
        <v>50684</v>
      </c>
      <c r="Q171" s="232"/>
      <c r="R171" s="345">
        <v>651321</v>
      </c>
      <c r="S171" s="345">
        <v>-4776</v>
      </c>
      <c r="T171" s="345">
        <v>646545</v>
      </c>
    </row>
    <row r="172" spans="1:20">
      <c r="A172" s="351">
        <v>91306</v>
      </c>
      <c r="B172" s="344" t="s">
        <v>2781</v>
      </c>
      <c r="C172" s="235">
        <v>1.8244999999999999E-3</v>
      </c>
      <c r="D172" s="235">
        <v>1.8347000000000001E-3</v>
      </c>
      <c r="E172" s="345">
        <v>4982567</v>
      </c>
      <c r="F172" s="232"/>
      <c r="G172" s="345">
        <v>853142</v>
      </c>
      <c r="H172" s="345">
        <v>121531</v>
      </c>
      <c r="I172" s="345">
        <v>812076</v>
      </c>
      <c r="J172" s="345">
        <v>128481</v>
      </c>
      <c r="K172" s="345">
        <v>1915230</v>
      </c>
      <c r="L172" s="232"/>
      <c r="M172" s="345">
        <v>0</v>
      </c>
      <c r="N172" s="345">
        <v>0</v>
      </c>
      <c r="O172" s="345">
        <v>8842</v>
      </c>
      <c r="P172" s="345">
        <v>8842</v>
      </c>
      <c r="Q172" s="232"/>
      <c r="R172" s="345">
        <v>2219528</v>
      </c>
      <c r="S172" s="345">
        <v>72569</v>
      </c>
      <c r="T172" s="345">
        <v>2292097</v>
      </c>
    </row>
    <row r="173" spans="1:20">
      <c r="A173" s="351">
        <v>91308</v>
      </c>
      <c r="B173" s="344" t="s">
        <v>865</v>
      </c>
      <c r="C173" s="235">
        <v>1.7009999999999999E-4</v>
      </c>
      <c r="D173" s="235">
        <v>1.7149999999999999E-4</v>
      </c>
      <c r="E173" s="345">
        <v>464530</v>
      </c>
      <c r="F173" s="232"/>
      <c r="G173" s="345">
        <v>79539</v>
      </c>
      <c r="H173" s="345">
        <v>11330</v>
      </c>
      <c r="I173" s="345">
        <v>75711</v>
      </c>
      <c r="J173" s="345">
        <v>54</v>
      </c>
      <c r="K173" s="345">
        <v>166634</v>
      </c>
      <c r="L173" s="232"/>
      <c r="M173" s="345">
        <v>0</v>
      </c>
      <c r="N173" s="345">
        <v>0</v>
      </c>
      <c r="O173" s="345">
        <v>16458</v>
      </c>
      <c r="P173" s="345">
        <v>16458</v>
      </c>
      <c r="Q173" s="232"/>
      <c r="R173" s="345">
        <v>206929</v>
      </c>
      <c r="S173" s="345">
        <v>-7994</v>
      </c>
      <c r="T173" s="345">
        <v>198935</v>
      </c>
    </row>
    <row r="174" spans="1:20">
      <c r="A174" s="351">
        <v>91311</v>
      </c>
      <c r="B174" s="344" t="s">
        <v>866</v>
      </c>
      <c r="C174" s="235">
        <v>7.9030000000000003E-3</v>
      </c>
      <c r="D174" s="235">
        <v>7.7199E-3</v>
      </c>
      <c r="E174" s="345">
        <v>21582477</v>
      </c>
      <c r="F174" s="232"/>
      <c r="G174" s="345">
        <v>3695467</v>
      </c>
      <c r="H174" s="345">
        <v>526426</v>
      </c>
      <c r="I174" s="345">
        <v>3517586</v>
      </c>
      <c r="J174" s="345">
        <v>82171</v>
      </c>
      <c r="K174" s="345">
        <v>7821650</v>
      </c>
      <c r="L174" s="232"/>
      <c r="M174" s="345">
        <v>0</v>
      </c>
      <c r="N174" s="345">
        <v>0</v>
      </c>
      <c r="O174" s="345">
        <v>216662</v>
      </c>
      <c r="P174" s="345">
        <v>216662</v>
      </c>
      <c r="Q174" s="232"/>
      <c r="R174" s="345">
        <v>9614102</v>
      </c>
      <c r="S174" s="345">
        <v>-91910</v>
      </c>
      <c r="T174" s="345">
        <v>9522192</v>
      </c>
    </row>
    <row r="175" spans="1:20">
      <c r="A175" s="351">
        <v>91317</v>
      </c>
      <c r="B175" s="344" t="s">
        <v>867</v>
      </c>
      <c r="C175" s="235">
        <v>1.015E-4</v>
      </c>
      <c r="D175" s="235">
        <v>1.004E-4</v>
      </c>
      <c r="E175" s="345">
        <v>277189</v>
      </c>
      <c r="F175" s="232"/>
      <c r="G175" s="345">
        <v>47462</v>
      </c>
      <c r="H175" s="345">
        <v>6761</v>
      </c>
      <c r="I175" s="345">
        <v>45177</v>
      </c>
      <c r="J175" s="345">
        <v>18241</v>
      </c>
      <c r="K175" s="345">
        <v>117641</v>
      </c>
      <c r="L175" s="232"/>
      <c r="M175" s="345">
        <v>0</v>
      </c>
      <c r="N175" s="345">
        <v>0</v>
      </c>
      <c r="O175" s="345">
        <v>279</v>
      </c>
      <c r="P175" s="345">
        <v>279</v>
      </c>
      <c r="Q175" s="232"/>
      <c r="R175" s="345">
        <v>123476</v>
      </c>
      <c r="S175" s="345">
        <v>6895</v>
      </c>
      <c r="T175" s="345">
        <v>130371</v>
      </c>
    </row>
    <row r="176" spans="1:20">
      <c r="A176" s="351">
        <v>91321</v>
      </c>
      <c r="B176" s="344" t="s">
        <v>868</v>
      </c>
      <c r="C176" s="235">
        <v>5.3600000000000002E-5</v>
      </c>
      <c r="D176" s="235">
        <v>4.5899999999999998E-5</v>
      </c>
      <c r="E176" s="345">
        <v>146377</v>
      </c>
      <c r="F176" s="232"/>
      <c r="G176" s="345">
        <v>25064</v>
      </c>
      <c r="H176" s="345">
        <v>3570</v>
      </c>
      <c r="I176" s="345">
        <v>23857</v>
      </c>
      <c r="J176" s="345">
        <v>48416</v>
      </c>
      <c r="K176" s="345">
        <v>100907</v>
      </c>
      <c r="L176" s="232"/>
      <c r="M176" s="345">
        <v>0</v>
      </c>
      <c r="N176" s="345">
        <v>0</v>
      </c>
      <c r="O176" s="345">
        <v>0</v>
      </c>
      <c r="P176" s="345">
        <v>0</v>
      </c>
      <c r="Q176" s="232"/>
      <c r="R176" s="345">
        <v>65205</v>
      </c>
      <c r="S176" s="345">
        <v>14649</v>
      </c>
      <c r="T176" s="345">
        <v>79854</v>
      </c>
    </row>
    <row r="177" spans="1:20">
      <c r="A177" s="351">
        <v>91327</v>
      </c>
      <c r="B177" s="344" t="s">
        <v>3505</v>
      </c>
      <c r="C177" s="235">
        <v>1.0900000000000001E-5</v>
      </c>
      <c r="D177" s="235">
        <v>7.7000000000000008E-6</v>
      </c>
      <c r="E177" s="345">
        <v>29767</v>
      </c>
      <c r="F177" s="232"/>
      <c r="G177" s="345">
        <v>5097</v>
      </c>
      <c r="H177" s="345">
        <v>726</v>
      </c>
      <c r="I177" s="345">
        <v>4852</v>
      </c>
      <c r="J177" s="345">
        <v>3160</v>
      </c>
      <c r="K177" s="345">
        <v>13835</v>
      </c>
      <c r="L177" s="232"/>
      <c r="M177" s="345">
        <v>0</v>
      </c>
      <c r="N177" s="345">
        <v>0</v>
      </c>
      <c r="O177" s="345">
        <v>553</v>
      </c>
      <c r="P177" s="345">
        <v>553</v>
      </c>
      <c r="Q177" s="232"/>
      <c r="R177" s="345">
        <v>13260</v>
      </c>
      <c r="S177" s="345">
        <v>331</v>
      </c>
      <c r="T177" s="345">
        <v>13591</v>
      </c>
    </row>
    <row r="178" spans="1:20">
      <c r="A178" s="351">
        <v>91331</v>
      </c>
      <c r="B178" s="344" t="s">
        <v>870</v>
      </c>
      <c r="C178" s="235">
        <v>2.9286E-3</v>
      </c>
      <c r="D178" s="235">
        <v>3.0000000000000001E-3</v>
      </c>
      <c r="E178" s="345">
        <v>7997778</v>
      </c>
      <c r="F178" s="232"/>
      <c r="G178" s="345">
        <v>1369422</v>
      </c>
      <c r="H178" s="345">
        <v>195077</v>
      </c>
      <c r="I178" s="345">
        <v>1303505</v>
      </c>
      <c r="J178" s="345">
        <v>0</v>
      </c>
      <c r="K178" s="345">
        <v>2868004</v>
      </c>
      <c r="L178" s="232"/>
      <c r="M178" s="345">
        <v>0</v>
      </c>
      <c r="N178" s="345">
        <v>0</v>
      </c>
      <c r="O178" s="345">
        <v>337473</v>
      </c>
      <c r="P178" s="345">
        <v>337473</v>
      </c>
      <c r="Q178" s="232"/>
      <c r="R178" s="345">
        <v>3562680</v>
      </c>
      <c r="S178" s="345">
        <v>-173864</v>
      </c>
      <c r="T178" s="345">
        <v>3388816</v>
      </c>
    </row>
    <row r="179" spans="1:20">
      <c r="A179" s="351">
        <v>91341</v>
      </c>
      <c r="B179" s="344" t="s">
        <v>871</v>
      </c>
      <c r="C179" s="235">
        <v>3.79E-5</v>
      </c>
      <c r="D179" s="235">
        <v>2.44E-5</v>
      </c>
      <c r="E179" s="345">
        <v>103502</v>
      </c>
      <c r="F179" s="232"/>
      <c r="G179" s="345">
        <v>17722</v>
      </c>
      <c r="H179" s="345">
        <v>2524</v>
      </c>
      <c r="I179" s="345">
        <v>16869</v>
      </c>
      <c r="J179" s="345">
        <v>12871</v>
      </c>
      <c r="K179" s="345">
        <v>49986</v>
      </c>
      <c r="L179" s="232"/>
      <c r="M179" s="345">
        <v>0</v>
      </c>
      <c r="N179" s="345">
        <v>0</v>
      </c>
      <c r="O179" s="345">
        <v>529</v>
      </c>
      <c r="P179" s="345">
        <v>529</v>
      </c>
      <c r="Q179" s="232"/>
      <c r="R179" s="345">
        <v>46106</v>
      </c>
      <c r="S179" s="345">
        <v>3405</v>
      </c>
      <c r="T179" s="345">
        <v>49511</v>
      </c>
    </row>
    <row r="180" spans="1:20">
      <c r="A180" s="351">
        <v>91401</v>
      </c>
      <c r="B180" s="344" t="s">
        <v>872</v>
      </c>
      <c r="C180" s="235">
        <v>3.3915999999999998E-3</v>
      </c>
      <c r="D180" s="235">
        <v>3.5492000000000002E-3</v>
      </c>
      <c r="E180" s="345">
        <v>9262195</v>
      </c>
      <c r="F180" s="232"/>
      <c r="G180" s="345">
        <v>1585922</v>
      </c>
      <c r="H180" s="345">
        <v>225917</v>
      </c>
      <c r="I180" s="345">
        <v>1509584</v>
      </c>
      <c r="J180" s="345">
        <v>0</v>
      </c>
      <c r="K180" s="345">
        <v>3321423</v>
      </c>
      <c r="L180" s="232"/>
      <c r="M180" s="345">
        <v>0</v>
      </c>
      <c r="N180" s="345">
        <v>0</v>
      </c>
      <c r="O180" s="345">
        <v>224703</v>
      </c>
      <c r="P180" s="345">
        <v>224703</v>
      </c>
      <c r="Q180" s="232"/>
      <c r="R180" s="345">
        <v>4125925</v>
      </c>
      <c r="S180" s="345">
        <v>-76492</v>
      </c>
      <c r="T180" s="345">
        <v>4049433</v>
      </c>
    </row>
    <row r="181" spans="1:20">
      <c r="A181" s="351">
        <v>91411</v>
      </c>
      <c r="B181" s="344" t="s">
        <v>873</v>
      </c>
      <c r="C181" s="235">
        <v>3.9639999999999999E-4</v>
      </c>
      <c r="D181" s="235">
        <v>3.8479999999999997E-4</v>
      </c>
      <c r="E181" s="345">
        <v>1082537</v>
      </c>
      <c r="F181" s="232"/>
      <c r="G181" s="345">
        <v>185358</v>
      </c>
      <c r="H181" s="345">
        <v>26404</v>
      </c>
      <c r="I181" s="345">
        <v>176436</v>
      </c>
      <c r="J181" s="345">
        <v>12845</v>
      </c>
      <c r="K181" s="345">
        <v>401043</v>
      </c>
      <c r="L181" s="232"/>
      <c r="M181" s="345">
        <v>0</v>
      </c>
      <c r="N181" s="345">
        <v>0</v>
      </c>
      <c r="O181" s="345">
        <v>0</v>
      </c>
      <c r="P181" s="345">
        <v>0</v>
      </c>
      <c r="Q181" s="232"/>
      <c r="R181" s="345">
        <v>482226</v>
      </c>
      <c r="S181" s="345">
        <v>9667</v>
      </c>
      <c r="T181" s="345">
        <v>491893</v>
      </c>
    </row>
    <row r="182" spans="1:20">
      <c r="A182" s="351">
        <v>91417</v>
      </c>
      <c r="B182" s="344" t="s">
        <v>874</v>
      </c>
      <c r="C182" s="235">
        <v>7.3000000000000004E-6</v>
      </c>
      <c r="D182" s="235">
        <v>8.3999999999999992E-6</v>
      </c>
      <c r="E182" s="345">
        <v>19936</v>
      </c>
      <c r="F182" s="232"/>
      <c r="G182" s="345">
        <v>3414</v>
      </c>
      <c r="H182" s="345">
        <v>486</v>
      </c>
      <c r="I182" s="345">
        <v>3249</v>
      </c>
      <c r="J182" s="345">
        <v>1474</v>
      </c>
      <c r="K182" s="345">
        <v>8623</v>
      </c>
      <c r="L182" s="232"/>
      <c r="M182" s="345">
        <v>0</v>
      </c>
      <c r="N182" s="345">
        <v>0</v>
      </c>
      <c r="O182" s="345">
        <v>0</v>
      </c>
      <c r="P182" s="345">
        <v>0</v>
      </c>
      <c r="Q182" s="232"/>
      <c r="R182" s="345">
        <v>8881</v>
      </c>
      <c r="S182" s="345">
        <v>644</v>
      </c>
      <c r="T182" s="345">
        <v>9525</v>
      </c>
    </row>
    <row r="183" spans="1:20">
      <c r="A183" s="351">
        <v>91421</v>
      </c>
      <c r="B183" s="344" t="s">
        <v>875</v>
      </c>
      <c r="C183" s="235">
        <v>6.69E-5</v>
      </c>
      <c r="D183" s="235">
        <v>7.2299999999999996E-5</v>
      </c>
      <c r="E183" s="345">
        <v>182699</v>
      </c>
      <c r="F183" s="232"/>
      <c r="G183" s="345">
        <v>31283</v>
      </c>
      <c r="H183" s="345">
        <v>4456</v>
      </c>
      <c r="I183" s="345">
        <v>29777</v>
      </c>
      <c r="J183" s="345">
        <v>5107</v>
      </c>
      <c r="K183" s="345">
        <v>70623</v>
      </c>
      <c r="L183" s="232"/>
      <c r="M183" s="345">
        <v>0</v>
      </c>
      <c r="N183" s="345">
        <v>0</v>
      </c>
      <c r="O183" s="345">
        <v>644</v>
      </c>
      <c r="P183" s="345">
        <v>644</v>
      </c>
      <c r="Q183" s="232"/>
      <c r="R183" s="345">
        <v>81385</v>
      </c>
      <c r="S183" s="345">
        <v>414</v>
      </c>
      <c r="T183" s="345">
        <v>81799</v>
      </c>
    </row>
    <row r="184" spans="1:20">
      <c r="A184" s="351">
        <v>91423</v>
      </c>
      <c r="B184" s="344" t="s">
        <v>876</v>
      </c>
      <c r="C184" s="235">
        <v>5.2899999999999998E-5</v>
      </c>
      <c r="D184" s="235">
        <v>4.88E-5</v>
      </c>
      <c r="E184" s="345">
        <v>144466</v>
      </c>
      <c r="F184" s="232"/>
      <c r="G184" s="345">
        <v>24736</v>
      </c>
      <c r="H184" s="345">
        <v>3524</v>
      </c>
      <c r="I184" s="345">
        <v>23546</v>
      </c>
      <c r="J184" s="345">
        <v>4469</v>
      </c>
      <c r="K184" s="345">
        <v>56275</v>
      </c>
      <c r="L184" s="232"/>
      <c r="M184" s="345">
        <v>0</v>
      </c>
      <c r="N184" s="345">
        <v>0</v>
      </c>
      <c r="O184" s="345">
        <v>5138</v>
      </c>
      <c r="P184" s="345">
        <v>5138</v>
      </c>
      <c r="Q184" s="232"/>
      <c r="R184" s="345">
        <v>64354</v>
      </c>
      <c r="S184" s="345">
        <v>3157</v>
      </c>
      <c r="T184" s="345">
        <v>67511</v>
      </c>
    </row>
    <row r="185" spans="1:20">
      <c r="A185" s="351">
        <v>91431</v>
      </c>
      <c r="B185" s="344" t="s">
        <v>877</v>
      </c>
      <c r="C185" s="235">
        <v>1.819E-4</v>
      </c>
      <c r="D185" s="235">
        <v>1.6229999999999999E-4</v>
      </c>
      <c r="E185" s="345">
        <v>496755</v>
      </c>
      <c r="F185" s="232"/>
      <c r="G185" s="345">
        <v>85057</v>
      </c>
      <c r="H185" s="345">
        <v>12117</v>
      </c>
      <c r="I185" s="345">
        <v>80963</v>
      </c>
      <c r="J185" s="345">
        <v>35128</v>
      </c>
      <c r="K185" s="345">
        <v>213265</v>
      </c>
      <c r="L185" s="232"/>
      <c r="M185" s="345">
        <v>0</v>
      </c>
      <c r="N185" s="345">
        <v>0</v>
      </c>
      <c r="O185" s="345">
        <v>478</v>
      </c>
      <c r="P185" s="345">
        <v>478</v>
      </c>
      <c r="Q185" s="232"/>
      <c r="R185" s="345">
        <v>221284</v>
      </c>
      <c r="S185" s="345">
        <v>11541</v>
      </c>
      <c r="T185" s="345">
        <v>232825</v>
      </c>
    </row>
    <row r="186" spans="1:20">
      <c r="A186" s="351">
        <v>91441</v>
      </c>
      <c r="B186" s="344" t="s">
        <v>878</v>
      </c>
      <c r="C186" s="235">
        <v>9.8020000000000008E-4</v>
      </c>
      <c r="D186" s="235">
        <v>9.4680000000000003E-4</v>
      </c>
      <c r="E186" s="345">
        <v>2676850</v>
      </c>
      <c r="F186" s="232"/>
      <c r="G186" s="345">
        <v>458344</v>
      </c>
      <c r="H186" s="345">
        <v>65292</v>
      </c>
      <c r="I186" s="345">
        <v>436282</v>
      </c>
      <c r="J186" s="345">
        <v>23476</v>
      </c>
      <c r="K186" s="345">
        <v>983394</v>
      </c>
      <c r="L186" s="232"/>
      <c r="M186" s="345">
        <v>0</v>
      </c>
      <c r="N186" s="345">
        <v>0</v>
      </c>
      <c r="O186" s="345">
        <v>162075</v>
      </c>
      <c r="P186" s="345">
        <v>162075</v>
      </c>
      <c r="Q186" s="232"/>
      <c r="R186" s="345">
        <v>1192426</v>
      </c>
      <c r="S186" s="345">
        <v>-63420</v>
      </c>
      <c r="T186" s="345">
        <v>1129006</v>
      </c>
    </row>
    <row r="187" spans="1:20">
      <c r="A187" s="351">
        <v>91451</v>
      </c>
      <c r="B187" s="344" t="s">
        <v>879</v>
      </c>
      <c r="C187" s="235">
        <v>1.5533999999999999E-3</v>
      </c>
      <c r="D187" s="235">
        <v>1.4832000000000001E-3</v>
      </c>
      <c r="E187" s="345">
        <v>4242214</v>
      </c>
      <c r="F187" s="232"/>
      <c r="G187" s="345">
        <v>726375</v>
      </c>
      <c r="H187" s="345">
        <v>103474</v>
      </c>
      <c r="I187" s="345">
        <v>691411</v>
      </c>
      <c r="J187" s="345">
        <v>33074</v>
      </c>
      <c r="K187" s="345">
        <v>1554334</v>
      </c>
      <c r="L187" s="232"/>
      <c r="M187" s="345">
        <v>0</v>
      </c>
      <c r="N187" s="345">
        <v>0</v>
      </c>
      <c r="O187" s="345">
        <v>57246</v>
      </c>
      <c r="P187" s="345">
        <v>57246</v>
      </c>
      <c r="Q187" s="232"/>
      <c r="R187" s="345">
        <v>1889731</v>
      </c>
      <c r="S187" s="345">
        <v>-49758</v>
      </c>
      <c r="T187" s="345">
        <v>1839973</v>
      </c>
    </row>
    <row r="188" spans="1:20">
      <c r="A188" s="351">
        <v>91457</v>
      </c>
      <c r="B188" s="344" t="s">
        <v>3659</v>
      </c>
      <c r="C188" s="235">
        <v>1.5500000000000001E-5</v>
      </c>
      <c r="D188" s="235">
        <v>2.2099999999999998E-5</v>
      </c>
      <c r="E188" s="345">
        <v>42329</v>
      </c>
      <c r="F188" s="232"/>
      <c r="G188" s="345">
        <v>7248</v>
      </c>
      <c r="H188" s="345">
        <v>1033</v>
      </c>
      <c r="I188" s="345">
        <v>6899</v>
      </c>
      <c r="J188" s="345">
        <v>33737</v>
      </c>
      <c r="K188" s="345">
        <v>48917</v>
      </c>
      <c r="L188" s="232"/>
      <c r="M188" s="345">
        <v>0</v>
      </c>
      <c r="N188" s="345">
        <v>0</v>
      </c>
      <c r="O188" s="345">
        <v>0</v>
      </c>
      <c r="P188" s="345">
        <v>0</v>
      </c>
      <c r="Q188" s="232"/>
      <c r="R188" s="345">
        <v>18856</v>
      </c>
      <c r="S188" s="345">
        <v>16875</v>
      </c>
      <c r="T188" s="345">
        <v>35731</v>
      </c>
    </row>
    <row r="189" spans="1:20">
      <c r="A189" s="351">
        <v>91461</v>
      </c>
      <c r="B189" s="344" t="s">
        <v>881</v>
      </c>
      <c r="C189" s="235">
        <v>9.5000000000000005E-6</v>
      </c>
      <c r="D189" s="235">
        <v>9.5999999999999996E-6</v>
      </c>
      <c r="E189" s="345">
        <v>25944</v>
      </c>
      <c r="F189" s="232"/>
      <c r="G189" s="345">
        <v>4442</v>
      </c>
      <c r="H189" s="345">
        <v>633</v>
      </c>
      <c r="I189" s="345">
        <v>4228</v>
      </c>
      <c r="J189" s="345">
        <v>123</v>
      </c>
      <c r="K189" s="345">
        <v>9426</v>
      </c>
      <c r="L189" s="232"/>
      <c r="M189" s="345">
        <v>0</v>
      </c>
      <c r="N189" s="345">
        <v>0</v>
      </c>
      <c r="O189" s="345">
        <v>2588</v>
      </c>
      <c r="P189" s="345">
        <v>2588</v>
      </c>
      <c r="Q189" s="232"/>
      <c r="R189" s="345">
        <v>11557</v>
      </c>
      <c r="S189" s="345">
        <v>32</v>
      </c>
      <c r="T189" s="345">
        <v>11589</v>
      </c>
    </row>
    <row r="190" spans="1:20">
      <c r="A190" s="351">
        <v>91501</v>
      </c>
      <c r="B190" s="344" t="s">
        <v>882</v>
      </c>
      <c r="C190" s="235">
        <v>5.1179999999999997E-4</v>
      </c>
      <c r="D190" s="235">
        <v>4.6460000000000002E-4</v>
      </c>
      <c r="E190" s="345">
        <v>1397686</v>
      </c>
      <c r="F190" s="232"/>
      <c r="G190" s="345">
        <v>239319</v>
      </c>
      <c r="H190" s="345">
        <v>34092</v>
      </c>
      <c r="I190" s="345">
        <v>227800</v>
      </c>
      <c r="J190" s="345">
        <v>32151</v>
      </c>
      <c r="K190" s="345">
        <v>533362</v>
      </c>
      <c r="L190" s="232"/>
      <c r="M190" s="345">
        <v>0</v>
      </c>
      <c r="N190" s="345">
        <v>0</v>
      </c>
      <c r="O190" s="345">
        <v>15090</v>
      </c>
      <c r="P190" s="345">
        <v>15090</v>
      </c>
      <c r="Q190" s="232"/>
      <c r="R190" s="345">
        <v>622611</v>
      </c>
      <c r="S190" s="345">
        <v>6590</v>
      </c>
      <c r="T190" s="345">
        <v>629201</v>
      </c>
    </row>
    <row r="191" spans="1:20">
      <c r="A191" s="351">
        <v>91504</v>
      </c>
      <c r="B191" s="344" t="s">
        <v>883</v>
      </c>
      <c r="C191" s="235">
        <v>8.3999999999999992E-6</v>
      </c>
      <c r="D191" s="235">
        <v>9.7999999999999993E-6</v>
      </c>
      <c r="E191" s="345">
        <v>22940</v>
      </c>
      <c r="F191" s="232"/>
      <c r="G191" s="345">
        <v>3928</v>
      </c>
      <c r="H191" s="345">
        <v>559</v>
      </c>
      <c r="I191" s="345">
        <v>3739</v>
      </c>
      <c r="J191" s="345">
        <v>3458</v>
      </c>
      <c r="K191" s="345">
        <v>11684</v>
      </c>
      <c r="L191" s="232"/>
      <c r="M191" s="345">
        <v>0</v>
      </c>
      <c r="N191" s="345">
        <v>0</v>
      </c>
      <c r="O191" s="345">
        <v>0</v>
      </c>
      <c r="P191" s="345">
        <v>0</v>
      </c>
      <c r="Q191" s="232"/>
      <c r="R191" s="345">
        <v>10219</v>
      </c>
      <c r="S191" s="345">
        <v>2720</v>
      </c>
      <c r="T191" s="345">
        <v>12939</v>
      </c>
    </row>
    <row r="192" spans="1:20">
      <c r="A192" s="351">
        <v>91601</v>
      </c>
      <c r="B192" s="344" t="s">
        <v>884</v>
      </c>
      <c r="C192" s="235">
        <v>3.0071E-3</v>
      </c>
      <c r="D192" s="235">
        <v>2.7648E-3</v>
      </c>
      <c r="E192" s="345">
        <v>8212156</v>
      </c>
      <c r="F192" s="232"/>
      <c r="G192" s="345">
        <v>1406129</v>
      </c>
      <c r="H192" s="345">
        <v>200306</v>
      </c>
      <c r="I192" s="345">
        <v>1338445</v>
      </c>
      <c r="J192" s="345">
        <v>259180</v>
      </c>
      <c r="K192" s="345">
        <v>3204060</v>
      </c>
      <c r="L192" s="232"/>
      <c r="M192" s="345">
        <v>0</v>
      </c>
      <c r="N192" s="345">
        <v>0</v>
      </c>
      <c r="O192" s="345">
        <v>20183</v>
      </c>
      <c r="P192" s="345">
        <v>20183</v>
      </c>
      <c r="Q192" s="232"/>
      <c r="R192" s="345">
        <v>3658176</v>
      </c>
      <c r="S192" s="345">
        <v>98841</v>
      </c>
      <c r="T192" s="345">
        <v>3757017</v>
      </c>
    </row>
    <row r="193" spans="1:20">
      <c r="A193" s="351">
        <v>91604</v>
      </c>
      <c r="B193" s="344" t="s">
        <v>885</v>
      </c>
      <c r="C193" s="235">
        <v>8.5599999999999994E-5</v>
      </c>
      <c r="D193" s="235">
        <v>8.5000000000000006E-5</v>
      </c>
      <c r="E193" s="345">
        <v>233767</v>
      </c>
      <c r="F193" s="232"/>
      <c r="G193" s="345">
        <v>40027</v>
      </c>
      <c r="H193" s="345">
        <v>5701</v>
      </c>
      <c r="I193" s="345">
        <v>38100</v>
      </c>
      <c r="J193" s="345">
        <v>26874</v>
      </c>
      <c r="K193" s="345">
        <v>110702</v>
      </c>
      <c r="L193" s="232"/>
      <c r="M193" s="345">
        <v>0</v>
      </c>
      <c r="N193" s="345">
        <v>0</v>
      </c>
      <c r="O193" s="345">
        <v>0</v>
      </c>
      <c r="P193" s="345">
        <v>0</v>
      </c>
      <c r="Q193" s="232"/>
      <c r="R193" s="345">
        <v>104134</v>
      </c>
      <c r="S193" s="345">
        <v>12119</v>
      </c>
      <c r="T193" s="345">
        <v>116253</v>
      </c>
    </row>
    <row r="194" spans="1:20" ht="30">
      <c r="A194" s="351">
        <v>91608</v>
      </c>
      <c r="B194" s="344" t="s">
        <v>886</v>
      </c>
      <c r="C194" s="235">
        <v>1.5420000000000001E-4</v>
      </c>
      <c r="D194" s="235">
        <v>1.5909999999999999E-4</v>
      </c>
      <c r="E194" s="345">
        <v>421108</v>
      </c>
      <c r="F194" s="232"/>
      <c r="G194" s="345">
        <v>72104</v>
      </c>
      <c r="H194" s="345">
        <v>10271</v>
      </c>
      <c r="I194" s="345">
        <v>68634</v>
      </c>
      <c r="J194" s="345">
        <v>779</v>
      </c>
      <c r="K194" s="345">
        <v>151788</v>
      </c>
      <c r="L194" s="232"/>
      <c r="M194" s="345">
        <v>0</v>
      </c>
      <c r="N194" s="345">
        <v>0</v>
      </c>
      <c r="O194" s="345">
        <v>37447</v>
      </c>
      <c r="P194" s="345">
        <v>37447</v>
      </c>
      <c r="Q194" s="232"/>
      <c r="R194" s="345">
        <v>187586</v>
      </c>
      <c r="S194" s="345">
        <v>-21503</v>
      </c>
      <c r="T194" s="345">
        <v>166083</v>
      </c>
    </row>
    <row r="195" spans="1:20">
      <c r="A195" s="351">
        <v>91611</v>
      </c>
      <c r="B195" s="344" t="s">
        <v>887</v>
      </c>
      <c r="C195" s="235">
        <v>1.4658E-3</v>
      </c>
      <c r="D195" s="235">
        <v>1.4744000000000001E-3</v>
      </c>
      <c r="E195" s="345">
        <v>4002985</v>
      </c>
      <c r="F195" s="232"/>
      <c r="G195" s="345">
        <v>685412</v>
      </c>
      <c r="H195" s="345">
        <v>97639</v>
      </c>
      <c r="I195" s="345">
        <v>652420</v>
      </c>
      <c r="J195" s="345">
        <v>0</v>
      </c>
      <c r="K195" s="345">
        <v>1435471</v>
      </c>
      <c r="L195" s="232"/>
      <c r="M195" s="345">
        <v>0</v>
      </c>
      <c r="N195" s="345">
        <v>0</v>
      </c>
      <c r="O195" s="345">
        <v>168711</v>
      </c>
      <c r="P195" s="345">
        <v>168711</v>
      </c>
      <c r="Q195" s="232"/>
      <c r="R195" s="345">
        <v>1783165</v>
      </c>
      <c r="S195" s="345">
        <v>-54413</v>
      </c>
      <c r="T195" s="345">
        <v>1728752</v>
      </c>
    </row>
    <row r="196" spans="1:20">
      <c r="A196" s="351">
        <v>91621</v>
      </c>
      <c r="B196" s="344" t="s">
        <v>888</v>
      </c>
      <c r="C196" s="235">
        <v>2.418E-4</v>
      </c>
      <c r="D196" s="235">
        <v>2.6800000000000001E-4</v>
      </c>
      <c r="E196" s="345">
        <v>660337</v>
      </c>
      <c r="F196" s="232"/>
      <c r="G196" s="345">
        <v>113066</v>
      </c>
      <c r="H196" s="345">
        <v>16107</v>
      </c>
      <c r="I196" s="345">
        <v>107624</v>
      </c>
      <c r="J196" s="345">
        <v>0</v>
      </c>
      <c r="K196" s="345">
        <v>236797</v>
      </c>
      <c r="L196" s="232"/>
      <c r="M196" s="345">
        <v>0</v>
      </c>
      <c r="N196" s="345">
        <v>0</v>
      </c>
      <c r="O196" s="345">
        <v>24050</v>
      </c>
      <c r="P196" s="345">
        <v>24050</v>
      </c>
      <c r="Q196" s="232"/>
      <c r="R196" s="345">
        <v>294153</v>
      </c>
      <c r="S196" s="345">
        <v>-1790</v>
      </c>
      <c r="T196" s="345">
        <v>292363</v>
      </c>
    </row>
    <row r="197" spans="1:20">
      <c r="A197" s="351">
        <v>91631</v>
      </c>
      <c r="B197" s="344" t="s">
        <v>889</v>
      </c>
      <c r="C197" s="235">
        <v>5.9349999999999995E-4</v>
      </c>
      <c r="D197" s="235">
        <v>5.509E-4</v>
      </c>
      <c r="E197" s="345">
        <v>1620802</v>
      </c>
      <c r="F197" s="232"/>
      <c r="G197" s="345">
        <v>277522</v>
      </c>
      <c r="H197" s="345">
        <v>39534</v>
      </c>
      <c r="I197" s="345">
        <v>264164</v>
      </c>
      <c r="J197" s="345">
        <v>12055</v>
      </c>
      <c r="K197" s="345">
        <v>593275</v>
      </c>
      <c r="L197" s="232"/>
      <c r="M197" s="345">
        <v>0</v>
      </c>
      <c r="N197" s="345">
        <v>0</v>
      </c>
      <c r="O197" s="345">
        <v>23175</v>
      </c>
      <c r="P197" s="345">
        <v>23175</v>
      </c>
      <c r="Q197" s="232"/>
      <c r="R197" s="345">
        <v>722000</v>
      </c>
      <c r="S197" s="345">
        <v>-13170</v>
      </c>
      <c r="T197" s="345">
        <v>708830</v>
      </c>
    </row>
    <row r="198" spans="1:20">
      <c r="A198" s="351">
        <v>91633</v>
      </c>
      <c r="B198" s="344" t="s">
        <v>2756</v>
      </c>
      <c r="C198" s="235">
        <v>3.15E-5</v>
      </c>
      <c r="D198" s="235">
        <v>1.8600000000000001E-5</v>
      </c>
      <c r="E198" s="345">
        <v>86024</v>
      </c>
      <c r="F198" s="232"/>
      <c r="G198" s="345">
        <v>14729</v>
      </c>
      <c r="H198" s="345">
        <v>2098</v>
      </c>
      <c r="I198" s="345">
        <v>14020</v>
      </c>
      <c r="J198" s="345">
        <v>9155</v>
      </c>
      <c r="K198" s="345">
        <v>40002</v>
      </c>
      <c r="L198" s="232"/>
      <c r="M198" s="345">
        <v>0</v>
      </c>
      <c r="N198" s="345">
        <v>0</v>
      </c>
      <c r="O198" s="345">
        <v>2815</v>
      </c>
      <c r="P198" s="345">
        <v>2815</v>
      </c>
      <c r="Q198" s="232"/>
      <c r="R198" s="345">
        <v>38320</v>
      </c>
      <c r="S198" s="345">
        <v>328</v>
      </c>
      <c r="T198" s="345">
        <v>38648</v>
      </c>
    </row>
    <row r="199" spans="1:20">
      <c r="A199" s="351">
        <v>91641</v>
      </c>
      <c r="B199" s="344" t="s">
        <v>891</v>
      </c>
      <c r="C199" s="235">
        <v>2.8519999999999999E-4</v>
      </c>
      <c r="D199" s="235">
        <v>2.652E-4</v>
      </c>
      <c r="E199" s="345">
        <v>778859</v>
      </c>
      <c r="F199" s="232"/>
      <c r="G199" s="345">
        <v>133360</v>
      </c>
      <c r="H199" s="345">
        <v>18997</v>
      </c>
      <c r="I199" s="345">
        <v>126941</v>
      </c>
      <c r="J199" s="345">
        <v>1596</v>
      </c>
      <c r="K199" s="345">
        <v>280894</v>
      </c>
      <c r="L199" s="232"/>
      <c r="M199" s="345">
        <v>0</v>
      </c>
      <c r="N199" s="345">
        <v>0</v>
      </c>
      <c r="O199" s="345">
        <v>44958</v>
      </c>
      <c r="P199" s="345">
        <v>44958</v>
      </c>
      <c r="Q199" s="232"/>
      <c r="R199" s="345">
        <v>346950</v>
      </c>
      <c r="S199" s="345">
        <v>-28778</v>
      </c>
      <c r="T199" s="345">
        <v>318172</v>
      </c>
    </row>
    <row r="200" spans="1:20">
      <c r="A200" s="351">
        <v>91651</v>
      </c>
      <c r="B200" s="344" t="s">
        <v>892</v>
      </c>
      <c r="C200" s="235">
        <v>5.4049999999999996E-4</v>
      </c>
      <c r="D200" s="235">
        <v>4.73E-4</v>
      </c>
      <c r="E200" s="345">
        <v>1476063</v>
      </c>
      <c r="F200" s="232"/>
      <c r="G200" s="345">
        <v>252739</v>
      </c>
      <c r="H200" s="345">
        <v>36003</v>
      </c>
      <c r="I200" s="345">
        <v>240574</v>
      </c>
      <c r="J200" s="345">
        <v>72033</v>
      </c>
      <c r="K200" s="345">
        <v>601349</v>
      </c>
      <c r="L200" s="232"/>
      <c r="M200" s="345">
        <v>0</v>
      </c>
      <c r="N200" s="345">
        <v>0</v>
      </c>
      <c r="O200" s="345">
        <v>8700</v>
      </c>
      <c r="P200" s="345">
        <v>8700</v>
      </c>
      <c r="Q200" s="232"/>
      <c r="R200" s="345">
        <v>657525</v>
      </c>
      <c r="S200" s="345">
        <v>10016</v>
      </c>
      <c r="T200" s="345">
        <v>667541</v>
      </c>
    </row>
    <row r="201" spans="1:20">
      <c r="A201" s="351">
        <v>91661</v>
      </c>
      <c r="B201" s="344" t="s">
        <v>893</v>
      </c>
      <c r="C201" s="235">
        <v>1.8760000000000001E-4</v>
      </c>
      <c r="D201" s="235">
        <v>1.8259999999999999E-4</v>
      </c>
      <c r="E201" s="345">
        <v>512321</v>
      </c>
      <c r="F201" s="232"/>
      <c r="G201" s="345">
        <v>87722</v>
      </c>
      <c r="H201" s="345">
        <v>12496</v>
      </c>
      <c r="I201" s="345">
        <v>83500</v>
      </c>
      <c r="J201" s="345">
        <v>0</v>
      </c>
      <c r="K201" s="345">
        <v>183718</v>
      </c>
      <c r="L201" s="232"/>
      <c r="M201" s="345">
        <v>0</v>
      </c>
      <c r="N201" s="345">
        <v>0</v>
      </c>
      <c r="O201" s="345">
        <v>33864</v>
      </c>
      <c r="P201" s="345">
        <v>33864</v>
      </c>
      <c r="Q201" s="232"/>
      <c r="R201" s="345">
        <v>228218</v>
      </c>
      <c r="S201" s="345">
        <v>-20283</v>
      </c>
      <c r="T201" s="345">
        <v>207935</v>
      </c>
    </row>
    <row r="202" spans="1:20">
      <c r="A202" s="351">
        <v>91671</v>
      </c>
      <c r="B202" s="344" t="s">
        <v>894</v>
      </c>
      <c r="C202" s="235">
        <v>1.076E-4</v>
      </c>
      <c r="D202" s="235">
        <v>1.132E-4</v>
      </c>
      <c r="E202" s="345">
        <v>293847</v>
      </c>
      <c r="F202" s="232"/>
      <c r="G202" s="345">
        <v>50314</v>
      </c>
      <c r="H202" s="345">
        <v>7168</v>
      </c>
      <c r="I202" s="345">
        <v>47892</v>
      </c>
      <c r="J202" s="345">
        <v>4956</v>
      </c>
      <c r="K202" s="345">
        <v>110330</v>
      </c>
      <c r="L202" s="232"/>
      <c r="M202" s="345">
        <v>0</v>
      </c>
      <c r="N202" s="345">
        <v>0</v>
      </c>
      <c r="O202" s="345">
        <v>13929</v>
      </c>
      <c r="P202" s="345">
        <v>13929</v>
      </c>
      <c r="Q202" s="232"/>
      <c r="R202" s="345">
        <v>130897</v>
      </c>
      <c r="S202" s="345">
        <v>2169</v>
      </c>
      <c r="T202" s="345">
        <v>133066</v>
      </c>
    </row>
    <row r="203" spans="1:20">
      <c r="A203" s="351">
        <v>91681</v>
      </c>
      <c r="B203" s="344" t="s">
        <v>895</v>
      </c>
      <c r="C203" s="235">
        <v>4.5909999999999999E-4</v>
      </c>
      <c r="D203" s="235">
        <v>4.6460000000000002E-4</v>
      </c>
      <c r="E203" s="345">
        <v>1253766</v>
      </c>
      <c r="F203" s="232"/>
      <c r="G203" s="345">
        <v>214677</v>
      </c>
      <c r="H203" s="345">
        <v>30581</v>
      </c>
      <c r="I203" s="345">
        <v>204343</v>
      </c>
      <c r="J203" s="345">
        <v>328837</v>
      </c>
      <c r="K203" s="345">
        <v>778438</v>
      </c>
      <c r="L203" s="232"/>
      <c r="M203" s="345">
        <v>0</v>
      </c>
      <c r="N203" s="345">
        <v>0</v>
      </c>
      <c r="O203" s="345">
        <v>0</v>
      </c>
      <c r="P203" s="345">
        <v>0</v>
      </c>
      <c r="Q203" s="232"/>
      <c r="R203" s="345">
        <v>558501</v>
      </c>
      <c r="S203" s="345">
        <v>155780</v>
      </c>
      <c r="T203" s="345">
        <v>714281</v>
      </c>
    </row>
    <row r="204" spans="1:20">
      <c r="A204" s="351">
        <v>91691</v>
      </c>
      <c r="B204" s="344" t="s">
        <v>896</v>
      </c>
      <c r="C204" s="235">
        <v>2.2900000000000001E-5</v>
      </c>
      <c r="D204" s="235">
        <v>2.26E-5</v>
      </c>
      <c r="E204" s="345">
        <v>62538</v>
      </c>
      <c r="F204" s="232"/>
      <c r="G204" s="345">
        <v>10708</v>
      </c>
      <c r="H204" s="345">
        <v>1526</v>
      </c>
      <c r="I204" s="345">
        <v>10193</v>
      </c>
      <c r="J204" s="345">
        <v>2558</v>
      </c>
      <c r="K204" s="345">
        <v>24985</v>
      </c>
      <c r="L204" s="232"/>
      <c r="M204" s="345">
        <v>0</v>
      </c>
      <c r="N204" s="345">
        <v>0</v>
      </c>
      <c r="O204" s="345">
        <v>802</v>
      </c>
      <c r="P204" s="345">
        <v>802</v>
      </c>
      <c r="Q204" s="232"/>
      <c r="R204" s="345">
        <v>27858</v>
      </c>
      <c r="S204" s="345">
        <v>524</v>
      </c>
      <c r="T204" s="345">
        <v>28382</v>
      </c>
    </row>
    <row r="205" spans="1:20">
      <c r="A205" s="351">
        <v>91701</v>
      </c>
      <c r="B205" s="344" t="s">
        <v>897</v>
      </c>
      <c r="C205" s="235">
        <v>1.1343E-3</v>
      </c>
      <c r="D205" s="235">
        <v>1.2348999999999999E-3</v>
      </c>
      <c r="E205" s="345">
        <v>3097685</v>
      </c>
      <c r="F205" s="232"/>
      <c r="G205" s="345">
        <v>530402</v>
      </c>
      <c r="H205" s="345">
        <v>75557</v>
      </c>
      <c r="I205" s="345">
        <v>504871</v>
      </c>
      <c r="J205" s="345">
        <v>44619</v>
      </c>
      <c r="K205" s="345">
        <v>1155449</v>
      </c>
      <c r="L205" s="232"/>
      <c r="M205" s="345">
        <v>0</v>
      </c>
      <c r="N205" s="345">
        <v>0</v>
      </c>
      <c r="O205" s="345">
        <v>128468</v>
      </c>
      <c r="P205" s="345">
        <v>128468</v>
      </c>
      <c r="Q205" s="232"/>
      <c r="R205" s="345">
        <v>1379891</v>
      </c>
      <c r="S205" s="345">
        <v>-8971</v>
      </c>
      <c r="T205" s="345">
        <v>1370920</v>
      </c>
    </row>
    <row r="206" spans="1:20">
      <c r="A206" s="351">
        <v>91704</v>
      </c>
      <c r="B206" s="344" t="s">
        <v>898</v>
      </c>
      <c r="C206" s="235">
        <v>1.7600000000000001E-5</v>
      </c>
      <c r="D206" s="235">
        <v>1.73E-5</v>
      </c>
      <c r="E206" s="345">
        <v>48064</v>
      </c>
      <c r="F206" s="232"/>
      <c r="G206" s="345">
        <v>8230</v>
      </c>
      <c r="H206" s="345">
        <v>1173</v>
      </c>
      <c r="I206" s="345">
        <v>7834</v>
      </c>
      <c r="J206" s="345">
        <v>715</v>
      </c>
      <c r="K206" s="345">
        <v>17952</v>
      </c>
      <c r="L206" s="232"/>
      <c r="M206" s="345">
        <v>0</v>
      </c>
      <c r="N206" s="345">
        <v>0</v>
      </c>
      <c r="O206" s="345">
        <v>0</v>
      </c>
      <c r="P206" s="345">
        <v>0</v>
      </c>
      <c r="Q206" s="232"/>
      <c r="R206" s="345">
        <v>21411</v>
      </c>
      <c r="S206" s="345">
        <v>568</v>
      </c>
      <c r="T206" s="345">
        <v>21979</v>
      </c>
    </row>
    <row r="207" spans="1:20" ht="30">
      <c r="A207" s="351">
        <v>91706</v>
      </c>
      <c r="B207" s="344" t="s">
        <v>3660</v>
      </c>
      <c r="C207" s="235">
        <v>2.543E-4</v>
      </c>
      <c r="D207" s="235">
        <v>2.2139999999999999E-4</v>
      </c>
      <c r="E207" s="345">
        <v>694473</v>
      </c>
      <c r="F207" s="232"/>
      <c r="G207" s="345">
        <v>118911</v>
      </c>
      <c r="H207" s="345">
        <v>16939</v>
      </c>
      <c r="I207" s="345">
        <v>113188</v>
      </c>
      <c r="J207" s="345">
        <v>57709</v>
      </c>
      <c r="K207" s="345">
        <v>306747</v>
      </c>
      <c r="L207" s="232"/>
      <c r="M207" s="345">
        <v>0</v>
      </c>
      <c r="N207" s="345">
        <v>0</v>
      </c>
      <c r="O207" s="345">
        <v>820</v>
      </c>
      <c r="P207" s="345">
        <v>820</v>
      </c>
      <c r="Q207" s="232"/>
      <c r="R207" s="345">
        <v>309359</v>
      </c>
      <c r="S207" s="345">
        <v>16678</v>
      </c>
      <c r="T207" s="345">
        <v>326037</v>
      </c>
    </row>
    <row r="208" spans="1:20">
      <c r="A208" s="351">
        <v>91719</v>
      </c>
      <c r="B208" s="344" t="s">
        <v>900</v>
      </c>
      <c r="C208" s="235">
        <v>5.6700000000000003E-5</v>
      </c>
      <c r="D208" s="235">
        <v>5.6799999999999998E-5</v>
      </c>
      <c r="E208" s="345">
        <v>154843</v>
      </c>
      <c r="F208" s="232"/>
      <c r="G208" s="345">
        <v>26513</v>
      </c>
      <c r="H208" s="345">
        <v>3776</v>
      </c>
      <c r="I208" s="345">
        <v>25237</v>
      </c>
      <c r="J208" s="345">
        <v>400</v>
      </c>
      <c r="K208" s="345">
        <v>55926</v>
      </c>
      <c r="L208" s="232"/>
      <c r="M208" s="345">
        <v>0</v>
      </c>
      <c r="N208" s="345">
        <v>0</v>
      </c>
      <c r="O208" s="345">
        <v>6742</v>
      </c>
      <c r="P208" s="345">
        <v>6742</v>
      </c>
      <c r="Q208" s="232"/>
      <c r="R208" s="345">
        <v>68976</v>
      </c>
      <c r="S208" s="345">
        <v>-8</v>
      </c>
      <c r="T208" s="345">
        <v>68968</v>
      </c>
    </row>
    <row r="209" spans="1:20">
      <c r="A209" s="351">
        <v>91801</v>
      </c>
      <c r="B209" s="344" t="s">
        <v>901</v>
      </c>
      <c r="C209" s="235">
        <v>7.5972000000000001E-3</v>
      </c>
      <c r="D209" s="235">
        <v>7.9632999999999995E-3</v>
      </c>
      <c r="E209" s="345">
        <v>20747361</v>
      </c>
      <c r="F209" s="232"/>
      <c r="G209" s="345">
        <v>3552474</v>
      </c>
      <c r="H209" s="345">
        <v>506057</v>
      </c>
      <c r="I209" s="345">
        <v>3381476</v>
      </c>
      <c r="J209" s="345">
        <v>0</v>
      </c>
      <c r="K209" s="345">
        <v>7440007</v>
      </c>
      <c r="L209" s="232"/>
      <c r="M209" s="345">
        <v>0</v>
      </c>
      <c r="N209" s="345">
        <v>0</v>
      </c>
      <c r="O209" s="345">
        <v>468580</v>
      </c>
      <c r="P209" s="345">
        <v>468580</v>
      </c>
      <c r="Q209" s="232"/>
      <c r="R209" s="345">
        <v>9242093</v>
      </c>
      <c r="S209" s="345">
        <v>-160612</v>
      </c>
      <c r="T209" s="345">
        <v>9081481</v>
      </c>
    </row>
    <row r="210" spans="1:20">
      <c r="A210" s="351">
        <v>91804</v>
      </c>
      <c r="B210" s="344" t="s">
        <v>902</v>
      </c>
      <c r="C210" s="235">
        <v>1.2459999999999999E-4</v>
      </c>
      <c r="D210" s="235">
        <v>1.4770000000000001E-4</v>
      </c>
      <c r="E210" s="345">
        <v>340273</v>
      </c>
      <c r="F210" s="232"/>
      <c r="G210" s="345">
        <v>58263</v>
      </c>
      <c r="H210" s="345">
        <v>8300</v>
      </c>
      <c r="I210" s="345">
        <v>55459</v>
      </c>
      <c r="J210" s="345">
        <v>54729</v>
      </c>
      <c r="K210" s="345">
        <v>176751</v>
      </c>
      <c r="L210" s="232"/>
      <c r="M210" s="345">
        <v>0</v>
      </c>
      <c r="N210" s="345">
        <v>0</v>
      </c>
      <c r="O210" s="345">
        <v>0</v>
      </c>
      <c r="P210" s="345">
        <v>0</v>
      </c>
      <c r="Q210" s="232"/>
      <c r="R210" s="345">
        <v>151578</v>
      </c>
      <c r="S210" s="345">
        <v>28815</v>
      </c>
      <c r="T210" s="345">
        <v>180393</v>
      </c>
    </row>
    <row r="211" spans="1:20">
      <c r="A211" s="351">
        <v>91811</v>
      </c>
      <c r="B211" s="344" t="s">
        <v>903</v>
      </c>
      <c r="C211" s="235">
        <v>4.2429E-3</v>
      </c>
      <c r="D211" s="235">
        <v>4.4413999999999999E-3</v>
      </c>
      <c r="E211" s="345">
        <v>11587029</v>
      </c>
      <c r="F211" s="232"/>
      <c r="G211" s="345">
        <v>1983993</v>
      </c>
      <c r="H211" s="345">
        <v>282624</v>
      </c>
      <c r="I211" s="345">
        <v>1888494</v>
      </c>
      <c r="J211" s="345">
        <v>0</v>
      </c>
      <c r="K211" s="345">
        <v>4155111</v>
      </c>
      <c r="L211" s="232"/>
      <c r="M211" s="345">
        <v>0</v>
      </c>
      <c r="N211" s="345">
        <v>0</v>
      </c>
      <c r="O211" s="345">
        <v>476711</v>
      </c>
      <c r="P211" s="345">
        <v>476711</v>
      </c>
      <c r="Q211" s="232"/>
      <c r="R211" s="345">
        <v>5161543</v>
      </c>
      <c r="S211" s="345">
        <v>-260791</v>
      </c>
      <c r="T211" s="345">
        <v>4900752</v>
      </c>
    </row>
    <row r="212" spans="1:20" ht="30">
      <c r="A212" s="351">
        <v>91812</v>
      </c>
      <c r="B212" s="344" t="s">
        <v>3661</v>
      </c>
      <c r="C212" s="235">
        <v>4.5599999999999997E-5</v>
      </c>
      <c r="D212" s="235">
        <v>5.3600000000000002E-5</v>
      </c>
      <c r="E212" s="345">
        <v>124530</v>
      </c>
      <c r="F212" s="232"/>
      <c r="G212" s="345">
        <v>21323</v>
      </c>
      <c r="H212" s="345">
        <v>3037</v>
      </c>
      <c r="I212" s="345">
        <v>20296</v>
      </c>
      <c r="J212" s="345">
        <v>4936</v>
      </c>
      <c r="K212" s="345">
        <v>49592</v>
      </c>
      <c r="L212" s="232"/>
      <c r="M212" s="345">
        <v>0</v>
      </c>
      <c r="N212" s="345">
        <v>0</v>
      </c>
      <c r="O212" s="345">
        <v>3846</v>
      </c>
      <c r="P212" s="345">
        <v>3846</v>
      </c>
      <c r="Q212" s="232"/>
      <c r="R212" s="345">
        <v>55473</v>
      </c>
      <c r="S212" s="345">
        <v>3554</v>
      </c>
      <c r="T212" s="345">
        <v>59027</v>
      </c>
    </row>
    <row r="213" spans="1:20">
      <c r="A213" s="351">
        <v>91813</v>
      </c>
      <c r="B213" s="344" t="s">
        <v>905</v>
      </c>
      <c r="C213" s="235">
        <v>7.1500000000000003E-5</v>
      </c>
      <c r="D213" s="235">
        <v>8.1299999999999997E-5</v>
      </c>
      <c r="E213" s="345">
        <v>195261</v>
      </c>
      <c r="F213" s="232"/>
      <c r="G213" s="345">
        <v>33434</v>
      </c>
      <c r="H213" s="345">
        <v>4763</v>
      </c>
      <c r="I213" s="345">
        <v>31824</v>
      </c>
      <c r="J213" s="345">
        <v>1216</v>
      </c>
      <c r="K213" s="345">
        <v>71237</v>
      </c>
      <c r="L213" s="232"/>
      <c r="M213" s="345">
        <v>0</v>
      </c>
      <c r="N213" s="345">
        <v>0</v>
      </c>
      <c r="O213" s="345">
        <v>13295</v>
      </c>
      <c r="P213" s="345">
        <v>13295</v>
      </c>
      <c r="Q213" s="232"/>
      <c r="R213" s="345">
        <v>86981</v>
      </c>
      <c r="S213" s="345">
        <v>-270</v>
      </c>
      <c r="T213" s="345">
        <v>86711</v>
      </c>
    </row>
    <row r="214" spans="1:20">
      <c r="A214" s="351">
        <v>91818</v>
      </c>
      <c r="B214" s="344" t="s">
        <v>2786</v>
      </c>
      <c r="C214" s="235">
        <v>4.0620000000000001E-4</v>
      </c>
      <c r="D214" s="235">
        <v>3.9429999999999999E-4</v>
      </c>
      <c r="E214" s="345">
        <v>1109301</v>
      </c>
      <c r="F214" s="232"/>
      <c r="G214" s="345">
        <v>189940</v>
      </c>
      <c r="H214" s="345">
        <v>27057</v>
      </c>
      <c r="I214" s="345">
        <v>180798</v>
      </c>
      <c r="J214" s="345">
        <v>342085</v>
      </c>
      <c r="K214" s="345">
        <v>739880</v>
      </c>
      <c r="L214" s="232"/>
      <c r="M214" s="345">
        <v>0</v>
      </c>
      <c r="N214" s="345">
        <v>0</v>
      </c>
      <c r="O214" s="345">
        <v>0</v>
      </c>
      <c r="P214" s="345">
        <v>0</v>
      </c>
      <c r="Q214" s="232"/>
      <c r="R214" s="345">
        <v>494148</v>
      </c>
      <c r="S214" s="345">
        <v>210448</v>
      </c>
      <c r="T214" s="345">
        <v>704596</v>
      </c>
    </row>
    <row r="215" spans="1:20">
      <c r="A215" s="351">
        <v>91819</v>
      </c>
      <c r="B215" s="344" t="s">
        <v>907</v>
      </c>
      <c r="C215" s="235">
        <v>3.1260000000000001E-4</v>
      </c>
      <c r="D215" s="235">
        <v>3.0469999999999998E-4</v>
      </c>
      <c r="E215" s="345">
        <v>853686</v>
      </c>
      <c r="F215" s="232"/>
      <c r="G215" s="345">
        <v>146173</v>
      </c>
      <c r="H215" s="345">
        <v>20822</v>
      </c>
      <c r="I215" s="345">
        <v>139137</v>
      </c>
      <c r="J215" s="345">
        <v>39076</v>
      </c>
      <c r="K215" s="345">
        <v>345208</v>
      </c>
      <c r="L215" s="232"/>
      <c r="M215" s="345">
        <v>0</v>
      </c>
      <c r="N215" s="345">
        <v>0</v>
      </c>
      <c r="O215" s="345">
        <v>1296</v>
      </c>
      <c r="P215" s="345">
        <v>1296</v>
      </c>
      <c r="Q215" s="232"/>
      <c r="R215" s="345">
        <v>380282</v>
      </c>
      <c r="S215" s="345">
        <v>8784</v>
      </c>
      <c r="T215" s="345">
        <v>389066</v>
      </c>
    </row>
    <row r="216" spans="1:20">
      <c r="A216" s="351">
        <v>91821</v>
      </c>
      <c r="B216" s="344" t="s">
        <v>908</v>
      </c>
      <c r="C216" s="235">
        <v>1.6750000000000001E-4</v>
      </c>
      <c r="D216" s="235">
        <v>1.671E-4</v>
      </c>
      <c r="E216" s="345">
        <v>457429</v>
      </c>
      <c r="F216" s="232"/>
      <c r="G216" s="345">
        <v>78324</v>
      </c>
      <c r="H216" s="345">
        <v>11157</v>
      </c>
      <c r="I216" s="345">
        <v>74553</v>
      </c>
      <c r="J216" s="345">
        <v>79</v>
      </c>
      <c r="K216" s="345">
        <v>164113</v>
      </c>
      <c r="L216" s="232"/>
      <c r="M216" s="345">
        <v>0</v>
      </c>
      <c r="N216" s="345">
        <v>0</v>
      </c>
      <c r="O216" s="345">
        <v>8924</v>
      </c>
      <c r="P216" s="345">
        <v>8924</v>
      </c>
      <c r="Q216" s="232"/>
      <c r="R216" s="345">
        <v>203766</v>
      </c>
      <c r="S216" s="345">
        <v>-2704</v>
      </c>
      <c r="T216" s="345">
        <v>201062</v>
      </c>
    </row>
    <row r="217" spans="1:20">
      <c r="A217" s="351">
        <v>91831</v>
      </c>
      <c r="B217" s="344" t="s">
        <v>909</v>
      </c>
      <c r="C217" s="235">
        <v>3.7990000000000002E-4</v>
      </c>
      <c r="D217" s="235">
        <v>3.7740000000000001E-4</v>
      </c>
      <c r="E217" s="345">
        <v>1037477</v>
      </c>
      <c r="F217" s="232"/>
      <c r="G217" s="345">
        <v>177642</v>
      </c>
      <c r="H217" s="345">
        <v>25306</v>
      </c>
      <c r="I217" s="345">
        <v>169092</v>
      </c>
      <c r="J217" s="345">
        <v>10362</v>
      </c>
      <c r="K217" s="345">
        <v>382402</v>
      </c>
      <c r="L217" s="232"/>
      <c r="M217" s="345">
        <v>0</v>
      </c>
      <c r="N217" s="345">
        <v>0</v>
      </c>
      <c r="O217" s="345">
        <v>7372</v>
      </c>
      <c r="P217" s="345">
        <v>7372</v>
      </c>
      <c r="Q217" s="232"/>
      <c r="R217" s="345">
        <v>462153</v>
      </c>
      <c r="S217" s="345">
        <v>2204</v>
      </c>
      <c r="T217" s="345">
        <v>464357</v>
      </c>
    </row>
    <row r="218" spans="1:20">
      <c r="A218" s="351">
        <v>91841</v>
      </c>
      <c r="B218" s="344" t="s">
        <v>910</v>
      </c>
      <c r="C218" s="235">
        <v>2.5090000000000003E-4</v>
      </c>
      <c r="D218" s="235">
        <v>2.6479999999999999E-4</v>
      </c>
      <c r="E218" s="345">
        <v>685188</v>
      </c>
      <c r="F218" s="232"/>
      <c r="G218" s="345">
        <v>117322</v>
      </c>
      <c r="H218" s="345">
        <v>16713</v>
      </c>
      <c r="I218" s="345">
        <v>111674</v>
      </c>
      <c r="J218" s="345">
        <v>4358</v>
      </c>
      <c r="K218" s="345">
        <v>250067</v>
      </c>
      <c r="L218" s="232"/>
      <c r="M218" s="345">
        <v>0</v>
      </c>
      <c r="N218" s="345">
        <v>0</v>
      </c>
      <c r="O218" s="345">
        <v>7918</v>
      </c>
      <c r="P218" s="345">
        <v>7918</v>
      </c>
      <c r="Q218" s="232"/>
      <c r="R218" s="345">
        <v>305223</v>
      </c>
      <c r="S218" s="345">
        <v>-4400</v>
      </c>
      <c r="T218" s="345">
        <v>300823</v>
      </c>
    </row>
    <row r="219" spans="1:20">
      <c r="A219" s="351">
        <v>91851</v>
      </c>
      <c r="B219" s="344" t="s">
        <v>911</v>
      </c>
      <c r="C219" s="235">
        <v>7.004E-4</v>
      </c>
      <c r="D219" s="235">
        <v>7.3039999999999997E-4</v>
      </c>
      <c r="E219" s="345">
        <v>1912738</v>
      </c>
      <c r="F219" s="232"/>
      <c r="G219" s="345">
        <v>327509</v>
      </c>
      <c r="H219" s="345">
        <v>46654</v>
      </c>
      <c r="I219" s="345">
        <v>311745</v>
      </c>
      <c r="J219" s="345">
        <v>2729</v>
      </c>
      <c r="K219" s="345">
        <v>688637</v>
      </c>
      <c r="L219" s="232"/>
      <c r="M219" s="345">
        <v>0</v>
      </c>
      <c r="N219" s="345">
        <v>0</v>
      </c>
      <c r="O219" s="345">
        <v>34237</v>
      </c>
      <c r="P219" s="345">
        <v>34237</v>
      </c>
      <c r="Q219" s="232"/>
      <c r="R219" s="345">
        <v>852046</v>
      </c>
      <c r="S219" s="345">
        <v>-22514</v>
      </c>
      <c r="T219" s="345">
        <v>829532</v>
      </c>
    </row>
    <row r="220" spans="1:20">
      <c r="A220" s="351">
        <v>91861</v>
      </c>
      <c r="B220" s="344" t="s">
        <v>912</v>
      </c>
      <c r="C220" s="235">
        <v>7.7000000000000008E-6</v>
      </c>
      <c r="D220" s="235">
        <v>1.1800000000000001E-5</v>
      </c>
      <c r="E220" s="345">
        <v>21028</v>
      </c>
      <c r="F220" s="232"/>
      <c r="G220" s="345">
        <v>3601</v>
      </c>
      <c r="H220" s="345">
        <v>513</v>
      </c>
      <c r="I220" s="345">
        <v>3427</v>
      </c>
      <c r="J220" s="345">
        <v>129</v>
      </c>
      <c r="K220" s="345">
        <v>7670</v>
      </c>
      <c r="L220" s="232"/>
      <c r="M220" s="345">
        <v>0</v>
      </c>
      <c r="N220" s="345">
        <v>0</v>
      </c>
      <c r="O220" s="345">
        <v>7542</v>
      </c>
      <c r="P220" s="345">
        <v>7542</v>
      </c>
      <c r="Q220" s="232"/>
      <c r="R220" s="345">
        <v>9367</v>
      </c>
      <c r="S220" s="345">
        <v>-1401</v>
      </c>
      <c r="T220" s="345">
        <v>7966</v>
      </c>
    </row>
    <row r="221" spans="1:20">
      <c r="A221" s="351">
        <v>91871</v>
      </c>
      <c r="B221" s="344" t="s">
        <v>913</v>
      </c>
      <c r="C221" s="235">
        <v>1.3121000000000001E-3</v>
      </c>
      <c r="D221" s="235">
        <v>1.3219E-3</v>
      </c>
      <c r="E221" s="345">
        <v>3583243</v>
      </c>
      <c r="F221" s="232"/>
      <c r="G221" s="345">
        <v>613542</v>
      </c>
      <c r="H221" s="345">
        <v>87400</v>
      </c>
      <c r="I221" s="345">
        <v>584009</v>
      </c>
      <c r="J221" s="345">
        <v>11268</v>
      </c>
      <c r="K221" s="345">
        <v>1296219</v>
      </c>
      <c r="L221" s="232"/>
      <c r="M221" s="345">
        <v>0</v>
      </c>
      <c r="N221" s="345">
        <v>0</v>
      </c>
      <c r="O221" s="345">
        <v>53022</v>
      </c>
      <c r="P221" s="345">
        <v>53022</v>
      </c>
      <c r="Q221" s="232"/>
      <c r="R221" s="345">
        <v>1596187</v>
      </c>
      <c r="S221" s="345">
        <v>-33723</v>
      </c>
      <c r="T221" s="345">
        <v>1562464</v>
      </c>
    </row>
    <row r="222" spans="1:20">
      <c r="A222" s="351">
        <v>91881</v>
      </c>
      <c r="B222" s="344" t="s">
        <v>914</v>
      </c>
      <c r="C222" s="235">
        <v>2.1399999999999998E-5</v>
      </c>
      <c r="D222" s="235">
        <v>8.1000000000000004E-6</v>
      </c>
      <c r="E222" s="345">
        <v>58442</v>
      </c>
      <c r="F222" s="232"/>
      <c r="G222" s="345">
        <v>10007</v>
      </c>
      <c r="H222" s="345">
        <v>1425</v>
      </c>
      <c r="I222" s="345">
        <v>9525</v>
      </c>
      <c r="J222" s="345">
        <v>9726</v>
      </c>
      <c r="K222" s="345">
        <v>30683</v>
      </c>
      <c r="L222" s="232"/>
      <c r="M222" s="345">
        <v>0</v>
      </c>
      <c r="N222" s="345">
        <v>0</v>
      </c>
      <c r="O222" s="345">
        <v>1059</v>
      </c>
      <c r="P222" s="345">
        <v>1059</v>
      </c>
      <c r="Q222" s="232"/>
      <c r="R222" s="345">
        <v>26033</v>
      </c>
      <c r="S222" s="345">
        <v>693</v>
      </c>
      <c r="T222" s="345">
        <v>26726</v>
      </c>
    </row>
    <row r="223" spans="1:20">
      <c r="A223" s="351">
        <v>91901</v>
      </c>
      <c r="B223" s="344" t="s">
        <v>915</v>
      </c>
      <c r="C223" s="235">
        <v>3.6947999999999998E-3</v>
      </c>
      <c r="D223" s="235">
        <v>3.6922000000000001E-3</v>
      </c>
      <c r="E223" s="345">
        <v>10090211</v>
      </c>
      <c r="F223" s="232"/>
      <c r="G223" s="345">
        <v>1727700</v>
      </c>
      <c r="H223" s="345">
        <v>246114</v>
      </c>
      <c r="I223" s="345">
        <v>1644537</v>
      </c>
      <c r="J223" s="345">
        <v>8156</v>
      </c>
      <c r="K223" s="345">
        <v>3626507</v>
      </c>
      <c r="L223" s="232"/>
      <c r="M223" s="345">
        <v>0</v>
      </c>
      <c r="N223" s="345">
        <v>0</v>
      </c>
      <c r="O223" s="345">
        <v>80060</v>
      </c>
      <c r="P223" s="345">
        <v>80060</v>
      </c>
      <c r="Q223" s="232"/>
      <c r="R223" s="345">
        <v>4494772</v>
      </c>
      <c r="S223" s="345">
        <v>-252</v>
      </c>
      <c r="T223" s="345">
        <v>4494520</v>
      </c>
    </row>
    <row r="224" spans="1:20">
      <c r="A224" s="351">
        <v>91903</v>
      </c>
      <c r="B224" s="344" t="s">
        <v>2783</v>
      </c>
      <c r="C224" s="235">
        <v>7.1999999999999997E-6</v>
      </c>
      <c r="D224" s="235">
        <v>8.8000000000000004E-6</v>
      </c>
      <c r="E224" s="345">
        <v>19663</v>
      </c>
      <c r="F224" s="232"/>
      <c r="G224" s="345">
        <v>3367</v>
      </c>
      <c r="H224" s="345">
        <v>480</v>
      </c>
      <c r="I224" s="345">
        <v>3205</v>
      </c>
      <c r="J224" s="345">
        <v>3228</v>
      </c>
      <c r="K224" s="345">
        <v>10280</v>
      </c>
      <c r="L224" s="232"/>
      <c r="M224" s="345">
        <v>0</v>
      </c>
      <c r="N224" s="345">
        <v>0</v>
      </c>
      <c r="O224" s="345">
        <v>0</v>
      </c>
      <c r="P224" s="345">
        <v>0</v>
      </c>
      <c r="Q224" s="232"/>
      <c r="R224" s="345">
        <v>8759</v>
      </c>
      <c r="S224" s="345">
        <v>1299</v>
      </c>
      <c r="T224" s="345">
        <v>10058</v>
      </c>
    </row>
    <row r="225" spans="1:20">
      <c r="A225" s="351">
        <v>91904</v>
      </c>
      <c r="B225" s="344" t="s">
        <v>917</v>
      </c>
      <c r="C225" s="235">
        <v>3.26E-5</v>
      </c>
      <c r="D225" s="235">
        <v>3.1399999999999998E-5</v>
      </c>
      <c r="E225" s="345">
        <v>89028</v>
      </c>
      <c r="F225" s="232"/>
      <c r="G225" s="345">
        <v>15244</v>
      </c>
      <c r="H225" s="345">
        <v>2171</v>
      </c>
      <c r="I225" s="345">
        <v>14510</v>
      </c>
      <c r="J225" s="345">
        <v>7163</v>
      </c>
      <c r="K225" s="345">
        <v>39088</v>
      </c>
      <c r="L225" s="232"/>
      <c r="M225" s="345">
        <v>0</v>
      </c>
      <c r="N225" s="345">
        <v>0</v>
      </c>
      <c r="O225" s="345">
        <v>326</v>
      </c>
      <c r="P225" s="345">
        <v>326</v>
      </c>
      <c r="Q225" s="232"/>
      <c r="R225" s="345">
        <v>39658</v>
      </c>
      <c r="S225" s="345">
        <v>3692</v>
      </c>
      <c r="T225" s="345">
        <v>43350</v>
      </c>
    </row>
    <row r="226" spans="1:20">
      <c r="A226" s="351">
        <v>91908</v>
      </c>
      <c r="B226" s="344" t="s">
        <v>918</v>
      </c>
      <c r="C226" s="235">
        <v>1.59E-5</v>
      </c>
      <c r="D226" s="235">
        <v>1.5299999999999999E-5</v>
      </c>
      <c r="E226" s="345">
        <v>43422</v>
      </c>
      <c r="F226" s="232"/>
      <c r="G226" s="345">
        <v>7435</v>
      </c>
      <c r="H226" s="345">
        <v>1059</v>
      </c>
      <c r="I226" s="345">
        <v>7077</v>
      </c>
      <c r="J226" s="345">
        <v>53</v>
      </c>
      <c r="K226" s="345">
        <v>15624</v>
      </c>
      <c r="L226" s="232"/>
      <c r="M226" s="345">
        <v>0</v>
      </c>
      <c r="N226" s="345">
        <v>0</v>
      </c>
      <c r="O226" s="345">
        <v>4807</v>
      </c>
      <c r="P226" s="345">
        <v>4807</v>
      </c>
      <c r="Q226" s="232"/>
      <c r="R226" s="345">
        <v>19343</v>
      </c>
      <c r="S226" s="345">
        <v>-2037</v>
      </c>
      <c r="T226" s="345">
        <v>17306</v>
      </c>
    </row>
    <row r="227" spans="1:20">
      <c r="A227" s="351">
        <v>91911</v>
      </c>
      <c r="B227" s="344" t="s">
        <v>919</v>
      </c>
      <c r="C227" s="235">
        <v>4.46E-4</v>
      </c>
      <c r="D227" s="235">
        <v>4.8529999999999998E-4</v>
      </c>
      <c r="E227" s="345">
        <v>1217991</v>
      </c>
      <c r="F227" s="232"/>
      <c r="G227" s="345">
        <v>208551</v>
      </c>
      <c r="H227" s="345">
        <v>29708</v>
      </c>
      <c r="I227" s="345">
        <v>198512</v>
      </c>
      <c r="J227" s="345">
        <v>17660</v>
      </c>
      <c r="K227" s="345">
        <v>454431</v>
      </c>
      <c r="L227" s="232"/>
      <c r="M227" s="345">
        <v>0</v>
      </c>
      <c r="N227" s="345">
        <v>0</v>
      </c>
      <c r="O227" s="345">
        <v>30971</v>
      </c>
      <c r="P227" s="345">
        <v>30971</v>
      </c>
      <c r="Q227" s="232"/>
      <c r="R227" s="345">
        <v>542565</v>
      </c>
      <c r="S227" s="345">
        <v>-1135</v>
      </c>
      <c r="T227" s="345">
        <v>541430</v>
      </c>
    </row>
    <row r="228" spans="1:20">
      <c r="A228" s="351">
        <v>91917</v>
      </c>
      <c r="B228" s="344" t="s">
        <v>920</v>
      </c>
      <c r="C228" s="235">
        <v>1.31E-5</v>
      </c>
      <c r="D228" s="235">
        <v>1.04E-5</v>
      </c>
      <c r="E228" s="345">
        <v>35775</v>
      </c>
      <c r="F228" s="232"/>
      <c r="G228" s="345">
        <v>6126</v>
      </c>
      <c r="H228" s="345">
        <v>873</v>
      </c>
      <c r="I228" s="345">
        <v>5831</v>
      </c>
      <c r="J228" s="345">
        <v>3327</v>
      </c>
      <c r="K228" s="345">
        <v>16157</v>
      </c>
      <c r="L228" s="232"/>
      <c r="M228" s="345">
        <v>0</v>
      </c>
      <c r="N228" s="345">
        <v>0</v>
      </c>
      <c r="O228" s="345">
        <v>156</v>
      </c>
      <c r="P228" s="345">
        <v>156</v>
      </c>
      <c r="Q228" s="232"/>
      <c r="R228" s="345">
        <v>15936</v>
      </c>
      <c r="S228" s="345">
        <v>925</v>
      </c>
      <c r="T228" s="345">
        <v>16861</v>
      </c>
    </row>
    <row r="229" spans="1:20">
      <c r="A229" s="351">
        <v>91921</v>
      </c>
      <c r="B229" s="344" t="s">
        <v>921</v>
      </c>
      <c r="C229" s="235">
        <v>3.8479999999999997E-4</v>
      </c>
      <c r="D229" s="235">
        <v>3.5619999999999998E-4</v>
      </c>
      <c r="E229" s="345">
        <v>1050859</v>
      </c>
      <c r="F229" s="232"/>
      <c r="G229" s="345">
        <v>179934</v>
      </c>
      <c r="H229" s="345">
        <v>25632</v>
      </c>
      <c r="I229" s="345">
        <v>171273</v>
      </c>
      <c r="J229" s="345">
        <v>14091</v>
      </c>
      <c r="K229" s="345">
        <v>390930</v>
      </c>
      <c r="L229" s="232"/>
      <c r="M229" s="345">
        <v>0</v>
      </c>
      <c r="N229" s="345">
        <v>0</v>
      </c>
      <c r="O229" s="345">
        <v>17696</v>
      </c>
      <c r="P229" s="345">
        <v>17696</v>
      </c>
      <c r="Q229" s="232"/>
      <c r="R229" s="345">
        <v>468114</v>
      </c>
      <c r="S229" s="345">
        <v>-5556</v>
      </c>
      <c r="T229" s="345">
        <v>462558</v>
      </c>
    </row>
    <row r="230" spans="1:20">
      <c r="A230" s="351">
        <v>92001</v>
      </c>
      <c r="B230" s="344" t="s">
        <v>922</v>
      </c>
      <c r="C230" s="235">
        <v>1.7757000000000001E-3</v>
      </c>
      <c r="D230" s="235">
        <v>1.8332999999999999E-3</v>
      </c>
      <c r="E230" s="345">
        <v>4849298</v>
      </c>
      <c r="F230" s="232"/>
      <c r="G230" s="345">
        <v>830323</v>
      </c>
      <c r="H230" s="345">
        <v>118281</v>
      </c>
      <c r="I230" s="345">
        <v>790355</v>
      </c>
      <c r="J230" s="345">
        <v>13845</v>
      </c>
      <c r="K230" s="345">
        <v>1752804</v>
      </c>
      <c r="L230" s="232"/>
      <c r="M230" s="345">
        <v>0</v>
      </c>
      <c r="N230" s="345">
        <v>0</v>
      </c>
      <c r="O230" s="345">
        <v>130820</v>
      </c>
      <c r="P230" s="345">
        <v>130820</v>
      </c>
      <c r="Q230" s="232"/>
      <c r="R230" s="345">
        <v>2160162</v>
      </c>
      <c r="S230" s="345">
        <v>-32957</v>
      </c>
      <c r="T230" s="345">
        <v>2127205</v>
      </c>
    </row>
    <row r="231" spans="1:20">
      <c r="A231" s="351">
        <v>92005</v>
      </c>
      <c r="B231" s="344" t="s">
        <v>923</v>
      </c>
      <c r="C231" s="235">
        <v>3.5299999999999997E-5</v>
      </c>
      <c r="D231" s="235">
        <v>4.2700000000000001E-5</v>
      </c>
      <c r="E231" s="345">
        <v>96402</v>
      </c>
      <c r="F231" s="232"/>
      <c r="G231" s="345">
        <v>16506</v>
      </c>
      <c r="H231" s="345">
        <v>2351</v>
      </c>
      <c r="I231" s="345">
        <v>15712</v>
      </c>
      <c r="J231" s="345">
        <v>2841</v>
      </c>
      <c r="K231" s="345">
        <v>37410</v>
      </c>
      <c r="L231" s="232"/>
      <c r="M231" s="345">
        <v>0</v>
      </c>
      <c r="N231" s="345">
        <v>0</v>
      </c>
      <c r="O231" s="345">
        <v>3594</v>
      </c>
      <c r="P231" s="345">
        <v>3594</v>
      </c>
      <c r="Q231" s="232"/>
      <c r="R231" s="345">
        <v>42943</v>
      </c>
      <c r="S231" s="345">
        <v>-28</v>
      </c>
      <c r="T231" s="345">
        <v>42915</v>
      </c>
    </row>
    <row r="232" spans="1:20">
      <c r="A232" s="351">
        <v>92011</v>
      </c>
      <c r="B232" s="344" t="s">
        <v>924</v>
      </c>
      <c r="C232" s="235">
        <v>1.9100000000000001E-4</v>
      </c>
      <c r="D232" s="235">
        <v>1.916E-4</v>
      </c>
      <c r="E232" s="345">
        <v>521606</v>
      </c>
      <c r="F232" s="232"/>
      <c r="G232" s="345">
        <v>89312</v>
      </c>
      <c r="H232" s="345">
        <v>12722</v>
      </c>
      <c r="I232" s="345">
        <v>85013</v>
      </c>
      <c r="J232" s="345">
        <v>4687</v>
      </c>
      <c r="K232" s="345">
        <v>191734</v>
      </c>
      <c r="L232" s="232"/>
      <c r="M232" s="345">
        <v>0</v>
      </c>
      <c r="N232" s="345">
        <v>0</v>
      </c>
      <c r="O232" s="345">
        <v>9533</v>
      </c>
      <c r="P232" s="345">
        <v>9533</v>
      </c>
      <c r="Q232" s="232"/>
      <c r="R232" s="345">
        <v>232354</v>
      </c>
      <c r="S232" s="345">
        <v>469</v>
      </c>
      <c r="T232" s="345">
        <v>232823</v>
      </c>
    </row>
    <row r="233" spans="1:20" ht="14.25" customHeight="1">
      <c r="A233" s="351">
        <v>92017</v>
      </c>
      <c r="B233" s="344" t="s">
        <v>925</v>
      </c>
      <c r="C233" s="235">
        <v>3.1900000000000003E-5</v>
      </c>
      <c r="D233" s="235">
        <v>3.3200000000000001E-5</v>
      </c>
      <c r="E233" s="345">
        <v>87116</v>
      </c>
      <c r="F233" s="232"/>
      <c r="G233" s="345">
        <v>14917</v>
      </c>
      <c r="H233" s="345">
        <v>2125</v>
      </c>
      <c r="I233" s="345">
        <v>14199</v>
      </c>
      <c r="J233" s="345">
        <v>2208</v>
      </c>
      <c r="K233" s="345">
        <v>33449</v>
      </c>
      <c r="L233" s="232"/>
      <c r="M233" s="345">
        <v>0</v>
      </c>
      <c r="N233" s="345">
        <v>0</v>
      </c>
      <c r="O233" s="345">
        <v>167</v>
      </c>
      <c r="P233" s="345">
        <v>167</v>
      </c>
      <c r="Q233" s="232"/>
      <c r="R233" s="345">
        <v>38807</v>
      </c>
      <c r="S233" s="345">
        <v>581</v>
      </c>
      <c r="T233" s="345">
        <v>39388</v>
      </c>
    </row>
    <row r="234" spans="1:20">
      <c r="A234" s="351">
        <v>92021</v>
      </c>
      <c r="B234" s="344" t="s">
        <v>926</v>
      </c>
      <c r="C234" s="235">
        <v>1.054E-4</v>
      </c>
      <c r="D234" s="235">
        <v>1.451E-4</v>
      </c>
      <c r="E234" s="345">
        <v>287839</v>
      </c>
      <c r="F234" s="232"/>
      <c r="G234" s="345">
        <v>49285</v>
      </c>
      <c r="H234" s="345">
        <v>7021</v>
      </c>
      <c r="I234" s="345">
        <v>46913</v>
      </c>
      <c r="J234" s="345">
        <v>11247</v>
      </c>
      <c r="K234" s="345">
        <v>114466</v>
      </c>
      <c r="L234" s="232"/>
      <c r="M234" s="345">
        <v>0</v>
      </c>
      <c r="N234" s="345">
        <v>0</v>
      </c>
      <c r="O234" s="345">
        <v>51028</v>
      </c>
      <c r="P234" s="345">
        <v>51028</v>
      </c>
      <c r="Q234" s="232"/>
      <c r="R234" s="345">
        <v>128220</v>
      </c>
      <c r="S234" s="345">
        <v>-7729</v>
      </c>
      <c r="T234" s="345">
        <v>120491</v>
      </c>
    </row>
    <row r="235" spans="1:20">
      <c r="A235" s="351">
        <v>92101</v>
      </c>
      <c r="B235" s="344" t="s">
        <v>927</v>
      </c>
      <c r="C235" s="235">
        <v>7.8700000000000005E-4</v>
      </c>
      <c r="D235" s="235">
        <v>8.183E-4</v>
      </c>
      <c r="E235" s="345">
        <v>2149236</v>
      </c>
      <c r="F235" s="232"/>
      <c r="G235" s="345">
        <v>368004</v>
      </c>
      <c r="H235" s="345">
        <v>52423</v>
      </c>
      <c r="I235" s="345">
        <v>350290</v>
      </c>
      <c r="J235" s="345">
        <v>0</v>
      </c>
      <c r="K235" s="345">
        <v>770717</v>
      </c>
      <c r="L235" s="232"/>
      <c r="M235" s="345">
        <v>0</v>
      </c>
      <c r="N235" s="345">
        <v>0</v>
      </c>
      <c r="O235" s="345">
        <v>87757</v>
      </c>
      <c r="P235" s="345">
        <v>87757</v>
      </c>
      <c r="Q235" s="232"/>
      <c r="R235" s="345">
        <v>957396</v>
      </c>
      <c r="S235" s="345">
        <v>-36597</v>
      </c>
      <c r="T235" s="345">
        <v>920799</v>
      </c>
    </row>
    <row r="236" spans="1:20">
      <c r="A236" s="351">
        <v>92104</v>
      </c>
      <c r="B236" s="344" t="s">
        <v>928</v>
      </c>
      <c r="C236" s="235">
        <v>7.0999999999999998E-6</v>
      </c>
      <c r="D236" s="235">
        <v>8.3999999999999992E-6</v>
      </c>
      <c r="E236" s="345">
        <v>19390</v>
      </c>
      <c r="F236" s="232"/>
      <c r="G236" s="345">
        <v>3320</v>
      </c>
      <c r="H236" s="345">
        <v>473</v>
      </c>
      <c r="I236" s="345">
        <v>3160</v>
      </c>
      <c r="J236" s="345">
        <v>1780</v>
      </c>
      <c r="K236" s="345">
        <v>8733</v>
      </c>
      <c r="L236" s="232"/>
      <c r="M236" s="345">
        <v>0</v>
      </c>
      <c r="N236" s="345">
        <v>0</v>
      </c>
      <c r="O236" s="345">
        <v>0</v>
      </c>
      <c r="P236" s="345">
        <v>0</v>
      </c>
      <c r="Q236" s="232"/>
      <c r="R236" s="345">
        <v>8637</v>
      </c>
      <c r="S236" s="345">
        <v>1182</v>
      </c>
      <c r="T236" s="345">
        <v>9819</v>
      </c>
    </row>
    <row r="237" spans="1:20" ht="30">
      <c r="A237" s="351">
        <v>92109</v>
      </c>
      <c r="B237" s="344" t="s">
        <v>3662</v>
      </c>
      <c r="C237" s="235">
        <v>1.6799999999999999E-4</v>
      </c>
      <c r="D237" s="235">
        <v>1.7239999999999999E-4</v>
      </c>
      <c r="E237" s="345">
        <v>458795</v>
      </c>
      <c r="F237" s="232"/>
      <c r="G237" s="345">
        <v>78557</v>
      </c>
      <c r="H237" s="345">
        <v>11191</v>
      </c>
      <c r="I237" s="345">
        <v>74776</v>
      </c>
      <c r="J237" s="345">
        <v>305</v>
      </c>
      <c r="K237" s="345">
        <v>164829</v>
      </c>
      <c r="L237" s="232"/>
      <c r="M237" s="345">
        <v>0</v>
      </c>
      <c r="N237" s="345">
        <v>0</v>
      </c>
      <c r="O237" s="345">
        <v>14980</v>
      </c>
      <c r="P237" s="345">
        <v>14980</v>
      </c>
      <c r="Q237" s="232"/>
      <c r="R237" s="345">
        <v>204374</v>
      </c>
      <c r="S237" s="345">
        <v>-10022</v>
      </c>
      <c r="T237" s="345">
        <v>194352</v>
      </c>
    </row>
    <row r="238" spans="1:20">
      <c r="A238" s="351">
        <v>92111</v>
      </c>
      <c r="B238" s="344" t="s">
        <v>930</v>
      </c>
      <c r="C238" s="235">
        <v>4.9209999999999998E-4</v>
      </c>
      <c r="D238" s="235">
        <v>5.2209999999999995E-4</v>
      </c>
      <c r="E238" s="345">
        <v>1343887</v>
      </c>
      <c r="F238" s="232"/>
      <c r="G238" s="345">
        <v>230107</v>
      </c>
      <c r="H238" s="345">
        <v>32780</v>
      </c>
      <c r="I238" s="345">
        <v>219031</v>
      </c>
      <c r="J238" s="345">
        <v>2267</v>
      </c>
      <c r="K238" s="345">
        <v>484185</v>
      </c>
      <c r="L238" s="232"/>
      <c r="M238" s="345">
        <v>0</v>
      </c>
      <c r="N238" s="345">
        <v>0</v>
      </c>
      <c r="O238" s="345">
        <v>32417</v>
      </c>
      <c r="P238" s="345">
        <v>32417</v>
      </c>
      <c r="Q238" s="232"/>
      <c r="R238" s="345">
        <v>598646</v>
      </c>
      <c r="S238" s="345">
        <v>-9122</v>
      </c>
      <c r="T238" s="345">
        <v>589524</v>
      </c>
    </row>
    <row r="239" spans="1:20">
      <c r="A239" s="351">
        <v>92113</v>
      </c>
      <c r="B239" s="344" t="s">
        <v>2759</v>
      </c>
      <c r="C239" s="235">
        <v>1.7099999999999999E-5</v>
      </c>
      <c r="D239" s="235">
        <v>1.56E-5</v>
      </c>
      <c r="E239" s="345">
        <v>46699</v>
      </c>
      <c r="F239" s="232"/>
      <c r="G239" s="345">
        <v>7996</v>
      </c>
      <c r="H239" s="345">
        <v>1139</v>
      </c>
      <c r="I239" s="345">
        <v>7611</v>
      </c>
      <c r="J239" s="345">
        <v>11968</v>
      </c>
      <c r="K239" s="345">
        <v>28714</v>
      </c>
      <c r="L239" s="232"/>
      <c r="M239" s="345">
        <v>0</v>
      </c>
      <c r="N239" s="345">
        <v>0</v>
      </c>
      <c r="O239" s="345">
        <v>1088</v>
      </c>
      <c r="P239" s="345">
        <v>1088</v>
      </c>
      <c r="Q239" s="232"/>
      <c r="R239" s="345">
        <v>20802</v>
      </c>
      <c r="S239" s="345">
        <v>8614</v>
      </c>
      <c r="T239" s="345">
        <v>29416</v>
      </c>
    </row>
    <row r="240" spans="1:20">
      <c r="A240" s="351">
        <v>92201</v>
      </c>
      <c r="B240" s="344" t="s">
        <v>932</v>
      </c>
      <c r="C240" s="235">
        <v>8.3589999999999999E-4</v>
      </c>
      <c r="D240" s="235">
        <v>9.1100000000000003E-4</v>
      </c>
      <c r="E240" s="345">
        <v>2282778</v>
      </c>
      <c r="F240" s="232"/>
      <c r="G240" s="345">
        <v>390869</v>
      </c>
      <c r="H240" s="345">
        <v>55680</v>
      </c>
      <c r="I240" s="345">
        <v>372055</v>
      </c>
      <c r="J240" s="345">
        <v>2788</v>
      </c>
      <c r="K240" s="345">
        <v>821392</v>
      </c>
      <c r="L240" s="232"/>
      <c r="M240" s="345">
        <v>0</v>
      </c>
      <c r="N240" s="345">
        <v>0</v>
      </c>
      <c r="O240" s="345">
        <v>61033</v>
      </c>
      <c r="P240" s="345">
        <v>61033</v>
      </c>
      <c r="Q240" s="232"/>
      <c r="R240" s="345">
        <v>1016883</v>
      </c>
      <c r="S240" s="345">
        <v>-10220</v>
      </c>
      <c r="T240" s="345">
        <v>1006663</v>
      </c>
    </row>
    <row r="241" spans="1:20">
      <c r="A241" s="351">
        <v>92214</v>
      </c>
      <c r="B241" s="344" t="s">
        <v>1931</v>
      </c>
      <c r="C241" s="235">
        <v>2.02E-5</v>
      </c>
      <c r="D241" s="235">
        <v>1.9000000000000001E-5</v>
      </c>
      <c r="E241" s="345">
        <v>55165</v>
      </c>
      <c r="F241" s="232"/>
      <c r="G241" s="345">
        <v>9446</v>
      </c>
      <c r="H241" s="345">
        <v>1346</v>
      </c>
      <c r="I241" s="345">
        <v>8991</v>
      </c>
      <c r="J241" s="345">
        <v>11219</v>
      </c>
      <c r="K241" s="345">
        <v>31002</v>
      </c>
      <c r="L241" s="232"/>
      <c r="M241" s="345">
        <v>0</v>
      </c>
      <c r="N241" s="345">
        <v>0</v>
      </c>
      <c r="O241" s="345">
        <v>0</v>
      </c>
      <c r="P241" s="345">
        <v>0</v>
      </c>
      <c r="Q241" s="232"/>
      <c r="R241" s="345">
        <v>24574</v>
      </c>
      <c r="S241" s="345">
        <v>3681</v>
      </c>
      <c r="T241" s="345">
        <v>28255</v>
      </c>
    </row>
    <row r="242" spans="1:20">
      <c r="A242" s="351">
        <v>92301</v>
      </c>
      <c r="B242" s="344" t="s">
        <v>933</v>
      </c>
      <c r="C242" s="235">
        <v>5.6146E-3</v>
      </c>
      <c r="D242" s="235">
        <v>5.1875999999999997E-3</v>
      </c>
      <c r="E242" s="345">
        <v>15333035</v>
      </c>
      <c r="F242" s="232"/>
      <c r="G242" s="345">
        <v>2625404</v>
      </c>
      <c r="H242" s="345">
        <v>373994</v>
      </c>
      <c r="I242" s="345">
        <v>2499030</v>
      </c>
      <c r="J242" s="345">
        <v>147901</v>
      </c>
      <c r="K242" s="345">
        <v>5646329</v>
      </c>
      <c r="L242" s="232"/>
      <c r="M242" s="345">
        <v>0</v>
      </c>
      <c r="N242" s="345">
        <v>0</v>
      </c>
      <c r="O242" s="345">
        <v>16034</v>
      </c>
      <c r="P242" s="345">
        <v>16034</v>
      </c>
      <c r="Q242" s="232"/>
      <c r="R242" s="345">
        <v>6830234</v>
      </c>
      <c r="S242" s="345">
        <v>50309</v>
      </c>
      <c r="T242" s="345">
        <v>6880543</v>
      </c>
    </row>
    <row r="243" spans="1:20">
      <c r="A243" s="351">
        <v>92302</v>
      </c>
      <c r="B243" s="344" t="s">
        <v>934</v>
      </c>
      <c r="C243" s="235">
        <v>3.0249999999999998E-4</v>
      </c>
      <c r="D243" s="235">
        <v>3.2410000000000002E-4</v>
      </c>
      <c r="E243" s="345">
        <v>826104</v>
      </c>
      <c r="F243" s="232"/>
      <c r="G243" s="345">
        <v>141450</v>
      </c>
      <c r="H243" s="345">
        <v>20150</v>
      </c>
      <c r="I243" s="345">
        <v>134641</v>
      </c>
      <c r="J243" s="345">
        <v>4846</v>
      </c>
      <c r="K243" s="345">
        <v>301087</v>
      </c>
      <c r="L243" s="232"/>
      <c r="M243" s="345">
        <v>0</v>
      </c>
      <c r="N243" s="345">
        <v>0</v>
      </c>
      <c r="O243" s="345">
        <v>36506</v>
      </c>
      <c r="P243" s="345">
        <v>36506</v>
      </c>
      <c r="Q243" s="232"/>
      <c r="R243" s="345">
        <v>367995</v>
      </c>
      <c r="S243" s="345">
        <v>-11729</v>
      </c>
      <c r="T243" s="345">
        <v>356266</v>
      </c>
    </row>
    <row r="244" spans="1:20">
      <c r="A244" s="351">
        <v>92311</v>
      </c>
      <c r="B244" s="344" t="s">
        <v>935</v>
      </c>
      <c r="C244" s="235">
        <v>2.2645999999999999E-3</v>
      </c>
      <c r="D244" s="235">
        <v>2.2258999999999998E-3</v>
      </c>
      <c r="E244" s="345">
        <v>6184446</v>
      </c>
      <c r="F244" s="232"/>
      <c r="G244" s="345">
        <v>1058934</v>
      </c>
      <c r="H244" s="345">
        <v>150847</v>
      </c>
      <c r="I244" s="345">
        <v>1007962</v>
      </c>
      <c r="J244" s="345">
        <v>12324</v>
      </c>
      <c r="K244" s="345">
        <v>2230067</v>
      </c>
      <c r="L244" s="232"/>
      <c r="M244" s="345">
        <v>0</v>
      </c>
      <c r="N244" s="345">
        <v>0</v>
      </c>
      <c r="O244" s="345">
        <v>50003</v>
      </c>
      <c r="P244" s="345">
        <v>50003</v>
      </c>
      <c r="Q244" s="232"/>
      <c r="R244" s="345">
        <v>2754915</v>
      </c>
      <c r="S244" s="345">
        <v>-23476</v>
      </c>
      <c r="T244" s="345">
        <v>2731439</v>
      </c>
    </row>
    <row r="245" spans="1:20">
      <c r="A245" s="351">
        <v>92317</v>
      </c>
      <c r="B245" s="344" t="s">
        <v>936</v>
      </c>
      <c r="C245" s="235">
        <v>2.97E-5</v>
      </c>
      <c r="D245" s="235">
        <v>2.1800000000000001E-5</v>
      </c>
      <c r="E245" s="345">
        <v>81108</v>
      </c>
      <c r="F245" s="232"/>
      <c r="G245" s="345">
        <v>13888</v>
      </c>
      <c r="H245" s="345">
        <v>1978</v>
      </c>
      <c r="I245" s="345">
        <v>13219</v>
      </c>
      <c r="J245" s="345">
        <v>21658</v>
      </c>
      <c r="K245" s="345">
        <v>50743</v>
      </c>
      <c r="L245" s="232"/>
      <c r="M245" s="345">
        <v>0</v>
      </c>
      <c r="N245" s="345">
        <v>0</v>
      </c>
      <c r="O245" s="345">
        <v>0</v>
      </c>
      <c r="P245" s="345">
        <v>0</v>
      </c>
      <c r="Q245" s="232"/>
      <c r="R245" s="345">
        <v>36130</v>
      </c>
      <c r="S245" s="345">
        <v>9275</v>
      </c>
      <c r="T245" s="345">
        <v>45405</v>
      </c>
    </row>
    <row r="246" spans="1:20">
      <c r="A246" s="351">
        <v>92321</v>
      </c>
      <c r="B246" s="344" t="s">
        <v>937</v>
      </c>
      <c r="C246" s="235">
        <v>1.2122999999999999E-3</v>
      </c>
      <c r="D246" s="235">
        <v>1.2386000000000001E-3</v>
      </c>
      <c r="E246" s="345">
        <v>3310697</v>
      </c>
      <c r="F246" s="232"/>
      <c r="G246" s="345">
        <v>566875</v>
      </c>
      <c r="H246" s="345">
        <v>80752</v>
      </c>
      <c r="I246" s="345">
        <v>539589</v>
      </c>
      <c r="J246" s="345">
        <v>30833</v>
      </c>
      <c r="K246" s="345">
        <v>1218049</v>
      </c>
      <c r="L246" s="232"/>
      <c r="M246" s="345">
        <v>0</v>
      </c>
      <c r="N246" s="345">
        <v>0</v>
      </c>
      <c r="O246" s="345">
        <v>19782</v>
      </c>
      <c r="P246" s="345">
        <v>19782</v>
      </c>
      <c r="Q246" s="232"/>
      <c r="R246" s="345">
        <v>1474779</v>
      </c>
      <c r="S246" s="345">
        <v>12437</v>
      </c>
      <c r="T246" s="345">
        <v>1487216</v>
      </c>
    </row>
    <row r="247" spans="1:20">
      <c r="A247" s="351">
        <v>92327</v>
      </c>
      <c r="B247" s="344" t="s">
        <v>938</v>
      </c>
      <c r="C247" s="235">
        <v>6.4999999999999996E-6</v>
      </c>
      <c r="D247" s="235">
        <v>6.8000000000000001E-6</v>
      </c>
      <c r="E247" s="345">
        <v>17751</v>
      </c>
      <c r="F247" s="232"/>
      <c r="G247" s="345">
        <v>3039</v>
      </c>
      <c r="H247" s="345">
        <v>433</v>
      </c>
      <c r="I247" s="345">
        <v>2893</v>
      </c>
      <c r="J247" s="345">
        <v>6635</v>
      </c>
      <c r="K247" s="345">
        <v>13000</v>
      </c>
      <c r="L247" s="232"/>
      <c r="M247" s="345">
        <v>0</v>
      </c>
      <c r="N247" s="345">
        <v>0</v>
      </c>
      <c r="O247" s="345">
        <v>0</v>
      </c>
      <c r="P247" s="345">
        <v>0</v>
      </c>
      <c r="Q247" s="232"/>
      <c r="R247" s="345">
        <v>7907</v>
      </c>
      <c r="S247" s="345">
        <v>2578</v>
      </c>
      <c r="T247" s="345">
        <v>10485</v>
      </c>
    </row>
    <row r="248" spans="1:20">
      <c r="A248" s="351">
        <v>92331</v>
      </c>
      <c r="B248" s="344" t="s">
        <v>939</v>
      </c>
      <c r="C248" s="235">
        <v>1.351E-4</v>
      </c>
      <c r="D248" s="235">
        <v>1.315E-4</v>
      </c>
      <c r="E248" s="345">
        <v>368948</v>
      </c>
      <c r="F248" s="232"/>
      <c r="G248" s="345">
        <v>63173</v>
      </c>
      <c r="H248" s="345">
        <v>8999</v>
      </c>
      <c r="I248" s="345">
        <v>60132</v>
      </c>
      <c r="J248" s="345">
        <v>6806</v>
      </c>
      <c r="K248" s="345">
        <v>139110</v>
      </c>
      <c r="L248" s="232"/>
      <c r="M248" s="345">
        <v>0</v>
      </c>
      <c r="N248" s="345">
        <v>0</v>
      </c>
      <c r="O248" s="345">
        <v>6009</v>
      </c>
      <c r="P248" s="345">
        <v>6009</v>
      </c>
      <c r="Q248" s="232"/>
      <c r="R248" s="345">
        <v>164351</v>
      </c>
      <c r="S248" s="345">
        <v>-1371</v>
      </c>
      <c r="T248" s="345">
        <v>162980</v>
      </c>
    </row>
    <row r="249" spans="1:20">
      <c r="A249" s="351">
        <v>92341</v>
      </c>
      <c r="B249" s="344" t="s">
        <v>940</v>
      </c>
      <c r="C249" s="235">
        <v>8.4999999999999999E-6</v>
      </c>
      <c r="D249" s="235">
        <v>9.2E-6</v>
      </c>
      <c r="E249" s="345">
        <v>23213</v>
      </c>
      <c r="F249" s="232"/>
      <c r="G249" s="345">
        <v>3975</v>
      </c>
      <c r="H249" s="345">
        <v>566</v>
      </c>
      <c r="I249" s="345">
        <v>3783</v>
      </c>
      <c r="J249" s="345">
        <v>172</v>
      </c>
      <c r="K249" s="345">
        <v>8496</v>
      </c>
      <c r="L249" s="232"/>
      <c r="M249" s="345">
        <v>0</v>
      </c>
      <c r="N249" s="345">
        <v>0</v>
      </c>
      <c r="O249" s="345">
        <v>2534</v>
      </c>
      <c r="P249" s="345">
        <v>2534</v>
      </c>
      <c r="Q249" s="232"/>
      <c r="R249" s="345">
        <v>10340</v>
      </c>
      <c r="S249" s="345">
        <v>-1489</v>
      </c>
      <c r="T249" s="345">
        <v>8851</v>
      </c>
    </row>
    <row r="250" spans="1:20">
      <c r="A250" s="351">
        <v>92351</v>
      </c>
      <c r="B250" s="344" t="s">
        <v>941</v>
      </c>
      <c r="C250" s="235">
        <v>1.7499999999999998E-5</v>
      </c>
      <c r="D250" s="235">
        <v>1.9400000000000001E-5</v>
      </c>
      <c r="E250" s="345">
        <v>47791</v>
      </c>
      <c r="F250" s="232"/>
      <c r="G250" s="345">
        <v>8183</v>
      </c>
      <c r="H250" s="345">
        <v>1166</v>
      </c>
      <c r="I250" s="345">
        <v>7789</v>
      </c>
      <c r="J250" s="345">
        <v>2491</v>
      </c>
      <c r="K250" s="345">
        <v>19629</v>
      </c>
      <c r="L250" s="232"/>
      <c r="M250" s="345">
        <v>0</v>
      </c>
      <c r="N250" s="345">
        <v>0</v>
      </c>
      <c r="O250" s="345">
        <v>1712</v>
      </c>
      <c r="P250" s="345">
        <v>1712</v>
      </c>
      <c r="Q250" s="232"/>
      <c r="R250" s="345">
        <v>21289</v>
      </c>
      <c r="S250" s="345">
        <v>-880</v>
      </c>
      <c r="T250" s="345">
        <v>20409</v>
      </c>
    </row>
    <row r="251" spans="1:20">
      <c r="A251" s="351">
        <v>92401</v>
      </c>
      <c r="B251" s="344" t="s">
        <v>942</v>
      </c>
      <c r="C251" s="235">
        <v>2.6340000000000001E-3</v>
      </c>
      <c r="D251" s="235">
        <v>2.4808E-3</v>
      </c>
      <c r="E251" s="345">
        <v>7193249</v>
      </c>
      <c r="F251" s="232"/>
      <c r="G251" s="345">
        <v>1231666</v>
      </c>
      <c r="H251" s="345">
        <v>175453</v>
      </c>
      <c r="I251" s="345">
        <v>1172380</v>
      </c>
      <c r="J251" s="345">
        <v>226873</v>
      </c>
      <c r="K251" s="345">
        <v>2806372</v>
      </c>
      <c r="L251" s="232"/>
      <c r="M251" s="345">
        <v>0</v>
      </c>
      <c r="N251" s="345">
        <v>0</v>
      </c>
      <c r="O251" s="345">
        <v>40702</v>
      </c>
      <c r="P251" s="345">
        <v>40702</v>
      </c>
      <c r="Q251" s="232"/>
      <c r="R251" s="345">
        <v>3204295</v>
      </c>
      <c r="S251" s="345">
        <v>44125</v>
      </c>
      <c r="T251" s="345">
        <v>3248420</v>
      </c>
    </row>
    <row r="252" spans="1:20">
      <c r="A252" s="351">
        <v>92403</v>
      </c>
      <c r="B252" s="344" t="s">
        <v>943</v>
      </c>
      <c r="C252" s="235">
        <v>9.0999999999999993E-6</v>
      </c>
      <c r="D252" s="235">
        <v>1.0200000000000001E-5</v>
      </c>
      <c r="E252" s="345">
        <v>24851</v>
      </c>
      <c r="F252" s="232"/>
      <c r="G252" s="345">
        <v>4255</v>
      </c>
      <c r="H252" s="345">
        <v>606</v>
      </c>
      <c r="I252" s="345">
        <v>4050</v>
      </c>
      <c r="J252" s="345">
        <v>1653</v>
      </c>
      <c r="K252" s="345">
        <v>10564</v>
      </c>
      <c r="L252" s="232"/>
      <c r="M252" s="345">
        <v>0</v>
      </c>
      <c r="N252" s="345">
        <v>0</v>
      </c>
      <c r="O252" s="345">
        <v>394</v>
      </c>
      <c r="P252" s="345">
        <v>394</v>
      </c>
      <c r="Q252" s="232"/>
      <c r="R252" s="345">
        <v>11070</v>
      </c>
      <c r="S252" s="345">
        <v>304</v>
      </c>
      <c r="T252" s="345">
        <v>11374</v>
      </c>
    </row>
    <row r="253" spans="1:20">
      <c r="A253" s="351">
        <v>92411</v>
      </c>
      <c r="B253" s="344" t="s">
        <v>944</v>
      </c>
      <c r="C253" s="235">
        <v>4.5199999999999998E-4</v>
      </c>
      <c r="D253" s="235">
        <v>4.4569999999999999E-4</v>
      </c>
      <c r="E253" s="345">
        <v>1234377</v>
      </c>
      <c r="F253" s="232"/>
      <c r="G253" s="345">
        <v>211357</v>
      </c>
      <c r="H253" s="345">
        <v>30108</v>
      </c>
      <c r="I253" s="345">
        <v>201183</v>
      </c>
      <c r="J253" s="345">
        <v>5996</v>
      </c>
      <c r="K253" s="345">
        <v>448644</v>
      </c>
      <c r="L253" s="232"/>
      <c r="M253" s="345">
        <v>0</v>
      </c>
      <c r="N253" s="345">
        <v>0</v>
      </c>
      <c r="O253" s="345">
        <v>47846</v>
      </c>
      <c r="P253" s="345">
        <v>47846</v>
      </c>
      <c r="Q253" s="232"/>
      <c r="R253" s="345">
        <v>549864</v>
      </c>
      <c r="S253" s="345">
        <v>-23070</v>
      </c>
      <c r="T253" s="345">
        <v>526794</v>
      </c>
    </row>
    <row r="254" spans="1:20">
      <c r="A254" s="351">
        <v>92417</v>
      </c>
      <c r="B254" s="344" t="s">
        <v>945</v>
      </c>
      <c r="C254" s="235">
        <v>1.73E-5</v>
      </c>
      <c r="D254" s="235">
        <v>1.8600000000000001E-5</v>
      </c>
      <c r="E254" s="345">
        <v>47245</v>
      </c>
      <c r="F254" s="232"/>
      <c r="G254" s="345">
        <v>8090</v>
      </c>
      <c r="H254" s="345">
        <v>1153</v>
      </c>
      <c r="I254" s="345">
        <v>7700</v>
      </c>
      <c r="J254" s="345">
        <v>0</v>
      </c>
      <c r="K254" s="345">
        <v>16943</v>
      </c>
      <c r="L254" s="232"/>
      <c r="M254" s="345">
        <v>0</v>
      </c>
      <c r="N254" s="345">
        <v>0</v>
      </c>
      <c r="O254" s="345">
        <v>5960</v>
      </c>
      <c r="P254" s="345">
        <v>5960</v>
      </c>
      <c r="Q254" s="232"/>
      <c r="R254" s="345">
        <v>21046</v>
      </c>
      <c r="S254" s="345">
        <v>-2197</v>
      </c>
      <c r="T254" s="345">
        <v>18849</v>
      </c>
    </row>
    <row r="255" spans="1:20">
      <c r="A255" s="351">
        <v>92421</v>
      </c>
      <c r="B255" s="344" t="s">
        <v>946</v>
      </c>
      <c r="C255" s="235">
        <v>1.6399999999999999E-5</v>
      </c>
      <c r="D255" s="235">
        <v>8.6999999999999997E-6</v>
      </c>
      <c r="E255" s="345">
        <v>44787</v>
      </c>
      <c r="F255" s="232"/>
      <c r="G255" s="345">
        <v>7669</v>
      </c>
      <c r="H255" s="345">
        <v>1092</v>
      </c>
      <c r="I255" s="345">
        <v>7300</v>
      </c>
      <c r="J255" s="345">
        <v>10480</v>
      </c>
      <c r="K255" s="345">
        <v>26541</v>
      </c>
      <c r="L255" s="232"/>
      <c r="M255" s="345">
        <v>0</v>
      </c>
      <c r="N255" s="345">
        <v>0</v>
      </c>
      <c r="O255" s="345">
        <v>344</v>
      </c>
      <c r="P255" s="345">
        <v>344</v>
      </c>
      <c r="Q255" s="232"/>
      <c r="R255" s="345">
        <v>19951</v>
      </c>
      <c r="S255" s="345">
        <v>2995</v>
      </c>
      <c r="T255" s="345">
        <v>22946</v>
      </c>
    </row>
    <row r="256" spans="1:20">
      <c r="A256" s="351">
        <v>92427</v>
      </c>
      <c r="B256" s="344" t="s">
        <v>947</v>
      </c>
      <c r="C256" s="235">
        <v>1.9E-6</v>
      </c>
      <c r="D256" s="235">
        <v>1.9999999999999999E-6</v>
      </c>
      <c r="E256" s="345">
        <v>5189</v>
      </c>
      <c r="F256" s="232"/>
      <c r="G256" s="345">
        <v>888</v>
      </c>
      <c r="H256" s="345">
        <v>127</v>
      </c>
      <c r="I256" s="345">
        <v>846</v>
      </c>
      <c r="J256" s="345">
        <v>2423</v>
      </c>
      <c r="K256" s="345">
        <v>4284</v>
      </c>
      <c r="L256" s="232"/>
      <c r="M256" s="345">
        <v>0</v>
      </c>
      <c r="N256" s="345">
        <v>0</v>
      </c>
      <c r="O256" s="345">
        <v>0</v>
      </c>
      <c r="P256" s="345">
        <v>0</v>
      </c>
      <c r="Q256" s="232"/>
      <c r="R256" s="345">
        <v>2311</v>
      </c>
      <c r="S256" s="345">
        <v>1137</v>
      </c>
      <c r="T256" s="345">
        <v>3448</v>
      </c>
    </row>
    <row r="257" spans="1:20">
      <c r="A257" s="351">
        <v>92431</v>
      </c>
      <c r="B257" s="344" t="s">
        <v>948</v>
      </c>
      <c r="C257" s="235">
        <v>2.6999999999999999E-5</v>
      </c>
      <c r="D257" s="235">
        <v>2.1999999999999999E-5</v>
      </c>
      <c r="E257" s="345">
        <v>73735</v>
      </c>
      <c r="F257" s="232"/>
      <c r="G257" s="345">
        <v>12625</v>
      </c>
      <c r="H257" s="345">
        <v>1798</v>
      </c>
      <c r="I257" s="345">
        <v>12018</v>
      </c>
      <c r="J257" s="345">
        <v>14717</v>
      </c>
      <c r="K257" s="345">
        <v>41158</v>
      </c>
      <c r="L257" s="232"/>
      <c r="M257" s="345">
        <v>0</v>
      </c>
      <c r="N257" s="345">
        <v>0</v>
      </c>
      <c r="O257" s="345">
        <v>2198</v>
      </c>
      <c r="P257" s="345">
        <v>2198</v>
      </c>
      <c r="Q257" s="232"/>
      <c r="R257" s="345">
        <v>32846</v>
      </c>
      <c r="S257" s="345">
        <v>5801</v>
      </c>
      <c r="T257" s="345">
        <v>38647</v>
      </c>
    </row>
    <row r="258" spans="1:20">
      <c r="A258" s="351">
        <v>92441</v>
      </c>
      <c r="B258" s="344" t="s">
        <v>949</v>
      </c>
      <c r="C258" s="235">
        <v>8.6500000000000002E-5</v>
      </c>
      <c r="D258" s="235">
        <v>1.002E-4</v>
      </c>
      <c r="E258" s="345">
        <v>236225</v>
      </c>
      <c r="F258" s="232"/>
      <c r="G258" s="345">
        <v>40448</v>
      </c>
      <c r="H258" s="345">
        <v>5762</v>
      </c>
      <c r="I258" s="345">
        <v>38501</v>
      </c>
      <c r="J258" s="345">
        <v>11504</v>
      </c>
      <c r="K258" s="345">
        <v>96215</v>
      </c>
      <c r="L258" s="232"/>
      <c r="M258" s="345">
        <v>0</v>
      </c>
      <c r="N258" s="345">
        <v>0</v>
      </c>
      <c r="O258" s="345">
        <v>17766</v>
      </c>
      <c r="P258" s="345">
        <v>17766</v>
      </c>
      <c r="Q258" s="232"/>
      <c r="R258" s="345">
        <v>105228</v>
      </c>
      <c r="S258" s="345">
        <v>-2772</v>
      </c>
      <c r="T258" s="345">
        <v>102456</v>
      </c>
    </row>
    <row r="259" spans="1:20">
      <c r="A259" s="351">
        <v>92444</v>
      </c>
      <c r="B259" s="344" t="s">
        <v>950</v>
      </c>
      <c r="C259" s="235">
        <v>5.1000000000000003E-6</v>
      </c>
      <c r="D259" s="235">
        <v>1.7E-6</v>
      </c>
      <c r="E259" s="345">
        <v>13928</v>
      </c>
      <c r="F259" s="232"/>
      <c r="G259" s="345">
        <v>2385</v>
      </c>
      <c r="H259" s="345">
        <v>340</v>
      </c>
      <c r="I259" s="345">
        <v>2270</v>
      </c>
      <c r="J259" s="345">
        <v>6146</v>
      </c>
      <c r="K259" s="345">
        <v>11141</v>
      </c>
      <c r="L259" s="232"/>
      <c r="M259" s="345">
        <v>0</v>
      </c>
      <c r="N259" s="345">
        <v>0</v>
      </c>
      <c r="O259" s="345">
        <v>0</v>
      </c>
      <c r="P259" s="345">
        <v>0</v>
      </c>
      <c r="Q259" s="232"/>
      <c r="R259" s="345">
        <v>6204</v>
      </c>
      <c r="S259" s="345">
        <v>2192</v>
      </c>
      <c r="T259" s="345">
        <v>8396</v>
      </c>
    </row>
    <row r="260" spans="1:20">
      <c r="A260" s="351">
        <v>92451</v>
      </c>
      <c r="B260" s="344" t="s">
        <v>951</v>
      </c>
      <c r="C260" s="235">
        <v>1.143E-4</v>
      </c>
      <c r="D260" s="235">
        <v>1.2650000000000001E-4</v>
      </c>
      <c r="E260" s="345">
        <v>312144</v>
      </c>
      <c r="F260" s="232"/>
      <c r="G260" s="345">
        <v>53447</v>
      </c>
      <c r="H260" s="345">
        <v>7613</v>
      </c>
      <c r="I260" s="345">
        <v>50874</v>
      </c>
      <c r="J260" s="345">
        <v>25219</v>
      </c>
      <c r="K260" s="345">
        <v>137153</v>
      </c>
      <c r="L260" s="232"/>
      <c r="M260" s="345">
        <v>0</v>
      </c>
      <c r="N260" s="345">
        <v>0</v>
      </c>
      <c r="O260" s="345">
        <v>0</v>
      </c>
      <c r="P260" s="345">
        <v>0</v>
      </c>
      <c r="Q260" s="232"/>
      <c r="R260" s="345">
        <v>139047</v>
      </c>
      <c r="S260" s="345">
        <v>14680</v>
      </c>
      <c r="T260" s="345">
        <v>153727</v>
      </c>
    </row>
    <row r="261" spans="1:20" ht="14.25" customHeight="1">
      <c r="A261" s="351">
        <v>92461</v>
      </c>
      <c r="B261" s="344" t="s">
        <v>952</v>
      </c>
      <c r="C261" s="235">
        <v>5.8400000000000003E-5</v>
      </c>
      <c r="D261" s="235">
        <v>6.7500000000000001E-5</v>
      </c>
      <c r="E261" s="345">
        <v>159486</v>
      </c>
      <c r="F261" s="232"/>
      <c r="G261" s="345">
        <v>27308</v>
      </c>
      <c r="H261" s="345">
        <v>3890</v>
      </c>
      <c r="I261" s="345">
        <v>25994</v>
      </c>
      <c r="J261" s="345">
        <v>10583</v>
      </c>
      <c r="K261" s="345">
        <v>67775</v>
      </c>
      <c r="L261" s="232"/>
      <c r="M261" s="345">
        <v>0</v>
      </c>
      <c r="N261" s="345">
        <v>0</v>
      </c>
      <c r="O261" s="345">
        <v>0</v>
      </c>
      <c r="P261" s="345">
        <v>0</v>
      </c>
      <c r="Q261" s="232"/>
      <c r="R261" s="345">
        <v>71044</v>
      </c>
      <c r="S261" s="345">
        <v>3640</v>
      </c>
      <c r="T261" s="345">
        <v>74684</v>
      </c>
    </row>
    <row r="262" spans="1:20">
      <c r="A262" s="351">
        <v>92501</v>
      </c>
      <c r="B262" s="344" t="s">
        <v>953</v>
      </c>
      <c r="C262" s="235">
        <v>3.7055999999999999E-3</v>
      </c>
      <c r="D262" s="235">
        <v>3.7823000000000002E-3</v>
      </c>
      <c r="E262" s="345">
        <v>10119705</v>
      </c>
      <c r="F262" s="232"/>
      <c r="G262" s="345">
        <v>1732750</v>
      </c>
      <c r="H262" s="345">
        <v>246833</v>
      </c>
      <c r="I262" s="345">
        <v>1649344</v>
      </c>
      <c r="J262" s="345">
        <v>208346</v>
      </c>
      <c r="K262" s="345">
        <v>3837273</v>
      </c>
      <c r="L262" s="232"/>
      <c r="M262" s="345">
        <v>0</v>
      </c>
      <c r="N262" s="345">
        <v>0</v>
      </c>
      <c r="O262" s="345">
        <v>0</v>
      </c>
      <c r="P262" s="345">
        <v>0</v>
      </c>
      <c r="Q262" s="232"/>
      <c r="R262" s="345">
        <v>4507911</v>
      </c>
      <c r="S262" s="345">
        <v>71797</v>
      </c>
      <c r="T262" s="345">
        <v>4579708</v>
      </c>
    </row>
    <row r="263" spans="1:20">
      <c r="A263" s="351">
        <v>92502</v>
      </c>
      <c r="B263" s="344" t="s">
        <v>3663</v>
      </c>
      <c r="C263" s="235">
        <v>2.3600000000000001E-5</v>
      </c>
      <c r="D263" s="235">
        <v>2.5700000000000001E-5</v>
      </c>
      <c r="E263" s="345">
        <v>64450</v>
      </c>
      <c r="F263" s="232"/>
      <c r="G263" s="345">
        <v>11035</v>
      </c>
      <c r="H263" s="345">
        <v>1572</v>
      </c>
      <c r="I263" s="345">
        <v>10504</v>
      </c>
      <c r="J263" s="345">
        <v>3229</v>
      </c>
      <c r="K263" s="345">
        <v>26340</v>
      </c>
      <c r="L263" s="232"/>
      <c r="M263" s="345">
        <v>0</v>
      </c>
      <c r="N263" s="345">
        <v>0</v>
      </c>
      <c r="O263" s="345">
        <v>0</v>
      </c>
      <c r="P263" s="345">
        <v>0</v>
      </c>
      <c r="Q263" s="232"/>
      <c r="R263" s="345">
        <v>28710</v>
      </c>
      <c r="S263" s="345">
        <v>1085</v>
      </c>
      <c r="T263" s="345">
        <v>29795</v>
      </c>
    </row>
    <row r="264" spans="1:20">
      <c r="A264" s="351">
        <v>92504</v>
      </c>
      <c r="B264" s="344" t="s">
        <v>3664</v>
      </c>
      <c r="C264" s="235">
        <v>7.6299999999999998E-5</v>
      </c>
      <c r="D264" s="235">
        <v>7.86E-5</v>
      </c>
      <c r="E264" s="345">
        <v>208369</v>
      </c>
      <c r="F264" s="232"/>
      <c r="G264" s="345">
        <v>35678</v>
      </c>
      <c r="H264" s="345">
        <v>5083</v>
      </c>
      <c r="I264" s="345">
        <v>33961</v>
      </c>
      <c r="J264" s="345">
        <v>23999</v>
      </c>
      <c r="K264" s="345">
        <v>98721</v>
      </c>
      <c r="L264" s="232"/>
      <c r="M264" s="345">
        <v>0</v>
      </c>
      <c r="N264" s="345">
        <v>0</v>
      </c>
      <c r="O264" s="345">
        <v>0</v>
      </c>
      <c r="P264" s="345">
        <v>0</v>
      </c>
      <c r="Q264" s="232"/>
      <c r="R264" s="345">
        <v>92820</v>
      </c>
      <c r="S264" s="345">
        <v>13220</v>
      </c>
      <c r="T264" s="345">
        <v>106040</v>
      </c>
    </row>
    <row r="265" spans="1:20">
      <c r="A265" s="351">
        <v>92505</v>
      </c>
      <c r="B265" s="344" t="s">
        <v>956</v>
      </c>
      <c r="C265" s="235">
        <v>1.7090000000000001E-4</v>
      </c>
      <c r="D265" s="235">
        <v>1.8330000000000001E-4</v>
      </c>
      <c r="E265" s="345">
        <v>466715</v>
      </c>
      <c r="F265" s="232"/>
      <c r="G265" s="345">
        <v>79913</v>
      </c>
      <c r="H265" s="345">
        <v>11384</v>
      </c>
      <c r="I265" s="345">
        <v>76067</v>
      </c>
      <c r="J265" s="345">
        <v>61772</v>
      </c>
      <c r="K265" s="345">
        <v>229136</v>
      </c>
      <c r="L265" s="232"/>
      <c r="M265" s="345">
        <v>0</v>
      </c>
      <c r="N265" s="345">
        <v>0</v>
      </c>
      <c r="O265" s="345">
        <v>0</v>
      </c>
      <c r="P265" s="345">
        <v>0</v>
      </c>
      <c r="Q265" s="232"/>
      <c r="R265" s="345">
        <v>207902</v>
      </c>
      <c r="S265" s="345">
        <v>30052</v>
      </c>
      <c r="T265" s="345">
        <v>237954</v>
      </c>
    </row>
    <row r="266" spans="1:20">
      <c r="A266" s="351">
        <v>92506</v>
      </c>
      <c r="B266" s="344" t="s">
        <v>957</v>
      </c>
      <c r="C266" s="235">
        <v>5.38E-5</v>
      </c>
      <c r="D266" s="235">
        <v>6.05E-5</v>
      </c>
      <c r="E266" s="345">
        <v>146924</v>
      </c>
      <c r="F266" s="232"/>
      <c r="G266" s="345">
        <v>25157</v>
      </c>
      <c r="H266" s="345">
        <v>3583</v>
      </c>
      <c r="I266" s="345">
        <v>23946</v>
      </c>
      <c r="J266" s="345">
        <v>14720</v>
      </c>
      <c r="K266" s="345">
        <v>67406</v>
      </c>
      <c r="L266" s="232"/>
      <c r="M266" s="345">
        <v>0</v>
      </c>
      <c r="N266" s="345">
        <v>0</v>
      </c>
      <c r="O266" s="345">
        <v>1333</v>
      </c>
      <c r="P266" s="345">
        <v>1333</v>
      </c>
      <c r="Q266" s="232"/>
      <c r="R266" s="345">
        <v>65448</v>
      </c>
      <c r="S266" s="345">
        <v>8751</v>
      </c>
      <c r="T266" s="345">
        <v>74199</v>
      </c>
    </row>
    <row r="267" spans="1:20">
      <c r="A267" s="351">
        <v>92507</v>
      </c>
      <c r="B267" s="344" t="s">
        <v>958</v>
      </c>
      <c r="C267" s="235">
        <v>1.01E-4</v>
      </c>
      <c r="D267" s="235">
        <v>9.2800000000000006E-5</v>
      </c>
      <c r="E267" s="345">
        <v>275823</v>
      </c>
      <c r="F267" s="232"/>
      <c r="G267" s="345">
        <v>47228</v>
      </c>
      <c r="H267" s="345">
        <v>6727</v>
      </c>
      <c r="I267" s="345">
        <v>44955</v>
      </c>
      <c r="J267" s="345">
        <v>6887</v>
      </c>
      <c r="K267" s="345">
        <v>105797</v>
      </c>
      <c r="L267" s="232"/>
      <c r="M267" s="345">
        <v>0</v>
      </c>
      <c r="N267" s="345">
        <v>0</v>
      </c>
      <c r="O267" s="345">
        <v>8456</v>
      </c>
      <c r="P267" s="345">
        <v>8456</v>
      </c>
      <c r="Q267" s="232"/>
      <c r="R267" s="345">
        <v>122868</v>
      </c>
      <c r="S267" s="345">
        <v>-2095</v>
      </c>
      <c r="T267" s="345">
        <v>120773</v>
      </c>
    </row>
    <row r="268" spans="1:20" ht="30">
      <c r="A268" s="351">
        <v>92508</v>
      </c>
      <c r="B268" s="344" t="s">
        <v>3665</v>
      </c>
      <c r="C268" s="235">
        <v>3.102E-4</v>
      </c>
      <c r="D268" s="235">
        <v>3.076E-4</v>
      </c>
      <c r="E268" s="345">
        <v>847132</v>
      </c>
      <c r="F268" s="232"/>
      <c r="G268" s="345">
        <v>145050</v>
      </c>
      <c r="H268" s="345">
        <v>20663</v>
      </c>
      <c r="I268" s="345">
        <v>138068</v>
      </c>
      <c r="J268" s="345">
        <v>34835</v>
      </c>
      <c r="K268" s="345">
        <v>338616</v>
      </c>
      <c r="L268" s="232"/>
      <c r="M268" s="345">
        <v>0</v>
      </c>
      <c r="N268" s="345">
        <v>0</v>
      </c>
      <c r="O268" s="345">
        <v>423</v>
      </c>
      <c r="P268" s="345">
        <v>423</v>
      </c>
      <c r="Q268" s="232"/>
      <c r="R268" s="345">
        <v>377362</v>
      </c>
      <c r="S268" s="345">
        <v>9624</v>
      </c>
      <c r="T268" s="345">
        <v>386986</v>
      </c>
    </row>
    <row r="269" spans="1:20">
      <c r="A269" s="351">
        <v>92511</v>
      </c>
      <c r="B269" s="344" t="s">
        <v>960</v>
      </c>
      <c r="C269" s="235">
        <v>3.5699999999999998E-3</v>
      </c>
      <c r="D269" s="235">
        <v>3.3249999999999998E-3</v>
      </c>
      <c r="E269" s="345">
        <v>9749392</v>
      </c>
      <c r="F269" s="232"/>
      <c r="G269" s="345">
        <v>1669343</v>
      </c>
      <c r="H269" s="345">
        <v>237801</v>
      </c>
      <c r="I269" s="345">
        <v>1588989</v>
      </c>
      <c r="J269" s="345">
        <v>182563</v>
      </c>
      <c r="K269" s="345">
        <v>3678696</v>
      </c>
      <c r="L269" s="232"/>
      <c r="M269" s="345">
        <v>0</v>
      </c>
      <c r="N269" s="345">
        <v>0</v>
      </c>
      <c r="O269" s="345">
        <v>71532</v>
      </c>
      <c r="P269" s="345">
        <v>71532</v>
      </c>
      <c r="Q269" s="232"/>
      <c r="R269" s="345">
        <v>4342951</v>
      </c>
      <c r="S269" s="345">
        <v>-34616</v>
      </c>
      <c r="T269" s="345">
        <v>4308335</v>
      </c>
    </row>
    <row r="270" spans="1:20">
      <c r="A270" s="351">
        <v>92513</v>
      </c>
      <c r="B270" s="344" t="s">
        <v>961</v>
      </c>
      <c r="C270" s="235">
        <v>3.9484999999999998E-3</v>
      </c>
      <c r="D270" s="235">
        <v>3.9129000000000004E-3</v>
      </c>
      <c r="E270" s="345">
        <v>10783046</v>
      </c>
      <c r="F270" s="232"/>
      <c r="G270" s="345">
        <v>1846330</v>
      </c>
      <c r="H270" s="345">
        <v>263013</v>
      </c>
      <c r="I270" s="345">
        <v>1757458</v>
      </c>
      <c r="J270" s="345">
        <v>445498</v>
      </c>
      <c r="K270" s="345">
        <v>4312299</v>
      </c>
      <c r="L270" s="232"/>
      <c r="M270" s="345">
        <v>0</v>
      </c>
      <c r="N270" s="345">
        <v>0</v>
      </c>
      <c r="O270" s="345">
        <v>304141</v>
      </c>
      <c r="P270" s="345">
        <v>304141</v>
      </c>
      <c r="Q270" s="232"/>
      <c r="R270" s="345">
        <v>4803402</v>
      </c>
      <c r="S270" s="345">
        <v>415640</v>
      </c>
      <c r="T270" s="345">
        <v>5219042</v>
      </c>
    </row>
    <row r="271" spans="1:20">
      <c r="A271" s="351">
        <v>92521</v>
      </c>
      <c r="B271" s="344" t="s">
        <v>962</v>
      </c>
      <c r="C271" s="235">
        <v>7.7399999999999998E-5</v>
      </c>
      <c r="D271" s="235">
        <v>8.6799999999999996E-5</v>
      </c>
      <c r="E271" s="345">
        <v>211373</v>
      </c>
      <c r="F271" s="232"/>
      <c r="G271" s="345">
        <v>36192</v>
      </c>
      <c r="H271" s="345">
        <v>5155</v>
      </c>
      <c r="I271" s="345">
        <v>34450</v>
      </c>
      <c r="J271" s="345">
        <v>0</v>
      </c>
      <c r="K271" s="345">
        <v>75797</v>
      </c>
      <c r="L271" s="232"/>
      <c r="M271" s="345">
        <v>0</v>
      </c>
      <c r="N271" s="345">
        <v>0</v>
      </c>
      <c r="O271" s="345">
        <v>11823</v>
      </c>
      <c r="P271" s="345">
        <v>11823</v>
      </c>
      <c r="Q271" s="232"/>
      <c r="R271" s="345">
        <v>94158</v>
      </c>
      <c r="S271" s="345">
        <v>-3553</v>
      </c>
      <c r="T271" s="345">
        <v>90605</v>
      </c>
    </row>
    <row r="272" spans="1:20">
      <c r="A272" s="351">
        <v>92531</v>
      </c>
      <c r="B272" s="344" t="s">
        <v>963</v>
      </c>
      <c r="C272" s="235">
        <v>8.2580000000000001E-4</v>
      </c>
      <c r="D272" s="235">
        <v>8.4360000000000001E-4</v>
      </c>
      <c r="E272" s="345">
        <v>2255195</v>
      </c>
      <c r="F272" s="232"/>
      <c r="G272" s="345">
        <v>386147</v>
      </c>
      <c r="H272" s="345">
        <v>55007</v>
      </c>
      <c r="I272" s="345">
        <v>367559</v>
      </c>
      <c r="J272" s="345">
        <v>0</v>
      </c>
      <c r="K272" s="345">
        <v>808713</v>
      </c>
      <c r="L272" s="232"/>
      <c r="M272" s="345">
        <v>0</v>
      </c>
      <c r="N272" s="345">
        <v>0</v>
      </c>
      <c r="O272" s="345">
        <v>99856</v>
      </c>
      <c r="P272" s="345">
        <v>99856</v>
      </c>
      <c r="Q272" s="232"/>
      <c r="R272" s="345">
        <v>1004596</v>
      </c>
      <c r="S272" s="345">
        <v>-60500</v>
      </c>
      <c r="T272" s="345">
        <v>944096</v>
      </c>
    </row>
    <row r="273" spans="1:20">
      <c r="A273" s="351">
        <v>92541</v>
      </c>
      <c r="B273" s="344" t="s">
        <v>964</v>
      </c>
      <c r="C273" s="235">
        <v>1.3740000000000001E-4</v>
      </c>
      <c r="D273" s="235">
        <v>1.2459999999999999E-4</v>
      </c>
      <c r="E273" s="345">
        <v>375229</v>
      </c>
      <c r="F273" s="232"/>
      <c r="G273" s="345">
        <v>64249</v>
      </c>
      <c r="H273" s="345">
        <v>9152</v>
      </c>
      <c r="I273" s="345">
        <v>61156</v>
      </c>
      <c r="J273" s="345">
        <v>11832</v>
      </c>
      <c r="K273" s="345">
        <v>146389</v>
      </c>
      <c r="L273" s="232"/>
      <c r="M273" s="345">
        <v>0</v>
      </c>
      <c r="N273" s="345">
        <v>0</v>
      </c>
      <c r="O273" s="345">
        <v>13694</v>
      </c>
      <c r="P273" s="345">
        <v>13694</v>
      </c>
      <c r="Q273" s="232"/>
      <c r="R273" s="345">
        <v>167149</v>
      </c>
      <c r="S273" s="345">
        <v>-1967</v>
      </c>
      <c r="T273" s="345">
        <v>165182</v>
      </c>
    </row>
    <row r="274" spans="1:20">
      <c r="A274" s="351">
        <v>92551</v>
      </c>
      <c r="B274" s="344" t="s">
        <v>965</v>
      </c>
      <c r="C274" s="235">
        <v>5.7099999999999999E-5</v>
      </c>
      <c r="D274" s="235">
        <v>4.3399999999999998E-5</v>
      </c>
      <c r="E274" s="345">
        <v>155936</v>
      </c>
      <c r="F274" s="232"/>
      <c r="G274" s="345">
        <v>26700</v>
      </c>
      <c r="H274" s="345">
        <v>3804</v>
      </c>
      <c r="I274" s="345">
        <v>25415</v>
      </c>
      <c r="J274" s="345">
        <v>9274</v>
      </c>
      <c r="K274" s="345">
        <v>65193</v>
      </c>
      <c r="L274" s="232"/>
      <c r="M274" s="345">
        <v>0</v>
      </c>
      <c r="N274" s="345">
        <v>0</v>
      </c>
      <c r="O274" s="345">
        <v>6936</v>
      </c>
      <c r="P274" s="345">
        <v>6936</v>
      </c>
      <c r="Q274" s="232"/>
      <c r="R274" s="345">
        <v>69463</v>
      </c>
      <c r="S274" s="345">
        <v>-2150</v>
      </c>
      <c r="T274" s="345">
        <v>67313</v>
      </c>
    </row>
    <row r="275" spans="1:20">
      <c r="A275" s="351">
        <v>92561</v>
      </c>
      <c r="B275" s="344" t="s">
        <v>966</v>
      </c>
      <c r="C275" s="235">
        <v>1.7900000000000001E-5</v>
      </c>
      <c r="D275" s="235">
        <v>2.1399999999999998E-5</v>
      </c>
      <c r="E275" s="345">
        <v>48884</v>
      </c>
      <c r="F275" s="232"/>
      <c r="G275" s="345">
        <v>8370</v>
      </c>
      <c r="H275" s="345">
        <v>1193</v>
      </c>
      <c r="I275" s="345">
        <v>7967</v>
      </c>
      <c r="J275" s="345">
        <v>1119</v>
      </c>
      <c r="K275" s="345">
        <v>18649</v>
      </c>
      <c r="L275" s="232"/>
      <c r="M275" s="345">
        <v>0</v>
      </c>
      <c r="N275" s="345">
        <v>0</v>
      </c>
      <c r="O275" s="345">
        <v>2514</v>
      </c>
      <c r="P275" s="345">
        <v>2514</v>
      </c>
      <c r="Q275" s="232"/>
      <c r="R275" s="345">
        <v>21776</v>
      </c>
      <c r="S275" s="345">
        <v>983</v>
      </c>
      <c r="T275" s="345">
        <v>22759</v>
      </c>
    </row>
    <row r="276" spans="1:20">
      <c r="A276" s="351">
        <v>92571</v>
      </c>
      <c r="B276" s="344" t="s">
        <v>967</v>
      </c>
      <c r="C276" s="235">
        <v>8.1999999999999994E-6</v>
      </c>
      <c r="D276" s="235">
        <v>8.1000000000000004E-6</v>
      </c>
      <c r="E276" s="345">
        <v>22394</v>
      </c>
      <c r="F276" s="232"/>
      <c r="G276" s="345">
        <v>3834</v>
      </c>
      <c r="H276" s="345">
        <v>546</v>
      </c>
      <c r="I276" s="345">
        <v>3650</v>
      </c>
      <c r="J276" s="345">
        <v>4864</v>
      </c>
      <c r="K276" s="345">
        <v>12894</v>
      </c>
      <c r="L276" s="232"/>
      <c r="M276" s="345">
        <v>0</v>
      </c>
      <c r="N276" s="345">
        <v>0</v>
      </c>
      <c r="O276" s="345">
        <v>0</v>
      </c>
      <c r="P276" s="345">
        <v>0</v>
      </c>
      <c r="Q276" s="232"/>
      <c r="R276" s="345">
        <v>9975</v>
      </c>
      <c r="S276" s="345">
        <v>3043</v>
      </c>
      <c r="T276" s="345">
        <v>13018</v>
      </c>
    </row>
    <row r="277" spans="1:20">
      <c r="A277" s="351">
        <v>92601</v>
      </c>
      <c r="B277" s="344" t="s">
        <v>968</v>
      </c>
      <c r="C277" s="235">
        <v>1.32598E-2</v>
      </c>
      <c r="D277" s="235">
        <v>1.34308E-2</v>
      </c>
      <c r="E277" s="345">
        <v>36211480</v>
      </c>
      <c r="F277" s="232"/>
      <c r="G277" s="345">
        <v>6200322</v>
      </c>
      <c r="H277" s="345">
        <v>883248</v>
      </c>
      <c r="I277" s="345">
        <v>5901871</v>
      </c>
      <c r="J277" s="345">
        <v>4255</v>
      </c>
      <c r="K277" s="345">
        <v>12989696</v>
      </c>
      <c r="L277" s="232"/>
      <c r="M277" s="345">
        <v>0</v>
      </c>
      <c r="N277" s="345">
        <v>0</v>
      </c>
      <c r="O277" s="345">
        <v>897535</v>
      </c>
      <c r="P277" s="345">
        <v>897535</v>
      </c>
      <c r="Q277" s="232"/>
      <c r="R277" s="345">
        <v>16130719</v>
      </c>
      <c r="S277" s="345">
        <v>-294286</v>
      </c>
      <c r="T277" s="345">
        <v>15836433</v>
      </c>
    </row>
    <row r="278" spans="1:20">
      <c r="A278" s="351">
        <v>92602</v>
      </c>
      <c r="B278" s="344" t="s">
        <v>3666</v>
      </c>
      <c r="C278" s="235">
        <v>4.8999999999999997E-6</v>
      </c>
      <c r="D278" s="235">
        <v>6.3999999999999997E-6</v>
      </c>
      <c r="E278" s="345">
        <v>13382</v>
      </c>
      <c r="F278" s="232"/>
      <c r="G278" s="345">
        <v>2291</v>
      </c>
      <c r="H278" s="345">
        <v>327</v>
      </c>
      <c r="I278" s="345">
        <v>2181</v>
      </c>
      <c r="J278" s="345">
        <v>0</v>
      </c>
      <c r="K278" s="345">
        <v>4799</v>
      </c>
      <c r="L278" s="232"/>
      <c r="M278" s="345">
        <v>0</v>
      </c>
      <c r="N278" s="345">
        <v>0</v>
      </c>
      <c r="O278" s="345">
        <v>3457</v>
      </c>
      <c r="P278" s="345">
        <v>3457</v>
      </c>
      <c r="Q278" s="232"/>
      <c r="R278" s="345">
        <v>5961</v>
      </c>
      <c r="S278" s="345">
        <v>-1346</v>
      </c>
      <c r="T278" s="345">
        <v>4615</v>
      </c>
    </row>
    <row r="279" spans="1:20">
      <c r="A279" s="351">
        <v>92604</v>
      </c>
      <c r="B279" s="344" t="s">
        <v>3667</v>
      </c>
      <c r="C279" s="235">
        <v>3.501E-4</v>
      </c>
      <c r="D279" s="235">
        <v>3.3560000000000003E-4</v>
      </c>
      <c r="E279" s="345">
        <v>956096</v>
      </c>
      <c r="F279" s="232"/>
      <c r="G279" s="345">
        <v>163708</v>
      </c>
      <c r="H279" s="345">
        <v>23321</v>
      </c>
      <c r="I279" s="345">
        <v>155828</v>
      </c>
      <c r="J279" s="345">
        <v>65403</v>
      </c>
      <c r="K279" s="345">
        <v>408260</v>
      </c>
      <c r="L279" s="232"/>
      <c r="M279" s="345">
        <v>0</v>
      </c>
      <c r="N279" s="345">
        <v>0</v>
      </c>
      <c r="O279" s="345">
        <v>0</v>
      </c>
      <c r="P279" s="345">
        <v>0</v>
      </c>
      <c r="Q279" s="232"/>
      <c r="R279" s="345">
        <v>425901</v>
      </c>
      <c r="S279" s="345">
        <v>27996</v>
      </c>
      <c r="T279" s="345">
        <v>453897</v>
      </c>
    </row>
    <row r="280" spans="1:20">
      <c r="A280" s="351">
        <v>92607</v>
      </c>
      <c r="B280" s="344" t="s">
        <v>971</v>
      </c>
      <c r="C280" s="235">
        <v>5.6700000000000003E-5</v>
      </c>
      <c r="D280" s="235">
        <v>6.1699999999999995E-5</v>
      </c>
      <c r="E280" s="345">
        <v>154843</v>
      </c>
      <c r="F280" s="232"/>
      <c r="G280" s="345">
        <v>26513</v>
      </c>
      <c r="H280" s="345">
        <v>3776</v>
      </c>
      <c r="I280" s="345">
        <v>25237</v>
      </c>
      <c r="J280" s="345">
        <v>6120</v>
      </c>
      <c r="K280" s="345">
        <v>61646</v>
      </c>
      <c r="L280" s="232"/>
      <c r="M280" s="345">
        <v>0</v>
      </c>
      <c r="N280" s="345">
        <v>0</v>
      </c>
      <c r="O280" s="345">
        <v>758</v>
      </c>
      <c r="P280" s="345">
        <v>758</v>
      </c>
      <c r="Q280" s="232"/>
      <c r="R280" s="345">
        <v>68976</v>
      </c>
      <c r="S280" s="345">
        <v>3395</v>
      </c>
      <c r="T280" s="345">
        <v>72371</v>
      </c>
    </row>
    <row r="281" spans="1:20">
      <c r="A281" s="351">
        <v>92611</v>
      </c>
      <c r="B281" s="344" t="s">
        <v>973</v>
      </c>
      <c r="C281" s="235">
        <v>1.22078E-2</v>
      </c>
      <c r="D281" s="235">
        <v>1.26649E-2</v>
      </c>
      <c r="E281" s="345">
        <v>33338550</v>
      </c>
      <c r="F281" s="232"/>
      <c r="G281" s="345">
        <v>5708404</v>
      </c>
      <c r="H281" s="345">
        <v>813174</v>
      </c>
      <c r="I281" s="345">
        <v>5433631</v>
      </c>
      <c r="J281" s="345">
        <v>0</v>
      </c>
      <c r="K281" s="345">
        <v>11955209</v>
      </c>
      <c r="L281" s="232"/>
      <c r="M281" s="345">
        <v>0</v>
      </c>
      <c r="N281" s="345">
        <v>0</v>
      </c>
      <c r="O281" s="345">
        <v>1375351</v>
      </c>
      <c r="P281" s="345">
        <v>1375351</v>
      </c>
      <c r="Q281" s="232"/>
      <c r="R281" s="345">
        <v>14850947</v>
      </c>
      <c r="S281" s="345">
        <v>-601384</v>
      </c>
      <c r="T281" s="345">
        <v>14249563</v>
      </c>
    </row>
    <row r="282" spans="1:20">
      <c r="A282" s="351">
        <v>92613</v>
      </c>
      <c r="B282" s="344" t="s">
        <v>2761</v>
      </c>
      <c r="C282" s="235">
        <v>2.23E-4</v>
      </c>
      <c r="D282" s="235">
        <v>2.3599999999999999E-4</v>
      </c>
      <c r="E282" s="345">
        <v>608996</v>
      </c>
      <c r="F282" s="232"/>
      <c r="G282" s="345">
        <v>104275</v>
      </c>
      <c r="H282" s="345">
        <v>14855</v>
      </c>
      <c r="I282" s="345">
        <v>99256</v>
      </c>
      <c r="J282" s="345">
        <v>9981</v>
      </c>
      <c r="K282" s="345">
        <v>228367</v>
      </c>
      <c r="L282" s="232"/>
      <c r="M282" s="345">
        <v>0</v>
      </c>
      <c r="N282" s="345">
        <v>0</v>
      </c>
      <c r="O282" s="345">
        <v>815</v>
      </c>
      <c r="P282" s="345">
        <v>815</v>
      </c>
      <c r="Q282" s="232"/>
      <c r="R282" s="345">
        <v>271282</v>
      </c>
      <c r="S282" s="345">
        <v>36410</v>
      </c>
      <c r="T282" s="345">
        <v>307692</v>
      </c>
    </row>
    <row r="283" spans="1:20">
      <c r="A283" s="351">
        <v>92614</v>
      </c>
      <c r="B283" s="344" t="s">
        <v>3668</v>
      </c>
      <c r="C283" s="235">
        <v>5.7201999999999999E-3</v>
      </c>
      <c r="D283" s="235">
        <v>5.5757000000000003E-3</v>
      </c>
      <c r="E283" s="345">
        <v>15621420</v>
      </c>
      <c r="F283" s="232"/>
      <c r="G283" s="345">
        <v>2674783</v>
      </c>
      <c r="H283" s="345">
        <v>381028</v>
      </c>
      <c r="I283" s="345">
        <v>2546032</v>
      </c>
      <c r="J283" s="345">
        <v>4572156</v>
      </c>
      <c r="K283" s="345">
        <v>10173999</v>
      </c>
      <c r="L283" s="232"/>
      <c r="M283" s="345">
        <v>0</v>
      </c>
      <c r="N283" s="345">
        <v>0</v>
      </c>
      <c r="O283" s="345">
        <v>0</v>
      </c>
      <c r="P283" s="345">
        <v>0</v>
      </c>
      <c r="Q283" s="232"/>
      <c r="R283" s="345">
        <v>6958698</v>
      </c>
      <c r="S283" s="345">
        <v>2169149</v>
      </c>
      <c r="T283" s="345">
        <v>9127847</v>
      </c>
    </row>
    <row r="284" spans="1:20">
      <c r="A284" s="351">
        <v>92621</v>
      </c>
      <c r="B284" s="344" t="s">
        <v>976</v>
      </c>
      <c r="C284" s="235">
        <v>2.8900000000000001E-5</v>
      </c>
      <c r="D284" s="235">
        <v>2.4600000000000002E-5</v>
      </c>
      <c r="E284" s="345">
        <v>78924</v>
      </c>
      <c r="F284" s="232"/>
      <c r="G284" s="345">
        <v>13514</v>
      </c>
      <c r="H284" s="345">
        <v>1925</v>
      </c>
      <c r="I284" s="345">
        <v>12863</v>
      </c>
      <c r="J284" s="345">
        <v>3366</v>
      </c>
      <c r="K284" s="345">
        <v>31668</v>
      </c>
      <c r="L284" s="232"/>
      <c r="M284" s="345">
        <v>0</v>
      </c>
      <c r="N284" s="345">
        <v>0</v>
      </c>
      <c r="O284" s="345">
        <v>3093</v>
      </c>
      <c r="P284" s="345">
        <v>3093</v>
      </c>
      <c r="Q284" s="232"/>
      <c r="R284" s="345">
        <v>35157</v>
      </c>
      <c r="S284" s="345">
        <v>-385</v>
      </c>
      <c r="T284" s="345">
        <v>34772</v>
      </c>
    </row>
    <row r="285" spans="1:20">
      <c r="A285" s="351">
        <v>92631</v>
      </c>
      <c r="B285" s="344" t="s">
        <v>977</v>
      </c>
      <c r="C285" s="235">
        <v>9.3329999999999997E-4</v>
      </c>
      <c r="D285" s="235">
        <v>9.0030000000000004E-4</v>
      </c>
      <c r="E285" s="345">
        <v>2548770</v>
      </c>
      <c r="F285" s="232"/>
      <c r="G285" s="345">
        <v>436414</v>
      </c>
      <c r="H285" s="345">
        <v>62168</v>
      </c>
      <c r="I285" s="345">
        <v>415407</v>
      </c>
      <c r="J285" s="345">
        <v>0</v>
      </c>
      <c r="K285" s="345">
        <v>913989</v>
      </c>
      <c r="L285" s="232"/>
      <c r="M285" s="345">
        <v>0</v>
      </c>
      <c r="N285" s="345">
        <v>0</v>
      </c>
      <c r="O285" s="345">
        <v>84635</v>
      </c>
      <c r="P285" s="345">
        <v>84635</v>
      </c>
      <c r="Q285" s="232"/>
      <c r="R285" s="345">
        <v>1135372</v>
      </c>
      <c r="S285" s="345">
        <v>-54823</v>
      </c>
      <c r="T285" s="345">
        <v>1080549</v>
      </c>
    </row>
    <row r="286" spans="1:20">
      <c r="A286" s="351">
        <v>92641</v>
      </c>
      <c r="B286" s="344" t="s">
        <v>978</v>
      </c>
      <c r="C286" s="235">
        <v>1.11E-5</v>
      </c>
      <c r="D286" s="235">
        <v>9.7000000000000003E-6</v>
      </c>
      <c r="E286" s="345">
        <v>30313</v>
      </c>
      <c r="F286" s="232"/>
      <c r="G286" s="345">
        <v>5190</v>
      </c>
      <c r="H286" s="345">
        <v>739</v>
      </c>
      <c r="I286" s="345">
        <v>4941</v>
      </c>
      <c r="J286" s="345">
        <v>4477</v>
      </c>
      <c r="K286" s="345">
        <v>15347</v>
      </c>
      <c r="L286" s="232"/>
      <c r="M286" s="345">
        <v>0</v>
      </c>
      <c r="N286" s="345">
        <v>0</v>
      </c>
      <c r="O286" s="345">
        <v>0</v>
      </c>
      <c r="P286" s="345">
        <v>0</v>
      </c>
      <c r="Q286" s="232"/>
      <c r="R286" s="345">
        <v>13503</v>
      </c>
      <c r="S286" s="345">
        <v>2071</v>
      </c>
      <c r="T286" s="345">
        <v>15574</v>
      </c>
    </row>
    <row r="287" spans="1:20">
      <c r="A287" s="351">
        <v>92651</v>
      </c>
      <c r="B287" s="344" t="s">
        <v>979</v>
      </c>
      <c r="C287" s="235">
        <v>4.3000000000000003E-6</v>
      </c>
      <c r="D287" s="235">
        <v>4.4000000000000002E-6</v>
      </c>
      <c r="E287" s="345">
        <v>11743</v>
      </c>
      <c r="F287" s="232"/>
      <c r="G287" s="345">
        <v>2011</v>
      </c>
      <c r="H287" s="345">
        <v>287</v>
      </c>
      <c r="I287" s="345">
        <v>1914</v>
      </c>
      <c r="J287" s="345">
        <v>2560</v>
      </c>
      <c r="K287" s="345">
        <v>6772</v>
      </c>
      <c r="L287" s="232"/>
      <c r="M287" s="345">
        <v>0</v>
      </c>
      <c r="N287" s="345">
        <v>0</v>
      </c>
      <c r="O287" s="345">
        <v>0</v>
      </c>
      <c r="P287" s="345">
        <v>0</v>
      </c>
      <c r="Q287" s="232"/>
      <c r="R287" s="345">
        <v>5231</v>
      </c>
      <c r="S287" s="345">
        <v>1459</v>
      </c>
      <c r="T287" s="345">
        <v>6690</v>
      </c>
    </row>
    <row r="288" spans="1:20">
      <c r="A288" s="351">
        <v>92661</v>
      </c>
      <c r="B288" s="344" t="s">
        <v>980</v>
      </c>
      <c r="C288" s="235">
        <v>6.2509999999999996E-4</v>
      </c>
      <c r="D288" s="235">
        <v>6.334E-4</v>
      </c>
      <c r="E288" s="345">
        <v>1707099</v>
      </c>
      <c r="F288" s="232"/>
      <c r="G288" s="345">
        <v>292299</v>
      </c>
      <c r="H288" s="345">
        <v>41639</v>
      </c>
      <c r="I288" s="345">
        <v>278229</v>
      </c>
      <c r="J288" s="345">
        <v>451004</v>
      </c>
      <c r="K288" s="345">
        <v>1063171</v>
      </c>
      <c r="L288" s="232"/>
      <c r="M288" s="345">
        <v>0</v>
      </c>
      <c r="N288" s="345">
        <v>0</v>
      </c>
      <c r="O288" s="345">
        <v>0</v>
      </c>
      <c r="P288" s="345">
        <v>0</v>
      </c>
      <c r="Q288" s="232"/>
      <c r="R288" s="345">
        <v>760442</v>
      </c>
      <c r="S288" s="345">
        <v>221566</v>
      </c>
      <c r="T288" s="345">
        <v>982008</v>
      </c>
    </row>
    <row r="289" spans="1:20">
      <c r="A289" s="351">
        <v>92671</v>
      </c>
      <c r="B289" s="344" t="s">
        <v>981</v>
      </c>
      <c r="C289" s="235">
        <v>2.0999999999999998E-6</v>
      </c>
      <c r="D289" s="235">
        <v>2.3999999999999999E-6</v>
      </c>
      <c r="E289" s="345">
        <v>5735</v>
      </c>
      <c r="F289" s="232"/>
      <c r="G289" s="345">
        <v>982</v>
      </c>
      <c r="H289" s="345">
        <v>140</v>
      </c>
      <c r="I289" s="345">
        <v>935</v>
      </c>
      <c r="J289" s="345">
        <v>7841</v>
      </c>
      <c r="K289" s="345">
        <v>9898</v>
      </c>
      <c r="L289" s="232"/>
      <c r="M289" s="345">
        <v>0</v>
      </c>
      <c r="N289" s="345">
        <v>0</v>
      </c>
      <c r="O289" s="345">
        <v>0</v>
      </c>
      <c r="P289" s="345">
        <v>0</v>
      </c>
      <c r="Q289" s="232"/>
      <c r="R289" s="345">
        <v>2555</v>
      </c>
      <c r="S289" s="345">
        <v>3581</v>
      </c>
      <c r="T289" s="345">
        <v>6136</v>
      </c>
    </row>
    <row r="290" spans="1:20">
      <c r="A290" s="351">
        <v>92681</v>
      </c>
      <c r="B290" s="344" t="s">
        <v>982</v>
      </c>
      <c r="C290" s="235">
        <v>1.1800000000000001E-5</v>
      </c>
      <c r="D290" s="235">
        <v>1.1800000000000001E-5</v>
      </c>
      <c r="E290" s="345">
        <v>32225</v>
      </c>
      <c r="F290" s="232"/>
      <c r="G290" s="345">
        <v>5518</v>
      </c>
      <c r="H290" s="345">
        <v>786</v>
      </c>
      <c r="I290" s="345">
        <v>5252</v>
      </c>
      <c r="J290" s="345">
        <v>10687</v>
      </c>
      <c r="K290" s="345">
        <v>22243</v>
      </c>
      <c r="L290" s="232"/>
      <c r="M290" s="345">
        <v>0</v>
      </c>
      <c r="N290" s="345">
        <v>0</v>
      </c>
      <c r="O290" s="345">
        <v>0</v>
      </c>
      <c r="P290" s="345">
        <v>0</v>
      </c>
      <c r="Q290" s="232"/>
      <c r="R290" s="345">
        <v>14355</v>
      </c>
      <c r="S290" s="345">
        <v>5975</v>
      </c>
      <c r="T290" s="345">
        <v>20330</v>
      </c>
    </row>
    <row r="291" spans="1:20">
      <c r="A291" s="351">
        <v>92701</v>
      </c>
      <c r="B291" s="344" t="s">
        <v>983</v>
      </c>
      <c r="C291" s="235">
        <v>3.0688999999999998E-3</v>
      </c>
      <c r="D291" s="235">
        <v>2.8871000000000001E-3</v>
      </c>
      <c r="E291" s="345">
        <v>8380927</v>
      </c>
      <c r="F291" s="232"/>
      <c r="G291" s="345">
        <v>1435027</v>
      </c>
      <c r="H291" s="345">
        <v>204422</v>
      </c>
      <c r="I291" s="345">
        <v>1365952</v>
      </c>
      <c r="J291" s="345">
        <v>123035</v>
      </c>
      <c r="K291" s="345">
        <v>3128436</v>
      </c>
      <c r="L291" s="232"/>
      <c r="M291" s="345">
        <v>0</v>
      </c>
      <c r="N291" s="345">
        <v>0</v>
      </c>
      <c r="O291" s="345">
        <v>112999</v>
      </c>
      <c r="P291" s="345">
        <v>112999</v>
      </c>
      <c r="Q291" s="232"/>
      <c r="R291" s="345">
        <v>3733357</v>
      </c>
      <c r="S291" s="345">
        <v>-3483</v>
      </c>
      <c r="T291" s="345">
        <v>3729874</v>
      </c>
    </row>
    <row r="292" spans="1:20">
      <c r="A292" s="351">
        <v>92704</v>
      </c>
      <c r="B292" s="344" t="s">
        <v>3669</v>
      </c>
      <c r="C292" s="235">
        <v>3.6900000000000002E-5</v>
      </c>
      <c r="D292" s="235">
        <v>3.9400000000000002E-5</v>
      </c>
      <c r="E292" s="345">
        <v>100771</v>
      </c>
      <c r="F292" s="232"/>
      <c r="G292" s="345">
        <v>17255</v>
      </c>
      <c r="H292" s="345">
        <v>2458</v>
      </c>
      <c r="I292" s="345">
        <v>16424</v>
      </c>
      <c r="J292" s="345">
        <v>0</v>
      </c>
      <c r="K292" s="345">
        <v>36137</v>
      </c>
      <c r="L292" s="232"/>
      <c r="M292" s="345">
        <v>0</v>
      </c>
      <c r="N292" s="345">
        <v>0</v>
      </c>
      <c r="O292" s="345">
        <v>5075</v>
      </c>
      <c r="P292" s="345">
        <v>5075</v>
      </c>
      <c r="Q292" s="232"/>
      <c r="R292" s="345">
        <v>44889</v>
      </c>
      <c r="S292" s="345">
        <v>-1568</v>
      </c>
      <c r="T292" s="345">
        <v>43321</v>
      </c>
    </row>
    <row r="293" spans="1:20">
      <c r="A293" s="351">
        <v>92801</v>
      </c>
      <c r="B293" s="344" t="s">
        <v>985</v>
      </c>
      <c r="C293" s="235">
        <v>5.4352999999999997E-3</v>
      </c>
      <c r="D293" s="235">
        <v>5.2335999999999997E-3</v>
      </c>
      <c r="E293" s="345">
        <v>14843380</v>
      </c>
      <c r="F293" s="232"/>
      <c r="G293" s="345">
        <v>2541563</v>
      </c>
      <c r="H293" s="345">
        <v>362051</v>
      </c>
      <c r="I293" s="345">
        <v>2419225</v>
      </c>
      <c r="J293" s="345">
        <v>372203</v>
      </c>
      <c r="K293" s="345">
        <v>5695042</v>
      </c>
      <c r="L293" s="232"/>
      <c r="M293" s="345">
        <v>0</v>
      </c>
      <c r="N293" s="345">
        <v>0</v>
      </c>
      <c r="O293" s="345">
        <v>0</v>
      </c>
      <c r="P293" s="345">
        <v>0</v>
      </c>
      <c r="Q293" s="232"/>
      <c r="R293" s="345">
        <v>6612113</v>
      </c>
      <c r="S293" s="345">
        <v>156138</v>
      </c>
      <c r="T293" s="345">
        <v>6768251</v>
      </c>
    </row>
    <row r="294" spans="1:20" ht="14.25" customHeight="1">
      <c r="A294" s="351">
        <v>92802</v>
      </c>
      <c r="B294" s="344" t="s">
        <v>986</v>
      </c>
      <c r="C294" s="235">
        <v>1.198E-4</v>
      </c>
      <c r="D294" s="235">
        <v>1.2799999999999999E-4</v>
      </c>
      <c r="E294" s="345">
        <v>327164</v>
      </c>
      <c r="F294" s="232"/>
      <c r="G294" s="345">
        <v>56019</v>
      </c>
      <c r="H294" s="345">
        <v>7980</v>
      </c>
      <c r="I294" s="345">
        <v>53322</v>
      </c>
      <c r="J294" s="345">
        <v>0</v>
      </c>
      <c r="K294" s="345">
        <v>117321</v>
      </c>
      <c r="L294" s="232"/>
      <c r="M294" s="345">
        <v>0</v>
      </c>
      <c r="N294" s="345">
        <v>0</v>
      </c>
      <c r="O294" s="345">
        <v>18832</v>
      </c>
      <c r="P294" s="345">
        <v>18832</v>
      </c>
      <c r="Q294" s="232"/>
      <c r="R294" s="345">
        <v>145738</v>
      </c>
      <c r="S294" s="345">
        <v>-9182</v>
      </c>
      <c r="T294" s="345">
        <v>136556</v>
      </c>
    </row>
    <row r="295" spans="1:20" s="364" customFormat="1" ht="14.25" customHeight="1">
      <c r="A295" s="351">
        <v>92804</v>
      </c>
      <c r="B295" s="344" t="s">
        <v>987</v>
      </c>
      <c r="C295" s="235">
        <v>1.427E-4</v>
      </c>
      <c r="D295" s="235">
        <v>1.4990000000000001E-4</v>
      </c>
      <c r="E295" s="345">
        <v>389703</v>
      </c>
      <c r="F295" s="232"/>
      <c r="G295" s="345">
        <v>66727</v>
      </c>
      <c r="H295" s="345">
        <v>9505</v>
      </c>
      <c r="I295" s="345">
        <v>63515</v>
      </c>
      <c r="J295" s="345">
        <v>4663</v>
      </c>
      <c r="K295" s="345">
        <v>144410</v>
      </c>
      <c r="L295" s="232"/>
      <c r="M295" s="345">
        <v>0</v>
      </c>
      <c r="N295" s="345">
        <v>0</v>
      </c>
      <c r="O295" s="345">
        <v>15239</v>
      </c>
      <c r="P295" s="345">
        <v>15239</v>
      </c>
      <c r="Q295" s="232"/>
      <c r="R295" s="345">
        <v>173596</v>
      </c>
      <c r="S295" s="345">
        <v>-571</v>
      </c>
      <c r="T295" s="345">
        <v>173025</v>
      </c>
    </row>
    <row r="296" spans="1:20" s="364" customFormat="1" ht="14.25" customHeight="1">
      <c r="A296" s="351">
        <v>92811</v>
      </c>
      <c r="B296" s="344" t="s">
        <v>988</v>
      </c>
      <c r="C296" s="235">
        <v>9.1160000000000004E-4</v>
      </c>
      <c r="D296" s="235">
        <v>9.6909999999999997E-4</v>
      </c>
      <c r="E296" s="345">
        <v>2489508</v>
      </c>
      <c r="F296" s="232"/>
      <c r="G296" s="345">
        <v>426267</v>
      </c>
      <c r="H296" s="345">
        <v>60722</v>
      </c>
      <c r="I296" s="345">
        <v>405749</v>
      </c>
      <c r="J296" s="345">
        <v>0</v>
      </c>
      <c r="K296" s="345">
        <v>892738</v>
      </c>
      <c r="L296" s="232"/>
      <c r="M296" s="345">
        <v>0</v>
      </c>
      <c r="N296" s="345">
        <v>0</v>
      </c>
      <c r="O296" s="345">
        <v>70333</v>
      </c>
      <c r="P296" s="345">
        <v>70333</v>
      </c>
      <c r="Q296" s="232"/>
      <c r="R296" s="345">
        <v>1108973</v>
      </c>
      <c r="S296" s="345">
        <v>-39478</v>
      </c>
      <c r="T296" s="345">
        <v>1069495</v>
      </c>
    </row>
    <row r="297" spans="1:20">
      <c r="A297" s="351">
        <v>92821</v>
      </c>
      <c r="B297" s="344" t="s">
        <v>989</v>
      </c>
      <c r="C297" s="235">
        <v>9.8409999999999991E-4</v>
      </c>
      <c r="D297" s="235">
        <v>1.0001999999999999E-3</v>
      </c>
      <c r="E297" s="345">
        <v>2687500</v>
      </c>
      <c r="F297" s="232"/>
      <c r="G297" s="345">
        <v>460168</v>
      </c>
      <c r="H297" s="345">
        <v>65552</v>
      </c>
      <c r="I297" s="345">
        <v>438018</v>
      </c>
      <c r="J297" s="345">
        <v>21378</v>
      </c>
      <c r="K297" s="345">
        <v>985116</v>
      </c>
      <c r="L297" s="232"/>
      <c r="M297" s="345">
        <v>0</v>
      </c>
      <c r="N297" s="345">
        <v>0</v>
      </c>
      <c r="O297" s="345">
        <v>0</v>
      </c>
      <c r="P297" s="345">
        <v>0</v>
      </c>
      <c r="Q297" s="232"/>
      <c r="R297" s="345">
        <v>1197170</v>
      </c>
      <c r="S297" s="345">
        <v>12668</v>
      </c>
      <c r="T297" s="345">
        <v>1209838</v>
      </c>
    </row>
    <row r="298" spans="1:20">
      <c r="A298" s="351">
        <v>92831</v>
      </c>
      <c r="B298" s="344" t="s">
        <v>990</v>
      </c>
      <c r="C298" s="235">
        <v>2.5230000000000001E-4</v>
      </c>
      <c r="D298" s="235">
        <v>2.3580000000000001E-4</v>
      </c>
      <c r="E298" s="345">
        <v>689012</v>
      </c>
      <c r="F298" s="232"/>
      <c r="G298" s="345">
        <v>117976</v>
      </c>
      <c r="H298" s="345">
        <v>16806</v>
      </c>
      <c r="I298" s="345">
        <v>112297</v>
      </c>
      <c r="J298" s="345">
        <v>49093</v>
      </c>
      <c r="K298" s="345">
        <v>296172</v>
      </c>
      <c r="L298" s="232"/>
      <c r="M298" s="345">
        <v>0</v>
      </c>
      <c r="N298" s="345">
        <v>0</v>
      </c>
      <c r="O298" s="345">
        <v>1078</v>
      </c>
      <c r="P298" s="345">
        <v>1078</v>
      </c>
      <c r="Q298" s="232"/>
      <c r="R298" s="345">
        <v>306926</v>
      </c>
      <c r="S298" s="345">
        <v>18160</v>
      </c>
      <c r="T298" s="345">
        <v>325086</v>
      </c>
    </row>
    <row r="299" spans="1:20">
      <c r="A299" s="351">
        <v>92841</v>
      </c>
      <c r="B299" s="344" t="s">
        <v>991</v>
      </c>
      <c r="C299" s="235">
        <v>2.4340000000000001E-4</v>
      </c>
      <c r="D299" s="235">
        <v>2.5769999999999998E-4</v>
      </c>
      <c r="E299" s="345">
        <v>664706</v>
      </c>
      <c r="F299" s="232"/>
      <c r="G299" s="345">
        <v>113815</v>
      </c>
      <c r="H299" s="345">
        <v>16213</v>
      </c>
      <c r="I299" s="345">
        <v>108336</v>
      </c>
      <c r="J299" s="345">
        <v>0</v>
      </c>
      <c r="K299" s="345">
        <v>238364</v>
      </c>
      <c r="L299" s="232"/>
      <c r="M299" s="345">
        <v>0</v>
      </c>
      <c r="N299" s="345">
        <v>0</v>
      </c>
      <c r="O299" s="345">
        <v>25404</v>
      </c>
      <c r="P299" s="345">
        <v>25404</v>
      </c>
      <c r="Q299" s="232"/>
      <c r="R299" s="345">
        <v>296099</v>
      </c>
      <c r="S299" s="345">
        <v>-9365</v>
      </c>
      <c r="T299" s="345">
        <v>286734</v>
      </c>
    </row>
    <row r="300" spans="1:20">
      <c r="A300" s="351">
        <v>92851</v>
      </c>
      <c r="B300" s="344" t="s">
        <v>992</v>
      </c>
      <c r="C300" s="235">
        <v>4.2850000000000001E-4</v>
      </c>
      <c r="D300" s="235">
        <v>4.3899999999999999E-4</v>
      </c>
      <c r="E300" s="345">
        <v>1170200</v>
      </c>
      <c r="F300" s="232"/>
      <c r="G300" s="345">
        <v>200368</v>
      </c>
      <c r="H300" s="345">
        <v>28542</v>
      </c>
      <c r="I300" s="345">
        <v>190723</v>
      </c>
      <c r="J300" s="345">
        <v>0</v>
      </c>
      <c r="K300" s="345">
        <v>419633</v>
      </c>
      <c r="L300" s="232"/>
      <c r="M300" s="345">
        <v>0</v>
      </c>
      <c r="N300" s="345">
        <v>0</v>
      </c>
      <c r="O300" s="345">
        <v>64195</v>
      </c>
      <c r="P300" s="345">
        <v>64195</v>
      </c>
      <c r="Q300" s="232"/>
      <c r="R300" s="345">
        <v>521276</v>
      </c>
      <c r="S300" s="345">
        <v>-33079</v>
      </c>
      <c r="T300" s="345">
        <v>488197</v>
      </c>
    </row>
    <row r="301" spans="1:20">
      <c r="A301" s="351">
        <v>92861</v>
      </c>
      <c r="B301" s="344" t="s">
        <v>993</v>
      </c>
      <c r="C301" s="235">
        <v>3.6309999999999999E-4</v>
      </c>
      <c r="D301" s="235">
        <v>3.7629999999999999E-4</v>
      </c>
      <c r="E301" s="345">
        <v>991598</v>
      </c>
      <c r="F301" s="232"/>
      <c r="G301" s="345">
        <v>169787</v>
      </c>
      <c r="H301" s="345">
        <v>24187</v>
      </c>
      <c r="I301" s="345">
        <v>161614</v>
      </c>
      <c r="J301" s="345">
        <v>0</v>
      </c>
      <c r="K301" s="345">
        <v>355588</v>
      </c>
      <c r="L301" s="232"/>
      <c r="M301" s="345">
        <v>0</v>
      </c>
      <c r="N301" s="345">
        <v>0</v>
      </c>
      <c r="O301" s="345">
        <v>75179</v>
      </c>
      <c r="P301" s="345">
        <v>75179</v>
      </c>
      <c r="Q301" s="232"/>
      <c r="R301" s="345">
        <v>441716</v>
      </c>
      <c r="S301" s="345">
        <v>-40752</v>
      </c>
      <c r="T301" s="345">
        <v>400964</v>
      </c>
    </row>
    <row r="302" spans="1:20">
      <c r="A302" s="351">
        <v>92901</v>
      </c>
      <c r="B302" s="344" t="s">
        <v>994</v>
      </c>
      <c r="C302" s="235">
        <v>5.4326000000000001E-3</v>
      </c>
      <c r="D302" s="235">
        <v>5.4257999999999997E-3</v>
      </c>
      <c r="E302" s="345">
        <v>14836007</v>
      </c>
      <c r="F302" s="232"/>
      <c r="G302" s="345">
        <v>2540300</v>
      </c>
      <c r="H302" s="345">
        <v>361871</v>
      </c>
      <c r="I302" s="345">
        <v>2418023</v>
      </c>
      <c r="J302" s="345">
        <v>38960</v>
      </c>
      <c r="K302" s="345">
        <v>5359154</v>
      </c>
      <c r="L302" s="232"/>
      <c r="M302" s="345">
        <v>0</v>
      </c>
      <c r="N302" s="345">
        <v>0</v>
      </c>
      <c r="O302" s="345">
        <v>54506</v>
      </c>
      <c r="P302" s="345">
        <v>54506</v>
      </c>
      <c r="Q302" s="232"/>
      <c r="R302" s="345">
        <v>6608829</v>
      </c>
      <c r="S302" s="345">
        <v>-4364</v>
      </c>
      <c r="T302" s="345">
        <v>6604465</v>
      </c>
    </row>
    <row r="303" spans="1:20">
      <c r="A303" s="351">
        <v>92911</v>
      </c>
      <c r="B303" s="344" t="s">
        <v>995</v>
      </c>
      <c r="C303" s="235">
        <v>1.9161E-3</v>
      </c>
      <c r="D303" s="235">
        <v>1.9322E-3</v>
      </c>
      <c r="E303" s="345">
        <v>5232720</v>
      </c>
      <c r="F303" s="232"/>
      <c r="G303" s="345">
        <v>895974</v>
      </c>
      <c r="H303" s="345">
        <v>127633</v>
      </c>
      <c r="I303" s="345">
        <v>852847</v>
      </c>
      <c r="J303" s="345">
        <v>59315</v>
      </c>
      <c r="K303" s="345">
        <v>1935769</v>
      </c>
      <c r="L303" s="232"/>
      <c r="M303" s="345">
        <v>0</v>
      </c>
      <c r="N303" s="345">
        <v>0</v>
      </c>
      <c r="O303" s="345">
        <v>12601</v>
      </c>
      <c r="P303" s="345">
        <v>12601</v>
      </c>
      <c r="Q303" s="232"/>
      <c r="R303" s="345">
        <v>2330961</v>
      </c>
      <c r="S303" s="345">
        <v>-19454</v>
      </c>
      <c r="T303" s="345">
        <v>2311507</v>
      </c>
    </row>
    <row r="304" spans="1:20">
      <c r="A304" s="351">
        <v>92913</v>
      </c>
      <c r="B304" s="344" t="s">
        <v>996</v>
      </c>
      <c r="C304" s="235">
        <v>2.0400000000000001E-5</v>
      </c>
      <c r="D304" s="235">
        <v>2.1500000000000001E-5</v>
      </c>
      <c r="E304" s="345">
        <v>55711</v>
      </c>
      <c r="F304" s="232"/>
      <c r="G304" s="345">
        <v>9539</v>
      </c>
      <c r="H304" s="345">
        <v>1359</v>
      </c>
      <c r="I304" s="345">
        <v>9080</v>
      </c>
      <c r="J304" s="345">
        <v>95515</v>
      </c>
      <c r="K304" s="345">
        <v>115493</v>
      </c>
      <c r="L304" s="232"/>
      <c r="M304" s="345">
        <v>0</v>
      </c>
      <c r="N304" s="345">
        <v>0</v>
      </c>
      <c r="O304" s="345">
        <v>0</v>
      </c>
      <c r="P304" s="345">
        <v>0</v>
      </c>
      <c r="Q304" s="232"/>
      <c r="R304" s="345">
        <v>24817</v>
      </c>
      <c r="S304" s="345">
        <v>45531</v>
      </c>
      <c r="T304" s="345">
        <v>70348</v>
      </c>
    </row>
    <row r="305" spans="1:20">
      <c r="A305" s="351">
        <v>92914</v>
      </c>
      <c r="B305" s="344" t="s">
        <v>997</v>
      </c>
      <c r="C305" s="235">
        <v>2.55E-5</v>
      </c>
      <c r="D305" s="235">
        <v>2.4899999999999999E-5</v>
      </c>
      <c r="E305" s="345">
        <v>69639</v>
      </c>
      <c r="F305" s="232"/>
      <c r="G305" s="345">
        <v>11924</v>
      </c>
      <c r="H305" s="345">
        <v>1699</v>
      </c>
      <c r="I305" s="345">
        <v>11350</v>
      </c>
      <c r="J305" s="345">
        <v>10211</v>
      </c>
      <c r="K305" s="345">
        <v>35184</v>
      </c>
      <c r="L305" s="232"/>
      <c r="M305" s="345">
        <v>0</v>
      </c>
      <c r="N305" s="345">
        <v>0</v>
      </c>
      <c r="O305" s="345">
        <v>934</v>
      </c>
      <c r="P305" s="345">
        <v>934</v>
      </c>
      <c r="Q305" s="232"/>
      <c r="R305" s="345">
        <v>31021</v>
      </c>
      <c r="S305" s="345">
        <v>4387</v>
      </c>
      <c r="T305" s="345">
        <v>35408</v>
      </c>
    </row>
    <row r="306" spans="1:20">
      <c r="A306" s="351">
        <v>92917</v>
      </c>
      <c r="B306" s="344" t="s">
        <v>998</v>
      </c>
      <c r="C306" s="235">
        <v>1.9199999999999999E-5</v>
      </c>
      <c r="D306" s="235">
        <v>1.6099999999999998E-5</v>
      </c>
      <c r="E306" s="345">
        <v>52434</v>
      </c>
      <c r="F306" s="232"/>
      <c r="G306" s="345">
        <v>8978</v>
      </c>
      <c r="H306" s="345">
        <v>1279</v>
      </c>
      <c r="I306" s="345">
        <v>8546</v>
      </c>
      <c r="J306" s="345">
        <v>16266</v>
      </c>
      <c r="K306" s="345">
        <v>35069</v>
      </c>
      <c r="L306" s="232"/>
      <c r="M306" s="345">
        <v>0</v>
      </c>
      <c r="N306" s="345">
        <v>0</v>
      </c>
      <c r="O306" s="345">
        <v>0</v>
      </c>
      <c r="P306" s="345">
        <v>0</v>
      </c>
      <c r="Q306" s="232"/>
      <c r="R306" s="345">
        <v>23357</v>
      </c>
      <c r="S306" s="345">
        <v>7245</v>
      </c>
      <c r="T306" s="345">
        <v>30602</v>
      </c>
    </row>
    <row r="307" spans="1:20">
      <c r="A307" s="351">
        <v>92921</v>
      </c>
      <c r="B307" s="344" t="s">
        <v>999</v>
      </c>
      <c r="C307" s="235">
        <v>9.6600000000000003E-5</v>
      </c>
      <c r="D307" s="235">
        <v>9.2499999999999999E-5</v>
      </c>
      <c r="E307" s="345">
        <v>263807</v>
      </c>
      <c r="F307" s="232"/>
      <c r="G307" s="345">
        <v>45170</v>
      </c>
      <c r="H307" s="345">
        <v>6435</v>
      </c>
      <c r="I307" s="345">
        <v>42996</v>
      </c>
      <c r="J307" s="345">
        <v>27274</v>
      </c>
      <c r="K307" s="345">
        <v>121875</v>
      </c>
      <c r="L307" s="232"/>
      <c r="M307" s="345">
        <v>0</v>
      </c>
      <c r="N307" s="345">
        <v>0</v>
      </c>
      <c r="O307" s="345">
        <v>766</v>
      </c>
      <c r="P307" s="345">
        <v>766</v>
      </c>
      <c r="Q307" s="232"/>
      <c r="R307" s="345">
        <v>117515</v>
      </c>
      <c r="S307" s="345">
        <v>8501</v>
      </c>
      <c r="T307" s="345">
        <v>126016</v>
      </c>
    </row>
    <row r="308" spans="1:20">
      <c r="A308" s="351">
        <v>92931</v>
      </c>
      <c r="B308" s="344" t="s">
        <v>1000</v>
      </c>
      <c r="C308" s="235">
        <v>2.2504999999999999E-3</v>
      </c>
      <c r="D308" s="235">
        <v>2.4600999999999998E-3</v>
      </c>
      <c r="E308" s="345">
        <v>6145940</v>
      </c>
      <c r="F308" s="232"/>
      <c r="G308" s="345">
        <v>1052341</v>
      </c>
      <c r="H308" s="345">
        <v>149908</v>
      </c>
      <c r="I308" s="345">
        <v>1001686</v>
      </c>
      <c r="J308" s="345">
        <v>21154</v>
      </c>
      <c r="K308" s="345">
        <v>2225089</v>
      </c>
      <c r="L308" s="232"/>
      <c r="M308" s="345">
        <v>0</v>
      </c>
      <c r="N308" s="345">
        <v>0</v>
      </c>
      <c r="O308" s="345">
        <v>242689</v>
      </c>
      <c r="P308" s="345">
        <v>242689</v>
      </c>
      <c r="Q308" s="232"/>
      <c r="R308" s="345">
        <v>2737763</v>
      </c>
      <c r="S308" s="345">
        <v>-87922</v>
      </c>
      <c r="T308" s="345">
        <v>2649841</v>
      </c>
    </row>
    <row r="309" spans="1:20">
      <c r="A309" s="351">
        <v>92941</v>
      </c>
      <c r="B309" s="344" t="s">
        <v>81</v>
      </c>
      <c r="C309" s="235">
        <v>4.1999999999999996E-6</v>
      </c>
      <c r="D309" s="235">
        <v>4.3000000000000003E-6</v>
      </c>
      <c r="E309" s="345">
        <v>11470</v>
      </c>
      <c r="F309" s="232"/>
      <c r="G309" s="345">
        <v>1964</v>
      </c>
      <c r="H309" s="345">
        <v>280</v>
      </c>
      <c r="I309" s="345">
        <v>1869</v>
      </c>
      <c r="J309" s="345">
        <v>1299</v>
      </c>
      <c r="K309" s="345">
        <v>5412</v>
      </c>
      <c r="L309" s="232"/>
      <c r="M309" s="345">
        <v>0</v>
      </c>
      <c r="N309" s="345">
        <v>0</v>
      </c>
      <c r="O309" s="345">
        <v>2959</v>
      </c>
      <c r="P309" s="345">
        <v>2959</v>
      </c>
      <c r="Q309" s="232"/>
      <c r="R309" s="345">
        <v>5109</v>
      </c>
      <c r="S309" s="345">
        <v>1923</v>
      </c>
      <c r="T309" s="345">
        <v>7032</v>
      </c>
    </row>
    <row r="310" spans="1:20">
      <c r="A310" s="351">
        <v>93001</v>
      </c>
      <c r="B310" s="344" t="s">
        <v>1001</v>
      </c>
      <c r="C310" s="235">
        <v>2.2536000000000001E-3</v>
      </c>
      <c r="D310" s="235">
        <v>2.2772000000000001E-3</v>
      </c>
      <c r="E310" s="345">
        <v>6154406</v>
      </c>
      <c r="F310" s="232"/>
      <c r="G310" s="345">
        <v>1053790</v>
      </c>
      <c r="H310" s="345">
        <v>150114</v>
      </c>
      <c r="I310" s="345">
        <v>1003066</v>
      </c>
      <c r="J310" s="345">
        <v>8068</v>
      </c>
      <c r="K310" s="345">
        <v>2215038</v>
      </c>
      <c r="L310" s="232"/>
      <c r="M310" s="345">
        <v>0</v>
      </c>
      <c r="N310" s="345">
        <v>0</v>
      </c>
      <c r="O310" s="345">
        <v>85648</v>
      </c>
      <c r="P310" s="345">
        <v>85648</v>
      </c>
      <c r="Q310" s="232"/>
      <c r="R310" s="345">
        <v>2741534</v>
      </c>
      <c r="S310" s="345">
        <v>-28337</v>
      </c>
      <c r="T310" s="345">
        <v>2713197</v>
      </c>
    </row>
    <row r="311" spans="1:20">
      <c r="A311" s="351">
        <v>93009</v>
      </c>
      <c r="B311" s="344" t="s">
        <v>3670</v>
      </c>
      <c r="C311" s="235">
        <v>1.2799999999999999E-5</v>
      </c>
      <c r="D311" s="235">
        <v>1.38E-5</v>
      </c>
      <c r="E311" s="345">
        <v>34956</v>
      </c>
      <c r="F311" s="232"/>
      <c r="G311" s="345">
        <v>5985</v>
      </c>
      <c r="H311" s="345">
        <v>853</v>
      </c>
      <c r="I311" s="345">
        <v>5697</v>
      </c>
      <c r="J311" s="345">
        <v>0</v>
      </c>
      <c r="K311" s="345">
        <v>12535</v>
      </c>
      <c r="L311" s="232"/>
      <c r="M311" s="345">
        <v>0</v>
      </c>
      <c r="N311" s="345">
        <v>0</v>
      </c>
      <c r="O311" s="345">
        <v>4121</v>
      </c>
      <c r="P311" s="345">
        <v>4121</v>
      </c>
      <c r="Q311" s="232"/>
      <c r="R311" s="345">
        <v>15571</v>
      </c>
      <c r="S311" s="345">
        <v>-2017</v>
      </c>
      <c r="T311" s="345">
        <v>13554</v>
      </c>
    </row>
    <row r="312" spans="1:20">
      <c r="A312" s="351">
        <v>93011</v>
      </c>
      <c r="B312" s="344" t="s">
        <v>1003</v>
      </c>
      <c r="C312" s="235">
        <v>3.0909999999999998E-4</v>
      </c>
      <c r="D312" s="235">
        <v>2.7599999999999999E-4</v>
      </c>
      <c r="E312" s="345">
        <v>844128</v>
      </c>
      <c r="F312" s="232"/>
      <c r="G312" s="345">
        <v>144536</v>
      </c>
      <c r="H312" s="345">
        <v>20589</v>
      </c>
      <c r="I312" s="345">
        <v>137579</v>
      </c>
      <c r="J312" s="345">
        <v>64840</v>
      </c>
      <c r="K312" s="345">
        <v>367544</v>
      </c>
      <c r="L312" s="232"/>
      <c r="M312" s="345">
        <v>0</v>
      </c>
      <c r="N312" s="345">
        <v>0</v>
      </c>
      <c r="O312" s="345">
        <v>6573</v>
      </c>
      <c r="P312" s="345">
        <v>6573</v>
      </c>
      <c r="Q312" s="232"/>
      <c r="R312" s="345">
        <v>376024</v>
      </c>
      <c r="S312" s="345">
        <v>16344</v>
      </c>
      <c r="T312" s="345">
        <v>392368</v>
      </c>
    </row>
    <row r="313" spans="1:20">
      <c r="A313" s="351">
        <v>93021</v>
      </c>
      <c r="B313" s="344" t="s">
        <v>1004</v>
      </c>
      <c r="C313" s="235">
        <v>3.0499999999999999E-5</v>
      </c>
      <c r="D313" s="235">
        <v>3.3399999999999999E-5</v>
      </c>
      <c r="E313" s="345">
        <v>83293</v>
      </c>
      <c r="F313" s="232"/>
      <c r="G313" s="345">
        <v>14262</v>
      </c>
      <c r="H313" s="345">
        <v>2032</v>
      </c>
      <c r="I313" s="345">
        <v>13575</v>
      </c>
      <c r="J313" s="345">
        <v>694</v>
      </c>
      <c r="K313" s="345">
        <v>30563</v>
      </c>
      <c r="L313" s="232"/>
      <c r="M313" s="345">
        <v>0</v>
      </c>
      <c r="N313" s="345">
        <v>0</v>
      </c>
      <c r="O313" s="345">
        <v>6729</v>
      </c>
      <c r="P313" s="345">
        <v>6729</v>
      </c>
      <c r="Q313" s="232"/>
      <c r="R313" s="345">
        <v>37104</v>
      </c>
      <c r="S313" s="345">
        <v>-2102</v>
      </c>
      <c r="T313" s="345">
        <v>35002</v>
      </c>
    </row>
    <row r="314" spans="1:20" ht="14.25" customHeight="1">
      <c r="A314" s="351">
        <v>93031</v>
      </c>
      <c r="B314" s="344" t="s">
        <v>1006</v>
      </c>
      <c r="C314" s="235">
        <v>7.7000000000000008E-6</v>
      </c>
      <c r="D314" s="235">
        <v>1.26E-5</v>
      </c>
      <c r="E314" s="345">
        <v>21028</v>
      </c>
      <c r="F314" s="232"/>
      <c r="G314" s="345">
        <v>3601</v>
      </c>
      <c r="H314" s="345">
        <v>513</v>
      </c>
      <c r="I314" s="345">
        <v>3427</v>
      </c>
      <c r="J314" s="345">
        <v>13846</v>
      </c>
      <c r="K314" s="345">
        <v>21387</v>
      </c>
      <c r="L314" s="232"/>
      <c r="M314" s="345">
        <v>0</v>
      </c>
      <c r="N314" s="345">
        <v>0</v>
      </c>
      <c r="O314" s="345">
        <v>0</v>
      </c>
      <c r="P314" s="345">
        <v>0</v>
      </c>
      <c r="Q314" s="232"/>
      <c r="R314" s="345">
        <v>9367</v>
      </c>
      <c r="S314" s="345">
        <v>8191</v>
      </c>
      <c r="T314" s="345">
        <v>17558</v>
      </c>
    </row>
    <row r="315" spans="1:20">
      <c r="A315" s="351">
        <v>93101</v>
      </c>
      <c r="B315" s="344" t="s">
        <v>1007</v>
      </c>
      <c r="C315" s="235">
        <v>3.1914999999999999E-3</v>
      </c>
      <c r="D315" s="235">
        <v>3.2376000000000002E-3</v>
      </c>
      <c r="E315" s="345">
        <v>8715738</v>
      </c>
      <c r="F315" s="232"/>
      <c r="G315" s="345">
        <v>1492355</v>
      </c>
      <c r="H315" s="345">
        <v>212589</v>
      </c>
      <c r="I315" s="345">
        <v>1420521</v>
      </c>
      <c r="J315" s="345">
        <v>9298</v>
      </c>
      <c r="K315" s="345">
        <v>3134763</v>
      </c>
      <c r="L315" s="232"/>
      <c r="M315" s="345">
        <v>0</v>
      </c>
      <c r="N315" s="345">
        <v>0</v>
      </c>
      <c r="O315" s="345">
        <v>325706</v>
      </c>
      <c r="P315" s="345">
        <v>325706</v>
      </c>
      <c r="Q315" s="232"/>
      <c r="R315" s="345">
        <v>3882501</v>
      </c>
      <c r="S315" s="345">
        <v>-82519</v>
      </c>
      <c r="T315" s="345">
        <v>3799982</v>
      </c>
    </row>
    <row r="316" spans="1:20" ht="30">
      <c r="A316" s="351">
        <v>93103</v>
      </c>
      <c r="B316" s="344" t="s">
        <v>260</v>
      </c>
      <c r="C316" s="235">
        <v>1.56E-5</v>
      </c>
      <c r="D316" s="235">
        <v>1.6699999999999999E-5</v>
      </c>
      <c r="E316" s="345">
        <v>42602</v>
      </c>
      <c r="F316" s="232"/>
      <c r="G316" s="345">
        <v>7295</v>
      </c>
      <c r="H316" s="345">
        <v>1039</v>
      </c>
      <c r="I316" s="345">
        <v>6943</v>
      </c>
      <c r="J316" s="345">
        <v>1741</v>
      </c>
      <c r="K316" s="345">
        <v>17018</v>
      </c>
      <c r="L316" s="232"/>
      <c r="M316" s="345">
        <v>0</v>
      </c>
      <c r="N316" s="345">
        <v>0</v>
      </c>
      <c r="O316" s="345">
        <v>4919</v>
      </c>
      <c r="P316" s="345">
        <v>4919</v>
      </c>
      <c r="Q316" s="232"/>
      <c r="R316" s="345">
        <v>18978</v>
      </c>
      <c r="S316" s="345">
        <v>862</v>
      </c>
      <c r="T316" s="345">
        <v>19840</v>
      </c>
    </row>
    <row r="317" spans="1:20">
      <c r="A317" s="351">
        <v>93108</v>
      </c>
      <c r="B317" s="344" t="s">
        <v>1008</v>
      </c>
      <c r="C317" s="235">
        <v>2.2694E-3</v>
      </c>
      <c r="D317" s="235">
        <v>2.4109999999999999E-3</v>
      </c>
      <c r="E317" s="345">
        <v>6197554</v>
      </c>
      <c r="F317" s="232"/>
      <c r="G317" s="345">
        <v>1061178</v>
      </c>
      <c r="H317" s="345">
        <v>151167</v>
      </c>
      <c r="I317" s="345">
        <v>1010099</v>
      </c>
      <c r="J317" s="345">
        <v>33498</v>
      </c>
      <c r="K317" s="345">
        <v>2255942</v>
      </c>
      <c r="L317" s="232"/>
      <c r="M317" s="345">
        <v>0</v>
      </c>
      <c r="N317" s="345">
        <v>0</v>
      </c>
      <c r="O317" s="345">
        <v>242634</v>
      </c>
      <c r="P317" s="345">
        <v>242634</v>
      </c>
      <c r="Q317" s="232"/>
      <c r="R317" s="345">
        <v>2760755</v>
      </c>
      <c r="S317" s="345">
        <v>-19113</v>
      </c>
      <c r="T317" s="345">
        <v>2741642</v>
      </c>
    </row>
    <row r="318" spans="1:20">
      <c r="A318" s="351">
        <v>93111</v>
      </c>
      <c r="B318" s="344" t="s">
        <v>1009</v>
      </c>
      <c r="C318" s="235">
        <v>5.8199999999999998E-5</v>
      </c>
      <c r="D318" s="235">
        <v>6.1500000000000004E-5</v>
      </c>
      <c r="E318" s="345">
        <v>158940</v>
      </c>
      <c r="F318" s="232"/>
      <c r="G318" s="345">
        <v>27214</v>
      </c>
      <c r="H318" s="345">
        <v>3877</v>
      </c>
      <c r="I318" s="345">
        <v>25905</v>
      </c>
      <c r="J318" s="345">
        <v>457</v>
      </c>
      <c r="K318" s="345">
        <v>57453</v>
      </c>
      <c r="L318" s="232"/>
      <c r="M318" s="345">
        <v>0</v>
      </c>
      <c r="N318" s="345">
        <v>0</v>
      </c>
      <c r="O318" s="345">
        <v>8959</v>
      </c>
      <c r="P318" s="345">
        <v>8959</v>
      </c>
      <c r="Q318" s="232"/>
      <c r="R318" s="345">
        <v>70801</v>
      </c>
      <c r="S318" s="345">
        <v>-5584</v>
      </c>
      <c r="T318" s="345">
        <v>65217</v>
      </c>
    </row>
    <row r="319" spans="1:20">
      <c r="A319" s="351">
        <v>93121</v>
      </c>
      <c r="B319" s="344" t="s">
        <v>1010</v>
      </c>
      <c r="C319" s="235">
        <v>6.2199999999999994E-5</v>
      </c>
      <c r="D319" s="235">
        <v>5.3300000000000001E-5</v>
      </c>
      <c r="E319" s="345">
        <v>169863</v>
      </c>
      <c r="F319" s="232"/>
      <c r="G319" s="345">
        <v>29085</v>
      </c>
      <c r="H319" s="345">
        <v>4144</v>
      </c>
      <c r="I319" s="345">
        <v>27685</v>
      </c>
      <c r="J319" s="345">
        <v>9804</v>
      </c>
      <c r="K319" s="345">
        <v>70718</v>
      </c>
      <c r="L319" s="232"/>
      <c r="M319" s="345">
        <v>0</v>
      </c>
      <c r="N319" s="345">
        <v>0</v>
      </c>
      <c r="O319" s="345">
        <v>4161</v>
      </c>
      <c r="P319" s="345">
        <v>4161</v>
      </c>
      <c r="Q319" s="232"/>
      <c r="R319" s="345">
        <v>75667</v>
      </c>
      <c r="S319" s="345">
        <v>-617</v>
      </c>
      <c r="T319" s="345">
        <v>75050</v>
      </c>
    </row>
    <row r="320" spans="1:20">
      <c r="A320" s="351">
        <v>93127</v>
      </c>
      <c r="B320" s="344" t="s">
        <v>1011</v>
      </c>
      <c r="C320" s="235">
        <v>5.9000000000000003E-6</v>
      </c>
      <c r="D320" s="235">
        <v>6.8000000000000001E-6</v>
      </c>
      <c r="E320" s="345">
        <v>16112</v>
      </c>
      <c r="F320" s="232"/>
      <c r="G320" s="345">
        <v>2759</v>
      </c>
      <c r="H320" s="345">
        <v>393</v>
      </c>
      <c r="I320" s="345">
        <v>2626</v>
      </c>
      <c r="J320" s="345">
        <v>62</v>
      </c>
      <c r="K320" s="345">
        <v>5840</v>
      </c>
      <c r="L320" s="232"/>
      <c r="M320" s="345">
        <v>0</v>
      </c>
      <c r="N320" s="345">
        <v>0</v>
      </c>
      <c r="O320" s="345">
        <v>1037</v>
      </c>
      <c r="P320" s="345">
        <v>1037</v>
      </c>
      <c r="Q320" s="232"/>
      <c r="R320" s="345">
        <v>7177</v>
      </c>
      <c r="S320" s="345">
        <v>-424</v>
      </c>
      <c r="T320" s="345">
        <v>6753</v>
      </c>
    </row>
    <row r="321" spans="1:20">
      <c r="A321" s="351">
        <v>93131</v>
      </c>
      <c r="B321" s="344" t="s">
        <v>1012</v>
      </c>
      <c r="C321" s="235">
        <v>1.7799999999999999E-4</v>
      </c>
      <c r="D321" s="235">
        <v>2.0129999999999999E-4</v>
      </c>
      <c r="E321" s="345">
        <v>486104</v>
      </c>
      <c r="F321" s="232"/>
      <c r="G321" s="345">
        <v>83233</v>
      </c>
      <c r="H321" s="345">
        <v>11856</v>
      </c>
      <c r="I321" s="345">
        <v>79227</v>
      </c>
      <c r="J321" s="345">
        <v>0</v>
      </c>
      <c r="K321" s="345">
        <v>174316</v>
      </c>
      <c r="L321" s="232"/>
      <c r="M321" s="345">
        <v>0</v>
      </c>
      <c r="N321" s="345">
        <v>0</v>
      </c>
      <c r="O321" s="345">
        <v>39396</v>
      </c>
      <c r="P321" s="345">
        <v>39396</v>
      </c>
      <c r="Q321" s="232"/>
      <c r="R321" s="345">
        <v>216539</v>
      </c>
      <c r="S321" s="345">
        <v>-11948</v>
      </c>
      <c r="T321" s="345">
        <v>204591</v>
      </c>
    </row>
    <row r="322" spans="1:20">
      <c r="A322" s="351">
        <v>93137</v>
      </c>
      <c r="B322" s="344" t="s">
        <v>1013</v>
      </c>
      <c r="C322" s="235">
        <v>4.7999999999999998E-6</v>
      </c>
      <c r="D322" s="235">
        <v>4.7999999999999998E-6</v>
      </c>
      <c r="E322" s="345">
        <v>13108</v>
      </c>
      <c r="F322" s="232"/>
      <c r="G322" s="345">
        <v>2244</v>
      </c>
      <c r="H322" s="345">
        <v>320</v>
      </c>
      <c r="I322" s="345">
        <v>2136</v>
      </c>
      <c r="J322" s="345">
        <v>2774</v>
      </c>
      <c r="K322" s="345">
        <v>7474</v>
      </c>
      <c r="L322" s="232"/>
      <c r="M322" s="345">
        <v>0</v>
      </c>
      <c r="N322" s="345">
        <v>0</v>
      </c>
      <c r="O322" s="345">
        <v>0</v>
      </c>
      <c r="P322" s="345">
        <v>0</v>
      </c>
      <c r="Q322" s="232"/>
      <c r="R322" s="345">
        <v>5839</v>
      </c>
      <c r="S322" s="345">
        <v>1331</v>
      </c>
      <c r="T322" s="345">
        <v>7170</v>
      </c>
    </row>
    <row r="323" spans="1:20">
      <c r="A323" s="351">
        <v>93141</v>
      </c>
      <c r="B323" s="344" t="s">
        <v>1014</v>
      </c>
      <c r="C323" s="235">
        <v>3.2499999999999997E-5</v>
      </c>
      <c r="D323" s="235">
        <v>3.2299999999999999E-5</v>
      </c>
      <c r="E323" s="345">
        <v>88755</v>
      </c>
      <c r="F323" s="232"/>
      <c r="G323" s="345">
        <v>15197</v>
      </c>
      <c r="H323" s="345">
        <v>2165</v>
      </c>
      <c r="I323" s="345">
        <v>14466</v>
      </c>
      <c r="J323" s="345">
        <v>1366</v>
      </c>
      <c r="K323" s="345">
        <v>33194</v>
      </c>
      <c r="L323" s="232"/>
      <c r="M323" s="345">
        <v>0</v>
      </c>
      <c r="N323" s="345">
        <v>0</v>
      </c>
      <c r="O323" s="345">
        <v>7233</v>
      </c>
      <c r="P323" s="345">
        <v>7233</v>
      </c>
      <c r="Q323" s="232"/>
      <c r="R323" s="345">
        <v>39537</v>
      </c>
      <c r="S323" s="345">
        <v>-3447</v>
      </c>
      <c r="T323" s="345">
        <v>36090</v>
      </c>
    </row>
    <row r="324" spans="1:20">
      <c r="A324" s="351">
        <v>93151</v>
      </c>
      <c r="B324" s="344" t="s">
        <v>1015</v>
      </c>
      <c r="C324" s="235">
        <v>3.7100000000000002E-4</v>
      </c>
      <c r="D324" s="235">
        <v>3.2410000000000002E-4</v>
      </c>
      <c r="E324" s="345">
        <v>1013172</v>
      </c>
      <c r="F324" s="232"/>
      <c r="G324" s="345">
        <v>173481</v>
      </c>
      <c r="H324" s="345">
        <v>24713</v>
      </c>
      <c r="I324" s="345">
        <v>165130</v>
      </c>
      <c r="J324" s="345">
        <v>18022</v>
      </c>
      <c r="K324" s="345">
        <v>381346</v>
      </c>
      <c r="L324" s="232"/>
      <c r="M324" s="345">
        <v>0</v>
      </c>
      <c r="N324" s="345">
        <v>0</v>
      </c>
      <c r="O324" s="345">
        <v>17464</v>
      </c>
      <c r="P324" s="345">
        <v>17464</v>
      </c>
      <c r="Q324" s="232"/>
      <c r="R324" s="345">
        <v>451326</v>
      </c>
      <c r="S324" s="345">
        <v>-1518</v>
      </c>
      <c r="T324" s="345">
        <v>449808</v>
      </c>
    </row>
    <row r="325" spans="1:20">
      <c r="A325" s="351">
        <v>93157</v>
      </c>
      <c r="B325" s="344" t="s">
        <v>3671</v>
      </c>
      <c r="C325" s="235">
        <v>7.9000000000000006E-6</v>
      </c>
      <c r="D325" s="235">
        <v>3.4999999999999999E-6</v>
      </c>
      <c r="E325" s="345">
        <v>21574</v>
      </c>
      <c r="F325" s="232"/>
      <c r="G325" s="345">
        <v>3694</v>
      </c>
      <c r="H325" s="345">
        <v>526</v>
      </c>
      <c r="I325" s="345">
        <v>3516</v>
      </c>
      <c r="J325" s="345">
        <v>11256</v>
      </c>
      <c r="K325" s="345">
        <v>18992</v>
      </c>
      <c r="L325" s="232"/>
      <c r="M325" s="345">
        <v>0</v>
      </c>
      <c r="N325" s="345">
        <v>0</v>
      </c>
      <c r="O325" s="345">
        <v>0</v>
      </c>
      <c r="P325" s="345">
        <v>0</v>
      </c>
      <c r="Q325" s="232"/>
      <c r="R325" s="345">
        <v>9610</v>
      </c>
      <c r="S325" s="345">
        <v>3943</v>
      </c>
      <c r="T325" s="345">
        <v>13553</v>
      </c>
    </row>
    <row r="326" spans="1:20">
      <c r="A326" s="351">
        <v>93161</v>
      </c>
      <c r="B326" s="344" t="s">
        <v>1017</v>
      </c>
      <c r="C326" s="235">
        <v>1.2180000000000001E-4</v>
      </c>
      <c r="D326" s="235">
        <v>1.105E-4</v>
      </c>
      <c r="E326" s="345">
        <v>332626</v>
      </c>
      <c r="F326" s="232"/>
      <c r="G326" s="345">
        <v>56954</v>
      </c>
      <c r="H326" s="345">
        <v>8113</v>
      </c>
      <c r="I326" s="345">
        <v>54213</v>
      </c>
      <c r="J326" s="345">
        <v>20926</v>
      </c>
      <c r="K326" s="345">
        <v>140206</v>
      </c>
      <c r="L326" s="232"/>
      <c r="M326" s="345">
        <v>0</v>
      </c>
      <c r="N326" s="345">
        <v>0</v>
      </c>
      <c r="O326" s="345">
        <v>0</v>
      </c>
      <c r="P326" s="345">
        <v>0</v>
      </c>
      <c r="Q326" s="232"/>
      <c r="R326" s="345">
        <v>148171</v>
      </c>
      <c r="S326" s="345">
        <v>10103</v>
      </c>
      <c r="T326" s="345">
        <v>158274</v>
      </c>
    </row>
    <row r="327" spans="1:20">
      <c r="A327" s="351">
        <v>93171</v>
      </c>
      <c r="B327" s="344" t="s">
        <v>1018</v>
      </c>
      <c r="C327" s="235">
        <v>5.3000000000000001E-6</v>
      </c>
      <c r="D327" s="235">
        <v>2.7E-6</v>
      </c>
      <c r="E327" s="345">
        <v>14474</v>
      </c>
      <c r="F327" s="232"/>
      <c r="G327" s="345">
        <v>2478</v>
      </c>
      <c r="H327" s="345">
        <v>353</v>
      </c>
      <c r="I327" s="345">
        <v>2359</v>
      </c>
      <c r="J327" s="345">
        <v>4617</v>
      </c>
      <c r="K327" s="345">
        <v>9807</v>
      </c>
      <c r="L327" s="232"/>
      <c r="M327" s="345">
        <v>0</v>
      </c>
      <c r="N327" s="345">
        <v>0</v>
      </c>
      <c r="O327" s="345">
        <v>740</v>
      </c>
      <c r="P327" s="345">
        <v>740</v>
      </c>
      <c r="Q327" s="232"/>
      <c r="R327" s="345">
        <v>6448</v>
      </c>
      <c r="S327" s="345">
        <v>1322</v>
      </c>
      <c r="T327" s="345">
        <v>7770</v>
      </c>
    </row>
    <row r="328" spans="1:20">
      <c r="A328" s="351">
        <v>93181</v>
      </c>
      <c r="B328" s="344" t="s">
        <v>1019</v>
      </c>
      <c r="C328" s="235">
        <v>1.04E-5</v>
      </c>
      <c r="D328" s="235">
        <v>1.1E-5</v>
      </c>
      <c r="E328" s="345">
        <v>28402</v>
      </c>
      <c r="F328" s="232"/>
      <c r="G328" s="345">
        <v>4863</v>
      </c>
      <c r="H328" s="345">
        <v>693</v>
      </c>
      <c r="I328" s="345">
        <v>4629</v>
      </c>
      <c r="J328" s="345">
        <v>422</v>
      </c>
      <c r="K328" s="345">
        <v>10607</v>
      </c>
      <c r="L328" s="232"/>
      <c r="M328" s="345">
        <v>0</v>
      </c>
      <c r="N328" s="345">
        <v>0</v>
      </c>
      <c r="O328" s="345">
        <v>0</v>
      </c>
      <c r="P328" s="345">
        <v>0</v>
      </c>
      <c r="Q328" s="232"/>
      <c r="R328" s="345">
        <v>12652</v>
      </c>
      <c r="S328" s="345">
        <v>175</v>
      </c>
      <c r="T328" s="345">
        <v>12827</v>
      </c>
    </row>
    <row r="329" spans="1:20">
      <c r="A329" s="351">
        <v>93191</v>
      </c>
      <c r="B329" s="344" t="s">
        <v>1020</v>
      </c>
      <c r="C329" s="235">
        <v>2.34E-5</v>
      </c>
      <c r="D329" s="235">
        <v>2.2500000000000001E-5</v>
      </c>
      <c r="E329" s="345">
        <v>63904</v>
      </c>
      <c r="F329" s="232"/>
      <c r="G329" s="345">
        <v>10942</v>
      </c>
      <c r="H329" s="345">
        <v>1559</v>
      </c>
      <c r="I329" s="345">
        <v>10415</v>
      </c>
      <c r="J329" s="345">
        <v>7490</v>
      </c>
      <c r="K329" s="345">
        <v>30406</v>
      </c>
      <c r="L329" s="232"/>
      <c r="M329" s="345">
        <v>0</v>
      </c>
      <c r="N329" s="345">
        <v>0</v>
      </c>
      <c r="O329" s="345">
        <v>897</v>
      </c>
      <c r="P329" s="345">
        <v>897</v>
      </c>
      <c r="Q329" s="232"/>
      <c r="R329" s="345">
        <v>28466</v>
      </c>
      <c r="S329" s="345">
        <v>2375</v>
      </c>
      <c r="T329" s="345">
        <v>30841</v>
      </c>
    </row>
    <row r="330" spans="1:20">
      <c r="A330" s="351">
        <v>93201</v>
      </c>
      <c r="B330" s="344" t="s">
        <v>1021</v>
      </c>
      <c r="C330" s="235">
        <v>1.5197799999999999E-2</v>
      </c>
      <c r="D330" s="235">
        <v>1.5763099999999999E-2</v>
      </c>
      <c r="E330" s="345">
        <v>41504006</v>
      </c>
      <c r="F330" s="232"/>
      <c r="G330" s="345">
        <v>7106537</v>
      </c>
      <c r="H330" s="345">
        <v>1012341</v>
      </c>
      <c r="I330" s="345">
        <v>6764465</v>
      </c>
      <c r="J330" s="345">
        <v>274846</v>
      </c>
      <c r="K330" s="345">
        <v>15158189</v>
      </c>
      <c r="L330" s="232"/>
      <c r="M330" s="345">
        <v>0</v>
      </c>
      <c r="N330" s="345">
        <v>0</v>
      </c>
      <c r="O330" s="345">
        <v>451750</v>
      </c>
      <c r="P330" s="345">
        <v>451750</v>
      </c>
      <c r="Q330" s="232"/>
      <c r="R330" s="345">
        <v>18488321</v>
      </c>
      <c r="S330" s="345">
        <v>183653</v>
      </c>
      <c r="T330" s="345">
        <v>18671974</v>
      </c>
    </row>
    <row r="331" spans="1:20">
      <c r="A331" s="351">
        <v>93204</v>
      </c>
      <c r="B331" s="344" t="s">
        <v>1023</v>
      </c>
      <c r="C331" s="235">
        <v>2.9710000000000001E-4</v>
      </c>
      <c r="D331" s="235">
        <v>3.28E-4</v>
      </c>
      <c r="E331" s="345">
        <v>811357</v>
      </c>
      <c r="F331" s="232"/>
      <c r="G331" s="345">
        <v>138925</v>
      </c>
      <c r="H331" s="345">
        <v>19791</v>
      </c>
      <c r="I331" s="345">
        <v>132238</v>
      </c>
      <c r="J331" s="345">
        <v>29186</v>
      </c>
      <c r="K331" s="345">
        <v>320140</v>
      </c>
      <c r="L331" s="232"/>
      <c r="M331" s="345">
        <v>0</v>
      </c>
      <c r="N331" s="345">
        <v>0</v>
      </c>
      <c r="O331" s="345">
        <v>10100</v>
      </c>
      <c r="P331" s="345">
        <v>10100</v>
      </c>
      <c r="Q331" s="232"/>
      <c r="R331" s="345">
        <v>361426</v>
      </c>
      <c r="S331" s="345">
        <v>9389</v>
      </c>
      <c r="T331" s="345">
        <v>370815</v>
      </c>
    </row>
    <row r="332" spans="1:20">
      <c r="A332" s="351">
        <v>93209</v>
      </c>
      <c r="B332" s="344" t="s">
        <v>1024</v>
      </c>
      <c r="C332" s="235">
        <v>5.5938000000000003E-3</v>
      </c>
      <c r="D332" s="235">
        <v>5.1598E-3</v>
      </c>
      <c r="E332" s="345">
        <v>15276231</v>
      </c>
      <c r="F332" s="232"/>
      <c r="G332" s="345">
        <v>2615678</v>
      </c>
      <c r="H332" s="345">
        <v>372609</v>
      </c>
      <c r="I332" s="345">
        <v>2489772</v>
      </c>
      <c r="J332" s="345">
        <v>360929</v>
      </c>
      <c r="K332" s="345">
        <v>5838988</v>
      </c>
      <c r="L332" s="232"/>
      <c r="M332" s="345">
        <v>0</v>
      </c>
      <c r="N332" s="345">
        <v>0</v>
      </c>
      <c r="O332" s="345">
        <v>0</v>
      </c>
      <c r="P332" s="345">
        <v>0</v>
      </c>
      <c r="Q332" s="232"/>
      <c r="R332" s="345">
        <v>6804930</v>
      </c>
      <c r="S332" s="345">
        <v>243537</v>
      </c>
      <c r="T332" s="345">
        <v>7048467</v>
      </c>
    </row>
    <row r="333" spans="1:20">
      <c r="A333" s="351">
        <v>93211</v>
      </c>
      <c r="B333" s="344" t="s">
        <v>1025</v>
      </c>
      <c r="C333" s="235">
        <v>2.16165E-2</v>
      </c>
      <c r="D333" s="235">
        <v>2.1090299999999999E-2</v>
      </c>
      <c r="E333" s="345">
        <v>59032975</v>
      </c>
      <c r="F333" s="232"/>
      <c r="G333" s="345">
        <v>10107940</v>
      </c>
      <c r="H333" s="345">
        <v>1439897</v>
      </c>
      <c r="I333" s="345">
        <v>9621396</v>
      </c>
      <c r="J333" s="345">
        <v>782085</v>
      </c>
      <c r="K333" s="345">
        <v>21951318</v>
      </c>
      <c r="L333" s="232"/>
      <c r="M333" s="345">
        <v>0</v>
      </c>
      <c r="N333" s="345">
        <v>0</v>
      </c>
      <c r="O333" s="345">
        <v>193585</v>
      </c>
      <c r="P333" s="345">
        <v>193585</v>
      </c>
      <c r="Q333" s="232"/>
      <c r="R333" s="345">
        <v>26296753</v>
      </c>
      <c r="S333" s="345">
        <v>-70449</v>
      </c>
      <c r="T333" s="345">
        <v>26226304</v>
      </c>
    </row>
    <row r="334" spans="1:20">
      <c r="A334" s="351">
        <v>93212</v>
      </c>
      <c r="B334" s="344" t="s">
        <v>3672</v>
      </c>
      <c r="C334" s="235">
        <v>2.3910000000000001E-4</v>
      </c>
      <c r="D334" s="235">
        <v>2.7540000000000003E-4</v>
      </c>
      <c r="E334" s="345">
        <v>652963</v>
      </c>
      <c r="F334" s="232"/>
      <c r="G334" s="345">
        <v>111804</v>
      </c>
      <c r="H334" s="345">
        <v>15927</v>
      </c>
      <c r="I334" s="345">
        <v>106422</v>
      </c>
      <c r="J334" s="345">
        <v>211180</v>
      </c>
      <c r="K334" s="345">
        <v>445333</v>
      </c>
      <c r="L334" s="232"/>
      <c r="M334" s="345">
        <v>0</v>
      </c>
      <c r="N334" s="345">
        <v>0</v>
      </c>
      <c r="O334" s="345">
        <v>0</v>
      </c>
      <c r="P334" s="345">
        <v>0</v>
      </c>
      <c r="Q334" s="232"/>
      <c r="R334" s="345">
        <v>290868</v>
      </c>
      <c r="S334" s="345">
        <v>95368</v>
      </c>
      <c r="T334" s="345">
        <v>386236</v>
      </c>
    </row>
    <row r="335" spans="1:20" ht="14.25" customHeight="1">
      <c r="A335" s="351">
        <v>93219</v>
      </c>
      <c r="B335" s="344" t="s">
        <v>1027</v>
      </c>
      <c r="C335" s="235">
        <v>2.6229999999999998E-4</v>
      </c>
      <c r="D335" s="235">
        <v>2.5329999999999998E-4</v>
      </c>
      <c r="E335" s="345">
        <v>716321</v>
      </c>
      <c r="F335" s="232"/>
      <c r="G335" s="345">
        <v>122652</v>
      </c>
      <c r="H335" s="345">
        <v>17472</v>
      </c>
      <c r="I335" s="345">
        <v>116748</v>
      </c>
      <c r="J335" s="345">
        <v>26604</v>
      </c>
      <c r="K335" s="345">
        <v>283476</v>
      </c>
      <c r="L335" s="232"/>
      <c r="M335" s="345">
        <v>0</v>
      </c>
      <c r="N335" s="345">
        <v>0</v>
      </c>
      <c r="O335" s="345">
        <v>2871</v>
      </c>
      <c r="P335" s="345">
        <v>2871</v>
      </c>
      <c r="Q335" s="232"/>
      <c r="R335" s="345">
        <v>319091</v>
      </c>
      <c r="S335" s="345">
        <v>5110</v>
      </c>
      <c r="T335" s="345">
        <v>324201</v>
      </c>
    </row>
    <row r="336" spans="1:20">
      <c r="A336" s="351">
        <v>93301</v>
      </c>
      <c r="B336" s="344" t="s">
        <v>1028</v>
      </c>
      <c r="C336" s="235">
        <v>2.2057999999999999E-3</v>
      </c>
      <c r="D336" s="235">
        <v>2.3299000000000002E-3</v>
      </c>
      <c r="E336" s="345">
        <v>6023868</v>
      </c>
      <c r="F336" s="232"/>
      <c r="G336" s="345">
        <v>1031439</v>
      </c>
      <c r="H336" s="345">
        <v>146931</v>
      </c>
      <c r="I336" s="345">
        <v>981791</v>
      </c>
      <c r="J336" s="345">
        <v>14244</v>
      </c>
      <c r="K336" s="345">
        <v>2174405</v>
      </c>
      <c r="L336" s="232"/>
      <c r="M336" s="345">
        <v>0</v>
      </c>
      <c r="N336" s="345">
        <v>0</v>
      </c>
      <c r="O336" s="345">
        <v>198450</v>
      </c>
      <c r="P336" s="345">
        <v>198450</v>
      </c>
      <c r="Q336" s="232"/>
      <c r="R336" s="345">
        <v>2683384</v>
      </c>
      <c r="S336" s="345">
        <v>-63081</v>
      </c>
      <c r="T336" s="345">
        <v>2620303</v>
      </c>
    </row>
    <row r="337" spans="1:20">
      <c r="A337" s="351">
        <v>93304</v>
      </c>
      <c r="B337" s="344" t="s">
        <v>1029</v>
      </c>
      <c r="C337" s="235">
        <v>3.9400000000000002E-5</v>
      </c>
      <c r="D337" s="235">
        <v>3.3399999999999999E-5</v>
      </c>
      <c r="E337" s="345">
        <v>107598</v>
      </c>
      <c r="F337" s="232"/>
      <c r="G337" s="345">
        <v>18424</v>
      </c>
      <c r="H337" s="345">
        <v>2625</v>
      </c>
      <c r="I337" s="345">
        <v>17537</v>
      </c>
      <c r="J337" s="345">
        <v>12577</v>
      </c>
      <c r="K337" s="345">
        <v>51163</v>
      </c>
      <c r="L337" s="232"/>
      <c r="M337" s="345">
        <v>0</v>
      </c>
      <c r="N337" s="345">
        <v>0</v>
      </c>
      <c r="O337" s="345">
        <v>0</v>
      </c>
      <c r="P337" s="345">
        <v>0</v>
      </c>
      <c r="Q337" s="232"/>
      <c r="R337" s="345">
        <v>47931</v>
      </c>
      <c r="S337" s="345">
        <v>6702</v>
      </c>
      <c r="T337" s="345">
        <v>54633</v>
      </c>
    </row>
    <row r="338" spans="1:20">
      <c r="A338" s="351">
        <v>93305</v>
      </c>
      <c r="B338" s="344" t="s">
        <v>1030</v>
      </c>
      <c r="C338" s="235">
        <v>4.0299999999999997E-5</v>
      </c>
      <c r="D338" s="235">
        <v>4.4799999999999998E-5</v>
      </c>
      <c r="E338" s="345">
        <v>110056</v>
      </c>
      <c r="F338" s="232"/>
      <c r="G338" s="345">
        <v>18844</v>
      </c>
      <c r="H338" s="345">
        <v>2684</v>
      </c>
      <c r="I338" s="345">
        <v>17937</v>
      </c>
      <c r="J338" s="345">
        <v>0</v>
      </c>
      <c r="K338" s="345">
        <v>39465</v>
      </c>
      <c r="L338" s="232"/>
      <c r="M338" s="345">
        <v>0</v>
      </c>
      <c r="N338" s="345">
        <v>0</v>
      </c>
      <c r="O338" s="345">
        <v>7864</v>
      </c>
      <c r="P338" s="345">
        <v>7864</v>
      </c>
      <c r="Q338" s="232"/>
      <c r="R338" s="345">
        <v>49025</v>
      </c>
      <c r="S338" s="345">
        <v>-3114</v>
      </c>
      <c r="T338" s="345">
        <v>45911</v>
      </c>
    </row>
    <row r="339" spans="1:20">
      <c r="A339" s="351">
        <v>93309</v>
      </c>
      <c r="B339" s="344" t="s">
        <v>1031</v>
      </c>
      <c r="C339" s="235">
        <v>1.6239999999999999E-4</v>
      </c>
      <c r="D339" s="235">
        <v>1.6430000000000001E-4</v>
      </c>
      <c r="E339" s="345">
        <v>443502</v>
      </c>
      <c r="F339" s="232"/>
      <c r="G339" s="345">
        <v>75939</v>
      </c>
      <c r="H339" s="345">
        <v>10818</v>
      </c>
      <c r="I339" s="345">
        <v>72283</v>
      </c>
      <c r="J339" s="345">
        <v>30381</v>
      </c>
      <c r="K339" s="345">
        <v>189421</v>
      </c>
      <c r="L339" s="232"/>
      <c r="M339" s="345">
        <v>0</v>
      </c>
      <c r="N339" s="345">
        <v>0</v>
      </c>
      <c r="O339" s="345">
        <v>0</v>
      </c>
      <c r="P339" s="345">
        <v>0</v>
      </c>
      <c r="Q339" s="232"/>
      <c r="R339" s="345">
        <v>197562</v>
      </c>
      <c r="S339" s="345">
        <v>14679</v>
      </c>
      <c r="T339" s="345">
        <v>212241</v>
      </c>
    </row>
    <row r="340" spans="1:20">
      <c r="A340" s="351">
        <v>93311</v>
      </c>
      <c r="B340" s="344" t="s">
        <v>1032</v>
      </c>
      <c r="C340" s="235">
        <v>1.2413999999999999E-3</v>
      </c>
      <c r="D340" s="235">
        <v>1.2439E-3</v>
      </c>
      <c r="E340" s="345">
        <v>3390167</v>
      </c>
      <c r="F340" s="232"/>
      <c r="G340" s="345">
        <v>580482</v>
      </c>
      <c r="H340" s="345">
        <v>82690</v>
      </c>
      <c r="I340" s="345">
        <v>552541</v>
      </c>
      <c r="J340" s="345">
        <v>16973</v>
      </c>
      <c r="K340" s="345">
        <v>1232686</v>
      </c>
      <c r="L340" s="232"/>
      <c r="M340" s="345">
        <v>0</v>
      </c>
      <c r="N340" s="345">
        <v>0</v>
      </c>
      <c r="O340" s="345">
        <v>75260</v>
      </c>
      <c r="P340" s="345">
        <v>75260</v>
      </c>
      <c r="Q340" s="232"/>
      <c r="R340" s="345">
        <v>1510179</v>
      </c>
      <c r="S340" s="345">
        <v>-36199</v>
      </c>
      <c r="T340" s="345">
        <v>1473980</v>
      </c>
    </row>
    <row r="341" spans="1:20">
      <c r="A341" s="351">
        <v>93317</v>
      </c>
      <c r="B341" s="344" t="s">
        <v>1033</v>
      </c>
      <c r="C341" s="235">
        <v>4.1199999999999999E-5</v>
      </c>
      <c r="D341" s="235">
        <v>4.8300000000000002E-5</v>
      </c>
      <c r="E341" s="345">
        <v>112514</v>
      </c>
      <c r="F341" s="232"/>
      <c r="G341" s="345">
        <v>19265</v>
      </c>
      <c r="H341" s="345">
        <v>2745</v>
      </c>
      <c r="I341" s="345">
        <v>18338</v>
      </c>
      <c r="J341" s="345">
        <v>298</v>
      </c>
      <c r="K341" s="345">
        <v>40646</v>
      </c>
      <c r="L341" s="232"/>
      <c r="M341" s="345">
        <v>0</v>
      </c>
      <c r="N341" s="345">
        <v>0</v>
      </c>
      <c r="O341" s="345">
        <v>6200</v>
      </c>
      <c r="P341" s="345">
        <v>6200</v>
      </c>
      <c r="Q341" s="232"/>
      <c r="R341" s="345">
        <v>50120</v>
      </c>
      <c r="S341" s="345">
        <v>-1471</v>
      </c>
      <c r="T341" s="345">
        <v>48649</v>
      </c>
    </row>
    <row r="342" spans="1:20">
      <c r="A342" s="351">
        <v>93321</v>
      </c>
      <c r="B342" s="344" t="s">
        <v>1034</v>
      </c>
      <c r="C342" s="235">
        <v>6.7971999999999998E-3</v>
      </c>
      <c r="D342" s="235">
        <v>7.0657000000000003E-3</v>
      </c>
      <c r="E342" s="345">
        <v>18562623</v>
      </c>
      <c r="F342" s="232"/>
      <c r="G342" s="345">
        <v>3178391</v>
      </c>
      <c r="H342" s="345">
        <v>452768</v>
      </c>
      <c r="I342" s="345">
        <v>3025400</v>
      </c>
      <c r="J342" s="345">
        <v>0</v>
      </c>
      <c r="K342" s="345">
        <v>6656559</v>
      </c>
      <c r="L342" s="232"/>
      <c r="M342" s="345">
        <v>0</v>
      </c>
      <c r="N342" s="345">
        <v>0</v>
      </c>
      <c r="O342" s="345">
        <v>639533</v>
      </c>
      <c r="P342" s="345">
        <v>639533</v>
      </c>
      <c r="Q342" s="232"/>
      <c r="R342" s="345">
        <v>8268882</v>
      </c>
      <c r="S342" s="345">
        <v>-310057</v>
      </c>
      <c r="T342" s="345">
        <v>7958825</v>
      </c>
    </row>
    <row r="343" spans="1:20">
      <c r="A343" s="351">
        <v>93323</v>
      </c>
      <c r="B343" s="344" t="s">
        <v>1035</v>
      </c>
      <c r="C343" s="235">
        <v>2.0100000000000001E-5</v>
      </c>
      <c r="D343" s="235">
        <v>1.9300000000000002E-5</v>
      </c>
      <c r="E343" s="345">
        <v>54892</v>
      </c>
      <c r="F343" s="232"/>
      <c r="G343" s="345">
        <v>9399</v>
      </c>
      <c r="H343" s="345">
        <v>1339</v>
      </c>
      <c r="I343" s="345">
        <v>8946</v>
      </c>
      <c r="J343" s="345">
        <v>3470</v>
      </c>
      <c r="K343" s="345">
        <v>23154</v>
      </c>
      <c r="L343" s="232"/>
      <c r="M343" s="345">
        <v>0</v>
      </c>
      <c r="N343" s="345">
        <v>0</v>
      </c>
      <c r="O343" s="345">
        <v>2394</v>
      </c>
      <c r="P343" s="345">
        <v>2394</v>
      </c>
      <c r="Q343" s="232"/>
      <c r="R343" s="345">
        <v>24452</v>
      </c>
      <c r="S343" s="345">
        <v>1221</v>
      </c>
      <c r="T343" s="345">
        <v>25673</v>
      </c>
    </row>
    <row r="344" spans="1:20">
      <c r="A344" s="351">
        <v>93331</v>
      </c>
      <c r="B344" s="344" t="s">
        <v>1036</v>
      </c>
      <c r="C344" s="235">
        <v>1.161E-4</v>
      </c>
      <c r="D344" s="235">
        <v>1.22E-4</v>
      </c>
      <c r="E344" s="345">
        <v>317060</v>
      </c>
      <c r="F344" s="232"/>
      <c r="G344" s="345">
        <v>54289</v>
      </c>
      <c r="H344" s="345">
        <v>7734</v>
      </c>
      <c r="I344" s="345">
        <v>51676</v>
      </c>
      <c r="J344" s="345">
        <v>4145</v>
      </c>
      <c r="K344" s="345">
        <v>117844</v>
      </c>
      <c r="L344" s="232"/>
      <c r="M344" s="345">
        <v>0</v>
      </c>
      <c r="N344" s="345">
        <v>0</v>
      </c>
      <c r="O344" s="345">
        <v>9293</v>
      </c>
      <c r="P344" s="345">
        <v>9293</v>
      </c>
      <c r="Q344" s="232"/>
      <c r="R344" s="345">
        <v>141237</v>
      </c>
      <c r="S344" s="345">
        <v>-4173</v>
      </c>
      <c r="T344" s="345">
        <v>137064</v>
      </c>
    </row>
    <row r="345" spans="1:20">
      <c r="A345" s="351">
        <v>93333</v>
      </c>
      <c r="B345" s="344" t="s">
        <v>3673</v>
      </c>
      <c r="C345" s="235">
        <v>1.6660000000000001E-4</v>
      </c>
      <c r="D345" s="235">
        <v>1.685E-4</v>
      </c>
      <c r="E345" s="345">
        <v>454972</v>
      </c>
      <c r="F345" s="232"/>
      <c r="G345" s="345">
        <v>77903</v>
      </c>
      <c r="H345" s="345">
        <v>11097</v>
      </c>
      <c r="I345" s="345">
        <v>74153</v>
      </c>
      <c r="J345" s="345">
        <v>92551</v>
      </c>
      <c r="K345" s="345">
        <v>255704</v>
      </c>
      <c r="L345" s="232"/>
      <c r="M345" s="345">
        <v>0</v>
      </c>
      <c r="N345" s="345">
        <v>0</v>
      </c>
      <c r="O345" s="345">
        <v>0</v>
      </c>
      <c r="P345" s="345">
        <v>0</v>
      </c>
      <c r="Q345" s="232"/>
      <c r="R345" s="345">
        <v>202671</v>
      </c>
      <c r="S345" s="345">
        <v>74125</v>
      </c>
      <c r="T345" s="345">
        <v>276796</v>
      </c>
    </row>
    <row r="346" spans="1:20">
      <c r="A346" s="351">
        <v>93341</v>
      </c>
      <c r="B346" s="344" t="s">
        <v>1038</v>
      </c>
      <c r="C346" s="235">
        <v>2.9300000000000001E-5</v>
      </c>
      <c r="D346" s="235">
        <v>2.7500000000000001E-5</v>
      </c>
      <c r="E346" s="345">
        <v>80016</v>
      </c>
      <c r="F346" s="232"/>
      <c r="G346" s="345">
        <v>13701</v>
      </c>
      <c r="H346" s="345">
        <v>1952</v>
      </c>
      <c r="I346" s="345">
        <v>13041</v>
      </c>
      <c r="J346" s="345">
        <v>5043</v>
      </c>
      <c r="K346" s="345">
        <v>33737</v>
      </c>
      <c r="L346" s="232"/>
      <c r="M346" s="345">
        <v>0</v>
      </c>
      <c r="N346" s="345">
        <v>0</v>
      </c>
      <c r="O346" s="345">
        <v>431</v>
      </c>
      <c r="P346" s="345">
        <v>431</v>
      </c>
      <c r="Q346" s="232"/>
      <c r="R346" s="345">
        <v>35644</v>
      </c>
      <c r="S346" s="345">
        <v>1757</v>
      </c>
      <c r="T346" s="345">
        <v>37401</v>
      </c>
    </row>
    <row r="347" spans="1:20">
      <c r="A347" s="351">
        <v>93351</v>
      </c>
      <c r="B347" s="344" t="s">
        <v>1039</v>
      </c>
      <c r="C347" s="235">
        <v>3.1600000000000002E-5</v>
      </c>
      <c r="D347" s="235">
        <v>1.7600000000000001E-5</v>
      </c>
      <c r="E347" s="345">
        <v>86297</v>
      </c>
      <c r="F347" s="232"/>
      <c r="G347" s="345">
        <v>14776</v>
      </c>
      <c r="H347" s="345">
        <v>2105</v>
      </c>
      <c r="I347" s="345">
        <v>14065</v>
      </c>
      <c r="J347" s="345">
        <v>14630</v>
      </c>
      <c r="K347" s="345">
        <v>45576</v>
      </c>
      <c r="L347" s="232"/>
      <c r="M347" s="345">
        <v>0</v>
      </c>
      <c r="N347" s="345">
        <v>0</v>
      </c>
      <c r="O347" s="345">
        <v>8040</v>
      </c>
      <c r="P347" s="345">
        <v>8040</v>
      </c>
      <c r="Q347" s="232"/>
      <c r="R347" s="345">
        <v>38442</v>
      </c>
      <c r="S347" s="345">
        <v>2526</v>
      </c>
      <c r="T347" s="345">
        <v>40968</v>
      </c>
    </row>
    <row r="348" spans="1:20">
      <c r="A348" s="351">
        <v>93401</v>
      </c>
      <c r="B348" s="344" t="s">
        <v>1040</v>
      </c>
      <c r="C348" s="235">
        <v>1.3690799999999999E-2</v>
      </c>
      <c r="D348" s="235">
        <v>1.40187E-2</v>
      </c>
      <c r="E348" s="345">
        <v>37388507</v>
      </c>
      <c r="F348" s="232"/>
      <c r="G348" s="345">
        <v>6401859</v>
      </c>
      <c r="H348" s="345">
        <v>911958</v>
      </c>
      <c r="I348" s="345">
        <v>6093707</v>
      </c>
      <c r="J348" s="345">
        <v>108458</v>
      </c>
      <c r="K348" s="345">
        <v>13515982</v>
      </c>
      <c r="L348" s="232"/>
      <c r="M348" s="345">
        <v>0</v>
      </c>
      <c r="N348" s="345">
        <v>0</v>
      </c>
      <c r="O348" s="345">
        <v>300663</v>
      </c>
      <c r="P348" s="345">
        <v>300663</v>
      </c>
      <c r="Q348" s="232"/>
      <c r="R348" s="345">
        <v>16655036</v>
      </c>
      <c r="S348" s="345">
        <v>-31172</v>
      </c>
      <c r="T348" s="345">
        <v>16623864</v>
      </c>
    </row>
    <row r="349" spans="1:20">
      <c r="A349" s="351">
        <v>93406</v>
      </c>
      <c r="B349" s="344" t="s">
        <v>1042</v>
      </c>
      <c r="C349" s="235">
        <v>4.9350000000000002E-4</v>
      </c>
      <c r="D349" s="235">
        <v>5.0830000000000005E-4</v>
      </c>
      <c r="E349" s="345">
        <v>1347710</v>
      </c>
      <c r="F349" s="232"/>
      <c r="G349" s="345">
        <v>230762</v>
      </c>
      <c r="H349" s="345">
        <v>32872</v>
      </c>
      <c r="I349" s="345">
        <v>219654</v>
      </c>
      <c r="J349" s="345">
        <v>5026</v>
      </c>
      <c r="K349" s="345">
        <v>488314</v>
      </c>
      <c r="L349" s="232"/>
      <c r="M349" s="345">
        <v>0</v>
      </c>
      <c r="N349" s="345">
        <v>0</v>
      </c>
      <c r="O349" s="345">
        <v>94368</v>
      </c>
      <c r="P349" s="345">
        <v>94368</v>
      </c>
      <c r="Q349" s="232"/>
      <c r="R349" s="345">
        <v>600349</v>
      </c>
      <c r="S349" s="345">
        <v>-28939</v>
      </c>
      <c r="T349" s="345">
        <v>571410</v>
      </c>
    </row>
    <row r="350" spans="1:20">
      <c r="A350" s="351">
        <v>93411</v>
      </c>
      <c r="B350" s="344" t="s">
        <v>1044</v>
      </c>
      <c r="C350" s="235">
        <v>1.77345E-2</v>
      </c>
      <c r="D350" s="235">
        <v>1.8113199999999999E-2</v>
      </c>
      <c r="E350" s="345">
        <v>48431536</v>
      </c>
      <c r="F350" s="232"/>
      <c r="G350" s="345">
        <v>8292705</v>
      </c>
      <c r="H350" s="345">
        <v>1181312</v>
      </c>
      <c r="I350" s="345">
        <v>7893537</v>
      </c>
      <c r="J350" s="345">
        <v>539076</v>
      </c>
      <c r="K350" s="345">
        <v>17906630</v>
      </c>
      <c r="L350" s="232"/>
      <c r="M350" s="345">
        <v>0</v>
      </c>
      <c r="N350" s="345">
        <v>0</v>
      </c>
      <c r="O350" s="345">
        <v>354327</v>
      </c>
      <c r="P350" s="345">
        <v>354327</v>
      </c>
      <c r="Q350" s="232"/>
      <c r="R350" s="345">
        <v>21574250</v>
      </c>
      <c r="S350" s="345">
        <v>-1063</v>
      </c>
      <c r="T350" s="345">
        <v>21573187</v>
      </c>
    </row>
    <row r="351" spans="1:20">
      <c r="A351" s="351">
        <v>93413</v>
      </c>
      <c r="B351" s="344" t="s">
        <v>1045</v>
      </c>
      <c r="C351" s="235">
        <v>6.9559999999999999E-4</v>
      </c>
      <c r="D351" s="235">
        <v>7.1969999999999998E-4</v>
      </c>
      <c r="E351" s="345">
        <v>1899629</v>
      </c>
      <c r="F351" s="232"/>
      <c r="G351" s="345">
        <v>325265</v>
      </c>
      <c r="H351" s="345">
        <v>46335</v>
      </c>
      <c r="I351" s="345">
        <v>309608</v>
      </c>
      <c r="J351" s="345">
        <v>1582</v>
      </c>
      <c r="K351" s="345">
        <v>682790</v>
      </c>
      <c r="L351" s="232"/>
      <c r="M351" s="345">
        <v>0</v>
      </c>
      <c r="N351" s="345">
        <v>0</v>
      </c>
      <c r="O351" s="345">
        <v>15616</v>
      </c>
      <c r="P351" s="345">
        <v>15616</v>
      </c>
      <c r="Q351" s="232"/>
      <c r="R351" s="345">
        <v>846206</v>
      </c>
      <c r="S351" s="345">
        <v>-16276</v>
      </c>
      <c r="T351" s="345">
        <v>829930</v>
      </c>
    </row>
    <row r="352" spans="1:20">
      <c r="A352" s="351">
        <v>93417</v>
      </c>
      <c r="B352" s="344" t="s">
        <v>1046</v>
      </c>
      <c r="C352" s="235">
        <v>2.8659999999999997E-4</v>
      </c>
      <c r="D352" s="235">
        <v>3.279E-4</v>
      </c>
      <c r="E352" s="345">
        <v>782682</v>
      </c>
      <c r="F352" s="232"/>
      <c r="G352" s="345">
        <v>134015</v>
      </c>
      <c r="H352" s="345">
        <v>19091</v>
      </c>
      <c r="I352" s="345">
        <v>127564</v>
      </c>
      <c r="J352" s="345">
        <v>7532</v>
      </c>
      <c r="K352" s="345">
        <v>288202</v>
      </c>
      <c r="L352" s="232"/>
      <c r="M352" s="345">
        <v>0</v>
      </c>
      <c r="N352" s="345">
        <v>0</v>
      </c>
      <c r="O352" s="345">
        <v>19596</v>
      </c>
      <c r="P352" s="345">
        <v>19596</v>
      </c>
      <c r="Q352" s="232"/>
      <c r="R352" s="345">
        <v>348653</v>
      </c>
      <c r="S352" s="345">
        <v>-5676</v>
      </c>
      <c r="T352" s="345">
        <v>342977</v>
      </c>
    </row>
    <row r="353" spans="1:20">
      <c r="A353" s="351">
        <v>93421</v>
      </c>
      <c r="B353" s="344" t="s">
        <v>1047</v>
      </c>
      <c r="C353" s="235">
        <v>2.0569E-3</v>
      </c>
      <c r="D353" s="235">
        <v>2.1354999999999998E-3</v>
      </c>
      <c r="E353" s="345">
        <v>5617233</v>
      </c>
      <c r="F353" s="232"/>
      <c r="G353" s="345">
        <v>961813</v>
      </c>
      <c r="H353" s="345">
        <v>137013</v>
      </c>
      <c r="I353" s="345">
        <v>915516</v>
      </c>
      <c r="J353" s="345">
        <v>0</v>
      </c>
      <c r="K353" s="345">
        <v>2014342</v>
      </c>
      <c r="L353" s="232"/>
      <c r="M353" s="345">
        <v>0</v>
      </c>
      <c r="N353" s="345">
        <v>0</v>
      </c>
      <c r="O353" s="345">
        <v>251030</v>
      </c>
      <c r="P353" s="345">
        <v>251030</v>
      </c>
      <c r="Q353" s="232"/>
      <c r="R353" s="345">
        <v>2502246</v>
      </c>
      <c r="S353" s="345">
        <v>-124004</v>
      </c>
      <c r="T353" s="345">
        <v>2378242</v>
      </c>
    </row>
    <row r="354" spans="1:20">
      <c r="A354" s="351">
        <v>93431</v>
      </c>
      <c r="B354" s="344" t="s">
        <v>1048</v>
      </c>
      <c r="C354" s="235">
        <v>1.381E-4</v>
      </c>
      <c r="D354" s="235">
        <v>1.393E-4</v>
      </c>
      <c r="E354" s="345">
        <v>377140</v>
      </c>
      <c r="F354" s="232"/>
      <c r="G354" s="345">
        <v>64576</v>
      </c>
      <c r="H354" s="345">
        <v>9199</v>
      </c>
      <c r="I354" s="345">
        <v>61468</v>
      </c>
      <c r="J354" s="345">
        <v>12502</v>
      </c>
      <c r="K354" s="345">
        <v>147745</v>
      </c>
      <c r="L354" s="232"/>
      <c r="M354" s="345">
        <v>0</v>
      </c>
      <c r="N354" s="345">
        <v>0</v>
      </c>
      <c r="O354" s="345">
        <v>1935</v>
      </c>
      <c r="P354" s="345">
        <v>1935</v>
      </c>
      <c r="Q354" s="232"/>
      <c r="R354" s="345">
        <v>168000</v>
      </c>
      <c r="S354" s="345">
        <v>3038</v>
      </c>
      <c r="T354" s="345">
        <v>171038</v>
      </c>
    </row>
    <row r="355" spans="1:20">
      <c r="A355" s="351">
        <v>93441</v>
      </c>
      <c r="B355" s="344" t="s">
        <v>1049</v>
      </c>
      <c r="C355" s="235">
        <v>1.6559999999999999E-4</v>
      </c>
      <c r="D355" s="235">
        <v>1.651E-4</v>
      </c>
      <c r="E355" s="345">
        <v>452241</v>
      </c>
      <c r="F355" s="232"/>
      <c r="G355" s="345">
        <v>77435</v>
      </c>
      <c r="H355" s="345">
        <v>11031</v>
      </c>
      <c r="I355" s="345">
        <v>73708</v>
      </c>
      <c r="J355" s="345">
        <v>12655</v>
      </c>
      <c r="K355" s="345">
        <v>174829</v>
      </c>
      <c r="L355" s="232"/>
      <c r="M355" s="345">
        <v>0</v>
      </c>
      <c r="N355" s="345">
        <v>0</v>
      </c>
      <c r="O355" s="345">
        <v>4085</v>
      </c>
      <c r="P355" s="345">
        <v>4085</v>
      </c>
      <c r="Q355" s="232"/>
      <c r="R355" s="345">
        <v>201455</v>
      </c>
      <c r="S355" s="345">
        <v>8286</v>
      </c>
      <c r="T355" s="345">
        <v>209741</v>
      </c>
    </row>
    <row r="356" spans="1:20">
      <c r="A356" s="351">
        <v>93442</v>
      </c>
      <c r="B356" s="344" t="s">
        <v>1050</v>
      </c>
      <c r="C356" s="235">
        <v>1.561E-4</v>
      </c>
      <c r="D356" s="235">
        <v>1.5139999999999999E-4</v>
      </c>
      <c r="E356" s="345">
        <v>426297</v>
      </c>
      <c r="F356" s="232"/>
      <c r="G356" s="345">
        <v>72993</v>
      </c>
      <c r="H356" s="345">
        <v>10398</v>
      </c>
      <c r="I356" s="345">
        <v>69479</v>
      </c>
      <c r="J356" s="345">
        <v>428</v>
      </c>
      <c r="K356" s="345">
        <v>153298</v>
      </c>
      <c r="L356" s="232"/>
      <c r="M356" s="345">
        <v>0</v>
      </c>
      <c r="N356" s="345">
        <v>0</v>
      </c>
      <c r="O356" s="345">
        <v>15809</v>
      </c>
      <c r="P356" s="345">
        <v>15809</v>
      </c>
      <c r="Q356" s="232"/>
      <c r="R356" s="345">
        <v>189898</v>
      </c>
      <c r="S356" s="345">
        <v>-7256</v>
      </c>
      <c r="T356" s="345">
        <v>182642</v>
      </c>
    </row>
    <row r="357" spans="1:20">
      <c r="A357" s="351">
        <v>93451</v>
      </c>
      <c r="B357" s="344" t="s">
        <v>1051</v>
      </c>
      <c r="C357" s="235">
        <v>6.6600000000000006E-5</v>
      </c>
      <c r="D357" s="235">
        <v>7.9599999999999997E-5</v>
      </c>
      <c r="E357" s="345">
        <v>181879</v>
      </c>
      <c r="F357" s="232"/>
      <c r="G357" s="345">
        <v>31142</v>
      </c>
      <c r="H357" s="345">
        <v>4436</v>
      </c>
      <c r="I357" s="345">
        <v>29643</v>
      </c>
      <c r="J357" s="345">
        <v>12253</v>
      </c>
      <c r="K357" s="345">
        <v>77474</v>
      </c>
      <c r="L357" s="232"/>
      <c r="M357" s="345">
        <v>0</v>
      </c>
      <c r="N357" s="345">
        <v>0</v>
      </c>
      <c r="O357" s="345">
        <v>992</v>
      </c>
      <c r="P357" s="345">
        <v>992</v>
      </c>
      <c r="Q357" s="232"/>
      <c r="R357" s="345">
        <v>81020</v>
      </c>
      <c r="S357" s="345">
        <v>8681</v>
      </c>
      <c r="T357" s="345">
        <v>89701</v>
      </c>
    </row>
    <row r="358" spans="1:20">
      <c r="A358" s="351">
        <v>93461</v>
      </c>
      <c r="B358" s="344" t="s">
        <v>1052</v>
      </c>
      <c r="C358" s="235">
        <v>1.5500000000000001E-5</v>
      </c>
      <c r="D358" s="235">
        <v>1.6200000000000001E-5</v>
      </c>
      <c r="E358" s="345">
        <v>42329</v>
      </c>
      <c r="F358" s="232"/>
      <c r="G358" s="345">
        <v>7248</v>
      </c>
      <c r="H358" s="345">
        <v>1033</v>
      </c>
      <c r="I358" s="345">
        <v>6899</v>
      </c>
      <c r="J358" s="345">
        <v>412</v>
      </c>
      <c r="K358" s="345">
        <v>15592</v>
      </c>
      <c r="L358" s="232"/>
      <c r="M358" s="345">
        <v>0</v>
      </c>
      <c r="N358" s="345">
        <v>0</v>
      </c>
      <c r="O358" s="345">
        <v>298</v>
      </c>
      <c r="P358" s="345">
        <v>298</v>
      </c>
      <c r="Q358" s="232"/>
      <c r="R358" s="345">
        <v>18856</v>
      </c>
      <c r="S358" s="345">
        <v>221</v>
      </c>
      <c r="T358" s="345">
        <v>19077</v>
      </c>
    </row>
    <row r="359" spans="1:20">
      <c r="A359" s="351">
        <v>93471</v>
      </c>
      <c r="B359" s="344" t="s">
        <v>1053</v>
      </c>
      <c r="C359" s="235">
        <v>1.1399999999999999E-5</v>
      </c>
      <c r="D359" s="235">
        <v>1.15E-5</v>
      </c>
      <c r="E359" s="345">
        <v>31133</v>
      </c>
      <c r="F359" s="232"/>
      <c r="G359" s="345">
        <v>5331</v>
      </c>
      <c r="H359" s="345">
        <v>759</v>
      </c>
      <c r="I359" s="345">
        <v>5074</v>
      </c>
      <c r="J359" s="345">
        <v>5210</v>
      </c>
      <c r="K359" s="345">
        <v>16374</v>
      </c>
      <c r="L359" s="232"/>
      <c r="M359" s="345">
        <v>0</v>
      </c>
      <c r="N359" s="345">
        <v>0</v>
      </c>
      <c r="O359" s="345">
        <v>0</v>
      </c>
      <c r="P359" s="345">
        <v>0</v>
      </c>
      <c r="Q359" s="232"/>
      <c r="R359" s="345">
        <v>13868</v>
      </c>
      <c r="S359" s="345">
        <v>2235</v>
      </c>
      <c r="T359" s="345">
        <v>16103</v>
      </c>
    </row>
    <row r="360" spans="1:20">
      <c r="A360" s="351">
        <v>93501</v>
      </c>
      <c r="B360" s="344" t="s">
        <v>1054</v>
      </c>
      <c r="C360" s="235">
        <v>3.8463999999999998E-3</v>
      </c>
      <c r="D360" s="235">
        <v>3.6803000000000001E-3</v>
      </c>
      <c r="E360" s="345">
        <v>10504218</v>
      </c>
      <c r="F360" s="232"/>
      <c r="G360" s="345">
        <v>1798588</v>
      </c>
      <c r="H360" s="345">
        <v>256213</v>
      </c>
      <c r="I360" s="345">
        <v>1712013</v>
      </c>
      <c r="J360" s="345">
        <v>194680</v>
      </c>
      <c r="K360" s="345">
        <v>3961494</v>
      </c>
      <c r="L360" s="232"/>
      <c r="M360" s="345">
        <v>0</v>
      </c>
      <c r="N360" s="345">
        <v>0</v>
      </c>
      <c r="O360" s="345">
        <v>17318</v>
      </c>
      <c r="P360" s="345">
        <v>17318</v>
      </c>
      <c r="Q360" s="232"/>
      <c r="R360" s="345">
        <v>4679196</v>
      </c>
      <c r="S360" s="345">
        <v>69106</v>
      </c>
      <c r="T360" s="345">
        <v>4748302</v>
      </c>
    </row>
    <row r="361" spans="1:20">
      <c r="A361" s="351">
        <v>93511</v>
      </c>
      <c r="B361" s="344" t="s">
        <v>1055</v>
      </c>
      <c r="C361" s="235">
        <v>8.7899999999999995E-5</v>
      </c>
      <c r="D361" s="235">
        <v>8.8800000000000004E-5</v>
      </c>
      <c r="E361" s="345">
        <v>240048</v>
      </c>
      <c r="F361" s="232"/>
      <c r="G361" s="345">
        <v>41102</v>
      </c>
      <c r="H361" s="345">
        <v>5855</v>
      </c>
      <c r="I361" s="345">
        <v>39124</v>
      </c>
      <c r="J361" s="345">
        <v>10067</v>
      </c>
      <c r="K361" s="345">
        <v>96148</v>
      </c>
      <c r="L361" s="232"/>
      <c r="M361" s="345">
        <v>0</v>
      </c>
      <c r="N361" s="345">
        <v>0</v>
      </c>
      <c r="O361" s="345">
        <v>3613</v>
      </c>
      <c r="P361" s="345">
        <v>3613</v>
      </c>
      <c r="Q361" s="232"/>
      <c r="R361" s="345">
        <v>106931</v>
      </c>
      <c r="S361" s="345">
        <v>-2023</v>
      </c>
      <c r="T361" s="345">
        <v>104908</v>
      </c>
    </row>
    <row r="362" spans="1:20">
      <c r="A362" s="351">
        <v>93517</v>
      </c>
      <c r="B362" s="344" t="s">
        <v>1056</v>
      </c>
      <c r="C362" s="235">
        <v>4.3000000000000003E-6</v>
      </c>
      <c r="D362" s="235">
        <v>5.0000000000000004E-6</v>
      </c>
      <c r="E362" s="345">
        <v>11743</v>
      </c>
      <c r="F362" s="232"/>
      <c r="G362" s="345">
        <v>2011</v>
      </c>
      <c r="H362" s="345">
        <v>287</v>
      </c>
      <c r="I362" s="345">
        <v>1914</v>
      </c>
      <c r="J362" s="345">
        <v>2957</v>
      </c>
      <c r="K362" s="345">
        <v>7169</v>
      </c>
      <c r="L362" s="232"/>
      <c r="M362" s="345">
        <v>0</v>
      </c>
      <c r="N362" s="345">
        <v>0</v>
      </c>
      <c r="O362" s="345">
        <v>0</v>
      </c>
      <c r="P362" s="345">
        <v>0</v>
      </c>
      <c r="Q362" s="232"/>
      <c r="R362" s="345">
        <v>5231</v>
      </c>
      <c r="S362" s="345">
        <v>1764</v>
      </c>
      <c r="T362" s="345">
        <v>6995</v>
      </c>
    </row>
    <row r="363" spans="1:20">
      <c r="A363" s="351">
        <v>93521</v>
      </c>
      <c r="B363" s="344" t="s">
        <v>1057</v>
      </c>
      <c r="C363" s="235">
        <v>4.7340000000000001E-4</v>
      </c>
      <c r="D363" s="235">
        <v>4.639E-4</v>
      </c>
      <c r="E363" s="345">
        <v>1292818</v>
      </c>
      <c r="F363" s="232"/>
      <c r="G363" s="345">
        <v>221363</v>
      </c>
      <c r="H363" s="345">
        <v>31533</v>
      </c>
      <c r="I363" s="345">
        <v>210708</v>
      </c>
      <c r="J363" s="345">
        <v>15764</v>
      </c>
      <c r="K363" s="345">
        <v>479368</v>
      </c>
      <c r="L363" s="232"/>
      <c r="M363" s="345">
        <v>0</v>
      </c>
      <c r="N363" s="345">
        <v>0</v>
      </c>
      <c r="O363" s="345">
        <v>34512</v>
      </c>
      <c r="P363" s="345">
        <v>34512</v>
      </c>
      <c r="Q363" s="232"/>
      <c r="R363" s="345">
        <v>575897</v>
      </c>
      <c r="S363" s="345">
        <v>-11720</v>
      </c>
      <c r="T363" s="345">
        <v>564177</v>
      </c>
    </row>
    <row r="364" spans="1:20">
      <c r="A364" s="351">
        <v>93527</v>
      </c>
      <c r="B364" s="344" t="s">
        <v>1058</v>
      </c>
      <c r="C364" s="235">
        <v>9.5999999999999996E-6</v>
      </c>
      <c r="D364" s="235">
        <v>1.2799999999999999E-5</v>
      </c>
      <c r="E364" s="345">
        <v>26217</v>
      </c>
      <c r="F364" s="232"/>
      <c r="G364" s="345">
        <v>4489</v>
      </c>
      <c r="H364" s="345">
        <v>640</v>
      </c>
      <c r="I364" s="345">
        <v>4273</v>
      </c>
      <c r="J364" s="345">
        <v>9293</v>
      </c>
      <c r="K364" s="345">
        <v>18695</v>
      </c>
      <c r="L364" s="232"/>
      <c r="M364" s="345">
        <v>0</v>
      </c>
      <c r="N364" s="345">
        <v>0</v>
      </c>
      <c r="O364" s="345">
        <v>0</v>
      </c>
      <c r="P364" s="345">
        <v>0</v>
      </c>
      <c r="Q364" s="232"/>
      <c r="R364" s="345">
        <v>11679</v>
      </c>
      <c r="S364" s="345">
        <v>5581</v>
      </c>
      <c r="T364" s="345">
        <v>17260</v>
      </c>
    </row>
    <row r="365" spans="1:20">
      <c r="A365" s="351">
        <v>93531</v>
      </c>
      <c r="B365" s="344" t="s">
        <v>1059</v>
      </c>
      <c r="C365" s="235">
        <v>2.23E-5</v>
      </c>
      <c r="D365" s="235">
        <v>3.0700000000000001E-5</v>
      </c>
      <c r="E365" s="345">
        <v>60900</v>
      </c>
      <c r="F365" s="232"/>
      <c r="G365" s="345">
        <v>10428</v>
      </c>
      <c r="H365" s="345">
        <v>1485</v>
      </c>
      <c r="I365" s="345">
        <v>9926</v>
      </c>
      <c r="J365" s="345">
        <v>5643</v>
      </c>
      <c r="K365" s="345">
        <v>27482</v>
      </c>
      <c r="L365" s="232"/>
      <c r="M365" s="345">
        <v>0</v>
      </c>
      <c r="N365" s="345">
        <v>0</v>
      </c>
      <c r="O365" s="345">
        <v>6936</v>
      </c>
      <c r="P365" s="345">
        <v>6936</v>
      </c>
      <c r="Q365" s="232"/>
      <c r="R365" s="345">
        <v>27128</v>
      </c>
      <c r="S365" s="345">
        <v>104</v>
      </c>
      <c r="T365" s="345">
        <v>27232</v>
      </c>
    </row>
    <row r="366" spans="1:20">
      <c r="A366" s="351">
        <v>93537</v>
      </c>
      <c r="B366" s="344" t="s">
        <v>1060</v>
      </c>
      <c r="C366" s="235">
        <v>1.08E-5</v>
      </c>
      <c r="D366" s="235">
        <v>1.1E-5</v>
      </c>
      <c r="E366" s="345">
        <v>29494</v>
      </c>
      <c r="F366" s="232"/>
      <c r="G366" s="345">
        <v>5050</v>
      </c>
      <c r="H366" s="345">
        <v>719</v>
      </c>
      <c r="I366" s="345">
        <v>4807</v>
      </c>
      <c r="J366" s="345">
        <v>0</v>
      </c>
      <c r="K366" s="345">
        <v>10576</v>
      </c>
      <c r="L366" s="232"/>
      <c r="M366" s="345">
        <v>0</v>
      </c>
      <c r="N366" s="345">
        <v>0</v>
      </c>
      <c r="O366" s="345">
        <v>2677</v>
      </c>
      <c r="P366" s="345">
        <v>2677</v>
      </c>
      <c r="Q366" s="232"/>
      <c r="R366" s="345">
        <v>13138</v>
      </c>
      <c r="S366" s="345">
        <v>-1087</v>
      </c>
      <c r="T366" s="345">
        <v>12051</v>
      </c>
    </row>
    <row r="367" spans="1:20">
      <c r="A367" s="351">
        <v>93541</v>
      </c>
      <c r="B367" s="344" t="s">
        <v>1061</v>
      </c>
      <c r="C367" s="235">
        <v>9.9699999999999998E-5</v>
      </c>
      <c r="D367" s="235">
        <v>8.9800000000000001E-5</v>
      </c>
      <c r="E367" s="345">
        <v>272273</v>
      </c>
      <c r="F367" s="232"/>
      <c r="G367" s="345">
        <v>46620</v>
      </c>
      <c r="H367" s="345">
        <v>6641</v>
      </c>
      <c r="I367" s="345">
        <v>44376</v>
      </c>
      <c r="J367" s="345">
        <v>9606</v>
      </c>
      <c r="K367" s="345">
        <v>107243</v>
      </c>
      <c r="L367" s="232"/>
      <c r="M367" s="345">
        <v>0</v>
      </c>
      <c r="N367" s="345">
        <v>0</v>
      </c>
      <c r="O367" s="345">
        <v>3639</v>
      </c>
      <c r="P367" s="345">
        <v>3639</v>
      </c>
      <c r="Q367" s="232"/>
      <c r="R367" s="345">
        <v>121286</v>
      </c>
      <c r="S367" s="345">
        <v>932</v>
      </c>
      <c r="T367" s="345">
        <v>122218</v>
      </c>
    </row>
    <row r="368" spans="1:20">
      <c r="A368" s="351">
        <v>93601</v>
      </c>
      <c r="B368" s="344" t="s">
        <v>1062</v>
      </c>
      <c r="C368" s="235">
        <v>1.1220300000000001E-2</v>
      </c>
      <c r="D368" s="235">
        <v>1.11494E-2</v>
      </c>
      <c r="E368" s="345">
        <v>30641764</v>
      </c>
      <c r="F368" s="232"/>
      <c r="G368" s="345">
        <v>5246646</v>
      </c>
      <c r="H368" s="345">
        <v>747395</v>
      </c>
      <c r="I368" s="345">
        <v>4994099</v>
      </c>
      <c r="J368" s="345">
        <v>422601</v>
      </c>
      <c r="K368" s="345">
        <v>11410741</v>
      </c>
      <c r="L368" s="232"/>
      <c r="M368" s="345">
        <v>0</v>
      </c>
      <c r="N368" s="345">
        <v>0</v>
      </c>
      <c r="O368" s="345">
        <v>93806</v>
      </c>
      <c r="P368" s="345">
        <v>93806</v>
      </c>
      <c r="Q368" s="232"/>
      <c r="R368" s="345">
        <v>13649641</v>
      </c>
      <c r="S368" s="345">
        <v>68973</v>
      </c>
      <c r="T368" s="345">
        <v>13718614</v>
      </c>
    </row>
    <row r="369" spans="1:20">
      <c r="A369" s="351">
        <v>93602</v>
      </c>
      <c r="B369" s="344" t="s">
        <v>1063</v>
      </c>
      <c r="C369" s="235">
        <v>1.918E-4</v>
      </c>
      <c r="D369" s="235">
        <v>1.8340000000000001E-4</v>
      </c>
      <c r="E369" s="345">
        <v>523791</v>
      </c>
      <c r="F369" s="232"/>
      <c r="G369" s="345">
        <v>89686</v>
      </c>
      <c r="H369" s="345">
        <v>12776</v>
      </c>
      <c r="I369" s="345">
        <v>85369</v>
      </c>
      <c r="J369" s="345">
        <v>20240</v>
      </c>
      <c r="K369" s="345">
        <v>208071</v>
      </c>
      <c r="L369" s="232"/>
      <c r="M369" s="345">
        <v>0</v>
      </c>
      <c r="N369" s="345">
        <v>0</v>
      </c>
      <c r="O369" s="345">
        <v>2810</v>
      </c>
      <c r="P369" s="345">
        <v>2810</v>
      </c>
      <c r="Q369" s="232"/>
      <c r="R369" s="345">
        <v>233327</v>
      </c>
      <c r="S369" s="345">
        <v>3035</v>
      </c>
      <c r="T369" s="345">
        <v>236362</v>
      </c>
    </row>
    <row r="370" spans="1:20">
      <c r="A370" s="351">
        <v>93604</v>
      </c>
      <c r="B370" s="344" t="s">
        <v>1932</v>
      </c>
      <c r="C370" s="235">
        <v>2.6400000000000001E-5</v>
      </c>
      <c r="D370" s="235">
        <v>2.0100000000000001E-5</v>
      </c>
      <c r="E370" s="345">
        <v>72096</v>
      </c>
      <c r="F370" s="232"/>
      <c r="G370" s="345">
        <v>12345</v>
      </c>
      <c r="H370" s="345">
        <v>1759</v>
      </c>
      <c r="I370" s="345">
        <v>11751</v>
      </c>
      <c r="J370" s="345">
        <v>21975</v>
      </c>
      <c r="K370" s="345">
        <v>47830</v>
      </c>
      <c r="L370" s="232"/>
      <c r="M370" s="345">
        <v>0</v>
      </c>
      <c r="N370" s="345">
        <v>0</v>
      </c>
      <c r="O370" s="345">
        <v>0</v>
      </c>
      <c r="P370" s="345">
        <v>0</v>
      </c>
      <c r="Q370" s="232"/>
      <c r="R370" s="345">
        <v>32116</v>
      </c>
      <c r="S370" s="345">
        <v>6718</v>
      </c>
      <c r="T370" s="345">
        <v>38834</v>
      </c>
    </row>
    <row r="371" spans="1:20">
      <c r="A371" s="351">
        <v>93609</v>
      </c>
      <c r="B371" s="344" t="s">
        <v>1064</v>
      </c>
      <c r="C371" s="235">
        <v>3.7919E-3</v>
      </c>
      <c r="D371" s="235">
        <v>3.9097000000000003E-3</v>
      </c>
      <c r="E371" s="345">
        <v>10355383</v>
      </c>
      <c r="F371" s="232"/>
      <c r="G371" s="345">
        <v>1773104</v>
      </c>
      <c r="H371" s="345">
        <v>252582</v>
      </c>
      <c r="I371" s="345">
        <v>1687756</v>
      </c>
      <c r="J371" s="345">
        <v>303829</v>
      </c>
      <c r="K371" s="345">
        <v>4017271</v>
      </c>
      <c r="L371" s="232"/>
      <c r="M371" s="345">
        <v>0</v>
      </c>
      <c r="N371" s="345">
        <v>0</v>
      </c>
      <c r="O371" s="345">
        <v>128405</v>
      </c>
      <c r="P371" s="345">
        <v>128405</v>
      </c>
      <c r="Q371" s="232"/>
      <c r="R371" s="345">
        <v>4612896</v>
      </c>
      <c r="S371" s="345">
        <v>166190</v>
      </c>
      <c r="T371" s="345">
        <v>4779086</v>
      </c>
    </row>
    <row r="372" spans="1:20">
      <c r="A372" s="351">
        <v>93610</v>
      </c>
      <c r="B372" s="344" t="s">
        <v>1065</v>
      </c>
      <c r="C372" s="235">
        <v>1.63E-5</v>
      </c>
      <c r="D372" s="235">
        <v>1.5500000000000001E-5</v>
      </c>
      <c r="E372" s="345">
        <v>44514</v>
      </c>
      <c r="F372" s="232"/>
      <c r="G372" s="345">
        <v>7622</v>
      </c>
      <c r="H372" s="345">
        <v>1086</v>
      </c>
      <c r="I372" s="345">
        <v>7255</v>
      </c>
      <c r="J372" s="345">
        <v>2679</v>
      </c>
      <c r="K372" s="345">
        <v>18642</v>
      </c>
      <c r="L372" s="232"/>
      <c r="M372" s="345">
        <v>0</v>
      </c>
      <c r="N372" s="345">
        <v>0</v>
      </c>
      <c r="O372" s="345">
        <v>1500</v>
      </c>
      <c r="P372" s="345">
        <v>1500</v>
      </c>
      <c r="Q372" s="232"/>
      <c r="R372" s="345">
        <v>19829</v>
      </c>
      <c r="S372" s="345">
        <v>577</v>
      </c>
      <c r="T372" s="345">
        <v>20406</v>
      </c>
    </row>
    <row r="373" spans="1:20">
      <c r="A373" s="351">
        <v>93611</v>
      </c>
      <c r="B373" s="344" t="s">
        <v>1066</v>
      </c>
      <c r="C373" s="235">
        <v>6.9186999999999999E-3</v>
      </c>
      <c r="D373" s="235">
        <v>6.9170000000000004E-3</v>
      </c>
      <c r="E373" s="345">
        <v>18894430</v>
      </c>
      <c r="F373" s="232"/>
      <c r="G373" s="345">
        <v>3235205</v>
      </c>
      <c r="H373" s="345">
        <v>460861</v>
      </c>
      <c r="I373" s="345">
        <v>3079479</v>
      </c>
      <c r="J373" s="345">
        <v>30574</v>
      </c>
      <c r="K373" s="345">
        <v>6806119</v>
      </c>
      <c r="L373" s="232"/>
      <c r="M373" s="345">
        <v>0</v>
      </c>
      <c r="N373" s="345">
        <v>0</v>
      </c>
      <c r="O373" s="345">
        <v>39809</v>
      </c>
      <c r="P373" s="345">
        <v>39809</v>
      </c>
      <c r="Q373" s="232"/>
      <c r="R373" s="345">
        <v>8416688</v>
      </c>
      <c r="S373" s="345">
        <v>-29366</v>
      </c>
      <c r="T373" s="345">
        <v>8387322</v>
      </c>
    </row>
    <row r="374" spans="1:20">
      <c r="A374" s="351">
        <v>93617</v>
      </c>
      <c r="B374" s="344" t="s">
        <v>1067</v>
      </c>
      <c r="C374" s="235">
        <v>7.8899999999999993E-5</v>
      </c>
      <c r="D374" s="235">
        <v>8.7499999999999999E-5</v>
      </c>
      <c r="E374" s="345">
        <v>215470</v>
      </c>
      <c r="F374" s="232"/>
      <c r="G374" s="345">
        <v>36894</v>
      </c>
      <c r="H374" s="345">
        <v>5256</v>
      </c>
      <c r="I374" s="345">
        <v>35118</v>
      </c>
      <c r="J374" s="345">
        <v>18232</v>
      </c>
      <c r="K374" s="345">
        <v>95500</v>
      </c>
      <c r="L374" s="232"/>
      <c r="M374" s="345">
        <v>0</v>
      </c>
      <c r="N374" s="345">
        <v>0</v>
      </c>
      <c r="O374" s="345">
        <v>0</v>
      </c>
      <c r="P374" s="345">
        <v>0</v>
      </c>
      <c r="Q374" s="232"/>
      <c r="R374" s="345">
        <v>95983</v>
      </c>
      <c r="S374" s="345">
        <v>10439</v>
      </c>
      <c r="T374" s="345">
        <v>106422</v>
      </c>
    </row>
    <row r="375" spans="1:20" ht="30">
      <c r="A375" s="351">
        <v>93618</v>
      </c>
      <c r="B375" s="344" t="s">
        <v>3674</v>
      </c>
      <c r="C375" s="235">
        <v>9.5000000000000005E-6</v>
      </c>
      <c r="D375" s="235">
        <v>1.03E-5</v>
      </c>
      <c r="E375" s="345">
        <v>25944</v>
      </c>
      <c r="F375" s="232"/>
      <c r="G375" s="345">
        <v>4442</v>
      </c>
      <c r="H375" s="345">
        <v>633</v>
      </c>
      <c r="I375" s="345">
        <v>4228</v>
      </c>
      <c r="J375" s="345">
        <v>38732</v>
      </c>
      <c r="K375" s="345">
        <v>48035</v>
      </c>
      <c r="L375" s="232"/>
      <c r="M375" s="345">
        <v>0</v>
      </c>
      <c r="N375" s="345">
        <v>0</v>
      </c>
      <c r="O375" s="345">
        <v>0</v>
      </c>
      <c r="P375" s="345">
        <v>0</v>
      </c>
      <c r="Q375" s="232"/>
      <c r="R375" s="345">
        <v>11557</v>
      </c>
      <c r="S375" s="345">
        <v>18739</v>
      </c>
      <c r="T375" s="345">
        <v>30296</v>
      </c>
    </row>
    <row r="376" spans="1:20">
      <c r="A376" s="351">
        <v>93621</v>
      </c>
      <c r="B376" s="344" t="s">
        <v>1069</v>
      </c>
      <c r="C376" s="235">
        <v>1.0563E-3</v>
      </c>
      <c r="D376" s="235">
        <v>1.0273000000000001E-3</v>
      </c>
      <c r="E376" s="345">
        <v>2884673</v>
      </c>
      <c r="F376" s="232"/>
      <c r="G376" s="345">
        <v>493929</v>
      </c>
      <c r="H376" s="345">
        <v>70361</v>
      </c>
      <c r="I376" s="345">
        <v>470154</v>
      </c>
      <c r="J376" s="345">
        <v>35293</v>
      </c>
      <c r="K376" s="345">
        <v>1069737</v>
      </c>
      <c r="L376" s="232"/>
      <c r="M376" s="345">
        <v>0</v>
      </c>
      <c r="N376" s="345">
        <v>0</v>
      </c>
      <c r="O376" s="345">
        <v>23184</v>
      </c>
      <c r="P376" s="345">
        <v>23184</v>
      </c>
      <c r="Q376" s="232"/>
      <c r="R376" s="345">
        <v>1285003</v>
      </c>
      <c r="S376" s="345">
        <v>-10649</v>
      </c>
      <c r="T376" s="345">
        <v>1274354</v>
      </c>
    </row>
    <row r="377" spans="1:20">
      <c r="A377" s="351">
        <v>93623</v>
      </c>
      <c r="B377" s="344" t="s">
        <v>1070</v>
      </c>
      <c r="C377" s="235">
        <v>1.1E-5</v>
      </c>
      <c r="D377" s="235">
        <v>1.2E-5</v>
      </c>
      <c r="E377" s="345">
        <v>30040</v>
      </c>
      <c r="F377" s="232"/>
      <c r="G377" s="345">
        <v>5144</v>
      </c>
      <c r="H377" s="345">
        <v>733</v>
      </c>
      <c r="I377" s="345">
        <v>4896</v>
      </c>
      <c r="J377" s="345">
        <v>2896</v>
      </c>
      <c r="K377" s="345">
        <v>13669</v>
      </c>
      <c r="L377" s="232"/>
      <c r="M377" s="345">
        <v>0</v>
      </c>
      <c r="N377" s="345">
        <v>0</v>
      </c>
      <c r="O377" s="345">
        <v>0</v>
      </c>
      <c r="P377" s="345">
        <v>0</v>
      </c>
      <c r="Q377" s="232"/>
      <c r="R377" s="345">
        <v>13382</v>
      </c>
      <c r="S377" s="345">
        <v>2158</v>
      </c>
      <c r="T377" s="345">
        <v>15540</v>
      </c>
    </row>
    <row r="378" spans="1:20">
      <c r="A378" s="351">
        <v>93631</v>
      </c>
      <c r="B378" s="344" t="s">
        <v>1071</v>
      </c>
      <c r="C378" s="235">
        <v>2.4130000000000001E-4</v>
      </c>
      <c r="D378" s="235">
        <v>2.232E-4</v>
      </c>
      <c r="E378" s="345">
        <v>658971</v>
      </c>
      <c r="F378" s="232"/>
      <c r="G378" s="345">
        <v>112833</v>
      </c>
      <c r="H378" s="345">
        <v>16073</v>
      </c>
      <c r="I378" s="345">
        <v>107401</v>
      </c>
      <c r="J378" s="345">
        <v>6404</v>
      </c>
      <c r="K378" s="345">
        <v>242711</v>
      </c>
      <c r="L378" s="232"/>
      <c r="M378" s="345">
        <v>0</v>
      </c>
      <c r="N378" s="345">
        <v>0</v>
      </c>
      <c r="O378" s="345">
        <v>9295</v>
      </c>
      <c r="P378" s="345">
        <v>9295</v>
      </c>
      <c r="Q378" s="232"/>
      <c r="R378" s="345">
        <v>293545</v>
      </c>
      <c r="S378" s="345">
        <v>-6331</v>
      </c>
      <c r="T378" s="345">
        <v>287214</v>
      </c>
    </row>
    <row r="379" spans="1:20">
      <c r="A379" s="351">
        <v>93641</v>
      </c>
      <c r="B379" s="344" t="s">
        <v>1072</v>
      </c>
      <c r="C379" s="235">
        <v>3.7300000000000001E-4</v>
      </c>
      <c r="D379" s="235">
        <v>3.724E-4</v>
      </c>
      <c r="E379" s="345">
        <v>1018634</v>
      </c>
      <c r="F379" s="232"/>
      <c r="G379" s="345">
        <v>174416</v>
      </c>
      <c r="H379" s="345">
        <v>24846</v>
      </c>
      <c r="I379" s="345">
        <v>166020</v>
      </c>
      <c r="J379" s="345">
        <v>25953</v>
      </c>
      <c r="K379" s="345">
        <v>391235</v>
      </c>
      <c r="L379" s="232"/>
      <c r="M379" s="345">
        <v>0</v>
      </c>
      <c r="N379" s="345">
        <v>0</v>
      </c>
      <c r="O379" s="345">
        <v>7161</v>
      </c>
      <c r="P379" s="345">
        <v>7161</v>
      </c>
      <c r="Q379" s="232"/>
      <c r="R379" s="345">
        <v>453759</v>
      </c>
      <c r="S379" s="345">
        <v>8170</v>
      </c>
      <c r="T379" s="345">
        <v>461929</v>
      </c>
    </row>
    <row r="380" spans="1:20">
      <c r="A380" s="351">
        <v>93647</v>
      </c>
      <c r="B380" s="344" t="s">
        <v>1073</v>
      </c>
      <c r="C380" s="235">
        <v>5.2000000000000002E-6</v>
      </c>
      <c r="D380" s="235">
        <v>6.1E-6</v>
      </c>
      <c r="E380" s="345">
        <v>14201</v>
      </c>
      <c r="F380" s="232"/>
      <c r="G380" s="345">
        <v>2432</v>
      </c>
      <c r="H380" s="345">
        <v>346</v>
      </c>
      <c r="I380" s="345">
        <v>2314</v>
      </c>
      <c r="J380" s="345">
        <v>12786</v>
      </c>
      <c r="K380" s="345">
        <v>17878</v>
      </c>
      <c r="L380" s="232"/>
      <c r="M380" s="345">
        <v>0</v>
      </c>
      <c r="N380" s="345">
        <v>0</v>
      </c>
      <c r="O380" s="345">
        <v>0</v>
      </c>
      <c r="P380" s="345">
        <v>0</v>
      </c>
      <c r="Q380" s="232"/>
      <c r="R380" s="345">
        <v>6326</v>
      </c>
      <c r="S380" s="345">
        <v>6651</v>
      </c>
      <c r="T380" s="345">
        <v>12977</v>
      </c>
    </row>
    <row r="381" spans="1:20">
      <c r="A381" s="351">
        <v>93651</v>
      </c>
      <c r="B381" s="344" t="s">
        <v>1074</v>
      </c>
      <c r="C381" s="235">
        <v>4.3790000000000002E-4</v>
      </c>
      <c r="D381" s="235">
        <v>4.507E-4</v>
      </c>
      <c r="E381" s="345">
        <v>1195871</v>
      </c>
      <c r="F381" s="232"/>
      <c r="G381" s="345">
        <v>204763</v>
      </c>
      <c r="H381" s="345">
        <v>29169</v>
      </c>
      <c r="I381" s="345">
        <v>194907</v>
      </c>
      <c r="J381" s="345">
        <v>0</v>
      </c>
      <c r="K381" s="345">
        <v>428839</v>
      </c>
      <c r="L381" s="232"/>
      <c r="M381" s="345">
        <v>0</v>
      </c>
      <c r="N381" s="345">
        <v>0</v>
      </c>
      <c r="O381" s="345">
        <v>30670</v>
      </c>
      <c r="P381" s="345">
        <v>30670</v>
      </c>
      <c r="Q381" s="232"/>
      <c r="R381" s="345">
        <v>532711</v>
      </c>
      <c r="S381" s="345">
        <v>-8124</v>
      </c>
      <c r="T381" s="345">
        <v>524587</v>
      </c>
    </row>
    <row r="382" spans="1:20">
      <c r="A382" s="351">
        <v>93661</v>
      </c>
      <c r="B382" s="344" t="s">
        <v>1075</v>
      </c>
      <c r="C382" s="235">
        <v>1.2850000000000001E-4</v>
      </c>
      <c r="D382" s="235">
        <v>1.4449999999999999E-4</v>
      </c>
      <c r="E382" s="345">
        <v>350923</v>
      </c>
      <c r="F382" s="232"/>
      <c r="G382" s="345">
        <v>60087</v>
      </c>
      <c r="H382" s="345">
        <v>8560</v>
      </c>
      <c r="I382" s="345">
        <v>57195</v>
      </c>
      <c r="J382" s="345">
        <v>6804</v>
      </c>
      <c r="K382" s="345">
        <v>132646</v>
      </c>
      <c r="L382" s="232"/>
      <c r="M382" s="345">
        <v>0</v>
      </c>
      <c r="N382" s="345">
        <v>0</v>
      </c>
      <c r="O382" s="345">
        <v>9472</v>
      </c>
      <c r="P382" s="345">
        <v>9472</v>
      </c>
      <c r="Q382" s="232"/>
      <c r="R382" s="345">
        <v>156322</v>
      </c>
      <c r="S382" s="345">
        <v>2192</v>
      </c>
      <c r="T382" s="345">
        <v>158514</v>
      </c>
    </row>
    <row r="383" spans="1:20">
      <c r="A383" s="351">
        <v>93671</v>
      </c>
      <c r="B383" s="344" t="s">
        <v>1076</v>
      </c>
      <c r="C383" s="235">
        <v>3.4840000000000001E-4</v>
      </c>
      <c r="D383" s="235">
        <v>3.3950000000000001E-4</v>
      </c>
      <c r="E383" s="345">
        <v>951453</v>
      </c>
      <c r="F383" s="232"/>
      <c r="G383" s="345">
        <v>162913</v>
      </c>
      <c r="H383" s="345">
        <v>23207</v>
      </c>
      <c r="I383" s="345">
        <v>155071</v>
      </c>
      <c r="J383" s="345">
        <v>24392</v>
      </c>
      <c r="K383" s="345">
        <v>365583</v>
      </c>
      <c r="L383" s="232"/>
      <c r="M383" s="345">
        <v>0</v>
      </c>
      <c r="N383" s="345">
        <v>0</v>
      </c>
      <c r="O383" s="345">
        <v>1177</v>
      </c>
      <c r="P383" s="345">
        <v>1177</v>
      </c>
      <c r="Q383" s="232"/>
      <c r="R383" s="345">
        <v>423833</v>
      </c>
      <c r="S383" s="345">
        <v>15132</v>
      </c>
      <c r="T383" s="345">
        <v>438965</v>
      </c>
    </row>
    <row r="384" spans="1:20">
      <c r="A384" s="351">
        <v>93681</v>
      </c>
      <c r="B384" s="344" t="s">
        <v>1077</v>
      </c>
      <c r="C384" s="235">
        <v>1.284E-4</v>
      </c>
      <c r="D384" s="235">
        <v>1.211E-4</v>
      </c>
      <c r="E384" s="345">
        <v>350650</v>
      </c>
      <c r="F384" s="232"/>
      <c r="G384" s="345">
        <v>60040</v>
      </c>
      <c r="H384" s="345">
        <v>8553</v>
      </c>
      <c r="I384" s="345">
        <v>57150</v>
      </c>
      <c r="J384" s="345">
        <v>6827</v>
      </c>
      <c r="K384" s="345">
        <v>132570</v>
      </c>
      <c r="L384" s="232"/>
      <c r="M384" s="345">
        <v>0</v>
      </c>
      <c r="N384" s="345">
        <v>0</v>
      </c>
      <c r="O384" s="345">
        <v>3005</v>
      </c>
      <c r="P384" s="345">
        <v>3005</v>
      </c>
      <c r="Q384" s="232"/>
      <c r="R384" s="345">
        <v>156200</v>
      </c>
      <c r="S384" s="345">
        <v>-788</v>
      </c>
      <c r="T384" s="345">
        <v>155412</v>
      </c>
    </row>
    <row r="385" spans="1:20">
      <c r="A385" s="351">
        <v>93691</v>
      </c>
      <c r="B385" s="344" t="s">
        <v>1078</v>
      </c>
      <c r="C385" s="235">
        <v>1.0889999999999999E-3</v>
      </c>
      <c r="D385" s="235">
        <v>1.0357999999999999E-3</v>
      </c>
      <c r="E385" s="345">
        <v>2973974</v>
      </c>
      <c r="F385" s="232"/>
      <c r="G385" s="345">
        <v>509220</v>
      </c>
      <c r="H385" s="345">
        <v>72540</v>
      </c>
      <c r="I385" s="345">
        <v>484708</v>
      </c>
      <c r="J385" s="345">
        <v>22610</v>
      </c>
      <c r="K385" s="345">
        <v>1089078</v>
      </c>
      <c r="L385" s="232"/>
      <c r="M385" s="345">
        <v>0</v>
      </c>
      <c r="N385" s="345">
        <v>0</v>
      </c>
      <c r="O385" s="345">
        <v>69124</v>
      </c>
      <c r="P385" s="345">
        <v>69124</v>
      </c>
      <c r="Q385" s="232"/>
      <c r="R385" s="345">
        <v>1324783</v>
      </c>
      <c r="S385" s="345">
        <v>-40466</v>
      </c>
      <c r="T385" s="345">
        <v>1284317</v>
      </c>
    </row>
    <row r="386" spans="1:20">
      <c r="A386" s="351">
        <v>93701</v>
      </c>
      <c r="B386" s="344" t="s">
        <v>1079</v>
      </c>
      <c r="C386" s="235">
        <v>4.3600000000000003E-4</v>
      </c>
      <c r="D386" s="235">
        <v>4.6779999999999999E-4</v>
      </c>
      <c r="E386" s="345">
        <v>1190682</v>
      </c>
      <c r="F386" s="232"/>
      <c r="G386" s="345">
        <v>203875</v>
      </c>
      <c r="H386" s="345">
        <v>29042</v>
      </c>
      <c r="I386" s="345">
        <v>194061</v>
      </c>
      <c r="J386" s="345">
        <v>0</v>
      </c>
      <c r="K386" s="345">
        <v>426978</v>
      </c>
      <c r="L386" s="232"/>
      <c r="M386" s="345">
        <v>0</v>
      </c>
      <c r="N386" s="345">
        <v>0</v>
      </c>
      <c r="O386" s="345">
        <v>35085</v>
      </c>
      <c r="P386" s="345">
        <v>35085</v>
      </c>
      <c r="Q386" s="232"/>
      <c r="R386" s="345">
        <v>530400</v>
      </c>
      <c r="S386" s="345">
        <v>-10094</v>
      </c>
      <c r="T386" s="345">
        <v>520306</v>
      </c>
    </row>
    <row r="387" spans="1:20">
      <c r="A387" s="351">
        <v>93704</v>
      </c>
      <c r="B387" s="344" t="s">
        <v>1080</v>
      </c>
      <c r="C387" s="235">
        <v>2.2000000000000001E-6</v>
      </c>
      <c r="D387" s="235">
        <v>2.7E-6</v>
      </c>
      <c r="E387" s="345">
        <v>6008</v>
      </c>
      <c r="F387" s="232"/>
      <c r="G387" s="345">
        <v>1029</v>
      </c>
      <c r="H387" s="345">
        <v>147</v>
      </c>
      <c r="I387" s="345">
        <v>979</v>
      </c>
      <c r="J387" s="345">
        <v>801</v>
      </c>
      <c r="K387" s="345">
        <v>2956</v>
      </c>
      <c r="L387" s="232"/>
      <c r="M387" s="345">
        <v>0</v>
      </c>
      <c r="N387" s="345">
        <v>0</v>
      </c>
      <c r="O387" s="345">
        <v>0</v>
      </c>
      <c r="P387" s="345">
        <v>0</v>
      </c>
      <c r="Q387" s="232"/>
      <c r="R387" s="345">
        <v>2676</v>
      </c>
      <c r="S387" s="345">
        <v>350</v>
      </c>
      <c r="T387" s="345">
        <v>3026</v>
      </c>
    </row>
    <row r="388" spans="1:20">
      <c r="A388" s="351">
        <v>93801</v>
      </c>
      <c r="B388" s="344" t="s">
        <v>1081</v>
      </c>
      <c r="C388" s="235">
        <v>4.191E-4</v>
      </c>
      <c r="D388" s="235">
        <v>4.3570000000000002E-4</v>
      </c>
      <c r="E388" s="345">
        <v>1144529</v>
      </c>
      <c r="F388" s="232"/>
      <c r="G388" s="345">
        <v>195972</v>
      </c>
      <c r="H388" s="345">
        <v>27917</v>
      </c>
      <c r="I388" s="345">
        <v>186539</v>
      </c>
      <c r="J388" s="345">
        <v>29475</v>
      </c>
      <c r="K388" s="345">
        <v>439903</v>
      </c>
      <c r="L388" s="232"/>
      <c r="M388" s="345">
        <v>0</v>
      </c>
      <c r="N388" s="345">
        <v>0</v>
      </c>
      <c r="O388" s="345">
        <v>61015</v>
      </c>
      <c r="P388" s="345">
        <v>61015</v>
      </c>
      <c r="Q388" s="232"/>
      <c r="R388" s="345">
        <v>509841</v>
      </c>
      <c r="S388" s="345">
        <v>17086</v>
      </c>
      <c r="T388" s="345">
        <v>526927</v>
      </c>
    </row>
    <row r="389" spans="1:20">
      <c r="A389" s="351">
        <v>93803</v>
      </c>
      <c r="B389" s="344" t="s">
        <v>3675</v>
      </c>
      <c r="C389" s="235">
        <v>9.0799999999999998E-5</v>
      </c>
      <c r="D389" s="235">
        <v>1.122E-4</v>
      </c>
      <c r="E389" s="345">
        <v>247968</v>
      </c>
      <c r="F389" s="232"/>
      <c r="G389" s="345">
        <v>42458</v>
      </c>
      <c r="H389" s="345">
        <v>6048</v>
      </c>
      <c r="I389" s="345">
        <v>40415</v>
      </c>
      <c r="J389" s="345">
        <v>0</v>
      </c>
      <c r="K389" s="345">
        <v>88921</v>
      </c>
      <c r="L389" s="232"/>
      <c r="M389" s="345">
        <v>0</v>
      </c>
      <c r="N389" s="345">
        <v>0</v>
      </c>
      <c r="O389" s="345">
        <v>39006</v>
      </c>
      <c r="P389" s="345">
        <v>39006</v>
      </c>
      <c r="Q389" s="232"/>
      <c r="R389" s="345">
        <v>110459</v>
      </c>
      <c r="S389" s="345">
        <v>-18526</v>
      </c>
      <c r="T389" s="345">
        <v>91933</v>
      </c>
    </row>
    <row r="390" spans="1:20" ht="30">
      <c r="A390" s="351">
        <v>93806</v>
      </c>
      <c r="B390" s="344" t="s">
        <v>3676</v>
      </c>
      <c r="C390" s="235">
        <v>7.9599999999999997E-5</v>
      </c>
      <c r="D390" s="235">
        <v>7.6100000000000007E-5</v>
      </c>
      <c r="E390" s="345">
        <v>217381</v>
      </c>
      <c r="F390" s="232"/>
      <c r="G390" s="345">
        <v>37221</v>
      </c>
      <c r="H390" s="345">
        <v>5302</v>
      </c>
      <c r="I390" s="345">
        <v>35430</v>
      </c>
      <c r="J390" s="345">
        <v>7729</v>
      </c>
      <c r="K390" s="345">
        <v>85682</v>
      </c>
      <c r="L390" s="232"/>
      <c r="M390" s="345">
        <v>0</v>
      </c>
      <c r="N390" s="345">
        <v>0</v>
      </c>
      <c r="O390" s="345">
        <v>6523</v>
      </c>
      <c r="P390" s="345">
        <v>6523</v>
      </c>
      <c r="Q390" s="232"/>
      <c r="R390" s="345">
        <v>96834</v>
      </c>
      <c r="S390" s="345">
        <v>1656</v>
      </c>
      <c r="T390" s="345">
        <v>98490</v>
      </c>
    </row>
    <row r="391" spans="1:20">
      <c r="A391" s="351">
        <v>93821</v>
      </c>
      <c r="B391" s="344" t="s">
        <v>1084</v>
      </c>
      <c r="C391" s="235">
        <v>6.9200000000000002E-5</v>
      </c>
      <c r="D391" s="235">
        <v>5.6799999999999998E-5</v>
      </c>
      <c r="E391" s="345">
        <v>188980</v>
      </c>
      <c r="F391" s="232"/>
      <c r="G391" s="345">
        <v>32358</v>
      </c>
      <c r="H391" s="345">
        <v>4609</v>
      </c>
      <c r="I391" s="345">
        <v>30801</v>
      </c>
      <c r="J391" s="345">
        <v>43655</v>
      </c>
      <c r="K391" s="345">
        <v>111423</v>
      </c>
      <c r="L391" s="232"/>
      <c r="M391" s="345">
        <v>0</v>
      </c>
      <c r="N391" s="345">
        <v>0</v>
      </c>
      <c r="O391" s="345">
        <v>172</v>
      </c>
      <c r="P391" s="345">
        <v>172</v>
      </c>
      <c r="Q391" s="232"/>
      <c r="R391" s="345">
        <v>84183</v>
      </c>
      <c r="S391" s="345">
        <v>18614</v>
      </c>
      <c r="T391" s="345">
        <v>102797</v>
      </c>
    </row>
    <row r="392" spans="1:20">
      <c r="A392" s="351">
        <v>93901</v>
      </c>
      <c r="B392" s="344" t="s">
        <v>1085</v>
      </c>
      <c r="C392" s="235">
        <v>1.7884999999999999E-3</v>
      </c>
      <c r="D392" s="235">
        <v>1.7718E-3</v>
      </c>
      <c r="E392" s="345">
        <v>4884254</v>
      </c>
      <c r="F392" s="232"/>
      <c r="G392" s="345">
        <v>836308</v>
      </c>
      <c r="H392" s="345">
        <v>119134</v>
      </c>
      <c r="I392" s="345">
        <v>796052</v>
      </c>
      <c r="J392" s="345">
        <v>177049</v>
      </c>
      <c r="K392" s="345">
        <v>1928543</v>
      </c>
      <c r="L392" s="232"/>
      <c r="M392" s="345">
        <v>0</v>
      </c>
      <c r="N392" s="345">
        <v>0</v>
      </c>
      <c r="O392" s="345">
        <v>0</v>
      </c>
      <c r="P392" s="345">
        <v>0</v>
      </c>
      <c r="Q392" s="232"/>
      <c r="R392" s="345">
        <v>2175734</v>
      </c>
      <c r="S392" s="345">
        <v>67193</v>
      </c>
      <c r="T392" s="345">
        <v>2242927</v>
      </c>
    </row>
    <row r="393" spans="1:20">
      <c r="A393" s="351">
        <v>93904</v>
      </c>
      <c r="B393" s="344" t="s">
        <v>3677</v>
      </c>
      <c r="C393" s="235">
        <v>3.18E-5</v>
      </c>
      <c r="D393" s="235">
        <v>3.3099999999999998E-5</v>
      </c>
      <c r="E393" s="345">
        <v>86843</v>
      </c>
      <c r="F393" s="232"/>
      <c r="G393" s="345">
        <v>14870</v>
      </c>
      <c r="H393" s="345">
        <v>2118</v>
      </c>
      <c r="I393" s="345">
        <v>14154</v>
      </c>
      <c r="J393" s="345">
        <v>12284</v>
      </c>
      <c r="K393" s="345">
        <v>43426</v>
      </c>
      <c r="L393" s="232"/>
      <c r="M393" s="345">
        <v>0</v>
      </c>
      <c r="N393" s="345">
        <v>0</v>
      </c>
      <c r="O393" s="345">
        <v>0</v>
      </c>
      <c r="P393" s="345">
        <v>0</v>
      </c>
      <c r="Q393" s="232"/>
      <c r="R393" s="345">
        <v>38685</v>
      </c>
      <c r="S393" s="345">
        <v>5506</v>
      </c>
      <c r="T393" s="345">
        <v>44191</v>
      </c>
    </row>
    <row r="394" spans="1:20">
      <c r="A394" s="351">
        <v>93906</v>
      </c>
      <c r="B394" s="344" t="s">
        <v>1087</v>
      </c>
      <c r="C394" s="235">
        <v>3.1308E-3</v>
      </c>
      <c r="D394" s="235">
        <v>3.1683000000000002E-3</v>
      </c>
      <c r="E394" s="345">
        <v>8549971</v>
      </c>
      <c r="F394" s="232"/>
      <c r="G394" s="345">
        <v>1463971</v>
      </c>
      <c r="H394" s="345">
        <v>208546</v>
      </c>
      <c r="I394" s="345">
        <v>1393503</v>
      </c>
      <c r="J394" s="345">
        <v>0</v>
      </c>
      <c r="K394" s="345">
        <v>3066020</v>
      </c>
      <c r="L394" s="232"/>
      <c r="M394" s="345">
        <v>0</v>
      </c>
      <c r="N394" s="345">
        <v>0</v>
      </c>
      <c r="O394" s="345">
        <v>265792</v>
      </c>
      <c r="P394" s="345">
        <v>265792</v>
      </c>
      <c r="Q394" s="232"/>
      <c r="R394" s="345">
        <v>3808659</v>
      </c>
      <c r="S394" s="345">
        <v>-139204</v>
      </c>
      <c r="T394" s="345">
        <v>3669455</v>
      </c>
    </row>
    <row r="395" spans="1:20">
      <c r="A395" s="351">
        <v>93908</v>
      </c>
      <c r="B395" s="344" t="s">
        <v>1088</v>
      </c>
      <c r="C395" s="235">
        <v>4.9540000000000001E-4</v>
      </c>
      <c r="D395" s="235">
        <v>4.6920000000000002E-4</v>
      </c>
      <c r="E395" s="345">
        <v>1352899</v>
      </c>
      <c r="F395" s="232"/>
      <c r="G395" s="345">
        <v>231651</v>
      </c>
      <c r="H395" s="345">
        <v>32999</v>
      </c>
      <c r="I395" s="345">
        <v>220500</v>
      </c>
      <c r="J395" s="345">
        <v>21575</v>
      </c>
      <c r="K395" s="345">
        <v>506725</v>
      </c>
      <c r="L395" s="232"/>
      <c r="M395" s="345">
        <v>0</v>
      </c>
      <c r="N395" s="345">
        <v>0</v>
      </c>
      <c r="O395" s="345">
        <v>15341</v>
      </c>
      <c r="P395" s="345">
        <v>15341</v>
      </c>
      <c r="Q395" s="232"/>
      <c r="R395" s="345">
        <v>602661</v>
      </c>
      <c r="S395" s="345">
        <v>-5643</v>
      </c>
      <c r="T395" s="345">
        <v>597018</v>
      </c>
    </row>
    <row r="396" spans="1:20">
      <c r="A396" s="351">
        <v>93910</v>
      </c>
      <c r="B396" s="344" t="s">
        <v>1089</v>
      </c>
      <c r="C396" s="235">
        <v>2.285E-4</v>
      </c>
      <c r="D396" s="235">
        <v>2.5769999999999998E-4</v>
      </c>
      <c r="E396" s="345">
        <v>624016</v>
      </c>
      <c r="F396" s="232"/>
      <c r="G396" s="345">
        <v>106847</v>
      </c>
      <c r="H396" s="345">
        <v>15221</v>
      </c>
      <c r="I396" s="345">
        <v>101704</v>
      </c>
      <c r="J396" s="345">
        <v>0</v>
      </c>
      <c r="K396" s="345">
        <v>223772</v>
      </c>
      <c r="L396" s="232"/>
      <c r="M396" s="345">
        <v>0</v>
      </c>
      <c r="N396" s="345">
        <v>0</v>
      </c>
      <c r="O396" s="345">
        <v>40968</v>
      </c>
      <c r="P396" s="345">
        <v>40968</v>
      </c>
      <c r="Q396" s="232"/>
      <c r="R396" s="345">
        <v>277973</v>
      </c>
      <c r="S396" s="345">
        <v>-17473</v>
      </c>
      <c r="T396" s="345">
        <v>260500</v>
      </c>
    </row>
    <row r="397" spans="1:20">
      <c r="A397" s="351">
        <v>93911</v>
      </c>
      <c r="B397" s="344" t="s">
        <v>1090</v>
      </c>
      <c r="C397" s="235">
        <v>6.4320000000000002E-4</v>
      </c>
      <c r="D397" s="235">
        <v>6.5010000000000003E-4</v>
      </c>
      <c r="E397" s="345">
        <v>1756529</v>
      </c>
      <c r="F397" s="232"/>
      <c r="G397" s="345">
        <v>300762</v>
      </c>
      <c r="H397" s="345">
        <v>42844</v>
      </c>
      <c r="I397" s="345">
        <v>286285</v>
      </c>
      <c r="J397" s="345">
        <v>10703</v>
      </c>
      <c r="K397" s="345">
        <v>640594</v>
      </c>
      <c r="L397" s="232"/>
      <c r="M397" s="345">
        <v>0</v>
      </c>
      <c r="N397" s="345">
        <v>0</v>
      </c>
      <c r="O397" s="345">
        <v>25625</v>
      </c>
      <c r="P397" s="345">
        <v>25625</v>
      </c>
      <c r="Q397" s="232"/>
      <c r="R397" s="345">
        <v>782461</v>
      </c>
      <c r="S397" s="345">
        <v>-7996</v>
      </c>
      <c r="T397" s="345">
        <v>774465</v>
      </c>
    </row>
    <row r="398" spans="1:20">
      <c r="A398" s="351">
        <v>93913</v>
      </c>
      <c r="B398" s="344" t="s">
        <v>1091</v>
      </c>
      <c r="C398" s="235">
        <v>4.9799999999999998E-5</v>
      </c>
      <c r="D398" s="235">
        <v>5.8799999999999999E-5</v>
      </c>
      <c r="E398" s="345">
        <v>136000</v>
      </c>
      <c r="F398" s="232"/>
      <c r="G398" s="345">
        <v>23287</v>
      </c>
      <c r="H398" s="345">
        <v>3317</v>
      </c>
      <c r="I398" s="345">
        <v>22166</v>
      </c>
      <c r="J398" s="345">
        <v>3063</v>
      </c>
      <c r="K398" s="345">
        <v>51833</v>
      </c>
      <c r="L398" s="232"/>
      <c r="M398" s="345">
        <v>0</v>
      </c>
      <c r="N398" s="345">
        <v>0</v>
      </c>
      <c r="O398" s="345">
        <v>2244</v>
      </c>
      <c r="P398" s="345">
        <v>2244</v>
      </c>
      <c r="Q398" s="232"/>
      <c r="R398" s="345">
        <v>60582</v>
      </c>
      <c r="S398" s="345">
        <v>793</v>
      </c>
      <c r="T398" s="345">
        <v>61375</v>
      </c>
    </row>
    <row r="399" spans="1:20">
      <c r="A399" s="351">
        <v>93914</v>
      </c>
      <c r="B399" s="344" t="s">
        <v>1092</v>
      </c>
      <c r="C399" s="235">
        <v>6.1E-6</v>
      </c>
      <c r="D399" s="235">
        <v>7.1999999999999997E-6</v>
      </c>
      <c r="E399" s="345">
        <v>16659</v>
      </c>
      <c r="F399" s="232"/>
      <c r="G399" s="345">
        <v>2852</v>
      </c>
      <c r="H399" s="345">
        <v>406</v>
      </c>
      <c r="I399" s="345">
        <v>2715</v>
      </c>
      <c r="J399" s="345">
        <v>4397</v>
      </c>
      <c r="K399" s="345">
        <v>10370</v>
      </c>
      <c r="L399" s="232"/>
      <c r="M399" s="345">
        <v>0</v>
      </c>
      <c r="N399" s="345">
        <v>0</v>
      </c>
      <c r="O399" s="345">
        <v>0</v>
      </c>
      <c r="P399" s="345">
        <v>0</v>
      </c>
      <c r="Q399" s="232"/>
      <c r="R399" s="345">
        <v>7421</v>
      </c>
      <c r="S399" s="345">
        <v>1957</v>
      </c>
      <c r="T399" s="345">
        <v>9378</v>
      </c>
    </row>
    <row r="400" spans="1:20">
      <c r="A400" s="351">
        <v>93921</v>
      </c>
      <c r="B400" s="344" t="s">
        <v>1093</v>
      </c>
      <c r="C400" s="235">
        <v>2.251E-4</v>
      </c>
      <c r="D400" s="235">
        <v>2.8259999999999998E-4</v>
      </c>
      <c r="E400" s="345">
        <v>614731</v>
      </c>
      <c r="F400" s="232"/>
      <c r="G400" s="345">
        <v>105257</v>
      </c>
      <c r="H400" s="345">
        <v>14994</v>
      </c>
      <c r="I400" s="345">
        <v>100191</v>
      </c>
      <c r="J400" s="345">
        <v>3765</v>
      </c>
      <c r="K400" s="345">
        <v>224207</v>
      </c>
      <c r="L400" s="232"/>
      <c r="M400" s="345">
        <v>0</v>
      </c>
      <c r="N400" s="345">
        <v>0</v>
      </c>
      <c r="O400" s="345">
        <v>42896</v>
      </c>
      <c r="P400" s="345">
        <v>42896</v>
      </c>
      <c r="Q400" s="232"/>
      <c r="R400" s="345">
        <v>273837</v>
      </c>
      <c r="S400" s="345">
        <v>-8082</v>
      </c>
      <c r="T400" s="345">
        <v>265755</v>
      </c>
    </row>
    <row r="401" spans="1:20">
      <c r="A401" s="351">
        <v>93931</v>
      </c>
      <c r="B401" s="344" t="s">
        <v>1094</v>
      </c>
      <c r="C401" s="235">
        <v>5.1590000000000002E-4</v>
      </c>
      <c r="D401" s="235">
        <v>5.4460000000000001E-4</v>
      </c>
      <c r="E401" s="345">
        <v>1408883</v>
      </c>
      <c r="F401" s="232"/>
      <c r="G401" s="345">
        <v>241236</v>
      </c>
      <c r="H401" s="345">
        <v>34365</v>
      </c>
      <c r="I401" s="345">
        <v>229625</v>
      </c>
      <c r="J401" s="345">
        <v>6952</v>
      </c>
      <c r="K401" s="345">
        <v>512178</v>
      </c>
      <c r="L401" s="232"/>
      <c r="M401" s="345">
        <v>0</v>
      </c>
      <c r="N401" s="345">
        <v>0</v>
      </c>
      <c r="O401" s="345">
        <v>58428</v>
      </c>
      <c r="P401" s="345">
        <v>58428</v>
      </c>
      <c r="Q401" s="232"/>
      <c r="R401" s="345">
        <v>627599</v>
      </c>
      <c r="S401" s="345">
        <v>-398</v>
      </c>
      <c r="T401" s="345">
        <v>627201</v>
      </c>
    </row>
    <row r="402" spans="1:20">
      <c r="A402" s="351">
        <v>94001</v>
      </c>
      <c r="B402" s="344" t="s">
        <v>1095</v>
      </c>
      <c r="C402" s="235">
        <v>9.3720000000000001E-4</v>
      </c>
      <c r="D402" s="235">
        <v>9.366E-4</v>
      </c>
      <c r="E402" s="345">
        <v>2559420</v>
      </c>
      <c r="F402" s="232"/>
      <c r="G402" s="345">
        <v>438238</v>
      </c>
      <c r="H402" s="345">
        <v>62428</v>
      </c>
      <c r="I402" s="345">
        <v>417143</v>
      </c>
      <c r="J402" s="345">
        <v>42467</v>
      </c>
      <c r="K402" s="345">
        <v>960276</v>
      </c>
      <c r="L402" s="232"/>
      <c r="M402" s="345">
        <v>0</v>
      </c>
      <c r="N402" s="345">
        <v>0</v>
      </c>
      <c r="O402" s="345">
        <v>0</v>
      </c>
      <c r="P402" s="345">
        <v>0</v>
      </c>
      <c r="Q402" s="232"/>
      <c r="R402" s="345">
        <v>1140116</v>
      </c>
      <c r="S402" s="345">
        <v>20242</v>
      </c>
      <c r="T402" s="345">
        <v>1160358</v>
      </c>
    </row>
    <row r="403" spans="1:20">
      <c r="A403" s="351">
        <v>94002</v>
      </c>
      <c r="B403" s="344" t="s">
        <v>1096</v>
      </c>
      <c r="C403" s="235">
        <v>5.2000000000000002E-6</v>
      </c>
      <c r="D403" s="235">
        <v>5.9000000000000003E-6</v>
      </c>
      <c r="E403" s="345">
        <v>14201</v>
      </c>
      <c r="F403" s="232"/>
      <c r="G403" s="345">
        <v>2432</v>
      </c>
      <c r="H403" s="345">
        <v>346</v>
      </c>
      <c r="I403" s="345">
        <v>2314</v>
      </c>
      <c r="J403" s="345">
        <v>2300</v>
      </c>
      <c r="K403" s="345">
        <v>7392</v>
      </c>
      <c r="L403" s="232"/>
      <c r="M403" s="345">
        <v>0</v>
      </c>
      <c r="N403" s="345">
        <v>0</v>
      </c>
      <c r="O403" s="345">
        <v>0</v>
      </c>
      <c r="P403" s="345">
        <v>0</v>
      </c>
      <c r="Q403" s="232"/>
      <c r="R403" s="345">
        <v>6326</v>
      </c>
      <c r="S403" s="345">
        <v>917</v>
      </c>
      <c r="T403" s="345">
        <v>7243</v>
      </c>
    </row>
    <row r="404" spans="1:20">
      <c r="A404" s="351">
        <v>94004</v>
      </c>
      <c r="B404" s="344" t="s">
        <v>1097</v>
      </c>
      <c r="C404" s="235">
        <v>7.4000000000000003E-6</v>
      </c>
      <c r="D404" s="235">
        <v>7.3000000000000004E-6</v>
      </c>
      <c r="E404" s="345">
        <v>20209</v>
      </c>
      <c r="F404" s="232"/>
      <c r="G404" s="345">
        <v>3460</v>
      </c>
      <c r="H404" s="345">
        <v>493</v>
      </c>
      <c r="I404" s="345">
        <v>3294</v>
      </c>
      <c r="J404" s="345">
        <v>3706</v>
      </c>
      <c r="K404" s="345">
        <v>10953</v>
      </c>
      <c r="L404" s="232"/>
      <c r="M404" s="345">
        <v>0</v>
      </c>
      <c r="N404" s="345">
        <v>0</v>
      </c>
      <c r="O404" s="345">
        <v>0</v>
      </c>
      <c r="P404" s="345">
        <v>0</v>
      </c>
      <c r="Q404" s="232"/>
      <c r="R404" s="345">
        <v>9002</v>
      </c>
      <c r="S404" s="345">
        <v>1706</v>
      </c>
      <c r="T404" s="345">
        <v>10708</v>
      </c>
    </row>
    <row r="405" spans="1:20">
      <c r="A405" s="351">
        <v>94005</v>
      </c>
      <c r="B405" s="344" t="s">
        <v>1098</v>
      </c>
      <c r="C405" s="235">
        <v>1.9E-6</v>
      </c>
      <c r="D405" s="235">
        <v>4.6999999999999999E-6</v>
      </c>
      <c r="E405" s="345">
        <v>5189</v>
      </c>
      <c r="F405" s="232"/>
      <c r="G405" s="345">
        <v>888</v>
      </c>
      <c r="H405" s="345">
        <v>127</v>
      </c>
      <c r="I405" s="345">
        <v>846</v>
      </c>
      <c r="J405" s="345">
        <v>2612</v>
      </c>
      <c r="K405" s="345">
        <v>4473</v>
      </c>
      <c r="L405" s="232"/>
      <c r="M405" s="345">
        <v>0</v>
      </c>
      <c r="N405" s="345">
        <v>0</v>
      </c>
      <c r="O405" s="345">
        <v>3483</v>
      </c>
      <c r="P405" s="345">
        <v>3483</v>
      </c>
      <c r="Q405" s="232"/>
      <c r="R405" s="345">
        <v>2311</v>
      </c>
      <c r="S405" s="345">
        <v>-1236</v>
      </c>
      <c r="T405" s="345">
        <v>1075</v>
      </c>
    </row>
    <row r="406" spans="1:20">
      <c r="A406" s="351">
        <v>94011</v>
      </c>
      <c r="B406" s="344" t="s">
        <v>1099</v>
      </c>
      <c r="C406" s="235">
        <v>2.6699999999999998E-5</v>
      </c>
      <c r="D406" s="235">
        <v>2.8399999999999999E-5</v>
      </c>
      <c r="E406" s="345">
        <v>72916</v>
      </c>
      <c r="F406" s="232"/>
      <c r="G406" s="345">
        <v>12485</v>
      </c>
      <c r="H406" s="345">
        <v>1778</v>
      </c>
      <c r="I406" s="345">
        <v>11884</v>
      </c>
      <c r="J406" s="345">
        <v>2318</v>
      </c>
      <c r="K406" s="345">
        <v>28465</v>
      </c>
      <c r="L406" s="232"/>
      <c r="M406" s="345">
        <v>0</v>
      </c>
      <c r="N406" s="345">
        <v>0</v>
      </c>
      <c r="O406" s="345">
        <v>3814</v>
      </c>
      <c r="P406" s="345">
        <v>3814</v>
      </c>
      <c r="Q406" s="232"/>
      <c r="R406" s="345">
        <v>32481</v>
      </c>
      <c r="S406" s="345">
        <v>240</v>
      </c>
      <c r="T406" s="345">
        <v>32721</v>
      </c>
    </row>
    <row r="407" spans="1:20">
      <c r="A407" s="351">
        <v>94021</v>
      </c>
      <c r="B407" s="344" t="s">
        <v>1100</v>
      </c>
      <c r="C407" s="235">
        <v>8.3300000000000005E-5</v>
      </c>
      <c r="D407" s="235">
        <v>8.8800000000000004E-5</v>
      </c>
      <c r="E407" s="345">
        <v>227486</v>
      </c>
      <c r="F407" s="232"/>
      <c r="G407" s="345">
        <v>38951</v>
      </c>
      <c r="H407" s="345">
        <v>5549</v>
      </c>
      <c r="I407" s="345">
        <v>37076</v>
      </c>
      <c r="J407" s="345">
        <v>11040</v>
      </c>
      <c r="K407" s="345">
        <v>92616</v>
      </c>
      <c r="L407" s="232"/>
      <c r="M407" s="345">
        <v>0</v>
      </c>
      <c r="N407" s="345">
        <v>0</v>
      </c>
      <c r="O407" s="345">
        <v>0</v>
      </c>
      <c r="P407" s="345">
        <v>0</v>
      </c>
      <c r="Q407" s="232"/>
      <c r="R407" s="345">
        <v>101336</v>
      </c>
      <c r="S407" s="345">
        <v>6131</v>
      </c>
      <c r="T407" s="345">
        <v>107467</v>
      </c>
    </row>
    <row r="408" spans="1:20">
      <c r="A408" s="351">
        <v>94031</v>
      </c>
      <c r="B408" s="344" t="s">
        <v>1101</v>
      </c>
      <c r="C408" s="235">
        <v>4.6E-6</v>
      </c>
      <c r="D408" s="235">
        <v>4.8999999999999997E-6</v>
      </c>
      <c r="E408" s="345">
        <v>12562</v>
      </c>
      <c r="F408" s="232"/>
      <c r="G408" s="345">
        <v>2151</v>
      </c>
      <c r="H408" s="345">
        <v>307</v>
      </c>
      <c r="I408" s="345">
        <v>2047</v>
      </c>
      <c r="J408" s="345">
        <v>8320</v>
      </c>
      <c r="K408" s="345">
        <v>12825</v>
      </c>
      <c r="L408" s="232"/>
      <c r="M408" s="345">
        <v>0</v>
      </c>
      <c r="N408" s="345">
        <v>0</v>
      </c>
      <c r="O408" s="345">
        <v>0</v>
      </c>
      <c r="P408" s="345">
        <v>0</v>
      </c>
      <c r="Q408" s="232"/>
      <c r="R408" s="345">
        <v>5596</v>
      </c>
      <c r="S408" s="345">
        <v>4476</v>
      </c>
      <c r="T408" s="345">
        <v>10072</v>
      </c>
    </row>
    <row r="409" spans="1:20">
      <c r="A409" s="351">
        <v>94101</v>
      </c>
      <c r="B409" s="344" t="s">
        <v>1102</v>
      </c>
      <c r="C409" s="235">
        <v>1.7750700000000001E-2</v>
      </c>
      <c r="D409" s="235">
        <v>1.8137199999999999E-2</v>
      </c>
      <c r="E409" s="345">
        <v>48475777</v>
      </c>
      <c r="F409" s="232"/>
      <c r="G409" s="345">
        <v>8300281</v>
      </c>
      <c r="H409" s="345">
        <v>1182392</v>
      </c>
      <c r="I409" s="345">
        <v>7900748</v>
      </c>
      <c r="J409" s="345">
        <v>25242</v>
      </c>
      <c r="K409" s="345">
        <v>17408663</v>
      </c>
      <c r="L409" s="232"/>
      <c r="M409" s="345">
        <v>0</v>
      </c>
      <c r="N409" s="345">
        <v>0</v>
      </c>
      <c r="O409" s="345">
        <v>298930</v>
      </c>
      <c r="P409" s="345">
        <v>298930</v>
      </c>
      <c r="Q409" s="232"/>
      <c r="R409" s="345">
        <v>21593957</v>
      </c>
      <c r="S409" s="345">
        <v>-65341</v>
      </c>
      <c r="T409" s="345">
        <v>21528616</v>
      </c>
    </row>
    <row r="410" spans="1:20">
      <c r="A410" s="351">
        <v>94102</v>
      </c>
      <c r="B410" s="344" t="s">
        <v>1103</v>
      </c>
      <c r="C410" s="235">
        <v>3.3849999999999999E-4</v>
      </c>
      <c r="D410" s="235">
        <v>2.8909999999999998E-4</v>
      </c>
      <c r="E410" s="345">
        <v>924417</v>
      </c>
      <c r="F410" s="232"/>
      <c r="G410" s="345">
        <v>158284</v>
      </c>
      <c r="H410" s="345">
        <v>22548</v>
      </c>
      <c r="I410" s="345">
        <v>150665</v>
      </c>
      <c r="J410" s="345">
        <v>8585</v>
      </c>
      <c r="K410" s="345">
        <v>340082</v>
      </c>
      <c r="L410" s="232"/>
      <c r="M410" s="345">
        <v>0</v>
      </c>
      <c r="N410" s="345">
        <v>0</v>
      </c>
      <c r="O410" s="345">
        <v>33062</v>
      </c>
      <c r="P410" s="345">
        <v>33062</v>
      </c>
      <c r="Q410" s="232"/>
      <c r="R410" s="345">
        <v>411790</v>
      </c>
      <c r="S410" s="345">
        <v>-18351</v>
      </c>
      <c r="T410" s="345">
        <v>393439</v>
      </c>
    </row>
    <row r="411" spans="1:20">
      <c r="A411" s="351">
        <v>94108</v>
      </c>
      <c r="B411" s="344" t="s">
        <v>3678</v>
      </c>
      <c r="C411" s="235">
        <v>3.8289999999999998E-4</v>
      </c>
      <c r="D411" s="235">
        <v>3.8549999999999999E-4</v>
      </c>
      <c r="E411" s="345">
        <v>1045670</v>
      </c>
      <c r="F411" s="232"/>
      <c r="G411" s="345">
        <v>179045</v>
      </c>
      <c r="H411" s="345">
        <v>25505</v>
      </c>
      <c r="I411" s="345">
        <v>170427</v>
      </c>
      <c r="J411" s="345">
        <v>10190</v>
      </c>
      <c r="K411" s="345">
        <v>385167</v>
      </c>
      <c r="L411" s="232"/>
      <c r="M411" s="345">
        <v>0</v>
      </c>
      <c r="N411" s="345">
        <v>0</v>
      </c>
      <c r="O411" s="345">
        <v>71880</v>
      </c>
      <c r="P411" s="345">
        <v>71880</v>
      </c>
      <c r="Q411" s="232"/>
      <c r="R411" s="345">
        <v>465803</v>
      </c>
      <c r="S411" s="345">
        <v>-39681</v>
      </c>
      <c r="T411" s="345">
        <v>426122</v>
      </c>
    </row>
    <row r="412" spans="1:20">
      <c r="A412" s="351">
        <v>94109</v>
      </c>
      <c r="B412" s="344" t="s">
        <v>3679</v>
      </c>
      <c r="C412" s="235">
        <v>1.048E-4</v>
      </c>
      <c r="D412" s="235">
        <v>9.8200000000000002E-5</v>
      </c>
      <c r="E412" s="345">
        <v>286201</v>
      </c>
      <c r="F412" s="232"/>
      <c r="G412" s="345">
        <v>49005</v>
      </c>
      <c r="H412" s="345">
        <v>6981</v>
      </c>
      <c r="I412" s="345">
        <v>46646</v>
      </c>
      <c r="J412" s="345">
        <v>0</v>
      </c>
      <c r="K412" s="345">
        <v>102632</v>
      </c>
      <c r="L412" s="232"/>
      <c r="M412" s="345">
        <v>0</v>
      </c>
      <c r="N412" s="345">
        <v>0</v>
      </c>
      <c r="O412" s="345">
        <v>25222</v>
      </c>
      <c r="P412" s="345">
        <v>25222</v>
      </c>
      <c r="Q412" s="232"/>
      <c r="R412" s="345">
        <v>127491</v>
      </c>
      <c r="S412" s="345">
        <v>-16308</v>
      </c>
      <c r="T412" s="345">
        <v>111183</v>
      </c>
    </row>
    <row r="413" spans="1:20">
      <c r="A413" s="351">
        <v>94111</v>
      </c>
      <c r="B413" s="344" t="s">
        <v>1106</v>
      </c>
      <c r="C413" s="235">
        <v>2.50095E-2</v>
      </c>
      <c r="D413" s="235">
        <v>2.4882899999999999E-2</v>
      </c>
      <c r="E413" s="345">
        <v>68298994</v>
      </c>
      <c r="F413" s="232"/>
      <c r="G413" s="345">
        <v>11694517</v>
      </c>
      <c r="H413" s="345">
        <v>1665908</v>
      </c>
      <c r="I413" s="345">
        <v>11131603</v>
      </c>
      <c r="J413" s="345">
        <v>0</v>
      </c>
      <c r="K413" s="345">
        <v>24492028</v>
      </c>
      <c r="L413" s="232"/>
      <c r="M413" s="345">
        <v>0</v>
      </c>
      <c r="N413" s="345">
        <v>0</v>
      </c>
      <c r="O413" s="345">
        <v>1033094</v>
      </c>
      <c r="P413" s="345">
        <v>1033094</v>
      </c>
      <c r="Q413" s="232"/>
      <c r="R413" s="345">
        <v>30424382</v>
      </c>
      <c r="S413" s="345">
        <v>-695656</v>
      </c>
      <c r="T413" s="345">
        <v>29728726</v>
      </c>
    </row>
    <row r="414" spans="1:20">
      <c r="A414" s="351">
        <v>94112</v>
      </c>
      <c r="B414" s="344" t="s">
        <v>3680</v>
      </c>
      <c r="C414" s="235">
        <v>1.6870000000000001E-4</v>
      </c>
      <c r="D414" s="235">
        <v>1.684E-4</v>
      </c>
      <c r="E414" s="345">
        <v>460707</v>
      </c>
      <c r="F414" s="232"/>
      <c r="G414" s="345">
        <v>78885</v>
      </c>
      <c r="H414" s="345">
        <v>11237</v>
      </c>
      <c r="I414" s="345">
        <v>75088</v>
      </c>
      <c r="J414" s="345">
        <v>0</v>
      </c>
      <c r="K414" s="345">
        <v>165210</v>
      </c>
      <c r="L414" s="232"/>
      <c r="M414" s="345">
        <v>0</v>
      </c>
      <c r="N414" s="345">
        <v>0</v>
      </c>
      <c r="O414" s="345">
        <v>12250</v>
      </c>
      <c r="P414" s="345">
        <v>12250</v>
      </c>
      <c r="Q414" s="232"/>
      <c r="R414" s="345">
        <v>205226</v>
      </c>
      <c r="S414" s="345">
        <v>-7816</v>
      </c>
      <c r="T414" s="345">
        <v>197410</v>
      </c>
    </row>
    <row r="415" spans="1:20">
      <c r="A415" s="351">
        <v>94117</v>
      </c>
      <c r="B415" s="344" t="s">
        <v>2814</v>
      </c>
      <c r="C415" s="235">
        <v>3.232E-4</v>
      </c>
      <c r="D415" s="235">
        <v>3.5429999999999999E-4</v>
      </c>
      <c r="E415" s="345">
        <v>882634</v>
      </c>
      <c r="F415" s="232"/>
      <c r="G415" s="345">
        <v>151129</v>
      </c>
      <c r="H415" s="345">
        <v>21528</v>
      </c>
      <c r="I415" s="345">
        <v>143855</v>
      </c>
      <c r="J415" s="345">
        <v>0</v>
      </c>
      <c r="K415" s="345">
        <v>316512</v>
      </c>
      <c r="L415" s="232"/>
      <c r="M415" s="345">
        <v>0</v>
      </c>
      <c r="N415" s="345">
        <v>0</v>
      </c>
      <c r="O415" s="345">
        <v>31793</v>
      </c>
      <c r="P415" s="345">
        <v>31793</v>
      </c>
      <c r="Q415" s="232"/>
      <c r="R415" s="345">
        <v>393177</v>
      </c>
      <c r="S415" s="345">
        <v>-8846</v>
      </c>
      <c r="T415" s="345">
        <v>384331</v>
      </c>
    </row>
    <row r="416" spans="1:20">
      <c r="A416" s="351">
        <v>94118</v>
      </c>
      <c r="B416" s="344" t="s">
        <v>1109</v>
      </c>
      <c r="C416" s="235">
        <v>1.6009999999999999E-4</v>
      </c>
      <c r="D416" s="235">
        <v>1.6009999999999999E-4</v>
      </c>
      <c r="E416" s="345">
        <v>437221</v>
      </c>
      <c r="F416" s="232"/>
      <c r="G416" s="345">
        <v>74863</v>
      </c>
      <c r="H416" s="345">
        <v>10665</v>
      </c>
      <c r="I416" s="345">
        <v>71260</v>
      </c>
      <c r="J416" s="345">
        <v>0</v>
      </c>
      <c r="K416" s="345">
        <v>156788</v>
      </c>
      <c r="L416" s="232"/>
      <c r="M416" s="345">
        <v>0</v>
      </c>
      <c r="N416" s="345">
        <v>0</v>
      </c>
      <c r="O416" s="345">
        <v>30819</v>
      </c>
      <c r="P416" s="345">
        <v>30819</v>
      </c>
      <c r="Q416" s="232"/>
      <c r="R416" s="345">
        <v>194764</v>
      </c>
      <c r="S416" s="345">
        <v>-21004</v>
      </c>
      <c r="T416" s="345">
        <v>173760</v>
      </c>
    </row>
    <row r="417" spans="1:20">
      <c r="A417" s="351">
        <v>94121</v>
      </c>
      <c r="B417" s="344" t="s">
        <v>1110</v>
      </c>
      <c r="C417" s="235">
        <v>1.1113E-2</v>
      </c>
      <c r="D417" s="235">
        <v>1.1314299999999999E-2</v>
      </c>
      <c r="E417" s="345">
        <v>30348736</v>
      </c>
      <c r="F417" s="232"/>
      <c r="G417" s="345">
        <v>5196472</v>
      </c>
      <c r="H417" s="345">
        <v>740248</v>
      </c>
      <c r="I417" s="345">
        <v>4946341</v>
      </c>
      <c r="J417" s="345">
        <v>130687</v>
      </c>
      <c r="K417" s="345">
        <v>11013748</v>
      </c>
      <c r="L417" s="232"/>
      <c r="M417" s="345">
        <v>0</v>
      </c>
      <c r="N417" s="345">
        <v>0</v>
      </c>
      <c r="O417" s="345">
        <v>57760</v>
      </c>
      <c r="P417" s="345">
        <v>57760</v>
      </c>
      <c r="Q417" s="232"/>
      <c r="R417" s="345">
        <v>13519109</v>
      </c>
      <c r="S417" s="345">
        <v>-8668</v>
      </c>
      <c r="T417" s="345">
        <v>13510441</v>
      </c>
    </row>
    <row r="418" spans="1:20">
      <c r="A418" s="351">
        <v>94127</v>
      </c>
      <c r="B418" s="344" t="s">
        <v>2812</v>
      </c>
      <c r="C418" s="235">
        <v>1.4310000000000001E-4</v>
      </c>
      <c r="D418" s="235">
        <v>1.5310000000000001E-4</v>
      </c>
      <c r="E418" s="345">
        <v>390795</v>
      </c>
      <c r="F418" s="232"/>
      <c r="G418" s="345">
        <v>66914</v>
      </c>
      <c r="H418" s="345">
        <v>9532</v>
      </c>
      <c r="I418" s="345">
        <v>63693</v>
      </c>
      <c r="J418" s="345">
        <v>3653</v>
      </c>
      <c r="K418" s="345">
        <v>143792</v>
      </c>
      <c r="L418" s="232"/>
      <c r="M418" s="345">
        <v>0</v>
      </c>
      <c r="N418" s="345">
        <v>0</v>
      </c>
      <c r="O418" s="345">
        <v>15283</v>
      </c>
      <c r="P418" s="345">
        <v>15283</v>
      </c>
      <c r="Q418" s="232"/>
      <c r="R418" s="345">
        <v>174083</v>
      </c>
      <c r="S418" s="345">
        <v>-2554</v>
      </c>
      <c r="T418" s="345">
        <v>171529</v>
      </c>
    </row>
    <row r="419" spans="1:20">
      <c r="A419" s="351">
        <v>94131</v>
      </c>
      <c r="B419" s="344" t="s">
        <v>1112</v>
      </c>
      <c r="C419" s="235">
        <v>2.1029999999999999E-4</v>
      </c>
      <c r="D419" s="235">
        <v>2.039E-4</v>
      </c>
      <c r="E419" s="345">
        <v>574313</v>
      </c>
      <c r="F419" s="232"/>
      <c r="G419" s="345">
        <v>98337</v>
      </c>
      <c r="H419" s="345">
        <v>14009</v>
      </c>
      <c r="I419" s="345">
        <v>93603</v>
      </c>
      <c r="J419" s="345">
        <v>24110</v>
      </c>
      <c r="K419" s="345">
        <v>230059</v>
      </c>
      <c r="L419" s="232"/>
      <c r="M419" s="345">
        <v>0</v>
      </c>
      <c r="N419" s="345">
        <v>0</v>
      </c>
      <c r="O419" s="345">
        <v>4253</v>
      </c>
      <c r="P419" s="345">
        <v>4253</v>
      </c>
      <c r="Q419" s="232"/>
      <c r="R419" s="345">
        <v>255833</v>
      </c>
      <c r="S419" s="345">
        <v>6700</v>
      </c>
      <c r="T419" s="345">
        <v>262533</v>
      </c>
    </row>
    <row r="420" spans="1:20">
      <c r="A420" s="351">
        <v>94151</v>
      </c>
      <c r="B420" s="344" t="s">
        <v>1113</v>
      </c>
      <c r="C420" s="235">
        <v>4.6660000000000001E-4</v>
      </c>
      <c r="D420" s="235">
        <v>4.6470000000000002E-4</v>
      </c>
      <c r="E420" s="345">
        <v>1274248</v>
      </c>
      <c r="F420" s="232"/>
      <c r="G420" s="345">
        <v>218184</v>
      </c>
      <c r="H420" s="345">
        <v>31081</v>
      </c>
      <c r="I420" s="345">
        <v>207681</v>
      </c>
      <c r="J420" s="345">
        <v>9104</v>
      </c>
      <c r="K420" s="345">
        <v>466050</v>
      </c>
      <c r="L420" s="232"/>
      <c r="M420" s="345">
        <v>0</v>
      </c>
      <c r="N420" s="345">
        <v>0</v>
      </c>
      <c r="O420" s="345">
        <v>32628</v>
      </c>
      <c r="P420" s="345">
        <v>32628</v>
      </c>
      <c r="Q420" s="232"/>
      <c r="R420" s="345">
        <v>567625</v>
      </c>
      <c r="S420" s="345">
        <v>-11523</v>
      </c>
      <c r="T420" s="345">
        <v>556102</v>
      </c>
    </row>
    <row r="421" spans="1:20">
      <c r="A421" s="351">
        <v>94157</v>
      </c>
      <c r="B421" s="344" t="s">
        <v>1114</v>
      </c>
      <c r="C421" s="235">
        <v>8.6000000000000007E-6</v>
      </c>
      <c r="D421" s="235">
        <v>8.4999999999999999E-6</v>
      </c>
      <c r="E421" s="345">
        <v>23486</v>
      </c>
      <c r="F421" s="232"/>
      <c r="G421" s="345">
        <v>4021</v>
      </c>
      <c r="H421" s="345">
        <v>573</v>
      </c>
      <c r="I421" s="345">
        <v>3828</v>
      </c>
      <c r="J421" s="345">
        <v>2393</v>
      </c>
      <c r="K421" s="345">
        <v>10815</v>
      </c>
      <c r="L421" s="232"/>
      <c r="M421" s="345">
        <v>0</v>
      </c>
      <c r="N421" s="345">
        <v>0</v>
      </c>
      <c r="O421" s="345">
        <v>0</v>
      </c>
      <c r="P421" s="345">
        <v>0</v>
      </c>
      <c r="Q421" s="232"/>
      <c r="R421" s="345">
        <v>10462</v>
      </c>
      <c r="S421" s="345">
        <v>1538</v>
      </c>
      <c r="T421" s="345">
        <v>12000</v>
      </c>
    </row>
    <row r="422" spans="1:20">
      <c r="A422" s="351">
        <v>94161</v>
      </c>
      <c r="B422" s="344" t="s">
        <v>1115</v>
      </c>
      <c r="C422" s="235">
        <v>4.8600000000000002E-5</v>
      </c>
      <c r="D422" s="235">
        <v>3.4999999999999997E-5</v>
      </c>
      <c r="E422" s="345">
        <v>132723</v>
      </c>
      <c r="F422" s="232"/>
      <c r="G422" s="345">
        <v>22726</v>
      </c>
      <c r="H422" s="345">
        <v>3237</v>
      </c>
      <c r="I422" s="345">
        <v>21632</v>
      </c>
      <c r="J422" s="345">
        <v>13179</v>
      </c>
      <c r="K422" s="345">
        <v>60774</v>
      </c>
      <c r="L422" s="232"/>
      <c r="M422" s="345">
        <v>0</v>
      </c>
      <c r="N422" s="345">
        <v>0</v>
      </c>
      <c r="O422" s="345">
        <v>7165</v>
      </c>
      <c r="P422" s="345">
        <v>7165</v>
      </c>
      <c r="Q422" s="232"/>
      <c r="R422" s="345">
        <v>59123</v>
      </c>
      <c r="S422" s="345">
        <v>2701</v>
      </c>
      <c r="T422" s="345">
        <v>61824</v>
      </c>
    </row>
    <row r="423" spans="1:20">
      <c r="A423" s="351">
        <v>94168</v>
      </c>
      <c r="B423" s="344" t="s">
        <v>1116</v>
      </c>
      <c r="C423" s="235">
        <v>5.5099999999999998E-5</v>
      </c>
      <c r="D423" s="235">
        <v>5.0800000000000002E-5</v>
      </c>
      <c r="E423" s="345">
        <v>150474</v>
      </c>
      <c r="F423" s="232"/>
      <c r="G423" s="345">
        <v>25765</v>
      </c>
      <c r="H423" s="345">
        <v>3670</v>
      </c>
      <c r="I423" s="345">
        <v>24525</v>
      </c>
      <c r="J423" s="345">
        <v>13506</v>
      </c>
      <c r="K423" s="345">
        <v>67466</v>
      </c>
      <c r="L423" s="232"/>
      <c r="M423" s="345">
        <v>0</v>
      </c>
      <c r="N423" s="345">
        <v>0</v>
      </c>
      <c r="O423" s="345">
        <v>2868</v>
      </c>
      <c r="P423" s="345">
        <v>2868</v>
      </c>
      <c r="Q423" s="232"/>
      <c r="R423" s="345">
        <v>67030</v>
      </c>
      <c r="S423" s="345">
        <v>1001</v>
      </c>
      <c r="T423" s="345">
        <v>68031</v>
      </c>
    </row>
    <row r="424" spans="1:20">
      <c r="A424" s="351">
        <v>94171</v>
      </c>
      <c r="B424" s="344" t="s">
        <v>1117</v>
      </c>
      <c r="C424" s="235">
        <v>6.1799999999999998E-5</v>
      </c>
      <c r="D424" s="235">
        <v>7.9800000000000002E-5</v>
      </c>
      <c r="E424" s="345">
        <v>168771</v>
      </c>
      <c r="F424" s="232"/>
      <c r="G424" s="345">
        <v>28898</v>
      </c>
      <c r="H424" s="345">
        <v>4116</v>
      </c>
      <c r="I424" s="345">
        <v>27507</v>
      </c>
      <c r="J424" s="345">
        <v>4442</v>
      </c>
      <c r="K424" s="345">
        <v>64963</v>
      </c>
      <c r="L424" s="232"/>
      <c r="M424" s="345">
        <v>0</v>
      </c>
      <c r="N424" s="345">
        <v>0</v>
      </c>
      <c r="O424" s="345">
        <v>16587</v>
      </c>
      <c r="P424" s="345">
        <v>16587</v>
      </c>
      <c r="Q424" s="232"/>
      <c r="R424" s="345">
        <v>75181</v>
      </c>
      <c r="S424" s="345">
        <v>-397</v>
      </c>
      <c r="T424" s="345">
        <v>74784</v>
      </c>
    </row>
    <row r="425" spans="1:20">
      <c r="A425" s="351">
        <v>94172</v>
      </c>
      <c r="B425" s="344" t="s">
        <v>1118</v>
      </c>
      <c r="C425" s="235">
        <v>2.8210000000000003E-4</v>
      </c>
      <c r="D425" s="235">
        <v>2.833E-4</v>
      </c>
      <c r="E425" s="345">
        <v>770393</v>
      </c>
      <c r="F425" s="232"/>
      <c r="G425" s="345">
        <v>131911</v>
      </c>
      <c r="H425" s="345">
        <v>18791</v>
      </c>
      <c r="I425" s="345">
        <v>125561</v>
      </c>
      <c r="J425" s="345">
        <v>0</v>
      </c>
      <c r="K425" s="345">
        <v>276263</v>
      </c>
      <c r="L425" s="232"/>
      <c r="M425" s="345">
        <v>0</v>
      </c>
      <c r="N425" s="345">
        <v>0</v>
      </c>
      <c r="O425" s="345">
        <v>60948</v>
      </c>
      <c r="P425" s="345">
        <v>60948</v>
      </c>
      <c r="Q425" s="232"/>
      <c r="R425" s="345">
        <v>343178</v>
      </c>
      <c r="S425" s="345">
        <v>-35345</v>
      </c>
      <c r="T425" s="345">
        <v>307833</v>
      </c>
    </row>
    <row r="426" spans="1:20">
      <c r="A426" s="351">
        <v>94201</v>
      </c>
      <c r="B426" s="344" t="s">
        <v>1119</v>
      </c>
      <c r="C426" s="235">
        <v>3.2504999999999999E-3</v>
      </c>
      <c r="D426" s="235">
        <v>3.2913999999999999E-3</v>
      </c>
      <c r="E426" s="345">
        <v>8876862</v>
      </c>
      <c r="F426" s="232"/>
      <c r="G426" s="345">
        <v>1519944</v>
      </c>
      <c r="H426" s="345">
        <v>216519</v>
      </c>
      <c r="I426" s="345">
        <v>1446781</v>
      </c>
      <c r="J426" s="345">
        <v>14622</v>
      </c>
      <c r="K426" s="345">
        <v>3197866</v>
      </c>
      <c r="L426" s="232"/>
      <c r="M426" s="345">
        <v>0</v>
      </c>
      <c r="N426" s="345">
        <v>0</v>
      </c>
      <c r="O426" s="345">
        <v>59411</v>
      </c>
      <c r="P426" s="345">
        <v>59411</v>
      </c>
      <c r="Q426" s="232"/>
      <c r="R426" s="345">
        <v>3954276</v>
      </c>
      <c r="S426" s="345">
        <v>-7209</v>
      </c>
      <c r="T426" s="345">
        <v>3947067</v>
      </c>
    </row>
    <row r="427" spans="1:20">
      <c r="A427" s="351">
        <v>94204</v>
      </c>
      <c r="B427" s="344" t="s">
        <v>1120</v>
      </c>
      <c r="C427" s="235">
        <v>2.97E-5</v>
      </c>
      <c r="D427" s="235">
        <v>2.73E-5</v>
      </c>
      <c r="E427" s="345">
        <v>81108</v>
      </c>
      <c r="F427" s="232"/>
      <c r="G427" s="345">
        <v>13888</v>
      </c>
      <c r="H427" s="345">
        <v>1978</v>
      </c>
      <c r="I427" s="345">
        <v>13219</v>
      </c>
      <c r="J427" s="345">
        <v>11627</v>
      </c>
      <c r="K427" s="345">
        <v>40712</v>
      </c>
      <c r="L427" s="232"/>
      <c r="M427" s="345">
        <v>0</v>
      </c>
      <c r="N427" s="345">
        <v>0</v>
      </c>
      <c r="O427" s="345">
        <v>0</v>
      </c>
      <c r="P427" s="345">
        <v>0</v>
      </c>
      <c r="Q427" s="232"/>
      <c r="R427" s="345">
        <v>36130</v>
      </c>
      <c r="S427" s="345">
        <v>5970</v>
      </c>
      <c r="T427" s="345">
        <v>42100</v>
      </c>
    </row>
    <row r="428" spans="1:20" ht="30">
      <c r="A428" s="351">
        <v>94205</v>
      </c>
      <c r="B428" s="344" t="s">
        <v>1121</v>
      </c>
      <c r="C428" s="235">
        <v>1.6200000000000001E-5</v>
      </c>
      <c r="D428" s="235">
        <v>1.8300000000000001E-5</v>
      </c>
      <c r="E428" s="345">
        <v>44241</v>
      </c>
      <c r="F428" s="232"/>
      <c r="G428" s="345">
        <v>7575</v>
      </c>
      <c r="H428" s="345">
        <v>1079</v>
      </c>
      <c r="I428" s="345">
        <v>7211</v>
      </c>
      <c r="J428" s="345">
        <v>1732</v>
      </c>
      <c r="K428" s="345">
        <v>17597</v>
      </c>
      <c r="L428" s="232"/>
      <c r="M428" s="345">
        <v>0</v>
      </c>
      <c r="N428" s="345">
        <v>0</v>
      </c>
      <c r="O428" s="345">
        <v>852</v>
      </c>
      <c r="P428" s="345">
        <v>852</v>
      </c>
      <c r="Q428" s="232"/>
      <c r="R428" s="345">
        <v>19708</v>
      </c>
      <c r="S428" s="345">
        <v>672</v>
      </c>
      <c r="T428" s="345">
        <v>20380</v>
      </c>
    </row>
    <row r="429" spans="1:20">
      <c r="A429" s="351">
        <v>94209</v>
      </c>
      <c r="B429" s="344" t="s">
        <v>1122</v>
      </c>
      <c r="C429" s="235">
        <v>3.2519999999999999E-4</v>
      </c>
      <c r="D429" s="235">
        <v>3.1700000000000001E-4</v>
      </c>
      <c r="E429" s="345">
        <v>888096</v>
      </c>
      <c r="F429" s="232"/>
      <c r="G429" s="345">
        <v>152064</v>
      </c>
      <c r="H429" s="345">
        <v>21662</v>
      </c>
      <c r="I429" s="345">
        <v>144745</v>
      </c>
      <c r="J429" s="345">
        <v>11428</v>
      </c>
      <c r="K429" s="345">
        <v>329899</v>
      </c>
      <c r="L429" s="232"/>
      <c r="M429" s="345">
        <v>0</v>
      </c>
      <c r="N429" s="345">
        <v>0</v>
      </c>
      <c r="O429" s="345">
        <v>14966</v>
      </c>
      <c r="P429" s="345">
        <v>14966</v>
      </c>
      <c r="Q429" s="232"/>
      <c r="R429" s="345">
        <v>395610</v>
      </c>
      <c r="S429" s="345">
        <v>2505</v>
      </c>
      <c r="T429" s="345">
        <v>398115</v>
      </c>
    </row>
    <row r="430" spans="1:20">
      <c r="A430" s="351">
        <v>94211</v>
      </c>
      <c r="B430" s="344" t="s">
        <v>1123</v>
      </c>
      <c r="C430" s="235">
        <v>1.5359999999999999E-4</v>
      </c>
      <c r="D430" s="235">
        <v>1.615E-4</v>
      </c>
      <c r="E430" s="345">
        <v>419470</v>
      </c>
      <c r="F430" s="232"/>
      <c r="G430" s="345">
        <v>71824</v>
      </c>
      <c r="H430" s="345">
        <v>10231</v>
      </c>
      <c r="I430" s="345">
        <v>68367</v>
      </c>
      <c r="J430" s="345">
        <v>8181</v>
      </c>
      <c r="K430" s="345">
        <v>158603</v>
      </c>
      <c r="L430" s="232"/>
      <c r="M430" s="345">
        <v>0</v>
      </c>
      <c r="N430" s="345">
        <v>0</v>
      </c>
      <c r="O430" s="345">
        <v>7173</v>
      </c>
      <c r="P430" s="345">
        <v>7173</v>
      </c>
      <c r="Q430" s="232"/>
      <c r="R430" s="345">
        <v>186856</v>
      </c>
      <c r="S430" s="345">
        <v>-2244</v>
      </c>
      <c r="T430" s="345">
        <v>184612</v>
      </c>
    </row>
    <row r="431" spans="1:20">
      <c r="A431" s="351">
        <v>94221</v>
      </c>
      <c r="B431" s="344" t="s">
        <v>1124</v>
      </c>
      <c r="C431" s="235">
        <v>9.8189999999999996E-4</v>
      </c>
      <c r="D431" s="235">
        <v>1.0311999999999999E-3</v>
      </c>
      <c r="E431" s="345">
        <v>2681492</v>
      </c>
      <c r="F431" s="232"/>
      <c r="G431" s="345">
        <v>459139</v>
      </c>
      <c r="H431" s="345">
        <v>65405</v>
      </c>
      <c r="I431" s="345">
        <v>437039</v>
      </c>
      <c r="J431" s="345">
        <v>0</v>
      </c>
      <c r="K431" s="345">
        <v>961583</v>
      </c>
      <c r="L431" s="232"/>
      <c r="M431" s="345">
        <v>0</v>
      </c>
      <c r="N431" s="345">
        <v>0</v>
      </c>
      <c r="O431" s="345">
        <v>108029</v>
      </c>
      <c r="P431" s="345">
        <v>108029</v>
      </c>
      <c r="Q431" s="232"/>
      <c r="R431" s="345">
        <v>1194494</v>
      </c>
      <c r="S431" s="345">
        <v>-19221</v>
      </c>
      <c r="T431" s="345">
        <v>1175273</v>
      </c>
    </row>
    <row r="432" spans="1:20" ht="14.25" customHeight="1">
      <c r="A432" s="351">
        <v>94231</v>
      </c>
      <c r="B432" s="344" t="s">
        <v>1125</v>
      </c>
      <c r="C432" s="235">
        <v>1.485E-4</v>
      </c>
      <c r="D432" s="235">
        <v>2.009E-4</v>
      </c>
      <c r="E432" s="345">
        <v>405542</v>
      </c>
      <c r="F432" s="232"/>
      <c r="G432" s="345">
        <v>69439</v>
      </c>
      <c r="H432" s="345">
        <v>9891</v>
      </c>
      <c r="I432" s="345">
        <v>66097</v>
      </c>
      <c r="J432" s="345">
        <v>3884</v>
      </c>
      <c r="K432" s="345">
        <v>149311</v>
      </c>
      <c r="L432" s="232"/>
      <c r="M432" s="345">
        <v>0</v>
      </c>
      <c r="N432" s="345">
        <v>0</v>
      </c>
      <c r="O432" s="345">
        <v>58586</v>
      </c>
      <c r="P432" s="345">
        <v>58586</v>
      </c>
      <c r="Q432" s="232"/>
      <c r="R432" s="345">
        <v>180652</v>
      </c>
      <c r="S432" s="345">
        <v>-15667</v>
      </c>
      <c r="T432" s="345">
        <v>164985</v>
      </c>
    </row>
    <row r="433" spans="1:20">
      <c r="A433" s="351">
        <v>94241</v>
      </c>
      <c r="B433" s="344" t="s">
        <v>1126</v>
      </c>
      <c r="C433" s="235">
        <v>1.106E-4</v>
      </c>
      <c r="D433" s="235">
        <v>1.227E-4</v>
      </c>
      <c r="E433" s="345">
        <v>302040</v>
      </c>
      <c r="F433" s="232"/>
      <c r="G433" s="345">
        <v>51717</v>
      </c>
      <c r="H433" s="345">
        <v>7367</v>
      </c>
      <c r="I433" s="345">
        <v>49228</v>
      </c>
      <c r="J433" s="345">
        <v>12758</v>
      </c>
      <c r="K433" s="345">
        <v>121070</v>
      </c>
      <c r="L433" s="232"/>
      <c r="M433" s="345">
        <v>0</v>
      </c>
      <c r="N433" s="345">
        <v>0</v>
      </c>
      <c r="O433" s="345">
        <v>14172</v>
      </c>
      <c r="P433" s="345">
        <v>14172</v>
      </c>
      <c r="Q433" s="232"/>
      <c r="R433" s="345">
        <v>134546</v>
      </c>
      <c r="S433" s="345">
        <v>2301</v>
      </c>
      <c r="T433" s="345">
        <v>136847</v>
      </c>
    </row>
    <row r="434" spans="1:20">
      <c r="A434" s="351">
        <v>94251</v>
      </c>
      <c r="B434" s="344" t="s">
        <v>1127</v>
      </c>
      <c r="C434" s="235">
        <v>1.7799999999999999E-5</v>
      </c>
      <c r="D434" s="235">
        <v>1.59E-5</v>
      </c>
      <c r="E434" s="345">
        <v>48610</v>
      </c>
      <c r="F434" s="232"/>
      <c r="G434" s="345">
        <v>8323</v>
      </c>
      <c r="H434" s="345">
        <v>1186</v>
      </c>
      <c r="I434" s="345">
        <v>7923</v>
      </c>
      <c r="J434" s="345">
        <v>3310</v>
      </c>
      <c r="K434" s="345">
        <v>20742</v>
      </c>
      <c r="L434" s="232"/>
      <c r="M434" s="345">
        <v>0</v>
      </c>
      <c r="N434" s="345">
        <v>0</v>
      </c>
      <c r="O434" s="345">
        <v>1725</v>
      </c>
      <c r="P434" s="345">
        <v>1725</v>
      </c>
      <c r="Q434" s="232"/>
      <c r="R434" s="345">
        <v>21654</v>
      </c>
      <c r="S434" s="345">
        <v>-1486</v>
      </c>
      <c r="T434" s="345">
        <v>20168</v>
      </c>
    </row>
    <row r="435" spans="1:20">
      <c r="A435" s="351">
        <v>94261</v>
      </c>
      <c r="B435" s="344" t="s">
        <v>1128</v>
      </c>
      <c r="C435" s="235">
        <v>4.6600000000000001E-5</v>
      </c>
      <c r="D435" s="235">
        <v>3.6199999999999999E-5</v>
      </c>
      <c r="E435" s="345">
        <v>127261</v>
      </c>
      <c r="F435" s="232"/>
      <c r="G435" s="345">
        <v>21790</v>
      </c>
      <c r="H435" s="345">
        <v>3104</v>
      </c>
      <c r="I435" s="345">
        <v>20741</v>
      </c>
      <c r="J435" s="345">
        <v>12126</v>
      </c>
      <c r="K435" s="345">
        <v>57761</v>
      </c>
      <c r="L435" s="232"/>
      <c r="M435" s="345">
        <v>0</v>
      </c>
      <c r="N435" s="345">
        <v>0</v>
      </c>
      <c r="O435" s="345">
        <v>592</v>
      </c>
      <c r="P435" s="345">
        <v>592</v>
      </c>
      <c r="Q435" s="232"/>
      <c r="R435" s="345">
        <v>56690</v>
      </c>
      <c r="S435" s="345">
        <v>6167</v>
      </c>
      <c r="T435" s="345">
        <v>62857</v>
      </c>
    </row>
    <row r="436" spans="1:20">
      <c r="A436" s="351">
        <v>94301</v>
      </c>
      <c r="B436" s="344" t="s">
        <v>1129</v>
      </c>
      <c r="C436" s="235">
        <v>6.3099000000000002E-3</v>
      </c>
      <c r="D436" s="235">
        <v>6.3552000000000001E-3</v>
      </c>
      <c r="E436" s="345">
        <v>17231845</v>
      </c>
      <c r="F436" s="232"/>
      <c r="G436" s="345">
        <v>2950528</v>
      </c>
      <c r="H436" s="345">
        <v>420308</v>
      </c>
      <c r="I436" s="345">
        <v>2808505</v>
      </c>
      <c r="J436" s="345">
        <v>41865</v>
      </c>
      <c r="K436" s="345">
        <v>6221206</v>
      </c>
      <c r="L436" s="232"/>
      <c r="M436" s="345">
        <v>0</v>
      </c>
      <c r="N436" s="345">
        <v>0</v>
      </c>
      <c r="O436" s="345">
        <v>133926</v>
      </c>
      <c r="P436" s="345">
        <v>133926</v>
      </c>
      <c r="Q436" s="232"/>
      <c r="R436" s="345">
        <v>7676075</v>
      </c>
      <c r="S436" s="345">
        <v>-54423</v>
      </c>
      <c r="T436" s="345">
        <v>7621652</v>
      </c>
    </row>
    <row r="437" spans="1:20">
      <c r="A437" s="351">
        <v>94311</v>
      </c>
      <c r="B437" s="344" t="s">
        <v>1130</v>
      </c>
      <c r="C437" s="235">
        <v>7.7700000000000002E-4</v>
      </c>
      <c r="D437" s="235">
        <v>7.4359999999999997E-4</v>
      </c>
      <c r="E437" s="345">
        <v>2121926</v>
      </c>
      <c r="F437" s="232"/>
      <c r="G437" s="345">
        <v>363328</v>
      </c>
      <c r="H437" s="345">
        <v>51756</v>
      </c>
      <c r="I437" s="345">
        <v>345839</v>
      </c>
      <c r="J437" s="345">
        <v>47222</v>
      </c>
      <c r="K437" s="345">
        <v>808145</v>
      </c>
      <c r="L437" s="232"/>
      <c r="M437" s="345">
        <v>0</v>
      </c>
      <c r="N437" s="345">
        <v>0</v>
      </c>
      <c r="O437" s="345">
        <v>27779</v>
      </c>
      <c r="P437" s="345">
        <v>27779</v>
      </c>
      <c r="Q437" s="232"/>
      <c r="R437" s="345">
        <v>945231</v>
      </c>
      <c r="S437" s="345">
        <v>-11350</v>
      </c>
      <c r="T437" s="345">
        <v>933881</v>
      </c>
    </row>
    <row r="438" spans="1:20">
      <c r="A438" s="351">
        <v>94313</v>
      </c>
      <c r="B438" s="344" t="s">
        <v>1131</v>
      </c>
      <c r="C438" s="235">
        <v>1.4399999999999999E-5</v>
      </c>
      <c r="D438" s="235">
        <v>2.1699999999999999E-5</v>
      </c>
      <c r="E438" s="345">
        <v>39325</v>
      </c>
      <c r="F438" s="232"/>
      <c r="G438" s="345">
        <v>6733</v>
      </c>
      <c r="H438" s="345">
        <v>959</v>
      </c>
      <c r="I438" s="345">
        <v>6409</v>
      </c>
      <c r="J438" s="345">
        <v>5810</v>
      </c>
      <c r="K438" s="345">
        <v>19911</v>
      </c>
      <c r="L438" s="232"/>
      <c r="M438" s="345">
        <v>0</v>
      </c>
      <c r="N438" s="345">
        <v>0</v>
      </c>
      <c r="O438" s="345">
        <v>407</v>
      </c>
      <c r="P438" s="345">
        <v>407</v>
      </c>
      <c r="Q438" s="232"/>
      <c r="R438" s="345">
        <v>17518</v>
      </c>
      <c r="S438" s="345">
        <v>3399</v>
      </c>
      <c r="T438" s="345">
        <v>20917</v>
      </c>
    </row>
    <row r="439" spans="1:20">
      <c r="A439" s="351">
        <v>94317</v>
      </c>
      <c r="B439" s="344" t="s">
        <v>1132</v>
      </c>
      <c r="C439" s="235">
        <v>1.0699999999999999E-5</v>
      </c>
      <c r="D439" s="235">
        <v>1.15E-5</v>
      </c>
      <c r="E439" s="345">
        <v>29221</v>
      </c>
      <c r="F439" s="232"/>
      <c r="G439" s="345">
        <v>5003</v>
      </c>
      <c r="H439" s="345">
        <v>713</v>
      </c>
      <c r="I439" s="345">
        <v>4763</v>
      </c>
      <c r="J439" s="345">
        <v>8780</v>
      </c>
      <c r="K439" s="345">
        <v>19259</v>
      </c>
      <c r="L439" s="232"/>
      <c r="M439" s="345">
        <v>0</v>
      </c>
      <c r="N439" s="345">
        <v>0</v>
      </c>
      <c r="O439" s="345">
        <v>0</v>
      </c>
      <c r="P439" s="345">
        <v>0</v>
      </c>
      <c r="Q439" s="232"/>
      <c r="R439" s="345">
        <v>13017</v>
      </c>
      <c r="S439" s="345">
        <v>4113</v>
      </c>
      <c r="T439" s="345">
        <v>17130</v>
      </c>
    </row>
    <row r="440" spans="1:20">
      <c r="A440" s="351">
        <v>94321</v>
      </c>
      <c r="B440" s="344" t="s">
        <v>1133</v>
      </c>
      <c r="C440" s="235">
        <v>2.8079999999999999E-4</v>
      </c>
      <c r="D440" s="235">
        <v>2.8160000000000001E-4</v>
      </c>
      <c r="E440" s="345">
        <v>766843</v>
      </c>
      <c r="F440" s="232"/>
      <c r="G440" s="345">
        <v>131303</v>
      </c>
      <c r="H440" s="345">
        <v>18704</v>
      </c>
      <c r="I440" s="345">
        <v>124983</v>
      </c>
      <c r="J440" s="345">
        <v>0</v>
      </c>
      <c r="K440" s="345">
        <v>274990</v>
      </c>
      <c r="L440" s="232"/>
      <c r="M440" s="345">
        <v>0</v>
      </c>
      <c r="N440" s="345">
        <v>0</v>
      </c>
      <c r="O440" s="345">
        <v>16865</v>
      </c>
      <c r="P440" s="345">
        <v>16865</v>
      </c>
      <c r="Q440" s="232"/>
      <c r="R440" s="345">
        <v>341597</v>
      </c>
      <c r="S440" s="345">
        <v>-10396</v>
      </c>
      <c r="T440" s="345">
        <v>331201</v>
      </c>
    </row>
    <row r="441" spans="1:20">
      <c r="A441" s="351">
        <v>94331</v>
      </c>
      <c r="B441" s="344" t="s">
        <v>1134</v>
      </c>
      <c r="C441" s="235">
        <v>1.5190000000000001E-4</v>
      </c>
      <c r="D441" s="235">
        <v>1.6090000000000001E-4</v>
      </c>
      <c r="E441" s="345">
        <v>414827</v>
      </c>
      <c r="F441" s="232"/>
      <c r="G441" s="345">
        <v>71029</v>
      </c>
      <c r="H441" s="345">
        <v>10119</v>
      </c>
      <c r="I441" s="345">
        <v>67610</v>
      </c>
      <c r="J441" s="345">
        <v>13781</v>
      </c>
      <c r="K441" s="345">
        <v>162539</v>
      </c>
      <c r="L441" s="232"/>
      <c r="M441" s="345">
        <v>0</v>
      </c>
      <c r="N441" s="345">
        <v>0</v>
      </c>
      <c r="O441" s="345">
        <v>11675</v>
      </c>
      <c r="P441" s="345">
        <v>11675</v>
      </c>
      <c r="Q441" s="232"/>
      <c r="R441" s="345">
        <v>184788</v>
      </c>
      <c r="S441" s="345">
        <v>1338</v>
      </c>
      <c r="T441" s="345">
        <v>186126</v>
      </c>
    </row>
    <row r="442" spans="1:20">
      <c r="A442" s="351">
        <v>94341</v>
      </c>
      <c r="B442" s="344" t="s">
        <v>1135</v>
      </c>
      <c r="C442" s="235">
        <v>9.8800000000000003E-5</v>
      </c>
      <c r="D442" s="235">
        <v>8.3300000000000005E-5</v>
      </c>
      <c r="E442" s="345">
        <v>269815</v>
      </c>
      <c r="F442" s="232"/>
      <c r="G442" s="345">
        <v>46199</v>
      </c>
      <c r="H442" s="345">
        <v>6581</v>
      </c>
      <c r="I442" s="345">
        <v>43975</v>
      </c>
      <c r="J442" s="345">
        <v>9215</v>
      </c>
      <c r="K442" s="345">
        <v>105970</v>
      </c>
      <c r="L442" s="232"/>
      <c r="M442" s="345">
        <v>0</v>
      </c>
      <c r="N442" s="345">
        <v>0</v>
      </c>
      <c r="O442" s="345">
        <v>8536</v>
      </c>
      <c r="P442" s="345">
        <v>8536</v>
      </c>
      <c r="Q442" s="232"/>
      <c r="R442" s="345">
        <v>120191</v>
      </c>
      <c r="S442" s="345">
        <v>-683</v>
      </c>
      <c r="T442" s="345">
        <v>119508</v>
      </c>
    </row>
    <row r="443" spans="1:20">
      <c r="A443" s="351">
        <v>94347</v>
      </c>
      <c r="B443" s="344" t="s">
        <v>1136</v>
      </c>
      <c r="C443" s="235">
        <v>1.17E-5</v>
      </c>
      <c r="D443" s="235">
        <v>7.9999999999999996E-6</v>
      </c>
      <c r="E443" s="345">
        <v>31952</v>
      </c>
      <c r="F443" s="232"/>
      <c r="G443" s="345">
        <v>5471</v>
      </c>
      <c r="H443" s="345">
        <v>779</v>
      </c>
      <c r="I443" s="345">
        <v>5208</v>
      </c>
      <c r="J443" s="345">
        <v>7356</v>
      </c>
      <c r="K443" s="345">
        <v>18814</v>
      </c>
      <c r="L443" s="232"/>
      <c r="M443" s="345">
        <v>0</v>
      </c>
      <c r="N443" s="345">
        <v>0</v>
      </c>
      <c r="O443" s="345">
        <v>711</v>
      </c>
      <c r="P443" s="345">
        <v>711</v>
      </c>
      <c r="Q443" s="232"/>
      <c r="R443" s="345">
        <v>14233</v>
      </c>
      <c r="S443" s="345">
        <v>2184</v>
      </c>
      <c r="T443" s="345">
        <v>16417</v>
      </c>
    </row>
    <row r="444" spans="1:20" ht="14.25" customHeight="1">
      <c r="A444" s="351">
        <v>94351</v>
      </c>
      <c r="B444" s="344" t="s">
        <v>1137</v>
      </c>
      <c r="C444" s="235">
        <v>2.2680000000000001E-4</v>
      </c>
      <c r="D444" s="235">
        <v>2.477E-4</v>
      </c>
      <c r="E444" s="345">
        <v>619373</v>
      </c>
      <c r="F444" s="232"/>
      <c r="G444" s="345">
        <v>106052</v>
      </c>
      <c r="H444" s="345">
        <v>15107</v>
      </c>
      <c r="I444" s="345">
        <v>100948</v>
      </c>
      <c r="J444" s="345">
        <v>0</v>
      </c>
      <c r="K444" s="345">
        <v>222107</v>
      </c>
      <c r="L444" s="232"/>
      <c r="M444" s="345">
        <v>0</v>
      </c>
      <c r="N444" s="345">
        <v>0</v>
      </c>
      <c r="O444" s="345">
        <v>21256</v>
      </c>
      <c r="P444" s="345">
        <v>21256</v>
      </c>
      <c r="Q444" s="232"/>
      <c r="R444" s="345">
        <v>275905</v>
      </c>
      <c r="S444" s="345">
        <v>-5433</v>
      </c>
      <c r="T444" s="345">
        <v>270472</v>
      </c>
    </row>
    <row r="445" spans="1:20">
      <c r="A445" s="351">
        <v>94401</v>
      </c>
      <c r="B445" s="344" t="s">
        <v>1138</v>
      </c>
      <c r="C445" s="235">
        <v>3.4440999999999999E-3</v>
      </c>
      <c r="D445" s="235">
        <v>3.2688999999999999E-3</v>
      </c>
      <c r="E445" s="345">
        <v>9405568</v>
      </c>
      <c r="F445" s="232"/>
      <c r="G445" s="345">
        <v>1610471</v>
      </c>
      <c r="H445" s="345">
        <v>229415</v>
      </c>
      <c r="I445" s="345">
        <v>1532952</v>
      </c>
      <c r="J445" s="345">
        <v>102722</v>
      </c>
      <c r="K445" s="345">
        <v>3475560</v>
      </c>
      <c r="L445" s="232"/>
      <c r="M445" s="345">
        <v>0</v>
      </c>
      <c r="N445" s="345">
        <v>0</v>
      </c>
      <c r="O445" s="345">
        <v>41729</v>
      </c>
      <c r="P445" s="345">
        <v>41729</v>
      </c>
      <c r="Q445" s="232"/>
      <c r="R445" s="345">
        <v>4189792</v>
      </c>
      <c r="S445" s="345">
        <v>13407</v>
      </c>
      <c r="T445" s="345">
        <v>4203199</v>
      </c>
    </row>
    <row r="446" spans="1:20" ht="30">
      <c r="A446" s="351">
        <v>94403</v>
      </c>
      <c r="B446" s="344" t="s">
        <v>1140</v>
      </c>
      <c r="C446" s="235">
        <v>3.7400000000000001E-5</v>
      </c>
      <c r="D446" s="235">
        <v>3.1900000000000003E-5</v>
      </c>
      <c r="E446" s="345">
        <v>102136</v>
      </c>
      <c r="F446" s="232"/>
      <c r="G446" s="345">
        <v>17488</v>
      </c>
      <c r="H446" s="345">
        <v>2491</v>
      </c>
      <c r="I446" s="345">
        <v>16647</v>
      </c>
      <c r="J446" s="345">
        <v>17346</v>
      </c>
      <c r="K446" s="345">
        <v>53972</v>
      </c>
      <c r="L446" s="232"/>
      <c r="M446" s="345">
        <v>0</v>
      </c>
      <c r="N446" s="345">
        <v>0</v>
      </c>
      <c r="O446" s="345">
        <v>0</v>
      </c>
      <c r="P446" s="345">
        <v>0</v>
      </c>
      <c r="Q446" s="232"/>
      <c r="R446" s="345">
        <v>45498</v>
      </c>
      <c r="S446" s="345">
        <v>6656</v>
      </c>
      <c r="T446" s="345">
        <v>52154</v>
      </c>
    </row>
    <row r="447" spans="1:20">
      <c r="A447" s="351">
        <v>94408</v>
      </c>
      <c r="B447" s="344" t="s">
        <v>1141</v>
      </c>
      <c r="C447" s="235">
        <v>6.2000000000000003E-5</v>
      </c>
      <c r="D447" s="235">
        <v>4.6E-5</v>
      </c>
      <c r="E447" s="345">
        <v>169317</v>
      </c>
      <c r="F447" s="232"/>
      <c r="G447" s="345">
        <v>28991</v>
      </c>
      <c r="H447" s="345">
        <v>4129</v>
      </c>
      <c r="I447" s="345">
        <v>27596</v>
      </c>
      <c r="J447" s="345">
        <v>11048</v>
      </c>
      <c r="K447" s="345">
        <v>71764</v>
      </c>
      <c r="L447" s="232"/>
      <c r="M447" s="345">
        <v>0</v>
      </c>
      <c r="N447" s="345">
        <v>0</v>
      </c>
      <c r="O447" s="345">
        <v>1930</v>
      </c>
      <c r="P447" s="345">
        <v>1930</v>
      </c>
      <c r="Q447" s="232"/>
      <c r="R447" s="345">
        <v>75424</v>
      </c>
      <c r="S447" s="345">
        <v>4138</v>
      </c>
      <c r="T447" s="345">
        <v>79562</v>
      </c>
    </row>
    <row r="448" spans="1:20">
      <c r="A448" s="351">
        <v>94411</v>
      </c>
      <c r="B448" s="344" t="s">
        <v>1142</v>
      </c>
      <c r="C448" s="235">
        <v>1.2472E-3</v>
      </c>
      <c r="D448" s="235">
        <v>1.2620000000000001E-3</v>
      </c>
      <c r="E448" s="345">
        <v>3406006</v>
      </c>
      <c r="F448" s="232"/>
      <c r="G448" s="345">
        <v>583194</v>
      </c>
      <c r="H448" s="345">
        <v>83078</v>
      </c>
      <c r="I448" s="345">
        <v>555122</v>
      </c>
      <c r="J448" s="345">
        <v>25546</v>
      </c>
      <c r="K448" s="345">
        <v>1246940</v>
      </c>
      <c r="L448" s="232"/>
      <c r="M448" s="345">
        <v>0</v>
      </c>
      <c r="N448" s="345">
        <v>0</v>
      </c>
      <c r="O448" s="345">
        <v>56694</v>
      </c>
      <c r="P448" s="345">
        <v>56694</v>
      </c>
      <c r="Q448" s="232"/>
      <c r="R448" s="345">
        <v>1517235</v>
      </c>
      <c r="S448" s="345">
        <v>1267</v>
      </c>
      <c r="T448" s="345">
        <v>1518502</v>
      </c>
    </row>
    <row r="449" spans="1:20">
      <c r="A449" s="351">
        <v>94412</v>
      </c>
      <c r="B449" s="344" t="s">
        <v>1143</v>
      </c>
      <c r="C449" s="235">
        <v>1.7E-5</v>
      </c>
      <c r="D449" s="235">
        <v>1.5500000000000001E-5</v>
      </c>
      <c r="E449" s="345">
        <v>46426</v>
      </c>
      <c r="F449" s="232"/>
      <c r="G449" s="345">
        <v>7949</v>
      </c>
      <c r="H449" s="345">
        <v>1132</v>
      </c>
      <c r="I449" s="345">
        <v>7567</v>
      </c>
      <c r="J449" s="345">
        <v>13227</v>
      </c>
      <c r="K449" s="345">
        <v>29875</v>
      </c>
      <c r="L449" s="232"/>
      <c r="M449" s="345">
        <v>0</v>
      </c>
      <c r="N449" s="345">
        <v>0</v>
      </c>
      <c r="O449" s="345">
        <v>0</v>
      </c>
      <c r="P449" s="345">
        <v>0</v>
      </c>
      <c r="Q449" s="232"/>
      <c r="R449" s="345">
        <v>20681</v>
      </c>
      <c r="S449" s="345">
        <v>6339</v>
      </c>
      <c r="T449" s="345">
        <v>27020</v>
      </c>
    </row>
    <row r="450" spans="1:20">
      <c r="A450" s="351">
        <v>94421</v>
      </c>
      <c r="B450" s="344" t="s">
        <v>1144</v>
      </c>
      <c r="C450" s="235">
        <v>1.4880000000000001E-4</v>
      </c>
      <c r="D450" s="235">
        <v>1.6080000000000001E-4</v>
      </c>
      <c r="E450" s="345">
        <v>406361</v>
      </c>
      <c r="F450" s="232"/>
      <c r="G450" s="345">
        <v>69579</v>
      </c>
      <c r="H450" s="345">
        <v>9911</v>
      </c>
      <c r="I450" s="345">
        <v>66230</v>
      </c>
      <c r="J450" s="345">
        <v>939</v>
      </c>
      <c r="K450" s="345">
        <v>146659</v>
      </c>
      <c r="L450" s="232"/>
      <c r="M450" s="345">
        <v>0</v>
      </c>
      <c r="N450" s="345">
        <v>0</v>
      </c>
      <c r="O450" s="345">
        <v>9690</v>
      </c>
      <c r="P450" s="345">
        <v>9690</v>
      </c>
      <c r="Q450" s="232"/>
      <c r="R450" s="345">
        <v>181017</v>
      </c>
      <c r="S450" s="345">
        <v>-1761</v>
      </c>
      <c r="T450" s="345">
        <v>179256</v>
      </c>
    </row>
    <row r="451" spans="1:20">
      <c r="A451" s="351">
        <v>94427</v>
      </c>
      <c r="B451" s="344" t="s">
        <v>1145</v>
      </c>
      <c r="C451" s="235">
        <v>2.7500000000000001E-5</v>
      </c>
      <c r="D451" s="235">
        <v>1.63E-5</v>
      </c>
      <c r="E451" s="345">
        <v>75100</v>
      </c>
      <c r="F451" s="232"/>
      <c r="G451" s="345">
        <v>12859</v>
      </c>
      <c r="H451" s="345">
        <v>1831</v>
      </c>
      <c r="I451" s="345">
        <v>12240</v>
      </c>
      <c r="J451" s="345">
        <v>15075</v>
      </c>
      <c r="K451" s="345">
        <v>42005</v>
      </c>
      <c r="L451" s="232"/>
      <c r="M451" s="345">
        <v>0</v>
      </c>
      <c r="N451" s="345">
        <v>0</v>
      </c>
      <c r="O451" s="345">
        <v>113</v>
      </c>
      <c r="P451" s="345">
        <v>113</v>
      </c>
      <c r="Q451" s="232"/>
      <c r="R451" s="345">
        <v>33454</v>
      </c>
      <c r="S451" s="345">
        <v>4477</v>
      </c>
      <c r="T451" s="345">
        <v>37931</v>
      </c>
    </row>
    <row r="452" spans="1:20">
      <c r="A452" s="351">
        <v>94428</v>
      </c>
      <c r="B452" s="344" t="s">
        <v>2803</v>
      </c>
      <c r="C452" s="235">
        <v>7.1400000000000001E-5</v>
      </c>
      <c r="D452" s="235">
        <v>7.2000000000000002E-5</v>
      </c>
      <c r="E452" s="345">
        <v>194988</v>
      </c>
      <c r="F452" s="232"/>
      <c r="G452" s="345">
        <v>33387</v>
      </c>
      <c r="H452" s="345">
        <v>4756</v>
      </c>
      <c r="I452" s="345">
        <v>31780</v>
      </c>
      <c r="J452" s="345">
        <v>5959</v>
      </c>
      <c r="K452" s="345">
        <v>75882</v>
      </c>
      <c r="L452" s="232"/>
      <c r="M452" s="345">
        <v>0</v>
      </c>
      <c r="N452" s="345">
        <v>0</v>
      </c>
      <c r="O452" s="345">
        <v>1674</v>
      </c>
      <c r="P452" s="345">
        <v>1674</v>
      </c>
      <c r="Q452" s="232"/>
      <c r="R452" s="345">
        <v>86859</v>
      </c>
      <c r="S452" s="345">
        <v>1930</v>
      </c>
      <c r="T452" s="345">
        <v>88789</v>
      </c>
    </row>
    <row r="453" spans="1:20">
      <c r="A453" s="351">
        <v>94431</v>
      </c>
      <c r="B453" s="344" t="s">
        <v>1147</v>
      </c>
      <c r="C453" s="235">
        <v>4.1829999999999998E-4</v>
      </c>
      <c r="D453" s="235">
        <v>3.882E-4</v>
      </c>
      <c r="E453" s="345">
        <v>1142345</v>
      </c>
      <c r="F453" s="232"/>
      <c r="G453" s="345">
        <v>195598</v>
      </c>
      <c r="H453" s="345">
        <v>27864</v>
      </c>
      <c r="I453" s="345">
        <v>186183</v>
      </c>
      <c r="J453" s="345">
        <v>234610</v>
      </c>
      <c r="K453" s="345">
        <v>644255</v>
      </c>
      <c r="L453" s="232"/>
      <c r="M453" s="345">
        <v>0</v>
      </c>
      <c r="N453" s="345">
        <v>0</v>
      </c>
      <c r="O453" s="345">
        <v>0</v>
      </c>
      <c r="P453" s="345">
        <v>0</v>
      </c>
      <c r="Q453" s="232"/>
      <c r="R453" s="345">
        <v>508867</v>
      </c>
      <c r="S453" s="345">
        <v>109540</v>
      </c>
      <c r="T453" s="345">
        <v>618407</v>
      </c>
    </row>
    <row r="454" spans="1:20">
      <c r="A454" s="351">
        <v>94437</v>
      </c>
      <c r="B454" s="344" t="s">
        <v>1148</v>
      </c>
      <c r="C454" s="235">
        <v>1.49E-5</v>
      </c>
      <c r="D454" s="235">
        <v>1.63E-5</v>
      </c>
      <c r="E454" s="345">
        <v>40691</v>
      </c>
      <c r="F454" s="232"/>
      <c r="G454" s="345">
        <v>6967</v>
      </c>
      <c r="H454" s="345">
        <v>993</v>
      </c>
      <c r="I454" s="345">
        <v>6632</v>
      </c>
      <c r="J454" s="345">
        <v>11402</v>
      </c>
      <c r="K454" s="345">
        <v>25994</v>
      </c>
      <c r="L454" s="232"/>
      <c r="M454" s="345">
        <v>0</v>
      </c>
      <c r="N454" s="345">
        <v>0</v>
      </c>
      <c r="O454" s="345">
        <v>0</v>
      </c>
      <c r="P454" s="345">
        <v>0</v>
      </c>
      <c r="Q454" s="232"/>
      <c r="R454" s="345">
        <v>18126</v>
      </c>
      <c r="S454" s="345">
        <v>6155</v>
      </c>
      <c r="T454" s="345">
        <v>24281</v>
      </c>
    </row>
    <row r="455" spans="1:20">
      <c r="A455" s="351">
        <v>94501</v>
      </c>
      <c r="B455" s="344" t="s">
        <v>1149</v>
      </c>
      <c r="C455" s="235">
        <v>5.9772999999999996E-3</v>
      </c>
      <c r="D455" s="235">
        <v>5.8639E-3</v>
      </c>
      <c r="E455" s="345">
        <v>16323540</v>
      </c>
      <c r="F455" s="232"/>
      <c r="G455" s="345">
        <v>2795003</v>
      </c>
      <c r="H455" s="345">
        <v>398154</v>
      </c>
      <c r="I455" s="345">
        <v>2660466</v>
      </c>
      <c r="J455" s="345">
        <v>155195</v>
      </c>
      <c r="K455" s="345">
        <v>6008818</v>
      </c>
      <c r="L455" s="232"/>
      <c r="M455" s="345">
        <v>0</v>
      </c>
      <c r="N455" s="345">
        <v>0</v>
      </c>
      <c r="O455" s="345">
        <v>5784</v>
      </c>
      <c r="P455" s="345">
        <v>5784</v>
      </c>
      <c r="Q455" s="232"/>
      <c r="R455" s="345">
        <v>7271463</v>
      </c>
      <c r="S455" s="345">
        <v>79086</v>
      </c>
      <c r="T455" s="345">
        <v>7350549</v>
      </c>
    </row>
    <row r="456" spans="1:20">
      <c r="A456" s="351">
        <v>94511</v>
      </c>
      <c r="B456" s="344" t="s">
        <v>1150</v>
      </c>
      <c r="C456" s="235">
        <v>2.0183000000000002E-3</v>
      </c>
      <c r="D456" s="235">
        <v>1.9548999999999999E-3</v>
      </c>
      <c r="E456" s="345">
        <v>5511820</v>
      </c>
      <c r="F456" s="232"/>
      <c r="G456" s="345">
        <v>943763</v>
      </c>
      <c r="H456" s="345">
        <v>134441</v>
      </c>
      <c r="I456" s="345">
        <v>898335</v>
      </c>
      <c r="J456" s="345">
        <v>20245</v>
      </c>
      <c r="K456" s="345">
        <v>1996784</v>
      </c>
      <c r="L456" s="232"/>
      <c r="M456" s="345">
        <v>0</v>
      </c>
      <c r="N456" s="345">
        <v>0</v>
      </c>
      <c r="O456" s="345">
        <v>27110</v>
      </c>
      <c r="P456" s="345">
        <v>27110</v>
      </c>
      <c r="Q456" s="232"/>
      <c r="R456" s="345">
        <v>2455288</v>
      </c>
      <c r="S456" s="345">
        <v>55059</v>
      </c>
      <c r="T456" s="345">
        <v>2510347</v>
      </c>
    </row>
    <row r="457" spans="1:20">
      <c r="A457" s="351">
        <v>94517</v>
      </c>
      <c r="B457" s="344" t="s">
        <v>2813</v>
      </c>
      <c r="C457" s="235">
        <v>5.4799999999999997E-5</v>
      </c>
      <c r="D457" s="235">
        <v>3.6199999999999999E-5</v>
      </c>
      <c r="E457" s="345">
        <v>149655</v>
      </c>
      <c r="F457" s="232"/>
      <c r="G457" s="345">
        <v>25625</v>
      </c>
      <c r="H457" s="345">
        <v>3651</v>
      </c>
      <c r="I457" s="345">
        <v>24391</v>
      </c>
      <c r="J457" s="345">
        <v>31190</v>
      </c>
      <c r="K457" s="345">
        <v>84857</v>
      </c>
      <c r="L457" s="232"/>
      <c r="M457" s="345">
        <v>0</v>
      </c>
      <c r="N457" s="345">
        <v>0</v>
      </c>
      <c r="O457" s="345">
        <v>0</v>
      </c>
      <c r="P457" s="345">
        <v>0</v>
      </c>
      <c r="Q457" s="232"/>
      <c r="R457" s="345">
        <v>66665</v>
      </c>
      <c r="S457" s="345">
        <v>11780</v>
      </c>
      <c r="T457" s="345">
        <v>78445</v>
      </c>
    </row>
    <row r="458" spans="1:20">
      <c r="A458" s="351">
        <v>94521</v>
      </c>
      <c r="B458" s="344" t="s">
        <v>1153</v>
      </c>
      <c r="C458" s="235">
        <v>1.4990000000000001E-4</v>
      </c>
      <c r="D458" s="235">
        <v>1.5880000000000001E-4</v>
      </c>
      <c r="E458" s="345">
        <v>409365</v>
      </c>
      <c r="F458" s="232"/>
      <c r="G458" s="345">
        <v>70094</v>
      </c>
      <c r="H458" s="345">
        <v>9985</v>
      </c>
      <c r="I458" s="345">
        <v>66720</v>
      </c>
      <c r="J458" s="345">
        <v>5912</v>
      </c>
      <c r="K458" s="345">
        <v>152711</v>
      </c>
      <c r="L458" s="232"/>
      <c r="M458" s="345">
        <v>0</v>
      </c>
      <c r="N458" s="345">
        <v>0</v>
      </c>
      <c r="O458" s="345">
        <v>26869</v>
      </c>
      <c r="P458" s="345">
        <v>26869</v>
      </c>
      <c r="Q458" s="232"/>
      <c r="R458" s="345">
        <v>182355</v>
      </c>
      <c r="S458" s="345">
        <v>-6674</v>
      </c>
      <c r="T458" s="345">
        <v>175681</v>
      </c>
    </row>
    <row r="459" spans="1:20">
      <c r="A459" s="351">
        <v>94527</v>
      </c>
      <c r="B459" s="344" t="s">
        <v>1154</v>
      </c>
      <c r="C459" s="235">
        <v>6.8000000000000001E-6</v>
      </c>
      <c r="D459" s="235">
        <v>6.6000000000000003E-6</v>
      </c>
      <c r="E459" s="345">
        <v>18570</v>
      </c>
      <c r="F459" s="232"/>
      <c r="G459" s="345">
        <v>3180</v>
      </c>
      <c r="H459" s="345">
        <v>453</v>
      </c>
      <c r="I459" s="345">
        <v>3027</v>
      </c>
      <c r="J459" s="345">
        <v>526</v>
      </c>
      <c r="K459" s="345">
        <v>7186</v>
      </c>
      <c r="L459" s="232"/>
      <c r="M459" s="345">
        <v>0</v>
      </c>
      <c r="N459" s="345">
        <v>0</v>
      </c>
      <c r="O459" s="345">
        <v>1154</v>
      </c>
      <c r="P459" s="345">
        <v>1154</v>
      </c>
      <c r="Q459" s="232"/>
      <c r="R459" s="345">
        <v>8272</v>
      </c>
      <c r="S459" s="345">
        <v>-781</v>
      </c>
      <c r="T459" s="345">
        <v>7491</v>
      </c>
    </row>
    <row r="460" spans="1:20">
      <c r="A460" s="351">
        <v>94531</v>
      </c>
      <c r="B460" s="344" t="s">
        <v>1155</v>
      </c>
      <c r="C460" s="235">
        <v>2.3099999999999999E-5</v>
      </c>
      <c r="D460" s="235">
        <v>1.4E-5</v>
      </c>
      <c r="E460" s="345">
        <v>63084</v>
      </c>
      <c r="F460" s="232"/>
      <c r="G460" s="345">
        <v>10802</v>
      </c>
      <c r="H460" s="345">
        <v>1539</v>
      </c>
      <c r="I460" s="345">
        <v>10282</v>
      </c>
      <c r="J460" s="345">
        <v>15853</v>
      </c>
      <c r="K460" s="345">
        <v>38476</v>
      </c>
      <c r="L460" s="232"/>
      <c r="M460" s="345">
        <v>0</v>
      </c>
      <c r="N460" s="345">
        <v>0</v>
      </c>
      <c r="O460" s="345">
        <v>0</v>
      </c>
      <c r="P460" s="345">
        <v>0</v>
      </c>
      <c r="Q460" s="232"/>
      <c r="R460" s="345">
        <v>28101</v>
      </c>
      <c r="S460" s="345">
        <v>5524</v>
      </c>
      <c r="T460" s="345">
        <v>33625</v>
      </c>
    </row>
    <row r="461" spans="1:20">
      <c r="A461" s="351">
        <v>94532</v>
      </c>
      <c r="B461" s="344" t="s">
        <v>1156</v>
      </c>
      <c r="C461" s="235">
        <v>1.0060000000000001E-4</v>
      </c>
      <c r="D461" s="235">
        <v>1.0280000000000001E-4</v>
      </c>
      <c r="E461" s="345">
        <v>274731</v>
      </c>
      <c r="F461" s="232"/>
      <c r="G461" s="345">
        <v>47041</v>
      </c>
      <c r="H461" s="345">
        <v>6701</v>
      </c>
      <c r="I461" s="345">
        <v>44777</v>
      </c>
      <c r="J461" s="345">
        <v>7730</v>
      </c>
      <c r="K461" s="345">
        <v>106249</v>
      </c>
      <c r="L461" s="232"/>
      <c r="M461" s="345">
        <v>0</v>
      </c>
      <c r="N461" s="345">
        <v>0</v>
      </c>
      <c r="O461" s="345">
        <v>2265</v>
      </c>
      <c r="P461" s="345">
        <v>2265</v>
      </c>
      <c r="Q461" s="232"/>
      <c r="R461" s="345">
        <v>122381</v>
      </c>
      <c r="S461" s="345">
        <v>-76</v>
      </c>
      <c r="T461" s="345">
        <v>122305</v>
      </c>
    </row>
    <row r="462" spans="1:20">
      <c r="A462" s="351">
        <v>94541</v>
      </c>
      <c r="B462" s="344" t="s">
        <v>1157</v>
      </c>
      <c r="C462" s="235">
        <v>2.7750000000000002E-4</v>
      </c>
      <c r="D462" s="235">
        <v>2.8219999999999997E-4</v>
      </c>
      <c r="E462" s="345">
        <v>757831</v>
      </c>
      <c r="F462" s="232"/>
      <c r="G462" s="345">
        <v>129760</v>
      </c>
      <c r="H462" s="345">
        <v>18484</v>
      </c>
      <c r="I462" s="345">
        <v>123514</v>
      </c>
      <c r="J462" s="345">
        <v>0</v>
      </c>
      <c r="K462" s="345">
        <v>271758</v>
      </c>
      <c r="L462" s="232"/>
      <c r="M462" s="345">
        <v>0</v>
      </c>
      <c r="N462" s="345">
        <v>0</v>
      </c>
      <c r="O462" s="345">
        <v>28230</v>
      </c>
      <c r="P462" s="345">
        <v>28230</v>
      </c>
      <c r="Q462" s="232"/>
      <c r="R462" s="345">
        <v>337582</v>
      </c>
      <c r="S462" s="345">
        <v>-15372</v>
      </c>
      <c r="T462" s="345">
        <v>322210</v>
      </c>
    </row>
    <row r="463" spans="1:20">
      <c r="A463" s="351">
        <v>94547</v>
      </c>
      <c r="B463" s="344" t="s">
        <v>1158</v>
      </c>
      <c r="C463" s="235">
        <v>1.1E-5</v>
      </c>
      <c r="D463" s="235">
        <v>1.01E-5</v>
      </c>
      <c r="E463" s="345">
        <v>30040</v>
      </c>
      <c r="F463" s="232"/>
      <c r="G463" s="345">
        <v>5144</v>
      </c>
      <c r="H463" s="345">
        <v>733</v>
      </c>
      <c r="I463" s="345">
        <v>4896</v>
      </c>
      <c r="J463" s="345">
        <v>8055</v>
      </c>
      <c r="K463" s="345">
        <v>18828</v>
      </c>
      <c r="L463" s="232"/>
      <c r="M463" s="345">
        <v>0</v>
      </c>
      <c r="N463" s="345">
        <v>0</v>
      </c>
      <c r="O463" s="345">
        <v>0</v>
      </c>
      <c r="P463" s="345">
        <v>0</v>
      </c>
      <c r="Q463" s="232"/>
      <c r="R463" s="345">
        <v>13382</v>
      </c>
      <c r="S463" s="345">
        <v>2846</v>
      </c>
      <c r="T463" s="345">
        <v>16228</v>
      </c>
    </row>
    <row r="464" spans="1:20">
      <c r="A464" s="351">
        <v>94551</v>
      </c>
      <c r="B464" s="344" t="s">
        <v>1159</v>
      </c>
      <c r="C464" s="235">
        <v>5.3000000000000001E-5</v>
      </c>
      <c r="D464" s="235">
        <v>4.9200000000000003E-5</v>
      </c>
      <c r="E464" s="345">
        <v>144739</v>
      </c>
      <c r="F464" s="232"/>
      <c r="G464" s="345">
        <v>24783</v>
      </c>
      <c r="H464" s="345">
        <v>3530</v>
      </c>
      <c r="I464" s="345">
        <v>23590</v>
      </c>
      <c r="J464" s="345">
        <v>11449</v>
      </c>
      <c r="K464" s="345">
        <v>63352</v>
      </c>
      <c r="L464" s="232"/>
      <c r="M464" s="345">
        <v>0</v>
      </c>
      <c r="N464" s="345">
        <v>0</v>
      </c>
      <c r="O464" s="345">
        <v>0</v>
      </c>
      <c r="P464" s="345">
        <v>0</v>
      </c>
      <c r="Q464" s="232"/>
      <c r="R464" s="345">
        <v>64475</v>
      </c>
      <c r="S464" s="345">
        <v>5002</v>
      </c>
      <c r="T464" s="345">
        <v>69477</v>
      </c>
    </row>
    <row r="465" spans="1:20">
      <c r="A465" s="351">
        <v>94601</v>
      </c>
      <c r="B465" s="344" t="s">
        <v>1160</v>
      </c>
      <c r="C465" s="235">
        <v>9.1859999999999999E-4</v>
      </c>
      <c r="D465" s="235">
        <v>1.0712E-3</v>
      </c>
      <c r="E465" s="345">
        <v>2508625</v>
      </c>
      <c r="F465" s="232"/>
      <c r="G465" s="345">
        <v>429540</v>
      </c>
      <c r="H465" s="345">
        <v>61189</v>
      </c>
      <c r="I465" s="345">
        <v>408864</v>
      </c>
      <c r="J465" s="345">
        <v>46666</v>
      </c>
      <c r="K465" s="345">
        <v>946259</v>
      </c>
      <c r="L465" s="232"/>
      <c r="M465" s="345">
        <v>0</v>
      </c>
      <c r="N465" s="345">
        <v>0</v>
      </c>
      <c r="O465" s="345">
        <v>103974</v>
      </c>
      <c r="P465" s="345">
        <v>103974</v>
      </c>
      <c r="Q465" s="232"/>
      <c r="R465" s="345">
        <v>1117489</v>
      </c>
      <c r="S465" s="345">
        <v>-966</v>
      </c>
      <c r="T465" s="345">
        <v>1116523</v>
      </c>
    </row>
    <row r="466" spans="1:20">
      <c r="A466" s="351">
        <v>94604</v>
      </c>
      <c r="B466" s="344" t="s">
        <v>1161</v>
      </c>
      <c r="C466" s="235">
        <v>2.6100000000000001E-5</v>
      </c>
      <c r="D466" s="235">
        <v>2.7699999999999999E-5</v>
      </c>
      <c r="E466" s="345">
        <v>71277</v>
      </c>
      <c r="F466" s="232"/>
      <c r="G466" s="345">
        <v>12204</v>
      </c>
      <c r="H466" s="345">
        <v>1739</v>
      </c>
      <c r="I466" s="345">
        <v>11617</v>
      </c>
      <c r="J466" s="345">
        <v>2425</v>
      </c>
      <c r="K466" s="345">
        <v>27985</v>
      </c>
      <c r="L466" s="232"/>
      <c r="M466" s="345">
        <v>0</v>
      </c>
      <c r="N466" s="345">
        <v>0</v>
      </c>
      <c r="O466" s="345">
        <v>0</v>
      </c>
      <c r="P466" s="345">
        <v>0</v>
      </c>
      <c r="Q466" s="232"/>
      <c r="R466" s="345">
        <v>31751</v>
      </c>
      <c r="S466" s="345">
        <v>1169</v>
      </c>
      <c r="T466" s="345">
        <v>32920</v>
      </c>
    </row>
    <row r="467" spans="1:20">
      <c r="A467" s="351">
        <v>94611</v>
      </c>
      <c r="B467" s="344" t="s">
        <v>1163</v>
      </c>
      <c r="C467" s="235">
        <v>3.4459999999999997E-4</v>
      </c>
      <c r="D467" s="235">
        <v>3.5149999999999998E-4</v>
      </c>
      <c r="E467" s="345">
        <v>941076</v>
      </c>
      <c r="F467" s="232"/>
      <c r="G467" s="345">
        <v>161136</v>
      </c>
      <c r="H467" s="345">
        <v>22955</v>
      </c>
      <c r="I467" s="345">
        <v>153380</v>
      </c>
      <c r="J467" s="345">
        <v>26</v>
      </c>
      <c r="K467" s="345">
        <v>337497</v>
      </c>
      <c r="L467" s="232"/>
      <c r="M467" s="345">
        <v>0</v>
      </c>
      <c r="N467" s="345">
        <v>0</v>
      </c>
      <c r="O467" s="345">
        <v>22451</v>
      </c>
      <c r="P467" s="345">
        <v>22451</v>
      </c>
      <c r="Q467" s="232"/>
      <c r="R467" s="345">
        <v>419210</v>
      </c>
      <c r="S467" s="345">
        <v>-8590</v>
      </c>
      <c r="T467" s="345">
        <v>410620</v>
      </c>
    </row>
    <row r="468" spans="1:20">
      <c r="A468" s="351">
        <v>94621</v>
      </c>
      <c r="B468" s="344" t="s">
        <v>1164</v>
      </c>
      <c r="C468" s="235">
        <v>1.3320000000000001E-4</v>
      </c>
      <c r="D468" s="235">
        <v>1.0450000000000001E-4</v>
      </c>
      <c r="E468" s="345">
        <v>363759</v>
      </c>
      <c r="F468" s="232"/>
      <c r="G468" s="345">
        <v>62285</v>
      </c>
      <c r="H468" s="345">
        <v>8872</v>
      </c>
      <c r="I468" s="345">
        <v>59287</v>
      </c>
      <c r="J468" s="345">
        <v>40874</v>
      </c>
      <c r="K468" s="345">
        <v>171318</v>
      </c>
      <c r="L468" s="232"/>
      <c r="M468" s="345">
        <v>0</v>
      </c>
      <c r="N468" s="345">
        <v>0</v>
      </c>
      <c r="O468" s="345">
        <v>3233</v>
      </c>
      <c r="P468" s="345">
        <v>3233</v>
      </c>
      <c r="Q468" s="232"/>
      <c r="R468" s="345">
        <v>162040</v>
      </c>
      <c r="S468" s="345">
        <v>4570</v>
      </c>
      <c r="T468" s="345">
        <v>166610</v>
      </c>
    </row>
    <row r="469" spans="1:20">
      <c r="A469" s="351">
        <v>94631</v>
      </c>
      <c r="B469" s="344" t="s">
        <v>1165</v>
      </c>
      <c r="C469" s="235">
        <v>4.2599999999999999E-5</v>
      </c>
      <c r="D469" s="235">
        <v>4.4799999999999998E-5</v>
      </c>
      <c r="E469" s="345">
        <v>116337</v>
      </c>
      <c r="F469" s="232"/>
      <c r="G469" s="345">
        <v>19920</v>
      </c>
      <c r="H469" s="345">
        <v>2837</v>
      </c>
      <c r="I469" s="345">
        <v>18961</v>
      </c>
      <c r="J469" s="345">
        <v>4362</v>
      </c>
      <c r="K469" s="345">
        <v>46080</v>
      </c>
      <c r="L469" s="232"/>
      <c r="M469" s="345">
        <v>0</v>
      </c>
      <c r="N469" s="345">
        <v>0</v>
      </c>
      <c r="O469" s="345">
        <v>2075</v>
      </c>
      <c r="P469" s="345">
        <v>2075</v>
      </c>
      <c r="Q469" s="232"/>
      <c r="R469" s="345">
        <v>51823</v>
      </c>
      <c r="S469" s="345">
        <v>2154</v>
      </c>
      <c r="T469" s="345">
        <v>53977</v>
      </c>
    </row>
    <row r="470" spans="1:20">
      <c r="A470" s="351">
        <v>94641</v>
      </c>
      <c r="B470" s="344" t="s">
        <v>1166</v>
      </c>
      <c r="C470" s="235">
        <v>1.04E-5</v>
      </c>
      <c r="D470" s="235">
        <v>3.5999999999999998E-6</v>
      </c>
      <c r="E470" s="345">
        <v>28402</v>
      </c>
      <c r="F470" s="232"/>
      <c r="G470" s="345">
        <v>4863</v>
      </c>
      <c r="H470" s="345">
        <v>693</v>
      </c>
      <c r="I470" s="345">
        <v>4629</v>
      </c>
      <c r="J470" s="345">
        <v>10921</v>
      </c>
      <c r="K470" s="345">
        <v>21106</v>
      </c>
      <c r="L470" s="232"/>
      <c r="M470" s="345">
        <v>0</v>
      </c>
      <c r="N470" s="345">
        <v>0</v>
      </c>
      <c r="O470" s="345">
        <v>0</v>
      </c>
      <c r="P470" s="345">
        <v>0</v>
      </c>
      <c r="Q470" s="232"/>
      <c r="R470" s="345">
        <v>12652</v>
      </c>
      <c r="S470" s="345">
        <v>3997</v>
      </c>
      <c r="T470" s="345">
        <v>16649</v>
      </c>
    </row>
    <row r="471" spans="1:20">
      <c r="A471" s="351">
        <v>94701</v>
      </c>
      <c r="B471" s="344" t="s">
        <v>1167</v>
      </c>
      <c r="C471" s="235">
        <v>2.4202999999999998E-3</v>
      </c>
      <c r="D471" s="235">
        <v>2.3993999999999999E-3</v>
      </c>
      <c r="E471" s="345">
        <v>6609651</v>
      </c>
      <c r="F471" s="232"/>
      <c r="G471" s="345">
        <v>1131740</v>
      </c>
      <c r="H471" s="345">
        <v>161218</v>
      </c>
      <c r="I471" s="345">
        <v>1077263</v>
      </c>
      <c r="J471" s="345">
        <v>41827</v>
      </c>
      <c r="K471" s="345">
        <v>2412048</v>
      </c>
      <c r="L471" s="232"/>
      <c r="M471" s="345">
        <v>0</v>
      </c>
      <c r="N471" s="345">
        <v>0</v>
      </c>
      <c r="O471" s="345">
        <v>125539</v>
      </c>
      <c r="P471" s="345">
        <v>125539</v>
      </c>
      <c r="Q471" s="232"/>
      <c r="R471" s="345">
        <v>2944326</v>
      </c>
      <c r="S471" s="345">
        <v>-37549</v>
      </c>
      <c r="T471" s="345">
        <v>2906777</v>
      </c>
    </row>
    <row r="472" spans="1:20">
      <c r="A472" s="351">
        <v>94704</v>
      </c>
      <c r="B472" s="344" t="s">
        <v>1168</v>
      </c>
      <c r="C472" s="235">
        <v>1.5299999999999999E-5</v>
      </c>
      <c r="D472" s="235">
        <v>1.63E-5</v>
      </c>
      <c r="E472" s="345">
        <v>41783</v>
      </c>
      <c r="F472" s="232"/>
      <c r="G472" s="345">
        <v>7154</v>
      </c>
      <c r="H472" s="345">
        <v>1019</v>
      </c>
      <c r="I472" s="345">
        <v>6810</v>
      </c>
      <c r="J472" s="345">
        <v>3695</v>
      </c>
      <c r="K472" s="345">
        <v>18678</v>
      </c>
      <c r="L472" s="232"/>
      <c r="M472" s="345">
        <v>0</v>
      </c>
      <c r="N472" s="345">
        <v>0</v>
      </c>
      <c r="O472" s="345">
        <v>79</v>
      </c>
      <c r="P472" s="345">
        <v>79</v>
      </c>
      <c r="Q472" s="232"/>
      <c r="R472" s="345">
        <v>18613</v>
      </c>
      <c r="S472" s="345">
        <v>1201</v>
      </c>
      <c r="T472" s="345">
        <v>19814</v>
      </c>
    </row>
    <row r="473" spans="1:20">
      <c r="A473" s="351">
        <v>94711</v>
      </c>
      <c r="B473" s="344" t="s">
        <v>1169</v>
      </c>
      <c r="C473" s="235">
        <v>3.3819999999999998E-4</v>
      </c>
      <c r="D473" s="235">
        <v>3.3589999999999998E-4</v>
      </c>
      <c r="E473" s="345">
        <v>923598</v>
      </c>
      <c r="F473" s="232"/>
      <c r="G473" s="345">
        <v>158143</v>
      </c>
      <c r="H473" s="345">
        <v>22528</v>
      </c>
      <c r="I473" s="345">
        <v>150531</v>
      </c>
      <c r="J473" s="345">
        <v>10964</v>
      </c>
      <c r="K473" s="345">
        <v>342166</v>
      </c>
      <c r="L473" s="232"/>
      <c r="M473" s="345">
        <v>0</v>
      </c>
      <c r="N473" s="345">
        <v>0</v>
      </c>
      <c r="O473" s="345">
        <v>1524</v>
      </c>
      <c r="P473" s="345">
        <v>1524</v>
      </c>
      <c r="Q473" s="232"/>
      <c r="R473" s="345">
        <v>411425</v>
      </c>
      <c r="S473" s="345">
        <v>5674</v>
      </c>
      <c r="T473" s="345">
        <v>417099</v>
      </c>
    </row>
    <row r="474" spans="1:20">
      <c r="A474" s="351">
        <v>94801</v>
      </c>
      <c r="B474" s="344" t="s">
        <v>1170</v>
      </c>
      <c r="C474" s="235">
        <v>6.8429999999999999E-4</v>
      </c>
      <c r="D474" s="235">
        <v>6.7719999999999998E-4</v>
      </c>
      <c r="E474" s="345">
        <v>1868770</v>
      </c>
      <c r="F474" s="232"/>
      <c r="G474" s="345">
        <v>319981</v>
      </c>
      <c r="H474" s="345">
        <v>45582</v>
      </c>
      <c r="I474" s="345">
        <v>304579</v>
      </c>
      <c r="J474" s="345">
        <v>12982</v>
      </c>
      <c r="K474" s="345">
        <v>683124</v>
      </c>
      <c r="L474" s="232"/>
      <c r="M474" s="345">
        <v>0</v>
      </c>
      <c r="N474" s="345">
        <v>0</v>
      </c>
      <c r="O474" s="345">
        <v>26499</v>
      </c>
      <c r="P474" s="345">
        <v>26499</v>
      </c>
      <c r="Q474" s="232"/>
      <c r="R474" s="345">
        <v>832460</v>
      </c>
      <c r="S474" s="345">
        <v>6924</v>
      </c>
      <c r="T474" s="345">
        <v>839384</v>
      </c>
    </row>
    <row r="475" spans="1:20">
      <c r="A475" s="351">
        <v>94804</v>
      </c>
      <c r="B475" s="344" t="s">
        <v>1171</v>
      </c>
      <c r="C475" s="235">
        <v>2.7999999999999999E-6</v>
      </c>
      <c r="D475" s="235">
        <v>3.3000000000000002E-6</v>
      </c>
      <c r="E475" s="345">
        <v>7647</v>
      </c>
      <c r="F475" s="232"/>
      <c r="G475" s="345">
        <v>1309</v>
      </c>
      <c r="H475" s="345">
        <v>186</v>
      </c>
      <c r="I475" s="345">
        <v>1246</v>
      </c>
      <c r="J475" s="345">
        <v>1736</v>
      </c>
      <c r="K475" s="345">
        <v>4477</v>
      </c>
      <c r="L475" s="232"/>
      <c r="M475" s="345">
        <v>0</v>
      </c>
      <c r="N475" s="345">
        <v>0</v>
      </c>
      <c r="O475" s="345">
        <v>66</v>
      </c>
      <c r="P475" s="345">
        <v>66</v>
      </c>
      <c r="Q475" s="232"/>
      <c r="R475" s="345">
        <v>3406</v>
      </c>
      <c r="S475" s="345">
        <v>512</v>
      </c>
      <c r="T475" s="345">
        <v>3918</v>
      </c>
    </row>
    <row r="476" spans="1:20">
      <c r="A476" s="351">
        <v>94812</v>
      </c>
      <c r="B476" s="344" t="s">
        <v>2797</v>
      </c>
      <c r="C476" s="235">
        <v>3.0000000000000001E-5</v>
      </c>
      <c r="D476" s="235">
        <v>3.2100000000000001E-5</v>
      </c>
      <c r="E476" s="345">
        <v>81928</v>
      </c>
      <c r="F476" s="232"/>
      <c r="G476" s="345">
        <v>14028</v>
      </c>
      <c r="H476" s="345">
        <v>1998</v>
      </c>
      <c r="I476" s="345">
        <v>13353</v>
      </c>
      <c r="J476" s="345">
        <v>8547</v>
      </c>
      <c r="K476" s="345">
        <v>37926</v>
      </c>
      <c r="L476" s="232"/>
      <c r="M476" s="345">
        <v>0</v>
      </c>
      <c r="N476" s="345">
        <v>0</v>
      </c>
      <c r="O476" s="345">
        <v>0</v>
      </c>
      <c r="P476" s="345">
        <v>0</v>
      </c>
      <c r="Q476" s="232"/>
      <c r="R476" s="345">
        <v>36495</v>
      </c>
      <c r="S476" s="345">
        <v>5057</v>
      </c>
      <c r="T476" s="345">
        <v>41552</v>
      </c>
    </row>
    <row r="477" spans="1:20">
      <c r="A477" s="351">
        <v>94901</v>
      </c>
      <c r="B477" s="344" t="s">
        <v>1173</v>
      </c>
      <c r="C477" s="235">
        <v>7.2372000000000001E-3</v>
      </c>
      <c r="D477" s="235">
        <v>7.1234000000000002E-3</v>
      </c>
      <c r="E477" s="345">
        <v>19764229</v>
      </c>
      <c r="F477" s="232"/>
      <c r="G477" s="345">
        <v>3384136</v>
      </c>
      <c r="H477" s="345">
        <v>482077</v>
      </c>
      <c r="I477" s="345">
        <v>3221242</v>
      </c>
      <c r="J477" s="345">
        <v>228436</v>
      </c>
      <c r="K477" s="345">
        <v>7315891</v>
      </c>
      <c r="L477" s="232"/>
      <c r="M477" s="345">
        <v>0</v>
      </c>
      <c r="N477" s="345">
        <v>0</v>
      </c>
      <c r="O477" s="345">
        <v>38214</v>
      </c>
      <c r="P477" s="345">
        <v>38214</v>
      </c>
      <c r="Q477" s="232"/>
      <c r="R477" s="345">
        <v>8804148</v>
      </c>
      <c r="S477" s="345">
        <v>29944</v>
      </c>
      <c r="T477" s="345">
        <v>8834092</v>
      </c>
    </row>
    <row r="478" spans="1:20" ht="30">
      <c r="A478" s="351">
        <v>94908</v>
      </c>
      <c r="B478" s="344" t="s">
        <v>3681</v>
      </c>
      <c r="C478" s="235">
        <v>5.9000000000000003E-6</v>
      </c>
      <c r="D478" s="235">
        <v>6.8000000000000001E-6</v>
      </c>
      <c r="E478" s="345">
        <v>16112</v>
      </c>
      <c r="F478" s="232"/>
      <c r="G478" s="345">
        <v>2759</v>
      </c>
      <c r="H478" s="345">
        <v>393</v>
      </c>
      <c r="I478" s="345">
        <v>2626</v>
      </c>
      <c r="J478" s="345">
        <v>9654</v>
      </c>
      <c r="K478" s="345">
        <v>15432</v>
      </c>
      <c r="L478" s="232"/>
      <c r="M478" s="345">
        <v>0</v>
      </c>
      <c r="N478" s="345">
        <v>0</v>
      </c>
      <c r="O478" s="345">
        <v>9694</v>
      </c>
      <c r="P478" s="345">
        <v>9694</v>
      </c>
      <c r="Q478" s="232"/>
      <c r="R478" s="345">
        <v>7177</v>
      </c>
      <c r="S478" s="345">
        <v>-3195</v>
      </c>
      <c r="T478" s="345">
        <v>3982</v>
      </c>
    </row>
    <row r="479" spans="1:20">
      <c r="A479" s="351">
        <v>94911</v>
      </c>
      <c r="B479" s="344" t="s">
        <v>1175</v>
      </c>
      <c r="C479" s="235">
        <v>2.8782E-3</v>
      </c>
      <c r="D479" s="235">
        <v>2.9845000000000002E-3</v>
      </c>
      <c r="E479" s="345">
        <v>7860140</v>
      </c>
      <c r="F479" s="232"/>
      <c r="G479" s="345">
        <v>1345855</v>
      </c>
      <c r="H479" s="345">
        <v>191720</v>
      </c>
      <c r="I479" s="345">
        <v>1281072</v>
      </c>
      <c r="J479" s="345">
        <v>85806</v>
      </c>
      <c r="K479" s="345">
        <v>2904453</v>
      </c>
      <c r="L479" s="232"/>
      <c r="M479" s="345">
        <v>0</v>
      </c>
      <c r="N479" s="345">
        <v>0</v>
      </c>
      <c r="O479" s="345">
        <v>96281</v>
      </c>
      <c r="P479" s="345">
        <v>96281</v>
      </c>
      <c r="Q479" s="232"/>
      <c r="R479" s="345">
        <v>3501368</v>
      </c>
      <c r="S479" s="345">
        <v>601</v>
      </c>
      <c r="T479" s="345">
        <v>3501969</v>
      </c>
    </row>
    <row r="480" spans="1:20">
      <c r="A480" s="351">
        <v>94917</v>
      </c>
      <c r="B480" s="344" t="s">
        <v>1176</v>
      </c>
      <c r="C480" s="235">
        <v>3.0700000000000001E-5</v>
      </c>
      <c r="D480" s="235">
        <v>3.0899999999999999E-5</v>
      </c>
      <c r="E480" s="345">
        <v>83839</v>
      </c>
      <c r="F480" s="232"/>
      <c r="G480" s="345">
        <v>14355</v>
      </c>
      <c r="H480" s="345">
        <v>2045</v>
      </c>
      <c r="I480" s="345">
        <v>13664</v>
      </c>
      <c r="J480" s="345">
        <v>21443</v>
      </c>
      <c r="K480" s="345">
        <v>51507</v>
      </c>
      <c r="L480" s="232"/>
      <c r="M480" s="345">
        <v>0</v>
      </c>
      <c r="N480" s="345">
        <v>0</v>
      </c>
      <c r="O480" s="345">
        <v>0</v>
      </c>
      <c r="P480" s="345">
        <v>0</v>
      </c>
      <c r="Q480" s="232"/>
      <c r="R480" s="345">
        <v>37347</v>
      </c>
      <c r="S480" s="345">
        <v>9267</v>
      </c>
      <c r="T480" s="345">
        <v>46614</v>
      </c>
    </row>
    <row r="481" spans="1:20">
      <c r="A481" s="351">
        <v>94921</v>
      </c>
      <c r="B481" s="344" t="s">
        <v>1177</v>
      </c>
      <c r="C481" s="235">
        <v>3.8489000000000002E-3</v>
      </c>
      <c r="D481" s="235">
        <v>3.9271000000000002E-3</v>
      </c>
      <c r="E481" s="345">
        <v>10511046</v>
      </c>
      <c r="F481" s="232"/>
      <c r="G481" s="345">
        <v>1799757</v>
      </c>
      <c r="H481" s="345">
        <v>256379</v>
      </c>
      <c r="I481" s="345">
        <v>1713126</v>
      </c>
      <c r="J481" s="345">
        <v>9601</v>
      </c>
      <c r="K481" s="345">
        <v>3778863</v>
      </c>
      <c r="L481" s="232"/>
      <c r="M481" s="345">
        <v>0</v>
      </c>
      <c r="N481" s="345">
        <v>0</v>
      </c>
      <c r="O481" s="345">
        <v>337008</v>
      </c>
      <c r="P481" s="345">
        <v>337008</v>
      </c>
      <c r="Q481" s="232"/>
      <c r="R481" s="345">
        <v>4682237</v>
      </c>
      <c r="S481" s="345">
        <v>-195151</v>
      </c>
      <c r="T481" s="345">
        <v>4487086</v>
      </c>
    </row>
    <row r="482" spans="1:20">
      <c r="A482" s="351">
        <v>94923</v>
      </c>
      <c r="B482" s="344" t="s">
        <v>1178</v>
      </c>
      <c r="C482" s="235">
        <v>2.7800000000000001E-5</v>
      </c>
      <c r="D482" s="235">
        <v>2.9099999999999999E-5</v>
      </c>
      <c r="E482" s="345">
        <v>75920</v>
      </c>
      <c r="F482" s="232"/>
      <c r="G482" s="345">
        <v>12999</v>
      </c>
      <c r="H482" s="345">
        <v>1852</v>
      </c>
      <c r="I482" s="345">
        <v>12374</v>
      </c>
      <c r="J482" s="345">
        <v>3692</v>
      </c>
      <c r="K482" s="345">
        <v>30917</v>
      </c>
      <c r="L482" s="232"/>
      <c r="M482" s="345">
        <v>0</v>
      </c>
      <c r="N482" s="345">
        <v>0</v>
      </c>
      <c r="O482" s="345">
        <v>0</v>
      </c>
      <c r="P482" s="345">
        <v>0</v>
      </c>
      <c r="Q482" s="232"/>
      <c r="R482" s="345">
        <v>33819</v>
      </c>
      <c r="S482" s="345">
        <v>1901</v>
      </c>
      <c r="T482" s="345">
        <v>35720</v>
      </c>
    </row>
    <row r="483" spans="1:20">
      <c r="A483" s="351">
        <v>94927</v>
      </c>
      <c r="B483" s="344" t="s">
        <v>1179</v>
      </c>
      <c r="C483" s="235">
        <v>2.5299999999999998E-5</v>
      </c>
      <c r="D483" s="235">
        <v>2.76E-5</v>
      </c>
      <c r="E483" s="345">
        <v>69092</v>
      </c>
      <c r="F483" s="232"/>
      <c r="G483" s="345">
        <v>11830</v>
      </c>
      <c r="H483" s="345">
        <v>1686</v>
      </c>
      <c r="I483" s="345">
        <v>11261</v>
      </c>
      <c r="J483" s="345">
        <v>8185</v>
      </c>
      <c r="K483" s="345">
        <v>32962</v>
      </c>
      <c r="L483" s="232"/>
      <c r="M483" s="345">
        <v>0</v>
      </c>
      <c r="N483" s="345">
        <v>0</v>
      </c>
      <c r="O483" s="345">
        <v>0</v>
      </c>
      <c r="P483" s="345">
        <v>0</v>
      </c>
      <c r="Q483" s="232"/>
      <c r="R483" s="345">
        <v>30778</v>
      </c>
      <c r="S483" s="345">
        <v>2949</v>
      </c>
      <c r="T483" s="345">
        <v>33727</v>
      </c>
    </row>
    <row r="484" spans="1:20">
      <c r="A484" s="351">
        <v>94931</v>
      </c>
      <c r="B484" s="344" t="s">
        <v>1180</v>
      </c>
      <c r="C484" s="235">
        <v>2.142E-4</v>
      </c>
      <c r="D484" s="235">
        <v>2.0350000000000001E-4</v>
      </c>
      <c r="E484" s="345">
        <v>584963</v>
      </c>
      <c r="F484" s="232"/>
      <c r="G484" s="345">
        <v>100161</v>
      </c>
      <c r="H484" s="345">
        <v>14268</v>
      </c>
      <c r="I484" s="345">
        <v>95339</v>
      </c>
      <c r="J484" s="345">
        <v>10308</v>
      </c>
      <c r="K484" s="345">
        <v>220076</v>
      </c>
      <c r="L484" s="232"/>
      <c r="M484" s="345">
        <v>0</v>
      </c>
      <c r="N484" s="345">
        <v>0</v>
      </c>
      <c r="O484" s="345">
        <v>9256</v>
      </c>
      <c r="P484" s="345">
        <v>9256</v>
      </c>
      <c r="Q484" s="232"/>
      <c r="R484" s="345">
        <v>260577</v>
      </c>
      <c r="S484" s="345">
        <v>-3682</v>
      </c>
      <c r="T484" s="345">
        <v>256895</v>
      </c>
    </row>
    <row r="485" spans="1:20">
      <c r="A485" s="351">
        <v>94937</v>
      </c>
      <c r="B485" s="344" t="s">
        <v>1933</v>
      </c>
      <c r="C485" s="235">
        <v>6.9E-6</v>
      </c>
      <c r="D485" s="235">
        <v>0</v>
      </c>
      <c r="E485" s="345">
        <v>18843</v>
      </c>
      <c r="F485" s="232"/>
      <c r="G485" s="345">
        <v>3226</v>
      </c>
      <c r="H485" s="345">
        <v>460</v>
      </c>
      <c r="I485" s="345">
        <v>3071</v>
      </c>
      <c r="J485" s="345">
        <v>5936</v>
      </c>
      <c r="K485" s="345">
        <v>12693</v>
      </c>
      <c r="L485" s="232"/>
      <c r="M485" s="345">
        <v>0</v>
      </c>
      <c r="N485" s="345">
        <v>0</v>
      </c>
      <c r="O485" s="345">
        <v>0</v>
      </c>
      <c r="P485" s="345">
        <v>0</v>
      </c>
      <c r="Q485" s="232"/>
      <c r="R485" s="345">
        <v>8394</v>
      </c>
      <c r="S485" s="345">
        <v>1484</v>
      </c>
      <c r="T485" s="345">
        <v>9878</v>
      </c>
    </row>
    <row r="486" spans="1:20">
      <c r="A486" s="351">
        <v>94941</v>
      </c>
      <c r="B486" s="344" t="s">
        <v>1181</v>
      </c>
      <c r="C486" s="235">
        <v>5.865E-4</v>
      </c>
      <c r="D486" s="235">
        <v>5.4239999999999996E-4</v>
      </c>
      <c r="E486" s="345">
        <v>1601686</v>
      </c>
      <c r="F486" s="232"/>
      <c r="G486" s="345">
        <v>274249</v>
      </c>
      <c r="H486" s="345">
        <v>39067</v>
      </c>
      <c r="I486" s="345">
        <v>261048</v>
      </c>
      <c r="J486" s="345">
        <v>22301</v>
      </c>
      <c r="K486" s="345">
        <v>596665</v>
      </c>
      <c r="L486" s="232"/>
      <c r="M486" s="345">
        <v>0</v>
      </c>
      <c r="N486" s="345">
        <v>0</v>
      </c>
      <c r="O486" s="345">
        <v>29495</v>
      </c>
      <c r="P486" s="345">
        <v>29495</v>
      </c>
      <c r="Q486" s="232"/>
      <c r="R486" s="345">
        <v>713485</v>
      </c>
      <c r="S486" s="345">
        <v>9271</v>
      </c>
      <c r="T486" s="345">
        <v>722756</v>
      </c>
    </row>
    <row r="487" spans="1:20">
      <c r="A487" s="351">
        <v>94947</v>
      </c>
      <c r="B487" s="344" t="s">
        <v>1934</v>
      </c>
      <c r="C487" s="235">
        <v>5.9000000000000003E-6</v>
      </c>
      <c r="D487" s="235">
        <v>0</v>
      </c>
      <c r="E487" s="345">
        <v>16112</v>
      </c>
      <c r="F487" s="232"/>
      <c r="G487" s="345">
        <v>2759</v>
      </c>
      <c r="H487" s="345">
        <v>393</v>
      </c>
      <c r="I487" s="345">
        <v>2626</v>
      </c>
      <c r="J487" s="345">
        <v>6305</v>
      </c>
      <c r="K487" s="345">
        <v>12083</v>
      </c>
      <c r="L487" s="232"/>
      <c r="M487" s="345">
        <v>0</v>
      </c>
      <c r="N487" s="345">
        <v>0</v>
      </c>
      <c r="O487" s="345">
        <v>0</v>
      </c>
      <c r="P487" s="345">
        <v>0</v>
      </c>
      <c r="Q487" s="232"/>
      <c r="R487" s="345">
        <v>7177</v>
      </c>
      <c r="S487" s="345">
        <v>1576</v>
      </c>
      <c r="T487" s="345">
        <v>8753</v>
      </c>
    </row>
    <row r="488" spans="1:20">
      <c r="A488" s="351">
        <v>95001</v>
      </c>
      <c r="B488" s="344" t="s">
        <v>1182</v>
      </c>
      <c r="C488" s="235">
        <v>2.2818999999999999E-3</v>
      </c>
      <c r="D488" s="235">
        <v>2.3002999999999999E-3</v>
      </c>
      <c r="E488" s="345">
        <v>6231691</v>
      </c>
      <c r="F488" s="232"/>
      <c r="G488" s="345">
        <v>1067023</v>
      </c>
      <c r="H488" s="345">
        <v>152000</v>
      </c>
      <c r="I488" s="345">
        <v>1015662</v>
      </c>
      <c r="J488" s="345">
        <v>155309</v>
      </c>
      <c r="K488" s="345">
        <v>2389994</v>
      </c>
      <c r="L488" s="232"/>
      <c r="M488" s="345">
        <v>0</v>
      </c>
      <c r="N488" s="345">
        <v>0</v>
      </c>
      <c r="O488" s="345">
        <v>37098</v>
      </c>
      <c r="P488" s="345">
        <v>37098</v>
      </c>
      <c r="Q488" s="232"/>
      <c r="R488" s="345">
        <v>2775961</v>
      </c>
      <c r="S488" s="345">
        <v>62392</v>
      </c>
      <c r="T488" s="345">
        <v>2838353</v>
      </c>
    </row>
    <row r="489" spans="1:20">
      <c r="A489" s="351">
        <v>95002</v>
      </c>
      <c r="B489" s="344" t="s">
        <v>1183</v>
      </c>
      <c r="C489" s="235">
        <v>1.805E-4</v>
      </c>
      <c r="D489" s="235">
        <v>1.8589999999999999E-4</v>
      </c>
      <c r="E489" s="345">
        <v>492931</v>
      </c>
      <c r="F489" s="232"/>
      <c r="G489" s="345">
        <v>84402</v>
      </c>
      <c r="H489" s="345">
        <v>12023</v>
      </c>
      <c r="I489" s="345">
        <v>80340</v>
      </c>
      <c r="J489" s="345">
        <v>26348</v>
      </c>
      <c r="K489" s="345">
        <v>203113</v>
      </c>
      <c r="L489" s="232"/>
      <c r="M489" s="345">
        <v>0</v>
      </c>
      <c r="N489" s="345">
        <v>0</v>
      </c>
      <c r="O489" s="345">
        <v>0</v>
      </c>
      <c r="P489" s="345">
        <v>0</v>
      </c>
      <c r="Q489" s="232"/>
      <c r="R489" s="345">
        <v>219581</v>
      </c>
      <c r="S489" s="345">
        <v>10886</v>
      </c>
      <c r="T489" s="345">
        <v>230467</v>
      </c>
    </row>
    <row r="490" spans="1:20">
      <c r="A490" s="351">
        <v>95005</v>
      </c>
      <c r="B490" s="344" t="s">
        <v>1184</v>
      </c>
      <c r="C490" s="235">
        <v>1.8819999999999999E-4</v>
      </c>
      <c r="D490" s="235">
        <v>2.131E-4</v>
      </c>
      <c r="E490" s="345">
        <v>513960</v>
      </c>
      <c r="F490" s="232"/>
      <c r="G490" s="345">
        <v>88003</v>
      </c>
      <c r="H490" s="345">
        <v>12536</v>
      </c>
      <c r="I490" s="345">
        <v>83767</v>
      </c>
      <c r="J490" s="345">
        <v>0</v>
      </c>
      <c r="K490" s="345">
        <v>184306</v>
      </c>
      <c r="L490" s="232"/>
      <c r="M490" s="345">
        <v>0</v>
      </c>
      <c r="N490" s="345">
        <v>0</v>
      </c>
      <c r="O490" s="345">
        <v>10481</v>
      </c>
      <c r="P490" s="345">
        <v>10481</v>
      </c>
      <c r="Q490" s="232"/>
      <c r="R490" s="345">
        <v>228948</v>
      </c>
      <c r="S490" s="345">
        <v>1247</v>
      </c>
      <c r="T490" s="345">
        <v>230195</v>
      </c>
    </row>
    <row r="491" spans="1:20" ht="30">
      <c r="A491" s="351">
        <v>95008</v>
      </c>
      <c r="B491" s="344" t="s">
        <v>3682</v>
      </c>
      <c r="C491" s="235">
        <v>1.193E-4</v>
      </c>
      <c r="D491" s="235">
        <v>1.188E-4</v>
      </c>
      <c r="E491" s="345">
        <v>325799</v>
      </c>
      <c r="F491" s="232"/>
      <c r="G491" s="345">
        <v>55785</v>
      </c>
      <c r="H491" s="345">
        <v>7946</v>
      </c>
      <c r="I491" s="345">
        <v>53100</v>
      </c>
      <c r="J491" s="345">
        <v>19310</v>
      </c>
      <c r="K491" s="345">
        <v>136141</v>
      </c>
      <c r="L491" s="232"/>
      <c r="M491" s="345">
        <v>0</v>
      </c>
      <c r="N491" s="345">
        <v>0</v>
      </c>
      <c r="O491" s="345">
        <v>1877</v>
      </c>
      <c r="P491" s="345">
        <v>1877</v>
      </c>
      <c r="Q491" s="232"/>
      <c r="R491" s="345">
        <v>145130</v>
      </c>
      <c r="S491" s="345">
        <v>7016</v>
      </c>
      <c r="T491" s="345">
        <v>152146</v>
      </c>
    </row>
    <row r="492" spans="1:20">
      <c r="A492" s="351">
        <v>95009</v>
      </c>
      <c r="B492" s="344" t="s">
        <v>1186</v>
      </c>
      <c r="C492" s="235">
        <v>4.0723000000000001E-3</v>
      </c>
      <c r="D492" s="235">
        <v>4.0277999999999998E-3</v>
      </c>
      <c r="E492" s="345">
        <v>11121134</v>
      </c>
      <c r="F492" s="232"/>
      <c r="G492" s="345">
        <v>1904220</v>
      </c>
      <c r="H492" s="345">
        <v>271260</v>
      </c>
      <c r="I492" s="345">
        <v>1812560</v>
      </c>
      <c r="J492" s="345">
        <v>116692</v>
      </c>
      <c r="K492" s="345">
        <v>4104732</v>
      </c>
      <c r="L492" s="232"/>
      <c r="M492" s="345">
        <v>0</v>
      </c>
      <c r="N492" s="345">
        <v>0</v>
      </c>
      <c r="O492" s="345">
        <v>144383</v>
      </c>
      <c r="P492" s="345">
        <v>144383</v>
      </c>
      <c r="Q492" s="232"/>
      <c r="R492" s="345">
        <v>4954006</v>
      </c>
      <c r="S492" s="345">
        <v>159013</v>
      </c>
      <c r="T492" s="345">
        <v>5113019</v>
      </c>
    </row>
    <row r="493" spans="1:20">
      <c r="A493" s="351">
        <v>95011</v>
      </c>
      <c r="B493" s="344" t="s">
        <v>1187</v>
      </c>
      <c r="C493" s="235">
        <v>1.9230000000000001E-4</v>
      </c>
      <c r="D493" s="235">
        <v>1.8760000000000001E-4</v>
      </c>
      <c r="E493" s="345">
        <v>525156</v>
      </c>
      <c r="F493" s="232"/>
      <c r="G493" s="345">
        <v>89920</v>
      </c>
      <c r="H493" s="345">
        <v>12809</v>
      </c>
      <c r="I493" s="345">
        <v>85592</v>
      </c>
      <c r="J493" s="345">
        <v>5134</v>
      </c>
      <c r="K493" s="345">
        <v>193455</v>
      </c>
      <c r="L493" s="232"/>
      <c r="M493" s="345">
        <v>0</v>
      </c>
      <c r="N493" s="345">
        <v>0</v>
      </c>
      <c r="O493" s="345">
        <v>1730</v>
      </c>
      <c r="P493" s="345">
        <v>1730</v>
      </c>
      <c r="Q493" s="232"/>
      <c r="R493" s="345">
        <v>233935</v>
      </c>
      <c r="S493" s="345">
        <v>-643</v>
      </c>
      <c r="T493" s="345">
        <v>233292</v>
      </c>
    </row>
    <row r="494" spans="1:20">
      <c r="A494" s="351">
        <v>95017</v>
      </c>
      <c r="B494" s="344" t="s">
        <v>1188</v>
      </c>
      <c r="C494" s="235">
        <v>5.1E-5</v>
      </c>
      <c r="D494" s="235">
        <v>4.5500000000000001E-5</v>
      </c>
      <c r="E494" s="345">
        <v>139277</v>
      </c>
      <c r="F494" s="232"/>
      <c r="G494" s="345">
        <v>23848</v>
      </c>
      <c r="H494" s="345">
        <v>3397</v>
      </c>
      <c r="I494" s="345">
        <v>22700</v>
      </c>
      <c r="J494" s="345">
        <v>1599</v>
      </c>
      <c r="K494" s="345">
        <v>51544</v>
      </c>
      <c r="L494" s="232"/>
      <c r="M494" s="345">
        <v>0</v>
      </c>
      <c r="N494" s="345">
        <v>0</v>
      </c>
      <c r="O494" s="345">
        <v>0</v>
      </c>
      <c r="P494" s="345">
        <v>0</v>
      </c>
      <c r="Q494" s="232"/>
      <c r="R494" s="345">
        <v>62042</v>
      </c>
      <c r="S494" s="345">
        <v>5238</v>
      </c>
      <c r="T494" s="345">
        <v>67280</v>
      </c>
    </row>
    <row r="495" spans="1:20">
      <c r="A495" s="351">
        <v>95101</v>
      </c>
      <c r="B495" s="344" t="s">
        <v>1189</v>
      </c>
      <c r="C495" s="235">
        <v>8.8515E-3</v>
      </c>
      <c r="D495" s="235">
        <v>8.5109999999999995E-3</v>
      </c>
      <c r="E495" s="345">
        <v>24172756</v>
      </c>
      <c r="F495" s="232"/>
      <c r="G495" s="345">
        <v>4138988</v>
      </c>
      <c r="H495" s="345">
        <v>589608</v>
      </c>
      <c r="I495" s="345">
        <v>3939758</v>
      </c>
      <c r="J495" s="345">
        <v>42722</v>
      </c>
      <c r="K495" s="345">
        <v>8711076</v>
      </c>
      <c r="L495" s="232"/>
      <c r="M495" s="345">
        <v>0</v>
      </c>
      <c r="N495" s="345">
        <v>0</v>
      </c>
      <c r="O495" s="345">
        <v>98844</v>
      </c>
      <c r="P495" s="345">
        <v>98844</v>
      </c>
      <c r="Q495" s="232"/>
      <c r="R495" s="345">
        <v>10767965</v>
      </c>
      <c r="S495" s="345">
        <v>-40899</v>
      </c>
      <c r="T495" s="345">
        <v>10727066</v>
      </c>
    </row>
    <row r="496" spans="1:20">
      <c r="A496" s="351">
        <v>95103</v>
      </c>
      <c r="B496" s="344" t="s">
        <v>1190</v>
      </c>
      <c r="C496" s="235">
        <v>5.0599999999999997E-5</v>
      </c>
      <c r="D496" s="235">
        <v>4.4400000000000002E-5</v>
      </c>
      <c r="E496" s="345">
        <v>138185</v>
      </c>
      <c r="F496" s="232"/>
      <c r="G496" s="345">
        <v>23661</v>
      </c>
      <c r="H496" s="345">
        <v>3370</v>
      </c>
      <c r="I496" s="345">
        <v>22522</v>
      </c>
      <c r="J496" s="345">
        <v>17200</v>
      </c>
      <c r="K496" s="345">
        <v>66753</v>
      </c>
      <c r="L496" s="232"/>
      <c r="M496" s="345">
        <v>0</v>
      </c>
      <c r="N496" s="345">
        <v>0</v>
      </c>
      <c r="O496" s="345">
        <v>0</v>
      </c>
      <c r="P496" s="345">
        <v>0</v>
      </c>
      <c r="Q496" s="232"/>
      <c r="R496" s="345">
        <v>61556</v>
      </c>
      <c r="S496" s="345">
        <v>7975</v>
      </c>
      <c r="T496" s="345">
        <v>69531</v>
      </c>
    </row>
    <row r="497" spans="1:20">
      <c r="A497" s="351">
        <v>95104</v>
      </c>
      <c r="B497" s="344" t="s">
        <v>1191</v>
      </c>
      <c r="C497" s="235">
        <v>1.149E-4</v>
      </c>
      <c r="D497" s="235">
        <v>9.8300000000000004E-5</v>
      </c>
      <c r="E497" s="345">
        <v>313783</v>
      </c>
      <c r="F497" s="232"/>
      <c r="G497" s="345">
        <v>53728</v>
      </c>
      <c r="H497" s="345">
        <v>7654</v>
      </c>
      <c r="I497" s="345">
        <v>51141</v>
      </c>
      <c r="J497" s="345">
        <v>38997</v>
      </c>
      <c r="K497" s="345">
        <v>151520</v>
      </c>
      <c r="L497" s="232"/>
      <c r="M497" s="345">
        <v>0</v>
      </c>
      <c r="N497" s="345">
        <v>0</v>
      </c>
      <c r="O497" s="345">
        <v>0</v>
      </c>
      <c r="P497" s="345">
        <v>0</v>
      </c>
      <c r="Q497" s="232"/>
      <c r="R497" s="345">
        <v>139777</v>
      </c>
      <c r="S497" s="345">
        <v>15329</v>
      </c>
      <c r="T497" s="345">
        <v>155106</v>
      </c>
    </row>
    <row r="498" spans="1:20" ht="30">
      <c r="A498" s="351">
        <v>95105</v>
      </c>
      <c r="B498" s="344" t="s">
        <v>3683</v>
      </c>
      <c r="C498" s="235">
        <v>7.1500000000000003E-5</v>
      </c>
      <c r="D498" s="235">
        <v>6.5900000000000003E-5</v>
      </c>
      <c r="E498" s="345">
        <v>195261</v>
      </c>
      <c r="F498" s="232"/>
      <c r="G498" s="345">
        <v>33434</v>
      </c>
      <c r="H498" s="345">
        <v>4763</v>
      </c>
      <c r="I498" s="345">
        <v>31824</v>
      </c>
      <c r="J498" s="345">
        <v>12840</v>
      </c>
      <c r="K498" s="345">
        <v>82861</v>
      </c>
      <c r="L498" s="232"/>
      <c r="M498" s="345">
        <v>0</v>
      </c>
      <c r="N498" s="345">
        <v>0</v>
      </c>
      <c r="O498" s="345">
        <v>0</v>
      </c>
      <c r="P498" s="345">
        <v>0</v>
      </c>
      <c r="Q498" s="232"/>
      <c r="R498" s="345">
        <v>86981</v>
      </c>
      <c r="S498" s="345">
        <v>5370</v>
      </c>
      <c r="T498" s="345">
        <v>92351</v>
      </c>
    </row>
    <row r="499" spans="1:20">
      <c r="A499" s="351">
        <v>95106</v>
      </c>
      <c r="B499" s="344" t="s">
        <v>1193</v>
      </c>
      <c r="C499" s="235">
        <v>1.29E-5</v>
      </c>
      <c r="D499" s="235">
        <v>1.3900000000000001E-5</v>
      </c>
      <c r="E499" s="345">
        <v>35229</v>
      </c>
      <c r="F499" s="232"/>
      <c r="G499" s="345">
        <v>6032</v>
      </c>
      <c r="H499" s="345">
        <v>859</v>
      </c>
      <c r="I499" s="345">
        <v>5742</v>
      </c>
      <c r="J499" s="345">
        <v>3315</v>
      </c>
      <c r="K499" s="345">
        <v>15948</v>
      </c>
      <c r="L499" s="232"/>
      <c r="M499" s="345">
        <v>0</v>
      </c>
      <c r="N499" s="345">
        <v>0</v>
      </c>
      <c r="O499" s="345">
        <v>718</v>
      </c>
      <c r="P499" s="345">
        <v>718</v>
      </c>
      <c r="Q499" s="232"/>
      <c r="R499" s="345">
        <v>15693</v>
      </c>
      <c r="S499" s="345">
        <v>2074</v>
      </c>
      <c r="T499" s="345">
        <v>17767</v>
      </c>
    </row>
    <row r="500" spans="1:20">
      <c r="A500" s="351">
        <v>95110</v>
      </c>
      <c r="B500" s="344" t="s">
        <v>1194</v>
      </c>
      <c r="C500" s="235">
        <v>3.1538E-3</v>
      </c>
      <c r="D500" s="235">
        <v>3.5975E-3</v>
      </c>
      <c r="E500" s="345">
        <v>8612782</v>
      </c>
      <c r="F500" s="232"/>
      <c r="G500" s="345">
        <v>1474726</v>
      </c>
      <c r="H500" s="345">
        <v>210077</v>
      </c>
      <c r="I500" s="345">
        <v>1403741</v>
      </c>
      <c r="J500" s="345">
        <v>0</v>
      </c>
      <c r="K500" s="345">
        <v>3088544</v>
      </c>
      <c r="L500" s="232"/>
      <c r="M500" s="345">
        <v>0</v>
      </c>
      <c r="N500" s="345">
        <v>0</v>
      </c>
      <c r="O500" s="345">
        <v>657900</v>
      </c>
      <c r="P500" s="345">
        <v>657900</v>
      </c>
      <c r="Q500" s="232"/>
      <c r="R500" s="345">
        <v>3836639</v>
      </c>
      <c r="S500" s="345">
        <v>-425151</v>
      </c>
      <c r="T500" s="345">
        <v>3411488</v>
      </c>
    </row>
    <row r="501" spans="1:20">
      <c r="A501" s="351">
        <v>95111</v>
      </c>
      <c r="B501" s="344" t="s">
        <v>1195</v>
      </c>
      <c r="C501" s="235">
        <v>1.0529000000000001E-3</v>
      </c>
      <c r="D501" s="235">
        <v>1.1188999999999999E-3</v>
      </c>
      <c r="E501" s="345">
        <v>2875388</v>
      </c>
      <c r="F501" s="232"/>
      <c r="G501" s="345">
        <v>492339</v>
      </c>
      <c r="H501" s="345">
        <v>70135</v>
      </c>
      <c r="I501" s="345">
        <v>468641</v>
      </c>
      <c r="J501" s="345">
        <v>0</v>
      </c>
      <c r="K501" s="345">
        <v>1031115</v>
      </c>
      <c r="L501" s="232"/>
      <c r="M501" s="345">
        <v>0</v>
      </c>
      <c r="N501" s="345">
        <v>0</v>
      </c>
      <c r="O501" s="345">
        <v>111110</v>
      </c>
      <c r="P501" s="345">
        <v>111110</v>
      </c>
      <c r="Q501" s="232"/>
      <c r="R501" s="345">
        <v>1280867</v>
      </c>
      <c r="S501" s="345">
        <v>-58821</v>
      </c>
      <c r="T501" s="345">
        <v>1222046</v>
      </c>
    </row>
    <row r="502" spans="1:20">
      <c r="A502" s="351">
        <v>95113</v>
      </c>
      <c r="B502" s="344" t="s">
        <v>1196</v>
      </c>
      <c r="C502" s="235">
        <v>4.5300000000000003E-5</v>
      </c>
      <c r="D502" s="235">
        <v>4.49E-5</v>
      </c>
      <c r="E502" s="345">
        <v>123711</v>
      </c>
      <c r="F502" s="232"/>
      <c r="G502" s="345">
        <v>21182</v>
      </c>
      <c r="H502" s="345">
        <v>3017</v>
      </c>
      <c r="I502" s="345">
        <v>20163</v>
      </c>
      <c r="J502" s="345">
        <v>101740</v>
      </c>
      <c r="K502" s="345">
        <v>146102</v>
      </c>
      <c r="L502" s="232"/>
      <c r="M502" s="345">
        <v>0</v>
      </c>
      <c r="N502" s="345">
        <v>0</v>
      </c>
      <c r="O502" s="345">
        <v>0</v>
      </c>
      <c r="P502" s="345">
        <v>0</v>
      </c>
      <c r="Q502" s="232"/>
      <c r="R502" s="345">
        <v>55108</v>
      </c>
      <c r="S502" s="345">
        <v>47235</v>
      </c>
      <c r="T502" s="345">
        <v>102343</v>
      </c>
    </row>
    <row r="503" spans="1:20">
      <c r="A503" s="351">
        <v>95121</v>
      </c>
      <c r="B503" s="344" t="s">
        <v>1197</v>
      </c>
      <c r="C503" s="235">
        <v>4.6769999999999998E-4</v>
      </c>
      <c r="D503" s="235">
        <v>5.2059999999999997E-4</v>
      </c>
      <c r="E503" s="345">
        <v>1277252</v>
      </c>
      <c r="F503" s="232"/>
      <c r="G503" s="345">
        <v>218698</v>
      </c>
      <c r="H503" s="345">
        <v>31154</v>
      </c>
      <c r="I503" s="345">
        <v>208171</v>
      </c>
      <c r="J503" s="345">
        <v>6851</v>
      </c>
      <c r="K503" s="345">
        <v>464874</v>
      </c>
      <c r="L503" s="232"/>
      <c r="M503" s="345">
        <v>0</v>
      </c>
      <c r="N503" s="345">
        <v>0</v>
      </c>
      <c r="O503" s="345">
        <v>42071</v>
      </c>
      <c r="P503" s="345">
        <v>42071</v>
      </c>
      <c r="Q503" s="232"/>
      <c r="R503" s="345">
        <v>568963</v>
      </c>
      <c r="S503" s="345">
        <v>-4120</v>
      </c>
      <c r="T503" s="345">
        <v>564843</v>
      </c>
    </row>
    <row r="504" spans="1:20">
      <c r="A504" s="351">
        <v>95122</v>
      </c>
      <c r="B504" s="344" t="s">
        <v>1198</v>
      </c>
      <c r="C504" s="235">
        <v>1.5400000000000002E-5</v>
      </c>
      <c r="D504" s="235">
        <v>6.6000000000000003E-6</v>
      </c>
      <c r="E504" s="345">
        <v>42056</v>
      </c>
      <c r="F504" s="232"/>
      <c r="G504" s="345">
        <v>7201</v>
      </c>
      <c r="H504" s="345">
        <v>1026</v>
      </c>
      <c r="I504" s="345">
        <v>6854</v>
      </c>
      <c r="J504" s="345">
        <v>11248</v>
      </c>
      <c r="K504" s="345">
        <v>26329</v>
      </c>
      <c r="L504" s="232"/>
      <c r="M504" s="345">
        <v>0</v>
      </c>
      <c r="N504" s="345">
        <v>0</v>
      </c>
      <c r="O504" s="345">
        <v>0</v>
      </c>
      <c r="P504" s="345">
        <v>0</v>
      </c>
      <c r="Q504" s="232"/>
      <c r="R504" s="345">
        <v>18734</v>
      </c>
      <c r="S504" s="345">
        <v>3572</v>
      </c>
      <c r="T504" s="345">
        <v>22306</v>
      </c>
    </row>
    <row r="505" spans="1:20">
      <c r="A505" s="351">
        <v>95123</v>
      </c>
      <c r="B505" s="344" t="s">
        <v>1199</v>
      </c>
      <c r="C505" s="235">
        <v>4.8999999999999998E-5</v>
      </c>
      <c r="D505" s="235">
        <v>5.41E-5</v>
      </c>
      <c r="E505" s="345">
        <v>133815</v>
      </c>
      <c r="F505" s="232"/>
      <c r="G505" s="345">
        <v>22913</v>
      </c>
      <c r="H505" s="345">
        <v>3264</v>
      </c>
      <c r="I505" s="345">
        <v>21810</v>
      </c>
      <c r="J505" s="345">
        <v>2564</v>
      </c>
      <c r="K505" s="345">
        <v>50551</v>
      </c>
      <c r="L505" s="232"/>
      <c r="M505" s="345">
        <v>0</v>
      </c>
      <c r="N505" s="345">
        <v>0</v>
      </c>
      <c r="O505" s="345">
        <v>1651</v>
      </c>
      <c r="P505" s="345">
        <v>1651</v>
      </c>
      <c r="Q505" s="232"/>
      <c r="R505" s="345">
        <v>59609</v>
      </c>
      <c r="S505" s="345">
        <v>2683</v>
      </c>
      <c r="T505" s="345">
        <v>62292</v>
      </c>
    </row>
    <row r="506" spans="1:20">
      <c r="A506" s="351">
        <v>95131</v>
      </c>
      <c r="B506" s="344" t="s">
        <v>1200</v>
      </c>
      <c r="C506" s="235">
        <v>1.7905E-3</v>
      </c>
      <c r="D506" s="235">
        <v>1.7581000000000001E-3</v>
      </c>
      <c r="E506" s="345">
        <v>4889716</v>
      </c>
      <c r="F506" s="232"/>
      <c r="G506" s="345">
        <v>837243</v>
      </c>
      <c r="H506" s="345">
        <v>119267</v>
      </c>
      <c r="I506" s="345">
        <v>796943</v>
      </c>
      <c r="J506" s="345">
        <v>67539</v>
      </c>
      <c r="K506" s="345">
        <v>1820992</v>
      </c>
      <c r="L506" s="232"/>
      <c r="M506" s="345">
        <v>0</v>
      </c>
      <c r="N506" s="345">
        <v>0</v>
      </c>
      <c r="O506" s="345">
        <v>0</v>
      </c>
      <c r="P506" s="345">
        <v>0</v>
      </c>
      <c r="Q506" s="232"/>
      <c r="R506" s="345">
        <v>2178167</v>
      </c>
      <c r="S506" s="345">
        <v>41149</v>
      </c>
      <c r="T506" s="345">
        <v>2219316</v>
      </c>
    </row>
    <row r="507" spans="1:20">
      <c r="A507" s="351">
        <v>95141</v>
      </c>
      <c r="B507" s="344" t="s">
        <v>1201</v>
      </c>
      <c r="C507" s="235">
        <v>3.6099999999999999E-4</v>
      </c>
      <c r="D507" s="235">
        <v>3.2400000000000001E-4</v>
      </c>
      <c r="E507" s="345">
        <v>985863</v>
      </c>
      <c r="F507" s="232"/>
      <c r="G507" s="345">
        <v>168805</v>
      </c>
      <c r="H507" s="345">
        <v>24047</v>
      </c>
      <c r="I507" s="345">
        <v>160679</v>
      </c>
      <c r="J507" s="345">
        <v>20356</v>
      </c>
      <c r="K507" s="345">
        <v>373887</v>
      </c>
      <c r="L507" s="232"/>
      <c r="M507" s="345">
        <v>0</v>
      </c>
      <c r="N507" s="345">
        <v>0</v>
      </c>
      <c r="O507" s="345">
        <v>10967</v>
      </c>
      <c r="P507" s="345">
        <v>10967</v>
      </c>
      <c r="Q507" s="232"/>
      <c r="R507" s="345">
        <v>439161</v>
      </c>
      <c r="S507" s="345">
        <v>-7446</v>
      </c>
      <c r="T507" s="345">
        <v>431715</v>
      </c>
    </row>
    <row r="508" spans="1:20">
      <c r="A508" s="351">
        <v>95151</v>
      </c>
      <c r="B508" s="344" t="s">
        <v>1202</v>
      </c>
      <c r="C508" s="235">
        <v>1.1010000000000001E-4</v>
      </c>
      <c r="D508" s="235">
        <v>1.159E-4</v>
      </c>
      <c r="E508" s="345">
        <v>300675</v>
      </c>
      <c r="F508" s="232"/>
      <c r="G508" s="345">
        <v>51483</v>
      </c>
      <c r="H508" s="345">
        <v>7334</v>
      </c>
      <c r="I508" s="345">
        <v>49005</v>
      </c>
      <c r="J508" s="345">
        <v>187</v>
      </c>
      <c r="K508" s="345">
        <v>108009</v>
      </c>
      <c r="L508" s="232"/>
      <c r="M508" s="345">
        <v>0</v>
      </c>
      <c r="N508" s="345">
        <v>0</v>
      </c>
      <c r="O508" s="345">
        <v>10229</v>
      </c>
      <c r="P508" s="345">
        <v>10229</v>
      </c>
      <c r="Q508" s="232"/>
      <c r="R508" s="345">
        <v>133938</v>
      </c>
      <c r="S508" s="345">
        <v>-4950</v>
      </c>
      <c r="T508" s="345">
        <v>128988</v>
      </c>
    </row>
    <row r="509" spans="1:20">
      <c r="A509" s="351">
        <v>95161</v>
      </c>
      <c r="B509" s="344" t="s">
        <v>1203</v>
      </c>
      <c r="C509" s="235">
        <v>7.1199999999999996E-5</v>
      </c>
      <c r="D509" s="235">
        <v>6.9200000000000002E-5</v>
      </c>
      <c r="E509" s="345">
        <v>194442</v>
      </c>
      <c r="F509" s="232"/>
      <c r="G509" s="345">
        <v>33293</v>
      </c>
      <c r="H509" s="345">
        <v>4743</v>
      </c>
      <c r="I509" s="345">
        <v>31691</v>
      </c>
      <c r="J509" s="345">
        <v>11881</v>
      </c>
      <c r="K509" s="345">
        <v>81608</v>
      </c>
      <c r="L509" s="232"/>
      <c r="M509" s="345">
        <v>0</v>
      </c>
      <c r="N509" s="345">
        <v>0</v>
      </c>
      <c r="O509" s="345">
        <v>0</v>
      </c>
      <c r="P509" s="345">
        <v>0</v>
      </c>
      <c r="Q509" s="232"/>
      <c r="R509" s="345">
        <v>86616</v>
      </c>
      <c r="S509" s="345">
        <v>4042</v>
      </c>
      <c r="T509" s="345">
        <v>90658</v>
      </c>
    </row>
    <row r="510" spans="1:20">
      <c r="A510" s="351">
        <v>95171</v>
      </c>
      <c r="B510" s="344" t="s">
        <v>1204</v>
      </c>
      <c r="C510" s="235">
        <v>1.089E-4</v>
      </c>
      <c r="D510" s="235">
        <v>8.8599999999999999E-5</v>
      </c>
      <c r="E510" s="345">
        <v>297397</v>
      </c>
      <c r="F510" s="232"/>
      <c r="G510" s="345">
        <v>50922</v>
      </c>
      <c r="H510" s="345">
        <v>7254</v>
      </c>
      <c r="I510" s="345">
        <v>48471</v>
      </c>
      <c r="J510" s="345">
        <v>19879</v>
      </c>
      <c r="K510" s="345">
        <v>126526</v>
      </c>
      <c r="L510" s="232"/>
      <c r="M510" s="345">
        <v>0</v>
      </c>
      <c r="N510" s="345">
        <v>0</v>
      </c>
      <c r="O510" s="345">
        <v>10913</v>
      </c>
      <c r="P510" s="345">
        <v>10913</v>
      </c>
      <c r="Q510" s="232"/>
      <c r="R510" s="345">
        <v>132478</v>
      </c>
      <c r="S510" s="345">
        <v>2957</v>
      </c>
      <c r="T510" s="345">
        <v>135435</v>
      </c>
    </row>
    <row r="511" spans="1:20">
      <c r="A511" s="351">
        <v>95181</v>
      </c>
      <c r="B511" s="344" t="s">
        <v>1205</v>
      </c>
      <c r="C511" s="235">
        <v>5.9700000000000001E-5</v>
      </c>
      <c r="D511" s="235">
        <v>7.7899999999999996E-5</v>
      </c>
      <c r="E511" s="345">
        <v>163036</v>
      </c>
      <c r="F511" s="232"/>
      <c r="G511" s="345">
        <v>27916</v>
      </c>
      <c r="H511" s="345">
        <v>3977</v>
      </c>
      <c r="I511" s="345">
        <v>26572</v>
      </c>
      <c r="J511" s="345">
        <v>0</v>
      </c>
      <c r="K511" s="345">
        <v>58465</v>
      </c>
      <c r="L511" s="232"/>
      <c r="M511" s="345">
        <v>0</v>
      </c>
      <c r="N511" s="345">
        <v>0</v>
      </c>
      <c r="O511" s="345">
        <v>18867</v>
      </c>
      <c r="P511" s="345">
        <v>18867</v>
      </c>
      <c r="Q511" s="232"/>
      <c r="R511" s="345">
        <v>72626</v>
      </c>
      <c r="S511" s="345">
        <v>-6273</v>
      </c>
      <c r="T511" s="345">
        <v>66353</v>
      </c>
    </row>
    <row r="512" spans="1:20">
      <c r="A512" s="351">
        <v>95191</v>
      </c>
      <c r="B512" s="344" t="s">
        <v>1206</v>
      </c>
      <c r="C512" s="235">
        <v>7.3800000000000005E-5</v>
      </c>
      <c r="D512" s="235">
        <v>4.2599999999999999E-5</v>
      </c>
      <c r="E512" s="345">
        <v>201542</v>
      </c>
      <c r="F512" s="232"/>
      <c r="G512" s="345">
        <v>34509</v>
      </c>
      <c r="H512" s="345">
        <v>4916</v>
      </c>
      <c r="I512" s="345">
        <v>32848</v>
      </c>
      <c r="J512" s="345">
        <v>37441</v>
      </c>
      <c r="K512" s="345">
        <v>109714</v>
      </c>
      <c r="L512" s="232"/>
      <c r="M512" s="345">
        <v>0</v>
      </c>
      <c r="N512" s="345">
        <v>0</v>
      </c>
      <c r="O512" s="345">
        <v>1591</v>
      </c>
      <c r="P512" s="345">
        <v>1591</v>
      </c>
      <c r="Q512" s="232"/>
      <c r="R512" s="345">
        <v>89779</v>
      </c>
      <c r="S512" s="345">
        <v>10708</v>
      </c>
      <c r="T512" s="345">
        <v>100487</v>
      </c>
    </row>
    <row r="513" spans="1:20">
      <c r="A513" s="351">
        <v>95201</v>
      </c>
      <c r="B513" s="344" t="s">
        <v>1207</v>
      </c>
      <c r="C513" s="235">
        <v>6.5070000000000004E-4</v>
      </c>
      <c r="D513" s="235">
        <v>7.0259999999999995E-4</v>
      </c>
      <c r="E513" s="345">
        <v>1777011</v>
      </c>
      <c r="F513" s="232"/>
      <c r="G513" s="345">
        <v>304269</v>
      </c>
      <c r="H513" s="345">
        <v>43344</v>
      </c>
      <c r="I513" s="345">
        <v>289623</v>
      </c>
      <c r="J513" s="345">
        <v>1991</v>
      </c>
      <c r="K513" s="345">
        <v>639227</v>
      </c>
      <c r="L513" s="232"/>
      <c r="M513" s="345">
        <v>0</v>
      </c>
      <c r="N513" s="345">
        <v>0</v>
      </c>
      <c r="O513" s="345">
        <v>57108</v>
      </c>
      <c r="P513" s="345">
        <v>57108</v>
      </c>
      <c r="Q513" s="232"/>
      <c r="R513" s="345">
        <v>791585</v>
      </c>
      <c r="S513" s="345">
        <v>-22583</v>
      </c>
      <c r="T513" s="345">
        <v>769002</v>
      </c>
    </row>
    <row r="514" spans="1:20" ht="14.25" customHeight="1">
      <c r="A514" s="351">
        <v>95204</v>
      </c>
      <c r="B514" s="344" t="s">
        <v>1208</v>
      </c>
      <c r="C514" s="235">
        <v>5.6999999999999996E-6</v>
      </c>
      <c r="D514" s="235">
        <v>1.06E-5</v>
      </c>
      <c r="E514" s="345">
        <v>15566</v>
      </c>
      <c r="F514" s="232"/>
      <c r="G514" s="345">
        <v>2665</v>
      </c>
      <c r="H514" s="345">
        <v>380</v>
      </c>
      <c r="I514" s="345">
        <v>2537</v>
      </c>
      <c r="J514" s="345">
        <v>912</v>
      </c>
      <c r="K514" s="345">
        <v>6494</v>
      </c>
      <c r="L514" s="232"/>
      <c r="M514" s="345">
        <v>0</v>
      </c>
      <c r="N514" s="345">
        <v>0</v>
      </c>
      <c r="O514" s="345">
        <v>2255</v>
      </c>
      <c r="P514" s="345">
        <v>2255</v>
      </c>
      <c r="Q514" s="232"/>
      <c r="R514" s="345">
        <v>6934</v>
      </c>
      <c r="S514" s="345">
        <v>-402</v>
      </c>
      <c r="T514" s="345">
        <v>6532</v>
      </c>
    </row>
    <row r="515" spans="1:20" ht="14.25" customHeight="1">
      <c r="A515" s="351">
        <v>95205</v>
      </c>
      <c r="B515" s="344" t="s">
        <v>1209</v>
      </c>
      <c r="C515" s="235">
        <v>2.7E-6</v>
      </c>
      <c r="D515" s="235">
        <v>1.7E-6</v>
      </c>
      <c r="E515" s="345">
        <v>7373</v>
      </c>
      <c r="F515" s="232"/>
      <c r="G515" s="345">
        <v>1263</v>
      </c>
      <c r="H515" s="345">
        <v>180</v>
      </c>
      <c r="I515" s="345">
        <v>1202</v>
      </c>
      <c r="J515" s="345">
        <v>1922</v>
      </c>
      <c r="K515" s="345">
        <v>4567</v>
      </c>
      <c r="L515" s="232"/>
      <c r="M515" s="345">
        <v>0</v>
      </c>
      <c r="N515" s="345">
        <v>0</v>
      </c>
      <c r="O515" s="345">
        <v>712</v>
      </c>
      <c r="P515" s="345">
        <v>712</v>
      </c>
      <c r="Q515" s="232"/>
      <c r="R515" s="345">
        <v>3285</v>
      </c>
      <c r="S515" s="345">
        <v>396</v>
      </c>
      <c r="T515" s="345">
        <v>3681</v>
      </c>
    </row>
    <row r="516" spans="1:20">
      <c r="A516" s="351">
        <v>95211</v>
      </c>
      <c r="B516" s="344" t="s">
        <v>1210</v>
      </c>
      <c r="C516" s="235">
        <v>5.1000000000000003E-6</v>
      </c>
      <c r="D516" s="235">
        <v>5.4999999999999999E-6</v>
      </c>
      <c r="E516" s="345">
        <v>13928</v>
      </c>
      <c r="F516" s="232"/>
      <c r="G516" s="345">
        <v>2385</v>
      </c>
      <c r="H516" s="345">
        <v>340</v>
      </c>
      <c r="I516" s="345">
        <v>2270</v>
      </c>
      <c r="J516" s="345">
        <v>506</v>
      </c>
      <c r="K516" s="345">
        <v>5501</v>
      </c>
      <c r="L516" s="232"/>
      <c r="M516" s="345">
        <v>0</v>
      </c>
      <c r="N516" s="345">
        <v>0</v>
      </c>
      <c r="O516" s="345">
        <v>1284</v>
      </c>
      <c r="P516" s="345">
        <v>1284</v>
      </c>
      <c r="Q516" s="232"/>
      <c r="R516" s="345">
        <v>6204</v>
      </c>
      <c r="S516" s="345">
        <v>52</v>
      </c>
      <c r="T516" s="345">
        <v>6256</v>
      </c>
    </row>
    <row r="517" spans="1:20">
      <c r="A517" s="351">
        <v>95221</v>
      </c>
      <c r="B517" s="344" t="s">
        <v>1211</v>
      </c>
      <c r="C517" s="235">
        <v>5.4400000000000001E-5</v>
      </c>
      <c r="D517" s="235">
        <v>5.7000000000000003E-5</v>
      </c>
      <c r="E517" s="345">
        <v>148562</v>
      </c>
      <c r="F517" s="232"/>
      <c r="G517" s="345">
        <v>25438</v>
      </c>
      <c r="H517" s="345">
        <v>3624</v>
      </c>
      <c r="I517" s="345">
        <v>24213</v>
      </c>
      <c r="J517" s="345">
        <v>14008</v>
      </c>
      <c r="K517" s="345">
        <v>67283</v>
      </c>
      <c r="L517" s="232"/>
      <c r="M517" s="345">
        <v>0</v>
      </c>
      <c r="N517" s="345">
        <v>0</v>
      </c>
      <c r="O517" s="345">
        <v>8634</v>
      </c>
      <c r="P517" s="345">
        <v>8634</v>
      </c>
      <c r="Q517" s="232"/>
      <c r="R517" s="345">
        <v>66178</v>
      </c>
      <c r="S517" s="345">
        <v>204</v>
      </c>
      <c r="T517" s="345">
        <v>66382</v>
      </c>
    </row>
    <row r="518" spans="1:20">
      <c r="A518" s="351">
        <v>95301</v>
      </c>
      <c r="B518" s="344" t="s">
        <v>1212</v>
      </c>
      <c r="C518" s="235">
        <v>2.1561000000000002E-3</v>
      </c>
      <c r="D518" s="235">
        <v>2.3362000000000001E-3</v>
      </c>
      <c r="E518" s="345">
        <v>5888141</v>
      </c>
      <c r="F518" s="232"/>
      <c r="G518" s="345">
        <v>1008199</v>
      </c>
      <c r="H518" s="345">
        <v>143620</v>
      </c>
      <c r="I518" s="345">
        <v>959669</v>
      </c>
      <c r="J518" s="345">
        <v>15791</v>
      </c>
      <c r="K518" s="345">
        <v>2127279</v>
      </c>
      <c r="L518" s="232"/>
      <c r="M518" s="345">
        <v>0</v>
      </c>
      <c r="N518" s="345">
        <v>0</v>
      </c>
      <c r="O518" s="345">
        <v>104311</v>
      </c>
      <c r="P518" s="345">
        <v>104311</v>
      </c>
      <c r="Q518" s="232"/>
      <c r="R518" s="345">
        <v>2622924</v>
      </c>
      <c r="S518" s="345">
        <v>-674</v>
      </c>
      <c r="T518" s="345">
        <v>2622250</v>
      </c>
    </row>
    <row r="519" spans="1:20">
      <c r="A519" s="351">
        <v>95311</v>
      </c>
      <c r="B519" s="344" t="s">
        <v>1213</v>
      </c>
      <c r="C519" s="235">
        <v>2.578E-3</v>
      </c>
      <c r="D519" s="235">
        <v>2.6302999999999999E-3</v>
      </c>
      <c r="E519" s="345">
        <v>7040317</v>
      </c>
      <c r="F519" s="232"/>
      <c r="G519" s="345">
        <v>1205481</v>
      </c>
      <c r="H519" s="345">
        <v>171723</v>
      </c>
      <c r="I519" s="345">
        <v>1147455</v>
      </c>
      <c r="J519" s="345">
        <v>27137</v>
      </c>
      <c r="K519" s="345">
        <v>2551796</v>
      </c>
      <c r="L519" s="232"/>
      <c r="M519" s="345">
        <v>0</v>
      </c>
      <c r="N519" s="345">
        <v>0</v>
      </c>
      <c r="O519" s="345">
        <v>27206</v>
      </c>
      <c r="P519" s="345">
        <v>27206</v>
      </c>
      <c r="Q519" s="232"/>
      <c r="R519" s="345">
        <v>3136171</v>
      </c>
      <c r="S519" s="345">
        <v>-17181</v>
      </c>
      <c r="T519" s="345">
        <v>3118990</v>
      </c>
    </row>
    <row r="520" spans="1:20">
      <c r="A520" s="351">
        <v>95317</v>
      </c>
      <c r="B520" s="344" t="s">
        <v>1214</v>
      </c>
      <c r="C520" s="235">
        <v>4.1999999999999998E-5</v>
      </c>
      <c r="D520" s="235">
        <v>4.32E-5</v>
      </c>
      <c r="E520" s="345">
        <v>114699</v>
      </c>
      <c r="F520" s="232"/>
      <c r="G520" s="345">
        <v>19639</v>
      </c>
      <c r="H520" s="345">
        <v>2798</v>
      </c>
      <c r="I520" s="345">
        <v>18694</v>
      </c>
      <c r="J520" s="345">
        <v>7683</v>
      </c>
      <c r="K520" s="345">
        <v>48814</v>
      </c>
      <c r="L520" s="232"/>
      <c r="M520" s="345">
        <v>0</v>
      </c>
      <c r="N520" s="345">
        <v>0</v>
      </c>
      <c r="O520" s="345">
        <v>0</v>
      </c>
      <c r="P520" s="345">
        <v>0</v>
      </c>
      <c r="Q520" s="232"/>
      <c r="R520" s="345">
        <v>51094</v>
      </c>
      <c r="S520" s="345">
        <v>3839</v>
      </c>
      <c r="T520" s="345">
        <v>54933</v>
      </c>
    </row>
    <row r="521" spans="1:20">
      <c r="A521" s="351">
        <v>95321</v>
      </c>
      <c r="B521" s="344" t="s">
        <v>1215</v>
      </c>
      <c r="C521" s="235">
        <v>4.85E-5</v>
      </c>
      <c r="D521" s="235">
        <v>5.1999999999999997E-5</v>
      </c>
      <c r="E521" s="345">
        <v>132450</v>
      </c>
      <c r="F521" s="232"/>
      <c r="G521" s="345">
        <v>22679</v>
      </c>
      <c r="H521" s="345">
        <v>3230</v>
      </c>
      <c r="I521" s="345">
        <v>21587</v>
      </c>
      <c r="J521" s="345">
        <v>4906</v>
      </c>
      <c r="K521" s="345">
        <v>52402</v>
      </c>
      <c r="L521" s="232"/>
      <c r="M521" s="345">
        <v>0</v>
      </c>
      <c r="N521" s="345">
        <v>0</v>
      </c>
      <c r="O521" s="345">
        <v>1078</v>
      </c>
      <c r="P521" s="345">
        <v>1078</v>
      </c>
      <c r="Q521" s="232"/>
      <c r="R521" s="345">
        <v>59001</v>
      </c>
      <c r="S521" s="345">
        <v>2205</v>
      </c>
      <c r="T521" s="345">
        <v>61206</v>
      </c>
    </row>
    <row r="522" spans="1:20">
      <c r="A522" s="351">
        <v>95401</v>
      </c>
      <c r="B522" s="344" t="s">
        <v>1216</v>
      </c>
      <c r="C522" s="235">
        <v>2.9023E-3</v>
      </c>
      <c r="D522" s="235">
        <v>2.8792000000000002E-3</v>
      </c>
      <c r="E522" s="345">
        <v>7925955</v>
      </c>
      <c r="F522" s="232"/>
      <c r="G522" s="345">
        <v>1357124</v>
      </c>
      <c r="H522" s="345">
        <v>193325</v>
      </c>
      <c r="I522" s="345">
        <v>1291799</v>
      </c>
      <c r="J522" s="345">
        <v>4785</v>
      </c>
      <c r="K522" s="345">
        <v>2847033</v>
      </c>
      <c r="L522" s="232"/>
      <c r="M522" s="345">
        <v>0</v>
      </c>
      <c r="N522" s="345">
        <v>0</v>
      </c>
      <c r="O522" s="345">
        <v>103111</v>
      </c>
      <c r="P522" s="345">
        <v>103111</v>
      </c>
      <c r="Q522" s="232"/>
      <c r="R522" s="345">
        <v>3530686</v>
      </c>
      <c r="S522" s="345">
        <v>-27716</v>
      </c>
      <c r="T522" s="345">
        <v>3502970</v>
      </c>
    </row>
    <row r="523" spans="1:20">
      <c r="A523" s="351">
        <v>95404</v>
      </c>
      <c r="B523" s="344" t="s">
        <v>1217</v>
      </c>
      <c r="C523" s="235">
        <v>4.4799999999999998E-5</v>
      </c>
      <c r="D523" s="235">
        <v>5.0000000000000002E-5</v>
      </c>
      <c r="E523" s="345">
        <v>122345</v>
      </c>
      <c r="F523" s="232"/>
      <c r="G523" s="345">
        <v>20949</v>
      </c>
      <c r="H523" s="345">
        <v>2984</v>
      </c>
      <c r="I523" s="345">
        <v>19940</v>
      </c>
      <c r="J523" s="345">
        <v>1478</v>
      </c>
      <c r="K523" s="345">
        <v>45351</v>
      </c>
      <c r="L523" s="232"/>
      <c r="M523" s="345">
        <v>0</v>
      </c>
      <c r="N523" s="345">
        <v>0</v>
      </c>
      <c r="O523" s="345">
        <v>6508</v>
      </c>
      <c r="P523" s="345">
        <v>6508</v>
      </c>
      <c r="Q523" s="232"/>
      <c r="R523" s="345">
        <v>54500</v>
      </c>
      <c r="S523" s="345">
        <v>-102</v>
      </c>
      <c r="T523" s="345">
        <v>54398</v>
      </c>
    </row>
    <row r="524" spans="1:20">
      <c r="A524" s="351">
        <v>95405</v>
      </c>
      <c r="B524" s="344" t="s">
        <v>1218</v>
      </c>
      <c r="C524" s="235">
        <v>3.3399999999999999E-5</v>
      </c>
      <c r="D524" s="235">
        <v>1.7600000000000001E-5</v>
      </c>
      <c r="E524" s="345">
        <v>91213</v>
      </c>
      <c r="F524" s="232"/>
      <c r="G524" s="345">
        <v>15618</v>
      </c>
      <c r="H524" s="345">
        <v>2225</v>
      </c>
      <c r="I524" s="345">
        <v>14866</v>
      </c>
      <c r="J524" s="345">
        <v>25766</v>
      </c>
      <c r="K524" s="345">
        <v>58475</v>
      </c>
      <c r="L524" s="232"/>
      <c r="M524" s="345">
        <v>0</v>
      </c>
      <c r="N524" s="345">
        <v>0</v>
      </c>
      <c r="O524" s="345">
        <v>0</v>
      </c>
      <c r="P524" s="345">
        <v>0</v>
      </c>
      <c r="Q524" s="232"/>
      <c r="R524" s="345">
        <v>40632</v>
      </c>
      <c r="S524" s="345">
        <v>10805</v>
      </c>
      <c r="T524" s="345">
        <v>51437</v>
      </c>
    </row>
    <row r="525" spans="1:20">
      <c r="A525" s="351">
        <v>95411</v>
      </c>
      <c r="B525" s="344" t="s">
        <v>1219</v>
      </c>
      <c r="C525" s="235">
        <v>2.0365000000000001E-3</v>
      </c>
      <c r="D525" s="235">
        <v>2.1646E-3</v>
      </c>
      <c r="E525" s="345">
        <v>5561523</v>
      </c>
      <c r="F525" s="232"/>
      <c r="G525" s="345">
        <v>952274</v>
      </c>
      <c r="H525" s="345">
        <v>135653</v>
      </c>
      <c r="I525" s="345">
        <v>906436</v>
      </c>
      <c r="J525" s="345">
        <v>3600</v>
      </c>
      <c r="K525" s="345">
        <v>1997963</v>
      </c>
      <c r="L525" s="232"/>
      <c r="M525" s="345">
        <v>0</v>
      </c>
      <c r="N525" s="345">
        <v>0</v>
      </c>
      <c r="O525" s="345">
        <v>80802</v>
      </c>
      <c r="P525" s="345">
        <v>80802</v>
      </c>
      <c r="Q525" s="232"/>
      <c r="R525" s="345">
        <v>2477429</v>
      </c>
      <c r="S525" s="345">
        <v>-20706</v>
      </c>
      <c r="T525" s="345">
        <v>2456723</v>
      </c>
    </row>
    <row r="526" spans="1:20">
      <c r="A526" s="351">
        <v>95413</v>
      </c>
      <c r="B526" s="344" t="s">
        <v>3684</v>
      </c>
      <c r="C526" s="235">
        <v>2.4610000000000002E-4</v>
      </c>
      <c r="D526" s="235">
        <v>2.6879999999999997E-4</v>
      </c>
      <c r="E526" s="345">
        <v>672080</v>
      </c>
      <c r="F526" s="232"/>
      <c r="G526" s="345">
        <v>115077</v>
      </c>
      <c r="H526" s="345">
        <v>16393</v>
      </c>
      <c r="I526" s="345">
        <v>109538</v>
      </c>
      <c r="J526" s="345">
        <v>84779</v>
      </c>
      <c r="K526" s="345">
        <v>325787</v>
      </c>
      <c r="L526" s="232"/>
      <c r="M526" s="345">
        <v>0</v>
      </c>
      <c r="N526" s="345">
        <v>0</v>
      </c>
      <c r="O526" s="345">
        <v>13714</v>
      </c>
      <c r="P526" s="345">
        <v>13714</v>
      </c>
      <c r="Q526" s="232"/>
      <c r="R526" s="345">
        <v>299384</v>
      </c>
      <c r="S526" s="345">
        <v>79665</v>
      </c>
      <c r="T526" s="345">
        <v>379049</v>
      </c>
    </row>
    <row r="527" spans="1:20">
      <c r="A527" s="351">
        <v>95415</v>
      </c>
      <c r="B527" s="344" t="s">
        <v>3685</v>
      </c>
      <c r="C527" s="235">
        <v>5.7599999999999997E-5</v>
      </c>
      <c r="D527" s="235">
        <v>7.1099999999999994E-5</v>
      </c>
      <c r="E527" s="345">
        <v>157301</v>
      </c>
      <c r="F527" s="232"/>
      <c r="G527" s="345">
        <v>26934</v>
      </c>
      <c r="H527" s="345">
        <v>3837</v>
      </c>
      <c r="I527" s="345">
        <v>25637</v>
      </c>
      <c r="J527" s="345">
        <v>2357</v>
      </c>
      <c r="K527" s="345">
        <v>58765</v>
      </c>
      <c r="L527" s="232"/>
      <c r="M527" s="345">
        <v>0</v>
      </c>
      <c r="N527" s="345">
        <v>0</v>
      </c>
      <c r="O527" s="345">
        <v>16202</v>
      </c>
      <c r="P527" s="345">
        <v>16202</v>
      </c>
      <c r="Q527" s="232"/>
      <c r="R527" s="345">
        <v>70071</v>
      </c>
      <c r="S527" s="345">
        <v>-6841</v>
      </c>
      <c r="T527" s="345">
        <v>63230</v>
      </c>
    </row>
    <row r="528" spans="1:20">
      <c r="A528" s="351">
        <v>95421</v>
      </c>
      <c r="B528" s="344" t="s">
        <v>1223</v>
      </c>
      <c r="C528" s="235">
        <v>3.6699999999999998E-5</v>
      </c>
      <c r="D528" s="235">
        <v>3.8300000000000003E-5</v>
      </c>
      <c r="E528" s="345">
        <v>100225</v>
      </c>
      <c r="F528" s="232"/>
      <c r="G528" s="345">
        <v>17161</v>
      </c>
      <c r="H528" s="345">
        <v>2445</v>
      </c>
      <c r="I528" s="345">
        <v>16335</v>
      </c>
      <c r="J528" s="345">
        <v>788</v>
      </c>
      <c r="K528" s="345">
        <v>36729</v>
      </c>
      <c r="L528" s="232"/>
      <c r="M528" s="345">
        <v>0</v>
      </c>
      <c r="N528" s="345">
        <v>0</v>
      </c>
      <c r="O528" s="345">
        <v>1512</v>
      </c>
      <c r="P528" s="345">
        <v>1512</v>
      </c>
      <c r="Q528" s="232"/>
      <c r="R528" s="345">
        <v>44646</v>
      </c>
      <c r="S528" s="345">
        <v>-2640</v>
      </c>
      <c r="T528" s="345">
        <v>42006</v>
      </c>
    </row>
    <row r="529" spans="1:20">
      <c r="A529" s="351">
        <v>95431</v>
      </c>
      <c r="B529" s="344" t="s">
        <v>1224</v>
      </c>
      <c r="C529" s="235">
        <v>1.3689999999999999E-4</v>
      </c>
      <c r="D529" s="235">
        <v>1.4630000000000001E-4</v>
      </c>
      <c r="E529" s="345">
        <v>373863</v>
      </c>
      <c r="F529" s="232"/>
      <c r="G529" s="345">
        <v>64015</v>
      </c>
      <c r="H529" s="345">
        <v>9119</v>
      </c>
      <c r="I529" s="345">
        <v>60934</v>
      </c>
      <c r="J529" s="345">
        <v>0</v>
      </c>
      <c r="K529" s="345">
        <v>134068</v>
      </c>
      <c r="L529" s="232"/>
      <c r="M529" s="345">
        <v>0</v>
      </c>
      <c r="N529" s="345">
        <v>0</v>
      </c>
      <c r="O529" s="345">
        <v>31578</v>
      </c>
      <c r="P529" s="345">
        <v>31578</v>
      </c>
      <c r="Q529" s="232"/>
      <c r="R529" s="345">
        <v>166541</v>
      </c>
      <c r="S529" s="345">
        <v>-14732</v>
      </c>
      <c r="T529" s="345">
        <v>151809</v>
      </c>
    </row>
    <row r="530" spans="1:20">
      <c r="A530" s="351">
        <v>95501</v>
      </c>
      <c r="B530" s="344" t="s">
        <v>1225</v>
      </c>
      <c r="C530" s="235">
        <v>5.0283999999999997E-3</v>
      </c>
      <c r="D530" s="235">
        <v>4.8900999999999997E-3</v>
      </c>
      <c r="E530" s="345">
        <v>13732168</v>
      </c>
      <c r="F530" s="232"/>
      <c r="G530" s="345">
        <v>2351295</v>
      </c>
      <c r="H530" s="345">
        <v>334947</v>
      </c>
      <c r="I530" s="345">
        <v>2238116</v>
      </c>
      <c r="J530" s="345">
        <v>116158</v>
      </c>
      <c r="K530" s="345">
        <v>5040516</v>
      </c>
      <c r="L530" s="232"/>
      <c r="M530" s="345">
        <v>0</v>
      </c>
      <c r="N530" s="345">
        <v>0</v>
      </c>
      <c r="O530" s="345">
        <v>87326</v>
      </c>
      <c r="P530" s="345">
        <v>87326</v>
      </c>
      <c r="Q530" s="232"/>
      <c r="R530" s="345">
        <v>6117114</v>
      </c>
      <c r="S530" s="345">
        <v>-24913</v>
      </c>
      <c r="T530" s="345">
        <v>6092201</v>
      </c>
    </row>
    <row r="531" spans="1:20">
      <c r="A531" s="351">
        <v>95504</v>
      </c>
      <c r="B531" s="344" t="s">
        <v>1226</v>
      </c>
      <c r="C531" s="235">
        <v>1.49E-5</v>
      </c>
      <c r="D531" s="235">
        <v>8.8000000000000004E-6</v>
      </c>
      <c r="E531" s="345">
        <v>40691</v>
      </c>
      <c r="F531" s="232"/>
      <c r="G531" s="345">
        <v>6967</v>
      </c>
      <c r="H531" s="345">
        <v>993</v>
      </c>
      <c r="I531" s="345">
        <v>6632</v>
      </c>
      <c r="J531" s="345">
        <v>16771</v>
      </c>
      <c r="K531" s="345">
        <v>31363</v>
      </c>
      <c r="L531" s="232"/>
      <c r="M531" s="345">
        <v>0</v>
      </c>
      <c r="N531" s="345">
        <v>0</v>
      </c>
      <c r="O531" s="345">
        <v>0</v>
      </c>
      <c r="P531" s="345">
        <v>0</v>
      </c>
      <c r="Q531" s="232"/>
      <c r="R531" s="345">
        <v>18126</v>
      </c>
      <c r="S531" s="345">
        <v>6430</v>
      </c>
      <c r="T531" s="345">
        <v>24556</v>
      </c>
    </row>
    <row r="532" spans="1:20">
      <c r="A532" s="351">
        <v>95511</v>
      </c>
      <c r="B532" s="344" t="s">
        <v>1227</v>
      </c>
      <c r="C532" s="235">
        <v>9.4910000000000003E-4</v>
      </c>
      <c r="D532" s="235">
        <v>9.5339999999999997E-4</v>
      </c>
      <c r="E532" s="345">
        <v>2591918</v>
      </c>
      <c r="F532" s="232"/>
      <c r="G532" s="345">
        <v>443802</v>
      </c>
      <c r="H532" s="345">
        <v>63221</v>
      </c>
      <c r="I532" s="345">
        <v>422440</v>
      </c>
      <c r="J532" s="345">
        <v>69230</v>
      </c>
      <c r="K532" s="345">
        <v>998693</v>
      </c>
      <c r="L532" s="232"/>
      <c r="M532" s="345">
        <v>0</v>
      </c>
      <c r="N532" s="345">
        <v>0</v>
      </c>
      <c r="O532" s="345">
        <v>13397</v>
      </c>
      <c r="P532" s="345">
        <v>13397</v>
      </c>
      <c r="Q532" s="232"/>
      <c r="R532" s="345">
        <v>1154592</v>
      </c>
      <c r="S532" s="345">
        <v>4354</v>
      </c>
      <c r="T532" s="345">
        <v>1158946</v>
      </c>
    </row>
    <row r="533" spans="1:20">
      <c r="A533" s="351">
        <v>95513</v>
      </c>
      <c r="B533" s="344" t="s">
        <v>1228</v>
      </c>
      <c r="C533" s="235">
        <v>3.9700000000000003E-5</v>
      </c>
      <c r="D533" s="235">
        <v>4.5399999999999999E-5</v>
      </c>
      <c r="E533" s="345">
        <v>108418</v>
      </c>
      <c r="F533" s="232"/>
      <c r="G533" s="345">
        <v>18564</v>
      </c>
      <c r="H533" s="345">
        <v>2644</v>
      </c>
      <c r="I533" s="345">
        <v>17670</v>
      </c>
      <c r="J533" s="345">
        <v>19335</v>
      </c>
      <c r="K533" s="345">
        <v>58213</v>
      </c>
      <c r="L533" s="232"/>
      <c r="M533" s="345">
        <v>0</v>
      </c>
      <c r="N533" s="345">
        <v>0</v>
      </c>
      <c r="O533" s="345">
        <v>0</v>
      </c>
      <c r="P533" s="345">
        <v>0</v>
      </c>
      <c r="Q533" s="232"/>
      <c r="R533" s="345">
        <v>48296</v>
      </c>
      <c r="S533" s="345">
        <v>10130</v>
      </c>
      <c r="T533" s="345">
        <v>58426</v>
      </c>
    </row>
    <row r="534" spans="1:20">
      <c r="A534" s="351">
        <v>95517</v>
      </c>
      <c r="B534" s="344" t="s">
        <v>1229</v>
      </c>
      <c r="C534" s="235">
        <v>1.84E-5</v>
      </c>
      <c r="D534" s="235">
        <v>1.88E-5</v>
      </c>
      <c r="E534" s="345">
        <v>50249</v>
      </c>
      <c r="F534" s="232"/>
      <c r="G534" s="345">
        <v>8604</v>
      </c>
      <c r="H534" s="345">
        <v>1226</v>
      </c>
      <c r="I534" s="345">
        <v>8190</v>
      </c>
      <c r="J534" s="345">
        <v>6177</v>
      </c>
      <c r="K534" s="345">
        <v>24197</v>
      </c>
      <c r="L534" s="232"/>
      <c r="M534" s="345">
        <v>0</v>
      </c>
      <c r="N534" s="345">
        <v>0</v>
      </c>
      <c r="O534" s="345">
        <v>1931</v>
      </c>
      <c r="P534" s="345">
        <v>1931</v>
      </c>
      <c r="Q534" s="232"/>
      <c r="R534" s="345">
        <v>22384</v>
      </c>
      <c r="S534" s="345">
        <v>4635</v>
      </c>
      <c r="T534" s="345">
        <v>27019</v>
      </c>
    </row>
    <row r="535" spans="1:20">
      <c r="A535" s="351">
        <v>95601</v>
      </c>
      <c r="B535" s="344" t="s">
        <v>1230</v>
      </c>
      <c r="C535" s="235">
        <v>2.4459999999999998E-3</v>
      </c>
      <c r="D535" s="235">
        <v>2.6251999999999998E-3</v>
      </c>
      <c r="E535" s="345">
        <v>6679835</v>
      </c>
      <c r="F535" s="232"/>
      <c r="G535" s="345">
        <v>1143757</v>
      </c>
      <c r="H535" s="345">
        <v>162930</v>
      </c>
      <c r="I535" s="345">
        <v>1088702</v>
      </c>
      <c r="J535" s="345">
        <v>10163</v>
      </c>
      <c r="K535" s="345">
        <v>2405552</v>
      </c>
      <c r="L535" s="232"/>
      <c r="M535" s="345">
        <v>0</v>
      </c>
      <c r="N535" s="345">
        <v>0</v>
      </c>
      <c r="O535" s="345">
        <v>172897</v>
      </c>
      <c r="P535" s="345">
        <v>172897</v>
      </c>
      <c r="Q535" s="232"/>
      <c r="R535" s="345">
        <v>2975591</v>
      </c>
      <c r="S535" s="345">
        <v>-23590</v>
      </c>
      <c r="T535" s="345">
        <v>2952001</v>
      </c>
    </row>
    <row r="536" spans="1:20">
      <c r="A536" s="351">
        <v>95611</v>
      </c>
      <c r="B536" s="344" t="s">
        <v>1231</v>
      </c>
      <c r="C536" s="235">
        <v>3.7889999999999999E-4</v>
      </c>
      <c r="D536" s="235">
        <v>3.8440000000000002E-4</v>
      </c>
      <c r="E536" s="345">
        <v>1034746</v>
      </c>
      <c r="F536" s="232"/>
      <c r="G536" s="345">
        <v>177175</v>
      </c>
      <c r="H536" s="345">
        <v>25239</v>
      </c>
      <c r="I536" s="345">
        <v>168646</v>
      </c>
      <c r="J536" s="345">
        <v>6982</v>
      </c>
      <c r="K536" s="345">
        <v>378042</v>
      </c>
      <c r="L536" s="232"/>
      <c r="M536" s="345">
        <v>0</v>
      </c>
      <c r="N536" s="345">
        <v>0</v>
      </c>
      <c r="O536" s="345">
        <v>2022</v>
      </c>
      <c r="P536" s="345">
        <v>2022</v>
      </c>
      <c r="Q536" s="232"/>
      <c r="R536" s="345">
        <v>460937</v>
      </c>
      <c r="S536" s="345">
        <v>351</v>
      </c>
      <c r="T536" s="345">
        <v>461288</v>
      </c>
    </row>
    <row r="537" spans="1:20">
      <c r="A537" s="351">
        <v>95617</v>
      </c>
      <c r="B537" s="344" t="s">
        <v>1232</v>
      </c>
      <c r="C537" s="235">
        <v>1.49E-5</v>
      </c>
      <c r="D537" s="235">
        <v>1.59E-5</v>
      </c>
      <c r="E537" s="345">
        <v>40691</v>
      </c>
      <c r="F537" s="232"/>
      <c r="G537" s="345">
        <v>6967</v>
      </c>
      <c r="H537" s="345">
        <v>993</v>
      </c>
      <c r="I537" s="345">
        <v>6632</v>
      </c>
      <c r="J537" s="345">
        <v>986</v>
      </c>
      <c r="K537" s="345">
        <v>15578</v>
      </c>
      <c r="L537" s="232"/>
      <c r="M537" s="345">
        <v>0</v>
      </c>
      <c r="N537" s="345">
        <v>0</v>
      </c>
      <c r="O537" s="345">
        <v>0</v>
      </c>
      <c r="P537" s="345">
        <v>0</v>
      </c>
      <c r="Q537" s="232"/>
      <c r="R537" s="345">
        <v>18126</v>
      </c>
      <c r="S537" s="345">
        <v>-17</v>
      </c>
      <c r="T537" s="345">
        <v>18109</v>
      </c>
    </row>
    <row r="538" spans="1:20">
      <c r="A538" s="351">
        <v>95621</v>
      </c>
      <c r="B538" s="344" t="s">
        <v>1233</v>
      </c>
      <c r="C538" s="235">
        <v>4.5750000000000001E-4</v>
      </c>
      <c r="D538" s="235">
        <v>4.9019999999999999E-4</v>
      </c>
      <c r="E538" s="345">
        <v>1249397</v>
      </c>
      <c r="F538" s="232"/>
      <c r="G538" s="345">
        <v>213928</v>
      </c>
      <c r="H538" s="345">
        <v>30474</v>
      </c>
      <c r="I538" s="345">
        <v>203631</v>
      </c>
      <c r="J538" s="345">
        <v>31778</v>
      </c>
      <c r="K538" s="345">
        <v>479811</v>
      </c>
      <c r="L538" s="232"/>
      <c r="M538" s="345">
        <v>0</v>
      </c>
      <c r="N538" s="345">
        <v>0</v>
      </c>
      <c r="O538" s="345">
        <v>23030</v>
      </c>
      <c r="P538" s="345">
        <v>23030</v>
      </c>
      <c r="Q538" s="232"/>
      <c r="R538" s="345">
        <v>556555</v>
      </c>
      <c r="S538" s="345">
        <v>3606</v>
      </c>
      <c r="T538" s="345">
        <v>560161</v>
      </c>
    </row>
    <row r="539" spans="1:20">
      <c r="A539" s="351">
        <v>95701</v>
      </c>
      <c r="B539" s="344" t="s">
        <v>1234</v>
      </c>
      <c r="C539" s="235">
        <v>1.2156000000000001E-3</v>
      </c>
      <c r="D539" s="235">
        <v>1.3044E-3</v>
      </c>
      <c r="E539" s="345">
        <v>3319709</v>
      </c>
      <c r="F539" s="232"/>
      <c r="G539" s="345">
        <v>568418</v>
      </c>
      <c r="H539" s="345">
        <v>80973</v>
      </c>
      <c r="I539" s="345">
        <v>541057</v>
      </c>
      <c r="J539" s="345">
        <v>19199</v>
      </c>
      <c r="K539" s="345">
        <v>1209647</v>
      </c>
      <c r="L539" s="232"/>
      <c r="M539" s="345">
        <v>0</v>
      </c>
      <c r="N539" s="345">
        <v>0</v>
      </c>
      <c r="O539" s="345">
        <v>149768</v>
      </c>
      <c r="P539" s="345">
        <v>149768</v>
      </c>
      <c r="Q539" s="232"/>
      <c r="R539" s="345">
        <v>1478793</v>
      </c>
      <c r="S539" s="345">
        <v>-27093</v>
      </c>
      <c r="T539" s="345">
        <v>1451700</v>
      </c>
    </row>
    <row r="540" spans="1:20">
      <c r="A540" s="351">
        <v>95711</v>
      </c>
      <c r="B540" s="344" t="s">
        <v>1235</v>
      </c>
      <c r="C540" s="235">
        <v>1.4320000000000001E-4</v>
      </c>
      <c r="D540" s="235">
        <v>1.4349999999999999E-4</v>
      </c>
      <c r="E540" s="345">
        <v>391068</v>
      </c>
      <c r="F540" s="232"/>
      <c r="G540" s="345">
        <v>66961</v>
      </c>
      <c r="H540" s="345">
        <v>9538</v>
      </c>
      <c r="I540" s="345">
        <v>63738</v>
      </c>
      <c r="J540" s="345">
        <v>227</v>
      </c>
      <c r="K540" s="345">
        <v>140464</v>
      </c>
      <c r="L540" s="232"/>
      <c r="M540" s="345">
        <v>0</v>
      </c>
      <c r="N540" s="345">
        <v>0</v>
      </c>
      <c r="O540" s="345">
        <v>13477</v>
      </c>
      <c r="P540" s="345">
        <v>13477</v>
      </c>
      <c r="Q540" s="232"/>
      <c r="R540" s="345">
        <v>174205</v>
      </c>
      <c r="S540" s="345">
        <v>-1737</v>
      </c>
      <c r="T540" s="345">
        <v>172468</v>
      </c>
    </row>
    <row r="541" spans="1:20">
      <c r="A541" s="351">
        <v>95721</v>
      </c>
      <c r="B541" s="344" t="s">
        <v>1236</v>
      </c>
      <c r="C541" s="235">
        <v>6.58E-5</v>
      </c>
      <c r="D541" s="235">
        <v>6.7799999999999995E-5</v>
      </c>
      <c r="E541" s="345">
        <v>179695</v>
      </c>
      <c r="F541" s="232"/>
      <c r="G541" s="345">
        <v>30768</v>
      </c>
      <c r="H541" s="345">
        <v>4383</v>
      </c>
      <c r="I541" s="345">
        <v>29287</v>
      </c>
      <c r="J541" s="345">
        <v>0</v>
      </c>
      <c r="K541" s="345">
        <v>64438</v>
      </c>
      <c r="L541" s="232"/>
      <c r="M541" s="345">
        <v>0</v>
      </c>
      <c r="N541" s="345">
        <v>0</v>
      </c>
      <c r="O541" s="345">
        <v>7182</v>
      </c>
      <c r="P541" s="345">
        <v>7182</v>
      </c>
      <c r="Q541" s="232"/>
      <c r="R541" s="345">
        <v>80047</v>
      </c>
      <c r="S541" s="345">
        <v>-3340</v>
      </c>
      <c r="T541" s="345">
        <v>76707</v>
      </c>
    </row>
    <row r="542" spans="1:20">
      <c r="A542" s="351">
        <v>95733</v>
      </c>
      <c r="B542" s="344" t="s">
        <v>1237</v>
      </c>
      <c r="C542" s="235">
        <v>1.43E-5</v>
      </c>
      <c r="D542" s="235">
        <v>1.5500000000000001E-5</v>
      </c>
      <c r="E542" s="345">
        <v>39052</v>
      </c>
      <c r="F542" s="232"/>
      <c r="G542" s="345">
        <v>6687</v>
      </c>
      <c r="H542" s="345">
        <v>952</v>
      </c>
      <c r="I542" s="345">
        <v>6365</v>
      </c>
      <c r="J542" s="345">
        <v>41</v>
      </c>
      <c r="K542" s="345">
        <v>14045</v>
      </c>
      <c r="L542" s="232"/>
      <c r="M542" s="345">
        <v>0</v>
      </c>
      <c r="N542" s="345">
        <v>0</v>
      </c>
      <c r="O542" s="345">
        <v>1037</v>
      </c>
      <c r="P542" s="345">
        <v>1037</v>
      </c>
      <c r="Q542" s="232"/>
      <c r="R542" s="345">
        <v>17396</v>
      </c>
      <c r="S542" s="345">
        <v>-94</v>
      </c>
      <c r="T542" s="345">
        <v>17302</v>
      </c>
    </row>
    <row r="543" spans="1:20">
      <c r="A543" s="351">
        <v>95801</v>
      </c>
      <c r="B543" s="344" t="s">
        <v>1238</v>
      </c>
      <c r="C543" s="235">
        <v>9.5739999999999996E-4</v>
      </c>
      <c r="D543" s="235">
        <v>9.7999999999999997E-4</v>
      </c>
      <c r="E543" s="345">
        <v>2614585</v>
      </c>
      <c r="F543" s="232"/>
      <c r="G543" s="345">
        <v>447683</v>
      </c>
      <c r="H543" s="345">
        <v>63774</v>
      </c>
      <c r="I543" s="345">
        <v>426134</v>
      </c>
      <c r="J543" s="345">
        <v>43286</v>
      </c>
      <c r="K543" s="345">
        <v>980877</v>
      </c>
      <c r="L543" s="232"/>
      <c r="M543" s="345">
        <v>0</v>
      </c>
      <c r="N543" s="345">
        <v>0</v>
      </c>
      <c r="O543" s="345">
        <v>3919</v>
      </c>
      <c r="P543" s="345">
        <v>3919</v>
      </c>
      <c r="Q543" s="232"/>
      <c r="R543" s="345">
        <v>1164690</v>
      </c>
      <c r="S543" s="345">
        <v>22024</v>
      </c>
      <c r="T543" s="345">
        <v>1186714</v>
      </c>
    </row>
    <row r="544" spans="1:20">
      <c r="A544" s="351">
        <v>95802</v>
      </c>
      <c r="B544" s="344" t="s">
        <v>3686</v>
      </c>
      <c r="C544" s="235">
        <v>4.5000000000000001E-6</v>
      </c>
      <c r="D544" s="235">
        <v>5.4E-6</v>
      </c>
      <c r="E544" s="345">
        <v>12289</v>
      </c>
      <c r="F544" s="232"/>
      <c r="G544" s="345">
        <v>2104</v>
      </c>
      <c r="H544" s="345">
        <v>300</v>
      </c>
      <c r="I544" s="345">
        <v>2003</v>
      </c>
      <c r="J544" s="345">
        <v>4669</v>
      </c>
      <c r="K544" s="345">
        <v>9076</v>
      </c>
      <c r="L544" s="232"/>
      <c r="M544" s="345">
        <v>0</v>
      </c>
      <c r="N544" s="345">
        <v>0</v>
      </c>
      <c r="O544" s="345">
        <v>0</v>
      </c>
      <c r="P544" s="345">
        <v>0</v>
      </c>
      <c r="Q544" s="232"/>
      <c r="R544" s="345">
        <v>5474</v>
      </c>
      <c r="S544" s="345">
        <v>2138</v>
      </c>
      <c r="T544" s="345">
        <v>7612</v>
      </c>
    </row>
    <row r="545" spans="1:20">
      <c r="A545" s="351">
        <v>95804</v>
      </c>
      <c r="B545" s="344" t="s">
        <v>1240</v>
      </c>
      <c r="C545" s="235">
        <v>2.5999999999999998E-5</v>
      </c>
      <c r="D545" s="235">
        <v>2.1699999999999999E-5</v>
      </c>
      <c r="E545" s="345">
        <v>71004</v>
      </c>
      <c r="F545" s="232"/>
      <c r="G545" s="345">
        <v>12158</v>
      </c>
      <c r="H545" s="345">
        <v>1732</v>
      </c>
      <c r="I545" s="345">
        <v>11572</v>
      </c>
      <c r="J545" s="345">
        <v>1841</v>
      </c>
      <c r="K545" s="345">
        <v>27303</v>
      </c>
      <c r="L545" s="232"/>
      <c r="M545" s="345">
        <v>0</v>
      </c>
      <c r="N545" s="345">
        <v>0</v>
      </c>
      <c r="O545" s="345">
        <v>1765</v>
      </c>
      <c r="P545" s="345">
        <v>1765</v>
      </c>
      <c r="Q545" s="232"/>
      <c r="R545" s="345">
        <v>31629</v>
      </c>
      <c r="S545" s="345">
        <v>641</v>
      </c>
      <c r="T545" s="345">
        <v>32270</v>
      </c>
    </row>
    <row r="546" spans="1:20">
      <c r="A546" s="351">
        <v>95811</v>
      </c>
      <c r="B546" s="344" t="s">
        <v>1241</v>
      </c>
      <c r="C546" s="235">
        <v>5.287E-4</v>
      </c>
      <c r="D546" s="235">
        <v>5.2729999999999997E-4</v>
      </c>
      <c r="E546" s="345">
        <v>1443838</v>
      </c>
      <c r="F546" s="232"/>
      <c r="G546" s="345">
        <v>247222</v>
      </c>
      <c r="H546" s="345">
        <v>35217</v>
      </c>
      <c r="I546" s="345">
        <v>235322</v>
      </c>
      <c r="J546" s="345">
        <v>2826</v>
      </c>
      <c r="K546" s="345">
        <v>520587</v>
      </c>
      <c r="L546" s="232"/>
      <c r="M546" s="345">
        <v>0</v>
      </c>
      <c r="N546" s="345">
        <v>0</v>
      </c>
      <c r="O546" s="345">
        <v>939</v>
      </c>
      <c r="P546" s="345">
        <v>939</v>
      </c>
      <c r="Q546" s="232"/>
      <c r="R546" s="345">
        <v>643170</v>
      </c>
      <c r="S546" s="345">
        <v>-922</v>
      </c>
      <c r="T546" s="345">
        <v>642248</v>
      </c>
    </row>
    <row r="547" spans="1:20">
      <c r="A547" s="351">
        <v>95813</v>
      </c>
      <c r="B547" s="344" t="s">
        <v>1242</v>
      </c>
      <c r="C547" s="235">
        <v>4.4100000000000001E-5</v>
      </c>
      <c r="D547" s="235">
        <v>5.0699999999999999E-5</v>
      </c>
      <c r="E547" s="345">
        <v>120434</v>
      </c>
      <c r="F547" s="232"/>
      <c r="G547" s="345">
        <v>20621</v>
      </c>
      <c r="H547" s="345">
        <v>2938</v>
      </c>
      <c r="I547" s="345">
        <v>19629</v>
      </c>
      <c r="J547" s="345">
        <v>79656</v>
      </c>
      <c r="K547" s="345">
        <v>122844</v>
      </c>
      <c r="L547" s="232"/>
      <c r="M547" s="345">
        <v>0</v>
      </c>
      <c r="N547" s="345">
        <v>0</v>
      </c>
      <c r="O547" s="345">
        <v>0</v>
      </c>
      <c r="P547" s="345">
        <v>0</v>
      </c>
      <c r="Q547" s="232"/>
      <c r="R547" s="345">
        <v>53648</v>
      </c>
      <c r="S547" s="345">
        <v>38959</v>
      </c>
      <c r="T547" s="345">
        <v>92607</v>
      </c>
    </row>
    <row r="548" spans="1:20">
      <c r="A548" s="351">
        <v>95821</v>
      </c>
      <c r="B548" s="344" t="s">
        <v>1243</v>
      </c>
      <c r="C548" s="235">
        <v>6.3999999999999997E-6</v>
      </c>
      <c r="D548" s="235">
        <v>0</v>
      </c>
      <c r="E548" s="345">
        <v>17478</v>
      </c>
      <c r="F548" s="232"/>
      <c r="G548" s="345">
        <v>2993</v>
      </c>
      <c r="H548" s="345">
        <v>426</v>
      </c>
      <c r="I548" s="345">
        <v>2849</v>
      </c>
      <c r="J548" s="345">
        <v>6306</v>
      </c>
      <c r="K548" s="345">
        <v>12574</v>
      </c>
      <c r="L548" s="232"/>
      <c r="M548" s="345">
        <v>0</v>
      </c>
      <c r="N548" s="345">
        <v>0</v>
      </c>
      <c r="O548" s="345">
        <v>326</v>
      </c>
      <c r="P548" s="345">
        <v>326</v>
      </c>
      <c r="Q548" s="232"/>
      <c r="R548" s="345">
        <v>7786</v>
      </c>
      <c r="S548" s="345">
        <v>1901</v>
      </c>
      <c r="T548" s="345">
        <v>9687</v>
      </c>
    </row>
    <row r="549" spans="1:20">
      <c r="A549" s="351">
        <v>95831</v>
      </c>
      <c r="B549" s="344" t="s">
        <v>1244</v>
      </c>
      <c r="C549" s="235">
        <v>1.9899999999999999E-5</v>
      </c>
      <c r="D549" s="235">
        <v>1.8E-5</v>
      </c>
      <c r="E549" s="345">
        <v>54345</v>
      </c>
      <c r="F549" s="232"/>
      <c r="G549" s="345">
        <v>9305</v>
      </c>
      <c r="H549" s="345">
        <v>1326</v>
      </c>
      <c r="I549" s="345">
        <v>8857</v>
      </c>
      <c r="J549" s="345">
        <v>21775</v>
      </c>
      <c r="K549" s="345">
        <v>41263</v>
      </c>
      <c r="L549" s="232"/>
      <c r="M549" s="345">
        <v>0</v>
      </c>
      <c r="N549" s="345">
        <v>0</v>
      </c>
      <c r="O549" s="345">
        <v>0</v>
      </c>
      <c r="P549" s="345">
        <v>0</v>
      </c>
      <c r="Q549" s="232"/>
      <c r="R549" s="345">
        <v>24209</v>
      </c>
      <c r="S549" s="345">
        <v>11381</v>
      </c>
      <c r="T549" s="345">
        <v>35590</v>
      </c>
    </row>
    <row r="550" spans="1:20">
      <c r="A550" s="351">
        <v>95841</v>
      </c>
      <c r="B550" s="344" t="s">
        <v>1245</v>
      </c>
      <c r="C550" s="235">
        <v>2.58E-5</v>
      </c>
      <c r="D550" s="235">
        <v>2.0000000000000002E-5</v>
      </c>
      <c r="E550" s="345">
        <v>70458</v>
      </c>
      <c r="F550" s="232"/>
      <c r="G550" s="345">
        <v>12064</v>
      </c>
      <c r="H550" s="345">
        <v>1719</v>
      </c>
      <c r="I550" s="345">
        <v>11483</v>
      </c>
      <c r="J550" s="345">
        <v>5942</v>
      </c>
      <c r="K550" s="345">
        <v>31208</v>
      </c>
      <c r="L550" s="232"/>
      <c r="M550" s="345">
        <v>0</v>
      </c>
      <c r="N550" s="345">
        <v>0</v>
      </c>
      <c r="O550" s="345">
        <v>0</v>
      </c>
      <c r="P550" s="345">
        <v>0</v>
      </c>
      <c r="Q550" s="232"/>
      <c r="R550" s="345">
        <v>31386</v>
      </c>
      <c r="S550" s="345">
        <v>2072</v>
      </c>
      <c r="T550" s="345">
        <v>33458</v>
      </c>
    </row>
    <row r="551" spans="1:20">
      <c r="A551" s="351">
        <v>95851</v>
      </c>
      <c r="B551" s="344" t="s">
        <v>1246</v>
      </c>
      <c r="C551" s="235">
        <v>1.26E-4</v>
      </c>
      <c r="D551" s="235">
        <v>1.403E-4</v>
      </c>
      <c r="E551" s="345">
        <v>344096</v>
      </c>
      <c r="F551" s="232"/>
      <c r="G551" s="345">
        <v>58918</v>
      </c>
      <c r="H551" s="345">
        <v>8393</v>
      </c>
      <c r="I551" s="345">
        <v>56082</v>
      </c>
      <c r="J551" s="345">
        <v>141070</v>
      </c>
      <c r="K551" s="345">
        <v>264463</v>
      </c>
      <c r="L551" s="232"/>
      <c r="M551" s="345">
        <v>0</v>
      </c>
      <c r="N551" s="345">
        <v>0</v>
      </c>
      <c r="O551" s="345">
        <v>0</v>
      </c>
      <c r="P551" s="345">
        <v>0</v>
      </c>
      <c r="Q551" s="232"/>
      <c r="R551" s="345">
        <v>153281</v>
      </c>
      <c r="S551" s="345">
        <v>69620</v>
      </c>
      <c r="T551" s="345">
        <v>222901</v>
      </c>
    </row>
    <row r="552" spans="1:20">
      <c r="A552" s="351">
        <v>95853</v>
      </c>
      <c r="B552" s="344" t="s">
        <v>1247</v>
      </c>
      <c r="C552" s="235">
        <v>3.0300000000000001E-5</v>
      </c>
      <c r="D552" s="235">
        <v>3.1300000000000002E-5</v>
      </c>
      <c r="E552" s="345">
        <v>82747</v>
      </c>
      <c r="F552" s="232"/>
      <c r="G552" s="345">
        <v>14168</v>
      </c>
      <c r="H552" s="345">
        <v>2018</v>
      </c>
      <c r="I552" s="345">
        <v>13486</v>
      </c>
      <c r="J552" s="345">
        <v>5360</v>
      </c>
      <c r="K552" s="345">
        <v>35032</v>
      </c>
      <c r="L552" s="232"/>
      <c r="M552" s="345">
        <v>0</v>
      </c>
      <c r="N552" s="345">
        <v>0</v>
      </c>
      <c r="O552" s="345">
        <v>587</v>
      </c>
      <c r="P552" s="345">
        <v>587</v>
      </c>
      <c r="Q552" s="232"/>
      <c r="R552" s="345">
        <v>36860</v>
      </c>
      <c r="S552" s="345">
        <v>3279</v>
      </c>
      <c r="T552" s="345">
        <v>40139</v>
      </c>
    </row>
    <row r="553" spans="1:20">
      <c r="A553" s="351">
        <v>95901</v>
      </c>
      <c r="B553" s="344" t="s">
        <v>1248</v>
      </c>
      <c r="C553" s="235">
        <v>1.9935E-3</v>
      </c>
      <c r="D553" s="235">
        <v>1.9158000000000001E-3</v>
      </c>
      <c r="E553" s="345">
        <v>5444093</v>
      </c>
      <c r="F553" s="232"/>
      <c r="G553" s="345">
        <v>932167</v>
      </c>
      <c r="H553" s="345">
        <v>132789</v>
      </c>
      <c r="I553" s="345">
        <v>887297</v>
      </c>
      <c r="J553" s="345">
        <v>0</v>
      </c>
      <c r="K553" s="345">
        <v>1952253</v>
      </c>
      <c r="L553" s="232"/>
      <c r="M553" s="345">
        <v>0</v>
      </c>
      <c r="N553" s="345">
        <v>0</v>
      </c>
      <c r="O553" s="345">
        <v>9248</v>
      </c>
      <c r="P553" s="345">
        <v>9248</v>
      </c>
      <c r="Q553" s="232"/>
      <c r="R553" s="345">
        <v>2425119</v>
      </c>
      <c r="S553" s="345">
        <v>-1062</v>
      </c>
      <c r="T553" s="345">
        <v>2424057</v>
      </c>
    </row>
    <row r="554" spans="1:20">
      <c r="A554" s="351">
        <v>95908</v>
      </c>
      <c r="B554" s="344" t="s">
        <v>3687</v>
      </c>
      <c r="C554" s="235">
        <v>7.1500000000000003E-5</v>
      </c>
      <c r="D554" s="235">
        <v>6.1099999999999994E-5</v>
      </c>
      <c r="E554" s="345">
        <v>195261</v>
      </c>
      <c r="F554" s="232"/>
      <c r="G554" s="345">
        <v>33434</v>
      </c>
      <c r="H554" s="345">
        <v>4763</v>
      </c>
      <c r="I554" s="345">
        <v>31824</v>
      </c>
      <c r="J554" s="345">
        <v>2130</v>
      </c>
      <c r="K554" s="345">
        <v>72151</v>
      </c>
      <c r="L554" s="232"/>
      <c r="M554" s="345">
        <v>0</v>
      </c>
      <c r="N554" s="345">
        <v>0</v>
      </c>
      <c r="O554" s="345">
        <v>12079</v>
      </c>
      <c r="P554" s="345">
        <v>12079</v>
      </c>
      <c r="Q554" s="232"/>
      <c r="R554" s="345">
        <v>86981</v>
      </c>
      <c r="S554" s="345">
        <v>-9339</v>
      </c>
      <c r="T554" s="345">
        <v>77642</v>
      </c>
    </row>
    <row r="555" spans="1:20">
      <c r="A555" s="351">
        <v>95911</v>
      </c>
      <c r="B555" s="344" t="s">
        <v>1250</v>
      </c>
      <c r="C555" s="235">
        <v>5.6829999999999999E-4</v>
      </c>
      <c r="D555" s="235">
        <v>5.576E-4</v>
      </c>
      <c r="E555" s="345">
        <v>1551983</v>
      </c>
      <c r="F555" s="232"/>
      <c r="G555" s="345">
        <v>265739</v>
      </c>
      <c r="H555" s="345">
        <v>37855</v>
      </c>
      <c r="I555" s="345">
        <v>252947</v>
      </c>
      <c r="J555" s="345">
        <v>0</v>
      </c>
      <c r="K555" s="345">
        <v>556541</v>
      </c>
      <c r="L555" s="232"/>
      <c r="M555" s="345">
        <v>0</v>
      </c>
      <c r="N555" s="345">
        <v>0</v>
      </c>
      <c r="O555" s="345">
        <v>37793</v>
      </c>
      <c r="P555" s="345">
        <v>37793</v>
      </c>
      <c r="Q555" s="232"/>
      <c r="R555" s="345">
        <v>691344</v>
      </c>
      <c r="S555" s="345">
        <v>-18101</v>
      </c>
      <c r="T555" s="345">
        <v>673243</v>
      </c>
    </row>
    <row r="556" spans="1:20">
      <c r="A556" s="351">
        <v>95917</v>
      </c>
      <c r="B556" s="344" t="s">
        <v>1251</v>
      </c>
      <c r="C556" s="235">
        <v>1.8600000000000001E-5</v>
      </c>
      <c r="D556" s="235">
        <v>2.05E-5</v>
      </c>
      <c r="E556" s="345">
        <v>50795</v>
      </c>
      <c r="F556" s="232"/>
      <c r="G556" s="345">
        <v>8697</v>
      </c>
      <c r="H556" s="345">
        <v>1239</v>
      </c>
      <c r="I556" s="345">
        <v>8279</v>
      </c>
      <c r="J556" s="345">
        <v>1449</v>
      </c>
      <c r="K556" s="345">
        <v>19664</v>
      </c>
      <c r="L556" s="232"/>
      <c r="M556" s="345">
        <v>0</v>
      </c>
      <c r="N556" s="345">
        <v>0</v>
      </c>
      <c r="O556" s="345">
        <v>2540</v>
      </c>
      <c r="P556" s="345">
        <v>2540</v>
      </c>
      <c r="Q556" s="232"/>
      <c r="R556" s="345">
        <v>22627</v>
      </c>
      <c r="S556" s="345">
        <v>214</v>
      </c>
      <c r="T556" s="345">
        <v>22841</v>
      </c>
    </row>
    <row r="557" spans="1:20">
      <c r="A557" s="351">
        <v>95921</v>
      </c>
      <c r="B557" s="344" t="s">
        <v>1252</v>
      </c>
      <c r="C557" s="235">
        <v>5.4200000000000003E-5</v>
      </c>
      <c r="D557" s="235">
        <v>4.9799999999999998E-5</v>
      </c>
      <c r="E557" s="345">
        <v>148016</v>
      </c>
      <c r="F557" s="232"/>
      <c r="G557" s="345">
        <v>25344</v>
      </c>
      <c r="H557" s="345">
        <v>3611</v>
      </c>
      <c r="I557" s="345">
        <v>24124</v>
      </c>
      <c r="J557" s="345">
        <v>7363</v>
      </c>
      <c r="K557" s="345">
        <v>60442</v>
      </c>
      <c r="L557" s="232"/>
      <c r="M557" s="345">
        <v>0</v>
      </c>
      <c r="N557" s="345">
        <v>0</v>
      </c>
      <c r="O557" s="345">
        <v>0</v>
      </c>
      <c r="P557" s="345">
        <v>0</v>
      </c>
      <c r="Q557" s="232"/>
      <c r="R557" s="345">
        <v>65935</v>
      </c>
      <c r="S557" s="345">
        <v>3136</v>
      </c>
      <c r="T557" s="345">
        <v>69071</v>
      </c>
    </row>
    <row r="558" spans="1:20">
      <c r="A558" s="351">
        <v>96001</v>
      </c>
      <c r="B558" s="344" t="s">
        <v>1253</v>
      </c>
      <c r="C558" s="235">
        <v>4.3367500000000003E-2</v>
      </c>
      <c r="D558" s="235">
        <v>4.3840400000000002E-2</v>
      </c>
      <c r="E558" s="345">
        <v>118433260</v>
      </c>
      <c r="F558" s="232"/>
      <c r="G558" s="345">
        <v>20278773</v>
      </c>
      <c r="H558" s="345">
        <v>2888752</v>
      </c>
      <c r="I558" s="345">
        <v>19302657</v>
      </c>
      <c r="J558" s="345">
        <v>0</v>
      </c>
      <c r="K558" s="345">
        <v>42470182</v>
      </c>
      <c r="L558" s="232"/>
      <c r="M558" s="345">
        <v>0</v>
      </c>
      <c r="N558" s="345">
        <v>0</v>
      </c>
      <c r="O558" s="345">
        <v>672724</v>
      </c>
      <c r="P558" s="345">
        <v>672724</v>
      </c>
      <c r="Q558" s="232"/>
      <c r="R558" s="345">
        <v>52757128</v>
      </c>
      <c r="S558" s="345">
        <v>-161384</v>
      </c>
      <c r="T558" s="345">
        <v>52595744</v>
      </c>
    </row>
    <row r="559" spans="1:20">
      <c r="A559" s="351">
        <v>96003</v>
      </c>
      <c r="B559" s="344" t="s">
        <v>1254</v>
      </c>
      <c r="C559" s="235">
        <v>1.6620000000000001E-3</v>
      </c>
      <c r="D559" s="235">
        <v>1.6191999999999999E-3</v>
      </c>
      <c r="E559" s="345">
        <v>4538792</v>
      </c>
      <c r="F559" s="232"/>
      <c r="G559" s="345">
        <v>777156</v>
      </c>
      <c r="H559" s="345">
        <v>110708</v>
      </c>
      <c r="I559" s="345">
        <v>739748</v>
      </c>
      <c r="J559" s="345">
        <v>41167</v>
      </c>
      <c r="K559" s="345">
        <v>1668779</v>
      </c>
      <c r="L559" s="232"/>
      <c r="M559" s="345">
        <v>0</v>
      </c>
      <c r="N559" s="345">
        <v>0</v>
      </c>
      <c r="O559" s="345">
        <v>108882</v>
      </c>
      <c r="P559" s="345">
        <v>108882</v>
      </c>
      <c r="Q559" s="232"/>
      <c r="R559" s="345">
        <v>2021845</v>
      </c>
      <c r="S559" s="345">
        <v>-41472</v>
      </c>
      <c r="T559" s="345">
        <v>1980373</v>
      </c>
    </row>
    <row r="560" spans="1:20">
      <c r="A560" s="351">
        <v>96004</v>
      </c>
      <c r="B560" s="344" t="s">
        <v>1255</v>
      </c>
      <c r="C560" s="235">
        <v>9.3959999999999996E-4</v>
      </c>
      <c r="D560" s="235">
        <v>9.0419999999999997E-4</v>
      </c>
      <c r="E560" s="345">
        <v>2565974</v>
      </c>
      <c r="F560" s="232"/>
      <c r="G560" s="345">
        <v>439360</v>
      </c>
      <c r="H560" s="345">
        <v>62588</v>
      </c>
      <c r="I560" s="345">
        <v>418211</v>
      </c>
      <c r="J560" s="345">
        <v>151395</v>
      </c>
      <c r="K560" s="345">
        <v>1071554</v>
      </c>
      <c r="L560" s="232"/>
      <c r="M560" s="345">
        <v>0</v>
      </c>
      <c r="N560" s="345">
        <v>0</v>
      </c>
      <c r="O560" s="345">
        <v>0</v>
      </c>
      <c r="P560" s="345">
        <v>0</v>
      </c>
      <c r="Q560" s="232"/>
      <c r="R560" s="345">
        <v>1143036</v>
      </c>
      <c r="S560" s="345">
        <v>74968</v>
      </c>
      <c r="T560" s="345">
        <v>1218004</v>
      </c>
    </row>
    <row r="561" spans="1:20">
      <c r="A561" s="351">
        <v>96005</v>
      </c>
      <c r="B561" s="344" t="s">
        <v>1256</v>
      </c>
      <c r="C561" s="235">
        <v>2.4467E-3</v>
      </c>
      <c r="D561" s="235">
        <v>2.6172999999999999E-3</v>
      </c>
      <c r="E561" s="345">
        <v>6681747</v>
      </c>
      <c r="F561" s="232"/>
      <c r="G561" s="345">
        <v>1144084</v>
      </c>
      <c r="H561" s="345">
        <v>162977</v>
      </c>
      <c r="I561" s="345">
        <v>1089014</v>
      </c>
      <c r="J561" s="345">
        <v>17394</v>
      </c>
      <c r="K561" s="345">
        <v>2413469</v>
      </c>
      <c r="L561" s="232"/>
      <c r="M561" s="345">
        <v>0</v>
      </c>
      <c r="N561" s="345">
        <v>0</v>
      </c>
      <c r="O561" s="345">
        <v>102840</v>
      </c>
      <c r="P561" s="345">
        <v>102840</v>
      </c>
      <c r="Q561" s="232"/>
      <c r="R561" s="345">
        <v>2976442</v>
      </c>
      <c r="S561" s="345">
        <v>20584</v>
      </c>
      <c r="T561" s="345">
        <v>2997026</v>
      </c>
    </row>
    <row r="562" spans="1:20" ht="30">
      <c r="A562" s="351">
        <v>96008</v>
      </c>
      <c r="B562" s="344" t="s">
        <v>3688</v>
      </c>
      <c r="C562" s="235">
        <v>6.1741000000000001E-3</v>
      </c>
      <c r="D562" s="235">
        <v>6.1884000000000002E-3</v>
      </c>
      <c r="E562" s="345">
        <v>16860986</v>
      </c>
      <c r="F562" s="232"/>
      <c r="G562" s="345">
        <v>2887028</v>
      </c>
      <c r="H562" s="345">
        <v>411263</v>
      </c>
      <c r="I562" s="345">
        <v>2748061</v>
      </c>
      <c r="J562" s="345">
        <v>0</v>
      </c>
      <c r="K562" s="345">
        <v>6046352</v>
      </c>
      <c r="L562" s="232"/>
      <c r="M562" s="345">
        <v>0</v>
      </c>
      <c r="N562" s="345">
        <v>0</v>
      </c>
      <c r="O562" s="345">
        <v>1244707</v>
      </c>
      <c r="P562" s="345">
        <v>1244707</v>
      </c>
      <c r="Q562" s="232"/>
      <c r="R562" s="345">
        <v>7510873</v>
      </c>
      <c r="S562" s="345">
        <v>-456370</v>
      </c>
      <c r="T562" s="345">
        <v>7054503</v>
      </c>
    </row>
    <row r="563" spans="1:20">
      <c r="A563" s="351">
        <v>96009</v>
      </c>
      <c r="B563" s="344" t="s">
        <v>1258</v>
      </c>
      <c r="C563" s="235">
        <v>3.5409999999999999E-4</v>
      </c>
      <c r="D563" s="235">
        <v>3.8460000000000002E-4</v>
      </c>
      <c r="E563" s="345">
        <v>967019</v>
      </c>
      <c r="F563" s="232"/>
      <c r="G563" s="345">
        <v>165578</v>
      </c>
      <c r="H563" s="345">
        <v>23587</v>
      </c>
      <c r="I563" s="345">
        <v>157608</v>
      </c>
      <c r="J563" s="345">
        <v>32780</v>
      </c>
      <c r="K563" s="345">
        <v>379553</v>
      </c>
      <c r="L563" s="232"/>
      <c r="M563" s="345">
        <v>0</v>
      </c>
      <c r="N563" s="345">
        <v>0</v>
      </c>
      <c r="O563" s="345">
        <v>6198</v>
      </c>
      <c r="P563" s="345">
        <v>6198</v>
      </c>
      <c r="Q563" s="232"/>
      <c r="R563" s="345">
        <v>430767</v>
      </c>
      <c r="S563" s="345">
        <v>11845</v>
      </c>
      <c r="T563" s="345">
        <v>442612</v>
      </c>
    </row>
    <row r="564" spans="1:20">
      <c r="A564" s="351">
        <v>96011</v>
      </c>
      <c r="B564" s="344" t="s">
        <v>1259</v>
      </c>
      <c r="C564" s="235">
        <v>6.3204399999999994E-2</v>
      </c>
      <c r="D564" s="235">
        <v>6.2526600000000002E-2</v>
      </c>
      <c r="E564" s="345">
        <v>172606286</v>
      </c>
      <c r="F564" s="232"/>
      <c r="G564" s="345">
        <v>29554567</v>
      </c>
      <c r="H564" s="345">
        <v>4210108</v>
      </c>
      <c r="I564" s="345">
        <v>28131962</v>
      </c>
      <c r="J564" s="345">
        <v>1851231</v>
      </c>
      <c r="K564" s="345">
        <v>63747868</v>
      </c>
      <c r="L564" s="232"/>
      <c r="M564" s="345">
        <v>0</v>
      </c>
      <c r="N564" s="345">
        <v>0</v>
      </c>
      <c r="O564" s="345">
        <v>15079</v>
      </c>
      <c r="P564" s="345">
        <v>15079</v>
      </c>
      <c r="Q564" s="232"/>
      <c r="R564" s="345">
        <v>76888974</v>
      </c>
      <c r="S564" s="345">
        <v>636066</v>
      </c>
      <c r="T564" s="345">
        <v>77525040</v>
      </c>
    </row>
    <row r="565" spans="1:20">
      <c r="A565" s="351">
        <v>96012</v>
      </c>
      <c r="B565" s="344" t="s">
        <v>1260</v>
      </c>
      <c r="C565" s="235">
        <v>2.5593E-3</v>
      </c>
      <c r="D565" s="235">
        <v>2.5303000000000001E-3</v>
      </c>
      <c r="E565" s="345">
        <v>6989249</v>
      </c>
      <c r="F565" s="232"/>
      <c r="G565" s="345">
        <v>1196736</v>
      </c>
      <c r="H565" s="345">
        <v>170478</v>
      </c>
      <c r="I565" s="345">
        <v>1139132</v>
      </c>
      <c r="J565" s="345">
        <v>56615</v>
      </c>
      <c r="K565" s="345">
        <v>2562961</v>
      </c>
      <c r="L565" s="232"/>
      <c r="M565" s="345">
        <v>0</v>
      </c>
      <c r="N565" s="345">
        <v>0</v>
      </c>
      <c r="O565" s="345">
        <v>3190</v>
      </c>
      <c r="P565" s="345">
        <v>3190</v>
      </c>
      <c r="Q565" s="232"/>
      <c r="R565" s="345">
        <v>3113422</v>
      </c>
      <c r="S565" s="345">
        <v>38388</v>
      </c>
      <c r="T565" s="345">
        <v>3151810</v>
      </c>
    </row>
    <row r="566" spans="1:20">
      <c r="A566" s="351">
        <v>96018</v>
      </c>
      <c r="B566" s="344" t="s">
        <v>3689</v>
      </c>
      <c r="C566" s="235">
        <v>3.4199999999999998E-5</v>
      </c>
      <c r="D566" s="235">
        <v>4.5000000000000003E-5</v>
      </c>
      <c r="E566" s="345">
        <v>93398</v>
      </c>
      <c r="F566" s="232"/>
      <c r="G566" s="345">
        <v>15992</v>
      </c>
      <c r="H566" s="345">
        <v>2278</v>
      </c>
      <c r="I566" s="345">
        <v>15222</v>
      </c>
      <c r="J566" s="345">
        <v>1784</v>
      </c>
      <c r="K566" s="345">
        <v>35276</v>
      </c>
      <c r="L566" s="232"/>
      <c r="M566" s="345">
        <v>0</v>
      </c>
      <c r="N566" s="345">
        <v>0</v>
      </c>
      <c r="O566" s="345">
        <v>8821</v>
      </c>
      <c r="P566" s="345">
        <v>8821</v>
      </c>
      <c r="Q566" s="232"/>
      <c r="R566" s="345">
        <v>41605</v>
      </c>
      <c r="S566" s="345">
        <v>-124</v>
      </c>
      <c r="T566" s="345">
        <v>41481</v>
      </c>
    </row>
    <row r="567" spans="1:20">
      <c r="A567" s="351">
        <v>96021</v>
      </c>
      <c r="B567" s="344" t="s">
        <v>1262</v>
      </c>
      <c r="C567" s="235">
        <v>7.7490000000000002E-4</v>
      </c>
      <c r="D567" s="235">
        <v>7.3760000000000004E-4</v>
      </c>
      <c r="E567" s="345">
        <v>2116191</v>
      </c>
      <c r="F567" s="232"/>
      <c r="G567" s="345">
        <v>362346</v>
      </c>
      <c r="H567" s="345">
        <v>51617</v>
      </c>
      <c r="I567" s="345">
        <v>344904</v>
      </c>
      <c r="J567" s="345">
        <v>9298</v>
      </c>
      <c r="K567" s="345">
        <v>768165</v>
      </c>
      <c r="L567" s="232"/>
      <c r="M567" s="345">
        <v>0</v>
      </c>
      <c r="N567" s="345">
        <v>0</v>
      </c>
      <c r="O567" s="345">
        <v>54758</v>
      </c>
      <c r="P567" s="345">
        <v>54758</v>
      </c>
      <c r="Q567" s="232"/>
      <c r="R567" s="345">
        <v>942676</v>
      </c>
      <c r="S567" s="345">
        <v>-16279</v>
      </c>
      <c r="T567" s="345">
        <v>926397</v>
      </c>
    </row>
    <row r="568" spans="1:20">
      <c r="A568" s="351">
        <v>96031</v>
      </c>
      <c r="B568" s="344" t="s">
        <v>1263</v>
      </c>
      <c r="C568" s="235">
        <v>8.3790000000000004E-4</v>
      </c>
      <c r="D568" s="235">
        <v>8.5170000000000005E-4</v>
      </c>
      <c r="E568" s="345">
        <v>2288240</v>
      </c>
      <c r="F568" s="232"/>
      <c r="G568" s="345">
        <v>391805</v>
      </c>
      <c r="H568" s="345">
        <v>55814</v>
      </c>
      <c r="I568" s="345">
        <v>372945</v>
      </c>
      <c r="J568" s="345">
        <v>0</v>
      </c>
      <c r="K568" s="345">
        <v>820564</v>
      </c>
      <c r="L568" s="232"/>
      <c r="M568" s="345">
        <v>0</v>
      </c>
      <c r="N568" s="345">
        <v>0</v>
      </c>
      <c r="O568" s="345">
        <v>135011</v>
      </c>
      <c r="P568" s="345">
        <v>135011</v>
      </c>
      <c r="Q568" s="232"/>
      <c r="R568" s="345">
        <v>1019316</v>
      </c>
      <c r="S568" s="345">
        <v>-73641</v>
      </c>
      <c r="T568" s="345">
        <v>945675</v>
      </c>
    </row>
    <row r="569" spans="1:20">
      <c r="A569" s="351">
        <v>96041</v>
      </c>
      <c r="B569" s="344" t="s">
        <v>1264</v>
      </c>
      <c r="C569" s="235">
        <v>1.7466000000000001E-3</v>
      </c>
      <c r="D569" s="235">
        <v>1.7003999999999999E-3</v>
      </c>
      <c r="E569" s="345">
        <v>4769828</v>
      </c>
      <c r="F569" s="232"/>
      <c r="G569" s="345">
        <v>816715</v>
      </c>
      <c r="H569" s="345">
        <v>116343</v>
      </c>
      <c r="I569" s="345">
        <v>777403</v>
      </c>
      <c r="J569" s="345">
        <v>11617</v>
      </c>
      <c r="K569" s="345">
        <v>1722078</v>
      </c>
      <c r="L569" s="232"/>
      <c r="M569" s="345">
        <v>0</v>
      </c>
      <c r="N569" s="345">
        <v>0</v>
      </c>
      <c r="O569" s="345">
        <v>101646</v>
      </c>
      <c r="P569" s="345">
        <v>101646</v>
      </c>
      <c r="Q569" s="232"/>
      <c r="R569" s="345">
        <v>2124762</v>
      </c>
      <c r="S569" s="345">
        <v>-57913</v>
      </c>
      <c r="T569" s="345">
        <v>2066849</v>
      </c>
    </row>
    <row r="570" spans="1:20">
      <c r="A570" s="351">
        <v>96051</v>
      </c>
      <c r="B570" s="344" t="s">
        <v>1265</v>
      </c>
      <c r="C570" s="235">
        <v>9.6909999999999997E-4</v>
      </c>
      <c r="D570" s="235">
        <v>1.042E-3</v>
      </c>
      <c r="E570" s="345">
        <v>2646537</v>
      </c>
      <c r="F570" s="232"/>
      <c r="G570" s="345">
        <v>453154</v>
      </c>
      <c r="H570" s="345">
        <v>64552</v>
      </c>
      <c r="I570" s="345">
        <v>431342</v>
      </c>
      <c r="J570" s="345">
        <v>0</v>
      </c>
      <c r="K570" s="345">
        <v>949048</v>
      </c>
      <c r="L570" s="232"/>
      <c r="M570" s="345">
        <v>0</v>
      </c>
      <c r="N570" s="345">
        <v>0</v>
      </c>
      <c r="O570" s="345">
        <v>145175</v>
      </c>
      <c r="P570" s="345">
        <v>145175</v>
      </c>
      <c r="Q570" s="232"/>
      <c r="R570" s="345">
        <v>1178923</v>
      </c>
      <c r="S570" s="345">
        <v>-61133</v>
      </c>
      <c r="T570" s="345">
        <v>1117790</v>
      </c>
    </row>
    <row r="571" spans="1:20">
      <c r="A571" s="351">
        <v>96061</v>
      </c>
      <c r="B571" s="344" t="s">
        <v>1266</v>
      </c>
      <c r="C571" s="235">
        <v>3.4220000000000002E-4</v>
      </c>
      <c r="D571" s="235">
        <v>3.1559999999999997E-4</v>
      </c>
      <c r="E571" s="345">
        <v>934522</v>
      </c>
      <c r="F571" s="232"/>
      <c r="G571" s="345">
        <v>160014</v>
      </c>
      <c r="H571" s="345">
        <v>22795</v>
      </c>
      <c r="I571" s="345">
        <v>152312</v>
      </c>
      <c r="J571" s="345">
        <v>30092</v>
      </c>
      <c r="K571" s="345">
        <v>365213</v>
      </c>
      <c r="L571" s="232"/>
      <c r="M571" s="345">
        <v>0</v>
      </c>
      <c r="N571" s="345">
        <v>0</v>
      </c>
      <c r="O571" s="345">
        <v>9266</v>
      </c>
      <c r="P571" s="345">
        <v>9266</v>
      </c>
      <c r="Q571" s="232"/>
      <c r="R571" s="345">
        <v>416291</v>
      </c>
      <c r="S571" s="345">
        <v>6177</v>
      </c>
      <c r="T571" s="345">
        <v>422468</v>
      </c>
    </row>
    <row r="572" spans="1:20">
      <c r="A572" s="351">
        <v>96071</v>
      </c>
      <c r="B572" s="344" t="s">
        <v>1267</v>
      </c>
      <c r="C572" s="235">
        <v>1.3016E-3</v>
      </c>
      <c r="D572" s="235">
        <v>1.1751000000000001E-3</v>
      </c>
      <c r="E572" s="345">
        <v>3554568</v>
      </c>
      <c r="F572" s="232"/>
      <c r="G572" s="345">
        <v>608632</v>
      </c>
      <c r="H572" s="345">
        <v>86701</v>
      </c>
      <c r="I572" s="345">
        <v>579336</v>
      </c>
      <c r="J572" s="345">
        <v>180982</v>
      </c>
      <c r="K572" s="345">
        <v>1455651</v>
      </c>
      <c r="L572" s="232"/>
      <c r="M572" s="345">
        <v>0</v>
      </c>
      <c r="N572" s="345">
        <v>0</v>
      </c>
      <c r="O572" s="345">
        <v>18432</v>
      </c>
      <c r="P572" s="345">
        <v>18432</v>
      </c>
      <c r="Q572" s="232"/>
      <c r="R572" s="345">
        <v>1583413</v>
      </c>
      <c r="S572" s="345">
        <v>49473</v>
      </c>
      <c r="T572" s="345">
        <v>1632886</v>
      </c>
    </row>
    <row r="573" spans="1:20">
      <c r="A573" s="351">
        <v>96081</v>
      </c>
      <c r="B573" s="344" t="s">
        <v>1268</v>
      </c>
      <c r="C573" s="235">
        <v>5.419E-4</v>
      </c>
      <c r="D573" s="235">
        <v>5.4920000000000001E-4</v>
      </c>
      <c r="E573" s="345">
        <v>1479887</v>
      </c>
      <c r="F573" s="232"/>
      <c r="G573" s="345">
        <v>253394</v>
      </c>
      <c r="H573" s="345">
        <v>36096</v>
      </c>
      <c r="I573" s="345">
        <v>241197</v>
      </c>
      <c r="J573" s="345">
        <v>7049</v>
      </c>
      <c r="K573" s="345">
        <v>537736</v>
      </c>
      <c r="L573" s="232"/>
      <c r="M573" s="345">
        <v>0</v>
      </c>
      <c r="N573" s="345">
        <v>0</v>
      </c>
      <c r="O573" s="345">
        <v>19149</v>
      </c>
      <c r="P573" s="345">
        <v>19149</v>
      </c>
      <c r="Q573" s="232"/>
      <c r="R573" s="345">
        <v>659228</v>
      </c>
      <c r="S573" s="345">
        <v>-3621</v>
      </c>
      <c r="T573" s="345">
        <v>655607</v>
      </c>
    </row>
    <row r="574" spans="1:20">
      <c r="A574" s="351">
        <v>96101</v>
      </c>
      <c r="B574" s="344" t="s">
        <v>1269</v>
      </c>
      <c r="C574" s="235">
        <v>6.4729999999999996E-4</v>
      </c>
      <c r="D574" s="235">
        <v>7.9739999999999998E-4</v>
      </c>
      <c r="E574" s="345">
        <v>1767726</v>
      </c>
      <c r="F574" s="232"/>
      <c r="G574" s="345">
        <v>302679</v>
      </c>
      <c r="H574" s="345">
        <v>43117</v>
      </c>
      <c r="I574" s="345">
        <v>288110</v>
      </c>
      <c r="J574" s="345">
        <v>36198</v>
      </c>
      <c r="K574" s="345">
        <v>670104</v>
      </c>
      <c r="L574" s="232"/>
      <c r="M574" s="345">
        <v>0</v>
      </c>
      <c r="N574" s="345">
        <v>0</v>
      </c>
      <c r="O574" s="345">
        <v>96675</v>
      </c>
      <c r="P574" s="345">
        <v>96675</v>
      </c>
      <c r="Q574" s="232"/>
      <c r="R574" s="345">
        <v>787449</v>
      </c>
      <c r="S574" s="345">
        <v>-6438</v>
      </c>
      <c r="T574" s="345">
        <v>781011</v>
      </c>
    </row>
    <row r="575" spans="1:20">
      <c r="A575" s="351">
        <v>96102</v>
      </c>
      <c r="B575" s="344" t="s">
        <v>2800</v>
      </c>
      <c r="C575" s="235">
        <v>1.1600000000000001E-5</v>
      </c>
      <c r="D575" s="235">
        <v>1.2999999999999999E-5</v>
      </c>
      <c r="E575" s="345">
        <v>31679</v>
      </c>
      <c r="F575" s="232"/>
      <c r="G575" s="345">
        <v>5424</v>
      </c>
      <c r="H575" s="345">
        <v>772</v>
      </c>
      <c r="I575" s="345">
        <v>5163</v>
      </c>
      <c r="J575" s="345">
        <v>0</v>
      </c>
      <c r="K575" s="345">
        <v>11359</v>
      </c>
      <c r="L575" s="232"/>
      <c r="M575" s="345">
        <v>0</v>
      </c>
      <c r="N575" s="345">
        <v>0</v>
      </c>
      <c r="O575" s="345">
        <v>4181</v>
      </c>
      <c r="P575" s="345">
        <v>4181</v>
      </c>
      <c r="Q575" s="232"/>
      <c r="R575" s="345">
        <v>14112</v>
      </c>
      <c r="S575" s="345">
        <v>-1891</v>
      </c>
      <c r="T575" s="345">
        <v>12221</v>
      </c>
    </row>
    <row r="576" spans="1:20">
      <c r="A576" s="351">
        <v>96111</v>
      </c>
      <c r="B576" s="344" t="s">
        <v>1271</v>
      </c>
      <c r="C576" s="235">
        <v>1.5809999999999999E-4</v>
      </c>
      <c r="D576" s="235">
        <v>1.47E-4</v>
      </c>
      <c r="E576" s="345">
        <v>431759</v>
      </c>
      <c r="F576" s="232"/>
      <c r="G576" s="345">
        <v>73928</v>
      </c>
      <c r="H576" s="345">
        <v>10531</v>
      </c>
      <c r="I576" s="345">
        <v>70370</v>
      </c>
      <c r="J576" s="345">
        <v>25581</v>
      </c>
      <c r="K576" s="345">
        <v>180410</v>
      </c>
      <c r="L576" s="232"/>
      <c r="M576" s="345">
        <v>0</v>
      </c>
      <c r="N576" s="345">
        <v>0</v>
      </c>
      <c r="O576" s="345">
        <v>840</v>
      </c>
      <c r="P576" s="345">
        <v>840</v>
      </c>
      <c r="Q576" s="232"/>
      <c r="R576" s="345">
        <v>192331</v>
      </c>
      <c r="S576" s="345">
        <v>7828</v>
      </c>
      <c r="T576" s="345">
        <v>200159</v>
      </c>
    </row>
    <row r="577" spans="1:20">
      <c r="A577" s="351">
        <v>96121</v>
      </c>
      <c r="B577" s="344" t="s">
        <v>1272</v>
      </c>
      <c r="C577" s="235">
        <v>2.4300000000000001E-5</v>
      </c>
      <c r="D577" s="235">
        <v>2.1699999999999999E-5</v>
      </c>
      <c r="E577" s="345">
        <v>66361</v>
      </c>
      <c r="F577" s="232"/>
      <c r="G577" s="345">
        <v>11363</v>
      </c>
      <c r="H577" s="345">
        <v>1618</v>
      </c>
      <c r="I577" s="345">
        <v>10816</v>
      </c>
      <c r="J577" s="345">
        <v>488</v>
      </c>
      <c r="K577" s="345">
        <v>24285</v>
      </c>
      <c r="L577" s="232"/>
      <c r="M577" s="345">
        <v>0</v>
      </c>
      <c r="N577" s="345">
        <v>0</v>
      </c>
      <c r="O577" s="345">
        <v>1447</v>
      </c>
      <c r="P577" s="345">
        <v>1447</v>
      </c>
      <c r="Q577" s="232"/>
      <c r="R577" s="345">
        <v>29561</v>
      </c>
      <c r="S577" s="345">
        <v>-436</v>
      </c>
      <c r="T577" s="345">
        <v>29125</v>
      </c>
    </row>
    <row r="578" spans="1:20">
      <c r="A578" s="351">
        <v>96201</v>
      </c>
      <c r="B578" s="344" t="s">
        <v>1273</v>
      </c>
      <c r="C578" s="235">
        <v>1.0575000000000001E-3</v>
      </c>
      <c r="D578" s="235">
        <v>1.1052E-3</v>
      </c>
      <c r="E578" s="345">
        <v>2887950</v>
      </c>
      <c r="F578" s="232"/>
      <c r="G578" s="345">
        <v>494490</v>
      </c>
      <c r="H578" s="345">
        <v>70441</v>
      </c>
      <c r="I578" s="345">
        <v>470688</v>
      </c>
      <c r="J578" s="345">
        <v>0</v>
      </c>
      <c r="K578" s="345">
        <v>1035619</v>
      </c>
      <c r="L578" s="232"/>
      <c r="M578" s="345">
        <v>0</v>
      </c>
      <c r="N578" s="345">
        <v>0</v>
      </c>
      <c r="O578" s="345">
        <v>96982</v>
      </c>
      <c r="P578" s="345">
        <v>96982</v>
      </c>
      <c r="Q578" s="232"/>
      <c r="R578" s="345">
        <v>1286462</v>
      </c>
      <c r="S578" s="345">
        <v>-40906</v>
      </c>
      <c r="T578" s="345">
        <v>1245556</v>
      </c>
    </row>
    <row r="579" spans="1:20">
      <c r="A579" s="351">
        <v>96204</v>
      </c>
      <c r="B579" s="344" t="s">
        <v>1274</v>
      </c>
      <c r="C579" s="235">
        <v>1.42E-5</v>
      </c>
      <c r="D579" s="235">
        <v>1.42E-5</v>
      </c>
      <c r="E579" s="345">
        <v>38779</v>
      </c>
      <c r="F579" s="232"/>
      <c r="G579" s="345">
        <v>6640</v>
      </c>
      <c r="H579" s="345">
        <v>945</v>
      </c>
      <c r="I579" s="345">
        <v>6320</v>
      </c>
      <c r="J579" s="345">
        <v>4271</v>
      </c>
      <c r="K579" s="345">
        <v>18176</v>
      </c>
      <c r="L579" s="232"/>
      <c r="M579" s="345">
        <v>0</v>
      </c>
      <c r="N579" s="345">
        <v>0</v>
      </c>
      <c r="O579" s="345">
        <v>0</v>
      </c>
      <c r="P579" s="345">
        <v>0</v>
      </c>
      <c r="Q579" s="232"/>
      <c r="R579" s="345">
        <v>17274</v>
      </c>
      <c r="S579" s="345">
        <v>1982</v>
      </c>
      <c r="T579" s="345">
        <v>19256</v>
      </c>
    </row>
    <row r="580" spans="1:20">
      <c r="A580" s="351">
        <v>96211</v>
      </c>
      <c r="B580" s="344" t="s">
        <v>1275</v>
      </c>
      <c r="C580" s="235">
        <v>2.4000000000000001E-5</v>
      </c>
      <c r="D580" s="235">
        <v>2.8099999999999999E-5</v>
      </c>
      <c r="E580" s="345">
        <v>65542</v>
      </c>
      <c r="F580" s="232"/>
      <c r="G580" s="345">
        <v>11222</v>
      </c>
      <c r="H580" s="345">
        <v>1599</v>
      </c>
      <c r="I580" s="345">
        <v>10682</v>
      </c>
      <c r="J580" s="345">
        <v>5177</v>
      </c>
      <c r="K580" s="345">
        <v>28680</v>
      </c>
      <c r="L580" s="232"/>
      <c r="M580" s="345">
        <v>0</v>
      </c>
      <c r="N580" s="345">
        <v>0</v>
      </c>
      <c r="O580" s="345">
        <v>0</v>
      </c>
      <c r="P580" s="345">
        <v>0</v>
      </c>
      <c r="Q580" s="232"/>
      <c r="R580" s="345">
        <v>29196</v>
      </c>
      <c r="S580" s="345">
        <v>2985</v>
      </c>
      <c r="T580" s="345">
        <v>32181</v>
      </c>
    </row>
    <row r="581" spans="1:20">
      <c r="A581" s="351">
        <v>96221</v>
      </c>
      <c r="B581" s="344" t="s">
        <v>1276</v>
      </c>
      <c r="C581" s="235">
        <v>2.141E-4</v>
      </c>
      <c r="D581" s="235">
        <v>2.2809999999999999E-4</v>
      </c>
      <c r="E581" s="345">
        <v>584690</v>
      </c>
      <c r="F581" s="232"/>
      <c r="G581" s="345">
        <v>100114</v>
      </c>
      <c r="H581" s="345">
        <v>14261</v>
      </c>
      <c r="I581" s="345">
        <v>95295</v>
      </c>
      <c r="J581" s="345">
        <v>0</v>
      </c>
      <c r="K581" s="345">
        <v>209670</v>
      </c>
      <c r="L581" s="232"/>
      <c r="M581" s="345">
        <v>0</v>
      </c>
      <c r="N581" s="345">
        <v>0</v>
      </c>
      <c r="O581" s="345">
        <v>27197</v>
      </c>
      <c r="P581" s="345">
        <v>27197</v>
      </c>
      <c r="Q581" s="232"/>
      <c r="R581" s="345">
        <v>260455</v>
      </c>
      <c r="S581" s="345">
        <v>-11712</v>
      </c>
      <c r="T581" s="345">
        <v>248743</v>
      </c>
    </row>
    <row r="582" spans="1:20">
      <c r="A582" s="351">
        <v>96231</v>
      </c>
      <c r="B582" s="344" t="s">
        <v>1277</v>
      </c>
      <c r="C582" s="235">
        <v>1.2349999999999999E-4</v>
      </c>
      <c r="D582" s="235">
        <v>1.2540000000000001E-4</v>
      </c>
      <c r="E582" s="345">
        <v>337269</v>
      </c>
      <c r="F582" s="232"/>
      <c r="G582" s="345">
        <v>57749</v>
      </c>
      <c r="H582" s="345">
        <v>8227</v>
      </c>
      <c r="I582" s="345">
        <v>54969</v>
      </c>
      <c r="J582" s="345">
        <v>1276</v>
      </c>
      <c r="K582" s="345">
        <v>122221</v>
      </c>
      <c r="L582" s="232"/>
      <c r="M582" s="345">
        <v>0</v>
      </c>
      <c r="N582" s="345">
        <v>0</v>
      </c>
      <c r="O582" s="345">
        <v>25769</v>
      </c>
      <c r="P582" s="345">
        <v>25769</v>
      </c>
      <c r="Q582" s="232"/>
      <c r="R582" s="345">
        <v>150239</v>
      </c>
      <c r="S582" s="345">
        <v>-11075</v>
      </c>
      <c r="T582" s="345">
        <v>139164</v>
      </c>
    </row>
    <row r="583" spans="1:20">
      <c r="A583" s="351">
        <v>96241</v>
      </c>
      <c r="B583" s="344" t="s">
        <v>1278</v>
      </c>
      <c r="C583" s="235">
        <v>6.4499999999999996E-5</v>
      </c>
      <c r="D583" s="235">
        <v>5.4299999999999998E-5</v>
      </c>
      <c r="E583" s="345">
        <v>176144</v>
      </c>
      <c r="F583" s="232"/>
      <c r="G583" s="345">
        <v>30160</v>
      </c>
      <c r="H583" s="345">
        <v>4296</v>
      </c>
      <c r="I583" s="345">
        <v>28709</v>
      </c>
      <c r="J583" s="345">
        <v>6915</v>
      </c>
      <c r="K583" s="345">
        <v>70080</v>
      </c>
      <c r="L583" s="232"/>
      <c r="M583" s="345">
        <v>0</v>
      </c>
      <c r="N583" s="345">
        <v>0</v>
      </c>
      <c r="O583" s="345">
        <v>1315</v>
      </c>
      <c r="P583" s="345">
        <v>1315</v>
      </c>
      <c r="Q583" s="232"/>
      <c r="R583" s="345">
        <v>78465</v>
      </c>
      <c r="S583" s="345">
        <v>1042</v>
      </c>
      <c r="T583" s="345">
        <v>79507</v>
      </c>
    </row>
    <row r="584" spans="1:20">
      <c r="A584" s="351">
        <v>96251</v>
      </c>
      <c r="B584" s="344" t="s">
        <v>1279</v>
      </c>
      <c r="C584" s="235">
        <v>1.004E-4</v>
      </c>
      <c r="D584" s="235">
        <v>1.011E-4</v>
      </c>
      <c r="E584" s="345">
        <v>274185</v>
      </c>
      <c r="F584" s="232"/>
      <c r="G584" s="345">
        <v>46947</v>
      </c>
      <c r="H584" s="345">
        <v>6688</v>
      </c>
      <c r="I584" s="345">
        <v>44688</v>
      </c>
      <c r="J584" s="345">
        <v>3100</v>
      </c>
      <c r="K584" s="345">
        <v>101423</v>
      </c>
      <c r="L584" s="232"/>
      <c r="M584" s="345">
        <v>0</v>
      </c>
      <c r="N584" s="345">
        <v>0</v>
      </c>
      <c r="O584" s="345">
        <v>11724</v>
      </c>
      <c r="P584" s="345">
        <v>11724</v>
      </c>
      <c r="Q584" s="232"/>
      <c r="R584" s="345">
        <v>122138</v>
      </c>
      <c r="S584" s="345">
        <v>-7206</v>
      </c>
      <c r="T584" s="345">
        <v>114932</v>
      </c>
    </row>
    <row r="585" spans="1:20">
      <c r="A585" s="351">
        <v>96301</v>
      </c>
      <c r="B585" s="344" t="s">
        <v>1280</v>
      </c>
      <c r="C585" s="235">
        <v>4.6904E-3</v>
      </c>
      <c r="D585" s="235">
        <v>4.4197999999999998E-3</v>
      </c>
      <c r="E585" s="345">
        <v>12809117</v>
      </c>
      <c r="F585" s="232"/>
      <c r="G585" s="345">
        <v>2193245</v>
      </c>
      <c r="H585" s="345">
        <v>312433</v>
      </c>
      <c r="I585" s="345">
        <v>2087674</v>
      </c>
      <c r="J585" s="345">
        <v>171827</v>
      </c>
      <c r="K585" s="345">
        <v>4765179</v>
      </c>
      <c r="L585" s="232"/>
      <c r="M585" s="345">
        <v>0</v>
      </c>
      <c r="N585" s="345">
        <v>0</v>
      </c>
      <c r="O585" s="345">
        <v>76023</v>
      </c>
      <c r="P585" s="345">
        <v>76023</v>
      </c>
      <c r="Q585" s="232"/>
      <c r="R585" s="345">
        <v>5705933</v>
      </c>
      <c r="S585" s="345">
        <v>19036</v>
      </c>
      <c r="T585" s="345">
        <v>5724969</v>
      </c>
    </row>
    <row r="586" spans="1:20">
      <c r="A586" s="351">
        <v>96302</v>
      </c>
      <c r="B586" s="344" t="s">
        <v>1281</v>
      </c>
      <c r="C586" s="235">
        <v>2.3600000000000001E-5</v>
      </c>
      <c r="D586" s="235">
        <v>2.3499999999999999E-5</v>
      </c>
      <c r="E586" s="345">
        <v>64450</v>
      </c>
      <c r="F586" s="232"/>
      <c r="G586" s="345">
        <v>11035</v>
      </c>
      <c r="H586" s="345">
        <v>1572</v>
      </c>
      <c r="I586" s="345">
        <v>10504</v>
      </c>
      <c r="J586" s="345">
        <v>4516</v>
      </c>
      <c r="K586" s="345">
        <v>27627</v>
      </c>
      <c r="L586" s="232"/>
      <c r="M586" s="345">
        <v>0</v>
      </c>
      <c r="N586" s="345">
        <v>0</v>
      </c>
      <c r="O586" s="345">
        <v>560</v>
      </c>
      <c r="P586" s="345">
        <v>560</v>
      </c>
      <c r="Q586" s="232"/>
      <c r="R586" s="345">
        <v>28710</v>
      </c>
      <c r="S586" s="345">
        <v>2447</v>
      </c>
      <c r="T586" s="345">
        <v>31157</v>
      </c>
    </row>
    <row r="587" spans="1:20">
      <c r="A587" s="351">
        <v>96304</v>
      </c>
      <c r="B587" s="344" t="s">
        <v>1282</v>
      </c>
      <c r="C587" s="235">
        <v>4.3900000000000003E-5</v>
      </c>
      <c r="D587" s="235">
        <v>4.7500000000000003E-5</v>
      </c>
      <c r="E587" s="345">
        <v>119887</v>
      </c>
      <c r="F587" s="232"/>
      <c r="G587" s="345">
        <v>20528</v>
      </c>
      <c r="H587" s="345">
        <v>2925</v>
      </c>
      <c r="I587" s="345">
        <v>19540</v>
      </c>
      <c r="J587" s="345">
        <v>8818</v>
      </c>
      <c r="K587" s="345">
        <v>51811</v>
      </c>
      <c r="L587" s="232"/>
      <c r="M587" s="345">
        <v>0</v>
      </c>
      <c r="N587" s="345">
        <v>0</v>
      </c>
      <c r="O587" s="345">
        <v>489</v>
      </c>
      <c r="P587" s="345">
        <v>489</v>
      </c>
      <c r="Q587" s="232"/>
      <c r="R587" s="345">
        <v>53405</v>
      </c>
      <c r="S587" s="345">
        <v>4307</v>
      </c>
      <c r="T587" s="345">
        <v>57712</v>
      </c>
    </row>
    <row r="588" spans="1:20" ht="30">
      <c r="A588" s="351">
        <v>96305</v>
      </c>
      <c r="B588" s="344" t="s">
        <v>1283</v>
      </c>
      <c r="C588" s="235">
        <v>4.1199999999999999E-5</v>
      </c>
      <c r="D588" s="235">
        <v>4.1100000000000003E-5</v>
      </c>
      <c r="E588" s="345">
        <v>112514</v>
      </c>
      <c r="F588" s="232"/>
      <c r="G588" s="345">
        <v>19265</v>
      </c>
      <c r="H588" s="345">
        <v>2745</v>
      </c>
      <c r="I588" s="345">
        <v>18338</v>
      </c>
      <c r="J588" s="345">
        <v>17174</v>
      </c>
      <c r="K588" s="345">
        <v>57522</v>
      </c>
      <c r="L588" s="232"/>
      <c r="M588" s="345">
        <v>0</v>
      </c>
      <c r="N588" s="345">
        <v>0</v>
      </c>
      <c r="O588" s="345">
        <v>0</v>
      </c>
      <c r="P588" s="345">
        <v>0</v>
      </c>
      <c r="Q588" s="232"/>
      <c r="R588" s="345">
        <v>50120</v>
      </c>
      <c r="S588" s="345">
        <v>8111</v>
      </c>
      <c r="T588" s="345">
        <v>58231</v>
      </c>
    </row>
    <row r="589" spans="1:20">
      <c r="A589" s="351">
        <v>96310</v>
      </c>
      <c r="B589" s="344" t="s">
        <v>1284</v>
      </c>
      <c r="C589" s="235">
        <v>4.49E-5</v>
      </c>
      <c r="D589" s="235">
        <v>5.02E-5</v>
      </c>
      <c r="E589" s="345">
        <v>122618</v>
      </c>
      <c r="F589" s="232"/>
      <c r="G589" s="345">
        <v>20995</v>
      </c>
      <c r="H589" s="345">
        <v>2991</v>
      </c>
      <c r="I589" s="345">
        <v>19985</v>
      </c>
      <c r="J589" s="345">
        <v>3610</v>
      </c>
      <c r="K589" s="345">
        <v>47581</v>
      </c>
      <c r="L589" s="232"/>
      <c r="M589" s="345">
        <v>0</v>
      </c>
      <c r="N589" s="345">
        <v>0</v>
      </c>
      <c r="O589" s="345">
        <v>4525</v>
      </c>
      <c r="P589" s="345">
        <v>4525</v>
      </c>
      <c r="Q589" s="232"/>
      <c r="R589" s="345">
        <v>54621</v>
      </c>
      <c r="S589" s="345">
        <v>127</v>
      </c>
      <c r="T589" s="345">
        <v>54748</v>
      </c>
    </row>
    <row r="590" spans="1:20">
      <c r="A590" s="351">
        <v>96311</v>
      </c>
      <c r="B590" s="344" t="s">
        <v>1285</v>
      </c>
      <c r="C590" s="235">
        <v>1.3112E-3</v>
      </c>
      <c r="D590" s="235">
        <v>1.3328000000000001E-3</v>
      </c>
      <c r="E590" s="345">
        <v>3580785</v>
      </c>
      <c r="F590" s="232"/>
      <c r="G590" s="345">
        <v>613121</v>
      </c>
      <c r="H590" s="345">
        <v>87340</v>
      </c>
      <c r="I590" s="345">
        <v>583609</v>
      </c>
      <c r="J590" s="345">
        <v>0</v>
      </c>
      <c r="K590" s="345">
        <v>1284070</v>
      </c>
      <c r="L590" s="232"/>
      <c r="M590" s="345">
        <v>0</v>
      </c>
      <c r="N590" s="345">
        <v>0</v>
      </c>
      <c r="O590" s="345">
        <v>106196</v>
      </c>
      <c r="P590" s="345">
        <v>106196</v>
      </c>
      <c r="Q590" s="232"/>
      <c r="R590" s="345">
        <v>1595092</v>
      </c>
      <c r="S590" s="345">
        <v>-58466</v>
      </c>
      <c r="T590" s="345">
        <v>1536626</v>
      </c>
    </row>
    <row r="591" spans="1:20">
      <c r="A591" s="351">
        <v>96312</v>
      </c>
      <c r="B591" s="344" t="s">
        <v>1286</v>
      </c>
      <c r="C591" s="235">
        <v>5.8000000000000004E-6</v>
      </c>
      <c r="D591" s="235">
        <v>6.1E-6</v>
      </c>
      <c r="E591" s="345">
        <v>15839</v>
      </c>
      <c r="F591" s="232"/>
      <c r="G591" s="345">
        <v>2712</v>
      </c>
      <c r="H591" s="345">
        <v>386</v>
      </c>
      <c r="I591" s="345">
        <v>2582</v>
      </c>
      <c r="J591" s="345">
        <v>3816</v>
      </c>
      <c r="K591" s="345">
        <v>9496</v>
      </c>
      <c r="L591" s="232"/>
      <c r="M591" s="345">
        <v>0</v>
      </c>
      <c r="N591" s="345">
        <v>0</v>
      </c>
      <c r="O591" s="345">
        <v>5173</v>
      </c>
      <c r="P591" s="345">
        <v>5173</v>
      </c>
      <c r="Q591" s="232"/>
      <c r="R591" s="345">
        <v>7056</v>
      </c>
      <c r="S591" s="345">
        <v>76</v>
      </c>
      <c r="T591" s="345">
        <v>7132</v>
      </c>
    </row>
    <row r="592" spans="1:20">
      <c r="A592" s="351">
        <v>96318</v>
      </c>
      <c r="B592" s="344" t="s">
        <v>1287</v>
      </c>
      <c r="C592" s="235">
        <v>2.2319000000000002E-3</v>
      </c>
      <c r="D592" s="235">
        <v>2.2098999999999999E-3</v>
      </c>
      <c r="E592" s="345">
        <v>6095145</v>
      </c>
      <c r="F592" s="232"/>
      <c r="G592" s="345">
        <v>1043643</v>
      </c>
      <c r="H592" s="345">
        <v>148669</v>
      </c>
      <c r="I592" s="345">
        <v>993408</v>
      </c>
      <c r="J592" s="345">
        <v>2592518</v>
      </c>
      <c r="K592" s="345">
        <v>4778238</v>
      </c>
      <c r="L592" s="232"/>
      <c r="M592" s="345">
        <v>0</v>
      </c>
      <c r="N592" s="345">
        <v>0</v>
      </c>
      <c r="O592" s="345">
        <v>0</v>
      </c>
      <c r="P592" s="345">
        <v>0</v>
      </c>
      <c r="Q592" s="232"/>
      <c r="R592" s="345">
        <v>2715135</v>
      </c>
      <c r="S592" s="345">
        <v>2724340</v>
      </c>
      <c r="T592" s="345">
        <v>5439475</v>
      </c>
    </row>
    <row r="593" spans="1:20">
      <c r="A593" s="351">
        <v>96321</v>
      </c>
      <c r="B593" s="344" t="s">
        <v>1288</v>
      </c>
      <c r="C593" s="235">
        <v>3.65E-5</v>
      </c>
      <c r="D593" s="235">
        <v>3.7299999999999999E-5</v>
      </c>
      <c r="E593" s="345">
        <v>99679</v>
      </c>
      <c r="F593" s="232"/>
      <c r="G593" s="345">
        <v>17068</v>
      </c>
      <c r="H593" s="345">
        <v>2431</v>
      </c>
      <c r="I593" s="345">
        <v>16246</v>
      </c>
      <c r="J593" s="345">
        <v>1536</v>
      </c>
      <c r="K593" s="345">
        <v>37281</v>
      </c>
      <c r="L593" s="232"/>
      <c r="M593" s="345">
        <v>0</v>
      </c>
      <c r="N593" s="345">
        <v>0</v>
      </c>
      <c r="O593" s="345">
        <v>643</v>
      </c>
      <c r="P593" s="345">
        <v>643</v>
      </c>
      <c r="Q593" s="232"/>
      <c r="R593" s="345">
        <v>44403</v>
      </c>
      <c r="S593" s="345">
        <v>78</v>
      </c>
      <c r="T593" s="345">
        <v>44481</v>
      </c>
    </row>
    <row r="594" spans="1:20">
      <c r="A594" s="351">
        <v>96331</v>
      </c>
      <c r="B594" s="344" t="s">
        <v>1289</v>
      </c>
      <c r="C594" s="235">
        <v>7.4430000000000004E-4</v>
      </c>
      <c r="D594" s="235">
        <v>7.0220000000000005E-4</v>
      </c>
      <c r="E594" s="345">
        <v>2032625</v>
      </c>
      <c r="F594" s="232"/>
      <c r="G594" s="345">
        <v>348037</v>
      </c>
      <c r="H594" s="345">
        <v>49578</v>
      </c>
      <c r="I594" s="345">
        <v>331284</v>
      </c>
      <c r="J594" s="345">
        <v>0</v>
      </c>
      <c r="K594" s="345">
        <v>728899</v>
      </c>
      <c r="L594" s="232"/>
      <c r="M594" s="345">
        <v>0</v>
      </c>
      <c r="N594" s="345">
        <v>0</v>
      </c>
      <c r="O594" s="345">
        <v>45892</v>
      </c>
      <c r="P594" s="345">
        <v>45892</v>
      </c>
      <c r="Q594" s="232"/>
      <c r="R594" s="345">
        <v>905451</v>
      </c>
      <c r="S594" s="345">
        <v>-23208</v>
      </c>
      <c r="T594" s="345">
        <v>882243</v>
      </c>
    </row>
    <row r="595" spans="1:20">
      <c r="A595" s="351">
        <v>96341</v>
      </c>
      <c r="B595" s="344" t="s">
        <v>1290</v>
      </c>
      <c r="C595" s="235">
        <v>7.8200000000000003E-5</v>
      </c>
      <c r="D595" s="235">
        <v>9.1399999999999999E-5</v>
      </c>
      <c r="E595" s="345">
        <v>213558</v>
      </c>
      <c r="F595" s="232"/>
      <c r="G595" s="345">
        <v>36567</v>
      </c>
      <c r="H595" s="345">
        <v>5209</v>
      </c>
      <c r="I595" s="345">
        <v>34806</v>
      </c>
      <c r="J595" s="345">
        <v>2758</v>
      </c>
      <c r="K595" s="345">
        <v>79340</v>
      </c>
      <c r="L595" s="232"/>
      <c r="M595" s="345">
        <v>0</v>
      </c>
      <c r="N595" s="345">
        <v>0</v>
      </c>
      <c r="O595" s="345">
        <v>16316</v>
      </c>
      <c r="P595" s="345">
        <v>16316</v>
      </c>
      <c r="Q595" s="232"/>
      <c r="R595" s="345">
        <v>95131</v>
      </c>
      <c r="S595" s="345">
        <v>-491</v>
      </c>
      <c r="T595" s="345">
        <v>94640</v>
      </c>
    </row>
    <row r="596" spans="1:20">
      <c r="A596" s="351">
        <v>96351</v>
      </c>
      <c r="B596" s="344" t="s">
        <v>1291</v>
      </c>
      <c r="C596" s="235">
        <v>1.0093000000000001E-3</v>
      </c>
      <c r="D596" s="235">
        <v>1.0456E-3</v>
      </c>
      <c r="E596" s="345">
        <v>2756320</v>
      </c>
      <c r="F596" s="232"/>
      <c r="G596" s="345">
        <v>471952</v>
      </c>
      <c r="H596" s="345">
        <v>67231</v>
      </c>
      <c r="I596" s="345">
        <v>449234</v>
      </c>
      <c r="J596" s="345">
        <v>0</v>
      </c>
      <c r="K596" s="345">
        <v>988417</v>
      </c>
      <c r="L596" s="232"/>
      <c r="M596" s="345">
        <v>0</v>
      </c>
      <c r="N596" s="345">
        <v>0</v>
      </c>
      <c r="O596" s="345">
        <v>45454</v>
      </c>
      <c r="P596" s="345">
        <v>45454</v>
      </c>
      <c r="Q596" s="232"/>
      <c r="R596" s="345">
        <v>1227827</v>
      </c>
      <c r="S596" s="345">
        <v>-17713</v>
      </c>
      <c r="T596" s="345">
        <v>1210114</v>
      </c>
    </row>
    <row r="597" spans="1:20">
      <c r="A597" s="351">
        <v>96361</v>
      </c>
      <c r="B597" s="344" t="s">
        <v>1292</v>
      </c>
      <c r="C597" s="235">
        <v>4.1100000000000003E-5</v>
      </c>
      <c r="D597" s="235">
        <v>4.9400000000000001E-5</v>
      </c>
      <c r="E597" s="345">
        <v>112241</v>
      </c>
      <c r="F597" s="232"/>
      <c r="G597" s="345">
        <v>19218</v>
      </c>
      <c r="H597" s="345">
        <v>2738</v>
      </c>
      <c r="I597" s="345">
        <v>18293</v>
      </c>
      <c r="J597" s="345">
        <v>714</v>
      </c>
      <c r="K597" s="345">
        <v>40963</v>
      </c>
      <c r="L597" s="232"/>
      <c r="M597" s="345">
        <v>0</v>
      </c>
      <c r="N597" s="345">
        <v>0</v>
      </c>
      <c r="O597" s="345">
        <v>8246</v>
      </c>
      <c r="P597" s="345">
        <v>8246</v>
      </c>
      <c r="Q597" s="232"/>
      <c r="R597" s="345">
        <v>49999</v>
      </c>
      <c r="S597" s="345">
        <v>-1925</v>
      </c>
      <c r="T597" s="345">
        <v>48074</v>
      </c>
    </row>
    <row r="598" spans="1:20">
      <c r="A598" s="351">
        <v>96371</v>
      </c>
      <c r="B598" s="344" t="s">
        <v>1293</v>
      </c>
      <c r="C598" s="235">
        <v>1.5100000000000001E-4</v>
      </c>
      <c r="D598" s="235">
        <v>1.4200000000000001E-4</v>
      </c>
      <c r="E598" s="345">
        <v>412369</v>
      </c>
      <c r="F598" s="232"/>
      <c r="G598" s="345">
        <v>70608</v>
      </c>
      <c r="H598" s="345">
        <v>10058</v>
      </c>
      <c r="I598" s="345">
        <v>67209</v>
      </c>
      <c r="J598" s="345">
        <v>7242</v>
      </c>
      <c r="K598" s="345">
        <v>155117</v>
      </c>
      <c r="L598" s="232"/>
      <c r="M598" s="345">
        <v>0</v>
      </c>
      <c r="N598" s="345">
        <v>0</v>
      </c>
      <c r="O598" s="345">
        <v>10278</v>
      </c>
      <c r="P598" s="345">
        <v>10278</v>
      </c>
      <c r="Q598" s="232"/>
      <c r="R598" s="345">
        <v>183693</v>
      </c>
      <c r="S598" s="345">
        <v>-3983</v>
      </c>
      <c r="T598" s="345">
        <v>179710</v>
      </c>
    </row>
    <row r="599" spans="1:20">
      <c r="A599" s="351">
        <v>96381</v>
      </c>
      <c r="B599" s="344" t="s">
        <v>1294</v>
      </c>
      <c r="C599" s="235">
        <v>3.2799999999999998E-5</v>
      </c>
      <c r="D599" s="235">
        <v>3.5200000000000002E-5</v>
      </c>
      <c r="E599" s="345">
        <v>89574</v>
      </c>
      <c r="F599" s="232"/>
      <c r="G599" s="345">
        <v>15337</v>
      </c>
      <c r="H599" s="345">
        <v>2184</v>
      </c>
      <c r="I599" s="345">
        <v>14599</v>
      </c>
      <c r="J599" s="345">
        <v>1260</v>
      </c>
      <c r="K599" s="345">
        <v>33380</v>
      </c>
      <c r="L599" s="232"/>
      <c r="M599" s="345">
        <v>0</v>
      </c>
      <c r="N599" s="345">
        <v>0</v>
      </c>
      <c r="O599" s="345">
        <v>1913</v>
      </c>
      <c r="P599" s="345">
        <v>1913</v>
      </c>
      <c r="Q599" s="232"/>
      <c r="R599" s="345">
        <v>39902</v>
      </c>
      <c r="S599" s="345">
        <v>-662</v>
      </c>
      <c r="T599" s="345">
        <v>39240</v>
      </c>
    </row>
    <row r="600" spans="1:20">
      <c r="A600" s="351">
        <v>96391</v>
      </c>
      <c r="B600" s="344" t="s">
        <v>1295</v>
      </c>
      <c r="C600" s="235">
        <v>2.0560000000000001E-4</v>
      </c>
      <c r="D600" s="235">
        <v>2.1350000000000001E-4</v>
      </c>
      <c r="E600" s="345">
        <v>561478</v>
      </c>
      <c r="F600" s="232"/>
      <c r="G600" s="345">
        <v>96139</v>
      </c>
      <c r="H600" s="345">
        <v>13695</v>
      </c>
      <c r="I600" s="345">
        <v>91512</v>
      </c>
      <c r="J600" s="345">
        <v>0</v>
      </c>
      <c r="K600" s="345">
        <v>201346</v>
      </c>
      <c r="L600" s="232"/>
      <c r="M600" s="345">
        <v>0</v>
      </c>
      <c r="N600" s="345">
        <v>0</v>
      </c>
      <c r="O600" s="345">
        <v>33780</v>
      </c>
      <c r="P600" s="345">
        <v>33780</v>
      </c>
      <c r="Q600" s="232"/>
      <c r="R600" s="345">
        <v>250115</v>
      </c>
      <c r="S600" s="345">
        <v>-15455</v>
      </c>
      <c r="T600" s="345">
        <v>234660</v>
      </c>
    </row>
    <row r="601" spans="1:20">
      <c r="A601" s="351">
        <v>96401</v>
      </c>
      <c r="B601" s="344" t="s">
        <v>1296</v>
      </c>
      <c r="C601" s="235">
        <v>4.3956000000000004E-3</v>
      </c>
      <c r="D601" s="235">
        <v>4.4764999999999996E-3</v>
      </c>
      <c r="E601" s="345">
        <v>12004041</v>
      </c>
      <c r="F601" s="232"/>
      <c r="G601" s="345">
        <v>2055396</v>
      </c>
      <c r="H601" s="345">
        <v>292795</v>
      </c>
      <c r="I601" s="345">
        <v>1956460</v>
      </c>
      <c r="J601" s="345">
        <v>0</v>
      </c>
      <c r="K601" s="345">
        <v>4304651</v>
      </c>
      <c r="L601" s="232"/>
      <c r="M601" s="345">
        <v>0</v>
      </c>
      <c r="N601" s="345">
        <v>0</v>
      </c>
      <c r="O601" s="345">
        <v>164633</v>
      </c>
      <c r="P601" s="345">
        <v>164633</v>
      </c>
      <c r="Q601" s="232"/>
      <c r="R601" s="345">
        <v>5347305</v>
      </c>
      <c r="S601" s="345">
        <v>-64735</v>
      </c>
      <c r="T601" s="345">
        <v>5282570</v>
      </c>
    </row>
    <row r="602" spans="1:20">
      <c r="A602" s="351">
        <v>96404</v>
      </c>
      <c r="B602" s="344" t="s">
        <v>1297</v>
      </c>
      <c r="C602" s="235">
        <v>9.8300000000000004E-5</v>
      </c>
      <c r="D602" s="235">
        <v>9.98E-5</v>
      </c>
      <c r="E602" s="345">
        <v>268450</v>
      </c>
      <c r="F602" s="232"/>
      <c r="G602" s="345">
        <v>45965</v>
      </c>
      <c r="H602" s="345">
        <v>6548</v>
      </c>
      <c r="I602" s="345">
        <v>43753</v>
      </c>
      <c r="J602" s="345">
        <v>26376</v>
      </c>
      <c r="K602" s="345">
        <v>122642</v>
      </c>
      <c r="L602" s="232"/>
      <c r="M602" s="345">
        <v>0</v>
      </c>
      <c r="N602" s="345">
        <v>0</v>
      </c>
      <c r="O602" s="345">
        <v>0</v>
      </c>
      <c r="P602" s="345">
        <v>0</v>
      </c>
      <c r="Q602" s="232"/>
      <c r="R602" s="345">
        <v>119583</v>
      </c>
      <c r="S602" s="345">
        <v>13291</v>
      </c>
      <c r="T602" s="345">
        <v>132874</v>
      </c>
    </row>
    <row r="603" spans="1:20">
      <c r="A603" s="351">
        <v>96405</v>
      </c>
      <c r="B603" s="344" t="s">
        <v>1298</v>
      </c>
      <c r="C603" s="235">
        <v>1.4569999999999999E-4</v>
      </c>
      <c r="D603" s="235">
        <v>1.3219999999999999E-4</v>
      </c>
      <c r="E603" s="345">
        <v>397895</v>
      </c>
      <c r="F603" s="232"/>
      <c r="G603" s="345">
        <v>68130</v>
      </c>
      <c r="H603" s="345">
        <v>9705</v>
      </c>
      <c r="I603" s="345">
        <v>64850</v>
      </c>
      <c r="J603" s="345">
        <v>25301</v>
      </c>
      <c r="K603" s="345">
        <v>167986</v>
      </c>
      <c r="L603" s="232"/>
      <c r="M603" s="345">
        <v>0</v>
      </c>
      <c r="N603" s="345">
        <v>0</v>
      </c>
      <c r="O603" s="345">
        <v>1039</v>
      </c>
      <c r="P603" s="345">
        <v>1039</v>
      </c>
      <c r="Q603" s="232"/>
      <c r="R603" s="345">
        <v>177246</v>
      </c>
      <c r="S603" s="345">
        <v>10392</v>
      </c>
      <c r="T603" s="345">
        <v>187638</v>
      </c>
    </row>
    <row r="604" spans="1:20">
      <c r="A604" s="351">
        <v>96411</v>
      </c>
      <c r="B604" s="344" t="s">
        <v>1299</v>
      </c>
      <c r="C604" s="235">
        <v>7.0900000000000002E-5</v>
      </c>
      <c r="D604" s="235">
        <v>7.1899999999999999E-5</v>
      </c>
      <c r="E604" s="345">
        <v>193622</v>
      </c>
      <c r="F604" s="232"/>
      <c r="G604" s="345">
        <v>33153</v>
      </c>
      <c r="H604" s="345">
        <v>4723</v>
      </c>
      <c r="I604" s="345">
        <v>31557</v>
      </c>
      <c r="J604" s="345">
        <v>3500</v>
      </c>
      <c r="K604" s="345">
        <v>72933</v>
      </c>
      <c r="L604" s="232"/>
      <c r="M604" s="345">
        <v>0</v>
      </c>
      <c r="N604" s="345">
        <v>0</v>
      </c>
      <c r="O604" s="345">
        <v>6794</v>
      </c>
      <c r="P604" s="345">
        <v>6794</v>
      </c>
      <c r="Q604" s="232"/>
      <c r="R604" s="345">
        <v>86251</v>
      </c>
      <c r="S604" s="345">
        <v>1393</v>
      </c>
      <c r="T604" s="345">
        <v>87644</v>
      </c>
    </row>
    <row r="605" spans="1:20">
      <c r="A605" s="351">
        <v>96421</v>
      </c>
      <c r="B605" s="344" t="s">
        <v>1300</v>
      </c>
      <c r="C605" s="235">
        <v>3.8010000000000002E-4</v>
      </c>
      <c r="D605" s="235">
        <v>4.2880000000000001E-4</v>
      </c>
      <c r="E605" s="345">
        <v>1038023</v>
      </c>
      <c r="F605" s="232"/>
      <c r="G605" s="345">
        <v>177736</v>
      </c>
      <c r="H605" s="345">
        <v>25319</v>
      </c>
      <c r="I605" s="345">
        <v>169181</v>
      </c>
      <c r="J605" s="345">
        <v>0</v>
      </c>
      <c r="K605" s="345">
        <v>372236</v>
      </c>
      <c r="L605" s="232"/>
      <c r="M605" s="345">
        <v>0</v>
      </c>
      <c r="N605" s="345">
        <v>0</v>
      </c>
      <c r="O605" s="345">
        <v>89739</v>
      </c>
      <c r="P605" s="345">
        <v>89739</v>
      </c>
      <c r="Q605" s="232"/>
      <c r="R605" s="345">
        <v>462397</v>
      </c>
      <c r="S605" s="345">
        <v>-42723</v>
      </c>
      <c r="T605" s="345">
        <v>419674</v>
      </c>
    </row>
    <row r="606" spans="1:20">
      <c r="A606" s="351">
        <v>96431</v>
      </c>
      <c r="B606" s="344" t="s">
        <v>1301</v>
      </c>
      <c r="C606" s="235">
        <v>3.3599999999999997E-5</v>
      </c>
      <c r="D606" s="235">
        <v>3.0599999999999998E-5</v>
      </c>
      <c r="E606" s="345">
        <v>91759</v>
      </c>
      <c r="F606" s="232"/>
      <c r="G606" s="345">
        <v>15711</v>
      </c>
      <c r="H606" s="345">
        <v>2238</v>
      </c>
      <c r="I606" s="345">
        <v>14955</v>
      </c>
      <c r="J606" s="345">
        <v>9792</v>
      </c>
      <c r="K606" s="345">
        <v>42696</v>
      </c>
      <c r="L606" s="232"/>
      <c r="M606" s="345">
        <v>0</v>
      </c>
      <c r="N606" s="345">
        <v>0</v>
      </c>
      <c r="O606" s="345">
        <v>6223</v>
      </c>
      <c r="P606" s="345">
        <v>6223</v>
      </c>
      <c r="Q606" s="232"/>
      <c r="R606" s="345">
        <v>40875</v>
      </c>
      <c r="S606" s="345">
        <v>812</v>
      </c>
      <c r="T606" s="345">
        <v>41687</v>
      </c>
    </row>
    <row r="607" spans="1:20">
      <c r="A607" s="351">
        <v>96441</v>
      </c>
      <c r="B607" s="344" t="s">
        <v>1302</v>
      </c>
      <c r="C607" s="235">
        <v>1.8499999999999999E-5</v>
      </c>
      <c r="D607" s="235">
        <v>2.8E-5</v>
      </c>
      <c r="E607" s="345">
        <v>50522</v>
      </c>
      <c r="F607" s="232"/>
      <c r="G607" s="345">
        <v>8651</v>
      </c>
      <c r="H607" s="345">
        <v>1232</v>
      </c>
      <c r="I607" s="345">
        <v>8234</v>
      </c>
      <c r="J607" s="345">
        <v>1604</v>
      </c>
      <c r="K607" s="345">
        <v>19721</v>
      </c>
      <c r="L607" s="232"/>
      <c r="M607" s="345">
        <v>0</v>
      </c>
      <c r="N607" s="345">
        <v>0</v>
      </c>
      <c r="O607" s="345">
        <v>4025</v>
      </c>
      <c r="P607" s="345">
        <v>4025</v>
      </c>
      <c r="Q607" s="232"/>
      <c r="R607" s="345">
        <v>22505</v>
      </c>
      <c r="S607" s="345">
        <v>1757</v>
      </c>
      <c r="T607" s="345">
        <v>24262</v>
      </c>
    </row>
    <row r="608" spans="1:20">
      <c r="A608" s="351">
        <v>96451</v>
      </c>
      <c r="B608" s="344" t="s">
        <v>1303</v>
      </c>
      <c r="C608" s="235">
        <v>7.4000000000000003E-6</v>
      </c>
      <c r="D608" s="235">
        <v>1.8700000000000001E-5</v>
      </c>
      <c r="E608" s="345">
        <v>20209</v>
      </c>
      <c r="F608" s="232"/>
      <c r="G608" s="345">
        <v>3460</v>
      </c>
      <c r="H608" s="345">
        <v>493</v>
      </c>
      <c r="I608" s="345">
        <v>3294</v>
      </c>
      <c r="J608" s="345">
        <v>2684</v>
      </c>
      <c r="K608" s="345">
        <v>9931</v>
      </c>
      <c r="L608" s="232"/>
      <c r="M608" s="345">
        <v>0</v>
      </c>
      <c r="N608" s="345">
        <v>0</v>
      </c>
      <c r="O608" s="345">
        <v>7497</v>
      </c>
      <c r="P608" s="345">
        <v>7497</v>
      </c>
      <c r="Q608" s="232"/>
      <c r="R608" s="345">
        <v>9002</v>
      </c>
      <c r="S608" s="345">
        <v>-545</v>
      </c>
      <c r="T608" s="345">
        <v>8457</v>
      </c>
    </row>
    <row r="609" spans="1:20">
      <c r="A609" s="351">
        <v>96461</v>
      </c>
      <c r="B609" s="344" t="s">
        <v>1304</v>
      </c>
      <c r="C609" s="235">
        <v>1.361E-4</v>
      </c>
      <c r="D609" s="235">
        <v>1.538E-4</v>
      </c>
      <c r="E609" s="345">
        <v>371678</v>
      </c>
      <c r="F609" s="232"/>
      <c r="G609" s="345">
        <v>63641</v>
      </c>
      <c r="H609" s="345">
        <v>9066</v>
      </c>
      <c r="I609" s="345">
        <v>60577</v>
      </c>
      <c r="J609" s="345">
        <v>8805</v>
      </c>
      <c r="K609" s="345">
        <v>142089</v>
      </c>
      <c r="L609" s="232"/>
      <c r="M609" s="345">
        <v>0</v>
      </c>
      <c r="N609" s="345">
        <v>0</v>
      </c>
      <c r="O609" s="345">
        <v>23490</v>
      </c>
      <c r="P609" s="345">
        <v>23490</v>
      </c>
      <c r="Q609" s="232"/>
      <c r="R609" s="345">
        <v>165567</v>
      </c>
      <c r="S609" s="345">
        <v>-9680</v>
      </c>
      <c r="T609" s="345">
        <v>155887</v>
      </c>
    </row>
    <row r="610" spans="1:20">
      <c r="A610" s="351">
        <v>96501</v>
      </c>
      <c r="B610" s="344" t="s">
        <v>1305</v>
      </c>
      <c r="C610" s="235">
        <v>1.46477E-2</v>
      </c>
      <c r="D610" s="235">
        <v>1.453E-2</v>
      </c>
      <c r="E610" s="345">
        <v>40001726</v>
      </c>
      <c r="F610" s="232"/>
      <c r="G610" s="345">
        <v>6849308</v>
      </c>
      <c r="H610" s="345">
        <v>975697</v>
      </c>
      <c r="I610" s="345">
        <v>6519618</v>
      </c>
      <c r="J610" s="345">
        <v>87197</v>
      </c>
      <c r="K610" s="345">
        <v>14431820</v>
      </c>
      <c r="L610" s="232"/>
      <c r="M610" s="345">
        <v>0</v>
      </c>
      <c r="N610" s="345">
        <v>0</v>
      </c>
      <c r="O610" s="345">
        <v>155849</v>
      </c>
      <c r="P610" s="345">
        <v>155849</v>
      </c>
      <c r="Q610" s="232"/>
      <c r="R610" s="345">
        <v>17819117</v>
      </c>
      <c r="S610" s="345">
        <v>-17</v>
      </c>
      <c r="T610" s="345">
        <v>17819100</v>
      </c>
    </row>
    <row r="611" spans="1:20">
      <c r="A611" s="351">
        <v>96502</v>
      </c>
      <c r="B611" s="344" t="s">
        <v>2765</v>
      </c>
      <c r="C611" s="235">
        <v>4.082E-4</v>
      </c>
      <c r="D611" s="235">
        <v>4.059E-4</v>
      </c>
      <c r="E611" s="345">
        <v>1114762</v>
      </c>
      <c r="F611" s="232"/>
      <c r="G611" s="345">
        <v>190876</v>
      </c>
      <c r="H611" s="345">
        <v>27191</v>
      </c>
      <c r="I611" s="345">
        <v>181688</v>
      </c>
      <c r="J611" s="345">
        <v>19956</v>
      </c>
      <c r="K611" s="345">
        <v>419711</v>
      </c>
      <c r="L611" s="232"/>
      <c r="M611" s="345">
        <v>0</v>
      </c>
      <c r="N611" s="345">
        <v>0</v>
      </c>
      <c r="O611" s="345">
        <v>0</v>
      </c>
      <c r="P611" s="345">
        <v>0</v>
      </c>
      <c r="Q611" s="232"/>
      <c r="R611" s="345">
        <v>496581</v>
      </c>
      <c r="S611" s="345">
        <v>13518</v>
      </c>
      <c r="T611" s="345">
        <v>510099</v>
      </c>
    </row>
    <row r="612" spans="1:20">
      <c r="A612" s="351">
        <v>96503</v>
      </c>
      <c r="B612" s="344" t="s">
        <v>1307</v>
      </c>
      <c r="C612" s="235">
        <v>3.1940000000000001E-4</v>
      </c>
      <c r="D612" s="235">
        <v>2.856E-4</v>
      </c>
      <c r="E612" s="345">
        <v>872256</v>
      </c>
      <c r="F612" s="232"/>
      <c r="G612" s="345">
        <v>149352</v>
      </c>
      <c r="H612" s="345">
        <v>21276</v>
      </c>
      <c r="I612" s="345">
        <v>142163</v>
      </c>
      <c r="J612" s="345">
        <v>368263</v>
      </c>
      <c r="K612" s="345">
        <v>681054</v>
      </c>
      <c r="L612" s="232"/>
      <c r="M612" s="345">
        <v>0</v>
      </c>
      <c r="N612" s="345">
        <v>0</v>
      </c>
      <c r="O612" s="345">
        <v>0</v>
      </c>
      <c r="P612" s="345">
        <v>0</v>
      </c>
      <c r="Q612" s="232"/>
      <c r="R612" s="345">
        <v>388554</v>
      </c>
      <c r="S612" s="345">
        <v>162134</v>
      </c>
      <c r="T612" s="345">
        <v>550688</v>
      </c>
    </row>
    <row r="613" spans="1:20">
      <c r="A613" s="351">
        <v>96504</v>
      </c>
      <c r="B613" s="344" t="s">
        <v>1308</v>
      </c>
      <c r="C613" s="235">
        <v>4.3649999999999998E-4</v>
      </c>
      <c r="D613" s="235">
        <v>4.0900000000000002E-4</v>
      </c>
      <c r="E613" s="345">
        <v>1192047</v>
      </c>
      <c r="F613" s="232"/>
      <c r="G613" s="345">
        <v>204109</v>
      </c>
      <c r="H613" s="345">
        <v>29075</v>
      </c>
      <c r="I613" s="345">
        <v>194284</v>
      </c>
      <c r="J613" s="345">
        <v>38910</v>
      </c>
      <c r="K613" s="345">
        <v>466378</v>
      </c>
      <c r="L613" s="232"/>
      <c r="M613" s="345">
        <v>0</v>
      </c>
      <c r="N613" s="345">
        <v>0</v>
      </c>
      <c r="O613" s="345">
        <v>1792</v>
      </c>
      <c r="P613" s="345">
        <v>1792</v>
      </c>
      <c r="Q613" s="232"/>
      <c r="R613" s="345">
        <v>531008</v>
      </c>
      <c r="S613" s="345">
        <v>15969</v>
      </c>
      <c r="T613" s="345">
        <v>546977</v>
      </c>
    </row>
    <row r="614" spans="1:20">
      <c r="A614" s="351">
        <v>96507</v>
      </c>
      <c r="B614" s="344" t="s">
        <v>1309</v>
      </c>
      <c r="C614" s="235">
        <v>2.3281999999999999E-3</v>
      </c>
      <c r="D614" s="235">
        <v>2.2176000000000001E-3</v>
      </c>
      <c r="E614" s="345">
        <v>6358133</v>
      </c>
      <c r="F614" s="232"/>
      <c r="G614" s="345">
        <v>1088673</v>
      </c>
      <c r="H614" s="345">
        <v>155083</v>
      </c>
      <c r="I614" s="345">
        <v>1036270</v>
      </c>
      <c r="J614" s="345">
        <v>159186</v>
      </c>
      <c r="K614" s="345">
        <v>2439212</v>
      </c>
      <c r="L614" s="232"/>
      <c r="M614" s="345">
        <v>0</v>
      </c>
      <c r="N614" s="345">
        <v>0</v>
      </c>
      <c r="O614" s="345">
        <v>11396</v>
      </c>
      <c r="P614" s="345">
        <v>11396</v>
      </c>
      <c r="Q614" s="232"/>
      <c r="R614" s="345">
        <v>2832286</v>
      </c>
      <c r="S614" s="345">
        <v>67778</v>
      </c>
      <c r="T614" s="345">
        <v>2900064</v>
      </c>
    </row>
    <row r="615" spans="1:20">
      <c r="A615" s="351">
        <v>96508</v>
      </c>
      <c r="B615" s="344" t="s">
        <v>3690</v>
      </c>
      <c r="C615" s="235">
        <v>5.9000000000000003E-6</v>
      </c>
      <c r="D615" s="235">
        <v>7.4000000000000003E-6</v>
      </c>
      <c r="E615" s="345">
        <v>16112</v>
      </c>
      <c r="F615" s="232"/>
      <c r="G615" s="345">
        <v>2759</v>
      </c>
      <c r="H615" s="345">
        <v>393</v>
      </c>
      <c r="I615" s="345">
        <v>2626</v>
      </c>
      <c r="J615" s="345">
        <v>13832</v>
      </c>
      <c r="K615" s="345">
        <v>19610</v>
      </c>
      <c r="L615" s="232"/>
      <c r="M615" s="345">
        <v>0</v>
      </c>
      <c r="N615" s="345">
        <v>0</v>
      </c>
      <c r="O615" s="345">
        <v>0</v>
      </c>
      <c r="P615" s="345">
        <v>0</v>
      </c>
      <c r="Q615" s="232"/>
      <c r="R615" s="345">
        <v>7177</v>
      </c>
      <c r="S615" s="345">
        <v>6229</v>
      </c>
      <c r="T615" s="345">
        <v>13406</v>
      </c>
    </row>
    <row r="616" spans="1:20">
      <c r="A616" s="351">
        <v>96511</v>
      </c>
      <c r="B616" s="344" t="s">
        <v>1311</v>
      </c>
      <c r="C616" s="235">
        <v>6.0519999999999997E-4</v>
      </c>
      <c r="D616" s="235">
        <v>6.1580000000000001E-4</v>
      </c>
      <c r="E616" s="345">
        <v>1652754</v>
      </c>
      <c r="F616" s="232"/>
      <c r="G616" s="345">
        <v>282993</v>
      </c>
      <c r="H616" s="345">
        <v>40313</v>
      </c>
      <c r="I616" s="345">
        <v>269371</v>
      </c>
      <c r="J616" s="345">
        <v>0</v>
      </c>
      <c r="K616" s="345">
        <v>592677</v>
      </c>
      <c r="L616" s="232"/>
      <c r="M616" s="345">
        <v>0</v>
      </c>
      <c r="N616" s="345">
        <v>0</v>
      </c>
      <c r="O616" s="345">
        <v>45820</v>
      </c>
      <c r="P616" s="345">
        <v>45820</v>
      </c>
      <c r="Q616" s="232"/>
      <c r="R616" s="345">
        <v>736234</v>
      </c>
      <c r="S616" s="345">
        <v>-31787</v>
      </c>
      <c r="T616" s="345">
        <v>704447</v>
      </c>
    </row>
    <row r="617" spans="1:20">
      <c r="A617" s="351">
        <v>96512</v>
      </c>
      <c r="B617" s="344" t="s">
        <v>1312</v>
      </c>
      <c r="C617" s="235">
        <v>1.528E-4</v>
      </c>
      <c r="D617" s="235">
        <v>1.5899999999999999E-4</v>
      </c>
      <c r="E617" s="345">
        <v>417285</v>
      </c>
      <c r="F617" s="232"/>
      <c r="G617" s="345">
        <v>71450</v>
      </c>
      <c r="H617" s="345">
        <v>10178</v>
      </c>
      <c r="I617" s="345">
        <v>68011</v>
      </c>
      <c r="J617" s="345">
        <v>6021</v>
      </c>
      <c r="K617" s="345">
        <v>155660</v>
      </c>
      <c r="L617" s="232"/>
      <c r="M617" s="345">
        <v>0</v>
      </c>
      <c r="N617" s="345">
        <v>0</v>
      </c>
      <c r="O617" s="345">
        <v>6275</v>
      </c>
      <c r="P617" s="345">
        <v>6275</v>
      </c>
      <c r="Q617" s="232"/>
      <c r="R617" s="345">
        <v>185883</v>
      </c>
      <c r="S617" s="345">
        <v>1167</v>
      </c>
      <c r="T617" s="345">
        <v>187050</v>
      </c>
    </row>
    <row r="618" spans="1:20">
      <c r="A618" s="351">
        <v>96521</v>
      </c>
      <c r="B618" s="344" t="s">
        <v>1313</v>
      </c>
      <c r="C618" s="235">
        <v>9.3479999999999995E-4</v>
      </c>
      <c r="D618" s="235">
        <v>9.6719999999999998E-4</v>
      </c>
      <c r="E618" s="345">
        <v>2552866</v>
      </c>
      <c r="F618" s="232"/>
      <c r="G618" s="345">
        <v>437115</v>
      </c>
      <c r="H618" s="345">
        <v>62268</v>
      </c>
      <c r="I618" s="345">
        <v>416075</v>
      </c>
      <c r="J618" s="345">
        <v>0</v>
      </c>
      <c r="K618" s="345">
        <v>915458</v>
      </c>
      <c r="L618" s="232"/>
      <c r="M618" s="345">
        <v>0</v>
      </c>
      <c r="N618" s="345">
        <v>0</v>
      </c>
      <c r="O618" s="345">
        <v>100716</v>
      </c>
      <c r="P618" s="345">
        <v>100716</v>
      </c>
      <c r="Q618" s="232"/>
      <c r="R618" s="345">
        <v>1137196</v>
      </c>
      <c r="S618" s="345">
        <v>-20296</v>
      </c>
      <c r="T618" s="345">
        <v>1116900</v>
      </c>
    </row>
    <row r="619" spans="1:20">
      <c r="A619" s="351">
        <v>96531</v>
      </c>
      <c r="B619" s="344" t="s">
        <v>1314</v>
      </c>
      <c r="C619" s="235">
        <v>8.6105999999999995E-3</v>
      </c>
      <c r="D619" s="235">
        <v>8.7183999999999994E-3</v>
      </c>
      <c r="E619" s="345">
        <v>23514877</v>
      </c>
      <c r="F619" s="232"/>
      <c r="G619" s="345">
        <v>4026342</v>
      </c>
      <c r="H619" s="345">
        <v>573560</v>
      </c>
      <c r="I619" s="345">
        <v>3832535</v>
      </c>
      <c r="J619" s="345">
        <v>0</v>
      </c>
      <c r="K619" s="345">
        <v>8432437</v>
      </c>
      <c r="L619" s="232"/>
      <c r="M619" s="345">
        <v>0</v>
      </c>
      <c r="N619" s="345">
        <v>0</v>
      </c>
      <c r="O619" s="345">
        <v>411642</v>
      </c>
      <c r="P619" s="345">
        <v>411642</v>
      </c>
      <c r="Q619" s="232"/>
      <c r="R619" s="345">
        <v>10474907</v>
      </c>
      <c r="S619" s="345">
        <v>-174600</v>
      </c>
      <c r="T619" s="345">
        <v>10300307</v>
      </c>
    </row>
    <row r="620" spans="1:20">
      <c r="A620" s="351">
        <v>96541</v>
      </c>
      <c r="B620" s="344" t="s">
        <v>1315</v>
      </c>
      <c r="C620" s="235">
        <v>3.8709999999999998E-4</v>
      </c>
      <c r="D620" s="235">
        <v>3.5780000000000002E-4</v>
      </c>
      <c r="E620" s="345">
        <v>1057140</v>
      </c>
      <c r="F620" s="232"/>
      <c r="G620" s="345">
        <v>181009</v>
      </c>
      <c r="H620" s="345">
        <v>25785</v>
      </c>
      <c r="I620" s="345">
        <v>172296</v>
      </c>
      <c r="J620" s="345">
        <v>15689</v>
      </c>
      <c r="K620" s="345">
        <v>394779</v>
      </c>
      <c r="L620" s="232"/>
      <c r="M620" s="345">
        <v>0</v>
      </c>
      <c r="N620" s="345">
        <v>0</v>
      </c>
      <c r="O620" s="345">
        <v>3863</v>
      </c>
      <c r="P620" s="345">
        <v>3863</v>
      </c>
      <c r="Q620" s="232"/>
      <c r="R620" s="345">
        <v>470912</v>
      </c>
      <c r="S620" s="345">
        <v>6333</v>
      </c>
      <c r="T620" s="345">
        <v>477245</v>
      </c>
    </row>
    <row r="621" spans="1:20">
      <c r="A621" s="351">
        <v>96601</v>
      </c>
      <c r="B621" s="344" t="s">
        <v>1316</v>
      </c>
      <c r="C621" s="235">
        <v>1.7417999999999999E-3</v>
      </c>
      <c r="D621" s="235">
        <v>1.7382999999999999E-3</v>
      </c>
      <c r="E621" s="345">
        <v>4756720</v>
      </c>
      <c r="F621" s="232"/>
      <c r="G621" s="345">
        <v>814471</v>
      </c>
      <c r="H621" s="345">
        <v>116023</v>
      </c>
      <c r="I621" s="345">
        <v>775266</v>
      </c>
      <c r="J621" s="345">
        <v>26011</v>
      </c>
      <c r="K621" s="345">
        <v>1731771</v>
      </c>
      <c r="L621" s="232"/>
      <c r="M621" s="345">
        <v>0</v>
      </c>
      <c r="N621" s="345">
        <v>0</v>
      </c>
      <c r="O621" s="345">
        <v>57193</v>
      </c>
      <c r="P621" s="345">
        <v>57193</v>
      </c>
      <c r="Q621" s="232"/>
      <c r="R621" s="345">
        <v>2118922</v>
      </c>
      <c r="S621" s="345">
        <v>-10516</v>
      </c>
      <c r="T621" s="345">
        <v>2108406</v>
      </c>
    </row>
    <row r="622" spans="1:20">
      <c r="A622" s="351">
        <v>96604</v>
      </c>
      <c r="B622" s="344" t="s">
        <v>1317</v>
      </c>
      <c r="C622" s="235">
        <v>5.3000000000000001E-6</v>
      </c>
      <c r="D622" s="235">
        <v>5.5999999999999997E-6</v>
      </c>
      <c r="E622" s="345">
        <v>14474</v>
      </c>
      <c r="F622" s="232"/>
      <c r="G622" s="345">
        <v>2478</v>
      </c>
      <c r="H622" s="345">
        <v>353</v>
      </c>
      <c r="I622" s="345">
        <v>2359</v>
      </c>
      <c r="J622" s="345">
        <v>2335</v>
      </c>
      <c r="K622" s="345">
        <v>7525</v>
      </c>
      <c r="L622" s="232"/>
      <c r="M622" s="345">
        <v>0</v>
      </c>
      <c r="N622" s="345">
        <v>0</v>
      </c>
      <c r="O622" s="345">
        <v>0</v>
      </c>
      <c r="P622" s="345">
        <v>0</v>
      </c>
      <c r="Q622" s="232"/>
      <c r="R622" s="345">
        <v>6448</v>
      </c>
      <c r="S622" s="345">
        <v>881</v>
      </c>
      <c r="T622" s="345">
        <v>7329</v>
      </c>
    </row>
    <row r="623" spans="1:20">
      <c r="A623" s="351">
        <v>96611</v>
      </c>
      <c r="B623" s="344" t="s">
        <v>1318</v>
      </c>
      <c r="C623" s="235">
        <v>1.3900000000000001E-5</v>
      </c>
      <c r="D623" s="235">
        <v>2.41E-5</v>
      </c>
      <c r="E623" s="345">
        <v>37960</v>
      </c>
      <c r="F623" s="232"/>
      <c r="G623" s="345">
        <v>6500</v>
      </c>
      <c r="H623" s="345">
        <v>926</v>
      </c>
      <c r="I623" s="345">
        <v>6187</v>
      </c>
      <c r="J623" s="345">
        <v>121</v>
      </c>
      <c r="K623" s="345">
        <v>13734</v>
      </c>
      <c r="L623" s="232"/>
      <c r="M623" s="345">
        <v>0</v>
      </c>
      <c r="N623" s="345">
        <v>0</v>
      </c>
      <c r="O623" s="345">
        <v>7722</v>
      </c>
      <c r="P623" s="345">
        <v>7722</v>
      </c>
      <c r="Q623" s="232"/>
      <c r="R623" s="345">
        <v>16910</v>
      </c>
      <c r="S623" s="345">
        <v>-2592</v>
      </c>
      <c r="T623" s="345">
        <v>14318</v>
      </c>
    </row>
    <row r="624" spans="1:20">
      <c r="A624" s="351">
        <v>96612</v>
      </c>
      <c r="B624" s="344" t="s">
        <v>2767</v>
      </c>
      <c r="C624" s="235">
        <v>5.5099999999999998E-5</v>
      </c>
      <c r="D624" s="235">
        <v>5.4500000000000003E-5</v>
      </c>
      <c r="E624" s="345">
        <v>150474</v>
      </c>
      <c r="F624" s="232"/>
      <c r="G624" s="345">
        <v>25765</v>
      </c>
      <c r="H624" s="345">
        <v>3670</v>
      </c>
      <c r="I624" s="345">
        <v>24525</v>
      </c>
      <c r="J624" s="345">
        <v>9540</v>
      </c>
      <c r="K624" s="345">
        <v>63500</v>
      </c>
      <c r="L624" s="232"/>
      <c r="M624" s="345">
        <v>0</v>
      </c>
      <c r="N624" s="345">
        <v>0</v>
      </c>
      <c r="O624" s="345">
        <v>1698</v>
      </c>
      <c r="P624" s="345">
        <v>1698</v>
      </c>
      <c r="Q624" s="232"/>
      <c r="R624" s="345">
        <v>67030</v>
      </c>
      <c r="S624" s="345">
        <v>3984</v>
      </c>
      <c r="T624" s="345">
        <v>71014</v>
      </c>
    </row>
    <row r="625" spans="1:20">
      <c r="A625" s="351">
        <v>96621</v>
      </c>
      <c r="B625" s="344" t="s">
        <v>1320</v>
      </c>
      <c r="C625" s="235">
        <v>2.09E-5</v>
      </c>
      <c r="D625" s="235">
        <v>1.9199999999999999E-5</v>
      </c>
      <c r="E625" s="345">
        <v>57076</v>
      </c>
      <c r="F625" s="232"/>
      <c r="G625" s="345">
        <v>9773</v>
      </c>
      <c r="H625" s="345">
        <v>1392</v>
      </c>
      <c r="I625" s="345">
        <v>9302</v>
      </c>
      <c r="J625" s="345">
        <v>2357</v>
      </c>
      <c r="K625" s="345">
        <v>22824</v>
      </c>
      <c r="L625" s="232"/>
      <c r="M625" s="345">
        <v>0</v>
      </c>
      <c r="N625" s="345">
        <v>0</v>
      </c>
      <c r="O625" s="345">
        <v>2640</v>
      </c>
      <c r="P625" s="345">
        <v>2640</v>
      </c>
      <c r="Q625" s="232"/>
      <c r="R625" s="345">
        <v>25425</v>
      </c>
      <c r="S625" s="345">
        <v>-638</v>
      </c>
      <c r="T625" s="345">
        <v>24787</v>
      </c>
    </row>
    <row r="626" spans="1:20">
      <c r="A626" s="351">
        <v>96631</v>
      </c>
      <c r="B626" s="344" t="s">
        <v>1321</v>
      </c>
      <c r="C626" s="235">
        <v>2.1800000000000001E-5</v>
      </c>
      <c r="D626" s="235">
        <v>2.3600000000000001E-5</v>
      </c>
      <c r="E626" s="345">
        <v>59534</v>
      </c>
      <c r="F626" s="232"/>
      <c r="G626" s="345">
        <v>10194</v>
      </c>
      <c r="H626" s="345">
        <v>1452</v>
      </c>
      <c r="I626" s="345">
        <v>9703</v>
      </c>
      <c r="J626" s="345">
        <v>0</v>
      </c>
      <c r="K626" s="345">
        <v>21349</v>
      </c>
      <c r="L626" s="232"/>
      <c r="M626" s="345">
        <v>0</v>
      </c>
      <c r="N626" s="345">
        <v>0</v>
      </c>
      <c r="O626" s="345">
        <v>891</v>
      </c>
      <c r="P626" s="345">
        <v>891</v>
      </c>
      <c r="Q626" s="232"/>
      <c r="R626" s="345">
        <v>26520</v>
      </c>
      <c r="S626" s="345">
        <v>793</v>
      </c>
      <c r="T626" s="345">
        <v>27313</v>
      </c>
    </row>
    <row r="627" spans="1:20">
      <c r="A627" s="351">
        <v>96641</v>
      </c>
      <c r="B627" s="344" t="s">
        <v>1322</v>
      </c>
      <c r="C627" s="235">
        <v>3.3800000000000002E-5</v>
      </c>
      <c r="D627" s="235">
        <v>3.2100000000000001E-5</v>
      </c>
      <c r="E627" s="345">
        <v>92305</v>
      </c>
      <c r="F627" s="232"/>
      <c r="G627" s="345">
        <v>15805</v>
      </c>
      <c r="H627" s="345">
        <v>2252</v>
      </c>
      <c r="I627" s="345">
        <v>15044</v>
      </c>
      <c r="J627" s="345">
        <v>15476</v>
      </c>
      <c r="K627" s="345">
        <v>48577</v>
      </c>
      <c r="L627" s="232"/>
      <c r="M627" s="345">
        <v>0</v>
      </c>
      <c r="N627" s="345">
        <v>0</v>
      </c>
      <c r="O627" s="345">
        <v>0</v>
      </c>
      <c r="P627" s="345">
        <v>0</v>
      </c>
      <c r="Q627" s="232"/>
      <c r="R627" s="345">
        <v>41118</v>
      </c>
      <c r="S627" s="345">
        <v>7087</v>
      </c>
      <c r="T627" s="345">
        <v>48205</v>
      </c>
    </row>
    <row r="628" spans="1:20">
      <c r="A628" s="351">
        <v>96651</v>
      </c>
      <c r="B628" s="344" t="s">
        <v>1323</v>
      </c>
      <c r="C628" s="235">
        <v>1.8499999999999999E-5</v>
      </c>
      <c r="D628" s="235">
        <v>1.9400000000000001E-5</v>
      </c>
      <c r="E628" s="345">
        <v>50522</v>
      </c>
      <c r="F628" s="232"/>
      <c r="G628" s="345">
        <v>8651</v>
      </c>
      <c r="H628" s="345">
        <v>1232</v>
      </c>
      <c r="I628" s="345">
        <v>8234</v>
      </c>
      <c r="J628" s="345">
        <v>1993</v>
      </c>
      <c r="K628" s="345">
        <v>20110</v>
      </c>
      <c r="L628" s="232"/>
      <c r="M628" s="345">
        <v>0</v>
      </c>
      <c r="N628" s="345">
        <v>0</v>
      </c>
      <c r="O628" s="345">
        <v>3543</v>
      </c>
      <c r="P628" s="345">
        <v>3543</v>
      </c>
      <c r="Q628" s="232"/>
      <c r="R628" s="345">
        <v>22505</v>
      </c>
      <c r="S628" s="345">
        <v>-353</v>
      </c>
      <c r="T628" s="345">
        <v>22152</v>
      </c>
    </row>
    <row r="629" spans="1:20">
      <c r="A629" s="351">
        <v>96661</v>
      </c>
      <c r="B629" s="344" t="s">
        <v>1324</v>
      </c>
      <c r="C629" s="235">
        <v>1.8099999999999999E-5</v>
      </c>
      <c r="D629" s="235">
        <v>1.9000000000000001E-5</v>
      </c>
      <c r="E629" s="345">
        <v>49430</v>
      </c>
      <c r="F629" s="232"/>
      <c r="G629" s="345">
        <v>8464</v>
      </c>
      <c r="H629" s="345">
        <v>1206</v>
      </c>
      <c r="I629" s="345">
        <v>8056</v>
      </c>
      <c r="J629" s="345">
        <v>1831</v>
      </c>
      <c r="K629" s="345">
        <v>19557</v>
      </c>
      <c r="L629" s="232"/>
      <c r="M629" s="345">
        <v>0</v>
      </c>
      <c r="N629" s="345">
        <v>0</v>
      </c>
      <c r="O629" s="345">
        <v>165</v>
      </c>
      <c r="P629" s="345">
        <v>165</v>
      </c>
      <c r="Q629" s="232"/>
      <c r="R629" s="345">
        <v>22019</v>
      </c>
      <c r="S629" s="345">
        <v>1824</v>
      </c>
      <c r="T629" s="345">
        <v>23843</v>
      </c>
    </row>
    <row r="630" spans="1:20">
      <c r="A630" s="351">
        <v>96671</v>
      </c>
      <c r="B630" s="344" t="s">
        <v>1325</v>
      </c>
      <c r="C630" s="235">
        <v>1.26E-5</v>
      </c>
      <c r="D630" s="235">
        <v>1.3900000000000001E-5</v>
      </c>
      <c r="E630" s="345">
        <v>34410</v>
      </c>
      <c r="F630" s="232"/>
      <c r="G630" s="345">
        <v>5892</v>
      </c>
      <c r="H630" s="345">
        <v>840</v>
      </c>
      <c r="I630" s="345">
        <v>5608</v>
      </c>
      <c r="J630" s="345">
        <v>3261</v>
      </c>
      <c r="K630" s="345">
        <v>15601</v>
      </c>
      <c r="L630" s="232"/>
      <c r="M630" s="345">
        <v>0</v>
      </c>
      <c r="N630" s="345">
        <v>0</v>
      </c>
      <c r="O630" s="345">
        <v>0</v>
      </c>
      <c r="P630" s="345">
        <v>0</v>
      </c>
      <c r="Q630" s="232"/>
      <c r="R630" s="345">
        <v>15328</v>
      </c>
      <c r="S630" s="345">
        <v>3907</v>
      </c>
      <c r="T630" s="345">
        <v>19235</v>
      </c>
    </row>
    <row r="631" spans="1:20">
      <c r="A631" s="351">
        <v>96681</v>
      </c>
      <c r="B631" s="344" t="s">
        <v>1326</v>
      </c>
      <c r="C631" s="235">
        <v>2.2399999999999999E-5</v>
      </c>
      <c r="D631" s="235">
        <v>2.0599999999999999E-5</v>
      </c>
      <c r="E631" s="345">
        <v>61173</v>
      </c>
      <c r="F631" s="232"/>
      <c r="G631" s="345">
        <v>10474</v>
      </c>
      <c r="H631" s="345">
        <v>1492</v>
      </c>
      <c r="I631" s="345">
        <v>9970</v>
      </c>
      <c r="J631" s="345">
        <v>12153</v>
      </c>
      <c r="K631" s="345">
        <v>34089</v>
      </c>
      <c r="L631" s="232"/>
      <c r="M631" s="345">
        <v>0</v>
      </c>
      <c r="N631" s="345">
        <v>0</v>
      </c>
      <c r="O631" s="345">
        <v>4141</v>
      </c>
      <c r="P631" s="345">
        <v>4141</v>
      </c>
      <c r="Q631" s="232"/>
      <c r="R631" s="345">
        <v>27250</v>
      </c>
      <c r="S631" s="345">
        <v>6193</v>
      </c>
      <c r="T631" s="345">
        <v>33443</v>
      </c>
    </row>
    <row r="632" spans="1:20">
      <c r="A632" s="351">
        <v>96701</v>
      </c>
      <c r="B632" s="344" t="s">
        <v>1327</v>
      </c>
      <c r="C632" s="235">
        <v>8.4864999999999993E-3</v>
      </c>
      <c r="D632" s="235">
        <v>8.5999000000000006E-3</v>
      </c>
      <c r="E632" s="345">
        <v>23175970</v>
      </c>
      <c r="F632" s="232"/>
      <c r="G632" s="345">
        <v>3968313</v>
      </c>
      <c r="H632" s="345">
        <v>565294</v>
      </c>
      <c r="I632" s="345">
        <v>3777299</v>
      </c>
      <c r="J632" s="345">
        <v>129653</v>
      </c>
      <c r="K632" s="345">
        <v>8440559</v>
      </c>
      <c r="L632" s="232"/>
      <c r="M632" s="345">
        <v>0</v>
      </c>
      <c r="N632" s="345">
        <v>0</v>
      </c>
      <c r="O632" s="345">
        <v>465920</v>
      </c>
      <c r="P632" s="345">
        <v>465920</v>
      </c>
      <c r="Q632" s="232"/>
      <c r="R632" s="345">
        <v>10323938</v>
      </c>
      <c r="S632" s="345">
        <v>16462</v>
      </c>
      <c r="T632" s="345">
        <v>10340400</v>
      </c>
    </row>
    <row r="633" spans="1:20">
      <c r="A633" s="351">
        <v>96704</v>
      </c>
      <c r="B633" s="344" t="s">
        <v>1328</v>
      </c>
      <c r="C633" s="235">
        <v>1.873E-4</v>
      </c>
      <c r="D633" s="235">
        <v>1.7550000000000001E-4</v>
      </c>
      <c r="E633" s="345">
        <v>511502</v>
      </c>
      <c r="F633" s="232"/>
      <c r="G633" s="345">
        <v>87582</v>
      </c>
      <c r="H633" s="345">
        <v>12476</v>
      </c>
      <c r="I633" s="345">
        <v>83366</v>
      </c>
      <c r="J633" s="345">
        <v>55402</v>
      </c>
      <c r="K633" s="345">
        <v>238826</v>
      </c>
      <c r="L633" s="232"/>
      <c r="M633" s="345">
        <v>0</v>
      </c>
      <c r="N633" s="345">
        <v>0</v>
      </c>
      <c r="O633" s="345">
        <v>0</v>
      </c>
      <c r="P633" s="345">
        <v>0</v>
      </c>
      <c r="Q633" s="232"/>
      <c r="R633" s="345">
        <v>227853</v>
      </c>
      <c r="S633" s="345">
        <v>18669</v>
      </c>
      <c r="T633" s="345">
        <v>246522</v>
      </c>
    </row>
    <row r="634" spans="1:20">
      <c r="A634" s="351">
        <v>96708</v>
      </c>
      <c r="B634" s="344" t="s">
        <v>1329</v>
      </c>
      <c r="C634" s="235">
        <v>8.7410000000000005E-4</v>
      </c>
      <c r="D634" s="235">
        <v>8.8579999999999996E-4</v>
      </c>
      <c r="E634" s="345">
        <v>2387099</v>
      </c>
      <c r="F634" s="232"/>
      <c r="G634" s="345">
        <v>408732</v>
      </c>
      <c r="H634" s="345">
        <v>58224</v>
      </c>
      <c r="I634" s="345">
        <v>389058</v>
      </c>
      <c r="J634" s="345">
        <v>83282</v>
      </c>
      <c r="K634" s="345">
        <v>939296</v>
      </c>
      <c r="L634" s="232"/>
      <c r="M634" s="345">
        <v>0</v>
      </c>
      <c r="N634" s="345">
        <v>0</v>
      </c>
      <c r="O634" s="345">
        <v>5984</v>
      </c>
      <c r="P634" s="345">
        <v>5984</v>
      </c>
      <c r="Q634" s="232"/>
      <c r="R634" s="345">
        <v>1063354</v>
      </c>
      <c r="S634" s="345">
        <v>35823</v>
      </c>
      <c r="T634" s="345">
        <v>1099177</v>
      </c>
    </row>
    <row r="635" spans="1:20">
      <c r="A635" s="351">
        <v>96711</v>
      </c>
      <c r="B635" s="344" t="s">
        <v>1330</v>
      </c>
      <c r="C635" s="235">
        <v>3.7919E-3</v>
      </c>
      <c r="D635" s="235">
        <v>3.9007999999999998E-3</v>
      </c>
      <c r="E635" s="345">
        <v>10355383</v>
      </c>
      <c r="F635" s="232"/>
      <c r="G635" s="345">
        <v>1773104</v>
      </c>
      <c r="H635" s="345">
        <v>252582</v>
      </c>
      <c r="I635" s="345">
        <v>1687756</v>
      </c>
      <c r="J635" s="345">
        <v>0</v>
      </c>
      <c r="K635" s="345">
        <v>3713442</v>
      </c>
      <c r="L635" s="232"/>
      <c r="M635" s="345">
        <v>0</v>
      </c>
      <c r="N635" s="345">
        <v>0</v>
      </c>
      <c r="O635" s="345">
        <v>301826</v>
      </c>
      <c r="P635" s="345">
        <v>301826</v>
      </c>
      <c r="Q635" s="232"/>
      <c r="R635" s="345">
        <v>4612896</v>
      </c>
      <c r="S635" s="345">
        <v>-207019</v>
      </c>
      <c r="T635" s="345">
        <v>4405877</v>
      </c>
    </row>
    <row r="636" spans="1:20">
      <c r="A636" s="351">
        <v>96721</v>
      </c>
      <c r="B636" s="344" t="s">
        <v>1331</v>
      </c>
      <c r="C636" s="235">
        <v>2.1719999999999999E-4</v>
      </c>
      <c r="D636" s="235">
        <v>2.1790000000000001E-4</v>
      </c>
      <c r="E636" s="345">
        <v>593156</v>
      </c>
      <c r="F636" s="232"/>
      <c r="G636" s="345">
        <v>101563</v>
      </c>
      <c r="H636" s="345">
        <v>14468</v>
      </c>
      <c r="I636" s="345">
        <v>96675</v>
      </c>
      <c r="J636" s="345">
        <v>5560</v>
      </c>
      <c r="K636" s="345">
        <v>218266</v>
      </c>
      <c r="L636" s="232"/>
      <c r="M636" s="345">
        <v>0</v>
      </c>
      <c r="N636" s="345">
        <v>0</v>
      </c>
      <c r="O636" s="345">
        <v>11234</v>
      </c>
      <c r="P636" s="345">
        <v>11234</v>
      </c>
      <c r="Q636" s="232"/>
      <c r="R636" s="345">
        <v>264227</v>
      </c>
      <c r="S636" s="345">
        <v>-7051</v>
      </c>
      <c r="T636" s="345">
        <v>257176</v>
      </c>
    </row>
    <row r="637" spans="1:20">
      <c r="A637" s="351">
        <v>96731</v>
      </c>
      <c r="B637" s="344" t="s">
        <v>1332</v>
      </c>
      <c r="C637" s="235">
        <v>1.763E-4</v>
      </c>
      <c r="D637" s="235">
        <v>1.7019999999999999E-4</v>
      </c>
      <c r="E637" s="345">
        <v>481462</v>
      </c>
      <c r="F637" s="232"/>
      <c r="G637" s="345">
        <v>82438</v>
      </c>
      <c r="H637" s="345">
        <v>11744</v>
      </c>
      <c r="I637" s="345">
        <v>78470</v>
      </c>
      <c r="J637" s="345">
        <v>7384</v>
      </c>
      <c r="K637" s="345">
        <v>180036</v>
      </c>
      <c r="L637" s="232"/>
      <c r="M637" s="345">
        <v>0</v>
      </c>
      <c r="N637" s="345">
        <v>0</v>
      </c>
      <c r="O637" s="345">
        <v>1328</v>
      </c>
      <c r="P637" s="345">
        <v>1328</v>
      </c>
      <c r="Q637" s="232"/>
      <c r="R637" s="345">
        <v>214471</v>
      </c>
      <c r="S637" s="345">
        <v>6633</v>
      </c>
      <c r="T637" s="345">
        <v>221104</v>
      </c>
    </row>
    <row r="638" spans="1:20">
      <c r="A638" s="351">
        <v>96733</v>
      </c>
      <c r="B638" s="344" t="s">
        <v>1333</v>
      </c>
      <c r="C638" s="235">
        <v>6.4999999999999996E-6</v>
      </c>
      <c r="D638" s="235">
        <v>1.1800000000000001E-5</v>
      </c>
      <c r="E638" s="345">
        <v>17751</v>
      </c>
      <c r="F638" s="232"/>
      <c r="G638" s="345">
        <v>3039</v>
      </c>
      <c r="H638" s="345">
        <v>433</v>
      </c>
      <c r="I638" s="345">
        <v>2893</v>
      </c>
      <c r="J638" s="345">
        <v>2536</v>
      </c>
      <c r="K638" s="345">
        <v>8901</v>
      </c>
      <c r="L638" s="232"/>
      <c r="M638" s="345">
        <v>0</v>
      </c>
      <c r="N638" s="345">
        <v>0</v>
      </c>
      <c r="O638" s="345">
        <v>5920</v>
      </c>
      <c r="P638" s="345">
        <v>5920</v>
      </c>
      <c r="Q638" s="232"/>
      <c r="R638" s="345">
        <v>7907</v>
      </c>
      <c r="S638" s="345">
        <v>-272</v>
      </c>
      <c r="T638" s="345">
        <v>7635</v>
      </c>
    </row>
    <row r="639" spans="1:20">
      <c r="A639" s="351">
        <v>96741</v>
      </c>
      <c r="B639" s="344" t="s">
        <v>1334</v>
      </c>
      <c r="C639" s="235">
        <v>9.6799999999999995E-5</v>
      </c>
      <c r="D639" s="235">
        <v>9.8900000000000005E-5</v>
      </c>
      <c r="E639" s="345">
        <v>264353</v>
      </c>
      <c r="F639" s="232"/>
      <c r="G639" s="345">
        <v>45264</v>
      </c>
      <c r="H639" s="345">
        <v>6448</v>
      </c>
      <c r="I639" s="345">
        <v>43085</v>
      </c>
      <c r="J639" s="345">
        <v>2105</v>
      </c>
      <c r="K639" s="345">
        <v>96902</v>
      </c>
      <c r="L639" s="232"/>
      <c r="M639" s="345">
        <v>0</v>
      </c>
      <c r="N639" s="345">
        <v>0</v>
      </c>
      <c r="O639" s="345">
        <v>5235</v>
      </c>
      <c r="P639" s="345">
        <v>5235</v>
      </c>
      <c r="Q639" s="232"/>
      <c r="R639" s="345">
        <v>117758</v>
      </c>
      <c r="S639" s="345">
        <v>205</v>
      </c>
      <c r="T639" s="345">
        <v>117963</v>
      </c>
    </row>
    <row r="640" spans="1:20">
      <c r="A640" s="351">
        <v>96751</v>
      </c>
      <c r="B640" s="344" t="s">
        <v>3691</v>
      </c>
      <c r="C640" s="235">
        <v>3.054E-4</v>
      </c>
      <c r="D640" s="235">
        <v>2.7920000000000001E-4</v>
      </c>
      <c r="E640" s="345">
        <v>834024</v>
      </c>
      <c r="F640" s="232"/>
      <c r="G640" s="345">
        <v>142806</v>
      </c>
      <c r="H640" s="345">
        <v>20343</v>
      </c>
      <c r="I640" s="345">
        <v>135932</v>
      </c>
      <c r="J640" s="345">
        <v>23640</v>
      </c>
      <c r="K640" s="345">
        <v>322721</v>
      </c>
      <c r="L640" s="232"/>
      <c r="M640" s="345">
        <v>0</v>
      </c>
      <c r="N640" s="345">
        <v>0</v>
      </c>
      <c r="O640" s="345">
        <v>8623</v>
      </c>
      <c r="P640" s="345">
        <v>8623</v>
      </c>
      <c r="Q640" s="232"/>
      <c r="R640" s="345">
        <v>371523</v>
      </c>
      <c r="S640" s="345">
        <v>-5086</v>
      </c>
      <c r="T640" s="345">
        <v>366437</v>
      </c>
    </row>
    <row r="641" spans="1:20">
      <c r="A641" s="351">
        <v>96801</v>
      </c>
      <c r="B641" s="344" t="s">
        <v>1336</v>
      </c>
      <c r="C641" s="235">
        <v>7.6207000000000002E-3</v>
      </c>
      <c r="D641" s="235">
        <v>7.6252999999999998E-3</v>
      </c>
      <c r="E641" s="345">
        <v>20811537</v>
      </c>
      <c r="F641" s="232"/>
      <c r="G641" s="345">
        <v>3563462</v>
      </c>
      <c r="H641" s="345">
        <v>507622</v>
      </c>
      <c r="I641" s="345">
        <v>3391935</v>
      </c>
      <c r="J641" s="345">
        <v>112458</v>
      </c>
      <c r="K641" s="345">
        <v>7575477</v>
      </c>
      <c r="L641" s="232"/>
      <c r="M641" s="345">
        <v>0</v>
      </c>
      <c r="N641" s="345">
        <v>0</v>
      </c>
      <c r="O641" s="345">
        <v>55673</v>
      </c>
      <c r="P641" s="345">
        <v>55673</v>
      </c>
      <c r="Q641" s="232"/>
      <c r="R641" s="345">
        <v>9270681</v>
      </c>
      <c r="S641" s="345">
        <v>108734</v>
      </c>
      <c r="T641" s="345">
        <v>9379415</v>
      </c>
    </row>
    <row r="642" spans="1:20">
      <c r="A642" s="351">
        <v>96804</v>
      </c>
      <c r="B642" s="344" t="s">
        <v>1337</v>
      </c>
      <c r="C642" s="235">
        <v>2.4230000000000001E-4</v>
      </c>
      <c r="D642" s="235">
        <v>2.5539999999999997E-4</v>
      </c>
      <c r="E642" s="345">
        <v>661702</v>
      </c>
      <c r="F642" s="232"/>
      <c r="G642" s="345">
        <v>113300</v>
      </c>
      <c r="H642" s="345">
        <v>16140</v>
      </c>
      <c r="I642" s="345">
        <v>107847</v>
      </c>
      <c r="J642" s="345">
        <v>2705</v>
      </c>
      <c r="K642" s="345">
        <v>239992</v>
      </c>
      <c r="L642" s="232"/>
      <c r="M642" s="345">
        <v>0</v>
      </c>
      <c r="N642" s="345">
        <v>0</v>
      </c>
      <c r="O642" s="345">
        <v>33698</v>
      </c>
      <c r="P642" s="345">
        <v>33698</v>
      </c>
      <c r="Q642" s="232"/>
      <c r="R642" s="345">
        <v>294761</v>
      </c>
      <c r="S642" s="345">
        <v>-9191</v>
      </c>
      <c r="T642" s="345">
        <v>285570</v>
      </c>
    </row>
    <row r="643" spans="1:20">
      <c r="A643" s="351">
        <v>96808</v>
      </c>
      <c r="B643" s="344" t="s">
        <v>1338</v>
      </c>
      <c r="C643" s="235">
        <v>1.2175E-3</v>
      </c>
      <c r="D643" s="235">
        <v>1.2572E-3</v>
      </c>
      <c r="E643" s="345">
        <v>3324898</v>
      </c>
      <c r="F643" s="232"/>
      <c r="G643" s="345">
        <v>569307</v>
      </c>
      <c r="H643" s="345">
        <v>81098</v>
      </c>
      <c r="I643" s="345">
        <v>541903</v>
      </c>
      <c r="J643" s="345">
        <v>6336</v>
      </c>
      <c r="K643" s="345">
        <v>1198644</v>
      </c>
      <c r="L643" s="232"/>
      <c r="M643" s="345">
        <v>0</v>
      </c>
      <c r="N643" s="345">
        <v>0</v>
      </c>
      <c r="O643" s="345">
        <v>39806</v>
      </c>
      <c r="P643" s="345">
        <v>39806</v>
      </c>
      <c r="Q643" s="232"/>
      <c r="R643" s="345">
        <v>1481105</v>
      </c>
      <c r="S643" s="345">
        <v>572</v>
      </c>
      <c r="T643" s="345">
        <v>1481677</v>
      </c>
    </row>
    <row r="644" spans="1:20">
      <c r="A644" s="351">
        <v>96811</v>
      </c>
      <c r="B644" s="344" t="s">
        <v>1339</v>
      </c>
      <c r="C644" s="235">
        <v>5.8506000000000001E-3</v>
      </c>
      <c r="D644" s="235">
        <v>6.1249E-3</v>
      </c>
      <c r="E644" s="345">
        <v>15977532</v>
      </c>
      <c r="F644" s="232"/>
      <c r="G644" s="345">
        <v>2735758</v>
      </c>
      <c r="H644" s="345">
        <v>389714</v>
      </c>
      <c r="I644" s="345">
        <v>2604073</v>
      </c>
      <c r="J644" s="345">
        <v>18706</v>
      </c>
      <c r="K644" s="345">
        <v>5748251</v>
      </c>
      <c r="L644" s="232"/>
      <c r="M644" s="345">
        <v>0</v>
      </c>
      <c r="N644" s="345">
        <v>0</v>
      </c>
      <c r="O644" s="345">
        <v>216448</v>
      </c>
      <c r="P644" s="345">
        <v>216448</v>
      </c>
      <c r="Q644" s="232"/>
      <c r="R644" s="345">
        <v>7117331</v>
      </c>
      <c r="S644" s="345">
        <v>-57023</v>
      </c>
      <c r="T644" s="345">
        <v>7060308</v>
      </c>
    </row>
    <row r="645" spans="1:20" ht="14.25" customHeight="1">
      <c r="A645" s="351">
        <v>96821</v>
      </c>
      <c r="B645" s="344" t="s">
        <v>1340</v>
      </c>
      <c r="C645" s="235">
        <v>1.2505999999999999E-3</v>
      </c>
      <c r="D645" s="235">
        <v>1.1529999999999999E-3</v>
      </c>
      <c r="E645" s="345">
        <v>3415291</v>
      </c>
      <c r="F645" s="232"/>
      <c r="G645" s="345">
        <v>584784</v>
      </c>
      <c r="H645" s="345">
        <v>83304</v>
      </c>
      <c r="I645" s="345">
        <v>556636</v>
      </c>
      <c r="J645" s="345">
        <v>95766</v>
      </c>
      <c r="K645" s="345">
        <v>1320490</v>
      </c>
      <c r="L645" s="232"/>
      <c r="M645" s="345">
        <v>0</v>
      </c>
      <c r="N645" s="345">
        <v>0</v>
      </c>
      <c r="O645" s="345">
        <v>103219</v>
      </c>
      <c r="P645" s="345">
        <v>103219</v>
      </c>
      <c r="Q645" s="232"/>
      <c r="R645" s="345">
        <v>1521371</v>
      </c>
      <c r="S645" s="345">
        <v>-41989</v>
      </c>
      <c r="T645" s="345">
        <v>1479382</v>
      </c>
    </row>
    <row r="646" spans="1:20" ht="14.25" customHeight="1">
      <c r="A646" s="351">
        <v>96831</v>
      </c>
      <c r="B646" s="344" t="s">
        <v>1341</v>
      </c>
      <c r="C646" s="235">
        <v>9.0549999999999995E-4</v>
      </c>
      <c r="D646" s="235">
        <v>9.3130000000000003E-4</v>
      </c>
      <c r="E646" s="345">
        <v>2472850</v>
      </c>
      <c r="F646" s="232"/>
      <c r="G646" s="345">
        <v>423415</v>
      </c>
      <c r="H646" s="345">
        <v>60316</v>
      </c>
      <c r="I646" s="345">
        <v>403034</v>
      </c>
      <c r="J646" s="345">
        <v>5976</v>
      </c>
      <c r="K646" s="345">
        <v>892741</v>
      </c>
      <c r="L646" s="232"/>
      <c r="M646" s="345">
        <v>0</v>
      </c>
      <c r="N646" s="345">
        <v>0</v>
      </c>
      <c r="O646" s="345">
        <v>32451</v>
      </c>
      <c r="P646" s="345">
        <v>32451</v>
      </c>
      <c r="Q646" s="232"/>
      <c r="R646" s="345">
        <v>1101553</v>
      </c>
      <c r="S646" s="345">
        <v>3949</v>
      </c>
      <c r="T646" s="345">
        <v>1105502</v>
      </c>
    </row>
    <row r="647" spans="1:20">
      <c r="A647" s="351">
        <v>96901</v>
      </c>
      <c r="B647" s="344" t="s">
        <v>1342</v>
      </c>
      <c r="C647" s="235">
        <v>9.5589999999999998E-4</v>
      </c>
      <c r="D647" s="235">
        <v>9.1089999999999997E-4</v>
      </c>
      <c r="E647" s="345">
        <v>2610488</v>
      </c>
      <c r="F647" s="232"/>
      <c r="G647" s="345">
        <v>446982</v>
      </c>
      <c r="H647" s="345">
        <v>63673</v>
      </c>
      <c r="I647" s="345">
        <v>425466</v>
      </c>
      <c r="J647" s="345">
        <v>69955</v>
      </c>
      <c r="K647" s="345">
        <v>1006076</v>
      </c>
      <c r="L647" s="232"/>
      <c r="M647" s="345">
        <v>0</v>
      </c>
      <c r="N647" s="345">
        <v>0</v>
      </c>
      <c r="O647" s="345">
        <v>0</v>
      </c>
      <c r="P647" s="345">
        <v>0</v>
      </c>
      <c r="Q647" s="232"/>
      <c r="R647" s="345">
        <v>1162865</v>
      </c>
      <c r="S647" s="345">
        <v>35406</v>
      </c>
      <c r="T647" s="345">
        <v>1198271</v>
      </c>
    </row>
    <row r="648" spans="1:20">
      <c r="A648" s="351">
        <v>96911</v>
      </c>
      <c r="B648" s="344" t="s">
        <v>1343</v>
      </c>
      <c r="C648" s="235">
        <v>2.3E-6</v>
      </c>
      <c r="D648" s="235">
        <v>2.3E-6</v>
      </c>
      <c r="E648" s="345">
        <v>6281</v>
      </c>
      <c r="F648" s="232"/>
      <c r="G648" s="345">
        <v>1075</v>
      </c>
      <c r="H648" s="345">
        <v>153</v>
      </c>
      <c r="I648" s="345">
        <v>1024</v>
      </c>
      <c r="J648" s="345">
        <v>2054</v>
      </c>
      <c r="K648" s="345">
        <v>4306</v>
      </c>
      <c r="L648" s="232"/>
      <c r="M648" s="345">
        <v>0</v>
      </c>
      <c r="N648" s="345">
        <v>0</v>
      </c>
      <c r="O648" s="345">
        <v>928</v>
      </c>
      <c r="P648" s="345">
        <v>928</v>
      </c>
      <c r="Q648" s="232"/>
      <c r="R648" s="345">
        <v>2798</v>
      </c>
      <c r="S648" s="345">
        <v>495</v>
      </c>
      <c r="T648" s="345">
        <v>3293</v>
      </c>
    </row>
    <row r="649" spans="1:20">
      <c r="A649" s="351">
        <v>96912</v>
      </c>
      <c r="B649" s="344" t="s">
        <v>1344</v>
      </c>
      <c r="C649" s="235">
        <v>7.2000000000000002E-5</v>
      </c>
      <c r="D649" s="235">
        <v>6.8100000000000002E-5</v>
      </c>
      <c r="E649" s="345">
        <v>196626</v>
      </c>
      <c r="F649" s="232"/>
      <c r="G649" s="345">
        <v>33667</v>
      </c>
      <c r="H649" s="345">
        <v>4796</v>
      </c>
      <c r="I649" s="345">
        <v>32047</v>
      </c>
      <c r="J649" s="345">
        <v>332</v>
      </c>
      <c r="K649" s="345">
        <v>70842</v>
      </c>
      <c r="L649" s="232"/>
      <c r="M649" s="345">
        <v>0</v>
      </c>
      <c r="N649" s="345">
        <v>0</v>
      </c>
      <c r="O649" s="345">
        <v>2716</v>
      </c>
      <c r="P649" s="345">
        <v>2716</v>
      </c>
      <c r="Q649" s="232"/>
      <c r="R649" s="345">
        <v>87589</v>
      </c>
      <c r="S649" s="345">
        <v>-119</v>
      </c>
      <c r="T649" s="345">
        <v>87470</v>
      </c>
    </row>
    <row r="650" spans="1:20">
      <c r="A650" s="351">
        <v>96918</v>
      </c>
      <c r="B650" s="344" t="s">
        <v>1345</v>
      </c>
      <c r="C650" s="235">
        <v>2.9799999999999999E-5</v>
      </c>
      <c r="D650" s="235">
        <v>3.2299999999999999E-5</v>
      </c>
      <c r="E650" s="345">
        <v>81381</v>
      </c>
      <c r="F650" s="232"/>
      <c r="G650" s="345">
        <v>13935</v>
      </c>
      <c r="H650" s="345">
        <v>1985</v>
      </c>
      <c r="I650" s="345">
        <v>13264</v>
      </c>
      <c r="J650" s="345">
        <v>299</v>
      </c>
      <c r="K650" s="345">
        <v>29483</v>
      </c>
      <c r="L650" s="232"/>
      <c r="M650" s="345">
        <v>0</v>
      </c>
      <c r="N650" s="345">
        <v>0</v>
      </c>
      <c r="O650" s="345">
        <v>3151</v>
      </c>
      <c r="P650" s="345">
        <v>3151</v>
      </c>
      <c r="Q650" s="232"/>
      <c r="R650" s="345">
        <v>36252</v>
      </c>
      <c r="S650" s="345">
        <v>262</v>
      </c>
      <c r="T650" s="345">
        <v>36514</v>
      </c>
    </row>
    <row r="651" spans="1:20">
      <c r="A651" s="351">
        <v>97001</v>
      </c>
      <c r="B651" s="344" t="s">
        <v>1346</v>
      </c>
      <c r="C651" s="235">
        <v>1.3541E-3</v>
      </c>
      <c r="D651" s="235">
        <v>1.3370999999999999E-3</v>
      </c>
      <c r="E651" s="345">
        <v>3697941</v>
      </c>
      <c r="F651" s="232"/>
      <c r="G651" s="345">
        <v>633181</v>
      </c>
      <c r="H651" s="345">
        <v>90198</v>
      </c>
      <c r="I651" s="345">
        <v>602703</v>
      </c>
      <c r="J651" s="345">
        <v>105013</v>
      </c>
      <c r="K651" s="345">
        <v>1431095</v>
      </c>
      <c r="L651" s="232"/>
      <c r="M651" s="345">
        <v>0</v>
      </c>
      <c r="N651" s="345">
        <v>0</v>
      </c>
      <c r="O651" s="345">
        <v>0</v>
      </c>
      <c r="P651" s="345">
        <v>0</v>
      </c>
      <c r="Q651" s="232"/>
      <c r="R651" s="345">
        <v>1647280</v>
      </c>
      <c r="S651" s="345">
        <v>61715</v>
      </c>
      <c r="T651" s="345">
        <v>1708995</v>
      </c>
    </row>
    <row r="652" spans="1:20">
      <c r="A652" s="351">
        <v>97002</v>
      </c>
      <c r="B652" s="344" t="s">
        <v>1347</v>
      </c>
      <c r="C652" s="235">
        <v>5.04E-4</v>
      </c>
      <c r="D652" s="235">
        <v>4.8569999999999999E-4</v>
      </c>
      <c r="E652" s="345">
        <v>1376385</v>
      </c>
      <c r="F652" s="232"/>
      <c r="G652" s="345">
        <v>235672</v>
      </c>
      <c r="H652" s="345">
        <v>33572</v>
      </c>
      <c r="I652" s="345">
        <v>224328</v>
      </c>
      <c r="J652" s="345">
        <v>1791</v>
      </c>
      <c r="K652" s="345">
        <v>495363</v>
      </c>
      <c r="L652" s="232"/>
      <c r="M652" s="345">
        <v>0</v>
      </c>
      <c r="N652" s="345">
        <v>0</v>
      </c>
      <c r="O652" s="345">
        <v>90399</v>
      </c>
      <c r="P652" s="345">
        <v>90399</v>
      </c>
      <c r="Q652" s="232"/>
      <c r="R652" s="345">
        <v>613123</v>
      </c>
      <c r="S652" s="345">
        <v>-24523</v>
      </c>
      <c r="T652" s="345">
        <v>588600</v>
      </c>
    </row>
    <row r="653" spans="1:20">
      <c r="A653" s="351">
        <v>97004</v>
      </c>
      <c r="B653" s="344" t="s">
        <v>3692</v>
      </c>
      <c r="C653" s="235">
        <v>1.5400000000000002E-5</v>
      </c>
      <c r="D653" s="235">
        <v>8.4999999999999999E-6</v>
      </c>
      <c r="E653" s="345">
        <v>42056</v>
      </c>
      <c r="F653" s="232"/>
      <c r="G653" s="345">
        <v>7201</v>
      </c>
      <c r="H653" s="345">
        <v>1026</v>
      </c>
      <c r="I653" s="345">
        <v>6854</v>
      </c>
      <c r="J653" s="345">
        <v>10950</v>
      </c>
      <c r="K653" s="345">
        <v>26031</v>
      </c>
      <c r="L653" s="232"/>
      <c r="M653" s="345">
        <v>0</v>
      </c>
      <c r="N653" s="345">
        <v>0</v>
      </c>
      <c r="O653" s="345">
        <v>0</v>
      </c>
      <c r="P653" s="345">
        <v>0</v>
      </c>
      <c r="Q653" s="232"/>
      <c r="R653" s="345">
        <v>18734</v>
      </c>
      <c r="S653" s="345">
        <v>3800</v>
      </c>
      <c r="T653" s="345">
        <v>22534</v>
      </c>
    </row>
    <row r="654" spans="1:20">
      <c r="A654" s="351">
        <v>97005</v>
      </c>
      <c r="B654" s="344" t="s">
        <v>1349</v>
      </c>
      <c r="C654" s="235">
        <v>2.0100000000000001E-5</v>
      </c>
      <c r="D654" s="235">
        <v>2.7500000000000001E-5</v>
      </c>
      <c r="E654" s="345">
        <v>54892</v>
      </c>
      <c r="F654" s="232"/>
      <c r="G654" s="345">
        <v>9399</v>
      </c>
      <c r="H654" s="345">
        <v>1339</v>
      </c>
      <c r="I654" s="345">
        <v>8946</v>
      </c>
      <c r="J654" s="345">
        <v>6045</v>
      </c>
      <c r="K654" s="345">
        <v>25729</v>
      </c>
      <c r="L654" s="232"/>
      <c r="M654" s="345">
        <v>0</v>
      </c>
      <c r="N654" s="345">
        <v>0</v>
      </c>
      <c r="O654" s="345">
        <v>2125</v>
      </c>
      <c r="P654" s="345">
        <v>2125</v>
      </c>
      <c r="Q654" s="232"/>
      <c r="R654" s="345">
        <v>24452</v>
      </c>
      <c r="S654" s="345">
        <v>3013</v>
      </c>
      <c r="T654" s="345">
        <v>27465</v>
      </c>
    </row>
    <row r="655" spans="1:20">
      <c r="A655" s="351">
        <v>97008</v>
      </c>
      <c r="B655" s="344" t="s">
        <v>1350</v>
      </c>
      <c r="C655" s="235">
        <v>2.8699999999999998E-4</v>
      </c>
      <c r="D655" s="235">
        <v>2.766E-4</v>
      </c>
      <c r="E655" s="345">
        <v>783775</v>
      </c>
      <c r="F655" s="232"/>
      <c r="G655" s="345">
        <v>134202</v>
      </c>
      <c r="H655" s="345">
        <v>19118</v>
      </c>
      <c r="I655" s="345">
        <v>127742</v>
      </c>
      <c r="J655" s="345">
        <v>14195</v>
      </c>
      <c r="K655" s="345">
        <v>295257</v>
      </c>
      <c r="L655" s="232"/>
      <c r="M655" s="345">
        <v>0</v>
      </c>
      <c r="N655" s="345">
        <v>0</v>
      </c>
      <c r="O655" s="345">
        <v>3097</v>
      </c>
      <c r="P655" s="345">
        <v>3097</v>
      </c>
      <c r="Q655" s="232"/>
      <c r="R655" s="345">
        <v>349139</v>
      </c>
      <c r="S655" s="345">
        <v>1987</v>
      </c>
      <c r="T655" s="345">
        <v>351126</v>
      </c>
    </row>
    <row r="656" spans="1:20">
      <c r="A656" s="351">
        <v>97011</v>
      </c>
      <c r="B656" s="344" t="s">
        <v>1352</v>
      </c>
      <c r="C656" s="235">
        <v>1.8362999999999999E-3</v>
      </c>
      <c r="D656" s="235">
        <v>1.9426999999999999E-3</v>
      </c>
      <c r="E656" s="345">
        <v>5014792</v>
      </c>
      <c r="F656" s="232"/>
      <c r="G656" s="345">
        <v>858659</v>
      </c>
      <c r="H656" s="345">
        <v>122318</v>
      </c>
      <c r="I656" s="345">
        <v>817328</v>
      </c>
      <c r="J656" s="345">
        <v>0</v>
      </c>
      <c r="K656" s="345">
        <v>1798305</v>
      </c>
      <c r="L656" s="232"/>
      <c r="M656" s="345">
        <v>0</v>
      </c>
      <c r="N656" s="345">
        <v>0</v>
      </c>
      <c r="O656" s="345">
        <v>124899</v>
      </c>
      <c r="P656" s="345">
        <v>124899</v>
      </c>
      <c r="Q656" s="232"/>
      <c r="R656" s="345">
        <v>2233883</v>
      </c>
      <c r="S656" s="345">
        <v>-57488</v>
      </c>
      <c r="T656" s="345">
        <v>2176395</v>
      </c>
    </row>
    <row r="657" spans="1:20" ht="30">
      <c r="A657" s="351">
        <v>97012</v>
      </c>
      <c r="B657" s="344" t="s">
        <v>3693</v>
      </c>
      <c r="C657" s="235">
        <v>2.97E-5</v>
      </c>
      <c r="D657" s="235">
        <v>3.0700000000000001E-5</v>
      </c>
      <c r="E657" s="345">
        <v>81108</v>
      </c>
      <c r="F657" s="232"/>
      <c r="G657" s="345">
        <v>13888</v>
      </c>
      <c r="H657" s="345">
        <v>1978</v>
      </c>
      <c r="I657" s="345">
        <v>13219</v>
      </c>
      <c r="J657" s="345">
        <v>6037</v>
      </c>
      <c r="K657" s="345">
        <v>35122</v>
      </c>
      <c r="L657" s="232"/>
      <c r="M657" s="345">
        <v>0</v>
      </c>
      <c r="N657" s="345">
        <v>0</v>
      </c>
      <c r="O657" s="345">
        <v>0</v>
      </c>
      <c r="P657" s="345">
        <v>0</v>
      </c>
      <c r="Q657" s="232"/>
      <c r="R657" s="345">
        <v>36130</v>
      </c>
      <c r="S657" s="345">
        <v>2295</v>
      </c>
      <c r="T657" s="345">
        <v>38425</v>
      </c>
    </row>
    <row r="658" spans="1:20">
      <c r="A658" s="351">
        <v>97013</v>
      </c>
      <c r="B658" s="344" t="s">
        <v>1354</v>
      </c>
      <c r="C658" s="235">
        <v>9.0000000000000002E-6</v>
      </c>
      <c r="D658" s="235">
        <v>2.19E-5</v>
      </c>
      <c r="E658" s="345">
        <v>24578</v>
      </c>
      <c r="F658" s="232"/>
      <c r="G658" s="345">
        <v>4208</v>
      </c>
      <c r="H658" s="345">
        <v>599</v>
      </c>
      <c r="I658" s="345">
        <v>4006</v>
      </c>
      <c r="J658" s="345">
        <v>4178</v>
      </c>
      <c r="K658" s="345">
        <v>12991</v>
      </c>
      <c r="L658" s="232"/>
      <c r="M658" s="345">
        <v>0</v>
      </c>
      <c r="N658" s="345">
        <v>0</v>
      </c>
      <c r="O658" s="345">
        <v>8450</v>
      </c>
      <c r="P658" s="345">
        <v>8450</v>
      </c>
      <c r="Q658" s="232"/>
      <c r="R658" s="345">
        <v>10949</v>
      </c>
      <c r="S658" s="345">
        <v>1084</v>
      </c>
      <c r="T658" s="345">
        <v>12033</v>
      </c>
    </row>
    <row r="659" spans="1:20">
      <c r="A659" s="351">
        <v>97015</v>
      </c>
      <c r="B659" s="344" t="s">
        <v>1355</v>
      </c>
      <c r="C659" s="235">
        <v>4.3900000000000003E-5</v>
      </c>
      <c r="D659" s="235">
        <v>5.1700000000000003E-5</v>
      </c>
      <c r="E659" s="345">
        <v>119887</v>
      </c>
      <c r="F659" s="232"/>
      <c r="G659" s="345">
        <v>20528</v>
      </c>
      <c r="H659" s="345">
        <v>2925</v>
      </c>
      <c r="I659" s="345">
        <v>19540</v>
      </c>
      <c r="J659" s="345">
        <v>6170</v>
      </c>
      <c r="K659" s="345">
        <v>49163</v>
      </c>
      <c r="L659" s="232"/>
      <c r="M659" s="345">
        <v>0</v>
      </c>
      <c r="N659" s="345">
        <v>0</v>
      </c>
      <c r="O659" s="345">
        <v>7097</v>
      </c>
      <c r="P659" s="345">
        <v>7097</v>
      </c>
      <c r="Q659" s="232"/>
      <c r="R659" s="345">
        <v>53405</v>
      </c>
      <c r="S659" s="345">
        <v>1272</v>
      </c>
      <c r="T659" s="345">
        <v>54677</v>
      </c>
    </row>
    <row r="660" spans="1:20" ht="30">
      <c r="A660" s="351">
        <v>97018</v>
      </c>
      <c r="B660" s="344" t="s">
        <v>3694</v>
      </c>
      <c r="C660" s="235">
        <v>1.6399999999999999E-5</v>
      </c>
      <c r="D660" s="235">
        <v>7.4000000000000003E-6</v>
      </c>
      <c r="E660" s="345">
        <v>44787</v>
      </c>
      <c r="F660" s="232"/>
      <c r="G660" s="345">
        <v>7669</v>
      </c>
      <c r="H660" s="345">
        <v>1092</v>
      </c>
      <c r="I660" s="345">
        <v>7300</v>
      </c>
      <c r="J660" s="345">
        <v>10886</v>
      </c>
      <c r="K660" s="345">
        <v>26947</v>
      </c>
      <c r="L660" s="232"/>
      <c r="M660" s="345">
        <v>0</v>
      </c>
      <c r="N660" s="345">
        <v>0</v>
      </c>
      <c r="O660" s="345">
        <v>0</v>
      </c>
      <c r="P660" s="345">
        <v>0</v>
      </c>
      <c r="Q660" s="232"/>
      <c r="R660" s="345">
        <v>19951</v>
      </c>
      <c r="S660" s="345">
        <v>4440</v>
      </c>
      <c r="T660" s="345">
        <v>24391</v>
      </c>
    </row>
    <row r="661" spans="1:20">
      <c r="A661" s="351">
        <v>97101</v>
      </c>
      <c r="B661" s="344" t="s">
        <v>1357</v>
      </c>
      <c r="C661" s="235">
        <v>2.7334E-3</v>
      </c>
      <c r="D661" s="235">
        <v>2.4805000000000001E-3</v>
      </c>
      <c r="E661" s="345">
        <v>7464702</v>
      </c>
      <c r="F661" s="232"/>
      <c r="G661" s="345">
        <v>1278146</v>
      </c>
      <c r="H661" s="345">
        <v>182075</v>
      </c>
      <c r="I661" s="345">
        <v>1216623</v>
      </c>
      <c r="J661" s="345">
        <v>286055</v>
      </c>
      <c r="K661" s="345">
        <v>2962899</v>
      </c>
      <c r="L661" s="232"/>
      <c r="M661" s="345">
        <v>0</v>
      </c>
      <c r="N661" s="345">
        <v>0</v>
      </c>
      <c r="O661" s="345">
        <v>0</v>
      </c>
      <c r="P661" s="345">
        <v>0</v>
      </c>
      <c r="Q661" s="232"/>
      <c r="R661" s="345">
        <v>3325217</v>
      </c>
      <c r="S661" s="345">
        <v>81275</v>
      </c>
      <c r="T661" s="345">
        <v>3406492</v>
      </c>
    </row>
    <row r="662" spans="1:20">
      <c r="A662" s="351">
        <v>97104</v>
      </c>
      <c r="B662" s="344" t="s">
        <v>1358</v>
      </c>
      <c r="C662" s="235">
        <v>5.41E-5</v>
      </c>
      <c r="D662" s="235">
        <v>5.6100000000000002E-5</v>
      </c>
      <c r="E662" s="345">
        <v>147743</v>
      </c>
      <c r="F662" s="232"/>
      <c r="G662" s="345">
        <v>25297</v>
      </c>
      <c r="H662" s="345">
        <v>3604</v>
      </c>
      <c r="I662" s="345">
        <v>24080</v>
      </c>
      <c r="J662" s="345">
        <v>8231</v>
      </c>
      <c r="K662" s="345">
        <v>61212</v>
      </c>
      <c r="L662" s="232"/>
      <c r="M662" s="345">
        <v>0</v>
      </c>
      <c r="N662" s="345">
        <v>0</v>
      </c>
      <c r="O662" s="345">
        <v>0</v>
      </c>
      <c r="P662" s="345">
        <v>0</v>
      </c>
      <c r="Q662" s="232"/>
      <c r="R662" s="345">
        <v>65813</v>
      </c>
      <c r="S662" s="345">
        <v>5598</v>
      </c>
      <c r="T662" s="345">
        <v>71411</v>
      </c>
    </row>
    <row r="663" spans="1:20">
      <c r="A663" s="351">
        <v>97111</v>
      </c>
      <c r="B663" s="344" t="s">
        <v>1359</v>
      </c>
      <c r="C663" s="235">
        <v>2.8489999999999999E-4</v>
      </c>
      <c r="D663" s="235">
        <v>2.7779999999999998E-4</v>
      </c>
      <c r="E663" s="345">
        <v>778040</v>
      </c>
      <c r="F663" s="232"/>
      <c r="G663" s="345">
        <v>133220</v>
      </c>
      <c r="H663" s="345">
        <v>18977</v>
      </c>
      <c r="I663" s="345">
        <v>126808</v>
      </c>
      <c r="J663" s="345">
        <v>304</v>
      </c>
      <c r="K663" s="345">
        <v>279309</v>
      </c>
      <c r="L663" s="232"/>
      <c r="M663" s="345">
        <v>0</v>
      </c>
      <c r="N663" s="345">
        <v>0</v>
      </c>
      <c r="O663" s="345">
        <v>26123</v>
      </c>
      <c r="P663" s="345">
        <v>26123</v>
      </c>
      <c r="Q663" s="232"/>
      <c r="R663" s="345">
        <v>346585</v>
      </c>
      <c r="S663" s="345">
        <v>-12867</v>
      </c>
      <c r="T663" s="345">
        <v>333718</v>
      </c>
    </row>
    <row r="664" spans="1:20">
      <c r="A664" s="351">
        <v>97121</v>
      </c>
      <c r="B664" s="344" t="s">
        <v>1360</v>
      </c>
      <c r="C664" s="235">
        <v>1.493E-4</v>
      </c>
      <c r="D664" s="235">
        <v>1.2980000000000001E-4</v>
      </c>
      <c r="E664" s="345">
        <v>407727</v>
      </c>
      <c r="F664" s="232"/>
      <c r="G664" s="345">
        <v>69813</v>
      </c>
      <c r="H664" s="345">
        <v>9945</v>
      </c>
      <c r="I664" s="345">
        <v>66453</v>
      </c>
      <c r="J664" s="345">
        <v>34362</v>
      </c>
      <c r="K664" s="345">
        <v>180573</v>
      </c>
      <c r="L664" s="232"/>
      <c r="M664" s="345">
        <v>0</v>
      </c>
      <c r="N664" s="345">
        <v>0</v>
      </c>
      <c r="O664" s="345">
        <v>2511</v>
      </c>
      <c r="P664" s="345">
        <v>2511</v>
      </c>
      <c r="Q664" s="232"/>
      <c r="R664" s="345">
        <v>181625</v>
      </c>
      <c r="S664" s="345">
        <v>7620</v>
      </c>
      <c r="T664" s="345">
        <v>189245</v>
      </c>
    </row>
    <row r="665" spans="1:20">
      <c r="A665" s="351">
        <v>97131</v>
      </c>
      <c r="B665" s="344" t="s">
        <v>1361</v>
      </c>
      <c r="C665" s="235">
        <v>6.5379999999999995E-4</v>
      </c>
      <c r="D665" s="235">
        <v>6.0749999999999997E-4</v>
      </c>
      <c r="E665" s="345">
        <v>1785477</v>
      </c>
      <c r="F665" s="232"/>
      <c r="G665" s="345">
        <v>305719</v>
      </c>
      <c r="H665" s="345">
        <v>43550</v>
      </c>
      <c r="I665" s="345">
        <v>291003</v>
      </c>
      <c r="J665" s="345">
        <v>19533</v>
      </c>
      <c r="K665" s="345">
        <v>659805</v>
      </c>
      <c r="L665" s="232"/>
      <c r="M665" s="345">
        <v>0</v>
      </c>
      <c r="N665" s="345">
        <v>0</v>
      </c>
      <c r="O665" s="345">
        <v>88627</v>
      </c>
      <c r="P665" s="345">
        <v>88627</v>
      </c>
      <c r="Q665" s="232"/>
      <c r="R665" s="345">
        <v>795356</v>
      </c>
      <c r="S665" s="345">
        <v>-20082</v>
      </c>
      <c r="T665" s="345">
        <v>775274</v>
      </c>
    </row>
    <row r="666" spans="1:20">
      <c r="A666" s="351">
        <v>97201</v>
      </c>
      <c r="B666" s="344" t="s">
        <v>1362</v>
      </c>
      <c r="C666" s="235">
        <v>5.8529999999999997E-4</v>
      </c>
      <c r="D666" s="235">
        <v>5.1219999999999998E-4</v>
      </c>
      <c r="E666" s="345">
        <v>1598409</v>
      </c>
      <c r="F666" s="232"/>
      <c r="G666" s="345">
        <v>273688</v>
      </c>
      <c r="H666" s="345">
        <v>38988</v>
      </c>
      <c r="I666" s="345">
        <v>260514</v>
      </c>
      <c r="J666" s="345">
        <v>76290</v>
      </c>
      <c r="K666" s="345">
        <v>649480</v>
      </c>
      <c r="L666" s="232"/>
      <c r="M666" s="345">
        <v>0</v>
      </c>
      <c r="N666" s="345">
        <v>0</v>
      </c>
      <c r="O666" s="345">
        <v>934</v>
      </c>
      <c r="P666" s="345">
        <v>934</v>
      </c>
      <c r="Q666" s="232"/>
      <c r="R666" s="345">
        <v>712025</v>
      </c>
      <c r="S666" s="345">
        <v>26960</v>
      </c>
      <c r="T666" s="345">
        <v>738985</v>
      </c>
    </row>
    <row r="667" spans="1:20" s="357" customFormat="1">
      <c r="A667" s="351">
        <v>97211</v>
      </c>
      <c r="B667" s="344" t="s">
        <v>1363</v>
      </c>
      <c r="C667" s="235">
        <v>8.14E-5</v>
      </c>
      <c r="D667" s="235">
        <v>1.4569999999999999E-4</v>
      </c>
      <c r="E667" s="345">
        <v>222297</v>
      </c>
      <c r="F667" s="232"/>
      <c r="G667" s="345">
        <v>38063</v>
      </c>
      <c r="H667" s="345">
        <v>5422</v>
      </c>
      <c r="I667" s="345">
        <v>36231</v>
      </c>
      <c r="J667" s="345">
        <v>6850</v>
      </c>
      <c r="K667" s="345">
        <v>86566</v>
      </c>
      <c r="L667" s="232"/>
      <c r="M667" s="345">
        <v>0</v>
      </c>
      <c r="N667" s="345">
        <v>0</v>
      </c>
      <c r="O667" s="345">
        <v>40119</v>
      </c>
      <c r="P667" s="345">
        <v>40119</v>
      </c>
      <c r="Q667" s="232"/>
      <c r="R667" s="345">
        <v>99024</v>
      </c>
      <c r="S667" s="345">
        <v>-9150</v>
      </c>
      <c r="T667" s="345">
        <v>89874</v>
      </c>
    </row>
    <row r="668" spans="1:20">
      <c r="A668" s="351">
        <v>97213</v>
      </c>
      <c r="B668" s="344" t="s">
        <v>2769</v>
      </c>
      <c r="C668" s="235">
        <v>3.5500000000000002E-5</v>
      </c>
      <c r="D668" s="235">
        <v>4.5599999999999997E-5</v>
      </c>
      <c r="E668" s="345">
        <v>96948</v>
      </c>
      <c r="F668" s="232"/>
      <c r="G668" s="345">
        <v>16600</v>
      </c>
      <c r="H668" s="345">
        <v>2364</v>
      </c>
      <c r="I668" s="345">
        <v>15801</v>
      </c>
      <c r="J668" s="345">
        <v>6055</v>
      </c>
      <c r="K668" s="345">
        <v>40820</v>
      </c>
      <c r="L668" s="232"/>
      <c r="M668" s="345">
        <v>0</v>
      </c>
      <c r="N668" s="345">
        <v>0</v>
      </c>
      <c r="O668" s="345">
        <v>5103</v>
      </c>
      <c r="P668" s="345">
        <v>5103</v>
      </c>
      <c r="Q668" s="232"/>
      <c r="R668" s="345">
        <v>43186</v>
      </c>
      <c r="S668" s="345">
        <v>1150</v>
      </c>
      <c r="T668" s="345">
        <v>44336</v>
      </c>
    </row>
    <row r="669" spans="1:20">
      <c r="A669" s="351">
        <v>97217</v>
      </c>
      <c r="B669" s="344" t="s">
        <v>1365</v>
      </c>
      <c r="C669" s="235">
        <v>5.5999999999999997E-6</v>
      </c>
      <c r="D669" s="235">
        <v>4.8999999999999997E-6</v>
      </c>
      <c r="E669" s="345">
        <v>15293</v>
      </c>
      <c r="F669" s="232"/>
      <c r="G669" s="345">
        <v>2619</v>
      </c>
      <c r="H669" s="345">
        <v>373</v>
      </c>
      <c r="I669" s="345">
        <v>2493</v>
      </c>
      <c r="J669" s="345">
        <v>8547</v>
      </c>
      <c r="K669" s="345">
        <v>14032</v>
      </c>
      <c r="L669" s="232"/>
      <c r="M669" s="345">
        <v>0</v>
      </c>
      <c r="N669" s="345">
        <v>0</v>
      </c>
      <c r="O669" s="345">
        <v>0</v>
      </c>
      <c r="P669" s="345">
        <v>0</v>
      </c>
      <c r="Q669" s="232"/>
      <c r="R669" s="345">
        <v>6812</v>
      </c>
      <c r="S669" s="345">
        <v>4118</v>
      </c>
      <c r="T669" s="345">
        <v>10930</v>
      </c>
    </row>
    <row r="670" spans="1:20">
      <c r="A670" s="351">
        <v>97221</v>
      </c>
      <c r="B670" s="344" t="s">
        <v>1366</v>
      </c>
      <c r="C670" s="235">
        <v>1.24E-5</v>
      </c>
      <c r="D670" s="235">
        <v>3.9999999999999998E-6</v>
      </c>
      <c r="E670" s="345">
        <v>33863</v>
      </c>
      <c r="F670" s="232"/>
      <c r="G670" s="345">
        <v>5798</v>
      </c>
      <c r="H670" s="345">
        <v>826</v>
      </c>
      <c r="I670" s="345">
        <v>5519</v>
      </c>
      <c r="J670" s="345">
        <v>10782</v>
      </c>
      <c r="K670" s="345">
        <v>22925</v>
      </c>
      <c r="L670" s="232"/>
      <c r="M670" s="345">
        <v>0</v>
      </c>
      <c r="N670" s="345">
        <v>0</v>
      </c>
      <c r="O670" s="345">
        <v>0</v>
      </c>
      <c r="P670" s="345">
        <v>0</v>
      </c>
      <c r="Q670" s="232"/>
      <c r="R670" s="345">
        <v>15085</v>
      </c>
      <c r="S670" s="345">
        <v>4204</v>
      </c>
      <c r="T670" s="345">
        <v>19289</v>
      </c>
    </row>
    <row r="671" spans="1:20">
      <c r="A671" s="351">
        <v>97301</v>
      </c>
      <c r="B671" s="344" t="s">
        <v>1367</v>
      </c>
      <c r="C671" s="235">
        <v>2.3942E-3</v>
      </c>
      <c r="D671" s="235">
        <v>2.4616E-3</v>
      </c>
      <c r="E671" s="345">
        <v>6538373</v>
      </c>
      <c r="F671" s="232"/>
      <c r="G671" s="345">
        <v>1119535</v>
      </c>
      <c r="H671" s="345">
        <v>159480</v>
      </c>
      <c r="I671" s="345">
        <v>1065646</v>
      </c>
      <c r="J671" s="345">
        <v>0</v>
      </c>
      <c r="K671" s="345">
        <v>2344661</v>
      </c>
      <c r="L671" s="232"/>
      <c r="M671" s="345">
        <v>0</v>
      </c>
      <c r="N671" s="345">
        <v>0</v>
      </c>
      <c r="O671" s="345">
        <v>50293</v>
      </c>
      <c r="P671" s="345">
        <v>50293</v>
      </c>
      <c r="Q671" s="232"/>
      <c r="R671" s="345">
        <v>2912575</v>
      </c>
      <c r="S671" s="345">
        <v>-14030</v>
      </c>
      <c r="T671" s="345">
        <v>2898545</v>
      </c>
    </row>
    <row r="672" spans="1:20">
      <c r="A672" s="351">
        <v>97304</v>
      </c>
      <c r="B672" s="344" t="s">
        <v>3695</v>
      </c>
      <c r="C672" s="235">
        <v>1.4399999999999999E-5</v>
      </c>
      <c r="D672" s="235">
        <v>1.5299999999999999E-5</v>
      </c>
      <c r="E672" s="345">
        <v>39325</v>
      </c>
      <c r="F672" s="232"/>
      <c r="G672" s="345">
        <v>6733</v>
      </c>
      <c r="H672" s="345">
        <v>959</v>
      </c>
      <c r="I672" s="345">
        <v>6409</v>
      </c>
      <c r="J672" s="345">
        <v>11209</v>
      </c>
      <c r="K672" s="345">
        <v>25310</v>
      </c>
      <c r="L672" s="232"/>
      <c r="M672" s="345">
        <v>0</v>
      </c>
      <c r="N672" s="345">
        <v>0</v>
      </c>
      <c r="O672" s="345">
        <v>0</v>
      </c>
      <c r="P672" s="345">
        <v>0</v>
      </c>
      <c r="Q672" s="232"/>
      <c r="R672" s="345">
        <v>17518</v>
      </c>
      <c r="S672" s="345">
        <v>4892</v>
      </c>
      <c r="T672" s="345">
        <v>22410</v>
      </c>
    </row>
    <row r="673" spans="1:20">
      <c r="A673" s="351">
        <v>97311</v>
      </c>
      <c r="B673" s="344" t="s">
        <v>1369</v>
      </c>
      <c r="C673" s="235">
        <v>9.0109999999999995E-4</v>
      </c>
      <c r="D673" s="235">
        <v>8.8420000000000002E-4</v>
      </c>
      <c r="E673" s="345">
        <v>2460834</v>
      </c>
      <c r="F673" s="232"/>
      <c r="G673" s="345">
        <v>421357</v>
      </c>
      <c r="H673" s="345">
        <v>60024</v>
      </c>
      <c r="I673" s="345">
        <v>401075</v>
      </c>
      <c r="J673" s="345">
        <v>0</v>
      </c>
      <c r="K673" s="345">
        <v>882456</v>
      </c>
      <c r="L673" s="232"/>
      <c r="M673" s="345">
        <v>0</v>
      </c>
      <c r="N673" s="345">
        <v>0</v>
      </c>
      <c r="O673" s="345">
        <v>51438</v>
      </c>
      <c r="P673" s="345">
        <v>51438</v>
      </c>
      <c r="Q673" s="232"/>
      <c r="R673" s="345">
        <v>1096200</v>
      </c>
      <c r="S673" s="345">
        <v>-31608</v>
      </c>
      <c r="T673" s="345">
        <v>1064592</v>
      </c>
    </row>
    <row r="674" spans="1:20">
      <c r="A674" s="351">
        <v>97401</v>
      </c>
      <c r="B674" s="344" t="s">
        <v>1370</v>
      </c>
      <c r="C674" s="235">
        <v>7.0562999999999997E-3</v>
      </c>
      <c r="D674" s="235">
        <v>7.1440000000000002E-3</v>
      </c>
      <c r="E674" s="345">
        <v>19270205</v>
      </c>
      <c r="F674" s="232"/>
      <c r="G674" s="345">
        <v>3299547</v>
      </c>
      <c r="H674" s="345">
        <v>470027</v>
      </c>
      <c r="I674" s="345">
        <v>3140724</v>
      </c>
      <c r="J674" s="345">
        <v>136552</v>
      </c>
      <c r="K674" s="345">
        <v>7046850</v>
      </c>
      <c r="L674" s="232"/>
      <c r="M674" s="345">
        <v>0</v>
      </c>
      <c r="N674" s="345">
        <v>0</v>
      </c>
      <c r="O674" s="345">
        <v>14697</v>
      </c>
      <c r="P674" s="345">
        <v>14697</v>
      </c>
      <c r="Q674" s="232"/>
      <c r="R674" s="345">
        <v>8584081</v>
      </c>
      <c r="S674" s="345">
        <v>36785</v>
      </c>
      <c r="T674" s="345">
        <v>8620866</v>
      </c>
    </row>
    <row r="675" spans="1:20">
      <c r="A675" s="351">
        <v>97402</v>
      </c>
      <c r="B675" s="344" t="s">
        <v>3696</v>
      </c>
      <c r="C675" s="235">
        <v>4.1999999999999998E-5</v>
      </c>
      <c r="D675" s="235">
        <v>4.8399999999999997E-5</v>
      </c>
      <c r="E675" s="345">
        <v>114699</v>
      </c>
      <c r="F675" s="232"/>
      <c r="G675" s="345">
        <v>19639</v>
      </c>
      <c r="H675" s="345">
        <v>2798</v>
      </c>
      <c r="I675" s="345">
        <v>18694</v>
      </c>
      <c r="J675" s="345">
        <v>7239</v>
      </c>
      <c r="K675" s="345">
        <v>48370</v>
      </c>
      <c r="L675" s="232"/>
      <c r="M675" s="345">
        <v>0</v>
      </c>
      <c r="N675" s="345">
        <v>0</v>
      </c>
      <c r="O675" s="345">
        <v>37</v>
      </c>
      <c r="P675" s="345">
        <v>37</v>
      </c>
      <c r="Q675" s="232"/>
      <c r="R675" s="345">
        <v>51094</v>
      </c>
      <c r="S675" s="345">
        <v>5663</v>
      </c>
      <c r="T675" s="345">
        <v>56757</v>
      </c>
    </row>
    <row r="676" spans="1:20">
      <c r="A676" s="351">
        <v>97404</v>
      </c>
      <c r="B676" s="344" t="s">
        <v>1372</v>
      </c>
      <c r="C676" s="235">
        <v>2.1240000000000001E-4</v>
      </c>
      <c r="D676" s="235">
        <v>2.0320000000000001E-4</v>
      </c>
      <c r="E676" s="345">
        <v>580048</v>
      </c>
      <c r="F676" s="232"/>
      <c r="G676" s="345">
        <v>99319</v>
      </c>
      <c r="H676" s="345">
        <v>14148</v>
      </c>
      <c r="I676" s="345">
        <v>94538</v>
      </c>
      <c r="J676" s="345">
        <v>804</v>
      </c>
      <c r="K676" s="345">
        <v>208809</v>
      </c>
      <c r="L676" s="232"/>
      <c r="M676" s="345">
        <v>0</v>
      </c>
      <c r="N676" s="345">
        <v>0</v>
      </c>
      <c r="O676" s="345">
        <v>16299</v>
      </c>
      <c r="P676" s="345">
        <v>16299</v>
      </c>
      <c r="Q676" s="232"/>
      <c r="R676" s="345">
        <v>258387</v>
      </c>
      <c r="S676" s="345">
        <v>-9548</v>
      </c>
      <c r="T676" s="345">
        <v>248839</v>
      </c>
    </row>
    <row r="677" spans="1:20">
      <c r="A677" s="351">
        <v>97405</v>
      </c>
      <c r="B677" s="344" t="s">
        <v>1373</v>
      </c>
      <c r="C677" s="235">
        <v>1.106E-4</v>
      </c>
      <c r="D677" s="235">
        <v>1.156E-4</v>
      </c>
      <c r="E677" s="345">
        <v>302040</v>
      </c>
      <c r="F677" s="232"/>
      <c r="G677" s="345">
        <v>51717</v>
      </c>
      <c r="H677" s="345">
        <v>7367</v>
      </c>
      <c r="I677" s="345">
        <v>49228</v>
      </c>
      <c r="J677" s="345">
        <v>28536</v>
      </c>
      <c r="K677" s="345">
        <v>136848</v>
      </c>
      <c r="L677" s="232"/>
      <c r="M677" s="345">
        <v>0</v>
      </c>
      <c r="N677" s="345">
        <v>0</v>
      </c>
      <c r="O677" s="345">
        <v>0</v>
      </c>
      <c r="P677" s="345">
        <v>0</v>
      </c>
      <c r="Q677" s="232"/>
      <c r="R677" s="345">
        <v>134546</v>
      </c>
      <c r="S677" s="345">
        <v>14994</v>
      </c>
      <c r="T677" s="345">
        <v>149540</v>
      </c>
    </row>
    <row r="678" spans="1:20">
      <c r="A678" s="351">
        <v>97408</v>
      </c>
      <c r="B678" s="344" t="s">
        <v>3697</v>
      </c>
      <c r="C678" s="235">
        <v>3.8999999999999999E-5</v>
      </c>
      <c r="D678" s="235">
        <v>4.3000000000000002E-5</v>
      </c>
      <c r="E678" s="345">
        <v>106506</v>
      </c>
      <c r="F678" s="232"/>
      <c r="G678" s="345">
        <v>18237</v>
      </c>
      <c r="H678" s="345">
        <v>2598</v>
      </c>
      <c r="I678" s="345">
        <v>17359</v>
      </c>
      <c r="J678" s="345">
        <v>6662</v>
      </c>
      <c r="K678" s="345">
        <v>44856</v>
      </c>
      <c r="L678" s="232"/>
      <c r="M678" s="345">
        <v>0</v>
      </c>
      <c r="N678" s="345">
        <v>0</v>
      </c>
      <c r="O678" s="345">
        <v>0</v>
      </c>
      <c r="P678" s="345">
        <v>0</v>
      </c>
      <c r="Q678" s="232"/>
      <c r="R678" s="345">
        <v>47444</v>
      </c>
      <c r="S678" s="345">
        <v>3520</v>
      </c>
      <c r="T678" s="345">
        <v>50964</v>
      </c>
    </row>
    <row r="679" spans="1:20">
      <c r="A679" s="351">
        <v>97411</v>
      </c>
      <c r="B679" s="344" t="s">
        <v>1375</v>
      </c>
      <c r="C679" s="235">
        <v>6.3997999999999998E-3</v>
      </c>
      <c r="D679" s="235">
        <v>6.2385000000000001E-3</v>
      </c>
      <c r="E679" s="345">
        <v>17477355</v>
      </c>
      <c r="F679" s="232"/>
      <c r="G679" s="345">
        <v>2992566</v>
      </c>
      <c r="H679" s="345">
        <v>426298</v>
      </c>
      <c r="I679" s="345">
        <v>2848519</v>
      </c>
      <c r="J679" s="345">
        <v>33760</v>
      </c>
      <c r="K679" s="345">
        <v>6301143</v>
      </c>
      <c r="L679" s="232"/>
      <c r="M679" s="345">
        <v>0</v>
      </c>
      <c r="N679" s="345">
        <v>0</v>
      </c>
      <c r="O679" s="345">
        <v>372381</v>
      </c>
      <c r="P679" s="345">
        <v>372381</v>
      </c>
      <c r="Q679" s="232"/>
      <c r="R679" s="345">
        <v>7785440</v>
      </c>
      <c r="S679" s="345">
        <v>-286709</v>
      </c>
      <c r="T679" s="345">
        <v>7498731</v>
      </c>
    </row>
    <row r="680" spans="1:20">
      <c r="A680" s="351">
        <v>97412</v>
      </c>
      <c r="B680" s="344" t="s">
        <v>1376</v>
      </c>
      <c r="C680" s="235">
        <v>4.4903E-3</v>
      </c>
      <c r="D680" s="235">
        <v>4.6245000000000001E-3</v>
      </c>
      <c r="E680" s="345">
        <v>12262659</v>
      </c>
      <c r="F680" s="232"/>
      <c r="G680" s="345">
        <v>2099678</v>
      </c>
      <c r="H680" s="345">
        <v>299104</v>
      </c>
      <c r="I680" s="345">
        <v>1998610</v>
      </c>
      <c r="J680" s="345">
        <v>147881</v>
      </c>
      <c r="K680" s="345">
        <v>4545273</v>
      </c>
      <c r="L680" s="232"/>
      <c r="M680" s="345">
        <v>0</v>
      </c>
      <c r="N680" s="345">
        <v>0</v>
      </c>
      <c r="O680" s="345">
        <v>93373</v>
      </c>
      <c r="P680" s="345">
        <v>93373</v>
      </c>
      <c r="Q680" s="232"/>
      <c r="R680" s="345">
        <v>5462508</v>
      </c>
      <c r="S680" s="345">
        <v>62154</v>
      </c>
      <c r="T680" s="345">
        <v>5524662</v>
      </c>
    </row>
    <row r="681" spans="1:20">
      <c r="A681" s="351">
        <v>97413</v>
      </c>
      <c r="B681" s="344" t="s">
        <v>1377</v>
      </c>
      <c r="C681" s="235">
        <v>2.812E-4</v>
      </c>
      <c r="D681" s="235">
        <v>2.7E-4</v>
      </c>
      <c r="E681" s="345">
        <v>767935</v>
      </c>
      <c r="F681" s="232"/>
      <c r="G681" s="345">
        <v>131490</v>
      </c>
      <c r="H681" s="345">
        <v>18731</v>
      </c>
      <c r="I681" s="345">
        <v>125161</v>
      </c>
      <c r="J681" s="345">
        <v>44625</v>
      </c>
      <c r="K681" s="345">
        <v>320007</v>
      </c>
      <c r="L681" s="232"/>
      <c r="M681" s="345">
        <v>0</v>
      </c>
      <c r="N681" s="345">
        <v>0</v>
      </c>
      <c r="O681" s="345">
        <v>0</v>
      </c>
      <c r="P681" s="345">
        <v>0</v>
      </c>
      <c r="Q681" s="232"/>
      <c r="R681" s="345">
        <v>342083</v>
      </c>
      <c r="S681" s="345">
        <v>12847</v>
      </c>
      <c r="T681" s="345">
        <v>354930</v>
      </c>
    </row>
    <row r="682" spans="1:20">
      <c r="A682" s="351">
        <v>97421</v>
      </c>
      <c r="B682" s="344" t="s">
        <v>1378</v>
      </c>
      <c r="C682" s="235">
        <v>4.3120000000000002E-4</v>
      </c>
      <c r="D682" s="235">
        <v>4.4739999999999998E-4</v>
      </c>
      <c r="E682" s="345">
        <v>1177574</v>
      </c>
      <c r="F682" s="232"/>
      <c r="G682" s="345">
        <v>201630</v>
      </c>
      <c r="H682" s="345">
        <v>28722</v>
      </c>
      <c r="I682" s="345">
        <v>191925</v>
      </c>
      <c r="J682" s="345">
        <v>8998</v>
      </c>
      <c r="K682" s="345">
        <v>431275</v>
      </c>
      <c r="L682" s="232"/>
      <c r="M682" s="345">
        <v>0</v>
      </c>
      <c r="N682" s="345">
        <v>0</v>
      </c>
      <c r="O682" s="345">
        <v>25214</v>
      </c>
      <c r="P682" s="345">
        <v>25214</v>
      </c>
      <c r="Q682" s="232"/>
      <c r="R682" s="345">
        <v>524560</v>
      </c>
      <c r="S682" s="345">
        <v>-9185</v>
      </c>
      <c r="T682" s="345">
        <v>515375</v>
      </c>
    </row>
    <row r="683" spans="1:20">
      <c r="A683" s="351">
        <v>97423</v>
      </c>
      <c r="B683" s="344" t="s">
        <v>1379</v>
      </c>
      <c r="C683" s="235">
        <v>4.3000000000000002E-5</v>
      </c>
      <c r="D683" s="235">
        <v>3.93E-5</v>
      </c>
      <c r="E683" s="345">
        <v>117430</v>
      </c>
      <c r="F683" s="232"/>
      <c r="G683" s="345">
        <v>20107</v>
      </c>
      <c r="H683" s="345">
        <v>2864</v>
      </c>
      <c r="I683" s="345">
        <v>19139</v>
      </c>
      <c r="J683" s="345">
        <v>44588</v>
      </c>
      <c r="K683" s="345">
        <v>86698</v>
      </c>
      <c r="L683" s="232"/>
      <c r="M683" s="345">
        <v>0</v>
      </c>
      <c r="N683" s="345">
        <v>0</v>
      </c>
      <c r="O683" s="345">
        <v>0</v>
      </c>
      <c r="P683" s="345">
        <v>0</v>
      </c>
      <c r="Q683" s="232"/>
      <c r="R683" s="345">
        <v>52310</v>
      </c>
      <c r="S683" s="345">
        <v>20446</v>
      </c>
      <c r="T683" s="345">
        <v>72756</v>
      </c>
    </row>
    <row r="684" spans="1:20">
      <c r="A684" s="351">
        <v>97431</v>
      </c>
      <c r="B684" s="344" t="s">
        <v>1380</v>
      </c>
      <c r="C684" s="235">
        <v>8.92E-5</v>
      </c>
      <c r="D684" s="235">
        <v>1.0349999999999999E-4</v>
      </c>
      <c r="E684" s="345">
        <v>243598</v>
      </c>
      <c r="F684" s="232"/>
      <c r="G684" s="345">
        <v>41710</v>
      </c>
      <c r="H684" s="345">
        <v>5942</v>
      </c>
      <c r="I684" s="345">
        <v>39702</v>
      </c>
      <c r="J684" s="345">
        <v>12171</v>
      </c>
      <c r="K684" s="345">
        <v>99525</v>
      </c>
      <c r="L684" s="232"/>
      <c r="M684" s="345">
        <v>0</v>
      </c>
      <c r="N684" s="345">
        <v>0</v>
      </c>
      <c r="O684" s="345">
        <v>7106</v>
      </c>
      <c r="P684" s="345">
        <v>7106</v>
      </c>
      <c r="Q684" s="232"/>
      <c r="R684" s="345">
        <v>108513</v>
      </c>
      <c r="S684" s="345">
        <v>3316</v>
      </c>
      <c r="T684" s="345">
        <v>111829</v>
      </c>
    </row>
    <row r="685" spans="1:20">
      <c r="A685" s="351">
        <v>97441</v>
      </c>
      <c r="B685" s="344" t="s">
        <v>1381</v>
      </c>
      <c r="C685" s="235">
        <v>5.7899999999999998E-5</v>
      </c>
      <c r="D685" s="235">
        <v>5.2899999999999998E-5</v>
      </c>
      <c r="E685" s="345">
        <v>158120</v>
      </c>
      <c r="F685" s="232"/>
      <c r="G685" s="345">
        <v>27074</v>
      </c>
      <c r="H685" s="345">
        <v>3857</v>
      </c>
      <c r="I685" s="345">
        <v>25771</v>
      </c>
      <c r="J685" s="345">
        <v>0</v>
      </c>
      <c r="K685" s="345">
        <v>56702</v>
      </c>
      <c r="L685" s="232"/>
      <c r="M685" s="345">
        <v>0</v>
      </c>
      <c r="N685" s="345">
        <v>0</v>
      </c>
      <c r="O685" s="345">
        <v>19827</v>
      </c>
      <c r="P685" s="345">
        <v>19827</v>
      </c>
      <c r="Q685" s="232"/>
      <c r="R685" s="345">
        <v>70436</v>
      </c>
      <c r="S685" s="345">
        <v>-7836</v>
      </c>
      <c r="T685" s="345">
        <v>62600</v>
      </c>
    </row>
    <row r="686" spans="1:20">
      <c r="A686" s="351">
        <v>97451</v>
      </c>
      <c r="B686" s="344" t="s">
        <v>1382</v>
      </c>
      <c r="C686" s="235">
        <v>6.6290000000000001E-4</v>
      </c>
      <c r="D686" s="235">
        <v>6.3380000000000001E-4</v>
      </c>
      <c r="E686" s="345">
        <v>1810328</v>
      </c>
      <c r="F686" s="232"/>
      <c r="G686" s="345">
        <v>309974</v>
      </c>
      <c r="H686" s="345">
        <v>44156</v>
      </c>
      <c r="I686" s="345">
        <v>295053</v>
      </c>
      <c r="J686" s="345">
        <v>13127</v>
      </c>
      <c r="K686" s="345">
        <v>662310</v>
      </c>
      <c r="L686" s="232"/>
      <c r="M686" s="345">
        <v>0</v>
      </c>
      <c r="N686" s="345">
        <v>0</v>
      </c>
      <c r="O686" s="345">
        <v>23794</v>
      </c>
      <c r="P686" s="345">
        <v>23794</v>
      </c>
      <c r="Q686" s="232"/>
      <c r="R686" s="345">
        <v>806426</v>
      </c>
      <c r="S686" s="345">
        <v>-5099</v>
      </c>
      <c r="T686" s="345">
        <v>801327</v>
      </c>
    </row>
    <row r="687" spans="1:20">
      <c r="A687" s="351">
        <v>97471</v>
      </c>
      <c r="B687" s="344" t="s">
        <v>1385</v>
      </c>
      <c r="C687" s="235">
        <v>1.6399999999999999E-5</v>
      </c>
      <c r="D687" s="235">
        <v>1.66E-5</v>
      </c>
      <c r="E687" s="345">
        <v>44787</v>
      </c>
      <c r="F687" s="232"/>
      <c r="G687" s="345">
        <v>7669</v>
      </c>
      <c r="H687" s="345">
        <v>1092</v>
      </c>
      <c r="I687" s="345">
        <v>7300</v>
      </c>
      <c r="J687" s="345">
        <v>10800</v>
      </c>
      <c r="K687" s="345">
        <v>26861</v>
      </c>
      <c r="L687" s="232"/>
      <c r="M687" s="345">
        <v>0</v>
      </c>
      <c r="N687" s="345">
        <v>0</v>
      </c>
      <c r="O687" s="345">
        <v>0</v>
      </c>
      <c r="P687" s="345">
        <v>0</v>
      </c>
      <c r="Q687" s="232"/>
      <c r="R687" s="345">
        <v>19951</v>
      </c>
      <c r="S687" s="345">
        <v>4485</v>
      </c>
      <c r="T687" s="345">
        <v>24436</v>
      </c>
    </row>
    <row r="688" spans="1:20">
      <c r="A688" s="351">
        <v>97481</v>
      </c>
      <c r="B688" s="344" t="s">
        <v>1386</v>
      </c>
      <c r="C688" s="235">
        <v>8.9999999999999996E-7</v>
      </c>
      <c r="D688" s="235">
        <v>1.26E-5</v>
      </c>
      <c r="E688" s="345">
        <v>2458</v>
      </c>
      <c r="F688" s="232"/>
      <c r="G688" s="345">
        <v>421</v>
      </c>
      <c r="H688" s="345">
        <v>60</v>
      </c>
      <c r="I688" s="345">
        <v>401</v>
      </c>
      <c r="J688" s="345">
        <v>840</v>
      </c>
      <c r="K688" s="345">
        <v>1722</v>
      </c>
      <c r="L688" s="232"/>
      <c r="M688" s="345">
        <v>0</v>
      </c>
      <c r="N688" s="345">
        <v>0</v>
      </c>
      <c r="O688" s="345">
        <v>10056</v>
      </c>
      <c r="P688" s="345">
        <v>10056</v>
      </c>
      <c r="Q688" s="232"/>
      <c r="R688" s="345">
        <v>1095</v>
      </c>
      <c r="S688" s="345">
        <v>-1984</v>
      </c>
      <c r="T688" s="345">
        <v>-889</v>
      </c>
    </row>
    <row r="689" spans="1:20">
      <c r="A689" s="351">
        <v>97501</v>
      </c>
      <c r="B689" s="344" t="s">
        <v>1388</v>
      </c>
      <c r="C689" s="235">
        <v>1.1816999999999999E-3</v>
      </c>
      <c r="D689" s="235">
        <v>1.0767999999999999E-3</v>
      </c>
      <c r="E689" s="345">
        <v>3227131</v>
      </c>
      <c r="F689" s="232"/>
      <c r="G689" s="345">
        <v>552566</v>
      </c>
      <c r="H689" s="345">
        <v>78714</v>
      </c>
      <c r="I689" s="345">
        <v>525969</v>
      </c>
      <c r="J689" s="345">
        <v>135321</v>
      </c>
      <c r="K689" s="345">
        <v>1292570</v>
      </c>
      <c r="L689" s="232"/>
      <c r="M689" s="345">
        <v>0</v>
      </c>
      <c r="N689" s="345">
        <v>0</v>
      </c>
      <c r="O689" s="345">
        <v>2461</v>
      </c>
      <c r="P689" s="345">
        <v>2461</v>
      </c>
      <c r="Q689" s="232"/>
      <c r="R689" s="345">
        <v>1437553</v>
      </c>
      <c r="S689" s="345">
        <v>49533</v>
      </c>
      <c r="T689" s="345">
        <v>1487086</v>
      </c>
    </row>
    <row r="690" spans="1:20">
      <c r="A690" s="351">
        <v>97511</v>
      </c>
      <c r="B690" s="344" t="s">
        <v>1389</v>
      </c>
      <c r="C690" s="235">
        <v>1.9120000000000001E-4</v>
      </c>
      <c r="D690" s="235">
        <v>1.8090000000000001E-4</v>
      </c>
      <c r="E690" s="345">
        <v>522152</v>
      </c>
      <c r="F690" s="232"/>
      <c r="G690" s="345">
        <v>89406</v>
      </c>
      <c r="H690" s="345">
        <v>12736</v>
      </c>
      <c r="I690" s="345">
        <v>85102</v>
      </c>
      <c r="J690" s="345">
        <v>23269</v>
      </c>
      <c r="K690" s="345">
        <v>210513</v>
      </c>
      <c r="L690" s="232"/>
      <c r="M690" s="345">
        <v>0</v>
      </c>
      <c r="N690" s="345">
        <v>0</v>
      </c>
      <c r="O690" s="345">
        <v>20626</v>
      </c>
      <c r="P690" s="345">
        <v>20626</v>
      </c>
      <c r="Q690" s="232"/>
      <c r="R690" s="345">
        <v>232597</v>
      </c>
      <c r="S690" s="345">
        <v>1216</v>
      </c>
      <c r="T690" s="345">
        <v>233813</v>
      </c>
    </row>
    <row r="691" spans="1:20">
      <c r="A691" s="351">
        <v>97521</v>
      </c>
      <c r="B691" s="344" t="s">
        <v>1390</v>
      </c>
      <c r="C691" s="235">
        <v>1.139E-4</v>
      </c>
      <c r="D691" s="235">
        <v>1.2640000000000001E-4</v>
      </c>
      <c r="E691" s="345">
        <v>311052</v>
      </c>
      <c r="F691" s="232"/>
      <c r="G691" s="345">
        <v>53260</v>
      </c>
      <c r="H691" s="345">
        <v>7587</v>
      </c>
      <c r="I691" s="345">
        <v>50696</v>
      </c>
      <c r="J691" s="345">
        <v>0</v>
      </c>
      <c r="K691" s="345">
        <v>111543</v>
      </c>
      <c r="L691" s="232"/>
      <c r="M691" s="345">
        <v>0</v>
      </c>
      <c r="N691" s="345">
        <v>0</v>
      </c>
      <c r="O691" s="345">
        <v>18578</v>
      </c>
      <c r="P691" s="345">
        <v>18578</v>
      </c>
      <c r="Q691" s="232"/>
      <c r="R691" s="345">
        <v>138561</v>
      </c>
      <c r="S691" s="345">
        <v>-9437</v>
      </c>
      <c r="T691" s="345">
        <v>129124</v>
      </c>
    </row>
    <row r="692" spans="1:20">
      <c r="A692" s="351">
        <v>97527</v>
      </c>
      <c r="B692" s="344" t="s">
        <v>1641</v>
      </c>
      <c r="C692" s="235">
        <v>1.7E-5</v>
      </c>
      <c r="D692" s="235">
        <v>1.3999999999999999E-6</v>
      </c>
      <c r="E692" s="345">
        <v>46426</v>
      </c>
      <c r="F692" s="232"/>
      <c r="G692" s="345">
        <v>7949</v>
      </c>
      <c r="H692" s="345">
        <v>1132</v>
      </c>
      <c r="I692" s="345">
        <v>7567</v>
      </c>
      <c r="J692" s="345">
        <v>12859</v>
      </c>
      <c r="K692" s="345">
        <v>29507</v>
      </c>
      <c r="L692" s="232"/>
      <c r="M692" s="345">
        <v>0</v>
      </c>
      <c r="N692" s="345">
        <v>0</v>
      </c>
      <c r="O692" s="345">
        <v>0</v>
      </c>
      <c r="P692" s="345">
        <v>0</v>
      </c>
      <c r="Q692" s="232"/>
      <c r="R692" s="345">
        <v>20681</v>
      </c>
      <c r="S692" s="345">
        <v>3432</v>
      </c>
      <c r="T692" s="345">
        <v>24113</v>
      </c>
    </row>
    <row r="693" spans="1:20">
      <c r="A693" s="351">
        <v>97531</v>
      </c>
      <c r="B693" s="344" t="s">
        <v>1391</v>
      </c>
      <c r="C693" s="235">
        <v>8.1299999999999997E-5</v>
      </c>
      <c r="D693" s="235">
        <v>5.2800000000000003E-5</v>
      </c>
      <c r="E693" s="345">
        <v>222024</v>
      </c>
      <c r="F693" s="232"/>
      <c r="G693" s="345">
        <v>38016</v>
      </c>
      <c r="H693" s="345">
        <v>5416</v>
      </c>
      <c r="I693" s="345">
        <v>36186</v>
      </c>
      <c r="J693" s="345">
        <v>32174</v>
      </c>
      <c r="K693" s="345">
        <v>111792</v>
      </c>
      <c r="L693" s="232"/>
      <c r="M693" s="345">
        <v>0</v>
      </c>
      <c r="N693" s="345">
        <v>0</v>
      </c>
      <c r="O693" s="345">
        <v>0</v>
      </c>
      <c r="P693" s="345">
        <v>0</v>
      </c>
      <c r="Q693" s="232"/>
      <c r="R693" s="345">
        <v>98903</v>
      </c>
      <c r="S693" s="345">
        <v>6913</v>
      </c>
      <c r="T693" s="345">
        <v>105816</v>
      </c>
    </row>
    <row r="694" spans="1:20">
      <c r="A694" s="351">
        <v>97601</v>
      </c>
      <c r="B694" s="344" t="s">
        <v>1392</v>
      </c>
      <c r="C694" s="235">
        <v>5.2946E-3</v>
      </c>
      <c r="D694" s="235">
        <v>5.2467E-3</v>
      </c>
      <c r="E694" s="345">
        <v>14459140</v>
      </c>
      <c r="F694" s="232"/>
      <c r="G694" s="345">
        <v>2475771</v>
      </c>
      <c r="H694" s="345">
        <v>352679</v>
      </c>
      <c r="I694" s="345">
        <v>2356600</v>
      </c>
      <c r="J694" s="345">
        <v>95463</v>
      </c>
      <c r="K694" s="345">
        <v>5280513</v>
      </c>
      <c r="L694" s="232"/>
      <c r="M694" s="345">
        <v>0</v>
      </c>
      <c r="N694" s="345">
        <v>0</v>
      </c>
      <c r="O694" s="345">
        <v>87149</v>
      </c>
      <c r="P694" s="345">
        <v>87149</v>
      </c>
      <c r="Q694" s="232"/>
      <c r="R694" s="345">
        <v>6440950</v>
      </c>
      <c r="S694" s="345">
        <v>-1723</v>
      </c>
      <c r="T694" s="345">
        <v>6439227</v>
      </c>
    </row>
    <row r="695" spans="1:20">
      <c r="A695" s="351">
        <v>97607</v>
      </c>
      <c r="B695" s="344" t="s">
        <v>1393</v>
      </c>
      <c r="C695" s="235">
        <v>2.0699999999999998E-5</v>
      </c>
      <c r="D695" s="235">
        <v>2.23E-5</v>
      </c>
      <c r="E695" s="345">
        <v>56530</v>
      </c>
      <c r="F695" s="232"/>
      <c r="G695" s="345">
        <v>9679</v>
      </c>
      <c r="H695" s="345">
        <v>1379</v>
      </c>
      <c r="I695" s="345">
        <v>9213</v>
      </c>
      <c r="J695" s="345">
        <v>14896</v>
      </c>
      <c r="K695" s="345">
        <v>35167</v>
      </c>
      <c r="L695" s="232"/>
      <c r="M695" s="345">
        <v>0</v>
      </c>
      <c r="N695" s="345">
        <v>0</v>
      </c>
      <c r="O695" s="345">
        <v>0</v>
      </c>
      <c r="P695" s="345">
        <v>0</v>
      </c>
      <c r="Q695" s="232"/>
      <c r="R695" s="345">
        <v>25182</v>
      </c>
      <c r="S695" s="345">
        <v>6395</v>
      </c>
      <c r="T695" s="345">
        <v>31577</v>
      </c>
    </row>
    <row r="696" spans="1:20">
      <c r="A696" s="351">
        <v>97611</v>
      </c>
      <c r="B696" s="344" t="s">
        <v>1394</v>
      </c>
      <c r="C696" s="235">
        <v>2.3218000000000002E-3</v>
      </c>
      <c r="D696" s="235">
        <v>2.3620999999999998E-3</v>
      </c>
      <c r="E696" s="345">
        <v>6340655</v>
      </c>
      <c r="F696" s="232"/>
      <c r="G696" s="345">
        <v>1085681</v>
      </c>
      <c r="H696" s="345">
        <v>154657</v>
      </c>
      <c r="I696" s="345">
        <v>1033422</v>
      </c>
      <c r="J696" s="345">
        <v>0</v>
      </c>
      <c r="K696" s="345">
        <v>2273760</v>
      </c>
      <c r="L696" s="232"/>
      <c r="M696" s="345">
        <v>0</v>
      </c>
      <c r="N696" s="345">
        <v>0</v>
      </c>
      <c r="O696" s="345">
        <v>165443</v>
      </c>
      <c r="P696" s="345">
        <v>165443</v>
      </c>
      <c r="Q696" s="232"/>
      <c r="R696" s="345">
        <v>2824500</v>
      </c>
      <c r="S696" s="345">
        <v>-108412</v>
      </c>
      <c r="T696" s="345">
        <v>2716088</v>
      </c>
    </row>
    <row r="697" spans="1:20">
      <c r="A697" s="351">
        <v>97613</v>
      </c>
      <c r="B697" s="344" t="s">
        <v>2753</v>
      </c>
      <c r="C697" s="235">
        <v>8.8599999999999999E-5</v>
      </c>
      <c r="D697" s="235">
        <v>1.155E-4</v>
      </c>
      <c r="E697" s="345">
        <v>241960</v>
      </c>
      <c r="F697" s="232"/>
      <c r="G697" s="345">
        <v>41430</v>
      </c>
      <c r="H697" s="345">
        <v>5902</v>
      </c>
      <c r="I697" s="345">
        <v>39435</v>
      </c>
      <c r="J697" s="345">
        <v>4716</v>
      </c>
      <c r="K697" s="345">
        <v>91483</v>
      </c>
      <c r="L697" s="232"/>
      <c r="M697" s="345">
        <v>0</v>
      </c>
      <c r="N697" s="345">
        <v>0</v>
      </c>
      <c r="O697" s="345">
        <v>9919</v>
      </c>
      <c r="P697" s="345">
        <v>9919</v>
      </c>
      <c r="Q697" s="232"/>
      <c r="R697" s="345">
        <v>107783</v>
      </c>
      <c r="S697" s="345">
        <v>-1471</v>
      </c>
      <c r="T697" s="345">
        <v>106312</v>
      </c>
    </row>
    <row r="698" spans="1:20">
      <c r="A698" s="351">
        <v>97621</v>
      </c>
      <c r="B698" s="344" t="s">
        <v>1396</v>
      </c>
      <c r="C698" s="235">
        <v>4.3960000000000001E-4</v>
      </c>
      <c r="D698" s="235">
        <v>4.4650000000000001E-4</v>
      </c>
      <c r="E698" s="345">
        <v>1200513</v>
      </c>
      <c r="F698" s="232"/>
      <c r="G698" s="345">
        <v>205558</v>
      </c>
      <c r="H698" s="345">
        <v>29283</v>
      </c>
      <c r="I698" s="345">
        <v>195664</v>
      </c>
      <c r="J698" s="345">
        <v>0</v>
      </c>
      <c r="K698" s="345">
        <v>430505</v>
      </c>
      <c r="L698" s="232"/>
      <c r="M698" s="345">
        <v>0</v>
      </c>
      <c r="N698" s="345">
        <v>0</v>
      </c>
      <c r="O698" s="345">
        <v>77314</v>
      </c>
      <c r="P698" s="345">
        <v>77314</v>
      </c>
      <c r="Q698" s="232"/>
      <c r="R698" s="345">
        <v>534779</v>
      </c>
      <c r="S698" s="345">
        <v>-27561</v>
      </c>
      <c r="T698" s="345">
        <v>507218</v>
      </c>
    </row>
    <row r="699" spans="1:20">
      <c r="A699" s="351">
        <v>97623</v>
      </c>
      <c r="B699" s="344" t="s">
        <v>1397</v>
      </c>
      <c r="C699" s="235">
        <v>2.5400000000000001E-5</v>
      </c>
      <c r="D699" s="235">
        <v>2.4000000000000001E-5</v>
      </c>
      <c r="E699" s="345">
        <v>69365</v>
      </c>
      <c r="F699" s="232"/>
      <c r="G699" s="345">
        <v>11877</v>
      </c>
      <c r="H699" s="345">
        <v>1692</v>
      </c>
      <c r="I699" s="345">
        <v>11305</v>
      </c>
      <c r="J699" s="345">
        <v>944</v>
      </c>
      <c r="K699" s="345">
        <v>25818</v>
      </c>
      <c r="L699" s="232"/>
      <c r="M699" s="345">
        <v>0</v>
      </c>
      <c r="N699" s="345">
        <v>0</v>
      </c>
      <c r="O699" s="345">
        <v>4023</v>
      </c>
      <c r="P699" s="345">
        <v>4023</v>
      </c>
      <c r="Q699" s="232"/>
      <c r="R699" s="345">
        <v>30899</v>
      </c>
      <c r="S699" s="345">
        <v>1243</v>
      </c>
      <c r="T699" s="345">
        <v>32142</v>
      </c>
    </row>
    <row r="700" spans="1:20">
      <c r="A700" s="351">
        <v>97627</v>
      </c>
      <c r="B700" s="344" t="s">
        <v>1398</v>
      </c>
      <c r="C700" s="235">
        <v>9.3000000000000007E-6</v>
      </c>
      <c r="D700" s="235">
        <v>9.5000000000000005E-6</v>
      </c>
      <c r="E700" s="345">
        <v>25398</v>
      </c>
      <c r="F700" s="232"/>
      <c r="G700" s="345">
        <v>4349</v>
      </c>
      <c r="H700" s="345">
        <v>620</v>
      </c>
      <c r="I700" s="345">
        <v>4139</v>
      </c>
      <c r="J700" s="345">
        <v>1149</v>
      </c>
      <c r="K700" s="345">
        <v>10257</v>
      </c>
      <c r="L700" s="232"/>
      <c r="M700" s="345">
        <v>0</v>
      </c>
      <c r="N700" s="345">
        <v>0</v>
      </c>
      <c r="O700" s="345">
        <v>0</v>
      </c>
      <c r="P700" s="345">
        <v>0</v>
      </c>
      <c r="Q700" s="232"/>
      <c r="R700" s="345">
        <v>11314</v>
      </c>
      <c r="S700" s="345">
        <v>-9</v>
      </c>
      <c r="T700" s="345">
        <v>11305</v>
      </c>
    </row>
    <row r="701" spans="1:20">
      <c r="A701" s="351">
        <v>97631</v>
      </c>
      <c r="B701" s="344" t="s">
        <v>1399</v>
      </c>
      <c r="C701" s="235">
        <v>1.972E-4</v>
      </c>
      <c r="D701" s="235">
        <v>2.0909999999999999E-4</v>
      </c>
      <c r="E701" s="345">
        <v>538538</v>
      </c>
      <c r="F701" s="232"/>
      <c r="G701" s="345">
        <v>92211</v>
      </c>
      <c r="H701" s="345">
        <v>13136</v>
      </c>
      <c r="I701" s="345">
        <v>87773</v>
      </c>
      <c r="J701" s="345">
        <v>1180</v>
      </c>
      <c r="K701" s="345">
        <v>194300</v>
      </c>
      <c r="L701" s="232"/>
      <c r="M701" s="345">
        <v>0</v>
      </c>
      <c r="N701" s="345">
        <v>0</v>
      </c>
      <c r="O701" s="345">
        <v>19455</v>
      </c>
      <c r="P701" s="345">
        <v>19455</v>
      </c>
      <c r="Q701" s="232"/>
      <c r="R701" s="345">
        <v>239896</v>
      </c>
      <c r="S701" s="345">
        <v>-2980</v>
      </c>
      <c r="T701" s="345">
        <v>236916</v>
      </c>
    </row>
    <row r="702" spans="1:20">
      <c r="A702" s="351">
        <v>97637</v>
      </c>
      <c r="B702" s="344" t="s">
        <v>1400</v>
      </c>
      <c r="C702" s="235">
        <v>3.1999999999999999E-6</v>
      </c>
      <c r="D702" s="235">
        <v>3.7000000000000002E-6</v>
      </c>
      <c r="E702" s="345">
        <v>8739</v>
      </c>
      <c r="F702" s="232"/>
      <c r="G702" s="345">
        <v>1496</v>
      </c>
      <c r="H702" s="345">
        <v>213</v>
      </c>
      <c r="I702" s="345">
        <v>1424</v>
      </c>
      <c r="J702" s="345">
        <v>1804</v>
      </c>
      <c r="K702" s="345">
        <v>4937</v>
      </c>
      <c r="L702" s="232"/>
      <c r="M702" s="345">
        <v>0</v>
      </c>
      <c r="N702" s="345">
        <v>0</v>
      </c>
      <c r="O702" s="345">
        <v>10</v>
      </c>
      <c r="P702" s="345">
        <v>10</v>
      </c>
      <c r="Q702" s="232"/>
      <c r="R702" s="345">
        <v>3893</v>
      </c>
      <c r="S702" s="345">
        <v>705</v>
      </c>
      <c r="T702" s="345">
        <v>4598</v>
      </c>
    </row>
    <row r="703" spans="1:20">
      <c r="A703" s="351">
        <v>97641</v>
      </c>
      <c r="B703" s="344" t="s">
        <v>1401</v>
      </c>
      <c r="C703" s="235">
        <v>4.5399999999999999E-5</v>
      </c>
      <c r="D703" s="235">
        <v>5.1400000000000003E-5</v>
      </c>
      <c r="E703" s="345">
        <v>123984</v>
      </c>
      <c r="F703" s="232"/>
      <c r="G703" s="345">
        <v>21229</v>
      </c>
      <c r="H703" s="345">
        <v>3024</v>
      </c>
      <c r="I703" s="345">
        <v>20207</v>
      </c>
      <c r="J703" s="345">
        <v>4892</v>
      </c>
      <c r="K703" s="345">
        <v>49352</v>
      </c>
      <c r="L703" s="232"/>
      <c r="M703" s="345">
        <v>0</v>
      </c>
      <c r="N703" s="345">
        <v>0</v>
      </c>
      <c r="O703" s="345">
        <v>6215</v>
      </c>
      <c r="P703" s="345">
        <v>6215</v>
      </c>
      <c r="Q703" s="232"/>
      <c r="R703" s="345">
        <v>55230</v>
      </c>
      <c r="S703" s="345">
        <v>2961</v>
      </c>
      <c r="T703" s="345">
        <v>58191</v>
      </c>
    </row>
    <row r="704" spans="1:20">
      <c r="A704" s="351">
        <v>97651</v>
      </c>
      <c r="B704" s="344" t="s">
        <v>1402</v>
      </c>
      <c r="C704" s="235">
        <v>5.2329999999999998E-4</v>
      </c>
      <c r="D704" s="235">
        <v>5.1929999999999999E-4</v>
      </c>
      <c r="E704" s="345">
        <v>1429091</v>
      </c>
      <c r="F704" s="232"/>
      <c r="G704" s="345">
        <v>244697</v>
      </c>
      <c r="H704" s="345">
        <v>34857</v>
      </c>
      <c r="I704" s="345">
        <v>232918</v>
      </c>
      <c r="J704" s="345">
        <v>0</v>
      </c>
      <c r="K704" s="345">
        <v>512472</v>
      </c>
      <c r="L704" s="232"/>
      <c r="M704" s="345">
        <v>0</v>
      </c>
      <c r="N704" s="345">
        <v>0</v>
      </c>
      <c r="O704" s="345">
        <v>44727</v>
      </c>
      <c r="P704" s="345">
        <v>44727</v>
      </c>
      <c r="Q704" s="232"/>
      <c r="R704" s="345">
        <v>636601</v>
      </c>
      <c r="S704" s="345">
        <v>-18676</v>
      </c>
      <c r="T704" s="345">
        <v>617925</v>
      </c>
    </row>
    <row r="705" spans="1:20">
      <c r="A705" s="351">
        <v>97661</v>
      </c>
      <c r="B705" s="344" t="s">
        <v>1403</v>
      </c>
      <c r="C705" s="235">
        <v>5.3300000000000001E-5</v>
      </c>
      <c r="D705" s="235">
        <v>4.3999999999999999E-5</v>
      </c>
      <c r="E705" s="345">
        <v>145558</v>
      </c>
      <c r="F705" s="232"/>
      <c r="G705" s="345">
        <v>24923</v>
      </c>
      <c r="H705" s="345">
        <v>3550</v>
      </c>
      <c r="I705" s="345">
        <v>23724</v>
      </c>
      <c r="J705" s="345">
        <v>11766</v>
      </c>
      <c r="K705" s="345">
        <v>63963</v>
      </c>
      <c r="L705" s="232"/>
      <c r="M705" s="345">
        <v>0</v>
      </c>
      <c r="N705" s="345">
        <v>0</v>
      </c>
      <c r="O705" s="345">
        <v>1455</v>
      </c>
      <c r="P705" s="345">
        <v>1455</v>
      </c>
      <c r="Q705" s="232"/>
      <c r="R705" s="345">
        <v>64840</v>
      </c>
      <c r="S705" s="345">
        <v>3751</v>
      </c>
      <c r="T705" s="345">
        <v>68591</v>
      </c>
    </row>
    <row r="706" spans="1:20">
      <c r="A706" s="351">
        <v>97701</v>
      </c>
      <c r="B706" s="344" t="s">
        <v>1404</v>
      </c>
      <c r="C706" s="235">
        <v>2.4578E-3</v>
      </c>
      <c r="D706" s="235">
        <v>2.5590000000000001E-3</v>
      </c>
      <c r="E706" s="345">
        <v>6712060</v>
      </c>
      <c r="F706" s="232"/>
      <c r="G706" s="345">
        <v>1149275</v>
      </c>
      <c r="H706" s="345">
        <v>163717</v>
      </c>
      <c r="I706" s="345">
        <v>1093954</v>
      </c>
      <c r="J706" s="345">
        <v>33100</v>
      </c>
      <c r="K706" s="345">
        <v>2440046</v>
      </c>
      <c r="L706" s="232"/>
      <c r="M706" s="345">
        <v>0</v>
      </c>
      <c r="N706" s="345">
        <v>0</v>
      </c>
      <c r="O706" s="345">
        <v>84502</v>
      </c>
      <c r="P706" s="345">
        <v>84502</v>
      </c>
      <c r="Q706" s="232"/>
      <c r="R706" s="345">
        <v>2989946</v>
      </c>
      <c r="S706" s="345">
        <v>-2965</v>
      </c>
      <c r="T706" s="345">
        <v>2986981</v>
      </c>
    </row>
    <row r="707" spans="1:20">
      <c r="A707" s="351">
        <v>97705</v>
      </c>
      <c r="B707" s="344" t="s">
        <v>1405</v>
      </c>
      <c r="C707" s="235">
        <v>3.1699999999999998E-5</v>
      </c>
      <c r="D707" s="235">
        <v>4.5500000000000001E-5</v>
      </c>
      <c r="E707" s="345">
        <v>86570</v>
      </c>
      <c r="F707" s="232"/>
      <c r="G707" s="345">
        <v>14823</v>
      </c>
      <c r="H707" s="345">
        <v>2112</v>
      </c>
      <c r="I707" s="345">
        <v>14110</v>
      </c>
      <c r="J707" s="345">
        <v>715</v>
      </c>
      <c r="K707" s="345">
        <v>31760</v>
      </c>
      <c r="L707" s="232"/>
      <c r="M707" s="345">
        <v>0</v>
      </c>
      <c r="N707" s="345">
        <v>0</v>
      </c>
      <c r="O707" s="345">
        <v>12170</v>
      </c>
      <c r="P707" s="345">
        <v>12170</v>
      </c>
      <c r="Q707" s="232"/>
      <c r="R707" s="345">
        <v>38563</v>
      </c>
      <c r="S707" s="345">
        <v>-4612</v>
      </c>
      <c r="T707" s="345">
        <v>33951</v>
      </c>
    </row>
    <row r="708" spans="1:20">
      <c r="A708" s="351">
        <v>97711</v>
      </c>
      <c r="B708" s="344" t="s">
        <v>1406</v>
      </c>
      <c r="C708" s="235">
        <v>8.5930000000000002E-4</v>
      </c>
      <c r="D708" s="235">
        <v>9.1239999999999995E-4</v>
      </c>
      <c r="E708" s="345">
        <v>2346681</v>
      </c>
      <c r="F708" s="232"/>
      <c r="G708" s="345">
        <v>401811</v>
      </c>
      <c r="H708" s="345">
        <v>57239</v>
      </c>
      <c r="I708" s="345">
        <v>382470</v>
      </c>
      <c r="J708" s="345">
        <v>8237</v>
      </c>
      <c r="K708" s="345">
        <v>849757</v>
      </c>
      <c r="L708" s="232"/>
      <c r="M708" s="345">
        <v>0</v>
      </c>
      <c r="N708" s="345">
        <v>0</v>
      </c>
      <c r="O708" s="345">
        <v>44103</v>
      </c>
      <c r="P708" s="345">
        <v>44103</v>
      </c>
      <c r="Q708" s="232"/>
      <c r="R708" s="345">
        <v>1045350</v>
      </c>
      <c r="S708" s="345">
        <v>-13458</v>
      </c>
      <c r="T708" s="345">
        <v>1031892</v>
      </c>
    </row>
    <row r="709" spans="1:20">
      <c r="A709" s="351">
        <v>97713</v>
      </c>
      <c r="B709" s="344" t="s">
        <v>1407</v>
      </c>
      <c r="C709" s="235">
        <v>5.0399999999999999E-5</v>
      </c>
      <c r="D709" s="235">
        <v>5.0500000000000001E-5</v>
      </c>
      <c r="E709" s="345">
        <v>137638</v>
      </c>
      <c r="F709" s="232"/>
      <c r="G709" s="345">
        <v>23567</v>
      </c>
      <c r="H709" s="345">
        <v>3357</v>
      </c>
      <c r="I709" s="345">
        <v>22433</v>
      </c>
      <c r="J709" s="345">
        <v>3325</v>
      </c>
      <c r="K709" s="345">
        <v>52682</v>
      </c>
      <c r="L709" s="232"/>
      <c r="M709" s="345">
        <v>0</v>
      </c>
      <c r="N709" s="345">
        <v>0</v>
      </c>
      <c r="O709" s="345">
        <v>6530</v>
      </c>
      <c r="P709" s="345">
        <v>6530</v>
      </c>
      <c r="Q709" s="232"/>
      <c r="R709" s="345">
        <v>61312</v>
      </c>
      <c r="S709" s="345">
        <v>-4414</v>
      </c>
      <c r="T709" s="345">
        <v>56898</v>
      </c>
    </row>
    <row r="710" spans="1:20">
      <c r="A710" s="351">
        <v>97717</v>
      </c>
      <c r="B710" s="344" t="s">
        <v>1408</v>
      </c>
      <c r="C710" s="235">
        <v>5.4E-6</v>
      </c>
      <c r="D710" s="235">
        <v>5.3000000000000001E-6</v>
      </c>
      <c r="E710" s="345">
        <v>14747</v>
      </c>
      <c r="F710" s="232"/>
      <c r="G710" s="345">
        <v>2525</v>
      </c>
      <c r="H710" s="345">
        <v>360</v>
      </c>
      <c r="I710" s="345">
        <v>2404</v>
      </c>
      <c r="J710" s="345">
        <v>573</v>
      </c>
      <c r="K710" s="345">
        <v>5862</v>
      </c>
      <c r="L710" s="232"/>
      <c r="M710" s="345">
        <v>0</v>
      </c>
      <c r="N710" s="345">
        <v>0</v>
      </c>
      <c r="O710" s="345">
        <v>886</v>
      </c>
      <c r="P710" s="345">
        <v>886</v>
      </c>
      <c r="Q710" s="232"/>
      <c r="R710" s="345">
        <v>6569</v>
      </c>
      <c r="S710" s="345">
        <v>-227</v>
      </c>
      <c r="T710" s="345">
        <v>6342</v>
      </c>
    </row>
    <row r="711" spans="1:20">
      <c r="A711" s="351">
        <v>97721</v>
      </c>
      <c r="B711" s="344" t="s">
        <v>1409</v>
      </c>
      <c r="C711" s="235">
        <v>5.5699999999999999E-4</v>
      </c>
      <c r="D711" s="235">
        <v>5.9069999999999999E-4</v>
      </c>
      <c r="E711" s="345">
        <v>1521124</v>
      </c>
      <c r="F711" s="232"/>
      <c r="G711" s="345">
        <v>260455</v>
      </c>
      <c r="H711" s="345">
        <v>37102</v>
      </c>
      <c r="I711" s="345">
        <v>247918</v>
      </c>
      <c r="J711" s="345">
        <v>6173</v>
      </c>
      <c r="K711" s="345">
        <v>551648</v>
      </c>
      <c r="L711" s="232"/>
      <c r="M711" s="345">
        <v>0</v>
      </c>
      <c r="N711" s="345">
        <v>0</v>
      </c>
      <c r="O711" s="345">
        <v>47608</v>
      </c>
      <c r="P711" s="345">
        <v>47608</v>
      </c>
      <c r="Q711" s="232"/>
      <c r="R711" s="345">
        <v>677598</v>
      </c>
      <c r="S711" s="345">
        <v>-18510</v>
      </c>
      <c r="T711" s="345">
        <v>659088</v>
      </c>
    </row>
    <row r="712" spans="1:20">
      <c r="A712" s="351">
        <v>97727</v>
      </c>
      <c r="B712" s="344" t="s">
        <v>1410</v>
      </c>
      <c r="C712" s="235">
        <v>1.8600000000000001E-5</v>
      </c>
      <c r="D712" s="235">
        <v>2.0599999999999999E-5</v>
      </c>
      <c r="E712" s="345">
        <v>50795</v>
      </c>
      <c r="F712" s="232"/>
      <c r="G712" s="345">
        <v>8697</v>
      </c>
      <c r="H712" s="345">
        <v>1239</v>
      </c>
      <c r="I712" s="345">
        <v>8279</v>
      </c>
      <c r="J712" s="345">
        <v>0</v>
      </c>
      <c r="K712" s="345">
        <v>18215</v>
      </c>
      <c r="L712" s="232"/>
      <c r="M712" s="345">
        <v>0</v>
      </c>
      <c r="N712" s="345">
        <v>0</v>
      </c>
      <c r="O712" s="345">
        <v>881</v>
      </c>
      <c r="P712" s="345">
        <v>881</v>
      </c>
      <c r="Q712" s="232"/>
      <c r="R712" s="345">
        <v>22627</v>
      </c>
      <c r="S712" s="345">
        <v>-805</v>
      </c>
      <c r="T712" s="345">
        <v>21822</v>
      </c>
    </row>
    <row r="713" spans="1:20">
      <c r="A713" s="351">
        <v>97731</v>
      </c>
      <c r="B713" s="344" t="s">
        <v>1411</v>
      </c>
      <c r="C713" s="235">
        <v>3.82E-5</v>
      </c>
      <c r="D713" s="235">
        <v>3.3200000000000001E-5</v>
      </c>
      <c r="E713" s="345">
        <v>104321</v>
      </c>
      <c r="F713" s="232"/>
      <c r="G713" s="345">
        <v>17862</v>
      </c>
      <c r="H713" s="345">
        <v>2544</v>
      </c>
      <c r="I713" s="345">
        <v>17003</v>
      </c>
      <c r="J713" s="345">
        <v>7888</v>
      </c>
      <c r="K713" s="345">
        <v>45297</v>
      </c>
      <c r="L713" s="232"/>
      <c r="M713" s="345">
        <v>0</v>
      </c>
      <c r="N713" s="345">
        <v>0</v>
      </c>
      <c r="O713" s="345">
        <v>0</v>
      </c>
      <c r="P713" s="345">
        <v>0</v>
      </c>
      <c r="Q713" s="232"/>
      <c r="R713" s="345">
        <v>46471</v>
      </c>
      <c r="S713" s="345">
        <v>4081</v>
      </c>
      <c r="T713" s="345">
        <v>50552</v>
      </c>
    </row>
    <row r="714" spans="1:20">
      <c r="A714" s="351">
        <v>97801</v>
      </c>
      <c r="B714" s="344" t="s">
        <v>1412</v>
      </c>
      <c r="C714" s="235">
        <v>6.0489000000000003E-3</v>
      </c>
      <c r="D714" s="235">
        <v>6.5702E-3</v>
      </c>
      <c r="E714" s="345">
        <v>16519074</v>
      </c>
      <c r="F714" s="232"/>
      <c r="G714" s="345">
        <v>2828484</v>
      </c>
      <c r="H714" s="345">
        <v>402924</v>
      </c>
      <c r="I714" s="345">
        <v>2692335</v>
      </c>
      <c r="J714" s="345">
        <v>0</v>
      </c>
      <c r="K714" s="345">
        <v>5923743</v>
      </c>
      <c r="L714" s="232"/>
      <c r="M714" s="345">
        <v>0</v>
      </c>
      <c r="N714" s="345">
        <v>0</v>
      </c>
      <c r="O714" s="345">
        <v>642269</v>
      </c>
      <c r="P714" s="345">
        <v>642269</v>
      </c>
      <c r="Q714" s="232"/>
      <c r="R714" s="345">
        <v>7358565</v>
      </c>
      <c r="S714" s="345">
        <v>-255015</v>
      </c>
      <c r="T714" s="345">
        <v>7103550</v>
      </c>
    </row>
    <row r="715" spans="1:20">
      <c r="A715" s="351">
        <v>97802</v>
      </c>
      <c r="B715" s="344" t="s">
        <v>1413</v>
      </c>
      <c r="C715" s="235">
        <v>1.9029999999999999E-4</v>
      </c>
      <c r="D715" s="235">
        <v>1.684E-4</v>
      </c>
      <c r="E715" s="345">
        <v>519694</v>
      </c>
      <c r="F715" s="232"/>
      <c r="G715" s="345">
        <v>88985</v>
      </c>
      <c r="H715" s="345">
        <v>12676</v>
      </c>
      <c r="I715" s="345">
        <v>84702</v>
      </c>
      <c r="J715" s="345">
        <v>22459</v>
      </c>
      <c r="K715" s="345">
        <v>208822</v>
      </c>
      <c r="L715" s="232"/>
      <c r="M715" s="345">
        <v>0</v>
      </c>
      <c r="N715" s="345">
        <v>0</v>
      </c>
      <c r="O715" s="345">
        <v>7514</v>
      </c>
      <c r="P715" s="345">
        <v>7514</v>
      </c>
      <c r="Q715" s="232"/>
      <c r="R715" s="345">
        <v>231502</v>
      </c>
      <c r="S715" s="345">
        <v>-3338</v>
      </c>
      <c r="T715" s="345">
        <v>228164</v>
      </c>
    </row>
    <row r="716" spans="1:20">
      <c r="A716" s="351">
        <v>97803</v>
      </c>
      <c r="B716" s="344" t="s">
        <v>1414</v>
      </c>
      <c r="C716" s="235">
        <v>7.7899999999999996E-5</v>
      </c>
      <c r="D716" s="235">
        <v>8.1699999999999994E-5</v>
      </c>
      <c r="E716" s="345">
        <v>212739</v>
      </c>
      <c r="F716" s="232"/>
      <c r="G716" s="345">
        <v>36426</v>
      </c>
      <c r="H716" s="345">
        <v>5189</v>
      </c>
      <c r="I716" s="345">
        <v>34673</v>
      </c>
      <c r="J716" s="345">
        <v>3693</v>
      </c>
      <c r="K716" s="345">
        <v>79981</v>
      </c>
      <c r="L716" s="232"/>
      <c r="M716" s="345">
        <v>0</v>
      </c>
      <c r="N716" s="345">
        <v>0</v>
      </c>
      <c r="O716" s="345">
        <v>3354</v>
      </c>
      <c r="P716" s="345">
        <v>3354</v>
      </c>
      <c r="Q716" s="232"/>
      <c r="R716" s="345">
        <v>94766</v>
      </c>
      <c r="S716" s="345">
        <v>151</v>
      </c>
      <c r="T716" s="345">
        <v>94917</v>
      </c>
    </row>
    <row r="717" spans="1:20">
      <c r="A717" s="351">
        <v>97805</v>
      </c>
      <c r="B717" s="344" t="s">
        <v>1415</v>
      </c>
      <c r="C717" s="235">
        <v>8.6500000000000002E-5</v>
      </c>
      <c r="D717" s="235">
        <v>8.2700000000000004E-5</v>
      </c>
      <c r="E717" s="345">
        <v>236225</v>
      </c>
      <c r="F717" s="232"/>
      <c r="G717" s="345">
        <v>40448</v>
      </c>
      <c r="H717" s="345">
        <v>5762</v>
      </c>
      <c r="I717" s="345">
        <v>38501</v>
      </c>
      <c r="J717" s="345">
        <v>8007</v>
      </c>
      <c r="K717" s="345">
        <v>92718</v>
      </c>
      <c r="L717" s="232"/>
      <c r="M717" s="345">
        <v>0</v>
      </c>
      <c r="N717" s="345">
        <v>0</v>
      </c>
      <c r="O717" s="345">
        <v>0</v>
      </c>
      <c r="P717" s="345">
        <v>0</v>
      </c>
      <c r="Q717" s="232"/>
      <c r="R717" s="345">
        <v>105228</v>
      </c>
      <c r="S717" s="345">
        <v>5463</v>
      </c>
      <c r="T717" s="345">
        <v>110691</v>
      </c>
    </row>
    <row r="718" spans="1:20">
      <c r="A718" s="351">
        <v>97811</v>
      </c>
      <c r="B718" s="344" t="s">
        <v>1416</v>
      </c>
      <c r="C718" s="235">
        <v>2.4080999999999998E-3</v>
      </c>
      <c r="D718" s="235">
        <v>2.4342999999999999E-3</v>
      </c>
      <c r="E718" s="345">
        <v>6576333</v>
      </c>
      <c r="F718" s="232"/>
      <c r="G718" s="345">
        <v>1126035</v>
      </c>
      <c r="H718" s="345">
        <v>160406</v>
      </c>
      <c r="I718" s="345">
        <v>1071833</v>
      </c>
      <c r="J718" s="345">
        <v>0</v>
      </c>
      <c r="K718" s="345">
        <v>2358274</v>
      </c>
      <c r="L718" s="232"/>
      <c r="M718" s="345">
        <v>0</v>
      </c>
      <c r="N718" s="345">
        <v>0</v>
      </c>
      <c r="O718" s="345">
        <v>52940</v>
      </c>
      <c r="P718" s="345">
        <v>52940</v>
      </c>
      <c r="Q718" s="232"/>
      <c r="R718" s="345">
        <v>2929485</v>
      </c>
      <c r="S718" s="345">
        <v>-69072</v>
      </c>
      <c r="T718" s="345">
        <v>2860413</v>
      </c>
    </row>
    <row r="719" spans="1:20">
      <c r="A719" s="351">
        <v>97817</v>
      </c>
      <c r="B719" s="344" t="s">
        <v>1417</v>
      </c>
      <c r="C719" s="235">
        <v>1.7499999999999998E-5</v>
      </c>
      <c r="D719" s="235">
        <v>1.8199999999999999E-5</v>
      </c>
      <c r="E719" s="345">
        <v>47791</v>
      </c>
      <c r="F719" s="232"/>
      <c r="G719" s="345">
        <v>8183</v>
      </c>
      <c r="H719" s="345">
        <v>1166</v>
      </c>
      <c r="I719" s="345">
        <v>7789</v>
      </c>
      <c r="J719" s="345">
        <v>12928</v>
      </c>
      <c r="K719" s="345">
        <v>30066</v>
      </c>
      <c r="L719" s="232"/>
      <c r="M719" s="345">
        <v>0</v>
      </c>
      <c r="N719" s="345">
        <v>0</v>
      </c>
      <c r="O719" s="345">
        <v>0</v>
      </c>
      <c r="P719" s="345">
        <v>0</v>
      </c>
      <c r="Q719" s="232"/>
      <c r="R719" s="345">
        <v>21289</v>
      </c>
      <c r="S719" s="345">
        <v>4700</v>
      </c>
      <c r="T719" s="345">
        <v>25989</v>
      </c>
    </row>
    <row r="720" spans="1:20">
      <c r="A720" s="351">
        <v>97818</v>
      </c>
      <c r="B720" s="344" t="s">
        <v>2804</v>
      </c>
      <c r="C720" s="235">
        <v>2.4899999999999999E-5</v>
      </c>
      <c r="D720" s="235">
        <v>2.0299999999999999E-5</v>
      </c>
      <c r="E720" s="345">
        <v>68000</v>
      </c>
      <c r="F720" s="232"/>
      <c r="G720" s="345">
        <v>11643</v>
      </c>
      <c r="H720" s="345">
        <v>1658</v>
      </c>
      <c r="I720" s="345">
        <v>11083</v>
      </c>
      <c r="J720" s="345">
        <v>5468</v>
      </c>
      <c r="K720" s="345">
        <v>29852</v>
      </c>
      <c r="L720" s="232"/>
      <c r="M720" s="345">
        <v>0</v>
      </c>
      <c r="N720" s="345">
        <v>0</v>
      </c>
      <c r="O720" s="345">
        <v>737</v>
      </c>
      <c r="P720" s="345">
        <v>737</v>
      </c>
      <c r="Q720" s="232"/>
      <c r="R720" s="345">
        <v>30291</v>
      </c>
      <c r="S720" s="345">
        <v>2914</v>
      </c>
      <c r="T720" s="345">
        <v>33205</v>
      </c>
    </row>
    <row r="721" spans="1:20">
      <c r="A721" s="351">
        <v>97821</v>
      </c>
      <c r="B721" s="344" t="s">
        <v>1419</v>
      </c>
      <c r="C721" s="235">
        <v>1.329E-4</v>
      </c>
      <c r="D721" s="235">
        <v>1.071E-4</v>
      </c>
      <c r="E721" s="345">
        <v>362940</v>
      </c>
      <c r="F721" s="232"/>
      <c r="G721" s="345">
        <v>62144</v>
      </c>
      <c r="H721" s="345">
        <v>8852</v>
      </c>
      <c r="I721" s="345">
        <v>59153</v>
      </c>
      <c r="J721" s="345">
        <v>32594</v>
      </c>
      <c r="K721" s="345">
        <v>162743</v>
      </c>
      <c r="L721" s="232"/>
      <c r="M721" s="345">
        <v>0</v>
      </c>
      <c r="N721" s="345">
        <v>0</v>
      </c>
      <c r="O721" s="345">
        <v>1315</v>
      </c>
      <c r="P721" s="345">
        <v>1315</v>
      </c>
      <c r="Q721" s="232"/>
      <c r="R721" s="345">
        <v>161675</v>
      </c>
      <c r="S721" s="345">
        <v>5063</v>
      </c>
      <c r="T721" s="345">
        <v>166738</v>
      </c>
    </row>
    <row r="722" spans="1:20">
      <c r="A722" s="351">
        <v>97823</v>
      </c>
      <c r="B722" s="344" t="s">
        <v>1420</v>
      </c>
      <c r="C722" s="235">
        <v>1.5400000000000002E-5</v>
      </c>
      <c r="D722" s="235">
        <v>1.7200000000000001E-5</v>
      </c>
      <c r="E722" s="345">
        <v>42056</v>
      </c>
      <c r="F722" s="232"/>
      <c r="G722" s="345">
        <v>7201</v>
      </c>
      <c r="H722" s="345">
        <v>1026</v>
      </c>
      <c r="I722" s="345">
        <v>6854</v>
      </c>
      <c r="J722" s="345">
        <v>2981</v>
      </c>
      <c r="K722" s="345">
        <v>18062</v>
      </c>
      <c r="L722" s="232"/>
      <c r="M722" s="345">
        <v>0</v>
      </c>
      <c r="N722" s="345">
        <v>0</v>
      </c>
      <c r="O722" s="345">
        <v>1579</v>
      </c>
      <c r="P722" s="345">
        <v>1579</v>
      </c>
      <c r="Q722" s="232"/>
      <c r="R722" s="345">
        <v>18734</v>
      </c>
      <c r="S722" s="345">
        <v>555</v>
      </c>
      <c r="T722" s="345">
        <v>19289</v>
      </c>
    </row>
    <row r="723" spans="1:20">
      <c r="A723" s="351">
        <v>97831</v>
      </c>
      <c r="B723" s="344" t="s">
        <v>1421</v>
      </c>
      <c r="C723" s="235">
        <v>1.6359999999999999E-4</v>
      </c>
      <c r="D723" s="235">
        <v>1.5200000000000001E-4</v>
      </c>
      <c r="E723" s="345">
        <v>446779</v>
      </c>
      <c r="F723" s="232"/>
      <c r="G723" s="345">
        <v>76500</v>
      </c>
      <c r="H723" s="345">
        <v>10898</v>
      </c>
      <c r="I723" s="345">
        <v>72818</v>
      </c>
      <c r="J723" s="345">
        <v>24635</v>
      </c>
      <c r="K723" s="345">
        <v>184851</v>
      </c>
      <c r="L723" s="232"/>
      <c r="M723" s="345">
        <v>0</v>
      </c>
      <c r="N723" s="345">
        <v>0</v>
      </c>
      <c r="O723" s="345">
        <v>2758</v>
      </c>
      <c r="P723" s="345">
        <v>2758</v>
      </c>
      <c r="Q723" s="232"/>
      <c r="R723" s="345">
        <v>199022</v>
      </c>
      <c r="S723" s="345">
        <v>4959</v>
      </c>
      <c r="T723" s="345">
        <v>203981</v>
      </c>
    </row>
    <row r="724" spans="1:20">
      <c r="A724" s="351">
        <v>97837</v>
      </c>
      <c r="B724" s="344" t="s">
        <v>3698</v>
      </c>
      <c r="C724" s="235">
        <v>1.0000000000000001E-5</v>
      </c>
      <c r="D724" s="235">
        <v>9.3000000000000007E-6</v>
      </c>
      <c r="E724" s="345">
        <v>27309</v>
      </c>
      <c r="F724" s="232"/>
      <c r="G724" s="345">
        <v>4676</v>
      </c>
      <c r="H724" s="345">
        <v>666</v>
      </c>
      <c r="I724" s="345">
        <v>4451</v>
      </c>
      <c r="J724" s="345">
        <v>2665</v>
      </c>
      <c r="K724" s="345">
        <v>12458</v>
      </c>
      <c r="L724" s="232"/>
      <c r="M724" s="345">
        <v>0</v>
      </c>
      <c r="N724" s="345">
        <v>0</v>
      </c>
      <c r="O724" s="345">
        <v>64</v>
      </c>
      <c r="P724" s="345">
        <v>64</v>
      </c>
      <c r="Q724" s="232"/>
      <c r="R724" s="345">
        <v>12165</v>
      </c>
      <c r="S724" s="345">
        <v>1379</v>
      </c>
      <c r="T724" s="345">
        <v>13544</v>
      </c>
    </row>
    <row r="725" spans="1:20">
      <c r="A725" s="351">
        <v>97840</v>
      </c>
      <c r="B725" s="344" t="s">
        <v>1423</v>
      </c>
      <c r="C725" s="235">
        <v>1.0560000000000001E-4</v>
      </c>
      <c r="D725" s="235">
        <v>1.36E-4</v>
      </c>
      <c r="E725" s="345">
        <v>288385</v>
      </c>
      <c r="F725" s="232"/>
      <c r="G725" s="345">
        <v>49379</v>
      </c>
      <c r="H725" s="345">
        <v>7034</v>
      </c>
      <c r="I725" s="345">
        <v>47002</v>
      </c>
      <c r="J725" s="345">
        <v>74121</v>
      </c>
      <c r="K725" s="345">
        <v>177536</v>
      </c>
      <c r="L725" s="232"/>
      <c r="M725" s="345">
        <v>0</v>
      </c>
      <c r="N725" s="345">
        <v>0</v>
      </c>
      <c r="O725" s="345">
        <v>0</v>
      </c>
      <c r="P725" s="345">
        <v>0</v>
      </c>
      <c r="Q725" s="232"/>
      <c r="R725" s="345">
        <v>128464</v>
      </c>
      <c r="S725" s="345">
        <v>41344</v>
      </c>
      <c r="T725" s="345">
        <v>169808</v>
      </c>
    </row>
    <row r="726" spans="1:20">
      <c r="A726" s="351">
        <v>97841</v>
      </c>
      <c r="B726" s="344" t="s">
        <v>1424</v>
      </c>
      <c r="C726" s="235">
        <v>1.2099999999999999E-5</v>
      </c>
      <c r="D726" s="235">
        <v>1.2E-5</v>
      </c>
      <c r="E726" s="345">
        <v>33044</v>
      </c>
      <c r="F726" s="232"/>
      <c r="G726" s="345">
        <v>5658</v>
      </c>
      <c r="H726" s="345">
        <v>806</v>
      </c>
      <c r="I726" s="345">
        <v>5386</v>
      </c>
      <c r="J726" s="345">
        <v>186</v>
      </c>
      <c r="K726" s="345">
        <v>12036</v>
      </c>
      <c r="L726" s="232"/>
      <c r="M726" s="345">
        <v>0</v>
      </c>
      <c r="N726" s="345">
        <v>0</v>
      </c>
      <c r="O726" s="345">
        <v>474</v>
      </c>
      <c r="P726" s="345">
        <v>474</v>
      </c>
      <c r="Q726" s="232"/>
      <c r="R726" s="345">
        <v>14720</v>
      </c>
      <c r="S726" s="345">
        <v>-77</v>
      </c>
      <c r="T726" s="345">
        <v>14643</v>
      </c>
    </row>
    <row r="727" spans="1:20">
      <c r="A727" s="351">
        <v>97847</v>
      </c>
      <c r="B727" s="344" t="s">
        <v>1425</v>
      </c>
      <c r="C727" s="235">
        <v>1.7E-6</v>
      </c>
      <c r="D727" s="235">
        <v>1.9999999999999999E-6</v>
      </c>
      <c r="E727" s="345">
        <v>4643</v>
      </c>
      <c r="F727" s="232"/>
      <c r="G727" s="345">
        <v>795</v>
      </c>
      <c r="H727" s="345">
        <v>114</v>
      </c>
      <c r="I727" s="345">
        <v>757</v>
      </c>
      <c r="J727" s="345">
        <v>2472</v>
      </c>
      <c r="K727" s="345">
        <v>4138</v>
      </c>
      <c r="L727" s="232"/>
      <c r="M727" s="345">
        <v>0</v>
      </c>
      <c r="N727" s="345">
        <v>0</v>
      </c>
      <c r="O727" s="345">
        <v>0</v>
      </c>
      <c r="P727" s="345">
        <v>0</v>
      </c>
      <c r="Q727" s="232"/>
      <c r="R727" s="345">
        <v>2068</v>
      </c>
      <c r="S727" s="345">
        <v>950</v>
      </c>
      <c r="T727" s="345">
        <v>3018</v>
      </c>
    </row>
    <row r="728" spans="1:20">
      <c r="A728" s="351">
        <v>97851</v>
      </c>
      <c r="B728" s="344" t="s">
        <v>1426</v>
      </c>
      <c r="C728" s="235">
        <v>2.7540000000000003E-4</v>
      </c>
      <c r="D728" s="235">
        <v>2.7750000000000002E-4</v>
      </c>
      <c r="E728" s="345">
        <v>752096</v>
      </c>
      <c r="F728" s="232"/>
      <c r="G728" s="345">
        <v>128778</v>
      </c>
      <c r="H728" s="345">
        <v>18344</v>
      </c>
      <c r="I728" s="345">
        <v>122579</v>
      </c>
      <c r="J728" s="345">
        <v>0</v>
      </c>
      <c r="K728" s="345">
        <v>269701</v>
      </c>
      <c r="L728" s="232"/>
      <c r="M728" s="345">
        <v>0</v>
      </c>
      <c r="N728" s="345">
        <v>0</v>
      </c>
      <c r="O728" s="345">
        <v>31817</v>
      </c>
      <c r="P728" s="345">
        <v>31817</v>
      </c>
      <c r="Q728" s="232"/>
      <c r="R728" s="345">
        <v>335028</v>
      </c>
      <c r="S728" s="345">
        <v>-11656</v>
      </c>
      <c r="T728" s="345">
        <v>323372</v>
      </c>
    </row>
    <row r="729" spans="1:20">
      <c r="A729" s="351">
        <v>97853</v>
      </c>
      <c r="B729" s="344" t="s">
        <v>1427</v>
      </c>
      <c r="C729" s="235">
        <v>7.9900000000000004E-5</v>
      </c>
      <c r="D729" s="235">
        <v>9.09E-5</v>
      </c>
      <c r="E729" s="345">
        <v>218201</v>
      </c>
      <c r="F729" s="232"/>
      <c r="G729" s="345">
        <v>37361</v>
      </c>
      <c r="H729" s="345">
        <v>5322</v>
      </c>
      <c r="I729" s="345">
        <v>35563</v>
      </c>
      <c r="J729" s="345">
        <v>2508</v>
      </c>
      <c r="K729" s="345">
        <v>80754</v>
      </c>
      <c r="L729" s="232"/>
      <c r="M729" s="345">
        <v>0</v>
      </c>
      <c r="N729" s="345">
        <v>0</v>
      </c>
      <c r="O729" s="345">
        <v>22513</v>
      </c>
      <c r="P729" s="345">
        <v>22513</v>
      </c>
      <c r="Q729" s="232"/>
      <c r="R729" s="345">
        <v>97199</v>
      </c>
      <c r="S729" s="345">
        <v>-6611</v>
      </c>
      <c r="T729" s="345">
        <v>90588</v>
      </c>
    </row>
    <row r="730" spans="1:20">
      <c r="A730" s="351">
        <v>97861</v>
      </c>
      <c r="B730" s="344" t="s">
        <v>1428</v>
      </c>
      <c r="C730" s="235">
        <v>4.5500000000000001E-5</v>
      </c>
      <c r="D730" s="235">
        <v>4.3000000000000002E-5</v>
      </c>
      <c r="E730" s="345">
        <v>124257</v>
      </c>
      <c r="F730" s="232"/>
      <c r="G730" s="345">
        <v>21276</v>
      </c>
      <c r="H730" s="345">
        <v>3031</v>
      </c>
      <c r="I730" s="345">
        <v>20252</v>
      </c>
      <c r="J730" s="345">
        <v>6798</v>
      </c>
      <c r="K730" s="345">
        <v>51357</v>
      </c>
      <c r="L730" s="232"/>
      <c r="M730" s="345">
        <v>0</v>
      </c>
      <c r="N730" s="345">
        <v>0</v>
      </c>
      <c r="O730" s="345">
        <v>11467</v>
      </c>
      <c r="P730" s="345">
        <v>11467</v>
      </c>
      <c r="Q730" s="232"/>
      <c r="R730" s="345">
        <v>55351</v>
      </c>
      <c r="S730" s="345">
        <v>-1850</v>
      </c>
      <c r="T730" s="345">
        <v>53501</v>
      </c>
    </row>
    <row r="731" spans="1:20">
      <c r="A731" s="351">
        <v>97871</v>
      </c>
      <c r="B731" s="344" t="s">
        <v>1429</v>
      </c>
      <c r="C731" s="235">
        <v>3.0079999999999999E-4</v>
      </c>
      <c r="D731" s="235">
        <v>3.1080000000000002E-4</v>
      </c>
      <c r="E731" s="345">
        <v>821461</v>
      </c>
      <c r="F731" s="232"/>
      <c r="G731" s="345">
        <v>140655</v>
      </c>
      <c r="H731" s="345">
        <v>20037</v>
      </c>
      <c r="I731" s="345">
        <v>133885</v>
      </c>
      <c r="J731" s="345">
        <v>270096</v>
      </c>
      <c r="K731" s="345">
        <v>564673</v>
      </c>
      <c r="L731" s="232"/>
      <c r="M731" s="345">
        <v>0</v>
      </c>
      <c r="N731" s="345">
        <v>0</v>
      </c>
      <c r="O731" s="345">
        <v>0</v>
      </c>
      <c r="P731" s="345">
        <v>0</v>
      </c>
      <c r="Q731" s="232"/>
      <c r="R731" s="345">
        <v>365927</v>
      </c>
      <c r="S731" s="345">
        <v>125339</v>
      </c>
      <c r="T731" s="345">
        <v>491266</v>
      </c>
    </row>
    <row r="732" spans="1:20">
      <c r="A732" s="351">
        <v>97877</v>
      </c>
      <c r="B732" s="344" t="s">
        <v>1430</v>
      </c>
      <c r="C732" s="235">
        <v>7.6000000000000001E-6</v>
      </c>
      <c r="D732" s="235">
        <v>1.7999999999999999E-6</v>
      </c>
      <c r="E732" s="345">
        <v>20755</v>
      </c>
      <c r="F732" s="232"/>
      <c r="G732" s="345">
        <v>3554</v>
      </c>
      <c r="H732" s="345">
        <v>506</v>
      </c>
      <c r="I732" s="345">
        <v>3383</v>
      </c>
      <c r="J732" s="345">
        <v>7232</v>
      </c>
      <c r="K732" s="345">
        <v>14675</v>
      </c>
      <c r="L732" s="232"/>
      <c r="M732" s="345">
        <v>0</v>
      </c>
      <c r="N732" s="345">
        <v>0</v>
      </c>
      <c r="O732" s="345">
        <v>0</v>
      </c>
      <c r="P732" s="345">
        <v>0</v>
      </c>
      <c r="Q732" s="232"/>
      <c r="R732" s="345">
        <v>9245</v>
      </c>
      <c r="S732" s="345">
        <v>2234</v>
      </c>
      <c r="T732" s="345">
        <v>11479</v>
      </c>
    </row>
    <row r="733" spans="1:20">
      <c r="A733" s="351">
        <v>97901</v>
      </c>
      <c r="B733" s="344" t="s">
        <v>1431</v>
      </c>
      <c r="C733" s="235">
        <v>4.0067999999999996E-3</v>
      </c>
      <c r="D733" s="235">
        <v>4.2154000000000002E-3</v>
      </c>
      <c r="E733" s="345">
        <v>10942258</v>
      </c>
      <c r="F733" s="232"/>
      <c r="G733" s="345">
        <v>1873592</v>
      </c>
      <c r="H733" s="345">
        <v>266897</v>
      </c>
      <c r="I733" s="345">
        <v>1783407</v>
      </c>
      <c r="J733" s="345">
        <v>20918</v>
      </c>
      <c r="K733" s="345">
        <v>3944814</v>
      </c>
      <c r="L733" s="232"/>
      <c r="M733" s="345">
        <v>0</v>
      </c>
      <c r="N733" s="345">
        <v>0</v>
      </c>
      <c r="O733" s="345">
        <v>292022</v>
      </c>
      <c r="P733" s="345">
        <v>292022</v>
      </c>
      <c r="Q733" s="232"/>
      <c r="R733" s="345">
        <v>4874324</v>
      </c>
      <c r="S733" s="345">
        <v>-51025</v>
      </c>
      <c r="T733" s="345">
        <v>4823299</v>
      </c>
    </row>
    <row r="734" spans="1:20">
      <c r="A734" s="351">
        <v>97911</v>
      </c>
      <c r="B734" s="344" t="s">
        <v>1432</v>
      </c>
      <c r="C734" s="235">
        <v>1.2121E-3</v>
      </c>
      <c r="D734" s="235">
        <v>1.2834000000000001E-3</v>
      </c>
      <c r="E734" s="345">
        <v>3310151</v>
      </c>
      <c r="F734" s="232"/>
      <c r="G734" s="345">
        <v>566782</v>
      </c>
      <c r="H734" s="345">
        <v>80739</v>
      </c>
      <c r="I734" s="345">
        <v>539500</v>
      </c>
      <c r="J734" s="345">
        <v>714</v>
      </c>
      <c r="K734" s="345">
        <v>1187735</v>
      </c>
      <c r="L734" s="232"/>
      <c r="M734" s="345">
        <v>0</v>
      </c>
      <c r="N734" s="345">
        <v>0</v>
      </c>
      <c r="O734" s="345">
        <v>32366</v>
      </c>
      <c r="P734" s="345">
        <v>32366</v>
      </c>
      <c r="Q734" s="232"/>
      <c r="R734" s="345">
        <v>1474535</v>
      </c>
      <c r="S734" s="345">
        <v>-5290</v>
      </c>
      <c r="T734" s="345">
        <v>1469245</v>
      </c>
    </row>
    <row r="735" spans="1:20">
      <c r="A735" s="351">
        <v>97913</v>
      </c>
      <c r="B735" s="344" t="s">
        <v>2770</v>
      </c>
      <c r="C735" s="235">
        <v>2.8600000000000001E-5</v>
      </c>
      <c r="D735" s="235">
        <v>3.3899999999999997E-5</v>
      </c>
      <c r="E735" s="345">
        <v>78104</v>
      </c>
      <c r="F735" s="232"/>
      <c r="G735" s="345">
        <v>13373</v>
      </c>
      <c r="H735" s="345">
        <v>1905</v>
      </c>
      <c r="I735" s="345">
        <v>12730</v>
      </c>
      <c r="J735" s="345">
        <v>14218</v>
      </c>
      <c r="K735" s="345">
        <v>42226</v>
      </c>
      <c r="L735" s="232"/>
      <c r="M735" s="345">
        <v>0</v>
      </c>
      <c r="N735" s="345">
        <v>0</v>
      </c>
      <c r="O735" s="345">
        <v>0</v>
      </c>
      <c r="P735" s="345">
        <v>0</v>
      </c>
      <c r="Q735" s="232"/>
      <c r="R735" s="345">
        <v>34792</v>
      </c>
      <c r="S735" s="345">
        <v>7475</v>
      </c>
      <c r="T735" s="345">
        <v>42267</v>
      </c>
    </row>
    <row r="736" spans="1:20">
      <c r="A736" s="351">
        <v>97917</v>
      </c>
      <c r="B736" s="344" t="s">
        <v>1434</v>
      </c>
      <c r="C736" s="235">
        <v>1.84E-5</v>
      </c>
      <c r="D736" s="235">
        <v>1.9700000000000001E-5</v>
      </c>
      <c r="E736" s="345">
        <v>50249</v>
      </c>
      <c r="F736" s="232"/>
      <c r="G736" s="345">
        <v>8604</v>
      </c>
      <c r="H736" s="345">
        <v>1226</v>
      </c>
      <c r="I736" s="345">
        <v>8190</v>
      </c>
      <c r="J736" s="345">
        <v>7317</v>
      </c>
      <c r="K736" s="345">
        <v>25337</v>
      </c>
      <c r="L736" s="232"/>
      <c r="M736" s="345">
        <v>0</v>
      </c>
      <c r="N736" s="345">
        <v>0</v>
      </c>
      <c r="O736" s="345">
        <v>0</v>
      </c>
      <c r="P736" s="345">
        <v>0</v>
      </c>
      <c r="Q736" s="232"/>
      <c r="R736" s="345">
        <v>22384</v>
      </c>
      <c r="S736" s="345">
        <v>3517</v>
      </c>
      <c r="T736" s="345">
        <v>25901</v>
      </c>
    </row>
    <row r="737" spans="1:20">
      <c r="A737" s="351">
        <v>97921</v>
      </c>
      <c r="B737" s="344" t="s">
        <v>1435</v>
      </c>
      <c r="C737" s="235">
        <v>2.073E-4</v>
      </c>
      <c r="D737" s="235">
        <v>2.2699999999999999E-4</v>
      </c>
      <c r="E737" s="345">
        <v>566120</v>
      </c>
      <c r="F737" s="232"/>
      <c r="G737" s="345">
        <v>96934</v>
      </c>
      <c r="H737" s="345">
        <v>13809</v>
      </c>
      <c r="I737" s="345">
        <v>92268</v>
      </c>
      <c r="J737" s="345">
        <v>5695</v>
      </c>
      <c r="K737" s="345">
        <v>208706</v>
      </c>
      <c r="L737" s="232"/>
      <c r="M737" s="345">
        <v>0</v>
      </c>
      <c r="N737" s="345">
        <v>0</v>
      </c>
      <c r="O737" s="345">
        <v>14528</v>
      </c>
      <c r="P737" s="345">
        <v>14528</v>
      </c>
      <c r="Q737" s="232"/>
      <c r="R737" s="345">
        <v>252183</v>
      </c>
      <c r="S737" s="345">
        <v>2315</v>
      </c>
      <c r="T737" s="345">
        <v>254498</v>
      </c>
    </row>
    <row r="738" spans="1:20">
      <c r="A738" s="351">
        <v>97931</v>
      </c>
      <c r="B738" s="344" t="s">
        <v>1436</v>
      </c>
      <c r="C738" s="235">
        <v>6.6699999999999995E-5</v>
      </c>
      <c r="D738" s="235">
        <v>6.7600000000000003E-5</v>
      </c>
      <c r="E738" s="345">
        <v>182152</v>
      </c>
      <c r="F738" s="232"/>
      <c r="G738" s="345">
        <v>31189</v>
      </c>
      <c r="H738" s="345">
        <v>4443</v>
      </c>
      <c r="I738" s="345">
        <v>29688</v>
      </c>
      <c r="J738" s="345">
        <v>3693</v>
      </c>
      <c r="K738" s="345">
        <v>69013</v>
      </c>
      <c r="L738" s="232"/>
      <c r="M738" s="345">
        <v>0</v>
      </c>
      <c r="N738" s="345">
        <v>0</v>
      </c>
      <c r="O738" s="345">
        <v>1945</v>
      </c>
      <c r="P738" s="345">
        <v>1945</v>
      </c>
      <c r="Q738" s="232"/>
      <c r="R738" s="345">
        <v>81141</v>
      </c>
      <c r="S738" s="345">
        <v>6142</v>
      </c>
      <c r="T738" s="345">
        <v>87283</v>
      </c>
    </row>
    <row r="739" spans="1:20">
      <c r="A739" s="351">
        <v>97941</v>
      </c>
      <c r="B739" s="344" t="s">
        <v>1437</v>
      </c>
      <c r="C739" s="235">
        <v>2.143E-4</v>
      </c>
      <c r="D739" s="235">
        <v>2.0159999999999999E-4</v>
      </c>
      <c r="E739" s="345">
        <v>585237</v>
      </c>
      <c r="F739" s="232"/>
      <c r="G739" s="345">
        <v>100207</v>
      </c>
      <c r="H739" s="345">
        <v>14275</v>
      </c>
      <c r="I739" s="345">
        <v>95384</v>
      </c>
      <c r="J739" s="345">
        <v>29447</v>
      </c>
      <c r="K739" s="345">
        <v>239313</v>
      </c>
      <c r="L739" s="232"/>
      <c r="M739" s="345">
        <v>0</v>
      </c>
      <c r="N739" s="345">
        <v>0</v>
      </c>
      <c r="O739" s="345">
        <v>4374</v>
      </c>
      <c r="P739" s="345">
        <v>4374</v>
      </c>
      <c r="Q739" s="232"/>
      <c r="R739" s="345">
        <v>260699</v>
      </c>
      <c r="S739" s="345">
        <v>13475</v>
      </c>
      <c r="T739" s="345">
        <v>274174</v>
      </c>
    </row>
    <row r="740" spans="1:20">
      <c r="A740" s="351">
        <v>97947</v>
      </c>
      <c r="B740" s="344" t="s">
        <v>1438</v>
      </c>
      <c r="C740" s="235">
        <v>1.52E-5</v>
      </c>
      <c r="D740" s="235">
        <v>1.47E-5</v>
      </c>
      <c r="E740" s="345">
        <v>41510</v>
      </c>
      <c r="F740" s="232"/>
      <c r="G740" s="345">
        <v>7108</v>
      </c>
      <c r="H740" s="345">
        <v>1013</v>
      </c>
      <c r="I740" s="345">
        <v>6765</v>
      </c>
      <c r="J740" s="345">
        <v>12028</v>
      </c>
      <c r="K740" s="345">
        <v>26914</v>
      </c>
      <c r="L740" s="232"/>
      <c r="M740" s="345">
        <v>0</v>
      </c>
      <c r="N740" s="345">
        <v>0</v>
      </c>
      <c r="O740" s="345">
        <v>0</v>
      </c>
      <c r="P740" s="345">
        <v>0</v>
      </c>
      <c r="Q740" s="232"/>
      <c r="R740" s="345">
        <v>18491</v>
      </c>
      <c r="S740" s="345">
        <v>5853</v>
      </c>
      <c r="T740" s="345">
        <v>24344</v>
      </c>
    </row>
    <row r="741" spans="1:20">
      <c r="A741" s="351">
        <v>97948</v>
      </c>
      <c r="B741" s="344" t="s">
        <v>3699</v>
      </c>
      <c r="C741" s="235">
        <v>2.6100000000000001E-5</v>
      </c>
      <c r="D741" s="235">
        <v>2.1299999999999999E-5</v>
      </c>
      <c r="E741" s="345">
        <v>71277</v>
      </c>
      <c r="F741" s="232"/>
      <c r="G741" s="345">
        <v>12204</v>
      </c>
      <c r="H741" s="345">
        <v>1739</v>
      </c>
      <c r="I741" s="345">
        <v>11617</v>
      </c>
      <c r="J741" s="345">
        <v>4166</v>
      </c>
      <c r="K741" s="345">
        <v>29726</v>
      </c>
      <c r="L741" s="232"/>
      <c r="M741" s="345">
        <v>0</v>
      </c>
      <c r="N741" s="345">
        <v>0</v>
      </c>
      <c r="O741" s="345">
        <v>4144</v>
      </c>
      <c r="P741" s="345">
        <v>4144</v>
      </c>
      <c r="Q741" s="232"/>
      <c r="R741" s="345">
        <v>31751</v>
      </c>
      <c r="S741" s="345">
        <v>-235</v>
      </c>
      <c r="T741" s="345">
        <v>31516</v>
      </c>
    </row>
    <row r="742" spans="1:20">
      <c r="A742" s="351">
        <v>97951</v>
      </c>
      <c r="B742" s="344" t="s">
        <v>1440</v>
      </c>
      <c r="C742" s="235">
        <v>1.1746E-3</v>
      </c>
      <c r="D742" s="235">
        <v>1.1826E-3</v>
      </c>
      <c r="E742" s="345">
        <v>3207741</v>
      </c>
      <c r="F742" s="232"/>
      <c r="G742" s="345">
        <v>549246</v>
      </c>
      <c r="H742" s="345">
        <v>78241</v>
      </c>
      <c r="I742" s="345">
        <v>522809</v>
      </c>
      <c r="J742" s="345">
        <v>44815</v>
      </c>
      <c r="K742" s="345">
        <v>1195111</v>
      </c>
      <c r="L742" s="232"/>
      <c r="M742" s="345">
        <v>0</v>
      </c>
      <c r="N742" s="345">
        <v>0</v>
      </c>
      <c r="O742" s="345">
        <v>75</v>
      </c>
      <c r="P742" s="345">
        <v>75</v>
      </c>
      <c r="Q742" s="232"/>
      <c r="R742" s="345">
        <v>1428916</v>
      </c>
      <c r="S742" s="345">
        <v>19096</v>
      </c>
      <c r="T742" s="345">
        <v>1448012</v>
      </c>
    </row>
    <row r="743" spans="1:20">
      <c r="A743" s="351">
        <v>97957</v>
      </c>
      <c r="B743" s="344" t="s">
        <v>1441</v>
      </c>
      <c r="C743" s="235">
        <v>1.49E-5</v>
      </c>
      <c r="D743" s="235">
        <v>1.7200000000000001E-5</v>
      </c>
      <c r="E743" s="345">
        <v>40691</v>
      </c>
      <c r="F743" s="232"/>
      <c r="G743" s="345">
        <v>6967</v>
      </c>
      <c r="H743" s="345">
        <v>993</v>
      </c>
      <c r="I743" s="345">
        <v>6632</v>
      </c>
      <c r="J743" s="345">
        <v>6596</v>
      </c>
      <c r="K743" s="345">
        <v>21188</v>
      </c>
      <c r="L743" s="232"/>
      <c r="M743" s="345">
        <v>0</v>
      </c>
      <c r="N743" s="345">
        <v>0</v>
      </c>
      <c r="O743" s="345">
        <v>0</v>
      </c>
      <c r="P743" s="345">
        <v>0</v>
      </c>
      <c r="Q743" s="232"/>
      <c r="R743" s="345">
        <v>18126</v>
      </c>
      <c r="S743" s="345">
        <v>2151</v>
      </c>
      <c r="T743" s="345">
        <v>20277</v>
      </c>
    </row>
    <row r="744" spans="1:20">
      <c r="A744" s="351">
        <v>98001</v>
      </c>
      <c r="B744" s="344" t="s">
        <v>1442</v>
      </c>
      <c r="C744" s="235">
        <v>5.3171E-3</v>
      </c>
      <c r="D744" s="235">
        <v>5.3728999999999999E-3</v>
      </c>
      <c r="E744" s="345">
        <v>14520585</v>
      </c>
      <c r="F744" s="232"/>
      <c r="G744" s="345">
        <v>2486292</v>
      </c>
      <c r="H744" s="345">
        <v>354177</v>
      </c>
      <c r="I744" s="345">
        <v>2366615</v>
      </c>
      <c r="J744" s="345">
        <v>189086</v>
      </c>
      <c r="K744" s="345">
        <v>5396170</v>
      </c>
      <c r="L744" s="232"/>
      <c r="M744" s="345">
        <v>0</v>
      </c>
      <c r="N744" s="345">
        <v>0</v>
      </c>
      <c r="O744" s="345">
        <v>54786</v>
      </c>
      <c r="P744" s="345">
        <v>54786</v>
      </c>
      <c r="Q744" s="232"/>
      <c r="R744" s="345">
        <v>6468321</v>
      </c>
      <c r="S744" s="345">
        <v>72716</v>
      </c>
      <c r="T744" s="345">
        <v>6541037</v>
      </c>
    </row>
    <row r="745" spans="1:20">
      <c r="A745" s="351">
        <v>98002</v>
      </c>
      <c r="B745" s="344" t="s">
        <v>1443</v>
      </c>
      <c r="C745" s="235">
        <v>6.1999999999999999E-6</v>
      </c>
      <c r="D745" s="235">
        <v>6.4999999999999996E-6</v>
      </c>
      <c r="E745" s="345">
        <v>16932</v>
      </c>
      <c r="F745" s="232"/>
      <c r="G745" s="345">
        <v>2899</v>
      </c>
      <c r="H745" s="345">
        <v>413</v>
      </c>
      <c r="I745" s="345">
        <v>2760</v>
      </c>
      <c r="J745" s="345">
        <v>2683</v>
      </c>
      <c r="K745" s="345">
        <v>8755</v>
      </c>
      <c r="L745" s="232"/>
      <c r="M745" s="345">
        <v>0</v>
      </c>
      <c r="N745" s="345">
        <v>0</v>
      </c>
      <c r="O745" s="345">
        <v>0</v>
      </c>
      <c r="P745" s="345">
        <v>0</v>
      </c>
      <c r="Q745" s="232"/>
      <c r="R745" s="345">
        <v>7542</v>
      </c>
      <c r="S745" s="345">
        <v>975</v>
      </c>
      <c r="T745" s="345">
        <v>8517</v>
      </c>
    </row>
    <row r="746" spans="1:20">
      <c r="A746" s="351">
        <v>98003</v>
      </c>
      <c r="B746" s="344" t="s">
        <v>3700</v>
      </c>
      <c r="C746" s="235">
        <v>6.9499999999999995E-5</v>
      </c>
      <c r="D746" s="235">
        <v>7.7000000000000001E-5</v>
      </c>
      <c r="E746" s="345">
        <v>189799</v>
      </c>
      <c r="F746" s="232"/>
      <c r="G746" s="345">
        <v>32498</v>
      </c>
      <c r="H746" s="345">
        <v>4629</v>
      </c>
      <c r="I746" s="345">
        <v>30934</v>
      </c>
      <c r="J746" s="345">
        <v>63059</v>
      </c>
      <c r="K746" s="345">
        <v>131120</v>
      </c>
      <c r="L746" s="232"/>
      <c r="M746" s="345">
        <v>0</v>
      </c>
      <c r="N746" s="345">
        <v>0</v>
      </c>
      <c r="O746" s="345">
        <v>0</v>
      </c>
      <c r="P746" s="345">
        <v>0</v>
      </c>
      <c r="Q746" s="232"/>
      <c r="R746" s="345">
        <v>84548</v>
      </c>
      <c r="S746" s="345">
        <v>29712</v>
      </c>
      <c r="T746" s="345">
        <v>114260</v>
      </c>
    </row>
    <row r="747" spans="1:20">
      <c r="A747" s="351">
        <v>98004</v>
      </c>
      <c r="B747" s="344" t="s">
        <v>1445</v>
      </c>
      <c r="C747" s="235">
        <v>1.2530000000000001E-4</v>
      </c>
      <c r="D747" s="235">
        <v>1.189E-4</v>
      </c>
      <c r="E747" s="345">
        <v>342185</v>
      </c>
      <c r="F747" s="232"/>
      <c r="G747" s="345">
        <v>58591</v>
      </c>
      <c r="H747" s="345">
        <v>8346</v>
      </c>
      <c r="I747" s="345">
        <v>55770</v>
      </c>
      <c r="J747" s="345">
        <v>53605</v>
      </c>
      <c r="K747" s="345">
        <v>176312</v>
      </c>
      <c r="L747" s="232"/>
      <c r="M747" s="345">
        <v>0</v>
      </c>
      <c r="N747" s="345">
        <v>0</v>
      </c>
      <c r="O747" s="345">
        <v>0</v>
      </c>
      <c r="P747" s="345">
        <v>0</v>
      </c>
      <c r="Q747" s="232"/>
      <c r="R747" s="345">
        <v>152429</v>
      </c>
      <c r="S747" s="345">
        <v>22227</v>
      </c>
      <c r="T747" s="345">
        <v>174656</v>
      </c>
    </row>
    <row r="748" spans="1:20" ht="30">
      <c r="A748" s="351">
        <v>98008</v>
      </c>
      <c r="B748" s="344" t="s">
        <v>3701</v>
      </c>
      <c r="C748" s="235">
        <v>7.1999999999999997E-6</v>
      </c>
      <c r="D748" s="235">
        <v>7.7000000000000008E-6</v>
      </c>
      <c r="E748" s="345">
        <v>19663</v>
      </c>
      <c r="F748" s="232"/>
      <c r="G748" s="345">
        <v>3367</v>
      </c>
      <c r="H748" s="345">
        <v>480</v>
      </c>
      <c r="I748" s="345">
        <v>3205</v>
      </c>
      <c r="J748" s="345">
        <v>14</v>
      </c>
      <c r="K748" s="345">
        <v>7066</v>
      </c>
      <c r="L748" s="232"/>
      <c r="M748" s="345">
        <v>0</v>
      </c>
      <c r="N748" s="345">
        <v>0</v>
      </c>
      <c r="O748" s="345">
        <v>598</v>
      </c>
      <c r="P748" s="345">
        <v>598</v>
      </c>
      <c r="Q748" s="232"/>
      <c r="R748" s="345">
        <v>8759</v>
      </c>
      <c r="S748" s="345">
        <v>-352</v>
      </c>
      <c r="T748" s="345">
        <v>8407</v>
      </c>
    </row>
    <row r="749" spans="1:20">
      <c r="A749" s="351">
        <v>98011</v>
      </c>
      <c r="B749" s="344" t="s">
        <v>1447</v>
      </c>
      <c r="C749" s="235">
        <v>3.4512000000000002E-3</v>
      </c>
      <c r="D749" s="235">
        <v>3.2946999999999998E-3</v>
      </c>
      <c r="E749" s="345">
        <v>9424958</v>
      </c>
      <c r="F749" s="232"/>
      <c r="G749" s="345">
        <v>1613791</v>
      </c>
      <c r="H749" s="345">
        <v>229888</v>
      </c>
      <c r="I749" s="345">
        <v>1536112</v>
      </c>
      <c r="J749" s="345">
        <v>95530</v>
      </c>
      <c r="K749" s="345">
        <v>3475321</v>
      </c>
      <c r="L749" s="232"/>
      <c r="M749" s="345">
        <v>0</v>
      </c>
      <c r="N749" s="345">
        <v>0</v>
      </c>
      <c r="O749" s="345">
        <v>74927</v>
      </c>
      <c r="P749" s="345">
        <v>74927</v>
      </c>
      <c r="Q749" s="232"/>
      <c r="R749" s="345">
        <v>4198430</v>
      </c>
      <c r="S749" s="345">
        <v>-64768</v>
      </c>
      <c r="T749" s="345">
        <v>4133662</v>
      </c>
    </row>
    <row r="750" spans="1:20">
      <c r="A750" s="351">
        <v>98013</v>
      </c>
      <c r="B750" s="344" t="s">
        <v>3702</v>
      </c>
      <c r="C750" s="235">
        <v>1.3990000000000001E-4</v>
      </c>
      <c r="D750" s="235">
        <v>1.3439999999999999E-4</v>
      </c>
      <c r="E750" s="345">
        <v>382056</v>
      </c>
      <c r="F750" s="232"/>
      <c r="G750" s="345">
        <v>65418</v>
      </c>
      <c r="H750" s="345">
        <v>9319</v>
      </c>
      <c r="I750" s="345">
        <v>62269</v>
      </c>
      <c r="J750" s="345">
        <v>145686</v>
      </c>
      <c r="K750" s="345">
        <v>282692</v>
      </c>
      <c r="L750" s="232"/>
      <c r="M750" s="345">
        <v>0</v>
      </c>
      <c r="N750" s="345">
        <v>0</v>
      </c>
      <c r="O750" s="345">
        <v>0</v>
      </c>
      <c r="P750" s="345">
        <v>0</v>
      </c>
      <c r="Q750" s="232"/>
      <c r="R750" s="345">
        <v>170190</v>
      </c>
      <c r="S750" s="345">
        <v>70745</v>
      </c>
      <c r="T750" s="345">
        <v>240935</v>
      </c>
    </row>
    <row r="751" spans="1:20">
      <c r="A751" s="351">
        <v>98021</v>
      </c>
      <c r="B751" s="344" t="s">
        <v>1449</v>
      </c>
      <c r="C751" s="235">
        <v>4.2400000000000001E-5</v>
      </c>
      <c r="D751" s="235">
        <v>3.6100000000000003E-5</v>
      </c>
      <c r="E751" s="345">
        <v>115791</v>
      </c>
      <c r="F751" s="232"/>
      <c r="G751" s="345">
        <v>19826</v>
      </c>
      <c r="H751" s="345">
        <v>2824</v>
      </c>
      <c r="I751" s="345">
        <v>18872</v>
      </c>
      <c r="J751" s="345">
        <v>10139</v>
      </c>
      <c r="K751" s="345">
        <v>51661</v>
      </c>
      <c r="L751" s="232"/>
      <c r="M751" s="345">
        <v>0</v>
      </c>
      <c r="N751" s="345">
        <v>0</v>
      </c>
      <c r="O751" s="345">
        <v>22161</v>
      </c>
      <c r="P751" s="345">
        <v>22161</v>
      </c>
      <c r="Q751" s="232"/>
      <c r="R751" s="345">
        <v>51580</v>
      </c>
      <c r="S751" s="345">
        <v>813</v>
      </c>
      <c r="T751" s="345">
        <v>52393</v>
      </c>
    </row>
    <row r="752" spans="1:20">
      <c r="A752" s="351">
        <v>98023</v>
      </c>
      <c r="B752" s="344" t="s">
        <v>1450</v>
      </c>
      <c r="C752" s="235">
        <v>8.8000000000000004E-6</v>
      </c>
      <c r="D752" s="235">
        <v>1.88E-5</v>
      </c>
      <c r="E752" s="345">
        <v>24032</v>
      </c>
      <c r="F752" s="232"/>
      <c r="G752" s="345">
        <v>4115</v>
      </c>
      <c r="H752" s="345">
        <v>586</v>
      </c>
      <c r="I752" s="345">
        <v>3917</v>
      </c>
      <c r="J752" s="345">
        <v>1269</v>
      </c>
      <c r="K752" s="345">
        <v>9887</v>
      </c>
      <c r="L752" s="232"/>
      <c r="M752" s="345">
        <v>0</v>
      </c>
      <c r="N752" s="345">
        <v>0</v>
      </c>
      <c r="O752" s="345">
        <v>9380</v>
      </c>
      <c r="P752" s="345">
        <v>9380</v>
      </c>
      <c r="Q752" s="232"/>
      <c r="R752" s="345">
        <v>10705</v>
      </c>
      <c r="S752" s="345">
        <v>-3499</v>
      </c>
      <c r="T752" s="345">
        <v>7206</v>
      </c>
    </row>
    <row r="753" spans="1:20">
      <c r="A753" s="351">
        <v>98031</v>
      </c>
      <c r="B753" s="344" t="s">
        <v>1451</v>
      </c>
      <c r="C753" s="235">
        <v>1.5410000000000001E-4</v>
      </c>
      <c r="D753" s="235">
        <v>1.717E-4</v>
      </c>
      <c r="E753" s="345">
        <v>420835</v>
      </c>
      <c r="F753" s="232"/>
      <c r="G753" s="345">
        <v>72058</v>
      </c>
      <c r="H753" s="345">
        <v>10264</v>
      </c>
      <c r="I753" s="345">
        <v>68589</v>
      </c>
      <c r="J753" s="345">
        <v>3878</v>
      </c>
      <c r="K753" s="345">
        <v>154789</v>
      </c>
      <c r="L753" s="232"/>
      <c r="M753" s="345">
        <v>0</v>
      </c>
      <c r="N753" s="345">
        <v>0</v>
      </c>
      <c r="O753" s="345">
        <v>22905</v>
      </c>
      <c r="P753" s="345">
        <v>22905</v>
      </c>
      <c r="Q753" s="232"/>
      <c r="R753" s="345">
        <v>187465</v>
      </c>
      <c r="S753" s="345">
        <v>-3910</v>
      </c>
      <c r="T753" s="345">
        <v>183555</v>
      </c>
    </row>
    <row r="754" spans="1:20">
      <c r="A754" s="351">
        <v>98041</v>
      </c>
      <c r="B754" s="344" t="s">
        <v>1452</v>
      </c>
      <c r="C754" s="235">
        <v>2.3560000000000001E-4</v>
      </c>
      <c r="D754" s="235">
        <v>2.242E-4</v>
      </c>
      <c r="E754" s="345">
        <v>643405</v>
      </c>
      <c r="F754" s="232"/>
      <c r="G754" s="345">
        <v>110167</v>
      </c>
      <c r="H754" s="345">
        <v>15693</v>
      </c>
      <c r="I754" s="345">
        <v>104864</v>
      </c>
      <c r="J754" s="345">
        <v>16120</v>
      </c>
      <c r="K754" s="345">
        <v>246844</v>
      </c>
      <c r="L754" s="232"/>
      <c r="M754" s="345">
        <v>0</v>
      </c>
      <c r="N754" s="345">
        <v>0</v>
      </c>
      <c r="O754" s="345">
        <v>2518</v>
      </c>
      <c r="P754" s="345">
        <v>2518</v>
      </c>
      <c r="Q754" s="232"/>
      <c r="R754" s="345">
        <v>286610</v>
      </c>
      <c r="S754" s="345">
        <v>5185</v>
      </c>
      <c r="T754" s="345">
        <v>291795</v>
      </c>
    </row>
    <row r="755" spans="1:20">
      <c r="A755" s="351">
        <v>98051</v>
      </c>
      <c r="B755" s="344" t="s">
        <v>1453</v>
      </c>
      <c r="C755" s="235">
        <v>2.9750000000000002E-4</v>
      </c>
      <c r="D755" s="235">
        <v>2.699E-4</v>
      </c>
      <c r="E755" s="345">
        <v>812449</v>
      </c>
      <c r="F755" s="232"/>
      <c r="G755" s="345">
        <v>139112</v>
      </c>
      <c r="H755" s="345">
        <v>19817</v>
      </c>
      <c r="I755" s="345">
        <v>132416</v>
      </c>
      <c r="J755" s="345">
        <v>21352</v>
      </c>
      <c r="K755" s="345">
        <v>312697</v>
      </c>
      <c r="L755" s="232"/>
      <c r="M755" s="345">
        <v>0</v>
      </c>
      <c r="N755" s="345">
        <v>0</v>
      </c>
      <c r="O755" s="345">
        <v>3702</v>
      </c>
      <c r="P755" s="345">
        <v>3702</v>
      </c>
      <c r="Q755" s="232"/>
      <c r="R755" s="345">
        <v>361913</v>
      </c>
      <c r="S755" s="345">
        <v>11173</v>
      </c>
      <c r="T755" s="345">
        <v>373086</v>
      </c>
    </row>
    <row r="756" spans="1:20">
      <c r="A756" s="351">
        <v>98061</v>
      </c>
      <c r="B756" s="344" t="s">
        <v>1454</v>
      </c>
      <c r="C756" s="235">
        <v>1.208E-4</v>
      </c>
      <c r="D756" s="235">
        <v>1.3420000000000001E-4</v>
      </c>
      <c r="E756" s="345">
        <v>329895</v>
      </c>
      <c r="F756" s="232"/>
      <c r="G756" s="345">
        <v>56486</v>
      </c>
      <c r="H756" s="345">
        <v>8047</v>
      </c>
      <c r="I756" s="345">
        <v>53767</v>
      </c>
      <c r="J756" s="345">
        <v>10437</v>
      </c>
      <c r="K756" s="345">
        <v>128737</v>
      </c>
      <c r="L756" s="232"/>
      <c r="M756" s="345">
        <v>0</v>
      </c>
      <c r="N756" s="345">
        <v>0</v>
      </c>
      <c r="O756" s="345">
        <v>19984</v>
      </c>
      <c r="P756" s="345">
        <v>19984</v>
      </c>
      <c r="Q756" s="232"/>
      <c r="R756" s="345">
        <v>146955</v>
      </c>
      <c r="S756" s="345">
        <v>-6536</v>
      </c>
      <c r="T756" s="345">
        <v>140419</v>
      </c>
    </row>
    <row r="757" spans="1:20">
      <c r="A757" s="351">
        <v>98071</v>
      </c>
      <c r="B757" s="344" t="s">
        <v>1455</v>
      </c>
      <c r="C757" s="235">
        <v>4.74E-5</v>
      </c>
      <c r="D757" s="235">
        <v>3.5800000000000003E-5</v>
      </c>
      <c r="E757" s="345">
        <v>129446</v>
      </c>
      <c r="F757" s="232"/>
      <c r="G757" s="345">
        <v>22164</v>
      </c>
      <c r="H757" s="345">
        <v>3157</v>
      </c>
      <c r="I757" s="345">
        <v>21098</v>
      </c>
      <c r="J757" s="345">
        <v>31632</v>
      </c>
      <c r="K757" s="345">
        <v>78051</v>
      </c>
      <c r="L757" s="232"/>
      <c r="M757" s="345">
        <v>0</v>
      </c>
      <c r="N757" s="345">
        <v>0</v>
      </c>
      <c r="O757" s="345">
        <v>0</v>
      </c>
      <c r="P757" s="345">
        <v>0</v>
      </c>
      <c r="Q757" s="232"/>
      <c r="R757" s="345">
        <v>57663</v>
      </c>
      <c r="S757" s="345">
        <v>11153</v>
      </c>
      <c r="T757" s="345">
        <v>68816</v>
      </c>
    </row>
    <row r="758" spans="1:20">
      <c r="A758" s="351">
        <v>98081</v>
      </c>
      <c r="B758" s="344" t="s">
        <v>1456</v>
      </c>
      <c r="C758" s="235">
        <v>1.5800000000000001E-5</v>
      </c>
      <c r="D758" s="235">
        <v>1.7200000000000001E-5</v>
      </c>
      <c r="E758" s="345">
        <v>43149</v>
      </c>
      <c r="F758" s="232"/>
      <c r="G758" s="345">
        <v>7388</v>
      </c>
      <c r="H758" s="345">
        <v>1052</v>
      </c>
      <c r="I758" s="345">
        <v>7033</v>
      </c>
      <c r="J758" s="345">
        <v>0</v>
      </c>
      <c r="K758" s="345">
        <v>15473</v>
      </c>
      <c r="L758" s="232"/>
      <c r="M758" s="345">
        <v>0</v>
      </c>
      <c r="N758" s="345">
        <v>0</v>
      </c>
      <c r="O758" s="345">
        <v>3066</v>
      </c>
      <c r="P758" s="345">
        <v>3066</v>
      </c>
      <c r="Q758" s="232"/>
      <c r="R758" s="345">
        <v>19221</v>
      </c>
      <c r="S758" s="345">
        <v>-1766</v>
      </c>
      <c r="T758" s="345">
        <v>17455</v>
      </c>
    </row>
    <row r="759" spans="1:20">
      <c r="A759" s="351">
        <v>98091</v>
      </c>
      <c r="B759" s="344" t="s">
        <v>1457</v>
      </c>
      <c r="C759" s="235">
        <v>6.7000000000000002E-5</v>
      </c>
      <c r="D759" s="235">
        <v>5.1600000000000001E-5</v>
      </c>
      <c r="E759" s="345">
        <v>182972</v>
      </c>
      <c r="F759" s="232"/>
      <c r="G759" s="345">
        <v>31329</v>
      </c>
      <c r="H759" s="345">
        <v>4463</v>
      </c>
      <c r="I759" s="345">
        <v>29821</v>
      </c>
      <c r="J759" s="345">
        <v>11344</v>
      </c>
      <c r="K759" s="345">
        <v>76957</v>
      </c>
      <c r="L759" s="232"/>
      <c r="M759" s="345">
        <v>0</v>
      </c>
      <c r="N759" s="345">
        <v>0</v>
      </c>
      <c r="O759" s="345">
        <v>0</v>
      </c>
      <c r="P759" s="345">
        <v>0</v>
      </c>
      <c r="Q759" s="232"/>
      <c r="R759" s="345">
        <v>81506</v>
      </c>
      <c r="S759" s="345">
        <v>3537</v>
      </c>
      <c r="T759" s="345">
        <v>85043</v>
      </c>
    </row>
    <row r="760" spans="1:20">
      <c r="A760" s="351">
        <v>98101</v>
      </c>
      <c r="B760" s="344" t="s">
        <v>1458</v>
      </c>
      <c r="C760" s="235">
        <v>2.6901E-3</v>
      </c>
      <c r="D760" s="235">
        <v>2.6497999999999999E-3</v>
      </c>
      <c r="E760" s="345">
        <v>7346453</v>
      </c>
      <c r="F760" s="232"/>
      <c r="G760" s="345">
        <v>1257899</v>
      </c>
      <c r="H760" s="345">
        <v>179191</v>
      </c>
      <c r="I760" s="345">
        <v>1197350</v>
      </c>
      <c r="J760" s="345">
        <v>107259</v>
      </c>
      <c r="K760" s="345">
        <v>2741699</v>
      </c>
      <c r="L760" s="232"/>
      <c r="M760" s="345">
        <v>0</v>
      </c>
      <c r="N760" s="345">
        <v>0</v>
      </c>
      <c r="O760" s="345">
        <v>150510</v>
      </c>
      <c r="P760" s="345">
        <v>150510</v>
      </c>
      <c r="Q760" s="232"/>
      <c r="R760" s="345">
        <v>3272542</v>
      </c>
      <c r="S760" s="345">
        <v>-15754</v>
      </c>
      <c r="T760" s="345">
        <v>3256788</v>
      </c>
    </row>
    <row r="761" spans="1:20">
      <c r="A761" s="351">
        <v>98102</v>
      </c>
      <c r="B761" s="344" t="s">
        <v>1459</v>
      </c>
      <c r="C761" s="235">
        <v>1.573E-4</v>
      </c>
      <c r="D761" s="235">
        <v>1.496E-4</v>
      </c>
      <c r="E761" s="345">
        <v>429574</v>
      </c>
      <c r="F761" s="232"/>
      <c r="G761" s="345">
        <v>73554</v>
      </c>
      <c r="H761" s="345">
        <v>10478</v>
      </c>
      <c r="I761" s="345">
        <v>70013</v>
      </c>
      <c r="J761" s="345">
        <v>8797</v>
      </c>
      <c r="K761" s="345">
        <v>162842</v>
      </c>
      <c r="L761" s="232"/>
      <c r="M761" s="345">
        <v>0</v>
      </c>
      <c r="N761" s="345">
        <v>0</v>
      </c>
      <c r="O761" s="345">
        <v>7652</v>
      </c>
      <c r="P761" s="345">
        <v>7652</v>
      </c>
      <c r="Q761" s="232"/>
      <c r="R761" s="345">
        <v>191357</v>
      </c>
      <c r="S761" s="345">
        <v>-3295</v>
      </c>
      <c r="T761" s="345">
        <v>188062</v>
      </c>
    </row>
    <row r="762" spans="1:20" ht="30">
      <c r="A762" s="351">
        <v>98103</v>
      </c>
      <c r="B762" s="344" t="s">
        <v>2792</v>
      </c>
      <c r="C762" s="235">
        <v>5.04E-4</v>
      </c>
      <c r="D762" s="235">
        <v>4.8450000000000001E-4</v>
      </c>
      <c r="E762" s="345">
        <v>1376385</v>
      </c>
      <c r="F762" s="232"/>
      <c r="G762" s="345">
        <v>235672</v>
      </c>
      <c r="H762" s="345">
        <v>33572</v>
      </c>
      <c r="I762" s="345">
        <v>224328</v>
      </c>
      <c r="J762" s="345">
        <v>30930</v>
      </c>
      <c r="K762" s="345">
        <v>524502</v>
      </c>
      <c r="L762" s="232"/>
      <c r="M762" s="345">
        <v>0</v>
      </c>
      <c r="N762" s="345">
        <v>0</v>
      </c>
      <c r="O762" s="345">
        <v>26014</v>
      </c>
      <c r="P762" s="345">
        <v>26014</v>
      </c>
      <c r="Q762" s="232"/>
      <c r="R762" s="345">
        <v>613123</v>
      </c>
      <c r="S762" s="345">
        <v>-4713</v>
      </c>
      <c r="T762" s="345">
        <v>608410</v>
      </c>
    </row>
    <row r="763" spans="1:20">
      <c r="A763" s="351">
        <v>98107</v>
      </c>
      <c r="B763" s="344" t="s">
        <v>1461</v>
      </c>
      <c r="C763" s="235">
        <v>9.3999999999999998E-6</v>
      </c>
      <c r="D763" s="235">
        <v>1.01E-5</v>
      </c>
      <c r="E763" s="345">
        <v>25671</v>
      </c>
      <c r="F763" s="232"/>
      <c r="G763" s="345">
        <v>4395</v>
      </c>
      <c r="H763" s="345">
        <v>627</v>
      </c>
      <c r="I763" s="345">
        <v>4184</v>
      </c>
      <c r="J763" s="345">
        <v>8882</v>
      </c>
      <c r="K763" s="345">
        <v>18088</v>
      </c>
      <c r="L763" s="232"/>
      <c r="M763" s="345">
        <v>0</v>
      </c>
      <c r="N763" s="345">
        <v>0</v>
      </c>
      <c r="O763" s="345">
        <v>0</v>
      </c>
      <c r="P763" s="345">
        <v>0</v>
      </c>
      <c r="Q763" s="232"/>
      <c r="R763" s="345">
        <v>11435</v>
      </c>
      <c r="S763" s="345">
        <v>4225</v>
      </c>
      <c r="T763" s="345">
        <v>15660</v>
      </c>
    </row>
    <row r="764" spans="1:20">
      <c r="A764" s="351">
        <v>98109</v>
      </c>
      <c r="B764" s="344" t="s">
        <v>3703</v>
      </c>
      <c r="C764" s="235">
        <v>1.595E-4</v>
      </c>
      <c r="D764" s="235">
        <v>1.4310000000000001E-4</v>
      </c>
      <c r="E764" s="345">
        <v>435582</v>
      </c>
      <c r="F764" s="232"/>
      <c r="G764" s="345">
        <v>74583</v>
      </c>
      <c r="H764" s="345">
        <v>10624</v>
      </c>
      <c r="I764" s="345">
        <v>70993</v>
      </c>
      <c r="J764" s="345">
        <v>29051</v>
      </c>
      <c r="K764" s="345">
        <v>185251</v>
      </c>
      <c r="L764" s="232"/>
      <c r="M764" s="345">
        <v>0</v>
      </c>
      <c r="N764" s="345">
        <v>0</v>
      </c>
      <c r="O764" s="345">
        <v>6185</v>
      </c>
      <c r="P764" s="345">
        <v>6185</v>
      </c>
      <c r="Q764" s="232"/>
      <c r="R764" s="345">
        <v>194034</v>
      </c>
      <c r="S764" s="345">
        <v>2254</v>
      </c>
      <c r="T764" s="345">
        <v>196288</v>
      </c>
    </row>
    <row r="765" spans="1:20">
      <c r="A765" s="351">
        <v>98111</v>
      </c>
      <c r="B765" s="344" t="s">
        <v>1463</v>
      </c>
      <c r="C765" s="235">
        <v>1.0231999999999999E-3</v>
      </c>
      <c r="D765" s="235">
        <v>1.0207E-3</v>
      </c>
      <c r="E765" s="345">
        <v>2794279</v>
      </c>
      <c r="F765" s="232"/>
      <c r="G765" s="345">
        <v>478451</v>
      </c>
      <c r="H765" s="345">
        <v>68157</v>
      </c>
      <c r="I765" s="345">
        <v>455421</v>
      </c>
      <c r="J765" s="345">
        <v>0</v>
      </c>
      <c r="K765" s="345">
        <v>1002029</v>
      </c>
      <c r="L765" s="232"/>
      <c r="M765" s="345">
        <v>0</v>
      </c>
      <c r="N765" s="345">
        <v>0</v>
      </c>
      <c r="O765" s="345">
        <v>80540</v>
      </c>
      <c r="P765" s="345">
        <v>80540</v>
      </c>
      <c r="Q765" s="232"/>
      <c r="R765" s="345">
        <v>1244736</v>
      </c>
      <c r="S765" s="345">
        <v>-36220</v>
      </c>
      <c r="T765" s="345">
        <v>1208516</v>
      </c>
    </row>
    <row r="766" spans="1:20">
      <c r="A766" s="351">
        <v>98113</v>
      </c>
      <c r="B766" s="344" t="s">
        <v>1464</v>
      </c>
      <c r="C766" s="235">
        <v>3.3899999999999997E-5</v>
      </c>
      <c r="D766" s="235">
        <v>3.8999999999999999E-5</v>
      </c>
      <c r="E766" s="345">
        <v>92578</v>
      </c>
      <c r="F766" s="232"/>
      <c r="G766" s="345">
        <v>15852</v>
      </c>
      <c r="H766" s="345">
        <v>2258</v>
      </c>
      <c r="I766" s="345">
        <v>15089</v>
      </c>
      <c r="J766" s="345">
        <v>6120</v>
      </c>
      <c r="K766" s="345">
        <v>39319</v>
      </c>
      <c r="L766" s="232"/>
      <c r="M766" s="345">
        <v>0</v>
      </c>
      <c r="N766" s="345">
        <v>0</v>
      </c>
      <c r="O766" s="345">
        <v>312</v>
      </c>
      <c r="P766" s="345">
        <v>312</v>
      </c>
      <c r="Q766" s="232"/>
      <c r="R766" s="345">
        <v>41240</v>
      </c>
      <c r="S766" s="345">
        <v>3840</v>
      </c>
      <c r="T766" s="345">
        <v>45080</v>
      </c>
    </row>
    <row r="767" spans="1:20">
      <c r="A767" s="351">
        <v>98121</v>
      </c>
      <c r="B767" s="344" t="s">
        <v>1465</v>
      </c>
      <c r="C767" s="235">
        <v>2.1259999999999999E-4</v>
      </c>
      <c r="D767" s="235">
        <v>2.241E-4</v>
      </c>
      <c r="E767" s="345">
        <v>580594</v>
      </c>
      <c r="F767" s="232"/>
      <c r="G767" s="345">
        <v>99412</v>
      </c>
      <c r="H767" s="345">
        <v>14162</v>
      </c>
      <c r="I767" s="345">
        <v>94627</v>
      </c>
      <c r="J767" s="345">
        <v>4071</v>
      </c>
      <c r="K767" s="345">
        <v>212272</v>
      </c>
      <c r="L767" s="232"/>
      <c r="M767" s="345">
        <v>0</v>
      </c>
      <c r="N767" s="345">
        <v>0</v>
      </c>
      <c r="O767" s="345">
        <v>24143</v>
      </c>
      <c r="P767" s="345">
        <v>24143</v>
      </c>
      <c r="Q767" s="232"/>
      <c r="R767" s="345">
        <v>258631</v>
      </c>
      <c r="S767" s="345">
        <v>-9032</v>
      </c>
      <c r="T767" s="345">
        <v>249599</v>
      </c>
    </row>
    <row r="768" spans="1:20">
      <c r="A768" s="351">
        <v>98131</v>
      </c>
      <c r="B768" s="344" t="s">
        <v>1466</v>
      </c>
      <c r="C768" s="235">
        <v>2.519E-4</v>
      </c>
      <c r="D768" s="235">
        <v>2.297E-4</v>
      </c>
      <c r="E768" s="345">
        <v>687919</v>
      </c>
      <c r="F768" s="232"/>
      <c r="G768" s="345">
        <v>117789</v>
      </c>
      <c r="H768" s="345">
        <v>16779</v>
      </c>
      <c r="I768" s="345">
        <v>112119</v>
      </c>
      <c r="J768" s="345">
        <v>23774</v>
      </c>
      <c r="K768" s="345">
        <v>270461</v>
      </c>
      <c r="L768" s="232"/>
      <c r="M768" s="345">
        <v>0</v>
      </c>
      <c r="N768" s="345">
        <v>0</v>
      </c>
      <c r="O768" s="345">
        <v>24067</v>
      </c>
      <c r="P768" s="345">
        <v>24067</v>
      </c>
      <c r="Q768" s="232"/>
      <c r="R768" s="345">
        <v>306440</v>
      </c>
      <c r="S768" s="345">
        <v>-10999</v>
      </c>
      <c r="T768" s="345">
        <v>295441</v>
      </c>
    </row>
    <row r="769" spans="1:20">
      <c r="A769" s="351">
        <v>98141</v>
      </c>
      <c r="B769" s="344" t="s">
        <v>1467</v>
      </c>
      <c r="C769" s="235">
        <v>2.8699999999999998E-4</v>
      </c>
      <c r="D769" s="235">
        <v>3.0160000000000001E-4</v>
      </c>
      <c r="E769" s="345">
        <v>783775</v>
      </c>
      <c r="F769" s="232"/>
      <c r="G769" s="345">
        <v>134202</v>
      </c>
      <c r="H769" s="345">
        <v>19118</v>
      </c>
      <c r="I769" s="345">
        <v>127742</v>
      </c>
      <c r="J769" s="345">
        <v>2132</v>
      </c>
      <c r="K769" s="345">
        <v>283194</v>
      </c>
      <c r="L769" s="232"/>
      <c r="M769" s="345">
        <v>0</v>
      </c>
      <c r="N769" s="345">
        <v>0</v>
      </c>
      <c r="O769" s="345">
        <v>28248</v>
      </c>
      <c r="P769" s="345">
        <v>28248</v>
      </c>
      <c r="Q769" s="232"/>
      <c r="R769" s="345">
        <v>349139</v>
      </c>
      <c r="S769" s="345">
        <v>-10163</v>
      </c>
      <c r="T769" s="345">
        <v>338976</v>
      </c>
    </row>
    <row r="770" spans="1:20">
      <c r="A770" s="351">
        <v>98147</v>
      </c>
      <c r="B770" s="344" t="s">
        <v>1468</v>
      </c>
      <c r="C770" s="235">
        <v>1.0699999999999999E-5</v>
      </c>
      <c r="D770" s="235">
        <v>1.15E-5</v>
      </c>
      <c r="E770" s="345">
        <v>29221</v>
      </c>
      <c r="F770" s="232"/>
      <c r="G770" s="345">
        <v>5003</v>
      </c>
      <c r="H770" s="345">
        <v>713</v>
      </c>
      <c r="I770" s="345">
        <v>4763</v>
      </c>
      <c r="J770" s="345">
        <v>8490</v>
      </c>
      <c r="K770" s="345">
        <v>18969</v>
      </c>
      <c r="L770" s="232"/>
      <c r="M770" s="345">
        <v>0</v>
      </c>
      <c r="N770" s="345">
        <v>0</v>
      </c>
      <c r="O770" s="345">
        <v>0</v>
      </c>
      <c r="P770" s="345">
        <v>0</v>
      </c>
      <c r="Q770" s="232"/>
      <c r="R770" s="345">
        <v>13017</v>
      </c>
      <c r="S770" s="345">
        <v>4099</v>
      </c>
      <c r="T770" s="345">
        <v>17116</v>
      </c>
    </row>
    <row r="771" spans="1:20">
      <c r="A771" s="351">
        <v>98161</v>
      </c>
      <c r="B771" s="344" t="s">
        <v>1469</v>
      </c>
      <c r="C771" s="235">
        <v>6.1999999999999999E-6</v>
      </c>
      <c r="D771" s="235">
        <v>6.7000000000000002E-6</v>
      </c>
      <c r="E771" s="345">
        <v>16932</v>
      </c>
      <c r="F771" s="232"/>
      <c r="G771" s="345">
        <v>2899</v>
      </c>
      <c r="H771" s="345">
        <v>413</v>
      </c>
      <c r="I771" s="345">
        <v>2760</v>
      </c>
      <c r="J771" s="345">
        <v>3318</v>
      </c>
      <c r="K771" s="345">
        <v>9390</v>
      </c>
      <c r="L771" s="232"/>
      <c r="M771" s="345">
        <v>0</v>
      </c>
      <c r="N771" s="345">
        <v>0</v>
      </c>
      <c r="O771" s="345">
        <v>0</v>
      </c>
      <c r="P771" s="345">
        <v>0</v>
      </c>
      <c r="Q771" s="232"/>
      <c r="R771" s="345">
        <v>7542</v>
      </c>
      <c r="S771" s="345">
        <v>1443</v>
      </c>
      <c r="T771" s="345">
        <v>8985</v>
      </c>
    </row>
    <row r="772" spans="1:20">
      <c r="A772" s="351">
        <v>98201</v>
      </c>
      <c r="B772" s="344" t="s">
        <v>1470</v>
      </c>
      <c r="C772" s="235">
        <v>3.3482999999999998E-3</v>
      </c>
      <c r="D772" s="235">
        <v>3.1725E-3</v>
      </c>
      <c r="E772" s="345">
        <v>9143946</v>
      </c>
      <c r="F772" s="232"/>
      <c r="G772" s="345">
        <v>1565675</v>
      </c>
      <c r="H772" s="345">
        <v>223034</v>
      </c>
      <c r="I772" s="345">
        <v>1490312</v>
      </c>
      <c r="J772" s="345">
        <v>130024</v>
      </c>
      <c r="K772" s="345">
        <v>3409045</v>
      </c>
      <c r="L772" s="232"/>
      <c r="M772" s="345">
        <v>0</v>
      </c>
      <c r="N772" s="345">
        <v>0</v>
      </c>
      <c r="O772" s="345">
        <v>28023</v>
      </c>
      <c r="P772" s="345">
        <v>28023</v>
      </c>
      <c r="Q772" s="232"/>
      <c r="R772" s="345">
        <v>4073250</v>
      </c>
      <c r="S772" s="345">
        <v>18041</v>
      </c>
      <c r="T772" s="345">
        <v>4091291</v>
      </c>
    </row>
    <row r="773" spans="1:20">
      <c r="A773" s="351">
        <v>98205</v>
      </c>
      <c r="B773" s="344" t="s">
        <v>2808</v>
      </c>
      <c r="C773" s="235">
        <v>4.0899999999999998E-5</v>
      </c>
      <c r="D773" s="235">
        <v>3.6100000000000003E-5</v>
      </c>
      <c r="E773" s="345">
        <v>111695</v>
      </c>
      <c r="F773" s="232"/>
      <c r="G773" s="345">
        <v>19125</v>
      </c>
      <c r="H773" s="345">
        <v>2725</v>
      </c>
      <c r="I773" s="345">
        <v>18204</v>
      </c>
      <c r="J773" s="345">
        <v>4162</v>
      </c>
      <c r="K773" s="345">
        <v>44216</v>
      </c>
      <c r="L773" s="232"/>
      <c r="M773" s="345">
        <v>0</v>
      </c>
      <c r="N773" s="345">
        <v>0</v>
      </c>
      <c r="O773" s="345">
        <v>4045</v>
      </c>
      <c r="P773" s="345">
        <v>4045</v>
      </c>
      <c r="Q773" s="232"/>
      <c r="R773" s="345">
        <v>49755</v>
      </c>
      <c r="S773" s="345">
        <v>-432</v>
      </c>
      <c r="T773" s="345">
        <v>49323</v>
      </c>
    </row>
    <row r="774" spans="1:20">
      <c r="A774" s="351">
        <v>98211</v>
      </c>
      <c r="B774" s="344" t="s">
        <v>1472</v>
      </c>
      <c r="C774" s="235">
        <v>9.0399999999999996E-4</v>
      </c>
      <c r="D774" s="235">
        <v>8.5470000000000001E-4</v>
      </c>
      <c r="E774" s="345">
        <v>2468753</v>
      </c>
      <c r="F774" s="232"/>
      <c r="G774" s="345">
        <v>422713</v>
      </c>
      <c r="H774" s="345">
        <v>60217</v>
      </c>
      <c r="I774" s="345">
        <v>402366</v>
      </c>
      <c r="J774" s="345">
        <v>25220</v>
      </c>
      <c r="K774" s="345">
        <v>910516</v>
      </c>
      <c r="L774" s="232"/>
      <c r="M774" s="345">
        <v>0</v>
      </c>
      <c r="N774" s="345">
        <v>0</v>
      </c>
      <c r="O774" s="345">
        <v>63246</v>
      </c>
      <c r="P774" s="345">
        <v>63246</v>
      </c>
      <c r="Q774" s="232"/>
      <c r="R774" s="345">
        <v>1099728</v>
      </c>
      <c r="S774" s="345">
        <v>-42769</v>
      </c>
      <c r="T774" s="345">
        <v>1056959</v>
      </c>
    </row>
    <row r="775" spans="1:20">
      <c r="A775" s="351">
        <v>98218</v>
      </c>
      <c r="B775" s="344" t="s">
        <v>1473</v>
      </c>
      <c r="C775" s="235">
        <v>1.8099999999999999E-5</v>
      </c>
      <c r="D775" s="235">
        <v>1.5500000000000001E-5</v>
      </c>
      <c r="E775" s="345">
        <v>49430</v>
      </c>
      <c r="F775" s="232"/>
      <c r="G775" s="345">
        <v>8464</v>
      </c>
      <c r="H775" s="345">
        <v>1206</v>
      </c>
      <c r="I775" s="345">
        <v>8056</v>
      </c>
      <c r="J775" s="345">
        <v>4872</v>
      </c>
      <c r="K775" s="345">
        <v>22598</v>
      </c>
      <c r="L775" s="232"/>
      <c r="M775" s="345">
        <v>0</v>
      </c>
      <c r="N775" s="345">
        <v>0</v>
      </c>
      <c r="O775" s="345">
        <v>36</v>
      </c>
      <c r="P775" s="345">
        <v>36</v>
      </c>
      <c r="Q775" s="232"/>
      <c r="R775" s="345">
        <v>22019</v>
      </c>
      <c r="S775" s="345">
        <v>1347</v>
      </c>
      <c r="T775" s="345">
        <v>23366</v>
      </c>
    </row>
    <row r="776" spans="1:20">
      <c r="A776" s="351">
        <v>98221</v>
      </c>
      <c r="B776" s="344" t="s">
        <v>1474</v>
      </c>
      <c r="C776" s="235">
        <v>2.72E-5</v>
      </c>
      <c r="D776" s="235">
        <v>1.8499999999999999E-5</v>
      </c>
      <c r="E776" s="345">
        <v>74281</v>
      </c>
      <c r="F776" s="232"/>
      <c r="G776" s="345">
        <v>12719</v>
      </c>
      <c r="H776" s="345">
        <v>1812</v>
      </c>
      <c r="I776" s="345">
        <v>12107</v>
      </c>
      <c r="J776" s="345">
        <v>8623</v>
      </c>
      <c r="K776" s="345">
        <v>35261</v>
      </c>
      <c r="L776" s="232"/>
      <c r="M776" s="345">
        <v>0</v>
      </c>
      <c r="N776" s="345">
        <v>0</v>
      </c>
      <c r="O776" s="345">
        <v>0</v>
      </c>
      <c r="P776" s="345">
        <v>0</v>
      </c>
      <c r="Q776" s="232"/>
      <c r="R776" s="345">
        <v>33089</v>
      </c>
      <c r="S776" s="345">
        <v>3240</v>
      </c>
      <c r="T776" s="345">
        <v>36329</v>
      </c>
    </row>
    <row r="777" spans="1:20">
      <c r="A777" s="351">
        <v>98231</v>
      </c>
      <c r="B777" s="344" t="s">
        <v>1475</v>
      </c>
      <c r="C777" s="235">
        <v>3.1699999999999998E-5</v>
      </c>
      <c r="D777" s="235">
        <v>3.1000000000000001E-5</v>
      </c>
      <c r="E777" s="345">
        <v>86570</v>
      </c>
      <c r="F777" s="232"/>
      <c r="G777" s="345">
        <v>14823</v>
      </c>
      <c r="H777" s="345">
        <v>2112</v>
      </c>
      <c r="I777" s="345">
        <v>14110</v>
      </c>
      <c r="J777" s="345">
        <v>6066</v>
      </c>
      <c r="K777" s="345">
        <v>37111</v>
      </c>
      <c r="L777" s="232"/>
      <c r="M777" s="345">
        <v>0</v>
      </c>
      <c r="N777" s="345">
        <v>0</v>
      </c>
      <c r="O777" s="345">
        <v>3192</v>
      </c>
      <c r="P777" s="345">
        <v>3192</v>
      </c>
      <c r="Q777" s="232"/>
      <c r="R777" s="345">
        <v>38563</v>
      </c>
      <c r="S777" s="345">
        <v>783</v>
      </c>
      <c r="T777" s="345">
        <v>39346</v>
      </c>
    </row>
    <row r="778" spans="1:20">
      <c r="A778" s="351">
        <v>98237</v>
      </c>
      <c r="B778" s="344" t="s">
        <v>1476</v>
      </c>
      <c r="C778" s="235">
        <v>6.7000000000000002E-6</v>
      </c>
      <c r="D778" s="235">
        <v>5.5999999999999997E-6</v>
      </c>
      <c r="E778" s="345">
        <v>18297</v>
      </c>
      <c r="F778" s="232"/>
      <c r="G778" s="345">
        <v>3133</v>
      </c>
      <c r="H778" s="345">
        <v>447</v>
      </c>
      <c r="I778" s="345">
        <v>2982</v>
      </c>
      <c r="J778" s="345">
        <v>3713</v>
      </c>
      <c r="K778" s="345">
        <v>10275</v>
      </c>
      <c r="L778" s="232"/>
      <c r="M778" s="345">
        <v>0</v>
      </c>
      <c r="N778" s="345">
        <v>0</v>
      </c>
      <c r="O778" s="345">
        <v>0</v>
      </c>
      <c r="P778" s="345">
        <v>0</v>
      </c>
      <c r="Q778" s="232"/>
      <c r="R778" s="345">
        <v>8151</v>
      </c>
      <c r="S778" s="345">
        <v>1825</v>
      </c>
      <c r="T778" s="345">
        <v>9976</v>
      </c>
    </row>
    <row r="779" spans="1:20">
      <c r="A779" s="351">
        <v>98241</v>
      </c>
      <c r="B779" s="344" t="s">
        <v>1477</v>
      </c>
      <c r="C779" s="235">
        <v>1.7799999999999999E-5</v>
      </c>
      <c r="D779" s="235">
        <v>1.22E-5</v>
      </c>
      <c r="E779" s="345">
        <v>48610</v>
      </c>
      <c r="F779" s="232"/>
      <c r="G779" s="345">
        <v>8323</v>
      </c>
      <c r="H779" s="345">
        <v>1186</v>
      </c>
      <c r="I779" s="345">
        <v>7923</v>
      </c>
      <c r="J779" s="345">
        <v>7390</v>
      </c>
      <c r="K779" s="345">
        <v>24822</v>
      </c>
      <c r="L779" s="232"/>
      <c r="M779" s="345">
        <v>0</v>
      </c>
      <c r="N779" s="345">
        <v>0</v>
      </c>
      <c r="O779" s="345">
        <v>1648</v>
      </c>
      <c r="P779" s="345">
        <v>1648</v>
      </c>
      <c r="Q779" s="232"/>
      <c r="R779" s="345">
        <v>21654</v>
      </c>
      <c r="S779" s="345">
        <v>2029</v>
      </c>
      <c r="T779" s="345">
        <v>23683</v>
      </c>
    </row>
    <row r="780" spans="1:20">
      <c r="A780" s="351">
        <v>98251</v>
      </c>
      <c r="B780" s="344" t="s">
        <v>1478</v>
      </c>
      <c r="C780" s="235">
        <v>2.5000000000000002E-6</v>
      </c>
      <c r="D780" s="235">
        <v>2.7E-6</v>
      </c>
      <c r="E780" s="345">
        <v>6827</v>
      </c>
      <c r="F780" s="232"/>
      <c r="G780" s="345">
        <v>1169</v>
      </c>
      <c r="H780" s="345">
        <v>167</v>
      </c>
      <c r="I780" s="345">
        <v>1113</v>
      </c>
      <c r="J780" s="345">
        <v>1784</v>
      </c>
      <c r="K780" s="345">
        <v>4233</v>
      </c>
      <c r="L780" s="232"/>
      <c r="M780" s="345">
        <v>0</v>
      </c>
      <c r="N780" s="345">
        <v>0</v>
      </c>
      <c r="O780" s="345">
        <v>0</v>
      </c>
      <c r="P780" s="345">
        <v>0</v>
      </c>
      <c r="Q780" s="232"/>
      <c r="R780" s="345">
        <v>3041</v>
      </c>
      <c r="S780" s="345">
        <v>796</v>
      </c>
      <c r="T780" s="345">
        <v>3837</v>
      </c>
    </row>
    <row r="781" spans="1:20">
      <c r="A781" s="351">
        <v>98261</v>
      </c>
      <c r="B781" s="344" t="s">
        <v>1479</v>
      </c>
      <c r="C781" s="235">
        <v>3.3699999999999999E-5</v>
      </c>
      <c r="D781" s="235">
        <v>3.3099999999999998E-5</v>
      </c>
      <c r="E781" s="345">
        <v>92032</v>
      </c>
      <c r="F781" s="232"/>
      <c r="G781" s="345">
        <v>15758</v>
      </c>
      <c r="H781" s="345">
        <v>2245</v>
      </c>
      <c r="I781" s="345">
        <v>15000</v>
      </c>
      <c r="J781" s="345">
        <v>5613</v>
      </c>
      <c r="K781" s="345">
        <v>38616</v>
      </c>
      <c r="L781" s="232"/>
      <c r="M781" s="345">
        <v>0</v>
      </c>
      <c r="N781" s="345">
        <v>0</v>
      </c>
      <c r="O781" s="345">
        <v>1480</v>
      </c>
      <c r="P781" s="345">
        <v>1480</v>
      </c>
      <c r="Q781" s="232"/>
      <c r="R781" s="345">
        <v>40996</v>
      </c>
      <c r="S781" s="345">
        <v>1591</v>
      </c>
      <c r="T781" s="345">
        <v>42587</v>
      </c>
    </row>
    <row r="782" spans="1:20">
      <c r="A782" s="351">
        <v>98271</v>
      </c>
      <c r="B782" s="344" t="s">
        <v>1480</v>
      </c>
      <c r="C782" s="235">
        <v>5.2000000000000002E-6</v>
      </c>
      <c r="D782" s="235">
        <v>5.3000000000000001E-6</v>
      </c>
      <c r="E782" s="345">
        <v>14201</v>
      </c>
      <c r="F782" s="232"/>
      <c r="G782" s="345">
        <v>2432</v>
      </c>
      <c r="H782" s="345">
        <v>346</v>
      </c>
      <c r="I782" s="345">
        <v>2314</v>
      </c>
      <c r="J782" s="345">
        <v>2894</v>
      </c>
      <c r="K782" s="345">
        <v>7986</v>
      </c>
      <c r="L782" s="232"/>
      <c r="M782" s="345">
        <v>0</v>
      </c>
      <c r="N782" s="345">
        <v>0</v>
      </c>
      <c r="O782" s="345">
        <v>0</v>
      </c>
      <c r="P782" s="345">
        <v>0</v>
      </c>
      <c r="Q782" s="232"/>
      <c r="R782" s="345">
        <v>6326</v>
      </c>
      <c r="S782" s="345">
        <v>1623</v>
      </c>
      <c r="T782" s="345">
        <v>7949</v>
      </c>
    </row>
    <row r="783" spans="1:20">
      <c r="A783" s="351">
        <v>98301</v>
      </c>
      <c r="B783" s="344" t="s">
        <v>1481</v>
      </c>
      <c r="C783" s="235">
        <v>1.7742000000000001E-3</v>
      </c>
      <c r="D783" s="235">
        <v>1.7489999999999999E-3</v>
      </c>
      <c r="E783" s="345">
        <v>4845202</v>
      </c>
      <c r="F783" s="232"/>
      <c r="G783" s="345">
        <v>829621</v>
      </c>
      <c r="H783" s="345">
        <v>118181</v>
      </c>
      <c r="I783" s="345">
        <v>789688</v>
      </c>
      <c r="J783" s="345">
        <v>83174</v>
      </c>
      <c r="K783" s="345">
        <v>1820664</v>
      </c>
      <c r="L783" s="232"/>
      <c r="M783" s="345">
        <v>0</v>
      </c>
      <c r="N783" s="345">
        <v>0</v>
      </c>
      <c r="O783" s="345">
        <v>0</v>
      </c>
      <c r="P783" s="345">
        <v>0</v>
      </c>
      <c r="Q783" s="232"/>
      <c r="R783" s="345">
        <v>2158337</v>
      </c>
      <c r="S783" s="345">
        <v>43157</v>
      </c>
      <c r="T783" s="345">
        <v>2201494</v>
      </c>
    </row>
    <row r="784" spans="1:20">
      <c r="A784" s="351">
        <v>98304</v>
      </c>
      <c r="B784" s="344" t="s">
        <v>1482</v>
      </c>
      <c r="C784" s="235">
        <v>2.0699999999999998E-5</v>
      </c>
      <c r="D784" s="235">
        <v>1.9300000000000002E-5</v>
      </c>
      <c r="E784" s="345">
        <v>56530</v>
      </c>
      <c r="F784" s="232"/>
      <c r="G784" s="345">
        <v>9679</v>
      </c>
      <c r="H784" s="345">
        <v>1379</v>
      </c>
      <c r="I784" s="345">
        <v>9213</v>
      </c>
      <c r="J784" s="345">
        <v>7671</v>
      </c>
      <c r="K784" s="345">
        <v>27942</v>
      </c>
      <c r="L784" s="232"/>
      <c r="M784" s="345">
        <v>0</v>
      </c>
      <c r="N784" s="345">
        <v>0</v>
      </c>
      <c r="O784" s="345">
        <v>0</v>
      </c>
      <c r="P784" s="345">
        <v>0</v>
      </c>
      <c r="Q784" s="232"/>
      <c r="R784" s="345">
        <v>25182</v>
      </c>
      <c r="S784" s="345">
        <v>2589</v>
      </c>
      <c r="T784" s="345">
        <v>27771</v>
      </c>
    </row>
    <row r="785" spans="1:20">
      <c r="A785" s="351">
        <v>98308</v>
      </c>
      <c r="B785" s="344" t="s">
        <v>1483</v>
      </c>
      <c r="C785" s="235">
        <v>1.6099999999999998E-5</v>
      </c>
      <c r="D785" s="235">
        <v>2.2399999999999999E-5</v>
      </c>
      <c r="E785" s="345">
        <v>43968</v>
      </c>
      <c r="F785" s="232"/>
      <c r="G785" s="345">
        <v>7528</v>
      </c>
      <c r="H785" s="345">
        <v>1072</v>
      </c>
      <c r="I785" s="345">
        <v>7166</v>
      </c>
      <c r="J785" s="345">
        <v>5235</v>
      </c>
      <c r="K785" s="345">
        <v>21001</v>
      </c>
      <c r="L785" s="232"/>
      <c r="M785" s="345">
        <v>0</v>
      </c>
      <c r="N785" s="345">
        <v>0</v>
      </c>
      <c r="O785" s="345">
        <v>0</v>
      </c>
      <c r="P785" s="345">
        <v>0</v>
      </c>
      <c r="Q785" s="232"/>
      <c r="R785" s="345">
        <v>19586</v>
      </c>
      <c r="S785" s="345">
        <v>3115</v>
      </c>
      <c r="T785" s="345">
        <v>22701</v>
      </c>
    </row>
    <row r="786" spans="1:20">
      <c r="A786" s="351">
        <v>98311</v>
      </c>
      <c r="B786" s="344" t="s">
        <v>1484</v>
      </c>
      <c r="C786" s="235">
        <v>1.1073999999999999E-3</v>
      </c>
      <c r="D786" s="235">
        <v>1.0931999999999999E-3</v>
      </c>
      <c r="E786" s="345">
        <v>3024223</v>
      </c>
      <c r="F786" s="232"/>
      <c r="G786" s="345">
        <v>517824</v>
      </c>
      <c r="H786" s="345">
        <v>73765</v>
      </c>
      <c r="I786" s="345">
        <v>492898</v>
      </c>
      <c r="J786" s="345">
        <v>0</v>
      </c>
      <c r="K786" s="345">
        <v>1084487</v>
      </c>
      <c r="L786" s="232"/>
      <c r="M786" s="345">
        <v>0</v>
      </c>
      <c r="N786" s="345">
        <v>0</v>
      </c>
      <c r="O786" s="345">
        <v>105793</v>
      </c>
      <c r="P786" s="345">
        <v>105793</v>
      </c>
      <c r="Q786" s="232"/>
      <c r="R786" s="345">
        <v>1347166</v>
      </c>
      <c r="S786" s="345">
        <v>-53029</v>
      </c>
      <c r="T786" s="345">
        <v>1294137</v>
      </c>
    </row>
    <row r="787" spans="1:20">
      <c r="A787" s="351">
        <v>98313</v>
      </c>
      <c r="B787" s="344" t="s">
        <v>1485</v>
      </c>
      <c r="C787" s="235">
        <v>2.1000000000000001E-4</v>
      </c>
      <c r="D787" s="235">
        <v>2.4240000000000001E-4</v>
      </c>
      <c r="E787" s="345">
        <v>573494</v>
      </c>
      <c r="F787" s="232"/>
      <c r="G787" s="345">
        <v>98197</v>
      </c>
      <c r="H787" s="345">
        <v>13989</v>
      </c>
      <c r="I787" s="345">
        <v>93470</v>
      </c>
      <c r="J787" s="345">
        <v>272208</v>
      </c>
      <c r="K787" s="345">
        <v>477864</v>
      </c>
      <c r="L787" s="232"/>
      <c r="M787" s="345">
        <v>0</v>
      </c>
      <c r="N787" s="345">
        <v>0</v>
      </c>
      <c r="O787" s="345">
        <v>0</v>
      </c>
      <c r="P787" s="345">
        <v>0</v>
      </c>
      <c r="Q787" s="232"/>
      <c r="R787" s="345">
        <v>255468</v>
      </c>
      <c r="S787" s="345">
        <v>129789</v>
      </c>
      <c r="T787" s="345">
        <v>385257</v>
      </c>
    </row>
    <row r="788" spans="1:20" s="357" customFormat="1">
      <c r="A788" s="351">
        <v>98321</v>
      </c>
      <c r="B788" s="344" t="s">
        <v>1486</v>
      </c>
      <c r="C788" s="235">
        <v>1.6900000000000001E-5</v>
      </c>
      <c r="D788" s="235">
        <v>1.9199999999999999E-5</v>
      </c>
      <c r="E788" s="345">
        <v>46153</v>
      </c>
      <c r="F788" s="232"/>
      <c r="G788" s="345">
        <v>7902</v>
      </c>
      <c r="H788" s="345">
        <v>1125</v>
      </c>
      <c r="I788" s="345">
        <v>7522</v>
      </c>
      <c r="J788" s="345">
        <v>42</v>
      </c>
      <c r="K788" s="345">
        <v>16591</v>
      </c>
      <c r="L788" s="232"/>
      <c r="M788" s="345">
        <v>0</v>
      </c>
      <c r="N788" s="345">
        <v>0</v>
      </c>
      <c r="O788" s="345">
        <v>1583</v>
      </c>
      <c r="P788" s="345">
        <v>1583</v>
      </c>
      <c r="Q788" s="232"/>
      <c r="R788" s="345">
        <v>20559</v>
      </c>
      <c r="S788" s="345">
        <v>-1260</v>
      </c>
      <c r="T788" s="345">
        <v>19299</v>
      </c>
    </row>
    <row r="789" spans="1:20">
      <c r="A789" s="351">
        <v>98331</v>
      </c>
      <c r="B789" s="344" t="s">
        <v>1487</v>
      </c>
      <c r="C789" s="235">
        <v>8.3999999999999992E-6</v>
      </c>
      <c r="D789" s="235">
        <v>9.3000000000000007E-6</v>
      </c>
      <c r="E789" s="345">
        <v>22940</v>
      </c>
      <c r="F789" s="232"/>
      <c r="G789" s="345">
        <v>3928</v>
      </c>
      <c r="H789" s="345">
        <v>559</v>
      </c>
      <c r="I789" s="345">
        <v>3739</v>
      </c>
      <c r="J789" s="345">
        <v>3116</v>
      </c>
      <c r="K789" s="345">
        <v>11342</v>
      </c>
      <c r="L789" s="232"/>
      <c r="M789" s="345">
        <v>0</v>
      </c>
      <c r="N789" s="345">
        <v>0</v>
      </c>
      <c r="O789" s="345">
        <v>0</v>
      </c>
      <c r="P789" s="345">
        <v>0</v>
      </c>
      <c r="Q789" s="232"/>
      <c r="R789" s="345">
        <v>10219</v>
      </c>
      <c r="S789" s="345">
        <v>1668</v>
      </c>
      <c r="T789" s="345">
        <v>11887</v>
      </c>
    </row>
    <row r="790" spans="1:20">
      <c r="A790" s="351">
        <v>98401</v>
      </c>
      <c r="B790" s="344" t="s">
        <v>1488</v>
      </c>
      <c r="C790" s="235">
        <v>2.9618000000000001E-3</v>
      </c>
      <c r="D790" s="235">
        <v>2.7358E-3</v>
      </c>
      <c r="E790" s="345">
        <v>8088445</v>
      </c>
      <c r="F790" s="232"/>
      <c r="G790" s="345">
        <v>1384947</v>
      </c>
      <c r="H790" s="345">
        <v>197289</v>
      </c>
      <c r="I790" s="345">
        <v>1318282</v>
      </c>
      <c r="J790" s="345">
        <v>353472</v>
      </c>
      <c r="K790" s="345">
        <v>3253990</v>
      </c>
      <c r="L790" s="232"/>
      <c r="M790" s="345">
        <v>0</v>
      </c>
      <c r="N790" s="345">
        <v>0</v>
      </c>
      <c r="O790" s="345">
        <v>1893</v>
      </c>
      <c r="P790" s="345">
        <v>1893</v>
      </c>
      <c r="Q790" s="232"/>
      <c r="R790" s="345">
        <v>3603068</v>
      </c>
      <c r="S790" s="345">
        <v>130566</v>
      </c>
      <c r="T790" s="345">
        <v>3733634</v>
      </c>
    </row>
    <row r="791" spans="1:20">
      <c r="A791" s="351">
        <v>98404</v>
      </c>
      <c r="B791" s="344" t="s">
        <v>1489</v>
      </c>
      <c r="C791" s="235">
        <v>1.43E-5</v>
      </c>
      <c r="D791" s="235">
        <v>1.5099999999999999E-5</v>
      </c>
      <c r="E791" s="345">
        <v>39052</v>
      </c>
      <c r="F791" s="232"/>
      <c r="G791" s="345">
        <v>6687</v>
      </c>
      <c r="H791" s="345">
        <v>952</v>
      </c>
      <c r="I791" s="345">
        <v>6365</v>
      </c>
      <c r="J791" s="345">
        <v>5183</v>
      </c>
      <c r="K791" s="345">
        <v>19187</v>
      </c>
      <c r="L791" s="232"/>
      <c r="M791" s="345">
        <v>0</v>
      </c>
      <c r="N791" s="345">
        <v>0</v>
      </c>
      <c r="O791" s="345">
        <v>336</v>
      </c>
      <c r="P791" s="345">
        <v>336</v>
      </c>
      <c r="Q791" s="232"/>
      <c r="R791" s="345">
        <v>17396</v>
      </c>
      <c r="S791" s="345">
        <v>2419</v>
      </c>
      <c r="T791" s="345">
        <v>19815</v>
      </c>
    </row>
    <row r="792" spans="1:20">
      <c r="A792" s="351">
        <v>98411</v>
      </c>
      <c r="B792" s="344" t="s">
        <v>1490</v>
      </c>
      <c r="C792" s="235">
        <v>1.9082000000000001E-3</v>
      </c>
      <c r="D792" s="235">
        <v>1.9327000000000001E-3</v>
      </c>
      <c r="E792" s="345">
        <v>5211145</v>
      </c>
      <c r="F792" s="232"/>
      <c r="G792" s="345">
        <v>892280</v>
      </c>
      <c r="H792" s="345">
        <v>127107</v>
      </c>
      <c r="I792" s="345">
        <v>849330</v>
      </c>
      <c r="J792" s="345">
        <v>0</v>
      </c>
      <c r="K792" s="345">
        <v>1868717</v>
      </c>
      <c r="L792" s="232"/>
      <c r="M792" s="345">
        <v>0</v>
      </c>
      <c r="N792" s="345">
        <v>0</v>
      </c>
      <c r="O792" s="345">
        <v>156014</v>
      </c>
      <c r="P792" s="345">
        <v>156014</v>
      </c>
      <c r="Q792" s="232"/>
      <c r="R792" s="345">
        <v>2321350</v>
      </c>
      <c r="S792" s="345">
        <v>-57998</v>
      </c>
      <c r="T792" s="345">
        <v>2263352</v>
      </c>
    </row>
    <row r="793" spans="1:20">
      <c r="A793" s="351">
        <v>98417</v>
      </c>
      <c r="B793" s="344" t="s">
        <v>1492</v>
      </c>
      <c r="C793" s="235">
        <v>2.23E-5</v>
      </c>
      <c r="D793" s="235">
        <v>2.1500000000000001E-5</v>
      </c>
      <c r="E793" s="345">
        <v>60900</v>
      </c>
      <c r="F793" s="232"/>
      <c r="G793" s="345">
        <v>10428</v>
      </c>
      <c r="H793" s="345">
        <v>1485</v>
      </c>
      <c r="I793" s="345">
        <v>9926</v>
      </c>
      <c r="J793" s="345">
        <v>8459</v>
      </c>
      <c r="K793" s="345">
        <v>30298</v>
      </c>
      <c r="L793" s="232"/>
      <c r="M793" s="345">
        <v>0</v>
      </c>
      <c r="N793" s="345">
        <v>0</v>
      </c>
      <c r="O793" s="345">
        <v>0</v>
      </c>
      <c r="P793" s="345">
        <v>0</v>
      </c>
      <c r="Q793" s="232"/>
      <c r="R793" s="345">
        <v>27128</v>
      </c>
      <c r="S793" s="345">
        <v>2772</v>
      </c>
      <c r="T793" s="345">
        <v>29900</v>
      </c>
    </row>
    <row r="794" spans="1:20">
      <c r="A794" s="351">
        <v>98421</v>
      </c>
      <c r="B794" s="344" t="s">
        <v>1493</v>
      </c>
      <c r="C794" s="235">
        <v>1.121E-4</v>
      </c>
      <c r="D794" s="235">
        <v>1.06E-4</v>
      </c>
      <c r="E794" s="345">
        <v>306136</v>
      </c>
      <c r="F794" s="232"/>
      <c r="G794" s="345">
        <v>52418</v>
      </c>
      <c r="H794" s="345">
        <v>7467</v>
      </c>
      <c r="I794" s="345">
        <v>49895</v>
      </c>
      <c r="J794" s="345">
        <v>13419</v>
      </c>
      <c r="K794" s="345">
        <v>123199</v>
      </c>
      <c r="L794" s="232"/>
      <c r="M794" s="345">
        <v>0</v>
      </c>
      <c r="N794" s="345">
        <v>0</v>
      </c>
      <c r="O794" s="345">
        <v>6043</v>
      </c>
      <c r="P794" s="345">
        <v>6043</v>
      </c>
      <c r="Q794" s="232"/>
      <c r="R794" s="345">
        <v>136371</v>
      </c>
      <c r="S794" s="345">
        <v>3557</v>
      </c>
      <c r="T794" s="345">
        <v>139928</v>
      </c>
    </row>
    <row r="795" spans="1:20">
      <c r="A795" s="351">
        <v>98427</v>
      </c>
      <c r="B795" s="344" t="s">
        <v>2799</v>
      </c>
      <c r="C795" s="235">
        <v>3.1E-6</v>
      </c>
      <c r="D795" s="235">
        <v>3.4000000000000001E-6</v>
      </c>
      <c r="E795" s="345">
        <v>8466</v>
      </c>
      <c r="F795" s="232"/>
      <c r="G795" s="345">
        <v>1450</v>
      </c>
      <c r="H795" s="345">
        <v>206</v>
      </c>
      <c r="I795" s="345">
        <v>1380</v>
      </c>
      <c r="J795" s="345">
        <v>2532</v>
      </c>
      <c r="K795" s="345">
        <v>5568</v>
      </c>
      <c r="L795" s="232"/>
      <c r="M795" s="345">
        <v>0</v>
      </c>
      <c r="N795" s="345">
        <v>0</v>
      </c>
      <c r="O795" s="345">
        <v>0</v>
      </c>
      <c r="P795" s="345">
        <v>0</v>
      </c>
      <c r="Q795" s="232"/>
      <c r="R795" s="345">
        <v>3771</v>
      </c>
      <c r="S795" s="345">
        <v>967</v>
      </c>
      <c r="T795" s="345">
        <v>4738</v>
      </c>
    </row>
    <row r="796" spans="1:20">
      <c r="A796" s="351">
        <v>98431</v>
      </c>
      <c r="B796" s="344" t="s">
        <v>1495</v>
      </c>
      <c r="C796" s="235">
        <v>1.997E-4</v>
      </c>
      <c r="D796" s="235">
        <v>1.961E-4</v>
      </c>
      <c r="E796" s="345">
        <v>545365</v>
      </c>
      <c r="F796" s="232"/>
      <c r="G796" s="345">
        <v>93380</v>
      </c>
      <c r="H796" s="345">
        <v>13303</v>
      </c>
      <c r="I796" s="345">
        <v>88885</v>
      </c>
      <c r="J796" s="345">
        <v>0</v>
      </c>
      <c r="K796" s="345">
        <v>195568</v>
      </c>
      <c r="L796" s="232"/>
      <c r="M796" s="345">
        <v>0</v>
      </c>
      <c r="N796" s="345">
        <v>0</v>
      </c>
      <c r="O796" s="345">
        <v>26324</v>
      </c>
      <c r="P796" s="345">
        <v>26324</v>
      </c>
      <c r="Q796" s="232"/>
      <c r="R796" s="345">
        <v>242938</v>
      </c>
      <c r="S796" s="345">
        <v>-14127</v>
      </c>
      <c r="T796" s="345">
        <v>228811</v>
      </c>
    </row>
    <row r="797" spans="1:20">
      <c r="A797" s="351">
        <v>98441</v>
      </c>
      <c r="B797" s="344" t="s">
        <v>1496</v>
      </c>
      <c r="C797" s="235">
        <v>1.0230000000000001E-4</v>
      </c>
      <c r="D797" s="235">
        <v>1.0900000000000001E-4</v>
      </c>
      <c r="E797" s="345">
        <v>279373</v>
      </c>
      <c r="F797" s="232"/>
      <c r="G797" s="345">
        <v>47836</v>
      </c>
      <c r="H797" s="345">
        <v>6815</v>
      </c>
      <c r="I797" s="345">
        <v>45533</v>
      </c>
      <c r="J797" s="345">
        <v>9054</v>
      </c>
      <c r="K797" s="345">
        <v>109238</v>
      </c>
      <c r="L797" s="232"/>
      <c r="M797" s="345">
        <v>0</v>
      </c>
      <c r="N797" s="345">
        <v>0</v>
      </c>
      <c r="O797" s="345">
        <v>15598</v>
      </c>
      <c r="P797" s="345">
        <v>15598</v>
      </c>
      <c r="Q797" s="232"/>
      <c r="R797" s="345">
        <v>124449</v>
      </c>
      <c r="S797" s="345">
        <v>-7248</v>
      </c>
      <c r="T797" s="345">
        <v>117201</v>
      </c>
    </row>
    <row r="798" spans="1:20">
      <c r="A798" s="351">
        <v>98451</v>
      </c>
      <c r="B798" s="344" t="s">
        <v>1497</v>
      </c>
      <c r="C798" s="235">
        <v>4.6100000000000002E-5</v>
      </c>
      <c r="D798" s="235">
        <v>4.88E-5</v>
      </c>
      <c r="E798" s="345">
        <v>125896</v>
      </c>
      <c r="F798" s="232"/>
      <c r="G798" s="345">
        <v>21556</v>
      </c>
      <c r="H798" s="345">
        <v>3070</v>
      </c>
      <c r="I798" s="345">
        <v>20519</v>
      </c>
      <c r="J798" s="345">
        <v>414</v>
      </c>
      <c r="K798" s="345">
        <v>45559</v>
      </c>
      <c r="L798" s="232"/>
      <c r="M798" s="345">
        <v>0</v>
      </c>
      <c r="N798" s="345">
        <v>0</v>
      </c>
      <c r="O798" s="345">
        <v>3016</v>
      </c>
      <c r="P798" s="345">
        <v>3016</v>
      </c>
      <c r="Q798" s="232"/>
      <c r="R798" s="345">
        <v>56081</v>
      </c>
      <c r="S798" s="345">
        <v>-1250</v>
      </c>
      <c r="T798" s="345">
        <v>54831</v>
      </c>
    </row>
    <row r="799" spans="1:20">
      <c r="A799" s="351">
        <v>98471</v>
      </c>
      <c r="B799" s="344" t="s">
        <v>1642</v>
      </c>
      <c r="C799" s="235">
        <v>6.3999999999999997E-6</v>
      </c>
      <c r="D799" s="235">
        <v>6.1E-6</v>
      </c>
      <c r="E799" s="345">
        <v>17478</v>
      </c>
      <c r="F799" s="232"/>
      <c r="G799" s="345">
        <v>2993</v>
      </c>
      <c r="H799" s="345">
        <v>426</v>
      </c>
      <c r="I799" s="345">
        <v>2849</v>
      </c>
      <c r="J799" s="345">
        <v>4967</v>
      </c>
      <c r="K799" s="345">
        <v>11235</v>
      </c>
      <c r="L799" s="232"/>
      <c r="M799" s="345">
        <v>0</v>
      </c>
      <c r="N799" s="345">
        <v>0</v>
      </c>
      <c r="O799" s="345">
        <v>0</v>
      </c>
      <c r="P799" s="345">
        <v>0</v>
      </c>
      <c r="Q799" s="232"/>
      <c r="R799" s="345">
        <v>7786</v>
      </c>
      <c r="S799" s="345">
        <v>1562</v>
      </c>
      <c r="T799" s="345">
        <v>9348</v>
      </c>
    </row>
    <row r="800" spans="1:20">
      <c r="A800" s="351">
        <v>98481</v>
      </c>
      <c r="B800" s="344" t="s">
        <v>1498</v>
      </c>
      <c r="C800" s="235">
        <v>6.1600000000000007E-5</v>
      </c>
      <c r="D800" s="235">
        <v>7.2000000000000002E-5</v>
      </c>
      <c r="E800" s="345">
        <v>168225</v>
      </c>
      <c r="F800" s="232"/>
      <c r="G800" s="345">
        <v>28804</v>
      </c>
      <c r="H800" s="345">
        <v>4103</v>
      </c>
      <c r="I800" s="345">
        <v>27418</v>
      </c>
      <c r="J800" s="345">
        <v>1639</v>
      </c>
      <c r="K800" s="345">
        <v>61964</v>
      </c>
      <c r="L800" s="232"/>
      <c r="M800" s="345">
        <v>0</v>
      </c>
      <c r="N800" s="345">
        <v>0</v>
      </c>
      <c r="O800" s="345">
        <v>11141</v>
      </c>
      <c r="P800" s="345">
        <v>11141</v>
      </c>
      <c r="Q800" s="232"/>
      <c r="R800" s="345">
        <v>74937</v>
      </c>
      <c r="S800" s="345">
        <v>-3187</v>
      </c>
      <c r="T800" s="345">
        <v>71750</v>
      </c>
    </row>
    <row r="801" spans="1:20">
      <c r="A801" s="351">
        <v>98501</v>
      </c>
      <c r="B801" s="344" t="s">
        <v>1499</v>
      </c>
      <c r="C801" s="235">
        <v>1.655E-3</v>
      </c>
      <c r="D801" s="235">
        <v>1.6239E-3</v>
      </c>
      <c r="E801" s="345">
        <v>4519676</v>
      </c>
      <c r="F801" s="232"/>
      <c r="G801" s="345">
        <v>773883</v>
      </c>
      <c r="H801" s="345">
        <v>110241</v>
      </c>
      <c r="I801" s="345">
        <v>736632</v>
      </c>
      <c r="J801" s="345">
        <v>141654</v>
      </c>
      <c r="K801" s="345">
        <v>1762410</v>
      </c>
      <c r="L801" s="232"/>
      <c r="M801" s="345">
        <v>0</v>
      </c>
      <c r="N801" s="345">
        <v>0</v>
      </c>
      <c r="O801" s="345">
        <v>0</v>
      </c>
      <c r="P801" s="345">
        <v>0</v>
      </c>
      <c r="Q801" s="232"/>
      <c r="R801" s="345">
        <v>2013329</v>
      </c>
      <c r="S801" s="345">
        <v>52916</v>
      </c>
      <c r="T801" s="345">
        <v>2066245</v>
      </c>
    </row>
    <row r="802" spans="1:20">
      <c r="A802" s="351">
        <v>98511</v>
      </c>
      <c r="B802" s="344" t="s">
        <v>1500</v>
      </c>
      <c r="C802" s="235">
        <v>4.9400000000000001E-5</v>
      </c>
      <c r="D802" s="235">
        <v>4.0000000000000003E-5</v>
      </c>
      <c r="E802" s="345">
        <v>134908</v>
      </c>
      <c r="F802" s="232"/>
      <c r="G802" s="345">
        <v>23100</v>
      </c>
      <c r="H802" s="345">
        <v>3291</v>
      </c>
      <c r="I802" s="345">
        <v>21988</v>
      </c>
      <c r="J802" s="345">
        <v>8529</v>
      </c>
      <c r="K802" s="345">
        <v>56908</v>
      </c>
      <c r="L802" s="232"/>
      <c r="M802" s="345">
        <v>0</v>
      </c>
      <c r="N802" s="345">
        <v>0</v>
      </c>
      <c r="O802" s="345">
        <v>2038</v>
      </c>
      <c r="P802" s="345">
        <v>2038</v>
      </c>
      <c r="Q802" s="232"/>
      <c r="R802" s="345">
        <v>60096</v>
      </c>
      <c r="S802" s="345">
        <v>1859</v>
      </c>
      <c r="T802" s="345">
        <v>61955</v>
      </c>
    </row>
    <row r="803" spans="1:20">
      <c r="A803" s="351">
        <v>98517</v>
      </c>
      <c r="B803" s="344" t="s">
        <v>1501</v>
      </c>
      <c r="C803" s="235">
        <v>2.3999999999999999E-6</v>
      </c>
      <c r="D803" s="235">
        <v>2.3E-6</v>
      </c>
      <c r="E803" s="345">
        <v>6554</v>
      </c>
      <c r="F803" s="232"/>
      <c r="G803" s="345">
        <v>1122</v>
      </c>
      <c r="H803" s="345">
        <v>160</v>
      </c>
      <c r="I803" s="345">
        <v>1068</v>
      </c>
      <c r="J803" s="345">
        <v>3726</v>
      </c>
      <c r="K803" s="345">
        <v>6076</v>
      </c>
      <c r="L803" s="232"/>
      <c r="M803" s="345">
        <v>0</v>
      </c>
      <c r="N803" s="345">
        <v>0</v>
      </c>
      <c r="O803" s="345">
        <v>0</v>
      </c>
      <c r="P803" s="345">
        <v>0</v>
      </c>
      <c r="Q803" s="232"/>
      <c r="R803" s="345">
        <v>2920</v>
      </c>
      <c r="S803" s="345">
        <v>1346</v>
      </c>
      <c r="T803" s="345">
        <v>4266</v>
      </c>
    </row>
    <row r="804" spans="1:20">
      <c r="A804" s="351">
        <v>98521</v>
      </c>
      <c r="B804" s="344" t="s">
        <v>1502</v>
      </c>
      <c r="C804" s="235">
        <v>6.3349999999999995E-4</v>
      </c>
      <c r="D804" s="235">
        <v>6.4780000000000003E-4</v>
      </c>
      <c r="E804" s="345">
        <v>1730039</v>
      </c>
      <c r="F804" s="232"/>
      <c r="G804" s="345">
        <v>296227</v>
      </c>
      <c r="H804" s="345">
        <v>42198</v>
      </c>
      <c r="I804" s="345">
        <v>281968</v>
      </c>
      <c r="J804" s="345">
        <v>17396</v>
      </c>
      <c r="K804" s="345">
        <v>637789</v>
      </c>
      <c r="L804" s="232"/>
      <c r="M804" s="345">
        <v>0</v>
      </c>
      <c r="N804" s="345">
        <v>0</v>
      </c>
      <c r="O804" s="345">
        <v>49380</v>
      </c>
      <c r="P804" s="345">
        <v>49380</v>
      </c>
      <c r="Q804" s="232"/>
      <c r="R804" s="345">
        <v>770661</v>
      </c>
      <c r="S804" s="345">
        <v>-17445</v>
      </c>
      <c r="T804" s="345">
        <v>753216</v>
      </c>
    </row>
    <row r="805" spans="1:20">
      <c r="A805" s="351">
        <v>98601</v>
      </c>
      <c r="B805" s="344" t="s">
        <v>1503</v>
      </c>
      <c r="C805" s="235">
        <v>3.5866000000000001E-3</v>
      </c>
      <c r="D805" s="235">
        <v>3.4765999999999998E-3</v>
      </c>
      <c r="E805" s="345">
        <v>9794725</v>
      </c>
      <c r="F805" s="232"/>
      <c r="G805" s="345">
        <v>1677105</v>
      </c>
      <c r="H805" s="345">
        <v>238907</v>
      </c>
      <c r="I805" s="345">
        <v>1596378</v>
      </c>
      <c r="J805" s="345">
        <v>16427</v>
      </c>
      <c r="K805" s="345">
        <v>3528817</v>
      </c>
      <c r="L805" s="232"/>
      <c r="M805" s="345">
        <v>0</v>
      </c>
      <c r="N805" s="345">
        <v>0</v>
      </c>
      <c r="O805" s="345">
        <v>72055</v>
      </c>
      <c r="P805" s="345">
        <v>72055</v>
      </c>
      <c r="Q805" s="232"/>
      <c r="R805" s="345">
        <v>4363146</v>
      </c>
      <c r="S805" s="345">
        <v>-56293</v>
      </c>
      <c r="T805" s="345">
        <v>4306853</v>
      </c>
    </row>
    <row r="806" spans="1:20">
      <c r="A806" s="351">
        <v>98607</v>
      </c>
      <c r="B806" s="344" t="s">
        <v>1505</v>
      </c>
      <c r="C806" s="235">
        <v>5.4E-6</v>
      </c>
      <c r="D806" s="235">
        <v>6.9E-6</v>
      </c>
      <c r="E806" s="345">
        <v>14747</v>
      </c>
      <c r="F806" s="232"/>
      <c r="G806" s="345">
        <v>2525</v>
      </c>
      <c r="H806" s="345">
        <v>360</v>
      </c>
      <c r="I806" s="345">
        <v>2404</v>
      </c>
      <c r="J806" s="345">
        <v>1068</v>
      </c>
      <c r="K806" s="345">
        <v>6357</v>
      </c>
      <c r="L806" s="232"/>
      <c r="M806" s="345">
        <v>0</v>
      </c>
      <c r="N806" s="345">
        <v>0</v>
      </c>
      <c r="O806" s="345">
        <v>780</v>
      </c>
      <c r="P806" s="345">
        <v>780</v>
      </c>
      <c r="Q806" s="232"/>
      <c r="R806" s="345">
        <v>6569</v>
      </c>
      <c r="S806" s="345">
        <v>-415</v>
      </c>
      <c r="T806" s="345">
        <v>6154</v>
      </c>
    </row>
    <row r="807" spans="1:20">
      <c r="A807" s="351">
        <v>98608</v>
      </c>
      <c r="B807" s="344" t="s">
        <v>1506</v>
      </c>
      <c r="C807" s="235">
        <v>5.1799999999999999E-5</v>
      </c>
      <c r="D807" s="235">
        <v>4.3099999999999997E-5</v>
      </c>
      <c r="E807" s="345">
        <v>141462</v>
      </c>
      <c r="F807" s="232"/>
      <c r="G807" s="345">
        <v>24222</v>
      </c>
      <c r="H807" s="345">
        <v>3451</v>
      </c>
      <c r="I807" s="345">
        <v>23056</v>
      </c>
      <c r="J807" s="345">
        <v>10260</v>
      </c>
      <c r="K807" s="345">
        <v>60989</v>
      </c>
      <c r="L807" s="232"/>
      <c r="M807" s="345">
        <v>0</v>
      </c>
      <c r="N807" s="345">
        <v>0</v>
      </c>
      <c r="O807" s="345">
        <v>2370</v>
      </c>
      <c r="P807" s="345">
        <v>2370</v>
      </c>
      <c r="Q807" s="232"/>
      <c r="R807" s="345">
        <v>63015</v>
      </c>
      <c r="S807" s="345">
        <v>2249</v>
      </c>
      <c r="T807" s="345">
        <v>65264</v>
      </c>
    </row>
    <row r="808" spans="1:20">
      <c r="A808" s="351">
        <v>98611</v>
      </c>
      <c r="B808" s="344" t="s">
        <v>1507</v>
      </c>
      <c r="C808" s="235">
        <v>1.1959999999999999E-4</v>
      </c>
      <c r="D808" s="235">
        <v>1.143E-4</v>
      </c>
      <c r="E808" s="345">
        <v>326618</v>
      </c>
      <c r="F808" s="232"/>
      <c r="G808" s="345">
        <v>55925</v>
      </c>
      <c r="H808" s="345">
        <v>7966</v>
      </c>
      <c r="I808" s="345">
        <v>53233</v>
      </c>
      <c r="J808" s="345">
        <v>26095</v>
      </c>
      <c r="K808" s="345">
        <v>143219</v>
      </c>
      <c r="L808" s="232"/>
      <c r="M808" s="345">
        <v>0</v>
      </c>
      <c r="N808" s="345">
        <v>0</v>
      </c>
      <c r="O808" s="345">
        <v>2863</v>
      </c>
      <c r="P808" s="345">
        <v>2863</v>
      </c>
      <c r="Q808" s="232"/>
      <c r="R808" s="345">
        <v>145495</v>
      </c>
      <c r="S808" s="345">
        <v>5882</v>
      </c>
      <c r="T808" s="345">
        <v>151377</v>
      </c>
    </row>
    <row r="809" spans="1:20">
      <c r="A809" s="351">
        <v>98621</v>
      </c>
      <c r="B809" s="344" t="s">
        <v>1508</v>
      </c>
      <c r="C809" s="235">
        <v>1.2899999999999999E-4</v>
      </c>
      <c r="D809" s="235">
        <v>1.371E-4</v>
      </c>
      <c r="E809" s="345">
        <v>352289</v>
      </c>
      <c r="F809" s="232"/>
      <c r="G809" s="345">
        <v>60321</v>
      </c>
      <c r="H809" s="345">
        <v>8593</v>
      </c>
      <c r="I809" s="345">
        <v>57417</v>
      </c>
      <c r="J809" s="345">
        <v>172</v>
      </c>
      <c r="K809" s="345">
        <v>126503</v>
      </c>
      <c r="L809" s="232"/>
      <c r="M809" s="345">
        <v>0</v>
      </c>
      <c r="N809" s="345">
        <v>0</v>
      </c>
      <c r="O809" s="345">
        <v>9273</v>
      </c>
      <c r="P809" s="345">
        <v>9273</v>
      </c>
      <c r="Q809" s="232"/>
      <c r="R809" s="345">
        <v>156930</v>
      </c>
      <c r="S809" s="345">
        <v>-5175</v>
      </c>
      <c r="T809" s="345">
        <v>151755</v>
      </c>
    </row>
    <row r="810" spans="1:20">
      <c r="A810" s="351">
        <v>98627</v>
      </c>
      <c r="B810" s="344" t="s">
        <v>3704</v>
      </c>
      <c r="C810" s="235">
        <v>7.7999999999999999E-6</v>
      </c>
      <c r="D810" s="235">
        <v>8.3000000000000002E-6</v>
      </c>
      <c r="E810" s="345">
        <v>21301</v>
      </c>
      <c r="F810" s="232"/>
      <c r="G810" s="345">
        <v>3647</v>
      </c>
      <c r="H810" s="345">
        <v>520</v>
      </c>
      <c r="I810" s="345">
        <v>3472</v>
      </c>
      <c r="J810" s="345">
        <v>96</v>
      </c>
      <c r="K810" s="345">
        <v>7735</v>
      </c>
      <c r="L810" s="232"/>
      <c r="M810" s="345">
        <v>0</v>
      </c>
      <c r="N810" s="345">
        <v>0</v>
      </c>
      <c r="O810" s="345">
        <v>1675</v>
      </c>
      <c r="P810" s="345">
        <v>1675</v>
      </c>
      <c r="Q810" s="232"/>
      <c r="R810" s="345">
        <v>9489</v>
      </c>
      <c r="S810" s="345">
        <v>-504</v>
      </c>
      <c r="T810" s="345">
        <v>8985</v>
      </c>
    </row>
    <row r="811" spans="1:20">
      <c r="A811" s="351">
        <v>98631</v>
      </c>
      <c r="B811" s="344" t="s">
        <v>1510</v>
      </c>
      <c r="C811" s="235">
        <v>1.0042E-3</v>
      </c>
      <c r="D811" s="235">
        <v>1.0238000000000001E-3</v>
      </c>
      <c r="E811" s="345">
        <v>2742392</v>
      </c>
      <c r="F811" s="232"/>
      <c r="G811" s="345">
        <v>469567</v>
      </c>
      <c r="H811" s="345">
        <v>66891</v>
      </c>
      <c r="I811" s="345">
        <v>446964</v>
      </c>
      <c r="J811" s="345">
        <v>14243</v>
      </c>
      <c r="K811" s="345">
        <v>997665</v>
      </c>
      <c r="L811" s="232"/>
      <c r="M811" s="345">
        <v>0</v>
      </c>
      <c r="N811" s="345">
        <v>0</v>
      </c>
      <c r="O811" s="345">
        <v>36728</v>
      </c>
      <c r="P811" s="345">
        <v>36728</v>
      </c>
      <c r="Q811" s="232"/>
      <c r="R811" s="345">
        <v>1221622</v>
      </c>
      <c r="S811" s="345">
        <v>-34212</v>
      </c>
      <c r="T811" s="345">
        <v>1187410</v>
      </c>
    </row>
    <row r="812" spans="1:20">
      <c r="A812" s="351">
        <v>98637</v>
      </c>
      <c r="B812" s="344" t="s">
        <v>1511</v>
      </c>
      <c r="C812" s="235">
        <v>1.5800000000000001E-5</v>
      </c>
      <c r="D812" s="235">
        <v>1.9000000000000001E-5</v>
      </c>
      <c r="E812" s="345">
        <v>43149</v>
      </c>
      <c r="F812" s="232"/>
      <c r="G812" s="345">
        <v>7388</v>
      </c>
      <c r="H812" s="345">
        <v>1052</v>
      </c>
      <c r="I812" s="345">
        <v>7033</v>
      </c>
      <c r="J812" s="345">
        <v>10024</v>
      </c>
      <c r="K812" s="345">
        <v>25497</v>
      </c>
      <c r="L812" s="232"/>
      <c r="M812" s="345">
        <v>0</v>
      </c>
      <c r="N812" s="345">
        <v>0</v>
      </c>
      <c r="O812" s="345">
        <v>0</v>
      </c>
      <c r="P812" s="345">
        <v>0</v>
      </c>
      <c r="Q812" s="232"/>
      <c r="R812" s="345">
        <v>19221</v>
      </c>
      <c r="S812" s="345">
        <v>4590</v>
      </c>
      <c r="T812" s="345">
        <v>23811</v>
      </c>
    </row>
    <row r="813" spans="1:20">
      <c r="A813" s="351">
        <v>98641</v>
      </c>
      <c r="B813" s="344" t="s">
        <v>1512</v>
      </c>
      <c r="C813" s="235">
        <v>2.7090000000000003E-4</v>
      </c>
      <c r="D813" s="235">
        <v>2.9080000000000002E-4</v>
      </c>
      <c r="E813" s="345">
        <v>739807</v>
      </c>
      <c r="F813" s="232"/>
      <c r="G813" s="345">
        <v>126674</v>
      </c>
      <c r="H813" s="345">
        <v>18045</v>
      </c>
      <c r="I813" s="345">
        <v>120576</v>
      </c>
      <c r="J813" s="345">
        <v>1402</v>
      </c>
      <c r="K813" s="345">
        <v>266697</v>
      </c>
      <c r="L813" s="232"/>
      <c r="M813" s="345">
        <v>0</v>
      </c>
      <c r="N813" s="345">
        <v>0</v>
      </c>
      <c r="O813" s="345">
        <v>8996</v>
      </c>
      <c r="P813" s="345">
        <v>8996</v>
      </c>
      <c r="Q813" s="232"/>
      <c r="R813" s="345">
        <v>329553</v>
      </c>
      <c r="S813" s="345">
        <v>-3836</v>
      </c>
      <c r="T813" s="345">
        <v>325717</v>
      </c>
    </row>
    <row r="814" spans="1:20">
      <c r="A814" s="351">
        <v>98701</v>
      </c>
      <c r="B814" s="344" t="s">
        <v>1513</v>
      </c>
      <c r="C814" s="235">
        <v>9.7790000000000008E-4</v>
      </c>
      <c r="D814" s="235">
        <v>1.0870000000000001E-3</v>
      </c>
      <c r="E814" s="345">
        <v>2670569</v>
      </c>
      <c r="F814" s="232"/>
      <c r="G814" s="345">
        <v>457269</v>
      </c>
      <c r="H814" s="345">
        <v>65139</v>
      </c>
      <c r="I814" s="345">
        <v>435258</v>
      </c>
      <c r="J814" s="345">
        <v>1031</v>
      </c>
      <c r="K814" s="345">
        <v>958697</v>
      </c>
      <c r="L814" s="232"/>
      <c r="M814" s="345">
        <v>0</v>
      </c>
      <c r="N814" s="345">
        <v>0</v>
      </c>
      <c r="O814" s="345">
        <v>125086</v>
      </c>
      <c r="P814" s="345">
        <v>125086</v>
      </c>
      <c r="Q814" s="232"/>
      <c r="R814" s="345">
        <v>1189628</v>
      </c>
      <c r="S814" s="345">
        <v>-49441</v>
      </c>
      <c r="T814" s="345">
        <v>1140187</v>
      </c>
    </row>
    <row r="815" spans="1:20">
      <c r="A815" s="351">
        <v>98711</v>
      </c>
      <c r="B815" s="344" t="s">
        <v>1514</v>
      </c>
      <c r="C815" s="235">
        <v>1.671E-4</v>
      </c>
      <c r="D815" s="235">
        <v>1.6679999999999999E-4</v>
      </c>
      <c r="E815" s="345">
        <v>456337</v>
      </c>
      <c r="F815" s="232"/>
      <c r="G815" s="345">
        <v>78136</v>
      </c>
      <c r="H815" s="345">
        <v>11130</v>
      </c>
      <c r="I815" s="345">
        <v>74375</v>
      </c>
      <c r="J815" s="345">
        <v>0</v>
      </c>
      <c r="K815" s="345">
        <v>163641</v>
      </c>
      <c r="L815" s="232"/>
      <c r="M815" s="345">
        <v>0</v>
      </c>
      <c r="N815" s="345">
        <v>0</v>
      </c>
      <c r="O815" s="345">
        <v>29840</v>
      </c>
      <c r="P815" s="345">
        <v>29840</v>
      </c>
      <c r="Q815" s="232"/>
      <c r="R815" s="345">
        <v>203279</v>
      </c>
      <c r="S815" s="345">
        <v>-12286</v>
      </c>
      <c r="T815" s="345">
        <v>190993</v>
      </c>
    </row>
    <row r="816" spans="1:20">
      <c r="A816" s="351">
        <v>98717</v>
      </c>
      <c r="B816" s="344" t="s">
        <v>1515</v>
      </c>
      <c r="C816" s="235">
        <v>2.2399999999999999E-5</v>
      </c>
      <c r="D816" s="235">
        <v>1.9599999999999999E-5</v>
      </c>
      <c r="E816" s="345">
        <v>61173</v>
      </c>
      <c r="F816" s="232"/>
      <c r="G816" s="345">
        <v>10474</v>
      </c>
      <c r="H816" s="345">
        <v>1492</v>
      </c>
      <c r="I816" s="345">
        <v>9970</v>
      </c>
      <c r="J816" s="345">
        <v>1953</v>
      </c>
      <c r="K816" s="345">
        <v>23889</v>
      </c>
      <c r="L816" s="232"/>
      <c r="M816" s="345">
        <v>0</v>
      </c>
      <c r="N816" s="345">
        <v>0</v>
      </c>
      <c r="O816" s="345">
        <v>1423</v>
      </c>
      <c r="P816" s="345">
        <v>1423</v>
      </c>
      <c r="Q816" s="232"/>
      <c r="R816" s="345">
        <v>27250</v>
      </c>
      <c r="S816" s="345">
        <v>254</v>
      </c>
      <c r="T816" s="345">
        <v>27504</v>
      </c>
    </row>
    <row r="817" spans="1:20">
      <c r="A817" s="351">
        <v>98801</v>
      </c>
      <c r="B817" s="344" t="s">
        <v>1516</v>
      </c>
      <c r="C817" s="235">
        <v>2.1632999999999999E-3</v>
      </c>
      <c r="D817" s="235">
        <v>2.1394999999999999E-3</v>
      </c>
      <c r="E817" s="345">
        <v>5907804</v>
      </c>
      <c r="F817" s="232"/>
      <c r="G817" s="345">
        <v>1011566</v>
      </c>
      <c r="H817" s="345">
        <v>144100</v>
      </c>
      <c r="I817" s="345">
        <v>962874</v>
      </c>
      <c r="J817" s="345">
        <v>101351</v>
      </c>
      <c r="K817" s="345">
        <v>2219891</v>
      </c>
      <c r="L817" s="232"/>
      <c r="M817" s="345">
        <v>0</v>
      </c>
      <c r="N817" s="345">
        <v>0</v>
      </c>
      <c r="O817" s="345">
        <v>57063</v>
      </c>
      <c r="P817" s="345">
        <v>57063</v>
      </c>
      <c r="Q817" s="232"/>
      <c r="R817" s="345">
        <v>2631683</v>
      </c>
      <c r="S817" s="345">
        <v>36575</v>
      </c>
      <c r="T817" s="345">
        <v>2668258</v>
      </c>
    </row>
    <row r="818" spans="1:20">
      <c r="A818" s="351">
        <v>98811</v>
      </c>
      <c r="B818" s="344" t="s">
        <v>1517</v>
      </c>
      <c r="C818" s="235">
        <v>6.8610000000000003E-4</v>
      </c>
      <c r="D818" s="235">
        <v>6.332E-4</v>
      </c>
      <c r="E818" s="345">
        <v>1873686</v>
      </c>
      <c r="F818" s="232"/>
      <c r="G818" s="345">
        <v>320822</v>
      </c>
      <c r="H818" s="345">
        <v>45702</v>
      </c>
      <c r="I818" s="345">
        <v>305380</v>
      </c>
      <c r="J818" s="345">
        <v>59453</v>
      </c>
      <c r="K818" s="345">
        <v>731357</v>
      </c>
      <c r="L818" s="232"/>
      <c r="M818" s="345">
        <v>0</v>
      </c>
      <c r="N818" s="345">
        <v>0</v>
      </c>
      <c r="O818" s="345">
        <v>18221</v>
      </c>
      <c r="P818" s="345">
        <v>18221</v>
      </c>
      <c r="Q818" s="232"/>
      <c r="R818" s="345">
        <v>834650</v>
      </c>
      <c r="S818" s="345">
        <v>4037</v>
      </c>
      <c r="T818" s="345">
        <v>838687</v>
      </c>
    </row>
    <row r="819" spans="1:20">
      <c r="A819" s="351">
        <v>98817</v>
      </c>
      <c r="B819" s="344" t="s">
        <v>1518</v>
      </c>
      <c r="C819" s="235">
        <v>1.7E-5</v>
      </c>
      <c r="D819" s="235">
        <v>2.4000000000000001E-5</v>
      </c>
      <c r="E819" s="345">
        <v>46426</v>
      </c>
      <c r="F819" s="232"/>
      <c r="G819" s="345">
        <v>7949</v>
      </c>
      <c r="H819" s="345">
        <v>1132</v>
      </c>
      <c r="I819" s="345">
        <v>7567</v>
      </c>
      <c r="J819" s="345">
        <v>2606</v>
      </c>
      <c r="K819" s="345">
        <v>19254</v>
      </c>
      <c r="L819" s="232"/>
      <c r="M819" s="345">
        <v>0</v>
      </c>
      <c r="N819" s="345">
        <v>0</v>
      </c>
      <c r="O819" s="345">
        <v>3818</v>
      </c>
      <c r="P819" s="345">
        <v>3818</v>
      </c>
      <c r="Q819" s="232"/>
      <c r="R819" s="345">
        <v>20681</v>
      </c>
      <c r="S819" s="345">
        <v>269</v>
      </c>
      <c r="T819" s="345">
        <v>20950</v>
      </c>
    </row>
    <row r="820" spans="1:20">
      <c r="A820" s="351">
        <v>98901</v>
      </c>
      <c r="B820" s="344" t="s">
        <v>1519</v>
      </c>
      <c r="C820" s="235">
        <v>2.8390000000000002E-4</v>
      </c>
      <c r="D820" s="235">
        <v>3.0289999999999999E-4</v>
      </c>
      <c r="E820" s="345">
        <v>775309</v>
      </c>
      <c r="F820" s="232"/>
      <c r="G820" s="345">
        <v>132752</v>
      </c>
      <c r="H820" s="345">
        <v>18911</v>
      </c>
      <c r="I820" s="345">
        <v>126362</v>
      </c>
      <c r="J820" s="345">
        <v>5350</v>
      </c>
      <c r="K820" s="345">
        <v>283375</v>
      </c>
      <c r="L820" s="232"/>
      <c r="M820" s="345">
        <v>0</v>
      </c>
      <c r="N820" s="345">
        <v>0</v>
      </c>
      <c r="O820" s="345">
        <v>17108</v>
      </c>
      <c r="P820" s="345">
        <v>17108</v>
      </c>
      <c r="Q820" s="232"/>
      <c r="R820" s="345">
        <v>345368</v>
      </c>
      <c r="S820" s="345">
        <v>-3457</v>
      </c>
      <c r="T820" s="345">
        <v>341911</v>
      </c>
    </row>
    <row r="821" spans="1:20">
      <c r="A821" s="351">
        <v>98904</v>
      </c>
      <c r="B821" s="344" t="s">
        <v>2789</v>
      </c>
      <c r="C821" s="235">
        <v>3.9999999999999998E-6</v>
      </c>
      <c r="D821" s="235">
        <v>3.9999999999999998E-6</v>
      </c>
      <c r="E821" s="345">
        <v>10924</v>
      </c>
      <c r="F821" s="232"/>
      <c r="G821" s="345">
        <v>1870</v>
      </c>
      <c r="H821" s="345">
        <v>267</v>
      </c>
      <c r="I821" s="345">
        <v>1780</v>
      </c>
      <c r="J821" s="345">
        <v>455</v>
      </c>
      <c r="K821" s="345">
        <v>4372</v>
      </c>
      <c r="L821" s="232"/>
      <c r="M821" s="345">
        <v>0</v>
      </c>
      <c r="N821" s="345">
        <v>0</v>
      </c>
      <c r="O821" s="345">
        <v>1079</v>
      </c>
      <c r="P821" s="345">
        <v>1079</v>
      </c>
      <c r="Q821" s="232"/>
      <c r="R821" s="345">
        <v>4866</v>
      </c>
      <c r="S821" s="345">
        <v>-279</v>
      </c>
      <c r="T821" s="345">
        <v>4587</v>
      </c>
    </row>
    <row r="822" spans="1:20">
      <c r="A822" s="351">
        <v>98911</v>
      </c>
      <c r="B822" s="344" t="s">
        <v>1521</v>
      </c>
      <c r="C822" s="235">
        <v>1.59E-5</v>
      </c>
      <c r="D822" s="235">
        <v>2.8900000000000001E-5</v>
      </c>
      <c r="E822" s="345">
        <v>43422</v>
      </c>
      <c r="F822" s="232"/>
      <c r="G822" s="345">
        <v>7435</v>
      </c>
      <c r="H822" s="345">
        <v>1059</v>
      </c>
      <c r="I822" s="345">
        <v>7077</v>
      </c>
      <c r="J822" s="345">
        <v>7092</v>
      </c>
      <c r="K822" s="345">
        <v>22663</v>
      </c>
      <c r="L822" s="232"/>
      <c r="M822" s="345">
        <v>0</v>
      </c>
      <c r="N822" s="345">
        <v>0</v>
      </c>
      <c r="O822" s="345">
        <v>1159</v>
      </c>
      <c r="P822" s="345">
        <v>1159</v>
      </c>
      <c r="Q822" s="232"/>
      <c r="R822" s="345">
        <v>19343</v>
      </c>
      <c r="S822" s="345">
        <v>5261</v>
      </c>
      <c r="T822" s="345">
        <v>24604</v>
      </c>
    </row>
    <row r="823" spans="1:20">
      <c r="A823" s="351">
        <v>99001</v>
      </c>
      <c r="B823" s="344" t="s">
        <v>1522</v>
      </c>
      <c r="C823" s="235">
        <v>8.8266000000000004E-3</v>
      </c>
      <c r="D823" s="235">
        <v>8.2226E-3</v>
      </c>
      <c r="E823" s="345">
        <v>24104756</v>
      </c>
      <c r="F823" s="232"/>
      <c r="G823" s="345">
        <v>4127345</v>
      </c>
      <c r="H823" s="345">
        <v>587948</v>
      </c>
      <c r="I823" s="345">
        <v>3928676</v>
      </c>
      <c r="J823" s="345">
        <v>530235</v>
      </c>
      <c r="K823" s="345">
        <v>9174204</v>
      </c>
      <c r="L823" s="232"/>
      <c r="M823" s="345">
        <v>0</v>
      </c>
      <c r="N823" s="345">
        <v>0</v>
      </c>
      <c r="O823" s="345">
        <v>0</v>
      </c>
      <c r="P823" s="345">
        <v>0</v>
      </c>
      <c r="Q823" s="232"/>
      <c r="R823" s="345">
        <v>10737674</v>
      </c>
      <c r="S823" s="345">
        <v>229227</v>
      </c>
      <c r="T823" s="345">
        <v>10966901</v>
      </c>
    </row>
    <row r="824" spans="1:20">
      <c r="A824" s="351">
        <v>99011</v>
      </c>
      <c r="B824" s="344" t="s">
        <v>1523</v>
      </c>
      <c r="C824" s="235">
        <v>3.8520999999999998E-3</v>
      </c>
      <c r="D824" s="235">
        <v>3.8665000000000001E-3</v>
      </c>
      <c r="E824" s="345">
        <v>10519785</v>
      </c>
      <c r="F824" s="232"/>
      <c r="G824" s="345">
        <v>1801254</v>
      </c>
      <c r="H824" s="345">
        <v>256592</v>
      </c>
      <c r="I824" s="345">
        <v>1714550</v>
      </c>
      <c r="J824" s="345">
        <v>22406</v>
      </c>
      <c r="K824" s="345">
        <v>3794802</v>
      </c>
      <c r="L824" s="232"/>
      <c r="M824" s="345">
        <v>0</v>
      </c>
      <c r="N824" s="345">
        <v>0</v>
      </c>
      <c r="O824" s="345">
        <v>71000</v>
      </c>
      <c r="P824" s="345">
        <v>71000</v>
      </c>
      <c r="Q824" s="232"/>
      <c r="R824" s="345">
        <v>4686130</v>
      </c>
      <c r="S824" s="345">
        <v>-107569</v>
      </c>
      <c r="T824" s="345">
        <v>4578561</v>
      </c>
    </row>
    <row r="825" spans="1:20">
      <c r="A825" s="351">
        <v>99013</v>
      </c>
      <c r="B825" s="344" t="s">
        <v>1524</v>
      </c>
      <c r="C825" s="235">
        <v>4.7599999999999998E-5</v>
      </c>
      <c r="D825" s="235">
        <v>4.8900000000000003E-5</v>
      </c>
      <c r="E825" s="345">
        <v>129992</v>
      </c>
      <c r="F825" s="232"/>
      <c r="G825" s="345">
        <v>22258</v>
      </c>
      <c r="H825" s="345">
        <v>3171</v>
      </c>
      <c r="I825" s="345">
        <v>21187</v>
      </c>
      <c r="J825" s="345">
        <v>3530</v>
      </c>
      <c r="K825" s="345">
        <v>50146</v>
      </c>
      <c r="L825" s="232"/>
      <c r="M825" s="345">
        <v>0</v>
      </c>
      <c r="N825" s="345">
        <v>0</v>
      </c>
      <c r="O825" s="345">
        <v>3602</v>
      </c>
      <c r="P825" s="345">
        <v>3602</v>
      </c>
      <c r="Q825" s="232"/>
      <c r="R825" s="345">
        <v>57906</v>
      </c>
      <c r="S825" s="345">
        <v>-2200</v>
      </c>
      <c r="T825" s="345">
        <v>55706</v>
      </c>
    </row>
    <row r="826" spans="1:20">
      <c r="A826" s="351">
        <v>99014</v>
      </c>
      <c r="B826" s="344" t="s">
        <v>1525</v>
      </c>
      <c r="C826" s="235">
        <v>2.1299999999999999E-5</v>
      </c>
      <c r="D826" s="235">
        <v>1.45E-5</v>
      </c>
      <c r="E826" s="345">
        <v>58169</v>
      </c>
      <c r="F826" s="232"/>
      <c r="G826" s="345">
        <v>9960</v>
      </c>
      <c r="H826" s="345">
        <v>1419</v>
      </c>
      <c r="I826" s="345">
        <v>9481</v>
      </c>
      <c r="J826" s="345">
        <v>14736</v>
      </c>
      <c r="K826" s="345">
        <v>35596</v>
      </c>
      <c r="L826" s="232"/>
      <c r="M826" s="345">
        <v>0</v>
      </c>
      <c r="N826" s="345">
        <v>0</v>
      </c>
      <c r="O826" s="345">
        <v>169</v>
      </c>
      <c r="P826" s="345">
        <v>169</v>
      </c>
      <c r="Q826" s="232"/>
      <c r="R826" s="345">
        <v>25912</v>
      </c>
      <c r="S826" s="345">
        <v>6955</v>
      </c>
      <c r="T826" s="345">
        <v>32867</v>
      </c>
    </row>
    <row r="827" spans="1:20">
      <c r="A827" s="351">
        <v>99017</v>
      </c>
      <c r="B827" s="344" t="s">
        <v>1526</v>
      </c>
      <c r="C827" s="235">
        <v>4.8600000000000002E-5</v>
      </c>
      <c r="D827" s="235">
        <v>4.5599999999999997E-5</v>
      </c>
      <c r="E827" s="345">
        <v>132723</v>
      </c>
      <c r="F827" s="232"/>
      <c r="G827" s="345">
        <v>22726</v>
      </c>
      <c r="H827" s="345">
        <v>3237</v>
      </c>
      <c r="I827" s="345">
        <v>21632</v>
      </c>
      <c r="J827" s="345">
        <v>4265</v>
      </c>
      <c r="K827" s="345">
        <v>51860</v>
      </c>
      <c r="L827" s="232"/>
      <c r="M827" s="345">
        <v>0</v>
      </c>
      <c r="N827" s="345">
        <v>0</v>
      </c>
      <c r="O827" s="345">
        <v>2470</v>
      </c>
      <c r="P827" s="345">
        <v>2470</v>
      </c>
      <c r="Q827" s="232"/>
      <c r="R827" s="345">
        <v>59123</v>
      </c>
      <c r="S827" s="345">
        <v>2106</v>
      </c>
      <c r="T827" s="345">
        <v>61229</v>
      </c>
    </row>
    <row r="828" spans="1:20">
      <c r="A828" s="351">
        <v>99021</v>
      </c>
      <c r="B828" s="344" t="s">
        <v>1527</v>
      </c>
      <c r="C828" s="235">
        <v>1.405E-4</v>
      </c>
      <c r="D828" s="235">
        <v>1.3200000000000001E-4</v>
      </c>
      <c r="E828" s="345">
        <v>383695</v>
      </c>
      <c r="F828" s="232"/>
      <c r="G828" s="345">
        <v>65698</v>
      </c>
      <c r="H828" s="345">
        <v>9359</v>
      </c>
      <c r="I828" s="345">
        <v>62536</v>
      </c>
      <c r="J828" s="345">
        <v>7662</v>
      </c>
      <c r="K828" s="345">
        <v>145255</v>
      </c>
      <c r="L828" s="232"/>
      <c r="M828" s="345">
        <v>0</v>
      </c>
      <c r="N828" s="345">
        <v>0</v>
      </c>
      <c r="O828" s="345">
        <v>10130</v>
      </c>
      <c r="P828" s="345">
        <v>10130</v>
      </c>
      <c r="Q828" s="232"/>
      <c r="R828" s="345">
        <v>170920</v>
      </c>
      <c r="S828" s="345">
        <v>734</v>
      </c>
      <c r="T828" s="345">
        <v>171654</v>
      </c>
    </row>
    <row r="829" spans="1:20">
      <c r="A829" s="351">
        <v>99022</v>
      </c>
      <c r="B829" s="344" t="s">
        <v>211</v>
      </c>
      <c r="C829" s="235">
        <v>8.8000000000000004E-6</v>
      </c>
      <c r="D829" s="235">
        <v>9.9000000000000001E-6</v>
      </c>
      <c r="E829" s="345">
        <v>24032</v>
      </c>
      <c r="F829" s="232"/>
      <c r="G829" s="345">
        <v>4115</v>
      </c>
      <c r="H829" s="345">
        <v>586</v>
      </c>
      <c r="I829" s="345">
        <v>3917</v>
      </c>
      <c r="J829" s="345">
        <v>12266</v>
      </c>
      <c r="K829" s="345">
        <v>20884</v>
      </c>
      <c r="L829" s="232"/>
      <c r="M829" s="345">
        <v>0</v>
      </c>
      <c r="N829" s="345">
        <v>0</v>
      </c>
      <c r="O829" s="345">
        <v>0</v>
      </c>
      <c r="P829" s="345">
        <v>0</v>
      </c>
      <c r="Q829" s="232"/>
      <c r="R829" s="345">
        <v>10705</v>
      </c>
      <c r="S829" s="345">
        <v>5476</v>
      </c>
      <c r="T829" s="345">
        <v>16181</v>
      </c>
    </row>
    <row r="830" spans="1:20">
      <c r="A830" s="351">
        <v>99031</v>
      </c>
      <c r="B830" s="344" t="s">
        <v>1528</v>
      </c>
      <c r="C830" s="235">
        <v>1.208E-4</v>
      </c>
      <c r="D830" s="235">
        <v>1.3669999999999999E-4</v>
      </c>
      <c r="E830" s="345">
        <v>329895</v>
      </c>
      <c r="F830" s="232"/>
      <c r="G830" s="345">
        <v>56486</v>
      </c>
      <c r="H830" s="345">
        <v>8047</v>
      </c>
      <c r="I830" s="345">
        <v>53767</v>
      </c>
      <c r="J830" s="345">
        <v>855</v>
      </c>
      <c r="K830" s="345">
        <v>119155</v>
      </c>
      <c r="L830" s="232"/>
      <c r="M830" s="345">
        <v>0</v>
      </c>
      <c r="N830" s="345">
        <v>0</v>
      </c>
      <c r="O830" s="345">
        <v>32741</v>
      </c>
      <c r="P830" s="345">
        <v>32741</v>
      </c>
      <c r="Q830" s="232"/>
      <c r="R830" s="345">
        <v>146955</v>
      </c>
      <c r="S830" s="345">
        <v>-11255</v>
      </c>
      <c r="T830" s="345">
        <v>135700</v>
      </c>
    </row>
    <row r="831" spans="1:20">
      <c r="A831" s="351">
        <v>99041</v>
      </c>
      <c r="B831" s="344" t="s">
        <v>1529</v>
      </c>
      <c r="C831" s="235">
        <v>6.3840000000000001E-4</v>
      </c>
      <c r="D831" s="235">
        <v>6.6399999999999999E-4</v>
      </c>
      <c r="E831" s="345">
        <v>1743421</v>
      </c>
      <c r="F831" s="232"/>
      <c r="G831" s="345">
        <v>298518</v>
      </c>
      <c r="H831" s="345">
        <v>42525</v>
      </c>
      <c r="I831" s="345">
        <v>284149</v>
      </c>
      <c r="J831" s="345">
        <v>10836</v>
      </c>
      <c r="K831" s="345">
        <v>636028</v>
      </c>
      <c r="L831" s="232"/>
      <c r="M831" s="345">
        <v>0</v>
      </c>
      <c r="N831" s="345">
        <v>0</v>
      </c>
      <c r="O831" s="345">
        <v>46850</v>
      </c>
      <c r="P831" s="345">
        <v>46850</v>
      </c>
      <c r="Q831" s="232"/>
      <c r="R831" s="345">
        <v>776622</v>
      </c>
      <c r="S831" s="345">
        <v>697</v>
      </c>
      <c r="T831" s="345">
        <v>777319</v>
      </c>
    </row>
    <row r="832" spans="1:20">
      <c r="A832" s="351">
        <v>99047</v>
      </c>
      <c r="B832" s="344" t="s">
        <v>1530</v>
      </c>
      <c r="C832" s="235">
        <v>1.33E-5</v>
      </c>
      <c r="D832" s="235">
        <v>1.56E-5</v>
      </c>
      <c r="E832" s="345">
        <v>36321</v>
      </c>
      <c r="F832" s="232"/>
      <c r="G832" s="345">
        <v>6219</v>
      </c>
      <c r="H832" s="345">
        <v>886</v>
      </c>
      <c r="I832" s="345">
        <v>5920</v>
      </c>
      <c r="J832" s="345">
        <v>6831</v>
      </c>
      <c r="K832" s="345">
        <v>19856</v>
      </c>
      <c r="L832" s="232"/>
      <c r="M832" s="345">
        <v>0</v>
      </c>
      <c r="N832" s="345">
        <v>0</v>
      </c>
      <c r="O832" s="345">
        <v>0</v>
      </c>
      <c r="P832" s="345">
        <v>0</v>
      </c>
      <c r="Q832" s="232"/>
      <c r="R832" s="345">
        <v>16180</v>
      </c>
      <c r="S832" s="345">
        <v>3039</v>
      </c>
      <c r="T832" s="345">
        <v>19219</v>
      </c>
    </row>
    <row r="833" spans="1:20">
      <c r="A833" s="351">
        <v>99051</v>
      </c>
      <c r="B833" s="344" t="s">
        <v>1531</v>
      </c>
      <c r="C833" s="235">
        <v>3.4049999999999998E-4</v>
      </c>
      <c r="D833" s="235">
        <v>3.5330000000000002E-4</v>
      </c>
      <c r="E833" s="345">
        <v>929879</v>
      </c>
      <c r="F833" s="232"/>
      <c r="G833" s="345">
        <v>159219</v>
      </c>
      <c r="H833" s="345">
        <v>22681</v>
      </c>
      <c r="I833" s="345">
        <v>151555</v>
      </c>
      <c r="J833" s="345">
        <v>2211</v>
      </c>
      <c r="K833" s="345">
        <v>335666</v>
      </c>
      <c r="L833" s="232"/>
      <c r="M833" s="345">
        <v>0</v>
      </c>
      <c r="N833" s="345">
        <v>0</v>
      </c>
      <c r="O833" s="345">
        <v>26623</v>
      </c>
      <c r="P833" s="345">
        <v>26623</v>
      </c>
      <c r="Q833" s="232"/>
      <c r="R833" s="345">
        <v>414223</v>
      </c>
      <c r="S833" s="345">
        <v>-3868</v>
      </c>
      <c r="T833" s="345">
        <v>410355</v>
      </c>
    </row>
    <row r="834" spans="1:20">
      <c r="A834" s="351">
        <v>99061</v>
      </c>
      <c r="B834" s="344" t="s">
        <v>1532</v>
      </c>
      <c r="C834" s="235">
        <v>6.1E-6</v>
      </c>
      <c r="D834" s="235">
        <v>7.5000000000000002E-6</v>
      </c>
      <c r="E834" s="345">
        <v>16659</v>
      </c>
      <c r="F834" s="232"/>
      <c r="G834" s="345">
        <v>2852</v>
      </c>
      <c r="H834" s="345">
        <v>406</v>
      </c>
      <c r="I834" s="345">
        <v>2715</v>
      </c>
      <c r="J834" s="345">
        <v>4807</v>
      </c>
      <c r="K834" s="345">
        <v>10780</v>
      </c>
      <c r="L834" s="232"/>
      <c r="M834" s="345">
        <v>0</v>
      </c>
      <c r="N834" s="345">
        <v>0</v>
      </c>
      <c r="O834" s="345">
        <v>0</v>
      </c>
      <c r="P834" s="345">
        <v>0</v>
      </c>
      <c r="Q834" s="232"/>
      <c r="R834" s="345">
        <v>7421</v>
      </c>
      <c r="S834" s="345">
        <v>3240</v>
      </c>
      <c r="T834" s="345">
        <v>10661</v>
      </c>
    </row>
    <row r="835" spans="1:20">
      <c r="A835" s="351">
        <v>99071</v>
      </c>
      <c r="B835" s="344" t="s">
        <v>1533</v>
      </c>
      <c r="C835" s="235">
        <v>2.4499999999999999E-5</v>
      </c>
      <c r="D835" s="235">
        <v>2.2799999999999999E-5</v>
      </c>
      <c r="E835" s="345">
        <v>66908</v>
      </c>
      <c r="F835" s="232"/>
      <c r="G835" s="345">
        <v>11456</v>
      </c>
      <c r="H835" s="345">
        <v>1632</v>
      </c>
      <c r="I835" s="345">
        <v>10905</v>
      </c>
      <c r="J835" s="345">
        <v>4950</v>
      </c>
      <c r="K835" s="345">
        <v>28943</v>
      </c>
      <c r="L835" s="232"/>
      <c r="M835" s="345">
        <v>0</v>
      </c>
      <c r="N835" s="345">
        <v>0</v>
      </c>
      <c r="O835" s="345">
        <v>2699</v>
      </c>
      <c r="P835" s="345">
        <v>2699</v>
      </c>
      <c r="Q835" s="232"/>
      <c r="R835" s="345">
        <v>29805</v>
      </c>
      <c r="S835" s="345">
        <v>-141</v>
      </c>
      <c r="T835" s="345">
        <v>29664</v>
      </c>
    </row>
    <row r="836" spans="1:20">
      <c r="A836" s="351">
        <v>99081</v>
      </c>
      <c r="B836" s="344" t="s">
        <v>1534</v>
      </c>
      <c r="C836" s="235">
        <v>3.65E-5</v>
      </c>
      <c r="D836" s="235">
        <v>1.4600000000000001E-5</v>
      </c>
      <c r="E836" s="345">
        <v>99679</v>
      </c>
      <c r="F836" s="232"/>
      <c r="G836" s="345">
        <v>17068</v>
      </c>
      <c r="H836" s="345">
        <v>2431</v>
      </c>
      <c r="I836" s="345">
        <v>16246</v>
      </c>
      <c r="J836" s="345">
        <v>18833</v>
      </c>
      <c r="K836" s="345">
        <v>54578</v>
      </c>
      <c r="L836" s="232"/>
      <c r="M836" s="345">
        <v>0</v>
      </c>
      <c r="N836" s="345">
        <v>0</v>
      </c>
      <c r="O836" s="345">
        <v>5145</v>
      </c>
      <c r="P836" s="345">
        <v>5145</v>
      </c>
      <c r="Q836" s="232"/>
      <c r="R836" s="345">
        <v>44403</v>
      </c>
      <c r="S836" s="345">
        <v>3373</v>
      </c>
      <c r="T836" s="345">
        <v>47776</v>
      </c>
    </row>
    <row r="837" spans="1:20">
      <c r="A837" s="351">
        <v>99091</v>
      </c>
      <c r="B837" s="344" t="s">
        <v>1535</v>
      </c>
      <c r="C837" s="235">
        <v>5.4E-6</v>
      </c>
      <c r="D837" s="235">
        <v>3.4999999999999999E-6</v>
      </c>
      <c r="E837" s="345">
        <v>14747</v>
      </c>
      <c r="F837" s="232"/>
      <c r="G837" s="345">
        <v>2525</v>
      </c>
      <c r="H837" s="345">
        <v>360</v>
      </c>
      <c r="I837" s="345">
        <v>2404</v>
      </c>
      <c r="J837" s="345">
        <v>9359</v>
      </c>
      <c r="K837" s="345">
        <v>14648</v>
      </c>
      <c r="L837" s="232"/>
      <c r="M837" s="345">
        <v>0</v>
      </c>
      <c r="N837" s="345">
        <v>0</v>
      </c>
      <c r="O837" s="345">
        <v>0</v>
      </c>
      <c r="P837" s="345">
        <v>0</v>
      </c>
      <c r="Q837" s="232"/>
      <c r="R837" s="345">
        <v>6569</v>
      </c>
      <c r="S837" s="345">
        <v>3384</v>
      </c>
      <c r="T837" s="345">
        <v>9953</v>
      </c>
    </row>
    <row r="838" spans="1:20">
      <c r="A838" s="351">
        <v>99101</v>
      </c>
      <c r="B838" s="344" t="s">
        <v>1536</v>
      </c>
      <c r="C838" s="235">
        <v>2.1218000000000001E-3</v>
      </c>
      <c r="D838" s="235">
        <v>2.1986000000000002E-3</v>
      </c>
      <c r="E838" s="345">
        <v>5794470</v>
      </c>
      <c r="F838" s="232"/>
      <c r="G838" s="345">
        <v>992160</v>
      </c>
      <c r="H838" s="345">
        <v>141335</v>
      </c>
      <c r="I838" s="345">
        <v>944403</v>
      </c>
      <c r="J838" s="345">
        <v>21629</v>
      </c>
      <c r="K838" s="345">
        <v>2099527</v>
      </c>
      <c r="L838" s="232"/>
      <c r="M838" s="345">
        <v>0</v>
      </c>
      <c r="N838" s="345">
        <v>0</v>
      </c>
      <c r="O838" s="345">
        <v>146931</v>
      </c>
      <c r="P838" s="345">
        <v>146931</v>
      </c>
      <c r="Q838" s="232"/>
      <c r="R838" s="345">
        <v>2581197</v>
      </c>
      <c r="S838" s="345">
        <v>-33243</v>
      </c>
      <c r="T838" s="345">
        <v>2547954</v>
      </c>
    </row>
    <row r="839" spans="1:20">
      <c r="A839" s="351">
        <v>99104</v>
      </c>
      <c r="B839" s="344" t="s">
        <v>2788</v>
      </c>
      <c r="C839" s="235">
        <v>3.2700000000000002E-5</v>
      </c>
      <c r="D839" s="235">
        <v>3.4E-5</v>
      </c>
      <c r="E839" s="345">
        <v>89301</v>
      </c>
      <c r="F839" s="232"/>
      <c r="G839" s="345">
        <v>15291</v>
      </c>
      <c r="H839" s="345">
        <v>2178</v>
      </c>
      <c r="I839" s="345">
        <v>14555</v>
      </c>
      <c r="J839" s="345">
        <v>17421</v>
      </c>
      <c r="K839" s="345">
        <v>49445</v>
      </c>
      <c r="L839" s="232"/>
      <c r="M839" s="345">
        <v>0</v>
      </c>
      <c r="N839" s="345">
        <v>0</v>
      </c>
      <c r="O839" s="345">
        <v>0</v>
      </c>
      <c r="P839" s="345">
        <v>0</v>
      </c>
      <c r="Q839" s="232"/>
      <c r="R839" s="345">
        <v>39780</v>
      </c>
      <c r="S839" s="345">
        <v>8370</v>
      </c>
      <c r="T839" s="345">
        <v>48150</v>
      </c>
    </row>
    <row r="840" spans="1:20">
      <c r="A840" s="351">
        <v>99109</v>
      </c>
      <c r="B840" s="344" t="s">
        <v>2807</v>
      </c>
      <c r="C840" s="235">
        <v>1.169E-4</v>
      </c>
      <c r="D840" s="235">
        <v>1.194E-4</v>
      </c>
      <c r="E840" s="345">
        <v>319245</v>
      </c>
      <c r="F840" s="232"/>
      <c r="G840" s="345">
        <v>54663</v>
      </c>
      <c r="H840" s="345">
        <v>7787</v>
      </c>
      <c r="I840" s="345">
        <v>52032</v>
      </c>
      <c r="J840" s="345">
        <v>1517</v>
      </c>
      <c r="K840" s="345">
        <v>115999</v>
      </c>
      <c r="L840" s="232"/>
      <c r="M840" s="345">
        <v>0</v>
      </c>
      <c r="N840" s="345">
        <v>0</v>
      </c>
      <c r="O840" s="345">
        <v>7073</v>
      </c>
      <c r="P840" s="345">
        <v>7073</v>
      </c>
      <c r="Q840" s="232"/>
      <c r="R840" s="345">
        <v>142210</v>
      </c>
      <c r="S840" s="345">
        <v>-2269</v>
      </c>
      <c r="T840" s="345">
        <v>139941</v>
      </c>
    </row>
    <row r="841" spans="1:20">
      <c r="A841" s="351">
        <v>99110</v>
      </c>
      <c r="B841" s="344" t="s">
        <v>1539</v>
      </c>
      <c r="C841" s="235">
        <v>1.437E-4</v>
      </c>
      <c r="D841" s="235">
        <v>1.75E-4</v>
      </c>
      <c r="E841" s="345">
        <v>392433</v>
      </c>
      <c r="F841" s="232"/>
      <c r="G841" s="345">
        <v>67195</v>
      </c>
      <c r="H841" s="345">
        <v>9572</v>
      </c>
      <c r="I841" s="345">
        <v>63960</v>
      </c>
      <c r="J841" s="345">
        <v>56906</v>
      </c>
      <c r="K841" s="345">
        <v>197633</v>
      </c>
      <c r="L841" s="232"/>
      <c r="M841" s="345">
        <v>0</v>
      </c>
      <c r="N841" s="345">
        <v>0</v>
      </c>
      <c r="O841" s="345">
        <v>0</v>
      </c>
      <c r="P841" s="345">
        <v>0</v>
      </c>
      <c r="Q841" s="232"/>
      <c r="R841" s="345">
        <v>174813</v>
      </c>
      <c r="S841" s="345">
        <v>33579</v>
      </c>
      <c r="T841" s="345">
        <v>208392</v>
      </c>
    </row>
    <row r="842" spans="1:20">
      <c r="A842" s="351">
        <v>99111</v>
      </c>
      <c r="B842" s="344" t="s">
        <v>1540</v>
      </c>
      <c r="C842" s="235">
        <v>1.3064999999999999E-3</v>
      </c>
      <c r="D842" s="235">
        <v>1.3067E-3</v>
      </c>
      <c r="E842" s="345">
        <v>3567950</v>
      </c>
      <c r="F842" s="232"/>
      <c r="G842" s="345">
        <v>610923</v>
      </c>
      <c r="H842" s="345">
        <v>87027</v>
      </c>
      <c r="I842" s="345">
        <v>581517</v>
      </c>
      <c r="J842" s="345">
        <v>0</v>
      </c>
      <c r="K842" s="345">
        <v>1279467</v>
      </c>
      <c r="L842" s="232"/>
      <c r="M842" s="345">
        <v>0</v>
      </c>
      <c r="N842" s="345">
        <v>0</v>
      </c>
      <c r="O842" s="345">
        <v>65270</v>
      </c>
      <c r="P842" s="345">
        <v>65270</v>
      </c>
      <c r="Q842" s="232"/>
      <c r="R842" s="345">
        <v>1589374</v>
      </c>
      <c r="S842" s="345">
        <v>-52514</v>
      </c>
      <c r="T842" s="345">
        <v>1536860</v>
      </c>
    </row>
    <row r="843" spans="1:20">
      <c r="A843" s="351">
        <v>99201</v>
      </c>
      <c r="B843" s="344" t="s">
        <v>1541</v>
      </c>
      <c r="C843" s="235">
        <v>3.5284299999999998E-2</v>
      </c>
      <c r="D843" s="235">
        <v>3.4217999999999998E-2</v>
      </c>
      <c r="E843" s="345">
        <v>96358671</v>
      </c>
      <c r="F843" s="232"/>
      <c r="G843" s="345">
        <v>16499045</v>
      </c>
      <c r="H843" s="345">
        <v>2350323</v>
      </c>
      <c r="I843" s="345">
        <v>15704866</v>
      </c>
      <c r="J843" s="345">
        <v>1453972</v>
      </c>
      <c r="K843" s="345">
        <v>36008206</v>
      </c>
      <c r="L843" s="232"/>
      <c r="M843" s="345">
        <v>0</v>
      </c>
      <c r="N843" s="345">
        <v>0</v>
      </c>
      <c r="O843" s="345">
        <v>0</v>
      </c>
      <c r="P843" s="345">
        <v>0</v>
      </c>
      <c r="Q843" s="232"/>
      <c r="R843" s="345">
        <v>42923810</v>
      </c>
      <c r="S843" s="345">
        <v>748620</v>
      </c>
      <c r="T843" s="345">
        <v>43672430</v>
      </c>
    </row>
    <row r="844" spans="1:20">
      <c r="A844" s="351">
        <v>99202</v>
      </c>
      <c r="B844" s="344" t="s">
        <v>1542</v>
      </c>
      <c r="C844" s="235">
        <v>2.8322E-3</v>
      </c>
      <c r="D844" s="235">
        <v>2.7011000000000001E-3</v>
      </c>
      <c r="E844" s="345">
        <v>7734517</v>
      </c>
      <c r="F844" s="232"/>
      <c r="G844" s="345">
        <v>1324345</v>
      </c>
      <c r="H844" s="345">
        <v>188655</v>
      </c>
      <c r="I844" s="345">
        <v>1260598</v>
      </c>
      <c r="J844" s="345">
        <v>0</v>
      </c>
      <c r="K844" s="345">
        <v>2773598</v>
      </c>
      <c r="L844" s="232"/>
      <c r="M844" s="345">
        <v>0</v>
      </c>
      <c r="N844" s="345">
        <v>0</v>
      </c>
      <c r="O844" s="345">
        <v>63886</v>
      </c>
      <c r="P844" s="345">
        <v>63886</v>
      </c>
      <c r="Q844" s="232"/>
      <c r="R844" s="345">
        <v>3445408</v>
      </c>
      <c r="S844" s="345">
        <v>-61035</v>
      </c>
      <c r="T844" s="345">
        <v>3384373</v>
      </c>
    </row>
    <row r="845" spans="1:20">
      <c r="A845" s="351">
        <v>99203</v>
      </c>
      <c r="B845" s="344" t="s">
        <v>1543</v>
      </c>
      <c r="C845" s="235">
        <v>3.5179999999999999E-4</v>
      </c>
      <c r="D845" s="235">
        <v>2.9760000000000002E-4</v>
      </c>
      <c r="E845" s="345">
        <v>960738</v>
      </c>
      <c r="F845" s="232"/>
      <c r="G845" s="345">
        <v>164503</v>
      </c>
      <c r="H845" s="345">
        <v>23433</v>
      </c>
      <c r="I845" s="345">
        <v>156584</v>
      </c>
      <c r="J845" s="345">
        <v>38620</v>
      </c>
      <c r="K845" s="345">
        <v>383140</v>
      </c>
      <c r="L845" s="232"/>
      <c r="M845" s="345">
        <v>0</v>
      </c>
      <c r="N845" s="345">
        <v>0</v>
      </c>
      <c r="O845" s="345">
        <v>18355</v>
      </c>
      <c r="P845" s="345">
        <v>18355</v>
      </c>
      <c r="Q845" s="232"/>
      <c r="R845" s="345">
        <v>427969</v>
      </c>
      <c r="S845" s="345">
        <v>5343</v>
      </c>
      <c r="T845" s="345">
        <v>433312</v>
      </c>
    </row>
    <row r="846" spans="1:20">
      <c r="A846" s="351">
        <v>99204</v>
      </c>
      <c r="B846" s="344" t="s">
        <v>1544</v>
      </c>
      <c r="C846" s="235">
        <v>9.4149999999999995E-4</v>
      </c>
      <c r="D846" s="235">
        <v>9.2520000000000005E-4</v>
      </c>
      <c r="E846" s="345">
        <v>2571163</v>
      </c>
      <c r="F846" s="232"/>
      <c r="G846" s="345">
        <v>440248</v>
      </c>
      <c r="H846" s="345">
        <v>62714</v>
      </c>
      <c r="I846" s="345">
        <v>419057</v>
      </c>
      <c r="J846" s="345">
        <v>82702</v>
      </c>
      <c r="K846" s="345">
        <v>1004721</v>
      </c>
      <c r="L846" s="232"/>
      <c r="M846" s="345">
        <v>0</v>
      </c>
      <c r="N846" s="345">
        <v>0</v>
      </c>
      <c r="O846" s="345">
        <v>0</v>
      </c>
      <c r="P846" s="345">
        <v>0</v>
      </c>
      <c r="Q846" s="232"/>
      <c r="R846" s="345">
        <v>1145347</v>
      </c>
      <c r="S846" s="345">
        <v>47211</v>
      </c>
      <c r="T846" s="345">
        <v>1192558</v>
      </c>
    </row>
    <row r="847" spans="1:20">
      <c r="A847" s="351">
        <v>99206</v>
      </c>
      <c r="B847" s="344" t="s">
        <v>1545</v>
      </c>
      <c r="C847" s="235">
        <v>1.6375999999999999E-3</v>
      </c>
      <c r="D847" s="235">
        <v>1.7377E-3</v>
      </c>
      <c r="E847" s="345">
        <v>4472158</v>
      </c>
      <c r="F847" s="232"/>
      <c r="G847" s="345">
        <v>765747</v>
      </c>
      <c r="H847" s="345">
        <v>109083</v>
      </c>
      <c r="I847" s="345">
        <v>728888</v>
      </c>
      <c r="J847" s="345">
        <v>534608</v>
      </c>
      <c r="K847" s="345">
        <v>2138326</v>
      </c>
      <c r="L847" s="232"/>
      <c r="M847" s="345">
        <v>0</v>
      </c>
      <c r="N847" s="345">
        <v>0</v>
      </c>
      <c r="O847" s="345">
        <v>100910</v>
      </c>
      <c r="P847" s="345">
        <v>100910</v>
      </c>
      <c r="Q847" s="232"/>
      <c r="R847" s="345">
        <v>1992162</v>
      </c>
      <c r="S847" s="345">
        <v>280512</v>
      </c>
      <c r="T847" s="345">
        <v>2272674</v>
      </c>
    </row>
    <row r="848" spans="1:20">
      <c r="A848" s="351">
        <v>99207</v>
      </c>
      <c r="B848" s="344" t="s">
        <v>1546</v>
      </c>
      <c r="C848" s="235">
        <v>1.206E-4</v>
      </c>
      <c r="D848" s="235">
        <v>1.3990000000000001E-4</v>
      </c>
      <c r="E848" s="345">
        <v>329349</v>
      </c>
      <c r="F848" s="232"/>
      <c r="G848" s="345">
        <v>56393</v>
      </c>
      <c r="H848" s="345">
        <v>8034</v>
      </c>
      <c r="I848" s="345">
        <v>53678</v>
      </c>
      <c r="J848" s="345">
        <v>218751</v>
      </c>
      <c r="K848" s="345">
        <v>336856</v>
      </c>
      <c r="L848" s="232"/>
      <c r="M848" s="345">
        <v>0</v>
      </c>
      <c r="N848" s="345">
        <v>0</v>
      </c>
      <c r="O848" s="345">
        <v>0</v>
      </c>
      <c r="P848" s="345">
        <v>0</v>
      </c>
      <c r="Q848" s="232"/>
      <c r="R848" s="345">
        <v>146711</v>
      </c>
      <c r="S848" s="345">
        <v>89133</v>
      </c>
      <c r="T848" s="345">
        <v>235844</v>
      </c>
    </row>
    <row r="849" spans="1:20">
      <c r="A849" s="351">
        <v>99208</v>
      </c>
      <c r="B849" s="344" t="s">
        <v>1547</v>
      </c>
      <c r="C849" s="235">
        <v>3.0939999999999999E-4</v>
      </c>
      <c r="D849" s="235">
        <v>2.3560000000000001E-4</v>
      </c>
      <c r="E849" s="345">
        <v>844947</v>
      </c>
      <c r="F849" s="232"/>
      <c r="G849" s="345">
        <v>144676</v>
      </c>
      <c r="H849" s="345">
        <v>20609</v>
      </c>
      <c r="I849" s="345">
        <v>137712</v>
      </c>
      <c r="J849" s="345">
        <v>67706</v>
      </c>
      <c r="K849" s="345">
        <v>370703</v>
      </c>
      <c r="L849" s="232"/>
      <c r="M849" s="345">
        <v>0</v>
      </c>
      <c r="N849" s="345">
        <v>0</v>
      </c>
      <c r="O849" s="345">
        <v>7190</v>
      </c>
      <c r="P849" s="345">
        <v>7190</v>
      </c>
      <c r="Q849" s="232"/>
      <c r="R849" s="345">
        <v>376389</v>
      </c>
      <c r="S849" s="345">
        <v>9175</v>
      </c>
      <c r="T849" s="345">
        <v>385564</v>
      </c>
    </row>
    <row r="850" spans="1:20">
      <c r="A850" s="351">
        <v>99210</v>
      </c>
      <c r="B850" s="344" t="s">
        <v>3705</v>
      </c>
      <c r="C850" s="235">
        <v>1.7913E-3</v>
      </c>
      <c r="D850" s="235">
        <v>1.6613000000000001E-3</v>
      </c>
      <c r="E850" s="345">
        <v>4891901</v>
      </c>
      <c r="F850" s="232"/>
      <c r="G850" s="345">
        <v>837617</v>
      </c>
      <c r="H850" s="345">
        <v>119320</v>
      </c>
      <c r="I850" s="345">
        <v>797299</v>
      </c>
      <c r="J850" s="345">
        <v>271936</v>
      </c>
      <c r="K850" s="345">
        <v>2026172</v>
      </c>
      <c r="L850" s="232"/>
      <c r="M850" s="345">
        <v>0</v>
      </c>
      <c r="N850" s="345">
        <v>0</v>
      </c>
      <c r="O850" s="345">
        <v>0</v>
      </c>
      <c r="P850" s="345">
        <v>0</v>
      </c>
      <c r="Q850" s="232"/>
      <c r="R850" s="345">
        <v>2179140</v>
      </c>
      <c r="S850" s="345">
        <v>98691</v>
      </c>
      <c r="T850" s="345">
        <v>2277831</v>
      </c>
    </row>
    <row r="851" spans="1:20">
      <c r="A851" s="351">
        <v>99211</v>
      </c>
      <c r="B851" s="344" t="s">
        <v>1549</v>
      </c>
      <c r="C851" s="235">
        <v>3.8786099999999997E-2</v>
      </c>
      <c r="D851" s="235">
        <v>3.8652899999999997E-2</v>
      </c>
      <c r="E851" s="345">
        <v>105921814</v>
      </c>
      <c r="F851" s="232"/>
      <c r="G851" s="345">
        <v>18136497</v>
      </c>
      <c r="H851" s="345">
        <v>2583581</v>
      </c>
      <c r="I851" s="345">
        <v>17263499</v>
      </c>
      <c r="J851" s="345">
        <v>487522</v>
      </c>
      <c r="K851" s="345">
        <v>38471099</v>
      </c>
      <c r="L851" s="232"/>
      <c r="M851" s="345">
        <v>0</v>
      </c>
      <c r="N851" s="345">
        <v>0</v>
      </c>
      <c r="O851" s="345">
        <v>1274165</v>
      </c>
      <c r="P851" s="345">
        <v>1274165</v>
      </c>
      <c r="Q851" s="232"/>
      <c r="R851" s="345">
        <v>47183795</v>
      </c>
      <c r="S851" s="345">
        <v>-513660</v>
      </c>
      <c r="T851" s="345">
        <v>46670135</v>
      </c>
    </row>
    <row r="852" spans="1:20">
      <c r="A852" s="351">
        <v>99212</v>
      </c>
      <c r="B852" s="344" t="s">
        <v>3706</v>
      </c>
      <c r="C852" s="235">
        <v>6.7999999999999999E-5</v>
      </c>
      <c r="D852" s="235">
        <v>7.2200000000000007E-5</v>
      </c>
      <c r="E852" s="345">
        <v>185703</v>
      </c>
      <c r="F852" s="232"/>
      <c r="G852" s="345">
        <v>31797</v>
      </c>
      <c r="H852" s="345">
        <v>4530</v>
      </c>
      <c r="I852" s="345">
        <v>30266</v>
      </c>
      <c r="J852" s="345">
        <v>120</v>
      </c>
      <c r="K852" s="345">
        <v>66713</v>
      </c>
      <c r="L852" s="232"/>
      <c r="M852" s="345">
        <v>0</v>
      </c>
      <c r="N852" s="345">
        <v>0</v>
      </c>
      <c r="O852" s="345">
        <v>18681</v>
      </c>
      <c r="P852" s="345">
        <v>18681</v>
      </c>
      <c r="Q852" s="232"/>
      <c r="R852" s="345">
        <v>82723</v>
      </c>
      <c r="S852" s="345">
        <v>-14987</v>
      </c>
      <c r="T852" s="345">
        <v>67736</v>
      </c>
    </row>
    <row r="853" spans="1:20">
      <c r="A853" s="351">
        <v>99213</v>
      </c>
      <c r="B853" s="344" t="s">
        <v>1551</v>
      </c>
      <c r="C853" s="235">
        <v>6.7770000000000005E-4</v>
      </c>
      <c r="D853" s="235">
        <v>7.6519999999999995E-4</v>
      </c>
      <c r="E853" s="345">
        <v>1850746</v>
      </c>
      <c r="F853" s="232"/>
      <c r="G853" s="345">
        <v>316895</v>
      </c>
      <c r="H853" s="345">
        <v>45142</v>
      </c>
      <c r="I853" s="345">
        <v>301641</v>
      </c>
      <c r="J853" s="345">
        <v>10970</v>
      </c>
      <c r="K853" s="345">
        <v>674648</v>
      </c>
      <c r="L853" s="232"/>
      <c r="M853" s="345">
        <v>0</v>
      </c>
      <c r="N853" s="345">
        <v>0</v>
      </c>
      <c r="O853" s="345">
        <v>84903</v>
      </c>
      <c r="P853" s="345">
        <v>84903</v>
      </c>
      <c r="Q853" s="232"/>
      <c r="R853" s="345">
        <v>824431</v>
      </c>
      <c r="S853" s="345">
        <v>-22471</v>
      </c>
      <c r="T853" s="345">
        <v>801960</v>
      </c>
    </row>
    <row r="854" spans="1:20">
      <c r="A854" s="351">
        <v>99218</v>
      </c>
      <c r="B854" s="344" t="s">
        <v>1552</v>
      </c>
      <c r="C854" s="235">
        <v>3.4424E-3</v>
      </c>
      <c r="D854" s="235">
        <v>3.3276999999999998E-3</v>
      </c>
      <c r="E854" s="345">
        <v>9400926</v>
      </c>
      <c r="F854" s="232"/>
      <c r="G854" s="345">
        <v>1609677</v>
      </c>
      <c r="H854" s="345">
        <v>229302</v>
      </c>
      <c r="I854" s="345">
        <v>1532195</v>
      </c>
      <c r="J854" s="345">
        <v>328185</v>
      </c>
      <c r="K854" s="345">
        <v>3699359</v>
      </c>
      <c r="L854" s="232"/>
      <c r="M854" s="345">
        <v>0</v>
      </c>
      <c r="N854" s="345">
        <v>0</v>
      </c>
      <c r="O854" s="345">
        <v>0</v>
      </c>
      <c r="P854" s="345">
        <v>0</v>
      </c>
      <c r="Q854" s="232"/>
      <c r="R854" s="345">
        <v>4187724</v>
      </c>
      <c r="S854" s="345">
        <v>140332</v>
      </c>
      <c r="T854" s="345">
        <v>4328056</v>
      </c>
    </row>
    <row r="855" spans="1:20">
      <c r="A855" s="351">
        <v>99221</v>
      </c>
      <c r="B855" s="344" t="s">
        <v>1553</v>
      </c>
      <c r="C855" s="235">
        <v>1.26739E-2</v>
      </c>
      <c r="D855" s="235">
        <v>1.26885E-2</v>
      </c>
      <c r="E855" s="345">
        <v>34611432</v>
      </c>
      <c r="F855" s="232"/>
      <c r="G855" s="345">
        <v>5926354</v>
      </c>
      <c r="H855" s="345">
        <v>844221</v>
      </c>
      <c r="I855" s="345">
        <v>5641090</v>
      </c>
      <c r="J855" s="345">
        <v>0</v>
      </c>
      <c r="K855" s="345">
        <v>12411665</v>
      </c>
      <c r="L855" s="232"/>
      <c r="M855" s="345">
        <v>0</v>
      </c>
      <c r="N855" s="345">
        <v>0</v>
      </c>
      <c r="O855" s="345">
        <v>426571</v>
      </c>
      <c r="P855" s="345">
        <v>426571</v>
      </c>
      <c r="Q855" s="232"/>
      <c r="R855" s="345">
        <v>15417964</v>
      </c>
      <c r="S855" s="345">
        <v>-272889</v>
      </c>
      <c r="T855" s="345">
        <v>15145075</v>
      </c>
    </row>
    <row r="856" spans="1:20">
      <c r="A856" s="351">
        <v>99222</v>
      </c>
      <c r="B856" s="344" t="s">
        <v>1554</v>
      </c>
      <c r="C856" s="235">
        <v>3.5599999999999998E-5</v>
      </c>
      <c r="D856" s="235">
        <v>3.7200000000000003E-5</v>
      </c>
      <c r="E856" s="345">
        <v>97221</v>
      </c>
      <c r="F856" s="232"/>
      <c r="G856" s="345">
        <v>16647</v>
      </c>
      <c r="H856" s="345">
        <v>2371</v>
      </c>
      <c r="I856" s="345">
        <v>15845</v>
      </c>
      <c r="J856" s="345">
        <v>0</v>
      </c>
      <c r="K856" s="345">
        <v>34863</v>
      </c>
      <c r="L856" s="232"/>
      <c r="M856" s="345">
        <v>0</v>
      </c>
      <c r="N856" s="345">
        <v>0</v>
      </c>
      <c r="O856" s="345">
        <v>5943</v>
      </c>
      <c r="P856" s="345">
        <v>5943</v>
      </c>
      <c r="Q856" s="232"/>
      <c r="R856" s="345">
        <v>43308</v>
      </c>
      <c r="S856" s="345">
        <v>-1198</v>
      </c>
      <c r="T856" s="345">
        <v>42110</v>
      </c>
    </row>
    <row r="857" spans="1:20">
      <c r="A857" s="351">
        <v>99231</v>
      </c>
      <c r="B857" s="344" t="s">
        <v>1555</v>
      </c>
      <c r="C857" s="235">
        <v>3.5159999999999998E-4</v>
      </c>
      <c r="D857" s="235">
        <v>3.6329999999999999E-4</v>
      </c>
      <c r="E857" s="345">
        <v>960192</v>
      </c>
      <c r="F857" s="232"/>
      <c r="G857" s="345">
        <v>164409</v>
      </c>
      <c r="H857" s="345">
        <v>23420</v>
      </c>
      <c r="I857" s="345">
        <v>156495</v>
      </c>
      <c r="J857" s="345">
        <v>0</v>
      </c>
      <c r="K857" s="345">
        <v>344324</v>
      </c>
      <c r="L857" s="232"/>
      <c r="M857" s="345">
        <v>0</v>
      </c>
      <c r="N857" s="345">
        <v>0</v>
      </c>
      <c r="O857" s="345">
        <v>26580</v>
      </c>
      <c r="P857" s="345">
        <v>26580</v>
      </c>
      <c r="Q857" s="232"/>
      <c r="R857" s="345">
        <v>427726</v>
      </c>
      <c r="S857" s="345">
        <v>-12529</v>
      </c>
      <c r="T857" s="345">
        <v>415197</v>
      </c>
    </row>
    <row r="858" spans="1:20">
      <c r="A858" s="351">
        <v>99241</v>
      </c>
      <c r="B858" s="344" t="s">
        <v>1556</v>
      </c>
      <c r="C858" s="235">
        <v>5.6070000000000002E-4</v>
      </c>
      <c r="D858" s="235">
        <v>5.488E-4</v>
      </c>
      <c r="E858" s="345">
        <v>1531228</v>
      </c>
      <c r="F858" s="232"/>
      <c r="G858" s="345">
        <v>262185</v>
      </c>
      <c r="H858" s="345">
        <v>37349</v>
      </c>
      <c r="I858" s="345">
        <v>249565</v>
      </c>
      <c r="J858" s="345">
        <v>0</v>
      </c>
      <c r="K858" s="345">
        <v>549099</v>
      </c>
      <c r="L858" s="232"/>
      <c r="M858" s="345">
        <v>0</v>
      </c>
      <c r="N858" s="345">
        <v>0</v>
      </c>
      <c r="O858" s="345">
        <v>37966</v>
      </c>
      <c r="P858" s="345">
        <v>37966</v>
      </c>
      <c r="Q858" s="232"/>
      <c r="R858" s="345">
        <v>682099</v>
      </c>
      <c r="S858" s="345">
        <v>-32859</v>
      </c>
      <c r="T858" s="345">
        <v>649240</v>
      </c>
    </row>
    <row r="859" spans="1:20">
      <c r="A859" s="351">
        <v>99251</v>
      </c>
      <c r="B859" s="344" t="s">
        <v>1557</v>
      </c>
      <c r="C859" s="235">
        <v>1.6358E-3</v>
      </c>
      <c r="D859" s="235">
        <v>1.5935000000000001E-3</v>
      </c>
      <c r="E859" s="345">
        <v>4467242</v>
      </c>
      <c r="F859" s="232"/>
      <c r="G859" s="345">
        <v>764905</v>
      </c>
      <c r="H859" s="345">
        <v>108962</v>
      </c>
      <c r="I859" s="345">
        <v>728086</v>
      </c>
      <c r="J859" s="345">
        <v>9898</v>
      </c>
      <c r="K859" s="345">
        <v>1611851</v>
      </c>
      <c r="L859" s="232"/>
      <c r="M859" s="345">
        <v>0</v>
      </c>
      <c r="N859" s="345">
        <v>0</v>
      </c>
      <c r="O859" s="345">
        <v>23833</v>
      </c>
      <c r="P859" s="345">
        <v>23833</v>
      </c>
      <c r="Q859" s="232"/>
      <c r="R859" s="345">
        <v>1989972</v>
      </c>
      <c r="S859" s="345">
        <v>-6485</v>
      </c>
      <c r="T859" s="345">
        <v>1983487</v>
      </c>
    </row>
    <row r="860" spans="1:20">
      <c r="A860" s="351">
        <v>99252</v>
      </c>
      <c r="B860" s="344" t="s">
        <v>3707</v>
      </c>
      <c r="C860" s="235">
        <v>6.6200000000000005E-4</v>
      </c>
      <c r="D860" s="235">
        <v>6.7239999999999997E-4</v>
      </c>
      <c r="E860" s="345">
        <v>1807870</v>
      </c>
      <c r="F860" s="232"/>
      <c r="G860" s="345">
        <v>309553</v>
      </c>
      <c r="H860" s="345">
        <v>44097</v>
      </c>
      <c r="I860" s="345">
        <v>294653</v>
      </c>
      <c r="J860" s="345">
        <v>0</v>
      </c>
      <c r="K860" s="345">
        <v>648303</v>
      </c>
      <c r="L860" s="232"/>
      <c r="M860" s="345">
        <v>0</v>
      </c>
      <c r="N860" s="345">
        <v>0</v>
      </c>
      <c r="O860" s="345">
        <v>156511</v>
      </c>
      <c r="P860" s="345">
        <v>156511</v>
      </c>
      <c r="Q860" s="232"/>
      <c r="R860" s="345">
        <v>805332</v>
      </c>
      <c r="S860" s="345">
        <v>-97206</v>
      </c>
      <c r="T860" s="345">
        <v>708126</v>
      </c>
    </row>
    <row r="861" spans="1:20">
      <c r="A861" s="351">
        <v>99261</v>
      </c>
      <c r="B861" s="344" t="s">
        <v>1559</v>
      </c>
      <c r="C861" s="235">
        <v>2.2407E-3</v>
      </c>
      <c r="D861" s="235">
        <v>2.0975999999999998E-3</v>
      </c>
      <c r="E861" s="345">
        <v>6119177</v>
      </c>
      <c r="F861" s="232"/>
      <c r="G861" s="345">
        <v>1047758</v>
      </c>
      <c r="H861" s="345">
        <v>149255</v>
      </c>
      <c r="I861" s="345">
        <v>997324</v>
      </c>
      <c r="J861" s="345">
        <v>1882</v>
      </c>
      <c r="K861" s="345">
        <v>2196219</v>
      </c>
      <c r="L861" s="232"/>
      <c r="M861" s="345">
        <v>0</v>
      </c>
      <c r="N861" s="345">
        <v>0</v>
      </c>
      <c r="O861" s="345">
        <v>52149</v>
      </c>
      <c r="P861" s="345">
        <v>52149</v>
      </c>
      <c r="Q861" s="232"/>
      <c r="R861" s="345">
        <v>2725841</v>
      </c>
      <c r="S861" s="345">
        <v>-49397</v>
      </c>
      <c r="T861" s="345">
        <v>2676444</v>
      </c>
    </row>
    <row r="862" spans="1:20">
      <c r="A862" s="351">
        <v>99271</v>
      </c>
      <c r="B862" s="344" t="s">
        <v>1560</v>
      </c>
      <c r="C862" s="235">
        <v>4.2773000000000004E-3</v>
      </c>
      <c r="D862" s="235">
        <v>4.2411999999999997E-3</v>
      </c>
      <c r="E862" s="345">
        <v>11680973</v>
      </c>
      <c r="F862" s="232"/>
      <c r="G862" s="345">
        <v>2000078</v>
      </c>
      <c r="H862" s="345">
        <v>284915</v>
      </c>
      <c r="I862" s="345">
        <v>1903805</v>
      </c>
      <c r="J862" s="345">
        <v>55819</v>
      </c>
      <c r="K862" s="345">
        <v>4244617</v>
      </c>
      <c r="L862" s="232"/>
      <c r="M862" s="345">
        <v>0</v>
      </c>
      <c r="N862" s="345">
        <v>0</v>
      </c>
      <c r="O862" s="345">
        <v>119333</v>
      </c>
      <c r="P862" s="345">
        <v>119333</v>
      </c>
      <c r="Q862" s="232"/>
      <c r="R862" s="345">
        <v>5203391</v>
      </c>
      <c r="S862" s="345">
        <v>-45027</v>
      </c>
      <c r="T862" s="345">
        <v>5158364</v>
      </c>
    </row>
    <row r="863" spans="1:20">
      <c r="A863" s="351">
        <v>99281</v>
      </c>
      <c r="B863" s="344" t="s">
        <v>1561</v>
      </c>
      <c r="C863" s="235">
        <v>2.4237E-3</v>
      </c>
      <c r="D863" s="235">
        <v>2.3770000000000002E-3</v>
      </c>
      <c r="E863" s="345">
        <v>6618936</v>
      </c>
      <c r="F863" s="232"/>
      <c r="G863" s="345">
        <v>1133329</v>
      </c>
      <c r="H863" s="345">
        <v>161445</v>
      </c>
      <c r="I863" s="345">
        <v>1078777</v>
      </c>
      <c r="J863" s="345">
        <v>14286</v>
      </c>
      <c r="K863" s="345">
        <v>2387837</v>
      </c>
      <c r="L863" s="232"/>
      <c r="M863" s="345">
        <v>0</v>
      </c>
      <c r="N863" s="345">
        <v>0</v>
      </c>
      <c r="O863" s="345">
        <v>42367</v>
      </c>
      <c r="P863" s="345">
        <v>42367</v>
      </c>
      <c r="Q863" s="232"/>
      <c r="R863" s="345">
        <v>2948463</v>
      </c>
      <c r="S863" s="345">
        <v>-37423</v>
      </c>
      <c r="T863" s="345">
        <v>2911040</v>
      </c>
    </row>
    <row r="864" spans="1:20">
      <c r="A864" s="351">
        <v>99291</v>
      </c>
      <c r="B864" s="344" t="s">
        <v>1562</v>
      </c>
      <c r="C864" s="235">
        <v>8.4909999999999998E-4</v>
      </c>
      <c r="D864" s="235">
        <v>8.2370000000000002E-4</v>
      </c>
      <c r="E864" s="345">
        <v>2318826</v>
      </c>
      <c r="F864" s="232"/>
      <c r="G864" s="345">
        <v>397042</v>
      </c>
      <c r="H864" s="345">
        <v>56560</v>
      </c>
      <c r="I864" s="345">
        <v>377930</v>
      </c>
      <c r="J864" s="345">
        <v>9422</v>
      </c>
      <c r="K864" s="345">
        <v>840954</v>
      </c>
      <c r="L864" s="232"/>
      <c r="M864" s="345">
        <v>0</v>
      </c>
      <c r="N864" s="345">
        <v>0</v>
      </c>
      <c r="O864" s="345">
        <v>75555</v>
      </c>
      <c r="P864" s="345">
        <v>75555</v>
      </c>
      <c r="Q864" s="232"/>
      <c r="R864" s="345">
        <v>1032941</v>
      </c>
      <c r="S864" s="345">
        <v>-46960</v>
      </c>
      <c r="T864" s="345">
        <v>985981</v>
      </c>
    </row>
    <row r="865" spans="1:20">
      <c r="A865" s="351">
        <v>99301</v>
      </c>
      <c r="B865" s="344" t="s">
        <v>1563</v>
      </c>
      <c r="C865" s="235">
        <v>1.6092999999999999E-3</v>
      </c>
      <c r="D865" s="235">
        <v>1.7239E-3</v>
      </c>
      <c r="E865" s="345">
        <v>4394873</v>
      </c>
      <c r="F865" s="232"/>
      <c r="G865" s="345">
        <v>752514</v>
      </c>
      <c r="H865" s="345">
        <v>107197</v>
      </c>
      <c r="I865" s="345">
        <v>716291</v>
      </c>
      <c r="J865" s="345">
        <v>0</v>
      </c>
      <c r="K865" s="345">
        <v>1576002</v>
      </c>
      <c r="L865" s="232"/>
      <c r="M865" s="345">
        <v>0</v>
      </c>
      <c r="N865" s="345">
        <v>0</v>
      </c>
      <c r="O865" s="345">
        <v>179811</v>
      </c>
      <c r="P865" s="345">
        <v>179811</v>
      </c>
      <c r="Q865" s="232"/>
      <c r="R865" s="345">
        <v>1957734</v>
      </c>
      <c r="S865" s="345">
        <v>-44257</v>
      </c>
      <c r="T865" s="345">
        <v>1913477</v>
      </c>
    </row>
    <row r="866" spans="1:20">
      <c r="A866" s="351">
        <v>99304</v>
      </c>
      <c r="B866" s="344" t="s">
        <v>1564</v>
      </c>
      <c r="C866" s="235">
        <v>7.6000000000000001E-6</v>
      </c>
      <c r="D866" s="235">
        <v>8.4999999999999999E-6</v>
      </c>
      <c r="E866" s="345">
        <v>20755</v>
      </c>
      <c r="F866" s="232"/>
      <c r="G866" s="345">
        <v>3554</v>
      </c>
      <c r="H866" s="345">
        <v>506</v>
      </c>
      <c r="I866" s="345">
        <v>3383</v>
      </c>
      <c r="J866" s="345">
        <v>6440</v>
      </c>
      <c r="K866" s="345">
        <v>13883</v>
      </c>
      <c r="L866" s="232"/>
      <c r="M866" s="345">
        <v>0</v>
      </c>
      <c r="N866" s="345">
        <v>0</v>
      </c>
      <c r="O866" s="345">
        <v>0</v>
      </c>
      <c r="P866" s="345">
        <v>0</v>
      </c>
      <c r="Q866" s="232"/>
      <c r="R866" s="345">
        <v>9245</v>
      </c>
      <c r="S866" s="345">
        <v>2920</v>
      </c>
      <c r="T866" s="345">
        <v>12165</v>
      </c>
    </row>
    <row r="867" spans="1:20">
      <c r="A867" s="351">
        <v>99311</v>
      </c>
      <c r="B867" s="344" t="s">
        <v>1565</v>
      </c>
      <c r="C867" s="235">
        <v>5.9700000000000001E-5</v>
      </c>
      <c r="D867" s="235">
        <v>6.0699999999999998E-5</v>
      </c>
      <c r="E867" s="345">
        <v>163036</v>
      </c>
      <c r="F867" s="232"/>
      <c r="G867" s="345">
        <v>27916</v>
      </c>
      <c r="H867" s="345">
        <v>3977</v>
      </c>
      <c r="I867" s="345">
        <v>26572</v>
      </c>
      <c r="J867" s="345">
        <v>3059</v>
      </c>
      <c r="K867" s="345">
        <v>61524</v>
      </c>
      <c r="L867" s="232"/>
      <c r="M867" s="345">
        <v>0</v>
      </c>
      <c r="N867" s="345">
        <v>0</v>
      </c>
      <c r="O867" s="345">
        <v>6159</v>
      </c>
      <c r="P867" s="345">
        <v>6159</v>
      </c>
      <c r="Q867" s="232"/>
      <c r="R867" s="345">
        <v>72626</v>
      </c>
      <c r="S867" s="345">
        <v>-1670</v>
      </c>
      <c r="T867" s="345">
        <v>70956</v>
      </c>
    </row>
    <row r="868" spans="1:20">
      <c r="A868" s="351">
        <v>99321</v>
      </c>
      <c r="B868" s="344" t="s">
        <v>1566</v>
      </c>
      <c r="C868" s="235">
        <v>8.6399999999999999E-5</v>
      </c>
      <c r="D868" s="235">
        <v>8.7000000000000001E-5</v>
      </c>
      <c r="E868" s="345">
        <v>235952</v>
      </c>
      <c r="F868" s="232"/>
      <c r="G868" s="345">
        <v>40401</v>
      </c>
      <c r="H868" s="345">
        <v>5755</v>
      </c>
      <c r="I868" s="345">
        <v>38456</v>
      </c>
      <c r="J868" s="345">
        <v>90082</v>
      </c>
      <c r="K868" s="345">
        <v>174694</v>
      </c>
      <c r="L868" s="232"/>
      <c r="M868" s="345">
        <v>0</v>
      </c>
      <c r="N868" s="345">
        <v>0</v>
      </c>
      <c r="O868" s="345">
        <v>0</v>
      </c>
      <c r="P868" s="345">
        <v>0</v>
      </c>
      <c r="Q868" s="232"/>
      <c r="R868" s="345">
        <v>105107</v>
      </c>
      <c r="S868" s="345">
        <v>46127</v>
      </c>
      <c r="T868" s="345">
        <v>151234</v>
      </c>
    </row>
    <row r="869" spans="1:20">
      <c r="A869" s="351">
        <v>99401</v>
      </c>
      <c r="B869" s="344" t="s">
        <v>1567</v>
      </c>
      <c r="C869" s="235">
        <v>7.7590000000000005E-4</v>
      </c>
      <c r="D869" s="235">
        <v>8.3949999999999997E-4</v>
      </c>
      <c r="E869" s="345">
        <v>2118922</v>
      </c>
      <c r="F869" s="232"/>
      <c r="G869" s="345">
        <v>362813</v>
      </c>
      <c r="H869" s="345">
        <v>51683</v>
      </c>
      <c r="I869" s="345">
        <v>345349</v>
      </c>
      <c r="J869" s="345">
        <v>3138</v>
      </c>
      <c r="K869" s="345">
        <v>762983</v>
      </c>
      <c r="L869" s="232"/>
      <c r="M869" s="345">
        <v>0</v>
      </c>
      <c r="N869" s="345">
        <v>0</v>
      </c>
      <c r="O869" s="345">
        <v>81149</v>
      </c>
      <c r="P869" s="345">
        <v>81149</v>
      </c>
      <c r="Q869" s="232"/>
      <c r="R869" s="345">
        <v>943892</v>
      </c>
      <c r="S869" s="345">
        <v>-21502</v>
      </c>
      <c r="T869" s="345">
        <v>922390</v>
      </c>
    </row>
    <row r="870" spans="1:20">
      <c r="A870" s="351">
        <v>99404</v>
      </c>
      <c r="B870" s="344" t="s">
        <v>1568</v>
      </c>
      <c r="C870" s="235">
        <v>8.4999999999999999E-6</v>
      </c>
      <c r="D870" s="235">
        <v>9.0999999999999993E-6</v>
      </c>
      <c r="E870" s="345">
        <v>23213</v>
      </c>
      <c r="F870" s="232"/>
      <c r="G870" s="345">
        <v>3975</v>
      </c>
      <c r="H870" s="345">
        <v>566</v>
      </c>
      <c r="I870" s="345">
        <v>3783</v>
      </c>
      <c r="J870" s="345">
        <v>1858</v>
      </c>
      <c r="K870" s="345">
        <v>10182</v>
      </c>
      <c r="L870" s="232"/>
      <c r="M870" s="345">
        <v>0</v>
      </c>
      <c r="N870" s="345">
        <v>0</v>
      </c>
      <c r="O870" s="345">
        <v>0</v>
      </c>
      <c r="P870" s="345">
        <v>0</v>
      </c>
      <c r="Q870" s="232"/>
      <c r="R870" s="345">
        <v>10340</v>
      </c>
      <c r="S870" s="345">
        <v>768</v>
      </c>
      <c r="T870" s="345">
        <v>11108</v>
      </c>
    </row>
    <row r="871" spans="1:20">
      <c r="A871" s="351">
        <v>99405</v>
      </c>
      <c r="B871" s="344" t="s">
        <v>1569</v>
      </c>
      <c r="C871" s="235">
        <v>5.9799999999999997E-5</v>
      </c>
      <c r="D871" s="235">
        <v>5.2200000000000002E-5</v>
      </c>
      <c r="E871" s="345">
        <v>163309</v>
      </c>
      <c r="F871" s="232"/>
      <c r="G871" s="345">
        <v>27963</v>
      </c>
      <c r="H871" s="345">
        <v>3984</v>
      </c>
      <c r="I871" s="345">
        <v>26617</v>
      </c>
      <c r="J871" s="345">
        <v>21724</v>
      </c>
      <c r="K871" s="345">
        <v>80288</v>
      </c>
      <c r="L871" s="232"/>
      <c r="M871" s="345">
        <v>0</v>
      </c>
      <c r="N871" s="345">
        <v>0</v>
      </c>
      <c r="O871" s="345">
        <v>0</v>
      </c>
      <c r="P871" s="345">
        <v>0</v>
      </c>
      <c r="Q871" s="232"/>
      <c r="R871" s="345">
        <v>72747</v>
      </c>
      <c r="S871" s="345">
        <v>9982</v>
      </c>
      <c r="T871" s="345">
        <v>82729</v>
      </c>
    </row>
    <row r="872" spans="1:20">
      <c r="A872" s="351">
        <v>99411</v>
      </c>
      <c r="B872" s="344" t="s">
        <v>1570</v>
      </c>
      <c r="C872" s="235">
        <v>1.7139999999999999E-4</v>
      </c>
      <c r="D872" s="235">
        <v>1.7239999999999999E-4</v>
      </c>
      <c r="E872" s="345">
        <v>468080</v>
      </c>
      <c r="F872" s="232"/>
      <c r="G872" s="345">
        <v>80147</v>
      </c>
      <c r="H872" s="345">
        <v>11417</v>
      </c>
      <c r="I872" s="345">
        <v>76289</v>
      </c>
      <c r="J872" s="345">
        <v>28947</v>
      </c>
      <c r="K872" s="345">
        <v>196800</v>
      </c>
      <c r="L872" s="232"/>
      <c r="M872" s="345">
        <v>0</v>
      </c>
      <c r="N872" s="345">
        <v>0</v>
      </c>
      <c r="O872" s="345">
        <v>0</v>
      </c>
      <c r="P872" s="345">
        <v>0</v>
      </c>
      <c r="Q872" s="232"/>
      <c r="R872" s="345">
        <v>208510</v>
      </c>
      <c r="S872" s="345">
        <v>16596</v>
      </c>
      <c r="T872" s="345">
        <v>225106</v>
      </c>
    </row>
    <row r="873" spans="1:20">
      <c r="A873" s="351">
        <v>99413</v>
      </c>
      <c r="B873" s="344" t="s">
        <v>1571</v>
      </c>
      <c r="C873" s="235">
        <v>2.0400000000000001E-5</v>
      </c>
      <c r="D873" s="235">
        <v>1.98E-5</v>
      </c>
      <c r="E873" s="345">
        <v>55711</v>
      </c>
      <c r="F873" s="232"/>
      <c r="G873" s="345">
        <v>9539</v>
      </c>
      <c r="H873" s="345">
        <v>1359</v>
      </c>
      <c r="I873" s="345">
        <v>9080</v>
      </c>
      <c r="J873" s="345">
        <v>8664</v>
      </c>
      <c r="K873" s="345">
        <v>28642</v>
      </c>
      <c r="L873" s="232"/>
      <c r="M873" s="345">
        <v>0</v>
      </c>
      <c r="N873" s="345">
        <v>0</v>
      </c>
      <c r="O873" s="345">
        <v>3196</v>
      </c>
      <c r="P873" s="345">
        <v>3196</v>
      </c>
      <c r="Q873" s="232"/>
      <c r="R873" s="345">
        <v>24817</v>
      </c>
      <c r="S873" s="345">
        <v>878</v>
      </c>
      <c r="T873" s="345">
        <v>25695</v>
      </c>
    </row>
    <row r="874" spans="1:20">
      <c r="A874" s="351">
        <v>99421</v>
      </c>
      <c r="B874" s="344" t="s">
        <v>1572</v>
      </c>
      <c r="C874" s="235">
        <v>1.3499999999999999E-5</v>
      </c>
      <c r="D874" s="235">
        <v>1.24E-5</v>
      </c>
      <c r="E874" s="345">
        <v>36867</v>
      </c>
      <c r="F874" s="232"/>
      <c r="G874" s="345">
        <v>6313</v>
      </c>
      <c r="H874" s="345">
        <v>899</v>
      </c>
      <c r="I874" s="345">
        <v>6009</v>
      </c>
      <c r="J874" s="345">
        <v>979</v>
      </c>
      <c r="K874" s="345">
        <v>14200</v>
      </c>
      <c r="L874" s="232"/>
      <c r="M874" s="345">
        <v>0</v>
      </c>
      <c r="N874" s="345">
        <v>0</v>
      </c>
      <c r="O874" s="345">
        <v>1752</v>
      </c>
      <c r="P874" s="345">
        <v>1752</v>
      </c>
      <c r="Q874" s="232"/>
      <c r="R874" s="345">
        <v>16423</v>
      </c>
      <c r="S874" s="345">
        <v>-1499</v>
      </c>
      <c r="T874" s="345">
        <v>14924</v>
      </c>
    </row>
    <row r="875" spans="1:20">
      <c r="A875" s="351">
        <v>99431</v>
      </c>
      <c r="B875" s="344" t="s">
        <v>1573</v>
      </c>
      <c r="C875" s="235">
        <v>1.4800000000000001E-5</v>
      </c>
      <c r="D875" s="235">
        <v>2.1999999999999999E-5</v>
      </c>
      <c r="E875" s="345">
        <v>40418</v>
      </c>
      <c r="F875" s="232"/>
      <c r="G875" s="345">
        <v>6921</v>
      </c>
      <c r="H875" s="345">
        <v>986</v>
      </c>
      <c r="I875" s="345">
        <v>6587</v>
      </c>
      <c r="J875" s="345">
        <v>0</v>
      </c>
      <c r="K875" s="345">
        <v>14494</v>
      </c>
      <c r="L875" s="232"/>
      <c r="M875" s="345">
        <v>0</v>
      </c>
      <c r="N875" s="345">
        <v>0</v>
      </c>
      <c r="O875" s="345">
        <v>8580</v>
      </c>
      <c r="P875" s="345">
        <v>8580</v>
      </c>
      <c r="Q875" s="232"/>
      <c r="R875" s="345">
        <v>18004</v>
      </c>
      <c r="S875" s="345">
        <v>-2925</v>
      </c>
      <c r="T875" s="345">
        <v>15079</v>
      </c>
    </row>
    <row r="876" spans="1:20">
      <c r="A876" s="351">
        <v>99501</v>
      </c>
      <c r="B876" s="344" t="s">
        <v>1574</v>
      </c>
      <c r="C876" s="235">
        <v>1.6478E-3</v>
      </c>
      <c r="D876" s="235">
        <v>1.6559000000000001E-3</v>
      </c>
      <c r="E876" s="345">
        <v>4500013</v>
      </c>
      <c r="F876" s="232"/>
      <c r="G876" s="345">
        <v>770516</v>
      </c>
      <c r="H876" s="345">
        <v>109762</v>
      </c>
      <c r="I876" s="345">
        <v>733428</v>
      </c>
      <c r="J876" s="345">
        <v>58807</v>
      </c>
      <c r="K876" s="345">
        <v>1672513</v>
      </c>
      <c r="L876" s="232"/>
      <c r="M876" s="345">
        <v>0</v>
      </c>
      <c r="N876" s="345">
        <v>0</v>
      </c>
      <c r="O876" s="345">
        <v>10753</v>
      </c>
      <c r="P876" s="345">
        <v>10753</v>
      </c>
      <c r="Q876" s="232"/>
      <c r="R876" s="345">
        <v>2004570</v>
      </c>
      <c r="S876" s="345">
        <v>12254</v>
      </c>
      <c r="T876" s="345">
        <v>2016824</v>
      </c>
    </row>
    <row r="877" spans="1:20">
      <c r="A877" s="351">
        <v>99502</v>
      </c>
      <c r="B877" s="344" t="s">
        <v>1575</v>
      </c>
      <c r="C877" s="235">
        <v>1.4459999999999999E-4</v>
      </c>
      <c r="D877" s="235">
        <v>1.5699999999999999E-4</v>
      </c>
      <c r="E877" s="345">
        <v>394891</v>
      </c>
      <c r="F877" s="232"/>
      <c r="G877" s="345">
        <v>67615</v>
      </c>
      <c r="H877" s="345">
        <v>9632</v>
      </c>
      <c r="I877" s="345">
        <v>64361</v>
      </c>
      <c r="J877" s="345">
        <v>10285</v>
      </c>
      <c r="K877" s="345">
        <v>151893</v>
      </c>
      <c r="L877" s="232"/>
      <c r="M877" s="345">
        <v>0</v>
      </c>
      <c r="N877" s="345">
        <v>0</v>
      </c>
      <c r="O877" s="345">
        <v>12975</v>
      </c>
      <c r="P877" s="345">
        <v>12975</v>
      </c>
      <c r="Q877" s="232"/>
      <c r="R877" s="345">
        <v>175908</v>
      </c>
      <c r="S877" s="345">
        <v>7458</v>
      </c>
      <c r="T877" s="345">
        <v>183366</v>
      </c>
    </row>
    <row r="878" spans="1:20" ht="30">
      <c r="A878" s="351">
        <v>99508</v>
      </c>
      <c r="B878" s="344" t="s">
        <v>1576</v>
      </c>
      <c r="C878" s="235">
        <v>2.0999999999999999E-5</v>
      </c>
      <c r="D878" s="235">
        <v>2.1699999999999999E-5</v>
      </c>
      <c r="E878" s="345">
        <v>57349</v>
      </c>
      <c r="F878" s="232"/>
      <c r="G878" s="345">
        <v>9820</v>
      </c>
      <c r="H878" s="345">
        <v>1399</v>
      </c>
      <c r="I878" s="345">
        <v>9347</v>
      </c>
      <c r="J878" s="345">
        <v>19</v>
      </c>
      <c r="K878" s="345">
        <v>20585</v>
      </c>
      <c r="L878" s="232"/>
      <c r="M878" s="345">
        <v>0</v>
      </c>
      <c r="N878" s="345">
        <v>0</v>
      </c>
      <c r="O878" s="345">
        <v>683</v>
      </c>
      <c r="P878" s="345">
        <v>683</v>
      </c>
      <c r="Q878" s="232"/>
      <c r="R878" s="345">
        <v>25547</v>
      </c>
      <c r="S878" s="345">
        <v>-506</v>
      </c>
      <c r="T878" s="345">
        <v>25041</v>
      </c>
    </row>
    <row r="879" spans="1:20">
      <c r="A879" s="351">
        <v>99509</v>
      </c>
      <c r="B879" s="344" t="s">
        <v>3708</v>
      </c>
      <c r="C879" s="235">
        <v>2.5199999999999999E-5</v>
      </c>
      <c r="D879" s="235">
        <v>2.62E-5</v>
      </c>
      <c r="E879" s="345">
        <v>68819</v>
      </c>
      <c r="F879" s="232"/>
      <c r="G879" s="345">
        <v>11784</v>
      </c>
      <c r="H879" s="345">
        <v>1679</v>
      </c>
      <c r="I879" s="345">
        <v>11216</v>
      </c>
      <c r="J879" s="345">
        <v>0</v>
      </c>
      <c r="K879" s="345">
        <v>24679</v>
      </c>
      <c r="L879" s="232"/>
      <c r="M879" s="345">
        <v>0</v>
      </c>
      <c r="N879" s="345">
        <v>0</v>
      </c>
      <c r="O879" s="345">
        <v>3017</v>
      </c>
      <c r="P879" s="345">
        <v>3017</v>
      </c>
      <c r="Q879" s="232"/>
      <c r="R879" s="345">
        <v>30656</v>
      </c>
      <c r="S879" s="345">
        <v>-1611</v>
      </c>
      <c r="T879" s="345">
        <v>29045</v>
      </c>
    </row>
    <row r="880" spans="1:20">
      <c r="A880" s="351">
        <v>99511</v>
      </c>
      <c r="B880" s="344" t="s">
        <v>1578</v>
      </c>
      <c r="C880" s="235">
        <v>1.3293999999999999E-3</v>
      </c>
      <c r="D880" s="235">
        <v>1.3468E-3</v>
      </c>
      <c r="E880" s="345">
        <v>3630488</v>
      </c>
      <c r="F880" s="232"/>
      <c r="G880" s="345">
        <v>621631</v>
      </c>
      <c r="H880" s="345">
        <v>88553</v>
      </c>
      <c r="I880" s="345">
        <v>591709</v>
      </c>
      <c r="J880" s="345">
        <v>0</v>
      </c>
      <c r="K880" s="345">
        <v>1301893</v>
      </c>
      <c r="L880" s="232"/>
      <c r="M880" s="345">
        <v>0</v>
      </c>
      <c r="N880" s="345">
        <v>0</v>
      </c>
      <c r="O880" s="345">
        <v>147705</v>
      </c>
      <c r="P880" s="345">
        <v>147705</v>
      </c>
      <c r="Q880" s="232"/>
      <c r="R880" s="345">
        <v>1617232</v>
      </c>
      <c r="S880" s="345">
        <v>-57397</v>
      </c>
      <c r="T880" s="345">
        <v>1559835</v>
      </c>
    </row>
    <row r="881" spans="1:20">
      <c r="A881" s="351">
        <v>99521</v>
      </c>
      <c r="B881" s="344" t="s">
        <v>1579</v>
      </c>
      <c r="C881" s="235">
        <v>4.8200000000000001E-4</v>
      </c>
      <c r="D881" s="235">
        <v>4.9669999999999998E-4</v>
      </c>
      <c r="E881" s="345">
        <v>1316304</v>
      </c>
      <c r="F881" s="232"/>
      <c r="G881" s="345">
        <v>225385</v>
      </c>
      <c r="H881" s="345">
        <v>32107</v>
      </c>
      <c r="I881" s="345">
        <v>214536</v>
      </c>
      <c r="J881" s="345">
        <v>16554</v>
      </c>
      <c r="K881" s="345">
        <v>488582</v>
      </c>
      <c r="L881" s="232"/>
      <c r="M881" s="345">
        <v>0</v>
      </c>
      <c r="N881" s="345">
        <v>0</v>
      </c>
      <c r="O881" s="345">
        <v>43035</v>
      </c>
      <c r="P881" s="345">
        <v>43035</v>
      </c>
      <c r="Q881" s="232"/>
      <c r="R881" s="345">
        <v>586359</v>
      </c>
      <c r="S881" s="345">
        <v>-10008</v>
      </c>
      <c r="T881" s="345">
        <v>576351</v>
      </c>
    </row>
    <row r="882" spans="1:20">
      <c r="A882" s="351">
        <v>99527</v>
      </c>
      <c r="B882" s="344" t="s">
        <v>3709</v>
      </c>
      <c r="C882" s="235">
        <v>1.1E-5</v>
      </c>
      <c r="D882" s="235">
        <v>1.15E-5</v>
      </c>
      <c r="E882" s="345">
        <v>30040</v>
      </c>
      <c r="F882" s="232"/>
      <c r="G882" s="345">
        <v>5144</v>
      </c>
      <c r="H882" s="345">
        <v>733</v>
      </c>
      <c r="I882" s="345">
        <v>4896</v>
      </c>
      <c r="J882" s="345">
        <v>1319</v>
      </c>
      <c r="K882" s="345">
        <v>12092</v>
      </c>
      <c r="L882" s="232"/>
      <c r="M882" s="345">
        <v>0</v>
      </c>
      <c r="N882" s="345">
        <v>0</v>
      </c>
      <c r="O882" s="345">
        <v>0</v>
      </c>
      <c r="P882" s="345">
        <v>0</v>
      </c>
      <c r="Q882" s="232"/>
      <c r="R882" s="345">
        <v>13382</v>
      </c>
      <c r="S882" s="345">
        <v>634</v>
      </c>
      <c r="T882" s="345">
        <v>14016</v>
      </c>
    </row>
    <row r="883" spans="1:20">
      <c r="A883" s="351">
        <v>99531</v>
      </c>
      <c r="B883" s="344" t="s">
        <v>1581</v>
      </c>
      <c r="C883" s="235">
        <v>8.6299999999999997E-5</v>
      </c>
      <c r="D883" s="235">
        <v>8.8800000000000004E-5</v>
      </c>
      <c r="E883" s="345">
        <v>235679</v>
      </c>
      <c r="F883" s="232"/>
      <c r="G883" s="345">
        <v>40354</v>
      </c>
      <c r="H883" s="345">
        <v>5749</v>
      </c>
      <c r="I883" s="345">
        <v>38412</v>
      </c>
      <c r="J883" s="345">
        <v>62360</v>
      </c>
      <c r="K883" s="345">
        <v>146875</v>
      </c>
      <c r="L883" s="232"/>
      <c r="M883" s="345">
        <v>0</v>
      </c>
      <c r="N883" s="345">
        <v>0</v>
      </c>
      <c r="O883" s="345">
        <v>0</v>
      </c>
      <c r="P883" s="345">
        <v>0</v>
      </c>
      <c r="Q883" s="232"/>
      <c r="R883" s="345">
        <v>104985</v>
      </c>
      <c r="S883" s="345">
        <v>29697</v>
      </c>
      <c r="T883" s="345">
        <v>134682</v>
      </c>
    </row>
    <row r="884" spans="1:20">
      <c r="A884" s="351">
        <v>99601</v>
      </c>
      <c r="B884" s="344" t="s">
        <v>1582</v>
      </c>
      <c r="C884" s="235">
        <v>5.9021999999999998E-3</v>
      </c>
      <c r="D884" s="235">
        <v>5.9616000000000001E-3</v>
      </c>
      <c r="E884" s="345">
        <v>16118448</v>
      </c>
      <c r="F884" s="232"/>
      <c r="G884" s="345">
        <v>2759886</v>
      </c>
      <c r="H884" s="345">
        <v>393152</v>
      </c>
      <c r="I884" s="345">
        <v>2627040</v>
      </c>
      <c r="J884" s="345">
        <v>129154</v>
      </c>
      <c r="K884" s="345">
        <v>5909232</v>
      </c>
      <c r="L884" s="232"/>
      <c r="M884" s="345">
        <v>0</v>
      </c>
      <c r="N884" s="345">
        <v>0</v>
      </c>
      <c r="O884" s="345">
        <v>222243</v>
      </c>
      <c r="P884" s="345">
        <v>222243</v>
      </c>
      <c r="Q884" s="232"/>
      <c r="R884" s="345">
        <v>7180103</v>
      </c>
      <c r="S884" s="345">
        <v>7285</v>
      </c>
      <c r="T884" s="345">
        <v>7187388</v>
      </c>
    </row>
    <row r="885" spans="1:20">
      <c r="A885" s="351">
        <v>99602</v>
      </c>
      <c r="B885" s="344" t="s">
        <v>3710</v>
      </c>
      <c r="C885" s="235">
        <v>6.1500000000000004E-5</v>
      </c>
      <c r="D885" s="235">
        <v>6.0800000000000001E-5</v>
      </c>
      <c r="E885" s="345">
        <v>167952</v>
      </c>
      <c r="F885" s="232"/>
      <c r="G885" s="345">
        <v>28758</v>
      </c>
      <c r="H885" s="345">
        <v>4096</v>
      </c>
      <c r="I885" s="345">
        <v>27373</v>
      </c>
      <c r="J885" s="345">
        <v>3756</v>
      </c>
      <c r="K885" s="345">
        <v>63983</v>
      </c>
      <c r="L885" s="232"/>
      <c r="M885" s="345">
        <v>0</v>
      </c>
      <c r="N885" s="345">
        <v>0</v>
      </c>
      <c r="O885" s="345">
        <v>4078</v>
      </c>
      <c r="P885" s="345">
        <v>4078</v>
      </c>
      <c r="Q885" s="232"/>
      <c r="R885" s="345">
        <v>74816</v>
      </c>
      <c r="S885" s="345">
        <v>2122</v>
      </c>
      <c r="T885" s="345">
        <v>76938</v>
      </c>
    </row>
    <row r="886" spans="1:20">
      <c r="A886" s="351">
        <v>99603</v>
      </c>
      <c r="B886" s="344" t="s">
        <v>3711</v>
      </c>
      <c r="C886" s="235">
        <v>1.5540000000000001E-4</v>
      </c>
      <c r="D886" s="235">
        <v>1.7550000000000001E-4</v>
      </c>
      <c r="E886" s="345">
        <v>424385</v>
      </c>
      <c r="F886" s="232"/>
      <c r="G886" s="345">
        <v>72666</v>
      </c>
      <c r="H886" s="345">
        <v>10351</v>
      </c>
      <c r="I886" s="345">
        <v>69168</v>
      </c>
      <c r="J886" s="345">
        <v>38434</v>
      </c>
      <c r="K886" s="345">
        <v>190619</v>
      </c>
      <c r="L886" s="232"/>
      <c r="M886" s="345">
        <v>0</v>
      </c>
      <c r="N886" s="345">
        <v>0</v>
      </c>
      <c r="O886" s="345">
        <v>7619</v>
      </c>
      <c r="P886" s="345">
        <v>7619</v>
      </c>
      <c r="Q886" s="232"/>
      <c r="R886" s="345">
        <v>189046</v>
      </c>
      <c r="S886" s="345">
        <v>35533</v>
      </c>
      <c r="T886" s="345">
        <v>224579</v>
      </c>
    </row>
    <row r="887" spans="1:20">
      <c r="A887" s="351">
        <v>99604</v>
      </c>
      <c r="B887" s="344" t="s">
        <v>1585</v>
      </c>
      <c r="C887" s="235">
        <v>9.1100000000000005E-5</v>
      </c>
      <c r="D887" s="235">
        <v>1.02E-4</v>
      </c>
      <c r="E887" s="345">
        <v>248787</v>
      </c>
      <c r="F887" s="232"/>
      <c r="G887" s="345">
        <v>42599</v>
      </c>
      <c r="H887" s="345">
        <v>6069</v>
      </c>
      <c r="I887" s="345">
        <v>40548</v>
      </c>
      <c r="J887" s="345">
        <v>13275</v>
      </c>
      <c r="K887" s="345">
        <v>102491</v>
      </c>
      <c r="L887" s="232"/>
      <c r="M887" s="345">
        <v>0</v>
      </c>
      <c r="N887" s="345">
        <v>0</v>
      </c>
      <c r="O887" s="345">
        <v>0</v>
      </c>
      <c r="P887" s="345">
        <v>0</v>
      </c>
      <c r="Q887" s="232"/>
      <c r="R887" s="345">
        <v>110824</v>
      </c>
      <c r="S887" s="345">
        <v>8485</v>
      </c>
      <c r="T887" s="345">
        <v>119309</v>
      </c>
    </row>
    <row r="888" spans="1:20">
      <c r="A888" s="351">
        <v>99609</v>
      </c>
      <c r="B888" s="344" t="s">
        <v>1586</v>
      </c>
      <c r="C888" s="235">
        <v>2.8799999999999999E-5</v>
      </c>
      <c r="D888" s="235">
        <v>2.0100000000000001E-5</v>
      </c>
      <c r="E888" s="345">
        <v>78651</v>
      </c>
      <c r="F888" s="232"/>
      <c r="G888" s="345">
        <v>13467</v>
      </c>
      <c r="H888" s="345">
        <v>1918</v>
      </c>
      <c r="I888" s="345">
        <v>12819</v>
      </c>
      <c r="J888" s="345">
        <v>8634</v>
      </c>
      <c r="K888" s="345">
        <v>36838</v>
      </c>
      <c r="L888" s="232"/>
      <c r="M888" s="345">
        <v>0</v>
      </c>
      <c r="N888" s="345">
        <v>0</v>
      </c>
      <c r="O888" s="345">
        <v>761</v>
      </c>
      <c r="P888" s="345">
        <v>761</v>
      </c>
      <c r="Q888" s="232"/>
      <c r="R888" s="345">
        <v>35036</v>
      </c>
      <c r="S888" s="345">
        <v>2870</v>
      </c>
      <c r="T888" s="345">
        <v>37906</v>
      </c>
    </row>
    <row r="889" spans="1:20">
      <c r="A889" s="351">
        <v>99610</v>
      </c>
      <c r="B889" s="344" t="s">
        <v>3712</v>
      </c>
      <c r="C889" s="235">
        <v>1.683E-4</v>
      </c>
      <c r="D889" s="235">
        <v>1.872E-4</v>
      </c>
      <c r="E889" s="345">
        <v>459614</v>
      </c>
      <c r="F889" s="232"/>
      <c r="G889" s="345">
        <v>78698</v>
      </c>
      <c r="H889" s="345">
        <v>11211</v>
      </c>
      <c r="I889" s="345">
        <v>74909</v>
      </c>
      <c r="J889" s="345">
        <v>396</v>
      </c>
      <c r="K889" s="345">
        <v>165214</v>
      </c>
      <c r="L889" s="232"/>
      <c r="M889" s="345">
        <v>0</v>
      </c>
      <c r="N889" s="345">
        <v>0</v>
      </c>
      <c r="O889" s="345">
        <v>15245</v>
      </c>
      <c r="P889" s="345">
        <v>15245</v>
      </c>
      <c r="Q889" s="232"/>
      <c r="R889" s="345">
        <v>204739</v>
      </c>
      <c r="S889" s="345">
        <v>-4474</v>
      </c>
      <c r="T889" s="345">
        <v>200265</v>
      </c>
    </row>
    <row r="890" spans="1:20">
      <c r="A890" s="351">
        <v>99611</v>
      </c>
      <c r="B890" s="344" t="s">
        <v>1588</v>
      </c>
      <c r="C890" s="235">
        <v>3.2022000000000001E-3</v>
      </c>
      <c r="D890" s="235">
        <v>3.2894E-3</v>
      </c>
      <c r="E890" s="345">
        <v>8744958</v>
      </c>
      <c r="F890" s="232"/>
      <c r="G890" s="345">
        <v>1497358</v>
      </c>
      <c r="H890" s="345">
        <v>213302</v>
      </c>
      <c r="I890" s="345">
        <v>1425283</v>
      </c>
      <c r="J890" s="345">
        <v>44081</v>
      </c>
      <c r="K890" s="345">
        <v>3180024</v>
      </c>
      <c r="L890" s="232"/>
      <c r="M890" s="345">
        <v>0</v>
      </c>
      <c r="N890" s="345">
        <v>0</v>
      </c>
      <c r="O890" s="345">
        <v>146995</v>
      </c>
      <c r="P890" s="345">
        <v>146995</v>
      </c>
      <c r="Q890" s="232"/>
      <c r="R890" s="345">
        <v>3895518</v>
      </c>
      <c r="S890" s="345">
        <v>-70007</v>
      </c>
      <c r="T890" s="345">
        <v>3825511</v>
      </c>
    </row>
    <row r="891" spans="1:20">
      <c r="A891" s="351">
        <v>99613</v>
      </c>
      <c r="B891" s="344" t="s">
        <v>1589</v>
      </c>
      <c r="C891" s="235">
        <v>3.3720000000000001E-4</v>
      </c>
      <c r="D891" s="235">
        <v>3.57E-4</v>
      </c>
      <c r="E891" s="345">
        <v>920867</v>
      </c>
      <c r="F891" s="232"/>
      <c r="G891" s="345">
        <v>157676</v>
      </c>
      <c r="H891" s="345">
        <v>22461</v>
      </c>
      <c r="I891" s="345">
        <v>150086</v>
      </c>
      <c r="J891" s="345">
        <v>213061</v>
      </c>
      <c r="K891" s="345">
        <v>543284</v>
      </c>
      <c r="L891" s="232"/>
      <c r="M891" s="345">
        <v>0</v>
      </c>
      <c r="N891" s="345">
        <v>0</v>
      </c>
      <c r="O891" s="345">
        <v>14394</v>
      </c>
      <c r="P891" s="345">
        <v>14394</v>
      </c>
      <c r="Q891" s="232"/>
      <c r="R891" s="345">
        <v>410208</v>
      </c>
      <c r="S891" s="345">
        <v>126025</v>
      </c>
      <c r="T891" s="345">
        <v>536233</v>
      </c>
    </row>
    <row r="892" spans="1:20">
      <c r="A892" s="351">
        <v>99621</v>
      </c>
      <c r="B892" s="344" t="s">
        <v>1590</v>
      </c>
      <c r="C892" s="235">
        <v>3.5530000000000002E-4</v>
      </c>
      <c r="D892" s="235">
        <v>3.7399999999999998E-4</v>
      </c>
      <c r="E892" s="345">
        <v>970297</v>
      </c>
      <c r="F892" s="232"/>
      <c r="G892" s="345">
        <v>166139</v>
      </c>
      <c r="H892" s="345">
        <v>23667</v>
      </c>
      <c r="I892" s="345">
        <v>158142</v>
      </c>
      <c r="J892" s="345">
        <v>16281</v>
      </c>
      <c r="K892" s="345">
        <v>364229</v>
      </c>
      <c r="L892" s="232"/>
      <c r="M892" s="345">
        <v>0</v>
      </c>
      <c r="N892" s="345">
        <v>0</v>
      </c>
      <c r="O892" s="345">
        <v>23623</v>
      </c>
      <c r="P892" s="345">
        <v>23623</v>
      </c>
      <c r="Q892" s="232"/>
      <c r="R892" s="345">
        <v>432227</v>
      </c>
      <c r="S892" s="345">
        <v>2438</v>
      </c>
      <c r="T892" s="345">
        <v>434665</v>
      </c>
    </row>
    <row r="893" spans="1:20">
      <c r="A893" s="351">
        <v>99623</v>
      </c>
      <c r="B893" s="344" t="s">
        <v>3504</v>
      </c>
      <c r="C893" s="235">
        <v>1.08E-5</v>
      </c>
      <c r="D893" s="235">
        <v>3.4799999999999999E-5</v>
      </c>
      <c r="E893" s="345">
        <v>29494</v>
      </c>
      <c r="F893" s="232"/>
      <c r="G893" s="345">
        <v>5050</v>
      </c>
      <c r="H893" s="345">
        <v>719</v>
      </c>
      <c r="I893" s="345">
        <v>4807</v>
      </c>
      <c r="J893" s="345">
        <v>298</v>
      </c>
      <c r="K893" s="345">
        <v>10874</v>
      </c>
      <c r="L893" s="232"/>
      <c r="M893" s="345">
        <v>0</v>
      </c>
      <c r="N893" s="345">
        <v>0</v>
      </c>
      <c r="O893" s="345">
        <v>20704</v>
      </c>
      <c r="P893" s="345">
        <v>20704</v>
      </c>
      <c r="Q893" s="232"/>
      <c r="R893" s="345">
        <v>13138</v>
      </c>
      <c r="S893" s="345">
        <v>-4510</v>
      </c>
      <c r="T893" s="345">
        <v>8628</v>
      </c>
    </row>
    <row r="894" spans="1:20">
      <c r="A894" s="351">
        <v>99631</v>
      </c>
      <c r="B894" s="344" t="s">
        <v>1592</v>
      </c>
      <c r="C894" s="235">
        <v>1.078E-4</v>
      </c>
      <c r="D894" s="235">
        <v>1.11E-4</v>
      </c>
      <c r="E894" s="345">
        <v>294393</v>
      </c>
      <c r="F894" s="232"/>
      <c r="G894" s="345">
        <v>50408</v>
      </c>
      <c r="H894" s="345">
        <v>7181</v>
      </c>
      <c r="I894" s="345">
        <v>47981</v>
      </c>
      <c r="J894" s="345">
        <v>535</v>
      </c>
      <c r="K894" s="345">
        <v>106105</v>
      </c>
      <c r="L894" s="232"/>
      <c r="M894" s="345">
        <v>0</v>
      </c>
      <c r="N894" s="345">
        <v>0</v>
      </c>
      <c r="O894" s="345">
        <v>11066</v>
      </c>
      <c r="P894" s="345">
        <v>11066</v>
      </c>
      <c r="Q894" s="232"/>
      <c r="R894" s="345">
        <v>131140</v>
      </c>
      <c r="S894" s="345">
        <v>-3213</v>
      </c>
      <c r="T894" s="345">
        <v>127927</v>
      </c>
    </row>
    <row r="895" spans="1:20">
      <c r="A895" s="351">
        <v>99651</v>
      </c>
      <c r="B895" s="344" t="s">
        <v>1593</v>
      </c>
      <c r="C895" s="235">
        <v>6.5300000000000002E-5</v>
      </c>
      <c r="D895" s="235">
        <v>5.7000000000000003E-5</v>
      </c>
      <c r="E895" s="345">
        <v>178329</v>
      </c>
      <c r="F895" s="232"/>
      <c r="G895" s="345">
        <v>30534</v>
      </c>
      <c r="H895" s="345">
        <v>4350</v>
      </c>
      <c r="I895" s="345">
        <v>29065</v>
      </c>
      <c r="J895" s="345">
        <v>8279</v>
      </c>
      <c r="K895" s="345">
        <v>72228</v>
      </c>
      <c r="L895" s="232"/>
      <c r="M895" s="345">
        <v>0</v>
      </c>
      <c r="N895" s="345">
        <v>0</v>
      </c>
      <c r="O895" s="345">
        <v>4878</v>
      </c>
      <c r="P895" s="345">
        <v>4878</v>
      </c>
      <c r="Q895" s="232"/>
      <c r="R895" s="345">
        <v>79438</v>
      </c>
      <c r="S895" s="345">
        <v>2716</v>
      </c>
      <c r="T895" s="345">
        <v>82154</v>
      </c>
    </row>
    <row r="896" spans="1:20">
      <c r="A896" s="351">
        <v>99661</v>
      </c>
      <c r="B896" s="344" t="s">
        <v>1594</v>
      </c>
      <c r="C896" s="235">
        <v>3.4799999999999999E-5</v>
      </c>
      <c r="D896" s="235">
        <v>2.5999999999999998E-5</v>
      </c>
      <c r="E896" s="345">
        <v>95036</v>
      </c>
      <c r="F896" s="232"/>
      <c r="G896" s="345">
        <v>16273</v>
      </c>
      <c r="H896" s="345">
        <v>2318</v>
      </c>
      <c r="I896" s="345">
        <v>15489</v>
      </c>
      <c r="J896" s="345">
        <v>57991</v>
      </c>
      <c r="K896" s="345">
        <v>92071</v>
      </c>
      <c r="L896" s="232"/>
      <c r="M896" s="345">
        <v>0</v>
      </c>
      <c r="N896" s="345">
        <v>0</v>
      </c>
      <c r="O896" s="345">
        <v>0</v>
      </c>
      <c r="P896" s="345">
        <v>0</v>
      </c>
      <c r="Q896" s="232"/>
      <c r="R896" s="345">
        <v>42335</v>
      </c>
      <c r="S896" s="345">
        <v>24607</v>
      </c>
      <c r="T896" s="345">
        <v>66942</v>
      </c>
    </row>
    <row r="897" spans="1:20">
      <c r="A897" s="351">
        <v>99701</v>
      </c>
      <c r="B897" s="344" t="s">
        <v>1595</v>
      </c>
      <c r="C897" s="235">
        <v>2.9930999999999998E-3</v>
      </c>
      <c r="D897" s="235">
        <v>2.9659E-3</v>
      </c>
      <c r="E897" s="345">
        <v>8173923</v>
      </c>
      <c r="F897" s="232"/>
      <c r="G897" s="345">
        <v>1399583</v>
      </c>
      <c r="H897" s="345">
        <v>199373</v>
      </c>
      <c r="I897" s="345">
        <v>1332214</v>
      </c>
      <c r="J897" s="345">
        <v>2637</v>
      </c>
      <c r="K897" s="345">
        <v>2933807</v>
      </c>
      <c r="L897" s="232"/>
      <c r="M897" s="345">
        <v>0</v>
      </c>
      <c r="N897" s="345">
        <v>0</v>
      </c>
      <c r="O897" s="345">
        <v>28515</v>
      </c>
      <c r="P897" s="345">
        <v>28515</v>
      </c>
      <c r="Q897" s="232"/>
      <c r="R897" s="345">
        <v>3641145</v>
      </c>
      <c r="S897" s="345">
        <v>-375</v>
      </c>
      <c r="T897" s="345">
        <v>3640770</v>
      </c>
    </row>
    <row r="898" spans="1:20">
      <c r="A898" s="351">
        <v>99705</v>
      </c>
      <c r="B898" s="344" t="s">
        <v>1596</v>
      </c>
      <c r="C898" s="235">
        <v>1.5530000000000001E-4</v>
      </c>
      <c r="D898" s="235">
        <v>1.6349999999999999E-4</v>
      </c>
      <c r="E898" s="345">
        <v>424112</v>
      </c>
      <c r="F898" s="232"/>
      <c r="G898" s="345">
        <v>72619</v>
      </c>
      <c r="H898" s="345">
        <v>10345</v>
      </c>
      <c r="I898" s="345">
        <v>69123</v>
      </c>
      <c r="J898" s="345">
        <v>16349</v>
      </c>
      <c r="K898" s="345">
        <v>168436</v>
      </c>
      <c r="L898" s="232"/>
      <c r="M898" s="345">
        <v>0</v>
      </c>
      <c r="N898" s="345">
        <v>0</v>
      </c>
      <c r="O898" s="345">
        <v>0</v>
      </c>
      <c r="P898" s="345">
        <v>0</v>
      </c>
      <c r="Q898" s="232"/>
      <c r="R898" s="345">
        <v>188924</v>
      </c>
      <c r="S898" s="345">
        <v>5207</v>
      </c>
      <c r="T898" s="345">
        <v>194131</v>
      </c>
    </row>
    <row r="899" spans="1:20">
      <c r="A899" s="351">
        <v>99711</v>
      </c>
      <c r="B899" s="344" t="s">
        <v>3713</v>
      </c>
      <c r="C899" s="235">
        <v>4.2489999999999997E-4</v>
      </c>
      <c r="D899" s="235">
        <v>4.462E-4</v>
      </c>
      <c r="E899" s="345">
        <v>1160369</v>
      </c>
      <c r="F899" s="232"/>
      <c r="G899" s="345">
        <v>198685</v>
      </c>
      <c r="H899" s="345">
        <v>28303</v>
      </c>
      <c r="I899" s="345">
        <v>189121</v>
      </c>
      <c r="J899" s="345">
        <v>6755</v>
      </c>
      <c r="K899" s="345">
        <v>422864</v>
      </c>
      <c r="L899" s="232"/>
      <c r="M899" s="345">
        <v>0</v>
      </c>
      <c r="N899" s="345">
        <v>0</v>
      </c>
      <c r="O899" s="345">
        <v>9249</v>
      </c>
      <c r="P899" s="345">
        <v>9249</v>
      </c>
      <c r="Q899" s="232"/>
      <c r="R899" s="345">
        <v>516896</v>
      </c>
      <c r="S899" s="345">
        <v>-3318</v>
      </c>
      <c r="T899" s="345">
        <v>513578</v>
      </c>
    </row>
    <row r="900" spans="1:20">
      <c r="A900" s="351">
        <v>99717</v>
      </c>
      <c r="B900" s="344" t="s">
        <v>3714</v>
      </c>
      <c r="C900" s="235">
        <v>2.6599999999999999E-5</v>
      </c>
      <c r="D900" s="235">
        <v>2.1800000000000001E-5</v>
      </c>
      <c r="E900" s="345">
        <v>72643</v>
      </c>
      <c r="F900" s="232"/>
      <c r="G900" s="345">
        <v>12438</v>
      </c>
      <c r="H900" s="345">
        <v>1772</v>
      </c>
      <c r="I900" s="345">
        <v>11840</v>
      </c>
      <c r="J900" s="345">
        <v>858</v>
      </c>
      <c r="K900" s="345">
        <v>26908</v>
      </c>
      <c r="L900" s="232"/>
      <c r="M900" s="345">
        <v>0</v>
      </c>
      <c r="N900" s="345">
        <v>0</v>
      </c>
      <c r="O900" s="345">
        <v>2544</v>
      </c>
      <c r="P900" s="345">
        <v>2544</v>
      </c>
      <c r="Q900" s="232"/>
      <c r="R900" s="345">
        <v>32359</v>
      </c>
      <c r="S900" s="345">
        <v>-1334</v>
      </c>
      <c r="T900" s="345">
        <v>31025</v>
      </c>
    </row>
    <row r="901" spans="1:20">
      <c r="A901" s="351">
        <v>99721</v>
      </c>
      <c r="B901" s="344" t="s">
        <v>1599</v>
      </c>
      <c r="C901" s="235">
        <v>6.1160000000000001E-4</v>
      </c>
      <c r="D901" s="235">
        <v>5.886E-4</v>
      </c>
      <c r="E901" s="345">
        <v>1670232</v>
      </c>
      <c r="F901" s="232"/>
      <c r="G901" s="345">
        <v>285986</v>
      </c>
      <c r="H901" s="345">
        <v>40739</v>
      </c>
      <c r="I901" s="345">
        <v>272220</v>
      </c>
      <c r="J901" s="345">
        <v>2317</v>
      </c>
      <c r="K901" s="345">
        <v>601262</v>
      </c>
      <c r="L901" s="232"/>
      <c r="M901" s="345">
        <v>0</v>
      </c>
      <c r="N901" s="345">
        <v>0</v>
      </c>
      <c r="O901" s="345">
        <v>26668</v>
      </c>
      <c r="P901" s="345">
        <v>26668</v>
      </c>
      <c r="Q901" s="232"/>
      <c r="R901" s="345">
        <v>744019</v>
      </c>
      <c r="S901" s="345">
        <v>-13251</v>
      </c>
      <c r="T901" s="345">
        <v>730768</v>
      </c>
    </row>
    <row r="902" spans="1:20" customFormat="1">
      <c r="A902" s="351">
        <v>99727</v>
      </c>
      <c r="B902" s="344" t="s">
        <v>1600</v>
      </c>
      <c r="C902" s="235">
        <v>1.98E-5</v>
      </c>
      <c r="D902" s="235">
        <v>2.2099999999999998E-5</v>
      </c>
      <c r="E902" s="345">
        <v>54072</v>
      </c>
      <c r="F902" s="232"/>
      <c r="G902" s="345">
        <v>9259</v>
      </c>
      <c r="H902" s="345">
        <v>1319</v>
      </c>
      <c r="I902" s="345">
        <v>8813</v>
      </c>
      <c r="J902" s="345">
        <v>69546</v>
      </c>
      <c r="K902" s="345">
        <v>88937</v>
      </c>
      <c r="L902" s="232"/>
      <c r="M902" s="345">
        <v>0</v>
      </c>
      <c r="N902" s="345">
        <v>0</v>
      </c>
      <c r="O902" s="345">
        <v>0</v>
      </c>
      <c r="P902" s="345">
        <v>0</v>
      </c>
      <c r="Q902" s="232"/>
      <c r="R902" s="345">
        <v>24087</v>
      </c>
      <c r="S902" s="345">
        <v>33418</v>
      </c>
      <c r="T902" s="345">
        <v>57505</v>
      </c>
    </row>
    <row r="903" spans="1:20" customFormat="1">
      <c r="A903" s="351">
        <v>99801</v>
      </c>
      <c r="B903" s="344" t="s">
        <v>1601</v>
      </c>
      <c r="C903" s="235">
        <v>4.7737999999999999E-3</v>
      </c>
      <c r="D903" s="235">
        <v>4.9709000000000003E-3</v>
      </c>
      <c r="E903" s="345">
        <v>13036875</v>
      </c>
      <c r="F903" s="232"/>
      <c r="G903" s="345">
        <v>2232243</v>
      </c>
      <c r="H903" s="345">
        <v>317987</v>
      </c>
      <c r="I903" s="345">
        <v>2124795</v>
      </c>
      <c r="J903" s="345">
        <v>0</v>
      </c>
      <c r="K903" s="345">
        <v>4675025</v>
      </c>
      <c r="L903" s="232"/>
      <c r="M903" s="345">
        <v>0</v>
      </c>
      <c r="N903" s="345">
        <v>0</v>
      </c>
      <c r="O903" s="345">
        <v>493450</v>
      </c>
      <c r="P903" s="345">
        <v>493450</v>
      </c>
      <c r="Q903" s="232"/>
      <c r="R903" s="345">
        <v>5807390</v>
      </c>
      <c r="S903" s="345">
        <v>-168173</v>
      </c>
      <c r="T903" s="345">
        <v>5639217</v>
      </c>
    </row>
    <row r="904" spans="1:20" customFormat="1" ht="30">
      <c r="A904" s="351">
        <v>99802</v>
      </c>
      <c r="B904" s="344" t="s">
        <v>2773</v>
      </c>
      <c r="C904" s="235">
        <v>1.1600000000000001E-5</v>
      </c>
      <c r="D904" s="235">
        <v>1.19E-5</v>
      </c>
      <c r="E904" s="345">
        <v>31679</v>
      </c>
      <c r="F904" s="232"/>
      <c r="G904" s="345">
        <v>5424</v>
      </c>
      <c r="H904" s="345">
        <v>772</v>
      </c>
      <c r="I904" s="345">
        <v>5163</v>
      </c>
      <c r="J904" s="345">
        <v>5470</v>
      </c>
      <c r="K904" s="345">
        <v>16829</v>
      </c>
      <c r="L904" s="232"/>
      <c r="M904" s="345">
        <v>0</v>
      </c>
      <c r="N904" s="345">
        <v>0</v>
      </c>
      <c r="O904" s="345">
        <v>0</v>
      </c>
      <c r="P904" s="345">
        <v>0</v>
      </c>
      <c r="Q904" s="232"/>
      <c r="R904" s="345">
        <v>14112</v>
      </c>
      <c r="S904" s="345">
        <v>1903</v>
      </c>
      <c r="T904" s="345">
        <v>16015</v>
      </c>
    </row>
    <row r="905" spans="1:20" customFormat="1">
      <c r="A905" s="351">
        <v>99804</v>
      </c>
      <c r="B905" s="344" t="s">
        <v>1603</v>
      </c>
      <c r="C905" s="235">
        <v>7.2200000000000007E-5</v>
      </c>
      <c r="D905" s="235">
        <v>8.1000000000000004E-5</v>
      </c>
      <c r="E905" s="345">
        <v>197173</v>
      </c>
      <c r="F905" s="232"/>
      <c r="G905" s="345">
        <v>33761</v>
      </c>
      <c r="H905" s="345">
        <v>4809</v>
      </c>
      <c r="I905" s="345">
        <v>32136</v>
      </c>
      <c r="J905" s="345">
        <v>5995</v>
      </c>
      <c r="K905" s="345">
        <v>76701</v>
      </c>
      <c r="L905" s="232"/>
      <c r="M905" s="345">
        <v>0</v>
      </c>
      <c r="N905" s="345">
        <v>0</v>
      </c>
      <c r="O905" s="345">
        <v>97</v>
      </c>
      <c r="P905" s="345">
        <v>97</v>
      </c>
      <c r="Q905" s="232"/>
      <c r="R905" s="345">
        <v>87832</v>
      </c>
      <c r="S905" s="345">
        <v>4887</v>
      </c>
      <c r="T905" s="345">
        <v>92719</v>
      </c>
    </row>
    <row r="906" spans="1:20" customFormat="1">
      <c r="A906" s="351">
        <v>99811</v>
      </c>
      <c r="B906" s="344" t="s">
        <v>1604</v>
      </c>
      <c r="C906" s="235">
        <v>6.4218000000000001E-3</v>
      </c>
      <c r="D906" s="235">
        <v>6.4733000000000004E-3</v>
      </c>
      <c r="E906" s="345">
        <v>17537435</v>
      </c>
      <c r="F906" s="232"/>
      <c r="G906" s="345">
        <v>3002853</v>
      </c>
      <c r="H906" s="345">
        <v>427763</v>
      </c>
      <c r="I906" s="345">
        <v>2858311</v>
      </c>
      <c r="J906" s="345">
        <v>0</v>
      </c>
      <c r="K906" s="345">
        <v>6288927</v>
      </c>
      <c r="L906" s="232"/>
      <c r="M906" s="345">
        <v>0</v>
      </c>
      <c r="N906" s="345">
        <v>0</v>
      </c>
      <c r="O906" s="345">
        <v>518756</v>
      </c>
      <c r="P906" s="345">
        <v>518756</v>
      </c>
      <c r="Q906" s="232"/>
      <c r="R906" s="345">
        <v>7812203</v>
      </c>
      <c r="S906" s="345">
        <v>-279286</v>
      </c>
      <c r="T906" s="345">
        <v>7532917</v>
      </c>
    </row>
    <row r="907" spans="1:20" customFormat="1">
      <c r="A907" s="351">
        <v>99812</v>
      </c>
      <c r="B907" s="344" t="s">
        <v>3715</v>
      </c>
      <c r="C907" s="235">
        <v>1.88E-5</v>
      </c>
      <c r="D907" s="235">
        <v>1.9700000000000001E-5</v>
      </c>
      <c r="E907" s="345">
        <v>51341</v>
      </c>
      <c r="F907" s="232"/>
      <c r="G907" s="345">
        <v>8791</v>
      </c>
      <c r="H907" s="345">
        <v>1252</v>
      </c>
      <c r="I907" s="345">
        <v>8368</v>
      </c>
      <c r="J907" s="345">
        <v>19026</v>
      </c>
      <c r="K907" s="345">
        <v>37437</v>
      </c>
      <c r="L907" s="232"/>
      <c r="M907" s="345">
        <v>0</v>
      </c>
      <c r="N907" s="345">
        <v>0</v>
      </c>
      <c r="O907" s="345">
        <v>0</v>
      </c>
      <c r="P907" s="345">
        <v>0</v>
      </c>
      <c r="Q907" s="232"/>
      <c r="R907" s="345">
        <v>22870</v>
      </c>
      <c r="S907" s="345">
        <v>7778</v>
      </c>
      <c r="T907" s="345">
        <v>30648</v>
      </c>
    </row>
    <row r="908" spans="1:20" customFormat="1">
      <c r="A908" s="351">
        <v>99818</v>
      </c>
      <c r="B908" s="344" t="s">
        <v>1606</v>
      </c>
      <c r="C908" s="235">
        <v>3.5599999999999998E-5</v>
      </c>
      <c r="D908" s="235">
        <v>3.3399999999999999E-5</v>
      </c>
      <c r="E908" s="345">
        <v>97221</v>
      </c>
      <c r="F908" s="232"/>
      <c r="G908" s="345">
        <v>16647</v>
      </c>
      <c r="H908" s="345">
        <v>2371</v>
      </c>
      <c r="I908" s="345">
        <v>15845</v>
      </c>
      <c r="J908" s="345">
        <v>0</v>
      </c>
      <c r="K908" s="345">
        <v>34863</v>
      </c>
      <c r="L908" s="232"/>
      <c r="M908" s="345">
        <v>0</v>
      </c>
      <c r="N908" s="345">
        <v>0</v>
      </c>
      <c r="O908" s="345">
        <v>4580</v>
      </c>
      <c r="P908" s="345">
        <v>4580</v>
      </c>
      <c r="Q908" s="232"/>
      <c r="R908" s="345">
        <v>43308</v>
      </c>
      <c r="S908" s="345">
        <v>-1788</v>
      </c>
      <c r="T908" s="345">
        <v>41520</v>
      </c>
    </row>
    <row r="909" spans="1:20" customFormat="1">
      <c r="A909" s="351">
        <v>99821</v>
      </c>
      <c r="B909" s="344" t="s">
        <v>1607</v>
      </c>
      <c r="C909" s="235">
        <v>9.8200000000000002E-5</v>
      </c>
      <c r="D909" s="235">
        <v>9.2899999999999995E-5</v>
      </c>
      <c r="E909" s="345">
        <v>268177</v>
      </c>
      <c r="F909" s="232"/>
      <c r="G909" s="345">
        <v>45919</v>
      </c>
      <c r="H909" s="345">
        <v>6541</v>
      </c>
      <c r="I909" s="345">
        <v>43708</v>
      </c>
      <c r="J909" s="345">
        <v>17407</v>
      </c>
      <c r="K909" s="345">
        <v>113575</v>
      </c>
      <c r="L909" s="232"/>
      <c r="M909" s="345">
        <v>0</v>
      </c>
      <c r="N909" s="345">
        <v>0</v>
      </c>
      <c r="O909" s="345">
        <v>0</v>
      </c>
      <c r="P909" s="345">
        <v>0</v>
      </c>
      <c r="Q909" s="232"/>
      <c r="R909" s="345">
        <v>119462</v>
      </c>
      <c r="S909" s="345">
        <v>7065</v>
      </c>
      <c r="T909" s="345">
        <v>126527</v>
      </c>
    </row>
    <row r="910" spans="1:20" customFormat="1">
      <c r="A910" s="351">
        <v>99831</v>
      </c>
      <c r="B910" s="344" t="s">
        <v>1608</v>
      </c>
      <c r="C910" s="235">
        <v>5.5399999999999998E-5</v>
      </c>
      <c r="D910" s="235">
        <v>4.9700000000000002E-5</v>
      </c>
      <c r="E910" s="345">
        <v>151293</v>
      </c>
      <c r="F910" s="232"/>
      <c r="G910" s="345">
        <v>25905</v>
      </c>
      <c r="H910" s="345">
        <v>3690</v>
      </c>
      <c r="I910" s="345">
        <v>24658</v>
      </c>
      <c r="J910" s="345">
        <v>10355</v>
      </c>
      <c r="K910" s="345">
        <v>64608</v>
      </c>
      <c r="L910" s="232"/>
      <c r="M910" s="345">
        <v>0</v>
      </c>
      <c r="N910" s="345">
        <v>0</v>
      </c>
      <c r="O910" s="345">
        <v>5400</v>
      </c>
      <c r="P910" s="345">
        <v>5400</v>
      </c>
      <c r="Q910" s="232"/>
      <c r="R910" s="345">
        <v>67395</v>
      </c>
      <c r="S910" s="345">
        <v>1737</v>
      </c>
      <c r="T910" s="345">
        <v>69132</v>
      </c>
    </row>
    <row r="911" spans="1:20" customFormat="1">
      <c r="A911" s="351">
        <v>99841</v>
      </c>
      <c r="B911" s="344" t="s">
        <v>1609</v>
      </c>
      <c r="C911" s="235">
        <v>1.59E-5</v>
      </c>
      <c r="D911" s="235">
        <v>3.2199999999999997E-5</v>
      </c>
      <c r="E911" s="345">
        <v>43422</v>
      </c>
      <c r="F911" s="232"/>
      <c r="G911" s="345">
        <v>7435</v>
      </c>
      <c r="H911" s="345">
        <v>1059</v>
      </c>
      <c r="I911" s="345">
        <v>7077</v>
      </c>
      <c r="J911" s="345">
        <v>0</v>
      </c>
      <c r="K911" s="345">
        <v>15571</v>
      </c>
      <c r="L911" s="232"/>
      <c r="M911" s="345">
        <v>0</v>
      </c>
      <c r="N911" s="345">
        <v>0</v>
      </c>
      <c r="O911" s="345">
        <v>15024</v>
      </c>
      <c r="P911" s="345">
        <v>15024</v>
      </c>
      <c r="Q911" s="232"/>
      <c r="R911" s="345">
        <v>19343</v>
      </c>
      <c r="S911" s="345">
        <v>-4088</v>
      </c>
      <c r="T911" s="345">
        <v>15255</v>
      </c>
    </row>
    <row r="912" spans="1:20" customFormat="1">
      <c r="A912" s="351">
        <v>99851</v>
      </c>
      <c r="B912" s="344" t="s">
        <v>1610</v>
      </c>
      <c r="C912" s="235">
        <v>7.9000000000000006E-6</v>
      </c>
      <c r="D912" s="235">
        <v>2.34E-5</v>
      </c>
      <c r="E912" s="345">
        <v>21574</v>
      </c>
      <c r="F912" s="232"/>
      <c r="G912" s="345">
        <v>3694</v>
      </c>
      <c r="H912" s="345">
        <v>526</v>
      </c>
      <c r="I912" s="345">
        <v>3516</v>
      </c>
      <c r="J912" s="345">
        <v>0</v>
      </c>
      <c r="K912" s="345">
        <v>7736</v>
      </c>
      <c r="L912" s="232"/>
      <c r="M912" s="345">
        <v>0</v>
      </c>
      <c r="N912" s="345">
        <v>0</v>
      </c>
      <c r="O912" s="345">
        <v>14691</v>
      </c>
      <c r="P912" s="345">
        <v>14691</v>
      </c>
      <c r="Q912" s="232"/>
      <c r="R912" s="345">
        <v>9610</v>
      </c>
      <c r="S912" s="345">
        <v>-4276</v>
      </c>
      <c r="T912" s="345">
        <v>5334</v>
      </c>
    </row>
    <row r="913" spans="1:20" customFormat="1">
      <c r="A913" s="351">
        <v>99901</v>
      </c>
      <c r="B913" s="344" t="s">
        <v>1611</v>
      </c>
      <c r="C913" s="235">
        <v>1.5942E-3</v>
      </c>
      <c r="D913" s="235">
        <v>1.5693E-3</v>
      </c>
      <c r="E913" s="345">
        <v>4353636</v>
      </c>
      <c r="F913" s="232"/>
      <c r="G913" s="345">
        <v>745453</v>
      </c>
      <c r="H913" s="345">
        <v>106191</v>
      </c>
      <c r="I913" s="345">
        <v>709570</v>
      </c>
      <c r="J913" s="345">
        <v>15271</v>
      </c>
      <c r="K913" s="345">
        <v>1576485</v>
      </c>
      <c r="L913" s="232"/>
      <c r="M913" s="345">
        <v>0</v>
      </c>
      <c r="N913" s="345">
        <v>0</v>
      </c>
      <c r="O913" s="345">
        <v>65837</v>
      </c>
      <c r="P913" s="345">
        <v>65837</v>
      </c>
      <c r="Q913" s="232"/>
      <c r="R913" s="345">
        <v>1939365</v>
      </c>
      <c r="S913" s="345">
        <v>1418</v>
      </c>
      <c r="T913" s="345">
        <v>1940783</v>
      </c>
    </row>
    <row r="914" spans="1:20" customFormat="1">
      <c r="A914" s="351">
        <v>99911</v>
      </c>
      <c r="B914" s="344" t="s">
        <v>1612</v>
      </c>
      <c r="C914" s="235">
        <v>2.219E-4</v>
      </c>
      <c r="D914" s="235">
        <v>2.3900000000000001E-4</v>
      </c>
      <c r="E914" s="345">
        <v>605992</v>
      </c>
      <c r="F914" s="232"/>
      <c r="G914" s="345">
        <v>103761</v>
      </c>
      <c r="H914" s="345">
        <v>14781</v>
      </c>
      <c r="I914" s="345">
        <v>98767</v>
      </c>
      <c r="J914" s="345">
        <v>6810</v>
      </c>
      <c r="K914" s="345">
        <v>224119</v>
      </c>
      <c r="L914" s="232"/>
      <c r="M914" s="345">
        <v>0</v>
      </c>
      <c r="N914" s="345">
        <v>0</v>
      </c>
      <c r="O914" s="345">
        <v>7455</v>
      </c>
      <c r="P914" s="345">
        <v>7455</v>
      </c>
      <c r="Q914" s="232"/>
      <c r="R914" s="345">
        <v>269944</v>
      </c>
      <c r="S914" s="345">
        <v>-1143</v>
      </c>
      <c r="T914" s="345">
        <v>268801</v>
      </c>
    </row>
    <row r="915" spans="1:20" customFormat="1">
      <c r="A915" s="351">
        <v>99921</v>
      </c>
      <c r="B915" s="344" t="s">
        <v>1613</v>
      </c>
      <c r="C915" s="235">
        <v>1.315E-4</v>
      </c>
      <c r="D915" s="235">
        <v>1.3119999999999999E-4</v>
      </c>
      <c r="E915" s="345">
        <v>359116</v>
      </c>
      <c r="F915" s="232"/>
      <c r="G915" s="345">
        <v>61490</v>
      </c>
      <c r="H915" s="345">
        <v>8760</v>
      </c>
      <c r="I915" s="345">
        <v>58530</v>
      </c>
      <c r="J915" s="345">
        <v>1863</v>
      </c>
      <c r="K915" s="345">
        <v>130643</v>
      </c>
      <c r="L915" s="232"/>
      <c r="M915" s="345">
        <v>0</v>
      </c>
      <c r="N915" s="345">
        <v>0</v>
      </c>
      <c r="O915" s="345">
        <v>14440</v>
      </c>
      <c r="P915" s="345">
        <v>14440</v>
      </c>
      <c r="Q915" s="232"/>
      <c r="R915" s="345">
        <v>159971</v>
      </c>
      <c r="S915" s="345">
        <v>-3396</v>
      </c>
      <c r="T915" s="345">
        <v>156575</v>
      </c>
    </row>
    <row r="916" spans="1:20" customFormat="1">
      <c r="A916" s="351">
        <v>99931</v>
      </c>
      <c r="B916" s="344" t="s">
        <v>1614</v>
      </c>
      <c r="C916" s="235">
        <v>2.1699999999999999E-5</v>
      </c>
      <c r="D916" s="235">
        <v>1.52E-5</v>
      </c>
      <c r="E916" s="345">
        <v>59261</v>
      </c>
      <c r="F916" s="232"/>
      <c r="G916" s="345">
        <v>10147</v>
      </c>
      <c r="H916" s="345">
        <v>1445</v>
      </c>
      <c r="I916" s="345">
        <v>9659</v>
      </c>
      <c r="J916" s="345">
        <v>6366</v>
      </c>
      <c r="K916" s="345">
        <v>27617</v>
      </c>
      <c r="L916" s="232"/>
      <c r="M916" s="345">
        <v>0</v>
      </c>
      <c r="N916" s="345">
        <v>0</v>
      </c>
      <c r="O916" s="345">
        <v>2741</v>
      </c>
      <c r="P916" s="345">
        <v>2741</v>
      </c>
      <c r="Q916" s="232"/>
      <c r="R916" s="345">
        <v>26398</v>
      </c>
      <c r="S916" s="345">
        <v>-779</v>
      </c>
      <c r="T916" s="345">
        <v>25619</v>
      </c>
    </row>
    <row r="917" spans="1:20" customFormat="1">
      <c r="A917" s="351">
        <v>99941</v>
      </c>
      <c r="B917" s="344" t="s">
        <v>1615</v>
      </c>
      <c r="C917" s="235">
        <v>7.7399999999999998E-5</v>
      </c>
      <c r="D917" s="235">
        <v>7.4200000000000001E-5</v>
      </c>
      <c r="E917" s="345">
        <v>211373</v>
      </c>
      <c r="F917" s="232"/>
      <c r="G917" s="345">
        <v>36192</v>
      </c>
      <c r="H917" s="345">
        <v>5155</v>
      </c>
      <c r="I917" s="345">
        <v>34450</v>
      </c>
      <c r="J917" s="345">
        <v>0</v>
      </c>
      <c r="K917" s="345">
        <v>75797</v>
      </c>
      <c r="L917" s="232"/>
      <c r="M917" s="345">
        <v>0</v>
      </c>
      <c r="N917" s="345">
        <v>0</v>
      </c>
      <c r="O917" s="345">
        <v>9157</v>
      </c>
      <c r="P917" s="345">
        <v>9157</v>
      </c>
      <c r="Q917" s="232"/>
      <c r="R917" s="345">
        <v>94158</v>
      </c>
      <c r="S917" s="345">
        <v>-4998</v>
      </c>
      <c r="T917" s="345">
        <v>89160</v>
      </c>
    </row>
    <row r="918" spans="1:20" customFormat="1" ht="30">
      <c r="A918" s="351">
        <v>99991</v>
      </c>
      <c r="B918" s="344" t="s">
        <v>3716</v>
      </c>
      <c r="C918" s="235">
        <v>5.0869999999999995E-4</v>
      </c>
      <c r="D918" s="235">
        <v>5.2700000000000002E-4</v>
      </c>
      <c r="E918" s="345">
        <v>1389220</v>
      </c>
      <c r="F918" s="232"/>
      <c r="G918" s="345">
        <v>237870</v>
      </c>
      <c r="H918" s="345">
        <v>33885</v>
      </c>
      <c r="I918" s="345">
        <v>226420</v>
      </c>
      <c r="J918" s="345">
        <v>3109</v>
      </c>
      <c r="K918" s="345">
        <v>501284</v>
      </c>
      <c r="L918" s="232"/>
      <c r="M918" s="345">
        <v>0</v>
      </c>
      <c r="N918" s="345">
        <v>0</v>
      </c>
      <c r="O918" s="345">
        <v>34054</v>
      </c>
      <c r="P918" s="345">
        <v>34054</v>
      </c>
      <c r="Q918" s="232"/>
      <c r="R918" s="345">
        <v>618840</v>
      </c>
      <c r="S918" s="345">
        <v>-5951</v>
      </c>
      <c r="T918" s="345">
        <v>612889</v>
      </c>
    </row>
    <row r="919" spans="1:20" customFormat="1">
      <c r="A919" s="351">
        <v>99999</v>
      </c>
      <c r="B919" s="344" t="s">
        <v>3717</v>
      </c>
      <c r="C919" s="235">
        <v>1.0093000000000001E-3</v>
      </c>
      <c r="D919" s="235">
        <v>9.2020000000000003E-4</v>
      </c>
      <c r="E919" s="345">
        <v>2756320</v>
      </c>
      <c r="F919" s="232"/>
      <c r="G919" s="345">
        <v>471952</v>
      </c>
      <c r="H919" s="345">
        <v>67231</v>
      </c>
      <c r="I919" s="345">
        <v>449234</v>
      </c>
      <c r="J919" s="345">
        <v>212881</v>
      </c>
      <c r="K919" s="345">
        <v>1201298</v>
      </c>
      <c r="L919" s="232"/>
      <c r="M919" s="345">
        <v>0</v>
      </c>
      <c r="N919" s="345">
        <v>0</v>
      </c>
      <c r="O919" s="345">
        <v>2283</v>
      </c>
      <c r="P919" s="345">
        <v>2283</v>
      </c>
      <c r="Q919" s="232"/>
      <c r="R919" s="345">
        <v>1227827</v>
      </c>
      <c r="S919" s="345">
        <v>85118</v>
      </c>
      <c r="T919" s="345">
        <v>1312945</v>
      </c>
    </row>
    <row r="920" spans="1:20" customFormat="1">
      <c r="A920" s="7" t="s">
        <v>692</v>
      </c>
      <c r="B920" s="60" t="s">
        <v>691</v>
      </c>
      <c r="C920" s="235">
        <v>0</v>
      </c>
      <c r="D920" s="235">
        <v>0</v>
      </c>
      <c r="E920" s="85">
        <v>0</v>
      </c>
      <c r="F920" s="85"/>
      <c r="G920" s="85">
        <v>0</v>
      </c>
      <c r="H920" s="85">
        <v>0</v>
      </c>
      <c r="I920" s="85">
        <v>0</v>
      </c>
      <c r="J920" s="85">
        <v>0</v>
      </c>
      <c r="K920" s="85">
        <v>0</v>
      </c>
      <c r="L920" s="85"/>
      <c r="M920" s="85">
        <v>0</v>
      </c>
      <c r="N920" s="85">
        <v>0</v>
      </c>
      <c r="O920" s="85">
        <v>0</v>
      </c>
      <c r="P920" s="85">
        <v>0</v>
      </c>
      <c r="Q920" s="85"/>
      <c r="R920" s="85">
        <v>0</v>
      </c>
      <c r="S920" s="85">
        <v>0</v>
      </c>
      <c r="T920" s="85">
        <v>0</v>
      </c>
    </row>
    <row r="921" spans="1:20" customFormat="1"/>
    <row r="922" spans="1:20" customFormat="1"/>
    <row r="923" spans="1:20" customFormat="1"/>
    <row r="924" spans="1:20" customFormat="1"/>
    <row r="925" spans="1:20" customFormat="1"/>
    <row r="926" spans="1:20" customFormat="1"/>
    <row r="927" spans="1:20" customFormat="1"/>
    <row r="928" spans="1:20">
      <c r="A928" s="227"/>
      <c r="B928" s="228"/>
      <c r="C928" s="235"/>
    </row>
    <row r="929" spans="1:20" s="95" customFormat="1">
      <c r="A929" s="90"/>
      <c r="B929" s="54" t="s">
        <v>3623</v>
      </c>
      <c r="C929" s="235"/>
      <c r="D929" s="235"/>
      <c r="E929" s="92"/>
      <c r="F929" s="92"/>
      <c r="G929" s="93"/>
      <c r="H929" s="94"/>
      <c r="I929" s="93"/>
      <c r="J929" s="93"/>
      <c r="K929" s="94"/>
      <c r="L929" s="93"/>
      <c r="M929" s="93"/>
      <c r="N929" s="93"/>
      <c r="O929" s="93"/>
      <c r="P929" s="94"/>
      <c r="Q929" s="93"/>
      <c r="R929" s="93"/>
      <c r="S929" s="93"/>
      <c r="T929" s="93"/>
    </row>
    <row r="930" spans="1:20">
      <c r="B930" s="210" t="s">
        <v>691</v>
      </c>
      <c r="C930" s="254" t="s">
        <v>692</v>
      </c>
    </row>
    <row r="931" spans="1:20">
      <c r="A931" s="227"/>
      <c r="B931" s="131" t="s">
        <v>2027</v>
      </c>
      <c r="C931" s="227">
        <v>96331</v>
      </c>
      <c r="H931" s="226"/>
      <c r="K931" s="226"/>
      <c r="P931" s="226"/>
    </row>
    <row r="932" spans="1:20">
      <c r="A932" s="227"/>
      <c r="B932" s="131" t="s">
        <v>2028</v>
      </c>
      <c r="C932" s="227">
        <v>94611</v>
      </c>
      <c r="H932" s="226"/>
      <c r="K932" s="226"/>
      <c r="P932" s="226"/>
    </row>
    <row r="933" spans="1:20">
      <c r="A933" s="227"/>
      <c r="B933" s="131" t="s">
        <v>1041</v>
      </c>
      <c r="C933" s="227">
        <v>93402</v>
      </c>
      <c r="H933" s="226"/>
      <c r="K933" s="226"/>
      <c r="P933" s="226"/>
    </row>
    <row r="934" spans="1:20">
      <c r="A934" s="227"/>
      <c r="B934" s="131" t="s">
        <v>2499</v>
      </c>
      <c r="C934" s="227">
        <v>90151</v>
      </c>
      <c r="H934" s="226"/>
      <c r="K934" s="226"/>
      <c r="P934" s="226"/>
    </row>
    <row r="935" spans="1:20">
      <c r="A935" s="227"/>
      <c r="B935" s="131" t="s">
        <v>1105</v>
      </c>
      <c r="C935" s="227">
        <v>94109</v>
      </c>
      <c r="H935" s="226"/>
      <c r="K935" s="226"/>
      <c r="P935" s="226"/>
    </row>
    <row r="936" spans="1:20">
      <c r="A936" s="227"/>
      <c r="B936" s="131" t="s">
        <v>738</v>
      </c>
      <c r="C936" s="227">
        <v>90101</v>
      </c>
      <c r="H936" s="226"/>
      <c r="K936" s="226"/>
      <c r="P936" s="226"/>
    </row>
    <row r="937" spans="1:20">
      <c r="A937" s="227"/>
      <c r="B937" s="131" t="s">
        <v>741</v>
      </c>
      <c r="C937" s="227">
        <v>90117</v>
      </c>
      <c r="H937" s="226"/>
      <c r="K937" s="226"/>
      <c r="P937" s="226"/>
    </row>
    <row r="938" spans="1:20">
      <c r="A938" s="227"/>
      <c r="B938" s="131" t="s">
        <v>1948</v>
      </c>
      <c r="C938" s="227">
        <v>98411</v>
      </c>
      <c r="H938" s="226"/>
      <c r="K938" s="226"/>
      <c r="P938" s="226"/>
    </row>
    <row r="939" spans="1:20">
      <c r="A939" s="227"/>
      <c r="B939" s="131" t="s">
        <v>1492</v>
      </c>
      <c r="C939" s="227">
        <v>98417</v>
      </c>
      <c r="H939" s="226"/>
      <c r="K939" s="226"/>
      <c r="P939" s="226"/>
    </row>
    <row r="940" spans="1:20">
      <c r="A940" s="227"/>
      <c r="B940" s="131" t="s">
        <v>1350</v>
      </c>
      <c r="C940" s="227">
        <v>97008</v>
      </c>
      <c r="H940" s="226"/>
      <c r="K940" s="226"/>
      <c r="P940" s="226"/>
    </row>
    <row r="941" spans="1:20">
      <c r="A941" s="227"/>
      <c r="B941" s="131" t="s">
        <v>1351</v>
      </c>
      <c r="C941" s="227">
        <v>97010</v>
      </c>
      <c r="H941" s="226"/>
      <c r="K941" s="226"/>
      <c r="P941" s="226"/>
    </row>
    <row r="942" spans="1:20">
      <c r="A942" s="227"/>
      <c r="B942" s="131" t="s">
        <v>735</v>
      </c>
      <c r="C942" s="227">
        <v>90096</v>
      </c>
      <c r="H942" s="226"/>
      <c r="K942" s="226"/>
      <c r="P942" s="226"/>
    </row>
    <row r="943" spans="1:20">
      <c r="A943" s="227"/>
      <c r="B943" s="131" t="s">
        <v>786</v>
      </c>
      <c r="C943" s="227">
        <v>90805</v>
      </c>
      <c r="H943" s="226"/>
      <c r="K943" s="226"/>
      <c r="P943" s="226"/>
    </row>
    <row r="944" spans="1:20">
      <c r="A944" s="227"/>
      <c r="B944" s="131" t="s">
        <v>929</v>
      </c>
      <c r="C944" s="227">
        <v>92109</v>
      </c>
      <c r="H944" s="226"/>
      <c r="K944" s="226"/>
      <c r="P944" s="226"/>
    </row>
    <row r="945" spans="1:16">
      <c r="A945" s="227"/>
      <c r="B945" s="131" t="s">
        <v>747</v>
      </c>
      <c r="C945" s="227">
        <v>90201</v>
      </c>
      <c r="H945" s="226"/>
      <c r="K945" s="226"/>
      <c r="P945" s="226"/>
    </row>
    <row r="946" spans="1:16">
      <c r="A946" s="227"/>
      <c r="B946" s="131" t="s">
        <v>750</v>
      </c>
      <c r="C946" s="227">
        <v>90206</v>
      </c>
      <c r="H946" s="226"/>
      <c r="K946" s="226"/>
      <c r="P946" s="226"/>
    </row>
    <row r="947" spans="1:16">
      <c r="A947" s="227"/>
      <c r="B947" s="131" t="s">
        <v>748</v>
      </c>
      <c r="C947" s="227">
        <v>90203</v>
      </c>
      <c r="H947" s="226"/>
      <c r="K947" s="226"/>
      <c r="P947" s="226"/>
    </row>
    <row r="948" spans="1:16">
      <c r="A948" s="227"/>
      <c r="B948" s="131" t="s">
        <v>749</v>
      </c>
      <c r="C948" s="227">
        <v>90205</v>
      </c>
      <c r="H948" s="226"/>
      <c r="K948" s="226"/>
      <c r="P948" s="226"/>
    </row>
    <row r="949" spans="1:16">
      <c r="A949" s="227"/>
      <c r="B949" s="131" t="s">
        <v>752</v>
      </c>
      <c r="C949" s="227">
        <v>90301</v>
      </c>
      <c r="H949" s="226"/>
      <c r="K949" s="226"/>
      <c r="P949" s="226"/>
    </row>
    <row r="950" spans="1:16">
      <c r="A950" s="227"/>
      <c r="B950" s="131" t="s">
        <v>1024</v>
      </c>
      <c r="C950" s="227">
        <v>93209</v>
      </c>
      <c r="H950" s="226"/>
      <c r="K950" s="226"/>
      <c r="P950" s="226"/>
    </row>
    <row r="951" spans="1:16">
      <c r="A951" s="227"/>
      <c r="B951" s="131" t="s">
        <v>2029</v>
      </c>
      <c r="C951" s="227">
        <v>92021</v>
      </c>
      <c r="H951" s="226"/>
      <c r="K951" s="226"/>
      <c r="P951" s="226"/>
    </row>
    <row r="952" spans="1:16">
      <c r="A952" s="227"/>
      <c r="B952" s="131" t="s">
        <v>2030</v>
      </c>
      <c r="C952" s="227">
        <v>94351</v>
      </c>
      <c r="H952" s="226"/>
      <c r="K952" s="226"/>
      <c r="P952" s="226"/>
    </row>
    <row r="953" spans="1:16">
      <c r="A953" s="227"/>
      <c r="B953" s="131" t="s">
        <v>2031</v>
      </c>
      <c r="C953" s="227">
        <v>94347</v>
      </c>
      <c r="H953" s="226"/>
      <c r="K953" s="226"/>
      <c r="P953" s="226"/>
    </row>
    <row r="954" spans="1:16">
      <c r="A954" s="227"/>
      <c r="B954" s="131" t="s">
        <v>755</v>
      </c>
      <c r="C954" s="227">
        <v>90401</v>
      </c>
      <c r="H954" s="226"/>
      <c r="K954" s="226"/>
      <c r="P954" s="226"/>
    </row>
    <row r="955" spans="1:16">
      <c r="A955" s="227"/>
      <c r="B955" s="131" t="s">
        <v>2032</v>
      </c>
      <c r="C955" s="227">
        <v>90451</v>
      </c>
      <c r="H955" s="226"/>
      <c r="K955" s="226"/>
      <c r="P955" s="226"/>
    </row>
    <row r="956" spans="1:16">
      <c r="A956" s="227"/>
      <c r="B956" s="131" t="s">
        <v>2033</v>
      </c>
      <c r="C956" s="227">
        <v>99271</v>
      </c>
      <c r="H956" s="226"/>
      <c r="K956" s="226"/>
      <c r="P956" s="226"/>
    </row>
    <row r="957" spans="1:16">
      <c r="A957" s="227"/>
      <c r="B957" s="131" t="s">
        <v>737</v>
      </c>
      <c r="C957" s="227">
        <v>90099</v>
      </c>
      <c r="H957" s="226"/>
      <c r="K957" s="226"/>
      <c r="P957" s="226"/>
    </row>
    <row r="958" spans="1:16">
      <c r="A958" s="227"/>
      <c r="B958" s="131" t="s">
        <v>1596</v>
      </c>
      <c r="C958" s="227">
        <v>99705</v>
      </c>
      <c r="H958" s="226"/>
      <c r="K958" s="226"/>
      <c r="P958" s="226"/>
    </row>
    <row r="959" spans="1:16">
      <c r="A959" s="227"/>
      <c r="B959" s="131" t="s">
        <v>1949</v>
      </c>
      <c r="C959" s="227">
        <v>97651</v>
      </c>
      <c r="H959" s="226"/>
      <c r="K959" s="226"/>
      <c r="P959" s="226"/>
    </row>
    <row r="960" spans="1:16">
      <c r="A960" s="227"/>
      <c r="B960" s="131" t="s">
        <v>2034</v>
      </c>
      <c r="C960" s="227">
        <v>95106</v>
      </c>
      <c r="H960" s="226"/>
      <c r="K960" s="226"/>
      <c r="P960" s="226"/>
    </row>
    <row r="961" spans="1:16">
      <c r="A961" s="227"/>
      <c r="B961" s="131" t="s">
        <v>764</v>
      </c>
      <c r="C961" s="227">
        <v>90501</v>
      </c>
      <c r="H961" s="226"/>
      <c r="K961" s="226"/>
      <c r="P961" s="226"/>
    </row>
    <row r="962" spans="1:16">
      <c r="A962" s="227"/>
      <c r="B962" s="131" t="s">
        <v>1950</v>
      </c>
      <c r="C962" s="227">
        <v>97611</v>
      </c>
      <c r="H962" s="226"/>
      <c r="K962" s="226"/>
      <c r="P962" s="226"/>
    </row>
    <row r="963" spans="1:16">
      <c r="A963" s="227"/>
      <c r="B963" s="131" t="s">
        <v>1393</v>
      </c>
      <c r="C963" s="227">
        <v>97607</v>
      </c>
      <c r="H963" s="226"/>
      <c r="K963" s="226"/>
      <c r="P963" s="226"/>
    </row>
    <row r="964" spans="1:16">
      <c r="A964" s="227"/>
      <c r="B964" s="131" t="s">
        <v>2753</v>
      </c>
      <c r="C964" s="227">
        <v>97613</v>
      </c>
      <c r="H964" s="226"/>
      <c r="K964" s="226"/>
      <c r="P964" s="226"/>
    </row>
    <row r="965" spans="1:16">
      <c r="A965" s="227"/>
      <c r="B965" s="131" t="s">
        <v>1951</v>
      </c>
      <c r="C965" s="227">
        <v>91121</v>
      </c>
      <c r="H965" s="226"/>
      <c r="K965" s="226"/>
      <c r="P965" s="226"/>
    </row>
    <row r="966" spans="1:16">
      <c r="A966" s="227"/>
      <c r="B966" s="131" t="s">
        <v>838</v>
      </c>
      <c r="C966" s="51">
        <v>91127</v>
      </c>
      <c r="H966" s="226"/>
      <c r="K966" s="226"/>
      <c r="P966" s="226"/>
    </row>
    <row r="967" spans="1:16">
      <c r="A967" s="227"/>
      <c r="B967" s="131" t="s">
        <v>839</v>
      </c>
      <c r="C967" s="227">
        <v>91128</v>
      </c>
      <c r="H967" s="226"/>
      <c r="K967" s="226"/>
      <c r="P967" s="226"/>
    </row>
    <row r="968" spans="1:16">
      <c r="A968" s="227"/>
      <c r="B968" s="131" t="s">
        <v>2035</v>
      </c>
      <c r="C968" s="227">
        <v>91681</v>
      </c>
      <c r="H968" s="226"/>
      <c r="K968" s="226"/>
      <c r="P968" s="226"/>
    </row>
    <row r="969" spans="1:16">
      <c r="A969" s="227"/>
      <c r="B969" s="131" t="s">
        <v>2036</v>
      </c>
      <c r="C969" s="227">
        <v>90811</v>
      </c>
      <c r="H969" s="226"/>
      <c r="K969" s="226"/>
      <c r="P969" s="226"/>
    </row>
    <row r="970" spans="1:16">
      <c r="A970" s="227"/>
      <c r="B970" s="131" t="s">
        <v>2038</v>
      </c>
      <c r="C970" s="227">
        <v>90721</v>
      </c>
      <c r="H970" s="226"/>
      <c r="K970" s="226"/>
      <c r="P970" s="226"/>
    </row>
    <row r="971" spans="1:16">
      <c r="A971" s="227"/>
      <c r="B971" s="131" t="s">
        <v>2037</v>
      </c>
      <c r="C971" s="227">
        <v>98271</v>
      </c>
      <c r="H971" s="226"/>
      <c r="K971" s="226"/>
      <c r="P971" s="226"/>
    </row>
    <row r="972" spans="1:16">
      <c r="A972" s="227"/>
      <c r="B972" s="131" t="s">
        <v>767</v>
      </c>
      <c r="C972" s="227">
        <v>90601</v>
      </c>
      <c r="H972" s="226"/>
      <c r="K972" s="226"/>
      <c r="P972" s="226"/>
    </row>
    <row r="973" spans="1:16">
      <c r="A973" s="227"/>
      <c r="B973" s="131" t="s">
        <v>259</v>
      </c>
      <c r="C973" s="227">
        <v>90602</v>
      </c>
      <c r="H973" s="226"/>
      <c r="K973" s="226"/>
      <c r="P973" s="226"/>
    </row>
    <row r="974" spans="1:16">
      <c r="A974" s="227"/>
      <c r="B974" s="131" t="s">
        <v>768</v>
      </c>
      <c r="C974" s="227">
        <v>90605</v>
      </c>
      <c r="H974" s="226"/>
      <c r="K974" s="226"/>
      <c r="P974" s="226"/>
    </row>
    <row r="975" spans="1:16">
      <c r="A975" s="227"/>
      <c r="B975" s="131" t="s">
        <v>2039</v>
      </c>
      <c r="C975" s="227">
        <v>97461</v>
      </c>
      <c r="H975" s="226"/>
      <c r="K975" s="226"/>
      <c r="P975" s="226"/>
    </row>
    <row r="976" spans="1:16">
      <c r="A976" s="227"/>
      <c r="B976" s="131" t="s">
        <v>1384</v>
      </c>
      <c r="C976" s="227">
        <v>97463</v>
      </c>
      <c r="H976" s="226"/>
      <c r="K976" s="226"/>
      <c r="P976" s="226"/>
    </row>
    <row r="977" spans="1:16">
      <c r="A977" s="227"/>
      <c r="B977" s="131" t="s">
        <v>777</v>
      </c>
      <c r="C977" s="227">
        <v>90705</v>
      </c>
      <c r="H977" s="226"/>
      <c r="K977" s="226"/>
      <c r="P977" s="226"/>
    </row>
    <row r="978" spans="1:16">
      <c r="A978" s="227"/>
      <c r="B978" s="131" t="s">
        <v>2040</v>
      </c>
      <c r="C978" s="227">
        <v>98451</v>
      </c>
      <c r="H978" s="226"/>
      <c r="K978" s="226"/>
      <c r="P978" s="226"/>
    </row>
    <row r="979" spans="1:16">
      <c r="A979" s="227"/>
      <c r="B979" s="131" t="s">
        <v>2041</v>
      </c>
      <c r="C979" s="227">
        <v>96451</v>
      </c>
      <c r="H979" s="226"/>
      <c r="K979" s="226"/>
      <c r="P979" s="226"/>
    </row>
    <row r="980" spans="1:16">
      <c r="A980" s="227"/>
      <c r="B980" s="131" t="s">
        <v>2042</v>
      </c>
      <c r="C980" s="227">
        <v>96121</v>
      </c>
      <c r="H980" s="226"/>
      <c r="K980" s="226"/>
      <c r="P980" s="226"/>
    </row>
    <row r="981" spans="1:16">
      <c r="A981" s="227"/>
      <c r="B981" s="131" t="s">
        <v>2500</v>
      </c>
      <c r="C981" s="227">
        <v>91091</v>
      </c>
      <c r="H981" s="226"/>
      <c r="K981" s="226"/>
      <c r="P981" s="226"/>
    </row>
    <row r="982" spans="1:16">
      <c r="A982" s="227"/>
      <c r="B982" s="131" t="s">
        <v>2043</v>
      </c>
      <c r="C982" s="227">
        <v>90611</v>
      </c>
      <c r="H982" s="226"/>
      <c r="K982" s="226"/>
      <c r="P982" s="226"/>
    </row>
    <row r="983" spans="1:16">
      <c r="A983" s="227"/>
      <c r="B983" s="131" t="s">
        <v>1345</v>
      </c>
      <c r="C983" s="227">
        <v>96918</v>
      </c>
      <c r="H983" s="226"/>
      <c r="K983" s="226"/>
      <c r="P983" s="226"/>
    </row>
    <row r="984" spans="1:16">
      <c r="A984" s="227"/>
      <c r="B984" s="131" t="s">
        <v>2044</v>
      </c>
      <c r="C984" s="227">
        <v>96911</v>
      </c>
      <c r="H984" s="226"/>
      <c r="K984" s="226"/>
      <c r="P984" s="226"/>
    </row>
    <row r="985" spans="1:16">
      <c r="A985" s="227"/>
      <c r="B985" s="131" t="s">
        <v>1547</v>
      </c>
      <c r="C985" s="227">
        <v>99208</v>
      </c>
      <c r="H985" s="226"/>
      <c r="K985" s="226"/>
      <c r="P985" s="226"/>
    </row>
    <row r="986" spans="1:16">
      <c r="A986" s="227"/>
      <c r="B986" s="131" t="s">
        <v>2045</v>
      </c>
      <c r="C986" s="227">
        <v>91631</v>
      </c>
      <c r="H986" s="226"/>
      <c r="K986" s="226"/>
      <c r="P986" s="226"/>
    </row>
    <row r="987" spans="1:16">
      <c r="A987" s="227"/>
      <c r="B987" s="131" t="s">
        <v>775</v>
      </c>
      <c r="C987" s="227">
        <v>90701</v>
      </c>
      <c r="H987" s="226"/>
      <c r="K987" s="226"/>
      <c r="P987" s="226"/>
    </row>
    <row r="988" spans="1:16">
      <c r="A988" s="227"/>
      <c r="B988" s="131" t="s">
        <v>776</v>
      </c>
      <c r="C988" s="227">
        <v>90704</v>
      </c>
      <c r="H988" s="226"/>
      <c r="K988" s="226"/>
      <c r="P988" s="226"/>
    </row>
    <row r="989" spans="1:16">
      <c r="A989" s="227"/>
      <c r="B989" s="131" t="s">
        <v>2756</v>
      </c>
      <c r="C989" s="227">
        <v>91633</v>
      </c>
      <c r="H989" s="226"/>
      <c r="K989" s="226"/>
      <c r="P989" s="226"/>
    </row>
    <row r="990" spans="1:16">
      <c r="A990" s="227"/>
      <c r="B990" s="131" t="s">
        <v>2046</v>
      </c>
      <c r="C990" s="227">
        <v>90631</v>
      </c>
      <c r="H990" s="226"/>
      <c r="K990" s="226"/>
      <c r="P990" s="226"/>
    </row>
    <row r="991" spans="1:16">
      <c r="A991" s="227"/>
      <c r="B991" s="131" t="s">
        <v>2047</v>
      </c>
      <c r="C991" s="227">
        <v>90731</v>
      </c>
      <c r="H991" s="226"/>
      <c r="K991" s="226"/>
      <c r="P991" s="226"/>
    </row>
    <row r="992" spans="1:16">
      <c r="A992" s="227"/>
      <c r="B992" s="131" t="s">
        <v>1952</v>
      </c>
      <c r="C992" s="227">
        <v>93621</v>
      </c>
      <c r="H992" s="226"/>
      <c r="K992" s="226"/>
      <c r="P992" s="226"/>
    </row>
    <row r="993" spans="1:16">
      <c r="A993" s="227"/>
      <c r="B993" s="131" t="s">
        <v>1070</v>
      </c>
      <c r="C993" s="227">
        <v>93623</v>
      </c>
      <c r="H993" s="226"/>
      <c r="K993" s="226"/>
      <c r="P993" s="226"/>
    </row>
    <row r="994" spans="1:16">
      <c r="A994" s="227"/>
      <c r="B994" s="131" t="s">
        <v>2048</v>
      </c>
      <c r="C994" s="227">
        <v>91020</v>
      </c>
      <c r="H994" s="226"/>
      <c r="K994" s="226"/>
      <c r="P994" s="226"/>
    </row>
    <row r="995" spans="1:16">
      <c r="A995" s="227"/>
      <c r="B995" s="131" t="s">
        <v>2049</v>
      </c>
      <c r="C995" s="227">
        <v>95141</v>
      </c>
      <c r="H995" s="226"/>
      <c r="K995" s="226"/>
      <c r="P995" s="226"/>
    </row>
    <row r="996" spans="1:16">
      <c r="A996" s="227"/>
      <c r="B996" s="131" t="s">
        <v>1190</v>
      </c>
      <c r="C996" s="227">
        <v>95103</v>
      </c>
      <c r="H996" s="226"/>
      <c r="K996" s="226"/>
      <c r="P996" s="226"/>
    </row>
    <row r="997" spans="1:16">
      <c r="A997" s="227"/>
      <c r="B997" s="131" t="s">
        <v>2050</v>
      </c>
      <c r="C997" s="227">
        <v>93021</v>
      </c>
      <c r="H997" s="226"/>
      <c r="K997" s="226"/>
      <c r="P997" s="226"/>
    </row>
    <row r="998" spans="1:16">
      <c r="A998" s="227"/>
      <c r="B998" s="131" t="s">
        <v>784</v>
      </c>
      <c r="C998" s="227">
        <v>90801</v>
      </c>
      <c r="H998" s="226"/>
      <c r="K998" s="226"/>
      <c r="P998" s="226"/>
    </row>
    <row r="999" spans="1:16">
      <c r="A999" s="227"/>
      <c r="B999" s="131" t="s">
        <v>785</v>
      </c>
      <c r="C999" s="227">
        <v>90804</v>
      </c>
      <c r="H999" s="226"/>
      <c r="K999" s="226"/>
      <c r="P999" s="226"/>
    </row>
    <row r="1000" spans="1:16">
      <c r="A1000" s="227"/>
      <c r="B1000" s="131" t="s">
        <v>787</v>
      </c>
      <c r="C1000" s="227">
        <v>90808</v>
      </c>
      <c r="H1000" s="226"/>
      <c r="K1000" s="226"/>
      <c r="P1000" s="226"/>
    </row>
    <row r="1001" spans="1:16">
      <c r="A1001" s="227"/>
      <c r="B1001" s="131" t="s">
        <v>1076</v>
      </c>
      <c r="C1001" s="227">
        <v>93671</v>
      </c>
      <c r="H1001" s="226"/>
      <c r="K1001" s="226"/>
      <c r="P1001" s="226"/>
    </row>
    <row r="1002" spans="1:16">
      <c r="A1002" s="227"/>
      <c r="B1002" s="131" t="s">
        <v>2776</v>
      </c>
      <c r="C1002" s="227">
        <v>93677</v>
      </c>
      <c r="H1002" s="226"/>
      <c r="K1002" s="226"/>
      <c r="P1002" s="226"/>
    </row>
    <row r="1003" spans="1:16">
      <c r="A1003" s="227"/>
      <c r="B1003" s="131" t="s">
        <v>2051</v>
      </c>
      <c r="C1003" s="227">
        <v>97441</v>
      </c>
      <c r="H1003" s="226"/>
      <c r="K1003" s="226"/>
      <c r="P1003" s="226"/>
    </row>
    <row r="1004" spans="1:16">
      <c r="A1004" s="227"/>
      <c r="B1004" s="131" t="s">
        <v>2052</v>
      </c>
      <c r="C1004" s="227">
        <v>93111</v>
      </c>
      <c r="H1004" s="226"/>
      <c r="K1004" s="226"/>
      <c r="P1004" s="226"/>
    </row>
    <row r="1005" spans="1:16">
      <c r="A1005" s="227"/>
      <c r="B1005" s="131" t="s">
        <v>2053</v>
      </c>
      <c r="C1005" s="227">
        <v>91111</v>
      </c>
      <c r="H1005" s="226"/>
      <c r="K1005" s="226"/>
      <c r="P1005" s="226"/>
    </row>
    <row r="1006" spans="1:16">
      <c r="A1006" s="227"/>
      <c r="B1006" s="131" t="s">
        <v>2054</v>
      </c>
      <c r="C1006" s="227">
        <v>96231</v>
      </c>
      <c r="H1006" s="226"/>
      <c r="K1006" s="226"/>
      <c r="P1006" s="226"/>
    </row>
    <row r="1007" spans="1:16">
      <c r="A1007" s="227"/>
      <c r="B1007" s="131" t="s">
        <v>2055</v>
      </c>
      <c r="C1007" s="51">
        <v>99831</v>
      </c>
      <c r="H1007" s="226"/>
      <c r="K1007" s="226"/>
      <c r="P1007" s="226"/>
    </row>
    <row r="1008" spans="1:16">
      <c r="A1008" s="227"/>
      <c r="B1008" s="131" t="s">
        <v>2056</v>
      </c>
      <c r="C1008" s="227">
        <v>91151</v>
      </c>
      <c r="H1008" s="226"/>
      <c r="K1008" s="226"/>
      <c r="P1008" s="226"/>
    </row>
    <row r="1009" spans="1:16">
      <c r="A1009" s="227"/>
      <c r="B1009" s="131" t="s">
        <v>844</v>
      </c>
      <c r="C1009" s="227">
        <v>91154</v>
      </c>
      <c r="H1009" s="226"/>
      <c r="K1009" s="226"/>
      <c r="P1009" s="226"/>
    </row>
    <row r="1010" spans="1:16">
      <c r="A1010" s="227"/>
      <c r="B1010" s="131" t="s">
        <v>792</v>
      </c>
      <c r="C1010" s="227">
        <v>90901</v>
      </c>
      <c r="H1010" s="226"/>
      <c r="K1010" s="226"/>
      <c r="P1010" s="226"/>
    </row>
    <row r="1011" spans="1:16">
      <c r="A1011" s="227"/>
      <c r="B1011" s="131" t="s">
        <v>2057</v>
      </c>
      <c r="C1011" s="227">
        <v>90941</v>
      </c>
      <c r="H1011" s="226"/>
      <c r="K1011" s="226"/>
      <c r="P1011" s="226"/>
    </row>
    <row r="1012" spans="1:16">
      <c r="A1012" s="227"/>
      <c r="B1012" s="131" t="s">
        <v>2058</v>
      </c>
      <c r="C1012" s="227">
        <v>99521</v>
      </c>
      <c r="H1012" s="226"/>
      <c r="K1012" s="226"/>
      <c r="P1012" s="226"/>
    </row>
    <row r="1013" spans="1:16">
      <c r="A1013" s="227"/>
      <c r="B1013" s="131" t="s">
        <v>1580</v>
      </c>
      <c r="C1013" s="227">
        <v>99527</v>
      </c>
      <c r="H1013" s="226"/>
      <c r="K1013" s="226"/>
      <c r="P1013" s="226"/>
    </row>
    <row r="1014" spans="1:16">
      <c r="A1014" s="227"/>
      <c r="B1014" s="131" t="s">
        <v>1576</v>
      </c>
      <c r="C1014" s="227">
        <v>99508</v>
      </c>
      <c r="H1014" s="226"/>
      <c r="K1014" s="226"/>
      <c r="P1014" s="226"/>
    </row>
    <row r="1015" spans="1:16">
      <c r="A1015" s="227"/>
      <c r="B1015" s="131" t="s">
        <v>1156</v>
      </c>
      <c r="C1015" s="227">
        <v>94532</v>
      </c>
      <c r="H1015" s="226"/>
      <c r="K1015" s="226"/>
      <c r="P1015" s="226"/>
    </row>
    <row r="1016" spans="1:16">
      <c r="A1016" s="227"/>
      <c r="B1016" s="131" t="s">
        <v>1953</v>
      </c>
      <c r="C1016" s="227">
        <v>91071</v>
      </c>
      <c r="H1016" s="226"/>
      <c r="K1016" s="226"/>
      <c r="P1016" s="226"/>
    </row>
    <row r="1017" spans="1:16">
      <c r="A1017" s="227"/>
      <c r="B1017" s="131" t="s">
        <v>826</v>
      </c>
      <c r="C1017" s="227">
        <v>91077</v>
      </c>
      <c r="H1017" s="226"/>
      <c r="K1017" s="226"/>
      <c r="P1017" s="226"/>
    </row>
    <row r="1018" spans="1:16">
      <c r="A1018" s="227"/>
      <c r="B1018" s="131" t="s">
        <v>2059</v>
      </c>
      <c r="C1018" s="227">
        <v>92331</v>
      </c>
      <c r="H1018" s="226"/>
      <c r="K1018" s="226"/>
      <c r="P1018" s="226"/>
    </row>
    <row r="1019" spans="1:16">
      <c r="A1019" s="227"/>
      <c r="B1019" s="131" t="s">
        <v>2060</v>
      </c>
      <c r="C1019" s="227">
        <v>92414</v>
      </c>
      <c r="H1019" s="226"/>
      <c r="K1019" s="226"/>
      <c r="P1019" s="226"/>
    </row>
    <row r="1020" spans="1:16">
      <c r="A1020" s="227"/>
      <c r="B1020" s="131" t="s">
        <v>2061</v>
      </c>
      <c r="C1020" s="227">
        <v>99511</v>
      </c>
      <c r="H1020" s="226"/>
      <c r="K1020" s="226"/>
      <c r="P1020" s="226"/>
    </row>
    <row r="1021" spans="1:16">
      <c r="A1021" s="227"/>
      <c r="B1021" s="131" t="s">
        <v>2062</v>
      </c>
      <c r="C1021" s="51">
        <v>99941</v>
      </c>
      <c r="H1021" s="226"/>
      <c r="K1021" s="226"/>
      <c r="P1021" s="226"/>
    </row>
    <row r="1022" spans="1:16">
      <c r="A1022" s="227"/>
      <c r="B1022" s="131" t="s">
        <v>1298</v>
      </c>
      <c r="C1022" s="227">
        <v>96405</v>
      </c>
      <c r="H1022" s="226"/>
      <c r="K1022" s="226"/>
      <c r="P1022" s="226"/>
    </row>
    <row r="1023" spans="1:16">
      <c r="A1023" s="227"/>
      <c r="B1023" s="131" t="s">
        <v>1954</v>
      </c>
      <c r="C1023" s="227">
        <v>98811</v>
      </c>
      <c r="H1023" s="226"/>
      <c r="K1023" s="226"/>
      <c r="P1023" s="226"/>
    </row>
    <row r="1024" spans="1:16">
      <c r="A1024" s="227"/>
      <c r="B1024" s="131" t="s">
        <v>1518</v>
      </c>
      <c r="C1024" s="227">
        <v>98817</v>
      </c>
      <c r="H1024" s="226"/>
      <c r="K1024" s="226"/>
      <c r="P1024" s="226"/>
    </row>
    <row r="1025" spans="1:16">
      <c r="A1025" s="227"/>
      <c r="B1025" s="131" t="s">
        <v>2063</v>
      </c>
      <c r="C1025" s="227">
        <v>92561</v>
      </c>
      <c r="H1025" s="226"/>
      <c r="K1025" s="226"/>
      <c r="P1025" s="226"/>
    </row>
    <row r="1026" spans="1:16">
      <c r="A1026" s="227"/>
      <c r="B1026" s="131" t="s">
        <v>1459</v>
      </c>
      <c r="C1026" s="227">
        <v>98102</v>
      </c>
      <c r="H1026" s="226"/>
      <c r="K1026" s="226"/>
      <c r="P1026" s="226"/>
    </row>
    <row r="1027" spans="1:16">
      <c r="A1027" s="227"/>
      <c r="B1027" s="131" t="s">
        <v>2064</v>
      </c>
      <c r="C1027" s="227">
        <v>95321</v>
      </c>
      <c r="H1027" s="226"/>
      <c r="K1027" s="226"/>
      <c r="P1027" s="226"/>
    </row>
    <row r="1028" spans="1:16">
      <c r="A1028" s="227"/>
      <c r="B1028" s="131" t="s">
        <v>2065</v>
      </c>
      <c r="C1028" s="227">
        <v>91861</v>
      </c>
      <c r="H1028" s="226"/>
      <c r="K1028" s="226"/>
      <c r="P1028" s="226"/>
    </row>
    <row r="1029" spans="1:16">
      <c r="A1029" s="227"/>
      <c r="B1029" s="131" t="s">
        <v>2066</v>
      </c>
      <c r="C1029" s="227">
        <v>92421</v>
      </c>
      <c r="H1029" s="226"/>
      <c r="K1029" s="226"/>
      <c r="P1029" s="226"/>
    </row>
    <row r="1030" spans="1:16">
      <c r="A1030" s="227"/>
      <c r="B1030" s="131" t="s">
        <v>799</v>
      </c>
      <c r="C1030" s="227">
        <v>91001</v>
      </c>
      <c r="H1030" s="226"/>
      <c r="K1030" s="226"/>
      <c r="P1030" s="226"/>
    </row>
    <row r="1031" spans="1:16">
      <c r="A1031" s="227"/>
      <c r="B1031" s="131" t="s">
        <v>802</v>
      </c>
      <c r="C1031" s="227">
        <v>91004</v>
      </c>
      <c r="H1031" s="226"/>
      <c r="K1031" s="226"/>
      <c r="P1031" s="226"/>
    </row>
    <row r="1032" spans="1:16">
      <c r="A1032" s="227"/>
      <c r="B1032" s="131" t="s">
        <v>2777</v>
      </c>
      <c r="C1032" s="227">
        <v>91006</v>
      </c>
      <c r="H1032" s="226"/>
      <c r="K1032" s="226"/>
      <c r="P1032" s="226"/>
    </row>
    <row r="1033" spans="1:16">
      <c r="A1033" s="227"/>
      <c r="B1033" s="131" t="s">
        <v>2778</v>
      </c>
      <c r="C1033" s="227">
        <v>91003</v>
      </c>
      <c r="H1033" s="226"/>
      <c r="K1033" s="226"/>
      <c r="P1033" s="226"/>
    </row>
    <row r="1034" spans="1:16">
      <c r="A1034" s="227"/>
      <c r="B1034" s="131" t="s">
        <v>806</v>
      </c>
      <c r="C1034" s="227">
        <v>91009</v>
      </c>
      <c r="H1034" s="226"/>
      <c r="K1034" s="226"/>
      <c r="P1034" s="226"/>
    </row>
    <row r="1035" spans="1:16">
      <c r="A1035" s="227"/>
      <c r="B1035" s="131" t="s">
        <v>819</v>
      </c>
      <c r="C1035" s="227">
        <v>91042</v>
      </c>
      <c r="H1035" s="226"/>
      <c r="K1035" s="226"/>
      <c r="P1035" s="226"/>
    </row>
    <row r="1036" spans="1:16">
      <c r="A1036" s="227"/>
      <c r="B1036" s="131" t="s">
        <v>2067</v>
      </c>
      <c r="C1036" s="227">
        <v>98711</v>
      </c>
      <c r="H1036" s="226"/>
      <c r="K1036" s="226"/>
      <c r="P1036" s="226"/>
    </row>
    <row r="1037" spans="1:16">
      <c r="A1037" s="227"/>
      <c r="B1037" s="131" t="s">
        <v>1515</v>
      </c>
      <c r="C1037" s="227">
        <v>98717</v>
      </c>
      <c r="H1037" s="226"/>
      <c r="K1037" s="226"/>
      <c r="P1037" s="226"/>
    </row>
    <row r="1038" spans="1:16">
      <c r="A1038" s="227"/>
      <c r="B1038" s="131" t="s">
        <v>829</v>
      </c>
      <c r="C1038" s="227">
        <v>91101</v>
      </c>
      <c r="H1038" s="226"/>
      <c r="K1038" s="226"/>
      <c r="P1038" s="226"/>
    </row>
    <row r="1039" spans="1:16">
      <c r="A1039" s="227"/>
      <c r="B1039" s="131" t="s">
        <v>2068</v>
      </c>
      <c r="C1039" s="227">
        <v>93531</v>
      </c>
      <c r="H1039" s="226"/>
      <c r="K1039" s="226"/>
      <c r="P1039" s="226"/>
    </row>
    <row r="1040" spans="1:16">
      <c r="A1040" s="227"/>
      <c r="B1040" s="131" t="s">
        <v>2751</v>
      </c>
      <c r="C1040" s="227">
        <v>93537</v>
      </c>
      <c r="H1040" s="226"/>
      <c r="K1040" s="226"/>
      <c r="P1040" s="226"/>
    </row>
    <row r="1041" spans="1:16">
      <c r="A1041" s="227"/>
      <c r="B1041" s="131" t="s">
        <v>2069</v>
      </c>
      <c r="C1041" s="227">
        <v>97111</v>
      </c>
      <c r="H1041" s="226"/>
      <c r="K1041" s="226"/>
      <c r="P1041" s="226"/>
    </row>
    <row r="1042" spans="1:16">
      <c r="A1042" s="227"/>
      <c r="B1042" s="131" t="s">
        <v>847</v>
      </c>
      <c r="C1042" s="227">
        <v>91201</v>
      </c>
      <c r="H1042" s="226"/>
      <c r="K1042" s="226"/>
      <c r="P1042" s="226"/>
    </row>
    <row r="1043" spans="1:16">
      <c r="A1043" s="227"/>
      <c r="B1043" s="131" t="s">
        <v>2779</v>
      </c>
      <c r="C1043" s="227">
        <v>91206</v>
      </c>
      <c r="H1043" s="226"/>
      <c r="K1043" s="226"/>
      <c r="P1043" s="226"/>
    </row>
    <row r="1044" spans="1:16">
      <c r="A1044" s="227"/>
      <c r="B1044" s="131" t="s">
        <v>2780</v>
      </c>
      <c r="C1044" s="227">
        <v>91203</v>
      </c>
      <c r="H1044" s="226"/>
      <c r="K1044" s="226"/>
      <c r="P1044" s="226"/>
    </row>
    <row r="1045" spans="1:16">
      <c r="A1045" s="227"/>
      <c r="B1045" s="131" t="s">
        <v>851</v>
      </c>
      <c r="C1045" s="227">
        <v>91208</v>
      </c>
      <c r="H1045" s="226"/>
      <c r="K1045" s="226"/>
      <c r="P1045" s="226"/>
    </row>
    <row r="1046" spans="1:16">
      <c r="A1046" s="227"/>
      <c r="B1046" s="131" t="s">
        <v>848</v>
      </c>
      <c r="C1046" s="227">
        <v>91202</v>
      </c>
      <c r="H1046" s="226"/>
      <c r="K1046" s="226"/>
      <c r="P1046" s="226"/>
    </row>
    <row r="1047" spans="1:16">
      <c r="A1047" s="227"/>
      <c r="B1047" s="131" t="s">
        <v>1955</v>
      </c>
      <c r="C1047" s="227">
        <v>90111</v>
      </c>
      <c r="H1047" s="226"/>
      <c r="K1047" s="226"/>
      <c r="P1047" s="226"/>
    </row>
    <row r="1048" spans="1:16">
      <c r="A1048" s="227"/>
      <c r="B1048" s="131" t="s">
        <v>2070</v>
      </c>
      <c r="C1048" s="227">
        <v>90011</v>
      </c>
      <c r="H1048" s="226"/>
      <c r="K1048" s="226"/>
      <c r="P1048" s="226"/>
    </row>
    <row r="1049" spans="1:16">
      <c r="A1049" s="227"/>
      <c r="B1049" s="131" t="s">
        <v>2071</v>
      </c>
      <c r="C1049" s="227">
        <v>93931</v>
      </c>
      <c r="H1049" s="226"/>
      <c r="K1049" s="226"/>
      <c r="P1049" s="226"/>
    </row>
    <row r="1050" spans="1:16">
      <c r="A1050" s="227"/>
      <c r="B1050" s="131" t="s">
        <v>862</v>
      </c>
      <c r="C1050" s="227">
        <v>91301</v>
      </c>
      <c r="H1050" s="226"/>
      <c r="K1050" s="226"/>
      <c r="P1050" s="226"/>
    </row>
    <row r="1051" spans="1:16">
      <c r="A1051" s="227"/>
      <c r="B1051" s="131" t="s">
        <v>2781</v>
      </c>
      <c r="C1051" s="227">
        <v>91306</v>
      </c>
      <c r="H1051" s="226"/>
      <c r="K1051" s="226"/>
      <c r="P1051" s="226"/>
    </row>
    <row r="1052" spans="1:16">
      <c r="A1052" s="227"/>
      <c r="B1052" s="131" t="s">
        <v>865</v>
      </c>
      <c r="C1052" s="227">
        <v>91308</v>
      </c>
      <c r="H1052" s="226"/>
      <c r="K1052" s="226"/>
      <c r="P1052" s="226"/>
    </row>
    <row r="1053" spans="1:16">
      <c r="A1053" s="227"/>
      <c r="B1053" s="131" t="s">
        <v>2072</v>
      </c>
      <c r="C1053" s="227">
        <v>91461</v>
      </c>
      <c r="H1053" s="226"/>
      <c r="K1053" s="226"/>
      <c r="P1053" s="226"/>
    </row>
    <row r="1054" spans="1:16">
      <c r="A1054" s="227"/>
      <c r="B1054" s="131" t="s">
        <v>2073</v>
      </c>
      <c r="C1054" s="227">
        <v>91010</v>
      </c>
      <c r="H1054" s="226"/>
      <c r="K1054" s="226"/>
      <c r="P1054" s="226"/>
    </row>
    <row r="1055" spans="1:16">
      <c r="A1055" s="227"/>
      <c r="B1055" s="131" t="s">
        <v>804</v>
      </c>
      <c r="C1055" s="227">
        <v>91007</v>
      </c>
      <c r="H1055" s="226"/>
      <c r="K1055" s="226"/>
      <c r="P1055" s="226"/>
    </row>
    <row r="1056" spans="1:16">
      <c r="A1056" s="227"/>
      <c r="B1056" s="131" t="s">
        <v>872</v>
      </c>
      <c r="C1056" s="227">
        <v>91401</v>
      </c>
      <c r="H1056" s="226"/>
      <c r="K1056" s="226"/>
      <c r="P1056" s="226"/>
    </row>
    <row r="1057" spans="1:16">
      <c r="A1057" s="227"/>
      <c r="B1057" s="131" t="s">
        <v>2074</v>
      </c>
      <c r="C1057" s="227">
        <v>93171</v>
      </c>
      <c r="H1057" s="226"/>
      <c r="K1057" s="226"/>
      <c r="P1057" s="226"/>
    </row>
    <row r="1058" spans="1:16">
      <c r="A1058" s="227"/>
      <c r="B1058" s="131" t="s">
        <v>882</v>
      </c>
      <c r="C1058" s="227">
        <v>91501</v>
      </c>
      <c r="H1058" s="226"/>
      <c r="K1058" s="226"/>
      <c r="P1058" s="226"/>
    </row>
    <row r="1059" spans="1:16">
      <c r="A1059" s="227"/>
      <c r="B1059" s="131" t="s">
        <v>883</v>
      </c>
      <c r="C1059" s="227">
        <v>91504</v>
      </c>
      <c r="H1059" s="226"/>
      <c r="K1059" s="226"/>
      <c r="P1059" s="226"/>
    </row>
    <row r="1060" spans="1:16">
      <c r="A1060" s="227"/>
      <c r="B1060" s="131" t="s">
        <v>2075</v>
      </c>
      <c r="C1060" s="227">
        <v>96312</v>
      </c>
      <c r="H1060" s="226"/>
      <c r="K1060" s="226"/>
      <c r="P1060" s="226"/>
    </row>
    <row r="1061" spans="1:16">
      <c r="A1061" s="227"/>
      <c r="B1061" s="131" t="s">
        <v>2076</v>
      </c>
      <c r="C1061" s="227">
        <v>96241</v>
      </c>
      <c r="H1061" s="226"/>
      <c r="K1061" s="226"/>
      <c r="P1061" s="226"/>
    </row>
    <row r="1062" spans="1:16">
      <c r="A1062" s="227"/>
      <c r="B1062" s="131" t="s">
        <v>2077</v>
      </c>
      <c r="C1062" s="227">
        <v>94431</v>
      </c>
      <c r="H1062" s="226"/>
      <c r="K1062" s="226"/>
      <c r="P1062" s="226"/>
    </row>
    <row r="1063" spans="1:16">
      <c r="A1063" s="227"/>
      <c r="B1063" s="131" t="s">
        <v>1148</v>
      </c>
      <c r="C1063" s="227">
        <v>94437</v>
      </c>
      <c r="H1063" s="226"/>
      <c r="K1063" s="226"/>
      <c r="P1063" s="226"/>
    </row>
    <row r="1064" spans="1:16">
      <c r="A1064" s="227"/>
      <c r="B1064" s="131" t="s">
        <v>2078</v>
      </c>
      <c r="C1064" s="227">
        <v>91671</v>
      </c>
      <c r="H1064" s="226"/>
      <c r="K1064" s="226"/>
      <c r="P1064" s="226"/>
    </row>
    <row r="1065" spans="1:16">
      <c r="A1065" s="227"/>
      <c r="B1065" s="131" t="s">
        <v>805</v>
      </c>
      <c r="C1065" s="227">
        <v>91008</v>
      </c>
      <c r="H1065" s="226"/>
      <c r="K1065" s="226"/>
      <c r="P1065" s="226"/>
    </row>
    <row r="1066" spans="1:16">
      <c r="A1066" s="227"/>
      <c r="B1066" s="131" t="s">
        <v>1312</v>
      </c>
      <c r="C1066" s="227">
        <v>96512</v>
      </c>
      <c r="H1066" s="226"/>
      <c r="K1066" s="226"/>
      <c r="P1066" s="226"/>
    </row>
    <row r="1067" spans="1:16">
      <c r="A1067" s="227"/>
      <c r="B1067" s="131" t="s">
        <v>1309</v>
      </c>
      <c r="C1067" s="227">
        <v>96507</v>
      </c>
      <c r="H1067" s="226"/>
      <c r="K1067" s="226"/>
      <c r="P1067" s="226"/>
    </row>
    <row r="1068" spans="1:16">
      <c r="A1068" s="227"/>
      <c r="B1068" s="131" t="s">
        <v>1640</v>
      </c>
      <c r="C1068" s="227">
        <v>91015</v>
      </c>
      <c r="H1068" s="226"/>
      <c r="K1068" s="226"/>
      <c r="P1068" s="226"/>
    </row>
    <row r="1069" spans="1:16">
      <c r="A1069" s="227"/>
      <c r="B1069" s="131" t="s">
        <v>2079</v>
      </c>
      <c r="C1069" s="227">
        <v>96521</v>
      </c>
      <c r="H1069" s="226"/>
      <c r="K1069" s="226"/>
      <c r="P1069" s="226"/>
    </row>
    <row r="1070" spans="1:16">
      <c r="A1070" s="227"/>
      <c r="B1070" s="131" t="s">
        <v>2080</v>
      </c>
      <c r="C1070" s="227">
        <v>91024</v>
      </c>
      <c r="H1070" s="226"/>
      <c r="K1070" s="226"/>
      <c r="P1070" s="226"/>
    </row>
    <row r="1071" spans="1:16">
      <c r="A1071" s="227"/>
      <c r="B1071" s="131" t="s">
        <v>2081</v>
      </c>
      <c r="C1071" s="227">
        <v>96821</v>
      </c>
      <c r="H1071" s="226"/>
      <c r="K1071" s="226"/>
      <c r="P1071" s="226"/>
    </row>
    <row r="1072" spans="1:16">
      <c r="A1072" s="227"/>
      <c r="B1072" s="131" t="s">
        <v>884</v>
      </c>
      <c r="C1072" s="227">
        <v>91601</v>
      </c>
      <c r="H1072" s="226"/>
      <c r="K1072" s="226"/>
      <c r="P1072" s="226"/>
    </row>
    <row r="1073" spans="1:16">
      <c r="A1073" s="51"/>
      <c r="B1073" s="131" t="s">
        <v>885</v>
      </c>
      <c r="C1073" s="227">
        <v>91604</v>
      </c>
      <c r="H1073" s="226"/>
      <c r="K1073" s="226"/>
      <c r="P1073" s="226"/>
    </row>
    <row r="1074" spans="1:16">
      <c r="A1074" s="51"/>
      <c r="B1074" s="131" t="s">
        <v>2082</v>
      </c>
      <c r="C1074" s="227">
        <v>96391</v>
      </c>
      <c r="H1074" s="226"/>
      <c r="K1074" s="226"/>
      <c r="P1074" s="226"/>
    </row>
    <row r="1075" spans="1:16">
      <c r="A1075" s="51"/>
      <c r="B1075" s="131" t="s">
        <v>2083</v>
      </c>
      <c r="C1075" s="227">
        <v>99221</v>
      </c>
      <c r="H1075" s="226"/>
      <c r="K1075" s="226"/>
      <c r="P1075" s="226"/>
    </row>
    <row r="1076" spans="1:16">
      <c r="A1076" s="227"/>
      <c r="B1076" s="131" t="s">
        <v>2084</v>
      </c>
      <c r="C1076" s="227">
        <v>91051</v>
      </c>
      <c r="H1076" s="226"/>
      <c r="K1076" s="226"/>
      <c r="P1076" s="226"/>
    </row>
    <row r="1077" spans="1:16">
      <c r="A1077" s="227"/>
      <c r="B1077" s="131" t="s">
        <v>897</v>
      </c>
      <c r="C1077" s="227">
        <v>91701</v>
      </c>
      <c r="H1077" s="226"/>
      <c r="K1077" s="226"/>
      <c r="P1077" s="226"/>
    </row>
    <row r="1078" spans="1:16">
      <c r="A1078" s="227"/>
      <c r="B1078" s="131" t="s">
        <v>898</v>
      </c>
      <c r="C1078" s="227">
        <v>91704</v>
      </c>
      <c r="H1078" s="226"/>
      <c r="K1078" s="226"/>
      <c r="P1078" s="226"/>
    </row>
    <row r="1079" spans="1:16">
      <c r="A1079" s="227"/>
      <c r="B1079" s="131" t="s">
        <v>2782</v>
      </c>
      <c r="C1079" s="227">
        <v>91706</v>
      </c>
      <c r="H1079" s="226"/>
      <c r="K1079" s="226"/>
      <c r="P1079" s="226"/>
    </row>
    <row r="1080" spans="1:16">
      <c r="A1080" s="227"/>
      <c r="B1080" s="131" t="s">
        <v>2085</v>
      </c>
      <c r="C1080" s="227">
        <v>91881</v>
      </c>
      <c r="H1080" s="226"/>
      <c r="K1080" s="226"/>
      <c r="P1080" s="226"/>
    </row>
    <row r="1081" spans="1:16">
      <c r="A1081" s="227"/>
      <c r="B1081" s="131" t="s">
        <v>901</v>
      </c>
      <c r="C1081" s="227">
        <v>91801</v>
      </c>
      <c r="H1081" s="226"/>
      <c r="K1081" s="226"/>
      <c r="P1081" s="226"/>
    </row>
    <row r="1082" spans="1:16">
      <c r="A1082" s="227"/>
      <c r="B1082" s="131" t="s">
        <v>902</v>
      </c>
      <c r="C1082" s="227">
        <v>91804</v>
      </c>
      <c r="H1082" s="226"/>
      <c r="K1082" s="226"/>
      <c r="P1082" s="226"/>
    </row>
    <row r="1083" spans="1:16">
      <c r="A1083" s="227"/>
      <c r="B1083" s="131" t="s">
        <v>2086</v>
      </c>
      <c r="C1083" s="227">
        <v>91691</v>
      </c>
      <c r="H1083" s="226"/>
      <c r="K1083" s="226"/>
      <c r="P1083" s="226"/>
    </row>
    <row r="1084" spans="1:16">
      <c r="A1084" s="227"/>
      <c r="B1084" s="131" t="s">
        <v>1554</v>
      </c>
      <c r="C1084" s="227">
        <v>99222</v>
      </c>
      <c r="H1084" s="226"/>
      <c r="K1084" s="226"/>
      <c r="P1084" s="226"/>
    </row>
    <row r="1085" spans="1:16">
      <c r="A1085" s="227"/>
      <c r="B1085" s="131" t="s">
        <v>1043</v>
      </c>
      <c r="C1085" s="227">
        <v>93408</v>
      </c>
      <c r="H1085" s="226"/>
      <c r="K1085" s="226"/>
      <c r="P1085" s="226"/>
    </row>
    <row r="1086" spans="1:16">
      <c r="A1086" s="227"/>
      <c r="B1086" s="131" t="s">
        <v>1258</v>
      </c>
      <c r="C1086" s="227">
        <v>96009</v>
      </c>
      <c r="H1086" s="226"/>
      <c r="K1086" s="226"/>
      <c r="P1086" s="226"/>
    </row>
    <row r="1087" spans="1:16">
      <c r="A1087" s="227"/>
      <c r="B1087" s="131" t="s">
        <v>2087</v>
      </c>
      <c r="C1087" s="227">
        <v>92441</v>
      </c>
      <c r="H1087" s="226"/>
      <c r="K1087" s="226"/>
      <c r="P1087" s="226"/>
    </row>
    <row r="1088" spans="1:16">
      <c r="A1088" s="227"/>
      <c r="B1088" s="131" t="s">
        <v>2088</v>
      </c>
      <c r="C1088" s="227">
        <v>96811</v>
      </c>
      <c r="H1088" s="226"/>
      <c r="K1088" s="226"/>
      <c r="P1088" s="226"/>
    </row>
    <row r="1089" spans="1:16">
      <c r="A1089" s="227"/>
      <c r="B1089" s="131" t="s">
        <v>1956</v>
      </c>
      <c r="C1089" s="227">
        <v>96011</v>
      </c>
      <c r="H1089" s="226"/>
      <c r="K1089" s="226"/>
      <c r="P1089" s="226"/>
    </row>
    <row r="1090" spans="1:16">
      <c r="A1090" s="227"/>
      <c r="B1090" s="131" t="s">
        <v>1261</v>
      </c>
      <c r="C1090" s="227">
        <v>96018</v>
      </c>
      <c r="H1090" s="226"/>
      <c r="K1090" s="226"/>
      <c r="P1090" s="226"/>
    </row>
    <row r="1091" spans="1:16">
      <c r="A1091" s="227"/>
      <c r="B1091" s="131" t="s">
        <v>1254</v>
      </c>
      <c r="C1091" s="227">
        <v>96003</v>
      </c>
      <c r="H1091" s="226"/>
      <c r="K1091" s="226"/>
      <c r="P1091" s="226"/>
    </row>
    <row r="1092" spans="1:16">
      <c r="A1092" s="227"/>
      <c r="B1092" s="131" t="s">
        <v>1256</v>
      </c>
      <c r="C1092" s="227">
        <v>96005</v>
      </c>
      <c r="H1092" s="226"/>
      <c r="K1092" s="226"/>
      <c r="P1092" s="226"/>
    </row>
    <row r="1093" spans="1:16">
      <c r="A1093" s="227"/>
      <c r="B1093" s="131" t="s">
        <v>1260</v>
      </c>
      <c r="C1093" s="227">
        <v>96012</v>
      </c>
      <c r="H1093" s="226"/>
      <c r="K1093" s="226"/>
      <c r="P1093" s="226"/>
    </row>
    <row r="1094" spans="1:16">
      <c r="A1094" s="227"/>
      <c r="B1094" s="131" t="s">
        <v>915</v>
      </c>
      <c r="C1094" s="227">
        <v>91901</v>
      </c>
      <c r="H1094" s="226"/>
      <c r="K1094" s="226"/>
      <c r="P1094" s="226"/>
    </row>
    <row r="1095" spans="1:16">
      <c r="A1095" s="227"/>
      <c r="B1095" s="131" t="s">
        <v>917</v>
      </c>
      <c r="C1095" s="227">
        <v>91904</v>
      </c>
      <c r="H1095" s="226"/>
      <c r="K1095" s="226"/>
      <c r="P1095" s="226"/>
    </row>
    <row r="1096" spans="1:16">
      <c r="A1096" s="227"/>
      <c r="B1096" s="131" t="s">
        <v>2783</v>
      </c>
      <c r="C1096" s="227">
        <v>91903</v>
      </c>
      <c r="H1096" s="226"/>
      <c r="K1096" s="226"/>
      <c r="P1096" s="226"/>
    </row>
    <row r="1097" spans="1:16">
      <c r="A1097" s="227"/>
      <c r="B1097" s="131" t="s">
        <v>922</v>
      </c>
      <c r="C1097" s="227">
        <v>92001</v>
      </c>
      <c r="H1097" s="226"/>
      <c r="K1097" s="226"/>
      <c r="P1097" s="226"/>
    </row>
    <row r="1098" spans="1:16">
      <c r="A1098" s="227"/>
      <c r="B1098" s="131" t="s">
        <v>1957</v>
      </c>
      <c r="C1098" s="227">
        <v>93641</v>
      </c>
      <c r="H1098" s="226"/>
      <c r="K1098" s="226"/>
      <c r="P1098" s="226"/>
    </row>
    <row r="1099" spans="1:16">
      <c r="A1099" s="227"/>
      <c r="B1099" s="131" t="s">
        <v>1073</v>
      </c>
      <c r="C1099" s="227">
        <v>93647</v>
      </c>
      <c r="H1099" s="226"/>
      <c r="K1099" s="226"/>
      <c r="P1099" s="226"/>
    </row>
    <row r="1100" spans="1:16">
      <c r="A1100" s="227"/>
      <c r="B1100" s="131" t="s">
        <v>2089</v>
      </c>
      <c r="C1100" s="227">
        <v>98041</v>
      </c>
      <c r="H1100" s="226"/>
      <c r="K1100" s="226"/>
      <c r="P1100" s="226"/>
    </row>
    <row r="1101" spans="1:16">
      <c r="A1101" s="227"/>
      <c r="B1101" s="131" t="s">
        <v>2767</v>
      </c>
      <c r="C1101" s="227">
        <v>96612</v>
      </c>
      <c r="H1101" s="226"/>
      <c r="K1101" s="226"/>
      <c r="P1101" s="226"/>
    </row>
    <row r="1102" spans="1:16">
      <c r="A1102" s="227"/>
      <c r="B1102" s="131" t="s">
        <v>2090</v>
      </c>
      <c r="C1102" s="227">
        <v>90751</v>
      </c>
      <c r="H1102" s="226"/>
      <c r="K1102" s="226"/>
      <c r="P1102" s="226"/>
    </row>
    <row r="1103" spans="1:16">
      <c r="A1103" s="227"/>
      <c r="B1103" s="131" t="s">
        <v>927</v>
      </c>
      <c r="C1103" s="227">
        <v>92101</v>
      </c>
      <c r="H1103" s="226"/>
      <c r="K1103" s="226"/>
      <c r="P1103" s="226"/>
    </row>
    <row r="1104" spans="1:16">
      <c r="A1104" s="227"/>
      <c r="B1104" s="131" t="s">
        <v>928</v>
      </c>
      <c r="C1104" s="227">
        <v>92104</v>
      </c>
      <c r="H1104" s="226"/>
      <c r="K1104" s="226"/>
      <c r="P1104" s="226"/>
    </row>
    <row r="1105" spans="1:16">
      <c r="A1105" s="227"/>
      <c r="B1105" s="131" t="s">
        <v>1958</v>
      </c>
      <c r="C1105" s="227">
        <v>91821</v>
      </c>
      <c r="H1105" s="226"/>
      <c r="K1105" s="226"/>
      <c r="P1105" s="226"/>
    </row>
    <row r="1106" spans="1:16">
      <c r="A1106" s="227"/>
      <c r="B1106" s="131" t="s">
        <v>2091</v>
      </c>
      <c r="C1106" s="227">
        <v>90931</v>
      </c>
      <c r="H1106" s="226"/>
      <c r="K1106" s="226"/>
      <c r="P1106" s="226"/>
    </row>
    <row r="1107" spans="1:16">
      <c r="A1107" s="227"/>
      <c r="B1107" s="131" t="s">
        <v>932</v>
      </c>
      <c r="C1107" s="227">
        <v>92201</v>
      </c>
      <c r="H1107" s="226"/>
      <c r="K1107" s="226"/>
      <c r="P1107" s="226"/>
    </row>
    <row r="1108" spans="1:16">
      <c r="A1108" s="227"/>
      <c r="B1108" s="252" t="s">
        <v>1931</v>
      </c>
      <c r="C1108" s="227">
        <v>92214</v>
      </c>
      <c r="H1108" s="226"/>
      <c r="K1108" s="226"/>
      <c r="P1108" s="226"/>
    </row>
    <row r="1109" spans="1:16">
      <c r="A1109" s="227"/>
      <c r="B1109" s="131" t="s">
        <v>2092</v>
      </c>
      <c r="C1109" s="227">
        <v>95131</v>
      </c>
      <c r="H1109" s="226"/>
      <c r="K1109" s="226"/>
      <c r="P1109" s="226"/>
    </row>
    <row r="1110" spans="1:16">
      <c r="A1110" s="227"/>
      <c r="B1110" s="131" t="s">
        <v>2501</v>
      </c>
      <c r="C1110" s="227">
        <v>93441</v>
      </c>
      <c r="H1110" s="226"/>
      <c r="K1110" s="226"/>
      <c r="P1110" s="226"/>
    </row>
    <row r="1111" spans="1:16">
      <c r="A1111" s="227"/>
      <c r="B1111" s="131" t="s">
        <v>1050</v>
      </c>
      <c r="C1111" s="227">
        <v>93442</v>
      </c>
      <c r="H1111" s="226"/>
      <c r="K1111" s="226"/>
      <c r="P1111" s="226"/>
    </row>
    <row r="1112" spans="1:16">
      <c r="A1112" s="227"/>
      <c r="B1112" s="131" t="s">
        <v>2093</v>
      </c>
      <c r="C1112" s="227">
        <v>98091</v>
      </c>
      <c r="H1112" s="226"/>
      <c r="K1112" s="226"/>
      <c r="P1112" s="226"/>
    </row>
    <row r="1113" spans="1:16">
      <c r="A1113" s="227"/>
      <c r="B1113" s="131" t="s">
        <v>933</v>
      </c>
      <c r="C1113" s="227">
        <v>92301</v>
      </c>
      <c r="H1113" s="226"/>
      <c r="K1113" s="226"/>
      <c r="P1113" s="226"/>
    </row>
    <row r="1114" spans="1:16">
      <c r="A1114" s="227"/>
      <c r="B1114" s="131" t="s">
        <v>934</v>
      </c>
      <c r="C1114" s="227">
        <v>92302</v>
      </c>
      <c r="H1114" s="226"/>
      <c r="K1114" s="226"/>
      <c r="P1114" s="226"/>
    </row>
    <row r="1115" spans="1:16">
      <c r="A1115" s="227"/>
      <c r="B1115" s="131" t="s">
        <v>1959</v>
      </c>
      <c r="C1115" s="227">
        <v>98211</v>
      </c>
      <c r="H1115" s="226"/>
      <c r="K1115" s="226"/>
      <c r="P1115" s="226"/>
    </row>
    <row r="1116" spans="1:16">
      <c r="A1116" s="227"/>
      <c r="B1116" s="131" t="s">
        <v>1473</v>
      </c>
      <c r="C1116" s="227">
        <v>98218</v>
      </c>
      <c r="H1116" s="226"/>
      <c r="K1116" s="226"/>
      <c r="P1116" s="226"/>
    </row>
    <row r="1117" spans="1:16">
      <c r="A1117" s="227"/>
      <c r="B1117" s="131" t="s">
        <v>957</v>
      </c>
      <c r="C1117" s="227">
        <v>92506</v>
      </c>
      <c r="H1117" s="226"/>
      <c r="K1117" s="226"/>
      <c r="P1117" s="226"/>
    </row>
    <row r="1118" spans="1:16">
      <c r="A1118" s="227"/>
      <c r="B1118" s="131" t="s">
        <v>2760</v>
      </c>
      <c r="C1118" s="227">
        <v>92508</v>
      </c>
      <c r="H1118" s="226"/>
      <c r="K1118" s="226"/>
      <c r="P1118" s="226"/>
    </row>
    <row r="1119" spans="1:16">
      <c r="A1119" s="227"/>
      <c r="B1119" s="131" t="s">
        <v>1619</v>
      </c>
      <c r="C1119" s="227">
        <v>96519</v>
      </c>
      <c r="H1119" s="226"/>
      <c r="K1119" s="226"/>
      <c r="P1119" s="226"/>
    </row>
    <row r="1120" spans="1:16">
      <c r="A1120" s="227"/>
      <c r="B1120" s="131" t="s">
        <v>2094</v>
      </c>
      <c r="C1120" s="227">
        <v>94341</v>
      </c>
      <c r="H1120" s="226"/>
      <c r="K1120" s="226"/>
      <c r="P1120" s="226"/>
    </row>
    <row r="1121" spans="1:16">
      <c r="A1121" s="227"/>
      <c r="B1121" s="131" t="s">
        <v>2095</v>
      </c>
      <c r="C1121" s="227">
        <v>94641</v>
      </c>
      <c r="H1121" s="226"/>
      <c r="K1121" s="226"/>
      <c r="P1121" s="226"/>
    </row>
    <row r="1122" spans="1:16">
      <c r="A1122" s="227"/>
      <c r="B1122" s="131" t="s">
        <v>2096</v>
      </c>
      <c r="C1122" s="227">
        <v>90813</v>
      </c>
      <c r="H1122" s="226"/>
      <c r="K1122" s="226"/>
      <c r="P1122" s="226"/>
    </row>
    <row r="1123" spans="1:16">
      <c r="A1123" s="227"/>
      <c r="B1123" s="131" t="s">
        <v>1116</v>
      </c>
      <c r="C1123" s="227">
        <v>94168</v>
      </c>
      <c r="H1123" s="226"/>
      <c r="K1123" s="226"/>
      <c r="P1123" s="226"/>
    </row>
    <row r="1124" spans="1:16">
      <c r="A1124" s="227"/>
      <c r="B1124" s="131" t="s">
        <v>2097</v>
      </c>
      <c r="C1124" s="227">
        <v>98911</v>
      </c>
      <c r="H1124" s="226"/>
      <c r="K1124" s="226"/>
      <c r="P1124" s="226"/>
    </row>
    <row r="1125" spans="1:16">
      <c r="A1125" s="227"/>
      <c r="B1125" s="131" t="s">
        <v>2098</v>
      </c>
      <c r="C1125" s="227">
        <v>97521</v>
      </c>
      <c r="H1125" s="226"/>
      <c r="K1125" s="226"/>
      <c r="P1125" s="226"/>
    </row>
    <row r="1126" spans="1:16">
      <c r="A1126" s="227"/>
      <c r="B1126" s="131" t="s">
        <v>1641</v>
      </c>
      <c r="C1126" s="227">
        <v>97527</v>
      </c>
      <c r="H1126" s="226"/>
      <c r="K1126" s="226"/>
      <c r="P1126" s="226"/>
    </row>
    <row r="1127" spans="1:16">
      <c r="A1127" s="227"/>
      <c r="B1127" s="131" t="s">
        <v>942</v>
      </c>
      <c r="C1127" s="227">
        <v>92401</v>
      </c>
      <c r="H1127" s="226"/>
      <c r="K1127" s="226"/>
      <c r="P1127" s="226"/>
    </row>
    <row r="1128" spans="1:16">
      <c r="A1128" s="227"/>
      <c r="B1128" s="131" t="s">
        <v>1960</v>
      </c>
      <c r="C1128" s="227">
        <v>91311</v>
      </c>
      <c r="H1128" s="226"/>
      <c r="K1128" s="226"/>
      <c r="P1128" s="226"/>
    </row>
    <row r="1129" spans="1:16">
      <c r="A1129" s="227"/>
      <c r="B1129" s="131" t="s">
        <v>867</v>
      </c>
      <c r="C1129" s="227">
        <v>91317</v>
      </c>
      <c r="H1129" s="226"/>
      <c r="K1129" s="226"/>
      <c r="P1129" s="226"/>
    </row>
    <row r="1130" spans="1:16">
      <c r="A1130" s="227"/>
      <c r="B1130" s="131" t="s">
        <v>2099</v>
      </c>
      <c r="C1130" s="227">
        <v>91261</v>
      </c>
      <c r="H1130" s="226"/>
      <c r="K1130" s="226"/>
      <c r="P1130" s="226"/>
    </row>
    <row r="1131" spans="1:16">
      <c r="A1131" s="227"/>
      <c r="B1131" s="131" t="s">
        <v>2100</v>
      </c>
      <c r="C1131" s="227">
        <v>91851</v>
      </c>
      <c r="H1131" s="226"/>
      <c r="K1131" s="226"/>
      <c r="P1131" s="226"/>
    </row>
    <row r="1132" spans="1:16">
      <c r="A1132" s="227"/>
      <c r="B1132" s="131" t="s">
        <v>1374</v>
      </c>
      <c r="C1132" s="227">
        <v>97408</v>
      </c>
      <c r="H1132" s="226"/>
      <c r="K1132" s="226"/>
      <c r="P1132" s="226"/>
    </row>
    <row r="1133" spans="1:16">
      <c r="A1133" s="227"/>
      <c r="B1133" s="131" t="s">
        <v>2101</v>
      </c>
      <c r="C1133" s="227">
        <v>96641</v>
      </c>
      <c r="H1133" s="226"/>
      <c r="K1133" s="226"/>
      <c r="P1133" s="226"/>
    </row>
    <row r="1134" spans="1:16">
      <c r="A1134" s="227"/>
      <c r="B1134" s="131" t="s">
        <v>2102</v>
      </c>
      <c r="C1134" s="227">
        <v>93031</v>
      </c>
      <c r="H1134" s="226"/>
      <c r="K1134" s="226"/>
      <c r="P1134" s="226"/>
    </row>
    <row r="1135" spans="1:16">
      <c r="A1135" s="227"/>
      <c r="B1135" s="131" t="s">
        <v>1005</v>
      </c>
      <c r="C1135" s="227">
        <v>93027</v>
      </c>
      <c r="H1135" s="226"/>
      <c r="K1135" s="226"/>
      <c r="P1135" s="226"/>
    </row>
    <row r="1136" spans="1:16">
      <c r="A1136" s="227"/>
      <c r="B1136" s="131" t="s">
        <v>2103</v>
      </c>
      <c r="C1136" s="227">
        <v>96051</v>
      </c>
      <c r="H1136" s="226"/>
      <c r="K1136" s="226"/>
      <c r="P1136" s="226"/>
    </row>
    <row r="1137" spans="1:16">
      <c r="A1137" s="227"/>
      <c r="B1137" s="131" t="s">
        <v>2104</v>
      </c>
      <c r="C1137" s="227">
        <v>92571</v>
      </c>
      <c r="H1137" s="226"/>
      <c r="K1137" s="226"/>
      <c r="P1137" s="226"/>
    </row>
    <row r="1138" spans="1:16">
      <c r="A1138" s="227"/>
      <c r="B1138" s="131" t="s">
        <v>2105</v>
      </c>
      <c r="C1138" s="227">
        <v>93631</v>
      </c>
      <c r="H1138" s="226"/>
      <c r="K1138" s="226"/>
      <c r="P1138" s="226"/>
    </row>
    <row r="1139" spans="1:16">
      <c r="A1139" s="227"/>
      <c r="B1139" s="252" t="s">
        <v>1932</v>
      </c>
      <c r="C1139" s="227">
        <v>93604</v>
      </c>
      <c r="H1139" s="226"/>
      <c r="K1139" s="226"/>
      <c r="P1139" s="226"/>
    </row>
    <row r="1140" spans="1:16">
      <c r="A1140" s="227"/>
      <c r="B1140" s="131" t="s">
        <v>955</v>
      </c>
      <c r="C1140" s="227">
        <v>92504</v>
      </c>
      <c r="H1140" s="226"/>
      <c r="K1140" s="226"/>
      <c r="P1140" s="226"/>
    </row>
    <row r="1141" spans="1:16">
      <c r="A1141" s="227"/>
      <c r="B1141" s="131" t="s">
        <v>953</v>
      </c>
      <c r="C1141" s="227">
        <v>92501</v>
      </c>
      <c r="H1141" s="226"/>
      <c r="K1141" s="226"/>
      <c r="P1141" s="226"/>
    </row>
    <row r="1142" spans="1:16">
      <c r="A1142" s="227"/>
      <c r="B1142" s="131" t="s">
        <v>956</v>
      </c>
      <c r="C1142" s="227">
        <v>92505</v>
      </c>
      <c r="H1142" s="226"/>
      <c r="K1142" s="226"/>
      <c r="P1142" s="226"/>
    </row>
    <row r="1143" spans="1:16">
      <c r="A1143" s="227"/>
      <c r="B1143" s="131" t="s">
        <v>1961</v>
      </c>
      <c r="C1143" s="227">
        <v>93921</v>
      </c>
      <c r="H1143" s="226"/>
      <c r="K1143" s="226"/>
      <c r="P1143" s="226"/>
    </row>
    <row r="1144" spans="1:16">
      <c r="A1144" s="227"/>
      <c r="B1144" s="131" t="s">
        <v>2106</v>
      </c>
      <c r="C1144" s="227">
        <v>99431</v>
      </c>
      <c r="H1144" s="226"/>
      <c r="K1144" s="226"/>
      <c r="P1144" s="226"/>
    </row>
    <row r="1145" spans="1:16">
      <c r="A1145" s="227"/>
      <c r="B1145" s="131" t="s">
        <v>970</v>
      </c>
      <c r="C1145" s="227">
        <v>92604</v>
      </c>
      <c r="H1145" s="226"/>
      <c r="K1145" s="226"/>
      <c r="P1145" s="226"/>
    </row>
    <row r="1146" spans="1:16">
      <c r="A1146" s="227"/>
      <c r="B1146" s="131" t="s">
        <v>968</v>
      </c>
      <c r="C1146" s="227">
        <v>92601</v>
      </c>
      <c r="H1146" s="226"/>
      <c r="K1146" s="226"/>
      <c r="P1146" s="226"/>
    </row>
    <row r="1147" spans="1:16">
      <c r="A1147" s="227"/>
      <c r="B1147" s="131" t="s">
        <v>972</v>
      </c>
      <c r="C1147" s="227">
        <v>92608</v>
      </c>
      <c r="H1147" s="226"/>
      <c r="K1147" s="226"/>
      <c r="P1147" s="226"/>
    </row>
    <row r="1148" spans="1:16">
      <c r="A1148" s="227"/>
      <c r="B1148" s="131" t="s">
        <v>984</v>
      </c>
      <c r="C1148" s="227">
        <v>92704</v>
      </c>
      <c r="H1148" s="226"/>
      <c r="K1148" s="226"/>
      <c r="P1148" s="226"/>
    </row>
    <row r="1149" spans="1:16">
      <c r="A1149" s="227"/>
      <c r="B1149" s="131" t="s">
        <v>983</v>
      </c>
      <c r="C1149" s="227">
        <v>92701</v>
      </c>
      <c r="H1149" s="226"/>
      <c r="K1149" s="226"/>
      <c r="P1149" s="226"/>
    </row>
    <row r="1150" spans="1:16">
      <c r="A1150" s="227"/>
      <c r="B1150" s="131" t="s">
        <v>2107</v>
      </c>
      <c r="C1150" s="227">
        <v>93651</v>
      </c>
      <c r="H1150" s="226"/>
      <c r="K1150" s="226"/>
      <c r="P1150" s="226"/>
    </row>
    <row r="1151" spans="1:16">
      <c r="A1151" s="227"/>
      <c r="B1151" s="131" t="s">
        <v>985</v>
      </c>
      <c r="C1151" s="227">
        <v>92801</v>
      </c>
      <c r="H1151" s="226"/>
      <c r="K1151" s="226"/>
      <c r="P1151" s="226"/>
    </row>
    <row r="1152" spans="1:16">
      <c r="A1152" s="227"/>
      <c r="B1152" s="131" t="s">
        <v>987</v>
      </c>
      <c r="C1152" s="227">
        <v>92804</v>
      </c>
      <c r="H1152" s="226"/>
      <c r="K1152" s="226"/>
      <c r="P1152" s="226"/>
    </row>
    <row r="1153" spans="1:16">
      <c r="A1153" s="227"/>
      <c r="B1153" s="131" t="s">
        <v>986</v>
      </c>
      <c r="C1153" s="227">
        <v>92802</v>
      </c>
      <c r="H1153" s="226"/>
      <c r="K1153" s="226"/>
      <c r="P1153" s="226"/>
    </row>
    <row r="1154" spans="1:16">
      <c r="A1154" s="227"/>
      <c r="B1154" s="131" t="s">
        <v>2108</v>
      </c>
      <c r="C1154" s="227">
        <v>96081</v>
      </c>
      <c r="H1154" s="226"/>
      <c r="K1154" s="226"/>
      <c r="P1154" s="226"/>
    </row>
    <row r="1155" spans="1:16">
      <c r="A1155" s="227"/>
      <c r="B1155" s="131" t="s">
        <v>994</v>
      </c>
      <c r="C1155" s="227">
        <v>92901</v>
      </c>
      <c r="H1155" s="226"/>
      <c r="K1155" s="226"/>
      <c r="P1155" s="226"/>
    </row>
    <row r="1156" spans="1:16">
      <c r="A1156" s="227"/>
      <c r="B1156" s="131" t="s">
        <v>1001</v>
      </c>
      <c r="C1156" s="227">
        <v>93001</v>
      </c>
      <c r="H1156" s="226"/>
      <c r="K1156" s="226"/>
      <c r="P1156" s="226"/>
    </row>
    <row r="1157" spans="1:16">
      <c r="A1157" s="227"/>
      <c r="B1157" s="131" t="s">
        <v>1002</v>
      </c>
      <c r="C1157" s="227">
        <v>93009</v>
      </c>
      <c r="H1157" s="226"/>
      <c r="K1157" s="226"/>
      <c r="P1157" s="226"/>
    </row>
    <row r="1158" spans="1:16">
      <c r="A1158" s="227"/>
      <c r="B1158" s="131" t="s">
        <v>2109</v>
      </c>
      <c r="C1158" s="227">
        <v>92921</v>
      </c>
      <c r="H1158" s="226"/>
      <c r="K1158" s="226"/>
      <c r="P1158" s="226"/>
    </row>
    <row r="1159" spans="1:16">
      <c r="A1159" s="227"/>
      <c r="B1159" s="131" t="s">
        <v>2110</v>
      </c>
      <c r="C1159" s="227">
        <v>98621</v>
      </c>
      <c r="H1159" s="226"/>
      <c r="K1159" s="226"/>
      <c r="P1159" s="226"/>
    </row>
    <row r="1160" spans="1:16">
      <c r="A1160" s="227"/>
      <c r="B1160" s="131" t="s">
        <v>1509</v>
      </c>
      <c r="C1160" s="227">
        <v>98627</v>
      </c>
      <c r="H1160" s="226"/>
      <c r="K1160" s="226"/>
      <c r="P1160" s="226"/>
    </row>
    <row r="1161" spans="1:16">
      <c r="A1161" s="227"/>
      <c r="B1161" s="131" t="s">
        <v>2111</v>
      </c>
      <c r="C1161" s="227">
        <v>91221</v>
      </c>
      <c r="H1161" s="226"/>
      <c r="K1161" s="226"/>
      <c r="P1161" s="226"/>
    </row>
    <row r="1162" spans="1:16">
      <c r="A1162" s="227"/>
      <c r="B1162" s="131" t="s">
        <v>2112</v>
      </c>
      <c r="C1162" s="227">
        <v>92861</v>
      </c>
      <c r="H1162" s="226"/>
      <c r="K1162" s="226"/>
      <c r="P1162" s="226"/>
    </row>
    <row r="1163" spans="1:16">
      <c r="A1163" s="227"/>
      <c r="B1163" s="131" t="s">
        <v>1962</v>
      </c>
      <c r="C1163" s="227">
        <v>94311</v>
      </c>
      <c r="H1163" s="226"/>
      <c r="K1163" s="226"/>
      <c r="P1163" s="226"/>
    </row>
    <row r="1164" spans="1:16">
      <c r="A1164" s="227"/>
      <c r="B1164" s="131" t="s">
        <v>1132</v>
      </c>
      <c r="C1164" s="227">
        <v>94317</v>
      </c>
      <c r="H1164" s="226"/>
      <c r="K1164" s="226"/>
      <c r="P1164" s="226"/>
    </row>
    <row r="1165" spans="1:16">
      <c r="A1165" s="227"/>
      <c r="B1165" s="131" t="s">
        <v>1131</v>
      </c>
      <c r="C1165" s="227">
        <v>94313</v>
      </c>
      <c r="H1165" s="226"/>
      <c r="K1165" s="226"/>
      <c r="P1165" s="226"/>
    </row>
    <row r="1166" spans="1:16">
      <c r="A1166" s="227"/>
      <c r="B1166" s="131" t="s">
        <v>1007</v>
      </c>
      <c r="C1166" s="227">
        <v>93101</v>
      </c>
      <c r="H1166" s="226"/>
      <c r="K1166" s="226"/>
      <c r="P1166" s="226"/>
    </row>
    <row r="1167" spans="1:16">
      <c r="A1167" s="227"/>
      <c r="B1167" s="131" t="s">
        <v>260</v>
      </c>
      <c r="C1167" s="227">
        <v>93103</v>
      </c>
      <c r="H1167" s="226"/>
      <c r="K1167" s="226"/>
      <c r="P1167" s="226"/>
    </row>
    <row r="1168" spans="1:16">
      <c r="A1168" s="227"/>
      <c r="B1168" s="131" t="s">
        <v>1963</v>
      </c>
      <c r="C1168" s="227">
        <v>93211</v>
      </c>
      <c r="H1168" s="226"/>
      <c r="K1168" s="226"/>
      <c r="P1168" s="226"/>
    </row>
    <row r="1169" spans="1:16">
      <c r="A1169" s="227"/>
      <c r="B1169" s="131" t="s">
        <v>1026</v>
      </c>
      <c r="C1169" s="227">
        <v>93212</v>
      </c>
      <c r="H1169" s="226"/>
      <c r="K1169" s="226"/>
      <c r="P1169" s="226"/>
    </row>
    <row r="1170" spans="1:16">
      <c r="A1170" s="227"/>
      <c r="B1170" s="131" t="s">
        <v>1021</v>
      </c>
      <c r="C1170" s="227">
        <v>93201</v>
      </c>
      <c r="H1170" s="226"/>
      <c r="K1170" s="226"/>
      <c r="P1170" s="226"/>
    </row>
    <row r="1171" spans="1:16">
      <c r="A1171" s="227"/>
      <c r="B1171" s="131" t="s">
        <v>1023</v>
      </c>
      <c r="C1171" s="227">
        <v>93204</v>
      </c>
      <c r="H1171" s="226"/>
      <c r="K1171" s="226"/>
      <c r="P1171" s="226"/>
    </row>
    <row r="1172" spans="1:16">
      <c r="A1172" s="227"/>
      <c r="B1172" s="131" t="s">
        <v>1550</v>
      </c>
      <c r="C1172" s="227">
        <v>99212</v>
      </c>
      <c r="H1172" s="226"/>
      <c r="K1172" s="226"/>
      <c r="P1172" s="226"/>
    </row>
    <row r="1173" spans="1:16">
      <c r="A1173" s="227"/>
      <c r="B1173" s="131" t="s">
        <v>1349</v>
      </c>
      <c r="C1173" s="227">
        <v>97005</v>
      </c>
      <c r="H1173" s="226"/>
      <c r="K1173" s="226"/>
      <c r="P1173" s="226"/>
    </row>
    <row r="1174" spans="1:16">
      <c r="A1174" s="227"/>
      <c r="B1174" s="131" t="s">
        <v>2113</v>
      </c>
      <c r="C1174" s="51">
        <v>99931</v>
      </c>
      <c r="H1174" s="226"/>
      <c r="K1174" s="226"/>
      <c r="P1174" s="226"/>
    </row>
    <row r="1175" spans="1:16">
      <c r="A1175" s="227"/>
      <c r="B1175" s="131" t="s">
        <v>1618</v>
      </c>
      <c r="C1175" s="227">
        <v>92509</v>
      </c>
      <c r="H1175" s="226"/>
      <c r="K1175" s="226"/>
      <c r="P1175" s="226"/>
    </row>
    <row r="1176" spans="1:16">
      <c r="A1176" s="227"/>
      <c r="B1176" s="131" t="s">
        <v>2114</v>
      </c>
      <c r="C1176" s="227">
        <v>98021</v>
      </c>
      <c r="H1176" s="226"/>
      <c r="K1176" s="226"/>
      <c r="P1176" s="226"/>
    </row>
    <row r="1177" spans="1:16">
      <c r="A1177" s="227"/>
      <c r="B1177" s="131" t="s">
        <v>1450</v>
      </c>
      <c r="C1177" s="227">
        <v>98023</v>
      </c>
      <c r="H1177" s="226"/>
      <c r="K1177" s="226"/>
      <c r="P1177" s="226"/>
    </row>
    <row r="1178" spans="1:16">
      <c r="A1178" s="227"/>
      <c r="B1178" s="131" t="s">
        <v>2026</v>
      </c>
      <c r="C1178" s="220">
        <v>70505</v>
      </c>
      <c r="H1178" s="226"/>
      <c r="K1178" s="226"/>
      <c r="P1178" s="226"/>
    </row>
    <row r="1179" spans="1:16">
      <c r="A1179" s="227"/>
      <c r="B1179" s="131" t="s">
        <v>2772</v>
      </c>
      <c r="C1179" s="227">
        <v>99603</v>
      </c>
      <c r="H1179" s="226"/>
      <c r="K1179" s="226"/>
      <c r="P1179" s="226"/>
    </row>
    <row r="1180" spans="1:16">
      <c r="A1180" s="227"/>
      <c r="B1180" s="131" t="s">
        <v>1587</v>
      </c>
      <c r="C1180" s="227">
        <v>99610</v>
      </c>
      <c r="H1180" s="226"/>
      <c r="K1180" s="226"/>
      <c r="P1180" s="226"/>
    </row>
    <row r="1181" spans="1:16">
      <c r="A1181" s="227"/>
      <c r="B1181" s="131" t="s">
        <v>2115</v>
      </c>
      <c r="C1181" s="227">
        <v>92681</v>
      </c>
      <c r="H1181" s="226"/>
      <c r="K1181" s="226"/>
      <c r="P1181" s="226"/>
    </row>
    <row r="1182" spans="1:16">
      <c r="A1182" s="227"/>
      <c r="B1182" s="131" t="s">
        <v>1008</v>
      </c>
      <c r="C1182" s="227">
        <v>93108</v>
      </c>
      <c r="H1182" s="226"/>
      <c r="K1182" s="226"/>
      <c r="P1182" s="226"/>
    </row>
    <row r="1183" spans="1:16">
      <c r="A1183" s="227"/>
      <c r="B1183" s="131" t="s">
        <v>1964</v>
      </c>
      <c r="C1183" s="227">
        <v>97951</v>
      </c>
      <c r="H1183" s="226"/>
      <c r="K1183" s="226"/>
      <c r="P1183" s="226"/>
    </row>
    <row r="1184" spans="1:16">
      <c r="A1184" s="227"/>
      <c r="B1184" s="131" t="s">
        <v>1441</v>
      </c>
      <c r="C1184" s="227">
        <v>97957</v>
      </c>
      <c r="H1184" s="226"/>
      <c r="K1184" s="226"/>
      <c r="P1184" s="226"/>
    </row>
    <row r="1185" spans="1:16">
      <c r="A1185" s="227"/>
      <c r="B1185" s="131" t="s">
        <v>2116</v>
      </c>
      <c r="C1185" s="227">
        <v>92111</v>
      </c>
      <c r="H1185" s="226"/>
      <c r="K1185" s="226"/>
      <c r="P1185" s="226"/>
    </row>
    <row r="1186" spans="1:16">
      <c r="A1186" s="227"/>
      <c r="B1186" s="131" t="s">
        <v>1028</v>
      </c>
      <c r="C1186" s="227">
        <v>93301</v>
      </c>
      <c r="H1186" s="226"/>
      <c r="K1186" s="226"/>
      <c r="P1186" s="226"/>
    </row>
    <row r="1187" spans="1:16">
      <c r="A1187" s="227"/>
      <c r="B1187" s="131" t="s">
        <v>1029</v>
      </c>
      <c r="C1187" s="227">
        <v>93304</v>
      </c>
      <c r="H1187" s="226"/>
      <c r="K1187" s="226"/>
      <c r="P1187" s="226"/>
    </row>
    <row r="1188" spans="1:16">
      <c r="A1188" s="227"/>
      <c r="B1188" s="131" t="s">
        <v>1030</v>
      </c>
      <c r="C1188" s="227">
        <v>93305</v>
      </c>
      <c r="H1188" s="226"/>
      <c r="K1188" s="226"/>
      <c r="P1188" s="226"/>
    </row>
    <row r="1189" spans="1:16">
      <c r="A1189" s="227"/>
      <c r="B1189" s="131" t="s">
        <v>1548</v>
      </c>
      <c r="C1189" s="227">
        <v>99210</v>
      </c>
      <c r="H1189" s="226"/>
      <c r="K1189" s="226"/>
      <c r="P1189" s="226"/>
    </row>
    <row r="1190" spans="1:16">
      <c r="A1190" s="227"/>
      <c r="B1190" s="131" t="s">
        <v>1352</v>
      </c>
      <c r="C1190" s="227">
        <v>97011</v>
      </c>
      <c r="H1190" s="226"/>
      <c r="K1190" s="226"/>
      <c r="P1190" s="226"/>
    </row>
    <row r="1191" spans="1:16">
      <c r="A1191" s="227"/>
      <c r="B1191" s="131" t="s">
        <v>1354</v>
      </c>
      <c r="C1191" s="227">
        <v>97013</v>
      </c>
      <c r="H1191" s="226"/>
      <c r="K1191" s="226"/>
      <c r="P1191" s="226"/>
    </row>
    <row r="1192" spans="1:16">
      <c r="A1192" s="227"/>
      <c r="B1192" s="131" t="s">
        <v>2768</v>
      </c>
      <c r="C1192" s="227">
        <v>97012</v>
      </c>
      <c r="H1192" s="226"/>
      <c r="K1192" s="226"/>
      <c r="P1192" s="226"/>
    </row>
    <row r="1193" spans="1:16">
      <c r="A1193" s="227"/>
      <c r="B1193" s="131" t="s">
        <v>1356</v>
      </c>
      <c r="C1193" s="227">
        <v>97018</v>
      </c>
      <c r="H1193" s="226"/>
      <c r="K1193" s="226"/>
      <c r="P1193" s="226"/>
    </row>
    <row r="1194" spans="1:16">
      <c r="A1194" s="227"/>
      <c r="B1194" s="131" t="s">
        <v>2117</v>
      </c>
      <c r="C1194" s="227">
        <v>90911</v>
      </c>
      <c r="H1194" s="226"/>
      <c r="K1194" s="226"/>
      <c r="P1194" s="226"/>
    </row>
    <row r="1195" spans="1:16">
      <c r="A1195" s="227"/>
      <c r="B1195" s="131" t="s">
        <v>794</v>
      </c>
      <c r="C1195" s="227">
        <v>90917</v>
      </c>
      <c r="H1195" s="226"/>
      <c r="K1195" s="226"/>
      <c r="P1195" s="226"/>
    </row>
    <row r="1196" spans="1:16">
      <c r="A1196" s="227"/>
      <c r="B1196" s="131" t="s">
        <v>2118</v>
      </c>
      <c r="C1196" s="227">
        <v>90641</v>
      </c>
      <c r="H1196" s="226"/>
      <c r="K1196" s="226"/>
      <c r="P1196" s="226"/>
    </row>
    <row r="1197" spans="1:16">
      <c r="A1197" s="227"/>
      <c r="B1197" s="131" t="s">
        <v>2119</v>
      </c>
      <c r="C1197" s="227">
        <v>98641</v>
      </c>
      <c r="H1197" s="226"/>
      <c r="K1197" s="226"/>
      <c r="P1197" s="226"/>
    </row>
    <row r="1198" spans="1:16">
      <c r="A1198" s="227"/>
      <c r="B1198" s="131" t="s">
        <v>3520</v>
      </c>
      <c r="C1198" s="227" t="s">
        <v>3518</v>
      </c>
      <c r="H1198" s="226"/>
      <c r="K1198" s="226"/>
      <c r="P1198" s="226"/>
    </row>
    <row r="1199" spans="1:16">
      <c r="A1199" s="227"/>
      <c r="B1199" s="131" t="s">
        <v>2120</v>
      </c>
      <c r="C1199" s="227">
        <v>98161</v>
      </c>
      <c r="H1199" s="226"/>
      <c r="K1199" s="226"/>
      <c r="P1199" s="226"/>
    </row>
    <row r="1200" spans="1:16">
      <c r="A1200" s="227"/>
      <c r="B1200" s="131" t="s">
        <v>2121</v>
      </c>
      <c r="C1200" s="227">
        <v>97731</v>
      </c>
      <c r="H1200" s="226"/>
      <c r="K1200" s="226"/>
      <c r="P1200" s="226"/>
    </row>
    <row r="1201" spans="1:16">
      <c r="A1201" s="227"/>
      <c r="B1201" s="131" t="s">
        <v>2122</v>
      </c>
      <c r="C1201" s="51">
        <v>99851</v>
      </c>
      <c r="H1201" s="226"/>
      <c r="K1201" s="226"/>
      <c r="P1201" s="226"/>
    </row>
    <row r="1202" spans="1:16">
      <c r="A1202" s="227"/>
      <c r="B1202" s="131" t="s">
        <v>2123</v>
      </c>
      <c r="C1202" s="227">
        <v>90131</v>
      </c>
      <c r="H1202" s="226"/>
      <c r="K1202" s="226"/>
      <c r="P1202" s="226"/>
    </row>
    <row r="1203" spans="1:16">
      <c r="A1203" s="227"/>
      <c r="B1203" s="131" t="s">
        <v>2124</v>
      </c>
      <c r="C1203" s="227">
        <v>91651</v>
      </c>
      <c r="H1203" s="226"/>
      <c r="K1203" s="226"/>
      <c r="P1203" s="226"/>
    </row>
    <row r="1204" spans="1:16">
      <c r="A1204" s="227"/>
      <c r="B1204" s="131" t="s">
        <v>2125</v>
      </c>
      <c r="C1204" s="227">
        <v>94211</v>
      </c>
      <c r="H1204" s="226"/>
      <c r="K1204" s="226"/>
      <c r="P1204" s="226"/>
    </row>
    <row r="1205" spans="1:16">
      <c r="A1205" s="227"/>
      <c r="B1205" s="131" t="s">
        <v>2126</v>
      </c>
      <c r="C1205" s="227">
        <v>94331</v>
      </c>
      <c r="H1205" s="226"/>
      <c r="K1205" s="226"/>
      <c r="P1205" s="226"/>
    </row>
    <row r="1206" spans="1:16">
      <c r="A1206" s="227"/>
      <c r="B1206" s="131" t="s">
        <v>2127</v>
      </c>
      <c r="C1206" s="227">
        <v>92431</v>
      </c>
      <c r="H1206" s="226"/>
      <c r="K1206" s="226"/>
      <c r="P1206" s="226"/>
    </row>
    <row r="1207" spans="1:16">
      <c r="A1207" s="227"/>
      <c r="B1207" s="131" t="s">
        <v>2128</v>
      </c>
      <c r="C1207" s="227">
        <v>97821</v>
      </c>
      <c r="H1207" s="226"/>
      <c r="K1207" s="226"/>
      <c r="P1207" s="226"/>
    </row>
    <row r="1208" spans="1:16">
      <c r="A1208" s="227"/>
      <c r="B1208" s="131" t="s">
        <v>1420</v>
      </c>
      <c r="C1208" s="227">
        <v>97823</v>
      </c>
      <c r="H1208" s="226"/>
      <c r="K1208" s="226"/>
      <c r="P1208" s="226"/>
    </row>
    <row r="1209" spans="1:16">
      <c r="A1209" s="227"/>
      <c r="B1209" s="131" t="s">
        <v>2129</v>
      </c>
      <c r="C1209" s="227">
        <v>93141</v>
      </c>
      <c r="H1209" s="226"/>
      <c r="K1209" s="226"/>
      <c r="P1209" s="226"/>
    </row>
    <row r="1210" spans="1:16">
      <c r="A1210" s="227"/>
      <c r="B1210" s="131" t="s">
        <v>2130</v>
      </c>
      <c r="C1210" s="227">
        <v>98081</v>
      </c>
      <c r="H1210" s="226"/>
      <c r="K1210" s="226"/>
      <c r="P1210" s="226"/>
    </row>
    <row r="1211" spans="1:16">
      <c r="A1211" s="227"/>
      <c r="B1211" s="131" t="s">
        <v>2131</v>
      </c>
      <c r="C1211" s="227">
        <v>92671</v>
      </c>
      <c r="H1211" s="226"/>
      <c r="K1211" s="226"/>
      <c r="P1211" s="226"/>
    </row>
    <row r="1212" spans="1:16">
      <c r="A1212" s="227"/>
      <c r="B1212" s="131" t="s">
        <v>2132</v>
      </c>
      <c r="C1212" s="227">
        <v>97421</v>
      </c>
      <c r="H1212" s="226"/>
      <c r="K1212" s="226"/>
      <c r="P1212" s="226"/>
    </row>
    <row r="1213" spans="1:16">
      <c r="A1213" s="227"/>
      <c r="B1213" s="131" t="s">
        <v>1379</v>
      </c>
      <c r="C1213" s="227">
        <v>97423</v>
      </c>
      <c r="H1213" s="226"/>
      <c r="K1213" s="226"/>
      <c r="P1213" s="226"/>
    </row>
    <row r="1214" spans="1:16">
      <c r="A1214" s="227"/>
      <c r="B1214" s="131" t="s">
        <v>1965</v>
      </c>
      <c r="C1214" s="227">
        <v>92611</v>
      </c>
      <c r="H1214" s="226"/>
      <c r="K1214" s="226"/>
      <c r="P1214" s="226"/>
    </row>
    <row r="1215" spans="1:16">
      <c r="A1215" s="227"/>
      <c r="B1215" s="131" t="s">
        <v>2761</v>
      </c>
      <c r="C1215" s="227">
        <v>92613</v>
      </c>
      <c r="H1215" s="226"/>
      <c r="K1215" s="226"/>
      <c r="P1215" s="226"/>
    </row>
    <row r="1216" spans="1:16">
      <c r="A1216" s="227"/>
      <c r="B1216" s="131" t="s">
        <v>2794</v>
      </c>
      <c r="C1216" s="227">
        <v>92614</v>
      </c>
      <c r="H1216" s="226"/>
      <c r="K1216" s="226"/>
      <c r="P1216" s="226"/>
    </row>
    <row r="1217" spans="1:16">
      <c r="A1217" s="227"/>
      <c r="B1217" s="131" t="s">
        <v>954</v>
      </c>
      <c r="C1217" s="227">
        <v>92502</v>
      </c>
      <c r="H1217" s="226"/>
      <c r="K1217" s="226"/>
      <c r="P1217" s="226"/>
    </row>
    <row r="1218" spans="1:16">
      <c r="A1218" s="227"/>
      <c r="B1218" s="131" t="s">
        <v>2502</v>
      </c>
      <c r="C1218" s="227">
        <v>94531</v>
      </c>
      <c r="H1218" s="226"/>
      <c r="K1218" s="226"/>
      <c r="P1218" s="226"/>
    </row>
    <row r="1219" spans="1:16">
      <c r="A1219" s="227"/>
      <c r="B1219" s="131" t="s">
        <v>2503</v>
      </c>
      <c r="C1219" s="227">
        <v>94541</v>
      </c>
      <c r="H1219" s="226"/>
      <c r="K1219" s="226"/>
      <c r="P1219" s="226"/>
    </row>
    <row r="1220" spans="1:16">
      <c r="A1220" s="227"/>
      <c r="B1220" s="131" t="s">
        <v>1158</v>
      </c>
      <c r="C1220" s="227">
        <v>94547</v>
      </c>
      <c r="H1220" s="226"/>
      <c r="K1220" s="226"/>
      <c r="P1220" s="226"/>
    </row>
    <row r="1221" spans="1:16">
      <c r="A1221" s="227"/>
      <c r="B1221" s="131" t="s">
        <v>1184</v>
      </c>
      <c r="C1221" s="227">
        <v>95005</v>
      </c>
      <c r="H1221" s="226"/>
      <c r="K1221" s="226"/>
      <c r="P1221" s="226"/>
    </row>
    <row r="1222" spans="1:16">
      <c r="A1222" s="227"/>
      <c r="B1222" s="131" t="s">
        <v>2504</v>
      </c>
      <c r="C1222" s="227">
        <v>98111</v>
      </c>
      <c r="H1222" s="226"/>
      <c r="K1222" s="226"/>
      <c r="P1222" s="226"/>
    </row>
    <row r="1223" spans="1:16">
      <c r="A1223" s="227"/>
      <c r="B1223" s="131" t="s">
        <v>1461</v>
      </c>
      <c r="C1223" s="227">
        <v>98107</v>
      </c>
      <c r="H1223" s="226"/>
      <c r="K1223" s="226"/>
      <c r="P1223" s="226"/>
    </row>
    <row r="1224" spans="1:16">
      <c r="A1224" s="227"/>
      <c r="B1224" s="131" t="s">
        <v>1464</v>
      </c>
      <c r="C1224" s="227">
        <v>98113</v>
      </c>
      <c r="H1224" s="226"/>
      <c r="K1224" s="226"/>
      <c r="P1224" s="226"/>
    </row>
    <row r="1225" spans="1:16">
      <c r="A1225" s="227"/>
      <c r="B1225" s="131" t="s">
        <v>1583</v>
      </c>
      <c r="C1225" s="227">
        <v>99602</v>
      </c>
      <c r="H1225" s="226"/>
      <c r="K1225" s="226"/>
      <c r="P1225" s="226"/>
    </row>
    <row r="1226" spans="1:16">
      <c r="A1226" s="227"/>
      <c r="B1226" s="131" t="s">
        <v>1040</v>
      </c>
      <c r="C1226" s="227">
        <v>93401</v>
      </c>
      <c r="H1226" s="226"/>
      <c r="K1226" s="226"/>
      <c r="P1226" s="226"/>
    </row>
    <row r="1227" spans="1:16">
      <c r="A1227" s="227"/>
      <c r="B1227" s="131" t="s">
        <v>3506</v>
      </c>
      <c r="C1227" s="227">
        <v>97491</v>
      </c>
      <c r="H1227" s="226"/>
      <c r="K1227" s="226"/>
      <c r="P1227" s="226"/>
    </row>
    <row r="1228" spans="1:16">
      <c r="A1228" s="227"/>
      <c r="B1228" s="131" t="s">
        <v>2505</v>
      </c>
      <c r="C1228" s="227">
        <v>95151</v>
      </c>
      <c r="H1228" s="226"/>
      <c r="K1228" s="226"/>
      <c r="P1228" s="226"/>
    </row>
    <row r="1229" spans="1:16">
      <c r="A1229" s="227"/>
      <c r="B1229" s="131" t="s">
        <v>1294</v>
      </c>
      <c r="C1229" s="227">
        <v>96381</v>
      </c>
      <c r="H1229" s="226"/>
      <c r="K1229" s="226"/>
      <c r="P1229" s="226"/>
    </row>
    <row r="1230" spans="1:16">
      <c r="A1230" s="227"/>
      <c r="B1230" s="131" t="s">
        <v>2506</v>
      </c>
      <c r="C1230" s="227">
        <v>95611</v>
      </c>
      <c r="H1230" s="226"/>
      <c r="K1230" s="226"/>
      <c r="P1230" s="226"/>
    </row>
    <row r="1231" spans="1:16">
      <c r="A1231" s="227"/>
      <c r="B1231" s="131" t="s">
        <v>1054</v>
      </c>
      <c r="C1231" s="227">
        <v>93501</v>
      </c>
      <c r="H1231" s="226"/>
      <c r="K1231" s="226"/>
      <c r="P1231" s="226"/>
    </row>
    <row r="1232" spans="1:16">
      <c r="A1232" s="227"/>
      <c r="B1232" s="131" t="s">
        <v>2507</v>
      </c>
      <c r="C1232" s="227">
        <v>93511</v>
      </c>
      <c r="H1232" s="226"/>
      <c r="K1232" s="226"/>
      <c r="P1232" s="226"/>
    </row>
    <row r="1233" spans="1:16">
      <c r="A1233" s="227"/>
      <c r="B1233" s="131" t="s">
        <v>1056</v>
      </c>
      <c r="C1233" s="227">
        <v>93517</v>
      </c>
      <c r="H1233" s="226"/>
      <c r="K1233" s="226"/>
      <c r="P1233" s="226"/>
    </row>
    <row r="1234" spans="1:16">
      <c r="A1234" s="227"/>
      <c r="B1234" s="131" t="s">
        <v>2508</v>
      </c>
      <c r="C1234" s="227">
        <v>99631</v>
      </c>
      <c r="H1234" s="226"/>
      <c r="K1234" s="226"/>
      <c r="P1234" s="226"/>
    </row>
    <row r="1235" spans="1:16">
      <c r="A1235" s="227"/>
      <c r="B1235" s="131" t="s">
        <v>2509</v>
      </c>
      <c r="C1235" s="227">
        <v>99261</v>
      </c>
      <c r="H1235" s="226"/>
      <c r="K1235" s="226"/>
      <c r="P1235" s="226"/>
    </row>
    <row r="1236" spans="1:16">
      <c r="A1236" s="227"/>
      <c r="B1236" s="131" t="s">
        <v>2510</v>
      </c>
      <c r="C1236" s="227">
        <v>98241</v>
      </c>
      <c r="H1236" s="226"/>
      <c r="K1236" s="226"/>
      <c r="P1236" s="226"/>
    </row>
    <row r="1237" spans="1:16">
      <c r="A1237" s="227"/>
      <c r="B1237" s="131" t="s">
        <v>2511</v>
      </c>
      <c r="C1237" s="227">
        <v>99251</v>
      </c>
      <c r="H1237" s="226"/>
      <c r="K1237" s="226"/>
      <c r="P1237" s="226"/>
    </row>
    <row r="1238" spans="1:16">
      <c r="A1238" s="227"/>
      <c r="B1238" s="131" t="s">
        <v>1558</v>
      </c>
      <c r="C1238" s="227">
        <v>99252</v>
      </c>
      <c r="H1238" s="226"/>
      <c r="K1238" s="226"/>
      <c r="P1238" s="226"/>
    </row>
    <row r="1239" spans="1:16">
      <c r="A1239" s="227"/>
      <c r="B1239" s="131" t="s">
        <v>2512</v>
      </c>
      <c r="C1239" s="227">
        <v>96631</v>
      </c>
      <c r="H1239" s="226"/>
      <c r="K1239" s="226"/>
      <c r="P1239" s="226"/>
    </row>
    <row r="1240" spans="1:16">
      <c r="A1240" s="227"/>
      <c r="B1240" s="131" t="s">
        <v>2513</v>
      </c>
      <c r="C1240" s="227">
        <v>96651</v>
      </c>
      <c r="H1240" s="226"/>
      <c r="K1240" s="226"/>
      <c r="P1240" s="226"/>
    </row>
    <row r="1241" spans="1:16">
      <c r="A1241" s="227"/>
      <c r="B1241" s="131" t="s">
        <v>1062</v>
      </c>
      <c r="C1241" s="227">
        <v>93601</v>
      </c>
      <c r="H1241" s="226"/>
      <c r="K1241" s="226"/>
      <c r="P1241" s="226"/>
    </row>
    <row r="1242" spans="1:16">
      <c r="A1242" s="227"/>
      <c r="B1242" s="131" t="s">
        <v>1068</v>
      </c>
      <c r="C1242" s="227">
        <v>93618</v>
      </c>
      <c r="H1242" s="226"/>
      <c r="K1242" s="226"/>
      <c r="P1242" s="226"/>
    </row>
    <row r="1243" spans="1:16">
      <c r="A1243" s="227"/>
      <c r="B1243" s="131" t="s">
        <v>1966</v>
      </c>
      <c r="C1243" s="227">
        <v>93611</v>
      </c>
      <c r="H1243" s="226"/>
      <c r="K1243" s="226"/>
      <c r="P1243" s="226"/>
    </row>
    <row r="1244" spans="1:16">
      <c r="A1244" s="227"/>
      <c r="B1244" s="131" t="s">
        <v>1067</v>
      </c>
      <c r="C1244" s="227">
        <v>93617</v>
      </c>
      <c r="H1244" s="226"/>
      <c r="K1244" s="226"/>
      <c r="P1244" s="226"/>
    </row>
    <row r="1245" spans="1:16">
      <c r="A1245" s="227"/>
      <c r="B1245" s="131" t="s">
        <v>1079</v>
      </c>
      <c r="C1245" s="227">
        <v>93701</v>
      </c>
      <c r="H1245" s="226"/>
      <c r="K1245" s="226"/>
      <c r="P1245" s="226"/>
    </row>
    <row r="1246" spans="1:16">
      <c r="A1246" s="227"/>
      <c r="B1246" s="131" t="s">
        <v>1080</v>
      </c>
      <c r="C1246" s="227">
        <v>93704</v>
      </c>
      <c r="H1246" s="226"/>
      <c r="K1246" s="226"/>
      <c r="P1246" s="226"/>
    </row>
    <row r="1247" spans="1:16">
      <c r="A1247" s="227"/>
      <c r="B1247" s="131" t="s">
        <v>2514</v>
      </c>
      <c r="C1247" s="227">
        <v>98331</v>
      </c>
      <c r="H1247" s="226"/>
      <c r="K1247" s="226"/>
      <c r="P1247" s="226"/>
    </row>
    <row r="1248" spans="1:16">
      <c r="A1248" s="227"/>
      <c r="B1248" s="131" t="s">
        <v>2515</v>
      </c>
      <c r="C1248" s="227">
        <v>94151</v>
      </c>
      <c r="H1248" s="226"/>
      <c r="K1248" s="226"/>
      <c r="P1248" s="226"/>
    </row>
    <row r="1249" spans="1:16">
      <c r="A1249" s="227"/>
      <c r="B1249" s="131" t="s">
        <v>1114</v>
      </c>
      <c r="C1249" s="227">
        <v>94157</v>
      </c>
      <c r="H1249" s="226"/>
      <c r="K1249" s="226"/>
      <c r="P1249" s="226"/>
    </row>
    <row r="1250" spans="1:16">
      <c r="A1250" s="227"/>
      <c r="B1250" s="131" t="s">
        <v>2516</v>
      </c>
      <c r="C1250" s="227">
        <v>91241</v>
      </c>
      <c r="H1250" s="226"/>
      <c r="K1250" s="226"/>
      <c r="P1250" s="226"/>
    </row>
    <row r="1251" spans="1:16">
      <c r="A1251" s="227"/>
      <c r="B1251" s="131" t="s">
        <v>1220</v>
      </c>
      <c r="C1251" s="227">
        <v>95412</v>
      </c>
      <c r="H1251" s="226"/>
      <c r="K1251" s="226"/>
      <c r="P1251" s="226"/>
    </row>
    <row r="1252" spans="1:16">
      <c r="A1252" s="227"/>
      <c r="B1252" s="131" t="s">
        <v>1967</v>
      </c>
      <c r="C1252" s="227">
        <v>99611</v>
      </c>
      <c r="H1252" s="226"/>
      <c r="K1252" s="226"/>
      <c r="P1252" s="226"/>
    </row>
    <row r="1253" spans="1:16">
      <c r="A1253" s="227"/>
      <c r="B1253" s="131" t="s">
        <v>2810</v>
      </c>
      <c r="C1253" s="227">
        <v>99613</v>
      </c>
      <c r="H1253" s="226"/>
      <c r="K1253" s="226"/>
      <c r="P1253" s="226"/>
    </row>
    <row r="1254" spans="1:16">
      <c r="A1254" s="227"/>
      <c r="B1254" s="131" t="s">
        <v>918</v>
      </c>
      <c r="C1254" s="227">
        <v>91908</v>
      </c>
      <c r="H1254" s="226"/>
      <c r="K1254" s="226"/>
      <c r="P1254" s="226"/>
    </row>
    <row r="1255" spans="1:16">
      <c r="A1255" s="227"/>
      <c r="B1255" s="131" t="s">
        <v>1969</v>
      </c>
      <c r="C1255" s="227">
        <v>90121</v>
      </c>
      <c r="H1255" s="226"/>
      <c r="K1255" s="226"/>
      <c r="P1255" s="226"/>
    </row>
    <row r="1256" spans="1:16">
      <c r="A1256" s="227"/>
      <c r="B1256" s="131" t="s">
        <v>1082</v>
      </c>
      <c r="C1256" s="227">
        <v>93803</v>
      </c>
      <c r="H1256" s="226"/>
      <c r="K1256" s="226"/>
      <c r="P1256" s="226"/>
    </row>
    <row r="1257" spans="1:16">
      <c r="A1257" s="227"/>
      <c r="B1257" s="131" t="s">
        <v>1081</v>
      </c>
      <c r="C1257" s="227">
        <v>93801</v>
      </c>
      <c r="H1257" s="226"/>
      <c r="K1257" s="226"/>
      <c r="P1257" s="226"/>
    </row>
    <row r="1258" spans="1:16">
      <c r="A1258" s="227"/>
      <c r="B1258" s="131" t="s">
        <v>1083</v>
      </c>
      <c r="C1258" s="227">
        <v>93806</v>
      </c>
      <c r="H1258" s="226"/>
      <c r="K1258" s="226"/>
      <c r="P1258" s="226"/>
    </row>
    <row r="1259" spans="1:16">
      <c r="A1259" s="227"/>
      <c r="B1259" s="131" t="s">
        <v>2517</v>
      </c>
      <c r="C1259" s="227">
        <v>91411</v>
      </c>
      <c r="H1259" s="226"/>
      <c r="K1259" s="226"/>
      <c r="P1259" s="226"/>
    </row>
    <row r="1260" spans="1:16">
      <c r="A1260" s="227"/>
      <c r="B1260" s="131" t="s">
        <v>874</v>
      </c>
      <c r="C1260" s="227">
        <v>91417</v>
      </c>
      <c r="H1260" s="226"/>
      <c r="K1260" s="226"/>
      <c r="P1260" s="226"/>
    </row>
    <row r="1261" spans="1:16">
      <c r="A1261" s="227"/>
      <c r="B1261" s="131" t="s">
        <v>2518</v>
      </c>
      <c r="C1261" s="227">
        <v>98061</v>
      </c>
      <c r="H1261" s="226"/>
      <c r="K1261" s="226"/>
      <c r="P1261" s="226"/>
    </row>
    <row r="1262" spans="1:16">
      <c r="A1262" s="227"/>
      <c r="B1262" s="131" t="s">
        <v>2815</v>
      </c>
      <c r="C1262" s="227">
        <v>93904</v>
      </c>
      <c r="H1262" s="226"/>
      <c r="K1262" s="226"/>
      <c r="P1262" s="226"/>
    </row>
    <row r="1263" spans="1:16">
      <c r="A1263" s="227"/>
      <c r="B1263" s="131" t="s">
        <v>1085</v>
      </c>
      <c r="C1263" s="227">
        <v>93901</v>
      </c>
      <c r="H1263" s="226"/>
      <c r="K1263" s="226"/>
      <c r="P1263" s="226"/>
    </row>
    <row r="1264" spans="1:16">
      <c r="A1264" s="227"/>
      <c r="B1264" s="131" t="s">
        <v>1087</v>
      </c>
      <c r="C1264" s="227">
        <v>93906</v>
      </c>
      <c r="H1264" s="226"/>
      <c r="K1264" s="226"/>
      <c r="P1264" s="226"/>
    </row>
    <row r="1265" spans="1:16">
      <c r="A1265" s="227"/>
      <c r="B1265" s="131" t="s">
        <v>1088</v>
      </c>
      <c r="C1265" s="227">
        <v>93908</v>
      </c>
      <c r="H1265" s="226"/>
      <c r="K1265" s="226"/>
      <c r="P1265" s="226"/>
    </row>
    <row r="1266" spans="1:16">
      <c r="A1266" s="227"/>
      <c r="B1266" s="131" t="s">
        <v>1174</v>
      </c>
      <c r="C1266" s="227">
        <v>94908</v>
      </c>
      <c r="H1266" s="226"/>
      <c r="K1266" s="226"/>
      <c r="P1266" s="226"/>
    </row>
    <row r="1267" spans="1:16">
      <c r="A1267" s="227"/>
      <c r="B1267" s="131" t="s">
        <v>2519</v>
      </c>
      <c r="C1267" s="227">
        <v>90161</v>
      </c>
      <c r="H1267" s="226"/>
      <c r="K1267" s="226"/>
      <c r="P1267" s="226"/>
    </row>
    <row r="1268" spans="1:16">
      <c r="A1268" s="227"/>
      <c r="B1268" s="131" t="s">
        <v>1095</v>
      </c>
      <c r="C1268" s="227">
        <v>94001</v>
      </c>
      <c r="H1268" s="226"/>
      <c r="K1268" s="226"/>
      <c r="P1268" s="226"/>
    </row>
    <row r="1269" spans="1:16">
      <c r="A1269" s="227"/>
      <c r="B1269" s="131" t="s">
        <v>1097</v>
      </c>
      <c r="C1269" s="227">
        <v>94004</v>
      </c>
      <c r="H1269" s="226"/>
      <c r="K1269" s="226"/>
      <c r="P1269" s="226"/>
    </row>
    <row r="1270" spans="1:16">
      <c r="A1270" s="227"/>
      <c r="B1270" s="131" t="s">
        <v>1968</v>
      </c>
      <c r="C1270" s="227">
        <v>94111</v>
      </c>
      <c r="H1270" s="226"/>
      <c r="K1270" s="226"/>
      <c r="P1270" s="226"/>
    </row>
    <row r="1271" spans="1:16">
      <c r="A1271" s="227"/>
      <c r="B1271" s="131" t="s">
        <v>2814</v>
      </c>
      <c r="C1271" s="227">
        <v>94117</v>
      </c>
      <c r="H1271" s="226"/>
      <c r="K1271" s="226"/>
      <c r="P1271" s="226"/>
    </row>
    <row r="1272" spans="1:16">
      <c r="A1272" s="227"/>
      <c r="B1272" s="131" t="s">
        <v>1970</v>
      </c>
      <c r="C1272" s="227">
        <v>97411</v>
      </c>
      <c r="H1272" s="226"/>
      <c r="K1272" s="226"/>
      <c r="P1272" s="226"/>
    </row>
    <row r="1273" spans="1:16">
      <c r="A1273" s="227"/>
      <c r="B1273" s="131" t="s">
        <v>1377</v>
      </c>
      <c r="C1273" s="227">
        <v>97413</v>
      </c>
      <c r="H1273" s="226"/>
      <c r="K1273" s="226"/>
      <c r="P1273" s="226"/>
    </row>
    <row r="1274" spans="1:16">
      <c r="A1274" s="227"/>
      <c r="B1274" s="131" t="s">
        <v>1376</v>
      </c>
      <c r="C1274" s="227">
        <v>97412</v>
      </c>
      <c r="H1274" s="226"/>
      <c r="K1274" s="226"/>
      <c r="P1274" s="226"/>
    </row>
    <row r="1275" spans="1:16">
      <c r="A1275" s="227"/>
      <c r="B1275" s="131" t="s">
        <v>2520</v>
      </c>
      <c r="C1275" s="227">
        <v>97431</v>
      </c>
      <c r="H1275" s="226"/>
      <c r="K1275" s="226"/>
      <c r="P1275" s="226"/>
    </row>
    <row r="1276" spans="1:16">
      <c r="A1276" s="227"/>
      <c r="B1276" s="131" t="s">
        <v>2521</v>
      </c>
      <c r="C1276" s="227">
        <v>97471</v>
      </c>
      <c r="H1276" s="226"/>
      <c r="K1276" s="226"/>
      <c r="P1276" s="226"/>
    </row>
    <row r="1277" spans="1:16">
      <c r="A1277" s="227"/>
      <c r="B1277" s="131" t="s">
        <v>2522</v>
      </c>
      <c r="C1277" s="227">
        <v>92351</v>
      </c>
      <c r="H1277" s="226"/>
      <c r="K1277" s="226"/>
      <c r="P1277" s="226"/>
    </row>
    <row r="1278" spans="1:16">
      <c r="A1278" s="227"/>
      <c r="B1278" s="131" t="s">
        <v>1102</v>
      </c>
      <c r="C1278" s="227">
        <v>94101</v>
      </c>
      <c r="H1278" s="226"/>
      <c r="K1278" s="226"/>
      <c r="P1278" s="226"/>
    </row>
    <row r="1279" spans="1:16">
      <c r="A1279" s="227"/>
      <c r="B1279" s="131" t="s">
        <v>1109</v>
      </c>
      <c r="C1279" s="227">
        <v>94118</v>
      </c>
      <c r="H1279" s="226"/>
      <c r="K1279" s="226"/>
      <c r="P1279" s="226"/>
    </row>
    <row r="1280" spans="1:16">
      <c r="A1280" s="227"/>
      <c r="B1280" s="131" t="s">
        <v>1103</v>
      </c>
      <c r="C1280" s="227">
        <v>94102</v>
      </c>
      <c r="H1280" s="226"/>
      <c r="K1280" s="226"/>
      <c r="P1280" s="226"/>
    </row>
    <row r="1281" spans="1:16">
      <c r="A1281" s="227"/>
      <c r="B1281" s="131" t="s">
        <v>1119</v>
      </c>
      <c r="C1281" s="227">
        <v>94201</v>
      </c>
      <c r="H1281" s="226"/>
      <c r="K1281" s="226"/>
      <c r="P1281" s="226"/>
    </row>
    <row r="1282" spans="1:16">
      <c r="A1282" s="227"/>
      <c r="B1282" s="131" t="s">
        <v>1120</v>
      </c>
      <c r="C1282" s="227">
        <v>94204</v>
      </c>
      <c r="H1282" s="226"/>
      <c r="K1282" s="226"/>
      <c r="P1282" s="226"/>
    </row>
    <row r="1283" spans="1:16">
      <c r="A1283" s="227"/>
      <c r="B1283" s="131" t="s">
        <v>1121</v>
      </c>
      <c r="C1283" s="227">
        <v>94205</v>
      </c>
      <c r="H1283" s="226"/>
      <c r="K1283" s="226"/>
      <c r="P1283" s="226"/>
    </row>
    <row r="1284" spans="1:16">
      <c r="A1284" s="227"/>
      <c r="B1284" s="131" t="s">
        <v>2523</v>
      </c>
      <c r="C1284" s="227">
        <v>95831</v>
      </c>
      <c r="H1284" s="226"/>
      <c r="K1284" s="226"/>
      <c r="P1284" s="226"/>
    </row>
    <row r="1285" spans="1:16">
      <c r="A1285" s="227"/>
      <c r="B1285" s="131" t="s">
        <v>1971</v>
      </c>
      <c r="C1285" s="227">
        <v>97721</v>
      </c>
      <c r="H1285" s="226"/>
      <c r="K1285" s="226"/>
      <c r="P1285" s="226"/>
    </row>
    <row r="1286" spans="1:16">
      <c r="A1286" s="227"/>
      <c r="B1286" s="131" t="s">
        <v>1408</v>
      </c>
      <c r="C1286" s="227">
        <v>97717</v>
      </c>
      <c r="H1286" s="226"/>
      <c r="K1286" s="226"/>
      <c r="P1286" s="226"/>
    </row>
    <row r="1287" spans="1:16">
      <c r="A1287" s="227"/>
      <c r="B1287" s="131" t="s">
        <v>1129</v>
      </c>
      <c r="C1287" s="227">
        <v>94301</v>
      </c>
      <c r="H1287" s="226"/>
      <c r="K1287" s="226"/>
      <c r="P1287" s="226"/>
    </row>
    <row r="1288" spans="1:16">
      <c r="A1288" s="227"/>
      <c r="B1288" s="131" t="s">
        <v>2524</v>
      </c>
      <c r="C1288" s="227">
        <v>91441</v>
      </c>
      <c r="H1288" s="226"/>
      <c r="K1288" s="226"/>
      <c r="P1288" s="226"/>
    </row>
    <row r="1289" spans="1:16">
      <c r="A1289" s="227"/>
      <c r="B1289" s="131" t="s">
        <v>1972</v>
      </c>
      <c r="C1289" s="227">
        <v>92531</v>
      </c>
      <c r="H1289" s="226"/>
      <c r="K1289" s="226"/>
      <c r="P1289" s="226"/>
    </row>
    <row r="1290" spans="1:16">
      <c r="A1290" s="227"/>
      <c r="B1290" s="131" t="s">
        <v>2525</v>
      </c>
      <c r="C1290" s="227">
        <v>90141</v>
      </c>
      <c r="H1290" s="226"/>
      <c r="K1290" s="226"/>
      <c r="P1290" s="226"/>
    </row>
    <row r="1291" spans="1:16">
      <c r="A1291" s="227"/>
      <c r="B1291" s="131" t="s">
        <v>1138</v>
      </c>
      <c r="C1291" s="227">
        <v>94401</v>
      </c>
      <c r="H1291" s="226"/>
      <c r="K1291" s="226"/>
      <c r="P1291" s="226"/>
    </row>
    <row r="1292" spans="1:16">
      <c r="A1292" s="227"/>
      <c r="B1292" s="131" t="s">
        <v>1140</v>
      </c>
      <c r="C1292" s="227">
        <v>94403</v>
      </c>
      <c r="H1292" s="226"/>
      <c r="K1292" s="226"/>
      <c r="P1292" s="226"/>
    </row>
    <row r="1293" spans="1:16">
      <c r="A1293" s="227"/>
      <c r="B1293" s="131" t="s">
        <v>1139</v>
      </c>
      <c r="C1293" s="227">
        <v>94402</v>
      </c>
      <c r="H1293" s="226"/>
      <c r="K1293" s="226"/>
      <c r="P1293" s="226"/>
    </row>
    <row r="1294" spans="1:16">
      <c r="A1294" s="227"/>
      <c r="B1294" s="131" t="s">
        <v>1973</v>
      </c>
      <c r="C1294" s="227">
        <v>99111</v>
      </c>
      <c r="H1294" s="226"/>
      <c r="K1294" s="226"/>
      <c r="P1294" s="226"/>
    </row>
    <row r="1295" spans="1:16">
      <c r="A1295" s="227"/>
      <c r="B1295" s="131" t="s">
        <v>2025</v>
      </c>
      <c r="C1295" s="227">
        <v>94501</v>
      </c>
      <c r="H1295" s="226"/>
      <c r="K1295" s="226"/>
      <c r="P1295" s="226"/>
    </row>
    <row r="1296" spans="1:16">
      <c r="A1296" s="227"/>
      <c r="B1296" s="131" t="s">
        <v>1974</v>
      </c>
      <c r="C1296" s="227">
        <v>94511</v>
      </c>
      <c r="H1296" s="226"/>
      <c r="K1296" s="226"/>
      <c r="P1296" s="226"/>
    </row>
    <row r="1297" spans="1:16">
      <c r="A1297" s="227"/>
      <c r="B1297" s="131" t="s">
        <v>2813</v>
      </c>
      <c r="C1297" s="227">
        <v>94517</v>
      </c>
      <c r="H1297" s="226"/>
      <c r="K1297" s="226"/>
      <c r="P1297" s="226"/>
    </row>
    <row r="1298" spans="1:16">
      <c r="A1298" s="227"/>
      <c r="B1298" s="131" t="s">
        <v>1151</v>
      </c>
      <c r="C1298" s="227">
        <v>94512</v>
      </c>
      <c r="H1298" s="226"/>
      <c r="K1298" s="226"/>
      <c r="P1298" s="226"/>
    </row>
    <row r="1299" spans="1:16">
      <c r="A1299" s="227"/>
      <c r="B1299" s="131" t="s">
        <v>2526</v>
      </c>
      <c r="C1299" s="227">
        <v>97211</v>
      </c>
      <c r="H1299" s="226"/>
      <c r="K1299" s="226"/>
      <c r="P1299" s="226"/>
    </row>
    <row r="1300" spans="1:16">
      <c r="A1300" s="227"/>
      <c r="B1300" s="131" t="s">
        <v>2527</v>
      </c>
      <c r="C1300" s="227">
        <v>97217</v>
      </c>
      <c r="H1300" s="226"/>
      <c r="K1300" s="226"/>
      <c r="P1300" s="226"/>
    </row>
    <row r="1301" spans="1:16">
      <c r="A1301" s="227"/>
      <c r="B1301" s="131" t="s">
        <v>1160</v>
      </c>
      <c r="C1301" s="227">
        <v>94601</v>
      </c>
      <c r="H1301" s="226"/>
      <c r="K1301" s="226"/>
      <c r="P1301" s="226"/>
    </row>
    <row r="1302" spans="1:16">
      <c r="A1302" s="227"/>
      <c r="B1302" s="131" t="s">
        <v>1161</v>
      </c>
      <c r="C1302" s="227">
        <v>94604</v>
      </c>
      <c r="H1302" s="226"/>
      <c r="K1302" s="226"/>
      <c r="P1302" s="226"/>
    </row>
    <row r="1303" spans="1:16">
      <c r="A1303" s="227"/>
      <c r="B1303" s="131" t="s">
        <v>1162</v>
      </c>
      <c r="C1303" s="227">
        <v>94606</v>
      </c>
      <c r="H1303" s="226"/>
      <c r="K1303" s="226"/>
      <c r="P1303" s="226"/>
    </row>
    <row r="1304" spans="1:16">
      <c r="A1304" s="227"/>
      <c r="B1304" s="131" t="s">
        <v>2769</v>
      </c>
      <c r="C1304" s="227">
        <v>97213</v>
      </c>
      <c r="H1304" s="226"/>
      <c r="K1304" s="226"/>
      <c r="P1304" s="226"/>
    </row>
    <row r="1305" spans="1:16">
      <c r="A1305" s="227"/>
      <c r="B1305" s="131" t="s">
        <v>1975</v>
      </c>
      <c r="C1305" s="227">
        <v>91811</v>
      </c>
      <c r="H1305" s="226"/>
      <c r="K1305" s="226"/>
      <c r="P1305" s="226"/>
    </row>
    <row r="1306" spans="1:16">
      <c r="A1306" s="227"/>
      <c r="B1306" s="131" t="s">
        <v>2757</v>
      </c>
      <c r="C1306" s="227">
        <v>91812</v>
      </c>
      <c r="H1306" s="226"/>
      <c r="K1306" s="226"/>
      <c r="P1306" s="226"/>
    </row>
    <row r="1307" spans="1:16">
      <c r="A1307" s="227"/>
      <c r="B1307" s="131" t="s">
        <v>905</v>
      </c>
      <c r="C1307" s="227">
        <v>91813</v>
      </c>
      <c r="H1307" s="226"/>
      <c r="K1307" s="226"/>
      <c r="P1307" s="226"/>
    </row>
    <row r="1308" spans="1:16">
      <c r="A1308" s="227"/>
      <c r="B1308" s="131" t="s">
        <v>770</v>
      </c>
      <c r="C1308" s="227">
        <v>90617</v>
      </c>
      <c r="H1308" s="226"/>
      <c r="K1308" s="226"/>
      <c r="P1308" s="226"/>
    </row>
    <row r="1309" spans="1:16">
      <c r="A1309" s="227"/>
      <c r="B1309" s="131" t="s">
        <v>1976</v>
      </c>
      <c r="C1309" s="227">
        <v>94121</v>
      </c>
      <c r="H1309" s="226"/>
      <c r="K1309" s="226"/>
      <c r="P1309" s="226"/>
    </row>
    <row r="1310" spans="1:16">
      <c r="A1310" s="227"/>
      <c r="B1310" s="131" t="s">
        <v>2812</v>
      </c>
      <c r="C1310" s="227">
        <v>94127</v>
      </c>
      <c r="H1310" s="226"/>
      <c r="K1310" s="226"/>
      <c r="P1310" s="226"/>
    </row>
    <row r="1311" spans="1:16">
      <c r="A1311" s="227"/>
      <c r="B1311" s="131" t="s">
        <v>2528</v>
      </c>
      <c r="C1311" s="227">
        <v>95621</v>
      </c>
      <c r="H1311" s="226"/>
      <c r="K1311" s="226"/>
      <c r="P1311" s="226"/>
    </row>
    <row r="1312" spans="1:16">
      <c r="A1312" s="227"/>
      <c r="B1312" s="131" t="s">
        <v>1232</v>
      </c>
      <c r="C1312" s="227">
        <v>95617</v>
      </c>
      <c r="H1312" s="226"/>
      <c r="K1312" s="226"/>
      <c r="P1312" s="226"/>
    </row>
    <row r="1313" spans="1:16">
      <c r="A1313" s="227"/>
      <c r="B1313" s="131" t="s">
        <v>2529</v>
      </c>
      <c r="C1313" s="227">
        <v>91251</v>
      </c>
      <c r="H1313" s="226"/>
      <c r="K1313" s="226"/>
      <c r="P1313" s="226"/>
    </row>
    <row r="1314" spans="1:16">
      <c r="A1314" s="227"/>
      <c r="B1314" s="131" t="s">
        <v>2530</v>
      </c>
      <c r="C1314" s="227">
        <v>96831</v>
      </c>
      <c r="H1314" s="226"/>
      <c r="K1314" s="226"/>
      <c r="P1314" s="226"/>
    </row>
    <row r="1315" spans="1:16">
      <c r="A1315" s="227"/>
      <c r="B1315" s="131" t="s">
        <v>2531</v>
      </c>
      <c r="C1315" s="227">
        <v>94251</v>
      </c>
      <c r="H1315" s="226"/>
      <c r="K1315" s="226"/>
      <c r="P1315" s="226"/>
    </row>
    <row r="1316" spans="1:16">
      <c r="A1316" s="227"/>
      <c r="B1316" s="131" t="s">
        <v>1167</v>
      </c>
      <c r="C1316" s="227">
        <v>94701</v>
      </c>
      <c r="H1316" s="226"/>
      <c r="K1316" s="226"/>
      <c r="P1316" s="226"/>
    </row>
    <row r="1317" spans="1:16">
      <c r="A1317" s="227"/>
      <c r="B1317" s="131" t="s">
        <v>1168</v>
      </c>
      <c r="C1317" s="227">
        <v>94704</v>
      </c>
      <c r="H1317" s="226"/>
      <c r="K1317" s="226"/>
      <c r="P1317" s="226"/>
    </row>
    <row r="1318" spans="1:16">
      <c r="A1318" s="227"/>
      <c r="B1318" s="131" t="s">
        <v>2532</v>
      </c>
      <c r="C1318" s="227">
        <v>91014</v>
      </c>
      <c r="H1318" s="226"/>
      <c r="K1318" s="226"/>
      <c r="P1318" s="226"/>
    </row>
    <row r="1319" spans="1:16">
      <c r="A1319" s="227"/>
      <c r="B1319" s="131" t="s">
        <v>2533</v>
      </c>
      <c r="C1319" s="227">
        <v>96731</v>
      </c>
      <c r="H1319" s="226"/>
      <c r="K1319" s="226"/>
      <c r="P1319" s="226"/>
    </row>
    <row r="1320" spans="1:16">
      <c r="A1320" s="227"/>
      <c r="B1320" s="131" t="s">
        <v>1333</v>
      </c>
      <c r="C1320" s="227">
        <v>96733</v>
      </c>
      <c r="H1320" s="226"/>
      <c r="K1320" s="226"/>
      <c r="P1320" s="226"/>
    </row>
    <row r="1321" spans="1:16">
      <c r="A1321" s="227"/>
      <c r="B1321" s="131" t="s">
        <v>2534</v>
      </c>
      <c r="C1321" s="227">
        <v>99202</v>
      </c>
      <c r="H1321" s="226"/>
      <c r="K1321" s="226"/>
      <c r="P1321" s="226"/>
    </row>
    <row r="1322" spans="1:16">
      <c r="A1322" s="227"/>
      <c r="B1322" s="131" t="s">
        <v>2535</v>
      </c>
      <c r="C1322" s="227">
        <v>94011</v>
      </c>
      <c r="H1322" s="226"/>
      <c r="K1322" s="226"/>
      <c r="P1322" s="226"/>
    </row>
    <row r="1323" spans="1:16">
      <c r="A1323" s="227"/>
      <c r="B1323" s="131" t="s">
        <v>2536</v>
      </c>
      <c r="C1323" s="227">
        <v>92631</v>
      </c>
      <c r="H1323" s="226"/>
      <c r="K1323" s="226"/>
      <c r="P1323" s="226"/>
    </row>
    <row r="1324" spans="1:16">
      <c r="A1324" s="227"/>
      <c r="B1324" s="131" t="s">
        <v>1237</v>
      </c>
      <c r="C1324" s="227">
        <v>95733</v>
      </c>
      <c r="H1324" s="226"/>
      <c r="K1324" s="226"/>
      <c r="P1324" s="226"/>
    </row>
    <row r="1325" spans="1:16">
      <c r="A1325" s="227"/>
      <c r="B1325" s="131" t="s">
        <v>2537</v>
      </c>
      <c r="C1325" s="227">
        <v>91431</v>
      </c>
      <c r="H1325" s="226"/>
      <c r="K1325" s="226"/>
      <c r="P1325" s="226"/>
    </row>
    <row r="1326" spans="1:16">
      <c r="A1326" s="227"/>
      <c r="B1326" s="131" t="s">
        <v>2538</v>
      </c>
      <c r="C1326" s="227">
        <v>96041</v>
      </c>
      <c r="H1326" s="226"/>
      <c r="K1326" s="226"/>
      <c r="P1326" s="226"/>
    </row>
    <row r="1327" spans="1:16">
      <c r="A1327" s="227"/>
      <c r="B1327" s="131" t="s">
        <v>1170</v>
      </c>
      <c r="C1327" s="227">
        <v>94801</v>
      </c>
      <c r="H1327" s="226"/>
      <c r="K1327" s="226"/>
      <c r="P1327" s="226"/>
    </row>
    <row r="1328" spans="1:16">
      <c r="A1328" s="227"/>
      <c r="B1328" s="131" t="s">
        <v>1171</v>
      </c>
      <c r="C1328" s="227">
        <v>94804</v>
      </c>
      <c r="H1328" s="226"/>
      <c r="K1328" s="226"/>
      <c r="P1328" s="226"/>
    </row>
    <row r="1329" spans="1:16">
      <c r="A1329" s="227"/>
      <c r="B1329" s="131" t="s">
        <v>2539</v>
      </c>
      <c r="C1329" s="227">
        <v>91661</v>
      </c>
      <c r="H1329" s="226"/>
      <c r="K1329" s="226"/>
      <c r="P1329" s="226"/>
    </row>
    <row r="1330" spans="1:16">
      <c r="A1330" s="227"/>
      <c r="B1330" s="131" t="s">
        <v>2540</v>
      </c>
      <c r="C1330" s="227">
        <v>99051</v>
      </c>
      <c r="H1330" s="226"/>
      <c r="K1330" s="226"/>
      <c r="P1330" s="226"/>
    </row>
    <row r="1331" spans="1:16">
      <c r="A1331" s="227"/>
      <c r="B1331" s="131" t="s">
        <v>1525</v>
      </c>
      <c r="C1331" s="227">
        <v>99014</v>
      </c>
      <c r="H1331" s="226"/>
      <c r="K1331" s="226"/>
      <c r="P1331" s="226"/>
    </row>
    <row r="1332" spans="1:16">
      <c r="A1332" s="227"/>
      <c r="B1332" s="131" t="s">
        <v>1173</v>
      </c>
      <c r="C1332" s="227">
        <v>94901</v>
      </c>
      <c r="H1332" s="226"/>
      <c r="K1332" s="226"/>
      <c r="P1332" s="226"/>
    </row>
    <row r="1333" spans="1:16">
      <c r="A1333" s="227"/>
      <c r="B1333" s="131" t="s">
        <v>1462</v>
      </c>
      <c r="C1333" s="227">
        <v>98109</v>
      </c>
      <c r="H1333" s="226"/>
      <c r="K1333" s="226"/>
      <c r="P1333" s="226"/>
    </row>
    <row r="1334" spans="1:16">
      <c r="A1334" s="227"/>
      <c r="B1334" s="131" t="s">
        <v>2808</v>
      </c>
      <c r="C1334" s="227">
        <v>98205</v>
      </c>
      <c r="H1334" s="226"/>
      <c r="K1334" s="226"/>
      <c r="P1334" s="226"/>
    </row>
    <row r="1335" spans="1:16">
      <c r="A1335" s="227"/>
      <c r="B1335" s="131" t="s">
        <v>2541</v>
      </c>
      <c r="C1335" s="227">
        <v>96661</v>
      </c>
      <c r="H1335" s="226"/>
      <c r="K1335" s="226"/>
      <c r="P1335" s="226"/>
    </row>
    <row r="1336" spans="1:16">
      <c r="A1336" s="227"/>
      <c r="B1336" s="131" t="s">
        <v>1182</v>
      </c>
      <c r="C1336" s="227">
        <v>95001</v>
      </c>
      <c r="H1336" s="226"/>
      <c r="K1336" s="226"/>
      <c r="P1336" s="226"/>
    </row>
    <row r="1337" spans="1:16">
      <c r="A1337" s="227"/>
      <c r="B1337" s="131" t="s">
        <v>1188</v>
      </c>
      <c r="C1337" s="227">
        <v>95017</v>
      </c>
      <c r="H1337" s="226"/>
      <c r="K1337" s="226"/>
      <c r="P1337" s="226"/>
    </row>
    <row r="1338" spans="1:16">
      <c r="A1338" s="227"/>
      <c r="B1338" s="131" t="s">
        <v>1977</v>
      </c>
      <c r="C1338" s="227">
        <v>96711</v>
      </c>
      <c r="H1338" s="226"/>
      <c r="K1338" s="226"/>
      <c r="P1338" s="226"/>
    </row>
    <row r="1339" spans="1:16">
      <c r="A1339" s="227"/>
      <c r="B1339" s="131" t="s">
        <v>2542</v>
      </c>
      <c r="C1339" s="227">
        <v>94131</v>
      </c>
      <c r="H1339" s="226"/>
      <c r="K1339" s="226"/>
      <c r="P1339" s="226"/>
    </row>
    <row r="1340" spans="1:16">
      <c r="A1340" s="227"/>
      <c r="B1340" s="131" t="s">
        <v>2543</v>
      </c>
      <c r="C1340" s="227">
        <v>95841</v>
      </c>
      <c r="H1340" s="226"/>
      <c r="K1340" s="226"/>
      <c r="P1340" s="226"/>
    </row>
    <row r="1341" spans="1:16">
      <c r="A1341" s="227"/>
      <c r="B1341" s="131" t="s">
        <v>2544</v>
      </c>
      <c r="C1341" s="227">
        <v>90511</v>
      </c>
      <c r="H1341" s="226"/>
      <c r="K1341" s="226"/>
      <c r="P1341" s="226"/>
    </row>
    <row r="1342" spans="1:16">
      <c r="A1342" s="227"/>
      <c r="B1342" s="131" t="s">
        <v>1189</v>
      </c>
      <c r="C1342" s="227">
        <v>95101</v>
      </c>
      <c r="H1342" s="226"/>
      <c r="K1342" s="226"/>
      <c r="P1342" s="226"/>
    </row>
    <row r="1343" spans="1:16">
      <c r="A1343" s="227"/>
      <c r="B1343" s="131" t="s">
        <v>1191</v>
      </c>
      <c r="C1343" s="227">
        <v>95104</v>
      </c>
      <c r="H1343" s="226"/>
      <c r="K1343" s="226"/>
      <c r="P1343" s="226"/>
    </row>
    <row r="1344" spans="1:16">
      <c r="A1344" s="227"/>
      <c r="B1344" s="131" t="s">
        <v>1194</v>
      </c>
      <c r="C1344" s="227">
        <v>95110</v>
      </c>
      <c r="H1344" s="226"/>
      <c r="K1344" s="226"/>
      <c r="P1344" s="226"/>
    </row>
    <row r="1345" spans="1:16">
      <c r="A1345" s="227"/>
      <c r="B1345" s="131" t="s">
        <v>1207</v>
      </c>
      <c r="C1345" s="227">
        <v>95201</v>
      </c>
      <c r="H1345" s="226"/>
      <c r="K1345" s="226"/>
      <c r="P1345" s="226"/>
    </row>
    <row r="1346" spans="1:16">
      <c r="A1346" s="227"/>
      <c r="B1346" s="131" t="s">
        <v>1208</v>
      </c>
      <c r="C1346" s="227">
        <v>95204</v>
      </c>
      <c r="H1346" s="226"/>
      <c r="K1346" s="226"/>
      <c r="P1346" s="226"/>
    </row>
    <row r="1347" spans="1:16">
      <c r="A1347" s="227"/>
      <c r="B1347" s="131" t="s">
        <v>2545</v>
      </c>
      <c r="C1347" s="51">
        <v>99921</v>
      </c>
      <c r="H1347" s="226"/>
      <c r="K1347" s="226"/>
      <c r="P1347" s="226"/>
    </row>
    <row r="1348" spans="1:16">
      <c r="A1348" s="227"/>
      <c r="B1348" s="131" t="s">
        <v>1141</v>
      </c>
      <c r="C1348" s="227">
        <v>94408</v>
      </c>
      <c r="H1348" s="226"/>
      <c r="K1348" s="226"/>
      <c r="P1348" s="226"/>
    </row>
    <row r="1349" spans="1:16">
      <c r="A1349" s="227"/>
      <c r="B1349" s="131" t="s">
        <v>1978</v>
      </c>
      <c r="C1349" s="227">
        <v>91331</v>
      </c>
      <c r="H1349" s="226"/>
      <c r="K1349" s="226"/>
      <c r="P1349" s="226"/>
    </row>
    <row r="1350" spans="1:16">
      <c r="A1350" s="227"/>
      <c r="B1350" s="131" t="s">
        <v>2546</v>
      </c>
      <c r="C1350" s="227">
        <v>93121</v>
      </c>
      <c r="H1350" s="226"/>
      <c r="K1350" s="226"/>
      <c r="P1350" s="226"/>
    </row>
    <row r="1351" spans="1:16">
      <c r="A1351" s="227"/>
      <c r="B1351" s="131" t="s">
        <v>1011</v>
      </c>
      <c r="C1351" s="227">
        <v>93127</v>
      </c>
      <c r="H1351" s="226"/>
      <c r="K1351" s="226"/>
      <c r="P1351" s="226"/>
    </row>
    <row r="1352" spans="1:16">
      <c r="A1352" s="227"/>
      <c r="B1352" s="131" t="s">
        <v>2547</v>
      </c>
      <c r="C1352" s="227">
        <v>95171</v>
      </c>
      <c r="H1352" s="226"/>
      <c r="K1352" s="226"/>
      <c r="P1352" s="226"/>
    </row>
    <row r="1353" spans="1:16">
      <c r="A1353" s="227"/>
      <c r="B1353" s="131" t="s">
        <v>2548</v>
      </c>
      <c r="C1353" s="227">
        <v>93421</v>
      </c>
      <c r="H1353" s="226"/>
      <c r="K1353" s="226"/>
      <c r="P1353" s="226"/>
    </row>
    <row r="1354" spans="1:16">
      <c r="A1354" s="227"/>
      <c r="B1354" s="131" t="s">
        <v>1539</v>
      </c>
      <c r="C1354" s="227">
        <v>99110</v>
      </c>
      <c r="H1354" s="226"/>
      <c r="K1354" s="226"/>
      <c r="P1354" s="226"/>
    </row>
    <row r="1355" spans="1:16">
      <c r="A1355" s="227"/>
      <c r="B1355" s="131" t="s">
        <v>2807</v>
      </c>
      <c r="C1355" s="227">
        <v>99109</v>
      </c>
      <c r="H1355" s="226"/>
      <c r="K1355" s="226"/>
      <c r="P1355" s="226"/>
    </row>
    <row r="1356" spans="1:16">
      <c r="A1356" s="227"/>
      <c r="B1356" s="131" t="s">
        <v>2549</v>
      </c>
      <c r="C1356" s="227">
        <v>92821</v>
      </c>
      <c r="H1356" s="226"/>
      <c r="K1356" s="226"/>
      <c r="P1356" s="226"/>
    </row>
    <row r="1357" spans="1:16">
      <c r="A1357" s="227"/>
      <c r="B1357" s="131" t="s">
        <v>2550</v>
      </c>
      <c r="C1357" s="227">
        <v>98521</v>
      </c>
      <c r="H1357" s="226"/>
      <c r="K1357" s="226"/>
      <c r="P1357" s="226"/>
    </row>
    <row r="1358" spans="1:16">
      <c r="A1358" s="227"/>
      <c r="B1358" s="131" t="s">
        <v>1979</v>
      </c>
      <c r="C1358" s="227">
        <v>92321</v>
      </c>
      <c r="H1358" s="226"/>
      <c r="K1358" s="226"/>
      <c r="P1358" s="226"/>
    </row>
    <row r="1359" spans="1:16">
      <c r="A1359" s="227"/>
      <c r="B1359" s="131" t="s">
        <v>938</v>
      </c>
      <c r="C1359" s="227">
        <v>92327</v>
      </c>
      <c r="H1359" s="226"/>
      <c r="K1359" s="226"/>
      <c r="P1359" s="226"/>
    </row>
    <row r="1360" spans="1:16">
      <c r="A1360" s="227"/>
      <c r="B1360" s="131" t="s">
        <v>1980</v>
      </c>
      <c r="C1360" s="227">
        <v>95411</v>
      </c>
      <c r="H1360" s="226"/>
      <c r="K1360" s="226"/>
      <c r="P1360" s="226"/>
    </row>
    <row r="1361" spans="1:16">
      <c r="A1361" s="227"/>
      <c r="B1361" s="131" t="s">
        <v>2811</v>
      </c>
      <c r="C1361" s="227">
        <v>95413</v>
      </c>
      <c r="H1361" s="226"/>
      <c r="K1361" s="226"/>
      <c r="P1361" s="226"/>
    </row>
    <row r="1362" spans="1:16">
      <c r="A1362" s="227"/>
      <c r="B1362" s="131" t="s">
        <v>2806</v>
      </c>
      <c r="C1362" s="227">
        <v>95415</v>
      </c>
      <c r="H1362" s="226"/>
      <c r="K1362" s="226"/>
      <c r="P1362" s="226"/>
    </row>
    <row r="1363" spans="1:16">
      <c r="A1363" s="227"/>
      <c r="B1363" s="131" t="s">
        <v>2551</v>
      </c>
      <c r="C1363" s="227">
        <v>92851</v>
      </c>
      <c r="H1363" s="226"/>
      <c r="K1363" s="226"/>
      <c r="P1363" s="226"/>
    </row>
    <row r="1364" spans="1:16">
      <c r="A1364" s="227"/>
      <c r="B1364" s="131" t="s">
        <v>2552</v>
      </c>
      <c r="C1364" s="227">
        <v>99291</v>
      </c>
      <c r="H1364" s="226"/>
      <c r="K1364" s="226"/>
      <c r="P1364" s="226"/>
    </row>
    <row r="1365" spans="1:16">
      <c r="A1365" s="227"/>
      <c r="B1365" s="131" t="s">
        <v>2553</v>
      </c>
      <c r="C1365" s="227">
        <v>96541</v>
      </c>
      <c r="H1365" s="226"/>
      <c r="K1365" s="226"/>
      <c r="P1365" s="226"/>
    </row>
    <row r="1366" spans="1:16">
      <c r="A1366" s="227"/>
      <c r="B1366" s="131" t="s">
        <v>2554</v>
      </c>
      <c r="C1366" s="227">
        <v>95431</v>
      </c>
      <c r="H1366" s="226"/>
      <c r="K1366" s="226"/>
      <c r="P1366" s="226"/>
    </row>
    <row r="1367" spans="1:16">
      <c r="A1367" s="227"/>
      <c r="B1367" s="131" t="s">
        <v>2555</v>
      </c>
      <c r="C1367" s="227">
        <v>98131</v>
      </c>
      <c r="H1367" s="226"/>
      <c r="K1367" s="226"/>
      <c r="P1367" s="226"/>
    </row>
    <row r="1368" spans="1:16">
      <c r="A1368" s="227"/>
      <c r="B1368" s="131" t="s">
        <v>2556</v>
      </c>
      <c r="C1368" s="227">
        <v>92461</v>
      </c>
      <c r="H1368" s="226"/>
      <c r="K1368" s="226"/>
      <c r="P1368" s="226"/>
    </row>
    <row r="1369" spans="1:16">
      <c r="A1369" s="227"/>
      <c r="B1369" s="131" t="s">
        <v>947</v>
      </c>
      <c r="C1369" s="227">
        <v>92427</v>
      </c>
      <c r="H1369" s="226"/>
      <c r="K1369" s="226"/>
      <c r="P1369" s="226"/>
    </row>
    <row r="1370" spans="1:16">
      <c r="A1370" s="227"/>
      <c r="B1370" s="131" t="s">
        <v>2557</v>
      </c>
      <c r="C1370" s="227">
        <v>98051</v>
      </c>
      <c r="H1370" s="226"/>
      <c r="K1370" s="226"/>
      <c r="P1370" s="226"/>
    </row>
    <row r="1371" spans="1:16">
      <c r="A1371" s="227"/>
      <c r="B1371" s="131" t="s">
        <v>830</v>
      </c>
      <c r="C1371" s="227">
        <v>91102</v>
      </c>
      <c r="H1371" s="226"/>
      <c r="K1371" s="226"/>
      <c r="P1371" s="226"/>
    </row>
    <row r="1372" spans="1:16">
      <c r="A1372" s="227"/>
      <c r="B1372" s="131" t="s">
        <v>2558</v>
      </c>
      <c r="C1372" s="227">
        <v>94521</v>
      </c>
      <c r="H1372" s="226"/>
      <c r="K1372" s="226"/>
      <c r="P1372" s="226"/>
    </row>
    <row r="1373" spans="1:16">
      <c r="A1373" s="227"/>
      <c r="B1373" s="131" t="s">
        <v>1154</v>
      </c>
      <c r="C1373" s="227">
        <v>94527</v>
      </c>
      <c r="H1373" s="226"/>
      <c r="K1373" s="226"/>
      <c r="P1373" s="226"/>
    </row>
    <row r="1374" spans="1:16">
      <c r="A1374" s="227"/>
      <c r="B1374" s="131" t="s">
        <v>1981</v>
      </c>
      <c r="C1374" s="227">
        <v>98311</v>
      </c>
      <c r="H1374" s="226"/>
      <c r="K1374" s="226"/>
      <c r="P1374" s="226"/>
    </row>
    <row r="1375" spans="1:16">
      <c r="A1375" s="227"/>
      <c r="B1375" s="131" t="s">
        <v>1485</v>
      </c>
      <c r="C1375" s="227">
        <v>98313</v>
      </c>
      <c r="H1375" s="226"/>
      <c r="K1375" s="226"/>
      <c r="P1375" s="226"/>
    </row>
    <row r="1376" spans="1:16">
      <c r="A1376" s="227"/>
      <c r="B1376" s="131" t="s">
        <v>1483</v>
      </c>
      <c r="C1376" s="227">
        <v>98308</v>
      </c>
      <c r="H1376" s="226"/>
      <c r="K1376" s="226"/>
      <c r="P1376" s="226"/>
    </row>
    <row r="1377" spans="1:16">
      <c r="A1377" s="227"/>
      <c r="B1377" s="131" t="s">
        <v>2559</v>
      </c>
      <c r="C1377" s="227">
        <v>92341</v>
      </c>
      <c r="H1377" s="226"/>
      <c r="K1377" s="226"/>
      <c r="P1377" s="226"/>
    </row>
    <row r="1378" spans="1:16">
      <c r="A1378" s="227"/>
      <c r="B1378" s="131" t="s">
        <v>1212</v>
      </c>
      <c r="C1378" s="227">
        <v>95301</v>
      </c>
      <c r="H1378" s="226"/>
      <c r="K1378" s="226"/>
      <c r="P1378" s="226"/>
    </row>
    <row r="1379" spans="1:16">
      <c r="A1379" s="227"/>
      <c r="B1379" s="131" t="s">
        <v>2560</v>
      </c>
      <c r="C1379" s="227">
        <v>91002</v>
      </c>
      <c r="H1379" s="226"/>
      <c r="K1379" s="226"/>
      <c r="P1379" s="226"/>
    </row>
    <row r="1380" spans="1:16">
      <c r="A1380" s="227"/>
      <c r="B1380" s="131" t="s">
        <v>1982</v>
      </c>
      <c r="C1380" s="227">
        <v>91451</v>
      </c>
      <c r="H1380" s="226"/>
      <c r="K1380" s="226"/>
      <c r="P1380" s="226"/>
    </row>
    <row r="1381" spans="1:16">
      <c r="A1381" s="227"/>
      <c r="B1381" s="131" t="s">
        <v>2805</v>
      </c>
      <c r="C1381" s="227">
        <v>91457</v>
      </c>
      <c r="H1381" s="226"/>
      <c r="K1381" s="226"/>
      <c r="P1381" s="226"/>
    </row>
    <row r="1382" spans="1:16">
      <c r="A1382" s="227"/>
      <c r="B1382" s="131" t="s">
        <v>1216</v>
      </c>
      <c r="C1382" s="227">
        <v>95401</v>
      </c>
      <c r="H1382" s="226"/>
      <c r="K1382" s="226"/>
      <c r="P1382" s="226"/>
    </row>
    <row r="1383" spans="1:16">
      <c r="A1383" s="227"/>
      <c r="B1383" s="131" t="s">
        <v>1217</v>
      </c>
      <c r="C1383" s="227">
        <v>95404</v>
      </c>
      <c r="H1383" s="226"/>
      <c r="K1383" s="226"/>
      <c r="P1383" s="226"/>
    </row>
    <row r="1384" spans="1:16">
      <c r="A1384" s="227"/>
      <c r="B1384" s="131" t="s">
        <v>876</v>
      </c>
      <c r="C1384" s="227">
        <v>91423</v>
      </c>
      <c r="H1384" s="226"/>
      <c r="K1384" s="226"/>
      <c r="P1384" s="226"/>
    </row>
    <row r="1385" spans="1:16">
      <c r="A1385" s="227"/>
      <c r="B1385" s="131" t="s">
        <v>2561</v>
      </c>
      <c r="C1385" s="227">
        <v>90861</v>
      </c>
      <c r="H1385" s="226"/>
      <c r="K1385" s="226"/>
      <c r="P1385" s="226"/>
    </row>
    <row r="1386" spans="1:16">
      <c r="A1386" s="227"/>
      <c r="B1386" s="131" t="s">
        <v>2562</v>
      </c>
      <c r="C1386" s="227">
        <v>93451</v>
      </c>
      <c r="H1386" s="226"/>
      <c r="K1386" s="226"/>
      <c r="P1386" s="226"/>
    </row>
    <row r="1387" spans="1:16">
      <c r="A1387" s="227"/>
      <c r="B1387" s="131" t="s">
        <v>1983</v>
      </c>
      <c r="C1387" s="227">
        <v>92931</v>
      </c>
      <c r="H1387" s="226"/>
      <c r="K1387" s="226"/>
      <c r="P1387" s="226"/>
    </row>
    <row r="1388" spans="1:16">
      <c r="A1388" s="227"/>
      <c r="B1388" s="131" t="s">
        <v>998</v>
      </c>
      <c r="C1388" s="227">
        <v>92917</v>
      </c>
      <c r="H1388" s="226"/>
      <c r="K1388" s="226"/>
      <c r="P1388" s="226"/>
    </row>
    <row r="1389" spans="1:16">
      <c r="A1389" s="227"/>
      <c r="B1389" s="131" t="s">
        <v>2563</v>
      </c>
      <c r="C1389" s="227">
        <v>97631</v>
      </c>
      <c r="H1389" s="226"/>
      <c r="K1389" s="226"/>
      <c r="P1389" s="226"/>
    </row>
    <row r="1390" spans="1:16">
      <c r="A1390" s="227"/>
      <c r="B1390" s="131" t="s">
        <v>1400</v>
      </c>
      <c r="C1390" s="227">
        <v>97637</v>
      </c>
      <c r="H1390" s="226"/>
      <c r="K1390" s="226"/>
      <c r="P1390" s="226"/>
    </row>
    <row r="1391" spans="1:16">
      <c r="A1391" s="227"/>
      <c r="B1391" s="131" t="s">
        <v>2564</v>
      </c>
      <c r="C1391" s="227">
        <v>90421</v>
      </c>
      <c r="H1391" s="226"/>
      <c r="K1391" s="226"/>
      <c r="P1391" s="226"/>
    </row>
    <row r="1392" spans="1:16">
      <c r="A1392" s="227"/>
      <c r="B1392" s="131" t="s">
        <v>2565</v>
      </c>
      <c r="C1392" s="227">
        <v>94321</v>
      </c>
      <c r="H1392" s="226"/>
      <c r="K1392" s="226"/>
      <c r="P1392" s="226"/>
    </row>
    <row r="1393" spans="1:16">
      <c r="A1393" s="227"/>
      <c r="B1393" s="131" t="s">
        <v>1225</v>
      </c>
      <c r="C1393" s="227">
        <v>95501</v>
      </c>
      <c r="H1393" s="226"/>
      <c r="K1393" s="226"/>
      <c r="P1393" s="226"/>
    </row>
    <row r="1394" spans="1:16">
      <c r="A1394" s="227"/>
      <c r="B1394" s="131" t="s">
        <v>1226</v>
      </c>
      <c r="C1394" s="227">
        <v>95504</v>
      </c>
      <c r="H1394" s="226"/>
      <c r="K1394" s="226"/>
      <c r="P1394" s="226"/>
    </row>
    <row r="1395" spans="1:16">
      <c r="A1395" s="227"/>
      <c r="B1395" s="131" t="s">
        <v>1984</v>
      </c>
      <c r="C1395" s="227">
        <v>95511</v>
      </c>
      <c r="H1395" s="226"/>
      <c r="K1395" s="226"/>
      <c r="P1395" s="226"/>
    </row>
    <row r="1396" spans="1:16">
      <c r="A1396" s="227"/>
      <c r="B1396" s="131" t="s">
        <v>2566</v>
      </c>
      <c r="C1396" s="227">
        <v>95517</v>
      </c>
      <c r="H1396" s="226"/>
      <c r="K1396" s="226"/>
      <c r="P1396" s="226"/>
    </row>
    <row r="1397" spans="1:16">
      <c r="A1397" s="227"/>
      <c r="B1397" s="131" t="s">
        <v>1228</v>
      </c>
      <c r="C1397" s="227">
        <v>95513</v>
      </c>
      <c r="H1397" s="226"/>
      <c r="K1397" s="226"/>
      <c r="P1397" s="226"/>
    </row>
    <row r="1398" spans="1:16">
      <c r="A1398" s="227"/>
      <c r="B1398" s="131" t="s">
        <v>2567</v>
      </c>
      <c r="C1398" s="227">
        <v>92651</v>
      </c>
      <c r="H1398" s="226"/>
      <c r="K1398" s="226"/>
      <c r="P1398" s="226"/>
    </row>
    <row r="1399" spans="1:16">
      <c r="A1399" s="227"/>
      <c r="B1399" s="131" t="s">
        <v>2568</v>
      </c>
      <c r="C1399" s="227">
        <v>94261</v>
      </c>
      <c r="H1399" s="226"/>
      <c r="K1399" s="226"/>
      <c r="P1399" s="226"/>
    </row>
    <row r="1400" spans="1:16">
      <c r="A1400" s="227"/>
      <c r="B1400" s="131" t="s">
        <v>1985</v>
      </c>
      <c r="C1400" s="227">
        <v>98431</v>
      </c>
      <c r="H1400" s="226"/>
      <c r="K1400" s="226"/>
      <c r="P1400" s="226"/>
    </row>
    <row r="1401" spans="1:16">
      <c r="A1401" s="227"/>
      <c r="B1401" s="131" t="s">
        <v>1489</v>
      </c>
      <c r="C1401" s="227">
        <v>98404</v>
      </c>
      <c r="H1401" s="226"/>
      <c r="K1401" s="226"/>
      <c r="P1401" s="226"/>
    </row>
    <row r="1402" spans="1:16">
      <c r="A1402" s="227"/>
      <c r="B1402" s="131" t="s">
        <v>2569</v>
      </c>
      <c r="C1402" s="227">
        <v>91841</v>
      </c>
      <c r="H1402" s="226"/>
      <c r="K1402" s="226"/>
      <c r="P1402" s="226"/>
    </row>
    <row r="1403" spans="1:16">
      <c r="A1403" s="227"/>
      <c r="B1403" s="131" t="s">
        <v>2570</v>
      </c>
      <c r="C1403" s="227">
        <v>93521</v>
      </c>
      <c r="H1403" s="226"/>
      <c r="K1403" s="226"/>
      <c r="P1403" s="226"/>
    </row>
    <row r="1404" spans="1:16">
      <c r="A1404" s="227"/>
      <c r="B1404" s="131" t="s">
        <v>1058</v>
      </c>
      <c r="C1404" s="227">
        <v>93527</v>
      </c>
      <c r="H1404" s="226"/>
      <c r="K1404" s="226"/>
      <c r="P1404" s="226"/>
    </row>
    <row r="1405" spans="1:16">
      <c r="A1405" s="227"/>
      <c r="B1405" s="131" t="s">
        <v>1986</v>
      </c>
      <c r="C1405" s="227">
        <v>93661</v>
      </c>
      <c r="H1405" s="226"/>
      <c r="K1405" s="226"/>
      <c r="P1405" s="226"/>
    </row>
    <row r="1406" spans="1:16">
      <c r="A1406" s="227"/>
      <c r="B1406" s="131" t="s">
        <v>2766</v>
      </c>
      <c r="C1406" s="227">
        <v>96508</v>
      </c>
      <c r="H1406" s="226"/>
      <c r="K1406" s="226"/>
      <c r="P1406" s="226"/>
    </row>
    <row r="1407" spans="1:16">
      <c r="A1407" s="227"/>
      <c r="B1407" s="131" t="s">
        <v>2571</v>
      </c>
      <c r="C1407" s="51">
        <v>99841</v>
      </c>
      <c r="H1407" s="226"/>
      <c r="K1407" s="226"/>
      <c r="P1407" s="226"/>
    </row>
    <row r="1408" spans="1:16">
      <c r="A1408" s="227"/>
      <c r="B1408" s="131" t="s">
        <v>1413</v>
      </c>
      <c r="C1408" s="227">
        <v>97802</v>
      </c>
      <c r="H1408" s="226"/>
      <c r="K1408" s="226"/>
      <c r="P1408" s="226"/>
    </row>
    <row r="1409" spans="1:16">
      <c r="A1409" s="227"/>
      <c r="B1409" s="131" t="s">
        <v>1987</v>
      </c>
      <c r="C1409" s="227">
        <v>97811</v>
      </c>
      <c r="H1409" s="226"/>
      <c r="K1409" s="226"/>
      <c r="P1409" s="226"/>
    </row>
    <row r="1410" spans="1:16">
      <c r="A1410" s="227"/>
      <c r="B1410" s="131" t="s">
        <v>1417</v>
      </c>
      <c r="C1410" s="227">
        <v>97817</v>
      </c>
      <c r="H1410" s="226"/>
      <c r="K1410" s="226"/>
      <c r="P1410" s="226"/>
    </row>
    <row r="1411" spans="1:16">
      <c r="A1411" s="227"/>
      <c r="B1411" s="131" t="s">
        <v>2804</v>
      </c>
      <c r="C1411" s="227">
        <v>97818</v>
      </c>
      <c r="H1411" s="226"/>
      <c r="K1411" s="226"/>
      <c r="P1411" s="226"/>
    </row>
    <row r="1412" spans="1:16">
      <c r="A1412" s="227"/>
      <c r="B1412" s="131" t="s">
        <v>2572</v>
      </c>
      <c r="C1412" s="227">
        <v>93341</v>
      </c>
      <c r="H1412" s="226"/>
      <c r="K1412" s="226"/>
      <c r="P1412" s="226"/>
    </row>
    <row r="1413" spans="1:16">
      <c r="A1413" s="227"/>
      <c r="B1413" s="131" t="s">
        <v>1230</v>
      </c>
      <c r="C1413" s="227">
        <v>95601</v>
      </c>
      <c r="H1413" s="226"/>
      <c r="K1413" s="226"/>
      <c r="P1413" s="226"/>
    </row>
    <row r="1414" spans="1:16">
      <c r="A1414" s="227"/>
      <c r="B1414" s="131" t="s">
        <v>2573</v>
      </c>
      <c r="C1414" s="227">
        <v>97941</v>
      </c>
      <c r="H1414" s="226"/>
      <c r="K1414" s="226"/>
      <c r="P1414" s="226"/>
    </row>
    <row r="1415" spans="1:16">
      <c r="A1415" s="227"/>
      <c r="B1415" s="131" t="s">
        <v>1438</v>
      </c>
      <c r="C1415" s="227">
        <v>97947</v>
      </c>
      <c r="H1415" s="226"/>
      <c r="K1415" s="226"/>
      <c r="P1415" s="226"/>
    </row>
    <row r="1416" spans="1:16">
      <c r="A1416" s="227"/>
      <c r="B1416" s="131" t="s">
        <v>1234</v>
      </c>
      <c r="C1416" s="227">
        <v>95701</v>
      </c>
      <c r="H1416" s="226"/>
      <c r="K1416" s="226"/>
      <c r="P1416" s="226"/>
    </row>
    <row r="1417" spans="1:16">
      <c r="A1417" s="227"/>
      <c r="B1417" s="131" t="s">
        <v>1439</v>
      </c>
      <c r="C1417" s="227">
        <v>97948</v>
      </c>
      <c r="H1417" s="226"/>
      <c r="K1417" s="226"/>
      <c r="P1417" s="226"/>
    </row>
    <row r="1418" spans="1:16">
      <c r="A1418" s="227"/>
      <c r="B1418" s="131" t="s">
        <v>2574</v>
      </c>
      <c r="C1418" s="227">
        <v>94421</v>
      </c>
      <c r="H1418" s="226"/>
      <c r="K1418" s="226"/>
      <c r="P1418" s="226"/>
    </row>
    <row r="1419" spans="1:16">
      <c r="A1419" s="227"/>
      <c r="B1419" s="131" t="s">
        <v>1145</v>
      </c>
      <c r="C1419" s="227">
        <v>94427</v>
      </c>
      <c r="H1419" s="226"/>
      <c r="K1419" s="226"/>
      <c r="P1419" s="226"/>
    </row>
    <row r="1420" spans="1:16">
      <c r="A1420" s="227"/>
      <c r="B1420" s="131" t="s">
        <v>2803</v>
      </c>
      <c r="C1420" s="227">
        <v>94428</v>
      </c>
      <c r="H1420" s="226"/>
      <c r="K1420" s="226"/>
      <c r="P1420" s="226"/>
    </row>
    <row r="1421" spans="1:16">
      <c r="A1421" s="227"/>
      <c r="B1421" s="131" t="s">
        <v>2575</v>
      </c>
      <c r="C1421" s="227">
        <v>93191</v>
      </c>
      <c r="H1421" s="226"/>
      <c r="K1421" s="226"/>
      <c r="P1421" s="226"/>
    </row>
    <row r="1422" spans="1:16">
      <c r="A1422" s="227"/>
      <c r="B1422" s="131" t="s">
        <v>2576</v>
      </c>
      <c r="C1422" s="227">
        <v>91831</v>
      </c>
      <c r="H1422" s="226"/>
      <c r="K1422" s="226"/>
      <c r="P1422" s="226"/>
    </row>
    <row r="1423" spans="1:16">
      <c r="A1423" s="227"/>
      <c r="B1423" s="131" t="s">
        <v>2577</v>
      </c>
      <c r="C1423" s="227">
        <v>92831</v>
      </c>
      <c r="H1423" s="226"/>
      <c r="K1423" s="226"/>
      <c r="P1423" s="226"/>
    </row>
    <row r="1424" spans="1:16">
      <c r="A1424" s="227"/>
      <c r="B1424" s="131" t="s">
        <v>2578</v>
      </c>
      <c r="C1424" s="227">
        <v>95911</v>
      </c>
      <c r="H1424" s="226"/>
      <c r="K1424" s="226"/>
      <c r="P1424" s="226"/>
    </row>
    <row r="1425" spans="1:16">
      <c r="A1425" s="227"/>
      <c r="B1425" s="131" t="s">
        <v>1251</v>
      </c>
      <c r="C1425" s="227">
        <v>95917</v>
      </c>
      <c r="H1425" s="226"/>
      <c r="K1425" s="226"/>
      <c r="P1425" s="226"/>
    </row>
    <row r="1426" spans="1:16">
      <c r="A1426" s="227"/>
      <c r="B1426" s="131" t="s">
        <v>2579</v>
      </c>
      <c r="C1426" s="227">
        <v>95711</v>
      </c>
      <c r="H1426" s="226"/>
      <c r="K1426" s="226"/>
      <c r="P1426" s="226"/>
    </row>
    <row r="1427" spans="1:16">
      <c r="A1427" s="227"/>
      <c r="B1427" s="131" t="s">
        <v>2580</v>
      </c>
      <c r="C1427" s="227">
        <v>95721</v>
      </c>
      <c r="H1427" s="226"/>
      <c r="K1427" s="226"/>
      <c r="P1427" s="226"/>
    </row>
    <row r="1428" spans="1:16">
      <c r="A1428" s="227"/>
      <c r="B1428" s="131" t="s">
        <v>2581</v>
      </c>
      <c r="C1428" s="227">
        <v>99021</v>
      </c>
      <c r="H1428" s="226"/>
      <c r="K1428" s="226"/>
      <c r="P1428" s="226"/>
    </row>
    <row r="1429" spans="1:16">
      <c r="A1429" s="227"/>
      <c r="B1429" s="131" t="s">
        <v>2764</v>
      </c>
      <c r="C1429" s="227">
        <v>95802</v>
      </c>
      <c r="H1429" s="226"/>
      <c r="K1429" s="226"/>
      <c r="P1429" s="226"/>
    </row>
    <row r="1430" spans="1:16">
      <c r="A1430" s="227"/>
      <c r="B1430" s="131" t="s">
        <v>1238</v>
      </c>
      <c r="C1430" s="227">
        <v>95801</v>
      </c>
      <c r="H1430" s="226"/>
      <c r="K1430" s="226"/>
      <c r="P1430" s="226"/>
    </row>
    <row r="1431" spans="1:16">
      <c r="A1431" s="227"/>
      <c r="B1431" s="131" t="s">
        <v>1240</v>
      </c>
      <c r="C1431" s="227">
        <v>95804</v>
      </c>
      <c r="H1431" s="226"/>
      <c r="K1431" s="226"/>
      <c r="P1431" s="226"/>
    </row>
    <row r="1432" spans="1:16">
      <c r="A1432" s="227"/>
      <c r="B1432" s="131" t="s">
        <v>2802</v>
      </c>
      <c r="C1432" s="227">
        <v>90092</v>
      </c>
      <c r="H1432" s="226"/>
      <c r="K1432" s="226"/>
      <c r="P1432" s="226"/>
    </row>
    <row r="1433" spans="1:16">
      <c r="A1433" s="227"/>
      <c r="B1433" s="131" t="s">
        <v>2582</v>
      </c>
      <c r="C1433" s="227">
        <v>99081</v>
      </c>
      <c r="H1433" s="226"/>
      <c r="K1433" s="226"/>
      <c r="P1433" s="226"/>
    </row>
    <row r="1434" spans="1:16">
      <c r="A1434" s="227"/>
      <c r="B1434" s="131" t="s">
        <v>2583</v>
      </c>
      <c r="C1434" s="227">
        <v>96071</v>
      </c>
      <c r="H1434" s="226"/>
      <c r="K1434" s="226"/>
      <c r="P1434" s="226"/>
    </row>
    <row r="1435" spans="1:16">
      <c r="A1435" s="227"/>
      <c r="B1435" s="131" t="s">
        <v>1096</v>
      </c>
      <c r="C1435" s="227">
        <v>94002</v>
      </c>
      <c r="H1435" s="226"/>
      <c r="K1435" s="226"/>
      <c r="P1435" s="226"/>
    </row>
    <row r="1436" spans="1:16">
      <c r="A1436" s="227"/>
      <c r="B1436" s="131" t="s">
        <v>2584</v>
      </c>
      <c r="C1436" s="227">
        <v>97840</v>
      </c>
      <c r="H1436" s="226"/>
      <c r="K1436" s="226"/>
      <c r="P1436" s="226"/>
    </row>
    <row r="1437" spans="1:16">
      <c r="A1437" s="227"/>
      <c r="B1437" s="131" t="s">
        <v>1425</v>
      </c>
      <c r="C1437" s="227">
        <v>97847</v>
      </c>
      <c r="H1437" s="226"/>
      <c r="K1437" s="226"/>
      <c r="P1437" s="226"/>
    </row>
    <row r="1438" spans="1:16">
      <c r="A1438" s="227"/>
      <c r="B1438" s="131" t="s">
        <v>2585</v>
      </c>
      <c r="C1438" s="227">
        <v>97921</v>
      </c>
      <c r="H1438" s="226"/>
      <c r="K1438" s="226"/>
      <c r="P1438" s="226"/>
    </row>
    <row r="1439" spans="1:16">
      <c r="A1439" s="227"/>
      <c r="B1439" s="131" t="s">
        <v>2586</v>
      </c>
      <c r="C1439" s="227">
        <v>95221</v>
      </c>
      <c r="H1439" s="226"/>
      <c r="K1439" s="226"/>
      <c r="P1439" s="226"/>
    </row>
    <row r="1440" spans="1:16">
      <c r="A1440" s="227"/>
      <c r="B1440" s="131" t="s">
        <v>2587</v>
      </c>
      <c r="C1440" s="227">
        <v>93610</v>
      </c>
      <c r="H1440" s="226"/>
      <c r="K1440" s="226"/>
      <c r="P1440" s="226"/>
    </row>
    <row r="1441" spans="1:16">
      <c r="A1441" s="227"/>
      <c r="B1441" s="131" t="s">
        <v>1248</v>
      </c>
      <c r="C1441" s="227">
        <v>95901</v>
      </c>
      <c r="H1441" s="226"/>
      <c r="K1441" s="226"/>
      <c r="P1441" s="226"/>
    </row>
    <row r="1442" spans="1:16">
      <c r="A1442" s="227"/>
      <c r="B1442" s="131" t="s">
        <v>1988</v>
      </c>
      <c r="C1442" s="227">
        <v>90114</v>
      </c>
      <c r="H1442" s="226"/>
      <c r="K1442" s="226"/>
      <c r="P1442" s="226"/>
    </row>
    <row r="1443" spans="1:16">
      <c r="A1443" s="227"/>
      <c r="B1443" s="131" t="s">
        <v>1253</v>
      </c>
      <c r="C1443" s="227">
        <v>96001</v>
      </c>
      <c r="H1443" s="226"/>
      <c r="K1443" s="226"/>
      <c r="P1443" s="226"/>
    </row>
    <row r="1444" spans="1:16">
      <c r="A1444" s="227"/>
      <c r="B1444" s="131" t="s">
        <v>1255</v>
      </c>
      <c r="C1444" s="227">
        <v>96004</v>
      </c>
      <c r="H1444" s="226"/>
      <c r="K1444" s="226"/>
      <c r="P1444" s="226"/>
    </row>
    <row r="1445" spans="1:16">
      <c r="A1445" s="227"/>
      <c r="B1445" s="131" t="s">
        <v>2801</v>
      </c>
      <c r="C1445" s="227">
        <v>96008</v>
      </c>
      <c r="H1445" s="226"/>
      <c r="K1445" s="226"/>
      <c r="P1445" s="226"/>
    </row>
    <row r="1446" spans="1:16">
      <c r="A1446" s="227"/>
      <c r="B1446" s="131" t="s">
        <v>833</v>
      </c>
      <c r="C1446" s="227">
        <v>91108</v>
      </c>
      <c r="H1446" s="226"/>
      <c r="K1446" s="226"/>
      <c r="P1446" s="226"/>
    </row>
    <row r="1447" spans="1:16">
      <c r="A1447" s="227"/>
      <c r="B1447" s="131" t="s">
        <v>1181</v>
      </c>
      <c r="C1447" s="227">
        <v>94941</v>
      </c>
      <c r="H1447" s="226"/>
      <c r="K1447" s="226"/>
      <c r="P1447" s="226"/>
    </row>
    <row r="1448" spans="1:16">
      <c r="A1448" s="227"/>
      <c r="B1448" s="131" t="s">
        <v>2588</v>
      </c>
      <c r="C1448" s="227">
        <v>95122</v>
      </c>
      <c r="H1448" s="226"/>
      <c r="K1448" s="226"/>
      <c r="P1448" s="226"/>
    </row>
    <row r="1449" spans="1:16">
      <c r="A1449" s="227"/>
      <c r="B1449" s="131" t="s">
        <v>971</v>
      </c>
      <c r="C1449" s="227">
        <v>92607</v>
      </c>
      <c r="H1449" s="226"/>
      <c r="K1449" s="226"/>
      <c r="P1449" s="226"/>
    </row>
    <row r="1450" spans="1:16">
      <c r="A1450" s="227"/>
      <c r="B1450" s="131" t="s">
        <v>2589</v>
      </c>
      <c r="C1450" s="227">
        <v>96431</v>
      </c>
      <c r="H1450" s="226"/>
      <c r="K1450" s="226"/>
      <c r="P1450" s="226"/>
    </row>
    <row r="1451" spans="1:16">
      <c r="A1451" s="227"/>
      <c r="B1451" s="131" t="s">
        <v>778</v>
      </c>
      <c r="C1451" s="227">
        <v>90709</v>
      </c>
      <c r="H1451" s="226"/>
      <c r="K1451" s="226"/>
      <c r="P1451" s="226"/>
    </row>
    <row r="1452" spans="1:16">
      <c r="A1452" s="227"/>
      <c r="B1452" s="131" t="s">
        <v>2590</v>
      </c>
      <c r="C1452" s="227">
        <v>91341</v>
      </c>
      <c r="H1452" s="226"/>
      <c r="K1452" s="226"/>
      <c r="P1452" s="226"/>
    </row>
    <row r="1453" spans="1:16">
      <c r="A1453" s="227"/>
      <c r="B1453" s="131" t="s">
        <v>2591</v>
      </c>
      <c r="C1453" s="227">
        <v>92941</v>
      </c>
      <c r="H1453" s="226"/>
      <c r="K1453" s="226"/>
      <c r="P1453" s="226"/>
    </row>
    <row r="1454" spans="1:16">
      <c r="A1454" s="227"/>
      <c r="B1454" s="131" t="s">
        <v>2592</v>
      </c>
      <c r="C1454" s="227">
        <v>94551</v>
      </c>
      <c r="H1454" s="226"/>
      <c r="K1454" s="226"/>
      <c r="P1454" s="226"/>
    </row>
    <row r="1455" spans="1:16">
      <c r="A1455" s="227"/>
      <c r="B1455" s="131" t="s">
        <v>2593</v>
      </c>
      <c r="C1455" s="227">
        <v>99022</v>
      </c>
      <c r="H1455" s="226"/>
      <c r="K1455" s="226"/>
      <c r="P1455" s="226"/>
    </row>
    <row r="1456" spans="1:16">
      <c r="A1456" s="227"/>
      <c r="B1456" s="131" t="s">
        <v>2594</v>
      </c>
      <c r="C1456" s="227">
        <v>96031</v>
      </c>
      <c r="H1456" s="226"/>
      <c r="K1456" s="226"/>
      <c r="P1456" s="226"/>
    </row>
    <row r="1457" spans="1:16">
      <c r="A1457" s="227"/>
      <c r="B1457" s="131" t="s">
        <v>2595</v>
      </c>
      <c r="C1457" s="227">
        <v>98414</v>
      </c>
      <c r="H1457" s="226"/>
      <c r="K1457" s="226"/>
      <c r="P1457" s="226"/>
    </row>
    <row r="1458" spans="1:16">
      <c r="A1458" s="227"/>
      <c r="B1458" s="131" t="s">
        <v>1269</v>
      </c>
      <c r="C1458" s="227">
        <v>96101</v>
      </c>
      <c r="H1458" s="226"/>
      <c r="K1458" s="226"/>
      <c r="P1458" s="226"/>
    </row>
    <row r="1459" spans="1:16">
      <c r="A1459" s="227"/>
      <c r="B1459" s="131" t="s">
        <v>2800</v>
      </c>
      <c r="C1459" s="227">
        <v>96102</v>
      </c>
      <c r="H1459" s="226"/>
      <c r="K1459" s="226"/>
      <c r="P1459" s="226"/>
    </row>
    <row r="1460" spans="1:16">
      <c r="A1460" s="227"/>
      <c r="B1460" s="131" t="s">
        <v>2596</v>
      </c>
      <c r="C1460" s="227">
        <v>93011</v>
      </c>
      <c r="H1460" s="226"/>
      <c r="K1460" s="226"/>
      <c r="P1460" s="226"/>
    </row>
    <row r="1461" spans="1:16">
      <c r="A1461" s="227"/>
      <c r="B1461" s="131" t="s">
        <v>1989</v>
      </c>
      <c r="C1461" s="227">
        <v>99011</v>
      </c>
      <c r="H1461" s="226"/>
      <c r="K1461" s="226"/>
      <c r="P1461" s="226"/>
    </row>
    <row r="1462" spans="1:16">
      <c r="A1462" s="227"/>
      <c r="B1462" s="131" t="s">
        <v>1526</v>
      </c>
      <c r="C1462" s="227">
        <v>99017</v>
      </c>
      <c r="H1462" s="226"/>
      <c r="K1462" s="226"/>
      <c r="P1462" s="226"/>
    </row>
    <row r="1463" spans="1:16">
      <c r="A1463" s="227"/>
      <c r="B1463" s="131" t="s">
        <v>1990</v>
      </c>
      <c r="C1463" s="227">
        <v>99013</v>
      </c>
      <c r="H1463" s="226"/>
      <c r="K1463" s="226"/>
      <c r="P1463" s="226"/>
    </row>
    <row r="1464" spans="1:16">
      <c r="A1464" s="227"/>
      <c r="B1464" s="131" t="s">
        <v>1273</v>
      </c>
      <c r="C1464" s="227">
        <v>96201</v>
      </c>
      <c r="H1464" s="226"/>
      <c r="K1464" s="226"/>
      <c r="P1464" s="226"/>
    </row>
    <row r="1465" spans="1:16">
      <c r="A1465" s="227"/>
      <c r="B1465" s="131" t="s">
        <v>1274</v>
      </c>
      <c r="C1465" s="227">
        <v>96204</v>
      </c>
      <c r="H1465" s="226"/>
      <c r="K1465" s="226"/>
      <c r="P1465" s="226"/>
    </row>
    <row r="1466" spans="1:16">
      <c r="A1466" s="227"/>
      <c r="B1466" s="131" t="s">
        <v>2597</v>
      </c>
      <c r="C1466" s="227">
        <v>91161</v>
      </c>
      <c r="H1466" s="226"/>
      <c r="K1466" s="226"/>
      <c r="P1466" s="226"/>
    </row>
    <row r="1467" spans="1:16">
      <c r="A1467" s="227"/>
      <c r="B1467" s="131" t="s">
        <v>1280</v>
      </c>
      <c r="C1467" s="227">
        <v>96301</v>
      </c>
      <c r="H1467" s="226"/>
      <c r="K1467" s="226"/>
      <c r="P1467" s="226"/>
    </row>
    <row r="1468" spans="1:16">
      <c r="A1468" s="227"/>
      <c r="B1468" s="131" t="s">
        <v>1282</v>
      </c>
      <c r="C1468" s="227">
        <v>96304</v>
      </c>
      <c r="H1468" s="226"/>
      <c r="K1468" s="226"/>
      <c r="P1468" s="226"/>
    </row>
    <row r="1469" spans="1:16">
      <c r="A1469" s="227"/>
      <c r="B1469" s="131" t="s">
        <v>1284</v>
      </c>
      <c r="C1469" s="227">
        <v>96310</v>
      </c>
      <c r="H1469" s="226"/>
      <c r="K1469" s="226"/>
      <c r="P1469" s="226"/>
    </row>
    <row r="1470" spans="1:16">
      <c r="A1470" s="227"/>
      <c r="B1470" s="131" t="s">
        <v>1283</v>
      </c>
      <c r="C1470" s="227">
        <v>96305</v>
      </c>
      <c r="H1470" s="226"/>
      <c r="K1470" s="226"/>
      <c r="P1470" s="226"/>
    </row>
    <row r="1471" spans="1:16">
      <c r="A1471" s="227"/>
      <c r="B1471" s="131" t="s">
        <v>1991</v>
      </c>
      <c r="C1471" s="227">
        <v>94921</v>
      </c>
      <c r="H1471" s="226"/>
      <c r="K1471" s="226"/>
      <c r="P1471" s="226"/>
    </row>
    <row r="1472" spans="1:16">
      <c r="A1472" s="227"/>
      <c r="B1472" s="131" t="s">
        <v>1179</v>
      </c>
      <c r="C1472" s="227">
        <v>94927</v>
      </c>
      <c r="H1472" s="226"/>
      <c r="K1472" s="226"/>
      <c r="P1472" s="226"/>
    </row>
    <row r="1473" spans="1:16">
      <c r="A1473" s="227"/>
      <c r="B1473" s="131" t="s">
        <v>1178</v>
      </c>
      <c r="C1473" s="227">
        <v>94923</v>
      </c>
      <c r="H1473" s="226"/>
      <c r="K1473" s="226"/>
      <c r="P1473" s="226"/>
    </row>
    <row r="1474" spans="1:16">
      <c r="A1474" s="227"/>
      <c r="B1474" s="131" t="s">
        <v>2598</v>
      </c>
      <c r="C1474" s="227">
        <v>91611</v>
      </c>
      <c r="H1474" s="226"/>
      <c r="K1474" s="226"/>
      <c r="P1474" s="226"/>
    </row>
    <row r="1475" spans="1:16">
      <c r="A1475" s="227"/>
      <c r="B1475" s="131" t="s">
        <v>1992</v>
      </c>
      <c r="C1475" s="227">
        <v>91231</v>
      </c>
      <c r="H1475" s="226"/>
      <c r="K1475" s="226"/>
      <c r="P1475" s="226"/>
    </row>
    <row r="1476" spans="1:16">
      <c r="A1476" s="227"/>
      <c r="B1476" s="131" t="s">
        <v>855</v>
      </c>
      <c r="C1476" s="227">
        <v>91217</v>
      </c>
      <c r="H1476" s="226"/>
      <c r="K1476" s="226"/>
      <c r="P1476" s="226"/>
    </row>
    <row r="1477" spans="1:16">
      <c r="A1477" s="227"/>
      <c r="B1477" s="131" t="s">
        <v>858</v>
      </c>
      <c r="C1477" s="227">
        <v>91233</v>
      </c>
      <c r="H1477" s="226"/>
      <c r="K1477" s="226"/>
      <c r="P1477" s="226"/>
    </row>
    <row r="1478" spans="1:16">
      <c r="A1478" s="227"/>
      <c r="B1478" s="131" t="s">
        <v>2599</v>
      </c>
      <c r="C1478" s="227">
        <v>99206</v>
      </c>
      <c r="H1478" s="226"/>
      <c r="K1478" s="226"/>
      <c r="P1478" s="226"/>
    </row>
    <row r="1479" spans="1:16">
      <c r="A1479" s="227"/>
      <c r="B1479" s="131" t="s">
        <v>2600</v>
      </c>
      <c r="C1479" s="227">
        <v>90461</v>
      </c>
      <c r="H1479" s="226"/>
      <c r="K1479" s="226"/>
      <c r="P1479" s="226"/>
    </row>
    <row r="1480" spans="1:16">
      <c r="A1480" s="227"/>
      <c r="B1480" s="131" t="s">
        <v>1993</v>
      </c>
      <c r="C1480" s="227">
        <v>98631</v>
      </c>
      <c r="H1480" s="226"/>
      <c r="K1480" s="226"/>
      <c r="P1480" s="226"/>
    </row>
    <row r="1481" spans="1:16">
      <c r="A1481" s="227"/>
      <c r="B1481" s="131" t="s">
        <v>1511</v>
      </c>
      <c r="C1481" s="227">
        <v>98637</v>
      </c>
      <c r="H1481" s="226"/>
      <c r="K1481" s="226"/>
      <c r="P1481" s="226"/>
    </row>
    <row r="1482" spans="1:16">
      <c r="A1482" s="227"/>
      <c r="B1482" s="131" t="s">
        <v>2601</v>
      </c>
      <c r="C1482" s="227">
        <v>96251</v>
      </c>
      <c r="H1482" s="226"/>
      <c r="K1482" s="226"/>
      <c r="P1482" s="226"/>
    </row>
    <row r="1483" spans="1:16">
      <c r="A1483" s="227"/>
      <c r="B1483" s="131" t="s">
        <v>1994</v>
      </c>
      <c r="C1483" s="227">
        <v>93691</v>
      </c>
      <c r="H1483" s="226"/>
      <c r="K1483" s="226"/>
      <c r="P1483" s="226"/>
    </row>
    <row r="1484" spans="1:16">
      <c r="A1484" s="227"/>
      <c r="B1484" s="131" t="s">
        <v>2602</v>
      </c>
      <c r="C1484" s="227">
        <v>99621</v>
      </c>
      <c r="H1484" s="226"/>
      <c r="K1484" s="226"/>
      <c r="P1484" s="226"/>
    </row>
    <row r="1485" spans="1:16">
      <c r="A1485" s="227"/>
      <c r="B1485" s="131" t="s">
        <v>3504</v>
      </c>
      <c r="C1485" s="227">
        <v>99623</v>
      </c>
      <c r="H1485" s="226"/>
      <c r="K1485" s="226"/>
      <c r="P1485" s="226"/>
    </row>
    <row r="1486" spans="1:16">
      <c r="A1486" s="227"/>
      <c r="B1486" s="131" t="s">
        <v>2603</v>
      </c>
      <c r="C1486" s="227">
        <v>91321</v>
      </c>
      <c r="H1486" s="226"/>
      <c r="K1486" s="226"/>
      <c r="P1486" s="226"/>
    </row>
    <row r="1487" spans="1:16">
      <c r="A1487" s="227"/>
      <c r="B1487" s="131" t="s">
        <v>3505</v>
      </c>
      <c r="C1487" s="227">
        <v>91327</v>
      </c>
      <c r="H1487" s="226"/>
      <c r="K1487" s="226"/>
      <c r="P1487" s="226"/>
    </row>
    <row r="1488" spans="1:16">
      <c r="A1488" s="227"/>
      <c r="B1488" s="131" t="s">
        <v>2604</v>
      </c>
      <c r="C1488" s="227">
        <v>94621</v>
      </c>
      <c r="H1488" s="226"/>
      <c r="K1488" s="226"/>
      <c r="P1488" s="226"/>
    </row>
    <row r="1489" spans="1:16">
      <c r="A1489" s="227"/>
      <c r="B1489" s="131" t="s">
        <v>2605</v>
      </c>
      <c r="C1489" s="227">
        <v>92011</v>
      </c>
      <c r="H1489" s="226"/>
      <c r="K1489" s="226"/>
      <c r="P1489" s="226"/>
    </row>
    <row r="1490" spans="1:16">
      <c r="A1490" s="227"/>
      <c r="B1490" s="131" t="s">
        <v>925</v>
      </c>
      <c r="C1490" s="227">
        <v>92017</v>
      </c>
      <c r="H1490" s="226"/>
      <c r="K1490" s="226"/>
      <c r="P1490" s="226"/>
    </row>
    <row r="1491" spans="1:16">
      <c r="A1491" s="227"/>
      <c r="B1491" s="131" t="s">
        <v>1616</v>
      </c>
      <c r="C1491" s="51">
        <v>99991</v>
      </c>
      <c r="H1491" s="226"/>
      <c r="K1491" s="226"/>
      <c r="P1491" s="226"/>
    </row>
    <row r="1492" spans="1:16">
      <c r="A1492" s="227"/>
      <c r="B1492" s="131" t="s">
        <v>1617</v>
      </c>
      <c r="C1492" s="51">
        <v>99999</v>
      </c>
      <c r="H1492" s="226"/>
      <c r="K1492" s="226"/>
      <c r="P1492" s="226"/>
    </row>
    <row r="1493" spans="1:16">
      <c r="A1493" s="227"/>
      <c r="B1493" s="131" t="s">
        <v>2609</v>
      </c>
      <c r="C1493" s="227">
        <v>92811</v>
      </c>
      <c r="H1493" s="226"/>
      <c r="K1493" s="226"/>
      <c r="P1493" s="226"/>
    </row>
    <row r="1494" spans="1:16">
      <c r="A1494" s="227"/>
      <c r="B1494" s="131" t="s">
        <v>923</v>
      </c>
      <c r="C1494" s="227">
        <v>92005</v>
      </c>
      <c r="H1494" s="226"/>
      <c r="K1494" s="226"/>
      <c r="P1494" s="226"/>
    </row>
    <row r="1495" spans="1:16">
      <c r="A1495" s="227"/>
      <c r="B1495" s="131" t="s">
        <v>1296</v>
      </c>
      <c r="C1495" s="227">
        <v>96401</v>
      </c>
      <c r="H1495" s="226"/>
      <c r="K1495" s="226"/>
      <c r="P1495" s="226"/>
    </row>
    <row r="1496" spans="1:16">
      <c r="A1496" s="227"/>
      <c r="B1496" s="131" t="s">
        <v>1297</v>
      </c>
      <c r="C1496" s="227">
        <v>96404</v>
      </c>
      <c r="H1496" s="226"/>
      <c r="K1496" s="226"/>
      <c r="P1496" s="226"/>
    </row>
    <row r="1497" spans="1:16">
      <c r="A1497" s="227"/>
      <c r="B1497" s="131" t="s">
        <v>2610</v>
      </c>
      <c r="C1497" s="227">
        <v>96421</v>
      </c>
      <c r="H1497" s="226"/>
      <c r="K1497" s="226"/>
      <c r="P1497" s="226"/>
    </row>
    <row r="1498" spans="1:16">
      <c r="A1498" s="227"/>
      <c r="B1498" s="131" t="s">
        <v>2611</v>
      </c>
      <c r="C1498" s="227">
        <v>91026</v>
      </c>
      <c r="H1498" s="226"/>
      <c r="K1498" s="226"/>
      <c r="P1498" s="226"/>
    </row>
    <row r="1499" spans="1:16">
      <c r="A1499" s="227"/>
      <c r="B1499" s="131" t="s">
        <v>1218</v>
      </c>
      <c r="C1499" s="227">
        <v>95405</v>
      </c>
      <c r="H1499" s="226"/>
      <c r="K1499" s="226"/>
      <c r="P1499" s="226"/>
    </row>
    <row r="1500" spans="1:16">
      <c r="A1500" s="227"/>
      <c r="B1500" s="131" t="s">
        <v>1098</v>
      </c>
      <c r="C1500" s="227">
        <v>94005</v>
      </c>
      <c r="H1500" s="226"/>
      <c r="K1500" s="226"/>
      <c r="P1500" s="226"/>
    </row>
    <row r="1501" spans="1:16">
      <c r="A1501" s="227"/>
      <c r="B1501" s="131" t="s">
        <v>1209</v>
      </c>
      <c r="C1501" s="227">
        <v>95205</v>
      </c>
      <c r="H1501" s="226"/>
      <c r="K1501" s="226"/>
      <c r="P1501" s="226"/>
    </row>
    <row r="1502" spans="1:16">
      <c r="A1502" s="227"/>
      <c r="B1502" s="131" t="s">
        <v>958</v>
      </c>
      <c r="C1502" s="227">
        <v>92507</v>
      </c>
      <c r="H1502" s="226"/>
      <c r="K1502" s="226"/>
      <c r="P1502" s="226"/>
    </row>
    <row r="1503" spans="1:16">
      <c r="A1503" s="227"/>
      <c r="B1503" s="131" t="s">
        <v>1995</v>
      </c>
      <c r="C1503" s="227">
        <v>92511</v>
      </c>
      <c r="H1503" s="226"/>
      <c r="K1503" s="226"/>
      <c r="P1503" s="226"/>
    </row>
    <row r="1504" spans="1:16">
      <c r="A1504" s="227"/>
      <c r="B1504" s="131" t="s">
        <v>2774</v>
      </c>
      <c r="C1504" s="227">
        <v>92113</v>
      </c>
      <c r="H1504" s="226"/>
      <c r="K1504" s="226"/>
      <c r="P1504" s="226"/>
    </row>
    <row r="1505" spans="1:16">
      <c r="A1505" s="227"/>
      <c r="B1505" s="131" t="s">
        <v>2765</v>
      </c>
      <c r="C1505" s="227">
        <v>96502</v>
      </c>
      <c r="H1505" s="226"/>
      <c r="K1505" s="226"/>
      <c r="P1505" s="226"/>
    </row>
    <row r="1506" spans="1:16">
      <c r="A1506" s="227"/>
      <c r="B1506" s="131" t="s">
        <v>1305</v>
      </c>
      <c r="C1506" s="227">
        <v>96501</v>
      </c>
      <c r="H1506" s="226"/>
      <c r="K1506" s="226"/>
      <c r="P1506" s="226"/>
    </row>
    <row r="1507" spans="1:16">
      <c r="A1507" s="227"/>
      <c r="B1507" s="131" t="s">
        <v>1308</v>
      </c>
      <c r="C1507" s="227">
        <v>96504</v>
      </c>
      <c r="H1507" s="226"/>
      <c r="K1507" s="226"/>
      <c r="P1507" s="226"/>
    </row>
    <row r="1508" spans="1:16">
      <c r="A1508" s="227"/>
      <c r="B1508" s="255" t="s">
        <v>2612</v>
      </c>
      <c r="C1508" s="227">
        <v>98471</v>
      </c>
      <c r="H1508" s="226"/>
      <c r="K1508" s="226"/>
      <c r="P1508" s="226"/>
    </row>
    <row r="1509" spans="1:16">
      <c r="A1509" s="227"/>
      <c r="B1509" s="131" t="s">
        <v>2775</v>
      </c>
      <c r="C1509" s="227">
        <v>97913</v>
      </c>
      <c r="H1509" s="226"/>
      <c r="K1509" s="226"/>
      <c r="P1509" s="226"/>
    </row>
    <row r="1510" spans="1:16">
      <c r="A1510" s="227"/>
      <c r="B1510" s="131" t="s">
        <v>2613</v>
      </c>
      <c r="C1510" s="227">
        <v>90621</v>
      </c>
      <c r="H1510" s="226"/>
      <c r="K1510" s="226"/>
      <c r="P1510" s="226"/>
    </row>
    <row r="1511" spans="1:16">
      <c r="A1511" s="227"/>
      <c r="B1511" s="131" t="s">
        <v>2614</v>
      </c>
      <c r="C1511" s="227">
        <v>91621</v>
      </c>
      <c r="H1511" s="226"/>
      <c r="K1511" s="226"/>
      <c r="P1511" s="226"/>
    </row>
    <row r="1512" spans="1:16">
      <c r="A1512" s="227"/>
      <c r="B1512" s="131" t="s">
        <v>1996</v>
      </c>
      <c r="C1512" s="227">
        <v>91871</v>
      </c>
      <c r="H1512" s="226"/>
      <c r="K1512" s="226"/>
      <c r="P1512" s="226"/>
    </row>
    <row r="1513" spans="1:16">
      <c r="A1513" s="227"/>
      <c r="B1513" s="131" t="s">
        <v>2615</v>
      </c>
      <c r="C1513" s="227">
        <v>98231</v>
      </c>
      <c r="H1513" s="226"/>
      <c r="K1513" s="226"/>
      <c r="P1513" s="226"/>
    </row>
    <row r="1514" spans="1:16">
      <c r="A1514" s="227"/>
      <c r="B1514" s="131" t="s">
        <v>2616</v>
      </c>
      <c r="C1514" s="227">
        <v>99311</v>
      </c>
      <c r="H1514" s="226"/>
      <c r="K1514" s="226"/>
      <c r="P1514" s="226"/>
    </row>
    <row r="1515" spans="1:16">
      <c r="A1515" s="227"/>
      <c r="B1515" s="131" t="s">
        <v>2606</v>
      </c>
      <c r="C1515" s="227">
        <v>96751</v>
      </c>
      <c r="H1515" s="226"/>
      <c r="K1515" s="226"/>
      <c r="P1515" s="226"/>
    </row>
    <row r="1516" spans="1:16">
      <c r="A1516" s="227"/>
      <c r="B1516" s="131" t="s">
        <v>2607</v>
      </c>
      <c r="C1516" s="227">
        <v>99711</v>
      </c>
      <c r="H1516" s="226"/>
      <c r="K1516" s="226"/>
      <c r="P1516" s="226"/>
    </row>
    <row r="1517" spans="1:16">
      <c r="A1517" s="227"/>
      <c r="B1517" s="131" t="s">
        <v>2608</v>
      </c>
      <c r="C1517" s="227">
        <v>99717</v>
      </c>
      <c r="H1517" s="226"/>
      <c r="K1517" s="226"/>
      <c r="P1517" s="226"/>
    </row>
    <row r="1518" spans="1:16">
      <c r="A1518" s="227"/>
      <c r="B1518" s="131" t="s">
        <v>1316</v>
      </c>
      <c r="C1518" s="227">
        <v>96601</v>
      </c>
      <c r="H1518" s="226"/>
      <c r="K1518" s="226"/>
      <c r="P1518" s="226"/>
    </row>
    <row r="1519" spans="1:16">
      <c r="A1519" s="227"/>
      <c r="B1519" s="131" t="s">
        <v>1317</v>
      </c>
      <c r="C1519" s="227">
        <v>96604</v>
      </c>
      <c r="H1519" s="226"/>
      <c r="K1519" s="226"/>
      <c r="P1519" s="226"/>
    </row>
    <row r="1520" spans="1:16">
      <c r="A1520" s="227"/>
      <c r="B1520" s="131" t="s">
        <v>1997</v>
      </c>
      <c r="C1520" s="227">
        <v>91012</v>
      </c>
      <c r="H1520" s="226"/>
      <c r="K1520" s="226"/>
      <c r="P1520" s="226"/>
    </row>
    <row r="1521" spans="1:16">
      <c r="A1521" s="227"/>
      <c r="B1521" s="131" t="s">
        <v>753</v>
      </c>
      <c r="C1521" s="227">
        <v>90305</v>
      </c>
      <c r="H1521" s="226"/>
      <c r="K1521" s="226"/>
      <c r="P1521" s="226"/>
    </row>
    <row r="1522" spans="1:16">
      <c r="A1522" s="227"/>
      <c r="B1522" s="131" t="s">
        <v>2617</v>
      </c>
      <c r="C1522" s="227">
        <v>98421</v>
      </c>
      <c r="H1522" s="226"/>
      <c r="K1522" s="226"/>
      <c r="P1522" s="226"/>
    </row>
    <row r="1523" spans="1:16">
      <c r="A1523" s="227"/>
      <c r="B1523" s="131" t="s">
        <v>2799</v>
      </c>
      <c r="C1523" s="227">
        <v>98427</v>
      </c>
      <c r="H1523" s="226"/>
      <c r="K1523" s="226"/>
      <c r="P1523" s="226"/>
    </row>
    <row r="1524" spans="1:16">
      <c r="A1524" s="227"/>
      <c r="B1524" s="131" t="s">
        <v>2618</v>
      </c>
      <c r="C1524" s="227">
        <v>95821</v>
      </c>
      <c r="H1524" s="226"/>
      <c r="K1524" s="226"/>
      <c r="P1524" s="226"/>
    </row>
    <row r="1525" spans="1:16">
      <c r="A1525" s="227"/>
      <c r="B1525" s="131" t="s">
        <v>2619</v>
      </c>
      <c r="C1525" s="227">
        <v>91021</v>
      </c>
      <c r="H1525" s="226"/>
      <c r="K1525" s="226"/>
      <c r="P1525" s="226"/>
    </row>
    <row r="1526" spans="1:16">
      <c r="A1526" s="227"/>
      <c r="B1526" s="131" t="s">
        <v>2798</v>
      </c>
      <c r="C1526" s="227">
        <v>91027</v>
      </c>
      <c r="H1526" s="226"/>
      <c r="K1526" s="226"/>
      <c r="P1526" s="226"/>
    </row>
    <row r="1527" spans="1:16">
      <c r="A1527" s="227"/>
      <c r="B1527" s="131" t="s">
        <v>2620</v>
      </c>
      <c r="C1527" s="227">
        <v>94161</v>
      </c>
      <c r="H1527" s="226"/>
      <c r="K1527" s="226"/>
      <c r="P1527" s="226"/>
    </row>
    <row r="1528" spans="1:16">
      <c r="A1528" s="227"/>
      <c r="B1528" s="131" t="s">
        <v>2621</v>
      </c>
      <c r="C1528" s="227">
        <v>98441</v>
      </c>
      <c r="H1528" s="226"/>
      <c r="K1528" s="226"/>
      <c r="P1528" s="226"/>
    </row>
    <row r="1529" spans="1:16">
      <c r="A1529" s="227"/>
      <c r="B1529" s="131" t="s">
        <v>2622</v>
      </c>
      <c r="C1529" s="227">
        <v>91061</v>
      </c>
      <c r="H1529" s="226"/>
      <c r="K1529" s="226"/>
      <c r="P1529" s="226"/>
    </row>
    <row r="1530" spans="1:16">
      <c r="A1530" s="227"/>
      <c r="B1530" s="131" t="s">
        <v>824</v>
      </c>
      <c r="C1530" s="227">
        <v>91067</v>
      </c>
      <c r="H1530" s="226"/>
      <c r="K1530" s="226"/>
      <c r="P1530" s="226"/>
    </row>
    <row r="1531" spans="1:16">
      <c r="A1531" s="227"/>
      <c r="B1531" s="131" t="s">
        <v>2797</v>
      </c>
      <c r="C1531" s="227">
        <v>94812</v>
      </c>
      <c r="H1531" s="226"/>
      <c r="K1531" s="226"/>
      <c r="P1531" s="226"/>
    </row>
    <row r="1532" spans="1:16">
      <c r="A1532" s="227"/>
      <c r="B1532" s="131" t="s">
        <v>2623</v>
      </c>
      <c r="C1532" s="227">
        <v>95921</v>
      </c>
      <c r="H1532" s="226"/>
      <c r="K1532" s="226"/>
      <c r="P1532" s="226"/>
    </row>
    <row r="1533" spans="1:16">
      <c r="A1533" s="227"/>
      <c r="B1533" s="131" t="s">
        <v>1327</v>
      </c>
      <c r="C1533" s="227">
        <v>96701</v>
      </c>
      <c r="H1533" s="226"/>
      <c r="K1533" s="226"/>
      <c r="P1533" s="226"/>
    </row>
    <row r="1534" spans="1:16">
      <c r="A1534" s="227"/>
      <c r="B1534" s="131" t="s">
        <v>1328</v>
      </c>
      <c r="C1534" s="227">
        <v>96704</v>
      </c>
      <c r="H1534" s="226"/>
      <c r="K1534" s="226"/>
      <c r="P1534" s="226"/>
    </row>
    <row r="1535" spans="1:16">
      <c r="A1535" s="227"/>
      <c r="B1535" s="131" t="s">
        <v>1329</v>
      </c>
      <c r="C1535" s="227">
        <v>96708</v>
      </c>
      <c r="H1535" s="226"/>
      <c r="K1535" s="226"/>
      <c r="P1535" s="226"/>
    </row>
    <row r="1536" spans="1:16">
      <c r="A1536" s="227"/>
      <c r="B1536" s="131" t="s">
        <v>1336</v>
      </c>
      <c r="C1536" s="227">
        <v>96801</v>
      </c>
      <c r="H1536" s="226"/>
      <c r="K1536" s="226"/>
      <c r="P1536" s="226"/>
    </row>
    <row r="1537" spans="1:16">
      <c r="A1537" s="227"/>
      <c r="B1537" s="131" t="s">
        <v>1337</v>
      </c>
      <c r="C1537" s="227">
        <v>96804</v>
      </c>
      <c r="H1537" s="226"/>
      <c r="K1537" s="226"/>
      <c r="P1537" s="226"/>
    </row>
    <row r="1538" spans="1:16">
      <c r="A1538" s="227"/>
      <c r="B1538" s="131" t="s">
        <v>1338</v>
      </c>
      <c r="C1538" s="227">
        <v>96808</v>
      </c>
      <c r="H1538" s="226"/>
      <c r="K1538" s="226"/>
      <c r="P1538" s="226"/>
    </row>
    <row r="1539" spans="1:16">
      <c r="A1539" s="227"/>
      <c r="B1539" s="131" t="s">
        <v>2624</v>
      </c>
      <c r="C1539" s="227">
        <v>96912</v>
      </c>
      <c r="H1539" s="226"/>
      <c r="K1539" s="226"/>
      <c r="P1539" s="226"/>
    </row>
    <row r="1540" spans="1:16">
      <c r="A1540" s="227"/>
      <c r="B1540" s="131" t="s">
        <v>1998</v>
      </c>
      <c r="C1540" s="227">
        <v>93911</v>
      </c>
      <c r="H1540" s="226"/>
      <c r="K1540" s="226"/>
      <c r="P1540" s="226"/>
    </row>
    <row r="1541" spans="1:16">
      <c r="A1541" s="227"/>
      <c r="B1541" s="131" t="s">
        <v>1091</v>
      </c>
      <c r="C1541" s="227">
        <v>93913</v>
      </c>
      <c r="H1541" s="226"/>
      <c r="K1541" s="226"/>
      <c r="P1541" s="226"/>
    </row>
    <row r="1542" spans="1:16">
      <c r="A1542" s="227"/>
      <c r="B1542" s="131" t="s">
        <v>1342</v>
      </c>
      <c r="C1542" s="227">
        <v>96901</v>
      </c>
      <c r="H1542" s="226"/>
      <c r="K1542" s="226"/>
      <c r="P1542" s="226"/>
    </row>
    <row r="1543" spans="1:16">
      <c r="A1543" s="227"/>
      <c r="B1543" s="131" t="s">
        <v>2625</v>
      </c>
      <c r="C1543" s="227">
        <v>97841</v>
      </c>
      <c r="H1543" s="226"/>
      <c r="K1543" s="226"/>
      <c r="P1543" s="226"/>
    </row>
    <row r="1544" spans="1:16">
      <c r="A1544" s="227"/>
      <c r="B1544" s="131" t="s">
        <v>1022</v>
      </c>
      <c r="C1544" s="227">
        <v>93202</v>
      </c>
      <c r="H1544" s="226"/>
      <c r="K1544" s="226"/>
      <c r="P1544" s="226"/>
    </row>
    <row r="1545" spans="1:16">
      <c r="A1545" s="227"/>
      <c r="B1545" s="131" t="s">
        <v>1064</v>
      </c>
      <c r="C1545" s="227">
        <v>93609</v>
      </c>
      <c r="H1545" s="226"/>
      <c r="K1545" s="226"/>
      <c r="P1545" s="226"/>
    </row>
    <row r="1546" spans="1:16">
      <c r="A1546" s="227"/>
      <c r="B1546" s="131" t="s">
        <v>1348</v>
      </c>
      <c r="C1546" s="227">
        <v>97004</v>
      </c>
      <c r="H1546" s="226"/>
      <c r="K1546" s="226"/>
      <c r="P1546" s="226"/>
    </row>
    <row r="1547" spans="1:16">
      <c r="A1547" s="227"/>
      <c r="B1547" s="131" t="s">
        <v>1346</v>
      </c>
      <c r="C1547" s="227">
        <v>97001</v>
      </c>
      <c r="H1547" s="226"/>
      <c r="K1547" s="226"/>
      <c r="P1547" s="226"/>
    </row>
    <row r="1548" spans="1:16">
      <c r="A1548" s="227"/>
      <c r="B1548" s="131" t="s">
        <v>1347</v>
      </c>
      <c r="C1548" s="227">
        <v>97002</v>
      </c>
      <c r="H1548" s="226"/>
      <c r="K1548" s="226"/>
      <c r="P1548" s="226"/>
    </row>
    <row r="1549" spans="1:16">
      <c r="A1549" s="227"/>
      <c r="B1549" s="131" t="s">
        <v>1355</v>
      </c>
      <c r="C1549" s="227">
        <v>97015</v>
      </c>
      <c r="H1549" s="226"/>
      <c r="K1549" s="226"/>
      <c r="P1549" s="226"/>
    </row>
    <row r="1550" spans="1:16">
      <c r="A1550" s="227"/>
      <c r="B1550" s="131" t="s">
        <v>2626</v>
      </c>
      <c r="C1550" s="227">
        <v>90441</v>
      </c>
      <c r="H1550" s="226"/>
      <c r="K1550" s="226"/>
      <c r="P1550" s="226"/>
    </row>
    <row r="1551" spans="1:16">
      <c r="A1551" s="227"/>
      <c r="B1551" s="131" t="s">
        <v>2627</v>
      </c>
      <c r="C1551" s="227">
        <v>97851</v>
      </c>
      <c r="H1551" s="226"/>
      <c r="K1551" s="226"/>
      <c r="P1551" s="226"/>
    </row>
    <row r="1552" spans="1:16">
      <c r="A1552" s="227"/>
      <c r="B1552" s="131" t="s">
        <v>1427</v>
      </c>
      <c r="C1552" s="227">
        <v>97853</v>
      </c>
      <c r="H1552" s="226"/>
      <c r="K1552" s="226"/>
      <c r="P1552" s="226"/>
    </row>
    <row r="1553" spans="1:16">
      <c r="A1553" s="227"/>
      <c r="B1553" s="131" t="s">
        <v>1357</v>
      </c>
      <c r="C1553" s="227">
        <v>97101</v>
      </c>
      <c r="H1553" s="226"/>
      <c r="K1553" s="226"/>
      <c r="P1553" s="226"/>
    </row>
    <row r="1554" spans="1:16">
      <c r="A1554" s="227"/>
      <c r="B1554" s="131" t="s">
        <v>1358</v>
      </c>
      <c r="C1554" s="227">
        <v>97104</v>
      </c>
      <c r="H1554" s="226"/>
      <c r="K1554" s="226"/>
      <c r="P1554" s="226"/>
    </row>
    <row r="1555" spans="1:16">
      <c r="A1555" s="227"/>
      <c r="B1555" s="131" t="s">
        <v>1362</v>
      </c>
      <c r="C1555" s="227">
        <v>97201</v>
      </c>
      <c r="H1555" s="226"/>
      <c r="K1555" s="226"/>
      <c r="P1555" s="226"/>
    </row>
    <row r="1556" spans="1:16">
      <c r="A1556" s="227"/>
      <c r="B1556" s="131" t="s">
        <v>2796</v>
      </c>
      <c r="C1556" s="227">
        <v>97304</v>
      </c>
      <c r="H1556" s="226"/>
      <c r="K1556" s="226"/>
      <c r="P1556" s="226"/>
    </row>
    <row r="1557" spans="1:16">
      <c r="A1557" s="227"/>
      <c r="B1557" s="131" t="s">
        <v>1367</v>
      </c>
      <c r="C1557" s="227">
        <v>97301</v>
      </c>
      <c r="H1557" s="226"/>
      <c r="K1557" s="226"/>
      <c r="P1557" s="226"/>
    </row>
    <row r="1558" spans="1:16">
      <c r="A1558" s="227"/>
      <c r="B1558" s="131" t="s">
        <v>1569</v>
      </c>
      <c r="C1558" s="227">
        <v>99405</v>
      </c>
      <c r="H1558" s="226"/>
      <c r="K1558" s="226"/>
      <c r="P1558" s="226"/>
    </row>
    <row r="1559" spans="1:16">
      <c r="A1559" s="227"/>
      <c r="B1559" s="131" t="s">
        <v>728</v>
      </c>
      <c r="C1559" s="220">
        <v>72265</v>
      </c>
      <c r="H1559" s="226"/>
      <c r="K1559" s="226"/>
      <c r="P1559" s="226"/>
    </row>
    <row r="1560" spans="1:16">
      <c r="A1560" s="227"/>
      <c r="B1560" s="131" t="s">
        <v>2762</v>
      </c>
      <c r="C1560" s="227">
        <v>94112</v>
      </c>
      <c r="H1560" s="226"/>
      <c r="K1560" s="226"/>
      <c r="P1560" s="226"/>
    </row>
    <row r="1561" spans="1:16">
      <c r="A1561" s="227"/>
      <c r="B1561" s="131" t="s">
        <v>1042</v>
      </c>
      <c r="C1561" s="227">
        <v>93406</v>
      </c>
      <c r="H1561" s="226"/>
      <c r="K1561" s="226"/>
      <c r="P1561" s="226"/>
    </row>
    <row r="1562" spans="1:16">
      <c r="A1562" s="227"/>
      <c r="B1562" s="131" t="s">
        <v>2628</v>
      </c>
      <c r="C1562" s="227">
        <v>99651</v>
      </c>
      <c r="H1562" s="226"/>
      <c r="K1562" s="226"/>
      <c r="P1562" s="226"/>
    </row>
    <row r="1563" spans="1:16">
      <c r="A1563" s="227"/>
      <c r="B1563" s="131" t="s">
        <v>2629</v>
      </c>
      <c r="C1563" s="227">
        <v>98611</v>
      </c>
      <c r="H1563" s="226"/>
      <c r="K1563" s="226"/>
      <c r="P1563" s="226"/>
    </row>
    <row r="1564" spans="1:16">
      <c r="A1564" s="227"/>
      <c r="B1564" s="131" t="s">
        <v>1505</v>
      </c>
      <c r="C1564" s="227">
        <v>98607</v>
      </c>
      <c r="H1564" s="226"/>
      <c r="K1564" s="226"/>
      <c r="P1564" s="226"/>
    </row>
    <row r="1565" spans="1:16">
      <c r="A1565" s="227"/>
      <c r="B1565" s="131" t="s">
        <v>2630</v>
      </c>
      <c r="C1565" s="227">
        <v>91641</v>
      </c>
      <c r="H1565" s="226"/>
      <c r="K1565" s="226"/>
      <c r="P1565" s="226"/>
    </row>
    <row r="1566" spans="1:16">
      <c r="A1566" s="227"/>
      <c r="B1566" s="131" t="s">
        <v>2631</v>
      </c>
      <c r="C1566" s="227">
        <v>95161</v>
      </c>
      <c r="H1566" s="226"/>
      <c r="K1566" s="226"/>
      <c r="P1566" s="226"/>
    </row>
    <row r="1567" spans="1:16">
      <c r="A1567" s="227"/>
      <c r="B1567" s="131" t="s">
        <v>2632</v>
      </c>
      <c r="C1567" s="227">
        <v>96361</v>
      </c>
      <c r="H1567" s="226"/>
      <c r="K1567" s="226"/>
      <c r="P1567" s="226"/>
    </row>
    <row r="1568" spans="1:16">
      <c r="A1568" s="227"/>
      <c r="B1568" s="131" t="s">
        <v>1104</v>
      </c>
      <c r="C1568" s="227">
        <v>94108</v>
      </c>
      <c r="H1568" s="226"/>
      <c r="K1568" s="226"/>
      <c r="P1568" s="226"/>
    </row>
    <row r="1569" spans="1:16">
      <c r="A1569" s="227"/>
      <c r="B1569" s="131" t="s">
        <v>2633</v>
      </c>
      <c r="C1569" s="227">
        <v>96351</v>
      </c>
      <c r="H1569" s="226"/>
      <c r="K1569" s="226"/>
      <c r="P1569" s="226"/>
    </row>
    <row r="1570" spans="1:16">
      <c r="A1570" s="227"/>
      <c r="B1570" s="131" t="s">
        <v>2634</v>
      </c>
      <c r="C1570" s="227">
        <v>93331</v>
      </c>
      <c r="H1570" s="226"/>
      <c r="K1570" s="226"/>
      <c r="P1570" s="226"/>
    </row>
    <row r="1571" spans="1:16">
      <c r="A1571" s="227"/>
      <c r="B1571" s="131" t="s">
        <v>2635</v>
      </c>
      <c r="C1571" s="227">
        <v>96021</v>
      </c>
      <c r="H1571" s="226"/>
      <c r="K1571" s="226"/>
      <c r="P1571" s="226"/>
    </row>
    <row r="1572" spans="1:16">
      <c r="A1572" s="227"/>
      <c r="B1572" s="131" t="s">
        <v>2636</v>
      </c>
      <c r="C1572" s="227">
        <v>95421</v>
      </c>
      <c r="H1572" s="226"/>
      <c r="K1572" s="226"/>
      <c r="P1572" s="226"/>
    </row>
    <row r="1573" spans="1:16">
      <c r="A1573" s="227"/>
      <c r="B1573" s="131" t="s">
        <v>1370</v>
      </c>
      <c r="C1573" s="227">
        <v>97401</v>
      </c>
      <c r="H1573" s="226"/>
      <c r="K1573" s="226"/>
      <c r="P1573" s="226"/>
    </row>
    <row r="1574" spans="1:16">
      <c r="A1574" s="227"/>
      <c r="B1574" s="131" t="s">
        <v>1372</v>
      </c>
      <c r="C1574" s="227">
        <v>97404</v>
      </c>
      <c r="H1574" s="226"/>
      <c r="K1574" s="226"/>
      <c r="P1574" s="226"/>
    </row>
    <row r="1575" spans="1:16">
      <c r="A1575" s="227"/>
      <c r="B1575" s="131" t="s">
        <v>2795</v>
      </c>
      <c r="C1575" s="227">
        <v>97402</v>
      </c>
      <c r="H1575" s="226"/>
      <c r="K1575" s="226"/>
      <c r="P1575" s="226"/>
    </row>
    <row r="1576" spans="1:16">
      <c r="A1576" s="227"/>
      <c r="B1576" s="131" t="s">
        <v>2637</v>
      </c>
      <c r="C1576" s="227">
        <v>91921</v>
      </c>
      <c r="H1576" s="226"/>
      <c r="K1576" s="226"/>
      <c r="P1576" s="226"/>
    </row>
    <row r="1577" spans="1:16">
      <c r="A1577" s="227"/>
      <c r="B1577" s="131" t="s">
        <v>1249</v>
      </c>
      <c r="C1577" s="227">
        <v>95908</v>
      </c>
      <c r="H1577" s="226"/>
      <c r="K1577" s="226"/>
      <c r="P1577" s="226"/>
    </row>
    <row r="1578" spans="1:16">
      <c r="A1578" s="227"/>
      <c r="B1578" s="131" t="s">
        <v>2638</v>
      </c>
      <c r="C1578" s="227">
        <v>99411</v>
      </c>
      <c r="H1578" s="226"/>
      <c r="K1578" s="226"/>
      <c r="P1578" s="226"/>
    </row>
    <row r="1579" spans="1:16">
      <c r="A1579" s="227"/>
      <c r="B1579" s="131" t="s">
        <v>1571</v>
      </c>
      <c r="C1579" s="227">
        <v>99413</v>
      </c>
      <c r="H1579" s="226"/>
      <c r="K1579" s="226"/>
      <c r="P1579" s="226"/>
    </row>
    <row r="1580" spans="1:16">
      <c r="A1580" s="227"/>
      <c r="B1580" s="131" t="s">
        <v>1388</v>
      </c>
      <c r="C1580" s="227">
        <v>97501</v>
      </c>
      <c r="H1580" s="226"/>
      <c r="K1580" s="226"/>
      <c r="P1580" s="226"/>
    </row>
    <row r="1581" spans="1:16">
      <c r="A1581" s="227"/>
      <c r="B1581" s="131" t="s">
        <v>2639</v>
      </c>
      <c r="C1581" s="227">
        <v>90431</v>
      </c>
      <c r="H1581" s="226"/>
      <c r="K1581" s="226"/>
      <c r="P1581" s="226"/>
    </row>
    <row r="1582" spans="1:16">
      <c r="A1582" s="227"/>
      <c r="B1582" s="131" t="s">
        <v>2640</v>
      </c>
      <c r="C1582" s="227">
        <v>95211</v>
      </c>
      <c r="H1582" s="226"/>
      <c r="K1582" s="226"/>
      <c r="P1582" s="226"/>
    </row>
    <row r="1583" spans="1:16">
      <c r="A1583" s="227"/>
      <c r="B1583" s="131" t="s">
        <v>2641</v>
      </c>
      <c r="C1583" s="227">
        <v>95181</v>
      </c>
      <c r="H1583" s="226"/>
      <c r="K1583" s="226"/>
      <c r="P1583" s="226"/>
    </row>
    <row r="1584" spans="1:16">
      <c r="A1584" s="227"/>
      <c r="B1584" s="131" t="s">
        <v>2642</v>
      </c>
      <c r="C1584" s="227">
        <v>93351</v>
      </c>
      <c r="H1584" s="226"/>
      <c r="K1584" s="226"/>
      <c r="P1584" s="226"/>
    </row>
    <row r="1585" spans="1:16">
      <c r="A1585" s="227"/>
      <c r="B1585" s="131" t="s">
        <v>1192</v>
      </c>
      <c r="C1585" s="227">
        <v>95105</v>
      </c>
      <c r="H1585" s="226"/>
      <c r="K1585" s="226"/>
      <c r="P1585" s="226"/>
    </row>
    <row r="1586" spans="1:16">
      <c r="A1586" s="227"/>
      <c r="B1586" s="131" t="s">
        <v>2643</v>
      </c>
      <c r="C1586" s="227">
        <v>94711</v>
      </c>
      <c r="H1586" s="226"/>
      <c r="K1586" s="226"/>
      <c r="P1586" s="226"/>
    </row>
    <row r="1587" spans="1:16">
      <c r="A1587" s="227"/>
      <c r="B1587" s="131" t="s">
        <v>1999</v>
      </c>
      <c r="C1587" s="227">
        <v>99211</v>
      </c>
      <c r="H1587" s="226"/>
      <c r="K1587" s="226"/>
      <c r="P1587" s="226"/>
    </row>
    <row r="1588" spans="1:16">
      <c r="A1588" s="227"/>
      <c r="B1588" s="131" t="s">
        <v>2000</v>
      </c>
      <c r="C1588" s="227">
        <v>99213</v>
      </c>
      <c r="H1588" s="226"/>
      <c r="K1588" s="226"/>
      <c r="P1588" s="226"/>
    </row>
    <row r="1589" spans="1:16">
      <c r="A1589" s="227"/>
      <c r="B1589" s="131" t="s">
        <v>1552</v>
      </c>
      <c r="C1589" s="227">
        <v>99218</v>
      </c>
      <c r="H1589" s="226"/>
      <c r="K1589" s="226"/>
      <c r="P1589" s="226"/>
    </row>
    <row r="1590" spans="1:16">
      <c r="A1590" s="227"/>
      <c r="B1590" s="131" t="s">
        <v>2644</v>
      </c>
      <c r="C1590" s="227">
        <v>97641</v>
      </c>
      <c r="H1590" s="226"/>
      <c r="K1590" s="226"/>
      <c r="P1590" s="226"/>
    </row>
    <row r="1591" spans="1:16">
      <c r="A1591" s="227"/>
      <c r="B1591" s="131" t="s">
        <v>2001</v>
      </c>
      <c r="C1591" s="227">
        <v>97621</v>
      </c>
      <c r="H1591" s="226"/>
      <c r="K1591" s="226"/>
      <c r="P1591" s="226"/>
    </row>
    <row r="1592" spans="1:16">
      <c r="A1592" s="227"/>
      <c r="B1592" s="131" t="s">
        <v>2002</v>
      </c>
      <c r="C1592" s="227">
        <v>97627</v>
      </c>
      <c r="H1592" s="226"/>
      <c r="K1592" s="226"/>
      <c r="P1592" s="226"/>
    </row>
    <row r="1593" spans="1:16">
      <c r="A1593" s="227"/>
      <c r="B1593" s="131" t="s">
        <v>2003</v>
      </c>
      <c r="C1593" s="227">
        <v>97623</v>
      </c>
      <c r="H1593" s="226"/>
      <c r="K1593" s="226"/>
      <c r="P1593" s="226"/>
    </row>
    <row r="1594" spans="1:16">
      <c r="A1594" s="227"/>
      <c r="B1594" s="131" t="s">
        <v>1392</v>
      </c>
      <c r="C1594" s="227">
        <v>97601</v>
      </c>
      <c r="H1594" s="226"/>
      <c r="K1594" s="226"/>
      <c r="P1594" s="226"/>
    </row>
    <row r="1595" spans="1:16">
      <c r="A1595" s="227"/>
      <c r="B1595" s="131" t="s">
        <v>2645</v>
      </c>
      <c r="C1595" s="227">
        <v>93681</v>
      </c>
      <c r="H1595" s="226"/>
      <c r="K1595" s="226"/>
      <c r="P1595" s="226"/>
    </row>
    <row r="1596" spans="1:16">
      <c r="A1596" s="227"/>
      <c r="B1596" s="131" t="s">
        <v>2646</v>
      </c>
      <c r="C1596" s="227">
        <v>97871</v>
      </c>
      <c r="H1596" s="226"/>
      <c r="K1596" s="226"/>
      <c r="P1596" s="226"/>
    </row>
    <row r="1597" spans="1:16">
      <c r="A1597" s="227"/>
      <c r="B1597" s="131" t="s">
        <v>1430</v>
      </c>
      <c r="C1597" s="227">
        <v>97877</v>
      </c>
      <c r="H1597" s="226"/>
      <c r="K1597" s="226"/>
      <c r="P1597" s="226"/>
    </row>
    <row r="1598" spans="1:16">
      <c r="A1598" s="227"/>
      <c r="B1598" s="131" t="s">
        <v>1575</v>
      </c>
      <c r="C1598" s="227">
        <v>99502</v>
      </c>
      <c r="H1598" s="226"/>
      <c r="K1598" s="226"/>
      <c r="P1598" s="226"/>
    </row>
    <row r="1599" spans="1:16">
      <c r="A1599" s="227"/>
      <c r="B1599" s="131" t="s">
        <v>2004</v>
      </c>
      <c r="C1599" s="227">
        <v>97911</v>
      </c>
      <c r="H1599" s="226"/>
      <c r="K1599" s="226"/>
      <c r="P1599" s="226"/>
    </row>
    <row r="1600" spans="1:16">
      <c r="A1600" s="227"/>
      <c r="B1600" s="131" t="s">
        <v>1434</v>
      </c>
      <c r="C1600" s="227">
        <v>97917</v>
      </c>
      <c r="H1600" s="226"/>
      <c r="K1600" s="226"/>
      <c r="P1600" s="226"/>
    </row>
    <row r="1601" spans="1:16">
      <c r="A1601" s="227"/>
      <c r="B1601" s="131" t="s">
        <v>2647</v>
      </c>
      <c r="C1601" s="227">
        <v>96611</v>
      </c>
      <c r="H1601" s="226"/>
      <c r="K1601" s="226"/>
      <c r="P1601" s="226"/>
    </row>
    <row r="1602" spans="1:16">
      <c r="A1602" s="227"/>
      <c r="B1602" s="131" t="s">
        <v>2648</v>
      </c>
      <c r="C1602" s="227">
        <v>96741</v>
      </c>
      <c r="H1602" s="226"/>
      <c r="K1602" s="226"/>
      <c r="P1602" s="226"/>
    </row>
    <row r="1603" spans="1:16">
      <c r="A1603" s="227"/>
      <c r="B1603" s="131" t="s">
        <v>1404</v>
      </c>
      <c r="C1603" s="227">
        <v>97701</v>
      </c>
      <c r="H1603" s="226"/>
      <c r="K1603" s="226"/>
      <c r="P1603" s="226"/>
    </row>
    <row r="1604" spans="1:16">
      <c r="A1604" s="227"/>
      <c r="B1604" s="131" t="s">
        <v>2649</v>
      </c>
      <c r="C1604" s="227">
        <v>92541</v>
      </c>
      <c r="H1604" s="226"/>
      <c r="K1604" s="226"/>
      <c r="P1604" s="226"/>
    </row>
    <row r="1605" spans="1:16">
      <c r="A1605" s="227"/>
      <c r="B1605" s="131" t="s">
        <v>2005</v>
      </c>
      <c r="C1605" s="227">
        <v>94221</v>
      </c>
      <c r="H1605" s="226"/>
      <c r="K1605" s="226"/>
      <c r="P1605" s="226"/>
    </row>
    <row r="1606" spans="1:16">
      <c r="A1606" s="227"/>
      <c r="B1606" s="131" t="s">
        <v>1122</v>
      </c>
      <c r="C1606" s="227">
        <v>94209</v>
      </c>
      <c r="H1606" s="226"/>
      <c r="K1606" s="226"/>
      <c r="P1606" s="226"/>
    </row>
    <row r="1607" spans="1:16">
      <c r="A1607" s="227"/>
      <c r="B1607" s="131" t="s">
        <v>2650</v>
      </c>
      <c r="C1607" s="227">
        <v>96341</v>
      </c>
      <c r="H1607" s="226"/>
      <c r="K1607" s="226"/>
      <c r="P1607" s="226"/>
    </row>
    <row r="1608" spans="1:16">
      <c r="A1608" s="227"/>
      <c r="B1608" s="131" t="s">
        <v>2651</v>
      </c>
      <c r="C1608" s="227">
        <v>93821</v>
      </c>
      <c r="H1608" s="226"/>
      <c r="K1608" s="226"/>
      <c r="P1608" s="226"/>
    </row>
    <row r="1609" spans="1:16">
      <c r="A1609" s="227"/>
      <c r="B1609" s="131" t="s">
        <v>2652</v>
      </c>
      <c r="C1609" s="227">
        <v>95851</v>
      </c>
      <c r="H1609" s="226"/>
      <c r="K1609" s="226"/>
      <c r="P1609" s="226"/>
    </row>
    <row r="1610" spans="1:16">
      <c r="A1610" s="227"/>
      <c r="B1610" s="131" t="s">
        <v>1247</v>
      </c>
      <c r="C1610" s="227">
        <v>95853</v>
      </c>
      <c r="H1610" s="226"/>
      <c r="K1610" s="226"/>
      <c r="P1610" s="226"/>
    </row>
    <row r="1611" spans="1:16">
      <c r="A1611" s="227"/>
      <c r="B1611" s="131" t="s">
        <v>1412</v>
      </c>
      <c r="C1611" s="227">
        <v>97801</v>
      </c>
      <c r="H1611" s="226"/>
      <c r="K1611" s="226"/>
      <c r="P1611" s="226"/>
    </row>
    <row r="1612" spans="1:16">
      <c r="A1612" s="227"/>
      <c r="B1612" s="131" t="s">
        <v>1414</v>
      </c>
      <c r="C1612" s="227">
        <v>97803</v>
      </c>
      <c r="H1612" s="226"/>
      <c r="K1612" s="226"/>
      <c r="P1612" s="226"/>
    </row>
    <row r="1613" spans="1:16">
      <c r="A1613" s="227"/>
      <c r="B1613" s="131" t="s">
        <v>1415</v>
      </c>
      <c r="C1613" s="227">
        <v>97805</v>
      </c>
      <c r="H1613" s="226"/>
      <c r="K1613" s="226"/>
      <c r="P1613" s="226"/>
    </row>
    <row r="1614" spans="1:16">
      <c r="A1614" s="227"/>
      <c r="B1614" s="131" t="s">
        <v>2006</v>
      </c>
      <c r="C1614" s="227">
        <v>97711</v>
      </c>
      <c r="H1614" s="226"/>
      <c r="K1614" s="226"/>
      <c r="P1614" s="226"/>
    </row>
    <row r="1615" spans="1:16">
      <c r="A1615" s="227"/>
      <c r="B1615" s="131" t="s">
        <v>2007</v>
      </c>
      <c r="C1615" s="227">
        <v>97727</v>
      </c>
      <c r="H1615" s="226"/>
      <c r="K1615" s="226"/>
      <c r="P1615" s="226"/>
    </row>
    <row r="1616" spans="1:16">
      <c r="A1616" s="227"/>
      <c r="B1616" s="131" t="s">
        <v>1431</v>
      </c>
      <c r="C1616" s="227">
        <v>97901</v>
      </c>
      <c r="H1616" s="226"/>
      <c r="K1616" s="226"/>
      <c r="P1616" s="226"/>
    </row>
    <row r="1617" spans="1:16">
      <c r="A1617" s="227"/>
      <c r="B1617" s="131" t="s">
        <v>1407</v>
      </c>
      <c r="C1617" s="227">
        <v>97713</v>
      </c>
      <c r="H1617" s="226"/>
      <c r="K1617" s="226"/>
      <c r="P1617" s="226"/>
    </row>
    <row r="1618" spans="1:16">
      <c r="A1618" s="227"/>
      <c r="B1618" s="131" t="s">
        <v>2653</v>
      </c>
      <c r="C1618" s="227">
        <v>98071</v>
      </c>
      <c r="H1618" s="226"/>
      <c r="K1618" s="226"/>
      <c r="P1618" s="226"/>
    </row>
    <row r="1619" spans="1:16">
      <c r="A1619" s="227"/>
      <c r="B1619" s="131" t="s">
        <v>2008</v>
      </c>
      <c r="C1619" s="227">
        <v>93321</v>
      </c>
      <c r="H1619" s="226"/>
      <c r="K1619" s="226"/>
      <c r="P1619" s="226"/>
    </row>
    <row r="1620" spans="1:16">
      <c r="A1620" s="227"/>
      <c r="B1620" s="131" t="s">
        <v>1035</v>
      </c>
      <c r="C1620" s="227">
        <v>93323</v>
      </c>
      <c r="H1620" s="226"/>
      <c r="K1620" s="226"/>
      <c r="P1620" s="226"/>
    </row>
    <row r="1621" spans="1:16">
      <c r="A1621" s="227"/>
      <c r="B1621" s="131" t="s">
        <v>1037</v>
      </c>
      <c r="C1621" s="227">
        <v>93333</v>
      </c>
      <c r="H1621" s="226"/>
      <c r="K1621" s="226"/>
      <c r="P1621" s="226"/>
    </row>
    <row r="1622" spans="1:16">
      <c r="A1622" s="227"/>
      <c r="B1622" s="131" t="s">
        <v>2654</v>
      </c>
      <c r="C1622" s="227">
        <v>99203</v>
      </c>
      <c r="H1622" s="226"/>
      <c r="K1622" s="226"/>
      <c r="P1622" s="226"/>
    </row>
    <row r="1623" spans="1:16">
      <c r="A1623" s="227"/>
      <c r="B1623" s="131" t="s">
        <v>2655</v>
      </c>
      <c r="C1623" s="227">
        <v>99421</v>
      </c>
      <c r="H1623" s="226"/>
      <c r="K1623" s="226"/>
      <c r="P1623" s="226"/>
    </row>
    <row r="1624" spans="1:16">
      <c r="A1624" s="227"/>
      <c r="B1624" s="131" t="s">
        <v>2656</v>
      </c>
      <c r="C1624" s="227">
        <v>93161</v>
      </c>
      <c r="H1624" s="226"/>
      <c r="K1624" s="226"/>
      <c r="P1624" s="226"/>
    </row>
    <row r="1625" spans="1:16">
      <c r="A1625" s="227"/>
      <c r="B1625" s="131" t="s">
        <v>2657</v>
      </c>
      <c r="C1625" s="227">
        <v>98261</v>
      </c>
      <c r="H1625" s="226"/>
      <c r="K1625" s="226"/>
      <c r="P1625" s="226"/>
    </row>
    <row r="1626" spans="1:16">
      <c r="A1626" s="227"/>
      <c r="B1626" s="131" t="s">
        <v>1476</v>
      </c>
      <c r="C1626" s="227">
        <v>98237</v>
      </c>
      <c r="H1626" s="226"/>
      <c r="K1626" s="226"/>
      <c r="P1626" s="226"/>
    </row>
    <row r="1627" spans="1:16">
      <c r="A1627" s="227"/>
      <c r="B1627" s="131" t="s">
        <v>1444</v>
      </c>
      <c r="C1627" s="227">
        <v>98003</v>
      </c>
      <c r="H1627" s="226"/>
      <c r="K1627" s="226"/>
      <c r="P1627" s="226"/>
    </row>
    <row r="1628" spans="1:16">
      <c r="A1628" s="227"/>
      <c r="B1628" s="131" t="s">
        <v>2793</v>
      </c>
      <c r="C1628" s="227">
        <v>98008</v>
      </c>
      <c r="H1628" s="226"/>
      <c r="K1628" s="226"/>
      <c r="P1628" s="226"/>
    </row>
    <row r="1629" spans="1:16">
      <c r="A1629" s="227"/>
      <c r="B1629" s="131" t="s">
        <v>1443</v>
      </c>
      <c r="C1629" s="227">
        <v>98002</v>
      </c>
      <c r="H1629" s="226"/>
      <c r="K1629" s="226"/>
      <c r="P1629" s="226"/>
    </row>
    <row r="1630" spans="1:16">
      <c r="A1630" s="227"/>
      <c r="B1630" s="131" t="s">
        <v>1442</v>
      </c>
      <c r="C1630" s="227">
        <v>98001</v>
      </c>
      <c r="H1630" s="226"/>
      <c r="K1630" s="226"/>
      <c r="P1630" s="226"/>
    </row>
    <row r="1631" spans="1:16">
      <c r="A1631" s="227"/>
      <c r="B1631" s="131" t="s">
        <v>1445</v>
      </c>
      <c r="C1631" s="227">
        <v>98004</v>
      </c>
      <c r="H1631" s="226"/>
      <c r="K1631" s="226"/>
      <c r="P1631" s="226"/>
    </row>
    <row r="1632" spans="1:16">
      <c r="A1632" s="227"/>
      <c r="B1632" s="131" t="s">
        <v>2658</v>
      </c>
      <c r="C1632" s="227">
        <v>97861</v>
      </c>
      <c r="H1632" s="226"/>
      <c r="K1632" s="226"/>
      <c r="P1632" s="226"/>
    </row>
    <row r="1633" spans="1:16">
      <c r="A1633" s="227"/>
      <c r="B1633" s="131" t="s">
        <v>2009</v>
      </c>
      <c r="C1633" s="227">
        <v>97311</v>
      </c>
      <c r="H1633" s="226"/>
      <c r="K1633" s="226"/>
      <c r="P1633" s="226"/>
    </row>
    <row r="1634" spans="1:16">
      <c r="A1634" s="227"/>
      <c r="B1634" s="131" t="s">
        <v>2659</v>
      </c>
      <c r="C1634" s="227">
        <v>93431</v>
      </c>
      <c r="H1634" s="226"/>
      <c r="K1634" s="226"/>
      <c r="P1634" s="226"/>
    </row>
    <row r="1635" spans="1:16">
      <c r="A1635" s="227"/>
      <c r="B1635" s="131" t="s">
        <v>2660</v>
      </c>
      <c r="C1635" s="227">
        <v>91214</v>
      </c>
      <c r="H1635" s="226"/>
      <c r="K1635" s="226"/>
      <c r="P1635" s="226"/>
    </row>
    <row r="1636" spans="1:16">
      <c r="A1636" s="227"/>
      <c r="B1636" s="131" t="s">
        <v>1458</v>
      </c>
      <c r="C1636" s="227">
        <v>98101</v>
      </c>
      <c r="H1636" s="226"/>
      <c r="K1636" s="226"/>
      <c r="P1636" s="226"/>
    </row>
    <row r="1637" spans="1:16">
      <c r="A1637" s="227"/>
      <c r="B1637" s="131" t="s">
        <v>2792</v>
      </c>
      <c r="C1637" s="227">
        <v>98103</v>
      </c>
      <c r="H1637" s="226"/>
      <c r="K1637" s="226"/>
      <c r="P1637" s="226"/>
    </row>
    <row r="1638" spans="1:16">
      <c r="A1638" s="227"/>
      <c r="B1638" s="131" t="s">
        <v>2661</v>
      </c>
      <c r="C1638" s="227">
        <v>98141</v>
      </c>
      <c r="H1638" s="226"/>
      <c r="K1638" s="226"/>
      <c r="P1638" s="226"/>
    </row>
    <row r="1639" spans="1:16">
      <c r="A1639" s="227"/>
      <c r="B1639" s="131" t="s">
        <v>2791</v>
      </c>
      <c r="C1639" s="227">
        <v>98147</v>
      </c>
      <c r="H1639" s="226"/>
      <c r="K1639" s="226"/>
      <c r="P1639" s="226"/>
    </row>
    <row r="1640" spans="1:16">
      <c r="A1640" s="227"/>
      <c r="B1640" s="131" t="s">
        <v>2685</v>
      </c>
      <c r="C1640" s="227">
        <v>91032</v>
      </c>
      <c r="H1640" s="226"/>
      <c r="K1640" s="226"/>
      <c r="P1640" s="226"/>
    </row>
    <row r="1641" spans="1:16">
      <c r="A1641" s="227"/>
      <c r="B1641" s="131" t="s">
        <v>2686</v>
      </c>
      <c r="C1641" s="227">
        <v>97831</v>
      </c>
      <c r="H1641" s="226"/>
      <c r="K1641" s="226"/>
      <c r="P1641" s="226"/>
    </row>
    <row r="1642" spans="1:16">
      <c r="A1642" s="227"/>
      <c r="B1642" s="131" t="s">
        <v>2790</v>
      </c>
      <c r="C1642" s="227">
        <v>97837</v>
      </c>
      <c r="H1642" s="226"/>
      <c r="K1642" s="226"/>
      <c r="P1642" s="226"/>
    </row>
    <row r="1643" spans="1:16">
      <c r="A1643" s="227"/>
      <c r="B1643" s="131" t="s">
        <v>2662</v>
      </c>
      <c r="C1643" s="227">
        <v>98221</v>
      </c>
      <c r="H1643" s="226"/>
      <c r="K1643" s="226"/>
      <c r="P1643" s="226"/>
    </row>
    <row r="1644" spans="1:16">
      <c r="A1644" s="227"/>
      <c r="B1644" s="131" t="s">
        <v>2010</v>
      </c>
      <c r="C1644" s="227">
        <v>98011</v>
      </c>
      <c r="H1644" s="226"/>
      <c r="K1644" s="226"/>
      <c r="P1644" s="226"/>
    </row>
    <row r="1645" spans="1:16">
      <c r="A1645" s="227"/>
      <c r="B1645" s="131" t="s">
        <v>2809</v>
      </c>
      <c r="C1645" s="227">
        <v>98013</v>
      </c>
      <c r="H1645" s="226"/>
      <c r="K1645" s="226"/>
      <c r="P1645" s="226"/>
    </row>
    <row r="1646" spans="1:16">
      <c r="A1646" s="227"/>
      <c r="B1646" s="131" t="s">
        <v>2011</v>
      </c>
      <c r="C1646" s="227">
        <v>97531</v>
      </c>
      <c r="H1646" s="226"/>
      <c r="K1646" s="226"/>
      <c r="P1646" s="226"/>
    </row>
    <row r="1647" spans="1:16">
      <c r="A1647" s="227"/>
      <c r="B1647" s="131" t="s">
        <v>1470</v>
      </c>
      <c r="C1647" s="227">
        <v>98201</v>
      </c>
      <c r="H1647" s="226"/>
      <c r="K1647" s="226"/>
      <c r="P1647" s="226"/>
    </row>
    <row r="1648" spans="1:16">
      <c r="A1648" s="227"/>
      <c r="B1648" s="131" t="s">
        <v>1405</v>
      </c>
      <c r="C1648" s="227">
        <v>97705</v>
      </c>
      <c r="H1648" s="226"/>
      <c r="K1648" s="226"/>
      <c r="P1648" s="226"/>
    </row>
    <row r="1649" spans="1:16">
      <c r="A1649" s="227"/>
      <c r="B1649" s="131" t="s">
        <v>1287</v>
      </c>
      <c r="C1649" s="227">
        <v>96318</v>
      </c>
      <c r="H1649" s="226"/>
      <c r="K1649" s="226"/>
      <c r="P1649" s="226"/>
    </row>
    <row r="1650" spans="1:16">
      <c r="A1650" s="227"/>
      <c r="B1650" s="131" t="s">
        <v>2012</v>
      </c>
      <c r="C1650" s="227">
        <v>95311</v>
      </c>
      <c r="H1650" s="226"/>
      <c r="K1650" s="226"/>
      <c r="P1650" s="226"/>
    </row>
    <row r="1651" spans="1:16">
      <c r="A1651" s="227"/>
      <c r="B1651" s="131" t="s">
        <v>1214</v>
      </c>
      <c r="C1651" s="227">
        <v>95317</v>
      </c>
      <c r="H1651" s="226"/>
      <c r="K1651" s="226"/>
      <c r="P1651" s="226"/>
    </row>
    <row r="1652" spans="1:16">
      <c r="A1652" s="227"/>
      <c r="B1652" s="131" t="s">
        <v>2663</v>
      </c>
      <c r="C1652" s="227">
        <v>91421</v>
      </c>
      <c r="H1652" s="226"/>
      <c r="K1652" s="226"/>
      <c r="P1652" s="226"/>
    </row>
    <row r="1653" spans="1:16">
      <c r="A1653" s="227"/>
      <c r="B1653" s="131" t="s">
        <v>1481</v>
      </c>
      <c r="C1653" s="227">
        <v>98301</v>
      </c>
      <c r="H1653" s="226"/>
      <c r="K1653" s="226"/>
      <c r="P1653" s="226"/>
    </row>
    <row r="1654" spans="1:16">
      <c r="A1654" s="227"/>
      <c r="B1654" s="131" t="s">
        <v>1482</v>
      </c>
      <c r="C1654" s="227">
        <v>98304</v>
      </c>
      <c r="H1654" s="226"/>
      <c r="K1654" s="226"/>
      <c r="P1654" s="226"/>
    </row>
    <row r="1655" spans="1:16">
      <c r="A1655" s="227"/>
      <c r="B1655" s="131" t="s">
        <v>2664</v>
      </c>
      <c r="C1655" s="227">
        <v>94241</v>
      </c>
      <c r="H1655" s="226"/>
      <c r="K1655" s="226"/>
      <c r="P1655" s="226"/>
    </row>
    <row r="1656" spans="1:16">
      <c r="A1656" s="227"/>
      <c r="B1656" s="131" t="s">
        <v>2665</v>
      </c>
      <c r="C1656" s="227">
        <v>96681</v>
      </c>
      <c r="H1656" s="226"/>
      <c r="K1656" s="226"/>
      <c r="P1656" s="226"/>
    </row>
    <row r="1657" spans="1:16">
      <c r="A1657" s="227"/>
      <c r="B1657" s="131" t="s">
        <v>2666</v>
      </c>
      <c r="C1657" s="220">
        <v>72593</v>
      </c>
      <c r="H1657" s="226"/>
      <c r="K1657" s="226"/>
      <c r="P1657" s="226"/>
    </row>
    <row r="1658" spans="1:16">
      <c r="A1658" s="227"/>
      <c r="B1658" s="131" t="s">
        <v>2667</v>
      </c>
      <c r="C1658" s="227">
        <v>95121</v>
      </c>
      <c r="H1658" s="226"/>
      <c r="K1658" s="226"/>
      <c r="P1658" s="226"/>
    </row>
    <row r="1659" spans="1:16">
      <c r="A1659" s="227"/>
      <c r="B1659" s="131" t="s">
        <v>1199</v>
      </c>
      <c r="C1659" s="227">
        <v>95123</v>
      </c>
      <c r="H1659" s="226"/>
      <c r="K1659" s="226"/>
      <c r="P1659" s="226"/>
    </row>
    <row r="1660" spans="1:16">
      <c r="A1660" s="227"/>
      <c r="B1660" s="131" t="s">
        <v>2668</v>
      </c>
      <c r="C1660" s="227">
        <v>99531</v>
      </c>
      <c r="H1660" s="226"/>
      <c r="K1660" s="226"/>
      <c r="P1660" s="226"/>
    </row>
    <row r="1661" spans="1:16">
      <c r="A1661" s="227"/>
      <c r="B1661" s="131" t="s">
        <v>2669</v>
      </c>
      <c r="C1661" s="227">
        <v>96671</v>
      </c>
      <c r="H1661" s="226"/>
      <c r="K1661" s="226"/>
      <c r="P1661" s="226"/>
    </row>
    <row r="1662" spans="1:16">
      <c r="A1662" s="227"/>
      <c r="B1662" s="131" t="s">
        <v>2670</v>
      </c>
      <c r="C1662" s="227">
        <v>91081</v>
      </c>
      <c r="H1662" s="226"/>
      <c r="K1662" s="226"/>
      <c r="P1662" s="226"/>
    </row>
    <row r="1663" spans="1:16">
      <c r="A1663" s="227"/>
      <c r="B1663" s="131" t="s">
        <v>822</v>
      </c>
      <c r="C1663" s="227">
        <v>91057</v>
      </c>
      <c r="H1663" s="226"/>
      <c r="K1663" s="226"/>
      <c r="P1663" s="226"/>
    </row>
    <row r="1664" spans="1:16">
      <c r="A1664" s="227"/>
      <c r="B1664" s="131" t="s">
        <v>2671</v>
      </c>
      <c r="C1664" s="227">
        <v>96461</v>
      </c>
      <c r="H1664" s="226"/>
      <c r="K1664" s="226"/>
      <c r="P1664" s="226"/>
    </row>
    <row r="1665" spans="1:16">
      <c r="A1665" s="227"/>
      <c r="B1665" s="131" t="s">
        <v>2013</v>
      </c>
      <c r="C1665" s="227">
        <v>92311</v>
      </c>
      <c r="H1665" s="226"/>
      <c r="K1665" s="226"/>
      <c r="P1665" s="226"/>
    </row>
    <row r="1666" spans="1:16">
      <c r="A1666" s="227"/>
      <c r="B1666" s="131" t="s">
        <v>936</v>
      </c>
      <c r="C1666" s="227">
        <v>92317</v>
      </c>
      <c r="H1666" s="226"/>
      <c r="K1666" s="226"/>
      <c r="P1666" s="226"/>
    </row>
    <row r="1667" spans="1:16">
      <c r="A1667" s="227"/>
      <c r="B1667" s="131" t="s">
        <v>1373</v>
      </c>
      <c r="C1667" s="227">
        <v>97405</v>
      </c>
      <c r="H1667" s="226"/>
      <c r="K1667" s="226"/>
      <c r="P1667" s="226"/>
    </row>
    <row r="1668" spans="1:16">
      <c r="A1668" s="227"/>
      <c r="B1668" s="131" t="s">
        <v>2672</v>
      </c>
      <c r="C1668" s="227">
        <v>91911</v>
      </c>
      <c r="H1668" s="226"/>
      <c r="K1668" s="226"/>
      <c r="P1668" s="226"/>
    </row>
    <row r="1669" spans="1:16">
      <c r="A1669" s="227"/>
      <c r="B1669" s="131" t="s">
        <v>920</v>
      </c>
      <c r="C1669" s="227">
        <v>91917</v>
      </c>
      <c r="H1669" s="226"/>
      <c r="K1669" s="226"/>
      <c r="P1669" s="226"/>
    </row>
    <row r="1670" spans="1:16">
      <c r="A1670" s="227"/>
      <c r="B1670" s="131" t="s">
        <v>2673</v>
      </c>
      <c r="C1670" s="227">
        <v>97481</v>
      </c>
      <c r="H1670" s="226"/>
      <c r="K1670" s="226"/>
      <c r="P1670" s="226"/>
    </row>
    <row r="1671" spans="1:16">
      <c r="A1671" s="227"/>
      <c r="B1671" s="131" t="s">
        <v>840</v>
      </c>
      <c r="C1671" s="51">
        <v>91138</v>
      </c>
      <c r="H1671" s="226"/>
      <c r="K1671" s="226"/>
      <c r="P1671" s="226"/>
    </row>
    <row r="1672" spans="1:16">
      <c r="A1672" s="227"/>
      <c r="B1672" s="131" t="s">
        <v>2674</v>
      </c>
      <c r="C1672" s="227">
        <v>95111</v>
      </c>
      <c r="H1672" s="226"/>
      <c r="K1672" s="226"/>
      <c r="P1672" s="226"/>
    </row>
    <row r="1673" spans="1:16">
      <c r="A1673" s="227"/>
      <c r="B1673" s="131" t="s">
        <v>1196</v>
      </c>
      <c r="C1673" s="227">
        <v>95113</v>
      </c>
      <c r="H1673" s="226"/>
      <c r="K1673" s="226"/>
      <c r="P1673" s="226"/>
    </row>
    <row r="1674" spans="1:16">
      <c r="A1674" s="227"/>
      <c r="B1674" s="131" t="s">
        <v>2675</v>
      </c>
      <c r="C1674" s="227">
        <v>94021</v>
      </c>
      <c r="H1674" s="226"/>
      <c r="K1674" s="226"/>
      <c r="P1674" s="226"/>
    </row>
    <row r="1675" spans="1:16">
      <c r="A1675" s="227"/>
      <c r="B1675" s="131" t="s">
        <v>795</v>
      </c>
      <c r="C1675" s="227">
        <v>90918</v>
      </c>
      <c r="H1675" s="226"/>
      <c r="K1675" s="226"/>
      <c r="P1675" s="226"/>
    </row>
    <row r="1676" spans="1:16">
      <c r="A1676" s="227"/>
      <c r="B1676" s="131" t="s">
        <v>1089</v>
      </c>
      <c r="C1676" s="227">
        <v>93910</v>
      </c>
      <c r="H1676" s="226"/>
      <c r="K1676" s="226"/>
      <c r="P1676" s="226"/>
    </row>
    <row r="1677" spans="1:16">
      <c r="A1677" s="227"/>
      <c r="B1677" s="131" t="s">
        <v>810</v>
      </c>
      <c r="C1677" s="227">
        <v>91013</v>
      </c>
      <c r="H1677" s="226"/>
      <c r="K1677" s="226"/>
      <c r="P1677" s="226"/>
    </row>
    <row r="1678" spans="1:16">
      <c r="A1678" s="227"/>
      <c r="B1678" s="131" t="s">
        <v>2676</v>
      </c>
      <c r="C1678" s="227">
        <v>96311</v>
      </c>
      <c r="H1678" s="226"/>
      <c r="K1678" s="226"/>
      <c r="P1678" s="226"/>
    </row>
    <row r="1679" spans="1:16">
      <c r="A1679" s="227"/>
      <c r="B1679" s="131" t="s">
        <v>2677</v>
      </c>
      <c r="C1679" s="227">
        <v>92841</v>
      </c>
      <c r="H1679" s="226"/>
      <c r="K1679" s="226"/>
      <c r="P1679" s="226"/>
    </row>
    <row r="1680" spans="1:16">
      <c r="A1680" s="227"/>
      <c r="B1680" s="131" t="s">
        <v>1586</v>
      </c>
      <c r="C1680" s="227">
        <v>99609</v>
      </c>
      <c r="H1680" s="226"/>
      <c r="K1680" s="226"/>
      <c r="P1680" s="226"/>
    </row>
    <row r="1681" spans="1:16">
      <c r="A1681" s="227"/>
      <c r="B1681" s="131" t="s">
        <v>2014</v>
      </c>
      <c r="C1681" s="227">
        <v>91011</v>
      </c>
      <c r="H1681" s="226"/>
      <c r="K1681" s="226"/>
      <c r="P1681" s="226"/>
    </row>
    <row r="1682" spans="1:16">
      <c r="A1682" s="227"/>
      <c r="B1682" s="131" t="s">
        <v>2015</v>
      </c>
      <c r="C1682" s="227">
        <v>91017</v>
      </c>
      <c r="H1682" s="226"/>
      <c r="K1682" s="226"/>
      <c r="P1682" s="226"/>
    </row>
    <row r="1683" spans="1:16">
      <c r="A1683" s="227"/>
      <c r="B1683" s="131" t="s">
        <v>1185</v>
      </c>
      <c r="C1683" s="227">
        <v>95008</v>
      </c>
      <c r="H1683" s="226"/>
      <c r="K1683" s="226"/>
      <c r="P1683" s="226"/>
    </row>
    <row r="1684" spans="1:16">
      <c r="A1684" s="227"/>
      <c r="B1684" s="131" t="s">
        <v>2678</v>
      </c>
      <c r="C1684" s="227">
        <v>72657</v>
      </c>
      <c r="H1684" s="226"/>
      <c r="K1684" s="226"/>
      <c r="P1684" s="226"/>
    </row>
    <row r="1685" spans="1:16">
      <c r="A1685" s="227"/>
      <c r="B1685" s="131" t="s">
        <v>2679</v>
      </c>
      <c r="C1685" s="227">
        <v>90307</v>
      </c>
      <c r="H1685" s="226"/>
      <c r="K1685" s="226"/>
      <c r="P1685" s="226"/>
    </row>
    <row r="1686" spans="1:16">
      <c r="A1686" s="227"/>
      <c r="B1686" s="131" t="s">
        <v>2680</v>
      </c>
      <c r="C1686" s="227">
        <v>98031</v>
      </c>
      <c r="H1686" s="226"/>
      <c r="K1686" s="226"/>
      <c r="P1686" s="226"/>
    </row>
    <row r="1687" spans="1:16">
      <c r="A1687" s="227"/>
      <c r="B1687" s="131" t="s">
        <v>2681</v>
      </c>
      <c r="C1687" s="227">
        <v>98121</v>
      </c>
      <c r="H1687" s="226"/>
      <c r="K1687" s="226"/>
      <c r="P1687" s="226"/>
    </row>
    <row r="1688" spans="1:16">
      <c r="A1688" s="227"/>
      <c r="B1688" s="131" t="s">
        <v>2682</v>
      </c>
      <c r="C1688" s="227">
        <v>96411</v>
      </c>
      <c r="H1688" s="226"/>
      <c r="K1688" s="226"/>
      <c r="P1688" s="226"/>
    </row>
    <row r="1689" spans="1:16">
      <c r="A1689" s="227"/>
      <c r="B1689" s="131" t="s">
        <v>2683</v>
      </c>
      <c r="C1689" s="227">
        <v>92661</v>
      </c>
      <c r="H1689" s="226"/>
      <c r="K1689" s="226"/>
      <c r="P1689" s="226"/>
    </row>
    <row r="1690" spans="1:16">
      <c r="A1690" s="227"/>
      <c r="B1690" s="131" t="s">
        <v>2684</v>
      </c>
      <c r="C1690" s="227">
        <v>96111</v>
      </c>
      <c r="H1690" s="226"/>
      <c r="K1690" s="226"/>
      <c r="P1690" s="226"/>
    </row>
    <row r="1691" spans="1:16">
      <c r="A1691" s="227"/>
      <c r="B1691" s="131" t="s">
        <v>2687</v>
      </c>
      <c r="C1691" s="227">
        <v>96061</v>
      </c>
      <c r="H1691" s="226"/>
      <c r="K1691" s="226"/>
      <c r="P1691" s="226"/>
    </row>
    <row r="1692" spans="1:16">
      <c r="A1692" s="227"/>
      <c r="B1692" s="131" t="s">
        <v>2688</v>
      </c>
      <c r="C1692" s="227">
        <v>98481</v>
      </c>
      <c r="H1692" s="226"/>
      <c r="K1692" s="226"/>
      <c r="P1692" s="226"/>
    </row>
    <row r="1693" spans="1:16">
      <c r="A1693" s="227"/>
      <c r="B1693" s="131" t="s">
        <v>2689</v>
      </c>
      <c r="C1693" s="227">
        <v>93602</v>
      </c>
      <c r="H1693" s="226"/>
      <c r="K1693" s="226"/>
      <c r="P1693" s="226"/>
    </row>
    <row r="1694" spans="1:16">
      <c r="A1694" s="227"/>
      <c r="B1694" s="131" t="s">
        <v>1488</v>
      </c>
      <c r="C1694" s="227">
        <v>98401</v>
      </c>
      <c r="H1694" s="226"/>
      <c r="K1694" s="226"/>
      <c r="P1694" s="226"/>
    </row>
    <row r="1695" spans="1:16">
      <c r="A1695" s="227"/>
      <c r="B1695" s="131" t="s">
        <v>2690</v>
      </c>
      <c r="C1695" s="51">
        <v>99821</v>
      </c>
      <c r="H1695" s="226"/>
      <c r="K1695" s="226"/>
      <c r="P1695" s="226"/>
    </row>
    <row r="1696" spans="1:16">
      <c r="A1696" s="227"/>
      <c r="B1696" s="131" t="s">
        <v>2691</v>
      </c>
      <c r="C1696" s="227">
        <v>96211</v>
      </c>
      <c r="H1696" s="226"/>
      <c r="K1696" s="226"/>
      <c r="P1696" s="226"/>
    </row>
    <row r="1697" spans="1:16">
      <c r="A1697" s="227"/>
      <c r="B1697" s="131" t="s">
        <v>2016</v>
      </c>
      <c r="C1697" s="227">
        <v>94911</v>
      </c>
      <c r="H1697" s="226"/>
      <c r="K1697" s="226"/>
      <c r="P1697" s="226"/>
    </row>
    <row r="1698" spans="1:16">
      <c r="A1698" s="227"/>
      <c r="B1698" s="131" t="s">
        <v>1176</v>
      </c>
      <c r="C1698" s="227">
        <v>94917</v>
      </c>
      <c r="H1698" s="226"/>
      <c r="K1698" s="226"/>
      <c r="P1698" s="226"/>
    </row>
    <row r="1699" spans="1:16">
      <c r="A1699" s="227"/>
      <c r="B1699" s="131" t="s">
        <v>2692</v>
      </c>
      <c r="C1699" s="227">
        <v>92621</v>
      </c>
      <c r="H1699" s="226"/>
      <c r="K1699" s="226"/>
      <c r="P1699" s="226"/>
    </row>
    <row r="1700" spans="1:16">
      <c r="A1700" s="227"/>
      <c r="B1700" s="131" t="s">
        <v>1499</v>
      </c>
      <c r="C1700" s="227">
        <v>98501</v>
      </c>
      <c r="H1700" s="226"/>
      <c r="K1700" s="226"/>
      <c r="P1700" s="226"/>
    </row>
    <row r="1701" spans="1:16">
      <c r="A1701" s="227"/>
      <c r="B1701" s="131" t="s">
        <v>2693</v>
      </c>
      <c r="C1701" s="227">
        <v>97931</v>
      </c>
      <c r="H1701" s="226"/>
      <c r="K1701" s="226"/>
      <c r="P1701" s="226"/>
    </row>
    <row r="1702" spans="1:16">
      <c r="A1702" s="227"/>
      <c r="B1702" s="131" t="s">
        <v>2694</v>
      </c>
      <c r="C1702" s="227">
        <v>93914</v>
      </c>
      <c r="H1702" s="226"/>
      <c r="K1702" s="226"/>
      <c r="P1702" s="226"/>
    </row>
    <row r="1703" spans="1:16">
      <c r="A1703" s="227"/>
      <c r="B1703" s="131" t="s">
        <v>2695</v>
      </c>
      <c r="C1703" s="227">
        <v>90651</v>
      </c>
      <c r="H1703" s="226"/>
      <c r="K1703" s="226"/>
      <c r="P1703" s="226"/>
    </row>
    <row r="1704" spans="1:16">
      <c r="A1704" s="227"/>
      <c r="B1704" s="131" t="s">
        <v>2696</v>
      </c>
      <c r="C1704" s="227">
        <v>94171</v>
      </c>
      <c r="H1704" s="226"/>
      <c r="K1704" s="226"/>
      <c r="P1704" s="226"/>
    </row>
    <row r="1705" spans="1:16">
      <c r="A1705" s="227"/>
      <c r="B1705" s="131" t="s">
        <v>1118</v>
      </c>
      <c r="C1705" s="227">
        <v>94172</v>
      </c>
      <c r="H1705" s="226"/>
      <c r="K1705" s="226"/>
      <c r="P1705" s="226"/>
    </row>
    <row r="1706" spans="1:16">
      <c r="A1706" s="227"/>
      <c r="B1706" s="131" t="s">
        <v>2697</v>
      </c>
      <c r="C1706" s="227">
        <v>91041</v>
      </c>
      <c r="H1706" s="226"/>
      <c r="K1706" s="226"/>
      <c r="P1706" s="226"/>
    </row>
    <row r="1707" spans="1:16">
      <c r="A1707" s="227"/>
      <c r="B1707" s="131" t="s">
        <v>2698</v>
      </c>
      <c r="C1707" s="227">
        <v>91047</v>
      </c>
      <c r="H1707" s="226"/>
      <c r="K1707" s="226"/>
      <c r="P1707" s="226"/>
    </row>
    <row r="1708" spans="1:16">
      <c r="A1708" s="227"/>
      <c r="B1708" s="131" t="s">
        <v>2699</v>
      </c>
      <c r="C1708" s="227">
        <v>97131</v>
      </c>
      <c r="H1708" s="226"/>
      <c r="K1708" s="226"/>
      <c r="P1708" s="226"/>
    </row>
    <row r="1709" spans="1:16">
      <c r="A1709" s="227"/>
      <c r="B1709" s="131" t="s">
        <v>1503</v>
      </c>
      <c r="C1709" s="227">
        <v>98601</v>
      </c>
      <c r="H1709" s="226"/>
      <c r="K1709" s="226"/>
      <c r="P1709" s="226"/>
    </row>
    <row r="1710" spans="1:16">
      <c r="A1710" s="227"/>
      <c r="B1710" s="131" t="s">
        <v>1513</v>
      </c>
      <c r="C1710" s="227">
        <v>98701</v>
      </c>
      <c r="H1710" s="226"/>
      <c r="K1710" s="226"/>
      <c r="P1710" s="226"/>
    </row>
    <row r="1711" spans="1:16">
      <c r="A1711" s="227"/>
      <c r="B1711" s="131" t="s">
        <v>2700</v>
      </c>
      <c r="C1711" s="227">
        <v>96721</v>
      </c>
      <c r="H1711" s="226"/>
      <c r="K1711" s="226"/>
      <c r="P1711" s="226"/>
    </row>
    <row r="1712" spans="1:16">
      <c r="A1712" s="227"/>
      <c r="B1712" s="131" t="s">
        <v>2701</v>
      </c>
      <c r="C1712" s="227">
        <v>95011</v>
      </c>
      <c r="H1712" s="226"/>
      <c r="K1712" s="226"/>
      <c r="P1712" s="226"/>
    </row>
    <row r="1713" spans="1:16">
      <c r="A1713" s="227"/>
      <c r="B1713" s="131" t="s">
        <v>2702</v>
      </c>
      <c r="C1713" s="227">
        <v>92451</v>
      </c>
      <c r="H1713" s="226"/>
      <c r="K1713" s="226"/>
      <c r="P1713" s="226"/>
    </row>
    <row r="1714" spans="1:16">
      <c r="A1714" s="227"/>
      <c r="B1714" s="131" t="s">
        <v>2703</v>
      </c>
      <c r="C1714" s="227">
        <v>93311</v>
      </c>
      <c r="H1714" s="226"/>
      <c r="K1714" s="226"/>
      <c r="P1714" s="226"/>
    </row>
    <row r="1715" spans="1:16">
      <c r="A1715" s="227"/>
      <c r="B1715" s="131" t="s">
        <v>1033</v>
      </c>
      <c r="C1715" s="227">
        <v>93317</v>
      </c>
      <c r="H1715" s="226"/>
      <c r="K1715" s="226"/>
      <c r="P1715" s="226"/>
    </row>
    <row r="1716" spans="1:16">
      <c r="A1716" s="227"/>
      <c r="B1716" s="131" t="s">
        <v>2704</v>
      </c>
      <c r="C1716" s="227">
        <v>90211</v>
      </c>
      <c r="H1716" s="226"/>
      <c r="K1716" s="226"/>
      <c r="P1716" s="226"/>
    </row>
    <row r="1717" spans="1:16">
      <c r="A1717" s="227"/>
      <c r="B1717" s="131" t="s">
        <v>2705</v>
      </c>
      <c r="C1717" s="227">
        <v>96302</v>
      </c>
      <c r="H1717" s="226"/>
      <c r="K1717" s="226"/>
      <c r="P1717" s="226"/>
    </row>
    <row r="1718" spans="1:16">
      <c r="A1718" s="227"/>
      <c r="B1718" s="131" t="s">
        <v>2706</v>
      </c>
      <c r="C1718" s="227">
        <v>93181</v>
      </c>
      <c r="H1718" s="226"/>
      <c r="K1718" s="226"/>
      <c r="P1718" s="226"/>
    </row>
    <row r="1719" spans="1:16">
      <c r="A1719" s="227"/>
      <c r="B1719" s="131" t="s">
        <v>2017</v>
      </c>
      <c r="C1719" s="227">
        <v>92911</v>
      </c>
      <c r="H1719" s="226"/>
      <c r="K1719" s="226"/>
      <c r="P1719" s="226"/>
    </row>
    <row r="1720" spans="1:16">
      <c r="A1720" s="227"/>
      <c r="B1720" s="131" t="s">
        <v>997</v>
      </c>
      <c r="C1720" s="227">
        <v>92914</v>
      </c>
      <c r="H1720" s="226"/>
      <c r="K1720" s="226"/>
      <c r="P1720" s="226"/>
    </row>
    <row r="1721" spans="1:16">
      <c r="A1721" s="227"/>
      <c r="B1721" s="131" t="s">
        <v>996</v>
      </c>
      <c r="C1721" s="227">
        <v>92913</v>
      </c>
      <c r="H1721" s="226"/>
      <c r="K1721" s="226"/>
      <c r="P1721" s="226"/>
    </row>
    <row r="1722" spans="1:16">
      <c r="A1722" s="227"/>
      <c r="B1722" s="131" t="s">
        <v>2707</v>
      </c>
      <c r="C1722" s="227">
        <v>93471</v>
      </c>
      <c r="H1722" s="226"/>
      <c r="K1722" s="226"/>
      <c r="P1722" s="226"/>
    </row>
    <row r="1723" spans="1:16">
      <c r="A1723" s="227"/>
      <c r="B1723" s="131" t="s">
        <v>736</v>
      </c>
      <c r="C1723" s="227">
        <v>90098</v>
      </c>
      <c r="H1723" s="226"/>
      <c r="K1723" s="226"/>
      <c r="P1723" s="226"/>
    </row>
    <row r="1724" spans="1:16">
      <c r="A1724" s="227"/>
      <c r="B1724" s="131" t="s">
        <v>2708</v>
      </c>
      <c r="C1724" s="227">
        <v>97121</v>
      </c>
      <c r="H1724" s="226"/>
      <c r="K1724" s="226"/>
      <c r="P1724" s="226"/>
    </row>
    <row r="1725" spans="1:16">
      <c r="A1725" s="227"/>
      <c r="B1725" s="131" t="s">
        <v>1516</v>
      </c>
      <c r="C1725" s="227">
        <v>98801</v>
      </c>
      <c r="H1725" s="226"/>
      <c r="K1725" s="226"/>
      <c r="P1725" s="226"/>
    </row>
    <row r="1726" spans="1:16">
      <c r="A1726" s="227"/>
      <c r="B1726" s="131" t="s">
        <v>2709</v>
      </c>
      <c r="C1726" s="227">
        <v>92521</v>
      </c>
      <c r="H1726" s="226"/>
      <c r="K1726" s="226"/>
      <c r="P1726" s="226"/>
    </row>
    <row r="1727" spans="1:16">
      <c r="A1727" s="227"/>
      <c r="B1727" s="131" t="s">
        <v>1046</v>
      </c>
      <c r="C1727" s="227">
        <v>93417</v>
      </c>
      <c r="H1727" s="226"/>
      <c r="K1727" s="226"/>
      <c r="P1727" s="226"/>
    </row>
    <row r="1728" spans="1:16">
      <c r="A1728" s="227"/>
      <c r="B1728" s="131" t="s">
        <v>1027</v>
      </c>
      <c r="C1728" s="227">
        <v>93219</v>
      </c>
      <c r="H1728" s="226"/>
      <c r="K1728" s="226"/>
      <c r="P1728" s="226"/>
    </row>
    <row r="1729" spans="1:16">
      <c r="A1729" s="227"/>
      <c r="B1729" s="131" t="s">
        <v>961</v>
      </c>
      <c r="C1729" s="227">
        <v>92513</v>
      </c>
      <c r="H1729" s="226"/>
      <c r="K1729" s="226"/>
      <c r="P1729" s="226"/>
    </row>
    <row r="1730" spans="1:16">
      <c r="A1730" s="227"/>
      <c r="B1730" s="131" t="s">
        <v>2018</v>
      </c>
      <c r="C1730" s="227">
        <v>97661</v>
      </c>
      <c r="H1730" s="226"/>
      <c r="K1730" s="226"/>
      <c r="P1730" s="226"/>
    </row>
    <row r="1731" spans="1:16">
      <c r="A1731" s="227"/>
      <c r="B1731" s="131" t="s">
        <v>2710</v>
      </c>
      <c r="C1731" s="227">
        <v>94931</v>
      </c>
      <c r="H1731" s="226"/>
      <c r="K1731" s="226"/>
      <c r="P1731" s="226"/>
    </row>
    <row r="1732" spans="1:16">
      <c r="A1732" s="227"/>
      <c r="B1732" s="256" t="s">
        <v>2711</v>
      </c>
      <c r="C1732" s="227">
        <v>94937</v>
      </c>
      <c r="H1732" s="226"/>
      <c r="K1732" s="226"/>
      <c r="P1732" s="226"/>
    </row>
    <row r="1733" spans="1:16">
      <c r="A1733" s="227"/>
      <c r="B1733" s="131" t="s">
        <v>2712</v>
      </c>
      <c r="C1733" s="227">
        <v>96221</v>
      </c>
      <c r="H1733" s="226"/>
      <c r="K1733" s="226"/>
      <c r="P1733" s="226"/>
    </row>
    <row r="1734" spans="1:16">
      <c r="A1734" s="227"/>
      <c r="B1734" s="131" t="s">
        <v>2713</v>
      </c>
      <c r="C1734" s="227">
        <v>97511</v>
      </c>
      <c r="H1734" s="226"/>
      <c r="K1734" s="226"/>
      <c r="P1734" s="226"/>
    </row>
    <row r="1735" spans="1:16">
      <c r="A1735" s="227"/>
      <c r="B1735" s="131" t="s">
        <v>1183</v>
      </c>
      <c r="C1735" s="227">
        <v>95002</v>
      </c>
      <c r="H1735" s="226"/>
      <c r="K1735" s="226"/>
      <c r="P1735" s="226"/>
    </row>
    <row r="1736" spans="1:16">
      <c r="A1736" s="227"/>
      <c r="B1736" s="131" t="s">
        <v>2714</v>
      </c>
      <c r="C1736" s="227">
        <v>98251</v>
      </c>
      <c r="H1736" s="226"/>
      <c r="K1736" s="226"/>
      <c r="P1736" s="226"/>
    </row>
    <row r="1737" spans="1:16">
      <c r="A1737" s="227"/>
      <c r="B1737" s="131" t="s">
        <v>1519</v>
      </c>
      <c r="C1737" s="227">
        <v>98901</v>
      </c>
      <c r="H1737" s="226"/>
      <c r="K1737" s="226"/>
      <c r="P1737" s="226"/>
    </row>
    <row r="1738" spans="1:16">
      <c r="A1738" s="227"/>
      <c r="B1738" s="131" t="s">
        <v>2789</v>
      </c>
      <c r="C1738" s="227">
        <v>98904</v>
      </c>
      <c r="H1738" s="226"/>
      <c r="K1738" s="226"/>
      <c r="P1738" s="226"/>
    </row>
    <row r="1739" spans="1:16">
      <c r="A1739" s="227"/>
      <c r="B1739" s="131" t="s">
        <v>1522</v>
      </c>
      <c r="C1739" s="227">
        <v>99001</v>
      </c>
      <c r="H1739" s="226"/>
      <c r="K1739" s="226"/>
      <c r="P1739" s="226"/>
    </row>
    <row r="1740" spans="1:16">
      <c r="A1740" s="227"/>
      <c r="B1740" s="131" t="s">
        <v>2752</v>
      </c>
      <c r="C1740" s="227">
        <v>99061</v>
      </c>
      <c r="H1740" s="226"/>
      <c r="K1740" s="226"/>
      <c r="P1740" s="226"/>
    </row>
    <row r="1741" spans="1:16">
      <c r="A1741" s="227"/>
      <c r="B1741" s="131" t="s">
        <v>1031</v>
      </c>
      <c r="C1741" s="227">
        <v>93309</v>
      </c>
      <c r="H1741" s="226"/>
      <c r="K1741" s="226"/>
      <c r="P1741" s="226"/>
    </row>
    <row r="1742" spans="1:16">
      <c r="A1742" s="227"/>
      <c r="B1742" s="131" t="s">
        <v>2715</v>
      </c>
      <c r="C1742" s="227">
        <v>91211</v>
      </c>
      <c r="H1742" s="226"/>
      <c r="K1742" s="226"/>
      <c r="P1742" s="226"/>
    </row>
    <row r="1743" spans="1:16">
      <c r="A1743" s="227"/>
      <c r="B1743" s="252" t="s">
        <v>1934</v>
      </c>
      <c r="C1743" s="227">
        <v>94947</v>
      </c>
      <c r="H1743" s="226"/>
      <c r="K1743" s="226"/>
      <c r="P1743" s="226"/>
    </row>
    <row r="1744" spans="1:16">
      <c r="A1744" s="227"/>
      <c r="B1744" s="131" t="s">
        <v>853</v>
      </c>
      <c r="C1744" s="227">
        <v>91213</v>
      </c>
      <c r="H1744" s="226"/>
      <c r="K1744" s="226"/>
      <c r="P1744" s="226"/>
    </row>
    <row r="1745" spans="1:16">
      <c r="A1745" s="227"/>
      <c r="B1745" s="131" t="s">
        <v>1536</v>
      </c>
      <c r="C1745" s="227">
        <v>99101</v>
      </c>
      <c r="H1745" s="226"/>
      <c r="K1745" s="226"/>
      <c r="P1745" s="226"/>
    </row>
    <row r="1746" spans="1:16">
      <c r="A1746" s="227"/>
      <c r="B1746" s="131" t="s">
        <v>2788</v>
      </c>
      <c r="C1746" s="227">
        <v>99104</v>
      </c>
      <c r="H1746" s="226"/>
      <c r="K1746" s="226"/>
      <c r="P1746" s="226"/>
    </row>
    <row r="1747" spans="1:16">
      <c r="A1747" s="227"/>
      <c r="B1747" s="131" t="s">
        <v>2716</v>
      </c>
      <c r="C1747" s="227">
        <v>92551</v>
      </c>
      <c r="H1747" s="226"/>
      <c r="K1747" s="226"/>
      <c r="P1747" s="226"/>
    </row>
    <row r="1748" spans="1:16">
      <c r="A1748" s="227"/>
      <c r="B1748" s="131" t="s">
        <v>2717</v>
      </c>
      <c r="C1748" s="227">
        <v>96321</v>
      </c>
      <c r="H1748" s="226"/>
      <c r="K1748" s="226"/>
      <c r="P1748" s="226"/>
    </row>
    <row r="1749" spans="1:16">
      <c r="A1749" s="227"/>
      <c r="B1749" s="131" t="s">
        <v>1186</v>
      </c>
      <c r="C1749" s="227">
        <v>95009</v>
      </c>
      <c r="H1749" s="226"/>
      <c r="K1749" s="226"/>
      <c r="P1749" s="226"/>
    </row>
    <row r="1750" spans="1:16">
      <c r="A1750" s="227"/>
      <c r="B1750" s="131" t="s">
        <v>2718</v>
      </c>
      <c r="C1750" s="227">
        <v>92641</v>
      </c>
      <c r="H1750" s="226"/>
      <c r="K1750" s="226"/>
      <c r="P1750" s="226"/>
    </row>
    <row r="1751" spans="1:16">
      <c r="A1751" s="227"/>
      <c r="B1751" s="131" t="s">
        <v>2719</v>
      </c>
      <c r="C1751" s="227">
        <v>90411</v>
      </c>
      <c r="H1751" s="226"/>
      <c r="K1751" s="226"/>
      <c r="P1751" s="226"/>
    </row>
    <row r="1752" spans="1:16">
      <c r="A1752" s="227"/>
      <c r="B1752" s="131" t="s">
        <v>758</v>
      </c>
      <c r="C1752" s="227">
        <v>90417</v>
      </c>
      <c r="H1752" s="226"/>
      <c r="K1752" s="226"/>
      <c r="P1752" s="226"/>
    </row>
    <row r="1753" spans="1:16">
      <c r="A1753" s="227"/>
      <c r="B1753" s="131" t="s">
        <v>757</v>
      </c>
      <c r="C1753" s="227">
        <v>90413</v>
      </c>
      <c r="H1753" s="226"/>
      <c r="K1753" s="226"/>
      <c r="P1753" s="226"/>
    </row>
    <row r="1754" spans="1:16">
      <c r="A1754" s="227"/>
      <c r="B1754" s="131" t="s">
        <v>2720</v>
      </c>
      <c r="C1754" s="227">
        <v>98321</v>
      </c>
      <c r="H1754" s="226"/>
      <c r="K1754" s="226"/>
      <c r="P1754" s="226"/>
    </row>
    <row r="1755" spans="1:16">
      <c r="A1755" s="227"/>
      <c r="B1755" s="131" t="s">
        <v>1541</v>
      </c>
      <c r="C1755" s="51">
        <v>99201</v>
      </c>
      <c r="H1755" s="226"/>
      <c r="K1755" s="226"/>
      <c r="P1755" s="226"/>
    </row>
    <row r="1756" spans="1:16">
      <c r="A1756" s="227"/>
      <c r="B1756" s="131" t="s">
        <v>1544</v>
      </c>
      <c r="C1756" s="227">
        <v>99204</v>
      </c>
      <c r="H1756" s="226"/>
      <c r="K1756" s="226"/>
      <c r="P1756" s="226"/>
    </row>
    <row r="1757" spans="1:16">
      <c r="A1757" s="227"/>
      <c r="B1757" s="131" t="s">
        <v>1546</v>
      </c>
      <c r="C1757" s="227">
        <v>99207</v>
      </c>
      <c r="H1757" s="226"/>
      <c r="K1757" s="226"/>
      <c r="P1757" s="226"/>
    </row>
    <row r="1758" spans="1:16">
      <c r="A1758" s="227"/>
      <c r="B1758" s="131" t="s">
        <v>2721</v>
      </c>
      <c r="C1758" s="227">
        <v>99281</v>
      </c>
      <c r="H1758" s="226"/>
      <c r="K1758" s="226"/>
      <c r="P1758" s="226"/>
    </row>
    <row r="1759" spans="1:16">
      <c r="A1759" s="227"/>
      <c r="B1759" s="131" t="s">
        <v>2722</v>
      </c>
      <c r="C1759" s="227">
        <v>93461</v>
      </c>
      <c r="H1759" s="226"/>
      <c r="K1759" s="226"/>
      <c r="P1759" s="226"/>
    </row>
    <row r="1760" spans="1:16">
      <c r="A1760" s="227"/>
      <c r="B1760" s="131" t="s">
        <v>2723</v>
      </c>
      <c r="C1760" s="227">
        <v>93151</v>
      </c>
      <c r="H1760" s="226"/>
      <c r="K1760" s="226"/>
      <c r="P1760" s="226"/>
    </row>
    <row r="1761" spans="1:16">
      <c r="A1761" s="227"/>
      <c r="B1761" s="131" t="s">
        <v>1016</v>
      </c>
      <c r="C1761" s="227">
        <v>93157</v>
      </c>
      <c r="H1761" s="226"/>
      <c r="K1761" s="226"/>
      <c r="P1761" s="226"/>
    </row>
    <row r="1762" spans="1:16">
      <c r="A1762" s="227"/>
      <c r="B1762" s="131" t="s">
        <v>2724</v>
      </c>
      <c r="C1762" s="227">
        <v>98511</v>
      </c>
      <c r="H1762" s="226"/>
      <c r="K1762" s="226"/>
      <c r="P1762" s="226"/>
    </row>
    <row r="1763" spans="1:16">
      <c r="A1763" s="227"/>
      <c r="B1763" s="131" t="s">
        <v>1501</v>
      </c>
      <c r="C1763" s="227">
        <v>98517</v>
      </c>
      <c r="H1763" s="226"/>
      <c r="K1763" s="226"/>
      <c r="P1763" s="226"/>
    </row>
    <row r="1764" spans="1:16">
      <c r="A1764" s="227"/>
      <c r="B1764" s="131" t="s">
        <v>2725</v>
      </c>
      <c r="C1764" s="227">
        <v>99661</v>
      </c>
      <c r="H1764" s="226"/>
      <c r="K1764" s="226"/>
      <c r="P1764" s="226"/>
    </row>
    <row r="1765" spans="1:16">
      <c r="A1765" s="227"/>
      <c r="B1765" s="131" t="s">
        <v>2726</v>
      </c>
      <c r="C1765" s="227">
        <v>94031</v>
      </c>
      <c r="H1765" s="226"/>
      <c r="K1765" s="226"/>
      <c r="P1765" s="226"/>
    </row>
    <row r="1766" spans="1:16">
      <c r="A1766" s="227"/>
      <c r="B1766" s="131" t="s">
        <v>1563</v>
      </c>
      <c r="C1766" s="227">
        <v>99301</v>
      </c>
      <c r="H1766" s="226"/>
      <c r="K1766" s="226"/>
      <c r="P1766" s="226"/>
    </row>
    <row r="1767" spans="1:16">
      <c r="A1767" s="227"/>
      <c r="B1767" s="131" t="s">
        <v>1564</v>
      </c>
      <c r="C1767" s="227">
        <v>99304</v>
      </c>
      <c r="H1767" s="226"/>
      <c r="K1767" s="226"/>
      <c r="P1767" s="226"/>
    </row>
    <row r="1768" spans="1:16">
      <c r="A1768" s="227"/>
      <c r="B1768" s="131" t="s">
        <v>2727</v>
      </c>
      <c r="C1768" s="227">
        <v>99321</v>
      </c>
      <c r="H1768" s="226"/>
      <c r="K1768" s="226"/>
      <c r="P1768" s="226"/>
    </row>
    <row r="1769" spans="1:16">
      <c r="A1769" s="227"/>
      <c r="B1769" s="131" t="s">
        <v>2728</v>
      </c>
      <c r="C1769" s="227">
        <v>93131</v>
      </c>
      <c r="H1769" s="226"/>
      <c r="K1769" s="226"/>
      <c r="P1769" s="226"/>
    </row>
    <row r="1770" spans="1:16">
      <c r="A1770" s="227"/>
      <c r="B1770" s="131" t="s">
        <v>1013</v>
      </c>
      <c r="C1770" s="227">
        <v>93137</v>
      </c>
      <c r="H1770" s="226"/>
      <c r="K1770" s="226"/>
      <c r="P1770" s="226"/>
    </row>
    <row r="1771" spans="1:16">
      <c r="A1771" s="227"/>
      <c r="B1771" s="131" t="s">
        <v>2019</v>
      </c>
      <c r="C1771" s="227">
        <v>90711</v>
      </c>
      <c r="H1771" s="226"/>
      <c r="K1771" s="226"/>
      <c r="P1771" s="226"/>
    </row>
    <row r="1772" spans="1:16">
      <c r="A1772" s="227"/>
      <c r="B1772" s="131" t="s">
        <v>1567</v>
      </c>
      <c r="C1772" s="227">
        <v>99401</v>
      </c>
      <c r="H1772" s="226"/>
      <c r="K1772" s="226"/>
      <c r="P1772" s="226"/>
    </row>
    <row r="1773" spans="1:16">
      <c r="A1773" s="227"/>
      <c r="B1773" s="131" t="s">
        <v>1568</v>
      </c>
      <c r="C1773" s="227">
        <v>99404</v>
      </c>
      <c r="H1773" s="226"/>
      <c r="K1773" s="226"/>
      <c r="P1773" s="226"/>
    </row>
    <row r="1774" spans="1:16">
      <c r="A1774" s="227"/>
      <c r="B1774" s="131" t="s">
        <v>2729</v>
      </c>
      <c r="C1774" s="227">
        <v>90741</v>
      </c>
      <c r="H1774" s="226"/>
      <c r="K1774" s="226"/>
      <c r="P1774" s="226"/>
    </row>
    <row r="1775" spans="1:16">
      <c r="A1775" s="227"/>
      <c r="B1775" s="131" t="s">
        <v>1574</v>
      </c>
      <c r="C1775" s="227">
        <v>99501</v>
      </c>
      <c r="H1775" s="226"/>
      <c r="K1775" s="226"/>
      <c r="P1775" s="226"/>
    </row>
    <row r="1776" spans="1:16">
      <c r="A1776" s="227"/>
      <c r="B1776" s="131" t="s">
        <v>1577</v>
      </c>
      <c r="C1776" s="227">
        <v>99509</v>
      </c>
      <c r="H1776" s="226"/>
      <c r="K1776" s="226"/>
      <c r="P1776" s="226"/>
    </row>
    <row r="1777" spans="1:16">
      <c r="A1777" s="227"/>
      <c r="B1777" s="131" t="s">
        <v>2787</v>
      </c>
      <c r="C1777" s="227">
        <v>91302</v>
      </c>
      <c r="H1777" s="226"/>
      <c r="K1777" s="226"/>
      <c r="P1777" s="226"/>
    </row>
    <row r="1778" spans="1:16">
      <c r="A1778" s="227"/>
      <c r="B1778" s="131" t="s">
        <v>2730</v>
      </c>
      <c r="C1778" s="227">
        <v>99041</v>
      </c>
      <c r="H1778" s="226"/>
      <c r="K1778" s="226"/>
      <c r="P1778" s="226"/>
    </row>
    <row r="1779" spans="1:16">
      <c r="A1779" s="227"/>
      <c r="B1779" s="131" t="s">
        <v>1530</v>
      </c>
      <c r="C1779" s="227">
        <v>99047</v>
      </c>
      <c r="H1779" s="226"/>
      <c r="K1779" s="226"/>
      <c r="P1779" s="226"/>
    </row>
    <row r="1780" spans="1:16">
      <c r="A1780" s="227"/>
      <c r="B1780" s="131" t="s">
        <v>1582</v>
      </c>
      <c r="C1780" s="227">
        <v>99601</v>
      </c>
      <c r="H1780" s="226"/>
      <c r="K1780" s="226"/>
      <c r="P1780" s="226"/>
    </row>
    <row r="1781" spans="1:16">
      <c r="A1781" s="227"/>
      <c r="B1781" s="131" t="s">
        <v>1585</v>
      </c>
      <c r="C1781" s="227">
        <v>99604</v>
      </c>
      <c r="H1781" s="226"/>
      <c r="K1781" s="226"/>
      <c r="P1781" s="226"/>
    </row>
    <row r="1782" spans="1:16">
      <c r="A1782" s="227"/>
      <c r="B1782" s="131" t="s">
        <v>2731</v>
      </c>
      <c r="C1782" s="227">
        <v>94411</v>
      </c>
      <c r="H1782" s="226"/>
      <c r="K1782" s="226"/>
      <c r="P1782" s="226"/>
    </row>
    <row r="1783" spans="1:16">
      <c r="A1783" s="227"/>
      <c r="B1783" s="131" t="s">
        <v>1143</v>
      </c>
      <c r="C1783" s="227">
        <v>94412</v>
      </c>
      <c r="H1783" s="226"/>
      <c r="K1783" s="226"/>
      <c r="P1783" s="226"/>
    </row>
    <row r="1784" spans="1:16">
      <c r="A1784" s="227"/>
      <c r="B1784" s="131" t="s">
        <v>2732</v>
      </c>
      <c r="C1784" s="227">
        <v>91141</v>
      </c>
      <c r="H1784" s="226"/>
      <c r="K1784" s="226"/>
      <c r="P1784" s="226"/>
    </row>
    <row r="1785" spans="1:16">
      <c r="A1785" s="227"/>
      <c r="B1785" s="131" t="s">
        <v>842</v>
      </c>
      <c r="C1785" s="227">
        <v>91147</v>
      </c>
      <c r="H1785" s="226"/>
      <c r="K1785" s="226"/>
      <c r="P1785" s="226"/>
    </row>
    <row r="1786" spans="1:16">
      <c r="A1786" s="227"/>
      <c r="B1786" s="131" t="s">
        <v>2733</v>
      </c>
      <c r="C1786" s="227">
        <v>99071</v>
      </c>
      <c r="H1786" s="226"/>
      <c r="K1786" s="226"/>
      <c r="P1786" s="226"/>
    </row>
    <row r="1787" spans="1:16">
      <c r="A1787" s="227"/>
      <c r="B1787" s="131" t="s">
        <v>2734</v>
      </c>
      <c r="C1787" s="227">
        <v>94231</v>
      </c>
      <c r="H1787" s="226"/>
      <c r="K1787" s="226"/>
      <c r="P1787" s="226"/>
    </row>
    <row r="1788" spans="1:16">
      <c r="A1788" s="227"/>
      <c r="B1788" s="131" t="s">
        <v>2735</v>
      </c>
      <c r="C1788" s="227">
        <v>99231</v>
      </c>
      <c r="H1788" s="226"/>
      <c r="K1788" s="226"/>
      <c r="P1788" s="226"/>
    </row>
    <row r="1789" spans="1:16">
      <c r="A1789" s="227"/>
      <c r="B1789" s="131" t="s">
        <v>2736</v>
      </c>
      <c r="C1789" s="227">
        <v>99091</v>
      </c>
      <c r="H1789" s="226"/>
      <c r="K1789" s="226"/>
      <c r="P1789" s="226"/>
    </row>
    <row r="1790" spans="1:16">
      <c r="A1790" s="227"/>
      <c r="B1790" s="131" t="s">
        <v>836</v>
      </c>
      <c r="C1790" s="227">
        <v>91120</v>
      </c>
      <c r="H1790" s="226"/>
      <c r="K1790" s="226"/>
      <c r="P1790" s="226"/>
    </row>
    <row r="1791" spans="1:16">
      <c r="A1791" s="227"/>
      <c r="B1791" s="131" t="s">
        <v>950</v>
      </c>
      <c r="C1791" s="227">
        <v>92444</v>
      </c>
      <c r="H1791" s="226"/>
      <c r="K1791" s="226"/>
      <c r="P1791" s="226"/>
    </row>
    <row r="1792" spans="1:16">
      <c r="A1792" s="227"/>
      <c r="B1792" s="131" t="s">
        <v>2737</v>
      </c>
      <c r="C1792" s="227">
        <v>90521</v>
      </c>
      <c r="H1792" s="226"/>
      <c r="K1792" s="226"/>
      <c r="P1792" s="226"/>
    </row>
    <row r="1793" spans="1:16">
      <c r="A1793" s="227"/>
      <c r="B1793" s="131" t="s">
        <v>34</v>
      </c>
      <c r="C1793" s="227">
        <v>90507</v>
      </c>
      <c r="H1793" s="226"/>
      <c r="K1793" s="226"/>
      <c r="P1793" s="226"/>
    </row>
    <row r="1794" spans="1:16">
      <c r="A1794" s="227"/>
      <c r="B1794" s="131" t="s">
        <v>969</v>
      </c>
      <c r="C1794" s="227">
        <v>92602</v>
      </c>
      <c r="H1794" s="226"/>
      <c r="K1794" s="226"/>
      <c r="P1794" s="226"/>
    </row>
    <row r="1795" spans="1:16">
      <c r="A1795" s="227"/>
      <c r="B1795" s="131" t="s">
        <v>886</v>
      </c>
      <c r="C1795" s="227">
        <v>91608</v>
      </c>
      <c r="H1795" s="226"/>
      <c r="K1795" s="226"/>
      <c r="P1795" s="226"/>
    </row>
    <row r="1796" spans="1:16">
      <c r="A1796" s="227"/>
      <c r="B1796" s="131" t="s">
        <v>48</v>
      </c>
      <c r="C1796" s="227">
        <v>91119</v>
      </c>
      <c r="H1796" s="226"/>
      <c r="K1796" s="226"/>
      <c r="P1796" s="226"/>
    </row>
    <row r="1797" spans="1:16">
      <c r="A1797" s="227"/>
      <c r="B1797" s="131" t="s">
        <v>832</v>
      </c>
      <c r="C1797" s="227">
        <v>91107</v>
      </c>
      <c r="H1797" s="226"/>
      <c r="K1797" s="226"/>
      <c r="P1797" s="226"/>
    </row>
    <row r="1798" spans="1:16">
      <c r="A1798" s="227"/>
      <c r="B1798" s="131" t="s">
        <v>2786</v>
      </c>
      <c r="C1798" s="227">
        <v>91818</v>
      </c>
      <c r="H1798" s="226"/>
      <c r="K1798" s="226"/>
      <c r="P1798" s="226"/>
    </row>
    <row r="1799" spans="1:16">
      <c r="A1799" s="227"/>
      <c r="B1799" s="131" t="s">
        <v>907</v>
      </c>
      <c r="C1799" s="227">
        <v>91819</v>
      </c>
      <c r="H1799" s="226"/>
      <c r="K1799" s="226"/>
      <c r="P1799" s="226"/>
    </row>
    <row r="1800" spans="1:16">
      <c r="A1800" s="227"/>
      <c r="B1800" s="131" t="s">
        <v>2738</v>
      </c>
      <c r="C1800" s="227">
        <v>96371</v>
      </c>
      <c r="H1800" s="226"/>
      <c r="K1800" s="226"/>
      <c r="P1800" s="226"/>
    </row>
    <row r="1801" spans="1:16">
      <c r="A1801" s="227"/>
      <c r="B1801" s="131" t="s">
        <v>2739</v>
      </c>
      <c r="C1801" s="227">
        <v>96441</v>
      </c>
      <c r="H1801" s="226"/>
      <c r="K1801" s="226"/>
      <c r="P1801" s="226"/>
    </row>
    <row r="1802" spans="1:16">
      <c r="A1802" s="227"/>
      <c r="B1802" s="131" t="s">
        <v>2740</v>
      </c>
      <c r="C1802" s="227">
        <v>90921</v>
      </c>
      <c r="H1802" s="226"/>
      <c r="K1802" s="226"/>
      <c r="P1802" s="226"/>
    </row>
    <row r="1803" spans="1:16">
      <c r="A1803" s="227"/>
      <c r="B1803" s="131" t="s">
        <v>2020</v>
      </c>
      <c r="C1803" s="227">
        <v>92411</v>
      </c>
      <c r="H1803" s="226"/>
      <c r="K1803" s="226"/>
      <c r="P1803" s="226"/>
    </row>
    <row r="1804" spans="1:16">
      <c r="A1804" s="227"/>
      <c r="B1804" s="131" t="s">
        <v>945</v>
      </c>
      <c r="C1804" s="227">
        <v>92417</v>
      </c>
      <c r="H1804" s="226"/>
      <c r="K1804" s="226"/>
      <c r="P1804" s="226"/>
    </row>
    <row r="1805" spans="1:16">
      <c r="A1805" s="227"/>
      <c r="B1805" s="131" t="s">
        <v>943</v>
      </c>
      <c r="C1805" s="227">
        <v>92403</v>
      </c>
      <c r="H1805" s="226"/>
      <c r="K1805" s="226"/>
      <c r="P1805" s="226"/>
    </row>
    <row r="1806" spans="1:16">
      <c r="A1806" s="227"/>
      <c r="B1806" s="131" t="s">
        <v>1595</v>
      </c>
      <c r="C1806" s="227">
        <v>99701</v>
      </c>
      <c r="H1806" s="226"/>
      <c r="K1806" s="226"/>
      <c r="P1806" s="226"/>
    </row>
    <row r="1807" spans="1:16">
      <c r="A1807" s="227"/>
      <c r="B1807" s="131" t="s">
        <v>2741</v>
      </c>
      <c r="C1807" s="227">
        <v>99721</v>
      </c>
      <c r="H1807" s="226"/>
      <c r="K1807" s="226"/>
      <c r="P1807" s="226"/>
    </row>
    <row r="1808" spans="1:16">
      <c r="A1808" s="227"/>
      <c r="B1808" s="131" t="s">
        <v>1600</v>
      </c>
      <c r="C1808" s="227">
        <v>99727</v>
      </c>
      <c r="H1808" s="226"/>
      <c r="K1808" s="226"/>
      <c r="P1808" s="226"/>
    </row>
    <row r="1809" spans="1:16">
      <c r="A1809" s="227"/>
      <c r="B1809" s="131" t="s">
        <v>2742</v>
      </c>
      <c r="C1809" s="227">
        <v>95811</v>
      </c>
      <c r="H1809" s="226"/>
      <c r="K1809" s="226"/>
      <c r="P1809" s="226"/>
    </row>
    <row r="1810" spans="1:16">
      <c r="A1810" s="227"/>
      <c r="B1810" s="131" t="s">
        <v>1242</v>
      </c>
      <c r="C1810" s="227">
        <v>95813</v>
      </c>
      <c r="H1810" s="226"/>
      <c r="K1810" s="226"/>
      <c r="P1810" s="226"/>
    </row>
    <row r="1811" spans="1:16">
      <c r="A1811" s="227"/>
      <c r="B1811" s="131" t="s">
        <v>2021</v>
      </c>
      <c r="C1811" s="227">
        <v>96531</v>
      </c>
      <c r="H1811" s="226"/>
      <c r="K1811" s="226"/>
      <c r="P1811" s="226"/>
    </row>
    <row r="1812" spans="1:16">
      <c r="A1812" s="227"/>
      <c r="B1812" s="131" t="s">
        <v>1307</v>
      </c>
      <c r="C1812" s="227">
        <v>96503</v>
      </c>
      <c r="H1812" s="226"/>
      <c r="K1812" s="226"/>
      <c r="P1812" s="226"/>
    </row>
    <row r="1813" spans="1:16">
      <c r="A1813" s="227"/>
      <c r="B1813" s="131" t="s">
        <v>2022</v>
      </c>
      <c r="C1813" s="227">
        <v>99811</v>
      </c>
      <c r="H1813" s="226"/>
      <c r="K1813" s="226"/>
      <c r="P1813" s="226"/>
    </row>
    <row r="1814" spans="1:16">
      <c r="A1814" s="227"/>
      <c r="B1814" s="131" t="s">
        <v>2023</v>
      </c>
      <c r="C1814" s="51">
        <v>99818</v>
      </c>
      <c r="H1814" s="226"/>
      <c r="K1814" s="226"/>
      <c r="P1814" s="226"/>
    </row>
    <row r="1815" spans="1:16">
      <c r="A1815" s="227"/>
      <c r="B1815" s="131" t="s">
        <v>1601</v>
      </c>
      <c r="C1815" s="227">
        <v>99801</v>
      </c>
      <c r="H1815" s="226"/>
      <c r="K1815" s="226"/>
      <c r="P1815" s="226"/>
    </row>
    <row r="1816" spans="1:16">
      <c r="A1816" s="227"/>
      <c r="B1816" s="131" t="s">
        <v>1603</v>
      </c>
      <c r="C1816" s="227">
        <v>99804</v>
      </c>
      <c r="H1816" s="226"/>
      <c r="K1816" s="226"/>
      <c r="P1816" s="226"/>
    </row>
    <row r="1817" spans="1:16">
      <c r="A1817" s="227"/>
      <c r="B1817" s="131" t="s">
        <v>2773</v>
      </c>
      <c r="C1817" s="227">
        <v>99802</v>
      </c>
      <c r="H1817" s="226"/>
      <c r="K1817" s="226"/>
      <c r="P1817" s="226"/>
    </row>
    <row r="1818" spans="1:16">
      <c r="A1818" s="227"/>
      <c r="B1818" s="131" t="s">
        <v>1605</v>
      </c>
      <c r="C1818" s="51">
        <v>99812</v>
      </c>
      <c r="H1818" s="226"/>
      <c r="K1818" s="226"/>
      <c r="P1818" s="226"/>
    </row>
    <row r="1819" spans="1:16">
      <c r="A1819" s="227"/>
      <c r="B1819" s="131" t="s">
        <v>2743</v>
      </c>
      <c r="C1819" s="227">
        <v>95191</v>
      </c>
      <c r="H1819" s="226"/>
      <c r="K1819" s="226"/>
      <c r="P1819" s="226"/>
    </row>
    <row r="1820" spans="1:16">
      <c r="A1820" s="227"/>
      <c r="B1820" s="131" t="s">
        <v>2744</v>
      </c>
      <c r="C1820" s="227">
        <v>90812</v>
      </c>
      <c r="H1820" s="226"/>
      <c r="K1820" s="226"/>
      <c r="P1820" s="226"/>
    </row>
    <row r="1821" spans="1:16">
      <c r="A1821" s="227"/>
      <c r="B1821" s="131" t="s">
        <v>2745</v>
      </c>
      <c r="C1821" s="227">
        <v>97221</v>
      </c>
      <c r="H1821" s="226"/>
      <c r="K1821" s="226"/>
      <c r="P1821" s="226"/>
    </row>
    <row r="1822" spans="1:16">
      <c r="A1822" s="227"/>
      <c r="B1822" s="131" t="s">
        <v>2746</v>
      </c>
      <c r="C1822" s="227">
        <v>99031</v>
      </c>
      <c r="H1822" s="226"/>
      <c r="K1822" s="226"/>
      <c r="P1822" s="226"/>
    </row>
    <row r="1823" spans="1:16">
      <c r="A1823" s="227"/>
      <c r="B1823" s="131" t="s">
        <v>2024</v>
      </c>
      <c r="C1823" s="227">
        <v>93411</v>
      </c>
      <c r="H1823" s="226"/>
      <c r="K1823" s="226"/>
      <c r="P1823" s="226"/>
    </row>
    <row r="1824" spans="1:16">
      <c r="A1824" s="227"/>
      <c r="B1824" s="131" t="s">
        <v>1045</v>
      </c>
      <c r="C1824" s="227">
        <v>93413</v>
      </c>
      <c r="H1824" s="226"/>
      <c r="K1824" s="226"/>
      <c r="P1824" s="226"/>
    </row>
    <row r="1825" spans="1:16">
      <c r="A1825" s="227"/>
      <c r="B1825" s="131" t="s">
        <v>2747</v>
      </c>
      <c r="C1825" s="227">
        <v>97451</v>
      </c>
      <c r="H1825" s="226"/>
      <c r="K1825" s="226"/>
      <c r="P1825" s="226"/>
    </row>
    <row r="1826" spans="1:16">
      <c r="A1826" s="227"/>
      <c r="B1826" s="131" t="s">
        <v>2748</v>
      </c>
      <c r="C1826" s="227">
        <v>94631</v>
      </c>
      <c r="H1826" s="226"/>
      <c r="K1826" s="226"/>
      <c r="P1826" s="226"/>
    </row>
    <row r="1827" spans="1:16">
      <c r="A1827" s="227"/>
      <c r="B1827" s="131" t="s">
        <v>2749</v>
      </c>
      <c r="C1827" s="227">
        <v>91171</v>
      </c>
      <c r="H1827" s="226"/>
      <c r="K1827" s="226"/>
      <c r="P1827" s="226"/>
    </row>
    <row r="1828" spans="1:16">
      <c r="A1828" s="227"/>
      <c r="B1828" s="131" t="s">
        <v>831</v>
      </c>
      <c r="C1828" s="227">
        <v>91104</v>
      </c>
      <c r="H1828" s="226"/>
      <c r="K1828" s="226"/>
      <c r="P1828" s="226"/>
    </row>
    <row r="1829" spans="1:16">
      <c r="A1829" s="227"/>
      <c r="B1829" s="131" t="s">
        <v>2785</v>
      </c>
      <c r="C1829" s="227">
        <v>91109</v>
      </c>
      <c r="H1829" s="226"/>
      <c r="K1829" s="226"/>
      <c r="P1829" s="226"/>
    </row>
    <row r="1830" spans="1:16">
      <c r="A1830" s="227"/>
      <c r="B1830" s="131" t="s">
        <v>2750</v>
      </c>
      <c r="C1830" s="227">
        <v>96621</v>
      </c>
      <c r="H1830" s="226"/>
      <c r="K1830" s="226"/>
      <c r="P1830" s="226"/>
    </row>
    <row r="1831" spans="1:16">
      <c r="A1831" s="227"/>
      <c r="B1831" s="131" t="s">
        <v>2498</v>
      </c>
      <c r="C1831" s="227">
        <v>96511</v>
      </c>
      <c r="H1831" s="226"/>
      <c r="K1831" s="226"/>
      <c r="P1831" s="226"/>
    </row>
    <row r="1832" spans="1:16">
      <c r="A1832" s="227"/>
      <c r="B1832" s="131" t="s">
        <v>1611</v>
      </c>
      <c r="C1832" s="51">
        <v>99901</v>
      </c>
      <c r="H1832" s="226"/>
      <c r="K1832" s="226"/>
      <c r="P1832" s="226"/>
    </row>
    <row r="1833" spans="1:16">
      <c r="A1833" s="227"/>
      <c r="B1833" s="131" t="s">
        <v>3521</v>
      </c>
      <c r="C1833" s="227">
        <v>98604</v>
      </c>
      <c r="H1833" s="226"/>
      <c r="K1833" s="226"/>
      <c r="P1833" s="226"/>
    </row>
    <row r="1834" spans="1:16">
      <c r="A1834" s="227"/>
      <c r="B1834" s="131" t="s">
        <v>1506</v>
      </c>
      <c r="C1834" s="227">
        <v>98608</v>
      </c>
      <c r="H1834" s="226"/>
      <c r="K1834" s="226"/>
      <c r="P1834" s="226"/>
    </row>
    <row r="1835" spans="1:16">
      <c r="A1835" s="227"/>
      <c r="B1835" s="131" t="s">
        <v>2497</v>
      </c>
      <c r="C1835" s="51">
        <v>99911</v>
      </c>
      <c r="H1835" s="226"/>
      <c r="K1835" s="226"/>
      <c r="P1835" s="226"/>
    </row>
    <row r="1836" spans="1:16">
      <c r="A1836" s="227"/>
      <c r="B1836" s="131" t="s">
        <v>731</v>
      </c>
      <c r="C1836" s="227">
        <v>90001</v>
      </c>
      <c r="H1836" s="226"/>
      <c r="K1836" s="226"/>
      <c r="P1836" s="226"/>
    </row>
    <row r="1837" spans="1:16">
      <c r="A1837" s="227"/>
      <c r="B1837" s="131" t="s">
        <v>2784</v>
      </c>
      <c r="C1837" s="227">
        <v>90002</v>
      </c>
      <c r="H1837" s="226"/>
      <c r="K1837" s="226"/>
      <c r="P1837" s="226"/>
    </row>
    <row r="1838" spans="1:16">
      <c r="A1838" s="227"/>
      <c r="B1838" s="131" t="s">
        <v>2496</v>
      </c>
      <c r="C1838" s="227">
        <v>91719</v>
      </c>
      <c r="H1838" s="226"/>
      <c r="K1838" s="226"/>
      <c r="P1838" s="226"/>
    </row>
    <row r="1839" spans="1:16">
      <c r="A1839" s="227"/>
      <c r="B1839" s="131" t="s">
        <v>2494</v>
      </c>
      <c r="C1839" s="227">
        <v>93541</v>
      </c>
      <c r="H1839" s="226"/>
      <c r="K1839" s="226"/>
      <c r="P1839" s="226"/>
    </row>
    <row r="1840" spans="1:16">
      <c r="A1840" s="227"/>
      <c r="B1840" s="131" t="s">
        <v>2495</v>
      </c>
      <c r="C1840" s="227">
        <v>99241</v>
      </c>
      <c r="H1840" s="226"/>
      <c r="K1840" s="226"/>
      <c r="P1840" s="226"/>
    </row>
    <row r="1841" spans="1:16">
      <c r="A1841" s="227"/>
      <c r="B1841" s="253"/>
      <c r="H1841" s="226"/>
      <c r="K1841" s="226"/>
      <c r="P1841" s="226"/>
    </row>
    <row r="1842" spans="1:16">
      <c r="B1842" s="253"/>
      <c r="H1842" s="226"/>
      <c r="K1842" s="226"/>
      <c r="P1842" s="226"/>
    </row>
    <row r="1843" spans="1:16">
      <c r="B1843" s="253"/>
      <c r="H1843" s="226"/>
      <c r="K1843" s="226"/>
      <c r="P1843" s="226"/>
    </row>
    <row r="1844" spans="1:16">
      <c r="B1844" s="253"/>
      <c r="H1844" s="226"/>
      <c r="K1844" s="226"/>
      <c r="P1844" s="226"/>
    </row>
    <row r="1845" spans="1:16">
      <c r="B1845" s="253"/>
      <c r="H1845" s="226"/>
      <c r="K1845" s="226"/>
      <c r="P1845" s="226"/>
    </row>
    <row r="1846" spans="1:16">
      <c r="B1846" s="253"/>
      <c r="H1846" s="226"/>
      <c r="K1846" s="226"/>
      <c r="P1846" s="226"/>
    </row>
    <row r="1847" spans="1:16">
      <c r="B1847" s="253"/>
      <c r="H1847" s="226"/>
      <c r="K1847" s="226"/>
      <c r="P1847" s="226"/>
    </row>
    <row r="1848" spans="1:16">
      <c r="B1848" s="253"/>
      <c r="H1848" s="226"/>
      <c r="K1848" s="226"/>
      <c r="P1848" s="226"/>
    </row>
    <row r="1849" spans="1:16">
      <c r="B1849" s="253"/>
      <c r="H1849" s="226"/>
      <c r="K1849" s="226"/>
      <c r="P1849" s="226"/>
    </row>
    <row r="1850" spans="1:16">
      <c r="B1850" s="253"/>
      <c r="H1850" s="226"/>
      <c r="K1850" s="226"/>
      <c r="P1850" s="226"/>
    </row>
    <row r="1851" spans="1:16">
      <c r="B1851" s="253"/>
      <c r="H1851" s="226"/>
      <c r="K1851" s="226"/>
      <c r="P1851" s="226"/>
    </row>
    <row r="1852" spans="1:16">
      <c r="B1852" s="253"/>
      <c r="H1852" s="226"/>
      <c r="K1852" s="226"/>
      <c r="P1852" s="226"/>
    </row>
    <row r="1853" spans="1:16">
      <c r="B1853" s="253"/>
      <c r="H1853" s="226"/>
      <c r="K1853" s="226"/>
      <c r="P1853" s="226"/>
    </row>
    <row r="1854" spans="1:16">
      <c r="B1854" s="253"/>
      <c r="H1854" s="226"/>
      <c r="K1854" s="226"/>
      <c r="P1854" s="226"/>
    </row>
    <row r="1855" spans="1:16">
      <c r="B1855" s="253"/>
      <c r="H1855" s="226"/>
      <c r="K1855" s="226"/>
      <c r="P1855" s="226"/>
    </row>
    <row r="1856" spans="1:16">
      <c r="B1856" s="253"/>
      <c r="H1856" s="226"/>
      <c r="K1856" s="226"/>
      <c r="P1856" s="226"/>
    </row>
    <row r="1857" spans="2:16">
      <c r="B1857" s="253"/>
      <c r="H1857" s="226"/>
      <c r="K1857" s="226"/>
      <c r="P1857" s="226"/>
    </row>
    <row r="1858" spans="2:16">
      <c r="B1858" s="253"/>
      <c r="H1858" s="226"/>
      <c r="K1858" s="226"/>
      <c r="P1858" s="226"/>
    </row>
    <row r="1859" spans="2:16">
      <c r="B1859" s="253"/>
      <c r="H1859" s="226"/>
      <c r="K1859" s="226"/>
      <c r="P1859" s="226"/>
    </row>
    <row r="1860" spans="2:16">
      <c r="B1860" s="253"/>
      <c r="H1860" s="226"/>
      <c r="K1860" s="226"/>
      <c r="P1860" s="226"/>
    </row>
    <row r="1861" spans="2:16">
      <c r="B1861" s="253"/>
      <c r="H1861" s="226"/>
      <c r="K1861" s="226"/>
      <c r="P1861" s="226"/>
    </row>
    <row r="1862" spans="2:16">
      <c r="B1862" s="253"/>
      <c r="H1862" s="226"/>
      <c r="K1862" s="226"/>
      <c r="P1862" s="226"/>
    </row>
    <row r="1863" spans="2:16">
      <c r="B1863" s="253"/>
      <c r="H1863" s="226"/>
      <c r="K1863" s="226"/>
      <c r="P1863" s="226"/>
    </row>
    <row r="1864" spans="2:16">
      <c r="B1864" s="253"/>
      <c r="H1864" s="226"/>
      <c r="K1864" s="226"/>
      <c r="P1864" s="226"/>
    </row>
    <row r="1865" spans="2:16">
      <c r="B1865" s="253"/>
      <c r="H1865" s="226"/>
      <c r="K1865" s="226"/>
      <c r="P1865" s="226"/>
    </row>
    <row r="1866" spans="2:16">
      <c r="B1866" s="253"/>
      <c r="H1866" s="226"/>
      <c r="K1866" s="226"/>
      <c r="P1866" s="226"/>
    </row>
    <row r="1867" spans="2:16">
      <c r="B1867" s="253"/>
      <c r="H1867" s="226"/>
      <c r="K1867" s="226"/>
      <c r="P1867" s="226"/>
    </row>
    <row r="1868" spans="2:16">
      <c r="B1868" s="253"/>
      <c r="H1868" s="226"/>
      <c r="K1868" s="226"/>
      <c r="P1868" s="226"/>
    </row>
    <row r="1869" spans="2:16">
      <c r="B1869" s="253"/>
      <c r="H1869" s="226"/>
      <c r="K1869" s="226"/>
      <c r="P1869" s="226"/>
    </row>
    <row r="1870" spans="2:16">
      <c r="B1870" s="253"/>
      <c r="H1870" s="226"/>
      <c r="K1870" s="226"/>
      <c r="P1870" s="226"/>
    </row>
    <row r="1871" spans="2:16">
      <c r="B1871" s="253"/>
      <c r="H1871" s="226"/>
      <c r="K1871" s="226"/>
      <c r="P1871" s="226"/>
    </row>
    <row r="1872" spans="2:16">
      <c r="B1872" s="253"/>
      <c r="H1872" s="226"/>
      <c r="K1872" s="226"/>
      <c r="P1872" s="226"/>
    </row>
    <row r="1873" spans="2:16">
      <c r="B1873" s="253"/>
      <c r="H1873" s="226"/>
      <c r="K1873" s="226"/>
      <c r="P1873" s="226"/>
    </row>
    <row r="1874" spans="2:16">
      <c r="B1874" s="253"/>
      <c r="H1874" s="226"/>
      <c r="K1874" s="226"/>
      <c r="P1874" s="226"/>
    </row>
    <row r="1875" spans="2:16">
      <c r="B1875" s="253"/>
      <c r="H1875" s="226"/>
      <c r="K1875" s="226"/>
      <c r="P1875" s="226"/>
    </row>
    <row r="1876" spans="2:16">
      <c r="B1876" s="253"/>
      <c r="H1876" s="226"/>
      <c r="K1876" s="226"/>
      <c r="P1876" s="226"/>
    </row>
    <row r="1877" spans="2:16">
      <c r="B1877" s="253"/>
      <c r="H1877" s="226"/>
      <c r="K1877" s="226"/>
      <c r="P1877" s="226"/>
    </row>
    <row r="1878" spans="2:16">
      <c r="B1878" s="253"/>
      <c r="H1878" s="226"/>
      <c r="K1878" s="226"/>
      <c r="P1878" s="226"/>
    </row>
    <row r="1879" spans="2:16">
      <c r="B1879" s="253"/>
      <c r="H1879" s="226"/>
      <c r="K1879" s="226"/>
      <c r="P1879" s="226"/>
    </row>
    <row r="1880" spans="2:16">
      <c r="B1880" s="253"/>
      <c r="H1880" s="226"/>
      <c r="K1880" s="226"/>
      <c r="P1880" s="226"/>
    </row>
    <row r="1881" spans="2:16">
      <c r="B1881" s="253"/>
      <c r="H1881" s="226"/>
      <c r="K1881" s="226"/>
      <c r="P1881" s="226"/>
    </row>
    <row r="1882" spans="2:16">
      <c r="B1882" s="253"/>
      <c r="H1882" s="226"/>
      <c r="K1882" s="226"/>
      <c r="P1882" s="226"/>
    </row>
    <row r="1883" spans="2:16">
      <c r="B1883" s="253"/>
      <c r="H1883" s="226"/>
      <c r="K1883" s="226"/>
      <c r="P1883" s="226"/>
    </row>
    <row r="1884" spans="2:16">
      <c r="B1884" s="253"/>
      <c r="H1884" s="226"/>
      <c r="K1884" s="226"/>
      <c r="P1884" s="226"/>
    </row>
    <row r="1885" spans="2:16">
      <c r="B1885" s="253"/>
      <c r="H1885" s="226"/>
      <c r="K1885" s="226"/>
      <c r="P1885" s="226"/>
    </row>
    <row r="1886" spans="2:16">
      <c r="B1886" s="253"/>
      <c r="H1886" s="226"/>
      <c r="K1886" s="226"/>
      <c r="P1886" s="226"/>
    </row>
    <row r="1887" spans="2:16">
      <c r="B1887" s="253"/>
      <c r="H1887" s="226"/>
      <c r="K1887" s="226"/>
      <c r="P1887" s="226"/>
    </row>
    <row r="1888" spans="2:16">
      <c r="B1888" s="253"/>
      <c r="H1888" s="226"/>
      <c r="K1888" s="226"/>
      <c r="P1888" s="226"/>
    </row>
    <row r="1889" spans="2:16">
      <c r="B1889" s="253"/>
      <c r="H1889" s="226"/>
      <c r="K1889" s="226"/>
      <c r="P1889" s="226"/>
    </row>
    <row r="1890" spans="2:16">
      <c r="B1890" s="253"/>
      <c r="H1890" s="226"/>
      <c r="K1890" s="226"/>
      <c r="P1890" s="226"/>
    </row>
    <row r="1891" spans="2:16">
      <c r="B1891" s="253"/>
      <c r="H1891" s="226"/>
      <c r="K1891" s="226"/>
      <c r="P1891" s="226"/>
    </row>
    <row r="1892" spans="2:16">
      <c r="B1892" s="253"/>
      <c r="H1892" s="226"/>
      <c r="K1892" s="226"/>
      <c r="P1892" s="226"/>
    </row>
    <row r="1893" spans="2:16">
      <c r="B1893" s="253"/>
      <c r="H1893" s="226"/>
      <c r="K1893" s="226"/>
      <c r="P1893" s="226"/>
    </row>
    <row r="1894" spans="2:16">
      <c r="B1894" s="253"/>
      <c r="H1894" s="226"/>
      <c r="K1894" s="226"/>
      <c r="P1894" s="226"/>
    </row>
    <row r="1895" spans="2:16">
      <c r="B1895" s="253"/>
      <c r="H1895" s="226"/>
      <c r="K1895" s="226"/>
      <c r="P1895" s="226"/>
    </row>
    <row r="1896" spans="2:16">
      <c r="B1896" s="253"/>
      <c r="H1896" s="226"/>
      <c r="K1896" s="226"/>
      <c r="P1896" s="226"/>
    </row>
    <row r="1897" spans="2:16">
      <c r="B1897" s="253"/>
      <c r="H1897" s="226"/>
      <c r="K1897" s="226"/>
      <c r="P1897" s="226"/>
    </row>
    <row r="1898" spans="2:16">
      <c r="B1898" s="253"/>
      <c r="H1898" s="226"/>
      <c r="K1898" s="226"/>
      <c r="P1898" s="226"/>
    </row>
    <row r="1899" spans="2:16">
      <c r="B1899" s="253"/>
      <c r="H1899" s="226"/>
      <c r="K1899" s="226"/>
      <c r="P1899" s="226"/>
    </row>
    <row r="1900" spans="2:16">
      <c r="B1900" s="253"/>
      <c r="H1900" s="226"/>
      <c r="K1900" s="226"/>
      <c r="P1900" s="226"/>
    </row>
    <row r="1901" spans="2:16">
      <c r="B1901" s="253"/>
      <c r="H1901" s="226"/>
      <c r="K1901" s="226"/>
      <c r="P1901" s="226"/>
    </row>
    <row r="1902" spans="2:16">
      <c r="B1902" s="253"/>
      <c r="H1902" s="226"/>
      <c r="K1902" s="226"/>
      <c r="P1902" s="226"/>
    </row>
    <row r="1903" spans="2:16">
      <c r="B1903" s="253"/>
      <c r="H1903" s="226"/>
      <c r="K1903" s="226"/>
      <c r="P1903" s="226"/>
    </row>
    <row r="1904" spans="2:16">
      <c r="B1904" s="253"/>
      <c r="H1904" s="226"/>
      <c r="K1904" s="226"/>
      <c r="P1904" s="226"/>
    </row>
    <row r="1905" spans="2:16">
      <c r="B1905" s="253"/>
      <c r="H1905" s="226"/>
      <c r="K1905" s="226"/>
      <c r="P1905" s="226"/>
    </row>
    <row r="1906" spans="2:16">
      <c r="B1906" s="253"/>
      <c r="H1906" s="226"/>
      <c r="K1906" s="226"/>
      <c r="P1906" s="226"/>
    </row>
    <row r="1907" spans="2:16">
      <c r="B1907" s="253"/>
      <c r="H1907" s="226"/>
      <c r="K1907" s="226"/>
      <c r="P1907" s="226"/>
    </row>
    <row r="1908" spans="2:16">
      <c r="B1908" s="253"/>
      <c r="H1908" s="226"/>
      <c r="K1908" s="226"/>
      <c r="P1908" s="226"/>
    </row>
    <row r="1909" spans="2:16">
      <c r="B1909" s="253"/>
      <c r="H1909" s="226"/>
      <c r="K1909" s="226"/>
      <c r="P1909" s="226"/>
    </row>
    <row r="1910" spans="2:16">
      <c r="B1910" s="253"/>
      <c r="H1910" s="226"/>
      <c r="K1910" s="226"/>
      <c r="P1910" s="226"/>
    </row>
  </sheetData>
  <sheetProtection algorithmName="SHA-512" hashValue="HkfTxly9sot6D9woQZsZB25quRMureRY9LlKoYdUnR/Qf7EDZN3WL+uSJRXsC3PSH+jAY5DbEybmKaBIx/G97g==" saltValue="N1nzYVwNouZEf6YYnnCMnw==" spinCount="100000" sheet="1" objects="1" scenarios="1"/>
  <autoFilter ref="A7:T927" xr:uid="{A86E2DE0-9FF4-4C02-97CB-4D6704BF96EB}">
    <sortState xmlns:xlrd2="http://schemas.microsoft.com/office/spreadsheetml/2017/richdata2" ref="A8:T927">
      <sortCondition descending="1" sortBy="cellColor" ref="A8:A927" dxfId="3"/>
    </sortState>
  </autoFilter>
  <sortState xmlns:xlrd2="http://schemas.microsoft.com/office/spreadsheetml/2017/richdata2" ref="A8:U30">
    <sortCondition ref="A8:A30"/>
  </sortState>
  <pageMargins left="0.7" right="0.7" top="0.75" bottom="0.75" header="0.3" footer="0.3"/>
  <pageSetup paperSize="5" scale="45"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T1910"/>
  <sheetViews>
    <sheetView zoomScale="90" zoomScaleNormal="90" workbookViewId="0">
      <pane ySplit="7" topLeftCell="A8" activePane="bottomLeft" state="frozen"/>
      <selection activeCell="E4" sqref="E4"/>
      <selection pane="bottomLeft" activeCell="E23" sqref="E23"/>
    </sheetView>
  </sheetViews>
  <sheetFormatPr defaultColWidth="9.140625" defaultRowHeight="15"/>
  <cols>
    <col min="1" max="1" width="10.5703125" style="82" customWidth="1"/>
    <col min="2" max="2" width="48.85546875" style="82" customWidth="1"/>
    <col min="3" max="4" width="13.85546875" style="82" customWidth="1"/>
    <col min="5" max="5" width="30.140625" style="82" customWidth="1"/>
    <col min="6" max="6" width="3.85546875" style="82" customWidth="1"/>
    <col min="7" max="7" width="18.28515625" style="82" customWidth="1"/>
    <col min="8" max="8" width="20" style="89" customWidth="1"/>
    <col min="9" max="9" width="16.85546875" style="82" customWidth="1"/>
    <col min="10" max="10" width="19.42578125" style="82" customWidth="1"/>
    <col min="11" max="11" width="20" style="89" customWidth="1"/>
    <col min="12" max="12" width="3.85546875" style="82" customWidth="1"/>
    <col min="13" max="13" width="18.28515625" style="82" customWidth="1"/>
    <col min="14" max="14" width="11.85546875" style="82" customWidth="1"/>
    <col min="15" max="15" width="19.42578125" style="82" customWidth="1"/>
    <col min="16" max="16" width="20" style="89" customWidth="1"/>
    <col min="17" max="17" width="3.85546875" style="82" customWidth="1"/>
    <col min="18" max="18" width="13.85546875" style="82" customWidth="1"/>
    <col min="19" max="19" width="22.42578125" style="82" customWidth="1"/>
    <col min="20" max="20" width="14.85546875" style="82" bestFit="1" customWidth="1"/>
    <col min="21" max="16384" width="9.140625" style="82"/>
  </cols>
  <sheetData>
    <row r="1" spans="1:20">
      <c r="A1" s="82" t="s">
        <v>1928</v>
      </c>
      <c r="H1" s="82"/>
    </row>
    <row r="2" spans="1:20">
      <c r="A2" s="82" t="s">
        <v>1926</v>
      </c>
      <c r="H2" s="82"/>
    </row>
    <row r="3" spans="1:20" s="95" customFormat="1">
      <c r="A3" s="90"/>
      <c r="B3" s="54" t="s">
        <v>715</v>
      </c>
      <c r="C3" s="250">
        <f>SUM(C9:C927)-SUM(C252:C254)-SUM(C684:C685)-SUM(C794:C795)-SUM(C810:C811)</f>
        <v>0.99999999999999978</v>
      </c>
      <c r="D3" s="250">
        <f>SUM(D9:D927)-SUM(D252:D254)-SUM(D684:D685)-SUM(D794:D795)-SUM(D810:D811)</f>
        <v>1</v>
      </c>
      <c r="E3" s="251">
        <f>SUM(E9:E927)-SUM(E252:E254)-SUM(E684:E685)-SUM(E794:E795)-SUM(E810:E811)</f>
        <v>2372341991</v>
      </c>
      <c r="F3" s="92"/>
      <c r="G3" s="92">
        <f>SUM(G9:G927)-SUM(G252:G254)-SUM(G684:G685)-SUM(G794:G795)-SUM(G810:G811)</f>
        <v>365996013</v>
      </c>
      <c r="H3" s="238">
        <f>SUM(H9:H927)-SUM(H252:H254)-SUM(H684:H685)-SUM(H794:H795)-SUM(H810:H811)</f>
        <v>325651977</v>
      </c>
      <c r="I3" s="92">
        <f>SUM(I9:I927)-SUM(I252:I254)-SUM(I684:I685)-SUM(I794:I795)-SUM(I810:I811)</f>
        <v>629527990</v>
      </c>
      <c r="J3" s="92">
        <f>SUM(J9:J927)-SUM(J252:J254)-SUM(J684:J685)-SUM(J794:J795)-SUM(J810:J811)</f>
        <v>39321171</v>
      </c>
      <c r="K3" s="238">
        <f>SUM(K9:K927)-SUM(K252:K254)-SUM(K684:K685)-SUM(K794:K795)-SUM(K810:K811)</f>
        <v>1360497151</v>
      </c>
      <c r="L3" s="92"/>
      <c r="M3" s="92">
        <f>SUM(M9:M927)-SUM(M252:M254)-SUM(M684:M685)-SUM(M794:M795)-SUM(M810:M811)</f>
        <v>12280987</v>
      </c>
      <c r="N3" s="92">
        <f>SUM(N9:N927)-SUM(N252:N254)-SUM(N684:N685)-SUM(N794:N795)-SUM(N810:N811)</f>
        <v>0</v>
      </c>
      <c r="O3" s="92">
        <f>SUM(O9:O927)-SUM(O252:O254)-SUM(O684:O685)-SUM(O794:O795)-SUM(O810:O811)</f>
        <v>39321083</v>
      </c>
      <c r="P3" s="94">
        <f>SUM(P9:P927)-SUM(P252:P254)-SUM(P684:P685)-SUM(P794:P795)-SUM(P810:P811)</f>
        <v>51602070</v>
      </c>
      <c r="Q3" s="93"/>
      <c r="R3" s="93">
        <f>SUM(R9:R927)-SUM(R252:R254)-SUM(R684:R685)-SUM(R794:R795)-SUM(R810:R811)</f>
        <v>658973009</v>
      </c>
      <c r="S3" s="93">
        <f>SUM(S9:S927)-SUM(S252:S254)-SUM(S684:S685)-SUM(S794:S795)-SUM(S810:S811)</f>
        <v>6</v>
      </c>
      <c r="T3" s="93">
        <f>SUM(T9:T927)-SUM(T252:T254)-SUM(T684:T685)-SUM(T794:T795)-SUM(T810:T811)</f>
        <v>658973015</v>
      </c>
    </row>
    <row r="4" spans="1:20" s="95" customFormat="1">
      <c r="A4" s="90"/>
      <c r="B4" s="54" t="s">
        <v>3519</v>
      </c>
      <c r="C4" s="250">
        <v>1.0000000000000002</v>
      </c>
      <c r="D4" s="250">
        <v>0.99999999999999978</v>
      </c>
      <c r="E4" s="251">
        <v>2372341991</v>
      </c>
      <c r="F4" s="92"/>
      <c r="G4" s="92">
        <v>365996013</v>
      </c>
      <c r="H4" s="238">
        <v>325651977</v>
      </c>
      <c r="I4" s="92">
        <v>629527990</v>
      </c>
      <c r="J4" s="92">
        <v>39321171</v>
      </c>
      <c r="K4" s="238">
        <v>1360497151</v>
      </c>
      <c r="L4" s="92"/>
      <c r="M4" s="92">
        <v>12280987</v>
      </c>
      <c r="N4" s="92">
        <v>0</v>
      </c>
      <c r="O4" s="92">
        <v>39321083</v>
      </c>
      <c r="P4" s="94">
        <v>51602070</v>
      </c>
      <c r="Q4" s="93"/>
      <c r="R4" s="93">
        <v>658973009</v>
      </c>
      <c r="S4" s="93">
        <v>6</v>
      </c>
      <c r="T4" s="93">
        <v>658973015</v>
      </c>
    </row>
    <row r="5" spans="1:20">
      <c r="H5" s="82"/>
    </row>
    <row r="6" spans="1:20">
      <c r="G6" s="83" t="s">
        <v>2</v>
      </c>
      <c r="H6" s="83"/>
      <c r="I6" s="83"/>
      <c r="J6" s="83"/>
      <c r="K6" s="84"/>
      <c r="M6" s="83" t="s">
        <v>3</v>
      </c>
      <c r="N6" s="83"/>
      <c r="O6" s="83"/>
      <c r="P6" s="84"/>
      <c r="R6" s="83" t="s">
        <v>4</v>
      </c>
      <c r="S6" s="83"/>
      <c r="T6" s="83"/>
    </row>
    <row r="7" spans="1:20"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0">
      <c r="A8" s="7" t="s">
        <v>692</v>
      </c>
      <c r="B8" s="60" t="s">
        <v>691</v>
      </c>
      <c r="C8" s="85"/>
      <c r="D8" s="85"/>
      <c r="E8" s="85"/>
      <c r="F8" s="85"/>
      <c r="G8" s="85"/>
      <c r="H8" s="86"/>
      <c r="I8" s="85"/>
      <c r="J8" s="85"/>
      <c r="K8" s="86"/>
      <c r="L8" s="85"/>
      <c r="M8" s="85"/>
      <c r="N8" s="85"/>
      <c r="O8" s="85"/>
      <c r="P8" s="86"/>
      <c r="Q8" s="85"/>
      <c r="R8" s="85"/>
      <c r="S8" s="85"/>
      <c r="T8" s="85"/>
    </row>
    <row r="9" spans="1:20">
      <c r="A9" s="48">
        <v>70505</v>
      </c>
      <c r="B9" s="49" t="s">
        <v>727</v>
      </c>
      <c r="C9" s="235">
        <v>3.6600000000000001E-4</v>
      </c>
      <c r="D9" s="235">
        <v>4.147E-4</v>
      </c>
      <c r="E9" s="50">
        <v>868277</v>
      </c>
      <c r="F9" s="50"/>
      <c r="G9" s="233">
        <v>133955</v>
      </c>
      <c r="H9" s="221">
        <v>119188</v>
      </c>
      <c r="I9" s="233">
        <v>230407</v>
      </c>
      <c r="J9" s="232">
        <v>0</v>
      </c>
      <c r="K9" s="88">
        <f t="shared" ref="K9:K73" si="0">G9+H9+I9+J9</f>
        <v>483550</v>
      </c>
      <c r="L9" s="50"/>
      <c r="M9" s="233">
        <v>4495</v>
      </c>
      <c r="N9" s="233">
        <v>0</v>
      </c>
      <c r="O9" s="232">
        <v>53689</v>
      </c>
      <c r="P9" s="88">
        <f t="shared" ref="P9:P73" si="1">M9+N9+O9</f>
        <v>58184</v>
      </c>
      <c r="Q9" s="50"/>
      <c r="R9" s="233">
        <v>241184</v>
      </c>
      <c r="S9" s="232">
        <v>-22825</v>
      </c>
      <c r="T9" s="234">
        <v>218359</v>
      </c>
    </row>
    <row r="11" spans="1:20">
      <c r="A11" s="48">
        <v>72265</v>
      </c>
      <c r="B11" s="49" t="s">
        <v>728</v>
      </c>
      <c r="C11" s="235">
        <v>1.538E-4</v>
      </c>
      <c r="D11" s="235">
        <v>1.4009999999999999E-4</v>
      </c>
      <c r="E11" s="50">
        <v>364866</v>
      </c>
      <c r="F11" s="50"/>
      <c r="G11" s="233">
        <v>56290</v>
      </c>
      <c r="H11" s="221">
        <v>50085</v>
      </c>
      <c r="I11" s="233">
        <v>96821</v>
      </c>
      <c r="J11" s="232">
        <v>10295</v>
      </c>
      <c r="K11" s="88">
        <f t="shared" si="0"/>
        <v>213491</v>
      </c>
      <c r="L11" s="50"/>
      <c r="M11" s="233">
        <v>1889</v>
      </c>
      <c r="N11" s="233">
        <v>0</v>
      </c>
      <c r="O11" s="232">
        <v>2396</v>
      </c>
      <c r="P11" s="88">
        <f t="shared" si="1"/>
        <v>4285</v>
      </c>
      <c r="Q11" s="50"/>
      <c r="R11" s="233">
        <v>101350</v>
      </c>
      <c r="S11" s="232">
        <v>5014</v>
      </c>
      <c r="T11" s="234">
        <v>106364</v>
      </c>
    </row>
    <row r="12" spans="1:20">
      <c r="A12" s="48">
        <v>72593</v>
      </c>
      <c r="B12" s="49" t="s">
        <v>2133</v>
      </c>
      <c r="C12" s="235">
        <v>6.0000000000000002E-6</v>
      </c>
      <c r="D12" s="235">
        <v>5.9000000000000003E-6</v>
      </c>
      <c r="E12" s="50">
        <v>14234</v>
      </c>
      <c r="F12" s="50"/>
      <c r="G12" s="233">
        <v>2196</v>
      </c>
      <c r="H12" s="221">
        <v>1954</v>
      </c>
      <c r="I12" s="233">
        <v>3777</v>
      </c>
      <c r="J12" s="232">
        <v>2261</v>
      </c>
      <c r="K12" s="88">
        <f t="shared" si="0"/>
        <v>10188</v>
      </c>
      <c r="L12" s="50"/>
      <c r="M12" s="233">
        <v>74</v>
      </c>
      <c r="N12" s="233">
        <v>0</v>
      </c>
      <c r="O12" s="232">
        <v>590</v>
      </c>
      <c r="P12" s="88">
        <f t="shared" si="1"/>
        <v>664</v>
      </c>
      <c r="Q12" s="50"/>
      <c r="R12" s="233">
        <v>3954</v>
      </c>
      <c r="S12" s="232">
        <v>605</v>
      </c>
      <c r="T12" s="234">
        <v>4559</v>
      </c>
    </row>
    <row r="13" spans="1:20">
      <c r="A13" s="48">
        <v>72657</v>
      </c>
      <c r="B13" s="49" t="s">
        <v>2134</v>
      </c>
      <c r="C13" s="235">
        <v>3.9199999999999997E-5</v>
      </c>
      <c r="D13" s="235">
        <v>3.9900000000000001E-5</v>
      </c>
      <c r="E13" s="50">
        <v>92996</v>
      </c>
      <c r="F13" s="50"/>
      <c r="G13" s="233">
        <v>14347</v>
      </c>
      <c r="H13" s="221">
        <v>12765</v>
      </c>
      <c r="I13" s="233">
        <v>24677</v>
      </c>
      <c r="J13" s="232">
        <v>0</v>
      </c>
      <c r="K13" s="88">
        <f t="shared" si="0"/>
        <v>51789</v>
      </c>
      <c r="L13" s="50"/>
      <c r="M13" s="233">
        <v>481</v>
      </c>
      <c r="N13" s="233">
        <v>0</v>
      </c>
      <c r="O13" s="232">
        <v>6011</v>
      </c>
      <c r="P13" s="88">
        <f t="shared" si="1"/>
        <v>6492</v>
      </c>
      <c r="Q13" s="50"/>
      <c r="R13" s="233">
        <v>25832</v>
      </c>
      <c r="S13" s="232">
        <v>356</v>
      </c>
      <c r="T13" s="234">
        <v>26188</v>
      </c>
    </row>
    <row r="14" spans="1:20">
      <c r="A14" s="48">
        <v>90001</v>
      </c>
      <c r="B14" s="49" t="s">
        <v>731</v>
      </c>
      <c r="C14" s="235">
        <v>8.61E-4</v>
      </c>
      <c r="D14" s="235">
        <v>8.6030000000000004E-4</v>
      </c>
      <c r="E14" s="50">
        <v>2042586</v>
      </c>
      <c r="F14" s="50"/>
      <c r="G14" s="233">
        <v>315123</v>
      </c>
      <c r="H14" s="221">
        <v>280386</v>
      </c>
      <c r="I14" s="233">
        <v>542024</v>
      </c>
      <c r="J14" s="232">
        <v>7657</v>
      </c>
      <c r="K14" s="88">
        <f t="shared" si="0"/>
        <v>1145190</v>
      </c>
      <c r="L14" s="50"/>
      <c r="M14" s="233">
        <v>10574</v>
      </c>
      <c r="N14" s="233">
        <v>0</v>
      </c>
      <c r="O14" s="232">
        <v>10725</v>
      </c>
      <c r="P14" s="88">
        <f t="shared" si="1"/>
        <v>21299</v>
      </c>
      <c r="Q14" s="50"/>
      <c r="R14" s="233">
        <v>567376</v>
      </c>
      <c r="S14" s="232">
        <v>1195</v>
      </c>
      <c r="T14" s="234">
        <v>568571</v>
      </c>
    </row>
    <row r="15" spans="1:20">
      <c r="A15" s="48">
        <v>90002</v>
      </c>
      <c r="B15" s="49" t="s">
        <v>732</v>
      </c>
      <c r="C15" s="235">
        <v>9.5000000000000005E-6</v>
      </c>
      <c r="D15" s="235">
        <v>1.06E-5</v>
      </c>
      <c r="E15" s="50">
        <v>22537</v>
      </c>
      <c r="F15" s="50"/>
      <c r="G15" s="233">
        <v>3477</v>
      </c>
      <c r="H15" s="221">
        <v>3094</v>
      </c>
      <c r="I15" s="233">
        <v>5981</v>
      </c>
      <c r="J15" s="232">
        <v>1636</v>
      </c>
      <c r="K15" s="88">
        <f t="shared" si="0"/>
        <v>14188</v>
      </c>
      <c r="L15" s="50"/>
      <c r="M15" s="233">
        <v>117</v>
      </c>
      <c r="N15" s="233">
        <v>0</v>
      </c>
      <c r="O15" s="232">
        <v>0</v>
      </c>
      <c r="P15" s="88">
        <f t="shared" si="1"/>
        <v>117</v>
      </c>
      <c r="Q15" s="50"/>
      <c r="R15" s="233">
        <v>6260</v>
      </c>
      <c r="S15" s="232">
        <v>737</v>
      </c>
      <c r="T15" s="234">
        <v>6997</v>
      </c>
    </row>
    <row r="16" spans="1:20">
      <c r="A16" s="48">
        <v>90011</v>
      </c>
      <c r="B16" s="49" t="s">
        <v>2135</v>
      </c>
      <c r="C16" s="235">
        <v>1.916E-4</v>
      </c>
      <c r="D16" s="235">
        <v>1.974E-4</v>
      </c>
      <c r="E16" s="50">
        <v>454541</v>
      </c>
      <c r="F16" s="50"/>
      <c r="G16" s="233">
        <v>70125</v>
      </c>
      <c r="H16" s="221">
        <v>62395</v>
      </c>
      <c r="I16" s="233">
        <v>120618</v>
      </c>
      <c r="J16" s="232">
        <v>0</v>
      </c>
      <c r="K16" s="88">
        <f t="shared" si="0"/>
        <v>253138</v>
      </c>
      <c r="L16" s="50"/>
      <c r="M16" s="233">
        <v>2353</v>
      </c>
      <c r="N16" s="233">
        <v>0</v>
      </c>
      <c r="O16" s="232">
        <v>27708</v>
      </c>
      <c r="P16" s="88">
        <f t="shared" si="1"/>
        <v>30061</v>
      </c>
      <c r="Q16" s="50"/>
      <c r="R16" s="233">
        <v>126259</v>
      </c>
      <c r="S16" s="232">
        <v>-9526</v>
      </c>
      <c r="T16" s="234">
        <v>116733</v>
      </c>
    </row>
    <row r="17" spans="1:20">
      <c r="A17" s="48">
        <v>90092</v>
      </c>
      <c r="B17" s="49" t="s">
        <v>734</v>
      </c>
      <c r="C17" s="235">
        <v>3.547E-4</v>
      </c>
      <c r="D17" s="235">
        <v>3.5349999999999997E-4</v>
      </c>
      <c r="E17" s="50">
        <v>841470</v>
      </c>
      <c r="F17" s="50"/>
      <c r="G17" s="233">
        <v>129819</v>
      </c>
      <c r="H17" s="221">
        <v>115509</v>
      </c>
      <c r="I17" s="233">
        <v>223294</v>
      </c>
      <c r="J17" s="232">
        <v>14687</v>
      </c>
      <c r="K17" s="88">
        <f t="shared" si="0"/>
        <v>483309</v>
      </c>
      <c r="L17" s="50"/>
      <c r="M17" s="233">
        <v>4356</v>
      </c>
      <c r="N17" s="233">
        <v>0</v>
      </c>
      <c r="O17" s="232">
        <v>40510</v>
      </c>
      <c r="P17" s="88">
        <f t="shared" si="1"/>
        <v>44866</v>
      </c>
      <c r="Q17" s="50"/>
      <c r="R17" s="233">
        <v>233738</v>
      </c>
      <c r="S17" s="232">
        <v>-38987</v>
      </c>
      <c r="T17" s="234">
        <v>194751</v>
      </c>
    </row>
    <row r="18" spans="1:20">
      <c r="A18" s="48">
        <v>90096</v>
      </c>
      <c r="B18" s="49" t="s">
        <v>735</v>
      </c>
      <c r="C18" s="235">
        <v>9.1730000000000002E-4</v>
      </c>
      <c r="D18" s="235">
        <v>9.7559999999999997E-4</v>
      </c>
      <c r="E18" s="50">
        <v>2176149</v>
      </c>
      <c r="F18" s="50"/>
      <c r="G18" s="233">
        <v>335728</v>
      </c>
      <c r="H18" s="221">
        <v>298720</v>
      </c>
      <c r="I18" s="233">
        <v>577466</v>
      </c>
      <c r="J18" s="232">
        <v>43181</v>
      </c>
      <c r="K18" s="88">
        <f t="shared" si="0"/>
        <v>1255095</v>
      </c>
      <c r="L18" s="50"/>
      <c r="M18" s="233">
        <v>11265</v>
      </c>
      <c r="N18" s="233">
        <v>0</v>
      </c>
      <c r="O18" s="232">
        <v>175620</v>
      </c>
      <c r="P18" s="88">
        <f t="shared" si="1"/>
        <v>186885</v>
      </c>
      <c r="Q18" s="50"/>
      <c r="R18" s="233">
        <v>604476</v>
      </c>
      <c r="S18" s="232">
        <v>-19105</v>
      </c>
      <c r="T18" s="234">
        <v>585371</v>
      </c>
    </row>
    <row r="19" spans="1:20">
      <c r="A19" s="48">
        <v>90098</v>
      </c>
      <c r="B19" s="49" t="s">
        <v>736</v>
      </c>
      <c r="C19" s="235">
        <v>3.1510000000000002E-4</v>
      </c>
      <c r="D19" s="235">
        <v>2.9599999999999998E-4</v>
      </c>
      <c r="E19" s="50">
        <v>747525</v>
      </c>
      <c r="F19" s="50"/>
      <c r="G19" s="233">
        <v>115325</v>
      </c>
      <c r="H19" s="221">
        <v>102613</v>
      </c>
      <c r="I19" s="233">
        <v>198364</v>
      </c>
      <c r="J19" s="232">
        <v>19294</v>
      </c>
      <c r="K19" s="88">
        <f t="shared" si="0"/>
        <v>435596</v>
      </c>
      <c r="L19" s="50"/>
      <c r="M19" s="233">
        <v>3870</v>
      </c>
      <c r="N19" s="233">
        <v>0</v>
      </c>
      <c r="O19" s="232">
        <v>58299</v>
      </c>
      <c r="P19" s="88">
        <f t="shared" si="1"/>
        <v>62169</v>
      </c>
      <c r="Q19" s="50"/>
      <c r="R19" s="233">
        <v>207642</v>
      </c>
      <c r="S19" s="232">
        <v>-47420</v>
      </c>
      <c r="T19" s="234">
        <v>160222</v>
      </c>
    </row>
    <row r="20" spans="1:20">
      <c r="A20" s="48">
        <v>90099</v>
      </c>
      <c r="B20" s="49" t="s">
        <v>737</v>
      </c>
      <c r="C20" s="235">
        <v>6.8800000000000003E-4</v>
      </c>
      <c r="D20" s="235">
        <v>6.6330000000000002E-4</v>
      </c>
      <c r="E20" s="50">
        <v>1632171</v>
      </c>
      <c r="F20" s="50"/>
      <c r="G20" s="233">
        <v>251805</v>
      </c>
      <c r="H20" s="221">
        <v>224048</v>
      </c>
      <c r="I20" s="233">
        <v>433115</v>
      </c>
      <c r="J20" s="232">
        <v>65504</v>
      </c>
      <c r="K20" s="88">
        <f t="shared" si="0"/>
        <v>974472</v>
      </c>
      <c r="L20" s="50"/>
      <c r="M20" s="233">
        <v>8449</v>
      </c>
      <c r="N20" s="233">
        <v>0</v>
      </c>
      <c r="O20" s="232">
        <v>31571</v>
      </c>
      <c r="P20" s="88">
        <f t="shared" si="1"/>
        <v>40020</v>
      </c>
      <c r="Q20" s="50"/>
      <c r="R20" s="233">
        <v>453373</v>
      </c>
      <c r="S20" s="232">
        <v>6742</v>
      </c>
      <c r="T20" s="234">
        <v>460115</v>
      </c>
    </row>
    <row r="21" spans="1:20">
      <c r="A21" s="48">
        <v>90101</v>
      </c>
      <c r="B21" s="49" t="s">
        <v>738</v>
      </c>
      <c r="C21" s="235">
        <v>6.4729000000000002E-3</v>
      </c>
      <c r="D21" s="235">
        <v>6.6312000000000003E-3</v>
      </c>
      <c r="E21" s="50">
        <v>15355933</v>
      </c>
      <c r="F21" s="50"/>
      <c r="G21" s="233">
        <v>2369056</v>
      </c>
      <c r="H21" s="221">
        <v>2107912</v>
      </c>
      <c r="I21" s="233">
        <v>4074872</v>
      </c>
      <c r="J21" s="232">
        <v>152067</v>
      </c>
      <c r="K21" s="88">
        <f t="shared" si="0"/>
        <v>8703907</v>
      </c>
      <c r="L21" s="50"/>
      <c r="M21" s="233">
        <v>79494</v>
      </c>
      <c r="N21" s="233">
        <v>0</v>
      </c>
      <c r="O21" s="232">
        <v>140729</v>
      </c>
      <c r="P21" s="88">
        <f t="shared" si="1"/>
        <v>220223</v>
      </c>
      <c r="Q21" s="50"/>
      <c r="R21" s="233">
        <v>4265466</v>
      </c>
      <c r="S21" s="232">
        <v>32971</v>
      </c>
      <c r="T21" s="234">
        <v>4298437</v>
      </c>
    </row>
    <row r="22" spans="1:20">
      <c r="A22" s="48">
        <v>90111</v>
      </c>
      <c r="B22" s="49" t="s">
        <v>739</v>
      </c>
      <c r="C22" s="235">
        <v>5.0667999999999998E-3</v>
      </c>
      <c r="D22" s="235">
        <v>4.9740000000000001E-3</v>
      </c>
      <c r="E22" s="50">
        <v>12020182</v>
      </c>
      <c r="F22" s="50"/>
      <c r="G22" s="233">
        <v>1854429</v>
      </c>
      <c r="H22" s="221">
        <v>1650013</v>
      </c>
      <c r="I22" s="233">
        <v>3189692</v>
      </c>
      <c r="J22" s="232">
        <v>18312</v>
      </c>
      <c r="K22" s="88">
        <f t="shared" si="0"/>
        <v>6712446</v>
      </c>
      <c r="L22" s="50"/>
      <c r="M22" s="233">
        <v>62225</v>
      </c>
      <c r="N22" s="233">
        <v>0</v>
      </c>
      <c r="O22" s="232">
        <v>49468</v>
      </c>
      <c r="P22" s="88">
        <f t="shared" si="1"/>
        <v>111693</v>
      </c>
      <c r="Q22" s="50"/>
      <c r="R22" s="233">
        <v>3338884</v>
      </c>
      <c r="S22" s="232">
        <v>-51615</v>
      </c>
      <c r="T22" s="234">
        <v>3287269</v>
      </c>
    </row>
    <row r="23" spans="1:20">
      <c r="A23" s="48">
        <v>90114</v>
      </c>
      <c r="B23" s="49" t="s">
        <v>740</v>
      </c>
      <c r="C23" s="235">
        <v>1.0735E-3</v>
      </c>
      <c r="D23" s="235">
        <v>1.0919E-3</v>
      </c>
      <c r="E23" s="50">
        <v>2546709</v>
      </c>
      <c r="F23" s="50"/>
      <c r="G23" s="233">
        <v>392897</v>
      </c>
      <c r="H23" s="221">
        <v>349588</v>
      </c>
      <c r="I23" s="233">
        <v>675798</v>
      </c>
      <c r="J23" s="232">
        <v>1231689</v>
      </c>
      <c r="K23" s="88">
        <f t="shared" si="0"/>
        <v>2649972</v>
      </c>
      <c r="L23" s="50"/>
      <c r="M23" s="233">
        <v>13184</v>
      </c>
      <c r="N23" s="233">
        <v>0</v>
      </c>
      <c r="O23" s="232">
        <v>0</v>
      </c>
      <c r="P23" s="88">
        <f t="shared" si="1"/>
        <v>13184</v>
      </c>
      <c r="Q23" s="50"/>
      <c r="R23" s="233">
        <v>707408</v>
      </c>
      <c r="S23" s="232">
        <v>502556</v>
      </c>
      <c r="T23" s="234">
        <v>1209964</v>
      </c>
    </row>
    <row r="24" spans="1:20">
      <c r="A24" s="48">
        <v>90117</v>
      </c>
      <c r="B24" s="49" t="s">
        <v>741</v>
      </c>
      <c r="C24" s="235">
        <v>1.36E-4</v>
      </c>
      <c r="D24" s="235">
        <v>1.407E-4</v>
      </c>
      <c r="E24" s="50">
        <v>322639</v>
      </c>
      <c r="F24" s="50"/>
      <c r="G24" s="233">
        <v>49775</v>
      </c>
      <c r="H24" s="221">
        <v>44288</v>
      </c>
      <c r="I24" s="233">
        <v>85616</v>
      </c>
      <c r="J24" s="232">
        <v>40224</v>
      </c>
      <c r="K24" s="88">
        <f t="shared" si="0"/>
        <v>219903</v>
      </c>
      <c r="L24" s="50"/>
      <c r="M24" s="233">
        <v>1670</v>
      </c>
      <c r="N24" s="233">
        <v>0</v>
      </c>
      <c r="O24" s="232">
        <v>0</v>
      </c>
      <c r="P24" s="88">
        <f t="shared" si="1"/>
        <v>1670</v>
      </c>
      <c r="Q24" s="50"/>
      <c r="R24" s="233">
        <v>89620</v>
      </c>
      <c r="S24" s="232">
        <v>21821</v>
      </c>
      <c r="T24" s="234">
        <v>111441</v>
      </c>
    </row>
    <row r="25" spans="1:20">
      <c r="A25" s="48">
        <v>90121</v>
      </c>
      <c r="B25" s="49" t="s">
        <v>742</v>
      </c>
      <c r="C25" s="235">
        <v>1.0601E-3</v>
      </c>
      <c r="D25" s="235">
        <v>1.0991E-3</v>
      </c>
      <c r="E25" s="50">
        <v>2514920</v>
      </c>
      <c r="F25" s="50"/>
      <c r="G25" s="233">
        <v>387992</v>
      </c>
      <c r="H25" s="221">
        <v>345223</v>
      </c>
      <c r="I25" s="233">
        <v>667363</v>
      </c>
      <c r="J25" s="232">
        <v>0</v>
      </c>
      <c r="K25" s="88">
        <f t="shared" si="0"/>
        <v>1400578</v>
      </c>
      <c r="L25" s="50"/>
      <c r="M25" s="233">
        <v>13019</v>
      </c>
      <c r="N25" s="233">
        <v>0</v>
      </c>
      <c r="O25" s="232">
        <v>126217</v>
      </c>
      <c r="P25" s="88">
        <f t="shared" si="1"/>
        <v>139236</v>
      </c>
      <c r="Q25" s="50"/>
      <c r="R25" s="233">
        <v>698577</v>
      </c>
      <c r="S25" s="232">
        <v>-43331</v>
      </c>
      <c r="T25" s="234">
        <v>655246</v>
      </c>
    </row>
    <row r="26" spans="1:20">
      <c r="A26" s="48">
        <v>90131</v>
      </c>
      <c r="B26" s="49" t="s">
        <v>2136</v>
      </c>
      <c r="C26" s="235">
        <v>4.7830000000000003E-4</v>
      </c>
      <c r="D26" s="235">
        <v>4.7639999999999998E-4</v>
      </c>
      <c r="E26" s="50">
        <v>1134691</v>
      </c>
      <c r="F26" s="50"/>
      <c r="G26" s="233">
        <v>175056</v>
      </c>
      <c r="H26" s="221">
        <v>155759</v>
      </c>
      <c r="I26" s="233">
        <v>301103</v>
      </c>
      <c r="J26" s="232">
        <v>0</v>
      </c>
      <c r="K26" s="88">
        <f t="shared" si="0"/>
        <v>631918</v>
      </c>
      <c r="L26" s="50"/>
      <c r="M26" s="233">
        <v>5874</v>
      </c>
      <c r="N26" s="233">
        <v>0</v>
      </c>
      <c r="O26" s="232">
        <v>36391</v>
      </c>
      <c r="P26" s="88">
        <f t="shared" si="1"/>
        <v>42265</v>
      </c>
      <c r="Q26" s="50"/>
      <c r="R26" s="233">
        <v>315187</v>
      </c>
      <c r="S26" s="232">
        <v>-18431</v>
      </c>
      <c r="T26" s="234">
        <v>296756</v>
      </c>
    </row>
    <row r="27" spans="1:20">
      <c r="A27" s="48">
        <v>90141</v>
      </c>
      <c r="B27" s="49" t="s">
        <v>2137</v>
      </c>
      <c r="C27" s="235">
        <v>1.4770000000000001E-4</v>
      </c>
      <c r="D27" s="235">
        <v>1.4779999999999999E-4</v>
      </c>
      <c r="E27" s="50">
        <v>350395</v>
      </c>
      <c r="F27" s="50"/>
      <c r="G27" s="233">
        <v>54058</v>
      </c>
      <c r="H27" s="221">
        <v>48099</v>
      </c>
      <c r="I27" s="233">
        <v>92981</v>
      </c>
      <c r="J27" s="232">
        <v>5965</v>
      </c>
      <c r="K27" s="88">
        <f t="shared" si="0"/>
        <v>201103</v>
      </c>
      <c r="L27" s="50"/>
      <c r="M27" s="233">
        <v>1814</v>
      </c>
      <c r="N27" s="233">
        <v>0</v>
      </c>
      <c r="O27" s="232">
        <v>9422</v>
      </c>
      <c r="P27" s="88">
        <f t="shared" si="1"/>
        <v>11236</v>
      </c>
      <c r="Q27" s="50"/>
      <c r="R27" s="233">
        <v>97330</v>
      </c>
      <c r="S27" s="232">
        <v>-1562</v>
      </c>
      <c r="T27" s="234">
        <v>95768</v>
      </c>
    </row>
    <row r="28" spans="1:20">
      <c r="A28" s="48">
        <v>90151</v>
      </c>
      <c r="B28" s="49" t="s">
        <v>2484</v>
      </c>
      <c r="C28" s="235">
        <v>9.7000000000000003E-6</v>
      </c>
      <c r="D28" s="235">
        <v>9.9000000000000001E-6</v>
      </c>
      <c r="E28" s="50">
        <v>23012</v>
      </c>
      <c r="F28" s="50"/>
      <c r="G28" s="233">
        <v>3550</v>
      </c>
      <c r="H28" s="221">
        <v>3159</v>
      </c>
      <c r="I28" s="233">
        <v>6106</v>
      </c>
      <c r="J28" s="232">
        <v>0</v>
      </c>
      <c r="K28" s="88">
        <f t="shared" si="0"/>
        <v>12815</v>
      </c>
      <c r="L28" s="50"/>
      <c r="M28" s="233">
        <v>119</v>
      </c>
      <c r="N28" s="233">
        <v>0</v>
      </c>
      <c r="O28" s="232">
        <v>2941</v>
      </c>
      <c r="P28" s="88">
        <f t="shared" si="1"/>
        <v>3060</v>
      </c>
      <c r="Q28" s="50"/>
      <c r="R28" s="233">
        <v>6392</v>
      </c>
      <c r="S28" s="232">
        <v>-1416</v>
      </c>
      <c r="T28" s="234">
        <v>4976</v>
      </c>
    </row>
    <row r="29" spans="1:20">
      <c r="A29" s="48">
        <v>90161</v>
      </c>
      <c r="B29" s="49" t="s">
        <v>2138</v>
      </c>
      <c r="C29" s="235">
        <v>4.3999999999999999E-5</v>
      </c>
      <c r="D29" s="235">
        <v>3.4199999999999998E-5</v>
      </c>
      <c r="E29" s="50">
        <v>104383</v>
      </c>
      <c r="F29" s="50"/>
      <c r="G29" s="233">
        <v>16104</v>
      </c>
      <c r="H29" s="221">
        <v>14329</v>
      </c>
      <c r="I29" s="233">
        <v>27699</v>
      </c>
      <c r="J29" s="232">
        <v>4975</v>
      </c>
      <c r="K29" s="88">
        <f t="shared" si="0"/>
        <v>63107</v>
      </c>
      <c r="L29" s="50"/>
      <c r="M29" s="233">
        <v>540</v>
      </c>
      <c r="N29" s="233">
        <v>0</v>
      </c>
      <c r="O29" s="232">
        <v>347</v>
      </c>
      <c r="P29" s="88">
        <f t="shared" si="1"/>
        <v>887</v>
      </c>
      <c r="Q29" s="50"/>
      <c r="R29" s="233">
        <v>28995</v>
      </c>
      <c r="S29" s="232">
        <v>2254</v>
      </c>
      <c r="T29" s="234">
        <v>31249</v>
      </c>
    </row>
    <row r="30" spans="1:20">
      <c r="A30" s="48">
        <v>90201</v>
      </c>
      <c r="B30" s="49" t="s">
        <v>747</v>
      </c>
      <c r="C30" s="235">
        <v>1.1705999999999999E-3</v>
      </c>
      <c r="D30" s="235">
        <v>1.2126999999999999E-3</v>
      </c>
      <c r="E30" s="50">
        <v>2777064</v>
      </c>
      <c r="F30" s="50"/>
      <c r="G30" s="233">
        <v>428435</v>
      </c>
      <c r="H30" s="221">
        <v>381209</v>
      </c>
      <c r="I30" s="233">
        <v>736925</v>
      </c>
      <c r="J30" s="232">
        <v>2854</v>
      </c>
      <c r="K30" s="88">
        <f t="shared" si="0"/>
        <v>1549423</v>
      </c>
      <c r="L30" s="50"/>
      <c r="M30" s="233">
        <v>14376</v>
      </c>
      <c r="N30" s="233">
        <v>0</v>
      </c>
      <c r="O30" s="232">
        <v>52999</v>
      </c>
      <c r="P30" s="88">
        <f t="shared" si="1"/>
        <v>67375</v>
      </c>
      <c r="Q30" s="50"/>
      <c r="R30" s="233">
        <v>771394</v>
      </c>
      <c r="S30" s="232">
        <v>18200</v>
      </c>
      <c r="T30" s="234">
        <v>789594</v>
      </c>
    </row>
    <row r="31" spans="1:20">
      <c r="A31" s="48">
        <v>90203</v>
      </c>
      <c r="B31" s="49" t="s">
        <v>748</v>
      </c>
      <c r="C31" s="235">
        <v>1.9909999999999999E-4</v>
      </c>
      <c r="D31" s="235">
        <v>1.994E-4</v>
      </c>
      <c r="E31" s="50">
        <v>472333</v>
      </c>
      <c r="F31" s="50"/>
      <c r="G31" s="233">
        <v>72870</v>
      </c>
      <c r="H31" s="221">
        <v>64837</v>
      </c>
      <c r="I31" s="233">
        <v>125339</v>
      </c>
      <c r="J31" s="232">
        <v>4091</v>
      </c>
      <c r="K31" s="88">
        <f t="shared" si="0"/>
        <v>267137</v>
      </c>
      <c r="L31" s="50"/>
      <c r="M31" s="233">
        <v>2445</v>
      </c>
      <c r="N31" s="233">
        <v>0</v>
      </c>
      <c r="O31" s="232">
        <v>29936</v>
      </c>
      <c r="P31" s="88">
        <f t="shared" si="1"/>
        <v>32381</v>
      </c>
      <c r="Q31" s="50"/>
      <c r="R31" s="233">
        <v>131202</v>
      </c>
      <c r="S31" s="232">
        <v>-17176</v>
      </c>
      <c r="T31" s="234">
        <v>114026</v>
      </c>
    </row>
    <row r="32" spans="1:20">
      <c r="A32" s="48">
        <v>90205</v>
      </c>
      <c r="B32" s="49" t="s">
        <v>749</v>
      </c>
      <c r="C32" s="235">
        <v>3.2499999999999997E-5</v>
      </c>
      <c r="D32" s="235">
        <v>3.0000000000000001E-5</v>
      </c>
      <c r="E32" s="50">
        <v>77101</v>
      </c>
      <c r="F32" s="50"/>
      <c r="G32" s="233">
        <v>11895</v>
      </c>
      <c r="H32" s="221">
        <v>10583</v>
      </c>
      <c r="I32" s="233">
        <v>20460</v>
      </c>
      <c r="J32" s="232">
        <v>2535</v>
      </c>
      <c r="K32" s="88">
        <f t="shared" si="0"/>
        <v>45473</v>
      </c>
      <c r="L32" s="50"/>
      <c r="M32" s="233">
        <v>399</v>
      </c>
      <c r="N32" s="233">
        <v>0</v>
      </c>
      <c r="O32" s="232">
        <v>1911</v>
      </c>
      <c r="P32" s="88">
        <f t="shared" si="1"/>
        <v>2310</v>
      </c>
      <c r="Q32" s="50"/>
      <c r="R32" s="233">
        <v>21417</v>
      </c>
      <c r="S32" s="232">
        <v>484</v>
      </c>
      <c r="T32" s="234">
        <v>21901</v>
      </c>
    </row>
    <row r="33" spans="1:20">
      <c r="A33" s="48">
        <v>90206</v>
      </c>
      <c r="B33" s="49" t="s">
        <v>750</v>
      </c>
      <c r="C33" s="235">
        <v>4.1950000000000001E-4</v>
      </c>
      <c r="D33" s="235">
        <v>4.2069999999999998E-4</v>
      </c>
      <c r="E33" s="50">
        <v>995197</v>
      </c>
      <c r="F33" s="50"/>
      <c r="G33" s="233">
        <v>153535</v>
      </c>
      <c r="H33" s="221">
        <v>136611</v>
      </c>
      <c r="I33" s="233">
        <v>264087</v>
      </c>
      <c r="J33" s="232">
        <v>0</v>
      </c>
      <c r="K33" s="88">
        <f t="shared" si="0"/>
        <v>554233</v>
      </c>
      <c r="L33" s="50"/>
      <c r="M33" s="233">
        <v>5152</v>
      </c>
      <c r="N33" s="233">
        <v>0</v>
      </c>
      <c r="O33" s="232">
        <v>23372</v>
      </c>
      <c r="P33" s="88">
        <f t="shared" si="1"/>
        <v>28524</v>
      </c>
      <c r="Q33" s="50"/>
      <c r="R33" s="233">
        <v>276439</v>
      </c>
      <c r="S33" s="232">
        <v>-212</v>
      </c>
      <c r="T33" s="234">
        <v>276227</v>
      </c>
    </row>
    <row r="34" spans="1:20">
      <c r="A34" s="48">
        <v>90211</v>
      </c>
      <c r="B34" s="49" t="s">
        <v>2139</v>
      </c>
      <c r="C34" s="235">
        <v>1.5330000000000001E-4</v>
      </c>
      <c r="D34" s="235">
        <v>1.4799999999999999E-4</v>
      </c>
      <c r="E34" s="50">
        <v>363680</v>
      </c>
      <c r="F34" s="50"/>
      <c r="G34" s="233">
        <v>56107</v>
      </c>
      <c r="H34" s="221">
        <v>49922</v>
      </c>
      <c r="I34" s="233">
        <v>96507</v>
      </c>
      <c r="J34" s="232">
        <v>7134</v>
      </c>
      <c r="K34" s="88">
        <f t="shared" si="0"/>
        <v>209670</v>
      </c>
      <c r="L34" s="50"/>
      <c r="M34" s="233">
        <v>1883</v>
      </c>
      <c r="N34" s="233">
        <v>0</v>
      </c>
      <c r="O34" s="232">
        <v>9218</v>
      </c>
      <c r="P34" s="88">
        <f t="shared" si="1"/>
        <v>11101</v>
      </c>
      <c r="Q34" s="50"/>
      <c r="R34" s="233">
        <v>101021</v>
      </c>
      <c r="S34" s="232">
        <v>-4342</v>
      </c>
      <c r="T34" s="234">
        <v>96679</v>
      </c>
    </row>
    <row r="35" spans="1:20">
      <c r="A35" s="48">
        <v>90301</v>
      </c>
      <c r="B35" s="49" t="s">
        <v>752</v>
      </c>
      <c r="C35" s="235">
        <v>7.0640000000000004E-4</v>
      </c>
      <c r="D35" s="235">
        <v>6.7040000000000003E-4</v>
      </c>
      <c r="E35" s="50">
        <v>1675822</v>
      </c>
      <c r="F35" s="50"/>
      <c r="G35" s="233">
        <v>258540</v>
      </c>
      <c r="H35" s="221">
        <v>230041</v>
      </c>
      <c r="I35" s="233">
        <v>444699</v>
      </c>
      <c r="J35" s="232">
        <v>1945</v>
      </c>
      <c r="K35" s="88">
        <f t="shared" si="0"/>
        <v>935225</v>
      </c>
      <c r="L35" s="50"/>
      <c r="M35" s="233">
        <v>8675</v>
      </c>
      <c r="N35" s="233">
        <v>0</v>
      </c>
      <c r="O35" s="232">
        <v>11529</v>
      </c>
      <c r="P35" s="88">
        <f t="shared" si="1"/>
        <v>20204</v>
      </c>
      <c r="Q35" s="50"/>
      <c r="R35" s="233">
        <v>465499</v>
      </c>
      <c r="S35" s="232">
        <v>-7033</v>
      </c>
      <c r="T35" s="234">
        <v>458466</v>
      </c>
    </row>
    <row r="36" spans="1:20">
      <c r="A36" s="48">
        <v>90305</v>
      </c>
      <c r="B36" s="49" t="s">
        <v>753</v>
      </c>
      <c r="C36" s="235">
        <v>1.4909999999999999E-4</v>
      </c>
      <c r="D36" s="235">
        <v>1.617E-4</v>
      </c>
      <c r="E36" s="50">
        <v>353716</v>
      </c>
      <c r="F36" s="50"/>
      <c r="G36" s="233">
        <v>54570</v>
      </c>
      <c r="H36" s="221">
        <v>48554</v>
      </c>
      <c r="I36" s="233">
        <v>93863</v>
      </c>
      <c r="J36" s="232">
        <v>12323</v>
      </c>
      <c r="K36" s="88">
        <f t="shared" si="0"/>
        <v>209310</v>
      </c>
      <c r="L36" s="50"/>
      <c r="M36" s="233">
        <v>1831</v>
      </c>
      <c r="N36" s="233">
        <v>0</v>
      </c>
      <c r="O36" s="232">
        <v>0</v>
      </c>
      <c r="P36" s="88">
        <f t="shared" si="1"/>
        <v>1831</v>
      </c>
      <c r="Q36" s="50"/>
      <c r="R36" s="233">
        <v>98253</v>
      </c>
      <c r="S36" s="232">
        <v>10409</v>
      </c>
      <c r="T36" s="234">
        <v>108662</v>
      </c>
    </row>
    <row r="37" spans="1:20">
      <c r="A37" s="48">
        <v>90307</v>
      </c>
      <c r="B37" s="49" t="s">
        <v>2140</v>
      </c>
      <c r="C37" s="235">
        <v>6.6000000000000003E-6</v>
      </c>
      <c r="D37" s="235">
        <v>7.7999999999999999E-6</v>
      </c>
      <c r="E37" s="50">
        <v>15657</v>
      </c>
      <c r="F37" s="50"/>
      <c r="G37" s="233">
        <v>2416</v>
      </c>
      <c r="H37" s="221">
        <v>2149</v>
      </c>
      <c r="I37" s="233">
        <v>4155</v>
      </c>
      <c r="J37" s="232">
        <v>447</v>
      </c>
      <c r="K37" s="88">
        <f t="shared" si="0"/>
        <v>9167</v>
      </c>
      <c r="L37" s="50"/>
      <c r="M37" s="233">
        <v>81</v>
      </c>
      <c r="N37" s="233">
        <v>0</v>
      </c>
      <c r="O37" s="232">
        <v>32</v>
      </c>
      <c r="P37" s="88">
        <f t="shared" si="1"/>
        <v>113</v>
      </c>
      <c r="Q37" s="50"/>
      <c r="R37" s="233">
        <v>4349</v>
      </c>
      <c r="S37" s="232">
        <v>151</v>
      </c>
      <c r="T37" s="234">
        <v>4500</v>
      </c>
    </row>
    <row r="38" spans="1:20">
      <c r="A38" s="48">
        <v>90401</v>
      </c>
      <c r="B38" s="49" t="s">
        <v>755</v>
      </c>
      <c r="C38" s="235">
        <v>1.2583E-3</v>
      </c>
      <c r="D38" s="235">
        <v>1.3270999999999999E-3</v>
      </c>
      <c r="E38" s="50">
        <v>2985118</v>
      </c>
      <c r="F38" s="50"/>
      <c r="G38" s="233">
        <v>460533</v>
      </c>
      <c r="H38" s="221">
        <v>409768</v>
      </c>
      <c r="I38" s="233">
        <v>792135</v>
      </c>
      <c r="J38" s="232">
        <v>17301</v>
      </c>
      <c r="K38" s="88">
        <f t="shared" si="0"/>
        <v>1679737</v>
      </c>
      <c r="L38" s="50"/>
      <c r="M38" s="233">
        <v>15453</v>
      </c>
      <c r="N38" s="233">
        <v>0</v>
      </c>
      <c r="O38" s="232">
        <v>18146</v>
      </c>
      <c r="P38" s="88">
        <f t="shared" si="1"/>
        <v>33599</v>
      </c>
      <c r="Q38" s="50"/>
      <c r="R38" s="233">
        <v>829186</v>
      </c>
      <c r="S38" s="232">
        <v>21476</v>
      </c>
      <c r="T38" s="234">
        <v>850662</v>
      </c>
    </row>
    <row r="39" spans="1:20">
      <c r="A39" s="48">
        <v>90411</v>
      </c>
      <c r="B39" s="49" t="s">
        <v>2141</v>
      </c>
      <c r="C39" s="235">
        <v>3.5110000000000002E-4</v>
      </c>
      <c r="D39" s="235">
        <v>3.5100000000000002E-4</v>
      </c>
      <c r="E39" s="50">
        <v>832929</v>
      </c>
      <c r="F39" s="50"/>
      <c r="G39" s="233">
        <v>128501</v>
      </c>
      <c r="H39" s="221">
        <v>114336</v>
      </c>
      <c r="I39" s="233">
        <v>221027</v>
      </c>
      <c r="J39" s="232">
        <v>0</v>
      </c>
      <c r="K39" s="88">
        <f t="shared" si="0"/>
        <v>463864</v>
      </c>
      <c r="L39" s="50"/>
      <c r="M39" s="233">
        <v>4312</v>
      </c>
      <c r="N39" s="233">
        <v>0</v>
      </c>
      <c r="O39" s="232">
        <v>35756</v>
      </c>
      <c r="P39" s="88">
        <f t="shared" si="1"/>
        <v>40068</v>
      </c>
      <c r="Q39" s="50"/>
      <c r="R39" s="233">
        <v>231365</v>
      </c>
      <c r="S39" s="232">
        <v>-18400</v>
      </c>
      <c r="T39" s="234">
        <v>212965</v>
      </c>
    </row>
    <row r="40" spans="1:20">
      <c r="A40" s="48">
        <v>90413</v>
      </c>
      <c r="B40" s="49" t="s">
        <v>757</v>
      </c>
      <c r="C40" s="235">
        <v>3.4700000000000003E-5</v>
      </c>
      <c r="D40" s="235">
        <v>3.4600000000000001E-5</v>
      </c>
      <c r="E40" s="50">
        <v>82320</v>
      </c>
      <c r="F40" s="50"/>
      <c r="G40" s="233">
        <v>12700</v>
      </c>
      <c r="H40" s="221">
        <v>11300</v>
      </c>
      <c r="I40" s="233">
        <v>21845</v>
      </c>
      <c r="J40" s="232">
        <v>4037</v>
      </c>
      <c r="K40" s="88">
        <f t="shared" si="0"/>
        <v>49882</v>
      </c>
      <c r="L40" s="50"/>
      <c r="M40" s="233">
        <v>426</v>
      </c>
      <c r="N40" s="233">
        <v>0</v>
      </c>
      <c r="O40" s="232">
        <v>687</v>
      </c>
      <c r="P40" s="88">
        <f t="shared" si="1"/>
        <v>1113</v>
      </c>
      <c r="Q40" s="50"/>
      <c r="R40" s="233">
        <v>22866</v>
      </c>
      <c r="S40" s="232">
        <v>3839</v>
      </c>
      <c r="T40" s="234">
        <v>26705</v>
      </c>
    </row>
    <row r="41" spans="1:20">
      <c r="A41" s="48">
        <v>90417</v>
      </c>
      <c r="B41" s="49" t="s">
        <v>758</v>
      </c>
      <c r="C41" s="235">
        <v>1.19E-5</v>
      </c>
      <c r="D41" s="235">
        <v>1.17E-5</v>
      </c>
      <c r="E41" s="50">
        <v>28231</v>
      </c>
      <c r="F41" s="50"/>
      <c r="G41" s="233">
        <v>4355</v>
      </c>
      <c r="H41" s="221">
        <v>3875</v>
      </c>
      <c r="I41" s="233">
        <v>7491</v>
      </c>
      <c r="J41" s="232">
        <v>4872</v>
      </c>
      <c r="K41" s="88">
        <f t="shared" si="0"/>
        <v>20593</v>
      </c>
      <c r="L41" s="50"/>
      <c r="M41" s="233">
        <v>146</v>
      </c>
      <c r="N41" s="233">
        <v>0</v>
      </c>
      <c r="O41" s="232">
        <v>0</v>
      </c>
      <c r="P41" s="88">
        <f t="shared" si="1"/>
        <v>146</v>
      </c>
      <c r="Q41" s="50"/>
      <c r="R41" s="233">
        <v>7842</v>
      </c>
      <c r="S41" s="232">
        <v>1871</v>
      </c>
      <c r="T41" s="234">
        <v>9713</v>
      </c>
    </row>
    <row r="42" spans="1:20">
      <c r="A42" s="48">
        <v>90421</v>
      </c>
      <c r="B42" s="49" t="s">
        <v>2142</v>
      </c>
      <c r="C42" s="235">
        <v>2.09E-5</v>
      </c>
      <c r="D42" s="235">
        <v>2.19E-5</v>
      </c>
      <c r="E42" s="50">
        <v>49582</v>
      </c>
      <c r="F42" s="50"/>
      <c r="G42" s="233">
        <v>7649</v>
      </c>
      <c r="H42" s="221">
        <v>6806</v>
      </c>
      <c r="I42" s="233">
        <v>13157</v>
      </c>
      <c r="J42" s="232">
        <v>0</v>
      </c>
      <c r="K42" s="88">
        <f t="shared" si="0"/>
        <v>27612</v>
      </c>
      <c r="L42" s="50"/>
      <c r="M42" s="233">
        <v>257</v>
      </c>
      <c r="N42" s="233">
        <v>0</v>
      </c>
      <c r="O42" s="232">
        <v>4614</v>
      </c>
      <c r="P42" s="88">
        <f t="shared" si="1"/>
        <v>4871</v>
      </c>
      <c r="Q42" s="50"/>
      <c r="R42" s="233">
        <v>13773</v>
      </c>
      <c r="S42" s="232">
        <v>-2235</v>
      </c>
      <c r="T42" s="234">
        <v>11538</v>
      </c>
    </row>
    <row r="43" spans="1:20">
      <c r="A43" s="48">
        <v>90431</v>
      </c>
      <c r="B43" s="49" t="s">
        <v>2143</v>
      </c>
      <c r="C43" s="235">
        <v>4.5099999999999998E-5</v>
      </c>
      <c r="D43" s="235">
        <v>4.8300000000000002E-5</v>
      </c>
      <c r="E43" s="50">
        <v>106993</v>
      </c>
      <c r="F43" s="50"/>
      <c r="G43" s="233">
        <v>16506</v>
      </c>
      <c r="H43" s="221">
        <v>14687</v>
      </c>
      <c r="I43" s="233">
        <v>28392</v>
      </c>
      <c r="J43" s="232">
        <v>4577</v>
      </c>
      <c r="K43" s="88">
        <f t="shared" si="0"/>
        <v>64162</v>
      </c>
      <c r="L43" s="50"/>
      <c r="M43" s="233">
        <v>554</v>
      </c>
      <c r="N43" s="233">
        <v>0</v>
      </c>
      <c r="O43" s="232">
        <v>2267</v>
      </c>
      <c r="P43" s="88">
        <f t="shared" si="1"/>
        <v>2821</v>
      </c>
      <c r="Q43" s="50"/>
      <c r="R43" s="233">
        <v>29720</v>
      </c>
      <c r="S43" s="232">
        <v>3281</v>
      </c>
      <c r="T43" s="234">
        <v>33001</v>
      </c>
    </row>
    <row r="44" spans="1:20">
      <c r="A44" s="48">
        <v>90441</v>
      </c>
      <c r="B44" s="49" t="s">
        <v>2144</v>
      </c>
      <c r="C44" s="235">
        <v>7.5000000000000002E-6</v>
      </c>
      <c r="D44" s="235">
        <v>8.3999999999999992E-6</v>
      </c>
      <c r="E44" s="50">
        <v>17793</v>
      </c>
      <c r="F44" s="50" t="s">
        <v>1929</v>
      </c>
      <c r="G44" s="233">
        <v>2745</v>
      </c>
      <c r="H44" s="221">
        <v>2443</v>
      </c>
      <c r="I44" s="233">
        <v>4721</v>
      </c>
      <c r="J44" s="232">
        <v>827</v>
      </c>
      <c r="K44" s="88">
        <f t="shared" si="0"/>
        <v>10736</v>
      </c>
      <c r="L44" s="50"/>
      <c r="M44" s="233">
        <v>92</v>
      </c>
      <c r="N44" s="233">
        <v>0</v>
      </c>
      <c r="O44" s="232">
        <v>58</v>
      </c>
      <c r="P44" s="88">
        <f t="shared" si="1"/>
        <v>150</v>
      </c>
      <c r="Q44" s="50"/>
      <c r="R44" s="233">
        <v>4942</v>
      </c>
      <c r="S44" s="232">
        <v>771</v>
      </c>
      <c r="T44" s="234">
        <v>5713</v>
      </c>
    </row>
    <row r="45" spans="1:20">
      <c r="A45" s="48">
        <v>90451</v>
      </c>
      <c r="B45" s="49" t="s">
        <v>2145</v>
      </c>
      <c r="C45" s="235">
        <v>2.05E-5</v>
      </c>
      <c r="D45" s="235">
        <v>1.6699999999999999E-5</v>
      </c>
      <c r="E45" s="50">
        <v>48633</v>
      </c>
      <c r="F45" s="50" t="s">
        <v>1929</v>
      </c>
      <c r="G45" s="233">
        <v>7503</v>
      </c>
      <c r="H45" s="221">
        <v>6676</v>
      </c>
      <c r="I45" s="233">
        <v>12905</v>
      </c>
      <c r="J45" s="232">
        <v>3881</v>
      </c>
      <c r="K45" s="88">
        <f t="shared" si="0"/>
        <v>30965</v>
      </c>
      <c r="L45" s="50"/>
      <c r="M45" s="233">
        <v>252</v>
      </c>
      <c r="N45" s="233">
        <v>0</v>
      </c>
      <c r="O45" s="232">
        <v>623</v>
      </c>
      <c r="P45" s="88">
        <f t="shared" si="1"/>
        <v>875</v>
      </c>
      <c r="Q45" s="50"/>
      <c r="R45" s="233">
        <v>13509</v>
      </c>
      <c r="S45" s="232">
        <v>1281</v>
      </c>
      <c r="T45" s="234">
        <v>14790</v>
      </c>
    </row>
    <row r="46" spans="1:20">
      <c r="A46" s="48">
        <v>90461</v>
      </c>
      <c r="B46" s="49" t="s">
        <v>2146</v>
      </c>
      <c r="C46" s="235">
        <v>5.5999999999999997E-6</v>
      </c>
      <c r="D46" s="235">
        <v>7.4000000000000003E-6</v>
      </c>
      <c r="E46" s="50">
        <v>13285</v>
      </c>
      <c r="F46" s="50" t="s">
        <v>1929</v>
      </c>
      <c r="G46" s="233">
        <v>2050</v>
      </c>
      <c r="H46" s="221">
        <v>1823</v>
      </c>
      <c r="I46" s="233">
        <v>3525</v>
      </c>
      <c r="J46" s="232">
        <v>1470</v>
      </c>
      <c r="K46" s="88">
        <f t="shared" si="0"/>
        <v>8868</v>
      </c>
      <c r="L46" s="50"/>
      <c r="M46" s="233">
        <v>69</v>
      </c>
      <c r="N46" s="233">
        <v>0</v>
      </c>
      <c r="O46" s="232">
        <v>4983</v>
      </c>
      <c r="P46" s="88">
        <f t="shared" si="1"/>
        <v>5052</v>
      </c>
      <c r="Q46" s="50"/>
      <c r="R46" s="233">
        <v>3690</v>
      </c>
      <c r="S46" s="232">
        <v>-968</v>
      </c>
      <c r="T46" s="234">
        <v>2722</v>
      </c>
    </row>
    <row r="47" spans="1:20">
      <c r="A47" s="48">
        <v>90501</v>
      </c>
      <c r="B47" s="49" t="s">
        <v>764</v>
      </c>
      <c r="C47" s="235">
        <v>1.3675E-3</v>
      </c>
      <c r="D47" s="235">
        <v>1.4176E-3</v>
      </c>
      <c r="E47" s="50">
        <v>3244178</v>
      </c>
      <c r="F47" s="50" t="s">
        <v>1929</v>
      </c>
      <c r="G47" s="233">
        <v>500500</v>
      </c>
      <c r="H47" s="221">
        <v>445329</v>
      </c>
      <c r="I47" s="233">
        <v>860880</v>
      </c>
      <c r="J47" s="232">
        <v>26910</v>
      </c>
      <c r="K47" s="88">
        <f t="shared" si="0"/>
        <v>1833619</v>
      </c>
      <c r="L47" s="50"/>
      <c r="M47" s="233">
        <v>16794</v>
      </c>
      <c r="N47" s="233">
        <v>0</v>
      </c>
      <c r="O47" s="232">
        <v>5948</v>
      </c>
      <c r="P47" s="88">
        <f t="shared" si="1"/>
        <v>22742</v>
      </c>
      <c r="Q47" s="50"/>
      <c r="R47" s="233">
        <v>901146</v>
      </c>
      <c r="S47" s="232">
        <v>25526</v>
      </c>
      <c r="T47" s="234">
        <v>926672</v>
      </c>
    </row>
    <row r="48" spans="1:20">
      <c r="A48" s="48">
        <v>90507</v>
      </c>
      <c r="B48" s="49" t="s">
        <v>34</v>
      </c>
      <c r="C48" s="235">
        <v>6.3999999999999997E-6</v>
      </c>
      <c r="D48" s="235">
        <v>6.6000000000000003E-6</v>
      </c>
      <c r="E48" s="50">
        <v>15183</v>
      </c>
      <c r="F48" s="50" t="s">
        <v>1929</v>
      </c>
      <c r="G48" s="233">
        <v>2342</v>
      </c>
      <c r="H48" s="221">
        <v>2084</v>
      </c>
      <c r="I48" s="233">
        <v>4029</v>
      </c>
      <c r="J48" s="232">
        <v>13580</v>
      </c>
      <c r="K48" s="88">
        <f t="shared" si="0"/>
        <v>22035</v>
      </c>
      <c r="L48" s="50"/>
      <c r="M48" s="233">
        <v>79</v>
      </c>
      <c r="N48" s="233">
        <v>0</v>
      </c>
      <c r="O48" s="232">
        <v>0</v>
      </c>
      <c r="P48" s="88">
        <f t="shared" si="1"/>
        <v>79</v>
      </c>
      <c r="Q48" s="50"/>
      <c r="R48" s="233">
        <v>4217</v>
      </c>
      <c r="S48" s="232">
        <v>5652</v>
      </c>
      <c r="T48" s="234">
        <v>9869</v>
      </c>
    </row>
    <row r="49" spans="1:20">
      <c r="A49" s="48">
        <v>90511</v>
      </c>
      <c r="B49" s="49" t="s">
        <v>2147</v>
      </c>
      <c r="C49" s="235">
        <v>8.25E-5</v>
      </c>
      <c r="D49" s="235">
        <v>8.7000000000000001E-5</v>
      </c>
      <c r="E49" s="50">
        <v>195718</v>
      </c>
      <c r="F49" s="50" t="s">
        <v>1929</v>
      </c>
      <c r="G49" s="233">
        <v>30195</v>
      </c>
      <c r="H49" s="221">
        <v>26866</v>
      </c>
      <c r="I49" s="233">
        <v>51936</v>
      </c>
      <c r="J49" s="232">
        <v>16195</v>
      </c>
      <c r="K49" s="88">
        <f t="shared" si="0"/>
        <v>125192</v>
      </c>
      <c r="L49" s="50"/>
      <c r="M49" s="233">
        <v>1013</v>
      </c>
      <c r="N49" s="233">
        <v>0</v>
      </c>
      <c r="O49" s="232">
        <v>0</v>
      </c>
      <c r="P49" s="88">
        <f t="shared" si="1"/>
        <v>1013</v>
      </c>
      <c r="Q49" s="50"/>
      <c r="R49" s="233">
        <v>54365</v>
      </c>
      <c r="S49" s="232">
        <v>8520</v>
      </c>
      <c r="T49" s="234">
        <v>62885</v>
      </c>
    </row>
    <row r="50" spans="1:20">
      <c r="A50" s="48">
        <v>90521</v>
      </c>
      <c r="B50" s="49" t="s">
        <v>2148</v>
      </c>
      <c r="C50" s="235">
        <v>1.281E-4</v>
      </c>
      <c r="D50" s="235">
        <v>1.3880000000000001E-4</v>
      </c>
      <c r="E50" s="50">
        <v>303897</v>
      </c>
      <c r="F50" s="50" t="s">
        <v>1929</v>
      </c>
      <c r="G50" s="233">
        <v>46884</v>
      </c>
      <c r="H50" s="221">
        <v>41717</v>
      </c>
      <c r="I50" s="233">
        <v>80643</v>
      </c>
      <c r="J50" s="232">
        <v>0</v>
      </c>
      <c r="K50" s="88">
        <f t="shared" si="0"/>
        <v>169244</v>
      </c>
      <c r="L50" s="50"/>
      <c r="M50" s="233">
        <v>1573</v>
      </c>
      <c r="N50" s="233">
        <v>0</v>
      </c>
      <c r="O50" s="232">
        <v>24197</v>
      </c>
      <c r="P50" s="88">
        <f t="shared" si="1"/>
        <v>25770</v>
      </c>
      <c r="Q50" s="50"/>
      <c r="R50" s="233">
        <v>84414</v>
      </c>
      <c r="S50" s="232">
        <v>-10337</v>
      </c>
      <c r="T50" s="234">
        <v>74077</v>
      </c>
    </row>
    <row r="51" spans="1:20">
      <c r="A51" s="48">
        <v>90601</v>
      </c>
      <c r="B51" s="49" t="s">
        <v>767</v>
      </c>
      <c r="C51" s="235">
        <v>1.1383999999999999E-3</v>
      </c>
      <c r="D51" s="235">
        <v>1.1888000000000001E-3</v>
      </c>
      <c r="E51" s="50">
        <v>2700674</v>
      </c>
      <c r="F51" s="50" t="s">
        <v>1929</v>
      </c>
      <c r="G51" s="233">
        <v>416650</v>
      </c>
      <c r="H51" s="221">
        <v>370722</v>
      </c>
      <c r="I51" s="233">
        <v>716655</v>
      </c>
      <c r="J51" s="232">
        <v>5621</v>
      </c>
      <c r="K51" s="88">
        <f t="shared" si="0"/>
        <v>1509648</v>
      </c>
      <c r="L51" s="50"/>
      <c r="M51" s="233">
        <v>13981</v>
      </c>
      <c r="N51" s="233">
        <v>0</v>
      </c>
      <c r="O51" s="232">
        <v>38880</v>
      </c>
      <c r="P51" s="88">
        <f t="shared" si="1"/>
        <v>52861</v>
      </c>
      <c r="Q51" s="50"/>
      <c r="R51" s="233">
        <v>750175</v>
      </c>
      <c r="S51" s="232">
        <v>1751</v>
      </c>
      <c r="T51" s="234">
        <v>751926</v>
      </c>
    </row>
    <row r="52" spans="1:20">
      <c r="A52" s="48">
        <v>90602</v>
      </c>
      <c r="B52" s="49" t="s">
        <v>259</v>
      </c>
      <c r="C52" s="235">
        <v>6.3100000000000002E-5</v>
      </c>
      <c r="D52" s="235">
        <v>6.3899999999999995E-5</v>
      </c>
      <c r="E52" s="50">
        <v>149695</v>
      </c>
      <c r="F52" s="50" t="s">
        <v>1929</v>
      </c>
      <c r="G52" s="233">
        <v>23094</v>
      </c>
      <c r="H52" s="221">
        <v>20549</v>
      </c>
      <c r="I52" s="233">
        <v>39723</v>
      </c>
      <c r="J52" s="232">
        <v>34569</v>
      </c>
      <c r="K52" s="88">
        <f t="shared" si="0"/>
        <v>117935</v>
      </c>
      <c r="L52" s="50"/>
      <c r="M52" s="233">
        <v>775</v>
      </c>
      <c r="N52" s="233">
        <v>0</v>
      </c>
      <c r="O52" s="232">
        <v>0</v>
      </c>
      <c r="P52" s="88">
        <f t="shared" si="1"/>
        <v>775</v>
      </c>
      <c r="Q52" s="50"/>
      <c r="R52" s="233">
        <v>41581</v>
      </c>
      <c r="S52" s="232">
        <v>16640</v>
      </c>
      <c r="T52" s="234">
        <v>58221</v>
      </c>
    </row>
    <row r="53" spans="1:20">
      <c r="A53" s="48">
        <v>90605</v>
      </c>
      <c r="B53" s="49" t="s">
        <v>768</v>
      </c>
      <c r="C53" s="235">
        <v>3.9199999999999997E-5</v>
      </c>
      <c r="D53" s="235">
        <v>4.1999999999999998E-5</v>
      </c>
      <c r="E53" s="50">
        <v>92996</v>
      </c>
      <c r="F53" s="50" t="s">
        <v>1929</v>
      </c>
      <c r="G53" s="233">
        <v>14347</v>
      </c>
      <c r="H53" s="221">
        <v>12765</v>
      </c>
      <c r="I53" s="233">
        <v>24677</v>
      </c>
      <c r="J53" s="232">
        <v>14565</v>
      </c>
      <c r="K53" s="88">
        <f t="shared" si="0"/>
        <v>66354</v>
      </c>
      <c r="L53" s="50"/>
      <c r="M53" s="233">
        <v>481</v>
      </c>
      <c r="N53" s="233">
        <v>0</v>
      </c>
      <c r="O53" s="232">
        <v>0</v>
      </c>
      <c r="P53" s="88">
        <f t="shared" si="1"/>
        <v>481</v>
      </c>
      <c r="Q53" s="50"/>
      <c r="R53" s="233">
        <v>25832</v>
      </c>
      <c r="S53" s="232">
        <v>6805</v>
      </c>
      <c r="T53" s="234">
        <v>32637</v>
      </c>
    </row>
    <row r="54" spans="1:20">
      <c r="A54" s="48">
        <v>90611</v>
      </c>
      <c r="B54" s="49" t="s">
        <v>2149</v>
      </c>
      <c r="C54" s="235">
        <v>1.4009999999999999E-4</v>
      </c>
      <c r="D54" s="235">
        <v>1.4880000000000001E-4</v>
      </c>
      <c r="E54" s="50">
        <v>332365</v>
      </c>
      <c r="F54" s="50" t="s">
        <v>1929</v>
      </c>
      <c r="G54" s="233">
        <v>51276</v>
      </c>
      <c r="H54" s="221">
        <v>45624</v>
      </c>
      <c r="I54" s="233">
        <v>88197</v>
      </c>
      <c r="J54" s="232">
        <v>0</v>
      </c>
      <c r="K54" s="88">
        <f t="shared" si="0"/>
        <v>185097</v>
      </c>
      <c r="L54" s="50"/>
      <c r="M54" s="233">
        <v>1721</v>
      </c>
      <c r="N54" s="233">
        <v>0</v>
      </c>
      <c r="O54" s="232">
        <v>20888</v>
      </c>
      <c r="P54" s="88">
        <f t="shared" si="1"/>
        <v>22609</v>
      </c>
      <c r="Q54" s="50"/>
      <c r="R54" s="233">
        <v>92322</v>
      </c>
      <c r="S54" s="232">
        <v>-5234</v>
      </c>
      <c r="T54" s="234">
        <v>87088</v>
      </c>
    </row>
    <row r="55" spans="1:20">
      <c r="A55" s="48">
        <v>90617</v>
      </c>
      <c r="B55" s="49" t="s">
        <v>770</v>
      </c>
      <c r="C55" s="235">
        <v>2.72E-5</v>
      </c>
      <c r="D55" s="235">
        <v>2.5999999999999998E-5</v>
      </c>
      <c r="E55" s="50">
        <v>64528</v>
      </c>
      <c r="F55" s="50" t="s">
        <v>1929</v>
      </c>
      <c r="G55" s="233">
        <v>9955</v>
      </c>
      <c r="H55" s="221">
        <v>8857</v>
      </c>
      <c r="I55" s="233">
        <v>17123</v>
      </c>
      <c r="J55" s="232">
        <v>5515</v>
      </c>
      <c r="K55" s="88">
        <f t="shared" si="0"/>
        <v>41450</v>
      </c>
      <c r="L55" s="50"/>
      <c r="M55" s="233">
        <v>334</v>
      </c>
      <c r="N55" s="233">
        <v>0</v>
      </c>
      <c r="O55" s="232">
        <v>0</v>
      </c>
      <c r="P55" s="88">
        <f t="shared" si="1"/>
        <v>334</v>
      </c>
      <c r="Q55" s="50"/>
      <c r="R55" s="233">
        <v>17924</v>
      </c>
      <c r="S55" s="232">
        <v>4552</v>
      </c>
      <c r="T55" s="234">
        <v>22476</v>
      </c>
    </row>
    <row r="56" spans="1:20">
      <c r="A56" s="48">
        <v>90621</v>
      </c>
      <c r="B56" s="49" t="s">
        <v>2150</v>
      </c>
      <c r="C56" s="235">
        <v>6.5699999999999998E-5</v>
      </c>
      <c r="D56" s="235">
        <v>6.3999999999999997E-5</v>
      </c>
      <c r="E56" s="50">
        <v>155863</v>
      </c>
      <c r="F56" s="50" t="s">
        <v>1929</v>
      </c>
      <c r="G56" s="233">
        <v>24046</v>
      </c>
      <c r="H56" s="221">
        <v>21396</v>
      </c>
      <c r="I56" s="233">
        <v>41360</v>
      </c>
      <c r="J56" s="232">
        <v>0</v>
      </c>
      <c r="K56" s="88">
        <f t="shared" si="0"/>
        <v>86802</v>
      </c>
      <c r="L56" s="50"/>
      <c r="M56" s="233">
        <v>807</v>
      </c>
      <c r="N56" s="233">
        <v>0</v>
      </c>
      <c r="O56" s="232">
        <v>15822</v>
      </c>
      <c r="P56" s="88">
        <f t="shared" si="1"/>
        <v>16629</v>
      </c>
      <c r="Q56" s="50"/>
      <c r="R56" s="233">
        <v>43295</v>
      </c>
      <c r="S56" s="232">
        <v>-6033</v>
      </c>
      <c r="T56" s="234">
        <v>37262</v>
      </c>
    </row>
    <row r="57" spans="1:20">
      <c r="A57" s="48">
        <v>90631</v>
      </c>
      <c r="B57" s="49" t="s">
        <v>2151</v>
      </c>
      <c r="C57" s="235">
        <v>3.7120000000000002E-4</v>
      </c>
      <c r="D57" s="235">
        <v>3.9560000000000002E-4</v>
      </c>
      <c r="E57" s="50">
        <v>880613</v>
      </c>
      <c r="F57" s="50" t="s">
        <v>1929</v>
      </c>
      <c r="G57" s="233">
        <v>135858</v>
      </c>
      <c r="H57" s="221">
        <v>120882</v>
      </c>
      <c r="I57" s="233">
        <v>233681</v>
      </c>
      <c r="J57" s="232">
        <v>12101</v>
      </c>
      <c r="K57" s="88">
        <f t="shared" si="0"/>
        <v>502522</v>
      </c>
      <c r="L57" s="50"/>
      <c r="M57" s="233">
        <v>4559</v>
      </c>
      <c r="N57" s="233">
        <v>0</v>
      </c>
      <c r="O57" s="232">
        <v>18351</v>
      </c>
      <c r="P57" s="88">
        <f t="shared" si="1"/>
        <v>22910</v>
      </c>
      <c r="Q57" s="50"/>
      <c r="R57" s="233">
        <v>244611</v>
      </c>
      <c r="S57" s="232">
        <v>-4506</v>
      </c>
      <c r="T57" s="234">
        <v>240105</v>
      </c>
    </row>
    <row r="58" spans="1:20">
      <c r="A58" s="48">
        <v>90641</v>
      </c>
      <c r="B58" s="49" t="s">
        <v>2152</v>
      </c>
      <c r="C58" s="235">
        <v>1.2999999999999999E-5</v>
      </c>
      <c r="D58" s="235">
        <v>1.38E-5</v>
      </c>
      <c r="E58" s="50">
        <v>30840</v>
      </c>
      <c r="F58" s="50" t="s">
        <v>1929</v>
      </c>
      <c r="G58" s="233">
        <v>4758</v>
      </c>
      <c r="H58" s="221">
        <v>4233</v>
      </c>
      <c r="I58" s="233">
        <v>8184</v>
      </c>
      <c r="J58" s="232">
        <v>250</v>
      </c>
      <c r="K58" s="88">
        <f t="shared" si="0"/>
        <v>17425</v>
      </c>
      <c r="L58" s="50"/>
      <c r="M58" s="233">
        <v>160</v>
      </c>
      <c r="N58" s="233">
        <v>0</v>
      </c>
      <c r="O58" s="232">
        <v>254</v>
      </c>
      <c r="P58" s="88">
        <f t="shared" si="1"/>
        <v>414</v>
      </c>
      <c r="Q58" s="50"/>
      <c r="R58" s="233">
        <v>8567</v>
      </c>
      <c r="S58" s="232">
        <v>-102</v>
      </c>
      <c r="T58" s="234">
        <v>8465</v>
      </c>
    </row>
    <row r="59" spans="1:20">
      <c r="A59" s="48">
        <v>90651</v>
      </c>
      <c r="B59" s="49" t="s">
        <v>2153</v>
      </c>
      <c r="C59" s="235">
        <v>1.064E-4</v>
      </c>
      <c r="D59" s="235">
        <v>1E-4</v>
      </c>
      <c r="E59" s="50">
        <v>252417</v>
      </c>
      <c r="F59" s="50" t="s">
        <v>1929</v>
      </c>
      <c r="G59" s="233">
        <v>38942</v>
      </c>
      <c r="H59" s="221">
        <v>34650</v>
      </c>
      <c r="I59" s="233">
        <v>66982</v>
      </c>
      <c r="J59" s="232">
        <v>100554</v>
      </c>
      <c r="K59" s="88">
        <f t="shared" si="0"/>
        <v>241128</v>
      </c>
      <c r="L59" s="50"/>
      <c r="M59" s="233">
        <v>1307</v>
      </c>
      <c r="N59" s="233">
        <v>0</v>
      </c>
      <c r="O59" s="232">
        <v>0</v>
      </c>
      <c r="P59" s="88">
        <f t="shared" si="1"/>
        <v>1307</v>
      </c>
      <c r="Q59" s="50"/>
      <c r="R59" s="233">
        <v>70115</v>
      </c>
      <c r="S59" s="232">
        <v>36979</v>
      </c>
      <c r="T59" s="234">
        <v>107094</v>
      </c>
    </row>
    <row r="60" spans="1:20">
      <c r="A60" s="48">
        <v>90701</v>
      </c>
      <c r="B60" s="49" t="s">
        <v>775</v>
      </c>
      <c r="C60" s="235">
        <v>2.6327999999999998E-3</v>
      </c>
      <c r="D60" s="235">
        <v>2.6581E-3</v>
      </c>
      <c r="E60" s="50">
        <v>6245902</v>
      </c>
      <c r="F60" s="50" t="s">
        <v>1929</v>
      </c>
      <c r="G60" s="233">
        <v>963594</v>
      </c>
      <c r="H60" s="221">
        <v>857376</v>
      </c>
      <c r="I60" s="233">
        <v>1657421</v>
      </c>
      <c r="J60" s="232">
        <v>84751</v>
      </c>
      <c r="K60" s="88">
        <f t="shared" si="0"/>
        <v>3563142</v>
      </c>
      <c r="L60" s="50"/>
      <c r="M60" s="233">
        <v>32333</v>
      </c>
      <c r="N60" s="233">
        <v>0</v>
      </c>
      <c r="O60" s="232">
        <v>109908</v>
      </c>
      <c r="P60" s="88">
        <f t="shared" si="1"/>
        <v>142241</v>
      </c>
      <c r="Q60" s="50"/>
      <c r="R60" s="233">
        <v>1734944</v>
      </c>
      <c r="S60" s="232">
        <v>11083</v>
      </c>
      <c r="T60" s="234">
        <v>1746027</v>
      </c>
    </row>
    <row r="61" spans="1:20">
      <c r="A61" s="48">
        <v>90704</v>
      </c>
      <c r="B61" s="49" t="s">
        <v>776</v>
      </c>
      <c r="C61" s="235">
        <v>3.4100000000000002E-5</v>
      </c>
      <c r="D61" s="235">
        <v>3.3300000000000003E-5</v>
      </c>
      <c r="E61" s="50">
        <v>80897</v>
      </c>
      <c r="F61" s="50" t="s">
        <v>1929</v>
      </c>
      <c r="G61" s="233">
        <v>12480</v>
      </c>
      <c r="H61" s="221">
        <v>11105</v>
      </c>
      <c r="I61" s="233">
        <v>21467</v>
      </c>
      <c r="J61" s="232">
        <v>17851</v>
      </c>
      <c r="K61" s="88">
        <f t="shared" si="0"/>
        <v>62903</v>
      </c>
      <c r="L61" s="50"/>
      <c r="M61" s="233">
        <v>419</v>
      </c>
      <c r="N61" s="233">
        <v>0</v>
      </c>
      <c r="O61" s="232">
        <v>0</v>
      </c>
      <c r="P61" s="88">
        <f t="shared" si="1"/>
        <v>419</v>
      </c>
      <c r="Q61" s="50"/>
      <c r="R61" s="233">
        <v>22471</v>
      </c>
      <c r="S61" s="232">
        <v>7847</v>
      </c>
      <c r="T61" s="234">
        <v>30318</v>
      </c>
    </row>
    <row r="62" spans="1:20">
      <c r="A62" s="48">
        <v>90705</v>
      </c>
      <c r="B62" s="49" t="s">
        <v>777</v>
      </c>
      <c r="C62" s="235">
        <v>3.6000000000000001E-5</v>
      </c>
      <c r="D62" s="235">
        <v>5.3000000000000001E-5</v>
      </c>
      <c r="E62" s="50">
        <v>85404</v>
      </c>
      <c r="F62" s="50" t="s">
        <v>1929</v>
      </c>
      <c r="G62" s="233">
        <v>13176</v>
      </c>
      <c r="H62" s="221">
        <v>11723</v>
      </c>
      <c r="I62" s="233">
        <v>22663</v>
      </c>
      <c r="J62" s="232">
        <v>12180</v>
      </c>
      <c r="K62" s="88">
        <f t="shared" si="0"/>
        <v>59742</v>
      </c>
      <c r="L62" s="50"/>
      <c r="M62" s="233">
        <v>442</v>
      </c>
      <c r="N62" s="233">
        <v>0</v>
      </c>
      <c r="O62" s="232">
        <v>7440</v>
      </c>
      <c r="P62" s="88">
        <f t="shared" si="1"/>
        <v>7882</v>
      </c>
      <c r="Q62" s="50"/>
      <c r="R62" s="233">
        <v>23723</v>
      </c>
      <c r="S62" s="232">
        <v>4327</v>
      </c>
      <c r="T62" s="234">
        <v>28050</v>
      </c>
    </row>
    <row r="63" spans="1:20">
      <c r="A63" s="48">
        <v>90709</v>
      </c>
      <c r="B63" s="49" t="s">
        <v>778</v>
      </c>
      <c r="C63" s="235">
        <v>1.683E-4</v>
      </c>
      <c r="D63" s="235">
        <v>1.2650000000000001E-4</v>
      </c>
      <c r="E63" s="50">
        <v>399265</v>
      </c>
      <c r="F63" s="50" t="s">
        <v>1929</v>
      </c>
      <c r="G63" s="233">
        <v>61597</v>
      </c>
      <c r="H63" s="221">
        <v>54807</v>
      </c>
      <c r="I63" s="233">
        <v>105950</v>
      </c>
      <c r="J63" s="232">
        <v>39082</v>
      </c>
      <c r="K63" s="88">
        <f t="shared" si="0"/>
        <v>261436</v>
      </c>
      <c r="L63" s="50"/>
      <c r="M63" s="233">
        <v>2067</v>
      </c>
      <c r="N63" s="233">
        <v>0</v>
      </c>
      <c r="O63" s="232">
        <v>28001</v>
      </c>
      <c r="P63" s="88">
        <f t="shared" si="1"/>
        <v>30068</v>
      </c>
      <c r="Q63" s="50"/>
      <c r="R63" s="233">
        <v>110905</v>
      </c>
      <c r="S63" s="232">
        <v>346</v>
      </c>
      <c r="T63" s="234">
        <v>111251</v>
      </c>
    </row>
    <row r="64" spans="1:20">
      <c r="A64" s="48">
        <v>90711</v>
      </c>
      <c r="B64" s="49" t="s">
        <v>779</v>
      </c>
      <c r="C64" s="235">
        <v>1.6165000000000001E-3</v>
      </c>
      <c r="D64" s="235">
        <v>1.6877000000000001E-3</v>
      </c>
      <c r="E64" s="50">
        <v>3834891</v>
      </c>
      <c r="F64" s="50" t="s">
        <v>1929</v>
      </c>
      <c r="G64" s="233">
        <v>591633</v>
      </c>
      <c r="H64" s="221">
        <v>526416</v>
      </c>
      <c r="I64" s="233">
        <v>1017632</v>
      </c>
      <c r="J64" s="232">
        <v>0</v>
      </c>
      <c r="K64" s="88">
        <f t="shared" si="0"/>
        <v>2135681</v>
      </c>
      <c r="L64" s="50"/>
      <c r="M64" s="233">
        <v>19852</v>
      </c>
      <c r="N64" s="233">
        <v>0</v>
      </c>
      <c r="O64" s="232">
        <v>152515</v>
      </c>
      <c r="P64" s="88">
        <f t="shared" si="1"/>
        <v>172367</v>
      </c>
      <c r="Q64" s="50"/>
      <c r="R64" s="233">
        <v>1065230</v>
      </c>
      <c r="S64" s="232">
        <v>-83743</v>
      </c>
      <c r="T64" s="234">
        <v>981487</v>
      </c>
    </row>
    <row r="65" spans="1:20">
      <c r="A65" s="48">
        <v>90721</v>
      </c>
      <c r="B65" s="49" t="s">
        <v>2154</v>
      </c>
      <c r="C65" s="235">
        <v>2.8200000000000001E-5</v>
      </c>
      <c r="D65" s="235">
        <v>2.8600000000000001E-5</v>
      </c>
      <c r="E65" s="50">
        <v>66900</v>
      </c>
      <c r="F65" s="50" t="s">
        <v>1929</v>
      </c>
      <c r="G65" s="233">
        <v>10321</v>
      </c>
      <c r="H65" s="221">
        <v>9183</v>
      </c>
      <c r="I65" s="233">
        <v>17753</v>
      </c>
      <c r="J65" s="232">
        <v>792</v>
      </c>
      <c r="K65" s="88">
        <f t="shared" si="0"/>
        <v>38049</v>
      </c>
      <c r="L65" s="50"/>
      <c r="M65" s="233">
        <v>346</v>
      </c>
      <c r="N65" s="233">
        <v>0</v>
      </c>
      <c r="O65" s="232">
        <v>3624</v>
      </c>
      <c r="P65" s="88">
        <f t="shared" si="1"/>
        <v>3970</v>
      </c>
      <c r="Q65" s="50"/>
      <c r="R65" s="233">
        <v>18583</v>
      </c>
      <c r="S65" s="232">
        <v>1108</v>
      </c>
      <c r="T65" s="234">
        <v>19691</v>
      </c>
    </row>
    <row r="66" spans="1:20">
      <c r="A66" s="48">
        <v>90731</v>
      </c>
      <c r="B66" s="49" t="s">
        <v>2155</v>
      </c>
      <c r="C66" s="235">
        <v>1.4919999999999999E-4</v>
      </c>
      <c r="D66" s="235">
        <v>1.741E-4</v>
      </c>
      <c r="E66" s="50">
        <v>353953</v>
      </c>
      <c r="F66" s="50" t="s">
        <v>1929</v>
      </c>
      <c r="G66" s="233">
        <v>54607</v>
      </c>
      <c r="H66" s="221">
        <v>48587</v>
      </c>
      <c r="I66" s="233">
        <v>93926</v>
      </c>
      <c r="J66" s="232">
        <v>0</v>
      </c>
      <c r="K66" s="88">
        <f t="shared" si="0"/>
        <v>197120</v>
      </c>
      <c r="L66" s="50"/>
      <c r="M66" s="233">
        <v>1832</v>
      </c>
      <c r="N66" s="233">
        <v>0</v>
      </c>
      <c r="O66" s="232">
        <v>24103</v>
      </c>
      <c r="P66" s="88">
        <f t="shared" si="1"/>
        <v>25935</v>
      </c>
      <c r="Q66" s="50"/>
      <c r="R66" s="233">
        <v>98319</v>
      </c>
      <c r="S66" s="232">
        <v>-10239</v>
      </c>
      <c r="T66" s="234">
        <v>88080</v>
      </c>
    </row>
    <row r="67" spans="1:20">
      <c r="A67" s="48">
        <v>90741</v>
      </c>
      <c r="B67" s="49" t="s">
        <v>2156</v>
      </c>
      <c r="C67" s="235">
        <v>1.52E-5</v>
      </c>
      <c r="D67" s="235">
        <v>9.0999999999999993E-6</v>
      </c>
      <c r="E67" s="50">
        <v>36060</v>
      </c>
      <c r="F67" s="50" t="s">
        <v>1929</v>
      </c>
      <c r="G67" s="233">
        <v>5563</v>
      </c>
      <c r="H67" s="221">
        <v>4950</v>
      </c>
      <c r="I67" s="233">
        <v>9569</v>
      </c>
      <c r="J67" s="232">
        <v>5141</v>
      </c>
      <c r="K67" s="88">
        <f t="shared" si="0"/>
        <v>25223</v>
      </c>
      <c r="L67" s="50"/>
      <c r="M67" s="233">
        <v>187</v>
      </c>
      <c r="N67" s="233">
        <v>0</v>
      </c>
      <c r="O67" s="232">
        <v>155</v>
      </c>
      <c r="P67" s="88">
        <f t="shared" si="1"/>
        <v>342</v>
      </c>
      <c r="Q67" s="50"/>
      <c r="R67" s="233">
        <v>10016</v>
      </c>
      <c r="S67" s="232">
        <v>1246</v>
      </c>
      <c r="T67" s="234">
        <v>11262</v>
      </c>
    </row>
    <row r="68" spans="1:20">
      <c r="A68" s="48">
        <v>90751</v>
      </c>
      <c r="B68" s="49" t="s">
        <v>2157</v>
      </c>
      <c r="C68" s="235">
        <v>7.9499999999999994E-5</v>
      </c>
      <c r="D68" s="235">
        <v>6.8700000000000003E-5</v>
      </c>
      <c r="E68" s="50">
        <v>188601</v>
      </c>
      <c r="F68" s="50" t="s">
        <v>1929</v>
      </c>
      <c r="G68" s="233">
        <v>29097</v>
      </c>
      <c r="H68" s="221">
        <v>25890</v>
      </c>
      <c r="I68" s="233">
        <v>50047</v>
      </c>
      <c r="J68" s="232">
        <v>3763</v>
      </c>
      <c r="K68" s="88">
        <f t="shared" si="0"/>
        <v>108797</v>
      </c>
      <c r="L68" s="50"/>
      <c r="M68" s="233">
        <v>976</v>
      </c>
      <c r="N68" s="233">
        <v>0</v>
      </c>
      <c r="O68" s="232">
        <v>810</v>
      </c>
      <c r="P68" s="88">
        <f t="shared" si="1"/>
        <v>1786</v>
      </c>
      <c r="Q68" s="50"/>
      <c r="R68" s="233">
        <v>52388</v>
      </c>
      <c r="S68" s="232">
        <v>3994</v>
      </c>
      <c r="T68" s="234">
        <v>56382</v>
      </c>
    </row>
    <row r="69" spans="1:20">
      <c r="A69" s="48">
        <v>90801</v>
      </c>
      <c r="B69" s="49" t="s">
        <v>784</v>
      </c>
      <c r="C69" s="235">
        <v>1.338E-3</v>
      </c>
      <c r="D69" s="235">
        <v>1.3064000000000001E-3</v>
      </c>
      <c r="E69" s="50">
        <v>3174194</v>
      </c>
      <c r="F69" s="50" t="s">
        <v>1929</v>
      </c>
      <c r="G69" s="233">
        <v>489703</v>
      </c>
      <c r="H69" s="221">
        <v>435722</v>
      </c>
      <c r="I69" s="233">
        <v>842308</v>
      </c>
      <c r="J69" s="232">
        <v>86295</v>
      </c>
      <c r="K69" s="88">
        <f t="shared" si="0"/>
        <v>1854028</v>
      </c>
      <c r="L69" s="50"/>
      <c r="M69" s="233">
        <v>16432</v>
      </c>
      <c r="N69" s="233">
        <v>0</v>
      </c>
      <c r="O69" s="232">
        <v>50464</v>
      </c>
      <c r="P69" s="88">
        <f t="shared" si="1"/>
        <v>66896</v>
      </c>
      <c r="Q69" s="50"/>
      <c r="R69" s="233">
        <v>881706</v>
      </c>
      <c r="S69" s="232">
        <v>52732</v>
      </c>
      <c r="T69" s="234">
        <v>934438</v>
      </c>
    </row>
    <row r="70" spans="1:20">
      <c r="A70" s="48">
        <v>90804</v>
      </c>
      <c r="B70" s="49" t="s">
        <v>785</v>
      </c>
      <c r="C70" s="235">
        <v>6.0000000000000002E-6</v>
      </c>
      <c r="D70" s="235">
        <v>6.1999999999999999E-6</v>
      </c>
      <c r="E70" s="50">
        <v>14234</v>
      </c>
      <c r="F70" s="50" t="s">
        <v>1929</v>
      </c>
      <c r="G70" s="233">
        <v>2196</v>
      </c>
      <c r="H70" s="221">
        <v>1954</v>
      </c>
      <c r="I70" s="233">
        <v>3777</v>
      </c>
      <c r="J70" s="232">
        <v>574</v>
      </c>
      <c r="K70" s="88">
        <f t="shared" si="0"/>
        <v>8501</v>
      </c>
      <c r="L70" s="50"/>
      <c r="M70" s="233">
        <v>74</v>
      </c>
      <c r="N70" s="233">
        <v>0</v>
      </c>
      <c r="O70" s="232">
        <v>215</v>
      </c>
      <c r="P70" s="88">
        <f t="shared" si="1"/>
        <v>289</v>
      </c>
      <c r="Q70" s="50"/>
      <c r="R70" s="233">
        <v>3954</v>
      </c>
      <c r="S70" s="232">
        <v>834</v>
      </c>
      <c r="T70" s="234">
        <v>4788</v>
      </c>
    </row>
    <row r="71" spans="1:20">
      <c r="A71" s="48">
        <v>90805</v>
      </c>
      <c r="B71" s="49" t="s">
        <v>786</v>
      </c>
      <c r="C71" s="235">
        <v>6.6600000000000006E-5</v>
      </c>
      <c r="D71" s="235">
        <v>5.1900000000000001E-5</v>
      </c>
      <c r="E71" s="50">
        <v>157998</v>
      </c>
      <c r="F71" s="50" t="s">
        <v>1929</v>
      </c>
      <c r="G71" s="233">
        <v>24375</v>
      </c>
      <c r="H71" s="221">
        <v>21688</v>
      </c>
      <c r="I71" s="233">
        <v>41927</v>
      </c>
      <c r="J71" s="232">
        <v>29750</v>
      </c>
      <c r="K71" s="88">
        <f t="shared" si="0"/>
        <v>117740</v>
      </c>
      <c r="L71" s="50"/>
      <c r="M71" s="233">
        <v>818</v>
      </c>
      <c r="N71" s="233">
        <v>0</v>
      </c>
      <c r="O71" s="232">
        <v>0</v>
      </c>
      <c r="P71" s="88">
        <f t="shared" si="1"/>
        <v>818</v>
      </c>
      <c r="Q71" s="50"/>
      <c r="R71" s="233">
        <v>43888</v>
      </c>
      <c r="S71" s="232">
        <v>13705</v>
      </c>
      <c r="T71" s="234">
        <v>57593</v>
      </c>
    </row>
    <row r="72" spans="1:20">
      <c r="A72" s="48">
        <v>90808</v>
      </c>
      <c r="B72" s="49" t="s">
        <v>787</v>
      </c>
      <c r="C72" s="235">
        <v>1.0119999999999999E-4</v>
      </c>
      <c r="D72" s="235">
        <v>1.131E-4</v>
      </c>
      <c r="E72" s="50">
        <v>240081</v>
      </c>
      <c r="F72" s="50" t="s">
        <v>1929</v>
      </c>
      <c r="G72" s="233">
        <v>37039</v>
      </c>
      <c r="H72" s="221">
        <v>32956</v>
      </c>
      <c r="I72" s="233">
        <v>63708</v>
      </c>
      <c r="J72" s="232">
        <v>3985</v>
      </c>
      <c r="K72" s="88">
        <f t="shared" si="0"/>
        <v>137688</v>
      </c>
      <c r="L72" s="50"/>
      <c r="M72" s="233">
        <v>1243</v>
      </c>
      <c r="N72" s="233">
        <v>0</v>
      </c>
      <c r="O72" s="232">
        <v>1338</v>
      </c>
      <c r="P72" s="88">
        <f t="shared" si="1"/>
        <v>2581</v>
      </c>
      <c r="Q72" s="50"/>
      <c r="R72" s="233">
        <v>66688</v>
      </c>
      <c r="S72" s="232">
        <v>662</v>
      </c>
      <c r="T72" s="234">
        <v>67350</v>
      </c>
    </row>
    <row r="73" spans="1:20">
      <c r="A73" s="48">
        <v>90811</v>
      </c>
      <c r="B73" s="49" t="s">
        <v>2158</v>
      </c>
      <c r="C73" s="235">
        <v>3.6199999999999999E-5</v>
      </c>
      <c r="D73" s="235">
        <v>3.3599999999999997E-5</v>
      </c>
      <c r="E73" s="50">
        <v>85879</v>
      </c>
      <c r="F73" s="50" t="s">
        <v>1929</v>
      </c>
      <c r="G73" s="233">
        <v>13249</v>
      </c>
      <c r="H73" s="221">
        <v>11789</v>
      </c>
      <c r="I73" s="233">
        <v>22789</v>
      </c>
      <c r="J73" s="232">
        <v>0</v>
      </c>
      <c r="K73" s="88">
        <f t="shared" si="0"/>
        <v>47827</v>
      </c>
      <c r="L73" s="50"/>
      <c r="M73" s="233">
        <v>445</v>
      </c>
      <c r="N73" s="233">
        <v>0</v>
      </c>
      <c r="O73" s="232">
        <v>9224</v>
      </c>
      <c r="P73" s="88">
        <f t="shared" si="1"/>
        <v>9669</v>
      </c>
      <c r="Q73" s="50"/>
      <c r="R73" s="233">
        <v>23855</v>
      </c>
      <c r="S73" s="232">
        <v>-2702</v>
      </c>
      <c r="T73" s="234">
        <v>21153</v>
      </c>
    </row>
    <row r="74" spans="1:20">
      <c r="A74" s="48">
        <v>90812</v>
      </c>
      <c r="B74" s="49" t="s">
        <v>2159</v>
      </c>
      <c r="C74" s="235">
        <v>2.2489999999999999E-4</v>
      </c>
      <c r="D74" s="235">
        <v>2.2900000000000001E-4</v>
      </c>
      <c r="E74" s="50">
        <v>533540</v>
      </c>
      <c r="F74" s="50" t="s">
        <v>1929</v>
      </c>
      <c r="G74" s="233">
        <v>82313</v>
      </c>
      <c r="H74" s="221">
        <v>73239</v>
      </c>
      <c r="I74" s="233">
        <v>141581</v>
      </c>
      <c r="J74" s="232">
        <v>8319</v>
      </c>
      <c r="K74" s="88">
        <f t="shared" ref="K74:K138" si="2">G74+H74+I74+J74</f>
        <v>305452</v>
      </c>
      <c r="L74" s="50"/>
      <c r="M74" s="233">
        <v>2762</v>
      </c>
      <c r="N74" s="233">
        <v>0</v>
      </c>
      <c r="O74" s="232">
        <v>11401</v>
      </c>
      <c r="P74" s="88">
        <f t="shared" ref="P74:P138" si="3">M74+N74+O74</f>
        <v>14163</v>
      </c>
      <c r="Q74" s="50"/>
      <c r="R74" s="233">
        <v>148203</v>
      </c>
      <c r="S74" s="232">
        <v>1945</v>
      </c>
      <c r="T74" s="234">
        <v>150148</v>
      </c>
    </row>
    <row r="75" spans="1:20">
      <c r="A75" s="48">
        <v>90813</v>
      </c>
      <c r="B75" s="49" t="s">
        <v>2160</v>
      </c>
      <c r="C75" s="235">
        <v>5.0000000000000004E-6</v>
      </c>
      <c r="D75" s="235">
        <v>5.3000000000000001E-6</v>
      </c>
      <c r="E75" s="50">
        <v>11862</v>
      </c>
      <c r="F75" s="50" t="s">
        <v>1929</v>
      </c>
      <c r="G75" s="233">
        <v>1830</v>
      </c>
      <c r="H75" s="221">
        <v>1628</v>
      </c>
      <c r="I75" s="233">
        <v>3148</v>
      </c>
      <c r="J75" s="232">
        <v>0</v>
      </c>
      <c r="K75" s="88">
        <f t="shared" si="2"/>
        <v>6606</v>
      </c>
      <c r="L75" s="50"/>
      <c r="M75" s="233">
        <v>61</v>
      </c>
      <c r="N75" s="233">
        <v>0</v>
      </c>
      <c r="O75" s="232">
        <v>1028</v>
      </c>
      <c r="P75" s="88">
        <f t="shared" si="3"/>
        <v>1089</v>
      </c>
      <c r="Q75" s="50"/>
      <c r="R75" s="233">
        <v>3295</v>
      </c>
      <c r="S75" s="232">
        <v>-607</v>
      </c>
      <c r="T75" s="234">
        <v>2688</v>
      </c>
    </row>
    <row r="76" spans="1:20">
      <c r="A76" s="48">
        <v>90861</v>
      </c>
      <c r="B76" s="49" t="s">
        <v>2161</v>
      </c>
      <c r="C76" s="235">
        <v>7.7999999999999999E-6</v>
      </c>
      <c r="D76" s="235">
        <v>4.1999999999999996E-6</v>
      </c>
      <c r="E76" s="50">
        <v>18504</v>
      </c>
      <c r="F76" s="50" t="s">
        <v>1929</v>
      </c>
      <c r="G76" s="233">
        <v>2855</v>
      </c>
      <c r="H76" s="221">
        <v>2540</v>
      </c>
      <c r="I76" s="233">
        <v>4910</v>
      </c>
      <c r="J76" s="232">
        <v>6531</v>
      </c>
      <c r="K76" s="88">
        <f t="shared" si="2"/>
        <v>16836</v>
      </c>
      <c r="L76" s="50"/>
      <c r="M76" s="233">
        <v>96</v>
      </c>
      <c r="N76" s="233">
        <v>0</v>
      </c>
      <c r="O76" s="232">
        <v>0</v>
      </c>
      <c r="P76" s="88">
        <f t="shared" si="3"/>
        <v>96</v>
      </c>
      <c r="Q76" s="50"/>
      <c r="R76" s="233">
        <v>5140</v>
      </c>
      <c r="S76" s="232">
        <v>1362</v>
      </c>
      <c r="T76" s="234">
        <v>6502</v>
      </c>
    </row>
    <row r="77" spans="1:20">
      <c r="A77" s="48">
        <v>90901</v>
      </c>
      <c r="B77" s="49" t="s">
        <v>792</v>
      </c>
      <c r="C77" s="235">
        <v>2.1440000000000001E-3</v>
      </c>
      <c r="D77" s="235">
        <v>2.1814999999999998E-3</v>
      </c>
      <c r="E77" s="50">
        <v>5086301</v>
      </c>
      <c r="F77" s="50" t="s">
        <v>1929</v>
      </c>
      <c r="G77" s="233">
        <v>784695</v>
      </c>
      <c r="H77" s="221">
        <v>698198</v>
      </c>
      <c r="I77" s="233">
        <v>1349708</v>
      </c>
      <c r="J77" s="232">
        <v>13390</v>
      </c>
      <c r="K77" s="88">
        <f t="shared" si="2"/>
        <v>2845991</v>
      </c>
      <c r="L77" s="50"/>
      <c r="M77" s="233">
        <v>26330</v>
      </c>
      <c r="N77" s="233">
        <v>0</v>
      </c>
      <c r="O77" s="232">
        <v>28266</v>
      </c>
      <c r="P77" s="88">
        <f t="shared" si="3"/>
        <v>54596</v>
      </c>
      <c r="Q77" s="50"/>
      <c r="R77" s="233">
        <v>1412838</v>
      </c>
      <c r="S77" s="232">
        <v>-7333</v>
      </c>
      <c r="T77" s="234">
        <v>1405505</v>
      </c>
    </row>
    <row r="78" spans="1:20">
      <c r="A78" s="48">
        <v>90911</v>
      </c>
      <c r="B78" s="49" t="s">
        <v>2162</v>
      </c>
      <c r="C78" s="235">
        <v>4.037E-4</v>
      </c>
      <c r="D78" s="235">
        <v>3.9780000000000002E-4</v>
      </c>
      <c r="E78" s="50">
        <v>957714</v>
      </c>
      <c r="F78" s="50" t="s">
        <v>1929</v>
      </c>
      <c r="G78" s="233">
        <v>147753</v>
      </c>
      <c r="H78" s="221">
        <v>131466</v>
      </c>
      <c r="I78" s="233">
        <v>254140</v>
      </c>
      <c r="J78" s="232">
        <v>5104</v>
      </c>
      <c r="K78" s="88">
        <f t="shared" si="2"/>
        <v>538463</v>
      </c>
      <c r="L78" s="50"/>
      <c r="M78" s="233">
        <v>4958</v>
      </c>
      <c r="N78" s="233">
        <v>0</v>
      </c>
      <c r="O78" s="232">
        <v>27769</v>
      </c>
      <c r="P78" s="88">
        <f t="shared" si="3"/>
        <v>32727</v>
      </c>
      <c r="Q78" s="50"/>
      <c r="R78" s="233">
        <v>266027</v>
      </c>
      <c r="S78" s="232">
        <v>-22253</v>
      </c>
      <c r="T78" s="234">
        <v>243774</v>
      </c>
    </row>
    <row r="79" spans="1:20">
      <c r="A79" s="48">
        <v>90917</v>
      </c>
      <c r="B79" s="49" t="s">
        <v>794</v>
      </c>
      <c r="C79" s="235">
        <v>1.1800000000000001E-5</v>
      </c>
      <c r="D79" s="235">
        <v>1.4399999999999999E-5</v>
      </c>
      <c r="E79" s="186">
        <v>27994</v>
      </c>
      <c r="F79" s="186" t="s">
        <v>1930</v>
      </c>
      <c r="G79" s="233">
        <v>4319</v>
      </c>
      <c r="H79" s="221">
        <v>3843</v>
      </c>
      <c r="I79" s="233">
        <v>7428</v>
      </c>
      <c r="J79" s="232">
        <v>910</v>
      </c>
      <c r="K79" s="88">
        <f t="shared" si="2"/>
        <v>16500</v>
      </c>
      <c r="L79" s="50"/>
      <c r="M79" s="233">
        <v>145</v>
      </c>
      <c r="N79" s="233">
        <v>0</v>
      </c>
      <c r="O79" s="232">
        <v>1772</v>
      </c>
      <c r="P79" s="88">
        <f t="shared" si="3"/>
        <v>1917</v>
      </c>
      <c r="Q79" s="50"/>
      <c r="R79" s="233">
        <v>7776</v>
      </c>
      <c r="S79" s="232">
        <v>-363</v>
      </c>
      <c r="T79" s="234">
        <v>7413</v>
      </c>
    </row>
    <row r="80" spans="1:20">
      <c r="A80" s="48">
        <v>90918</v>
      </c>
      <c r="B80" s="49" t="s">
        <v>795</v>
      </c>
      <c r="C80" s="235">
        <v>1.13E-5</v>
      </c>
      <c r="D80" s="235">
        <v>1.19E-5</v>
      </c>
      <c r="E80" s="186">
        <v>26807</v>
      </c>
      <c r="F80" s="186" t="s">
        <v>1930</v>
      </c>
      <c r="G80" s="233">
        <v>4136</v>
      </c>
      <c r="H80" s="221">
        <v>3680</v>
      </c>
      <c r="I80" s="233">
        <v>7114</v>
      </c>
      <c r="J80" s="232">
        <v>0</v>
      </c>
      <c r="K80" s="88">
        <f t="shared" si="2"/>
        <v>14930</v>
      </c>
      <c r="L80" s="50"/>
      <c r="M80" s="233">
        <v>139</v>
      </c>
      <c r="N80" s="233">
        <v>0</v>
      </c>
      <c r="O80" s="232">
        <v>2292</v>
      </c>
      <c r="P80" s="88">
        <f t="shared" si="3"/>
        <v>2431</v>
      </c>
      <c r="Q80" s="50"/>
      <c r="R80" s="233">
        <v>7446</v>
      </c>
      <c r="S80" s="232">
        <v>-1290</v>
      </c>
      <c r="T80" s="234">
        <v>6156</v>
      </c>
    </row>
    <row r="81" spans="1:20">
      <c r="A81" s="48">
        <v>90921</v>
      </c>
      <c r="B81" s="49" t="s">
        <v>2163</v>
      </c>
      <c r="C81" s="235">
        <v>1.2789999999999999E-4</v>
      </c>
      <c r="D81" s="235">
        <v>1.2970000000000001E-4</v>
      </c>
      <c r="E81" s="186">
        <v>303423</v>
      </c>
      <c r="F81" s="186" t="s">
        <v>1930</v>
      </c>
      <c r="G81" s="233">
        <v>46811</v>
      </c>
      <c r="H81" s="221">
        <v>41651</v>
      </c>
      <c r="I81" s="233">
        <v>80517</v>
      </c>
      <c r="J81" s="232">
        <v>22540</v>
      </c>
      <c r="K81" s="88">
        <f t="shared" si="2"/>
        <v>191519</v>
      </c>
      <c r="L81" s="50"/>
      <c r="M81" s="233">
        <v>1571</v>
      </c>
      <c r="N81" s="233">
        <v>0</v>
      </c>
      <c r="O81" s="232">
        <v>4483</v>
      </c>
      <c r="P81" s="88">
        <f t="shared" si="3"/>
        <v>6054</v>
      </c>
      <c r="Q81" s="50"/>
      <c r="R81" s="233">
        <v>84283</v>
      </c>
      <c r="S81" s="232">
        <v>4862</v>
      </c>
      <c r="T81" s="234">
        <v>89145</v>
      </c>
    </row>
    <row r="82" spans="1:20">
      <c r="A82" s="48">
        <v>90931</v>
      </c>
      <c r="B82" s="49" t="s">
        <v>2164</v>
      </c>
      <c r="C82" s="235">
        <v>3.8099999999999998E-5</v>
      </c>
      <c r="D82" s="235">
        <v>4.07E-5</v>
      </c>
      <c r="E82" s="186">
        <v>90386</v>
      </c>
      <c r="F82" s="186" t="s">
        <v>1930</v>
      </c>
      <c r="G82" s="233">
        <v>13944</v>
      </c>
      <c r="H82" s="221">
        <v>12407</v>
      </c>
      <c r="I82" s="233">
        <v>23985</v>
      </c>
      <c r="J82" s="232">
        <v>1061</v>
      </c>
      <c r="K82" s="88">
        <f t="shared" si="2"/>
        <v>51397</v>
      </c>
      <c r="L82" s="50"/>
      <c r="M82" s="233">
        <v>468</v>
      </c>
      <c r="N82" s="233">
        <v>0</v>
      </c>
      <c r="O82" s="232">
        <v>13836</v>
      </c>
      <c r="P82" s="88">
        <f t="shared" si="3"/>
        <v>14304</v>
      </c>
      <c r="Q82" s="50"/>
      <c r="R82" s="233">
        <v>25107</v>
      </c>
      <c r="S82" s="232">
        <v>-2235</v>
      </c>
      <c r="T82" s="234">
        <v>22872</v>
      </c>
    </row>
    <row r="83" spans="1:20">
      <c r="A83" s="48">
        <v>90941</v>
      </c>
      <c r="B83" s="49" t="s">
        <v>2165</v>
      </c>
      <c r="C83" s="235">
        <v>8.2000000000000001E-5</v>
      </c>
      <c r="D83" s="235">
        <v>7.0300000000000001E-5</v>
      </c>
      <c r="E83" s="186">
        <v>194532</v>
      </c>
      <c r="F83" s="186" t="s">
        <v>1930</v>
      </c>
      <c r="G83" s="233">
        <v>30012</v>
      </c>
      <c r="H83" s="221">
        <v>26704</v>
      </c>
      <c r="I83" s="233">
        <v>51621</v>
      </c>
      <c r="J83" s="232">
        <v>8606</v>
      </c>
      <c r="K83" s="88">
        <f t="shared" si="2"/>
        <v>116943</v>
      </c>
      <c r="L83" s="50"/>
      <c r="M83" s="233">
        <v>1007</v>
      </c>
      <c r="N83" s="233">
        <v>0</v>
      </c>
      <c r="O83" s="232">
        <v>10455</v>
      </c>
      <c r="P83" s="88">
        <f t="shared" si="3"/>
        <v>11462</v>
      </c>
      <c r="Q83" s="50"/>
      <c r="R83" s="233">
        <v>54036</v>
      </c>
      <c r="S83" s="232">
        <v>-3109</v>
      </c>
      <c r="T83" s="234">
        <v>50927</v>
      </c>
    </row>
    <row r="84" spans="1:20">
      <c r="A84" s="48">
        <v>91001</v>
      </c>
      <c r="B84" s="49" t="s">
        <v>799</v>
      </c>
      <c r="C84" s="235">
        <v>6.6366999999999997E-3</v>
      </c>
      <c r="D84" s="235">
        <v>6.6703999999999999E-3</v>
      </c>
      <c r="E84" s="186">
        <v>15744522</v>
      </c>
      <c r="F84" s="186" t="s">
        <v>1930</v>
      </c>
      <c r="G84" s="233">
        <v>2429006</v>
      </c>
      <c r="H84" s="221">
        <v>2161254</v>
      </c>
      <c r="I84" s="233">
        <v>4177988</v>
      </c>
      <c r="J84" s="232">
        <v>0</v>
      </c>
      <c r="K84" s="88">
        <f t="shared" si="2"/>
        <v>8768248</v>
      </c>
      <c r="L84" s="50"/>
      <c r="M84" s="233">
        <v>81505</v>
      </c>
      <c r="N84" s="233">
        <v>0</v>
      </c>
      <c r="O84" s="232">
        <v>332799</v>
      </c>
      <c r="P84" s="88">
        <f t="shared" si="3"/>
        <v>414304</v>
      </c>
      <c r="Q84" s="50"/>
      <c r="R84" s="233">
        <v>4373406</v>
      </c>
      <c r="S84" s="232">
        <v>-87933</v>
      </c>
      <c r="T84" s="234">
        <v>4285473</v>
      </c>
    </row>
    <row r="85" spans="1:20">
      <c r="A85" s="48">
        <v>91002</v>
      </c>
      <c r="B85" s="49" t="s">
        <v>2166</v>
      </c>
      <c r="C85" s="235">
        <v>9.4410000000000002E-4</v>
      </c>
      <c r="D85" s="235">
        <v>6.8860000000000004E-4</v>
      </c>
      <c r="E85" s="186">
        <v>2239728</v>
      </c>
      <c r="F85" s="186" t="s">
        <v>1930</v>
      </c>
      <c r="G85" s="233">
        <v>345537</v>
      </c>
      <c r="H85" s="221">
        <v>307448</v>
      </c>
      <c r="I85" s="233">
        <v>594337</v>
      </c>
      <c r="J85" s="232">
        <v>166396</v>
      </c>
      <c r="K85" s="88">
        <f t="shared" si="2"/>
        <v>1413718</v>
      </c>
      <c r="L85" s="50"/>
      <c r="M85" s="233">
        <v>11594</v>
      </c>
      <c r="N85" s="233">
        <v>0</v>
      </c>
      <c r="O85" s="232">
        <v>27902</v>
      </c>
      <c r="P85" s="88">
        <f t="shared" si="3"/>
        <v>39496</v>
      </c>
      <c r="Q85" s="50"/>
      <c r="R85" s="233">
        <v>622136</v>
      </c>
      <c r="S85" s="232">
        <v>25830</v>
      </c>
      <c r="T85" s="234">
        <v>647966</v>
      </c>
    </row>
    <row r="86" spans="1:20">
      <c r="A86" s="48">
        <v>91003</v>
      </c>
      <c r="B86" s="49" t="s">
        <v>801</v>
      </c>
      <c r="C86" s="235">
        <v>5.354E-4</v>
      </c>
      <c r="D86" s="235">
        <v>5.7260000000000004E-4</v>
      </c>
      <c r="E86" s="186">
        <v>1270152</v>
      </c>
      <c r="F86" s="186" t="s">
        <v>1930</v>
      </c>
      <c r="G86" s="233">
        <v>195954</v>
      </c>
      <c r="H86" s="221">
        <v>174354</v>
      </c>
      <c r="I86" s="233">
        <v>337049</v>
      </c>
      <c r="J86" s="232">
        <v>10600</v>
      </c>
      <c r="K86" s="88">
        <f t="shared" si="2"/>
        <v>717957</v>
      </c>
      <c r="L86" s="50"/>
      <c r="M86" s="233">
        <v>6575</v>
      </c>
      <c r="N86" s="233">
        <v>0</v>
      </c>
      <c r="O86" s="232">
        <v>38265</v>
      </c>
      <c r="P86" s="88">
        <f t="shared" si="3"/>
        <v>44840</v>
      </c>
      <c r="Q86" s="50"/>
      <c r="R86" s="233">
        <v>352814</v>
      </c>
      <c r="S86" s="232">
        <v>2232</v>
      </c>
      <c r="T86" s="234">
        <v>355046</v>
      </c>
    </row>
    <row r="87" spans="1:20">
      <c r="A87" s="48">
        <v>91004</v>
      </c>
      <c r="B87" s="49" t="s">
        <v>802</v>
      </c>
      <c r="C87" s="235">
        <v>3.6600000000000002E-5</v>
      </c>
      <c r="D87" s="235">
        <v>2.58E-5</v>
      </c>
      <c r="E87" s="186">
        <v>86828</v>
      </c>
      <c r="F87" s="186" t="s">
        <v>1930</v>
      </c>
      <c r="G87" s="233">
        <v>13395</v>
      </c>
      <c r="H87" s="221">
        <v>11919</v>
      </c>
      <c r="I87" s="233">
        <v>23041</v>
      </c>
      <c r="J87" s="232">
        <v>15071</v>
      </c>
      <c r="K87" s="88">
        <f t="shared" si="2"/>
        <v>63426</v>
      </c>
      <c r="L87" s="50"/>
      <c r="M87" s="233">
        <v>449</v>
      </c>
      <c r="N87" s="233">
        <v>0</v>
      </c>
      <c r="O87" s="232">
        <v>0</v>
      </c>
      <c r="P87" s="88">
        <f t="shared" si="3"/>
        <v>449</v>
      </c>
      <c r="Q87" s="50"/>
      <c r="R87" s="233">
        <v>24118</v>
      </c>
      <c r="S87" s="232">
        <v>6104</v>
      </c>
      <c r="T87" s="234">
        <v>30222</v>
      </c>
    </row>
    <row r="88" spans="1:20">
      <c r="A88" s="48">
        <v>91006</v>
      </c>
      <c r="B88" s="49" t="s">
        <v>803</v>
      </c>
      <c r="C88" s="235">
        <v>1.0660999999999999E-3</v>
      </c>
      <c r="D88" s="235">
        <v>1.0317E-3</v>
      </c>
      <c r="E88" s="186">
        <v>2529154</v>
      </c>
      <c r="F88" s="186" t="s">
        <v>1930</v>
      </c>
      <c r="G88" s="233">
        <v>390188</v>
      </c>
      <c r="H88" s="221">
        <v>347177</v>
      </c>
      <c r="I88" s="233">
        <v>671140</v>
      </c>
      <c r="J88" s="232">
        <v>7631</v>
      </c>
      <c r="K88" s="88">
        <f t="shared" si="2"/>
        <v>1416136</v>
      </c>
      <c r="L88" s="50"/>
      <c r="M88" s="233">
        <v>13093</v>
      </c>
      <c r="N88" s="233">
        <v>0</v>
      </c>
      <c r="O88" s="232">
        <v>29301</v>
      </c>
      <c r="P88" s="88">
        <f t="shared" si="3"/>
        <v>42394</v>
      </c>
      <c r="Q88" s="50"/>
      <c r="R88" s="233">
        <v>702531</v>
      </c>
      <c r="S88" s="232">
        <v>-205</v>
      </c>
      <c r="T88" s="234">
        <v>702326</v>
      </c>
    </row>
    <row r="89" spans="1:20">
      <c r="A89" s="48">
        <v>91007</v>
      </c>
      <c r="B89" s="49" t="s">
        <v>804</v>
      </c>
      <c r="C89" s="235">
        <v>8.4999999999999999E-6</v>
      </c>
      <c r="D89" s="235">
        <v>9.5000000000000005E-6</v>
      </c>
      <c r="E89" s="186">
        <v>20165</v>
      </c>
      <c r="F89" s="186" t="s">
        <v>1930</v>
      </c>
      <c r="G89" s="233">
        <v>3111</v>
      </c>
      <c r="H89" s="221">
        <v>2768</v>
      </c>
      <c r="I89" s="233">
        <v>5351</v>
      </c>
      <c r="J89" s="232">
        <v>4888</v>
      </c>
      <c r="K89" s="88">
        <f t="shared" si="2"/>
        <v>16118</v>
      </c>
      <c r="L89" s="50"/>
      <c r="M89" s="233">
        <v>104</v>
      </c>
      <c r="N89" s="233">
        <v>0</v>
      </c>
      <c r="O89" s="232">
        <v>0</v>
      </c>
      <c r="P89" s="88">
        <f t="shared" si="3"/>
        <v>104</v>
      </c>
      <c r="Q89" s="50"/>
      <c r="R89" s="233">
        <v>5601</v>
      </c>
      <c r="S89" s="232">
        <v>2173</v>
      </c>
      <c r="T89" s="234">
        <v>7774</v>
      </c>
    </row>
    <row r="90" spans="1:20">
      <c r="A90" s="48">
        <v>91008</v>
      </c>
      <c r="B90" s="49" t="s">
        <v>805</v>
      </c>
      <c r="C90" s="235">
        <v>1.3909999999999999E-4</v>
      </c>
      <c r="D90" s="235">
        <v>1.236E-4</v>
      </c>
      <c r="E90" s="186">
        <v>329993</v>
      </c>
      <c r="F90" s="186" t="s">
        <v>1930</v>
      </c>
      <c r="G90" s="233">
        <v>50910</v>
      </c>
      <c r="H90" s="221">
        <v>45298</v>
      </c>
      <c r="I90" s="233">
        <v>87567</v>
      </c>
      <c r="J90" s="232">
        <v>36233</v>
      </c>
      <c r="K90" s="88">
        <f t="shared" si="2"/>
        <v>220008</v>
      </c>
      <c r="L90" s="50"/>
      <c r="M90" s="233">
        <v>1708</v>
      </c>
      <c r="N90" s="233">
        <v>0</v>
      </c>
      <c r="O90" s="232">
        <v>0</v>
      </c>
      <c r="P90" s="88">
        <f t="shared" si="3"/>
        <v>1708</v>
      </c>
      <c r="Q90" s="50"/>
      <c r="R90" s="233">
        <v>91663</v>
      </c>
      <c r="S90" s="232">
        <v>21688</v>
      </c>
      <c r="T90" s="234">
        <v>113351</v>
      </c>
    </row>
    <row r="91" spans="1:20">
      <c r="A91" s="48">
        <v>91009</v>
      </c>
      <c r="B91" s="49" t="s">
        <v>806</v>
      </c>
      <c r="C91" s="235">
        <v>1.59E-5</v>
      </c>
      <c r="D91" s="235">
        <v>1.7499999999999998E-5</v>
      </c>
      <c r="E91" s="186">
        <v>37720</v>
      </c>
      <c r="F91" s="186" t="s">
        <v>1930</v>
      </c>
      <c r="G91" s="233">
        <v>5819</v>
      </c>
      <c r="H91" s="221">
        <v>5178</v>
      </c>
      <c r="I91" s="233">
        <v>10009</v>
      </c>
      <c r="J91" s="232">
        <v>5304</v>
      </c>
      <c r="K91" s="88">
        <f t="shared" si="2"/>
        <v>26310</v>
      </c>
      <c r="L91" s="50"/>
      <c r="M91" s="233">
        <v>195</v>
      </c>
      <c r="N91" s="233">
        <v>0</v>
      </c>
      <c r="O91" s="232">
        <v>1101</v>
      </c>
      <c r="P91" s="88">
        <f t="shared" si="3"/>
        <v>1296</v>
      </c>
      <c r="Q91" s="50"/>
      <c r="R91" s="233">
        <v>10478</v>
      </c>
      <c r="S91" s="232">
        <v>660</v>
      </c>
      <c r="T91" s="234">
        <v>11138</v>
      </c>
    </row>
    <row r="92" spans="1:20">
      <c r="A92" s="48">
        <v>91010</v>
      </c>
      <c r="B92" s="49" t="s">
        <v>2167</v>
      </c>
      <c r="C92" s="235">
        <v>5.8699999999999997E-5</v>
      </c>
      <c r="D92" s="235">
        <v>7.0099999999999996E-5</v>
      </c>
      <c r="E92" s="186">
        <v>139256</v>
      </c>
      <c r="F92" s="186" t="s">
        <v>1930</v>
      </c>
      <c r="G92" s="233">
        <v>21484</v>
      </c>
      <c r="H92" s="221">
        <v>19115</v>
      </c>
      <c r="I92" s="233">
        <v>36953</v>
      </c>
      <c r="J92" s="232">
        <v>2787</v>
      </c>
      <c r="K92" s="88">
        <f t="shared" si="2"/>
        <v>80339</v>
      </c>
      <c r="L92" s="50"/>
      <c r="M92" s="233">
        <v>721</v>
      </c>
      <c r="N92" s="233">
        <v>0</v>
      </c>
      <c r="O92" s="232">
        <v>6905</v>
      </c>
      <c r="P92" s="88">
        <f t="shared" si="3"/>
        <v>7626</v>
      </c>
      <c r="Q92" s="50"/>
      <c r="R92" s="233">
        <v>38682</v>
      </c>
      <c r="S92" s="232">
        <v>3034</v>
      </c>
      <c r="T92" s="234">
        <v>41716</v>
      </c>
    </row>
    <row r="93" spans="1:20">
      <c r="A93" s="48">
        <v>91011</v>
      </c>
      <c r="B93" s="49" t="s">
        <v>808</v>
      </c>
      <c r="C93" s="235">
        <v>3.6509999999999998E-4</v>
      </c>
      <c r="D93" s="235">
        <v>3.5760000000000002E-4</v>
      </c>
      <c r="E93" s="186">
        <v>866142</v>
      </c>
      <c r="F93" s="186" t="s">
        <v>1930</v>
      </c>
      <c r="G93" s="233">
        <v>133625</v>
      </c>
      <c r="H93" s="221">
        <v>118896</v>
      </c>
      <c r="I93" s="233">
        <v>229841</v>
      </c>
      <c r="J93" s="232">
        <v>27536</v>
      </c>
      <c r="K93" s="88">
        <f t="shared" si="2"/>
        <v>509898</v>
      </c>
      <c r="L93" s="50"/>
      <c r="M93" s="233">
        <v>4484</v>
      </c>
      <c r="N93" s="233">
        <v>0</v>
      </c>
      <c r="O93" s="232">
        <v>1497</v>
      </c>
      <c r="P93" s="88">
        <f t="shared" si="3"/>
        <v>5981</v>
      </c>
      <c r="Q93" s="50"/>
      <c r="R93" s="233">
        <v>240591</v>
      </c>
      <c r="S93" s="232">
        <v>15734</v>
      </c>
      <c r="T93" s="234">
        <v>256325</v>
      </c>
    </row>
    <row r="94" spans="1:20">
      <c r="A94" s="48">
        <v>91012</v>
      </c>
      <c r="B94" s="49" t="s">
        <v>809</v>
      </c>
      <c r="C94" s="235">
        <v>1.42E-5</v>
      </c>
      <c r="D94" s="235">
        <v>1.9300000000000002E-5</v>
      </c>
      <c r="E94" s="186">
        <v>33687</v>
      </c>
      <c r="F94" s="186" t="s">
        <v>1930</v>
      </c>
      <c r="G94" s="233">
        <v>5197</v>
      </c>
      <c r="H94" s="221">
        <v>4624</v>
      </c>
      <c r="I94" s="233">
        <v>8939</v>
      </c>
      <c r="J94" s="232">
        <v>3786</v>
      </c>
      <c r="K94" s="88">
        <f t="shared" si="2"/>
        <v>22546</v>
      </c>
      <c r="L94" s="50"/>
      <c r="M94" s="233">
        <v>174</v>
      </c>
      <c r="N94" s="233">
        <v>0</v>
      </c>
      <c r="O94" s="232">
        <v>3306</v>
      </c>
      <c r="P94" s="88">
        <f t="shared" si="3"/>
        <v>3480</v>
      </c>
      <c r="Q94" s="50"/>
      <c r="R94" s="233">
        <v>9357</v>
      </c>
      <c r="S94" s="232">
        <v>-1418</v>
      </c>
      <c r="T94" s="234">
        <v>7939</v>
      </c>
    </row>
    <row r="95" spans="1:20">
      <c r="A95" s="48">
        <v>91013</v>
      </c>
      <c r="B95" s="49" t="s">
        <v>810</v>
      </c>
      <c r="C95" s="235">
        <v>1.9899999999999999E-5</v>
      </c>
      <c r="D95" s="235">
        <v>2.34E-5</v>
      </c>
      <c r="E95" s="186">
        <v>47210</v>
      </c>
      <c r="F95" s="186" t="s">
        <v>1930</v>
      </c>
      <c r="G95" s="233">
        <v>7283</v>
      </c>
      <c r="H95" s="221">
        <v>6481</v>
      </c>
      <c r="I95" s="233">
        <v>12528</v>
      </c>
      <c r="J95" s="232">
        <v>39132</v>
      </c>
      <c r="K95" s="88">
        <f t="shared" si="2"/>
        <v>65424</v>
      </c>
      <c r="L95" s="50"/>
      <c r="M95" s="233">
        <v>244</v>
      </c>
      <c r="N95" s="233">
        <v>0</v>
      </c>
      <c r="O95" s="232">
        <v>0</v>
      </c>
      <c r="P95" s="88">
        <f t="shared" si="3"/>
        <v>244</v>
      </c>
      <c r="Q95" s="50"/>
      <c r="R95" s="233">
        <v>13114</v>
      </c>
      <c r="S95" s="232">
        <v>13739</v>
      </c>
      <c r="T95" s="234">
        <v>26853</v>
      </c>
    </row>
    <row r="96" spans="1:20">
      <c r="A96" s="48">
        <v>91014</v>
      </c>
      <c r="B96" s="49" t="s">
        <v>2168</v>
      </c>
      <c r="C96" s="235">
        <v>2.02E-4</v>
      </c>
      <c r="D96" s="235">
        <v>2.22E-4</v>
      </c>
      <c r="E96" s="186">
        <v>479213</v>
      </c>
      <c r="F96" s="186" t="s">
        <v>1930</v>
      </c>
      <c r="G96" s="233">
        <v>73931</v>
      </c>
      <c r="H96" s="221">
        <v>65782</v>
      </c>
      <c r="I96" s="233">
        <v>127165</v>
      </c>
      <c r="J96" s="232">
        <v>986</v>
      </c>
      <c r="K96" s="88">
        <f t="shared" si="2"/>
        <v>267864</v>
      </c>
      <c r="L96" s="50"/>
      <c r="M96" s="233">
        <v>2481</v>
      </c>
      <c r="N96" s="233">
        <v>0</v>
      </c>
      <c r="O96" s="232">
        <v>19420</v>
      </c>
      <c r="P96" s="88">
        <f t="shared" si="3"/>
        <v>21901</v>
      </c>
      <c r="Q96" s="50"/>
      <c r="R96" s="233">
        <v>133113</v>
      </c>
      <c r="S96" s="232">
        <v>-9738</v>
      </c>
      <c r="T96" s="234">
        <v>123375</v>
      </c>
    </row>
    <row r="97" spans="1:20" s="185" customFormat="1">
      <c r="A97" s="183">
        <v>91015</v>
      </c>
      <c r="B97" s="184" t="s">
        <v>1640</v>
      </c>
      <c r="C97" s="235">
        <v>1.9400000000000001E-5</v>
      </c>
      <c r="D97" s="235">
        <v>0</v>
      </c>
      <c r="E97" s="186">
        <v>46023</v>
      </c>
      <c r="F97" s="186" t="s">
        <v>1930</v>
      </c>
      <c r="G97" s="233">
        <v>7100</v>
      </c>
      <c r="H97" s="221">
        <v>6317</v>
      </c>
      <c r="I97" s="233">
        <v>12213</v>
      </c>
      <c r="J97" s="232">
        <v>20258</v>
      </c>
      <c r="K97" s="88">
        <f t="shared" si="2"/>
        <v>45888</v>
      </c>
      <c r="L97" s="182"/>
      <c r="M97" s="233">
        <v>238</v>
      </c>
      <c r="N97" s="233">
        <v>0</v>
      </c>
      <c r="O97" s="232">
        <v>0</v>
      </c>
      <c r="P97" s="88">
        <f t="shared" si="3"/>
        <v>238</v>
      </c>
      <c r="Q97" s="182"/>
      <c r="R97" s="233">
        <v>12784</v>
      </c>
      <c r="S97" s="232">
        <v>5064</v>
      </c>
      <c r="T97" s="234">
        <v>17848</v>
      </c>
    </row>
    <row r="98" spans="1:20">
      <c r="A98" s="48">
        <v>91017</v>
      </c>
      <c r="B98" s="49" t="s">
        <v>812</v>
      </c>
      <c r="C98" s="235">
        <v>2.3499999999999999E-5</v>
      </c>
      <c r="D98" s="235">
        <v>2.4300000000000001E-5</v>
      </c>
      <c r="E98" s="186">
        <v>55750</v>
      </c>
      <c r="F98" s="186" t="s">
        <v>1930</v>
      </c>
      <c r="G98" s="233">
        <v>8601</v>
      </c>
      <c r="H98" s="221">
        <v>7653</v>
      </c>
      <c r="I98" s="233">
        <v>14794</v>
      </c>
      <c r="J98" s="232">
        <v>6947</v>
      </c>
      <c r="K98" s="88">
        <f t="shared" si="2"/>
        <v>37995</v>
      </c>
      <c r="L98" s="50"/>
      <c r="M98" s="233">
        <v>289</v>
      </c>
      <c r="N98" s="233">
        <v>0</v>
      </c>
      <c r="O98" s="232">
        <v>0</v>
      </c>
      <c r="P98" s="88">
        <f t="shared" si="3"/>
        <v>289</v>
      </c>
      <c r="Q98" s="50"/>
      <c r="R98" s="233">
        <v>15486</v>
      </c>
      <c r="S98" s="232">
        <v>4203</v>
      </c>
      <c r="T98" s="234">
        <v>19689</v>
      </c>
    </row>
    <row r="99" spans="1:20">
      <c r="A99" s="48">
        <v>91020</v>
      </c>
      <c r="B99" s="49" t="s">
        <v>2169</v>
      </c>
      <c r="C99" s="235">
        <v>2.9200000000000002E-5</v>
      </c>
      <c r="D99" s="235">
        <v>2.27E-5</v>
      </c>
      <c r="E99" s="186">
        <v>69272</v>
      </c>
      <c r="F99" s="186" t="s">
        <v>1930</v>
      </c>
      <c r="G99" s="233">
        <v>10687</v>
      </c>
      <c r="H99" s="221">
        <v>9509</v>
      </c>
      <c r="I99" s="233">
        <v>18382</v>
      </c>
      <c r="J99" s="232">
        <v>6791</v>
      </c>
      <c r="K99" s="88">
        <f t="shared" si="2"/>
        <v>45369</v>
      </c>
      <c r="L99" s="50"/>
      <c r="M99" s="233">
        <v>359</v>
      </c>
      <c r="N99" s="233">
        <v>0</v>
      </c>
      <c r="O99" s="232">
        <v>170</v>
      </c>
      <c r="P99" s="88">
        <f t="shared" si="3"/>
        <v>529</v>
      </c>
      <c r="Q99" s="50"/>
      <c r="R99" s="233">
        <v>19242</v>
      </c>
      <c r="S99" s="232">
        <v>2303</v>
      </c>
      <c r="T99" s="234">
        <v>21545</v>
      </c>
    </row>
    <row r="100" spans="1:20">
      <c r="A100" s="48">
        <v>91021</v>
      </c>
      <c r="B100" s="49" t="s">
        <v>2170</v>
      </c>
      <c r="C100" s="235">
        <v>8.8009999999999998E-4</v>
      </c>
      <c r="D100" s="235">
        <v>8.6450000000000003E-4</v>
      </c>
      <c r="E100" s="186">
        <v>2087898</v>
      </c>
      <c r="F100" s="186" t="s">
        <v>1930</v>
      </c>
      <c r="G100" s="233">
        <v>322113</v>
      </c>
      <c r="H100" s="221">
        <v>286606</v>
      </c>
      <c r="I100" s="233">
        <v>554048</v>
      </c>
      <c r="J100" s="232">
        <v>16435</v>
      </c>
      <c r="K100" s="88">
        <f t="shared" si="2"/>
        <v>1179202</v>
      </c>
      <c r="L100" s="50"/>
      <c r="M100" s="233">
        <v>10809</v>
      </c>
      <c r="N100" s="233">
        <v>0</v>
      </c>
      <c r="O100" s="232">
        <v>34261</v>
      </c>
      <c r="P100" s="88">
        <f t="shared" si="3"/>
        <v>45070</v>
      </c>
      <c r="Q100" s="50"/>
      <c r="R100" s="233">
        <v>579962</v>
      </c>
      <c r="S100" s="232">
        <v>-44308</v>
      </c>
      <c r="T100" s="234">
        <v>535654</v>
      </c>
    </row>
    <row r="101" spans="1:20">
      <c r="A101" s="48">
        <v>91024</v>
      </c>
      <c r="B101" s="49" t="s">
        <v>2171</v>
      </c>
      <c r="C101" s="235">
        <v>9.3800000000000003E-5</v>
      </c>
      <c r="D101" s="235">
        <v>7.2999999999999999E-5</v>
      </c>
      <c r="E101" s="186">
        <v>222526</v>
      </c>
      <c r="F101" s="186" t="s">
        <v>1930</v>
      </c>
      <c r="G101" s="233">
        <v>34330</v>
      </c>
      <c r="H101" s="221">
        <v>30546</v>
      </c>
      <c r="I101" s="233">
        <v>59050</v>
      </c>
      <c r="J101" s="232">
        <v>29168</v>
      </c>
      <c r="K101" s="88">
        <f t="shared" si="2"/>
        <v>153094</v>
      </c>
      <c r="L101" s="50"/>
      <c r="M101" s="233">
        <v>1152</v>
      </c>
      <c r="N101" s="233">
        <v>0</v>
      </c>
      <c r="O101" s="232">
        <v>0</v>
      </c>
      <c r="P101" s="88">
        <f t="shared" si="3"/>
        <v>1152</v>
      </c>
      <c r="Q101" s="50"/>
      <c r="R101" s="233">
        <v>61812</v>
      </c>
      <c r="S101" s="232">
        <v>14801</v>
      </c>
      <c r="T101" s="234">
        <v>76613</v>
      </c>
    </row>
    <row r="102" spans="1:20">
      <c r="A102" s="48">
        <v>91026</v>
      </c>
      <c r="B102" s="49" t="s">
        <v>2172</v>
      </c>
      <c r="C102" s="235">
        <v>4.5599999999999997E-5</v>
      </c>
      <c r="D102" s="235">
        <v>4.18E-5</v>
      </c>
      <c r="E102" s="186">
        <v>108179</v>
      </c>
      <c r="F102" s="186" t="s">
        <v>1930</v>
      </c>
      <c r="G102" s="233">
        <v>16689</v>
      </c>
      <c r="H102" s="221">
        <v>14849</v>
      </c>
      <c r="I102" s="233">
        <v>28706</v>
      </c>
      <c r="J102" s="232">
        <v>42442</v>
      </c>
      <c r="K102" s="88">
        <f t="shared" si="2"/>
        <v>102686</v>
      </c>
      <c r="L102" s="50"/>
      <c r="M102" s="233">
        <v>560</v>
      </c>
      <c r="N102" s="233">
        <v>0</v>
      </c>
      <c r="O102" s="232">
        <v>0</v>
      </c>
      <c r="P102" s="88">
        <f t="shared" si="3"/>
        <v>560</v>
      </c>
      <c r="Q102" s="50"/>
      <c r="R102" s="233">
        <v>30049</v>
      </c>
      <c r="S102" s="232">
        <v>17241</v>
      </c>
      <c r="T102" s="234">
        <v>47290</v>
      </c>
    </row>
    <row r="103" spans="1:20">
      <c r="A103" s="48">
        <v>91027</v>
      </c>
      <c r="B103" s="49" t="s">
        <v>816</v>
      </c>
      <c r="C103" s="235">
        <v>1.6699999999999999E-5</v>
      </c>
      <c r="D103" s="235">
        <v>1.4E-5</v>
      </c>
      <c r="E103" s="186">
        <v>39618</v>
      </c>
      <c r="F103" s="186" t="s">
        <v>1930</v>
      </c>
      <c r="G103" s="233">
        <v>6112</v>
      </c>
      <c r="H103" s="221">
        <v>5439</v>
      </c>
      <c r="I103" s="233">
        <v>10513</v>
      </c>
      <c r="J103" s="232">
        <v>16743</v>
      </c>
      <c r="K103" s="88">
        <f t="shared" si="2"/>
        <v>38807</v>
      </c>
      <c r="L103" s="50"/>
      <c r="M103" s="233">
        <v>205</v>
      </c>
      <c r="N103" s="233">
        <v>0</v>
      </c>
      <c r="O103" s="232">
        <v>0</v>
      </c>
      <c r="P103" s="88">
        <f t="shared" si="3"/>
        <v>205</v>
      </c>
      <c r="Q103" s="50"/>
      <c r="R103" s="233">
        <v>11005</v>
      </c>
      <c r="S103" s="232">
        <v>8336</v>
      </c>
      <c r="T103" s="234">
        <v>19341</v>
      </c>
    </row>
    <row r="104" spans="1:20">
      <c r="A104" s="48">
        <v>91032</v>
      </c>
      <c r="B104" s="49" t="s">
        <v>2173</v>
      </c>
      <c r="C104" s="235">
        <v>1.6399999999999999E-5</v>
      </c>
      <c r="D104" s="235">
        <v>1.8E-5</v>
      </c>
      <c r="E104" s="186">
        <v>38906</v>
      </c>
      <c r="F104" s="186" t="s">
        <v>1930</v>
      </c>
      <c r="G104" s="233">
        <v>6002</v>
      </c>
      <c r="H104" s="221">
        <v>5341</v>
      </c>
      <c r="I104" s="233">
        <v>10324</v>
      </c>
      <c r="J104" s="232">
        <v>16497</v>
      </c>
      <c r="K104" s="88">
        <f t="shared" si="2"/>
        <v>38164</v>
      </c>
      <c r="L104" s="50"/>
      <c r="M104" s="233">
        <v>201</v>
      </c>
      <c r="N104" s="233">
        <v>0</v>
      </c>
      <c r="O104" s="232">
        <v>0</v>
      </c>
      <c r="P104" s="88">
        <f t="shared" si="3"/>
        <v>201</v>
      </c>
      <c r="Q104" s="50"/>
      <c r="R104" s="233">
        <v>10807</v>
      </c>
      <c r="S104" s="232">
        <v>8433</v>
      </c>
      <c r="T104" s="234">
        <v>19240</v>
      </c>
    </row>
    <row r="105" spans="1:20">
      <c r="A105" s="48">
        <v>91041</v>
      </c>
      <c r="B105" s="49" t="s">
        <v>2174</v>
      </c>
      <c r="C105" s="235">
        <v>4.373E-4</v>
      </c>
      <c r="D105" s="235">
        <v>4.0400000000000001E-4</v>
      </c>
      <c r="E105" s="186">
        <v>1037425</v>
      </c>
      <c r="F105" s="186" t="s">
        <v>1930</v>
      </c>
      <c r="G105" s="233">
        <v>160050</v>
      </c>
      <c r="H105" s="221">
        <v>142408</v>
      </c>
      <c r="I105" s="233">
        <v>275293</v>
      </c>
      <c r="J105" s="232">
        <v>0</v>
      </c>
      <c r="K105" s="88">
        <f t="shared" si="2"/>
        <v>577751</v>
      </c>
      <c r="L105" s="50"/>
      <c r="M105" s="233">
        <v>5370</v>
      </c>
      <c r="N105" s="233">
        <v>0</v>
      </c>
      <c r="O105" s="232">
        <v>74844</v>
      </c>
      <c r="P105" s="88">
        <f t="shared" si="3"/>
        <v>80214</v>
      </c>
      <c r="Q105" s="50"/>
      <c r="R105" s="233">
        <v>288169</v>
      </c>
      <c r="S105" s="232">
        <v>-40195</v>
      </c>
      <c r="T105" s="234">
        <v>247974</v>
      </c>
    </row>
    <row r="106" spans="1:20">
      <c r="A106" s="48">
        <v>91042</v>
      </c>
      <c r="B106" s="49" t="s">
        <v>819</v>
      </c>
      <c r="C106" s="235">
        <v>2.6630000000000002E-4</v>
      </c>
      <c r="D106" s="235">
        <v>2.3360000000000001E-4</v>
      </c>
      <c r="E106" s="186">
        <v>631755</v>
      </c>
      <c r="F106" s="186" t="s">
        <v>1930</v>
      </c>
      <c r="G106" s="233">
        <v>97465</v>
      </c>
      <c r="H106" s="221">
        <v>86722</v>
      </c>
      <c r="I106" s="233">
        <v>167643</v>
      </c>
      <c r="J106" s="232">
        <v>20600</v>
      </c>
      <c r="K106" s="88">
        <f t="shared" si="2"/>
        <v>372430</v>
      </c>
      <c r="L106" s="50"/>
      <c r="M106" s="233">
        <v>3270</v>
      </c>
      <c r="N106" s="233">
        <v>0</v>
      </c>
      <c r="O106" s="232">
        <v>4544</v>
      </c>
      <c r="P106" s="88">
        <f t="shared" si="3"/>
        <v>7814</v>
      </c>
      <c r="Q106" s="50"/>
      <c r="R106" s="233">
        <v>175485</v>
      </c>
      <c r="S106" s="232">
        <v>3567</v>
      </c>
      <c r="T106" s="234">
        <v>179052</v>
      </c>
    </row>
    <row r="107" spans="1:20">
      <c r="A107" s="48">
        <v>91047</v>
      </c>
      <c r="B107" s="49" t="s">
        <v>2175</v>
      </c>
      <c r="C107" s="235">
        <v>1.24E-5</v>
      </c>
      <c r="D107" s="235">
        <v>1.31E-5</v>
      </c>
      <c r="E107" s="186">
        <v>29417</v>
      </c>
      <c r="F107" s="186" t="s">
        <v>1930</v>
      </c>
      <c r="G107" s="233">
        <v>4538</v>
      </c>
      <c r="H107" s="221">
        <v>4038</v>
      </c>
      <c r="I107" s="233">
        <v>7806</v>
      </c>
      <c r="J107" s="232">
        <v>22020</v>
      </c>
      <c r="K107" s="88">
        <f t="shared" si="2"/>
        <v>38402</v>
      </c>
      <c r="L107" s="50"/>
      <c r="M107" s="233">
        <v>152</v>
      </c>
      <c r="N107" s="233">
        <v>0</v>
      </c>
      <c r="O107" s="232">
        <v>0</v>
      </c>
      <c r="P107" s="88">
        <f t="shared" si="3"/>
        <v>152</v>
      </c>
      <c r="Q107" s="50"/>
      <c r="R107" s="233">
        <v>8171</v>
      </c>
      <c r="S107" s="232">
        <v>9821</v>
      </c>
      <c r="T107" s="234">
        <v>17992</v>
      </c>
    </row>
    <row r="108" spans="1:20">
      <c r="A108" s="48">
        <v>91051</v>
      </c>
      <c r="B108" s="49" t="s">
        <v>2176</v>
      </c>
      <c r="C108" s="235">
        <v>6.7999999999999999E-5</v>
      </c>
      <c r="D108" s="235">
        <v>6.6400000000000001E-5</v>
      </c>
      <c r="E108" s="186">
        <v>161319</v>
      </c>
      <c r="F108" s="186" t="s">
        <v>1930</v>
      </c>
      <c r="G108" s="233">
        <v>24888</v>
      </c>
      <c r="H108" s="221">
        <v>22144</v>
      </c>
      <c r="I108" s="233">
        <v>42808</v>
      </c>
      <c r="J108" s="232">
        <v>1891</v>
      </c>
      <c r="K108" s="88">
        <f t="shared" si="2"/>
        <v>91731</v>
      </c>
      <c r="L108" s="50"/>
      <c r="M108" s="233">
        <v>835</v>
      </c>
      <c r="N108" s="233">
        <v>0</v>
      </c>
      <c r="O108" s="232">
        <v>5967</v>
      </c>
      <c r="P108" s="88">
        <f t="shared" si="3"/>
        <v>6802</v>
      </c>
      <c r="Q108" s="50"/>
      <c r="R108" s="233">
        <v>44810</v>
      </c>
      <c r="S108" s="232">
        <v>-1282</v>
      </c>
      <c r="T108" s="234">
        <v>43528</v>
      </c>
    </row>
    <row r="109" spans="1:20">
      <c r="A109" s="48">
        <v>91057</v>
      </c>
      <c r="B109" s="49" t="s">
        <v>822</v>
      </c>
      <c r="C109" s="235">
        <v>1.3699999999999999E-5</v>
      </c>
      <c r="D109" s="235">
        <v>1.4399999999999999E-5</v>
      </c>
      <c r="E109" s="186">
        <v>32501</v>
      </c>
      <c r="F109" s="186" t="s">
        <v>1930</v>
      </c>
      <c r="G109" s="233">
        <v>5014</v>
      </c>
      <c r="H109" s="221">
        <v>4461</v>
      </c>
      <c r="I109" s="233">
        <v>8625</v>
      </c>
      <c r="J109" s="232">
        <v>6313</v>
      </c>
      <c r="K109" s="88">
        <f t="shared" si="2"/>
        <v>24413</v>
      </c>
      <c r="L109" s="50"/>
      <c r="M109" s="233">
        <v>168</v>
      </c>
      <c r="N109" s="233">
        <v>0</v>
      </c>
      <c r="O109" s="232">
        <v>0</v>
      </c>
      <c r="P109" s="88">
        <f t="shared" si="3"/>
        <v>168</v>
      </c>
      <c r="Q109" s="50"/>
      <c r="R109" s="233">
        <v>9028</v>
      </c>
      <c r="S109" s="232">
        <v>2864</v>
      </c>
      <c r="T109" s="234">
        <v>11892</v>
      </c>
    </row>
    <row r="110" spans="1:20">
      <c r="A110" s="48">
        <v>91061</v>
      </c>
      <c r="B110" s="49" t="s">
        <v>2177</v>
      </c>
      <c r="C110" s="235">
        <v>3.657E-4</v>
      </c>
      <c r="D110" s="235">
        <v>4.104E-4</v>
      </c>
      <c r="E110" s="186">
        <v>867565</v>
      </c>
      <c r="F110" s="186" t="s">
        <v>1930</v>
      </c>
      <c r="G110" s="233">
        <v>133845</v>
      </c>
      <c r="H110" s="221">
        <v>119091</v>
      </c>
      <c r="I110" s="233">
        <v>230218</v>
      </c>
      <c r="J110" s="232">
        <v>13475</v>
      </c>
      <c r="K110" s="88">
        <f t="shared" si="2"/>
        <v>496629</v>
      </c>
      <c r="L110" s="50"/>
      <c r="M110" s="233">
        <v>4491</v>
      </c>
      <c r="N110" s="233">
        <v>0</v>
      </c>
      <c r="O110" s="232">
        <v>35188</v>
      </c>
      <c r="P110" s="88">
        <f t="shared" si="3"/>
        <v>39679</v>
      </c>
      <c r="Q110" s="50"/>
      <c r="R110" s="233">
        <v>240986</v>
      </c>
      <c r="S110" s="232">
        <v>-19918</v>
      </c>
      <c r="T110" s="234">
        <v>221068</v>
      </c>
    </row>
    <row r="111" spans="1:20">
      <c r="A111" s="48">
        <v>91067</v>
      </c>
      <c r="B111" s="49" t="s">
        <v>824</v>
      </c>
      <c r="C111" s="235">
        <v>1.6900000000000001E-5</v>
      </c>
      <c r="D111" s="235">
        <v>1.5699999999999999E-5</v>
      </c>
      <c r="E111" s="186">
        <v>40093</v>
      </c>
      <c r="F111" s="186" t="s">
        <v>1930</v>
      </c>
      <c r="G111" s="233">
        <v>6185</v>
      </c>
      <c r="H111" s="221">
        <v>5503</v>
      </c>
      <c r="I111" s="233">
        <v>10639</v>
      </c>
      <c r="J111" s="232">
        <v>2715</v>
      </c>
      <c r="K111" s="88">
        <f t="shared" si="2"/>
        <v>25042</v>
      </c>
      <c r="L111" s="50"/>
      <c r="M111" s="233">
        <v>208</v>
      </c>
      <c r="N111" s="233">
        <v>0</v>
      </c>
      <c r="O111" s="232">
        <v>305</v>
      </c>
      <c r="P111" s="88">
        <f t="shared" si="3"/>
        <v>513</v>
      </c>
      <c r="Q111" s="50"/>
      <c r="R111" s="233">
        <v>11137</v>
      </c>
      <c r="S111" s="232">
        <v>1543</v>
      </c>
      <c r="T111" s="234">
        <v>12680</v>
      </c>
    </row>
    <row r="112" spans="1:20">
      <c r="A112" s="48">
        <v>91071</v>
      </c>
      <c r="B112" s="49" t="s">
        <v>825</v>
      </c>
      <c r="C112" s="235">
        <v>2.354E-4</v>
      </c>
      <c r="D112" s="235">
        <v>2.2770000000000001E-4</v>
      </c>
      <c r="E112" s="186">
        <v>558449</v>
      </c>
      <c r="F112" s="186" t="s">
        <v>1930</v>
      </c>
      <c r="G112" s="233">
        <v>86155</v>
      </c>
      <c r="H112" s="221">
        <v>76659</v>
      </c>
      <c r="I112" s="233">
        <v>148191</v>
      </c>
      <c r="J112" s="232">
        <v>0</v>
      </c>
      <c r="K112" s="88">
        <f t="shared" si="2"/>
        <v>311005</v>
      </c>
      <c r="L112" s="50"/>
      <c r="M112" s="233">
        <v>2891</v>
      </c>
      <c r="N112" s="233">
        <v>0</v>
      </c>
      <c r="O112" s="232">
        <v>17112</v>
      </c>
      <c r="P112" s="88">
        <f t="shared" si="3"/>
        <v>20003</v>
      </c>
      <c r="Q112" s="50"/>
      <c r="R112" s="233">
        <v>155122</v>
      </c>
      <c r="S112" s="232">
        <v>2083</v>
      </c>
      <c r="T112" s="234">
        <v>157205</v>
      </c>
    </row>
    <row r="113" spans="1:20">
      <c r="A113" s="48">
        <v>91077</v>
      </c>
      <c r="B113" s="49" t="s">
        <v>826</v>
      </c>
      <c r="C113" s="235">
        <v>3.1E-6</v>
      </c>
      <c r="D113" s="235">
        <v>3.5999999999999998E-6</v>
      </c>
      <c r="E113" s="186">
        <v>7354</v>
      </c>
      <c r="F113" s="186" t="s">
        <v>1930</v>
      </c>
      <c r="G113" s="233">
        <v>1135</v>
      </c>
      <c r="H113" s="221">
        <v>1009</v>
      </c>
      <c r="I113" s="233">
        <v>1952</v>
      </c>
      <c r="J113" s="232">
        <v>1928</v>
      </c>
      <c r="K113" s="88">
        <f t="shared" si="2"/>
        <v>6024</v>
      </c>
      <c r="L113" s="50"/>
      <c r="M113" s="233">
        <v>38</v>
      </c>
      <c r="N113" s="233">
        <v>0</v>
      </c>
      <c r="O113" s="232">
        <v>0</v>
      </c>
      <c r="P113" s="88">
        <f t="shared" si="3"/>
        <v>38</v>
      </c>
      <c r="Q113" s="50"/>
      <c r="R113" s="233">
        <v>2043</v>
      </c>
      <c r="S113" s="232">
        <v>728</v>
      </c>
      <c r="T113" s="234">
        <v>2771</v>
      </c>
    </row>
    <row r="114" spans="1:20">
      <c r="A114" s="48">
        <v>91081</v>
      </c>
      <c r="B114" s="49" t="s">
        <v>2178</v>
      </c>
      <c r="C114" s="235">
        <v>3.8870000000000002E-4</v>
      </c>
      <c r="D114" s="235">
        <v>3.6240000000000003E-4</v>
      </c>
      <c r="E114" s="187">
        <v>922129</v>
      </c>
      <c r="F114" s="187" t="s">
        <v>1930</v>
      </c>
      <c r="G114" s="233">
        <v>142263</v>
      </c>
      <c r="H114" s="221">
        <v>126581</v>
      </c>
      <c r="I114" s="233">
        <v>244698</v>
      </c>
      <c r="J114" s="232">
        <v>20151</v>
      </c>
      <c r="K114" s="88">
        <f t="shared" si="2"/>
        <v>533693</v>
      </c>
      <c r="L114" s="50"/>
      <c r="M114" s="233">
        <v>4774</v>
      </c>
      <c r="N114" s="233">
        <v>0</v>
      </c>
      <c r="O114" s="232">
        <v>0</v>
      </c>
      <c r="P114" s="88">
        <f t="shared" si="3"/>
        <v>4774</v>
      </c>
      <c r="Q114" s="50"/>
      <c r="R114" s="233">
        <v>256143</v>
      </c>
      <c r="S114" s="232">
        <v>-8184</v>
      </c>
      <c r="T114" s="234">
        <v>247959</v>
      </c>
    </row>
    <row r="115" spans="1:20">
      <c r="A115" s="48">
        <v>91091</v>
      </c>
      <c r="B115" s="49" t="s">
        <v>2485</v>
      </c>
      <c r="C115" s="235">
        <v>5.0319999999999998E-4</v>
      </c>
      <c r="D115" s="235">
        <v>5.3790000000000001E-4</v>
      </c>
      <c r="E115" s="187">
        <v>1193762</v>
      </c>
      <c r="F115" s="187" t="s">
        <v>1930</v>
      </c>
      <c r="G115" s="233">
        <v>184169</v>
      </c>
      <c r="H115" s="221">
        <v>163868</v>
      </c>
      <c r="I115" s="233">
        <v>316778</v>
      </c>
      <c r="J115" s="232">
        <v>0</v>
      </c>
      <c r="K115" s="88">
        <f t="shared" si="2"/>
        <v>664815</v>
      </c>
      <c r="L115" s="50"/>
      <c r="M115" s="233">
        <v>6180</v>
      </c>
      <c r="N115" s="233">
        <v>0</v>
      </c>
      <c r="O115" s="232">
        <v>63597</v>
      </c>
      <c r="P115" s="88">
        <f t="shared" si="3"/>
        <v>69777</v>
      </c>
      <c r="Q115" s="50"/>
      <c r="R115" s="233">
        <v>331595</v>
      </c>
      <c r="S115" s="232">
        <v>-37735</v>
      </c>
      <c r="T115" s="234">
        <v>293860</v>
      </c>
    </row>
    <row r="116" spans="1:20">
      <c r="A116" s="48">
        <v>91101</v>
      </c>
      <c r="B116" s="49" t="s">
        <v>829</v>
      </c>
      <c r="C116" s="235">
        <v>1.3608800000000001E-2</v>
      </c>
      <c r="D116" s="235">
        <v>1.35581E-2</v>
      </c>
      <c r="E116" s="187">
        <v>32284728</v>
      </c>
      <c r="F116" s="187" t="s">
        <v>1930</v>
      </c>
      <c r="G116" s="233">
        <v>4980766</v>
      </c>
      <c r="H116" s="221">
        <v>4431733</v>
      </c>
      <c r="I116" s="233">
        <v>8567121</v>
      </c>
      <c r="J116" s="232">
        <v>153266</v>
      </c>
      <c r="K116" s="88">
        <f t="shared" si="2"/>
        <v>18132886</v>
      </c>
      <c r="L116" s="50"/>
      <c r="M116" s="233">
        <v>167130</v>
      </c>
      <c r="N116" s="233">
        <v>0</v>
      </c>
      <c r="O116" s="232">
        <v>611807</v>
      </c>
      <c r="P116" s="88">
        <f t="shared" si="3"/>
        <v>778937</v>
      </c>
      <c r="Q116" s="50"/>
      <c r="R116" s="233">
        <v>8967832</v>
      </c>
      <c r="S116" s="232">
        <v>97540</v>
      </c>
      <c r="T116" s="234">
        <v>9065372</v>
      </c>
    </row>
    <row r="117" spans="1:20">
      <c r="A117" s="48">
        <v>91102</v>
      </c>
      <c r="B117" s="49" t="s">
        <v>830</v>
      </c>
      <c r="C117" s="235">
        <v>3.2509999999999999E-4</v>
      </c>
      <c r="D117" s="235">
        <v>3.2919999999999998E-4</v>
      </c>
      <c r="E117" s="187">
        <v>771248</v>
      </c>
      <c r="F117" s="187" t="s">
        <v>1930</v>
      </c>
      <c r="G117" s="233">
        <v>118985</v>
      </c>
      <c r="H117" s="221">
        <v>105870</v>
      </c>
      <c r="I117" s="233">
        <v>204660</v>
      </c>
      <c r="J117" s="232">
        <v>24895</v>
      </c>
      <c r="K117" s="88">
        <f t="shared" si="2"/>
        <v>454410</v>
      </c>
      <c r="L117" s="50"/>
      <c r="M117" s="233">
        <v>3993</v>
      </c>
      <c r="N117" s="233">
        <v>0</v>
      </c>
      <c r="O117" s="232">
        <v>16541</v>
      </c>
      <c r="P117" s="88">
        <f t="shared" si="3"/>
        <v>20534</v>
      </c>
      <c r="Q117" s="50"/>
      <c r="R117" s="233">
        <v>214232</v>
      </c>
      <c r="S117" s="232">
        <v>-8634</v>
      </c>
      <c r="T117" s="234">
        <v>205598</v>
      </c>
    </row>
    <row r="118" spans="1:20">
      <c r="A118" s="48">
        <v>91104</v>
      </c>
      <c r="B118" s="49" t="s">
        <v>831</v>
      </c>
      <c r="C118" s="235">
        <v>6.9999999999999999E-6</v>
      </c>
      <c r="D118" s="235">
        <v>7.9000000000000006E-6</v>
      </c>
      <c r="E118" s="187">
        <v>16606</v>
      </c>
      <c r="F118" s="187" t="s">
        <v>1930</v>
      </c>
      <c r="G118" s="233">
        <v>2562</v>
      </c>
      <c r="H118" s="221">
        <v>2279</v>
      </c>
      <c r="I118" s="233">
        <v>4407</v>
      </c>
      <c r="J118" s="232">
        <v>4377</v>
      </c>
      <c r="K118" s="88">
        <f t="shared" si="2"/>
        <v>13625</v>
      </c>
      <c r="L118" s="50"/>
      <c r="M118" s="233">
        <v>86</v>
      </c>
      <c r="N118" s="233">
        <v>0</v>
      </c>
      <c r="O118" s="232">
        <v>0</v>
      </c>
      <c r="P118" s="88">
        <f t="shared" si="3"/>
        <v>86</v>
      </c>
      <c r="Q118" s="50"/>
      <c r="R118" s="233">
        <v>4613</v>
      </c>
      <c r="S118" s="232">
        <v>1311</v>
      </c>
      <c r="T118" s="234">
        <v>5924</v>
      </c>
    </row>
    <row r="119" spans="1:20">
      <c r="A119" s="48">
        <v>91107</v>
      </c>
      <c r="B119" s="49" t="s">
        <v>832</v>
      </c>
      <c r="C119" s="235">
        <v>5.8999999999999998E-5</v>
      </c>
      <c r="D119" s="235">
        <v>7.08E-5</v>
      </c>
      <c r="E119" s="187">
        <v>139968</v>
      </c>
      <c r="F119" s="187" t="s">
        <v>1930</v>
      </c>
      <c r="G119" s="233">
        <v>21594</v>
      </c>
      <c r="H119" s="221">
        <v>19214</v>
      </c>
      <c r="I119" s="233">
        <v>37142</v>
      </c>
      <c r="J119" s="232">
        <v>7995</v>
      </c>
      <c r="K119" s="88">
        <f t="shared" si="2"/>
        <v>85945</v>
      </c>
      <c r="L119" s="50"/>
      <c r="M119" s="233">
        <v>725</v>
      </c>
      <c r="N119" s="233">
        <v>0</v>
      </c>
      <c r="O119" s="232">
        <v>3010</v>
      </c>
      <c r="P119" s="88">
        <f t="shared" si="3"/>
        <v>3735</v>
      </c>
      <c r="Q119" s="50"/>
      <c r="R119" s="233">
        <v>38879</v>
      </c>
      <c r="S119" s="232">
        <v>4395</v>
      </c>
      <c r="T119" s="234">
        <v>43274</v>
      </c>
    </row>
    <row r="120" spans="1:20">
      <c r="A120" s="48">
        <v>91108</v>
      </c>
      <c r="B120" s="49" t="s">
        <v>833</v>
      </c>
      <c r="C120" s="235">
        <v>1.2019000000000001E-3</v>
      </c>
      <c r="D120" s="235">
        <v>1.2413999999999999E-3</v>
      </c>
      <c r="E120" s="187">
        <v>2851318</v>
      </c>
      <c r="F120" s="187" t="s">
        <v>1930</v>
      </c>
      <c r="G120" s="233">
        <v>439891</v>
      </c>
      <c r="H120" s="221">
        <v>391401</v>
      </c>
      <c r="I120" s="233">
        <v>756630</v>
      </c>
      <c r="J120" s="232">
        <v>64196</v>
      </c>
      <c r="K120" s="88">
        <f t="shared" si="2"/>
        <v>1652118</v>
      </c>
      <c r="L120" s="50"/>
      <c r="M120" s="233">
        <v>14761</v>
      </c>
      <c r="N120" s="233">
        <v>0</v>
      </c>
      <c r="O120" s="232">
        <v>0</v>
      </c>
      <c r="P120" s="88">
        <f t="shared" si="3"/>
        <v>14761</v>
      </c>
      <c r="Q120" s="50"/>
      <c r="R120" s="233">
        <v>792020</v>
      </c>
      <c r="S120" s="232">
        <v>40803</v>
      </c>
      <c r="T120" s="234">
        <v>832823</v>
      </c>
    </row>
    <row r="121" spans="1:20">
      <c r="A121" s="48">
        <v>91109</v>
      </c>
      <c r="B121" s="49" t="s">
        <v>834</v>
      </c>
      <c r="C121" s="235">
        <v>1E-4</v>
      </c>
      <c r="D121" s="235">
        <v>9.9599999999999995E-5</v>
      </c>
      <c r="E121" s="187">
        <v>237234</v>
      </c>
      <c r="F121" s="187" t="s">
        <v>1930</v>
      </c>
      <c r="G121" s="233">
        <v>36600</v>
      </c>
      <c r="H121" s="221">
        <v>32565</v>
      </c>
      <c r="I121" s="233">
        <v>62953</v>
      </c>
      <c r="J121" s="232">
        <v>7411</v>
      </c>
      <c r="K121" s="88">
        <f t="shared" si="2"/>
        <v>139529</v>
      </c>
      <c r="L121" s="50"/>
      <c r="M121" s="233">
        <v>1228</v>
      </c>
      <c r="N121" s="233">
        <v>0</v>
      </c>
      <c r="O121" s="232">
        <v>235</v>
      </c>
      <c r="P121" s="88">
        <f t="shared" si="3"/>
        <v>1463</v>
      </c>
      <c r="Q121" s="50"/>
      <c r="R121" s="233">
        <v>65897</v>
      </c>
      <c r="S121" s="232">
        <v>2068</v>
      </c>
      <c r="T121" s="234">
        <v>67965</v>
      </c>
    </row>
    <row r="122" spans="1:20">
      <c r="A122" s="48">
        <v>91111</v>
      </c>
      <c r="B122" s="49" t="s">
        <v>2179</v>
      </c>
      <c r="C122" s="235">
        <v>2.3499999999999999E-4</v>
      </c>
      <c r="D122" s="235">
        <v>2.2719999999999999E-4</v>
      </c>
      <c r="E122" s="187">
        <v>557500</v>
      </c>
      <c r="F122" s="187" t="s">
        <v>1930</v>
      </c>
      <c r="G122" s="233">
        <v>86009</v>
      </c>
      <c r="H122" s="221">
        <v>76528</v>
      </c>
      <c r="I122" s="233">
        <v>147939</v>
      </c>
      <c r="J122" s="232">
        <v>19329</v>
      </c>
      <c r="K122" s="88">
        <f t="shared" si="2"/>
        <v>329805</v>
      </c>
      <c r="L122" s="50"/>
      <c r="M122" s="233">
        <v>2886</v>
      </c>
      <c r="N122" s="233">
        <v>0</v>
      </c>
      <c r="O122" s="232">
        <v>0</v>
      </c>
      <c r="P122" s="88">
        <f t="shared" si="3"/>
        <v>2886</v>
      </c>
      <c r="Q122" s="50"/>
      <c r="R122" s="233">
        <v>154859</v>
      </c>
      <c r="S122" s="232">
        <v>11947</v>
      </c>
      <c r="T122" s="234">
        <v>166806</v>
      </c>
    </row>
    <row r="123" spans="1:20">
      <c r="A123" s="48">
        <v>91119</v>
      </c>
      <c r="B123" s="49" t="s">
        <v>48</v>
      </c>
      <c r="C123" s="235">
        <v>0</v>
      </c>
      <c r="D123" s="235">
        <v>0</v>
      </c>
      <c r="E123" s="187">
        <v>0</v>
      </c>
      <c r="F123" s="187" t="s">
        <v>1930</v>
      </c>
      <c r="G123" s="233">
        <v>0</v>
      </c>
      <c r="H123" s="221">
        <v>0</v>
      </c>
      <c r="I123" s="233">
        <v>0</v>
      </c>
      <c r="J123" s="232">
        <v>0</v>
      </c>
      <c r="K123" s="88">
        <f t="shared" si="2"/>
        <v>0</v>
      </c>
      <c r="L123" s="50"/>
      <c r="M123" s="233">
        <v>0</v>
      </c>
      <c r="N123" s="233">
        <v>0</v>
      </c>
      <c r="O123" s="232">
        <v>0</v>
      </c>
      <c r="P123" s="88">
        <f t="shared" si="3"/>
        <v>0</v>
      </c>
      <c r="Q123" s="50"/>
      <c r="R123" s="233">
        <v>0</v>
      </c>
      <c r="S123" s="232">
        <v>-321091</v>
      </c>
      <c r="T123" s="234">
        <v>-321091</v>
      </c>
    </row>
    <row r="124" spans="1:20">
      <c r="A124" s="48">
        <v>91120</v>
      </c>
      <c r="B124" s="49" t="s">
        <v>836</v>
      </c>
      <c r="C124" s="235">
        <v>1.2679999999999999E-4</v>
      </c>
      <c r="D124" s="235">
        <v>1.3019999999999999E-4</v>
      </c>
      <c r="E124" s="187">
        <v>300813</v>
      </c>
      <c r="F124" s="187" t="s">
        <v>1930</v>
      </c>
      <c r="G124" s="233">
        <v>46408</v>
      </c>
      <c r="H124" s="221">
        <v>41293</v>
      </c>
      <c r="I124" s="233">
        <v>79824</v>
      </c>
      <c r="J124" s="232">
        <v>0</v>
      </c>
      <c r="K124" s="88">
        <f t="shared" si="2"/>
        <v>167525</v>
      </c>
      <c r="L124" s="50"/>
      <c r="M124" s="233">
        <v>1557</v>
      </c>
      <c r="N124" s="233">
        <v>0</v>
      </c>
      <c r="O124" s="232">
        <v>20743</v>
      </c>
      <c r="P124" s="88">
        <f t="shared" si="3"/>
        <v>22300</v>
      </c>
      <c r="Q124" s="50"/>
      <c r="R124" s="233">
        <v>83558</v>
      </c>
      <c r="S124" s="232">
        <v>-14819</v>
      </c>
      <c r="T124" s="234">
        <v>68739</v>
      </c>
    </row>
    <row r="125" spans="1:20">
      <c r="A125" s="48">
        <v>91121</v>
      </c>
      <c r="B125" s="49" t="s">
        <v>837</v>
      </c>
      <c r="C125" s="235">
        <v>1.02925E-2</v>
      </c>
      <c r="D125" s="235">
        <v>9.9927999999999996E-3</v>
      </c>
      <c r="E125" s="187">
        <v>24417330</v>
      </c>
      <c r="F125" s="187" t="s">
        <v>1930</v>
      </c>
      <c r="G125" s="233">
        <v>3767014</v>
      </c>
      <c r="H125" s="221">
        <v>3351774</v>
      </c>
      <c r="I125" s="233">
        <v>6479417</v>
      </c>
      <c r="J125" s="232">
        <v>0</v>
      </c>
      <c r="K125" s="88">
        <f t="shared" si="2"/>
        <v>13598205</v>
      </c>
      <c r="L125" s="50"/>
      <c r="M125" s="233">
        <v>126402</v>
      </c>
      <c r="N125" s="233">
        <v>0</v>
      </c>
      <c r="O125" s="232">
        <v>408831</v>
      </c>
      <c r="P125" s="88">
        <f t="shared" si="3"/>
        <v>535233</v>
      </c>
      <c r="Q125" s="50"/>
      <c r="R125" s="233">
        <v>6782480</v>
      </c>
      <c r="S125" s="232">
        <v>-342903</v>
      </c>
      <c r="T125" s="234">
        <v>6439577</v>
      </c>
    </row>
    <row r="126" spans="1:20">
      <c r="A126" s="48">
        <v>91127</v>
      </c>
      <c r="B126" s="49" t="s">
        <v>838</v>
      </c>
      <c r="C126" s="235">
        <v>2.8370000000000001E-4</v>
      </c>
      <c r="D126" s="235">
        <v>2.6879999999999997E-4</v>
      </c>
      <c r="E126" s="187">
        <v>673033</v>
      </c>
      <c r="F126" s="187" t="s">
        <v>1930</v>
      </c>
      <c r="G126" s="233">
        <v>103833</v>
      </c>
      <c r="H126" s="221">
        <v>92387</v>
      </c>
      <c r="I126" s="233">
        <v>178597</v>
      </c>
      <c r="J126" s="232">
        <v>49510</v>
      </c>
      <c r="K126" s="88">
        <f t="shared" si="2"/>
        <v>424327</v>
      </c>
      <c r="L126" s="50"/>
      <c r="M126" s="233">
        <v>3484</v>
      </c>
      <c r="N126" s="233">
        <v>0</v>
      </c>
      <c r="O126" s="232">
        <v>0</v>
      </c>
      <c r="P126" s="88">
        <f t="shared" si="3"/>
        <v>3484</v>
      </c>
      <c r="Q126" s="50"/>
      <c r="R126" s="233">
        <v>186951</v>
      </c>
      <c r="S126" s="232">
        <v>31849</v>
      </c>
      <c r="T126" s="234">
        <v>218800</v>
      </c>
    </row>
    <row r="127" spans="1:20">
      <c r="A127" s="48">
        <v>91128</v>
      </c>
      <c r="B127" s="49" t="s">
        <v>839</v>
      </c>
      <c r="C127" s="235">
        <v>5.1060000000000005E-4</v>
      </c>
      <c r="D127" s="235">
        <v>5.2380000000000005E-4</v>
      </c>
      <c r="E127" s="187">
        <v>1211318</v>
      </c>
      <c r="F127" s="187" t="s">
        <v>1930</v>
      </c>
      <c r="G127" s="233">
        <v>186878</v>
      </c>
      <c r="H127" s="221">
        <v>166278</v>
      </c>
      <c r="I127" s="233">
        <v>321437</v>
      </c>
      <c r="J127" s="232">
        <v>9519</v>
      </c>
      <c r="K127" s="88">
        <f t="shared" si="2"/>
        <v>684112</v>
      </c>
      <c r="L127" s="50"/>
      <c r="M127" s="233">
        <v>6271</v>
      </c>
      <c r="N127" s="233">
        <v>0</v>
      </c>
      <c r="O127" s="232">
        <v>11235</v>
      </c>
      <c r="P127" s="88">
        <f t="shared" si="3"/>
        <v>17506</v>
      </c>
      <c r="Q127" s="50"/>
      <c r="R127" s="233">
        <v>336472</v>
      </c>
      <c r="S127" s="232">
        <v>-3424</v>
      </c>
      <c r="T127" s="234">
        <v>333048</v>
      </c>
    </row>
    <row r="128" spans="1:20">
      <c r="A128" s="48">
        <v>91138</v>
      </c>
      <c r="B128" s="49" t="s">
        <v>840</v>
      </c>
      <c r="C128" s="235">
        <v>4.8819999999999999E-4</v>
      </c>
      <c r="D128" s="235">
        <v>6.2629999999999999E-4</v>
      </c>
      <c r="E128" s="187">
        <v>1158177</v>
      </c>
      <c r="F128" s="187" t="s">
        <v>1930</v>
      </c>
      <c r="G128" s="233">
        <v>178679</v>
      </c>
      <c r="H128" s="221">
        <v>158983</v>
      </c>
      <c r="I128" s="233">
        <v>307336</v>
      </c>
      <c r="J128" s="232">
        <v>0</v>
      </c>
      <c r="K128" s="88">
        <f t="shared" si="2"/>
        <v>644998</v>
      </c>
      <c r="L128" s="50"/>
      <c r="M128" s="233">
        <v>5996</v>
      </c>
      <c r="N128" s="233">
        <v>0</v>
      </c>
      <c r="O128" s="232">
        <v>212777</v>
      </c>
      <c r="P128" s="88">
        <f t="shared" si="3"/>
        <v>218773</v>
      </c>
      <c r="Q128" s="50"/>
      <c r="R128" s="233">
        <v>321711</v>
      </c>
      <c r="S128" s="232">
        <v>-81735</v>
      </c>
      <c r="T128" s="234">
        <v>239976</v>
      </c>
    </row>
    <row r="129" spans="1:20">
      <c r="A129" s="48">
        <v>91141</v>
      </c>
      <c r="B129" s="49" t="s">
        <v>2180</v>
      </c>
      <c r="C129" s="235">
        <v>5.5960000000000005E-4</v>
      </c>
      <c r="D129" s="235">
        <v>5.7569999999999995E-4</v>
      </c>
      <c r="E129" s="187">
        <v>1327563</v>
      </c>
      <c r="F129" s="187" t="s">
        <v>1930</v>
      </c>
      <c r="G129" s="233">
        <v>204811</v>
      </c>
      <c r="H129" s="221">
        <v>182235</v>
      </c>
      <c r="I129" s="233">
        <v>352284</v>
      </c>
      <c r="J129" s="232">
        <v>0</v>
      </c>
      <c r="K129" s="88">
        <f t="shared" si="2"/>
        <v>739330</v>
      </c>
      <c r="L129" s="50"/>
      <c r="M129" s="233">
        <v>6872</v>
      </c>
      <c r="N129" s="233">
        <v>0</v>
      </c>
      <c r="O129" s="232">
        <v>65730</v>
      </c>
      <c r="P129" s="88">
        <f t="shared" si="3"/>
        <v>72602</v>
      </c>
      <c r="Q129" s="50"/>
      <c r="R129" s="233">
        <v>368761</v>
      </c>
      <c r="S129" s="232">
        <v>-43880</v>
      </c>
      <c r="T129" s="234">
        <v>324881</v>
      </c>
    </row>
    <row r="130" spans="1:20">
      <c r="A130" s="48">
        <v>91147</v>
      </c>
      <c r="B130" s="49" t="s">
        <v>842</v>
      </c>
      <c r="C130" s="235">
        <v>2.87E-5</v>
      </c>
      <c r="D130" s="235">
        <v>2.6699999999999998E-5</v>
      </c>
      <c r="E130" s="187">
        <v>68086</v>
      </c>
      <c r="F130" s="187" t="s">
        <v>1930</v>
      </c>
      <c r="G130" s="233">
        <v>10504</v>
      </c>
      <c r="H130" s="221">
        <v>9346</v>
      </c>
      <c r="I130" s="233">
        <v>18067</v>
      </c>
      <c r="J130" s="232">
        <v>5905</v>
      </c>
      <c r="K130" s="88">
        <f t="shared" si="2"/>
        <v>43822</v>
      </c>
      <c r="L130" s="50"/>
      <c r="M130" s="233">
        <v>352</v>
      </c>
      <c r="N130" s="233">
        <v>0</v>
      </c>
      <c r="O130" s="232">
        <v>0</v>
      </c>
      <c r="P130" s="88">
        <f t="shared" si="3"/>
        <v>352</v>
      </c>
      <c r="Q130" s="50"/>
      <c r="R130" s="233">
        <v>18913</v>
      </c>
      <c r="S130" s="232">
        <v>4757</v>
      </c>
      <c r="T130" s="234">
        <v>23670</v>
      </c>
    </row>
    <row r="131" spans="1:20">
      <c r="A131" s="48">
        <v>91151</v>
      </c>
      <c r="B131" s="49" t="s">
        <v>2181</v>
      </c>
      <c r="C131" s="235">
        <v>6.2589999999999998E-4</v>
      </c>
      <c r="D131" s="235">
        <v>6.3409999999999996E-4</v>
      </c>
      <c r="E131" s="187">
        <v>1484849</v>
      </c>
      <c r="F131" s="187" t="s">
        <v>1930</v>
      </c>
      <c r="G131" s="233">
        <v>229077</v>
      </c>
      <c r="H131" s="221">
        <v>203826</v>
      </c>
      <c r="I131" s="233">
        <v>394022</v>
      </c>
      <c r="J131" s="232">
        <v>3112</v>
      </c>
      <c r="K131" s="88">
        <f t="shared" si="2"/>
        <v>830037</v>
      </c>
      <c r="L131" s="50"/>
      <c r="M131" s="233">
        <v>7687</v>
      </c>
      <c r="N131" s="233">
        <v>0</v>
      </c>
      <c r="O131" s="232">
        <v>68725</v>
      </c>
      <c r="P131" s="88">
        <f t="shared" si="3"/>
        <v>76412</v>
      </c>
      <c r="Q131" s="50"/>
      <c r="R131" s="233">
        <v>412451</v>
      </c>
      <c r="S131" s="232">
        <v>-24854</v>
      </c>
      <c r="T131" s="234">
        <v>387597</v>
      </c>
    </row>
    <row r="132" spans="1:20">
      <c r="A132" s="48">
        <v>91154</v>
      </c>
      <c r="B132" s="49" t="s">
        <v>844</v>
      </c>
      <c r="C132" s="235">
        <v>2.41E-5</v>
      </c>
      <c r="D132" s="235">
        <v>2.6299999999999999E-5</v>
      </c>
      <c r="E132" s="187">
        <v>57173</v>
      </c>
      <c r="F132" s="187" t="s">
        <v>1930</v>
      </c>
      <c r="G132" s="233">
        <v>8821</v>
      </c>
      <c r="H132" s="221">
        <v>7848</v>
      </c>
      <c r="I132" s="233">
        <v>15172</v>
      </c>
      <c r="J132" s="232">
        <v>4369</v>
      </c>
      <c r="K132" s="88">
        <f t="shared" si="2"/>
        <v>36210</v>
      </c>
      <c r="L132" s="50"/>
      <c r="M132" s="233">
        <v>296</v>
      </c>
      <c r="N132" s="233">
        <v>0</v>
      </c>
      <c r="O132" s="232">
        <v>2182</v>
      </c>
      <c r="P132" s="88">
        <f t="shared" si="3"/>
        <v>2478</v>
      </c>
      <c r="Q132" s="50"/>
      <c r="R132" s="233">
        <v>15881</v>
      </c>
      <c r="S132" s="232">
        <v>2411</v>
      </c>
      <c r="T132" s="234">
        <v>18292</v>
      </c>
    </row>
    <row r="133" spans="1:20">
      <c r="A133" s="48">
        <v>91161</v>
      </c>
      <c r="B133" s="49" t="s">
        <v>2182</v>
      </c>
      <c r="C133" s="235">
        <v>7.9699999999999999E-5</v>
      </c>
      <c r="D133" s="235">
        <v>9.2600000000000001E-5</v>
      </c>
      <c r="E133" s="187">
        <v>189076</v>
      </c>
      <c r="F133" s="187" t="s">
        <v>1930</v>
      </c>
      <c r="G133" s="233">
        <v>29170</v>
      </c>
      <c r="H133" s="221">
        <v>25954</v>
      </c>
      <c r="I133" s="233">
        <v>50173</v>
      </c>
      <c r="J133" s="232">
        <v>2466</v>
      </c>
      <c r="K133" s="88">
        <f t="shared" si="2"/>
        <v>107763</v>
      </c>
      <c r="L133" s="50"/>
      <c r="M133" s="233">
        <v>979</v>
      </c>
      <c r="N133" s="233">
        <v>0</v>
      </c>
      <c r="O133" s="232">
        <v>9902</v>
      </c>
      <c r="P133" s="88">
        <f t="shared" si="3"/>
        <v>10881</v>
      </c>
      <c r="Q133" s="50"/>
      <c r="R133" s="233">
        <v>52520</v>
      </c>
      <c r="S133" s="232">
        <v>-1236</v>
      </c>
      <c r="T133" s="234">
        <v>51284</v>
      </c>
    </row>
    <row r="134" spans="1:20">
      <c r="A134" s="48">
        <v>91171</v>
      </c>
      <c r="B134" s="49" t="s">
        <v>2183</v>
      </c>
      <c r="C134" s="235">
        <v>2.3790000000000001E-4</v>
      </c>
      <c r="D134" s="235">
        <v>1.95E-4</v>
      </c>
      <c r="E134" s="187">
        <v>564380</v>
      </c>
      <c r="F134" s="187" t="s">
        <v>1930</v>
      </c>
      <c r="G134" s="233">
        <v>87070</v>
      </c>
      <c r="H134" s="221">
        <v>77473</v>
      </c>
      <c r="I134" s="233">
        <v>149765</v>
      </c>
      <c r="J134" s="232">
        <v>24306</v>
      </c>
      <c r="K134" s="88">
        <f t="shared" si="2"/>
        <v>338614</v>
      </c>
      <c r="L134" s="50"/>
      <c r="M134" s="233">
        <v>2922</v>
      </c>
      <c r="N134" s="233">
        <v>0</v>
      </c>
      <c r="O134" s="232">
        <v>36666</v>
      </c>
      <c r="P134" s="88">
        <f t="shared" si="3"/>
        <v>39588</v>
      </c>
      <c r="Q134" s="50"/>
      <c r="R134" s="233">
        <v>156770</v>
      </c>
      <c r="S134" s="232">
        <v>-15275</v>
      </c>
      <c r="T134" s="234">
        <v>141495</v>
      </c>
    </row>
    <row r="135" spans="1:20">
      <c r="A135" s="48">
        <v>91201</v>
      </c>
      <c r="B135" s="49" t="s">
        <v>847</v>
      </c>
      <c r="C135" s="235">
        <v>2.2587000000000002E-3</v>
      </c>
      <c r="D135" s="235">
        <v>2.2878E-3</v>
      </c>
      <c r="E135" s="187">
        <v>5358409</v>
      </c>
      <c r="F135" s="187" t="s">
        <v>1930</v>
      </c>
      <c r="G135" s="233">
        <v>826675</v>
      </c>
      <c r="H135" s="221">
        <v>735550</v>
      </c>
      <c r="I135" s="233">
        <v>1421915</v>
      </c>
      <c r="J135" s="232">
        <v>15312</v>
      </c>
      <c r="K135" s="88">
        <f t="shared" si="2"/>
        <v>2999452</v>
      </c>
      <c r="L135" s="50"/>
      <c r="M135" s="233">
        <v>27739</v>
      </c>
      <c r="N135" s="233">
        <v>0</v>
      </c>
      <c r="O135" s="232">
        <v>131332</v>
      </c>
      <c r="P135" s="88">
        <f t="shared" si="3"/>
        <v>159071</v>
      </c>
      <c r="Q135" s="50"/>
      <c r="R135" s="233">
        <v>1488422</v>
      </c>
      <c r="S135" s="232">
        <v>-15775</v>
      </c>
      <c r="T135" s="234">
        <v>1472647</v>
      </c>
    </row>
    <row r="136" spans="1:20">
      <c r="A136" s="48">
        <v>91202</v>
      </c>
      <c r="B136" s="49" t="s">
        <v>848</v>
      </c>
      <c r="C136" s="235">
        <v>1.9579999999999999E-4</v>
      </c>
      <c r="D136" s="235">
        <v>1.9330000000000001E-4</v>
      </c>
      <c r="E136" s="187">
        <v>464505</v>
      </c>
      <c r="F136" s="187" t="s">
        <v>1930</v>
      </c>
      <c r="G136" s="233">
        <v>71662</v>
      </c>
      <c r="H136" s="221">
        <v>63762</v>
      </c>
      <c r="I136" s="233">
        <v>123262</v>
      </c>
      <c r="J136" s="232">
        <v>19480</v>
      </c>
      <c r="K136" s="88">
        <f t="shared" si="2"/>
        <v>278166</v>
      </c>
      <c r="L136" s="50"/>
      <c r="M136" s="233">
        <v>2405</v>
      </c>
      <c r="N136" s="233">
        <v>0</v>
      </c>
      <c r="O136" s="232">
        <v>0</v>
      </c>
      <c r="P136" s="88">
        <f t="shared" si="3"/>
        <v>2405</v>
      </c>
      <c r="Q136" s="50"/>
      <c r="R136" s="233">
        <v>129027</v>
      </c>
      <c r="S136" s="232">
        <v>13312</v>
      </c>
      <c r="T136" s="234">
        <v>142339</v>
      </c>
    </row>
    <row r="137" spans="1:20">
      <c r="A137" s="48">
        <v>91203</v>
      </c>
      <c r="B137" s="49" t="s">
        <v>849</v>
      </c>
      <c r="C137" s="235">
        <v>2.3000000000000001E-4</v>
      </c>
      <c r="D137" s="235">
        <v>2.1939999999999999E-4</v>
      </c>
      <c r="E137" s="187">
        <v>545639</v>
      </c>
      <c r="F137" s="187" t="s">
        <v>1930</v>
      </c>
      <c r="G137" s="233">
        <v>84179</v>
      </c>
      <c r="H137" s="221">
        <v>74900</v>
      </c>
      <c r="I137" s="233">
        <v>144791</v>
      </c>
      <c r="J137" s="232">
        <v>39994</v>
      </c>
      <c r="K137" s="88">
        <f t="shared" si="2"/>
        <v>343864</v>
      </c>
      <c r="L137" s="50"/>
      <c r="M137" s="233">
        <v>2825</v>
      </c>
      <c r="N137" s="233">
        <v>0</v>
      </c>
      <c r="O137" s="232">
        <v>0</v>
      </c>
      <c r="P137" s="88">
        <f t="shared" si="3"/>
        <v>2825</v>
      </c>
      <c r="Q137" s="50"/>
      <c r="R137" s="233">
        <v>151564</v>
      </c>
      <c r="S137" s="232">
        <v>19261</v>
      </c>
      <c r="T137" s="234">
        <v>170825</v>
      </c>
    </row>
    <row r="138" spans="1:20">
      <c r="A138" s="48">
        <v>91206</v>
      </c>
      <c r="B138" s="49" t="s">
        <v>850</v>
      </c>
      <c r="C138" s="235">
        <v>9.0660000000000003E-4</v>
      </c>
      <c r="D138" s="235">
        <v>8.6450000000000003E-4</v>
      </c>
      <c r="E138" s="187">
        <v>2150765</v>
      </c>
      <c r="F138" s="187" t="s">
        <v>1930</v>
      </c>
      <c r="G138" s="233">
        <v>331812</v>
      </c>
      <c r="H138" s="221">
        <v>295237</v>
      </c>
      <c r="I138" s="233">
        <v>570730</v>
      </c>
      <c r="J138" s="232">
        <v>45439</v>
      </c>
      <c r="K138" s="88">
        <f t="shared" si="2"/>
        <v>1243218</v>
      </c>
      <c r="L138" s="50"/>
      <c r="M138" s="233">
        <v>11134</v>
      </c>
      <c r="N138" s="233">
        <v>0</v>
      </c>
      <c r="O138" s="232">
        <v>736</v>
      </c>
      <c r="P138" s="88">
        <f t="shared" si="3"/>
        <v>11870</v>
      </c>
      <c r="Q138" s="50"/>
      <c r="R138" s="233">
        <v>597425</v>
      </c>
      <c r="S138" s="232">
        <v>22732</v>
      </c>
      <c r="T138" s="234">
        <v>620157</v>
      </c>
    </row>
    <row r="139" spans="1:20">
      <c r="A139" s="48">
        <v>91208</v>
      </c>
      <c r="B139" s="49" t="s">
        <v>851</v>
      </c>
      <c r="C139" s="235">
        <v>1.3200000000000001E-5</v>
      </c>
      <c r="D139" s="235">
        <v>1.42E-5</v>
      </c>
      <c r="E139" s="187">
        <v>31315</v>
      </c>
      <c r="F139" s="187" t="s">
        <v>1930</v>
      </c>
      <c r="G139" s="233">
        <v>4831</v>
      </c>
      <c r="H139" s="221">
        <v>4299</v>
      </c>
      <c r="I139" s="233">
        <v>8310</v>
      </c>
      <c r="J139" s="232">
        <v>529</v>
      </c>
      <c r="K139" s="88">
        <f t="shared" ref="K139:K202" si="4">G139+H139+I139+J139</f>
        <v>17969</v>
      </c>
      <c r="L139" s="50"/>
      <c r="M139" s="233">
        <v>162</v>
      </c>
      <c r="N139" s="233">
        <v>0</v>
      </c>
      <c r="O139" s="232">
        <v>522</v>
      </c>
      <c r="P139" s="88">
        <f t="shared" ref="P139:P202" si="5">M139+N139+O139</f>
        <v>684</v>
      </c>
      <c r="Q139" s="50"/>
      <c r="R139" s="233">
        <v>8698</v>
      </c>
      <c r="S139" s="232">
        <v>3299</v>
      </c>
      <c r="T139" s="234">
        <v>11997</v>
      </c>
    </row>
    <row r="140" spans="1:20">
      <c r="A140" s="48">
        <v>91211</v>
      </c>
      <c r="B140" s="49" t="s">
        <v>2184</v>
      </c>
      <c r="C140" s="235">
        <v>4.526E-4</v>
      </c>
      <c r="D140" s="235">
        <v>4.5530000000000001E-4</v>
      </c>
      <c r="E140" s="187">
        <v>1073722</v>
      </c>
      <c r="F140" s="187" t="s">
        <v>1930</v>
      </c>
      <c r="G140" s="233">
        <v>165650</v>
      </c>
      <c r="H140" s="221">
        <v>147390</v>
      </c>
      <c r="I140" s="233">
        <v>284924</v>
      </c>
      <c r="J140" s="232">
        <v>3586</v>
      </c>
      <c r="K140" s="88">
        <f t="shared" si="4"/>
        <v>601550</v>
      </c>
      <c r="L140" s="50"/>
      <c r="M140" s="233">
        <v>5558</v>
      </c>
      <c r="N140" s="233">
        <v>0</v>
      </c>
      <c r="O140" s="232">
        <v>16402</v>
      </c>
      <c r="P140" s="88">
        <f t="shared" si="5"/>
        <v>21960</v>
      </c>
      <c r="Q140" s="50"/>
      <c r="R140" s="233">
        <v>298251</v>
      </c>
      <c r="S140" s="232">
        <v>-2389</v>
      </c>
      <c r="T140" s="234">
        <v>295862</v>
      </c>
    </row>
    <row r="141" spans="1:20">
      <c r="A141" s="48">
        <v>91213</v>
      </c>
      <c r="B141" s="49" t="s">
        <v>853</v>
      </c>
      <c r="C141" s="235">
        <v>2.4700000000000001E-5</v>
      </c>
      <c r="D141" s="235">
        <v>3.2499999999999997E-5</v>
      </c>
      <c r="E141" s="187">
        <v>58597</v>
      </c>
      <c r="F141" s="187" t="s">
        <v>1930</v>
      </c>
      <c r="G141" s="233">
        <v>9040</v>
      </c>
      <c r="H141" s="221">
        <v>8043</v>
      </c>
      <c r="I141" s="233">
        <v>15549</v>
      </c>
      <c r="J141" s="232">
        <v>0</v>
      </c>
      <c r="K141" s="88">
        <f t="shared" si="4"/>
        <v>32632</v>
      </c>
      <c r="L141" s="50"/>
      <c r="M141" s="233">
        <v>303</v>
      </c>
      <c r="N141" s="233">
        <v>0</v>
      </c>
      <c r="O141" s="232">
        <v>10895</v>
      </c>
      <c r="P141" s="88">
        <f t="shared" si="5"/>
        <v>11198</v>
      </c>
      <c r="Q141" s="50"/>
      <c r="R141" s="233">
        <v>16277</v>
      </c>
      <c r="S141" s="232">
        <v>-4124</v>
      </c>
      <c r="T141" s="234">
        <v>12153</v>
      </c>
    </row>
    <row r="142" spans="1:20">
      <c r="A142" s="48">
        <v>91214</v>
      </c>
      <c r="B142" s="49" t="s">
        <v>2185</v>
      </c>
      <c r="C142" s="235">
        <v>3.0499999999999999E-5</v>
      </c>
      <c r="D142" s="235">
        <v>2.9300000000000001E-5</v>
      </c>
      <c r="E142" s="187">
        <v>72356</v>
      </c>
      <c r="F142" s="187" t="s">
        <v>1930</v>
      </c>
      <c r="G142" s="233">
        <v>11163</v>
      </c>
      <c r="H142" s="221">
        <v>9932</v>
      </c>
      <c r="I142" s="233">
        <v>19201</v>
      </c>
      <c r="J142" s="232">
        <v>530</v>
      </c>
      <c r="K142" s="88">
        <f t="shared" si="4"/>
        <v>40826</v>
      </c>
      <c r="L142" s="50"/>
      <c r="M142" s="233">
        <v>375</v>
      </c>
      <c r="N142" s="233">
        <v>0</v>
      </c>
      <c r="O142" s="232">
        <v>4250</v>
      </c>
      <c r="P142" s="88">
        <f t="shared" si="5"/>
        <v>4625</v>
      </c>
      <c r="Q142" s="50"/>
      <c r="R142" s="233">
        <v>20099</v>
      </c>
      <c r="S142" s="232">
        <v>-694</v>
      </c>
      <c r="T142" s="234">
        <v>19405</v>
      </c>
    </row>
    <row r="143" spans="1:20">
      <c r="A143" s="48">
        <v>91217</v>
      </c>
      <c r="B143" s="49" t="s">
        <v>855</v>
      </c>
      <c r="C143" s="235">
        <v>1.77E-5</v>
      </c>
      <c r="D143" s="235">
        <v>2.8799999999999999E-5</v>
      </c>
      <c r="E143" s="187">
        <v>41990</v>
      </c>
      <c r="F143" s="187" t="s">
        <v>1930</v>
      </c>
      <c r="G143" s="233">
        <v>6478</v>
      </c>
      <c r="H143" s="221">
        <v>5764</v>
      </c>
      <c r="I143" s="233">
        <v>11143</v>
      </c>
      <c r="J143" s="232">
        <v>6480</v>
      </c>
      <c r="K143" s="88">
        <f t="shared" si="4"/>
        <v>29865</v>
      </c>
      <c r="L143" s="50"/>
      <c r="M143" s="233">
        <v>217</v>
      </c>
      <c r="N143" s="233">
        <v>0</v>
      </c>
      <c r="O143" s="232">
        <v>3242</v>
      </c>
      <c r="P143" s="88">
        <f t="shared" si="5"/>
        <v>3459</v>
      </c>
      <c r="Q143" s="50"/>
      <c r="R143" s="233">
        <v>11664</v>
      </c>
      <c r="S143" s="232">
        <v>3494</v>
      </c>
      <c r="T143" s="234">
        <v>15158</v>
      </c>
    </row>
    <row r="144" spans="1:20">
      <c r="A144" s="48">
        <v>91221</v>
      </c>
      <c r="B144" s="49" t="s">
        <v>2186</v>
      </c>
      <c r="C144" s="235">
        <v>1.2329999999999999E-4</v>
      </c>
      <c r="D144" s="235">
        <v>1.3359999999999999E-4</v>
      </c>
      <c r="E144" s="187">
        <v>292510</v>
      </c>
      <c r="F144" s="187" t="s">
        <v>1930</v>
      </c>
      <c r="G144" s="233">
        <v>45127</v>
      </c>
      <c r="H144" s="221">
        <v>40153</v>
      </c>
      <c r="I144" s="233">
        <v>77621</v>
      </c>
      <c r="J144" s="232">
        <v>981</v>
      </c>
      <c r="K144" s="88">
        <f t="shared" si="4"/>
        <v>163882</v>
      </c>
      <c r="L144" s="50"/>
      <c r="M144" s="233">
        <v>1514</v>
      </c>
      <c r="N144" s="233">
        <v>0</v>
      </c>
      <c r="O144" s="232">
        <v>13939</v>
      </c>
      <c r="P144" s="88">
        <f t="shared" si="5"/>
        <v>15453</v>
      </c>
      <c r="Q144" s="50"/>
      <c r="R144" s="233">
        <v>81251</v>
      </c>
      <c r="S144" s="232">
        <v>-1021</v>
      </c>
      <c r="T144" s="234">
        <v>80230</v>
      </c>
    </row>
    <row r="145" spans="1:20">
      <c r="A145" s="48">
        <v>91231</v>
      </c>
      <c r="B145" s="49" t="s">
        <v>857</v>
      </c>
      <c r="C145" s="235">
        <v>1.8527000000000001E-3</v>
      </c>
      <c r="D145" s="235">
        <v>1.8856000000000001E-3</v>
      </c>
      <c r="E145" s="187">
        <v>4395238</v>
      </c>
      <c r="F145" s="187" t="s">
        <v>1930</v>
      </c>
      <c r="G145" s="233">
        <v>678081</v>
      </c>
      <c r="H145" s="221">
        <v>603336</v>
      </c>
      <c r="I145" s="233">
        <v>1166327</v>
      </c>
      <c r="J145" s="232">
        <v>0</v>
      </c>
      <c r="K145" s="88">
        <f t="shared" si="4"/>
        <v>2447744</v>
      </c>
      <c r="L145" s="50"/>
      <c r="M145" s="233">
        <v>22753</v>
      </c>
      <c r="N145" s="233">
        <v>0</v>
      </c>
      <c r="O145" s="232">
        <v>112717</v>
      </c>
      <c r="P145" s="88">
        <f t="shared" si="5"/>
        <v>135470</v>
      </c>
      <c r="Q145" s="50"/>
      <c r="R145" s="233">
        <v>1220879</v>
      </c>
      <c r="S145" s="232">
        <v>-37802</v>
      </c>
      <c r="T145" s="234">
        <v>1183077</v>
      </c>
    </row>
    <row r="146" spans="1:20">
      <c r="A146" s="48">
        <v>91233</v>
      </c>
      <c r="B146" s="49" t="s">
        <v>858</v>
      </c>
      <c r="C146" s="235">
        <v>5.3499999999999999E-5</v>
      </c>
      <c r="D146" s="235">
        <v>5.8100000000000003E-5</v>
      </c>
      <c r="E146" s="187">
        <v>126920</v>
      </c>
      <c r="F146" s="187" t="s">
        <v>1930</v>
      </c>
      <c r="G146" s="233">
        <v>19581</v>
      </c>
      <c r="H146" s="221">
        <v>17422</v>
      </c>
      <c r="I146" s="233">
        <v>33680</v>
      </c>
      <c r="J146" s="232">
        <v>5224</v>
      </c>
      <c r="K146" s="88">
        <f t="shared" si="4"/>
        <v>75907</v>
      </c>
      <c r="L146" s="50"/>
      <c r="M146" s="233">
        <v>657</v>
      </c>
      <c r="N146" s="233">
        <v>0</v>
      </c>
      <c r="O146" s="232">
        <v>6405</v>
      </c>
      <c r="P146" s="88">
        <f t="shared" si="5"/>
        <v>7062</v>
      </c>
      <c r="Q146" s="50"/>
      <c r="R146" s="233">
        <v>35255</v>
      </c>
      <c r="S146" s="232">
        <v>2697</v>
      </c>
      <c r="T146" s="234">
        <v>37952</v>
      </c>
    </row>
    <row r="147" spans="1:20">
      <c r="A147" s="48">
        <v>91241</v>
      </c>
      <c r="B147" s="49" t="s">
        <v>2187</v>
      </c>
      <c r="C147" s="235">
        <v>4.3099999999999997E-5</v>
      </c>
      <c r="D147" s="235">
        <v>3.5500000000000002E-5</v>
      </c>
      <c r="E147" s="187">
        <v>102248</v>
      </c>
      <c r="F147" s="187" t="s">
        <v>1930</v>
      </c>
      <c r="G147" s="233">
        <v>15774</v>
      </c>
      <c r="H147" s="221">
        <v>14035</v>
      </c>
      <c r="I147" s="233">
        <v>27133</v>
      </c>
      <c r="J147" s="232">
        <v>11777</v>
      </c>
      <c r="K147" s="88">
        <f t="shared" si="4"/>
        <v>68719</v>
      </c>
      <c r="L147" s="50"/>
      <c r="M147" s="233">
        <v>529</v>
      </c>
      <c r="N147" s="233">
        <v>0</v>
      </c>
      <c r="O147" s="232">
        <v>1842</v>
      </c>
      <c r="P147" s="88">
        <f t="shared" si="5"/>
        <v>2371</v>
      </c>
      <c r="Q147" s="50"/>
      <c r="R147" s="233">
        <v>28402</v>
      </c>
      <c r="S147" s="232">
        <v>394</v>
      </c>
      <c r="T147" s="234">
        <v>28796</v>
      </c>
    </row>
    <row r="148" spans="1:20">
      <c r="A148" s="48">
        <v>91251</v>
      </c>
      <c r="B148" s="49" t="s">
        <v>2188</v>
      </c>
      <c r="C148" s="235">
        <v>2.9499999999999999E-5</v>
      </c>
      <c r="D148" s="235">
        <v>1.9899999999999999E-5</v>
      </c>
      <c r="E148" s="187">
        <v>69984</v>
      </c>
      <c r="F148" s="187" t="s">
        <v>1930</v>
      </c>
      <c r="G148" s="233">
        <v>10797</v>
      </c>
      <c r="H148" s="221">
        <v>9607</v>
      </c>
      <c r="I148" s="233">
        <v>18571</v>
      </c>
      <c r="J148" s="232">
        <v>9082</v>
      </c>
      <c r="K148" s="88">
        <f t="shared" si="4"/>
        <v>48057</v>
      </c>
      <c r="L148" s="50"/>
      <c r="M148" s="233">
        <v>362</v>
      </c>
      <c r="N148" s="233">
        <v>0</v>
      </c>
      <c r="O148" s="232">
        <v>2515</v>
      </c>
      <c r="P148" s="88">
        <f t="shared" si="5"/>
        <v>2877</v>
      </c>
      <c r="Q148" s="50"/>
      <c r="R148" s="233">
        <v>19440</v>
      </c>
      <c r="S148" s="232">
        <v>3588</v>
      </c>
      <c r="T148" s="234">
        <v>23028</v>
      </c>
    </row>
    <row r="149" spans="1:20">
      <c r="A149" s="48">
        <v>91261</v>
      </c>
      <c r="B149" s="49" t="s">
        <v>2189</v>
      </c>
      <c r="C149" s="235">
        <v>1.06E-5</v>
      </c>
      <c r="D149" s="235">
        <v>1.03E-5</v>
      </c>
      <c r="E149" s="188">
        <v>25147</v>
      </c>
      <c r="F149" s="188" t="s">
        <v>1930</v>
      </c>
      <c r="G149" s="233">
        <v>3880</v>
      </c>
      <c r="H149" s="221">
        <v>3452</v>
      </c>
      <c r="I149" s="233">
        <v>6673</v>
      </c>
      <c r="J149" s="232">
        <v>939</v>
      </c>
      <c r="K149" s="88">
        <f t="shared" si="4"/>
        <v>14944</v>
      </c>
      <c r="L149" s="50"/>
      <c r="M149" s="233">
        <v>130</v>
      </c>
      <c r="N149" s="233">
        <v>0</v>
      </c>
      <c r="O149" s="232">
        <v>0</v>
      </c>
      <c r="P149" s="88">
        <f t="shared" si="5"/>
        <v>130</v>
      </c>
      <c r="Q149" s="50"/>
      <c r="R149" s="233">
        <v>6985</v>
      </c>
      <c r="S149" s="232">
        <v>848</v>
      </c>
      <c r="T149" s="234">
        <v>7833</v>
      </c>
    </row>
    <row r="150" spans="1:20">
      <c r="A150" s="48">
        <v>91301</v>
      </c>
      <c r="B150" s="49" t="s">
        <v>862</v>
      </c>
      <c r="C150" s="235">
        <v>7.7812000000000003E-3</v>
      </c>
      <c r="D150" s="235">
        <v>7.6985999999999999E-3</v>
      </c>
      <c r="E150" s="188">
        <v>18459668</v>
      </c>
      <c r="F150" s="188" t="s">
        <v>1930</v>
      </c>
      <c r="G150" s="233">
        <v>2847888</v>
      </c>
      <c r="H150" s="221">
        <v>2533963</v>
      </c>
      <c r="I150" s="233">
        <v>4898483</v>
      </c>
      <c r="J150" s="232">
        <v>12950</v>
      </c>
      <c r="K150" s="88">
        <f t="shared" si="4"/>
        <v>10293284</v>
      </c>
      <c r="L150" s="50"/>
      <c r="M150" s="233">
        <v>95561</v>
      </c>
      <c r="N150" s="233">
        <v>0</v>
      </c>
      <c r="O150" s="232">
        <v>224172</v>
      </c>
      <c r="P150" s="88">
        <f t="shared" si="5"/>
        <v>319733</v>
      </c>
      <c r="Q150" s="50"/>
      <c r="R150" s="233">
        <v>5127601</v>
      </c>
      <c r="S150" s="232">
        <v>-118489</v>
      </c>
      <c r="T150" s="234">
        <v>5009112</v>
      </c>
    </row>
    <row r="151" spans="1:20">
      <c r="A151" s="51">
        <v>91302</v>
      </c>
      <c r="B151" s="49" t="s">
        <v>2754</v>
      </c>
      <c r="C151" s="235">
        <v>5.4440000000000001E-4</v>
      </c>
      <c r="D151" s="235">
        <v>6.0300000000000002E-4</v>
      </c>
      <c r="E151" s="188">
        <v>1291503</v>
      </c>
      <c r="F151" s="188" t="s">
        <v>1930</v>
      </c>
      <c r="G151" s="233">
        <v>199248</v>
      </c>
      <c r="H151" s="221">
        <v>177285</v>
      </c>
      <c r="I151" s="233">
        <v>342715</v>
      </c>
      <c r="J151" s="232">
        <v>12855</v>
      </c>
      <c r="K151" s="88">
        <f t="shared" si="4"/>
        <v>732103</v>
      </c>
      <c r="L151" s="50"/>
      <c r="M151" s="233">
        <v>6686</v>
      </c>
      <c r="N151" s="233">
        <v>0</v>
      </c>
      <c r="O151" s="232">
        <v>55205</v>
      </c>
      <c r="P151" s="88">
        <f t="shared" si="5"/>
        <v>61891</v>
      </c>
      <c r="Q151" s="50"/>
      <c r="R151" s="233">
        <v>358745</v>
      </c>
      <c r="S151" s="232">
        <v>5826</v>
      </c>
      <c r="T151" s="234">
        <v>364571</v>
      </c>
    </row>
    <row r="152" spans="1:20">
      <c r="A152" s="51">
        <v>91306</v>
      </c>
      <c r="B152" s="49" t="s">
        <v>2755</v>
      </c>
      <c r="C152" s="235">
        <v>1.8347000000000001E-3</v>
      </c>
      <c r="D152" s="235">
        <v>1.6412E-3</v>
      </c>
      <c r="E152" s="188">
        <v>4352536</v>
      </c>
      <c r="F152" s="188" t="s">
        <v>1930</v>
      </c>
      <c r="G152" s="233">
        <v>671493</v>
      </c>
      <c r="H152" s="221">
        <v>597473</v>
      </c>
      <c r="I152" s="233">
        <v>1154995</v>
      </c>
      <c r="J152" s="232">
        <v>204148</v>
      </c>
      <c r="K152" s="88">
        <f t="shared" si="4"/>
        <v>2628109</v>
      </c>
      <c r="L152" s="50"/>
      <c r="M152" s="233">
        <v>22532</v>
      </c>
      <c r="N152" s="233">
        <v>0</v>
      </c>
      <c r="O152" s="232">
        <v>5325</v>
      </c>
      <c r="P152" s="88">
        <f t="shared" si="5"/>
        <v>27857</v>
      </c>
      <c r="Q152" s="50"/>
      <c r="R152" s="233">
        <v>1209018</v>
      </c>
      <c r="S152" s="232">
        <v>96839</v>
      </c>
      <c r="T152" s="234">
        <v>1305857</v>
      </c>
    </row>
    <row r="153" spans="1:20">
      <c r="A153" s="51">
        <v>91308</v>
      </c>
      <c r="B153" s="49" t="s">
        <v>865</v>
      </c>
      <c r="C153" s="235">
        <v>1.7149999999999999E-4</v>
      </c>
      <c r="D153" s="235">
        <v>1.8009999999999999E-4</v>
      </c>
      <c r="E153" s="188">
        <v>406857</v>
      </c>
      <c r="F153" s="188" t="s">
        <v>1930</v>
      </c>
      <c r="G153" s="233">
        <v>62768</v>
      </c>
      <c r="H153" s="221">
        <v>55849</v>
      </c>
      <c r="I153" s="233">
        <v>107964</v>
      </c>
      <c r="J153" s="232">
        <v>117</v>
      </c>
      <c r="K153" s="88">
        <f t="shared" si="4"/>
        <v>226698</v>
      </c>
      <c r="L153" s="50"/>
      <c r="M153" s="233">
        <v>2106</v>
      </c>
      <c r="N153" s="233">
        <v>0</v>
      </c>
      <c r="O153" s="232">
        <v>22928</v>
      </c>
      <c r="P153" s="88">
        <f t="shared" si="5"/>
        <v>25034</v>
      </c>
      <c r="Q153" s="50"/>
      <c r="R153" s="233">
        <v>113014</v>
      </c>
      <c r="S153" s="232">
        <v>-5660</v>
      </c>
      <c r="T153" s="234">
        <v>107354</v>
      </c>
    </row>
    <row r="154" spans="1:20">
      <c r="A154" s="48">
        <v>91311</v>
      </c>
      <c r="B154" s="49" t="s">
        <v>866</v>
      </c>
      <c r="C154" s="235">
        <v>7.7199E-3</v>
      </c>
      <c r="D154" s="235">
        <v>7.6685E-3</v>
      </c>
      <c r="E154" s="188">
        <v>18314243</v>
      </c>
      <c r="F154" s="188" t="s">
        <v>1930</v>
      </c>
      <c r="G154" s="233">
        <v>2825453</v>
      </c>
      <c r="H154" s="221">
        <v>2514000</v>
      </c>
      <c r="I154" s="233">
        <v>4859893</v>
      </c>
      <c r="J154" s="232">
        <v>35298</v>
      </c>
      <c r="K154" s="88">
        <f t="shared" si="4"/>
        <v>10234644</v>
      </c>
      <c r="L154" s="50"/>
      <c r="M154" s="233">
        <v>94808</v>
      </c>
      <c r="N154" s="233">
        <v>0</v>
      </c>
      <c r="O154" s="232">
        <v>364413</v>
      </c>
      <c r="P154" s="88">
        <f t="shared" si="5"/>
        <v>459221</v>
      </c>
      <c r="Q154" s="50"/>
      <c r="R154" s="233">
        <v>5087206</v>
      </c>
      <c r="S154" s="232">
        <v>-205799</v>
      </c>
      <c r="T154" s="234">
        <v>4881407</v>
      </c>
    </row>
    <row r="155" spans="1:20">
      <c r="A155" s="48">
        <v>91317</v>
      </c>
      <c r="B155" s="49" t="s">
        <v>867</v>
      </c>
      <c r="C155" s="235">
        <v>1.004E-4</v>
      </c>
      <c r="D155" s="235">
        <v>1.016E-4</v>
      </c>
      <c r="E155" s="188">
        <v>238183</v>
      </c>
      <c r="F155" s="188" t="s">
        <v>1930</v>
      </c>
      <c r="G155" s="233">
        <v>36746</v>
      </c>
      <c r="H155" s="221">
        <v>32696</v>
      </c>
      <c r="I155" s="233">
        <v>63205</v>
      </c>
      <c r="J155" s="232">
        <v>13218</v>
      </c>
      <c r="K155" s="88">
        <f t="shared" si="4"/>
        <v>145865</v>
      </c>
      <c r="L155" s="50"/>
      <c r="M155" s="233">
        <v>1233</v>
      </c>
      <c r="N155" s="233">
        <v>0</v>
      </c>
      <c r="O155" s="232">
        <v>602</v>
      </c>
      <c r="P155" s="88">
        <f t="shared" si="5"/>
        <v>1835</v>
      </c>
      <c r="Q155" s="50"/>
      <c r="R155" s="233">
        <v>66161</v>
      </c>
      <c r="S155" s="232">
        <v>3844</v>
      </c>
      <c r="T155" s="234">
        <v>70005</v>
      </c>
    </row>
    <row r="156" spans="1:20">
      <c r="A156" s="48">
        <v>91321</v>
      </c>
      <c r="B156" s="49" t="s">
        <v>2190</v>
      </c>
      <c r="C156" s="235">
        <v>4.5899999999999998E-5</v>
      </c>
      <c r="D156" s="235">
        <v>4.2799999999999997E-5</v>
      </c>
      <c r="E156" s="188">
        <v>108890</v>
      </c>
      <c r="F156" s="188" t="s">
        <v>1930</v>
      </c>
      <c r="G156" s="233">
        <v>16799</v>
      </c>
      <c r="H156" s="221">
        <v>14947</v>
      </c>
      <c r="I156" s="233">
        <v>28895</v>
      </c>
      <c r="J156" s="232">
        <v>34886</v>
      </c>
      <c r="K156" s="88">
        <f t="shared" si="4"/>
        <v>95527</v>
      </c>
      <c r="L156" s="50"/>
      <c r="M156" s="233">
        <v>564</v>
      </c>
      <c r="N156" s="233">
        <v>0</v>
      </c>
      <c r="O156" s="232">
        <v>1694</v>
      </c>
      <c r="P156" s="88">
        <f t="shared" si="5"/>
        <v>2258</v>
      </c>
      <c r="Q156" s="50"/>
      <c r="R156" s="233">
        <v>30247</v>
      </c>
      <c r="S156" s="232">
        <v>8780</v>
      </c>
      <c r="T156" s="234">
        <v>39027</v>
      </c>
    </row>
    <row r="157" spans="1:20">
      <c r="A157" s="48">
        <v>91327</v>
      </c>
      <c r="B157" s="49" t="s">
        <v>869</v>
      </c>
      <c r="C157" s="235">
        <v>7.7000000000000008E-6</v>
      </c>
      <c r="D157" s="235">
        <v>8.1999999999999994E-6</v>
      </c>
      <c r="E157" s="188">
        <v>18267</v>
      </c>
      <c r="F157" s="188" t="s">
        <v>1930</v>
      </c>
      <c r="G157" s="233">
        <v>2818</v>
      </c>
      <c r="H157" s="221">
        <v>2507</v>
      </c>
      <c r="I157" s="233">
        <v>4847</v>
      </c>
      <c r="J157" s="232">
        <v>526</v>
      </c>
      <c r="K157" s="88">
        <f t="shared" si="4"/>
        <v>10698</v>
      </c>
      <c r="L157" s="50"/>
      <c r="M157" s="233">
        <v>95</v>
      </c>
      <c r="N157" s="233">
        <v>0</v>
      </c>
      <c r="O157" s="232">
        <v>1045</v>
      </c>
      <c r="P157" s="88">
        <f t="shared" si="5"/>
        <v>1140</v>
      </c>
      <c r="Q157" s="50"/>
      <c r="R157" s="233">
        <v>5074</v>
      </c>
      <c r="S157" s="232">
        <v>-349</v>
      </c>
      <c r="T157" s="234">
        <v>4725</v>
      </c>
    </row>
    <row r="158" spans="1:20">
      <c r="A158" s="48">
        <v>91331</v>
      </c>
      <c r="B158" s="49" t="s">
        <v>870</v>
      </c>
      <c r="C158" s="235">
        <v>3.0000000000000001E-3</v>
      </c>
      <c r="D158" s="235">
        <v>3.0033E-3</v>
      </c>
      <c r="E158" s="188">
        <v>7117026</v>
      </c>
      <c r="F158" s="188" t="s">
        <v>1930</v>
      </c>
      <c r="G158" s="233">
        <v>1097988</v>
      </c>
      <c r="H158" s="221">
        <v>976956</v>
      </c>
      <c r="I158" s="233">
        <v>1888584</v>
      </c>
      <c r="J158" s="232">
        <v>0</v>
      </c>
      <c r="K158" s="88">
        <f t="shared" si="4"/>
        <v>3963528</v>
      </c>
      <c r="L158" s="50"/>
      <c r="M158" s="233">
        <v>36843</v>
      </c>
      <c r="N158" s="233">
        <v>0</v>
      </c>
      <c r="O158" s="232">
        <v>309037</v>
      </c>
      <c r="P158" s="88">
        <f t="shared" si="5"/>
        <v>345880</v>
      </c>
      <c r="Q158" s="50"/>
      <c r="R158" s="233">
        <v>1976919</v>
      </c>
      <c r="S158" s="232">
        <v>-211269</v>
      </c>
      <c r="T158" s="234">
        <v>1765650</v>
      </c>
    </row>
    <row r="159" spans="1:20">
      <c r="A159" s="48">
        <v>91341</v>
      </c>
      <c r="B159" s="49" t="s">
        <v>2191</v>
      </c>
      <c r="C159" s="235">
        <v>2.44E-5</v>
      </c>
      <c r="D159" s="235">
        <v>2.51E-5</v>
      </c>
      <c r="E159" s="188">
        <v>57885</v>
      </c>
      <c r="F159" s="188" t="s">
        <v>1930</v>
      </c>
      <c r="G159" s="233">
        <v>8930</v>
      </c>
      <c r="H159" s="221">
        <v>7946</v>
      </c>
      <c r="I159" s="233">
        <v>15360</v>
      </c>
      <c r="J159" s="232">
        <v>5509</v>
      </c>
      <c r="K159" s="88">
        <f t="shared" si="4"/>
        <v>37745</v>
      </c>
      <c r="L159" s="50"/>
      <c r="M159" s="233">
        <v>300</v>
      </c>
      <c r="N159" s="233">
        <v>0</v>
      </c>
      <c r="O159" s="232">
        <v>1144</v>
      </c>
      <c r="P159" s="88">
        <f t="shared" si="5"/>
        <v>1444</v>
      </c>
      <c r="Q159" s="50"/>
      <c r="R159" s="233">
        <v>16079</v>
      </c>
      <c r="S159" s="232">
        <v>1311</v>
      </c>
      <c r="T159" s="234">
        <v>17390</v>
      </c>
    </row>
    <row r="160" spans="1:20">
      <c r="A160" s="48">
        <v>91401</v>
      </c>
      <c r="B160" s="49" t="s">
        <v>872</v>
      </c>
      <c r="C160" s="235">
        <v>3.5492000000000002E-3</v>
      </c>
      <c r="D160" s="235">
        <v>3.5885000000000001E-3</v>
      </c>
      <c r="E160" s="188">
        <v>8419916</v>
      </c>
      <c r="F160" s="188" t="s">
        <v>1930</v>
      </c>
      <c r="G160" s="233">
        <v>1298993</v>
      </c>
      <c r="H160" s="221">
        <v>1155804</v>
      </c>
      <c r="I160" s="233">
        <v>2234321</v>
      </c>
      <c r="J160" s="232">
        <v>4118</v>
      </c>
      <c r="K160" s="88">
        <f t="shared" si="4"/>
        <v>4693236</v>
      </c>
      <c r="L160" s="50"/>
      <c r="M160" s="233">
        <v>43588</v>
      </c>
      <c r="N160" s="233">
        <v>0</v>
      </c>
      <c r="O160" s="232">
        <v>191268</v>
      </c>
      <c r="P160" s="88">
        <f t="shared" si="5"/>
        <v>234856</v>
      </c>
      <c r="Q160" s="50"/>
      <c r="R160" s="233">
        <v>2338827</v>
      </c>
      <c r="S160" s="232">
        <v>-44473</v>
      </c>
      <c r="T160" s="234">
        <v>2294354</v>
      </c>
    </row>
    <row r="161" spans="1:20">
      <c r="A161" s="48">
        <v>91411</v>
      </c>
      <c r="B161" s="49" t="s">
        <v>2192</v>
      </c>
      <c r="C161" s="235">
        <v>3.8479999999999997E-4</v>
      </c>
      <c r="D161" s="235">
        <v>3.7829999999999998E-4</v>
      </c>
      <c r="E161" s="188">
        <v>912877</v>
      </c>
      <c r="F161" s="188" t="s">
        <v>1930</v>
      </c>
      <c r="G161" s="233">
        <v>140835</v>
      </c>
      <c r="H161" s="221">
        <v>125311</v>
      </c>
      <c r="I161" s="233">
        <v>242242</v>
      </c>
      <c r="J161" s="232">
        <v>20796</v>
      </c>
      <c r="K161" s="88">
        <f t="shared" si="4"/>
        <v>529184</v>
      </c>
      <c r="L161" s="50"/>
      <c r="M161" s="233">
        <v>4726</v>
      </c>
      <c r="N161" s="233">
        <v>0</v>
      </c>
      <c r="O161" s="232">
        <v>0</v>
      </c>
      <c r="P161" s="88">
        <f t="shared" si="5"/>
        <v>4726</v>
      </c>
      <c r="Q161" s="50"/>
      <c r="R161" s="233">
        <v>253573</v>
      </c>
      <c r="S161" s="232">
        <v>8126</v>
      </c>
      <c r="T161" s="234">
        <v>261699</v>
      </c>
    </row>
    <row r="162" spans="1:20">
      <c r="A162" s="48">
        <v>91417</v>
      </c>
      <c r="B162" s="49" t="s">
        <v>874</v>
      </c>
      <c r="C162" s="235">
        <v>8.3999999999999992E-6</v>
      </c>
      <c r="D162" s="235">
        <v>9.3000000000000007E-6</v>
      </c>
      <c r="E162" s="188">
        <v>19928</v>
      </c>
      <c r="F162" s="188" t="s">
        <v>1930</v>
      </c>
      <c r="G162" s="233">
        <v>3074</v>
      </c>
      <c r="H162" s="221">
        <v>2735</v>
      </c>
      <c r="I162" s="233">
        <v>5288</v>
      </c>
      <c r="J162" s="232">
        <v>1077</v>
      </c>
      <c r="K162" s="88">
        <f t="shared" si="4"/>
        <v>12174</v>
      </c>
      <c r="L162" s="50"/>
      <c r="M162" s="233">
        <v>103</v>
      </c>
      <c r="N162" s="233">
        <v>0</v>
      </c>
      <c r="O162" s="232">
        <v>0</v>
      </c>
      <c r="P162" s="88">
        <f t="shared" si="5"/>
        <v>103</v>
      </c>
      <c r="Q162" s="50"/>
      <c r="R162" s="233">
        <v>5535</v>
      </c>
      <c r="S162" s="232">
        <v>1921</v>
      </c>
      <c r="T162" s="234">
        <v>7456</v>
      </c>
    </row>
    <row r="163" spans="1:20">
      <c r="A163" s="48">
        <v>91421</v>
      </c>
      <c r="B163" s="49" t="s">
        <v>2193</v>
      </c>
      <c r="C163" s="235">
        <v>7.2299999999999996E-5</v>
      </c>
      <c r="D163" s="235">
        <v>6.9499999999999995E-5</v>
      </c>
      <c r="E163" s="188">
        <v>171520</v>
      </c>
      <c r="F163" s="188" t="s">
        <v>1930</v>
      </c>
      <c r="G163" s="233">
        <v>26462</v>
      </c>
      <c r="H163" s="221">
        <v>23545</v>
      </c>
      <c r="I163" s="233">
        <v>45515</v>
      </c>
      <c r="J163" s="232">
        <v>7066</v>
      </c>
      <c r="K163" s="88">
        <f t="shared" si="4"/>
        <v>102588</v>
      </c>
      <c r="L163" s="50"/>
      <c r="M163" s="233">
        <v>888</v>
      </c>
      <c r="N163" s="233">
        <v>0</v>
      </c>
      <c r="O163" s="232">
        <v>1453</v>
      </c>
      <c r="P163" s="88">
        <f t="shared" si="5"/>
        <v>2341</v>
      </c>
      <c r="Q163" s="50"/>
      <c r="R163" s="233">
        <v>47644</v>
      </c>
      <c r="S163" s="232">
        <v>1546</v>
      </c>
      <c r="T163" s="234">
        <v>49190</v>
      </c>
    </row>
    <row r="164" spans="1:20">
      <c r="A164" s="48">
        <v>91423</v>
      </c>
      <c r="B164" s="49" t="s">
        <v>876</v>
      </c>
      <c r="C164" s="235">
        <v>4.88E-5</v>
      </c>
      <c r="D164" s="235">
        <v>5.38E-5</v>
      </c>
      <c r="E164" s="188">
        <v>115770</v>
      </c>
      <c r="F164" s="188" t="s">
        <v>1930</v>
      </c>
      <c r="G164" s="233">
        <v>17861</v>
      </c>
      <c r="H164" s="221">
        <v>15892</v>
      </c>
      <c r="I164" s="233">
        <v>30721</v>
      </c>
      <c r="J164" s="232">
        <v>8202</v>
      </c>
      <c r="K164" s="88">
        <f t="shared" si="4"/>
        <v>72676</v>
      </c>
      <c r="L164" s="50"/>
      <c r="M164" s="233">
        <v>599</v>
      </c>
      <c r="N164" s="233">
        <v>0</v>
      </c>
      <c r="O164" s="232">
        <v>6851</v>
      </c>
      <c r="P164" s="88">
        <f t="shared" si="5"/>
        <v>7450</v>
      </c>
      <c r="Q164" s="50"/>
      <c r="R164" s="233">
        <v>32158</v>
      </c>
      <c r="S164" s="232">
        <v>1514</v>
      </c>
      <c r="T164" s="234">
        <v>33672</v>
      </c>
    </row>
    <row r="165" spans="1:20">
      <c r="A165" s="48">
        <v>91431</v>
      </c>
      <c r="B165" s="49" t="s">
        <v>2194</v>
      </c>
      <c r="C165" s="235">
        <v>1.6229999999999999E-4</v>
      </c>
      <c r="D165" s="235">
        <v>1.562E-4</v>
      </c>
      <c r="E165" s="188">
        <v>385031</v>
      </c>
      <c r="F165" s="188" t="s">
        <v>1930</v>
      </c>
      <c r="G165" s="233">
        <v>59401</v>
      </c>
      <c r="H165" s="221">
        <v>52853</v>
      </c>
      <c r="I165" s="233">
        <v>102172</v>
      </c>
      <c r="J165" s="232">
        <v>24735</v>
      </c>
      <c r="K165" s="88">
        <f t="shared" si="4"/>
        <v>239161</v>
      </c>
      <c r="L165" s="50"/>
      <c r="M165" s="233">
        <v>1993</v>
      </c>
      <c r="N165" s="233">
        <v>0</v>
      </c>
      <c r="O165" s="232">
        <v>1035</v>
      </c>
      <c r="P165" s="88">
        <f t="shared" si="5"/>
        <v>3028</v>
      </c>
      <c r="Q165" s="50"/>
      <c r="R165" s="233">
        <v>106951</v>
      </c>
      <c r="S165" s="232">
        <v>6979</v>
      </c>
      <c r="T165" s="234">
        <v>113930</v>
      </c>
    </row>
    <row r="166" spans="1:20">
      <c r="A166" s="48">
        <v>91441</v>
      </c>
      <c r="B166" s="49" t="s">
        <v>2195</v>
      </c>
      <c r="C166" s="235">
        <v>9.4680000000000003E-4</v>
      </c>
      <c r="D166" s="235">
        <v>9.5140000000000003E-4</v>
      </c>
      <c r="E166" s="188">
        <v>2246133</v>
      </c>
      <c r="F166" s="188" t="s">
        <v>1930</v>
      </c>
      <c r="G166" s="233">
        <v>346525</v>
      </c>
      <c r="H166" s="221">
        <v>308327</v>
      </c>
      <c r="I166" s="233">
        <v>596037</v>
      </c>
      <c r="J166" s="232">
        <v>35215</v>
      </c>
      <c r="K166" s="88">
        <f t="shared" si="4"/>
        <v>1286104</v>
      </c>
      <c r="L166" s="50"/>
      <c r="M166" s="233">
        <v>11628</v>
      </c>
      <c r="N166" s="233">
        <v>0</v>
      </c>
      <c r="O166" s="232">
        <v>145358</v>
      </c>
      <c r="P166" s="88">
        <f t="shared" si="5"/>
        <v>156986</v>
      </c>
      <c r="Q166" s="50"/>
      <c r="R166" s="233">
        <v>623916</v>
      </c>
      <c r="S166" s="232">
        <v>-63164</v>
      </c>
      <c r="T166" s="234">
        <v>560752</v>
      </c>
    </row>
    <row r="167" spans="1:20">
      <c r="A167" s="48">
        <v>91451</v>
      </c>
      <c r="B167" s="49" t="s">
        <v>879</v>
      </c>
      <c r="C167" s="235">
        <v>1.4832000000000001E-3</v>
      </c>
      <c r="D167" s="235">
        <v>1.4760000000000001E-3</v>
      </c>
      <c r="E167" s="188">
        <v>3518658</v>
      </c>
      <c r="F167" s="188" t="s">
        <v>1930</v>
      </c>
      <c r="G167" s="233">
        <v>542845</v>
      </c>
      <c r="H167" s="221">
        <v>483007</v>
      </c>
      <c r="I167" s="233">
        <v>933716</v>
      </c>
      <c r="J167" s="232">
        <v>0</v>
      </c>
      <c r="K167" s="88">
        <f t="shared" si="4"/>
        <v>1959568</v>
      </c>
      <c r="L167" s="50"/>
      <c r="M167" s="233">
        <v>18215</v>
      </c>
      <c r="N167" s="233">
        <v>0</v>
      </c>
      <c r="O167" s="232">
        <v>115272</v>
      </c>
      <c r="P167" s="88">
        <f t="shared" si="5"/>
        <v>133487</v>
      </c>
      <c r="Q167" s="50"/>
      <c r="R167" s="233">
        <v>977389</v>
      </c>
      <c r="S167" s="232">
        <v>-84871</v>
      </c>
      <c r="T167" s="234">
        <v>892518</v>
      </c>
    </row>
    <row r="168" spans="1:20">
      <c r="A168" s="48">
        <v>91457</v>
      </c>
      <c r="B168" s="49" t="s">
        <v>880</v>
      </c>
      <c r="C168" s="235">
        <v>2.2099999999999998E-5</v>
      </c>
      <c r="D168" s="235">
        <v>2.23E-5</v>
      </c>
      <c r="E168" s="188">
        <v>52429</v>
      </c>
      <c r="F168" s="188" t="s">
        <v>1930</v>
      </c>
      <c r="G168" s="233">
        <v>8089</v>
      </c>
      <c r="H168" s="221">
        <v>7197</v>
      </c>
      <c r="I168" s="233">
        <v>13913</v>
      </c>
      <c r="J168" s="232">
        <v>34989</v>
      </c>
      <c r="K168" s="88">
        <f t="shared" si="4"/>
        <v>64188</v>
      </c>
      <c r="L168" s="50"/>
      <c r="M168" s="233">
        <v>271</v>
      </c>
      <c r="N168" s="233">
        <v>0</v>
      </c>
      <c r="O168" s="232">
        <v>0</v>
      </c>
      <c r="P168" s="88">
        <f t="shared" si="5"/>
        <v>271</v>
      </c>
      <c r="Q168" s="50"/>
      <c r="R168" s="233">
        <v>14563</v>
      </c>
      <c r="S168" s="232">
        <v>14690</v>
      </c>
      <c r="T168" s="234">
        <v>29253</v>
      </c>
    </row>
    <row r="169" spans="1:20">
      <c r="A169" s="48">
        <v>91461</v>
      </c>
      <c r="B169" s="49" t="s">
        <v>2196</v>
      </c>
      <c r="C169" s="235">
        <v>9.5999999999999996E-6</v>
      </c>
      <c r="D169" s="235">
        <v>9.3999999999999998E-6</v>
      </c>
      <c r="E169" s="188">
        <v>22774</v>
      </c>
      <c r="F169" s="188" t="s">
        <v>1930</v>
      </c>
      <c r="G169" s="233">
        <v>3514</v>
      </c>
      <c r="H169" s="221">
        <v>3126</v>
      </c>
      <c r="I169" s="233">
        <v>6043</v>
      </c>
      <c r="J169" s="232">
        <v>951</v>
      </c>
      <c r="K169" s="88">
        <f t="shared" si="4"/>
        <v>13634</v>
      </c>
      <c r="L169" s="50"/>
      <c r="M169" s="233">
        <v>118</v>
      </c>
      <c r="N169" s="233">
        <v>0</v>
      </c>
      <c r="O169" s="232">
        <v>1594</v>
      </c>
      <c r="P169" s="88">
        <f t="shared" si="5"/>
        <v>1712</v>
      </c>
      <c r="Q169" s="50"/>
      <c r="R169" s="233">
        <v>6326</v>
      </c>
      <c r="S169" s="232">
        <v>664</v>
      </c>
      <c r="T169" s="234">
        <v>6990</v>
      </c>
    </row>
    <row r="170" spans="1:20">
      <c r="A170" s="48">
        <v>91501</v>
      </c>
      <c r="B170" s="49" t="s">
        <v>882</v>
      </c>
      <c r="C170" s="235">
        <v>4.6460000000000002E-4</v>
      </c>
      <c r="D170" s="235">
        <v>4.9700000000000005E-4</v>
      </c>
      <c r="E170" s="188">
        <v>1102190</v>
      </c>
      <c r="F170" s="188" t="s">
        <v>1930</v>
      </c>
      <c r="G170" s="233">
        <v>170042</v>
      </c>
      <c r="H170" s="221">
        <v>151298</v>
      </c>
      <c r="I170" s="233">
        <v>292479</v>
      </c>
      <c r="J170" s="232">
        <v>7231</v>
      </c>
      <c r="K170" s="88">
        <f t="shared" si="4"/>
        <v>621050</v>
      </c>
      <c r="L170" s="50"/>
      <c r="M170" s="233">
        <v>5706</v>
      </c>
      <c r="N170" s="233">
        <v>0</v>
      </c>
      <c r="O170" s="232">
        <v>20696</v>
      </c>
      <c r="P170" s="88">
        <f t="shared" si="5"/>
        <v>26402</v>
      </c>
      <c r="Q170" s="50"/>
      <c r="R170" s="233">
        <v>306159</v>
      </c>
      <c r="S170" s="232">
        <v>11595</v>
      </c>
      <c r="T170" s="234">
        <v>317754</v>
      </c>
    </row>
    <row r="171" spans="1:20">
      <c r="A171" s="48">
        <v>91504</v>
      </c>
      <c r="B171" s="49" t="s">
        <v>883</v>
      </c>
      <c r="C171" s="235">
        <v>9.7999999999999993E-6</v>
      </c>
      <c r="D171" s="235">
        <v>9.7000000000000003E-6</v>
      </c>
      <c r="E171" s="188">
        <v>23249</v>
      </c>
      <c r="F171" s="188" t="s">
        <v>1930</v>
      </c>
      <c r="G171" s="233">
        <v>3587</v>
      </c>
      <c r="H171" s="221">
        <v>3191</v>
      </c>
      <c r="I171" s="233">
        <v>6169</v>
      </c>
      <c r="J171" s="232">
        <v>4807</v>
      </c>
      <c r="K171" s="88">
        <f t="shared" si="4"/>
        <v>17754</v>
      </c>
      <c r="L171" s="50"/>
      <c r="M171" s="233">
        <v>120</v>
      </c>
      <c r="N171" s="233">
        <v>0</v>
      </c>
      <c r="O171" s="232">
        <v>0</v>
      </c>
      <c r="P171" s="88">
        <f t="shared" si="5"/>
        <v>120</v>
      </c>
      <c r="Q171" s="50"/>
      <c r="R171" s="233">
        <v>6458</v>
      </c>
      <c r="S171" s="232">
        <v>3045</v>
      </c>
      <c r="T171" s="234">
        <v>9503</v>
      </c>
    </row>
    <row r="172" spans="1:20">
      <c r="A172" s="48">
        <v>91601</v>
      </c>
      <c r="B172" s="49" t="s">
        <v>884</v>
      </c>
      <c r="C172" s="235">
        <v>2.7648E-3</v>
      </c>
      <c r="D172" s="235">
        <v>2.8040000000000001E-3</v>
      </c>
      <c r="E172" s="188">
        <v>6559051</v>
      </c>
      <c r="F172" s="188" t="s">
        <v>1930</v>
      </c>
      <c r="G172" s="233">
        <v>1011906</v>
      </c>
      <c r="H172" s="221">
        <v>900363</v>
      </c>
      <c r="I172" s="233">
        <v>1740519</v>
      </c>
      <c r="J172" s="232">
        <v>84439</v>
      </c>
      <c r="K172" s="88">
        <f t="shared" si="4"/>
        <v>3737227</v>
      </c>
      <c r="L172" s="50"/>
      <c r="M172" s="233">
        <v>33955</v>
      </c>
      <c r="N172" s="233">
        <v>0</v>
      </c>
      <c r="O172" s="232">
        <v>30275</v>
      </c>
      <c r="P172" s="88">
        <f t="shared" si="5"/>
        <v>64230</v>
      </c>
      <c r="Q172" s="50"/>
      <c r="R172" s="233">
        <v>1821929</v>
      </c>
      <c r="S172" s="232">
        <v>76277</v>
      </c>
      <c r="T172" s="234">
        <v>1898206</v>
      </c>
    </row>
    <row r="173" spans="1:20">
      <c r="A173" s="48">
        <v>91604</v>
      </c>
      <c r="B173" s="49" t="s">
        <v>885</v>
      </c>
      <c r="C173" s="235">
        <v>8.5000000000000006E-5</v>
      </c>
      <c r="D173" s="235">
        <v>8.8499999999999996E-5</v>
      </c>
      <c r="E173" s="188">
        <v>201649</v>
      </c>
      <c r="F173" s="188" t="s">
        <v>1930</v>
      </c>
      <c r="G173" s="233">
        <v>31110</v>
      </c>
      <c r="H173" s="221">
        <v>27680</v>
      </c>
      <c r="I173" s="233">
        <v>53510</v>
      </c>
      <c r="J173" s="232">
        <v>22196</v>
      </c>
      <c r="K173" s="88">
        <f t="shared" si="4"/>
        <v>134496</v>
      </c>
      <c r="L173" s="50"/>
      <c r="M173" s="233">
        <v>1044</v>
      </c>
      <c r="N173" s="233">
        <v>0</v>
      </c>
      <c r="O173" s="232">
        <v>0</v>
      </c>
      <c r="P173" s="88">
        <f t="shared" si="5"/>
        <v>1044</v>
      </c>
      <c r="Q173" s="50"/>
      <c r="R173" s="233">
        <v>56013</v>
      </c>
      <c r="S173" s="232">
        <v>9895</v>
      </c>
      <c r="T173" s="234">
        <v>65908</v>
      </c>
    </row>
    <row r="174" spans="1:20">
      <c r="A174" s="48">
        <v>91608</v>
      </c>
      <c r="B174" s="49" t="s">
        <v>886</v>
      </c>
      <c r="C174" s="235">
        <v>1.5909999999999999E-4</v>
      </c>
      <c r="D174" s="235">
        <v>1.5349999999999999E-4</v>
      </c>
      <c r="E174" s="188">
        <v>377440</v>
      </c>
      <c r="F174" s="188" t="s">
        <v>1930</v>
      </c>
      <c r="G174" s="233">
        <v>58230</v>
      </c>
      <c r="H174" s="221">
        <v>51811</v>
      </c>
      <c r="I174" s="233">
        <v>100158</v>
      </c>
      <c r="J174" s="232">
        <v>1169</v>
      </c>
      <c r="K174" s="88">
        <f t="shared" si="4"/>
        <v>211368</v>
      </c>
      <c r="L174" s="50"/>
      <c r="M174" s="233">
        <v>1954</v>
      </c>
      <c r="N174" s="233">
        <v>0</v>
      </c>
      <c r="O174" s="232">
        <v>30984</v>
      </c>
      <c r="P174" s="88">
        <f t="shared" si="5"/>
        <v>32938</v>
      </c>
      <c r="Q174" s="50"/>
      <c r="R174" s="233">
        <v>104843</v>
      </c>
      <c r="S174" s="232">
        <v>-16992</v>
      </c>
      <c r="T174" s="234">
        <v>87851</v>
      </c>
    </row>
    <row r="175" spans="1:20">
      <c r="A175" s="48">
        <v>91611</v>
      </c>
      <c r="B175" s="49" t="s">
        <v>2197</v>
      </c>
      <c r="C175" s="235">
        <v>1.4744000000000001E-3</v>
      </c>
      <c r="D175" s="235">
        <v>1.4708E-3</v>
      </c>
      <c r="E175" s="188">
        <v>3497781</v>
      </c>
      <c r="F175" s="188" t="s">
        <v>1930</v>
      </c>
      <c r="G175" s="233">
        <v>539625</v>
      </c>
      <c r="H175" s="221">
        <v>480141</v>
      </c>
      <c r="I175" s="233">
        <v>928176</v>
      </c>
      <c r="J175" s="232">
        <v>2046</v>
      </c>
      <c r="K175" s="88">
        <f t="shared" si="4"/>
        <v>1949988</v>
      </c>
      <c r="L175" s="50"/>
      <c r="M175" s="233">
        <v>18107</v>
      </c>
      <c r="N175" s="233">
        <v>0</v>
      </c>
      <c r="O175" s="232">
        <v>121302</v>
      </c>
      <c r="P175" s="88">
        <f t="shared" si="5"/>
        <v>139409</v>
      </c>
      <c r="Q175" s="50"/>
      <c r="R175" s="233">
        <v>971590</v>
      </c>
      <c r="S175" s="232">
        <v>-18398</v>
      </c>
      <c r="T175" s="234">
        <v>953192</v>
      </c>
    </row>
    <row r="176" spans="1:20">
      <c r="A176" s="48">
        <v>91621</v>
      </c>
      <c r="B176" s="49" t="s">
        <v>2198</v>
      </c>
      <c r="C176" s="235">
        <v>2.6800000000000001E-4</v>
      </c>
      <c r="D176" s="235">
        <v>2.7050000000000002E-4</v>
      </c>
      <c r="E176" s="188">
        <v>635788</v>
      </c>
      <c r="F176" s="188" t="s">
        <v>1930</v>
      </c>
      <c r="G176" s="233">
        <v>98087</v>
      </c>
      <c r="H176" s="221">
        <v>87275</v>
      </c>
      <c r="I176" s="233">
        <v>168714</v>
      </c>
      <c r="J176" s="232">
        <v>5973</v>
      </c>
      <c r="K176" s="88">
        <f t="shared" si="4"/>
        <v>360049</v>
      </c>
      <c r="L176" s="50"/>
      <c r="M176" s="233">
        <v>3291</v>
      </c>
      <c r="N176" s="233">
        <v>0</v>
      </c>
      <c r="O176" s="232">
        <v>10529</v>
      </c>
      <c r="P176" s="88">
        <f t="shared" si="5"/>
        <v>13820</v>
      </c>
      <c r="Q176" s="50"/>
      <c r="R176" s="233">
        <v>176605</v>
      </c>
      <c r="S176" s="232">
        <v>-5908</v>
      </c>
      <c r="T176" s="234">
        <v>170697</v>
      </c>
    </row>
    <row r="177" spans="1:20">
      <c r="A177" s="48">
        <v>91631</v>
      </c>
      <c r="B177" s="49" t="s">
        <v>2199</v>
      </c>
      <c r="C177" s="235">
        <v>5.509E-4</v>
      </c>
      <c r="D177" s="235">
        <v>5.2249999999999996E-4</v>
      </c>
      <c r="E177" s="188">
        <v>1306923</v>
      </c>
      <c r="F177" s="188" t="s">
        <v>1930</v>
      </c>
      <c r="G177" s="233">
        <v>201627</v>
      </c>
      <c r="H177" s="221">
        <v>179401</v>
      </c>
      <c r="I177" s="233">
        <v>346807</v>
      </c>
      <c r="J177" s="232">
        <v>0</v>
      </c>
      <c r="K177" s="88">
        <f t="shared" si="4"/>
        <v>727835</v>
      </c>
      <c r="L177" s="50"/>
      <c r="M177" s="233">
        <v>6766</v>
      </c>
      <c r="N177" s="233">
        <v>0</v>
      </c>
      <c r="O177" s="232">
        <v>39359</v>
      </c>
      <c r="P177" s="88">
        <f t="shared" si="5"/>
        <v>46125</v>
      </c>
      <c r="Q177" s="50"/>
      <c r="R177" s="233">
        <v>363028</v>
      </c>
      <c r="S177" s="232">
        <v>-17688</v>
      </c>
      <c r="T177" s="234">
        <v>345340</v>
      </c>
    </row>
    <row r="178" spans="1:20">
      <c r="A178" s="48">
        <v>91633</v>
      </c>
      <c r="B178" s="49" t="s">
        <v>2756</v>
      </c>
      <c r="C178" s="235">
        <v>1.8600000000000001E-5</v>
      </c>
      <c r="D178" s="235">
        <v>2.51E-5</v>
      </c>
      <c r="E178" s="188">
        <v>44126</v>
      </c>
      <c r="F178" s="188" t="s">
        <v>1930</v>
      </c>
      <c r="G178" s="233">
        <v>6808</v>
      </c>
      <c r="H178" s="221">
        <v>6058</v>
      </c>
      <c r="I178" s="233">
        <v>11709</v>
      </c>
      <c r="J178" s="232">
        <v>1031</v>
      </c>
      <c r="K178" s="88">
        <f t="shared" si="4"/>
        <v>25606</v>
      </c>
      <c r="L178" s="50"/>
      <c r="M178" s="233">
        <v>228</v>
      </c>
      <c r="N178" s="233">
        <v>0</v>
      </c>
      <c r="O178" s="232">
        <v>5120</v>
      </c>
      <c r="P178" s="88">
        <f t="shared" si="5"/>
        <v>5348</v>
      </c>
      <c r="Q178" s="50"/>
      <c r="R178" s="233">
        <v>12257</v>
      </c>
      <c r="S178" s="232">
        <v>-2305</v>
      </c>
      <c r="T178" s="234">
        <v>9952</v>
      </c>
    </row>
    <row r="179" spans="1:20">
      <c r="A179" s="48">
        <v>91641</v>
      </c>
      <c r="B179" s="49" t="s">
        <v>2200</v>
      </c>
      <c r="C179" s="235">
        <v>2.652E-4</v>
      </c>
      <c r="D179" s="235">
        <v>3.1139999999999998E-4</v>
      </c>
      <c r="E179" s="188">
        <v>629145</v>
      </c>
      <c r="F179" s="188" t="s">
        <v>1930</v>
      </c>
      <c r="G179" s="233">
        <v>97062</v>
      </c>
      <c r="H179" s="221">
        <v>86363</v>
      </c>
      <c r="I179" s="233">
        <v>166951</v>
      </c>
      <c r="J179" s="232">
        <v>0</v>
      </c>
      <c r="K179" s="88">
        <f t="shared" si="4"/>
        <v>350376</v>
      </c>
      <c r="L179" s="50"/>
      <c r="M179" s="233">
        <v>3257</v>
      </c>
      <c r="N179" s="233">
        <v>0</v>
      </c>
      <c r="O179" s="232">
        <v>74135</v>
      </c>
      <c r="P179" s="88">
        <f t="shared" si="5"/>
        <v>77392</v>
      </c>
      <c r="Q179" s="50"/>
      <c r="R179" s="233">
        <v>174760</v>
      </c>
      <c r="S179" s="232">
        <v>-37016</v>
      </c>
      <c r="T179" s="234">
        <v>137744</v>
      </c>
    </row>
    <row r="180" spans="1:20">
      <c r="A180" s="48">
        <v>91651</v>
      </c>
      <c r="B180" s="49" t="s">
        <v>2201</v>
      </c>
      <c r="C180" s="235">
        <v>4.73E-4</v>
      </c>
      <c r="D180" s="235">
        <v>4.4440000000000001E-4</v>
      </c>
      <c r="E180" s="188">
        <v>1122118</v>
      </c>
      <c r="F180" s="188" t="s">
        <v>1930</v>
      </c>
      <c r="G180" s="233">
        <v>173116</v>
      </c>
      <c r="H180" s="221">
        <v>154033</v>
      </c>
      <c r="I180" s="233">
        <v>297767</v>
      </c>
      <c r="J180" s="232">
        <v>25871</v>
      </c>
      <c r="K180" s="88">
        <f t="shared" si="4"/>
        <v>650787</v>
      </c>
      <c r="L180" s="50"/>
      <c r="M180" s="233">
        <v>5809</v>
      </c>
      <c r="N180" s="233">
        <v>0</v>
      </c>
      <c r="O180" s="232">
        <v>18310</v>
      </c>
      <c r="P180" s="88">
        <f t="shared" si="5"/>
        <v>24119</v>
      </c>
      <c r="Q180" s="50"/>
      <c r="R180" s="233">
        <v>311694</v>
      </c>
      <c r="S180" s="232">
        <v>-5917</v>
      </c>
      <c r="T180" s="234">
        <v>305777</v>
      </c>
    </row>
    <row r="181" spans="1:20">
      <c r="A181" s="48">
        <v>91661</v>
      </c>
      <c r="B181" s="49" t="s">
        <v>2202</v>
      </c>
      <c r="C181" s="235">
        <v>1.8259999999999999E-4</v>
      </c>
      <c r="D181" s="235">
        <v>1.673E-4</v>
      </c>
      <c r="E181" s="188">
        <v>433190</v>
      </c>
      <c r="F181" s="188" t="s">
        <v>1930</v>
      </c>
      <c r="G181" s="233">
        <v>66831</v>
      </c>
      <c r="H181" s="221">
        <v>59464</v>
      </c>
      <c r="I181" s="233">
        <v>114952</v>
      </c>
      <c r="J181" s="232">
        <v>0</v>
      </c>
      <c r="K181" s="88">
        <f t="shared" si="4"/>
        <v>241247</v>
      </c>
      <c r="L181" s="50"/>
      <c r="M181" s="233">
        <v>2243</v>
      </c>
      <c r="N181" s="233">
        <v>0</v>
      </c>
      <c r="O181" s="232">
        <v>36351</v>
      </c>
      <c r="P181" s="88">
        <f t="shared" si="5"/>
        <v>38594</v>
      </c>
      <c r="Q181" s="50"/>
      <c r="R181" s="233">
        <v>120328</v>
      </c>
      <c r="S181" s="232">
        <v>-17938</v>
      </c>
      <c r="T181" s="234">
        <v>102390</v>
      </c>
    </row>
    <row r="182" spans="1:20">
      <c r="A182" s="48">
        <v>91671</v>
      </c>
      <c r="B182" s="49" t="s">
        <v>2203</v>
      </c>
      <c r="C182" s="235">
        <v>1.132E-4</v>
      </c>
      <c r="D182" s="235">
        <v>9.6700000000000006E-5</v>
      </c>
      <c r="E182" s="188">
        <v>268549</v>
      </c>
      <c r="F182" s="188" t="s">
        <v>1930</v>
      </c>
      <c r="G182" s="233">
        <v>41431</v>
      </c>
      <c r="H182" s="221">
        <v>36864</v>
      </c>
      <c r="I182" s="233">
        <v>71263</v>
      </c>
      <c r="J182" s="232">
        <v>10756</v>
      </c>
      <c r="K182" s="88">
        <f t="shared" si="4"/>
        <v>160314</v>
      </c>
      <c r="L182" s="50"/>
      <c r="M182" s="233">
        <v>1390</v>
      </c>
      <c r="N182" s="233">
        <v>0</v>
      </c>
      <c r="O182" s="232">
        <v>898</v>
      </c>
      <c r="P182" s="88">
        <f t="shared" si="5"/>
        <v>2288</v>
      </c>
      <c r="Q182" s="50"/>
      <c r="R182" s="233">
        <v>74596</v>
      </c>
      <c r="S182" s="232">
        <v>7037</v>
      </c>
      <c r="T182" s="234">
        <v>81633</v>
      </c>
    </row>
    <row r="183" spans="1:20">
      <c r="A183" s="48">
        <v>91681</v>
      </c>
      <c r="B183" s="49" t="s">
        <v>2204</v>
      </c>
      <c r="C183" s="235">
        <v>4.6460000000000002E-4</v>
      </c>
      <c r="D183" s="235">
        <v>4.728E-4</v>
      </c>
      <c r="E183" s="188">
        <v>1102190</v>
      </c>
      <c r="F183" s="188" t="s">
        <v>1930</v>
      </c>
      <c r="G183" s="233">
        <v>170042</v>
      </c>
      <c r="H183" s="221">
        <v>151298</v>
      </c>
      <c r="I183" s="233">
        <v>292479</v>
      </c>
      <c r="J183" s="232">
        <v>312404</v>
      </c>
      <c r="K183" s="88">
        <f t="shared" si="4"/>
        <v>926223</v>
      </c>
      <c r="L183" s="50"/>
      <c r="M183" s="233">
        <v>5706</v>
      </c>
      <c r="N183" s="233">
        <v>0</v>
      </c>
      <c r="O183" s="232">
        <v>0</v>
      </c>
      <c r="P183" s="88">
        <f t="shared" si="5"/>
        <v>5706</v>
      </c>
      <c r="Q183" s="50"/>
      <c r="R183" s="233">
        <v>306159</v>
      </c>
      <c r="S183" s="232">
        <v>122769</v>
      </c>
      <c r="T183" s="234">
        <v>428928</v>
      </c>
    </row>
    <row r="184" spans="1:20">
      <c r="A184" s="48">
        <v>91691</v>
      </c>
      <c r="B184" s="49" t="s">
        <v>2205</v>
      </c>
      <c r="C184" s="235">
        <v>2.26E-5</v>
      </c>
      <c r="D184" s="235">
        <v>2.3200000000000001E-5</v>
      </c>
      <c r="E184" s="189">
        <v>53615</v>
      </c>
      <c r="F184" s="189" t="s">
        <v>1930</v>
      </c>
      <c r="G184" s="233">
        <v>8272</v>
      </c>
      <c r="H184" s="221">
        <v>7360</v>
      </c>
      <c r="I184" s="233">
        <v>14227</v>
      </c>
      <c r="J184" s="232">
        <v>1115</v>
      </c>
      <c r="K184" s="88">
        <f t="shared" si="4"/>
        <v>30974</v>
      </c>
      <c r="L184" s="50"/>
      <c r="M184" s="233">
        <v>278</v>
      </c>
      <c r="N184" s="233">
        <v>0</v>
      </c>
      <c r="O184" s="232">
        <v>1387</v>
      </c>
      <c r="P184" s="88">
        <f t="shared" si="5"/>
        <v>1665</v>
      </c>
      <c r="Q184" s="50"/>
      <c r="R184" s="233">
        <v>14893</v>
      </c>
      <c r="S184" s="232">
        <v>30</v>
      </c>
      <c r="T184" s="234">
        <v>14923</v>
      </c>
    </row>
    <row r="185" spans="1:20">
      <c r="A185" s="48">
        <v>91701</v>
      </c>
      <c r="B185" s="49" t="s">
        <v>897</v>
      </c>
      <c r="C185" s="235">
        <v>1.2348999999999999E-3</v>
      </c>
      <c r="D185" s="235">
        <v>1.2451999999999999E-3</v>
      </c>
      <c r="E185" s="189">
        <v>2929605</v>
      </c>
      <c r="F185" s="189" t="s">
        <v>1930</v>
      </c>
      <c r="G185" s="233">
        <v>451968</v>
      </c>
      <c r="H185" s="221">
        <v>402148</v>
      </c>
      <c r="I185" s="233">
        <v>777404</v>
      </c>
      <c r="J185" s="232">
        <v>70220</v>
      </c>
      <c r="K185" s="88">
        <f t="shared" si="4"/>
        <v>1701740</v>
      </c>
      <c r="L185" s="50"/>
      <c r="M185" s="233">
        <v>15166</v>
      </c>
      <c r="N185" s="233">
        <v>0</v>
      </c>
      <c r="O185" s="232">
        <v>39266</v>
      </c>
      <c r="P185" s="88">
        <f t="shared" si="5"/>
        <v>54432</v>
      </c>
      <c r="Q185" s="50"/>
      <c r="R185" s="233">
        <v>813766</v>
      </c>
      <c r="S185" s="232">
        <v>8978</v>
      </c>
      <c r="T185" s="234">
        <v>822744</v>
      </c>
    </row>
    <row r="186" spans="1:20">
      <c r="A186" s="48">
        <v>91704</v>
      </c>
      <c r="B186" s="49" t="s">
        <v>898</v>
      </c>
      <c r="C186" s="235">
        <v>1.73E-5</v>
      </c>
      <c r="D186" s="235">
        <v>1.73E-5</v>
      </c>
      <c r="E186" s="189">
        <v>41042</v>
      </c>
      <c r="F186" s="189" t="s">
        <v>1930</v>
      </c>
      <c r="G186" s="233">
        <v>6332</v>
      </c>
      <c r="H186" s="221">
        <v>5634</v>
      </c>
      <c r="I186" s="233">
        <v>10891</v>
      </c>
      <c r="J186" s="232">
        <v>560</v>
      </c>
      <c r="K186" s="88">
        <f t="shared" si="4"/>
        <v>23417</v>
      </c>
      <c r="L186" s="50"/>
      <c r="M186" s="233">
        <v>212</v>
      </c>
      <c r="N186" s="233">
        <v>0</v>
      </c>
      <c r="O186" s="232">
        <v>0</v>
      </c>
      <c r="P186" s="88">
        <f t="shared" si="5"/>
        <v>212</v>
      </c>
      <c r="Q186" s="50"/>
      <c r="R186" s="233">
        <v>11400</v>
      </c>
      <c r="S186" s="232">
        <v>666</v>
      </c>
      <c r="T186" s="234">
        <v>12066</v>
      </c>
    </row>
    <row r="187" spans="1:20">
      <c r="A187" s="48">
        <v>91706</v>
      </c>
      <c r="B187" s="49" t="s">
        <v>899</v>
      </c>
      <c r="C187" s="235">
        <v>2.2139999999999999E-4</v>
      </c>
      <c r="D187" s="235">
        <v>2.4340000000000001E-4</v>
      </c>
      <c r="E187" s="189">
        <v>525237</v>
      </c>
      <c r="F187" s="189" t="s">
        <v>1930</v>
      </c>
      <c r="G187" s="233">
        <v>81032</v>
      </c>
      <c r="H187" s="221">
        <v>72099</v>
      </c>
      <c r="I187" s="233">
        <v>139377</v>
      </c>
      <c r="J187" s="232">
        <v>37061</v>
      </c>
      <c r="K187" s="88">
        <f t="shared" si="4"/>
        <v>329569</v>
      </c>
      <c r="L187" s="50"/>
      <c r="M187" s="233">
        <v>2719</v>
      </c>
      <c r="N187" s="233">
        <v>0</v>
      </c>
      <c r="O187" s="232">
        <v>1775</v>
      </c>
      <c r="P187" s="88">
        <f t="shared" si="5"/>
        <v>4494</v>
      </c>
      <c r="Q187" s="50"/>
      <c r="R187" s="233">
        <v>145897</v>
      </c>
      <c r="S187" s="232">
        <v>3534</v>
      </c>
      <c r="T187" s="234">
        <v>149431</v>
      </c>
    </row>
    <row r="188" spans="1:20">
      <c r="A188" s="48">
        <v>91719</v>
      </c>
      <c r="B188" s="49" t="s">
        <v>2206</v>
      </c>
      <c r="C188" s="235">
        <v>5.6799999999999998E-5</v>
      </c>
      <c r="D188" s="235">
        <v>4.9700000000000002E-5</v>
      </c>
      <c r="E188" s="189">
        <v>134749</v>
      </c>
      <c r="F188" s="189" t="s">
        <v>1930</v>
      </c>
      <c r="G188" s="233">
        <v>20789</v>
      </c>
      <c r="H188" s="221">
        <v>18497</v>
      </c>
      <c r="I188" s="233">
        <v>35757</v>
      </c>
      <c r="J188" s="232">
        <v>2513</v>
      </c>
      <c r="K188" s="88">
        <f t="shared" si="4"/>
        <v>77556</v>
      </c>
      <c r="L188" s="50"/>
      <c r="M188" s="233">
        <v>698</v>
      </c>
      <c r="N188" s="233">
        <v>0</v>
      </c>
      <c r="O188" s="232">
        <v>2058</v>
      </c>
      <c r="P188" s="88">
        <f t="shared" si="5"/>
        <v>2756</v>
      </c>
      <c r="Q188" s="50"/>
      <c r="R188" s="233">
        <v>37430</v>
      </c>
      <c r="S188" s="232">
        <v>186</v>
      </c>
      <c r="T188" s="234">
        <v>37616</v>
      </c>
    </row>
    <row r="189" spans="1:20">
      <c r="A189" s="48">
        <v>91801</v>
      </c>
      <c r="B189" s="49" t="s">
        <v>901</v>
      </c>
      <c r="C189" s="235">
        <v>7.9632999999999995E-3</v>
      </c>
      <c r="D189" s="235">
        <v>8.0961000000000002E-3</v>
      </c>
      <c r="E189" s="189">
        <v>18891671</v>
      </c>
      <c r="F189" s="189" t="s">
        <v>1930</v>
      </c>
      <c r="G189" s="233">
        <v>2914536</v>
      </c>
      <c r="H189" s="221">
        <v>2593265</v>
      </c>
      <c r="I189" s="233">
        <v>5013120</v>
      </c>
      <c r="J189" s="232">
        <v>0</v>
      </c>
      <c r="K189" s="88">
        <f t="shared" si="4"/>
        <v>10520921</v>
      </c>
      <c r="L189" s="50"/>
      <c r="M189" s="233">
        <v>97797</v>
      </c>
      <c r="N189" s="233">
        <v>0</v>
      </c>
      <c r="O189" s="232">
        <v>291905</v>
      </c>
      <c r="P189" s="88">
        <f t="shared" si="5"/>
        <v>389702</v>
      </c>
      <c r="Q189" s="50"/>
      <c r="R189" s="233">
        <v>5247600</v>
      </c>
      <c r="S189" s="232">
        <v>-120864</v>
      </c>
      <c r="T189" s="234">
        <v>5126736</v>
      </c>
    </row>
    <row r="190" spans="1:20">
      <c r="A190" s="48">
        <v>91804</v>
      </c>
      <c r="B190" s="49" t="s">
        <v>902</v>
      </c>
      <c r="C190" s="235">
        <v>1.4770000000000001E-4</v>
      </c>
      <c r="D190" s="235">
        <v>1.3439999999999999E-4</v>
      </c>
      <c r="E190" s="189">
        <v>350395</v>
      </c>
      <c r="F190" s="189" t="s">
        <v>1930</v>
      </c>
      <c r="G190" s="233">
        <v>54058</v>
      </c>
      <c r="H190" s="221">
        <v>48099</v>
      </c>
      <c r="I190" s="233">
        <v>92981</v>
      </c>
      <c r="J190" s="232">
        <v>68194</v>
      </c>
      <c r="K190" s="88">
        <f t="shared" si="4"/>
        <v>263332</v>
      </c>
      <c r="L190" s="50"/>
      <c r="M190" s="233">
        <v>1814</v>
      </c>
      <c r="N190" s="233">
        <v>0</v>
      </c>
      <c r="O190" s="232">
        <v>0</v>
      </c>
      <c r="P190" s="88">
        <f t="shared" si="5"/>
        <v>1814</v>
      </c>
      <c r="Q190" s="50"/>
      <c r="R190" s="233">
        <v>97330</v>
      </c>
      <c r="S190" s="232">
        <v>32579</v>
      </c>
      <c r="T190" s="234">
        <v>129909</v>
      </c>
    </row>
    <row r="191" spans="1:20">
      <c r="A191" s="48">
        <v>91811</v>
      </c>
      <c r="B191" s="49" t="s">
        <v>903</v>
      </c>
      <c r="C191" s="235">
        <v>4.4413999999999999E-3</v>
      </c>
      <c r="D191" s="235">
        <v>4.5555999999999999E-3</v>
      </c>
      <c r="E191" s="189">
        <v>10536520</v>
      </c>
      <c r="F191" s="189" t="s">
        <v>1930</v>
      </c>
      <c r="G191" s="233">
        <v>1625535</v>
      </c>
      <c r="H191" s="221">
        <v>1446350</v>
      </c>
      <c r="I191" s="233">
        <v>2795986</v>
      </c>
      <c r="J191" s="232">
        <v>0</v>
      </c>
      <c r="K191" s="88">
        <f t="shared" si="4"/>
        <v>5867871</v>
      </c>
      <c r="L191" s="50"/>
      <c r="M191" s="233">
        <v>54545</v>
      </c>
      <c r="N191" s="233">
        <v>0</v>
      </c>
      <c r="O191" s="232">
        <v>497047</v>
      </c>
      <c r="P191" s="88">
        <f t="shared" si="5"/>
        <v>551592</v>
      </c>
      <c r="Q191" s="50"/>
      <c r="R191" s="233">
        <v>2926763</v>
      </c>
      <c r="S191" s="232">
        <v>-241160</v>
      </c>
      <c r="T191" s="234">
        <v>2685603</v>
      </c>
    </row>
    <row r="192" spans="1:20">
      <c r="A192" s="48">
        <v>91812</v>
      </c>
      <c r="B192" s="49" t="s">
        <v>2757</v>
      </c>
      <c r="C192" s="235">
        <v>5.3600000000000002E-5</v>
      </c>
      <c r="D192" s="235">
        <v>5.0800000000000002E-5</v>
      </c>
      <c r="E192" s="189">
        <v>127158</v>
      </c>
      <c r="F192" s="189" t="s">
        <v>1930</v>
      </c>
      <c r="G192" s="233">
        <v>19617</v>
      </c>
      <c r="H192" s="221">
        <v>17455</v>
      </c>
      <c r="I192" s="233">
        <v>33743</v>
      </c>
      <c r="J192" s="232">
        <v>9789</v>
      </c>
      <c r="K192" s="88">
        <f t="shared" si="4"/>
        <v>80604</v>
      </c>
      <c r="L192" s="50"/>
      <c r="M192" s="233">
        <v>658</v>
      </c>
      <c r="N192" s="233">
        <v>0</v>
      </c>
      <c r="O192" s="232">
        <v>2033</v>
      </c>
      <c r="P192" s="88">
        <f t="shared" si="5"/>
        <v>2691</v>
      </c>
      <c r="Q192" s="50"/>
      <c r="R192" s="233">
        <v>35321</v>
      </c>
      <c r="S192" s="232">
        <v>5503</v>
      </c>
      <c r="T192" s="234">
        <v>40824</v>
      </c>
    </row>
    <row r="193" spans="1:20">
      <c r="A193" s="48">
        <v>91813</v>
      </c>
      <c r="B193" s="49" t="s">
        <v>905</v>
      </c>
      <c r="C193" s="235">
        <v>8.1299999999999997E-5</v>
      </c>
      <c r="D193" s="235">
        <v>8.6100000000000006E-5</v>
      </c>
      <c r="E193" s="189">
        <v>192871</v>
      </c>
      <c r="F193" s="189" t="s">
        <v>1930</v>
      </c>
      <c r="G193" s="233">
        <v>29755</v>
      </c>
      <c r="H193" s="221">
        <v>26476</v>
      </c>
      <c r="I193" s="233">
        <v>51181</v>
      </c>
      <c r="J193" s="232">
        <v>5758</v>
      </c>
      <c r="K193" s="88">
        <f t="shared" si="4"/>
        <v>113170</v>
      </c>
      <c r="L193" s="50"/>
      <c r="M193" s="233">
        <v>998</v>
      </c>
      <c r="N193" s="233">
        <v>0</v>
      </c>
      <c r="O193" s="232">
        <v>10114</v>
      </c>
      <c r="P193" s="88">
        <f t="shared" si="5"/>
        <v>11112</v>
      </c>
      <c r="Q193" s="50"/>
      <c r="R193" s="233">
        <v>53575</v>
      </c>
      <c r="S193" s="232">
        <v>-606</v>
      </c>
      <c r="T193" s="234">
        <v>52969</v>
      </c>
    </row>
    <row r="194" spans="1:20">
      <c r="A194" s="48">
        <v>91818</v>
      </c>
      <c r="B194" s="49" t="s">
        <v>906</v>
      </c>
      <c r="C194" s="235">
        <v>3.9429999999999999E-4</v>
      </c>
      <c r="D194" s="235">
        <v>4.0079999999999998E-4</v>
      </c>
      <c r="E194" s="189">
        <v>935414</v>
      </c>
      <c r="F194" s="189" t="s">
        <v>1930</v>
      </c>
      <c r="G194" s="233">
        <v>144312</v>
      </c>
      <c r="H194" s="221">
        <v>128404</v>
      </c>
      <c r="I194" s="233">
        <v>248223</v>
      </c>
      <c r="J194" s="232">
        <v>524689</v>
      </c>
      <c r="K194" s="88">
        <f t="shared" si="4"/>
        <v>1045628</v>
      </c>
      <c r="L194" s="50"/>
      <c r="M194" s="233">
        <v>4842</v>
      </c>
      <c r="N194" s="233">
        <v>0</v>
      </c>
      <c r="O194" s="232">
        <v>0</v>
      </c>
      <c r="P194" s="88">
        <f t="shared" si="5"/>
        <v>4842</v>
      </c>
      <c r="Q194" s="50"/>
      <c r="R194" s="233">
        <v>259833</v>
      </c>
      <c r="S194" s="232">
        <v>209067</v>
      </c>
      <c r="T194" s="234">
        <v>468900</v>
      </c>
    </row>
    <row r="195" spans="1:20">
      <c r="A195" s="48">
        <v>91819</v>
      </c>
      <c r="B195" s="49" t="s">
        <v>907</v>
      </c>
      <c r="C195" s="235">
        <v>3.0469999999999998E-4</v>
      </c>
      <c r="D195" s="235">
        <v>2.8489999999999999E-4</v>
      </c>
      <c r="E195" s="189">
        <v>722853</v>
      </c>
      <c r="F195" s="189" t="s">
        <v>1930</v>
      </c>
      <c r="G195" s="233">
        <v>111519</v>
      </c>
      <c r="H195" s="221">
        <v>99226</v>
      </c>
      <c r="I195" s="233">
        <v>191817</v>
      </c>
      <c r="J195" s="232">
        <v>26641</v>
      </c>
      <c r="K195" s="88">
        <f t="shared" si="4"/>
        <v>429203</v>
      </c>
      <c r="L195" s="50"/>
      <c r="M195" s="233">
        <v>3742</v>
      </c>
      <c r="N195" s="233">
        <v>0</v>
      </c>
      <c r="O195" s="232">
        <v>4590</v>
      </c>
      <c r="P195" s="88">
        <f t="shared" si="5"/>
        <v>8332</v>
      </c>
      <c r="Q195" s="50"/>
      <c r="R195" s="233">
        <v>200789</v>
      </c>
      <c r="S195" s="232">
        <v>10326</v>
      </c>
      <c r="T195" s="234">
        <v>211115</v>
      </c>
    </row>
    <row r="196" spans="1:20">
      <c r="A196" s="48">
        <v>91821</v>
      </c>
      <c r="B196" s="49" t="s">
        <v>908</v>
      </c>
      <c r="C196" s="235">
        <v>1.671E-4</v>
      </c>
      <c r="D196" s="235">
        <v>1.7330000000000001E-4</v>
      </c>
      <c r="E196" s="189">
        <v>396418</v>
      </c>
      <c r="F196" s="189" t="s">
        <v>1930</v>
      </c>
      <c r="G196" s="233">
        <v>61158</v>
      </c>
      <c r="H196" s="221">
        <v>54416</v>
      </c>
      <c r="I196" s="233">
        <v>105194</v>
      </c>
      <c r="J196" s="232">
        <v>487</v>
      </c>
      <c r="K196" s="88">
        <f t="shared" si="4"/>
        <v>221255</v>
      </c>
      <c r="L196" s="50"/>
      <c r="M196" s="233">
        <v>2052</v>
      </c>
      <c r="N196" s="233">
        <v>0</v>
      </c>
      <c r="O196" s="232">
        <v>9930</v>
      </c>
      <c r="P196" s="88">
        <f t="shared" si="5"/>
        <v>11982</v>
      </c>
      <c r="Q196" s="50"/>
      <c r="R196" s="233">
        <v>110114</v>
      </c>
      <c r="S196" s="232">
        <v>-745</v>
      </c>
      <c r="T196" s="234">
        <v>109369</v>
      </c>
    </row>
    <row r="197" spans="1:20">
      <c r="A197" s="48">
        <v>91831</v>
      </c>
      <c r="B197" s="49" t="s">
        <v>2207</v>
      </c>
      <c r="C197" s="235">
        <v>3.7740000000000001E-4</v>
      </c>
      <c r="D197" s="235">
        <v>3.366E-4</v>
      </c>
      <c r="E197" s="189">
        <v>895322</v>
      </c>
      <c r="F197" s="189" t="s">
        <v>1930</v>
      </c>
      <c r="G197" s="233">
        <v>138127</v>
      </c>
      <c r="H197" s="221">
        <v>122901</v>
      </c>
      <c r="I197" s="233">
        <v>237584</v>
      </c>
      <c r="J197" s="232">
        <v>17106</v>
      </c>
      <c r="K197" s="88">
        <f t="shared" si="4"/>
        <v>515718</v>
      </c>
      <c r="L197" s="50"/>
      <c r="M197" s="233">
        <v>4635</v>
      </c>
      <c r="N197" s="233">
        <v>0</v>
      </c>
      <c r="O197" s="232">
        <v>9431</v>
      </c>
      <c r="P197" s="88">
        <f t="shared" si="5"/>
        <v>14066</v>
      </c>
      <c r="Q197" s="50"/>
      <c r="R197" s="233">
        <v>248696</v>
      </c>
      <c r="S197" s="232">
        <v>3967</v>
      </c>
      <c r="T197" s="234">
        <v>252663</v>
      </c>
    </row>
    <row r="198" spans="1:20">
      <c r="A198" s="48">
        <v>91841</v>
      </c>
      <c r="B198" s="49" t="s">
        <v>2208</v>
      </c>
      <c r="C198" s="235">
        <v>2.6479999999999999E-4</v>
      </c>
      <c r="D198" s="235">
        <v>2.5339999999999998E-4</v>
      </c>
      <c r="E198" s="189">
        <v>628196</v>
      </c>
      <c r="F198" s="189" t="s">
        <v>1930</v>
      </c>
      <c r="G198" s="233">
        <v>96916</v>
      </c>
      <c r="H198" s="221">
        <v>86233</v>
      </c>
      <c r="I198" s="233">
        <v>166699</v>
      </c>
      <c r="J198" s="232">
        <v>5951</v>
      </c>
      <c r="K198" s="88">
        <f t="shared" si="4"/>
        <v>355799</v>
      </c>
      <c r="L198" s="50"/>
      <c r="M198" s="233">
        <v>3252</v>
      </c>
      <c r="N198" s="233">
        <v>0</v>
      </c>
      <c r="O198" s="232">
        <v>4615</v>
      </c>
      <c r="P198" s="88">
        <f t="shared" si="5"/>
        <v>7867</v>
      </c>
      <c r="Q198" s="50"/>
      <c r="R198" s="233">
        <v>174496</v>
      </c>
      <c r="S198" s="232">
        <v>-8503</v>
      </c>
      <c r="T198" s="234">
        <v>165993</v>
      </c>
    </row>
    <row r="199" spans="1:20">
      <c r="A199" s="48">
        <v>91851</v>
      </c>
      <c r="B199" s="49" t="s">
        <v>2209</v>
      </c>
      <c r="C199" s="235">
        <v>7.3039999999999997E-4</v>
      </c>
      <c r="D199" s="235">
        <v>7.4910000000000005E-4</v>
      </c>
      <c r="E199" s="189">
        <v>1732759</v>
      </c>
      <c r="F199" s="189" t="s">
        <v>1930</v>
      </c>
      <c r="G199" s="233">
        <v>267323</v>
      </c>
      <c r="H199" s="221">
        <v>237856</v>
      </c>
      <c r="I199" s="233">
        <v>459807</v>
      </c>
      <c r="J199" s="232">
        <v>4093</v>
      </c>
      <c r="K199" s="88">
        <f t="shared" si="4"/>
        <v>969079</v>
      </c>
      <c r="L199" s="50"/>
      <c r="M199" s="233">
        <v>8970</v>
      </c>
      <c r="N199" s="233">
        <v>0</v>
      </c>
      <c r="O199" s="232">
        <v>35449</v>
      </c>
      <c r="P199" s="88">
        <f t="shared" si="5"/>
        <v>44419</v>
      </c>
      <c r="Q199" s="50"/>
      <c r="R199" s="233">
        <v>481314</v>
      </c>
      <c r="S199" s="232">
        <v>-15851</v>
      </c>
      <c r="T199" s="234">
        <v>465463</v>
      </c>
    </row>
    <row r="200" spans="1:20">
      <c r="A200" s="48">
        <v>91861</v>
      </c>
      <c r="B200" s="49" t="s">
        <v>2210</v>
      </c>
      <c r="C200" s="235">
        <v>1.1800000000000001E-5</v>
      </c>
      <c r="D200" s="235">
        <v>1.9700000000000001E-5</v>
      </c>
      <c r="E200" s="189">
        <v>27994</v>
      </c>
      <c r="F200" s="189" t="s">
        <v>1930</v>
      </c>
      <c r="G200" s="233">
        <v>4319</v>
      </c>
      <c r="H200" s="221">
        <v>3843</v>
      </c>
      <c r="I200" s="233">
        <v>7428</v>
      </c>
      <c r="J200" s="232">
        <v>1009</v>
      </c>
      <c r="K200" s="88">
        <f t="shared" si="4"/>
        <v>16599</v>
      </c>
      <c r="L200" s="50"/>
      <c r="M200" s="233">
        <v>145</v>
      </c>
      <c r="N200" s="233">
        <v>0</v>
      </c>
      <c r="O200" s="232">
        <v>5115</v>
      </c>
      <c r="P200" s="88">
        <f t="shared" si="5"/>
        <v>5260</v>
      </c>
      <c r="Q200" s="50"/>
      <c r="R200" s="233">
        <v>7776</v>
      </c>
      <c r="S200" s="232">
        <v>-408</v>
      </c>
      <c r="T200" s="234">
        <v>7368</v>
      </c>
    </row>
    <row r="201" spans="1:20">
      <c r="A201" s="48">
        <v>91871</v>
      </c>
      <c r="B201" s="49" t="s">
        <v>913</v>
      </c>
      <c r="C201" s="235">
        <v>1.3219E-3</v>
      </c>
      <c r="D201" s="235">
        <v>1.3319E-3</v>
      </c>
      <c r="E201" s="189">
        <v>3135999</v>
      </c>
      <c r="F201" s="189" t="s">
        <v>1930</v>
      </c>
      <c r="G201" s="233">
        <v>483810</v>
      </c>
      <c r="H201" s="221">
        <v>430480</v>
      </c>
      <c r="I201" s="233">
        <v>832173</v>
      </c>
      <c r="J201" s="232">
        <v>16903</v>
      </c>
      <c r="K201" s="88">
        <f t="shared" si="4"/>
        <v>1763366</v>
      </c>
      <c r="L201" s="50"/>
      <c r="M201" s="233">
        <v>16234</v>
      </c>
      <c r="N201" s="233">
        <v>0</v>
      </c>
      <c r="O201" s="232">
        <v>71958</v>
      </c>
      <c r="P201" s="88">
        <f t="shared" si="5"/>
        <v>88192</v>
      </c>
      <c r="Q201" s="50"/>
      <c r="R201" s="233">
        <v>871096</v>
      </c>
      <c r="S201" s="232">
        <v>-36895</v>
      </c>
      <c r="T201" s="234">
        <v>834201</v>
      </c>
    </row>
    <row r="202" spans="1:20">
      <c r="A202" s="48">
        <v>91881</v>
      </c>
      <c r="B202" s="49" t="s">
        <v>2211</v>
      </c>
      <c r="C202" s="235">
        <v>8.1000000000000004E-6</v>
      </c>
      <c r="D202" s="235">
        <v>9.3000000000000007E-6</v>
      </c>
      <c r="E202" s="189">
        <v>19216</v>
      </c>
      <c r="F202" s="189" t="s">
        <v>1930</v>
      </c>
      <c r="G202" s="233">
        <v>2965</v>
      </c>
      <c r="H202" s="221">
        <v>2638</v>
      </c>
      <c r="I202" s="233">
        <v>5099</v>
      </c>
      <c r="J202" s="232">
        <v>917</v>
      </c>
      <c r="K202" s="88">
        <f t="shared" si="4"/>
        <v>11619</v>
      </c>
      <c r="L202" s="50"/>
      <c r="M202" s="233">
        <v>99</v>
      </c>
      <c r="N202" s="233">
        <v>0</v>
      </c>
      <c r="O202" s="232">
        <v>2944</v>
      </c>
      <c r="P202" s="88">
        <f t="shared" si="5"/>
        <v>3043</v>
      </c>
      <c r="Q202" s="50"/>
      <c r="R202" s="233">
        <v>5338</v>
      </c>
      <c r="S202" s="232">
        <v>-5564</v>
      </c>
      <c r="T202" s="234">
        <v>-226</v>
      </c>
    </row>
    <row r="203" spans="1:20">
      <c r="A203" s="48">
        <v>91901</v>
      </c>
      <c r="B203" s="49" t="s">
        <v>915</v>
      </c>
      <c r="C203" s="235">
        <v>3.6922000000000001E-3</v>
      </c>
      <c r="D203" s="235">
        <v>3.6706999999999998E-3</v>
      </c>
      <c r="E203" s="189">
        <v>8759161</v>
      </c>
      <c r="F203" s="189" t="s">
        <v>1930</v>
      </c>
      <c r="G203" s="233">
        <v>1351330</v>
      </c>
      <c r="H203" s="221">
        <v>1202373</v>
      </c>
      <c r="I203" s="233">
        <v>2324343</v>
      </c>
      <c r="J203" s="232">
        <v>32174</v>
      </c>
      <c r="K203" s="88">
        <f t="shared" ref="K203:K271" si="6">G203+H203+I203+J203</f>
        <v>4910220</v>
      </c>
      <c r="L203" s="50"/>
      <c r="M203" s="233">
        <v>45344</v>
      </c>
      <c r="N203" s="233">
        <v>0</v>
      </c>
      <c r="O203" s="232">
        <v>47401</v>
      </c>
      <c r="P203" s="88">
        <f t="shared" ref="P203:P271" si="7">M203+N203+O203</f>
        <v>92745</v>
      </c>
      <c r="Q203" s="50"/>
      <c r="R203" s="233">
        <v>2433060</v>
      </c>
      <c r="S203" s="232">
        <v>44660</v>
      </c>
      <c r="T203" s="234">
        <v>2477720</v>
      </c>
    </row>
    <row r="204" spans="1:20">
      <c r="A204" s="48">
        <v>91903</v>
      </c>
      <c r="B204" s="49" t="s">
        <v>2758</v>
      </c>
      <c r="C204" s="235">
        <v>8.8000000000000004E-6</v>
      </c>
      <c r="D204" s="235">
        <v>8.6999999999999997E-6</v>
      </c>
      <c r="E204" s="189">
        <v>20877</v>
      </c>
      <c r="F204" s="189" t="s">
        <v>1930</v>
      </c>
      <c r="G204" s="233">
        <v>3221</v>
      </c>
      <c r="H204" s="221">
        <v>2866</v>
      </c>
      <c r="I204" s="233">
        <v>5540</v>
      </c>
      <c r="J204" s="232">
        <v>3278</v>
      </c>
      <c r="K204" s="88">
        <f t="shared" si="6"/>
        <v>14905</v>
      </c>
      <c r="L204" s="50"/>
      <c r="M204" s="233">
        <v>108</v>
      </c>
      <c r="N204" s="233">
        <v>0</v>
      </c>
      <c r="O204" s="232">
        <v>0</v>
      </c>
      <c r="P204" s="88">
        <f t="shared" si="7"/>
        <v>108</v>
      </c>
      <c r="Q204" s="50"/>
      <c r="R204" s="233">
        <v>5799</v>
      </c>
      <c r="S204" s="232">
        <v>-1932</v>
      </c>
      <c r="T204" s="234">
        <v>3867</v>
      </c>
    </row>
    <row r="205" spans="1:20">
      <c r="A205" s="48">
        <v>91904</v>
      </c>
      <c r="B205" s="49" t="s">
        <v>917</v>
      </c>
      <c r="C205" s="235">
        <v>3.1399999999999998E-5</v>
      </c>
      <c r="D205" s="235">
        <v>3.3399999999999999E-5</v>
      </c>
      <c r="E205" s="189">
        <v>74492</v>
      </c>
      <c r="F205" s="189" t="s">
        <v>1930</v>
      </c>
      <c r="G205" s="233">
        <v>11492</v>
      </c>
      <c r="H205" s="221">
        <v>10225</v>
      </c>
      <c r="I205" s="233">
        <v>19767</v>
      </c>
      <c r="J205" s="232">
        <v>6870</v>
      </c>
      <c r="K205" s="88">
        <f t="shared" si="6"/>
        <v>48354</v>
      </c>
      <c r="L205" s="50"/>
      <c r="M205" s="233">
        <v>386</v>
      </c>
      <c r="N205" s="233">
        <v>0</v>
      </c>
      <c r="O205" s="232">
        <v>434</v>
      </c>
      <c r="P205" s="88">
        <f t="shared" si="7"/>
        <v>820</v>
      </c>
      <c r="Q205" s="50"/>
      <c r="R205" s="233">
        <v>20692</v>
      </c>
      <c r="S205" s="232">
        <v>4213</v>
      </c>
      <c r="T205" s="234">
        <v>24905</v>
      </c>
    </row>
    <row r="206" spans="1:20">
      <c r="A206" s="48">
        <v>91908</v>
      </c>
      <c r="B206" s="49" t="s">
        <v>918</v>
      </c>
      <c r="C206" s="235">
        <v>1.5299999999999999E-5</v>
      </c>
      <c r="D206" s="235">
        <v>1.6900000000000001E-5</v>
      </c>
      <c r="E206" s="189">
        <v>36297</v>
      </c>
      <c r="F206" s="189" t="s">
        <v>1930</v>
      </c>
      <c r="G206" s="233">
        <v>5600</v>
      </c>
      <c r="H206" s="221">
        <v>4983</v>
      </c>
      <c r="I206" s="233">
        <v>9632</v>
      </c>
      <c r="J206" s="232">
        <v>106</v>
      </c>
      <c r="K206" s="88">
        <f t="shared" si="6"/>
        <v>20321</v>
      </c>
      <c r="L206" s="50"/>
      <c r="M206" s="233">
        <v>188</v>
      </c>
      <c r="N206" s="233">
        <v>0</v>
      </c>
      <c r="O206" s="232">
        <v>4660</v>
      </c>
      <c r="P206" s="88">
        <f t="shared" si="7"/>
        <v>4848</v>
      </c>
      <c r="Q206" s="50"/>
      <c r="R206" s="233">
        <v>10082</v>
      </c>
      <c r="S206" s="232">
        <v>-814</v>
      </c>
      <c r="T206" s="234">
        <v>9268</v>
      </c>
    </row>
    <row r="207" spans="1:20">
      <c r="A207" s="48">
        <v>91911</v>
      </c>
      <c r="B207" s="49" t="s">
        <v>2212</v>
      </c>
      <c r="C207" s="235">
        <v>4.8529999999999998E-4</v>
      </c>
      <c r="D207" s="235">
        <v>4.5580000000000002E-4</v>
      </c>
      <c r="E207" s="189">
        <v>1151298</v>
      </c>
      <c r="F207" s="189" t="s">
        <v>1930</v>
      </c>
      <c r="G207" s="233">
        <v>177618</v>
      </c>
      <c r="H207" s="221">
        <v>158038</v>
      </c>
      <c r="I207" s="233">
        <v>305510</v>
      </c>
      <c r="J207" s="232">
        <v>25824</v>
      </c>
      <c r="K207" s="88">
        <f t="shared" si="6"/>
        <v>666990</v>
      </c>
      <c r="L207" s="50"/>
      <c r="M207" s="233">
        <v>5960</v>
      </c>
      <c r="N207" s="233">
        <v>0</v>
      </c>
      <c r="O207" s="232">
        <v>1556</v>
      </c>
      <c r="P207" s="88">
        <f t="shared" si="7"/>
        <v>7516</v>
      </c>
      <c r="Q207" s="50"/>
      <c r="R207" s="233">
        <v>319800</v>
      </c>
      <c r="S207" s="232">
        <v>4709</v>
      </c>
      <c r="T207" s="234">
        <v>324509</v>
      </c>
    </row>
    <row r="208" spans="1:20">
      <c r="A208" s="48">
        <v>91917</v>
      </c>
      <c r="B208" s="49" t="s">
        <v>920</v>
      </c>
      <c r="C208" s="235">
        <v>1.04E-5</v>
      </c>
      <c r="D208" s="235">
        <v>1.22E-5</v>
      </c>
      <c r="E208" s="189">
        <v>24672</v>
      </c>
      <c r="F208" s="189" t="s">
        <v>1930</v>
      </c>
      <c r="G208" s="233">
        <v>3806</v>
      </c>
      <c r="H208" s="221">
        <v>3387</v>
      </c>
      <c r="I208" s="233">
        <v>6547</v>
      </c>
      <c r="J208" s="232">
        <v>521</v>
      </c>
      <c r="K208" s="88">
        <f t="shared" si="6"/>
        <v>14261</v>
      </c>
      <c r="L208" s="50"/>
      <c r="M208" s="233">
        <v>128</v>
      </c>
      <c r="N208" s="233">
        <v>0</v>
      </c>
      <c r="O208" s="232">
        <v>233</v>
      </c>
      <c r="P208" s="88">
        <f t="shared" si="7"/>
        <v>361</v>
      </c>
      <c r="Q208" s="50"/>
      <c r="R208" s="233">
        <v>6853</v>
      </c>
      <c r="S208" s="232">
        <v>175</v>
      </c>
      <c r="T208" s="234">
        <v>7028</v>
      </c>
    </row>
    <row r="209" spans="1:20">
      <c r="A209" s="48">
        <v>91921</v>
      </c>
      <c r="B209" s="49" t="s">
        <v>2213</v>
      </c>
      <c r="C209" s="235">
        <v>3.5619999999999998E-4</v>
      </c>
      <c r="D209" s="235">
        <v>3.769E-4</v>
      </c>
      <c r="E209" s="189">
        <v>845028</v>
      </c>
      <c r="F209" s="189" t="s">
        <v>1930</v>
      </c>
      <c r="G209" s="233">
        <v>130368</v>
      </c>
      <c r="H209" s="221">
        <v>115997</v>
      </c>
      <c r="I209" s="233">
        <v>224238</v>
      </c>
      <c r="J209" s="232">
        <v>0</v>
      </c>
      <c r="K209" s="88">
        <f t="shared" si="6"/>
        <v>470603</v>
      </c>
      <c r="L209" s="50"/>
      <c r="M209" s="233">
        <v>4374</v>
      </c>
      <c r="N209" s="233">
        <v>0</v>
      </c>
      <c r="O209" s="232">
        <v>26775</v>
      </c>
      <c r="P209" s="88">
        <f t="shared" si="7"/>
        <v>31149</v>
      </c>
      <c r="Q209" s="50"/>
      <c r="R209" s="233">
        <v>234726</v>
      </c>
      <c r="S209" s="232">
        <v>-10664</v>
      </c>
      <c r="T209" s="234">
        <v>224062</v>
      </c>
    </row>
    <row r="210" spans="1:20">
      <c r="A210" s="48">
        <v>92001</v>
      </c>
      <c r="B210" s="49" t="s">
        <v>922</v>
      </c>
      <c r="C210" s="235">
        <v>1.8332999999999999E-3</v>
      </c>
      <c r="D210" s="235">
        <v>1.8143E-3</v>
      </c>
      <c r="E210" s="189">
        <v>4349215</v>
      </c>
      <c r="F210" s="189" t="s">
        <v>1930</v>
      </c>
      <c r="G210" s="233">
        <v>670980</v>
      </c>
      <c r="H210" s="221">
        <v>597017</v>
      </c>
      <c r="I210" s="233">
        <v>1154114</v>
      </c>
      <c r="J210" s="232">
        <v>30924</v>
      </c>
      <c r="K210" s="88">
        <f t="shared" si="6"/>
        <v>2453035</v>
      </c>
      <c r="L210" s="50"/>
      <c r="M210" s="233">
        <v>22515</v>
      </c>
      <c r="N210" s="233">
        <v>0</v>
      </c>
      <c r="O210" s="232">
        <v>112538</v>
      </c>
      <c r="P210" s="88">
        <f t="shared" si="7"/>
        <v>135053</v>
      </c>
      <c r="Q210" s="50"/>
      <c r="R210" s="233">
        <v>1208095</v>
      </c>
      <c r="S210" s="232">
        <v>-45166</v>
      </c>
      <c r="T210" s="234">
        <v>1162929</v>
      </c>
    </row>
    <row r="211" spans="1:20">
      <c r="A211" s="48">
        <v>92005</v>
      </c>
      <c r="B211" s="49" t="s">
        <v>923</v>
      </c>
      <c r="C211" s="235">
        <v>4.2700000000000001E-5</v>
      </c>
      <c r="D211" s="235">
        <v>4.1399999999999997E-5</v>
      </c>
      <c r="E211" s="189">
        <v>101299</v>
      </c>
      <c r="F211" s="189" t="s">
        <v>1930</v>
      </c>
      <c r="G211" s="233">
        <v>15628</v>
      </c>
      <c r="H211" s="221">
        <v>13906</v>
      </c>
      <c r="I211" s="233">
        <v>26881</v>
      </c>
      <c r="J211" s="232">
        <v>4118</v>
      </c>
      <c r="K211" s="88">
        <f t="shared" si="6"/>
        <v>60533</v>
      </c>
      <c r="L211" s="50"/>
      <c r="M211" s="233">
        <v>524</v>
      </c>
      <c r="N211" s="233">
        <v>0</v>
      </c>
      <c r="O211" s="232">
        <v>1571</v>
      </c>
      <c r="P211" s="88">
        <f t="shared" si="7"/>
        <v>2095</v>
      </c>
      <c r="Q211" s="50"/>
      <c r="R211" s="233">
        <v>28138</v>
      </c>
      <c r="S211" s="232">
        <v>1018</v>
      </c>
      <c r="T211" s="234">
        <v>29156</v>
      </c>
    </row>
    <row r="212" spans="1:20">
      <c r="A212" s="48">
        <v>92011</v>
      </c>
      <c r="B212" s="49" t="s">
        <v>2214</v>
      </c>
      <c r="C212" s="235">
        <v>1.916E-4</v>
      </c>
      <c r="D212" s="235">
        <v>2.0049999999999999E-4</v>
      </c>
      <c r="E212" s="189">
        <v>454541</v>
      </c>
      <c r="F212" s="189" t="s">
        <v>1930</v>
      </c>
      <c r="G212" s="233">
        <v>70125</v>
      </c>
      <c r="H212" s="221">
        <v>62395</v>
      </c>
      <c r="I212" s="233">
        <v>120618</v>
      </c>
      <c r="J212" s="232">
        <v>7900</v>
      </c>
      <c r="K212" s="88">
        <f t="shared" si="6"/>
        <v>261038</v>
      </c>
      <c r="L212" s="50"/>
      <c r="M212" s="233">
        <v>2353</v>
      </c>
      <c r="N212" s="233">
        <v>0</v>
      </c>
      <c r="O212" s="232">
        <v>5785</v>
      </c>
      <c r="P212" s="88">
        <f t="shared" si="7"/>
        <v>8138</v>
      </c>
      <c r="Q212" s="50"/>
      <c r="R212" s="233">
        <v>126259</v>
      </c>
      <c r="S212" s="232">
        <v>8269</v>
      </c>
      <c r="T212" s="234">
        <v>134528</v>
      </c>
    </row>
    <row r="213" spans="1:20">
      <c r="A213" s="48">
        <v>92017</v>
      </c>
      <c r="B213" s="49" t="s">
        <v>925</v>
      </c>
      <c r="C213" s="235">
        <v>3.3200000000000001E-5</v>
      </c>
      <c r="D213" s="235">
        <v>3.4199999999999998E-5</v>
      </c>
      <c r="E213" s="189">
        <v>78762</v>
      </c>
      <c r="F213" s="189" t="s">
        <v>1930</v>
      </c>
      <c r="G213" s="233">
        <v>12151</v>
      </c>
      <c r="H213" s="221">
        <v>10811</v>
      </c>
      <c r="I213" s="233">
        <v>20900</v>
      </c>
      <c r="J213" s="232">
        <v>1396</v>
      </c>
      <c r="K213" s="88">
        <f t="shared" si="6"/>
        <v>45258</v>
      </c>
      <c r="L213" s="50"/>
      <c r="M213" s="233">
        <v>408</v>
      </c>
      <c r="N213" s="233">
        <v>0</v>
      </c>
      <c r="O213" s="232">
        <v>361</v>
      </c>
      <c r="P213" s="88">
        <f t="shared" si="7"/>
        <v>769</v>
      </c>
      <c r="Q213" s="50"/>
      <c r="R213" s="233">
        <v>21878</v>
      </c>
      <c r="S213" s="232">
        <v>-415</v>
      </c>
      <c r="T213" s="234">
        <v>21463</v>
      </c>
    </row>
    <row r="214" spans="1:20">
      <c r="A214" s="48">
        <v>92021</v>
      </c>
      <c r="B214" s="49" t="s">
        <v>2215</v>
      </c>
      <c r="C214" s="235">
        <v>1.451E-4</v>
      </c>
      <c r="D214" s="235">
        <v>1.5779999999999999E-4</v>
      </c>
      <c r="E214" s="189">
        <v>344227</v>
      </c>
      <c r="F214" s="189" t="s">
        <v>1930</v>
      </c>
      <c r="G214" s="233">
        <v>53106</v>
      </c>
      <c r="H214" s="221">
        <v>47253</v>
      </c>
      <c r="I214" s="233">
        <v>91345</v>
      </c>
      <c r="J214" s="232">
        <v>20876</v>
      </c>
      <c r="K214" s="88">
        <f t="shared" si="6"/>
        <v>212580</v>
      </c>
      <c r="L214" s="50"/>
      <c r="M214" s="233">
        <v>1782</v>
      </c>
      <c r="N214" s="233">
        <v>0</v>
      </c>
      <c r="O214" s="232">
        <v>23774</v>
      </c>
      <c r="P214" s="88">
        <f t="shared" si="7"/>
        <v>25556</v>
      </c>
      <c r="Q214" s="50"/>
      <c r="R214" s="233">
        <v>95617</v>
      </c>
      <c r="S214" s="232">
        <v>-3302</v>
      </c>
      <c r="T214" s="234">
        <v>92315</v>
      </c>
    </row>
    <row r="215" spans="1:20">
      <c r="A215" s="48">
        <v>92101</v>
      </c>
      <c r="B215" s="49" t="s">
        <v>927</v>
      </c>
      <c r="C215" s="235">
        <v>8.183E-4</v>
      </c>
      <c r="D215" s="235">
        <v>8.5209999999999995E-4</v>
      </c>
      <c r="E215" s="189">
        <v>1941287</v>
      </c>
      <c r="F215" s="189" t="s">
        <v>1930</v>
      </c>
      <c r="G215" s="233">
        <v>299495</v>
      </c>
      <c r="H215" s="221">
        <v>266481</v>
      </c>
      <c r="I215" s="233">
        <v>515143</v>
      </c>
      <c r="J215" s="232">
        <v>575</v>
      </c>
      <c r="K215" s="88">
        <f t="shared" si="6"/>
        <v>1081694</v>
      </c>
      <c r="L215" s="50"/>
      <c r="M215" s="233">
        <v>10050</v>
      </c>
      <c r="N215" s="233">
        <v>0</v>
      </c>
      <c r="O215" s="232">
        <v>80217</v>
      </c>
      <c r="P215" s="88">
        <f t="shared" si="7"/>
        <v>90267</v>
      </c>
      <c r="Q215" s="50"/>
      <c r="R215" s="233">
        <v>539238</v>
      </c>
      <c r="S215" s="232">
        <v>-19299</v>
      </c>
      <c r="T215" s="234">
        <v>519939</v>
      </c>
    </row>
    <row r="216" spans="1:20">
      <c r="A216" s="48">
        <v>92104</v>
      </c>
      <c r="B216" s="49" t="s">
        <v>928</v>
      </c>
      <c r="C216" s="235">
        <v>8.3999999999999992E-6</v>
      </c>
      <c r="D216" s="235">
        <v>8.6000000000000007E-6</v>
      </c>
      <c r="E216" s="189">
        <v>19928</v>
      </c>
      <c r="F216" s="189" t="s">
        <v>1930</v>
      </c>
      <c r="G216" s="233">
        <v>3074</v>
      </c>
      <c r="H216" s="221">
        <v>2735</v>
      </c>
      <c r="I216" s="233">
        <v>5288</v>
      </c>
      <c r="J216" s="232">
        <v>2394</v>
      </c>
      <c r="K216" s="88">
        <f t="shared" si="6"/>
        <v>13491</v>
      </c>
      <c r="L216" s="50"/>
      <c r="M216" s="233">
        <v>103</v>
      </c>
      <c r="N216" s="233">
        <v>0</v>
      </c>
      <c r="O216" s="232">
        <v>0</v>
      </c>
      <c r="P216" s="88">
        <f t="shared" si="7"/>
        <v>103</v>
      </c>
      <c r="Q216" s="50"/>
      <c r="R216" s="233">
        <v>5535</v>
      </c>
      <c r="S216" s="232">
        <v>2056</v>
      </c>
      <c r="T216" s="234">
        <v>7591</v>
      </c>
    </row>
    <row r="217" spans="1:20">
      <c r="A217" s="48">
        <v>92109</v>
      </c>
      <c r="B217" s="49" t="s">
        <v>929</v>
      </c>
      <c r="C217" s="235">
        <v>1.7239999999999999E-4</v>
      </c>
      <c r="D217" s="235">
        <v>1.8809999999999999E-4</v>
      </c>
      <c r="E217" s="189">
        <v>408992</v>
      </c>
      <c r="F217" s="189" t="s">
        <v>1930</v>
      </c>
      <c r="G217" s="233">
        <v>63098</v>
      </c>
      <c r="H217" s="221">
        <v>56142</v>
      </c>
      <c r="I217" s="233">
        <v>108531</v>
      </c>
      <c r="J217" s="232">
        <v>547</v>
      </c>
      <c r="K217" s="88">
        <f t="shared" si="6"/>
        <v>228318</v>
      </c>
      <c r="L217" s="50"/>
      <c r="M217" s="233">
        <v>2117</v>
      </c>
      <c r="N217" s="233">
        <v>0</v>
      </c>
      <c r="O217" s="232">
        <v>19072</v>
      </c>
      <c r="P217" s="88">
        <f t="shared" si="7"/>
        <v>21189</v>
      </c>
      <c r="Q217" s="50"/>
      <c r="R217" s="233">
        <v>113607</v>
      </c>
      <c r="S217" s="232">
        <v>-8757</v>
      </c>
      <c r="T217" s="234">
        <v>104850</v>
      </c>
    </row>
    <row r="218" spans="1:20">
      <c r="A218" s="48">
        <v>92111</v>
      </c>
      <c r="B218" s="49" t="s">
        <v>2216</v>
      </c>
      <c r="C218" s="235">
        <v>5.2209999999999995E-4</v>
      </c>
      <c r="D218" s="235">
        <v>5.0460000000000001E-4</v>
      </c>
      <c r="E218" s="189">
        <v>1238600</v>
      </c>
      <c r="F218" s="189" t="s">
        <v>1930</v>
      </c>
      <c r="G218" s="233">
        <v>191087</v>
      </c>
      <c r="H218" s="221">
        <v>170023</v>
      </c>
      <c r="I218" s="233">
        <v>328677</v>
      </c>
      <c r="J218" s="232">
        <v>4892</v>
      </c>
      <c r="K218" s="88">
        <f t="shared" si="6"/>
        <v>694679</v>
      </c>
      <c r="L218" s="50"/>
      <c r="M218" s="233">
        <v>6412</v>
      </c>
      <c r="N218" s="233">
        <v>0</v>
      </c>
      <c r="O218" s="232">
        <v>8630</v>
      </c>
      <c r="P218" s="88">
        <f t="shared" si="7"/>
        <v>15042</v>
      </c>
      <c r="Q218" s="50"/>
      <c r="R218" s="233">
        <v>344050</v>
      </c>
      <c r="S218" s="232">
        <v>2737</v>
      </c>
      <c r="T218" s="234">
        <v>346787</v>
      </c>
    </row>
    <row r="219" spans="1:20">
      <c r="A219" s="48">
        <v>92113</v>
      </c>
      <c r="B219" s="49" t="s">
        <v>2759</v>
      </c>
      <c r="C219" s="235">
        <v>1.56E-5</v>
      </c>
      <c r="D219" s="235">
        <v>1.4399999999999999E-5</v>
      </c>
      <c r="E219" s="194">
        <v>37009</v>
      </c>
      <c r="F219" s="194" t="s">
        <v>1930</v>
      </c>
      <c r="G219" s="233">
        <v>5710</v>
      </c>
      <c r="H219" s="221">
        <v>5080</v>
      </c>
      <c r="I219" s="233">
        <v>9821</v>
      </c>
      <c r="J219" s="232">
        <v>14622</v>
      </c>
      <c r="K219" s="88">
        <f t="shared" si="6"/>
        <v>35233</v>
      </c>
      <c r="L219" s="50"/>
      <c r="M219" s="233">
        <v>192</v>
      </c>
      <c r="N219" s="233">
        <v>0</v>
      </c>
      <c r="O219" s="232">
        <v>1633</v>
      </c>
      <c r="P219" s="88">
        <f t="shared" si="7"/>
        <v>1825</v>
      </c>
      <c r="Q219" s="50"/>
      <c r="R219" s="233">
        <v>10280</v>
      </c>
      <c r="S219" s="232">
        <v>8352</v>
      </c>
      <c r="T219" s="234">
        <v>18632</v>
      </c>
    </row>
    <row r="220" spans="1:20">
      <c r="A220" s="48">
        <v>92201</v>
      </c>
      <c r="B220" s="49" t="s">
        <v>932</v>
      </c>
      <c r="C220" s="235">
        <v>9.1100000000000003E-4</v>
      </c>
      <c r="D220" s="235">
        <v>9.3389999999999999E-4</v>
      </c>
      <c r="E220" s="194">
        <v>2161204</v>
      </c>
      <c r="F220" s="194" t="s">
        <v>1930</v>
      </c>
      <c r="G220" s="233">
        <v>333422</v>
      </c>
      <c r="H220" s="221">
        <v>296669</v>
      </c>
      <c r="I220" s="233">
        <v>573500</v>
      </c>
      <c r="J220" s="232">
        <v>13246</v>
      </c>
      <c r="K220" s="88">
        <f t="shared" si="6"/>
        <v>1216837</v>
      </c>
      <c r="L220" s="50"/>
      <c r="M220" s="233">
        <v>11188</v>
      </c>
      <c r="N220" s="233">
        <v>0</v>
      </c>
      <c r="O220" s="232">
        <v>32516</v>
      </c>
      <c r="P220" s="88">
        <f t="shared" si="7"/>
        <v>43704</v>
      </c>
      <c r="Q220" s="50"/>
      <c r="R220" s="233">
        <v>600324</v>
      </c>
      <c r="S220" s="232">
        <v>12990</v>
      </c>
      <c r="T220" s="234">
        <v>613314</v>
      </c>
    </row>
    <row r="221" spans="1:20" s="191" customFormat="1">
      <c r="A221" s="193">
        <v>92214</v>
      </c>
      <c r="B221" s="192" t="s">
        <v>1931</v>
      </c>
      <c r="C221" s="235">
        <v>1.9000000000000001E-5</v>
      </c>
      <c r="D221" s="235">
        <v>0</v>
      </c>
      <c r="E221" s="194">
        <v>45074</v>
      </c>
      <c r="F221" s="194" t="s">
        <v>1930</v>
      </c>
      <c r="G221" s="233">
        <v>6954</v>
      </c>
      <c r="H221" s="221">
        <v>6187</v>
      </c>
      <c r="I221" s="233">
        <v>11961</v>
      </c>
      <c r="J221" s="232">
        <v>14011</v>
      </c>
      <c r="K221" s="88">
        <f t="shared" si="6"/>
        <v>39113</v>
      </c>
      <c r="L221" s="190"/>
      <c r="M221" s="233">
        <v>233</v>
      </c>
      <c r="N221" s="233">
        <v>0</v>
      </c>
      <c r="O221" s="232">
        <v>0</v>
      </c>
      <c r="P221" s="88">
        <f t="shared" si="7"/>
        <v>233</v>
      </c>
      <c r="Q221" s="190"/>
      <c r="R221" s="233">
        <v>12520</v>
      </c>
      <c r="S221" s="232">
        <v>3503</v>
      </c>
      <c r="T221" s="234">
        <v>16023</v>
      </c>
    </row>
    <row r="222" spans="1:20">
      <c r="A222" s="48">
        <v>92301</v>
      </c>
      <c r="B222" s="49" t="s">
        <v>933</v>
      </c>
      <c r="C222" s="235">
        <v>5.1875999999999997E-3</v>
      </c>
      <c r="D222" s="235">
        <v>5.2129999999999998E-3</v>
      </c>
      <c r="E222" s="194">
        <v>12306761</v>
      </c>
      <c r="F222" s="194" t="s">
        <v>1930</v>
      </c>
      <c r="G222" s="233">
        <v>1898641</v>
      </c>
      <c r="H222" s="221">
        <v>1689353</v>
      </c>
      <c r="I222" s="233">
        <v>3265739</v>
      </c>
      <c r="J222" s="232">
        <v>65564</v>
      </c>
      <c r="K222" s="88">
        <f t="shared" si="6"/>
        <v>6919297</v>
      </c>
      <c r="L222" s="50"/>
      <c r="M222" s="233">
        <v>63709</v>
      </c>
      <c r="N222" s="233">
        <v>0</v>
      </c>
      <c r="O222" s="232">
        <v>24051</v>
      </c>
      <c r="P222" s="88">
        <f t="shared" si="7"/>
        <v>87760</v>
      </c>
      <c r="Q222" s="50"/>
      <c r="R222" s="233">
        <v>3418488</v>
      </c>
      <c r="S222" s="232">
        <v>16356</v>
      </c>
      <c r="T222" s="234">
        <v>3434844</v>
      </c>
    </row>
    <row r="223" spans="1:20">
      <c r="A223" s="48">
        <v>92302</v>
      </c>
      <c r="B223" s="49" t="s">
        <v>934</v>
      </c>
      <c r="C223" s="235">
        <v>3.2410000000000002E-4</v>
      </c>
      <c r="D223" s="235">
        <v>2.9740000000000002E-4</v>
      </c>
      <c r="E223" s="194">
        <v>768876</v>
      </c>
      <c r="F223" s="194" t="s">
        <v>1930</v>
      </c>
      <c r="G223" s="233">
        <v>118619</v>
      </c>
      <c r="H223" s="221">
        <v>105543</v>
      </c>
      <c r="I223" s="233">
        <v>204030</v>
      </c>
      <c r="J223" s="232">
        <v>6461</v>
      </c>
      <c r="K223" s="88">
        <f t="shared" si="6"/>
        <v>434653</v>
      </c>
      <c r="L223" s="50"/>
      <c r="M223" s="233">
        <v>3980</v>
      </c>
      <c r="N223" s="233">
        <v>0</v>
      </c>
      <c r="O223" s="232">
        <v>18923</v>
      </c>
      <c r="P223" s="88">
        <f t="shared" si="7"/>
        <v>22903</v>
      </c>
      <c r="Q223" s="50"/>
      <c r="R223" s="233">
        <v>213573</v>
      </c>
      <c r="S223" s="232">
        <v>-8101</v>
      </c>
      <c r="T223" s="234">
        <v>205472</v>
      </c>
    </row>
    <row r="224" spans="1:20">
      <c r="A224" s="48">
        <v>92311</v>
      </c>
      <c r="B224" s="49" t="s">
        <v>935</v>
      </c>
      <c r="C224" s="235">
        <v>2.2258999999999998E-3</v>
      </c>
      <c r="D224" s="235">
        <v>2.2504999999999999E-3</v>
      </c>
      <c r="E224" s="194">
        <v>5280596</v>
      </c>
      <c r="F224" s="194" t="s">
        <v>1930</v>
      </c>
      <c r="G224" s="233">
        <v>814670</v>
      </c>
      <c r="H224" s="221">
        <v>724869</v>
      </c>
      <c r="I224" s="233">
        <v>1401266</v>
      </c>
      <c r="J224" s="232">
        <v>6268</v>
      </c>
      <c r="K224" s="88">
        <f t="shared" si="6"/>
        <v>2947073</v>
      </c>
      <c r="L224" s="50"/>
      <c r="M224" s="233">
        <v>27336</v>
      </c>
      <c r="N224" s="233">
        <v>0</v>
      </c>
      <c r="O224" s="232">
        <v>77605</v>
      </c>
      <c r="P224" s="88">
        <f t="shared" si="7"/>
        <v>104941</v>
      </c>
      <c r="Q224" s="50"/>
      <c r="R224" s="233">
        <v>1466808</v>
      </c>
      <c r="S224" s="232">
        <v>-51715</v>
      </c>
      <c r="T224" s="234">
        <v>1415093</v>
      </c>
    </row>
    <row r="225" spans="1:20">
      <c r="A225" s="48">
        <v>92317</v>
      </c>
      <c r="B225" s="49" t="s">
        <v>936</v>
      </c>
      <c r="C225" s="235">
        <v>2.1800000000000001E-5</v>
      </c>
      <c r="D225" s="235">
        <v>2.94E-5</v>
      </c>
      <c r="E225" s="194">
        <v>51717</v>
      </c>
      <c r="F225" s="194" t="s">
        <v>1930</v>
      </c>
      <c r="G225" s="233">
        <v>7979</v>
      </c>
      <c r="H225" s="221">
        <v>7099</v>
      </c>
      <c r="I225" s="233">
        <v>13724</v>
      </c>
      <c r="J225" s="232">
        <v>13785</v>
      </c>
      <c r="K225" s="88">
        <f t="shared" si="6"/>
        <v>42587</v>
      </c>
      <c r="L225" s="50"/>
      <c r="M225" s="233">
        <v>268</v>
      </c>
      <c r="N225" s="233">
        <v>0</v>
      </c>
      <c r="O225" s="232">
        <v>0</v>
      </c>
      <c r="P225" s="88">
        <f t="shared" si="7"/>
        <v>268</v>
      </c>
      <c r="Q225" s="50"/>
      <c r="R225" s="233">
        <v>14366</v>
      </c>
      <c r="S225" s="232">
        <v>7302</v>
      </c>
      <c r="T225" s="234">
        <v>21668</v>
      </c>
    </row>
    <row r="226" spans="1:20">
      <c r="A226" s="48">
        <v>92321</v>
      </c>
      <c r="B226" s="49" t="s">
        <v>937</v>
      </c>
      <c r="C226" s="235">
        <v>1.2386000000000001E-3</v>
      </c>
      <c r="D226" s="235">
        <v>1.1773E-3</v>
      </c>
      <c r="E226" s="194">
        <v>2938383</v>
      </c>
      <c r="F226" s="194" t="s">
        <v>1930</v>
      </c>
      <c r="G226" s="233">
        <v>453323</v>
      </c>
      <c r="H226" s="221">
        <v>403353</v>
      </c>
      <c r="I226" s="233">
        <v>779733</v>
      </c>
      <c r="J226" s="232">
        <v>50947</v>
      </c>
      <c r="K226" s="88">
        <f t="shared" si="6"/>
        <v>1687356</v>
      </c>
      <c r="L226" s="50"/>
      <c r="M226" s="233">
        <v>15211</v>
      </c>
      <c r="N226" s="233">
        <v>0</v>
      </c>
      <c r="O226" s="232">
        <v>15403</v>
      </c>
      <c r="P226" s="88">
        <f t="shared" si="7"/>
        <v>30614</v>
      </c>
      <c r="Q226" s="50"/>
      <c r="R226" s="233">
        <v>816204</v>
      </c>
      <c r="S226" s="232">
        <v>30637</v>
      </c>
      <c r="T226" s="234">
        <v>846841</v>
      </c>
    </row>
    <row r="227" spans="1:20">
      <c r="A227" s="48">
        <v>92327</v>
      </c>
      <c r="B227" s="49" t="s">
        <v>938</v>
      </c>
      <c r="C227" s="235">
        <v>6.8000000000000001E-6</v>
      </c>
      <c r="D227" s="235">
        <v>5.6999999999999996E-6</v>
      </c>
      <c r="E227" s="194">
        <v>16132</v>
      </c>
      <c r="F227" s="194" t="s">
        <v>1930</v>
      </c>
      <c r="G227" s="233">
        <v>2489</v>
      </c>
      <c r="H227" s="221">
        <v>2215</v>
      </c>
      <c r="I227" s="233">
        <v>4281</v>
      </c>
      <c r="J227" s="232">
        <v>5548</v>
      </c>
      <c r="K227" s="88">
        <f t="shared" si="6"/>
        <v>14533</v>
      </c>
      <c r="L227" s="50"/>
      <c r="M227" s="233">
        <v>84</v>
      </c>
      <c r="N227" s="233">
        <v>0</v>
      </c>
      <c r="O227" s="232">
        <v>0</v>
      </c>
      <c r="P227" s="88">
        <f t="shared" si="7"/>
        <v>84</v>
      </c>
      <c r="Q227" s="50"/>
      <c r="R227" s="233">
        <v>4481</v>
      </c>
      <c r="S227" s="232">
        <v>2080</v>
      </c>
      <c r="T227" s="234">
        <v>6561</v>
      </c>
    </row>
    <row r="228" spans="1:20">
      <c r="A228" s="48">
        <v>92331</v>
      </c>
      <c r="B228" s="49" t="s">
        <v>2217</v>
      </c>
      <c r="C228" s="235">
        <v>1.315E-4</v>
      </c>
      <c r="D228" s="235">
        <v>1.3970000000000001E-4</v>
      </c>
      <c r="E228" s="194">
        <v>311963</v>
      </c>
      <c r="F228" s="194" t="s">
        <v>1930</v>
      </c>
      <c r="G228" s="233">
        <v>48128</v>
      </c>
      <c r="H228" s="221">
        <v>42823</v>
      </c>
      <c r="I228" s="233">
        <v>82783</v>
      </c>
      <c r="J228" s="232">
        <v>427</v>
      </c>
      <c r="K228" s="88">
        <f t="shared" si="6"/>
        <v>174161</v>
      </c>
      <c r="L228" s="50"/>
      <c r="M228" s="233">
        <v>1615</v>
      </c>
      <c r="N228" s="233">
        <v>0</v>
      </c>
      <c r="O228" s="232">
        <v>9509</v>
      </c>
      <c r="P228" s="88">
        <f t="shared" si="7"/>
        <v>11124</v>
      </c>
      <c r="Q228" s="50"/>
      <c r="R228" s="233">
        <v>86655</v>
      </c>
      <c r="S228" s="232">
        <v>-1856</v>
      </c>
      <c r="T228" s="234">
        <v>84799</v>
      </c>
    </row>
    <row r="229" spans="1:20">
      <c r="A229" s="48">
        <v>92341</v>
      </c>
      <c r="B229" s="49" t="s">
        <v>2218</v>
      </c>
      <c r="C229" s="235">
        <v>9.2E-6</v>
      </c>
      <c r="D229" s="235">
        <v>9.7999999999999993E-6</v>
      </c>
      <c r="E229" s="194">
        <v>21826</v>
      </c>
      <c r="F229" s="194" t="s">
        <v>1930</v>
      </c>
      <c r="G229" s="233">
        <v>3367</v>
      </c>
      <c r="H229" s="221">
        <v>2996</v>
      </c>
      <c r="I229" s="233">
        <v>5792</v>
      </c>
      <c r="J229" s="232">
        <v>297</v>
      </c>
      <c r="K229" s="88">
        <f t="shared" si="6"/>
        <v>12452</v>
      </c>
      <c r="L229" s="50"/>
      <c r="M229" s="233">
        <v>113</v>
      </c>
      <c r="N229" s="233">
        <v>0</v>
      </c>
      <c r="O229" s="232">
        <v>2308</v>
      </c>
      <c r="P229" s="88">
        <f t="shared" si="7"/>
        <v>2421</v>
      </c>
      <c r="Q229" s="50"/>
      <c r="R229" s="233">
        <v>6063</v>
      </c>
      <c r="S229" s="232">
        <v>-1214</v>
      </c>
      <c r="T229" s="234">
        <v>4849</v>
      </c>
    </row>
    <row r="230" spans="1:20">
      <c r="A230" s="48">
        <v>92351</v>
      </c>
      <c r="B230" s="49" t="s">
        <v>2219</v>
      </c>
      <c r="C230" s="235">
        <v>1.9400000000000001E-5</v>
      </c>
      <c r="D230" s="235">
        <v>1.8600000000000001E-5</v>
      </c>
      <c r="E230" s="194">
        <v>46023</v>
      </c>
      <c r="F230" s="194" t="s">
        <v>1930</v>
      </c>
      <c r="G230" s="233">
        <v>7100</v>
      </c>
      <c r="H230" s="221">
        <v>6317</v>
      </c>
      <c r="I230" s="233">
        <v>12213</v>
      </c>
      <c r="J230" s="232">
        <v>3336</v>
      </c>
      <c r="K230" s="88">
        <f t="shared" si="6"/>
        <v>28966</v>
      </c>
      <c r="L230" s="50"/>
      <c r="M230" s="233">
        <v>238</v>
      </c>
      <c r="N230" s="233">
        <v>0</v>
      </c>
      <c r="O230" s="232">
        <v>2532</v>
      </c>
      <c r="P230" s="88">
        <f t="shared" si="7"/>
        <v>2770</v>
      </c>
      <c r="Q230" s="50"/>
      <c r="R230" s="233">
        <v>12784</v>
      </c>
      <c r="S230" s="232">
        <v>-213</v>
      </c>
      <c r="T230" s="234">
        <v>12571</v>
      </c>
    </row>
    <row r="231" spans="1:20">
      <c r="A231" s="48">
        <v>92401</v>
      </c>
      <c r="B231" s="49" t="s">
        <v>942</v>
      </c>
      <c r="C231" s="235">
        <v>2.4808E-3</v>
      </c>
      <c r="D231" s="235">
        <v>2.6890999999999998E-3</v>
      </c>
      <c r="E231" s="194">
        <v>5885306</v>
      </c>
      <c r="F231" s="194" t="s">
        <v>1930</v>
      </c>
      <c r="G231" s="233">
        <v>907963</v>
      </c>
      <c r="H231" s="221">
        <v>807877</v>
      </c>
      <c r="I231" s="233">
        <v>1561733</v>
      </c>
      <c r="J231" s="232">
        <v>14194</v>
      </c>
      <c r="K231" s="88">
        <f t="shared" si="6"/>
        <v>3291767</v>
      </c>
      <c r="L231" s="50"/>
      <c r="M231" s="233">
        <v>30467</v>
      </c>
      <c r="N231" s="233">
        <v>0</v>
      </c>
      <c r="O231" s="232">
        <v>55822</v>
      </c>
      <c r="P231" s="88">
        <f t="shared" si="7"/>
        <v>86289</v>
      </c>
      <c r="Q231" s="50"/>
      <c r="R231" s="233">
        <v>1634780</v>
      </c>
      <c r="S231" s="232">
        <v>5281</v>
      </c>
      <c r="T231" s="234">
        <v>1640061</v>
      </c>
    </row>
    <row r="232" spans="1:20">
      <c r="A232" s="48">
        <v>92403</v>
      </c>
      <c r="B232" s="49" t="s">
        <v>943</v>
      </c>
      <c r="C232" s="235">
        <v>1.0200000000000001E-5</v>
      </c>
      <c r="D232" s="235">
        <v>1.11E-5</v>
      </c>
      <c r="E232" s="194">
        <v>24198</v>
      </c>
      <c r="F232" s="194" t="s">
        <v>1930</v>
      </c>
      <c r="G232" s="233">
        <v>3733</v>
      </c>
      <c r="H232" s="221">
        <v>3321</v>
      </c>
      <c r="I232" s="233">
        <v>6421</v>
      </c>
      <c r="J232" s="232">
        <v>1611</v>
      </c>
      <c r="K232" s="88">
        <f t="shared" si="6"/>
        <v>15086</v>
      </c>
      <c r="L232" s="50"/>
      <c r="M232" s="233">
        <v>125</v>
      </c>
      <c r="N232" s="233">
        <v>0</v>
      </c>
      <c r="O232" s="232">
        <v>851</v>
      </c>
      <c r="P232" s="88">
        <f t="shared" si="7"/>
        <v>976</v>
      </c>
      <c r="Q232" s="50"/>
      <c r="R232" s="233">
        <v>6722</v>
      </c>
      <c r="S232" s="232">
        <v>220</v>
      </c>
      <c r="T232" s="234">
        <v>6942</v>
      </c>
    </row>
    <row r="233" spans="1:20">
      <c r="A233" s="48">
        <v>92411</v>
      </c>
      <c r="B233" s="49" t="s">
        <v>944</v>
      </c>
      <c r="C233" s="235">
        <v>4.4569999999999999E-4</v>
      </c>
      <c r="D233" s="235">
        <v>5.0469999999999996E-4</v>
      </c>
      <c r="E233" s="194">
        <v>1057353</v>
      </c>
      <c r="F233" s="194" t="s">
        <v>1930</v>
      </c>
      <c r="G233" s="233">
        <v>163124</v>
      </c>
      <c r="H233" s="221">
        <v>145143</v>
      </c>
      <c r="I233" s="233">
        <v>280581</v>
      </c>
      <c r="J233" s="232">
        <v>165</v>
      </c>
      <c r="K233" s="88">
        <f t="shared" si="6"/>
        <v>589013</v>
      </c>
      <c r="L233" s="50"/>
      <c r="M233" s="233">
        <v>5474</v>
      </c>
      <c r="N233" s="233">
        <v>0</v>
      </c>
      <c r="O233" s="232">
        <v>72580</v>
      </c>
      <c r="P233" s="88">
        <f t="shared" si="7"/>
        <v>78054</v>
      </c>
      <c r="Q233" s="50"/>
      <c r="R233" s="233">
        <v>293704</v>
      </c>
      <c r="S233" s="232">
        <v>-29467</v>
      </c>
      <c r="T233" s="234">
        <v>264237</v>
      </c>
    </row>
    <row r="234" spans="1:20">
      <c r="A234" s="48">
        <v>92414</v>
      </c>
      <c r="B234" s="49" t="s">
        <v>2220</v>
      </c>
      <c r="C234" s="235">
        <v>0</v>
      </c>
      <c r="D234" s="235">
        <v>0</v>
      </c>
      <c r="E234" s="194">
        <v>0</v>
      </c>
      <c r="F234" s="194" t="s">
        <v>1930</v>
      </c>
      <c r="G234" s="233">
        <v>0</v>
      </c>
      <c r="H234" s="221">
        <v>0</v>
      </c>
      <c r="I234" s="233">
        <v>0</v>
      </c>
      <c r="J234" s="232">
        <v>0</v>
      </c>
      <c r="K234" s="88">
        <f t="shared" si="6"/>
        <v>0</v>
      </c>
      <c r="L234" s="50"/>
      <c r="M234" s="233">
        <v>0</v>
      </c>
      <c r="N234" s="233">
        <v>0</v>
      </c>
      <c r="O234" s="232">
        <v>3269</v>
      </c>
      <c r="P234" s="88">
        <f t="shared" si="7"/>
        <v>3269</v>
      </c>
      <c r="Q234" s="50"/>
      <c r="R234" s="233">
        <v>0</v>
      </c>
      <c r="S234" s="232">
        <v>-2443</v>
      </c>
      <c r="T234" s="234">
        <v>-2443</v>
      </c>
    </row>
    <row r="235" spans="1:20">
      <c r="A235" s="48">
        <v>92417</v>
      </c>
      <c r="B235" s="49" t="s">
        <v>945</v>
      </c>
      <c r="C235" s="235">
        <v>1.8600000000000001E-5</v>
      </c>
      <c r="D235" s="235">
        <v>1.8300000000000001E-5</v>
      </c>
      <c r="E235" s="194">
        <v>44126</v>
      </c>
      <c r="F235" s="194" t="s">
        <v>1930</v>
      </c>
      <c r="G235" s="233">
        <v>6808</v>
      </c>
      <c r="H235" s="221">
        <v>6058</v>
      </c>
      <c r="I235" s="233">
        <v>11709</v>
      </c>
      <c r="J235" s="232">
        <v>0</v>
      </c>
      <c r="K235" s="88">
        <f t="shared" si="6"/>
        <v>24575</v>
      </c>
      <c r="L235" s="50"/>
      <c r="M235" s="233">
        <v>228</v>
      </c>
      <c r="N235" s="233">
        <v>0</v>
      </c>
      <c r="O235" s="232">
        <v>3682</v>
      </c>
      <c r="P235" s="88">
        <f t="shared" si="7"/>
        <v>3910</v>
      </c>
      <c r="Q235" s="50"/>
      <c r="R235" s="233">
        <v>12257</v>
      </c>
      <c r="S235" s="232">
        <v>-1356</v>
      </c>
      <c r="T235" s="234">
        <v>10901</v>
      </c>
    </row>
    <row r="236" spans="1:20">
      <c r="A236" s="48">
        <v>92421</v>
      </c>
      <c r="B236" s="49" t="s">
        <v>2221</v>
      </c>
      <c r="C236" s="235">
        <v>8.6999999999999997E-6</v>
      </c>
      <c r="D236" s="235">
        <v>8.8000000000000004E-6</v>
      </c>
      <c r="E236" s="194">
        <v>20639</v>
      </c>
      <c r="F236" s="194" t="s">
        <v>1930</v>
      </c>
      <c r="G236" s="233">
        <v>3184</v>
      </c>
      <c r="H236" s="221">
        <v>2833</v>
      </c>
      <c r="I236" s="233">
        <v>5477</v>
      </c>
      <c r="J236" s="232">
        <v>6193</v>
      </c>
      <c r="K236" s="88">
        <f t="shared" si="6"/>
        <v>17687</v>
      </c>
      <c r="L236" s="50"/>
      <c r="M236" s="233">
        <v>107</v>
      </c>
      <c r="N236" s="233">
        <v>0</v>
      </c>
      <c r="O236" s="232">
        <v>746</v>
      </c>
      <c r="P236" s="88">
        <f t="shared" si="7"/>
        <v>853</v>
      </c>
      <c r="Q236" s="50"/>
      <c r="R236" s="233">
        <v>5733</v>
      </c>
      <c r="S236" s="232">
        <v>1925</v>
      </c>
      <c r="T236" s="234">
        <v>7658</v>
      </c>
    </row>
    <row r="237" spans="1:20">
      <c r="A237" s="48">
        <v>92427</v>
      </c>
      <c r="B237" s="49" t="s">
        <v>947</v>
      </c>
      <c r="C237" s="235">
        <v>1.9999999999999999E-6</v>
      </c>
      <c r="D237" s="235">
        <v>3.9999999999999998E-7</v>
      </c>
      <c r="E237" s="194">
        <v>4745</v>
      </c>
      <c r="F237" s="194" t="s">
        <v>1930</v>
      </c>
      <c r="G237" s="233">
        <v>732</v>
      </c>
      <c r="H237" s="221">
        <v>651</v>
      </c>
      <c r="I237" s="233">
        <v>1259</v>
      </c>
      <c r="J237" s="232">
        <v>2874</v>
      </c>
      <c r="K237" s="88">
        <f t="shared" si="6"/>
        <v>5516</v>
      </c>
      <c r="L237" s="50"/>
      <c r="M237" s="233">
        <v>25</v>
      </c>
      <c r="N237" s="233">
        <v>0</v>
      </c>
      <c r="O237" s="232">
        <v>0</v>
      </c>
      <c r="P237" s="88">
        <f t="shared" si="7"/>
        <v>25</v>
      </c>
      <c r="Q237" s="50"/>
      <c r="R237" s="233">
        <v>1318</v>
      </c>
      <c r="S237" s="232">
        <v>1269</v>
      </c>
      <c r="T237" s="234">
        <v>2587</v>
      </c>
    </row>
    <row r="238" spans="1:20">
      <c r="A238" s="48">
        <v>92431</v>
      </c>
      <c r="B238" s="49" t="s">
        <v>2222</v>
      </c>
      <c r="C238" s="235">
        <v>2.1999999999999999E-5</v>
      </c>
      <c r="D238" s="235">
        <v>3.0800000000000003E-5</v>
      </c>
      <c r="E238" s="194">
        <v>52192</v>
      </c>
      <c r="F238" s="194" t="s">
        <v>1930</v>
      </c>
      <c r="G238" s="233">
        <v>8052</v>
      </c>
      <c r="H238" s="221">
        <v>7164</v>
      </c>
      <c r="I238" s="233">
        <v>13850</v>
      </c>
      <c r="J238" s="232">
        <v>12947</v>
      </c>
      <c r="K238" s="88">
        <f t="shared" si="6"/>
        <v>42013</v>
      </c>
      <c r="L238" s="50"/>
      <c r="M238" s="233">
        <v>270</v>
      </c>
      <c r="N238" s="233">
        <v>0</v>
      </c>
      <c r="O238" s="232">
        <v>3712</v>
      </c>
      <c r="P238" s="88">
        <f t="shared" si="7"/>
        <v>3982</v>
      </c>
      <c r="Q238" s="50"/>
      <c r="R238" s="233">
        <v>14497</v>
      </c>
      <c r="S238" s="232">
        <v>3732</v>
      </c>
      <c r="T238" s="234">
        <v>18229</v>
      </c>
    </row>
    <row r="239" spans="1:20">
      <c r="A239" s="48">
        <v>92441</v>
      </c>
      <c r="B239" s="49" t="s">
        <v>2223</v>
      </c>
      <c r="C239" s="235">
        <v>1.002E-4</v>
      </c>
      <c r="D239" s="235">
        <v>7.7999999999999999E-5</v>
      </c>
      <c r="E239" s="194">
        <v>237709</v>
      </c>
      <c r="F239" s="194" t="s">
        <v>1930</v>
      </c>
      <c r="G239" s="233">
        <v>36673</v>
      </c>
      <c r="H239" s="221">
        <v>32630</v>
      </c>
      <c r="I239" s="233">
        <v>63079</v>
      </c>
      <c r="J239" s="232">
        <v>15338</v>
      </c>
      <c r="K239" s="88">
        <f t="shared" si="6"/>
        <v>147720</v>
      </c>
      <c r="L239" s="50"/>
      <c r="M239" s="233">
        <v>1231</v>
      </c>
      <c r="N239" s="233">
        <v>0</v>
      </c>
      <c r="O239" s="232">
        <v>8352</v>
      </c>
      <c r="P239" s="88">
        <f t="shared" si="7"/>
        <v>9583</v>
      </c>
      <c r="Q239" s="50"/>
      <c r="R239" s="233">
        <v>66029</v>
      </c>
      <c r="S239" s="232">
        <v>-3122</v>
      </c>
      <c r="T239" s="234">
        <v>62907</v>
      </c>
    </row>
    <row r="240" spans="1:20">
      <c r="A240" s="48">
        <v>92444</v>
      </c>
      <c r="B240" s="49" t="s">
        <v>950</v>
      </c>
      <c r="C240" s="235">
        <v>1.7E-6</v>
      </c>
      <c r="D240" s="235">
        <v>1.7999999999999999E-6</v>
      </c>
      <c r="E240" s="194">
        <v>4033</v>
      </c>
      <c r="F240" s="194" t="s">
        <v>1930</v>
      </c>
      <c r="G240" s="233">
        <v>622</v>
      </c>
      <c r="H240" s="221">
        <v>553</v>
      </c>
      <c r="I240" s="233">
        <v>1070</v>
      </c>
      <c r="J240" s="232">
        <v>3193</v>
      </c>
      <c r="K240" s="88">
        <f t="shared" si="6"/>
        <v>5438</v>
      </c>
      <c r="L240" s="50"/>
      <c r="M240" s="233">
        <v>21</v>
      </c>
      <c r="N240" s="233">
        <v>0</v>
      </c>
      <c r="O240" s="232">
        <v>0</v>
      </c>
      <c r="P240" s="88">
        <f t="shared" si="7"/>
        <v>21</v>
      </c>
      <c r="Q240" s="50"/>
      <c r="R240" s="233">
        <v>1120</v>
      </c>
      <c r="S240" s="232">
        <v>1642</v>
      </c>
      <c r="T240" s="234">
        <v>2762</v>
      </c>
    </row>
    <row r="241" spans="1:20">
      <c r="A241" s="48">
        <v>92451</v>
      </c>
      <c r="B241" s="49" t="s">
        <v>2224</v>
      </c>
      <c r="C241" s="235">
        <v>1.2650000000000001E-4</v>
      </c>
      <c r="D241" s="235">
        <v>1.3070000000000001E-4</v>
      </c>
      <c r="E241" s="194">
        <v>300101</v>
      </c>
      <c r="F241" s="194" t="s">
        <v>1930</v>
      </c>
      <c r="G241" s="233">
        <v>46298</v>
      </c>
      <c r="H241" s="221">
        <v>41195</v>
      </c>
      <c r="I241" s="233">
        <v>79635</v>
      </c>
      <c r="J241" s="232">
        <v>28275</v>
      </c>
      <c r="K241" s="88">
        <f t="shared" si="6"/>
        <v>195403</v>
      </c>
      <c r="L241" s="50"/>
      <c r="M241" s="233">
        <v>1554</v>
      </c>
      <c r="N241" s="233">
        <v>0</v>
      </c>
      <c r="O241" s="232">
        <v>0</v>
      </c>
      <c r="P241" s="88">
        <f t="shared" si="7"/>
        <v>1554</v>
      </c>
      <c r="Q241" s="50"/>
      <c r="R241" s="233">
        <v>83360</v>
      </c>
      <c r="S241" s="232">
        <v>15181</v>
      </c>
      <c r="T241" s="234">
        <v>98541</v>
      </c>
    </row>
    <row r="242" spans="1:20">
      <c r="A242" s="48">
        <v>92461</v>
      </c>
      <c r="B242" s="49" t="s">
        <v>2225</v>
      </c>
      <c r="C242" s="235">
        <v>6.7500000000000001E-5</v>
      </c>
      <c r="D242" s="235">
        <v>7.1099999999999994E-5</v>
      </c>
      <c r="E242" s="194">
        <v>160133</v>
      </c>
      <c r="F242" s="194" t="s">
        <v>1930</v>
      </c>
      <c r="G242" s="233">
        <v>24705</v>
      </c>
      <c r="H242" s="221">
        <v>21982</v>
      </c>
      <c r="I242" s="233">
        <v>42493</v>
      </c>
      <c r="J242" s="232">
        <v>14437</v>
      </c>
      <c r="K242" s="88">
        <f t="shared" si="6"/>
        <v>103617</v>
      </c>
      <c r="L242" s="50"/>
      <c r="M242" s="233">
        <v>829</v>
      </c>
      <c r="N242" s="233">
        <v>0</v>
      </c>
      <c r="O242" s="232">
        <v>2116</v>
      </c>
      <c r="P242" s="88">
        <f t="shared" si="7"/>
        <v>2945</v>
      </c>
      <c r="Q242" s="50"/>
      <c r="R242" s="233">
        <v>44481</v>
      </c>
      <c r="S242" s="232">
        <v>2527</v>
      </c>
      <c r="T242" s="234">
        <v>47008</v>
      </c>
    </row>
    <row r="243" spans="1:20">
      <c r="A243" s="48">
        <v>92501</v>
      </c>
      <c r="B243" s="49" t="s">
        <v>953</v>
      </c>
      <c r="C243" s="235">
        <v>3.7823000000000002E-3</v>
      </c>
      <c r="D243" s="235">
        <v>3.8252E-3</v>
      </c>
      <c r="E243" s="194">
        <v>8972909</v>
      </c>
      <c r="F243" s="194" t="s">
        <v>1930</v>
      </c>
      <c r="G243" s="233">
        <v>1384307</v>
      </c>
      <c r="H243" s="221">
        <v>1231713</v>
      </c>
      <c r="I243" s="233">
        <v>2381064</v>
      </c>
      <c r="J243" s="232">
        <v>177147</v>
      </c>
      <c r="K243" s="88">
        <f t="shared" si="6"/>
        <v>5174231</v>
      </c>
      <c r="L243" s="50"/>
      <c r="M243" s="233">
        <v>46450</v>
      </c>
      <c r="N243" s="233">
        <v>0</v>
      </c>
      <c r="O243" s="232">
        <v>4069</v>
      </c>
      <c r="P243" s="88">
        <f t="shared" si="7"/>
        <v>50519</v>
      </c>
      <c r="Q243" s="50"/>
      <c r="R243" s="233">
        <v>2492434</v>
      </c>
      <c r="S243" s="232">
        <v>67545</v>
      </c>
      <c r="T243" s="234">
        <v>2559979</v>
      </c>
    </row>
    <row r="244" spans="1:20">
      <c r="A244" s="48">
        <v>92502</v>
      </c>
      <c r="B244" s="49" t="s">
        <v>954</v>
      </c>
      <c r="C244" s="235">
        <v>2.5700000000000001E-5</v>
      </c>
      <c r="D244" s="235">
        <v>2.7500000000000001E-5</v>
      </c>
      <c r="E244" s="194">
        <v>60969</v>
      </c>
      <c r="F244" s="194" t="s">
        <v>1930</v>
      </c>
      <c r="G244" s="233">
        <v>9406</v>
      </c>
      <c r="H244" s="221">
        <v>8369</v>
      </c>
      <c r="I244" s="233">
        <v>16179</v>
      </c>
      <c r="J244" s="232">
        <v>3432</v>
      </c>
      <c r="K244" s="88">
        <f t="shared" si="6"/>
        <v>37386</v>
      </c>
      <c r="L244" s="50"/>
      <c r="M244" s="233">
        <v>316</v>
      </c>
      <c r="N244" s="233">
        <v>0</v>
      </c>
      <c r="O244" s="232">
        <v>803</v>
      </c>
      <c r="P244" s="88">
        <f t="shared" si="7"/>
        <v>1119</v>
      </c>
      <c r="Q244" s="50"/>
      <c r="R244" s="233">
        <v>16936</v>
      </c>
      <c r="S244" s="232">
        <v>200</v>
      </c>
      <c r="T244" s="234">
        <v>17136</v>
      </c>
    </row>
    <row r="245" spans="1:20">
      <c r="A245" s="48">
        <v>92504</v>
      </c>
      <c r="B245" s="49" t="s">
        <v>955</v>
      </c>
      <c r="C245" s="235">
        <v>7.86E-5</v>
      </c>
      <c r="D245" s="235">
        <v>8.4300000000000003E-5</v>
      </c>
      <c r="E245" s="194">
        <v>186466</v>
      </c>
      <c r="F245" s="194" t="s">
        <v>1930</v>
      </c>
      <c r="G245" s="233">
        <v>28767</v>
      </c>
      <c r="H245" s="221">
        <v>25596</v>
      </c>
      <c r="I245" s="233">
        <v>49481</v>
      </c>
      <c r="J245" s="232">
        <v>24679</v>
      </c>
      <c r="K245" s="88">
        <f t="shared" si="6"/>
        <v>128523</v>
      </c>
      <c r="L245" s="50"/>
      <c r="M245" s="233">
        <v>965</v>
      </c>
      <c r="N245" s="233">
        <v>0</v>
      </c>
      <c r="O245" s="232">
        <v>0</v>
      </c>
      <c r="P245" s="88">
        <f t="shared" si="7"/>
        <v>965</v>
      </c>
      <c r="Q245" s="50"/>
      <c r="R245" s="233">
        <v>51795</v>
      </c>
      <c r="S245" s="232">
        <v>11445</v>
      </c>
      <c r="T245" s="234">
        <v>63240</v>
      </c>
    </row>
    <row r="246" spans="1:20">
      <c r="A246" s="48">
        <v>92505</v>
      </c>
      <c r="B246" s="49" t="s">
        <v>956</v>
      </c>
      <c r="C246" s="235">
        <v>1.8330000000000001E-4</v>
      </c>
      <c r="D246" s="235">
        <v>1.9239999999999999E-4</v>
      </c>
      <c r="E246" s="194">
        <v>434850</v>
      </c>
      <c r="F246" s="194" t="s">
        <v>1930</v>
      </c>
      <c r="G246" s="233">
        <v>67087</v>
      </c>
      <c r="H246" s="221">
        <v>59692</v>
      </c>
      <c r="I246" s="233">
        <v>115392</v>
      </c>
      <c r="J246" s="232">
        <v>59838</v>
      </c>
      <c r="K246" s="88">
        <f t="shared" si="6"/>
        <v>302009</v>
      </c>
      <c r="L246" s="50"/>
      <c r="M246" s="233">
        <v>2251</v>
      </c>
      <c r="N246" s="233">
        <v>0</v>
      </c>
      <c r="O246" s="232">
        <v>0</v>
      </c>
      <c r="P246" s="88">
        <f t="shared" si="7"/>
        <v>2251</v>
      </c>
      <c r="Q246" s="50"/>
      <c r="R246" s="233">
        <v>120790</v>
      </c>
      <c r="S246" s="232">
        <v>29276</v>
      </c>
      <c r="T246" s="234">
        <v>150066</v>
      </c>
    </row>
    <row r="247" spans="1:20">
      <c r="A247" s="48">
        <v>92506</v>
      </c>
      <c r="B247" s="49" t="s">
        <v>957</v>
      </c>
      <c r="C247" s="235">
        <v>6.05E-5</v>
      </c>
      <c r="D247" s="235">
        <v>4.7500000000000003E-5</v>
      </c>
      <c r="E247" s="194">
        <v>143527</v>
      </c>
      <c r="F247" s="194" t="s">
        <v>1930</v>
      </c>
      <c r="G247" s="233">
        <v>22143</v>
      </c>
      <c r="H247" s="221">
        <v>19702</v>
      </c>
      <c r="I247" s="233">
        <v>38086</v>
      </c>
      <c r="J247" s="232">
        <v>23804</v>
      </c>
      <c r="K247" s="88">
        <f t="shared" si="6"/>
        <v>103735</v>
      </c>
      <c r="L247" s="50"/>
      <c r="M247" s="233">
        <v>743</v>
      </c>
      <c r="N247" s="233">
        <v>0</v>
      </c>
      <c r="O247" s="232">
        <v>0</v>
      </c>
      <c r="P247" s="88">
        <f t="shared" si="7"/>
        <v>743</v>
      </c>
      <c r="Q247" s="50"/>
      <c r="R247" s="233">
        <v>39868</v>
      </c>
      <c r="S247" s="232">
        <v>10713</v>
      </c>
      <c r="T247" s="234">
        <v>50581</v>
      </c>
    </row>
    <row r="248" spans="1:20">
      <c r="A248" s="48">
        <v>92507</v>
      </c>
      <c r="B248" s="49" t="s">
        <v>958</v>
      </c>
      <c r="C248" s="235">
        <v>9.2800000000000006E-5</v>
      </c>
      <c r="D248" s="235">
        <v>9.5699999999999995E-5</v>
      </c>
      <c r="E248" s="194">
        <v>220153</v>
      </c>
      <c r="F248" s="194" t="s">
        <v>1930</v>
      </c>
      <c r="G248" s="233">
        <v>33964</v>
      </c>
      <c r="H248" s="221">
        <v>30220</v>
      </c>
      <c r="I248" s="233">
        <v>58420</v>
      </c>
      <c r="J248" s="232">
        <v>7696</v>
      </c>
      <c r="K248" s="88">
        <f t="shared" si="6"/>
        <v>130300</v>
      </c>
      <c r="L248" s="50"/>
      <c r="M248" s="233">
        <v>1140</v>
      </c>
      <c r="N248" s="233">
        <v>0</v>
      </c>
      <c r="O248" s="232">
        <v>13640</v>
      </c>
      <c r="P248" s="88">
        <f t="shared" si="7"/>
        <v>14780</v>
      </c>
      <c r="Q248" s="50"/>
      <c r="R248" s="233">
        <v>61153</v>
      </c>
      <c r="S248" s="232">
        <v>-7333</v>
      </c>
      <c r="T248" s="234">
        <v>53820</v>
      </c>
    </row>
    <row r="249" spans="1:20">
      <c r="A249" s="48">
        <v>92508</v>
      </c>
      <c r="B249" s="49" t="s">
        <v>2760</v>
      </c>
      <c r="C249" s="235">
        <v>3.076E-4</v>
      </c>
      <c r="D249" s="235">
        <v>3.1E-4</v>
      </c>
      <c r="E249" s="194">
        <v>729732</v>
      </c>
      <c r="F249" s="194" t="s">
        <v>1930</v>
      </c>
      <c r="G249" s="233">
        <v>112580</v>
      </c>
      <c r="H249" s="221">
        <v>100171</v>
      </c>
      <c r="I249" s="233">
        <v>193643</v>
      </c>
      <c r="J249" s="232">
        <v>7720</v>
      </c>
      <c r="K249" s="88">
        <f t="shared" si="6"/>
        <v>414114</v>
      </c>
      <c r="L249" s="50"/>
      <c r="M249" s="233">
        <v>3778</v>
      </c>
      <c r="N249" s="233">
        <v>0</v>
      </c>
      <c r="O249" s="232">
        <v>915</v>
      </c>
      <c r="P249" s="88">
        <f t="shared" si="7"/>
        <v>4693</v>
      </c>
      <c r="Q249" s="50"/>
      <c r="R249" s="233">
        <v>202700</v>
      </c>
      <c r="S249" s="232">
        <v>4814</v>
      </c>
      <c r="T249" s="234">
        <v>207514</v>
      </c>
    </row>
    <row r="251" spans="1:20">
      <c r="A251" s="48">
        <v>92511</v>
      </c>
      <c r="B251" s="49" t="s">
        <v>960</v>
      </c>
      <c r="C251" s="235">
        <v>3.3249999999999998E-3</v>
      </c>
      <c r="D251" s="235">
        <v>3.3240000000000001E-3</v>
      </c>
      <c r="E251" s="194">
        <v>7888037</v>
      </c>
      <c r="F251" s="194" t="s">
        <v>1930</v>
      </c>
      <c r="G251" s="233">
        <v>1216937</v>
      </c>
      <c r="H251" s="221">
        <v>1082793</v>
      </c>
      <c r="I251" s="233">
        <v>2093181</v>
      </c>
      <c r="J251" s="232">
        <v>11784</v>
      </c>
      <c r="K251" s="88">
        <f t="shared" si="6"/>
        <v>4404695</v>
      </c>
      <c r="L251" s="50"/>
      <c r="M251" s="233">
        <v>40834</v>
      </c>
      <c r="N251" s="233">
        <v>0</v>
      </c>
      <c r="O251" s="232">
        <v>152525</v>
      </c>
      <c r="P251" s="88">
        <f t="shared" si="7"/>
        <v>193359</v>
      </c>
      <c r="Q251" s="50"/>
      <c r="R251" s="233">
        <v>2191085</v>
      </c>
      <c r="S251" s="232">
        <v>-70016</v>
      </c>
      <c r="T251" s="234">
        <v>2121069</v>
      </c>
    </row>
    <row r="252" spans="1:20" s="350" customFormat="1">
      <c r="A252" s="352" t="s">
        <v>3509</v>
      </c>
      <c r="B252" s="353" t="s">
        <v>1619</v>
      </c>
      <c r="C252" s="348">
        <v>0</v>
      </c>
      <c r="D252" s="348">
        <v>0</v>
      </c>
      <c r="E252" s="349">
        <v>0</v>
      </c>
      <c r="F252" s="349" t="s">
        <v>1930</v>
      </c>
      <c r="G252" s="354">
        <v>0</v>
      </c>
      <c r="H252" s="354">
        <v>0</v>
      </c>
      <c r="I252" s="354">
        <v>0</v>
      </c>
      <c r="J252" s="349">
        <v>25219</v>
      </c>
      <c r="K252" s="354">
        <f>G252+H252+I252+J252</f>
        <v>25219</v>
      </c>
      <c r="L252" s="349"/>
      <c r="M252" s="354">
        <v>0</v>
      </c>
      <c r="N252" s="354">
        <v>0</v>
      </c>
      <c r="O252" s="349">
        <v>448900</v>
      </c>
      <c r="P252" s="354">
        <f>M252+N252+O252</f>
        <v>448900</v>
      </c>
      <c r="Q252" s="349"/>
      <c r="R252" s="354">
        <v>0</v>
      </c>
      <c r="S252" s="349">
        <v>-104030</v>
      </c>
      <c r="T252" s="355">
        <v>-104030</v>
      </c>
    </row>
    <row r="253" spans="1:20" s="350" customFormat="1">
      <c r="A253" s="352" t="s">
        <v>3510</v>
      </c>
      <c r="B253" s="353" t="s">
        <v>1618</v>
      </c>
      <c r="C253" s="348">
        <v>0</v>
      </c>
      <c r="D253" s="348">
        <v>0</v>
      </c>
      <c r="E253" s="349">
        <v>0</v>
      </c>
      <c r="F253" s="349" t="s">
        <v>1930</v>
      </c>
      <c r="G253" s="354">
        <v>0</v>
      </c>
      <c r="H253" s="354">
        <v>0</v>
      </c>
      <c r="I253" s="354">
        <v>0</v>
      </c>
      <c r="J253" s="349">
        <v>8188</v>
      </c>
      <c r="K253" s="354">
        <f>G253+H253+I253+J253</f>
        <v>8188</v>
      </c>
      <c r="L253" s="349"/>
      <c r="M253" s="354">
        <v>0</v>
      </c>
      <c r="N253" s="354">
        <v>0</v>
      </c>
      <c r="O253" s="349">
        <v>564201</v>
      </c>
      <c r="P253" s="354">
        <f>M253+N253+O253</f>
        <v>564201</v>
      </c>
      <c r="Q253" s="349"/>
      <c r="R253" s="354">
        <v>0</v>
      </c>
      <c r="S253" s="349">
        <v>-224458</v>
      </c>
      <c r="T253" s="355">
        <v>-224458</v>
      </c>
    </row>
    <row r="254" spans="1:20" s="350" customFormat="1">
      <c r="A254" s="352" t="s">
        <v>3511</v>
      </c>
      <c r="B254" s="353" t="s">
        <v>961</v>
      </c>
      <c r="C254" s="348">
        <v>3.9129000000000004E-3</v>
      </c>
      <c r="D254" s="348">
        <v>4.0328999999999999E-3</v>
      </c>
      <c r="E254" s="349">
        <v>9282737</v>
      </c>
      <c r="F254" s="349" t="s">
        <v>1930</v>
      </c>
      <c r="G254" s="354">
        <v>1432106</v>
      </c>
      <c r="H254" s="354">
        <v>1274244</v>
      </c>
      <c r="I254" s="354">
        <v>2463280</v>
      </c>
      <c r="J254" s="349">
        <v>963519</v>
      </c>
      <c r="K254" s="354">
        <f t="shared" si="6"/>
        <v>6133149</v>
      </c>
      <c r="L254" s="349"/>
      <c r="M254" s="354">
        <v>48054</v>
      </c>
      <c r="N254" s="354">
        <v>0</v>
      </c>
      <c r="O254" s="349">
        <v>288340</v>
      </c>
      <c r="P254" s="354">
        <f t="shared" si="7"/>
        <v>336394</v>
      </c>
      <c r="Q254" s="349"/>
      <c r="R254" s="354">
        <v>2578495</v>
      </c>
      <c r="S254" s="349">
        <v>439276</v>
      </c>
      <c r="T254" s="355">
        <v>3017771</v>
      </c>
    </row>
    <row r="255" spans="1:20" s="226" customFormat="1">
      <c r="A255" s="227">
        <v>92513</v>
      </c>
      <c r="B255" s="228" t="s">
        <v>3512</v>
      </c>
      <c r="C255" s="235">
        <f>SUM(C252:C254)</f>
        <v>3.9129000000000004E-3</v>
      </c>
      <c r="D255" s="235">
        <f t="shared" ref="D255:K255" si="8">SUM(D252:D254)</f>
        <v>4.0328999999999999E-3</v>
      </c>
      <c r="E255" s="232">
        <f t="shared" si="8"/>
        <v>9282737</v>
      </c>
      <c r="F255" s="232"/>
      <c r="G255" s="233">
        <f t="shared" si="8"/>
        <v>1432106</v>
      </c>
      <c r="H255" s="221">
        <f t="shared" si="8"/>
        <v>1274244</v>
      </c>
      <c r="I255" s="233">
        <f t="shared" si="8"/>
        <v>2463280</v>
      </c>
      <c r="J255" s="232">
        <f t="shared" si="8"/>
        <v>996926</v>
      </c>
      <c r="K255" s="221">
        <f t="shared" si="8"/>
        <v>6166556</v>
      </c>
      <c r="L255" s="232"/>
      <c r="M255" s="233">
        <f t="shared" ref="M255" si="9">SUM(M252:M254)</f>
        <v>48054</v>
      </c>
      <c r="N255" s="233">
        <f t="shared" ref="N255" si="10">SUM(N252:N254)</f>
        <v>0</v>
      </c>
      <c r="O255" s="232">
        <f t="shared" ref="O255" si="11">SUM(O252:O254)</f>
        <v>1301441</v>
      </c>
      <c r="P255" s="221">
        <f t="shared" ref="P255" si="12">SUM(P252:P254)</f>
        <v>1349495</v>
      </c>
      <c r="Q255" s="232"/>
      <c r="R255" s="233">
        <f t="shared" ref="R255:S255" si="13">SUM(R252:R254)</f>
        <v>2578495</v>
      </c>
      <c r="S255" s="232">
        <f t="shared" si="13"/>
        <v>110788</v>
      </c>
      <c r="T255" s="234">
        <f t="shared" ref="T255" si="14">SUM(T252:T254)</f>
        <v>2689283</v>
      </c>
    </row>
    <row r="256" spans="1:20">
      <c r="A256" s="48">
        <v>92521</v>
      </c>
      <c r="B256" s="49" t="s">
        <v>2226</v>
      </c>
      <c r="C256" s="235">
        <v>8.6799999999999996E-5</v>
      </c>
      <c r="D256" s="235">
        <v>8.6899999999999998E-5</v>
      </c>
      <c r="E256" s="194">
        <v>205919</v>
      </c>
      <c r="F256" s="194" t="s">
        <v>1930</v>
      </c>
      <c r="G256" s="233">
        <v>31768</v>
      </c>
      <c r="H256" s="221">
        <v>28267</v>
      </c>
      <c r="I256" s="233">
        <v>54643</v>
      </c>
      <c r="J256" s="232">
        <v>1428</v>
      </c>
      <c r="K256" s="88">
        <f t="shared" si="6"/>
        <v>116106</v>
      </c>
      <c r="L256" s="50"/>
      <c r="M256" s="233">
        <v>1066</v>
      </c>
      <c r="N256" s="233">
        <v>0</v>
      </c>
      <c r="O256" s="232">
        <v>8085</v>
      </c>
      <c r="P256" s="88">
        <f t="shared" si="7"/>
        <v>9151</v>
      </c>
      <c r="Q256" s="50"/>
      <c r="R256" s="233">
        <v>57199</v>
      </c>
      <c r="S256" s="232">
        <v>-2979</v>
      </c>
      <c r="T256" s="234">
        <v>54220</v>
      </c>
    </row>
    <row r="257" spans="1:20">
      <c r="A257" s="48">
        <v>92531</v>
      </c>
      <c r="B257" s="49" t="s">
        <v>963</v>
      </c>
      <c r="C257" s="235">
        <v>8.4360000000000001E-4</v>
      </c>
      <c r="D257" s="235">
        <v>8.6490000000000004E-4</v>
      </c>
      <c r="E257" s="195">
        <v>2001308</v>
      </c>
      <c r="F257" s="195" t="s">
        <v>1930</v>
      </c>
      <c r="G257" s="233">
        <v>308754</v>
      </c>
      <c r="H257" s="221">
        <v>274720</v>
      </c>
      <c r="I257" s="233">
        <v>531070</v>
      </c>
      <c r="J257" s="232">
        <v>0</v>
      </c>
      <c r="K257" s="88">
        <f t="shared" si="6"/>
        <v>1114544</v>
      </c>
      <c r="L257" s="50"/>
      <c r="M257" s="233">
        <v>10360</v>
      </c>
      <c r="N257" s="233">
        <v>0</v>
      </c>
      <c r="O257" s="232">
        <v>111598</v>
      </c>
      <c r="P257" s="88">
        <f t="shared" si="7"/>
        <v>121958</v>
      </c>
      <c r="Q257" s="50"/>
      <c r="R257" s="233">
        <v>555910</v>
      </c>
      <c r="S257" s="232">
        <v>-73390</v>
      </c>
      <c r="T257" s="234">
        <v>482520</v>
      </c>
    </row>
    <row r="258" spans="1:20">
      <c r="A258" s="48">
        <v>92541</v>
      </c>
      <c r="B258" s="49" t="s">
        <v>2227</v>
      </c>
      <c r="C258" s="235">
        <v>1.2459999999999999E-4</v>
      </c>
      <c r="D258" s="235">
        <v>1.4469999999999999E-4</v>
      </c>
      <c r="E258" s="195">
        <v>295594</v>
      </c>
      <c r="F258" s="195" t="s">
        <v>1930</v>
      </c>
      <c r="G258" s="233">
        <v>45603</v>
      </c>
      <c r="H258" s="221">
        <v>40576</v>
      </c>
      <c r="I258" s="233">
        <v>78439</v>
      </c>
      <c r="J258" s="232">
        <v>2741</v>
      </c>
      <c r="K258" s="88">
        <f t="shared" si="6"/>
        <v>167359</v>
      </c>
      <c r="L258" s="50"/>
      <c r="M258" s="233">
        <v>1530</v>
      </c>
      <c r="N258" s="233">
        <v>0</v>
      </c>
      <c r="O258" s="232">
        <v>19775</v>
      </c>
      <c r="P258" s="88">
        <f t="shared" si="7"/>
        <v>21305</v>
      </c>
      <c r="Q258" s="50"/>
      <c r="R258" s="233">
        <v>82108</v>
      </c>
      <c r="S258" s="232">
        <v>-1772</v>
      </c>
      <c r="T258" s="234">
        <v>80336</v>
      </c>
    </row>
    <row r="259" spans="1:20">
      <c r="A259" s="48">
        <v>92551</v>
      </c>
      <c r="B259" s="49" t="s">
        <v>2228</v>
      </c>
      <c r="C259" s="235">
        <v>4.3399999999999998E-5</v>
      </c>
      <c r="D259" s="235">
        <v>5.3300000000000001E-5</v>
      </c>
      <c r="E259" s="195">
        <v>102960</v>
      </c>
      <c r="F259" s="195" t="s">
        <v>1930</v>
      </c>
      <c r="G259" s="233">
        <v>15884</v>
      </c>
      <c r="H259" s="221">
        <v>14134</v>
      </c>
      <c r="I259" s="233">
        <v>27322</v>
      </c>
      <c r="J259" s="232">
        <v>3097</v>
      </c>
      <c r="K259" s="88">
        <f t="shared" si="6"/>
        <v>60437</v>
      </c>
      <c r="L259" s="50"/>
      <c r="M259" s="233">
        <v>533</v>
      </c>
      <c r="N259" s="233">
        <v>0</v>
      </c>
      <c r="O259" s="232">
        <v>11920</v>
      </c>
      <c r="P259" s="88">
        <f t="shared" si="7"/>
        <v>12453</v>
      </c>
      <c r="Q259" s="50"/>
      <c r="R259" s="233">
        <v>28599</v>
      </c>
      <c r="S259" s="232">
        <v>-841</v>
      </c>
      <c r="T259" s="234">
        <v>27758</v>
      </c>
    </row>
    <row r="260" spans="1:20">
      <c r="A260" s="48">
        <v>92561</v>
      </c>
      <c r="B260" s="49" t="s">
        <v>2229</v>
      </c>
      <c r="C260" s="235">
        <v>2.1399999999999998E-5</v>
      </c>
      <c r="D260" s="235">
        <v>2.2200000000000001E-5</v>
      </c>
      <c r="E260" s="195">
        <v>50768</v>
      </c>
      <c r="F260" s="195" t="s">
        <v>1930</v>
      </c>
      <c r="G260" s="233">
        <v>7832</v>
      </c>
      <c r="H260" s="221">
        <v>6969</v>
      </c>
      <c r="I260" s="233">
        <v>13472</v>
      </c>
      <c r="J260" s="232">
        <v>2739</v>
      </c>
      <c r="K260" s="88">
        <f t="shared" si="6"/>
        <v>31012</v>
      </c>
      <c r="L260" s="50"/>
      <c r="M260" s="233">
        <v>263</v>
      </c>
      <c r="N260" s="233">
        <v>0</v>
      </c>
      <c r="O260" s="232">
        <v>135</v>
      </c>
      <c r="P260" s="88">
        <f t="shared" si="7"/>
        <v>398</v>
      </c>
      <c r="Q260" s="50"/>
      <c r="R260" s="233">
        <v>14102</v>
      </c>
      <c r="S260" s="232">
        <v>2596</v>
      </c>
      <c r="T260" s="234">
        <v>16698</v>
      </c>
    </row>
    <row r="261" spans="1:20">
      <c r="A261" s="48">
        <v>92571</v>
      </c>
      <c r="B261" s="49" t="s">
        <v>2230</v>
      </c>
      <c r="C261" s="235">
        <v>8.1000000000000004E-6</v>
      </c>
      <c r="D261" s="235">
        <v>1.01E-5</v>
      </c>
      <c r="E261" s="195">
        <v>19216</v>
      </c>
      <c r="F261" s="195" t="s">
        <v>1930</v>
      </c>
      <c r="G261" s="233">
        <v>2965</v>
      </c>
      <c r="H261" s="221">
        <v>2638</v>
      </c>
      <c r="I261" s="233">
        <v>5099</v>
      </c>
      <c r="J261" s="232">
        <v>7660</v>
      </c>
      <c r="K261" s="88">
        <f t="shared" si="6"/>
        <v>18362</v>
      </c>
      <c r="L261" s="50"/>
      <c r="M261" s="233">
        <v>99</v>
      </c>
      <c r="N261" s="233">
        <v>0</v>
      </c>
      <c r="O261" s="232">
        <v>0</v>
      </c>
      <c r="P261" s="88">
        <f t="shared" si="7"/>
        <v>99</v>
      </c>
      <c r="Q261" s="50"/>
      <c r="R261" s="233">
        <v>5338</v>
      </c>
      <c r="S261" s="232">
        <v>2958</v>
      </c>
      <c r="T261" s="234">
        <v>8296</v>
      </c>
    </row>
    <row r="262" spans="1:20">
      <c r="A262" s="48">
        <v>92601</v>
      </c>
      <c r="B262" s="49" t="s">
        <v>968</v>
      </c>
      <c r="C262" s="235">
        <v>1.34308E-2</v>
      </c>
      <c r="D262" s="235">
        <v>1.51874E-2</v>
      </c>
      <c r="E262" s="195">
        <v>31862451</v>
      </c>
      <c r="F262" s="195" t="s">
        <v>1930</v>
      </c>
      <c r="G262" s="233">
        <v>4915619</v>
      </c>
      <c r="H262" s="221">
        <v>4373767</v>
      </c>
      <c r="I262" s="233">
        <v>8455065</v>
      </c>
      <c r="J262" s="232">
        <v>12367</v>
      </c>
      <c r="K262" s="88">
        <f t="shared" si="6"/>
        <v>17756818</v>
      </c>
      <c r="L262" s="50"/>
      <c r="M262" s="233">
        <v>164944</v>
      </c>
      <c r="N262" s="233">
        <v>0</v>
      </c>
      <c r="O262" s="232">
        <v>1190672</v>
      </c>
      <c r="P262" s="88">
        <f t="shared" si="7"/>
        <v>1355616</v>
      </c>
      <c r="Q262" s="50"/>
      <c r="R262" s="233">
        <v>8850535</v>
      </c>
      <c r="S262" s="232">
        <v>-178107</v>
      </c>
      <c r="T262" s="234">
        <v>8672428</v>
      </c>
    </row>
    <row r="263" spans="1:20">
      <c r="A263" s="48">
        <v>92602</v>
      </c>
      <c r="B263" s="49" t="s">
        <v>969</v>
      </c>
      <c r="C263" s="235">
        <v>6.3999999999999997E-6</v>
      </c>
      <c r="D263" s="235">
        <v>8.3000000000000002E-6</v>
      </c>
      <c r="E263" s="195">
        <v>15183</v>
      </c>
      <c r="F263" s="195" t="s">
        <v>1930</v>
      </c>
      <c r="G263" s="233">
        <v>2342</v>
      </c>
      <c r="H263" s="221">
        <v>2084</v>
      </c>
      <c r="I263" s="233">
        <v>4029</v>
      </c>
      <c r="J263" s="232">
        <v>0</v>
      </c>
      <c r="K263" s="88">
        <f t="shared" si="6"/>
        <v>8455</v>
      </c>
      <c r="L263" s="50"/>
      <c r="M263" s="233">
        <v>79</v>
      </c>
      <c r="N263" s="233">
        <v>0</v>
      </c>
      <c r="O263" s="232">
        <v>2377</v>
      </c>
      <c r="P263" s="88">
        <f t="shared" si="7"/>
        <v>2456</v>
      </c>
      <c r="Q263" s="50"/>
      <c r="R263" s="233">
        <v>4217</v>
      </c>
      <c r="S263" s="232">
        <v>-578</v>
      </c>
      <c r="T263" s="234">
        <v>3639</v>
      </c>
    </row>
    <row r="264" spans="1:20">
      <c r="A264" s="48">
        <v>92604</v>
      </c>
      <c r="B264" s="49" t="s">
        <v>970</v>
      </c>
      <c r="C264" s="235">
        <v>3.3560000000000003E-4</v>
      </c>
      <c r="D264" s="235">
        <v>3.4099999999999999E-4</v>
      </c>
      <c r="E264" s="195">
        <v>796158</v>
      </c>
      <c r="F264" s="195" t="s">
        <v>1930</v>
      </c>
      <c r="G264" s="233">
        <v>122828</v>
      </c>
      <c r="H264" s="221">
        <v>109289</v>
      </c>
      <c r="I264" s="233">
        <v>211270</v>
      </c>
      <c r="J264" s="232">
        <v>48811</v>
      </c>
      <c r="K264" s="88">
        <f t="shared" si="6"/>
        <v>492198</v>
      </c>
      <c r="L264" s="50"/>
      <c r="M264" s="233">
        <v>4122</v>
      </c>
      <c r="N264" s="233">
        <v>0</v>
      </c>
      <c r="O264" s="232">
        <v>0</v>
      </c>
      <c r="P264" s="88">
        <f t="shared" si="7"/>
        <v>4122</v>
      </c>
      <c r="Q264" s="50"/>
      <c r="R264" s="233">
        <v>221151</v>
      </c>
      <c r="S264" s="232">
        <v>28864</v>
      </c>
      <c r="T264" s="234">
        <v>250015</v>
      </c>
    </row>
    <row r="265" spans="1:20">
      <c r="A265" s="48">
        <v>92607</v>
      </c>
      <c r="B265" s="49" t="s">
        <v>971</v>
      </c>
      <c r="C265" s="235">
        <v>6.1699999999999995E-5</v>
      </c>
      <c r="D265" s="235">
        <v>6.6400000000000001E-5</v>
      </c>
      <c r="E265" s="195">
        <v>146374</v>
      </c>
      <c r="F265" s="195" t="s">
        <v>1930</v>
      </c>
      <c r="G265" s="233">
        <v>22582</v>
      </c>
      <c r="H265" s="221">
        <v>20093</v>
      </c>
      <c r="I265" s="233">
        <v>38842</v>
      </c>
      <c r="J265" s="232">
        <v>9704</v>
      </c>
      <c r="K265" s="88">
        <f t="shared" si="6"/>
        <v>91221</v>
      </c>
      <c r="L265" s="50"/>
      <c r="M265" s="233">
        <v>758</v>
      </c>
      <c r="N265" s="233">
        <v>0</v>
      </c>
      <c r="O265" s="232">
        <v>0</v>
      </c>
      <c r="P265" s="88">
        <f t="shared" si="7"/>
        <v>758</v>
      </c>
      <c r="Q265" s="50"/>
      <c r="R265" s="233">
        <v>40659</v>
      </c>
      <c r="S265" s="232">
        <v>6018</v>
      </c>
      <c r="T265" s="234">
        <v>46677</v>
      </c>
    </row>
    <row r="266" spans="1:20">
      <c r="A266" s="48">
        <v>92608</v>
      </c>
      <c r="B266" s="49" t="s">
        <v>972</v>
      </c>
      <c r="C266" s="235">
        <v>0</v>
      </c>
      <c r="D266" s="235">
        <v>0</v>
      </c>
      <c r="E266" s="195">
        <v>0</v>
      </c>
      <c r="F266" s="195" t="s">
        <v>1930</v>
      </c>
      <c r="G266" s="233">
        <v>0</v>
      </c>
      <c r="H266" s="221">
        <v>0</v>
      </c>
      <c r="I266" s="233">
        <v>0</v>
      </c>
      <c r="J266" s="232">
        <v>0</v>
      </c>
      <c r="K266" s="88">
        <f t="shared" si="6"/>
        <v>0</v>
      </c>
      <c r="L266" s="50"/>
      <c r="M266" s="233">
        <v>0</v>
      </c>
      <c r="N266" s="233">
        <v>0</v>
      </c>
      <c r="O266" s="232">
        <v>752</v>
      </c>
      <c r="P266" s="88">
        <f t="shared" si="7"/>
        <v>752</v>
      </c>
      <c r="Q266" s="50"/>
      <c r="R266" s="233">
        <v>0</v>
      </c>
      <c r="S266" s="232">
        <v>-69182</v>
      </c>
      <c r="T266" s="234">
        <v>-69182</v>
      </c>
    </row>
    <row r="267" spans="1:20">
      <c r="A267" s="48">
        <v>92611</v>
      </c>
      <c r="B267" s="49" t="s">
        <v>973</v>
      </c>
      <c r="C267" s="235">
        <v>1.26649E-2</v>
      </c>
      <c r="D267" s="235">
        <v>1.3080899999999999E-2</v>
      </c>
      <c r="E267" s="195">
        <v>30045474</v>
      </c>
      <c r="F267" s="195" t="s">
        <v>1930</v>
      </c>
      <c r="G267" s="233">
        <v>4635303</v>
      </c>
      <c r="H267" s="221">
        <v>4124350</v>
      </c>
      <c r="I267" s="233">
        <v>7972909</v>
      </c>
      <c r="J267" s="232">
        <v>0</v>
      </c>
      <c r="K267" s="88">
        <f t="shared" si="6"/>
        <v>16732562</v>
      </c>
      <c r="L267" s="50"/>
      <c r="M267" s="233">
        <v>155538</v>
      </c>
      <c r="N267" s="233">
        <v>0</v>
      </c>
      <c r="O267" s="232">
        <v>1208188</v>
      </c>
      <c r="P267" s="88">
        <f t="shared" si="7"/>
        <v>1363726</v>
      </c>
      <c r="Q267" s="50"/>
      <c r="R267" s="233">
        <v>8345827</v>
      </c>
      <c r="S267" s="232">
        <v>-451976</v>
      </c>
      <c r="T267" s="234">
        <v>7893851</v>
      </c>
    </row>
    <row r="268" spans="1:20">
      <c r="A268" s="48">
        <v>92613</v>
      </c>
      <c r="B268" s="49" t="s">
        <v>2761</v>
      </c>
      <c r="C268" s="235">
        <v>2.3599999999999999E-4</v>
      </c>
      <c r="D268" s="235">
        <v>2.6439999999999998E-4</v>
      </c>
      <c r="E268" s="195">
        <v>559873</v>
      </c>
      <c r="F268" s="195" t="s">
        <v>1930</v>
      </c>
      <c r="G268" s="233">
        <v>86375</v>
      </c>
      <c r="H268" s="221">
        <v>76854</v>
      </c>
      <c r="I268" s="233">
        <v>148569</v>
      </c>
      <c r="J268" s="232">
        <v>42032</v>
      </c>
      <c r="K268" s="88">
        <f t="shared" si="6"/>
        <v>353830</v>
      </c>
      <c r="L268" s="50"/>
      <c r="M268" s="233">
        <v>2898</v>
      </c>
      <c r="N268" s="233">
        <v>0</v>
      </c>
      <c r="O268" s="232">
        <v>1086</v>
      </c>
      <c r="P268" s="88">
        <f t="shared" si="7"/>
        <v>3984</v>
      </c>
      <c r="Q268" s="50"/>
      <c r="R268" s="233">
        <v>155518</v>
      </c>
      <c r="S268" s="232">
        <v>41245</v>
      </c>
      <c r="T268" s="234">
        <v>196763</v>
      </c>
    </row>
    <row r="269" spans="1:20">
      <c r="A269" s="48">
        <v>92614</v>
      </c>
      <c r="B269" s="49" t="s">
        <v>975</v>
      </c>
      <c r="C269" s="235">
        <v>5.5757000000000003E-3</v>
      </c>
      <c r="D269" s="235">
        <v>5.7273000000000003E-3</v>
      </c>
      <c r="E269" s="195">
        <v>13227467</v>
      </c>
      <c r="F269" s="195" t="s">
        <v>1930</v>
      </c>
      <c r="G269" s="233">
        <v>2040684</v>
      </c>
      <c r="H269" s="221">
        <v>1815737</v>
      </c>
      <c r="I269" s="233">
        <v>3510059</v>
      </c>
      <c r="J269" s="232">
        <v>4152143</v>
      </c>
      <c r="K269" s="88">
        <f t="shared" si="6"/>
        <v>11518623</v>
      </c>
      <c r="L269" s="50"/>
      <c r="M269" s="233">
        <v>68475</v>
      </c>
      <c r="N269" s="233">
        <v>0</v>
      </c>
      <c r="O269" s="232">
        <v>0</v>
      </c>
      <c r="P269" s="88">
        <f t="shared" si="7"/>
        <v>68475</v>
      </c>
      <c r="Q269" s="50"/>
      <c r="R269" s="233">
        <v>3674236</v>
      </c>
      <c r="S269" s="232">
        <v>1829865</v>
      </c>
      <c r="T269" s="234">
        <v>5504101</v>
      </c>
    </row>
    <row r="270" spans="1:20">
      <c r="A270" s="48">
        <v>92621</v>
      </c>
      <c r="B270" s="49" t="s">
        <v>2231</v>
      </c>
      <c r="C270" s="235">
        <v>2.4600000000000002E-5</v>
      </c>
      <c r="D270" s="235">
        <v>2.72E-5</v>
      </c>
      <c r="E270" s="195">
        <v>58360</v>
      </c>
      <c r="F270" s="195" t="s">
        <v>1930</v>
      </c>
      <c r="G270" s="233">
        <v>9004</v>
      </c>
      <c r="H270" s="221">
        <v>8011</v>
      </c>
      <c r="I270" s="233">
        <v>15486</v>
      </c>
      <c r="J270" s="232">
        <v>393</v>
      </c>
      <c r="K270" s="88">
        <f t="shared" si="6"/>
        <v>32894</v>
      </c>
      <c r="L270" s="50"/>
      <c r="M270" s="233">
        <v>302</v>
      </c>
      <c r="N270" s="233">
        <v>0</v>
      </c>
      <c r="O270" s="232">
        <v>4712</v>
      </c>
      <c r="P270" s="88">
        <f t="shared" si="7"/>
        <v>5014</v>
      </c>
      <c r="Q270" s="50"/>
      <c r="R270" s="233">
        <v>16211</v>
      </c>
      <c r="S270" s="232">
        <v>-2140</v>
      </c>
      <c r="T270" s="234">
        <v>14071</v>
      </c>
    </row>
    <row r="271" spans="1:20">
      <c r="A271" s="48">
        <v>92631</v>
      </c>
      <c r="B271" s="49" t="s">
        <v>2232</v>
      </c>
      <c r="C271" s="235">
        <v>9.0030000000000004E-4</v>
      </c>
      <c r="D271" s="235">
        <v>9.2710000000000004E-4</v>
      </c>
      <c r="E271" s="195">
        <v>2135820</v>
      </c>
      <c r="F271" s="195" t="s">
        <v>1930</v>
      </c>
      <c r="G271" s="233">
        <v>329506</v>
      </c>
      <c r="H271" s="221">
        <v>293184</v>
      </c>
      <c r="I271" s="233">
        <v>566764</v>
      </c>
      <c r="J271" s="232">
        <v>0</v>
      </c>
      <c r="K271" s="88">
        <f t="shared" si="6"/>
        <v>1189454</v>
      </c>
      <c r="L271" s="50"/>
      <c r="M271" s="233">
        <v>11057</v>
      </c>
      <c r="N271" s="233">
        <v>0</v>
      </c>
      <c r="O271" s="232">
        <v>135840</v>
      </c>
      <c r="P271" s="88">
        <f t="shared" si="7"/>
        <v>146897</v>
      </c>
      <c r="Q271" s="50"/>
      <c r="R271" s="233">
        <v>593273</v>
      </c>
      <c r="S271" s="232">
        <v>-59375</v>
      </c>
      <c r="T271" s="234">
        <v>533898</v>
      </c>
    </row>
    <row r="272" spans="1:20">
      <c r="A272" s="48">
        <v>92641</v>
      </c>
      <c r="B272" s="49" t="s">
        <v>2233</v>
      </c>
      <c r="C272" s="235">
        <v>9.7000000000000003E-6</v>
      </c>
      <c r="D272" s="235">
        <v>1.0200000000000001E-5</v>
      </c>
      <c r="E272" s="195">
        <v>23012</v>
      </c>
      <c r="F272" s="195" t="s">
        <v>1930</v>
      </c>
      <c r="G272" s="233">
        <v>3550</v>
      </c>
      <c r="H272" s="221">
        <v>3159</v>
      </c>
      <c r="I272" s="233">
        <v>6106</v>
      </c>
      <c r="J272" s="232">
        <v>2866</v>
      </c>
      <c r="K272" s="88">
        <f t="shared" ref="K272:K335" si="15">G272+H272+I272+J272</f>
        <v>15681</v>
      </c>
      <c r="L272" s="50"/>
      <c r="M272" s="233">
        <v>119</v>
      </c>
      <c r="N272" s="233">
        <v>0</v>
      </c>
      <c r="O272" s="232">
        <v>0</v>
      </c>
      <c r="P272" s="88">
        <f t="shared" ref="P272:P335" si="16">M272+N272+O272</f>
        <v>119</v>
      </c>
      <c r="Q272" s="50"/>
      <c r="R272" s="233">
        <v>6392</v>
      </c>
      <c r="S272" s="232">
        <v>543</v>
      </c>
      <c r="T272" s="234">
        <v>6935</v>
      </c>
    </row>
    <row r="273" spans="1:20">
      <c r="A273" s="48">
        <v>92651</v>
      </c>
      <c r="B273" s="49" t="s">
        <v>2234</v>
      </c>
      <c r="C273" s="235">
        <v>4.4000000000000002E-6</v>
      </c>
      <c r="D273" s="235">
        <v>2.6000000000000001E-6</v>
      </c>
      <c r="E273" s="195">
        <v>10438</v>
      </c>
      <c r="F273" s="195" t="s">
        <v>1930</v>
      </c>
      <c r="G273" s="233">
        <v>1610</v>
      </c>
      <c r="H273" s="221">
        <v>1433</v>
      </c>
      <c r="I273" s="233">
        <v>2770</v>
      </c>
      <c r="J273" s="232">
        <v>3690</v>
      </c>
      <c r="K273" s="88">
        <f t="shared" si="15"/>
        <v>9503</v>
      </c>
      <c r="L273" s="50"/>
      <c r="M273" s="233">
        <v>54</v>
      </c>
      <c r="N273" s="233">
        <v>0</v>
      </c>
      <c r="O273" s="232">
        <v>0</v>
      </c>
      <c r="P273" s="88">
        <f t="shared" si="16"/>
        <v>54</v>
      </c>
      <c r="Q273" s="50"/>
      <c r="R273" s="233">
        <v>2899</v>
      </c>
      <c r="S273" s="232">
        <v>1740</v>
      </c>
      <c r="T273" s="234">
        <v>4639</v>
      </c>
    </row>
    <row r="274" spans="1:20">
      <c r="A274" s="48">
        <v>92661</v>
      </c>
      <c r="B274" s="49" t="s">
        <v>2235</v>
      </c>
      <c r="C274" s="235">
        <v>6.334E-4</v>
      </c>
      <c r="D274" s="235">
        <v>6.9999999999999999E-4</v>
      </c>
      <c r="E274" s="195">
        <v>1502641</v>
      </c>
      <c r="F274" s="195" t="s">
        <v>1930</v>
      </c>
      <c r="G274" s="233">
        <v>231822</v>
      </c>
      <c r="H274" s="221">
        <v>206268</v>
      </c>
      <c r="I274" s="233">
        <v>398743</v>
      </c>
      <c r="J274" s="232">
        <v>441125</v>
      </c>
      <c r="K274" s="88">
        <f t="shared" si="15"/>
        <v>1277958</v>
      </c>
      <c r="L274" s="50"/>
      <c r="M274" s="233">
        <v>7779</v>
      </c>
      <c r="N274" s="233">
        <v>0</v>
      </c>
      <c r="O274" s="232">
        <v>0</v>
      </c>
      <c r="P274" s="88">
        <f t="shared" si="16"/>
        <v>7779</v>
      </c>
      <c r="Q274" s="50"/>
      <c r="R274" s="233">
        <v>417393</v>
      </c>
      <c r="S274" s="232">
        <v>165863</v>
      </c>
      <c r="T274" s="234">
        <v>583256</v>
      </c>
    </row>
    <row r="275" spans="1:20">
      <c r="A275" s="48">
        <v>92671</v>
      </c>
      <c r="B275" s="49" t="s">
        <v>2236</v>
      </c>
      <c r="C275" s="235">
        <v>2.3999999999999999E-6</v>
      </c>
      <c r="D275" s="235">
        <v>2.6000000000000001E-6</v>
      </c>
      <c r="E275" s="195">
        <v>5694</v>
      </c>
      <c r="F275" s="195" t="s">
        <v>1930</v>
      </c>
      <c r="G275" s="233">
        <v>878</v>
      </c>
      <c r="H275" s="221">
        <v>781</v>
      </c>
      <c r="I275" s="233">
        <v>1511</v>
      </c>
      <c r="J275" s="232">
        <v>7284</v>
      </c>
      <c r="K275" s="88">
        <f t="shared" si="15"/>
        <v>10454</v>
      </c>
      <c r="L275" s="50"/>
      <c r="M275" s="233">
        <v>29</v>
      </c>
      <c r="N275" s="233">
        <v>0</v>
      </c>
      <c r="O275" s="232">
        <v>0</v>
      </c>
      <c r="P275" s="88">
        <f t="shared" si="16"/>
        <v>29</v>
      </c>
      <c r="Q275" s="50"/>
      <c r="R275" s="233">
        <v>1582</v>
      </c>
      <c r="S275" s="232">
        <v>3016</v>
      </c>
      <c r="T275" s="234">
        <v>4598</v>
      </c>
    </row>
    <row r="276" spans="1:20">
      <c r="A276" s="48">
        <v>92681</v>
      </c>
      <c r="B276" s="49" t="s">
        <v>2237</v>
      </c>
      <c r="C276" s="235">
        <v>1.1800000000000001E-5</v>
      </c>
      <c r="D276" s="235">
        <v>1.17E-5</v>
      </c>
      <c r="E276" s="195">
        <v>27994</v>
      </c>
      <c r="F276" s="195" t="s">
        <v>1930</v>
      </c>
      <c r="G276" s="233">
        <v>4319</v>
      </c>
      <c r="H276" s="221">
        <v>3843</v>
      </c>
      <c r="I276" s="233">
        <v>7428</v>
      </c>
      <c r="J276" s="232">
        <v>13847</v>
      </c>
      <c r="K276" s="88">
        <f t="shared" si="15"/>
        <v>29437</v>
      </c>
      <c r="L276" s="50"/>
      <c r="M276" s="233">
        <v>145</v>
      </c>
      <c r="N276" s="233">
        <v>0</v>
      </c>
      <c r="O276" s="232">
        <v>0</v>
      </c>
      <c r="P276" s="88">
        <f t="shared" si="16"/>
        <v>145</v>
      </c>
      <c r="Q276" s="50"/>
      <c r="R276" s="233">
        <v>7776</v>
      </c>
      <c r="S276" s="232">
        <v>6248</v>
      </c>
      <c r="T276" s="234">
        <v>14024</v>
      </c>
    </row>
    <row r="277" spans="1:20">
      <c r="A277" s="48">
        <v>92701</v>
      </c>
      <c r="B277" s="49" t="s">
        <v>983</v>
      </c>
      <c r="C277" s="235">
        <v>2.8871000000000001E-3</v>
      </c>
      <c r="D277" s="235">
        <v>3.0777000000000001E-3</v>
      </c>
      <c r="E277" s="195">
        <v>6849189</v>
      </c>
      <c r="F277" s="195" t="s">
        <v>1930</v>
      </c>
      <c r="G277" s="233">
        <v>1056667</v>
      </c>
      <c r="H277" s="221">
        <v>940190</v>
      </c>
      <c r="I277" s="233">
        <v>1817510</v>
      </c>
      <c r="J277" s="232">
        <v>35473</v>
      </c>
      <c r="K277" s="88">
        <f t="shared" si="15"/>
        <v>3849840</v>
      </c>
      <c r="L277" s="50"/>
      <c r="M277" s="233">
        <v>35456</v>
      </c>
      <c r="N277" s="233">
        <v>0</v>
      </c>
      <c r="O277" s="232">
        <v>155267</v>
      </c>
      <c r="P277" s="88">
        <f t="shared" si="16"/>
        <v>190723</v>
      </c>
      <c r="Q277" s="50"/>
      <c r="R277" s="233">
        <v>1902521</v>
      </c>
      <c r="S277" s="232">
        <v>-62476</v>
      </c>
      <c r="T277" s="234">
        <v>1840045</v>
      </c>
    </row>
    <row r="278" spans="1:20">
      <c r="A278" s="48">
        <v>92704</v>
      </c>
      <c r="B278" s="49" t="s">
        <v>984</v>
      </c>
      <c r="C278" s="235">
        <v>3.9400000000000002E-5</v>
      </c>
      <c r="D278" s="235">
        <v>4.1600000000000002E-5</v>
      </c>
      <c r="E278" s="195">
        <v>93470</v>
      </c>
      <c r="F278" s="195" t="s">
        <v>1930</v>
      </c>
      <c r="G278" s="233">
        <v>14420</v>
      </c>
      <c r="H278" s="221">
        <v>12831</v>
      </c>
      <c r="I278" s="233">
        <v>24803</v>
      </c>
      <c r="J278" s="232">
        <v>703</v>
      </c>
      <c r="K278" s="88">
        <f t="shared" si="15"/>
        <v>52757</v>
      </c>
      <c r="L278" s="50"/>
      <c r="M278" s="233">
        <v>484</v>
      </c>
      <c r="N278" s="233">
        <v>0</v>
      </c>
      <c r="O278" s="232">
        <v>5422</v>
      </c>
      <c r="P278" s="88">
        <f t="shared" si="16"/>
        <v>5906</v>
      </c>
      <c r="Q278" s="50"/>
      <c r="R278" s="233">
        <v>25964</v>
      </c>
      <c r="S278" s="232">
        <v>-1035</v>
      </c>
      <c r="T278" s="234">
        <v>24929</v>
      </c>
    </row>
    <row r="279" spans="1:20">
      <c r="A279" s="48">
        <v>92801</v>
      </c>
      <c r="B279" s="49" t="s">
        <v>985</v>
      </c>
      <c r="C279" s="235">
        <v>5.2335999999999997E-3</v>
      </c>
      <c r="D279" s="235">
        <v>5.0951E-3</v>
      </c>
      <c r="E279" s="195">
        <v>12415889</v>
      </c>
      <c r="F279" s="195" t="s">
        <v>1930</v>
      </c>
      <c r="G279" s="233">
        <v>1915477</v>
      </c>
      <c r="H279" s="221">
        <v>1704333</v>
      </c>
      <c r="I279" s="233">
        <v>3294698</v>
      </c>
      <c r="J279" s="232">
        <v>237901</v>
      </c>
      <c r="K279" s="88">
        <f t="shared" si="15"/>
        <v>7152409</v>
      </c>
      <c r="L279" s="50"/>
      <c r="M279" s="233">
        <v>64274</v>
      </c>
      <c r="N279" s="233">
        <v>0</v>
      </c>
      <c r="O279" s="232">
        <v>0</v>
      </c>
      <c r="P279" s="88">
        <f t="shared" si="16"/>
        <v>64274</v>
      </c>
      <c r="Q279" s="50"/>
      <c r="R279" s="233">
        <v>3448801</v>
      </c>
      <c r="S279" s="232">
        <v>122866</v>
      </c>
      <c r="T279" s="234">
        <v>3571667</v>
      </c>
    </row>
    <row r="280" spans="1:20">
      <c r="A280" s="48">
        <v>92802</v>
      </c>
      <c r="B280" s="49" t="s">
        <v>986</v>
      </c>
      <c r="C280" s="235">
        <v>1.2799999999999999E-4</v>
      </c>
      <c r="D280" s="235">
        <v>1.2970000000000001E-4</v>
      </c>
      <c r="E280" s="195">
        <v>303660</v>
      </c>
      <c r="F280" s="195" t="s">
        <v>1930</v>
      </c>
      <c r="G280" s="233">
        <v>46847</v>
      </c>
      <c r="H280" s="221">
        <v>41684</v>
      </c>
      <c r="I280" s="233">
        <v>80580</v>
      </c>
      <c r="J280" s="232">
        <v>0</v>
      </c>
      <c r="K280" s="88">
        <f t="shared" si="15"/>
        <v>169111</v>
      </c>
      <c r="L280" s="50"/>
      <c r="M280" s="233">
        <v>1572</v>
      </c>
      <c r="N280" s="233">
        <v>0</v>
      </c>
      <c r="O280" s="232">
        <v>15754</v>
      </c>
      <c r="P280" s="88">
        <f t="shared" si="16"/>
        <v>17326</v>
      </c>
      <c r="Q280" s="50"/>
      <c r="R280" s="233">
        <v>84349</v>
      </c>
      <c r="S280" s="232">
        <v>-8217</v>
      </c>
      <c r="T280" s="234">
        <v>76132</v>
      </c>
    </row>
    <row r="281" spans="1:20">
      <c r="A281" s="48">
        <v>92804</v>
      </c>
      <c r="B281" s="49" t="s">
        <v>987</v>
      </c>
      <c r="C281" s="235">
        <v>1.4990000000000001E-4</v>
      </c>
      <c r="D281" s="235">
        <v>1.36E-4</v>
      </c>
      <c r="E281" s="195">
        <v>355614</v>
      </c>
      <c r="F281" s="195" t="s">
        <v>1930</v>
      </c>
      <c r="G281" s="233">
        <v>54863</v>
      </c>
      <c r="H281" s="221">
        <v>48815</v>
      </c>
      <c r="I281" s="233">
        <v>94366</v>
      </c>
      <c r="J281" s="232">
        <v>9289</v>
      </c>
      <c r="K281" s="88">
        <f t="shared" si="15"/>
        <v>207333</v>
      </c>
      <c r="L281" s="50"/>
      <c r="M281" s="233">
        <v>1841</v>
      </c>
      <c r="N281" s="233">
        <v>0</v>
      </c>
      <c r="O281" s="232">
        <v>8327</v>
      </c>
      <c r="P281" s="88">
        <f t="shared" si="16"/>
        <v>10168</v>
      </c>
      <c r="Q281" s="50"/>
      <c r="R281" s="233">
        <v>98780</v>
      </c>
      <c r="S281" s="232">
        <v>967</v>
      </c>
      <c r="T281" s="234">
        <v>99747</v>
      </c>
    </row>
    <row r="282" spans="1:20">
      <c r="A282" s="48">
        <v>92811</v>
      </c>
      <c r="B282" s="49" t="s">
        <v>2238</v>
      </c>
      <c r="C282" s="235">
        <v>9.6909999999999997E-4</v>
      </c>
      <c r="D282" s="235">
        <v>1.0036000000000001E-3</v>
      </c>
      <c r="E282" s="195">
        <v>2299037</v>
      </c>
      <c r="F282" s="195" t="s">
        <v>1930</v>
      </c>
      <c r="G282" s="233">
        <v>354687</v>
      </c>
      <c r="H282" s="221">
        <v>315589</v>
      </c>
      <c r="I282" s="233">
        <v>610076</v>
      </c>
      <c r="J282" s="232">
        <v>0</v>
      </c>
      <c r="K282" s="88">
        <f t="shared" si="15"/>
        <v>1280352</v>
      </c>
      <c r="L282" s="50"/>
      <c r="M282" s="233">
        <v>11902</v>
      </c>
      <c r="N282" s="233">
        <v>0</v>
      </c>
      <c r="O282" s="232">
        <v>69119</v>
      </c>
      <c r="P282" s="88">
        <f t="shared" si="16"/>
        <v>81021</v>
      </c>
      <c r="Q282" s="50"/>
      <c r="R282" s="233">
        <v>638611</v>
      </c>
      <c r="S282" s="232">
        <v>-41669</v>
      </c>
      <c r="T282" s="234">
        <v>596942</v>
      </c>
    </row>
    <row r="283" spans="1:20">
      <c r="A283" s="48">
        <v>92821</v>
      </c>
      <c r="B283" s="49" t="s">
        <v>2239</v>
      </c>
      <c r="C283" s="235">
        <v>1.0001999999999999E-3</v>
      </c>
      <c r="D283" s="235">
        <v>9.9400000000000009E-4</v>
      </c>
      <c r="E283" s="195">
        <v>2372816</v>
      </c>
      <c r="F283" s="195" t="s">
        <v>1930</v>
      </c>
      <c r="G283" s="233">
        <v>366069</v>
      </c>
      <c r="H283" s="221">
        <v>325717</v>
      </c>
      <c r="I283" s="233">
        <v>629654</v>
      </c>
      <c r="J283" s="232">
        <v>28694</v>
      </c>
      <c r="K283" s="88">
        <f t="shared" si="15"/>
        <v>1350134</v>
      </c>
      <c r="L283" s="50"/>
      <c r="M283" s="233">
        <v>12283</v>
      </c>
      <c r="N283" s="233">
        <v>0</v>
      </c>
      <c r="O283" s="232">
        <v>0</v>
      </c>
      <c r="P283" s="88">
        <f t="shared" si="16"/>
        <v>12283</v>
      </c>
      <c r="Q283" s="50"/>
      <c r="R283" s="233">
        <v>659105</v>
      </c>
      <c r="S283" s="232">
        <v>14053</v>
      </c>
      <c r="T283" s="234">
        <v>673158</v>
      </c>
    </row>
    <row r="284" spans="1:20">
      <c r="A284" s="48">
        <v>92831</v>
      </c>
      <c r="B284" s="49" t="s">
        <v>2240</v>
      </c>
      <c r="C284" s="235">
        <v>2.3580000000000001E-4</v>
      </c>
      <c r="D284" s="235">
        <v>2.1829999999999999E-4</v>
      </c>
      <c r="E284" s="195">
        <v>559398</v>
      </c>
      <c r="F284" s="195" t="s">
        <v>1930</v>
      </c>
      <c r="G284" s="233">
        <v>86302</v>
      </c>
      <c r="H284" s="221">
        <v>76789</v>
      </c>
      <c r="I284" s="233">
        <v>148443</v>
      </c>
      <c r="J284" s="232">
        <v>36641</v>
      </c>
      <c r="K284" s="88">
        <f t="shared" si="15"/>
        <v>348175</v>
      </c>
      <c r="L284" s="50"/>
      <c r="M284" s="233">
        <v>2896</v>
      </c>
      <c r="N284" s="233">
        <v>0</v>
      </c>
      <c r="O284" s="232">
        <v>1618</v>
      </c>
      <c r="P284" s="88">
        <f t="shared" si="16"/>
        <v>4514</v>
      </c>
      <c r="Q284" s="50"/>
      <c r="R284" s="233">
        <v>155386</v>
      </c>
      <c r="S284" s="232">
        <v>16332</v>
      </c>
      <c r="T284" s="234">
        <v>171718</v>
      </c>
    </row>
    <row r="285" spans="1:20">
      <c r="A285" s="48">
        <v>92841</v>
      </c>
      <c r="B285" s="49" t="s">
        <v>2241</v>
      </c>
      <c r="C285" s="235">
        <v>2.5769999999999998E-4</v>
      </c>
      <c r="D285" s="235">
        <v>2.7809999999999998E-4</v>
      </c>
      <c r="E285" s="195">
        <v>611353</v>
      </c>
      <c r="F285" s="195" t="s">
        <v>1930</v>
      </c>
      <c r="G285" s="233">
        <v>94317</v>
      </c>
      <c r="H285" s="221">
        <v>83921</v>
      </c>
      <c r="I285" s="233">
        <v>162229</v>
      </c>
      <c r="J285" s="232">
        <v>0</v>
      </c>
      <c r="K285" s="88">
        <f t="shared" si="15"/>
        <v>340467</v>
      </c>
      <c r="L285" s="50"/>
      <c r="M285" s="233">
        <v>3165</v>
      </c>
      <c r="N285" s="233">
        <v>0</v>
      </c>
      <c r="O285" s="232">
        <v>24975</v>
      </c>
      <c r="P285" s="88">
        <f t="shared" si="16"/>
        <v>28140</v>
      </c>
      <c r="Q285" s="50"/>
      <c r="R285" s="233">
        <v>169817</v>
      </c>
      <c r="S285" s="232">
        <v>-1626</v>
      </c>
      <c r="T285" s="234">
        <v>168191</v>
      </c>
    </row>
    <row r="286" spans="1:20">
      <c r="A286" s="48">
        <v>92851</v>
      </c>
      <c r="B286" s="49" t="s">
        <v>2242</v>
      </c>
      <c r="C286" s="235">
        <v>4.3899999999999999E-4</v>
      </c>
      <c r="D286" s="235">
        <v>4.6079999999999998E-4</v>
      </c>
      <c r="E286" s="195">
        <v>1041458</v>
      </c>
      <c r="F286" s="195" t="s">
        <v>1930</v>
      </c>
      <c r="G286" s="233">
        <v>160672</v>
      </c>
      <c r="H286" s="221">
        <v>142961</v>
      </c>
      <c r="I286" s="233">
        <v>276363</v>
      </c>
      <c r="J286" s="232">
        <v>0</v>
      </c>
      <c r="K286" s="88">
        <f t="shared" si="15"/>
        <v>579996</v>
      </c>
      <c r="L286" s="50"/>
      <c r="M286" s="233">
        <v>5391</v>
      </c>
      <c r="N286" s="233">
        <v>0</v>
      </c>
      <c r="O286" s="232">
        <v>61052</v>
      </c>
      <c r="P286" s="88">
        <f t="shared" si="16"/>
        <v>66443</v>
      </c>
      <c r="Q286" s="50"/>
      <c r="R286" s="233">
        <v>289289</v>
      </c>
      <c r="S286" s="232">
        <v>-43806</v>
      </c>
      <c r="T286" s="234">
        <v>245483</v>
      </c>
    </row>
    <row r="287" spans="1:20">
      <c r="A287" s="48">
        <v>92861</v>
      </c>
      <c r="B287" s="49" t="s">
        <v>2243</v>
      </c>
      <c r="C287" s="235">
        <v>3.7629999999999999E-4</v>
      </c>
      <c r="D287" s="235">
        <v>3.6010000000000003E-4</v>
      </c>
      <c r="E287" s="195">
        <v>892712</v>
      </c>
      <c r="F287" s="195" t="s">
        <v>1930</v>
      </c>
      <c r="G287" s="233">
        <v>137724</v>
      </c>
      <c r="H287" s="221">
        <v>122543</v>
      </c>
      <c r="I287" s="233">
        <v>236891</v>
      </c>
      <c r="J287" s="232">
        <v>0</v>
      </c>
      <c r="K287" s="88">
        <f t="shared" si="15"/>
        <v>497158</v>
      </c>
      <c r="L287" s="50"/>
      <c r="M287" s="233">
        <v>4621</v>
      </c>
      <c r="N287" s="233">
        <v>0</v>
      </c>
      <c r="O287" s="232">
        <v>73406</v>
      </c>
      <c r="P287" s="88">
        <f t="shared" si="16"/>
        <v>78027</v>
      </c>
      <c r="Q287" s="50"/>
      <c r="R287" s="233">
        <v>247972</v>
      </c>
      <c r="S287" s="232">
        <v>-43591</v>
      </c>
      <c r="T287" s="234">
        <v>204381</v>
      </c>
    </row>
    <row r="288" spans="1:20">
      <c r="A288" s="48">
        <v>92901</v>
      </c>
      <c r="B288" s="49" t="s">
        <v>994</v>
      </c>
      <c r="C288" s="235">
        <v>5.4257999999999997E-3</v>
      </c>
      <c r="D288" s="235">
        <v>5.5082999999999998E-3</v>
      </c>
      <c r="E288" s="195">
        <v>12871853</v>
      </c>
      <c r="F288" s="195" t="s">
        <v>1930</v>
      </c>
      <c r="G288" s="233">
        <v>1985821</v>
      </c>
      <c r="H288" s="221">
        <v>1766922</v>
      </c>
      <c r="I288" s="233">
        <v>3415693</v>
      </c>
      <c r="J288" s="232">
        <v>22983</v>
      </c>
      <c r="K288" s="88">
        <f t="shared" si="15"/>
        <v>7191419</v>
      </c>
      <c r="L288" s="50"/>
      <c r="M288" s="233">
        <v>66634</v>
      </c>
      <c r="N288" s="233">
        <v>0</v>
      </c>
      <c r="O288" s="232">
        <v>91593</v>
      </c>
      <c r="P288" s="88">
        <f t="shared" si="16"/>
        <v>158227</v>
      </c>
      <c r="Q288" s="50"/>
      <c r="R288" s="233">
        <v>3575456</v>
      </c>
      <c r="S288" s="232">
        <v>5628</v>
      </c>
      <c r="T288" s="234">
        <v>3581084</v>
      </c>
    </row>
    <row r="289" spans="1:20">
      <c r="A289" s="48">
        <v>92911</v>
      </c>
      <c r="B289" s="49" t="s">
        <v>995</v>
      </c>
      <c r="C289" s="235">
        <v>1.9322E-3</v>
      </c>
      <c r="D289" s="235">
        <v>1.9548999999999999E-3</v>
      </c>
      <c r="E289" s="195">
        <v>4583839</v>
      </c>
      <c r="F289" s="195" t="s">
        <v>1930</v>
      </c>
      <c r="G289" s="233">
        <v>707177</v>
      </c>
      <c r="H289" s="221">
        <v>629224</v>
      </c>
      <c r="I289" s="233">
        <v>1216374</v>
      </c>
      <c r="J289" s="232">
        <v>39110</v>
      </c>
      <c r="K289" s="88">
        <f t="shared" si="15"/>
        <v>2591885</v>
      </c>
      <c r="L289" s="50"/>
      <c r="M289" s="233">
        <v>23729</v>
      </c>
      <c r="N289" s="233">
        <v>0</v>
      </c>
      <c r="O289" s="232">
        <v>51551</v>
      </c>
      <c r="P289" s="88">
        <f t="shared" si="16"/>
        <v>75280</v>
      </c>
      <c r="Q289" s="50"/>
      <c r="R289" s="233">
        <v>1273268</v>
      </c>
      <c r="S289" s="232">
        <v>-50417</v>
      </c>
      <c r="T289" s="234">
        <v>1222851</v>
      </c>
    </row>
    <row r="290" spans="1:20">
      <c r="A290" s="48">
        <v>92913</v>
      </c>
      <c r="B290" s="49" t="s">
        <v>996</v>
      </c>
      <c r="C290" s="235">
        <v>2.1500000000000001E-5</v>
      </c>
      <c r="D290" s="235">
        <v>2.1999999999999999E-5</v>
      </c>
      <c r="E290" s="195">
        <v>51005</v>
      </c>
      <c r="F290" s="195" t="s">
        <v>1930</v>
      </c>
      <c r="G290" s="233">
        <v>7869</v>
      </c>
      <c r="H290" s="221">
        <v>7001</v>
      </c>
      <c r="I290" s="233">
        <v>13535</v>
      </c>
      <c r="J290" s="232">
        <v>88672</v>
      </c>
      <c r="K290" s="88">
        <f t="shared" si="15"/>
        <v>117077</v>
      </c>
      <c r="L290" s="50"/>
      <c r="M290" s="233">
        <v>264</v>
      </c>
      <c r="N290" s="233">
        <v>0</v>
      </c>
      <c r="O290" s="232">
        <v>0</v>
      </c>
      <c r="P290" s="88">
        <f t="shared" si="16"/>
        <v>264</v>
      </c>
      <c r="Q290" s="50"/>
      <c r="R290" s="233">
        <v>14168</v>
      </c>
      <c r="S290" s="232">
        <v>34736</v>
      </c>
      <c r="T290" s="234">
        <v>48904</v>
      </c>
    </row>
    <row r="291" spans="1:20">
      <c r="A291" s="48">
        <v>92914</v>
      </c>
      <c r="B291" s="49" t="s">
        <v>997</v>
      </c>
      <c r="C291" s="235">
        <v>2.4899999999999999E-5</v>
      </c>
      <c r="D291" s="235">
        <v>2.8900000000000001E-5</v>
      </c>
      <c r="E291" s="195">
        <v>59071</v>
      </c>
      <c r="F291" s="195" t="s">
        <v>1930</v>
      </c>
      <c r="G291" s="233">
        <v>9113</v>
      </c>
      <c r="H291" s="221">
        <v>8109</v>
      </c>
      <c r="I291" s="233">
        <v>15675</v>
      </c>
      <c r="J291" s="232">
        <v>12880</v>
      </c>
      <c r="K291" s="88">
        <f t="shared" si="15"/>
        <v>45777</v>
      </c>
      <c r="L291" s="50"/>
      <c r="M291" s="233">
        <v>306</v>
      </c>
      <c r="N291" s="233">
        <v>0</v>
      </c>
      <c r="O291" s="232">
        <v>1246</v>
      </c>
      <c r="P291" s="88">
        <f t="shared" si="16"/>
        <v>1552</v>
      </c>
      <c r="Q291" s="50"/>
      <c r="R291" s="233">
        <v>16408</v>
      </c>
      <c r="S291" s="232">
        <v>3981</v>
      </c>
      <c r="T291" s="234">
        <v>20389</v>
      </c>
    </row>
    <row r="292" spans="1:20">
      <c r="A292" s="48">
        <v>92917</v>
      </c>
      <c r="B292" s="49" t="s">
        <v>998</v>
      </c>
      <c r="C292" s="235">
        <v>1.6099999999999998E-5</v>
      </c>
      <c r="D292" s="235">
        <v>1.4800000000000001E-5</v>
      </c>
      <c r="E292" s="196">
        <v>38195</v>
      </c>
      <c r="F292" s="196" t="s">
        <v>1930</v>
      </c>
      <c r="G292" s="233">
        <v>5893</v>
      </c>
      <c r="H292" s="221">
        <v>5243</v>
      </c>
      <c r="I292" s="233">
        <v>10135</v>
      </c>
      <c r="J292" s="232">
        <v>14400</v>
      </c>
      <c r="K292" s="88">
        <f t="shared" si="15"/>
        <v>35671</v>
      </c>
      <c r="L292" s="50"/>
      <c r="M292" s="233">
        <v>198</v>
      </c>
      <c r="N292" s="233">
        <v>0</v>
      </c>
      <c r="O292" s="232">
        <v>0</v>
      </c>
      <c r="P292" s="88">
        <f t="shared" si="16"/>
        <v>198</v>
      </c>
      <c r="Q292" s="50"/>
      <c r="R292" s="233">
        <v>10609</v>
      </c>
      <c r="S292" s="232">
        <v>8201</v>
      </c>
      <c r="T292" s="234">
        <v>18810</v>
      </c>
    </row>
    <row r="293" spans="1:20">
      <c r="A293" s="48">
        <v>92921</v>
      </c>
      <c r="B293" s="49" t="s">
        <v>2244</v>
      </c>
      <c r="C293" s="235">
        <v>9.2499999999999999E-5</v>
      </c>
      <c r="D293" s="235">
        <v>7.4400000000000006E-5</v>
      </c>
      <c r="E293" s="196">
        <v>219442</v>
      </c>
      <c r="F293" s="196" t="s">
        <v>1930</v>
      </c>
      <c r="G293" s="233">
        <v>33855</v>
      </c>
      <c r="H293" s="221">
        <v>30123</v>
      </c>
      <c r="I293" s="233">
        <v>58231</v>
      </c>
      <c r="J293" s="232">
        <v>24651</v>
      </c>
      <c r="K293" s="88">
        <f t="shared" si="15"/>
        <v>146860</v>
      </c>
      <c r="L293" s="50"/>
      <c r="M293" s="233">
        <v>1136</v>
      </c>
      <c r="N293" s="233">
        <v>0</v>
      </c>
      <c r="O293" s="232">
        <v>1659</v>
      </c>
      <c r="P293" s="88">
        <f t="shared" si="16"/>
        <v>2795</v>
      </c>
      <c r="Q293" s="50"/>
      <c r="R293" s="233">
        <v>60955</v>
      </c>
      <c r="S293" s="232">
        <v>819</v>
      </c>
      <c r="T293" s="234">
        <v>61774</v>
      </c>
    </row>
    <row r="294" spans="1:20">
      <c r="A294" s="48">
        <v>92931</v>
      </c>
      <c r="B294" s="49" t="s">
        <v>1000</v>
      </c>
      <c r="C294" s="235">
        <v>2.4600999999999998E-3</v>
      </c>
      <c r="D294" s="235">
        <v>2.3996E-3</v>
      </c>
      <c r="E294" s="196">
        <v>5836199</v>
      </c>
      <c r="F294" s="196" t="s">
        <v>1930</v>
      </c>
      <c r="G294" s="233">
        <v>900387</v>
      </c>
      <c r="H294" s="221">
        <v>801137</v>
      </c>
      <c r="I294" s="233">
        <v>1548702</v>
      </c>
      <c r="J294" s="232">
        <v>28206</v>
      </c>
      <c r="K294" s="88">
        <f t="shared" si="15"/>
        <v>3278432</v>
      </c>
      <c r="L294" s="50"/>
      <c r="M294" s="233">
        <v>30212</v>
      </c>
      <c r="N294" s="233">
        <v>0</v>
      </c>
      <c r="O294" s="232">
        <v>98782</v>
      </c>
      <c r="P294" s="88">
        <f t="shared" si="16"/>
        <v>128994</v>
      </c>
      <c r="Q294" s="50"/>
      <c r="R294" s="233">
        <v>1621139</v>
      </c>
      <c r="S294" s="232">
        <v>-34302</v>
      </c>
      <c r="T294" s="234">
        <v>1586837</v>
      </c>
    </row>
    <row r="295" spans="1:20">
      <c r="A295" s="48">
        <v>92941</v>
      </c>
      <c r="B295" s="49" t="s">
        <v>2245</v>
      </c>
      <c r="C295" s="235">
        <v>4.3000000000000003E-6</v>
      </c>
      <c r="D295" s="235">
        <v>1.2300000000000001E-5</v>
      </c>
      <c r="E295" s="196">
        <v>10201</v>
      </c>
      <c r="F295" s="196" t="s">
        <v>1930</v>
      </c>
      <c r="G295" s="233">
        <v>1574</v>
      </c>
      <c r="H295" s="221">
        <v>1400</v>
      </c>
      <c r="I295" s="233">
        <v>2707</v>
      </c>
      <c r="J295" s="232">
        <v>3011</v>
      </c>
      <c r="K295" s="88">
        <f t="shared" si="15"/>
        <v>8692</v>
      </c>
      <c r="L295" s="50"/>
      <c r="M295" s="233">
        <v>53</v>
      </c>
      <c r="N295" s="233">
        <v>0</v>
      </c>
      <c r="O295" s="232">
        <v>4092</v>
      </c>
      <c r="P295" s="88">
        <f t="shared" si="16"/>
        <v>4145</v>
      </c>
      <c r="Q295" s="50"/>
      <c r="R295" s="233">
        <v>2834</v>
      </c>
      <c r="S295" s="232">
        <v>2468</v>
      </c>
      <c r="T295" s="234">
        <v>5302</v>
      </c>
    </row>
    <row r="296" spans="1:20">
      <c r="A296" s="48">
        <v>93001</v>
      </c>
      <c r="B296" s="49" t="s">
        <v>1001</v>
      </c>
      <c r="C296" s="235">
        <v>2.2772000000000001E-3</v>
      </c>
      <c r="D296" s="235">
        <v>2.2227000000000002E-3</v>
      </c>
      <c r="E296" s="196">
        <v>5402297</v>
      </c>
      <c r="F296" s="196" t="s">
        <v>1930</v>
      </c>
      <c r="G296" s="233">
        <v>833446</v>
      </c>
      <c r="H296" s="221">
        <v>741575</v>
      </c>
      <c r="I296" s="233">
        <v>1433561</v>
      </c>
      <c r="J296" s="232">
        <v>14691</v>
      </c>
      <c r="K296" s="88">
        <f t="shared" si="15"/>
        <v>3023273</v>
      </c>
      <c r="L296" s="50"/>
      <c r="M296" s="233">
        <v>27966</v>
      </c>
      <c r="N296" s="233">
        <v>0</v>
      </c>
      <c r="O296" s="232">
        <v>61962</v>
      </c>
      <c r="P296" s="88">
        <f t="shared" si="16"/>
        <v>89928</v>
      </c>
      <c r="Q296" s="50"/>
      <c r="R296" s="233">
        <v>1500613</v>
      </c>
      <c r="S296" s="232">
        <v>-54280</v>
      </c>
      <c r="T296" s="234">
        <v>1446333</v>
      </c>
    </row>
    <row r="297" spans="1:20">
      <c r="A297" s="48">
        <v>93009</v>
      </c>
      <c r="B297" s="49" t="s">
        <v>1002</v>
      </c>
      <c r="C297" s="235">
        <v>1.38E-5</v>
      </c>
      <c r="D297" s="235">
        <v>1.47E-5</v>
      </c>
      <c r="E297" s="196">
        <v>32738</v>
      </c>
      <c r="F297" s="196" t="s">
        <v>1930</v>
      </c>
      <c r="G297" s="233">
        <v>5051</v>
      </c>
      <c r="H297" s="221">
        <v>4494</v>
      </c>
      <c r="I297" s="233">
        <v>8687</v>
      </c>
      <c r="J297" s="232">
        <v>0</v>
      </c>
      <c r="K297" s="88">
        <f t="shared" si="15"/>
        <v>18232</v>
      </c>
      <c r="L297" s="50"/>
      <c r="M297" s="233">
        <v>169</v>
      </c>
      <c r="N297" s="233">
        <v>0</v>
      </c>
      <c r="O297" s="232">
        <v>3798</v>
      </c>
      <c r="P297" s="88">
        <f t="shared" si="16"/>
        <v>3967</v>
      </c>
      <c r="Q297" s="50"/>
      <c r="R297" s="233">
        <v>9094</v>
      </c>
      <c r="S297" s="232">
        <v>-2270</v>
      </c>
      <c r="T297" s="234">
        <v>6824</v>
      </c>
    </row>
    <row r="298" spans="1:20">
      <c r="A298" s="48">
        <v>93011</v>
      </c>
      <c r="B298" s="49" t="s">
        <v>2246</v>
      </c>
      <c r="C298" s="235">
        <v>2.7599999999999999E-4</v>
      </c>
      <c r="D298" s="235">
        <v>2.2699999999999999E-4</v>
      </c>
      <c r="E298" s="196">
        <v>654766</v>
      </c>
      <c r="F298" s="196" t="s">
        <v>1930</v>
      </c>
      <c r="G298" s="233">
        <v>101015</v>
      </c>
      <c r="H298" s="221">
        <v>89880</v>
      </c>
      <c r="I298" s="233">
        <v>173750</v>
      </c>
      <c r="J298" s="232">
        <v>51648</v>
      </c>
      <c r="K298" s="88">
        <f t="shared" si="15"/>
        <v>416293</v>
      </c>
      <c r="L298" s="50"/>
      <c r="M298" s="233">
        <v>3390</v>
      </c>
      <c r="N298" s="233">
        <v>0</v>
      </c>
      <c r="O298" s="232">
        <v>10320</v>
      </c>
      <c r="P298" s="88">
        <f t="shared" si="16"/>
        <v>13710</v>
      </c>
      <c r="Q298" s="50"/>
      <c r="R298" s="233">
        <v>181877</v>
      </c>
      <c r="S298" s="232">
        <v>8885</v>
      </c>
      <c r="T298" s="234">
        <v>190762</v>
      </c>
    </row>
    <row r="299" spans="1:20">
      <c r="A299" s="48">
        <v>93021</v>
      </c>
      <c r="B299" s="49" t="s">
        <v>2247</v>
      </c>
      <c r="C299" s="235">
        <v>3.3399999999999999E-5</v>
      </c>
      <c r="D299" s="235">
        <v>3.4199999999999998E-5</v>
      </c>
      <c r="E299" s="196">
        <v>79236</v>
      </c>
      <c r="F299" s="196" t="s">
        <v>1930</v>
      </c>
      <c r="G299" s="233">
        <v>12224</v>
      </c>
      <c r="H299" s="221">
        <v>10877</v>
      </c>
      <c r="I299" s="233">
        <v>21026</v>
      </c>
      <c r="J299" s="232">
        <v>1795</v>
      </c>
      <c r="K299" s="88">
        <f t="shared" si="15"/>
        <v>45922</v>
      </c>
      <c r="L299" s="50"/>
      <c r="M299" s="233">
        <v>410</v>
      </c>
      <c r="N299" s="233">
        <v>0</v>
      </c>
      <c r="O299" s="232">
        <v>5715</v>
      </c>
      <c r="P299" s="88">
        <f t="shared" si="16"/>
        <v>6125</v>
      </c>
      <c r="Q299" s="50"/>
      <c r="R299" s="233">
        <v>22010</v>
      </c>
      <c r="S299" s="232">
        <v>-366</v>
      </c>
      <c r="T299" s="234">
        <v>21644</v>
      </c>
    </row>
    <row r="300" spans="1:20">
      <c r="A300" s="48">
        <v>93027</v>
      </c>
      <c r="B300" s="49" t="s">
        <v>1005</v>
      </c>
      <c r="C300" s="235">
        <v>1.5E-5</v>
      </c>
      <c r="D300" s="235">
        <v>1.6699999999999999E-5</v>
      </c>
      <c r="E300" s="196">
        <v>35585</v>
      </c>
      <c r="F300" s="196" t="s">
        <v>1930</v>
      </c>
      <c r="G300" s="233">
        <v>5490</v>
      </c>
      <c r="H300" s="221">
        <v>4885</v>
      </c>
      <c r="I300" s="233">
        <v>9443</v>
      </c>
      <c r="J300" s="232">
        <v>796</v>
      </c>
      <c r="K300" s="88">
        <f t="shared" si="15"/>
        <v>20614</v>
      </c>
      <c r="L300" s="50"/>
      <c r="M300" s="233">
        <v>184</v>
      </c>
      <c r="N300" s="233">
        <v>0</v>
      </c>
      <c r="O300" s="232">
        <v>2296</v>
      </c>
      <c r="P300" s="88">
        <f t="shared" si="16"/>
        <v>2480</v>
      </c>
      <c r="Q300" s="50"/>
      <c r="R300" s="233">
        <v>9885</v>
      </c>
      <c r="S300" s="232">
        <v>-833</v>
      </c>
      <c r="T300" s="234">
        <v>9052</v>
      </c>
    </row>
    <row r="301" spans="1:20">
      <c r="A301" s="48">
        <v>93031</v>
      </c>
      <c r="B301" s="49" t="s">
        <v>2248</v>
      </c>
      <c r="C301" s="235">
        <v>1.26E-5</v>
      </c>
      <c r="D301" s="235">
        <v>2.1699999999999999E-5</v>
      </c>
      <c r="E301" s="196">
        <v>29892</v>
      </c>
      <c r="F301" s="196" t="s">
        <v>1930</v>
      </c>
      <c r="G301" s="233">
        <v>4612</v>
      </c>
      <c r="H301" s="221">
        <v>4103</v>
      </c>
      <c r="I301" s="233">
        <v>7932</v>
      </c>
      <c r="J301" s="232">
        <v>20350</v>
      </c>
      <c r="K301" s="88">
        <f t="shared" si="15"/>
        <v>36997</v>
      </c>
      <c r="L301" s="50"/>
      <c r="M301" s="233">
        <v>155</v>
      </c>
      <c r="N301" s="233">
        <v>0</v>
      </c>
      <c r="O301" s="232">
        <v>0</v>
      </c>
      <c r="P301" s="88">
        <f t="shared" si="16"/>
        <v>155</v>
      </c>
      <c r="Q301" s="50"/>
      <c r="R301" s="233">
        <v>8303</v>
      </c>
      <c r="S301" s="232">
        <v>7768</v>
      </c>
      <c r="T301" s="234">
        <v>16071</v>
      </c>
    </row>
    <row r="302" spans="1:20">
      <c r="A302" s="48">
        <v>93101</v>
      </c>
      <c r="B302" s="49" t="s">
        <v>1007</v>
      </c>
      <c r="C302" s="235">
        <v>3.2376000000000002E-3</v>
      </c>
      <c r="D302" s="235">
        <v>3.5159000000000002E-3</v>
      </c>
      <c r="E302" s="196">
        <v>7680694</v>
      </c>
      <c r="F302" s="196" t="s">
        <v>1930</v>
      </c>
      <c r="G302" s="233">
        <v>1184949</v>
      </c>
      <c r="H302" s="221">
        <v>1054330</v>
      </c>
      <c r="I302" s="233">
        <v>2038160</v>
      </c>
      <c r="J302" s="232">
        <v>36350</v>
      </c>
      <c r="K302" s="88">
        <f t="shared" si="15"/>
        <v>4313789</v>
      </c>
      <c r="L302" s="50"/>
      <c r="M302" s="233">
        <v>39761</v>
      </c>
      <c r="N302" s="233">
        <v>0</v>
      </c>
      <c r="O302" s="232">
        <v>306148</v>
      </c>
      <c r="P302" s="88">
        <f t="shared" si="16"/>
        <v>345909</v>
      </c>
      <c r="Q302" s="50"/>
      <c r="R302" s="233">
        <v>2133491</v>
      </c>
      <c r="S302" s="232">
        <v>-15838</v>
      </c>
      <c r="T302" s="234">
        <v>2117653</v>
      </c>
    </row>
    <row r="303" spans="1:20">
      <c r="A303" s="48">
        <v>93103</v>
      </c>
      <c r="B303" s="49" t="s">
        <v>260</v>
      </c>
      <c r="C303" s="235">
        <v>1.6699999999999999E-5</v>
      </c>
      <c r="D303" s="235">
        <v>1.7099999999999999E-5</v>
      </c>
      <c r="E303" s="196">
        <v>39618</v>
      </c>
      <c r="F303" s="196" t="s">
        <v>1930</v>
      </c>
      <c r="G303" s="233">
        <v>6112</v>
      </c>
      <c r="H303" s="221">
        <v>5439</v>
      </c>
      <c r="I303" s="233">
        <v>10513</v>
      </c>
      <c r="J303" s="232">
        <v>4185</v>
      </c>
      <c r="K303" s="88">
        <f t="shared" si="15"/>
        <v>26249</v>
      </c>
      <c r="L303" s="50"/>
      <c r="M303" s="233">
        <v>205</v>
      </c>
      <c r="N303" s="233">
        <v>0</v>
      </c>
      <c r="O303" s="232">
        <v>3362</v>
      </c>
      <c r="P303" s="88">
        <f t="shared" si="16"/>
        <v>3567</v>
      </c>
      <c r="Q303" s="50"/>
      <c r="R303" s="233">
        <v>11005</v>
      </c>
      <c r="S303" s="232">
        <v>1580</v>
      </c>
      <c r="T303" s="234">
        <v>12585</v>
      </c>
    </row>
    <row r="304" spans="1:20">
      <c r="A304" s="48">
        <v>93108</v>
      </c>
      <c r="B304" s="49" t="s">
        <v>1008</v>
      </c>
      <c r="C304" s="235">
        <v>2.4109999999999999E-3</v>
      </c>
      <c r="D304" s="235">
        <v>2.6624999999999999E-3</v>
      </c>
      <c r="E304" s="196">
        <v>5719717</v>
      </c>
      <c r="F304" s="196" t="s">
        <v>1930</v>
      </c>
      <c r="G304" s="233">
        <v>882416</v>
      </c>
      <c r="H304" s="221">
        <v>785147</v>
      </c>
      <c r="I304" s="233">
        <v>1517792</v>
      </c>
      <c r="J304" s="232">
        <v>86396</v>
      </c>
      <c r="K304" s="88">
        <f t="shared" si="15"/>
        <v>3271751</v>
      </c>
      <c r="L304" s="50"/>
      <c r="M304" s="233">
        <v>29609</v>
      </c>
      <c r="N304" s="233">
        <v>0</v>
      </c>
      <c r="O304" s="232">
        <v>181635</v>
      </c>
      <c r="P304" s="88">
        <f t="shared" si="16"/>
        <v>211244</v>
      </c>
      <c r="Q304" s="50"/>
      <c r="R304" s="233">
        <v>1588784</v>
      </c>
      <c r="S304" s="232">
        <v>143056</v>
      </c>
      <c r="T304" s="234">
        <v>1731840</v>
      </c>
    </row>
    <row r="305" spans="1:20">
      <c r="A305" s="48">
        <v>93111</v>
      </c>
      <c r="B305" s="49" t="s">
        <v>2249</v>
      </c>
      <c r="C305" s="235">
        <v>6.1500000000000004E-5</v>
      </c>
      <c r="D305" s="235">
        <v>5.8499999999999999E-5</v>
      </c>
      <c r="E305" s="196">
        <v>145899</v>
      </c>
      <c r="F305" s="196" t="s">
        <v>1930</v>
      </c>
      <c r="G305" s="233">
        <v>22509</v>
      </c>
      <c r="H305" s="221">
        <v>20027</v>
      </c>
      <c r="I305" s="233">
        <v>38716</v>
      </c>
      <c r="J305" s="232">
        <v>609</v>
      </c>
      <c r="K305" s="88">
        <f t="shared" si="15"/>
        <v>81861</v>
      </c>
      <c r="L305" s="50"/>
      <c r="M305" s="233">
        <v>755</v>
      </c>
      <c r="N305" s="233">
        <v>0</v>
      </c>
      <c r="O305" s="232">
        <v>9926</v>
      </c>
      <c r="P305" s="88">
        <f t="shared" si="16"/>
        <v>10681</v>
      </c>
      <c r="Q305" s="50"/>
      <c r="R305" s="233">
        <v>40527</v>
      </c>
      <c r="S305" s="232">
        <v>-5384</v>
      </c>
      <c r="T305" s="234">
        <v>35143</v>
      </c>
    </row>
    <row r="306" spans="1:20">
      <c r="A306" s="48">
        <v>93121</v>
      </c>
      <c r="B306" s="49" t="s">
        <v>2250</v>
      </c>
      <c r="C306" s="235">
        <v>5.3300000000000001E-5</v>
      </c>
      <c r="D306" s="235">
        <v>6.2299999999999996E-5</v>
      </c>
      <c r="E306" s="196">
        <v>126446</v>
      </c>
      <c r="F306" s="196" t="s">
        <v>1930</v>
      </c>
      <c r="G306" s="233">
        <v>19508</v>
      </c>
      <c r="H306" s="221">
        <v>17358</v>
      </c>
      <c r="I306" s="233">
        <v>33554</v>
      </c>
      <c r="J306" s="232">
        <v>1532</v>
      </c>
      <c r="K306" s="88">
        <f t="shared" si="15"/>
        <v>71952</v>
      </c>
      <c r="L306" s="50"/>
      <c r="M306" s="233">
        <v>655</v>
      </c>
      <c r="N306" s="233">
        <v>0</v>
      </c>
      <c r="O306" s="232">
        <v>7485</v>
      </c>
      <c r="P306" s="88">
        <f t="shared" si="16"/>
        <v>8140</v>
      </c>
      <c r="Q306" s="50"/>
      <c r="R306" s="233">
        <v>35123</v>
      </c>
      <c r="S306" s="232">
        <v>-4157</v>
      </c>
      <c r="T306" s="234">
        <v>30966</v>
      </c>
    </row>
    <row r="307" spans="1:20">
      <c r="A307" s="48">
        <v>93127</v>
      </c>
      <c r="B307" s="49" t="s">
        <v>1011</v>
      </c>
      <c r="C307" s="235">
        <v>6.8000000000000001E-6</v>
      </c>
      <c r="D307" s="235">
        <v>6.9E-6</v>
      </c>
      <c r="E307" s="196">
        <v>16132</v>
      </c>
      <c r="F307" s="196" t="s">
        <v>1930</v>
      </c>
      <c r="G307" s="233">
        <v>2489</v>
      </c>
      <c r="H307" s="221">
        <v>2215</v>
      </c>
      <c r="I307" s="233">
        <v>4281</v>
      </c>
      <c r="J307" s="232">
        <v>93</v>
      </c>
      <c r="K307" s="88">
        <f t="shared" si="15"/>
        <v>9078</v>
      </c>
      <c r="L307" s="50"/>
      <c r="M307" s="233">
        <v>84</v>
      </c>
      <c r="N307" s="233">
        <v>0</v>
      </c>
      <c r="O307" s="232">
        <v>482</v>
      </c>
      <c r="P307" s="88">
        <f t="shared" si="16"/>
        <v>566</v>
      </c>
      <c r="Q307" s="50"/>
      <c r="R307" s="233">
        <v>4481</v>
      </c>
      <c r="S307" s="232">
        <v>-405</v>
      </c>
      <c r="T307" s="234">
        <v>4076</v>
      </c>
    </row>
    <row r="308" spans="1:20">
      <c r="A308" s="48">
        <v>93131</v>
      </c>
      <c r="B308" s="49" t="s">
        <v>2251</v>
      </c>
      <c r="C308" s="235">
        <v>2.0129999999999999E-4</v>
      </c>
      <c r="D308" s="235">
        <v>2.218E-4</v>
      </c>
      <c r="E308" s="196">
        <v>477552</v>
      </c>
      <c r="F308" s="196" t="s">
        <v>1930</v>
      </c>
      <c r="G308" s="233">
        <v>73675</v>
      </c>
      <c r="H308" s="221">
        <v>65554</v>
      </c>
      <c r="I308" s="233">
        <v>126724</v>
      </c>
      <c r="J308" s="232">
        <v>2495</v>
      </c>
      <c r="K308" s="88">
        <f t="shared" si="15"/>
        <v>268448</v>
      </c>
      <c r="L308" s="50"/>
      <c r="M308" s="233">
        <v>2472</v>
      </c>
      <c r="N308" s="233">
        <v>0</v>
      </c>
      <c r="O308" s="232">
        <v>34365</v>
      </c>
      <c r="P308" s="88">
        <f t="shared" si="16"/>
        <v>36837</v>
      </c>
      <c r="Q308" s="50"/>
      <c r="R308" s="233">
        <v>132651</v>
      </c>
      <c r="S308" s="232">
        <v>-5155</v>
      </c>
      <c r="T308" s="234">
        <v>127496</v>
      </c>
    </row>
    <row r="309" spans="1:20">
      <c r="A309" s="48">
        <v>93137</v>
      </c>
      <c r="B309" s="49" t="s">
        <v>1013</v>
      </c>
      <c r="C309" s="235">
        <v>4.7999999999999998E-6</v>
      </c>
      <c r="D309" s="235">
        <v>3.3000000000000002E-6</v>
      </c>
      <c r="E309" s="196">
        <v>11387</v>
      </c>
      <c r="F309" s="196" t="s">
        <v>1930</v>
      </c>
      <c r="G309" s="233">
        <v>1757</v>
      </c>
      <c r="H309" s="221">
        <v>1563</v>
      </c>
      <c r="I309" s="233">
        <v>3022</v>
      </c>
      <c r="J309" s="232">
        <v>3426</v>
      </c>
      <c r="K309" s="88">
        <f t="shared" si="15"/>
        <v>9768</v>
      </c>
      <c r="L309" s="50"/>
      <c r="M309" s="233">
        <v>59</v>
      </c>
      <c r="N309" s="233">
        <v>0</v>
      </c>
      <c r="O309" s="232">
        <v>0</v>
      </c>
      <c r="P309" s="88">
        <f t="shared" si="16"/>
        <v>59</v>
      </c>
      <c r="Q309" s="50"/>
      <c r="R309" s="233">
        <v>3163</v>
      </c>
      <c r="S309" s="232">
        <v>1228</v>
      </c>
      <c r="T309" s="234">
        <v>4391</v>
      </c>
    </row>
    <row r="310" spans="1:20">
      <c r="A310" s="48">
        <v>93141</v>
      </c>
      <c r="B310" s="49" t="s">
        <v>2252</v>
      </c>
      <c r="C310" s="235">
        <v>3.2299999999999999E-5</v>
      </c>
      <c r="D310" s="235">
        <v>4.1100000000000003E-5</v>
      </c>
      <c r="E310" s="196">
        <v>76627</v>
      </c>
      <c r="F310" s="196" t="s">
        <v>1930</v>
      </c>
      <c r="G310" s="233">
        <v>11822</v>
      </c>
      <c r="H310" s="221">
        <v>10519</v>
      </c>
      <c r="I310" s="233">
        <v>20334</v>
      </c>
      <c r="J310" s="232">
        <v>0</v>
      </c>
      <c r="K310" s="88">
        <f t="shared" si="15"/>
        <v>42675</v>
      </c>
      <c r="L310" s="50"/>
      <c r="M310" s="233">
        <v>397</v>
      </c>
      <c r="N310" s="233">
        <v>0</v>
      </c>
      <c r="O310" s="232">
        <v>11022</v>
      </c>
      <c r="P310" s="88">
        <f t="shared" si="16"/>
        <v>11419</v>
      </c>
      <c r="Q310" s="50"/>
      <c r="R310" s="233">
        <v>21285</v>
      </c>
      <c r="S310" s="232">
        <v>-1889</v>
      </c>
      <c r="T310" s="234">
        <v>19396</v>
      </c>
    </row>
    <row r="311" spans="1:20">
      <c r="A311" s="48">
        <v>93151</v>
      </c>
      <c r="B311" s="49" t="s">
        <v>2253</v>
      </c>
      <c r="C311" s="235">
        <v>3.2410000000000002E-4</v>
      </c>
      <c r="D311" s="235">
        <v>3.4279999999999998E-4</v>
      </c>
      <c r="E311" s="196">
        <v>768876</v>
      </c>
      <c r="F311" s="196" t="s">
        <v>1930</v>
      </c>
      <c r="G311" s="233">
        <v>118619</v>
      </c>
      <c r="H311" s="221">
        <v>105543</v>
      </c>
      <c r="I311" s="233">
        <v>204030</v>
      </c>
      <c r="J311" s="232">
        <v>1711</v>
      </c>
      <c r="K311" s="88">
        <f t="shared" si="15"/>
        <v>429903</v>
      </c>
      <c r="L311" s="50"/>
      <c r="M311" s="233">
        <v>3980</v>
      </c>
      <c r="N311" s="233">
        <v>0</v>
      </c>
      <c r="O311" s="232">
        <v>25198</v>
      </c>
      <c r="P311" s="88">
        <f t="shared" si="16"/>
        <v>29178</v>
      </c>
      <c r="Q311" s="50"/>
      <c r="R311" s="233">
        <v>213573</v>
      </c>
      <c r="S311" s="232">
        <v>-7249</v>
      </c>
      <c r="T311" s="234">
        <v>206324</v>
      </c>
    </row>
    <row r="312" spans="1:20">
      <c r="A312" s="48">
        <v>93157</v>
      </c>
      <c r="B312" s="49" t="s">
        <v>1016</v>
      </c>
      <c r="C312" s="235">
        <v>3.4999999999999999E-6</v>
      </c>
      <c r="D312" s="235">
        <v>3.5999999999999998E-6</v>
      </c>
      <c r="E312" s="196">
        <v>8303</v>
      </c>
      <c r="F312" s="196" t="s">
        <v>1930</v>
      </c>
      <c r="G312" s="233">
        <v>1281</v>
      </c>
      <c r="H312" s="221">
        <v>1140</v>
      </c>
      <c r="I312" s="233">
        <v>2203</v>
      </c>
      <c r="J312" s="232">
        <v>7990</v>
      </c>
      <c r="K312" s="88">
        <f t="shared" si="15"/>
        <v>12614</v>
      </c>
      <c r="L312" s="50"/>
      <c r="M312" s="233">
        <v>43</v>
      </c>
      <c r="N312" s="233">
        <v>0</v>
      </c>
      <c r="O312" s="232">
        <v>152</v>
      </c>
      <c r="P312" s="88">
        <f t="shared" si="16"/>
        <v>195</v>
      </c>
      <c r="Q312" s="50"/>
      <c r="R312" s="233">
        <v>2306</v>
      </c>
      <c r="S312" s="232">
        <v>3773</v>
      </c>
      <c r="T312" s="234">
        <v>6079</v>
      </c>
    </row>
    <row r="313" spans="1:20">
      <c r="A313" s="48">
        <v>93161</v>
      </c>
      <c r="B313" s="49" t="s">
        <v>2254</v>
      </c>
      <c r="C313" s="235">
        <v>1.105E-4</v>
      </c>
      <c r="D313" s="235">
        <v>1.038E-4</v>
      </c>
      <c r="E313" s="196">
        <v>262144</v>
      </c>
      <c r="F313" s="196" t="s">
        <v>1930</v>
      </c>
      <c r="G313" s="233">
        <v>40443</v>
      </c>
      <c r="H313" s="221">
        <v>35984</v>
      </c>
      <c r="I313" s="233">
        <v>69563</v>
      </c>
      <c r="J313" s="232">
        <v>25987</v>
      </c>
      <c r="K313" s="88">
        <f t="shared" si="15"/>
        <v>171977</v>
      </c>
      <c r="L313" s="50"/>
      <c r="M313" s="233">
        <v>1357</v>
      </c>
      <c r="N313" s="233">
        <v>0</v>
      </c>
      <c r="O313" s="232">
        <v>0</v>
      </c>
      <c r="P313" s="88">
        <f t="shared" si="16"/>
        <v>1357</v>
      </c>
      <c r="Q313" s="50"/>
      <c r="R313" s="233">
        <v>72817</v>
      </c>
      <c r="S313" s="232">
        <v>13692</v>
      </c>
      <c r="T313" s="234">
        <v>86509</v>
      </c>
    </row>
    <row r="314" spans="1:20">
      <c r="A314" s="48">
        <v>93171</v>
      </c>
      <c r="B314" s="49" t="s">
        <v>2255</v>
      </c>
      <c r="C314" s="235">
        <v>2.7E-6</v>
      </c>
      <c r="D314" s="235">
        <v>5.2000000000000002E-6</v>
      </c>
      <c r="E314" s="196">
        <v>6405</v>
      </c>
      <c r="F314" s="196" t="s">
        <v>1930</v>
      </c>
      <c r="G314" s="233">
        <v>988</v>
      </c>
      <c r="H314" s="221">
        <v>879</v>
      </c>
      <c r="I314" s="233">
        <v>1700</v>
      </c>
      <c r="J314" s="232">
        <v>1171</v>
      </c>
      <c r="K314" s="88">
        <f t="shared" si="15"/>
        <v>4738</v>
      </c>
      <c r="L314" s="50"/>
      <c r="M314" s="233">
        <v>33</v>
      </c>
      <c r="N314" s="233">
        <v>0</v>
      </c>
      <c r="O314" s="232">
        <v>987</v>
      </c>
      <c r="P314" s="88">
        <f t="shared" si="16"/>
        <v>1020</v>
      </c>
      <c r="Q314" s="50"/>
      <c r="R314" s="233">
        <v>1779</v>
      </c>
      <c r="S314" s="232">
        <v>542</v>
      </c>
      <c r="T314" s="234">
        <v>2321</v>
      </c>
    </row>
    <row r="315" spans="1:20">
      <c r="A315" s="48">
        <v>93181</v>
      </c>
      <c r="B315" s="49" t="s">
        <v>2256</v>
      </c>
      <c r="C315" s="235">
        <v>1.1E-5</v>
      </c>
      <c r="D315" s="235">
        <v>1.13E-5</v>
      </c>
      <c r="E315" s="196">
        <v>26096</v>
      </c>
      <c r="F315" s="196" t="s">
        <v>1930</v>
      </c>
      <c r="G315" s="233">
        <v>4026</v>
      </c>
      <c r="H315" s="221">
        <v>3582</v>
      </c>
      <c r="I315" s="233">
        <v>6925</v>
      </c>
      <c r="J315" s="232">
        <v>457</v>
      </c>
      <c r="K315" s="88">
        <f t="shared" si="15"/>
        <v>14990</v>
      </c>
      <c r="L315" s="50"/>
      <c r="M315" s="233">
        <v>135</v>
      </c>
      <c r="N315" s="233">
        <v>0</v>
      </c>
      <c r="O315" s="232">
        <v>12</v>
      </c>
      <c r="P315" s="88">
        <f t="shared" si="16"/>
        <v>147</v>
      </c>
      <c r="Q315" s="50"/>
      <c r="R315" s="233">
        <v>7249</v>
      </c>
      <c r="S315" s="232">
        <v>435</v>
      </c>
      <c r="T315" s="234">
        <v>7684</v>
      </c>
    </row>
    <row r="316" spans="1:20">
      <c r="A316" s="48">
        <v>93191</v>
      </c>
      <c r="B316" s="49" t="s">
        <v>2257</v>
      </c>
      <c r="C316" s="235">
        <v>2.2500000000000001E-5</v>
      </c>
      <c r="D316" s="235">
        <v>2.4600000000000002E-5</v>
      </c>
      <c r="E316" s="196">
        <v>53378</v>
      </c>
      <c r="F316" s="196" t="s">
        <v>1930</v>
      </c>
      <c r="G316" s="233">
        <v>8235</v>
      </c>
      <c r="H316" s="221">
        <v>7328</v>
      </c>
      <c r="I316" s="233">
        <v>14164</v>
      </c>
      <c r="J316" s="232">
        <v>3738</v>
      </c>
      <c r="K316" s="88">
        <f t="shared" si="15"/>
        <v>33465</v>
      </c>
      <c r="L316" s="50"/>
      <c r="M316" s="233">
        <v>276</v>
      </c>
      <c r="N316" s="233">
        <v>0</v>
      </c>
      <c r="O316" s="232">
        <v>1346</v>
      </c>
      <c r="P316" s="88">
        <f t="shared" si="16"/>
        <v>1622</v>
      </c>
      <c r="Q316" s="50"/>
      <c r="R316" s="233">
        <v>14827</v>
      </c>
      <c r="S316" s="232">
        <v>577</v>
      </c>
      <c r="T316" s="234">
        <v>15404</v>
      </c>
    </row>
    <row r="317" spans="1:20">
      <c r="A317" s="48">
        <v>93201</v>
      </c>
      <c r="B317" s="49" t="s">
        <v>1021</v>
      </c>
      <c r="C317" s="235">
        <v>1.5763099999999999E-2</v>
      </c>
      <c r="D317" s="235">
        <v>1.5517E-2</v>
      </c>
      <c r="E317" s="196">
        <v>37395464</v>
      </c>
      <c r="F317" s="196" t="s">
        <v>1930</v>
      </c>
      <c r="G317" s="233">
        <v>5769232</v>
      </c>
      <c r="H317" s="221">
        <v>5133286</v>
      </c>
      <c r="I317" s="233">
        <v>9923313</v>
      </c>
      <c r="J317" s="232">
        <v>597239</v>
      </c>
      <c r="K317" s="88">
        <f t="shared" si="15"/>
        <v>21423070</v>
      </c>
      <c r="L317" s="50"/>
      <c r="M317" s="233">
        <v>193587</v>
      </c>
      <c r="N317" s="233">
        <v>0</v>
      </c>
      <c r="O317" s="232">
        <v>154811</v>
      </c>
      <c r="P317" s="88">
        <f t="shared" si="16"/>
        <v>348398</v>
      </c>
      <c r="Q317" s="50"/>
      <c r="R317" s="233">
        <v>10387457</v>
      </c>
      <c r="S317" s="232">
        <v>455365</v>
      </c>
      <c r="T317" s="234">
        <v>10842822</v>
      </c>
    </row>
    <row r="318" spans="1:20">
      <c r="A318" s="48">
        <v>93202</v>
      </c>
      <c r="B318" s="49" t="s">
        <v>1022</v>
      </c>
      <c r="C318" s="235">
        <v>0</v>
      </c>
      <c r="D318" s="235">
        <v>0</v>
      </c>
      <c r="E318" s="196">
        <v>0</v>
      </c>
      <c r="F318" s="196" t="s">
        <v>1930</v>
      </c>
      <c r="G318" s="233">
        <v>0</v>
      </c>
      <c r="H318" s="221">
        <v>0</v>
      </c>
      <c r="I318" s="233">
        <v>0</v>
      </c>
      <c r="J318" s="232">
        <v>0</v>
      </c>
      <c r="K318" s="88">
        <f t="shared" si="15"/>
        <v>0</v>
      </c>
      <c r="L318" s="50"/>
      <c r="M318" s="233">
        <v>0</v>
      </c>
      <c r="N318" s="233">
        <v>0</v>
      </c>
      <c r="O318" s="232">
        <v>103181</v>
      </c>
      <c r="P318" s="88">
        <f t="shared" si="16"/>
        <v>103181</v>
      </c>
      <c r="Q318" s="50"/>
      <c r="R318" s="233">
        <v>0</v>
      </c>
      <c r="S318" s="232">
        <v>-109337</v>
      </c>
      <c r="T318" s="234">
        <v>-109337</v>
      </c>
    </row>
    <row r="319" spans="1:20">
      <c r="A319" s="48">
        <v>93204</v>
      </c>
      <c r="B319" s="49" t="s">
        <v>1023</v>
      </c>
      <c r="C319" s="235">
        <v>3.28E-4</v>
      </c>
      <c r="D319" s="235">
        <v>3.0279999999999999E-4</v>
      </c>
      <c r="E319" s="196">
        <v>778128</v>
      </c>
      <c r="F319" s="196" t="s">
        <v>1930</v>
      </c>
      <c r="G319" s="233">
        <v>120047</v>
      </c>
      <c r="H319" s="221">
        <v>106813</v>
      </c>
      <c r="I319" s="233">
        <v>206485</v>
      </c>
      <c r="J319" s="232">
        <v>42387</v>
      </c>
      <c r="K319" s="88">
        <f t="shared" si="15"/>
        <v>475732</v>
      </c>
      <c r="L319" s="50"/>
      <c r="M319" s="233">
        <v>4028</v>
      </c>
      <c r="N319" s="233">
        <v>0</v>
      </c>
      <c r="O319" s="232">
        <v>3051</v>
      </c>
      <c r="P319" s="88">
        <f t="shared" si="16"/>
        <v>7079</v>
      </c>
      <c r="Q319" s="50"/>
      <c r="R319" s="233">
        <v>216143</v>
      </c>
      <c r="S319" s="232">
        <v>7193</v>
      </c>
      <c r="T319" s="234">
        <v>223336</v>
      </c>
    </row>
    <row r="320" spans="1:20">
      <c r="A320" s="48">
        <v>93209</v>
      </c>
      <c r="B320" s="49" t="s">
        <v>1024</v>
      </c>
      <c r="C320" s="235">
        <v>5.1598E-3</v>
      </c>
      <c r="D320" s="235">
        <v>4.6693999999999998E-3</v>
      </c>
      <c r="E320" s="196">
        <v>12240810</v>
      </c>
      <c r="F320" s="196" t="s">
        <v>1930</v>
      </c>
      <c r="G320" s="233">
        <v>1888466</v>
      </c>
      <c r="H320" s="221">
        <v>1680299</v>
      </c>
      <c r="I320" s="233">
        <v>3248239</v>
      </c>
      <c r="J320" s="232">
        <v>484024</v>
      </c>
      <c r="K320" s="88">
        <f t="shared" si="15"/>
        <v>7301028</v>
      </c>
      <c r="L320" s="50"/>
      <c r="M320" s="233">
        <v>63368</v>
      </c>
      <c r="N320" s="233">
        <v>0</v>
      </c>
      <c r="O320" s="232">
        <v>0</v>
      </c>
      <c r="P320" s="88">
        <f t="shared" si="16"/>
        <v>63368</v>
      </c>
      <c r="Q320" s="50"/>
      <c r="R320" s="233">
        <v>3400169</v>
      </c>
      <c r="S320" s="232">
        <v>595668</v>
      </c>
      <c r="T320" s="234">
        <v>3995837</v>
      </c>
    </row>
    <row r="321" spans="1:20">
      <c r="A321" s="48">
        <v>93211</v>
      </c>
      <c r="B321" s="49" t="s">
        <v>1025</v>
      </c>
      <c r="C321" s="235">
        <v>2.1090299999999999E-2</v>
      </c>
      <c r="D321" s="235">
        <v>2.0374099999999999E-2</v>
      </c>
      <c r="E321" s="196">
        <v>50033404</v>
      </c>
      <c r="F321" s="196" t="s">
        <v>1930</v>
      </c>
      <c r="G321" s="233">
        <v>7718965</v>
      </c>
      <c r="H321" s="221">
        <v>6868098</v>
      </c>
      <c r="I321" s="233">
        <v>13276934</v>
      </c>
      <c r="J321" s="232">
        <v>418893</v>
      </c>
      <c r="K321" s="88">
        <f t="shared" si="15"/>
        <v>28282890</v>
      </c>
      <c r="L321" s="50"/>
      <c r="M321" s="233">
        <v>259010</v>
      </c>
      <c r="N321" s="233">
        <v>0</v>
      </c>
      <c r="O321" s="232">
        <v>485736</v>
      </c>
      <c r="P321" s="88">
        <f t="shared" si="16"/>
        <v>744746</v>
      </c>
      <c r="Q321" s="50"/>
      <c r="R321" s="233">
        <v>13897938</v>
      </c>
      <c r="S321" s="232">
        <v>-400564</v>
      </c>
      <c r="T321" s="234">
        <v>13497374</v>
      </c>
    </row>
    <row r="322" spans="1:20">
      <c r="A322" s="48">
        <v>93212</v>
      </c>
      <c r="B322" s="49" t="s">
        <v>1026</v>
      </c>
      <c r="C322" s="235">
        <v>2.7540000000000003E-4</v>
      </c>
      <c r="D322" s="235">
        <v>2.2130000000000001E-4</v>
      </c>
      <c r="E322" s="196">
        <v>653343</v>
      </c>
      <c r="F322" s="196" t="s">
        <v>1930</v>
      </c>
      <c r="G322" s="233">
        <v>100795</v>
      </c>
      <c r="H322" s="221">
        <v>89685</v>
      </c>
      <c r="I322" s="233">
        <v>173372</v>
      </c>
      <c r="J322" s="232">
        <v>231765</v>
      </c>
      <c r="K322" s="88">
        <f t="shared" si="15"/>
        <v>595617</v>
      </c>
      <c r="L322" s="50"/>
      <c r="M322" s="233">
        <v>3382</v>
      </c>
      <c r="N322" s="233">
        <v>0</v>
      </c>
      <c r="O322" s="232">
        <v>0</v>
      </c>
      <c r="P322" s="88">
        <f t="shared" si="16"/>
        <v>3382</v>
      </c>
      <c r="Q322" s="50"/>
      <c r="R322" s="233">
        <v>181481</v>
      </c>
      <c r="S322" s="232">
        <v>85113</v>
      </c>
      <c r="T322" s="234">
        <v>266594</v>
      </c>
    </row>
    <row r="323" spans="1:20">
      <c r="A323" s="48">
        <v>93219</v>
      </c>
      <c r="B323" s="49" t="s">
        <v>1027</v>
      </c>
      <c r="C323" s="235">
        <v>2.5329999999999998E-4</v>
      </c>
      <c r="D323" s="235">
        <v>2.6289999999999999E-4</v>
      </c>
      <c r="E323" s="196">
        <v>600914</v>
      </c>
      <c r="F323" s="196" t="s">
        <v>1930</v>
      </c>
      <c r="G323" s="233">
        <v>92707</v>
      </c>
      <c r="H323" s="221">
        <v>82487</v>
      </c>
      <c r="I323" s="233">
        <v>159459</v>
      </c>
      <c r="J323" s="232">
        <v>16940</v>
      </c>
      <c r="K323" s="88">
        <f t="shared" si="15"/>
        <v>351593</v>
      </c>
      <c r="L323" s="50"/>
      <c r="M323" s="233">
        <v>3111</v>
      </c>
      <c r="N323" s="233">
        <v>0</v>
      </c>
      <c r="O323" s="232">
        <v>7235</v>
      </c>
      <c r="P323" s="88">
        <f t="shared" si="16"/>
        <v>10346</v>
      </c>
      <c r="Q323" s="50"/>
      <c r="R323" s="233">
        <v>166918</v>
      </c>
      <c r="S323" s="232">
        <v>841</v>
      </c>
      <c r="T323" s="234">
        <v>167759</v>
      </c>
    </row>
    <row r="324" spans="1:20">
      <c r="A324" s="48">
        <v>93301</v>
      </c>
      <c r="B324" s="49" t="s">
        <v>1028</v>
      </c>
      <c r="C324" s="235">
        <v>2.3299000000000002E-3</v>
      </c>
      <c r="D324" s="235">
        <v>2.5243000000000002E-3</v>
      </c>
      <c r="E324" s="196">
        <v>5527320</v>
      </c>
      <c r="F324" s="196" t="s">
        <v>1930</v>
      </c>
      <c r="G324" s="233">
        <v>852734</v>
      </c>
      <c r="H324" s="221">
        <v>758737</v>
      </c>
      <c r="I324" s="233">
        <v>1466737</v>
      </c>
      <c r="J324" s="232">
        <v>30807</v>
      </c>
      <c r="K324" s="88">
        <f t="shared" si="15"/>
        <v>3109015</v>
      </c>
      <c r="L324" s="50"/>
      <c r="M324" s="233">
        <v>28614</v>
      </c>
      <c r="N324" s="233">
        <v>0</v>
      </c>
      <c r="O324" s="232">
        <v>198572</v>
      </c>
      <c r="P324" s="88">
        <f t="shared" si="16"/>
        <v>227186</v>
      </c>
      <c r="Q324" s="50"/>
      <c r="R324" s="233">
        <v>1535341</v>
      </c>
      <c r="S324" s="232">
        <v>-62950</v>
      </c>
      <c r="T324" s="234">
        <v>1472391</v>
      </c>
    </row>
    <row r="325" spans="1:20">
      <c r="A325" s="48">
        <v>93304</v>
      </c>
      <c r="B325" s="49" t="s">
        <v>1029</v>
      </c>
      <c r="C325" s="235">
        <v>3.3399999999999999E-5</v>
      </c>
      <c r="D325" s="235">
        <v>3.0300000000000001E-5</v>
      </c>
      <c r="E325" s="196">
        <v>79236</v>
      </c>
      <c r="F325" s="196" t="s">
        <v>1930</v>
      </c>
      <c r="G325" s="233">
        <v>12224</v>
      </c>
      <c r="H325" s="221">
        <v>10877</v>
      </c>
      <c r="I325" s="233">
        <v>21026</v>
      </c>
      <c r="J325" s="232">
        <v>10139</v>
      </c>
      <c r="K325" s="88">
        <f t="shared" si="15"/>
        <v>54266</v>
      </c>
      <c r="L325" s="50"/>
      <c r="M325" s="233">
        <v>410</v>
      </c>
      <c r="N325" s="233">
        <v>0</v>
      </c>
      <c r="O325" s="232">
        <v>0</v>
      </c>
      <c r="P325" s="88">
        <f t="shared" si="16"/>
        <v>410</v>
      </c>
      <c r="Q325" s="50"/>
      <c r="R325" s="233">
        <v>22010</v>
      </c>
      <c r="S325" s="232">
        <v>6577</v>
      </c>
      <c r="T325" s="234">
        <v>28587</v>
      </c>
    </row>
    <row r="326" spans="1:20">
      <c r="A326" s="48">
        <v>93305</v>
      </c>
      <c r="B326" s="49" t="s">
        <v>1030</v>
      </c>
      <c r="C326" s="235">
        <v>4.4799999999999998E-5</v>
      </c>
      <c r="D326" s="235">
        <v>4.6999999999999997E-5</v>
      </c>
      <c r="E326" s="196">
        <v>106281</v>
      </c>
      <c r="F326" s="196" t="s">
        <v>1930</v>
      </c>
      <c r="G326" s="233">
        <v>16397</v>
      </c>
      <c r="H326" s="221">
        <v>14590</v>
      </c>
      <c r="I326" s="233">
        <v>28203</v>
      </c>
      <c r="J326" s="232">
        <v>0</v>
      </c>
      <c r="K326" s="88">
        <f t="shared" si="15"/>
        <v>59190</v>
      </c>
      <c r="L326" s="50"/>
      <c r="M326" s="233">
        <v>550</v>
      </c>
      <c r="N326" s="233">
        <v>0</v>
      </c>
      <c r="O326" s="232">
        <v>6061</v>
      </c>
      <c r="P326" s="88">
        <f t="shared" si="16"/>
        <v>6611</v>
      </c>
      <c r="Q326" s="50"/>
      <c r="R326" s="233">
        <v>29522</v>
      </c>
      <c r="S326" s="232">
        <v>-2514</v>
      </c>
      <c r="T326" s="234">
        <v>27008</v>
      </c>
    </row>
    <row r="327" spans="1:20">
      <c r="A327" s="48">
        <v>93309</v>
      </c>
      <c r="B327" s="49" t="s">
        <v>1031</v>
      </c>
      <c r="C327" s="235">
        <v>1.6430000000000001E-4</v>
      </c>
      <c r="D327" s="235">
        <v>1.63E-4</v>
      </c>
      <c r="E327" s="201">
        <v>389776</v>
      </c>
      <c r="F327" s="201" t="s">
        <v>1930</v>
      </c>
      <c r="G327" s="233">
        <v>60133</v>
      </c>
      <c r="H327" s="221">
        <v>53504</v>
      </c>
      <c r="I327" s="233">
        <v>103431</v>
      </c>
      <c r="J327" s="232">
        <v>30559</v>
      </c>
      <c r="K327" s="88">
        <f t="shared" si="15"/>
        <v>247627</v>
      </c>
      <c r="L327" s="50"/>
      <c r="M327" s="233">
        <v>2018</v>
      </c>
      <c r="N327" s="233">
        <v>0</v>
      </c>
      <c r="O327" s="232">
        <v>0</v>
      </c>
      <c r="P327" s="88">
        <f t="shared" si="16"/>
        <v>2018</v>
      </c>
      <c r="Q327" s="50"/>
      <c r="R327" s="233">
        <v>108269</v>
      </c>
      <c r="S327" s="232">
        <v>11215</v>
      </c>
      <c r="T327" s="234">
        <v>119484</v>
      </c>
    </row>
    <row r="328" spans="1:20">
      <c r="A328" s="48">
        <v>93311</v>
      </c>
      <c r="B328" s="49" t="s">
        <v>2258</v>
      </c>
      <c r="C328" s="235">
        <v>1.2439E-3</v>
      </c>
      <c r="D328" s="235">
        <v>1.1665E-3</v>
      </c>
      <c r="E328" s="201">
        <v>2950956</v>
      </c>
      <c r="F328" s="201" t="s">
        <v>1930</v>
      </c>
      <c r="G328" s="233">
        <v>455262</v>
      </c>
      <c r="H328" s="221">
        <v>405079</v>
      </c>
      <c r="I328" s="233">
        <v>783070</v>
      </c>
      <c r="J328" s="232">
        <v>22773</v>
      </c>
      <c r="K328" s="88">
        <f t="shared" si="15"/>
        <v>1666184</v>
      </c>
      <c r="L328" s="50"/>
      <c r="M328" s="233">
        <v>15276</v>
      </c>
      <c r="N328" s="233">
        <v>0</v>
      </c>
      <c r="O328" s="232">
        <v>45734</v>
      </c>
      <c r="P328" s="88">
        <f t="shared" si="16"/>
        <v>61010</v>
      </c>
      <c r="Q328" s="50"/>
      <c r="R328" s="233">
        <v>819697</v>
      </c>
      <c r="S328" s="232">
        <v>-32212</v>
      </c>
      <c r="T328" s="234">
        <v>787485</v>
      </c>
    </row>
    <row r="329" spans="1:20">
      <c r="A329" s="48">
        <v>93317</v>
      </c>
      <c r="B329" s="49" t="s">
        <v>1033</v>
      </c>
      <c r="C329" s="235">
        <v>4.8300000000000002E-5</v>
      </c>
      <c r="D329" s="235">
        <v>5.0099999999999998E-5</v>
      </c>
      <c r="E329" s="201">
        <v>114584</v>
      </c>
      <c r="F329" s="201" t="s">
        <v>1930</v>
      </c>
      <c r="G329" s="233">
        <v>17678</v>
      </c>
      <c r="H329" s="221">
        <v>15729</v>
      </c>
      <c r="I329" s="233">
        <v>30406</v>
      </c>
      <c r="J329" s="232">
        <v>550</v>
      </c>
      <c r="K329" s="88">
        <f t="shared" si="15"/>
        <v>64363</v>
      </c>
      <c r="L329" s="50"/>
      <c r="M329" s="233">
        <v>593</v>
      </c>
      <c r="N329" s="233">
        <v>0</v>
      </c>
      <c r="O329" s="232">
        <v>2758</v>
      </c>
      <c r="P329" s="88">
        <f t="shared" si="16"/>
        <v>3351</v>
      </c>
      <c r="Q329" s="50"/>
      <c r="R329" s="233">
        <v>31828</v>
      </c>
      <c r="S329" s="232">
        <v>-711</v>
      </c>
      <c r="T329" s="234">
        <v>31117</v>
      </c>
    </row>
    <row r="330" spans="1:20">
      <c r="A330" s="48">
        <v>93321</v>
      </c>
      <c r="B330" s="49" t="s">
        <v>1034</v>
      </c>
      <c r="C330" s="235">
        <v>7.0657000000000003E-3</v>
      </c>
      <c r="D330" s="235">
        <v>7.3600000000000002E-3</v>
      </c>
      <c r="E330" s="201">
        <v>16762257</v>
      </c>
      <c r="F330" s="201" t="s">
        <v>1930</v>
      </c>
      <c r="G330" s="233">
        <v>2586018</v>
      </c>
      <c r="H330" s="221">
        <v>2300960</v>
      </c>
      <c r="I330" s="233">
        <v>4448056</v>
      </c>
      <c r="J330" s="232">
        <v>0</v>
      </c>
      <c r="K330" s="88">
        <f t="shared" si="15"/>
        <v>9335034</v>
      </c>
      <c r="L330" s="50"/>
      <c r="M330" s="233">
        <v>86774</v>
      </c>
      <c r="N330" s="233">
        <v>0</v>
      </c>
      <c r="O330" s="232">
        <v>623798</v>
      </c>
      <c r="P330" s="88">
        <f t="shared" si="16"/>
        <v>710572</v>
      </c>
      <c r="Q330" s="50"/>
      <c r="R330" s="233">
        <v>4656106</v>
      </c>
      <c r="S330" s="232">
        <v>-396274</v>
      </c>
      <c r="T330" s="234">
        <v>4259832</v>
      </c>
    </row>
    <row r="331" spans="1:20">
      <c r="A331" s="48">
        <v>93323</v>
      </c>
      <c r="B331" s="49" t="s">
        <v>1035</v>
      </c>
      <c r="C331" s="235">
        <v>1.9300000000000002E-5</v>
      </c>
      <c r="D331" s="235">
        <v>2.19E-5</v>
      </c>
      <c r="E331" s="201">
        <v>45786</v>
      </c>
      <c r="F331" s="201" t="s">
        <v>1930</v>
      </c>
      <c r="G331" s="233">
        <v>7064</v>
      </c>
      <c r="H331" s="221">
        <v>6286</v>
      </c>
      <c r="I331" s="233">
        <v>12150</v>
      </c>
      <c r="J331" s="232">
        <v>5709</v>
      </c>
      <c r="K331" s="88">
        <f t="shared" si="15"/>
        <v>31209</v>
      </c>
      <c r="L331" s="50"/>
      <c r="M331" s="233">
        <v>237</v>
      </c>
      <c r="N331" s="233">
        <v>0</v>
      </c>
      <c r="O331" s="232">
        <v>2583</v>
      </c>
      <c r="P331" s="88">
        <f t="shared" si="16"/>
        <v>2820</v>
      </c>
      <c r="Q331" s="50"/>
      <c r="R331" s="233">
        <v>12718</v>
      </c>
      <c r="S331" s="232">
        <v>2046</v>
      </c>
      <c r="T331" s="234">
        <v>14764</v>
      </c>
    </row>
    <row r="332" spans="1:20">
      <c r="A332" s="48">
        <v>93331</v>
      </c>
      <c r="B332" s="49" t="s">
        <v>2259</v>
      </c>
      <c r="C332" s="235">
        <v>1.22E-4</v>
      </c>
      <c r="D332" s="235">
        <v>1.208E-4</v>
      </c>
      <c r="E332" s="201">
        <v>289426</v>
      </c>
      <c r="F332" s="201" t="s">
        <v>1930</v>
      </c>
      <c r="G332" s="233">
        <v>44652</v>
      </c>
      <c r="H332" s="221">
        <v>39730</v>
      </c>
      <c r="I332" s="233">
        <v>76802</v>
      </c>
      <c r="J332" s="232">
        <v>5671</v>
      </c>
      <c r="K332" s="88">
        <f t="shared" si="15"/>
        <v>166855</v>
      </c>
      <c r="L332" s="50"/>
      <c r="M332" s="233">
        <v>1498</v>
      </c>
      <c r="N332" s="233">
        <v>0</v>
      </c>
      <c r="O332" s="232">
        <v>6870</v>
      </c>
      <c r="P332" s="88">
        <f t="shared" si="16"/>
        <v>8368</v>
      </c>
      <c r="Q332" s="50"/>
      <c r="R332" s="233">
        <v>80395</v>
      </c>
      <c r="S332" s="232">
        <v>-1201</v>
      </c>
      <c r="T332" s="234">
        <v>79194</v>
      </c>
    </row>
    <row r="333" spans="1:20">
      <c r="A333" s="48">
        <v>93333</v>
      </c>
      <c r="B333" s="49" t="s">
        <v>1037</v>
      </c>
      <c r="C333" s="235">
        <v>1.685E-4</v>
      </c>
      <c r="D333" s="235">
        <v>1.796E-4</v>
      </c>
      <c r="E333" s="201">
        <v>399740</v>
      </c>
      <c r="F333" s="201" t="s">
        <v>1930</v>
      </c>
      <c r="G333" s="233">
        <v>61670</v>
      </c>
      <c r="H333" s="221">
        <v>54872</v>
      </c>
      <c r="I333" s="233">
        <v>106075</v>
      </c>
      <c r="J333" s="232">
        <v>128475</v>
      </c>
      <c r="K333" s="88">
        <f t="shared" si="15"/>
        <v>351092</v>
      </c>
      <c r="L333" s="50"/>
      <c r="M333" s="233">
        <v>2069</v>
      </c>
      <c r="N333" s="233">
        <v>0</v>
      </c>
      <c r="O333" s="232">
        <v>0</v>
      </c>
      <c r="P333" s="88">
        <f t="shared" si="16"/>
        <v>2069</v>
      </c>
      <c r="Q333" s="50"/>
      <c r="R333" s="233">
        <v>111037</v>
      </c>
      <c r="S333" s="232">
        <v>76738</v>
      </c>
      <c r="T333" s="234">
        <v>187775</v>
      </c>
    </row>
    <row r="334" spans="1:20">
      <c r="A334" s="48">
        <v>93341</v>
      </c>
      <c r="B334" s="49" t="s">
        <v>2260</v>
      </c>
      <c r="C334" s="235">
        <v>2.7500000000000001E-5</v>
      </c>
      <c r="D334" s="235">
        <v>2.34E-5</v>
      </c>
      <c r="E334" s="201">
        <v>65239</v>
      </c>
      <c r="F334" s="201" t="s">
        <v>1930</v>
      </c>
      <c r="G334" s="233">
        <v>10065</v>
      </c>
      <c r="H334" s="221">
        <v>8955</v>
      </c>
      <c r="I334" s="233">
        <v>17312</v>
      </c>
      <c r="J334" s="232">
        <v>4514</v>
      </c>
      <c r="K334" s="88">
        <f t="shared" si="15"/>
        <v>40846</v>
      </c>
      <c r="L334" s="50"/>
      <c r="M334" s="233">
        <v>338</v>
      </c>
      <c r="N334" s="233">
        <v>0</v>
      </c>
      <c r="O334" s="232">
        <v>647</v>
      </c>
      <c r="P334" s="88">
        <f t="shared" si="16"/>
        <v>985</v>
      </c>
      <c r="Q334" s="50"/>
      <c r="R334" s="233">
        <v>18122</v>
      </c>
      <c r="S334" s="232">
        <v>1598</v>
      </c>
      <c r="T334" s="234">
        <v>19720</v>
      </c>
    </row>
    <row r="335" spans="1:20">
      <c r="A335" s="48">
        <v>93351</v>
      </c>
      <c r="B335" s="49" t="s">
        <v>2261</v>
      </c>
      <c r="C335" s="235">
        <v>1.7600000000000001E-5</v>
      </c>
      <c r="D335" s="235">
        <v>3.4E-5</v>
      </c>
      <c r="E335" s="201">
        <v>41753</v>
      </c>
      <c r="F335" s="201" t="s">
        <v>1930</v>
      </c>
      <c r="G335" s="233">
        <v>6442</v>
      </c>
      <c r="H335" s="221">
        <v>5731</v>
      </c>
      <c r="I335" s="233">
        <v>11080</v>
      </c>
      <c r="J335" s="232">
        <v>13531</v>
      </c>
      <c r="K335" s="88">
        <f t="shared" si="15"/>
        <v>36784</v>
      </c>
      <c r="L335" s="50"/>
      <c r="M335" s="233">
        <v>216</v>
      </c>
      <c r="N335" s="233">
        <v>0</v>
      </c>
      <c r="O335" s="232">
        <v>12460</v>
      </c>
      <c r="P335" s="88">
        <f t="shared" si="16"/>
        <v>12676</v>
      </c>
      <c r="Q335" s="50"/>
      <c r="R335" s="233">
        <v>11598</v>
      </c>
      <c r="S335" s="232">
        <v>228</v>
      </c>
      <c r="T335" s="234">
        <v>11826</v>
      </c>
    </row>
    <row r="336" spans="1:20">
      <c r="A336" s="48">
        <v>93401</v>
      </c>
      <c r="B336" s="49" t="s">
        <v>1040</v>
      </c>
      <c r="C336" s="235">
        <v>1.40187E-2</v>
      </c>
      <c r="D336" s="235">
        <v>1.3834900000000001E-2</v>
      </c>
      <c r="E336" s="201">
        <v>33257151</v>
      </c>
      <c r="F336" s="201" t="s">
        <v>1930</v>
      </c>
      <c r="G336" s="233">
        <v>5130788</v>
      </c>
      <c r="H336" s="221">
        <v>4565217</v>
      </c>
      <c r="I336" s="233">
        <v>8825164</v>
      </c>
      <c r="J336" s="232">
        <v>179357</v>
      </c>
      <c r="K336" s="88">
        <f t="shared" ref="K336:K400" si="17">G336+H336+I336+J336</f>
        <v>18700526</v>
      </c>
      <c r="L336" s="50"/>
      <c r="M336" s="233">
        <v>172164</v>
      </c>
      <c r="N336" s="233">
        <v>0</v>
      </c>
      <c r="O336" s="232">
        <v>63750</v>
      </c>
      <c r="P336" s="88">
        <f t="shared" ref="P336:P400" si="18">M336+N336+O336</f>
        <v>235914</v>
      </c>
      <c r="Q336" s="50"/>
      <c r="R336" s="233">
        <v>9237945</v>
      </c>
      <c r="S336" s="232">
        <v>-44240</v>
      </c>
      <c r="T336" s="234">
        <v>9193705</v>
      </c>
    </row>
    <row r="337" spans="1:20">
      <c r="A337" s="48">
        <v>93402</v>
      </c>
      <c r="B337" s="49" t="s">
        <v>1041</v>
      </c>
      <c r="C337" s="235">
        <v>9.6399999999999999E-5</v>
      </c>
      <c r="D337" s="235">
        <v>9.8800000000000003E-5</v>
      </c>
      <c r="E337" s="201">
        <v>228694</v>
      </c>
      <c r="F337" s="201" t="s">
        <v>1930</v>
      </c>
      <c r="G337" s="233">
        <v>35282</v>
      </c>
      <c r="H337" s="221">
        <v>31393</v>
      </c>
      <c r="I337" s="233">
        <v>60686</v>
      </c>
      <c r="J337" s="232">
        <v>1484</v>
      </c>
      <c r="K337" s="88">
        <f t="shared" si="17"/>
        <v>128845</v>
      </c>
      <c r="L337" s="50"/>
      <c r="M337" s="233">
        <v>1184</v>
      </c>
      <c r="N337" s="233">
        <v>0</v>
      </c>
      <c r="O337" s="232">
        <v>10261</v>
      </c>
      <c r="P337" s="88">
        <f t="shared" si="18"/>
        <v>11445</v>
      </c>
      <c r="Q337" s="50"/>
      <c r="R337" s="233">
        <v>63525</v>
      </c>
      <c r="S337" s="232">
        <v>1040</v>
      </c>
      <c r="T337" s="234">
        <v>64565</v>
      </c>
    </row>
    <row r="338" spans="1:20">
      <c r="A338" s="48">
        <v>93406</v>
      </c>
      <c r="B338" s="49" t="s">
        <v>1042</v>
      </c>
      <c r="C338" s="235">
        <v>5.0830000000000005E-4</v>
      </c>
      <c r="D338" s="235">
        <v>6.5059999999999998E-4</v>
      </c>
      <c r="E338" s="201">
        <v>1205861</v>
      </c>
      <c r="F338" s="201" t="s">
        <v>1930</v>
      </c>
      <c r="G338" s="233">
        <v>186036</v>
      </c>
      <c r="H338" s="221">
        <v>165529</v>
      </c>
      <c r="I338" s="233">
        <v>319989</v>
      </c>
      <c r="J338" s="232">
        <v>7137</v>
      </c>
      <c r="K338" s="88">
        <f t="shared" si="17"/>
        <v>678691</v>
      </c>
      <c r="L338" s="50"/>
      <c r="M338" s="233">
        <v>6242</v>
      </c>
      <c r="N338" s="233">
        <v>0</v>
      </c>
      <c r="O338" s="232">
        <v>129835</v>
      </c>
      <c r="P338" s="88">
        <f t="shared" si="18"/>
        <v>136077</v>
      </c>
      <c r="Q338" s="50"/>
      <c r="R338" s="233">
        <v>334956</v>
      </c>
      <c r="S338" s="232">
        <v>-16548</v>
      </c>
      <c r="T338" s="234">
        <v>318408</v>
      </c>
    </row>
    <row r="339" spans="1:20">
      <c r="A339" s="48">
        <v>93408</v>
      </c>
      <c r="B339" s="49" t="s">
        <v>1043</v>
      </c>
      <c r="C339" s="235">
        <v>0</v>
      </c>
      <c r="D339" s="235">
        <v>0</v>
      </c>
      <c r="E339" s="201">
        <v>0</v>
      </c>
      <c r="F339" s="201" t="s">
        <v>1930</v>
      </c>
      <c r="G339" s="233">
        <v>0</v>
      </c>
      <c r="H339" s="221">
        <v>0</v>
      </c>
      <c r="I339" s="233">
        <v>0</v>
      </c>
      <c r="J339" s="232">
        <v>26519</v>
      </c>
      <c r="K339" s="88">
        <f t="shared" si="17"/>
        <v>26519</v>
      </c>
      <c r="L339" s="50"/>
      <c r="M339" s="233">
        <v>0</v>
      </c>
      <c r="N339" s="233">
        <v>0</v>
      </c>
      <c r="O339" s="232">
        <v>1164660</v>
      </c>
      <c r="P339" s="88">
        <f t="shared" si="18"/>
        <v>1164660</v>
      </c>
      <c r="Q339" s="50"/>
      <c r="R339" s="233">
        <v>0</v>
      </c>
      <c r="S339" s="232">
        <v>-293308</v>
      </c>
      <c r="T339" s="234">
        <v>-293308</v>
      </c>
    </row>
    <row r="340" spans="1:20">
      <c r="A340" s="48">
        <v>93411</v>
      </c>
      <c r="B340" s="49" t="s">
        <v>1044</v>
      </c>
      <c r="C340" s="235">
        <v>1.8113199999999999E-2</v>
      </c>
      <c r="D340" s="235">
        <v>1.7454999999999998E-2</v>
      </c>
      <c r="E340" s="201">
        <v>42970705</v>
      </c>
      <c r="F340" s="201" t="s">
        <v>1930</v>
      </c>
      <c r="G340" s="233">
        <v>6629359</v>
      </c>
      <c r="H340" s="221">
        <v>5898600</v>
      </c>
      <c r="I340" s="233">
        <v>11402767</v>
      </c>
      <c r="J340" s="232">
        <v>739661</v>
      </c>
      <c r="K340" s="88">
        <f t="shared" si="17"/>
        <v>24670387</v>
      </c>
      <c r="L340" s="50"/>
      <c r="M340" s="233">
        <v>222448</v>
      </c>
      <c r="N340" s="233">
        <v>0</v>
      </c>
      <c r="O340" s="232">
        <v>227877</v>
      </c>
      <c r="P340" s="88">
        <f t="shared" si="18"/>
        <v>450325</v>
      </c>
      <c r="Q340" s="50"/>
      <c r="R340" s="233">
        <v>11936110</v>
      </c>
      <c r="S340" s="232">
        <v>-166296</v>
      </c>
      <c r="T340" s="234">
        <v>11769814</v>
      </c>
    </row>
    <row r="341" spans="1:20">
      <c r="A341" s="48">
        <v>93413</v>
      </c>
      <c r="B341" s="49" t="s">
        <v>1045</v>
      </c>
      <c r="C341" s="235">
        <v>7.1969999999999998E-4</v>
      </c>
      <c r="D341" s="235">
        <v>7.7070000000000003E-4</v>
      </c>
      <c r="E341" s="201">
        <v>1707375</v>
      </c>
      <c r="F341" s="201" t="s">
        <v>1930</v>
      </c>
      <c r="G341" s="233">
        <v>263407</v>
      </c>
      <c r="H341" s="221">
        <v>234372</v>
      </c>
      <c r="I341" s="233">
        <v>453071</v>
      </c>
      <c r="J341" s="232">
        <v>0</v>
      </c>
      <c r="K341" s="88">
        <f t="shared" si="17"/>
        <v>950850</v>
      </c>
      <c r="L341" s="50"/>
      <c r="M341" s="233">
        <v>8839</v>
      </c>
      <c r="N341" s="233">
        <v>0</v>
      </c>
      <c r="O341" s="232">
        <v>32288</v>
      </c>
      <c r="P341" s="88">
        <f t="shared" si="18"/>
        <v>41127</v>
      </c>
      <c r="Q341" s="50"/>
      <c r="R341" s="233">
        <v>474263</v>
      </c>
      <c r="S341" s="232">
        <v>-21077</v>
      </c>
      <c r="T341" s="234">
        <v>453186</v>
      </c>
    </row>
    <row r="342" spans="1:20">
      <c r="A342" s="48">
        <v>93417</v>
      </c>
      <c r="B342" s="49" t="s">
        <v>1046</v>
      </c>
      <c r="C342" s="235">
        <v>3.279E-4</v>
      </c>
      <c r="D342" s="235">
        <v>3.4430000000000002E-4</v>
      </c>
      <c r="E342" s="201">
        <v>777891</v>
      </c>
      <c r="F342" s="201" t="s">
        <v>1930</v>
      </c>
      <c r="G342" s="233">
        <v>120010</v>
      </c>
      <c r="H342" s="221">
        <v>106782</v>
      </c>
      <c r="I342" s="233">
        <v>206422</v>
      </c>
      <c r="J342" s="232">
        <v>10888</v>
      </c>
      <c r="K342" s="88">
        <f t="shared" si="17"/>
        <v>444102</v>
      </c>
      <c r="L342" s="50"/>
      <c r="M342" s="233">
        <v>4027</v>
      </c>
      <c r="N342" s="233">
        <v>0</v>
      </c>
      <c r="O342" s="232">
        <v>24803</v>
      </c>
      <c r="P342" s="88">
        <f t="shared" si="18"/>
        <v>28830</v>
      </c>
      <c r="Q342" s="50"/>
      <c r="R342" s="233">
        <v>216077</v>
      </c>
      <c r="S342" s="232">
        <v>8121</v>
      </c>
      <c r="T342" s="234">
        <v>224198</v>
      </c>
    </row>
    <row r="343" spans="1:20">
      <c r="A343" s="48">
        <v>93421</v>
      </c>
      <c r="B343" s="49" t="s">
        <v>2262</v>
      </c>
      <c r="C343" s="235">
        <v>2.1354999999999998E-3</v>
      </c>
      <c r="D343" s="235">
        <v>2.1294999999999999E-3</v>
      </c>
      <c r="E343" s="201">
        <v>5066136</v>
      </c>
      <c r="F343" s="201" t="s">
        <v>1930</v>
      </c>
      <c r="G343" s="233">
        <v>781584</v>
      </c>
      <c r="H343" s="221">
        <v>695430</v>
      </c>
      <c r="I343" s="233">
        <v>1344357</v>
      </c>
      <c r="J343" s="232">
        <v>0</v>
      </c>
      <c r="K343" s="88">
        <f t="shared" si="17"/>
        <v>2821371</v>
      </c>
      <c r="L343" s="50"/>
      <c r="M343" s="233">
        <v>26226</v>
      </c>
      <c r="N343" s="233">
        <v>0</v>
      </c>
      <c r="O343" s="232">
        <v>215571</v>
      </c>
      <c r="P343" s="88">
        <f t="shared" si="18"/>
        <v>241797</v>
      </c>
      <c r="Q343" s="50"/>
      <c r="R343" s="233">
        <v>1407237</v>
      </c>
      <c r="S343" s="232">
        <v>-143206</v>
      </c>
      <c r="T343" s="234">
        <v>1264031</v>
      </c>
    </row>
    <row r="344" spans="1:20">
      <c r="A344" s="48">
        <v>93431</v>
      </c>
      <c r="B344" s="49" t="s">
        <v>2263</v>
      </c>
      <c r="C344" s="235">
        <v>1.393E-4</v>
      </c>
      <c r="D344" s="235">
        <v>1.2689999999999999E-4</v>
      </c>
      <c r="E344" s="201">
        <v>330467</v>
      </c>
      <c r="F344" s="201" t="s">
        <v>1930</v>
      </c>
      <c r="G344" s="233">
        <v>50983</v>
      </c>
      <c r="H344" s="221">
        <v>45363</v>
      </c>
      <c r="I344" s="233">
        <v>87693</v>
      </c>
      <c r="J344" s="232">
        <v>17651</v>
      </c>
      <c r="K344" s="88">
        <f t="shared" si="17"/>
        <v>201690</v>
      </c>
      <c r="L344" s="50"/>
      <c r="M344" s="233">
        <v>1711</v>
      </c>
      <c r="N344" s="233">
        <v>0</v>
      </c>
      <c r="O344" s="232">
        <v>3344</v>
      </c>
      <c r="P344" s="88">
        <f t="shared" si="18"/>
        <v>5055</v>
      </c>
      <c r="Q344" s="50"/>
      <c r="R344" s="233">
        <v>91795</v>
      </c>
      <c r="S344" s="232">
        <v>3930</v>
      </c>
      <c r="T344" s="234">
        <v>95725</v>
      </c>
    </row>
    <row r="345" spans="1:20">
      <c r="A345" s="48">
        <v>93441</v>
      </c>
      <c r="B345" s="49" t="s">
        <v>2486</v>
      </c>
      <c r="C345" s="235">
        <v>1.651E-4</v>
      </c>
      <c r="D345" s="235">
        <v>1.54E-4</v>
      </c>
      <c r="E345" s="201">
        <v>391674</v>
      </c>
      <c r="F345" s="201" t="s">
        <v>1930</v>
      </c>
      <c r="G345" s="233">
        <v>60426</v>
      </c>
      <c r="H345" s="221">
        <v>53765</v>
      </c>
      <c r="I345" s="233">
        <v>103935</v>
      </c>
      <c r="J345" s="232">
        <v>21962</v>
      </c>
      <c r="K345" s="88">
        <f t="shared" si="17"/>
        <v>240088</v>
      </c>
      <c r="L345" s="50"/>
      <c r="M345" s="233">
        <v>2028</v>
      </c>
      <c r="N345" s="233">
        <v>0</v>
      </c>
      <c r="O345" s="232">
        <v>0</v>
      </c>
      <c r="P345" s="88">
        <f t="shared" si="18"/>
        <v>2028</v>
      </c>
      <c r="Q345" s="50"/>
      <c r="R345" s="233">
        <v>108796</v>
      </c>
      <c r="S345" s="232">
        <v>16238</v>
      </c>
      <c r="T345" s="234">
        <v>125034</v>
      </c>
    </row>
    <row r="346" spans="1:20">
      <c r="A346" s="48">
        <v>93442</v>
      </c>
      <c r="B346" s="49" t="s">
        <v>1050</v>
      </c>
      <c r="C346" s="235">
        <v>1.5139999999999999E-4</v>
      </c>
      <c r="D346" s="235">
        <v>1.505E-4</v>
      </c>
      <c r="E346" s="201">
        <v>359173</v>
      </c>
      <c r="F346" s="201" t="s">
        <v>1930</v>
      </c>
      <c r="G346" s="233">
        <v>55412</v>
      </c>
      <c r="H346" s="221">
        <v>49304</v>
      </c>
      <c r="I346" s="233">
        <v>95311</v>
      </c>
      <c r="J346" s="232">
        <v>2596</v>
      </c>
      <c r="K346" s="88">
        <f t="shared" si="17"/>
        <v>202623</v>
      </c>
      <c r="L346" s="50"/>
      <c r="M346" s="233">
        <v>1859</v>
      </c>
      <c r="N346" s="233">
        <v>0</v>
      </c>
      <c r="O346" s="232">
        <v>18150</v>
      </c>
      <c r="P346" s="88">
        <f t="shared" si="18"/>
        <v>20009</v>
      </c>
      <c r="Q346" s="50"/>
      <c r="R346" s="233">
        <v>99769</v>
      </c>
      <c r="S346" s="232">
        <v>-7850</v>
      </c>
      <c r="T346" s="234">
        <v>91919</v>
      </c>
    </row>
    <row r="347" spans="1:20">
      <c r="A347" s="48">
        <v>93451</v>
      </c>
      <c r="B347" s="49" t="s">
        <v>2264</v>
      </c>
      <c r="C347" s="235">
        <v>7.9599999999999997E-5</v>
      </c>
      <c r="D347" s="235">
        <v>7.0900000000000002E-5</v>
      </c>
      <c r="E347" s="201">
        <v>188838</v>
      </c>
      <c r="F347" s="201" t="s">
        <v>1930</v>
      </c>
      <c r="G347" s="233">
        <v>29133</v>
      </c>
      <c r="H347" s="221">
        <v>25922</v>
      </c>
      <c r="I347" s="233">
        <v>50110</v>
      </c>
      <c r="J347" s="232">
        <v>21182</v>
      </c>
      <c r="K347" s="88">
        <f t="shared" si="17"/>
        <v>126347</v>
      </c>
      <c r="L347" s="50"/>
      <c r="M347" s="233">
        <v>978</v>
      </c>
      <c r="N347" s="233">
        <v>0</v>
      </c>
      <c r="O347" s="232">
        <v>0</v>
      </c>
      <c r="P347" s="88">
        <f t="shared" si="18"/>
        <v>978</v>
      </c>
      <c r="Q347" s="50"/>
      <c r="R347" s="233">
        <v>52454</v>
      </c>
      <c r="S347" s="232">
        <v>8104</v>
      </c>
      <c r="T347" s="234">
        <v>60558</v>
      </c>
    </row>
    <row r="348" spans="1:20">
      <c r="A348" s="48">
        <v>93461</v>
      </c>
      <c r="B348" s="49" t="s">
        <v>2722</v>
      </c>
      <c r="C348" s="235">
        <v>1.6200000000000001E-5</v>
      </c>
      <c r="D348" s="235">
        <v>1.66E-5</v>
      </c>
      <c r="E348" s="201">
        <v>38432</v>
      </c>
      <c r="F348" s="201" t="s">
        <v>1930</v>
      </c>
      <c r="G348" s="233">
        <v>5929</v>
      </c>
      <c r="H348" s="221">
        <v>5275</v>
      </c>
      <c r="I348" s="233">
        <v>10198</v>
      </c>
      <c r="J348" s="232">
        <v>707</v>
      </c>
      <c r="K348" s="88">
        <f t="shared" si="17"/>
        <v>22109</v>
      </c>
      <c r="L348" s="50"/>
      <c r="M348" s="233">
        <v>199</v>
      </c>
      <c r="N348" s="233">
        <v>0</v>
      </c>
      <c r="O348" s="232">
        <v>0</v>
      </c>
      <c r="P348" s="88">
        <f t="shared" si="18"/>
        <v>199</v>
      </c>
      <c r="Q348" s="50"/>
      <c r="R348" s="233">
        <v>10675</v>
      </c>
      <c r="S348" s="232">
        <v>351</v>
      </c>
      <c r="T348" s="234">
        <v>11026</v>
      </c>
    </row>
    <row r="349" spans="1:20">
      <c r="A349" s="48">
        <v>93471</v>
      </c>
      <c r="B349" s="49" t="s">
        <v>2707</v>
      </c>
      <c r="C349" s="235">
        <v>1.15E-5</v>
      </c>
      <c r="D349" s="235">
        <v>1.31E-5</v>
      </c>
      <c r="E349" s="201">
        <v>27282</v>
      </c>
      <c r="F349" s="201" t="s">
        <v>1930</v>
      </c>
      <c r="G349" s="233">
        <v>4209</v>
      </c>
      <c r="H349" s="221">
        <v>3745</v>
      </c>
      <c r="I349" s="233">
        <v>7240</v>
      </c>
      <c r="J349" s="232">
        <v>4442</v>
      </c>
      <c r="K349" s="88">
        <f t="shared" si="17"/>
        <v>19636</v>
      </c>
      <c r="L349" s="50"/>
      <c r="M349" s="233">
        <v>141</v>
      </c>
      <c r="N349" s="233">
        <v>0</v>
      </c>
      <c r="O349" s="232">
        <v>0</v>
      </c>
      <c r="P349" s="88">
        <f t="shared" si="18"/>
        <v>141</v>
      </c>
      <c r="Q349" s="50"/>
      <c r="R349" s="233">
        <v>7578</v>
      </c>
      <c r="S349" s="232">
        <v>1610</v>
      </c>
      <c r="T349" s="234">
        <v>9188</v>
      </c>
    </row>
    <row r="350" spans="1:20">
      <c r="A350" s="48">
        <v>93501</v>
      </c>
      <c r="B350" s="49" t="s">
        <v>1054</v>
      </c>
      <c r="C350" s="235">
        <v>3.6803000000000001E-3</v>
      </c>
      <c r="D350" s="235">
        <v>3.6113999999999999E-3</v>
      </c>
      <c r="E350" s="201">
        <v>8730930</v>
      </c>
      <c r="F350" s="201" t="s">
        <v>1930</v>
      </c>
      <c r="G350" s="233">
        <v>1346975</v>
      </c>
      <c r="H350" s="221">
        <v>1198497</v>
      </c>
      <c r="I350" s="233">
        <v>2316852</v>
      </c>
      <c r="J350" s="232">
        <v>177586</v>
      </c>
      <c r="K350" s="88">
        <f t="shared" si="17"/>
        <v>5039910</v>
      </c>
      <c r="L350" s="50"/>
      <c r="M350" s="233">
        <v>45198</v>
      </c>
      <c r="N350" s="233">
        <v>0</v>
      </c>
      <c r="O350" s="232">
        <v>37454</v>
      </c>
      <c r="P350" s="88">
        <f t="shared" si="18"/>
        <v>82652</v>
      </c>
      <c r="Q350" s="50"/>
      <c r="R350" s="233">
        <v>2425218</v>
      </c>
      <c r="S350" s="232">
        <v>100778</v>
      </c>
      <c r="T350" s="234">
        <v>2525996</v>
      </c>
    </row>
    <row r="351" spans="1:20">
      <c r="A351" s="48">
        <v>93511</v>
      </c>
      <c r="B351" s="49" t="s">
        <v>2265</v>
      </c>
      <c r="C351" s="235">
        <v>8.8800000000000004E-5</v>
      </c>
      <c r="D351" s="235">
        <v>8.8300000000000005E-5</v>
      </c>
      <c r="E351" s="201">
        <v>210664</v>
      </c>
      <c r="F351" s="201" t="s">
        <v>1930</v>
      </c>
      <c r="G351" s="233">
        <v>32500</v>
      </c>
      <c r="H351" s="221">
        <v>28917</v>
      </c>
      <c r="I351" s="233">
        <v>55902</v>
      </c>
      <c r="J351" s="232">
        <v>5601</v>
      </c>
      <c r="K351" s="88">
        <f t="shared" si="17"/>
        <v>122920</v>
      </c>
      <c r="L351" s="50"/>
      <c r="M351" s="233">
        <v>1091</v>
      </c>
      <c r="N351" s="233">
        <v>0</v>
      </c>
      <c r="O351" s="232">
        <v>8503</v>
      </c>
      <c r="P351" s="88">
        <f t="shared" si="18"/>
        <v>9594</v>
      </c>
      <c r="Q351" s="50"/>
      <c r="R351" s="233">
        <v>58517</v>
      </c>
      <c r="S351" s="232">
        <v>-1309</v>
      </c>
      <c r="T351" s="234">
        <v>57208</v>
      </c>
    </row>
    <row r="352" spans="1:20">
      <c r="A352" s="48">
        <v>93517</v>
      </c>
      <c r="B352" s="49" t="s">
        <v>1056</v>
      </c>
      <c r="C352" s="235">
        <v>5.0000000000000004E-6</v>
      </c>
      <c r="D352" s="235">
        <v>6.0000000000000002E-6</v>
      </c>
      <c r="E352" s="201">
        <v>11862</v>
      </c>
      <c r="F352" s="201" t="s">
        <v>1930</v>
      </c>
      <c r="G352" s="233">
        <v>1830</v>
      </c>
      <c r="H352" s="221">
        <v>1628</v>
      </c>
      <c r="I352" s="233">
        <v>3148</v>
      </c>
      <c r="J352" s="232">
        <v>2812</v>
      </c>
      <c r="K352" s="88">
        <f t="shared" si="17"/>
        <v>9418</v>
      </c>
      <c r="L352" s="50"/>
      <c r="M352" s="233">
        <v>61</v>
      </c>
      <c r="N352" s="233">
        <v>0</v>
      </c>
      <c r="O352" s="232">
        <v>0</v>
      </c>
      <c r="P352" s="88">
        <f t="shared" si="18"/>
        <v>61</v>
      </c>
      <c r="Q352" s="50"/>
      <c r="R352" s="233">
        <v>3295</v>
      </c>
      <c r="S352" s="232">
        <v>1016</v>
      </c>
      <c r="T352" s="234">
        <v>4311</v>
      </c>
    </row>
    <row r="353" spans="1:20">
      <c r="A353" s="48">
        <v>93521</v>
      </c>
      <c r="B353" s="49" t="s">
        <v>2266</v>
      </c>
      <c r="C353" s="235">
        <v>4.639E-4</v>
      </c>
      <c r="D353" s="235">
        <v>4.5649999999999998E-4</v>
      </c>
      <c r="E353" s="201">
        <v>1100529</v>
      </c>
      <c r="F353" s="201" t="s">
        <v>1930</v>
      </c>
      <c r="G353" s="233">
        <v>169786</v>
      </c>
      <c r="H353" s="221">
        <v>151070</v>
      </c>
      <c r="I353" s="233">
        <v>292038</v>
      </c>
      <c r="J353" s="232">
        <v>6931</v>
      </c>
      <c r="K353" s="88">
        <f t="shared" si="17"/>
        <v>619825</v>
      </c>
      <c r="L353" s="50"/>
      <c r="M353" s="233">
        <v>5697</v>
      </c>
      <c r="N353" s="233">
        <v>0</v>
      </c>
      <c r="O353" s="232">
        <v>52279</v>
      </c>
      <c r="P353" s="88">
        <f t="shared" si="18"/>
        <v>57976</v>
      </c>
      <c r="Q353" s="50"/>
      <c r="R353" s="233">
        <v>305698</v>
      </c>
      <c r="S353" s="232">
        <v>-19233</v>
      </c>
      <c r="T353" s="234">
        <v>286465</v>
      </c>
    </row>
    <row r="354" spans="1:20">
      <c r="A354" s="48">
        <v>93527</v>
      </c>
      <c r="B354" s="49" t="s">
        <v>1058</v>
      </c>
      <c r="C354" s="235">
        <v>1.2799999999999999E-5</v>
      </c>
      <c r="D354" s="235">
        <v>1.2099999999999999E-5</v>
      </c>
      <c r="E354" s="201">
        <v>30366</v>
      </c>
      <c r="F354" s="201" t="s">
        <v>1930</v>
      </c>
      <c r="G354" s="233">
        <v>4685</v>
      </c>
      <c r="H354" s="221">
        <v>4168</v>
      </c>
      <c r="I354" s="233">
        <v>8058</v>
      </c>
      <c r="J354" s="232">
        <v>13477</v>
      </c>
      <c r="K354" s="88">
        <f t="shared" si="17"/>
        <v>30388</v>
      </c>
      <c r="L354" s="50"/>
      <c r="M354" s="233">
        <v>157</v>
      </c>
      <c r="N354" s="233">
        <v>0</v>
      </c>
      <c r="O354" s="232">
        <v>0</v>
      </c>
      <c r="P354" s="88">
        <f t="shared" si="18"/>
        <v>157</v>
      </c>
      <c r="Q354" s="50"/>
      <c r="R354" s="233">
        <v>8435</v>
      </c>
      <c r="S354" s="232">
        <v>6937</v>
      </c>
      <c r="T354" s="234">
        <v>15372</v>
      </c>
    </row>
    <row r="355" spans="1:20">
      <c r="A355" s="48">
        <v>93531</v>
      </c>
      <c r="B355" s="49" t="s">
        <v>2068</v>
      </c>
      <c r="C355" s="235">
        <v>3.0700000000000001E-5</v>
      </c>
      <c r="D355" s="235">
        <v>1.7E-5</v>
      </c>
      <c r="E355" s="201">
        <v>72831</v>
      </c>
      <c r="F355" s="201" t="s">
        <v>1930</v>
      </c>
      <c r="G355" s="233">
        <v>11236</v>
      </c>
      <c r="H355" s="221">
        <v>9997</v>
      </c>
      <c r="I355" s="233">
        <v>19327</v>
      </c>
      <c r="J355" s="232">
        <v>7722</v>
      </c>
      <c r="K355" s="88">
        <f t="shared" si="17"/>
        <v>48282</v>
      </c>
      <c r="L355" s="50"/>
      <c r="M355" s="233">
        <v>377</v>
      </c>
      <c r="N355" s="233">
        <v>0</v>
      </c>
      <c r="O355" s="232">
        <v>1264</v>
      </c>
      <c r="P355" s="88">
        <f t="shared" si="18"/>
        <v>1641</v>
      </c>
      <c r="Q355" s="50"/>
      <c r="R355" s="233">
        <v>20230</v>
      </c>
      <c r="S355" s="232">
        <v>601</v>
      </c>
      <c r="T355" s="234">
        <v>20831</v>
      </c>
    </row>
    <row r="356" spans="1:20">
      <c r="A356" s="48">
        <v>93537</v>
      </c>
      <c r="B356" s="49" t="s">
        <v>2267</v>
      </c>
      <c r="C356" s="235">
        <v>1.1E-5</v>
      </c>
      <c r="D356" s="235">
        <v>1.1199999999999999E-5</v>
      </c>
      <c r="E356" s="201">
        <v>26096</v>
      </c>
      <c r="F356" s="201" t="s">
        <v>1930</v>
      </c>
      <c r="G356" s="233">
        <v>4026</v>
      </c>
      <c r="H356" s="221">
        <v>3582</v>
      </c>
      <c r="I356" s="233">
        <v>6925</v>
      </c>
      <c r="J356" s="232">
        <v>0</v>
      </c>
      <c r="K356" s="88">
        <f t="shared" si="17"/>
        <v>14533</v>
      </c>
      <c r="L356" s="50"/>
      <c r="M356" s="233">
        <v>135</v>
      </c>
      <c r="N356" s="233">
        <v>0</v>
      </c>
      <c r="O356" s="232">
        <v>2378</v>
      </c>
      <c r="P356" s="88">
        <f t="shared" si="18"/>
        <v>2513</v>
      </c>
      <c r="Q356" s="50"/>
      <c r="R356" s="233">
        <v>7249</v>
      </c>
      <c r="S356" s="232">
        <v>-840</v>
      </c>
      <c r="T356" s="234">
        <v>6409</v>
      </c>
    </row>
    <row r="357" spans="1:20">
      <c r="A357" s="48">
        <v>93541</v>
      </c>
      <c r="B357" s="49" t="s">
        <v>2268</v>
      </c>
      <c r="C357" s="235">
        <v>8.9800000000000001E-5</v>
      </c>
      <c r="D357" s="235">
        <v>1.0560000000000001E-4</v>
      </c>
      <c r="E357" s="201">
        <v>213036</v>
      </c>
      <c r="F357" s="201" t="s">
        <v>1930</v>
      </c>
      <c r="G357" s="233">
        <v>32866</v>
      </c>
      <c r="H357" s="221">
        <v>29244</v>
      </c>
      <c r="I357" s="233">
        <v>56532</v>
      </c>
      <c r="J357" s="232">
        <v>226</v>
      </c>
      <c r="K357" s="88">
        <f t="shared" si="17"/>
        <v>118868</v>
      </c>
      <c r="L357" s="50"/>
      <c r="M357" s="233">
        <v>1103</v>
      </c>
      <c r="N357" s="233">
        <v>0</v>
      </c>
      <c r="O357" s="232">
        <v>5147</v>
      </c>
      <c r="P357" s="88">
        <f t="shared" si="18"/>
        <v>6250</v>
      </c>
      <c r="Q357" s="50"/>
      <c r="R357" s="233">
        <v>59176</v>
      </c>
      <c r="S357" s="232">
        <v>2777</v>
      </c>
      <c r="T357" s="234">
        <v>61953</v>
      </c>
    </row>
    <row r="358" spans="1:20">
      <c r="A358" s="48">
        <v>93601</v>
      </c>
      <c r="B358" s="49" t="s">
        <v>1062</v>
      </c>
      <c r="C358" s="235">
        <v>1.11494E-2</v>
      </c>
      <c r="D358" s="235">
        <v>1.0721400000000001E-2</v>
      </c>
      <c r="E358" s="201">
        <v>26450190</v>
      </c>
      <c r="F358" s="201" t="s">
        <v>1930</v>
      </c>
      <c r="G358" s="233">
        <v>4080636</v>
      </c>
      <c r="H358" s="221">
        <v>3630824</v>
      </c>
      <c r="I358" s="233">
        <v>7018859</v>
      </c>
      <c r="J358" s="232">
        <v>430627</v>
      </c>
      <c r="K358" s="88">
        <f t="shared" si="17"/>
        <v>15160946</v>
      </c>
      <c r="L358" s="50"/>
      <c r="M358" s="233">
        <v>136926</v>
      </c>
      <c r="N358" s="233">
        <v>0</v>
      </c>
      <c r="O358" s="232">
        <v>172766</v>
      </c>
      <c r="P358" s="88">
        <f t="shared" si="18"/>
        <v>309692</v>
      </c>
      <c r="Q358" s="50"/>
      <c r="R358" s="233">
        <v>7347154</v>
      </c>
      <c r="S358" s="232">
        <v>9789</v>
      </c>
      <c r="T358" s="234">
        <v>7356943</v>
      </c>
    </row>
    <row r="359" spans="1:20">
      <c r="A359" s="48">
        <v>93602</v>
      </c>
      <c r="B359" s="49" t="s">
        <v>2689</v>
      </c>
      <c r="C359" s="235">
        <v>1.8340000000000001E-4</v>
      </c>
      <c r="D359" s="235">
        <v>1.7540000000000001E-4</v>
      </c>
      <c r="E359" s="201">
        <v>435088</v>
      </c>
      <c r="F359" s="201" t="s">
        <v>1930</v>
      </c>
      <c r="G359" s="233">
        <v>67124</v>
      </c>
      <c r="H359" s="221">
        <v>59724</v>
      </c>
      <c r="I359" s="233">
        <v>115455</v>
      </c>
      <c r="J359" s="232">
        <v>10138</v>
      </c>
      <c r="K359" s="88">
        <f t="shared" si="17"/>
        <v>252441</v>
      </c>
      <c r="L359" s="50"/>
      <c r="M359" s="233">
        <v>2252</v>
      </c>
      <c r="N359" s="233">
        <v>0</v>
      </c>
      <c r="O359" s="232">
        <v>6076</v>
      </c>
      <c r="P359" s="88">
        <f t="shared" si="18"/>
        <v>8328</v>
      </c>
      <c r="Q359" s="50"/>
      <c r="R359" s="233">
        <v>120856</v>
      </c>
      <c r="S359" s="232">
        <v>-1090</v>
      </c>
      <c r="T359" s="234">
        <v>119766</v>
      </c>
    </row>
    <row r="360" spans="1:20" s="198" customFormat="1">
      <c r="A360" s="200">
        <v>93604</v>
      </c>
      <c r="B360" s="199" t="s">
        <v>1932</v>
      </c>
      <c r="C360" s="235">
        <v>2.0100000000000001E-5</v>
      </c>
      <c r="D360" s="235">
        <v>0</v>
      </c>
      <c r="E360" s="201">
        <v>47684</v>
      </c>
      <c r="F360" s="201" t="s">
        <v>1930</v>
      </c>
      <c r="G360" s="233">
        <v>7357</v>
      </c>
      <c r="H360" s="221">
        <v>6545</v>
      </c>
      <c r="I360" s="233">
        <v>12654</v>
      </c>
      <c r="J360" s="232">
        <v>19602</v>
      </c>
      <c r="K360" s="88">
        <f t="shared" si="17"/>
        <v>46158</v>
      </c>
      <c r="L360" s="197"/>
      <c r="M360" s="233">
        <v>247</v>
      </c>
      <c r="N360" s="233">
        <v>0</v>
      </c>
      <c r="O360" s="232">
        <v>0</v>
      </c>
      <c r="P360" s="88">
        <f t="shared" si="18"/>
        <v>247</v>
      </c>
      <c r="Q360" s="197"/>
      <c r="R360" s="233">
        <v>13245</v>
      </c>
      <c r="S360" s="232">
        <v>4900</v>
      </c>
      <c r="T360" s="234">
        <v>18145</v>
      </c>
    </row>
    <row r="361" spans="1:20">
      <c r="A361" s="48">
        <v>93609</v>
      </c>
      <c r="B361" s="49" t="s">
        <v>1064</v>
      </c>
      <c r="C361" s="235">
        <v>3.9097000000000003E-3</v>
      </c>
      <c r="D361" s="235">
        <v>3.7629999999999999E-3</v>
      </c>
      <c r="E361" s="201">
        <v>9275146</v>
      </c>
      <c r="F361" s="201" t="s">
        <v>1930</v>
      </c>
      <c r="G361" s="233">
        <v>1430935</v>
      </c>
      <c r="H361" s="221">
        <v>1273202</v>
      </c>
      <c r="I361" s="233">
        <v>2461266</v>
      </c>
      <c r="J361" s="232">
        <v>502120</v>
      </c>
      <c r="K361" s="88">
        <f t="shared" si="17"/>
        <v>5667523</v>
      </c>
      <c r="L361" s="50"/>
      <c r="M361" s="233">
        <v>48015</v>
      </c>
      <c r="N361" s="233">
        <v>0</v>
      </c>
      <c r="O361" s="232">
        <v>0</v>
      </c>
      <c r="P361" s="88">
        <f t="shared" si="18"/>
        <v>48015</v>
      </c>
      <c r="Q361" s="50"/>
      <c r="R361" s="233">
        <v>2576387</v>
      </c>
      <c r="S361" s="232">
        <v>367709</v>
      </c>
      <c r="T361" s="234">
        <v>2944096</v>
      </c>
    </row>
    <row r="362" spans="1:20">
      <c r="A362" s="48">
        <v>93610</v>
      </c>
      <c r="B362" s="49" t="s">
        <v>2587</v>
      </c>
      <c r="C362" s="235">
        <v>1.5500000000000001E-5</v>
      </c>
      <c r="D362" s="235">
        <v>1.33E-5</v>
      </c>
      <c r="E362" s="202">
        <v>36771</v>
      </c>
      <c r="F362" s="202" t="s">
        <v>1930</v>
      </c>
      <c r="G362" s="233">
        <v>5673</v>
      </c>
      <c r="H362" s="221">
        <v>5047</v>
      </c>
      <c r="I362" s="233">
        <v>9758</v>
      </c>
      <c r="J362" s="232">
        <v>4558</v>
      </c>
      <c r="K362" s="88">
        <f t="shared" si="17"/>
        <v>25036</v>
      </c>
      <c r="L362" s="50"/>
      <c r="M362" s="233">
        <v>190</v>
      </c>
      <c r="N362" s="233">
        <v>0</v>
      </c>
      <c r="O362" s="232">
        <v>2193</v>
      </c>
      <c r="P362" s="88">
        <f t="shared" si="18"/>
        <v>2383</v>
      </c>
      <c r="Q362" s="50"/>
      <c r="R362" s="233">
        <v>10214</v>
      </c>
      <c r="S362" s="232">
        <v>1404</v>
      </c>
      <c r="T362" s="234">
        <v>11618</v>
      </c>
    </row>
    <row r="363" spans="1:20">
      <c r="A363" s="48">
        <v>93611</v>
      </c>
      <c r="B363" s="49" t="s">
        <v>1066</v>
      </c>
      <c r="C363" s="235">
        <v>6.9170000000000004E-3</v>
      </c>
      <c r="D363" s="235">
        <v>6.9544000000000003E-3</v>
      </c>
      <c r="E363" s="202">
        <v>16409490</v>
      </c>
      <c r="F363" s="202" t="s">
        <v>1930</v>
      </c>
      <c r="G363" s="233">
        <v>2531594</v>
      </c>
      <c r="H363" s="221">
        <v>2252535</v>
      </c>
      <c r="I363" s="233">
        <v>4354445</v>
      </c>
      <c r="J363" s="232">
        <v>45861</v>
      </c>
      <c r="K363" s="88">
        <f t="shared" si="17"/>
        <v>9184435</v>
      </c>
      <c r="L363" s="50"/>
      <c r="M363" s="233">
        <v>84948</v>
      </c>
      <c r="N363" s="233">
        <v>0</v>
      </c>
      <c r="O363" s="232">
        <v>74749</v>
      </c>
      <c r="P363" s="88">
        <f t="shared" si="18"/>
        <v>159697</v>
      </c>
      <c r="Q363" s="50"/>
      <c r="R363" s="233">
        <v>4558116</v>
      </c>
      <c r="S363" s="232">
        <v>-105909</v>
      </c>
      <c r="T363" s="234">
        <v>4452207</v>
      </c>
    </row>
    <row r="364" spans="1:20">
      <c r="A364" s="48">
        <v>93617</v>
      </c>
      <c r="B364" s="49" t="s">
        <v>1067</v>
      </c>
      <c r="C364" s="235">
        <v>8.7499999999999999E-5</v>
      </c>
      <c r="D364" s="235">
        <v>8.2799999999999993E-5</v>
      </c>
      <c r="E364" s="202">
        <v>207580</v>
      </c>
      <c r="F364" s="202" t="s">
        <v>1930</v>
      </c>
      <c r="G364" s="233">
        <v>32025</v>
      </c>
      <c r="H364" s="221">
        <v>28494</v>
      </c>
      <c r="I364" s="233">
        <v>55084</v>
      </c>
      <c r="J364" s="232">
        <v>21712</v>
      </c>
      <c r="K364" s="88">
        <f t="shared" si="17"/>
        <v>137315</v>
      </c>
      <c r="L364" s="50"/>
      <c r="M364" s="233">
        <v>1075</v>
      </c>
      <c r="N364" s="233">
        <v>0</v>
      </c>
      <c r="O364" s="232">
        <v>0</v>
      </c>
      <c r="P364" s="88">
        <f t="shared" si="18"/>
        <v>1075</v>
      </c>
      <c r="Q364" s="50"/>
      <c r="R364" s="233">
        <v>57660</v>
      </c>
      <c r="S364" s="232">
        <v>13203</v>
      </c>
      <c r="T364" s="234">
        <v>70863</v>
      </c>
    </row>
    <row r="365" spans="1:20">
      <c r="A365" s="48">
        <v>93618</v>
      </c>
      <c r="B365" s="49" t="s">
        <v>1068</v>
      </c>
      <c r="C365" s="235">
        <v>1.03E-5</v>
      </c>
      <c r="D365" s="235">
        <v>1.11E-5</v>
      </c>
      <c r="E365" s="202">
        <v>24435</v>
      </c>
      <c r="F365" s="202" t="s">
        <v>1930</v>
      </c>
      <c r="G365" s="233">
        <v>3770</v>
      </c>
      <c r="H365" s="221">
        <v>3354</v>
      </c>
      <c r="I365" s="233">
        <v>6484</v>
      </c>
      <c r="J365" s="232">
        <v>36884</v>
      </c>
      <c r="K365" s="88">
        <f t="shared" si="17"/>
        <v>50492</v>
      </c>
      <c r="L365" s="50"/>
      <c r="M365" s="233">
        <v>126</v>
      </c>
      <c r="N365" s="233">
        <v>0</v>
      </c>
      <c r="O365" s="232">
        <v>0</v>
      </c>
      <c r="P365" s="88">
        <f t="shared" si="18"/>
        <v>126</v>
      </c>
      <c r="Q365" s="50"/>
      <c r="R365" s="233">
        <v>6787</v>
      </c>
      <c r="S365" s="232">
        <v>16035</v>
      </c>
      <c r="T365" s="234">
        <v>22822</v>
      </c>
    </row>
    <row r="366" spans="1:20">
      <c r="A366" s="48">
        <v>93621</v>
      </c>
      <c r="B366" s="49" t="s">
        <v>1069</v>
      </c>
      <c r="C366" s="235">
        <v>1.0273000000000001E-3</v>
      </c>
      <c r="D366" s="235">
        <v>9.5719999999999996E-4</v>
      </c>
      <c r="E366" s="202">
        <v>2437107</v>
      </c>
      <c r="F366" s="202" t="s">
        <v>1930</v>
      </c>
      <c r="G366" s="233">
        <v>375988</v>
      </c>
      <c r="H366" s="221">
        <v>334542</v>
      </c>
      <c r="I366" s="233">
        <v>646714</v>
      </c>
      <c r="J366" s="232">
        <v>51082</v>
      </c>
      <c r="K366" s="88">
        <f t="shared" si="17"/>
        <v>1408326</v>
      </c>
      <c r="L366" s="50"/>
      <c r="M366" s="233">
        <v>12616</v>
      </c>
      <c r="N366" s="233">
        <v>0</v>
      </c>
      <c r="O366" s="232">
        <v>41250</v>
      </c>
      <c r="P366" s="88">
        <f t="shared" si="18"/>
        <v>53866</v>
      </c>
      <c r="Q366" s="50"/>
      <c r="R366" s="233">
        <v>676963</v>
      </c>
      <c r="S366" s="232">
        <v>-22728</v>
      </c>
      <c r="T366" s="234">
        <v>654235</v>
      </c>
    </row>
    <row r="367" spans="1:20">
      <c r="A367" s="48">
        <v>93623</v>
      </c>
      <c r="B367" s="49" t="s">
        <v>1070</v>
      </c>
      <c r="C367" s="235">
        <v>1.2E-5</v>
      </c>
      <c r="D367" s="235">
        <v>1.2799999999999999E-5</v>
      </c>
      <c r="E367" s="202">
        <v>28468</v>
      </c>
      <c r="F367" s="202" t="s">
        <v>1930</v>
      </c>
      <c r="G367" s="233">
        <v>4392</v>
      </c>
      <c r="H367" s="221">
        <v>3908</v>
      </c>
      <c r="I367" s="233">
        <v>7554</v>
      </c>
      <c r="J367" s="232">
        <v>5015</v>
      </c>
      <c r="K367" s="88">
        <f t="shared" si="17"/>
        <v>20869</v>
      </c>
      <c r="L367" s="50"/>
      <c r="M367" s="233">
        <v>147</v>
      </c>
      <c r="N367" s="233">
        <v>0</v>
      </c>
      <c r="O367" s="232">
        <v>0</v>
      </c>
      <c r="P367" s="88">
        <f t="shared" si="18"/>
        <v>147</v>
      </c>
      <c r="Q367" s="50"/>
      <c r="R367" s="233">
        <v>7908</v>
      </c>
      <c r="S367" s="232">
        <v>2264</v>
      </c>
      <c r="T367" s="234">
        <v>10172</v>
      </c>
    </row>
    <row r="368" spans="1:20">
      <c r="A368" s="48">
        <v>93631</v>
      </c>
      <c r="B368" s="49" t="s">
        <v>2269</v>
      </c>
      <c r="C368" s="235">
        <v>2.232E-4</v>
      </c>
      <c r="D368" s="235">
        <v>2.252E-4</v>
      </c>
      <c r="E368" s="202">
        <v>529507</v>
      </c>
      <c r="F368" s="202" t="s">
        <v>1930</v>
      </c>
      <c r="G368" s="233">
        <v>81690</v>
      </c>
      <c r="H368" s="221">
        <v>72685</v>
      </c>
      <c r="I368" s="233">
        <v>140511</v>
      </c>
      <c r="J368" s="232">
        <v>0</v>
      </c>
      <c r="K368" s="88">
        <f t="shared" si="17"/>
        <v>294886</v>
      </c>
      <c r="L368" s="50"/>
      <c r="M368" s="233">
        <v>2741</v>
      </c>
      <c r="N368" s="233">
        <v>0</v>
      </c>
      <c r="O368" s="232">
        <v>17227</v>
      </c>
      <c r="P368" s="88">
        <f t="shared" si="18"/>
        <v>19968</v>
      </c>
      <c r="Q368" s="50"/>
      <c r="R368" s="233">
        <v>147083</v>
      </c>
      <c r="S368" s="232">
        <v>-8056</v>
      </c>
      <c r="T368" s="234">
        <v>139027</v>
      </c>
    </row>
    <row r="369" spans="1:20">
      <c r="A369" s="48">
        <v>93641</v>
      </c>
      <c r="B369" s="49" t="s">
        <v>1072</v>
      </c>
      <c r="C369" s="235">
        <v>3.724E-4</v>
      </c>
      <c r="D369" s="235">
        <v>4.0450000000000002E-4</v>
      </c>
      <c r="E369" s="202">
        <v>883460</v>
      </c>
      <c r="F369" s="202" t="s">
        <v>1930</v>
      </c>
      <c r="G369" s="233">
        <v>136297</v>
      </c>
      <c r="H369" s="221">
        <v>121273</v>
      </c>
      <c r="I369" s="233">
        <v>234436</v>
      </c>
      <c r="J369" s="232">
        <v>6510</v>
      </c>
      <c r="K369" s="88">
        <f t="shared" si="17"/>
        <v>498516</v>
      </c>
      <c r="L369" s="50"/>
      <c r="M369" s="233">
        <v>4573</v>
      </c>
      <c r="N369" s="233">
        <v>0</v>
      </c>
      <c r="O369" s="232">
        <v>10470</v>
      </c>
      <c r="P369" s="88">
        <f t="shared" si="18"/>
        <v>15043</v>
      </c>
      <c r="Q369" s="50"/>
      <c r="R369" s="233">
        <v>245402</v>
      </c>
      <c r="S369" s="232">
        <v>4214</v>
      </c>
      <c r="T369" s="234">
        <v>249616</v>
      </c>
    </row>
    <row r="370" spans="1:20">
      <c r="A370" s="48">
        <v>93647</v>
      </c>
      <c r="B370" s="49" t="s">
        <v>1073</v>
      </c>
      <c r="C370" s="235">
        <v>6.1E-6</v>
      </c>
      <c r="D370" s="235">
        <v>6.0000000000000002E-6</v>
      </c>
      <c r="E370" s="202">
        <v>14471</v>
      </c>
      <c r="F370" s="202" t="s">
        <v>1930</v>
      </c>
      <c r="G370" s="233">
        <v>2233</v>
      </c>
      <c r="H370" s="221">
        <v>1987</v>
      </c>
      <c r="I370" s="233">
        <v>3840</v>
      </c>
      <c r="J370" s="232">
        <v>12946</v>
      </c>
      <c r="K370" s="88">
        <f t="shared" si="17"/>
        <v>21006</v>
      </c>
      <c r="L370" s="50"/>
      <c r="M370" s="233">
        <v>75</v>
      </c>
      <c r="N370" s="233">
        <v>0</v>
      </c>
      <c r="O370" s="232">
        <v>0</v>
      </c>
      <c r="P370" s="88">
        <f t="shared" si="18"/>
        <v>75</v>
      </c>
      <c r="Q370" s="50"/>
      <c r="R370" s="233">
        <v>4020</v>
      </c>
      <c r="S370" s="232">
        <v>6024</v>
      </c>
      <c r="T370" s="234">
        <v>10044</v>
      </c>
    </row>
    <row r="371" spans="1:20">
      <c r="A371" s="48">
        <v>93651</v>
      </c>
      <c r="B371" s="49" t="s">
        <v>2270</v>
      </c>
      <c r="C371" s="235">
        <v>4.507E-4</v>
      </c>
      <c r="D371" s="235">
        <v>4.3800000000000002E-4</v>
      </c>
      <c r="E371" s="202">
        <v>1069215</v>
      </c>
      <c r="F371" s="202" t="s">
        <v>1930</v>
      </c>
      <c r="G371" s="233">
        <v>164954</v>
      </c>
      <c r="H371" s="221">
        <v>146771</v>
      </c>
      <c r="I371" s="233">
        <v>283728</v>
      </c>
      <c r="J371" s="232">
        <v>2626</v>
      </c>
      <c r="K371" s="88">
        <f t="shared" si="17"/>
        <v>598079</v>
      </c>
      <c r="L371" s="50"/>
      <c r="M371" s="233">
        <v>5535</v>
      </c>
      <c r="N371" s="233">
        <v>0</v>
      </c>
      <c r="O371" s="232">
        <v>13366</v>
      </c>
      <c r="P371" s="88">
        <f t="shared" si="18"/>
        <v>18901</v>
      </c>
      <c r="Q371" s="50"/>
      <c r="R371" s="233">
        <v>296999</v>
      </c>
      <c r="S371" s="232">
        <v>-2560</v>
      </c>
      <c r="T371" s="234">
        <v>294439</v>
      </c>
    </row>
    <row r="372" spans="1:20">
      <c r="A372" s="48">
        <v>93661</v>
      </c>
      <c r="B372" s="49" t="s">
        <v>1075</v>
      </c>
      <c r="C372" s="235">
        <v>1.4449999999999999E-4</v>
      </c>
      <c r="D372" s="235">
        <v>1.3410000000000001E-4</v>
      </c>
      <c r="E372" s="202">
        <v>342803</v>
      </c>
      <c r="F372" s="202" t="s">
        <v>1930</v>
      </c>
      <c r="G372" s="233">
        <v>52886</v>
      </c>
      <c r="H372" s="221">
        <v>47056</v>
      </c>
      <c r="I372" s="233">
        <v>90967</v>
      </c>
      <c r="J372" s="232">
        <v>11364</v>
      </c>
      <c r="K372" s="88">
        <f t="shared" si="17"/>
        <v>202273</v>
      </c>
      <c r="L372" s="50"/>
      <c r="M372" s="233">
        <v>1775</v>
      </c>
      <c r="N372" s="233">
        <v>0</v>
      </c>
      <c r="O372" s="232">
        <v>0</v>
      </c>
      <c r="P372" s="88">
        <f t="shared" si="18"/>
        <v>1775</v>
      </c>
      <c r="Q372" s="50"/>
      <c r="R372" s="233">
        <v>95222</v>
      </c>
      <c r="S372" s="232">
        <v>5935</v>
      </c>
      <c r="T372" s="234">
        <v>101157</v>
      </c>
    </row>
    <row r="373" spans="1:20">
      <c r="A373" s="48">
        <v>93671</v>
      </c>
      <c r="B373" s="49" t="s">
        <v>1076</v>
      </c>
      <c r="C373" s="235">
        <v>3.3950000000000001E-4</v>
      </c>
      <c r="D373" s="235">
        <v>3.5530000000000002E-4</v>
      </c>
      <c r="E373" s="202">
        <v>805410</v>
      </c>
      <c r="F373" s="202" t="s">
        <v>1930</v>
      </c>
      <c r="G373" s="233">
        <v>124256</v>
      </c>
      <c r="H373" s="221">
        <v>110559</v>
      </c>
      <c r="I373" s="233">
        <v>213725</v>
      </c>
      <c r="J373" s="232">
        <v>15579</v>
      </c>
      <c r="K373" s="88">
        <f t="shared" si="17"/>
        <v>464119</v>
      </c>
      <c r="L373" s="50"/>
      <c r="M373" s="233">
        <v>4169</v>
      </c>
      <c r="N373" s="233">
        <v>0</v>
      </c>
      <c r="O373" s="232">
        <v>2038</v>
      </c>
      <c r="P373" s="88">
        <f t="shared" si="18"/>
        <v>6207</v>
      </c>
      <c r="Q373" s="50"/>
      <c r="R373" s="233">
        <v>223721</v>
      </c>
      <c r="S373" s="232">
        <v>29805</v>
      </c>
      <c r="T373" s="234">
        <v>253526</v>
      </c>
    </row>
    <row r="374" spans="1:20">
      <c r="A374" s="48">
        <v>93677</v>
      </c>
      <c r="B374" s="49" t="s">
        <v>98</v>
      </c>
      <c r="C374" s="235">
        <v>0</v>
      </c>
      <c r="D374" s="235">
        <v>0</v>
      </c>
      <c r="E374" s="202">
        <v>0</v>
      </c>
      <c r="F374" s="202" t="s">
        <v>1930</v>
      </c>
      <c r="G374" s="233">
        <v>0</v>
      </c>
      <c r="H374" s="221">
        <v>0</v>
      </c>
      <c r="I374" s="233">
        <v>0</v>
      </c>
      <c r="J374" s="232">
        <v>0</v>
      </c>
      <c r="K374" s="88">
        <f t="shared" si="17"/>
        <v>0</v>
      </c>
      <c r="L374" s="50"/>
      <c r="M374" s="233">
        <v>0</v>
      </c>
      <c r="N374" s="233">
        <v>0</v>
      </c>
      <c r="O374" s="232">
        <v>0</v>
      </c>
      <c r="P374" s="88">
        <f t="shared" si="18"/>
        <v>0</v>
      </c>
      <c r="Q374" s="50"/>
      <c r="R374" s="233">
        <v>0</v>
      </c>
      <c r="S374" s="232">
        <v>-718</v>
      </c>
      <c r="T374" s="234">
        <v>-718</v>
      </c>
    </row>
    <row r="375" spans="1:20">
      <c r="A375" s="48">
        <v>93681</v>
      </c>
      <c r="B375" s="49" t="s">
        <v>2271</v>
      </c>
      <c r="C375" s="235">
        <v>1.211E-4</v>
      </c>
      <c r="D375" s="235">
        <v>1.1179999999999999E-4</v>
      </c>
      <c r="E375" s="202">
        <v>287291</v>
      </c>
      <c r="F375" s="202" t="s">
        <v>1930</v>
      </c>
      <c r="G375" s="233">
        <v>44322</v>
      </c>
      <c r="H375" s="221">
        <v>39436</v>
      </c>
      <c r="I375" s="233">
        <v>76236</v>
      </c>
      <c r="J375" s="232">
        <v>6600</v>
      </c>
      <c r="K375" s="88">
        <f t="shared" si="17"/>
        <v>166594</v>
      </c>
      <c r="L375" s="50"/>
      <c r="M375" s="233">
        <v>1487</v>
      </c>
      <c r="N375" s="233">
        <v>0</v>
      </c>
      <c r="O375" s="232">
        <v>6023</v>
      </c>
      <c r="P375" s="88">
        <f t="shared" si="18"/>
        <v>7510</v>
      </c>
      <c r="Q375" s="50"/>
      <c r="R375" s="233">
        <v>79802</v>
      </c>
      <c r="S375" s="232">
        <v>-4842</v>
      </c>
      <c r="T375" s="234">
        <v>74960</v>
      </c>
    </row>
    <row r="376" spans="1:20">
      <c r="A376" s="48">
        <v>93691</v>
      </c>
      <c r="B376" s="49" t="s">
        <v>1078</v>
      </c>
      <c r="C376" s="235">
        <v>1.0357999999999999E-3</v>
      </c>
      <c r="D376" s="235">
        <v>1.0858E-3</v>
      </c>
      <c r="E376" s="202">
        <v>2457272</v>
      </c>
      <c r="F376" s="202" t="s">
        <v>1930</v>
      </c>
      <c r="G376" s="233">
        <v>379099</v>
      </c>
      <c r="H376" s="221">
        <v>337310</v>
      </c>
      <c r="I376" s="233">
        <v>652065</v>
      </c>
      <c r="J376" s="232">
        <v>0</v>
      </c>
      <c r="K376" s="88">
        <f t="shared" si="17"/>
        <v>1368474</v>
      </c>
      <c r="L376" s="50"/>
      <c r="M376" s="233">
        <v>12721</v>
      </c>
      <c r="N376" s="233">
        <v>0</v>
      </c>
      <c r="O376" s="232">
        <v>115243</v>
      </c>
      <c r="P376" s="88">
        <f t="shared" si="18"/>
        <v>127964</v>
      </c>
      <c r="Q376" s="50"/>
      <c r="R376" s="233">
        <v>682564</v>
      </c>
      <c r="S376" s="232">
        <v>-52906</v>
      </c>
      <c r="T376" s="234">
        <v>629658</v>
      </c>
    </row>
    <row r="377" spans="1:20">
      <c r="A377" s="48">
        <v>93701</v>
      </c>
      <c r="B377" s="49" t="s">
        <v>1079</v>
      </c>
      <c r="C377" s="235">
        <v>4.6779999999999999E-4</v>
      </c>
      <c r="D377" s="235">
        <v>4.5800000000000002E-4</v>
      </c>
      <c r="E377" s="202">
        <v>1109782</v>
      </c>
      <c r="F377" s="202" t="s">
        <v>1930</v>
      </c>
      <c r="G377" s="233">
        <v>171213</v>
      </c>
      <c r="H377" s="221">
        <v>152340</v>
      </c>
      <c r="I377" s="233">
        <v>294493</v>
      </c>
      <c r="J377" s="232">
        <v>2163</v>
      </c>
      <c r="K377" s="88">
        <f t="shared" si="17"/>
        <v>620209</v>
      </c>
      <c r="L377" s="50"/>
      <c r="M377" s="233">
        <v>5745</v>
      </c>
      <c r="N377" s="233">
        <v>0</v>
      </c>
      <c r="O377" s="232">
        <v>13331</v>
      </c>
      <c r="P377" s="88">
        <f t="shared" si="18"/>
        <v>19076</v>
      </c>
      <c r="Q377" s="50"/>
      <c r="R377" s="233">
        <v>308268</v>
      </c>
      <c r="S377" s="232">
        <v>304</v>
      </c>
      <c r="T377" s="234">
        <v>308572</v>
      </c>
    </row>
    <row r="378" spans="1:20">
      <c r="A378" s="48">
        <v>93704</v>
      </c>
      <c r="B378" s="49" t="s">
        <v>1080</v>
      </c>
      <c r="C378" s="235">
        <v>2.7E-6</v>
      </c>
      <c r="D378" s="235">
        <v>3.0000000000000001E-6</v>
      </c>
      <c r="E378" s="202">
        <v>6405</v>
      </c>
      <c r="F378" s="202" t="s">
        <v>1930</v>
      </c>
      <c r="G378" s="233">
        <v>988</v>
      </c>
      <c r="H378" s="221">
        <v>879</v>
      </c>
      <c r="I378" s="233">
        <v>1700</v>
      </c>
      <c r="J378" s="232">
        <v>747</v>
      </c>
      <c r="K378" s="88">
        <f t="shared" si="17"/>
        <v>4314</v>
      </c>
      <c r="L378" s="50"/>
      <c r="M378" s="233">
        <v>33</v>
      </c>
      <c r="N378" s="233">
        <v>0</v>
      </c>
      <c r="O378" s="232">
        <v>0</v>
      </c>
      <c r="P378" s="88">
        <f t="shared" si="18"/>
        <v>33</v>
      </c>
      <c r="Q378" s="50"/>
      <c r="R378" s="233">
        <v>1779</v>
      </c>
      <c r="S378" s="232">
        <v>224</v>
      </c>
      <c r="T378" s="234">
        <v>2003</v>
      </c>
    </row>
    <row r="379" spans="1:20">
      <c r="A379" s="48">
        <v>93801</v>
      </c>
      <c r="B379" s="49" t="s">
        <v>1081</v>
      </c>
      <c r="C379" s="235">
        <v>4.3570000000000002E-4</v>
      </c>
      <c r="D379" s="235">
        <v>4.7889999999999999E-4</v>
      </c>
      <c r="E379" s="202">
        <v>1033629</v>
      </c>
      <c r="F379" s="202" t="s">
        <v>1930</v>
      </c>
      <c r="G379" s="233">
        <v>159464</v>
      </c>
      <c r="H379" s="221">
        <v>141886</v>
      </c>
      <c r="I379" s="233">
        <v>274285</v>
      </c>
      <c r="J379" s="232">
        <v>70779</v>
      </c>
      <c r="K379" s="88">
        <f t="shared" si="17"/>
        <v>646414</v>
      </c>
      <c r="L379" s="50"/>
      <c r="M379" s="233">
        <v>5351</v>
      </c>
      <c r="N379" s="233">
        <v>0</v>
      </c>
      <c r="O379" s="232">
        <v>76863</v>
      </c>
      <c r="P379" s="88">
        <f t="shared" si="18"/>
        <v>82214</v>
      </c>
      <c r="Q379" s="50"/>
      <c r="R379" s="233">
        <v>287115</v>
      </c>
      <c r="S379" s="232">
        <v>18841</v>
      </c>
      <c r="T379" s="234">
        <v>305956</v>
      </c>
    </row>
    <row r="380" spans="1:20">
      <c r="A380" s="48">
        <v>93803</v>
      </c>
      <c r="B380" s="49" t="s">
        <v>1082</v>
      </c>
      <c r="C380" s="235">
        <v>1.122E-4</v>
      </c>
      <c r="D380" s="235">
        <v>1.1900000000000001E-4</v>
      </c>
      <c r="E380" s="202">
        <v>266177</v>
      </c>
      <c r="F380" s="202" t="s">
        <v>1930</v>
      </c>
      <c r="G380" s="233">
        <v>41065</v>
      </c>
      <c r="H380" s="221">
        <v>36538</v>
      </c>
      <c r="I380" s="233">
        <v>70633</v>
      </c>
      <c r="J380" s="232">
        <v>0</v>
      </c>
      <c r="K380" s="88">
        <f t="shared" si="17"/>
        <v>148236</v>
      </c>
      <c r="L380" s="50"/>
      <c r="M380" s="233">
        <v>1378</v>
      </c>
      <c r="N380" s="233">
        <v>0</v>
      </c>
      <c r="O380" s="232">
        <v>35149</v>
      </c>
      <c r="P380" s="88">
        <f t="shared" si="18"/>
        <v>36527</v>
      </c>
      <c r="Q380" s="50"/>
      <c r="R380" s="233">
        <v>73937</v>
      </c>
      <c r="S380" s="232">
        <v>-19959</v>
      </c>
      <c r="T380" s="234">
        <v>53978</v>
      </c>
    </row>
    <row r="381" spans="1:20">
      <c r="A381" s="48">
        <v>93806</v>
      </c>
      <c r="B381" s="49" t="s">
        <v>1083</v>
      </c>
      <c r="C381" s="235">
        <v>7.6100000000000007E-5</v>
      </c>
      <c r="D381" s="235">
        <v>9.3900000000000006E-5</v>
      </c>
      <c r="E381" s="202">
        <v>180535</v>
      </c>
      <c r="F381" s="202" t="s">
        <v>1930</v>
      </c>
      <c r="G381" s="233">
        <v>27852</v>
      </c>
      <c r="H381" s="221">
        <v>24782</v>
      </c>
      <c r="I381" s="233">
        <v>47907</v>
      </c>
      <c r="J381" s="232">
        <v>9616</v>
      </c>
      <c r="K381" s="88">
        <f t="shared" si="17"/>
        <v>110157</v>
      </c>
      <c r="L381" s="50"/>
      <c r="M381" s="233">
        <v>935</v>
      </c>
      <c r="N381" s="233">
        <v>0</v>
      </c>
      <c r="O381" s="232">
        <v>8835</v>
      </c>
      <c r="P381" s="88">
        <f t="shared" si="18"/>
        <v>9770</v>
      </c>
      <c r="Q381" s="50"/>
      <c r="R381" s="233">
        <v>50148</v>
      </c>
      <c r="S381" s="232">
        <v>-8146</v>
      </c>
      <c r="T381" s="234">
        <v>42002</v>
      </c>
    </row>
    <row r="382" spans="1:20">
      <c r="A382" s="48">
        <v>93821</v>
      </c>
      <c r="B382" s="49" t="s">
        <v>2272</v>
      </c>
      <c r="C382" s="235">
        <v>5.6799999999999998E-5</v>
      </c>
      <c r="D382" s="235">
        <v>2.9899999999999998E-5</v>
      </c>
      <c r="E382" s="202">
        <v>134749</v>
      </c>
      <c r="F382" s="202" t="s">
        <v>1930</v>
      </c>
      <c r="G382" s="233">
        <v>20789</v>
      </c>
      <c r="H382" s="221">
        <v>18497</v>
      </c>
      <c r="I382" s="233">
        <v>35757</v>
      </c>
      <c r="J382" s="232">
        <v>51463</v>
      </c>
      <c r="K382" s="88">
        <f t="shared" si="17"/>
        <v>126506</v>
      </c>
      <c r="L382" s="50"/>
      <c r="M382" s="233">
        <v>698</v>
      </c>
      <c r="N382" s="233">
        <v>0</v>
      </c>
      <c r="O382" s="232">
        <v>258</v>
      </c>
      <c r="P382" s="88">
        <f t="shared" si="18"/>
        <v>956</v>
      </c>
      <c r="Q382" s="50"/>
      <c r="R382" s="233">
        <v>37430</v>
      </c>
      <c r="S382" s="232">
        <v>17809</v>
      </c>
      <c r="T382" s="234">
        <v>55239</v>
      </c>
    </row>
    <row r="383" spans="1:20">
      <c r="A383" s="48">
        <v>93901</v>
      </c>
      <c r="B383" s="49" t="s">
        <v>1085</v>
      </c>
      <c r="C383" s="235">
        <v>1.7718E-3</v>
      </c>
      <c r="D383" s="235">
        <v>1.7974E-3</v>
      </c>
      <c r="E383" s="202">
        <v>4203316</v>
      </c>
      <c r="F383" s="202" t="s">
        <v>1930</v>
      </c>
      <c r="G383" s="233">
        <v>648472</v>
      </c>
      <c r="H383" s="221">
        <v>576990</v>
      </c>
      <c r="I383" s="233">
        <v>1115398</v>
      </c>
      <c r="J383" s="232">
        <v>112021</v>
      </c>
      <c r="K383" s="88">
        <f t="shared" si="17"/>
        <v>2452881</v>
      </c>
      <c r="L383" s="50"/>
      <c r="M383" s="233">
        <v>21759</v>
      </c>
      <c r="N383" s="233">
        <v>0</v>
      </c>
      <c r="O383" s="232">
        <v>0</v>
      </c>
      <c r="P383" s="88">
        <f t="shared" si="18"/>
        <v>21759</v>
      </c>
      <c r="Q383" s="50"/>
      <c r="R383" s="233">
        <v>1167568</v>
      </c>
      <c r="S383" s="232">
        <v>46506</v>
      </c>
      <c r="T383" s="234">
        <v>1214074</v>
      </c>
    </row>
    <row r="384" spans="1:20">
      <c r="A384" s="48">
        <v>93904</v>
      </c>
      <c r="B384" s="49" t="s">
        <v>1086</v>
      </c>
      <c r="C384" s="235">
        <v>3.3099999999999998E-5</v>
      </c>
      <c r="D384" s="235">
        <v>3.0000000000000001E-5</v>
      </c>
      <c r="E384" s="202">
        <v>78525</v>
      </c>
      <c r="F384" s="202" t="s">
        <v>1930</v>
      </c>
      <c r="G384" s="233">
        <v>12114</v>
      </c>
      <c r="H384" s="221">
        <v>10779</v>
      </c>
      <c r="I384" s="233">
        <v>20837</v>
      </c>
      <c r="J384" s="232">
        <v>12315</v>
      </c>
      <c r="K384" s="88">
        <f t="shared" si="17"/>
        <v>56045</v>
      </c>
      <c r="L384" s="50"/>
      <c r="M384" s="233">
        <v>407</v>
      </c>
      <c r="N384" s="233">
        <v>0</v>
      </c>
      <c r="O384" s="232">
        <v>0</v>
      </c>
      <c r="P384" s="88">
        <f t="shared" si="18"/>
        <v>407</v>
      </c>
      <c r="Q384" s="50"/>
      <c r="R384" s="233">
        <v>21812</v>
      </c>
      <c r="S384" s="232">
        <v>4588</v>
      </c>
      <c r="T384" s="234">
        <v>26400</v>
      </c>
    </row>
    <row r="385" spans="1:20">
      <c r="A385" s="48">
        <v>93906</v>
      </c>
      <c r="B385" s="49" t="s">
        <v>1087</v>
      </c>
      <c r="C385" s="235">
        <v>3.1683000000000002E-3</v>
      </c>
      <c r="D385" s="235">
        <v>3.3882000000000001E-3</v>
      </c>
      <c r="E385" s="202">
        <v>7516291</v>
      </c>
      <c r="F385" s="202" t="s">
        <v>1930</v>
      </c>
      <c r="G385" s="233">
        <v>1159585</v>
      </c>
      <c r="H385" s="221">
        <v>1031763</v>
      </c>
      <c r="I385" s="233">
        <v>1994534</v>
      </c>
      <c r="J385" s="232">
        <v>0</v>
      </c>
      <c r="K385" s="88">
        <f t="shared" si="17"/>
        <v>4185882</v>
      </c>
      <c r="L385" s="50"/>
      <c r="M385" s="233">
        <v>38910</v>
      </c>
      <c r="N385" s="233">
        <v>0</v>
      </c>
      <c r="O385" s="232">
        <v>309182</v>
      </c>
      <c r="P385" s="88">
        <f t="shared" si="18"/>
        <v>348092</v>
      </c>
      <c r="Q385" s="50"/>
      <c r="R385" s="233">
        <v>2087824</v>
      </c>
      <c r="S385" s="232">
        <v>-113805</v>
      </c>
      <c r="T385" s="234">
        <v>1974019</v>
      </c>
    </row>
    <row r="386" spans="1:20">
      <c r="A386" s="48">
        <v>93908</v>
      </c>
      <c r="B386" s="49" t="s">
        <v>1088</v>
      </c>
      <c r="C386" s="235">
        <v>4.6920000000000002E-4</v>
      </c>
      <c r="D386" s="235">
        <v>5.1219999999999998E-4</v>
      </c>
      <c r="E386" s="202">
        <v>1113103</v>
      </c>
      <c r="F386" s="202" t="s">
        <v>1930</v>
      </c>
      <c r="G386" s="233">
        <v>171725</v>
      </c>
      <c r="H386" s="221">
        <v>152796</v>
      </c>
      <c r="I386" s="233">
        <v>295375</v>
      </c>
      <c r="J386" s="232">
        <v>6110</v>
      </c>
      <c r="K386" s="88">
        <f t="shared" si="17"/>
        <v>626006</v>
      </c>
      <c r="L386" s="50"/>
      <c r="M386" s="233">
        <v>5762</v>
      </c>
      <c r="N386" s="233">
        <v>0</v>
      </c>
      <c r="O386" s="232">
        <v>27396</v>
      </c>
      <c r="P386" s="88">
        <f t="shared" si="18"/>
        <v>33158</v>
      </c>
      <c r="Q386" s="50"/>
      <c r="R386" s="233">
        <v>309190</v>
      </c>
      <c r="S386" s="232">
        <v>-7217</v>
      </c>
      <c r="T386" s="234">
        <v>301973</v>
      </c>
    </row>
    <row r="387" spans="1:20">
      <c r="A387" s="48">
        <v>93910</v>
      </c>
      <c r="B387" s="49" t="s">
        <v>1089</v>
      </c>
      <c r="C387" s="235">
        <v>2.5769999999999998E-4</v>
      </c>
      <c r="D387" s="235">
        <v>2.786E-4</v>
      </c>
      <c r="E387" s="202">
        <v>611353</v>
      </c>
      <c r="F387" s="202" t="s">
        <v>1930</v>
      </c>
      <c r="G387" s="233">
        <v>94317</v>
      </c>
      <c r="H387" s="221">
        <v>83921</v>
      </c>
      <c r="I387" s="233">
        <v>162229</v>
      </c>
      <c r="J387" s="232">
        <v>0</v>
      </c>
      <c r="K387" s="88">
        <f t="shared" si="17"/>
        <v>340467</v>
      </c>
      <c r="L387" s="50"/>
      <c r="M387" s="233">
        <v>3165</v>
      </c>
      <c r="N387" s="233">
        <v>0</v>
      </c>
      <c r="O387" s="232">
        <v>35418</v>
      </c>
      <c r="P387" s="88">
        <f t="shared" si="18"/>
        <v>38583</v>
      </c>
      <c r="Q387" s="50"/>
      <c r="R387" s="233">
        <v>169817</v>
      </c>
      <c r="S387" s="232">
        <v>-18432</v>
      </c>
      <c r="T387" s="234">
        <v>151385</v>
      </c>
    </row>
    <row r="388" spans="1:20">
      <c r="A388" s="48">
        <v>93911</v>
      </c>
      <c r="B388" s="49" t="s">
        <v>1090</v>
      </c>
      <c r="C388" s="235">
        <v>6.5010000000000003E-4</v>
      </c>
      <c r="D388" s="235">
        <v>6.3429999999999997E-4</v>
      </c>
      <c r="E388" s="202">
        <v>1542260</v>
      </c>
      <c r="F388" s="202" t="s">
        <v>1930</v>
      </c>
      <c r="G388" s="233">
        <v>237934</v>
      </c>
      <c r="H388" s="221">
        <v>211706</v>
      </c>
      <c r="I388" s="233">
        <v>409256</v>
      </c>
      <c r="J388" s="232">
        <v>18849</v>
      </c>
      <c r="K388" s="88">
        <f t="shared" si="17"/>
        <v>877745</v>
      </c>
      <c r="L388" s="50"/>
      <c r="M388" s="233">
        <v>7984</v>
      </c>
      <c r="N388" s="233">
        <v>0</v>
      </c>
      <c r="O388" s="232">
        <v>38804</v>
      </c>
      <c r="P388" s="88">
        <f t="shared" si="18"/>
        <v>46788</v>
      </c>
      <c r="Q388" s="50"/>
      <c r="R388" s="233">
        <v>428398</v>
      </c>
      <c r="S388" s="232">
        <v>-3385</v>
      </c>
      <c r="T388" s="234">
        <v>425013</v>
      </c>
    </row>
    <row r="389" spans="1:20">
      <c r="A389" s="48">
        <v>93913</v>
      </c>
      <c r="B389" s="49" t="s">
        <v>1091</v>
      </c>
      <c r="C389" s="235">
        <v>5.8799999999999999E-5</v>
      </c>
      <c r="D389" s="235">
        <v>5.8799999999999999E-5</v>
      </c>
      <c r="E389" s="202">
        <v>139494</v>
      </c>
      <c r="F389" s="202" t="s">
        <v>1930</v>
      </c>
      <c r="G389" s="233">
        <v>21521</v>
      </c>
      <c r="H389" s="221">
        <v>19148</v>
      </c>
      <c r="I389" s="233">
        <v>37016</v>
      </c>
      <c r="J389" s="232">
        <v>4809</v>
      </c>
      <c r="K389" s="88">
        <f t="shared" si="17"/>
        <v>82494</v>
      </c>
      <c r="L389" s="50"/>
      <c r="M389" s="233">
        <v>722</v>
      </c>
      <c r="N389" s="233">
        <v>0</v>
      </c>
      <c r="O389" s="232">
        <v>526</v>
      </c>
      <c r="P389" s="88">
        <f t="shared" si="18"/>
        <v>1248</v>
      </c>
      <c r="Q389" s="50"/>
      <c r="R389" s="233">
        <v>38748</v>
      </c>
      <c r="S389" s="232">
        <v>1207</v>
      </c>
      <c r="T389" s="234">
        <v>39955</v>
      </c>
    </row>
    <row r="390" spans="1:20">
      <c r="A390" s="48">
        <v>93914</v>
      </c>
      <c r="B390" s="49" t="s">
        <v>2273</v>
      </c>
      <c r="C390" s="235">
        <v>7.1999999999999997E-6</v>
      </c>
      <c r="D390" s="235">
        <v>8.1000000000000004E-6</v>
      </c>
      <c r="E390" s="202">
        <v>17081</v>
      </c>
      <c r="F390" s="202" t="s">
        <v>1930</v>
      </c>
      <c r="G390" s="233">
        <v>2635</v>
      </c>
      <c r="H390" s="221">
        <v>2345</v>
      </c>
      <c r="I390" s="233">
        <v>4533</v>
      </c>
      <c r="J390" s="232">
        <v>4000</v>
      </c>
      <c r="K390" s="88">
        <f t="shared" si="17"/>
        <v>13513</v>
      </c>
      <c r="L390" s="50"/>
      <c r="M390" s="233">
        <v>88</v>
      </c>
      <c r="N390" s="233">
        <v>0</v>
      </c>
      <c r="O390" s="232">
        <v>0</v>
      </c>
      <c r="P390" s="88">
        <f t="shared" si="18"/>
        <v>88</v>
      </c>
      <c r="Q390" s="50"/>
      <c r="R390" s="233">
        <v>4745</v>
      </c>
      <c r="S390" s="232">
        <v>2002</v>
      </c>
      <c r="T390" s="234">
        <v>6747</v>
      </c>
    </row>
    <row r="391" spans="1:20">
      <c r="A391" s="48">
        <v>93921</v>
      </c>
      <c r="B391" s="49" t="s">
        <v>1093</v>
      </c>
      <c r="C391" s="235">
        <v>2.8259999999999998E-4</v>
      </c>
      <c r="D391" s="235">
        <v>2.9020000000000001E-4</v>
      </c>
      <c r="E391" s="202">
        <v>670424</v>
      </c>
      <c r="F391" s="202" t="s">
        <v>1930</v>
      </c>
      <c r="G391" s="233">
        <v>103430</v>
      </c>
      <c r="H391" s="221">
        <v>92030</v>
      </c>
      <c r="I391" s="233">
        <v>177905</v>
      </c>
      <c r="J391" s="232">
        <v>8166</v>
      </c>
      <c r="K391" s="88">
        <f t="shared" si="17"/>
        <v>381531</v>
      </c>
      <c r="L391" s="50"/>
      <c r="M391" s="233">
        <v>3471</v>
      </c>
      <c r="N391" s="233">
        <v>0</v>
      </c>
      <c r="O391" s="232">
        <v>9312</v>
      </c>
      <c r="P391" s="88">
        <f t="shared" si="18"/>
        <v>12783</v>
      </c>
      <c r="Q391" s="50"/>
      <c r="R391" s="233">
        <v>186226</v>
      </c>
      <c r="S391" s="232">
        <v>4786</v>
      </c>
      <c r="T391" s="234">
        <v>191012</v>
      </c>
    </row>
    <row r="392" spans="1:20">
      <c r="A392" s="48">
        <v>93931</v>
      </c>
      <c r="B392" s="49" t="s">
        <v>2274</v>
      </c>
      <c r="C392" s="235">
        <v>5.4460000000000001E-4</v>
      </c>
      <c r="D392" s="235">
        <v>5.0029999999999996E-4</v>
      </c>
      <c r="E392" s="202">
        <v>1291977</v>
      </c>
      <c r="F392" s="202" t="s">
        <v>1930</v>
      </c>
      <c r="G392" s="233">
        <v>199321</v>
      </c>
      <c r="H392" s="221">
        <v>177350</v>
      </c>
      <c r="I392" s="233">
        <v>342841</v>
      </c>
      <c r="J392" s="232">
        <v>27595</v>
      </c>
      <c r="K392" s="88">
        <f t="shared" si="17"/>
        <v>747107</v>
      </c>
      <c r="L392" s="50"/>
      <c r="M392" s="233">
        <v>6688</v>
      </c>
      <c r="N392" s="233">
        <v>0</v>
      </c>
      <c r="O392" s="232">
        <v>28225</v>
      </c>
      <c r="P392" s="88">
        <f t="shared" si="18"/>
        <v>34913</v>
      </c>
      <c r="Q392" s="50"/>
      <c r="R392" s="233">
        <v>358877</v>
      </c>
      <c r="S392" s="232">
        <v>80772</v>
      </c>
      <c r="T392" s="234">
        <v>439649</v>
      </c>
    </row>
    <row r="393" spans="1:20">
      <c r="A393" s="48">
        <v>94001</v>
      </c>
      <c r="B393" s="49" t="s">
        <v>1095</v>
      </c>
      <c r="C393" s="235">
        <v>9.366E-4</v>
      </c>
      <c r="D393" s="235">
        <v>9.209E-4</v>
      </c>
      <c r="E393" s="202">
        <v>2221936</v>
      </c>
      <c r="F393" s="202" t="s">
        <v>1930</v>
      </c>
      <c r="G393" s="233">
        <v>342792</v>
      </c>
      <c r="H393" s="221">
        <v>305006</v>
      </c>
      <c r="I393" s="233">
        <v>589616</v>
      </c>
      <c r="J393" s="232">
        <v>45071</v>
      </c>
      <c r="K393" s="88">
        <f t="shared" si="17"/>
        <v>1282485</v>
      </c>
      <c r="L393" s="50"/>
      <c r="M393" s="233">
        <v>11502</v>
      </c>
      <c r="N393" s="233">
        <v>0</v>
      </c>
      <c r="O393" s="232">
        <v>944</v>
      </c>
      <c r="P393" s="88">
        <f t="shared" si="18"/>
        <v>12446</v>
      </c>
      <c r="Q393" s="50"/>
      <c r="R393" s="233">
        <v>617194</v>
      </c>
      <c r="S393" s="232">
        <v>-8755</v>
      </c>
      <c r="T393" s="234">
        <v>608439</v>
      </c>
    </row>
    <row r="394" spans="1:20">
      <c r="A394" s="48">
        <v>94002</v>
      </c>
      <c r="B394" s="49" t="s">
        <v>1096</v>
      </c>
      <c r="C394" s="235">
        <v>5.9000000000000003E-6</v>
      </c>
      <c r="D394" s="235">
        <v>7.0999999999999998E-6</v>
      </c>
      <c r="E394" s="202">
        <v>13997</v>
      </c>
      <c r="F394" s="202" t="s">
        <v>1930</v>
      </c>
      <c r="G394" s="233">
        <v>2159</v>
      </c>
      <c r="H394" s="221">
        <v>1921</v>
      </c>
      <c r="I394" s="233">
        <v>3714</v>
      </c>
      <c r="J394" s="232">
        <v>1637</v>
      </c>
      <c r="K394" s="88">
        <f t="shared" si="17"/>
        <v>9431</v>
      </c>
      <c r="L394" s="50"/>
      <c r="M394" s="233">
        <v>72</v>
      </c>
      <c r="N394" s="233">
        <v>0</v>
      </c>
      <c r="O394" s="232">
        <v>0</v>
      </c>
      <c r="P394" s="88">
        <f t="shared" si="18"/>
        <v>72</v>
      </c>
      <c r="Q394" s="50"/>
      <c r="R394" s="233">
        <v>3888</v>
      </c>
      <c r="S394" s="232">
        <v>404</v>
      </c>
      <c r="T394" s="234">
        <v>4292</v>
      </c>
    </row>
    <row r="395" spans="1:20">
      <c r="A395" s="48">
        <v>94004</v>
      </c>
      <c r="B395" s="49" t="s">
        <v>1097</v>
      </c>
      <c r="C395" s="235">
        <v>7.3000000000000004E-6</v>
      </c>
      <c r="D395" s="235">
        <v>7.3000000000000004E-6</v>
      </c>
      <c r="E395" s="202">
        <v>17318</v>
      </c>
      <c r="F395" s="202" t="s">
        <v>1930</v>
      </c>
      <c r="G395" s="233">
        <v>2672</v>
      </c>
      <c r="H395" s="221">
        <v>2377</v>
      </c>
      <c r="I395" s="233">
        <v>4596</v>
      </c>
      <c r="J395" s="232">
        <v>4289</v>
      </c>
      <c r="K395" s="88">
        <f t="shared" si="17"/>
        <v>13934</v>
      </c>
      <c r="L395" s="50"/>
      <c r="M395" s="233">
        <v>90</v>
      </c>
      <c r="N395" s="233">
        <v>0</v>
      </c>
      <c r="O395" s="232">
        <v>35</v>
      </c>
      <c r="P395" s="88">
        <f t="shared" si="18"/>
        <v>125</v>
      </c>
      <c r="Q395" s="50"/>
      <c r="R395" s="233">
        <v>4811</v>
      </c>
      <c r="S395" s="232">
        <v>918</v>
      </c>
      <c r="T395" s="234">
        <v>5729</v>
      </c>
    </row>
    <row r="396" spans="1:20">
      <c r="A396" s="48">
        <v>94005</v>
      </c>
      <c r="B396" s="49" t="s">
        <v>1098</v>
      </c>
      <c r="C396" s="235">
        <v>4.6999999999999999E-6</v>
      </c>
      <c r="D396" s="235">
        <v>0</v>
      </c>
      <c r="E396" s="202">
        <v>11150</v>
      </c>
      <c r="F396" s="202" t="s">
        <v>1930</v>
      </c>
      <c r="G396" s="233">
        <v>1720</v>
      </c>
      <c r="H396" s="221">
        <v>1531</v>
      </c>
      <c r="I396" s="233">
        <v>2959</v>
      </c>
      <c r="J396" s="232">
        <v>3483</v>
      </c>
      <c r="K396" s="88">
        <f t="shared" si="17"/>
        <v>9693</v>
      </c>
      <c r="L396" s="50"/>
      <c r="M396" s="233">
        <v>58</v>
      </c>
      <c r="N396" s="233">
        <v>0</v>
      </c>
      <c r="O396" s="232">
        <v>3881</v>
      </c>
      <c r="P396" s="88">
        <f t="shared" si="18"/>
        <v>3939</v>
      </c>
      <c r="Q396" s="50"/>
      <c r="R396" s="233">
        <v>3097</v>
      </c>
      <c r="S396" s="232">
        <v>-1112</v>
      </c>
      <c r="T396" s="234">
        <v>1985</v>
      </c>
    </row>
    <row r="397" spans="1:20">
      <c r="A397" s="48">
        <v>94011</v>
      </c>
      <c r="B397" s="49" t="s">
        <v>2275</v>
      </c>
      <c r="C397" s="235">
        <v>2.8399999999999999E-5</v>
      </c>
      <c r="D397" s="235">
        <v>2.3600000000000001E-5</v>
      </c>
      <c r="E397" s="203">
        <v>67375</v>
      </c>
      <c r="F397" s="203" t="s">
        <v>1930</v>
      </c>
      <c r="G397" s="233">
        <v>10394</v>
      </c>
      <c r="H397" s="221">
        <v>9249</v>
      </c>
      <c r="I397" s="233">
        <v>17879</v>
      </c>
      <c r="J397" s="232">
        <v>3892</v>
      </c>
      <c r="K397" s="88">
        <f t="shared" si="17"/>
        <v>41414</v>
      </c>
      <c r="L397" s="50"/>
      <c r="M397" s="233">
        <v>349</v>
      </c>
      <c r="N397" s="233">
        <v>0</v>
      </c>
      <c r="O397" s="232">
        <v>2020</v>
      </c>
      <c r="P397" s="88">
        <f t="shared" si="18"/>
        <v>2369</v>
      </c>
      <c r="Q397" s="50"/>
      <c r="R397" s="233">
        <v>18715</v>
      </c>
      <c r="S397" s="232">
        <v>438</v>
      </c>
      <c r="T397" s="234">
        <v>19153</v>
      </c>
    </row>
    <row r="398" spans="1:20">
      <c r="A398" s="48">
        <v>94021</v>
      </c>
      <c r="B398" s="49" t="s">
        <v>2276</v>
      </c>
      <c r="C398" s="235">
        <v>8.8800000000000004E-5</v>
      </c>
      <c r="D398" s="235">
        <v>9.3399999999999993E-5</v>
      </c>
      <c r="E398" s="203">
        <v>210664</v>
      </c>
      <c r="F398" s="203" t="s">
        <v>1930</v>
      </c>
      <c r="G398" s="233">
        <v>32500</v>
      </c>
      <c r="H398" s="221">
        <v>28917</v>
      </c>
      <c r="I398" s="233">
        <v>55902</v>
      </c>
      <c r="J398" s="232">
        <v>11919</v>
      </c>
      <c r="K398" s="88">
        <f t="shared" si="17"/>
        <v>129238</v>
      </c>
      <c r="L398" s="50"/>
      <c r="M398" s="233">
        <v>1091</v>
      </c>
      <c r="N398" s="233">
        <v>0</v>
      </c>
      <c r="O398" s="232">
        <v>0</v>
      </c>
      <c r="P398" s="88">
        <f t="shared" si="18"/>
        <v>1091</v>
      </c>
      <c r="Q398" s="50"/>
      <c r="R398" s="233">
        <v>58517</v>
      </c>
      <c r="S398" s="232">
        <v>8639</v>
      </c>
      <c r="T398" s="234">
        <v>67156</v>
      </c>
    </row>
    <row r="399" spans="1:20">
      <c r="A399" s="48">
        <v>94031</v>
      </c>
      <c r="B399" s="49" t="s">
        <v>2277</v>
      </c>
      <c r="C399" s="235">
        <v>4.8999999999999997E-6</v>
      </c>
      <c r="D399" s="235">
        <v>5.4E-6</v>
      </c>
      <c r="E399" s="203">
        <v>11624</v>
      </c>
      <c r="F399" s="203" t="s">
        <v>1930</v>
      </c>
      <c r="G399" s="233">
        <v>1793</v>
      </c>
      <c r="H399" s="221">
        <v>1596</v>
      </c>
      <c r="I399" s="233">
        <v>3085</v>
      </c>
      <c r="J399" s="232">
        <v>7753</v>
      </c>
      <c r="K399" s="88">
        <f t="shared" si="17"/>
        <v>14227</v>
      </c>
      <c r="L399" s="50"/>
      <c r="M399" s="233">
        <v>60</v>
      </c>
      <c r="N399" s="233">
        <v>0</v>
      </c>
      <c r="O399" s="232">
        <v>0</v>
      </c>
      <c r="P399" s="88">
        <f t="shared" si="18"/>
        <v>60</v>
      </c>
      <c r="Q399" s="50"/>
      <c r="R399" s="233">
        <v>3229</v>
      </c>
      <c r="S399" s="232">
        <v>3678</v>
      </c>
      <c r="T399" s="234">
        <v>6907</v>
      </c>
    </row>
    <row r="400" spans="1:20">
      <c r="A400" s="48">
        <v>94101</v>
      </c>
      <c r="B400" s="49" t="s">
        <v>1102</v>
      </c>
      <c r="C400" s="235">
        <v>1.8137199999999999E-2</v>
      </c>
      <c r="D400" s="235">
        <v>1.8321799999999999E-2</v>
      </c>
      <c r="E400" s="203">
        <v>43027641</v>
      </c>
      <c r="F400" s="203" t="s">
        <v>1930</v>
      </c>
      <c r="G400" s="233">
        <v>6638143</v>
      </c>
      <c r="H400" s="221">
        <v>5906416</v>
      </c>
      <c r="I400" s="233">
        <v>11417875</v>
      </c>
      <c r="J400" s="232">
        <v>156015</v>
      </c>
      <c r="K400" s="88">
        <f t="shared" si="17"/>
        <v>24118449</v>
      </c>
      <c r="L400" s="50"/>
      <c r="M400" s="233">
        <v>222743</v>
      </c>
      <c r="N400" s="233">
        <v>0</v>
      </c>
      <c r="O400" s="232">
        <v>304690</v>
      </c>
      <c r="P400" s="88">
        <f t="shared" si="18"/>
        <v>527433</v>
      </c>
      <c r="Q400" s="50"/>
      <c r="R400" s="233">
        <v>11951925</v>
      </c>
      <c r="S400" s="232">
        <v>-259645</v>
      </c>
      <c r="T400" s="234">
        <v>11692280</v>
      </c>
    </row>
    <row r="401" spans="1:20">
      <c r="A401" s="48">
        <v>94102</v>
      </c>
      <c r="B401" s="49" t="s">
        <v>1103</v>
      </c>
      <c r="C401" s="235">
        <v>2.8909999999999998E-4</v>
      </c>
      <c r="D401" s="235">
        <v>2.965E-4</v>
      </c>
      <c r="E401" s="203">
        <v>685844</v>
      </c>
      <c r="F401" s="203" t="s">
        <v>1930</v>
      </c>
      <c r="G401" s="233">
        <v>105809</v>
      </c>
      <c r="H401" s="221">
        <v>94146</v>
      </c>
      <c r="I401" s="233">
        <v>181997</v>
      </c>
      <c r="J401" s="232">
        <v>0</v>
      </c>
      <c r="K401" s="88">
        <f t="shared" ref="K401:K464" si="19">G401+H401+I401+J401</f>
        <v>381952</v>
      </c>
      <c r="L401" s="50"/>
      <c r="M401" s="233">
        <v>3550</v>
      </c>
      <c r="N401" s="233">
        <v>0</v>
      </c>
      <c r="O401" s="232">
        <v>53559</v>
      </c>
      <c r="P401" s="88">
        <f t="shared" ref="P401:P464" si="20">M401+N401+O401</f>
        <v>57109</v>
      </c>
      <c r="Q401" s="50"/>
      <c r="R401" s="233">
        <v>190509</v>
      </c>
      <c r="S401" s="232">
        <v>-18988</v>
      </c>
      <c r="T401" s="234">
        <v>171521</v>
      </c>
    </row>
    <row r="402" spans="1:20">
      <c r="A402" s="48">
        <v>94108</v>
      </c>
      <c r="B402" s="49" t="s">
        <v>1104</v>
      </c>
      <c r="C402" s="235">
        <v>3.8549999999999999E-4</v>
      </c>
      <c r="D402" s="235">
        <v>3.1389999999999999E-4</v>
      </c>
      <c r="E402" s="203">
        <v>914538</v>
      </c>
      <c r="F402" s="203" t="s">
        <v>1930</v>
      </c>
      <c r="G402" s="233">
        <v>141091</v>
      </c>
      <c r="H402" s="221">
        <v>125539</v>
      </c>
      <c r="I402" s="233">
        <v>242683</v>
      </c>
      <c r="J402" s="232">
        <v>13586</v>
      </c>
      <c r="K402" s="88">
        <f t="shared" si="19"/>
        <v>522899</v>
      </c>
      <c r="L402" s="50"/>
      <c r="M402" s="233">
        <v>4734</v>
      </c>
      <c r="N402" s="233">
        <v>0</v>
      </c>
      <c r="O402" s="232">
        <v>61281</v>
      </c>
      <c r="P402" s="88">
        <f t="shared" si="20"/>
        <v>66015</v>
      </c>
      <c r="Q402" s="50"/>
      <c r="R402" s="233">
        <v>254034</v>
      </c>
      <c r="S402" s="232">
        <v>-43929</v>
      </c>
      <c r="T402" s="234">
        <v>210105</v>
      </c>
    </row>
    <row r="403" spans="1:20">
      <c r="A403" s="48">
        <v>94109</v>
      </c>
      <c r="B403" s="49" t="s">
        <v>1105</v>
      </c>
      <c r="C403" s="235">
        <v>9.8200000000000002E-5</v>
      </c>
      <c r="D403" s="235">
        <v>9.09E-5</v>
      </c>
      <c r="E403" s="203">
        <v>232964</v>
      </c>
      <c r="F403" s="203" t="s">
        <v>1930</v>
      </c>
      <c r="G403" s="233">
        <v>35941</v>
      </c>
      <c r="H403" s="221">
        <v>31979</v>
      </c>
      <c r="I403" s="233">
        <v>61820</v>
      </c>
      <c r="J403" s="232">
        <v>0</v>
      </c>
      <c r="K403" s="88">
        <f t="shared" si="19"/>
        <v>129740</v>
      </c>
      <c r="L403" s="50"/>
      <c r="M403" s="233">
        <v>1206</v>
      </c>
      <c r="N403" s="233">
        <v>0</v>
      </c>
      <c r="O403" s="232">
        <v>33379</v>
      </c>
      <c r="P403" s="88">
        <f t="shared" si="20"/>
        <v>34585</v>
      </c>
      <c r="Q403" s="50"/>
      <c r="R403" s="233">
        <v>64711</v>
      </c>
      <c r="S403" s="232">
        <v>-14342</v>
      </c>
      <c r="T403" s="234">
        <v>50369</v>
      </c>
    </row>
    <row r="404" spans="1:20">
      <c r="A404" s="48">
        <v>94111</v>
      </c>
      <c r="B404" s="49" t="s">
        <v>1106</v>
      </c>
      <c r="C404" s="235">
        <v>2.4882899999999999E-2</v>
      </c>
      <c r="D404" s="235">
        <v>2.5682300000000002E-2</v>
      </c>
      <c r="E404" s="203">
        <v>59030749</v>
      </c>
      <c r="F404" s="203" t="s">
        <v>1930</v>
      </c>
      <c r="G404" s="233">
        <v>9107042</v>
      </c>
      <c r="H404" s="221">
        <v>8103166</v>
      </c>
      <c r="I404" s="233">
        <v>15664482</v>
      </c>
      <c r="J404" s="232">
        <v>0</v>
      </c>
      <c r="K404" s="88">
        <f t="shared" si="19"/>
        <v>32874690</v>
      </c>
      <c r="L404" s="50"/>
      <c r="M404" s="233">
        <v>305587</v>
      </c>
      <c r="N404" s="233">
        <v>0</v>
      </c>
      <c r="O404" s="232">
        <v>1628449</v>
      </c>
      <c r="P404" s="88">
        <f t="shared" si="20"/>
        <v>1934036</v>
      </c>
      <c r="Q404" s="50"/>
      <c r="R404" s="233">
        <v>16397159</v>
      </c>
      <c r="S404" s="232">
        <v>-691916</v>
      </c>
      <c r="T404" s="234">
        <v>15705243</v>
      </c>
    </row>
    <row r="405" spans="1:20">
      <c r="A405" s="48">
        <v>94112</v>
      </c>
      <c r="B405" s="49" t="s">
        <v>2762</v>
      </c>
      <c r="C405" s="235">
        <v>1.684E-4</v>
      </c>
      <c r="D405" s="235">
        <v>1.6699999999999999E-4</v>
      </c>
      <c r="E405" s="203">
        <v>399502</v>
      </c>
      <c r="F405" s="203" t="s">
        <v>1930</v>
      </c>
      <c r="G405" s="233">
        <v>61634</v>
      </c>
      <c r="H405" s="221">
        <v>54840</v>
      </c>
      <c r="I405" s="233">
        <v>106013</v>
      </c>
      <c r="J405" s="232">
        <v>0</v>
      </c>
      <c r="K405" s="88">
        <f t="shared" si="19"/>
        <v>222487</v>
      </c>
      <c r="L405" s="50"/>
      <c r="M405" s="233">
        <v>2068</v>
      </c>
      <c r="N405" s="233">
        <v>0</v>
      </c>
      <c r="O405" s="232">
        <v>14012</v>
      </c>
      <c r="P405" s="88">
        <f t="shared" si="20"/>
        <v>16080</v>
      </c>
      <c r="Q405" s="50"/>
      <c r="R405" s="233">
        <v>110971</v>
      </c>
      <c r="S405" s="232">
        <v>-9395</v>
      </c>
      <c r="T405" s="234">
        <v>101576</v>
      </c>
    </row>
    <row r="406" spans="1:20">
      <c r="A406" s="48">
        <v>94117</v>
      </c>
      <c r="B406" s="49" t="s">
        <v>1108</v>
      </c>
      <c r="C406" s="235">
        <v>3.5429999999999999E-4</v>
      </c>
      <c r="D406" s="235">
        <v>3.9809999999999997E-4</v>
      </c>
      <c r="E406" s="203">
        <v>840521</v>
      </c>
      <c r="F406" s="203" t="s">
        <v>1930</v>
      </c>
      <c r="G406" s="233">
        <v>129672</v>
      </c>
      <c r="H406" s="221">
        <v>115378</v>
      </c>
      <c r="I406" s="233">
        <v>223042</v>
      </c>
      <c r="J406" s="232">
        <v>3605</v>
      </c>
      <c r="K406" s="88">
        <f t="shared" si="19"/>
        <v>471697</v>
      </c>
      <c r="L406" s="50"/>
      <c r="M406" s="233">
        <v>4351</v>
      </c>
      <c r="N406" s="233">
        <v>0</v>
      </c>
      <c r="O406" s="232">
        <v>34793</v>
      </c>
      <c r="P406" s="88">
        <f t="shared" si="20"/>
        <v>39144</v>
      </c>
      <c r="Q406" s="50"/>
      <c r="R406" s="233">
        <v>233474</v>
      </c>
      <c r="S406" s="232">
        <v>-6033</v>
      </c>
      <c r="T406" s="234">
        <v>227441</v>
      </c>
    </row>
    <row r="407" spans="1:20">
      <c r="A407" s="48">
        <v>94118</v>
      </c>
      <c r="B407" s="49" t="s">
        <v>1109</v>
      </c>
      <c r="C407" s="235">
        <v>1.6009999999999999E-4</v>
      </c>
      <c r="D407" s="235">
        <v>1.494E-4</v>
      </c>
      <c r="E407" s="203">
        <v>379812</v>
      </c>
      <c r="F407" s="203" t="s">
        <v>1930</v>
      </c>
      <c r="G407" s="233">
        <v>58596</v>
      </c>
      <c r="H407" s="221">
        <v>52137</v>
      </c>
      <c r="I407" s="233">
        <v>100787</v>
      </c>
      <c r="J407" s="232">
        <v>0</v>
      </c>
      <c r="K407" s="88">
        <f t="shared" si="19"/>
        <v>211520</v>
      </c>
      <c r="L407" s="50"/>
      <c r="M407" s="233">
        <v>1966</v>
      </c>
      <c r="N407" s="233">
        <v>0</v>
      </c>
      <c r="O407" s="232">
        <v>35288</v>
      </c>
      <c r="P407" s="88">
        <f t="shared" si="20"/>
        <v>37254</v>
      </c>
      <c r="Q407" s="50"/>
      <c r="R407" s="233">
        <v>105502</v>
      </c>
      <c r="S407" s="232">
        <v>-25547</v>
      </c>
      <c r="T407" s="234">
        <v>79955</v>
      </c>
    </row>
    <row r="408" spans="1:20">
      <c r="A408" s="48">
        <v>94121</v>
      </c>
      <c r="B408" s="49" t="s">
        <v>1110</v>
      </c>
      <c r="C408" s="235">
        <v>1.1314299999999999E-2</v>
      </c>
      <c r="D408" s="235">
        <v>1.1246000000000001E-2</v>
      </c>
      <c r="E408" s="203">
        <v>26841389</v>
      </c>
      <c r="F408" s="203" t="s">
        <v>1930</v>
      </c>
      <c r="G408" s="233">
        <v>4140989</v>
      </c>
      <c r="H408" s="221">
        <v>3684524</v>
      </c>
      <c r="I408" s="233">
        <v>7122669</v>
      </c>
      <c r="J408" s="232">
        <v>178797</v>
      </c>
      <c r="K408" s="88">
        <f t="shared" si="19"/>
        <v>15126979</v>
      </c>
      <c r="L408" s="50"/>
      <c r="M408" s="233">
        <v>138951</v>
      </c>
      <c r="N408" s="233">
        <v>0</v>
      </c>
      <c r="O408" s="232">
        <v>124923</v>
      </c>
      <c r="P408" s="88">
        <f t="shared" si="20"/>
        <v>263874</v>
      </c>
      <c r="Q408" s="50"/>
      <c r="R408" s="233">
        <v>7455818</v>
      </c>
      <c r="S408" s="232">
        <v>-92749</v>
      </c>
      <c r="T408" s="234">
        <v>7363069</v>
      </c>
    </row>
    <row r="409" spans="1:20">
      <c r="A409" s="48">
        <v>94127</v>
      </c>
      <c r="B409" s="49" t="s">
        <v>1111</v>
      </c>
      <c r="C409" s="235">
        <v>1.5310000000000001E-4</v>
      </c>
      <c r="D409" s="235">
        <v>1.7310000000000001E-4</v>
      </c>
      <c r="E409" s="203">
        <v>363206</v>
      </c>
      <c r="F409" s="203" t="s">
        <v>1930</v>
      </c>
      <c r="G409" s="233">
        <v>56034</v>
      </c>
      <c r="H409" s="221">
        <v>49857</v>
      </c>
      <c r="I409" s="233">
        <v>96381</v>
      </c>
      <c r="J409" s="232">
        <v>5878</v>
      </c>
      <c r="K409" s="88">
        <f t="shared" si="19"/>
        <v>208150</v>
      </c>
      <c r="L409" s="50"/>
      <c r="M409" s="233">
        <v>1880</v>
      </c>
      <c r="N409" s="233">
        <v>0</v>
      </c>
      <c r="O409" s="232">
        <v>12665</v>
      </c>
      <c r="P409" s="88">
        <f t="shared" si="20"/>
        <v>14545</v>
      </c>
      <c r="Q409" s="50"/>
      <c r="R409" s="233">
        <v>100889</v>
      </c>
      <c r="S409" s="232">
        <v>-521</v>
      </c>
      <c r="T409" s="234">
        <v>100368</v>
      </c>
    </row>
    <row r="410" spans="1:20">
      <c r="A410" s="48">
        <v>94131</v>
      </c>
      <c r="B410" s="49" t="s">
        <v>2278</v>
      </c>
      <c r="C410" s="235">
        <v>2.039E-4</v>
      </c>
      <c r="D410" s="235">
        <v>1.7479999999999999E-4</v>
      </c>
      <c r="E410" s="203">
        <v>483721</v>
      </c>
      <c r="F410" s="203" t="s">
        <v>1930</v>
      </c>
      <c r="G410" s="233">
        <v>74627</v>
      </c>
      <c r="H410" s="221">
        <v>66401</v>
      </c>
      <c r="I410" s="233">
        <v>128361</v>
      </c>
      <c r="J410" s="232">
        <v>26135</v>
      </c>
      <c r="K410" s="88">
        <f t="shared" si="19"/>
        <v>295524</v>
      </c>
      <c r="L410" s="50"/>
      <c r="M410" s="233">
        <v>2504</v>
      </c>
      <c r="N410" s="233">
        <v>0</v>
      </c>
      <c r="O410" s="232">
        <v>6379</v>
      </c>
      <c r="P410" s="88">
        <f t="shared" si="20"/>
        <v>8883</v>
      </c>
      <c r="Q410" s="50"/>
      <c r="R410" s="233">
        <v>134365</v>
      </c>
      <c r="S410" s="232">
        <v>5028</v>
      </c>
      <c r="T410" s="234">
        <v>139393</v>
      </c>
    </row>
    <row r="411" spans="1:20">
      <c r="A411" s="48">
        <v>94151</v>
      </c>
      <c r="B411" s="49" t="s">
        <v>2279</v>
      </c>
      <c r="C411" s="235">
        <v>4.6470000000000002E-4</v>
      </c>
      <c r="D411" s="235">
        <v>4.1590000000000003E-4</v>
      </c>
      <c r="E411" s="203">
        <v>1102427</v>
      </c>
      <c r="F411" s="203" t="s">
        <v>1930</v>
      </c>
      <c r="G411" s="233">
        <v>170078</v>
      </c>
      <c r="H411" s="221">
        <v>151331</v>
      </c>
      <c r="I411" s="233">
        <v>292542</v>
      </c>
      <c r="J411" s="232">
        <v>12138</v>
      </c>
      <c r="K411" s="88">
        <f t="shared" si="19"/>
        <v>626089</v>
      </c>
      <c r="L411" s="50"/>
      <c r="M411" s="233">
        <v>5707</v>
      </c>
      <c r="N411" s="233">
        <v>0</v>
      </c>
      <c r="O411" s="232">
        <v>23819</v>
      </c>
      <c r="P411" s="88">
        <f t="shared" si="20"/>
        <v>29526</v>
      </c>
      <c r="Q411" s="50"/>
      <c r="R411" s="233">
        <v>306225</v>
      </c>
      <c r="S411" s="232">
        <v>-9818</v>
      </c>
      <c r="T411" s="234">
        <v>296407</v>
      </c>
    </row>
    <row r="412" spans="1:20">
      <c r="A412" s="48">
        <v>94157</v>
      </c>
      <c r="B412" s="49" t="s">
        <v>1114</v>
      </c>
      <c r="C412" s="235">
        <v>8.4999999999999999E-6</v>
      </c>
      <c r="D412" s="235">
        <v>8.8999999999999995E-6</v>
      </c>
      <c r="E412" s="203">
        <v>20165</v>
      </c>
      <c r="F412" s="203" t="s">
        <v>1930</v>
      </c>
      <c r="G412" s="233">
        <v>3111</v>
      </c>
      <c r="H412" s="221">
        <v>2768</v>
      </c>
      <c r="I412" s="233">
        <v>5351</v>
      </c>
      <c r="J412" s="232">
        <v>2192</v>
      </c>
      <c r="K412" s="88">
        <f t="shared" si="19"/>
        <v>13422</v>
      </c>
      <c r="L412" s="50"/>
      <c r="M412" s="233">
        <v>104</v>
      </c>
      <c r="N412" s="233">
        <v>0</v>
      </c>
      <c r="O412" s="232">
        <v>0</v>
      </c>
      <c r="P412" s="88">
        <f t="shared" si="20"/>
        <v>104</v>
      </c>
      <c r="Q412" s="50"/>
      <c r="R412" s="233">
        <v>5601</v>
      </c>
      <c r="S412" s="232">
        <v>2203</v>
      </c>
      <c r="T412" s="234">
        <v>7804</v>
      </c>
    </row>
    <row r="413" spans="1:20">
      <c r="A413" s="48">
        <v>94161</v>
      </c>
      <c r="B413" s="49" t="s">
        <v>2280</v>
      </c>
      <c r="C413" s="235">
        <v>3.4999999999999997E-5</v>
      </c>
      <c r="D413" s="235">
        <v>5.1900000000000001E-5</v>
      </c>
      <c r="E413" s="203">
        <v>83032</v>
      </c>
      <c r="F413" s="203" t="s">
        <v>1930</v>
      </c>
      <c r="G413" s="233">
        <v>12810</v>
      </c>
      <c r="H413" s="221">
        <v>11398</v>
      </c>
      <c r="I413" s="233">
        <v>22033</v>
      </c>
      <c r="J413" s="232">
        <v>2371</v>
      </c>
      <c r="K413" s="88">
        <f t="shared" si="19"/>
        <v>48612</v>
      </c>
      <c r="L413" s="50"/>
      <c r="M413" s="233">
        <v>430</v>
      </c>
      <c r="N413" s="233">
        <v>0</v>
      </c>
      <c r="O413" s="232">
        <v>9815</v>
      </c>
      <c r="P413" s="88">
        <f t="shared" si="20"/>
        <v>10245</v>
      </c>
      <c r="Q413" s="50"/>
      <c r="R413" s="233">
        <v>23064</v>
      </c>
      <c r="S413" s="232">
        <v>432</v>
      </c>
      <c r="T413" s="234">
        <v>23496</v>
      </c>
    </row>
    <row r="414" spans="1:20">
      <c r="A414" s="48">
        <v>94168</v>
      </c>
      <c r="B414" s="49" t="s">
        <v>1116</v>
      </c>
      <c r="C414" s="235">
        <v>5.0800000000000002E-5</v>
      </c>
      <c r="D414" s="235">
        <v>2.5899999999999999E-5</v>
      </c>
      <c r="E414" s="203">
        <v>120515</v>
      </c>
      <c r="F414" s="203" t="s">
        <v>1930</v>
      </c>
      <c r="G414" s="233">
        <v>18593</v>
      </c>
      <c r="H414" s="221">
        <v>16543</v>
      </c>
      <c r="I414" s="233">
        <v>31980</v>
      </c>
      <c r="J414" s="232">
        <v>15950</v>
      </c>
      <c r="K414" s="88">
        <f t="shared" si="19"/>
        <v>83066</v>
      </c>
      <c r="L414" s="50"/>
      <c r="M414" s="233">
        <v>624</v>
      </c>
      <c r="N414" s="233">
        <v>0</v>
      </c>
      <c r="O414" s="232">
        <v>6240</v>
      </c>
      <c r="P414" s="88">
        <f t="shared" si="20"/>
        <v>6864</v>
      </c>
      <c r="Q414" s="50"/>
      <c r="R414" s="233">
        <v>33476</v>
      </c>
      <c r="S414" s="232">
        <v>-1436</v>
      </c>
      <c r="T414" s="234">
        <v>32040</v>
      </c>
    </row>
    <row r="415" spans="1:20">
      <c r="A415" s="48">
        <v>94171</v>
      </c>
      <c r="B415" s="49" t="s">
        <v>2281</v>
      </c>
      <c r="C415" s="235">
        <v>7.9800000000000002E-5</v>
      </c>
      <c r="D415" s="235">
        <v>6.9800000000000003E-5</v>
      </c>
      <c r="E415" s="203">
        <v>189313</v>
      </c>
      <c r="F415" s="203" t="s">
        <v>1930</v>
      </c>
      <c r="G415" s="233">
        <v>29206</v>
      </c>
      <c r="H415" s="221">
        <v>25987</v>
      </c>
      <c r="I415" s="233">
        <v>50236</v>
      </c>
      <c r="J415" s="232">
        <v>8192</v>
      </c>
      <c r="K415" s="88">
        <f t="shared" si="19"/>
        <v>113621</v>
      </c>
      <c r="L415" s="50"/>
      <c r="M415" s="233">
        <v>980</v>
      </c>
      <c r="N415" s="233">
        <v>0</v>
      </c>
      <c r="O415" s="232">
        <v>0</v>
      </c>
      <c r="P415" s="88">
        <f t="shared" si="20"/>
        <v>980</v>
      </c>
      <c r="Q415" s="50"/>
      <c r="R415" s="233">
        <v>52586</v>
      </c>
      <c r="S415" s="232">
        <v>3244</v>
      </c>
      <c r="T415" s="234">
        <v>55830</v>
      </c>
    </row>
    <row r="416" spans="1:20">
      <c r="A416" s="48">
        <v>94172</v>
      </c>
      <c r="B416" s="49" t="s">
        <v>1118</v>
      </c>
      <c r="C416" s="235">
        <v>2.833E-4</v>
      </c>
      <c r="D416" s="235">
        <v>2.6289999999999999E-4</v>
      </c>
      <c r="E416" s="203">
        <v>672084</v>
      </c>
      <c r="F416" s="203" t="s">
        <v>1930</v>
      </c>
      <c r="G416" s="233">
        <v>103687</v>
      </c>
      <c r="H416" s="221">
        <v>92258</v>
      </c>
      <c r="I416" s="233">
        <v>178345</v>
      </c>
      <c r="J416" s="232">
        <v>0</v>
      </c>
      <c r="K416" s="88">
        <f t="shared" si="19"/>
        <v>374290</v>
      </c>
      <c r="L416" s="50"/>
      <c r="M416" s="233">
        <v>3479</v>
      </c>
      <c r="N416" s="233">
        <v>0</v>
      </c>
      <c r="O416" s="232">
        <v>61943</v>
      </c>
      <c r="P416" s="88">
        <f t="shared" si="20"/>
        <v>65422</v>
      </c>
      <c r="Q416" s="50"/>
      <c r="R416" s="233">
        <v>186687</v>
      </c>
      <c r="S416" s="232">
        <v>-44260</v>
      </c>
      <c r="T416" s="234">
        <v>142427</v>
      </c>
    </row>
    <row r="417" spans="1:20">
      <c r="A417" s="48">
        <v>94201</v>
      </c>
      <c r="B417" s="49" t="s">
        <v>1119</v>
      </c>
      <c r="C417" s="235">
        <v>3.2913999999999999E-3</v>
      </c>
      <c r="D417" s="235">
        <v>3.3658999999999998E-3</v>
      </c>
      <c r="E417" s="203">
        <v>7808326</v>
      </c>
      <c r="F417" s="203" t="s">
        <v>1930</v>
      </c>
      <c r="G417" s="233">
        <v>1204639</v>
      </c>
      <c r="H417" s="221">
        <v>1071851</v>
      </c>
      <c r="I417" s="233">
        <v>2072028</v>
      </c>
      <c r="J417" s="232">
        <v>19861</v>
      </c>
      <c r="K417" s="88">
        <f t="shared" si="19"/>
        <v>4368379</v>
      </c>
      <c r="L417" s="50"/>
      <c r="M417" s="233">
        <v>40422</v>
      </c>
      <c r="N417" s="233">
        <v>0</v>
      </c>
      <c r="O417" s="232">
        <v>84937</v>
      </c>
      <c r="P417" s="88">
        <f t="shared" si="20"/>
        <v>125359</v>
      </c>
      <c r="Q417" s="50"/>
      <c r="R417" s="233">
        <v>2168944</v>
      </c>
      <c r="S417" s="232">
        <v>-9281</v>
      </c>
      <c r="T417" s="234">
        <v>2159663</v>
      </c>
    </row>
    <row r="418" spans="1:20">
      <c r="A418" s="48">
        <v>94204</v>
      </c>
      <c r="B418" s="49" t="s">
        <v>1120</v>
      </c>
      <c r="C418" s="235">
        <v>2.73E-5</v>
      </c>
      <c r="D418" s="235">
        <v>2.5899999999999999E-5</v>
      </c>
      <c r="E418" s="203">
        <v>64765</v>
      </c>
      <c r="F418" s="203" t="s">
        <v>1930</v>
      </c>
      <c r="G418" s="233">
        <v>9992</v>
      </c>
      <c r="H418" s="221">
        <v>8890</v>
      </c>
      <c r="I418" s="233">
        <v>17186</v>
      </c>
      <c r="J418" s="232">
        <v>12296</v>
      </c>
      <c r="K418" s="88">
        <f t="shared" si="19"/>
        <v>48364</v>
      </c>
      <c r="L418" s="50"/>
      <c r="M418" s="233">
        <v>335</v>
      </c>
      <c r="N418" s="233">
        <v>0</v>
      </c>
      <c r="O418" s="232">
        <v>0</v>
      </c>
      <c r="P418" s="88">
        <f t="shared" si="20"/>
        <v>335</v>
      </c>
      <c r="Q418" s="50"/>
      <c r="R418" s="233">
        <v>17990</v>
      </c>
      <c r="S418" s="232">
        <v>6257</v>
      </c>
      <c r="T418" s="234">
        <v>24247</v>
      </c>
    </row>
    <row r="419" spans="1:20">
      <c r="A419" s="48">
        <v>94205</v>
      </c>
      <c r="B419" s="49" t="s">
        <v>1121</v>
      </c>
      <c r="C419" s="235">
        <v>1.8300000000000001E-5</v>
      </c>
      <c r="D419" s="235">
        <v>2.0699999999999998E-5</v>
      </c>
      <c r="E419" s="203">
        <v>43414</v>
      </c>
      <c r="F419" s="203" t="s">
        <v>1930</v>
      </c>
      <c r="G419" s="233">
        <v>6698</v>
      </c>
      <c r="H419" s="221">
        <v>5959</v>
      </c>
      <c r="I419" s="233">
        <v>11520</v>
      </c>
      <c r="J419" s="232">
        <v>1408</v>
      </c>
      <c r="K419" s="88">
        <f t="shared" si="19"/>
        <v>25585</v>
      </c>
      <c r="L419" s="50"/>
      <c r="M419" s="233">
        <v>225</v>
      </c>
      <c r="N419" s="233">
        <v>0</v>
      </c>
      <c r="O419" s="232">
        <v>1277</v>
      </c>
      <c r="P419" s="88">
        <f t="shared" si="20"/>
        <v>1502</v>
      </c>
      <c r="Q419" s="50"/>
      <c r="R419" s="233">
        <v>12059</v>
      </c>
      <c r="S419" s="232">
        <v>-2857</v>
      </c>
      <c r="T419" s="234">
        <v>9202</v>
      </c>
    </row>
    <row r="420" spans="1:20">
      <c r="A420" s="48">
        <v>94209</v>
      </c>
      <c r="B420" s="49" t="s">
        <v>1122</v>
      </c>
      <c r="C420" s="235">
        <v>3.1700000000000001E-4</v>
      </c>
      <c r="D420" s="235">
        <v>3.4190000000000002E-4</v>
      </c>
      <c r="E420" s="203">
        <v>752032</v>
      </c>
      <c r="F420" s="203" t="s">
        <v>1930</v>
      </c>
      <c r="G420" s="233">
        <v>116021</v>
      </c>
      <c r="H420" s="221">
        <v>103231</v>
      </c>
      <c r="I420" s="233">
        <v>199560</v>
      </c>
      <c r="J420" s="232">
        <v>11815</v>
      </c>
      <c r="K420" s="88">
        <f t="shared" si="19"/>
        <v>430627</v>
      </c>
      <c r="L420" s="50"/>
      <c r="M420" s="233">
        <v>3893</v>
      </c>
      <c r="N420" s="233">
        <v>0</v>
      </c>
      <c r="O420" s="232">
        <v>21749</v>
      </c>
      <c r="P420" s="88">
        <f t="shared" si="20"/>
        <v>25642</v>
      </c>
      <c r="Q420" s="50"/>
      <c r="R420" s="233">
        <v>208894</v>
      </c>
      <c r="S420" s="232">
        <v>4832</v>
      </c>
      <c r="T420" s="234">
        <v>213726</v>
      </c>
    </row>
    <row r="421" spans="1:20">
      <c r="A421" s="48">
        <v>94211</v>
      </c>
      <c r="B421" s="49" t="s">
        <v>2282</v>
      </c>
      <c r="C421" s="235">
        <v>1.615E-4</v>
      </c>
      <c r="D421" s="235">
        <v>1.3660000000000001E-4</v>
      </c>
      <c r="E421" s="203">
        <v>383133</v>
      </c>
      <c r="F421" s="203" t="s">
        <v>1930</v>
      </c>
      <c r="G421" s="233">
        <v>59108</v>
      </c>
      <c r="H421" s="221">
        <v>52593</v>
      </c>
      <c r="I421" s="233">
        <v>101669</v>
      </c>
      <c r="J421" s="232">
        <v>11603</v>
      </c>
      <c r="K421" s="88">
        <f t="shared" si="19"/>
        <v>224973</v>
      </c>
      <c r="L421" s="50"/>
      <c r="M421" s="233">
        <v>1983</v>
      </c>
      <c r="N421" s="233">
        <v>0</v>
      </c>
      <c r="O421" s="232">
        <v>3873</v>
      </c>
      <c r="P421" s="88">
        <f t="shared" si="20"/>
        <v>5856</v>
      </c>
      <c r="Q421" s="50"/>
      <c r="R421" s="233">
        <v>106424</v>
      </c>
      <c r="S421" s="232">
        <v>-10032</v>
      </c>
      <c r="T421" s="234">
        <v>96392</v>
      </c>
    </row>
    <row r="422" spans="1:20">
      <c r="A422" s="48">
        <v>94221</v>
      </c>
      <c r="B422" s="49" t="s">
        <v>1124</v>
      </c>
      <c r="C422" s="235">
        <v>1.0311999999999999E-3</v>
      </c>
      <c r="D422" s="235">
        <v>1.0436E-3</v>
      </c>
      <c r="E422" s="203">
        <v>2446359</v>
      </c>
      <c r="F422" s="203" t="s">
        <v>1930</v>
      </c>
      <c r="G422" s="233">
        <v>377415</v>
      </c>
      <c r="H422" s="221">
        <v>335812</v>
      </c>
      <c r="I422" s="233">
        <v>649169</v>
      </c>
      <c r="J422" s="232">
        <v>28711</v>
      </c>
      <c r="K422" s="88">
        <f t="shared" si="19"/>
        <v>1391107</v>
      </c>
      <c r="L422" s="50"/>
      <c r="M422" s="233">
        <v>12664</v>
      </c>
      <c r="N422" s="233">
        <v>0</v>
      </c>
      <c r="O422" s="232">
        <v>85091</v>
      </c>
      <c r="P422" s="88">
        <f t="shared" si="20"/>
        <v>97755</v>
      </c>
      <c r="Q422" s="50"/>
      <c r="R422" s="233">
        <v>679533</v>
      </c>
      <c r="S422" s="232">
        <v>-30381</v>
      </c>
      <c r="T422" s="234">
        <v>649152</v>
      </c>
    </row>
    <row r="423" spans="1:20">
      <c r="A423" s="48">
        <v>94231</v>
      </c>
      <c r="B423" s="49" t="s">
        <v>2283</v>
      </c>
      <c r="C423" s="235">
        <v>2.009E-4</v>
      </c>
      <c r="D423" s="235">
        <v>2.2609999999999999E-4</v>
      </c>
      <c r="E423" s="203">
        <v>476604</v>
      </c>
      <c r="F423" s="203" t="s">
        <v>1930</v>
      </c>
      <c r="G423" s="233">
        <v>73529</v>
      </c>
      <c r="H423" s="221">
        <v>65423</v>
      </c>
      <c r="I423" s="233">
        <v>126472</v>
      </c>
      <c r="J423" s="232">
        <v>6119</v>
      </c>
      <c r="K423" s="88">
        <f t="shared" si="19"/>
        <v>271543</v>
      </c>
      <c r="L423" s="50"/>
      <c r="M423" s="233">
        <v>2467</v>
      </c>
      <c r="N423" s="233">
        <v>0</v>
      </c>
      <c r="O423" s="232">
        <v>26463</v>
      </c>
      <c r="P423" s="88">
        <f t="shared" si="20"/>
        <v>28930</v>
      </c>
      <c r="Q423" s="50"/>
      <c r="R423" s="233">
        <v>132388</v>
      </c>
      <c r="S423" s="232">
        <v>-8958</v>
      </c>
      <c r="T423" s="234">
        <v>123430</v>
      </c>
    </row>
    <row r="424" spans="1:20">
      <c r="A424" s="48">
        <v>94241</v>
      </c>
      <c r="B424" s="49" t="s">
        <v>2284</v>
      </c>
      <c r="C424" s="235">
        <v>1.227E-4</v>
      </c>
      <c r="D424" s="235">
        <v>1.2669999999999999E-4</v>
      </c>
      <c r="E424" s="203">
        <v>291086</v>
      </c>
      <c r="F424" s="203" t="s">
        <v>1930</v>
      </c>
      <c r="G424" s="233">
        <v>44908</v>
      </c>
      <c r="H424" s="221">
        <v>39958</v>
      </c>
      <c r="I424" s="233">
        <v>77243</v>
      </c>
      <c r="J424" s="232">
        <v>19412</v>
      </c>
      <c r="K424" s="88">
        <f t="shared" si="19"/>
        <v>181521</v>
      </c>
      <c r="L424" s="50"/>
      <c r="M424" s="233">
        <v>1507</v>
      </c>
      <c r="N424" s="233">
        <v>0</v>
      </c>
      <c r="O424" s="232">
        <v>7181</v>
      </c>
      <c r="P424" s="88">
        <f t="shared" si="20"/>
        <v>8688</v>
      </c>
      <c r="Q424" s="50"/>
      <c r="R424" s="233">
        <v>80856</v>
      </c>
      <c r="S424" s="232">
        <v>5128</v>
      </c>
      <c r="T424" s="234">
        <v>85984</v>
      </c>
    </row>
    <row r="425" spans="1:20">
      <c r="A425" s="48">
        <v>94251</v>
      </c>
      <c r="B425" s="49" t="s">
        <v>2285</v>
      </c>
      <c r="C425" s="235">
        <v>1.59E-5</v>
      </c>
      <c r="D425" s="235">
        <v>1.95E-5</v>
      </c>
      <c r="E425" s="203">
        <v>37720</v>
      </c>
      <c r="F425" s="203" t="s">
        <v>1930</v>
      </c>
      <c r="G425" s="233">
        <v>5819</v>
      </c>
      <c r="H425" s="221">
        <v>5178</v>
      </c>
      <c r="I425" s="233">
        <v>10009</v>
      </c>
      <c r="J425" s="232">
        <v>2468</v>
      </c>
      <c r="K425" s="88">
        <f t="shared" si="19"/>
        <v>23474</v>
      </c>
      <c r="L425" s="50"/>
      <c r="M425" s="233">
        <v>195</v>
      </c>
      <c r="N425" s="233">
        <v>0</v>
      </c>
      <c r="O425" s="232">
        <v>4449</v>
      </c>
      <c r="P425" s="88">
        <f t="shared" si="20"/>
        <v>4644</v>
      </c>
      <c r="Q425" s="50"/>
      <c r="R425" s="233">
        <v>10478</v>
      </c>
      <c r="S425" s="232">
        <v>-2557</v>
      </c>
      <c r="T425" s="234">
        <v>7921</v>
      </c>
    </row>
    <row r="426" spans="1:20">
      <c r="A426" s="48">
        <v>94261</v>
      </c>
      <c r="B426" s="49" t="s">
        <v>2286</v>
      </c>
      <c r="C426" s="235">
        <v>3.6199999999999999E-5</v>
      </c>
      <c r="D426" s="235">
        <v>3.9199999999999997E-5</v>
      </c>
      <c r="E426" s="203">
        <v>85879</v>
      </c>
      <c r="F426" s="203" t="s">
        <v>1930</v>
      </c>
      <c r="G426" s="233">
        <v>13249</v>
      </c>
      <c r="H426" s="221">
        <v>11789</v>
      </c>
      <c r="I426" s="233">
        <v>22789</v>
      </c>
      <c r="J426" s="232">
        <v>10016</v>
      </c>
      <c r="K426" s="88">
        <f t="shared" si="19"/>
        <v>57843</v>
      </c>
      <c r="L426" s="50"/>
      <c r="M426" s="233">
        <v>445</v>
      </c>
      <c r="N426" s="233">
        <v>0</v>
      </c>
      <c r="O426" s="232">
        <v>790</v>
      </c>
      <c r="P426" s="88">
        <f t="shared" si="20"/>
        <v>1235</v>
      </c>
      <c r="Q426" s="50"/>
      <c r="R426" s="233">
        <v>23855</v>
      </c>
      <c r="S426" s="232">
        <v>5304</v>
      </c>
      <c r="T426" s="234">
        <v>29159</v>
      </c>
    </row>
    <row r="427" spans="1:20">
      <c r="A427" s="48">
        <v>94301</v>
      </c>
      <c r="B427" s="49" t="s">
        <v>1129</v>
      </c>
      <c r="C427" s="235">
        <v>6.3552000000000001E-3</v>
      </c>
      <c r="D427" s="235">
        <v>6.2988999999999996E-3</v>
      </c>
      <c r="E427" s="203">
        <v>15076708</v>
      </c>
      <c r="F427" s="203" t="s">
        <v>1930</v>
      </c>
      <c r="G427" s="233">
        <v>2325978</v>
      </c>
      <c r="H427" s="221">
        <v>2069584</v>
      </c>
      <c r="I427" s="233">
        <v>4000776</v>
      </c>
      <c r="J427" s="232">
        <v>62202</v>
      </c>
      <c r="K427" s="88">
        <f t="shared" si="19"/>
        <v>8458540</v>
      </c>
      <c r="L427" s="50"/>
      <c r="M427" s="233">
        <v>78048</v>
      </c>
      <c r="N427" s="233">
        <v>0</v>
      </c>
      <c r="O427" s="232">
        <v>66635</v>
      </c>
      <c r="P427" s="88">
        <f t="shared" si="20"/>
        <v>144683</v>
      </c>
      <c r="Q427" s="50"/>
      <c r="R427" s="233">
        <v>4187905</v>
      </c>
      <c r="S427" s="232">
        <v>-21615</v>
      </c>
      <c r="T427" s="234">
        <v>4166290</v>
      </c>
    </row>
    <row r="428" spans="1:20">
      <c r="A428" s="48">
        <v>94311</v>
      </c>
      <c r="B428" s="49" t="s">
        <v>1130</v>
      </c>
      <c r="C428" s="235">
        <v>7.4359999999999997E-4</v>
      </c>
      <c r="D428" s="235">
        <v>7.8540000000000001E-4</v>
      </c>
      <c r="E428" s="203">
        <v>1764074</v>
      </c>
      <c r="F428" s="203" t="s">
        <v>1930</v>
      </c>
      <c r="G428" s="233">
        <v>272155</v>
      </c>
      <c r="H428" s="221">
        <v>242155</v>
      </c>
      <c r="I428" s="233">
        <v>468117</v>
      </c>
      <c r="J428" s="232">
        <v>17528</v>
      </c>
      <c r="K428" s="88">
        <f t="shared" si="19"/>
        <v>999955</v>
      </c>
      <c r="L428" s="50"/>
      <c r="M428" s="233">
        <v>9132</v>
      </c>
      <c r="N428" s="233">
        <v>0</v>
      </c>
      <c r="O428" s="232">
        <v>53855</v>
      </c>
      <c r="P428" s="88">
        <f t="shared" si="20"/>
        <v>62987</v>
      </c>
      <c r="Q428" s="50"/>
      <c r="R428" s="233">
        <v>490012</v>
      </c>
      <c r="S428" s="232">
        <v>-19332</v>
      </c>
      <c r="T428" s="234">
        <v>470680</v>
      </c>
    </row>
    <row r="429" spans="1:20">
      <c r="A429" s="48">
        <v>94313</v>
      </c>
      <c r="B429" s="49" t="s">
        <v>1131</v>
      </c>
      <c r="C429" s="235">
        <v>2.1699999999999999E-5</v>
      </c>
      <c r="D429" s="235">
        <v>1.8700000000000001E-5</v>
      </c>
      <c r="E429" s="203">
        <v>51480</v>
      </c>
      <c r="F429" s="203" t="s">
        <v>1930</v>
      </c>
      <c r="G429" s="233">
        <v>7942</v>
      </c>
      <c r="H429" s="221">
        <v>7067</v>
      </c>
      <c r="I429" s="233">
        <v>13661</v>
      </c>
      <c r="J429" s="232">
        <v>9311</v>
      </c>
      <c r="K429" s="88">
        <f t="shared" si="19"/>
        <v>37981</v>
      </c>
      <c r="L429" s="50"/>
      <c r="M429" s="233">
        <v>266</v>
      </c>
      <c r="N429" s="233">
        <v>0</v>
      </c>
      <c r="O429" s="232">
        <v>0</v>
      </c>
      <c r="P429" s="88">
        <f t="shared" si="20"/>
        <v>266</v>
      </c>
      <c r="Q429" s="50"/>
      <c r="R429" s="233">
        <v>14300</v>
      </c>
      <c r="S429" s="232">
        <v>4369</v>
      </c>
      <c r="T429" s="234">
        <v>18669</v>
      </c>
    </row>
    <row r="430" spans="1:20">
      <c r="A430" s="48">
        <v>94317</v>
      </c>
      <c r="B430" s="49" t="s">
        <v>1132</v>
      </c>
      <c r="C430" s="235">
        <v>1.15E-5</v>
      </c>
      <c r="D430" s="235">
        <v>1.2E-5</v>
      </c>
      <c r="E430" s="203">
        <v>27282</v>
      </c>
      <c r="F430" s="203" t="s">
        <v>1930</v>
      </c>
      <c r="G430" s="233">
        <v>4209</v>
      </c>
      <c r="H430" s="221">
        <v>3745</v>
      </c>
      <c r="I430" s="233">
        <v>7240</v>
      </c>
      <c r="J430" s="232">
        <v>8256</v>
      </c>
      <c r="K430" s="88">
        <f t="shared" si="19"/>
        <v>23450</v>
      </c>
      <c r="L430" s="50"/>
      <c r="M430" s="233">
        <v>141</v>
      </c>
      <c r="N430" s="233">
        <v>0</v>
      </c>
      <c r="O430" s="232">
        <v>0</v>
      </c>
      <c r="P430" s="88">
        <f t="shared" si="20"/>
        <v>141</v>
      </c>
      <c r="Q430" s="50"/>
      <c r="R430" s="233">
        <v>7578</v>
      </c>
      <c r="S430" s="232">
        <v>4052</v>
      </c>
      <c r="T430" s="234">
        <v>11630</v>
      </c>
    </row>
    <row r="431" spans="1:20">
      <c r="A431" s="48">
        <v>94321</v>
      </c>
      <c r="B431" s="49" t="s">
        <v>2287</v>
      </c>
      <c r="C431" s="235">
        <v>2.8160000000000001E-4</v>
      </c>
      <c r="D431" s="235">
        <v>2.7760000000000003E-4</v>
      </c>
      <c r="E431" s="203">
        <v>668052</v>
      </c>
      <c r="F431" s="203" t="s">
        <v>1930</v>
      </c>
      <c r="G431" s="233">
        <v>103064</v>
      </c>
      <c r="H431" s="221">
        <v>91703</v>
      </c>
      <c r="I431" s="233">
        <v>177275</v>
      </c>
      <c r="J431" s="232">
        <v>0</v>
      </c>
      <c r="K431" s="88">
        <f t="shared" si="19"/>
        <v>372042</v>
      </c>
      <c r="L431" s="50"/>
      <c r="M431" s="233">
        <v>3458</v>
      </c>
      <c r="N431" s="233">
        <v>0</v>
      </c>
      <c r="O431" s="232">
        <v>23408</v>
      </c>
      <c r="P431" s="88">
        <f t="shared" si="20"/>
        <v>26866</v>
      </c>
      <c r="Q431" s="50"/>
      <c r="R431" s="233">
        <v>185567</v>
      </c>
      <c r="S431" s="232">
        <v>-8371</v>
      </c>
      <c r="T431" s="234">
        <v>177196</v>
      </c>
    </row>
    <row r="432" spans="1:20">
      <c r="A432" s="48">
        <v>94331</v>
      </c>
      <c r="B432" s="49" t="s">
        <v>2288</v>
      </c>
      <c r="C432" s="235">
        <v>1.6090000000000001E-4</v>
      </c>
      <c r="D432" s="235">
        <v>1.3569999999999999E-4</v>
      </c>
      <c r="E432" s="204">
        <v>381710</v>
      </c>
      <c r="F432" s="204" t="s">
        <v>1930</v>
      </c>
      <c r="G432" s="233">
        <v>58889</v>
      </c>
      <c r="H432" s="221">
        <v>52397</v>
      </c>
      <c r="I432" s="233">
        <v>101291</v>
      </c>
      <c r="J432" s="232">
        <v>20048</v>
      </c>
      <c r="K432" s="88">
        <f t="shared" si="19"/>
        <v>232625</v>
      </c>
      <c r="L432" s="50"/>
      <c r="M432" s="233">
        <v>1976</v>
      </c>
      <c r="N432" s="233">
        <v>0</v>
      </c>
      <c r="O432" s="232">
        <v>7457</v>
      </c>
      <c r="P432" s="88">
        <f t="shared" si="20"/>
        <v>9433</v>
      </c>
      <c r="Q432" s="50"/>
      <c r="R432" s="233">
        <v>106029</v>
      </c>
      <c r="S432" s="232">
        <v>7534</v>
      </c>
      <c r="T432" s="234">
        <v>113563</v>
      </c>
    </row>
    <row r="433" spans="1:20">
      <c r="A433" s="48">
        <v>94341</v>
      </c>
      <c r="B433" s="49" t="s">
        <v>2289</v>
      </c>
      <c r="C433" s="235">
        <v>8.3300000000000005E-5</v>
      </c>
      <c r="D433" s="235">
        <v>9.4699999999999998E-5</v>
      </c>
      <c r="E433" s="204">
        <v>197616</v>
      </c>
      <c r="F433" s="204" t="s">
        <v>1930</v>
      </c>
      <c r="G433" s="233">
        <v>30487</v>
      </c>
      <c r="H433" s="221">
        <v>27127</v>
      </c>
      <c r="I433" s="233">
        <v>52440</v>
      </c>
      <c r="J433" s="232">
        <v>4074</v>
      </c>
      <c r="K433" s="88">
        <f t="shared" si="19"/>
        <v>114128</v>
      </c>
      <c r="L433" s="50"/>
      <c r="M433" s="233">
        <v>1023</v>
      </c>
      <c r="N433" s="233">
        <v>0</v>
      </c>
      <c r="O433" s="232">
        <v>12325</v>
      </c>
      <c r="P433" s="88">
        <f t="shared" si="20"/>
        <v>13348</v>
      </c>
      <c r="Q433" s="50"/>
      <c r="R433" s="233">
        <v>54892</v>
      </c>
      <c r="S433" s="232">
        <v>-4230</v>
      </c>
      <c r="T433" s="234">
        <v>50662</v>
      </c>
    </row>
    <row r="434" spans="1:20">
      <c r="A434" s="48">
        <v>94347</v>
      </c>
      <c r="B434" s="49" t="s">
        <v>2290</v>
      </c>
      <c r="C434" s="235">
        <v>7.9999999999999996E-6</v>
      </c>
      <c r="D434" s="235">
        <v>1.22E-5</v>
      </c>
      <c r="E434" s="204">
        <v>18979</v>
      </c>
      <c r="F434" s="204" t="s">
        <v>1930</v>
      </c>
      <c r="G434" s="233">
        <v>2928</v>
      </c>
      <c r="H434" s="221">
        <v>2605</v>
      </c>
      <c r="I434" s="233">
        <v>5036</v>
      </c>
      <c r="J434" s="232">
        <v>2389</v>
      </c>
      <c r="K434" s="88">
        <f t="shared" si="19"/>
        <v>12958</v>
      </c>
      <c r="L434" s="50"/>
      <c r="M434" s="233">
        <v>98</v>
      </c>
      <c r="N434" s="233">
        <v>0</v>
      </c>
      <c r="O434" s="232">
        <v>948</v>
      </c>
      <c r="P434" s="88">
        <f t="shared" si="20"/>
        <v>1046</v>
      </c>
      <c r="Q434" s="50"/>
      <c r="R434" s="233">
        <v>5272</v>
      </c>
      <c r="S434" s="232">
        <v>1646</v>
      </c>
      <c r="T434" s="234">
        <v>6918</v>
      </c>
    </row>
    <row r="435" spans="1:20">
      <c r="A435" s="48">
        <v>94351</v>
      </c>
      <c r="B435" s="49" t="s">
        <v>2291</v>
      </c>
      <c r="C435" s="235">
        <v>2.477E-4</v>
      </c>
      <c r="D435" s="235">
        <v>2.433E-4</v>
      </c>
      <c r="E435" s="204">
        <v>587629</v>
      </c>
      <c r="F435" s="204" t="s">
        <v>1930</v>
      </c>
      <c r="G435" s="233">
        <v>90657</v>
      </c>
      <c r="H435" s="221">
        <v>80664</v>
      </c>
      <c r="I435" s="233">
        <v>155934</v>
      </c>
      <c r="J435" s="232">
        <v>716</v>
      </c>
      <c r="K435" s="88">
        <f t="shared" si="19"/>
        <v>327971</v>
      </c>
      <c r="L435" s="50"/>
      <c r="M435" s="233">
        <v>3042</v>
      </c>
      <c r="N435" s="233">
        <v>0</v>
      </c>
      <c r="O435" s="232">
        <v>6580</v>
      </c>
      <c r="P435" s="88">
        <f t="shared" si="20"/>
        <v>9622</v>
      </c>
      <c r="Q435" s="50"/>
      <c r="R435" s="233">
        <v>163228</v>
      </c>
      <c r="S435" s="232">
        <v>-2766</v>
      </c>
      <c r="T435" s="234">
        <v>160462</v>
      </c>
    </row>
    <row r="436" spans="1:20">
      <c r="A436" s="48">
        <v>94401</v>
      </c>
      <c r="B436" s="49" t="s">
        <v>1138</v>
      </c>
      <c r="C436" s="235">
        <v>3.2688999999999999E-3</v>
      </c>
      <c r="D436" s="235">
        <v>3.2718000000000001E-3</v>
      </c>
      <c r="E436" s="204">
        <v>7754949</v>
      </c>
      <c r="F436" s="204" t="s">
        <v>1930</v>
      </c>
      <c r="G436" s="233">
        <v>1196404</v>
      </c>
      <c r="H436" s="221">
        <v>1064524</v>
      </c>
      <c r="I436" s="233">
        <v>2057864</v>
      </c>
      <c r="J436" s="232">
        <v>19959</v>
      </c>
      <c r="K436" s="88">
        <f t="shared" si="19"/>
        <v>4338751</v>
      </c>
      <c r="L436" s="50"/>
      <c r="M436" s="233">
        <v>40145</v>
      </c>
      <c r="N436" s="233">
        <v>0</v>
      </c>
      <c r="O436" s="232">
        <v>62594</v>
      </c>
      <c r="P436" s="88">
        <f t="shared" si="20"/>
        <v>102739</v>
      </c>
      <c r="Q436" s="50"/>
      <c r="R436" s="233">
        <v>2154117</v>
      </c>
      <c r="S436" s="232">
        <v>-9013</v>
      </c>
      <c r="T436" s="234">
        <v>2145104</v>
      </c>
    </row>
    <row r="437" spans="1:20">
      <c r="A437" s="48">
        <v>94402</v>
      </c>
      <c r="B437" s="49" t="s">
        <v>1139</v>
      </c>
      <c r="C437" s="235">
        <v>0</v>
      </c>
      <c r="D437" s="235">
        <v>0</v>
      </c>
      <c r="E437" s="204">
        <v>0</v>
      </c>
      <c r="F437" s="204" t="s">
        <v>1930</v>
      </c>
      <c r="G437" s="233">
        <v>0</v>
      </c>
      <c r="H437" s="221">
        <v>0</v>
      </c>
      <c r="I437" s="233">
        <v>0</v>
      </c>
      <c r="J437" s="232">
        <v>0</v>
      </c>
      <c r="K437" s="88">
        <f t="shared" si="19"/>
        <v>0</v>
      </c>
      <c r="L437" s="50"/>
      <c r="M437" s="233">
        <v>0</v>
      </c>
      <c r="N437" s="233">
        <v>0</v>
      </c>
      <c r="O437" s="232">
        <v>767649</v>
      </c>
      <c r="P437" s="88">
        <f t="shared" si="20"/>
        <v>767649</v>
      </c>
      <c r="Q437" s="50"/>
      <c r="R437" s="233">
        <v>0</v>
      </c>
      <c r="S437" s="232">
        <v>-1006718</v>
      </c>
      <c r="T437" s="234">
        <v>-1006718</v>
      </c>
    </row>
    <row r="438" spans="1:20">
      <c r="A438" s="48">
        <v>94403</v>
      </c>
      <c r="B438" s="49" t="s">
        <v>1140</v>
      </c>
      <c r="C438" s="235">
        <v>3.1900000000000003E-5</v>
      </c>
      <c r="D438" s="235">
        <v>2.2099999999999998E-5</v>
      </c>
      <c r="E438" s="204">
        <v>75678</v>
      </c>
      <c r="F438" s="204" t="s">
        <v>1930</v>
      </c>
      <c r="G438" s="233">
        <v>11675</v>
      </c>
      <c r="H438" s="221">
        <v>10388</v>
      </c>
      <c r="I438" s="233">
        <v>20082</v>
      </c>
      <c r="J438" s="232">
        <v>18814</v>
      </c>
      <c r="K438" s="88">
        <f t="shared" si="19"/>
        <v>60959</v>
      </c>
      <c r="L438" s="50"/>
      <c r="M438" s="233">
        <v>392</v>
      </c>
      <c r="N438" s="233">
        <v>0</v>
      </c>
      <c r="O438" s="232">
        <v>0</v>
      </c>
      <c r="P438" s="88">
        <f t="shared" si="20"/>
        <v>392</v>
      </c>
      <c r="Q438" s="50"/>
      <c r="R438" s="233">
        <v>21021</v>
      </c>
      <c r="S438" s="232">
        <v>5618</v>
      </c>
      <c r="T438" s="234">
        <v>26639</v>
      </c>
    </row>
    <row r="439" spans="1:20">
      <c r="A439" s="48">
        <v>94408</v>
      </c>
      <c r="B439" s="49" t="s">
        <v>1141</v>
      </c>
      <c r="C439" s="235">
        <v>4.6E-5</v>
      </c>
      <c r="D439" s="235">
        <v>4.2400000000000001E-5</v>
      </c>
      <c r="E439" s="204">
        <v>109128</v>
      </c>
      <c r="F439" s="204" t="s">
        <v>1930</v>
      </c>
      <c r="G439" s="233">
        <v>16836</v>
      </c>
      <c r="H439" s="221">
        <v>14980</v>
      </c>
      <c r="I439" s="233">
        <v>28958</v>
      </c>
      <c r="J439" s="232">
        <v>4785</v>
      </c>
      <c r="K439" s="88">
        <f t="shared" si="19"/>
        <v>65559</v>
      </c>
      <c r="L439" s="50"/>
      <c r="M439" s="233">
        <v>565</v>
      </c>
      <c r="N439" s="233">
        <v>0</v>
      </c>
      <c r="O439" s="232">
        <v>2759</v>
      </c>
      <c r="P439" s="88">
        <f t="shared" si="20"/>
        <v>3324</v>
      </c>
      <c r="Q439" s="50"/>
      <c r="R439" s="233">
        <v>30313</v>
      </c>
      <c r="S439" s="232">
        <v>129</v>
      </c>
      <c r="T439" s="234">
        <v>30442</v>
      </c>
    </row>
    <row r="440" spans="1:20">
      <c r="A440" s="48">
        <v>94411</v>
      </c>
      <c r="B440" s="49" t="s">
        <v>2292</v>
      </c>
      <c r="C440" s="235">
        <v>1.2620000000000001E-3</v>
      </c>
      <c r="D440" s="235">
        <v>1.2672E-3</v>
      </c>
      <c r="E440" s="204">
        <v>2993896</v>
      </c>
      <c r="F440" s="204" t="s">
        <v>1930</v>
      </c>
      <c r="G440" s="233">
        <v>461887</v>
      </c>
      <c r="H440" s="221">
        <v>410973</v>
      </c>
      <c r="I440" s="233">
        <v>794464</v>
      </c>
      <c r="J440" s="232">
        <v>43913</v>
      </c>
      <c r="K440" s="88">
        <f t="shared" si="19"/>
        <v>1711237</v>
      </c>
      <c r="L440" s="50"/>
      <c r="M440" s="233">
        <v>15499</v>
      </c>
      <c r="N440" s="233">
        <v>0</v>
      </c>
      <c r="O440" s="232">
        <v>31638</v>
      </c>
      <c r="P440" s="88">
        <f t="shared" si="20"/>
        <v>47137</v>
      </c>
      <c r="Q440" s="50"/>
      <c r="R440" s="233">
        <v>831624</v>
      </c>
      <c r="S440" s="232">
        <v>10868</v>
      </c>
      <c r="T440" s="234">
        <v>842492</v>
      </c>
    </row>
    <row r="441" spans="1:20">
      <c r="A441" s="48">
        <v>94412</v>
      </c>
      <c r="B441" s="49" t="s">
        <v>1143</v>
      </c>
      <c r="C441" s="235">
        <v>1.5500000000000001E-5</v>
      </c>
      <c r="D441" s="235">
        <v>1.5099999999999999E-5</v>
      </c>
      <c r="E441" s="204">
        <v>36771</v>
      </c>
      <c r="F441" s="204" t="s">
        <v>1930</v>
      </c>
      <c r="G441" s="233">
        <v>5673</v>
      </c>
      <c r="H441" s="221">
        <v>5047</v>
      </c>
      <c r="I441" s="233">
        <v>9758</v>
      </c>
      <c r="J441" s="232">
        <v>12196</v>
      </c>
      <c r="K441" s="88">
        <f t="shared" si="19"/>
        <v>32674</v>
      </c>
      <c r="L441" s="50"/>
      <c r="M441" s="233">
        <v>190</v>
      </c>
      <c r="N441" s="233">
        <v>0</v>
      </c>
      <c r="O441" s="232">
        <v>0</v>
      </c>
      <c r="P441" s="88">
        <f t="shared" si="20"/>
        <v>190</v>
      </c>
      <c r="Q441" s="50"/>
      <c r="R441" s="233">
        <v>10214</v>
      </c>
      <c r="S441" s="232">
        <v>7254</v>
      </c>
      <c r="T441" s="234">
        <v>17468</v>
      </c>
    </row>
    <row r="442" spans="1:20">
      <c r="A442" s="48">
        <v>94421</v>
      </c>
      <c r="B442" s="49" t="s">
        <v>2293</v>
      </c>
      <c r="C442" s="235">
        <v>1.6080000000000001E-4</v>
      </c>
      <c r="D442" s="235">
        <v>1.6679999999999999E-4</v>
      </c>
      <c r="E442" s="204">
        <v>381473</v>
      </c>
      <c r="F442" s="204" t="s">
        <v>1930</v>
      </c>
      <c r="G442" s="233">
        <v>58852</v>
      </c>
      <c r="H442" s="221">
        <v>52365</v>
      </c>
      <c r="I442" s="233">
        <v>101228</v>
      </c>
      <c r="J442" s="232">
        <v>2434</v>
      </c>
      <c r="K442" s="88">
        <f t="shared" si="19"/>
        <v>214879</v>
      </c>
      <c r="L442" s="50"/>
      <c r="M442" s="233">
        <v>1975</v>
      </c>
      <c r="N442" s="233">
        <v>0</v>
      </c>
      <c r="O442" s="232">
        <v>6283</v>
      </c>
      <c r="P442" s="88">
        <f t="shared" si="20"/>
        <v>8258</v>
      </c>
      <c r="Q442" s="50"/>
      <c r="R442" s="233">
        <v>105963</v>
      </c>
      <c r="S442" s="232">
        <v>-5086</v>
      </c>
      <c r="T442" s="234">
        <v>100877</v>
      </c>
    </row>
    <row r="443" spans="1:20">
      <c r="A443" s="48">
        <v>94427</v>
      </c>
      <c r="B443" s="49" t="s">
        <v>1145</v>
      </c>
      <c r="C443" s="235">
        <v>1.63E-5</v>
      </c>
      <c r="D443" s="235">
        <v>1.5699999999999999E-5</v>
      </c>
      <c r="E443" s="204">
        <v>38669</v>
      </c>
      <c r="F443" s="204" t="s">
        <v>1930</v>
      </c>
      <c r="G443" s="233">
        <v>5966</v>
      </c>
      <c r="H443" s="221">
        <v>5308</v>
      </c>
      <c r="I443" s="233">
        <v>10261</v>
      </c>
      <c r="J443" s="232">
        <v>5569</v>
      </c>
      <c r="K443" s="88">
        <f t="shared" si="19"/>
        <v>27104</v>
      </c>
      <c r="L443" s="50"/>
      <c r="M443" s="233">
        <v>200</v>
      </c>
      <c r="N443" s="233">
        <v>0</v>
      </c>
      <c r="O443" s="232">
        <v>246</v>
      </c>
      <c r="P443" s="88">
        <f t="shared" si="20"/>
        <v>446</v>
      </c>
      <c r="Q443" s="50"/>
      <c r="R443" s="233">
        <v>10741</v>
      </c>
      <c r="S443" s="232">
        <v>1607</v>
      </c>
      <c r="T443" s="234">
        <v>12348</v>
      </c>
    </row>
    <row r="444" spans="1:20">
      <c r="A444" s="48">
        <v>94428</v>
      </c>
      <c r="B444" s="49" t="s">
        <v>1146</v>
      </c>
      <c r="C444" s="235">
        <v>7.2000000000000002E-5</v>
      </c>
      <c r="D444" s="235">
        <v>6.5199999999999999E-5</v>
      </c>
      <c r="E444" s="204">
        <v>170809</v>
      </c>
      <c r="F444" s="204" t="s">
        <v>1930</v>
      </c>
      <c r="G444" s="233">
        <v>26352</v>
      </c>
      <c r="H444" s="221">
        <v>23447</v>
      </c>
      <c r="I444" s="233">
        <v>45326</v>
      </c>
      <c r="J444" s="232">
        <v>7270</v>
      </c>
      <c r="K444" s="88">
        <f t="shared" si="19"/>
        <v>102395</v>
      </c>
      <c r="L444" s="50"/>
      <c r="M444" s="233">
        <v>884</v>
      </c>
      <c r="N444" s="233">
        <v>0</v>
      </c>
      <c r="O444" s="232">
        <v>2510</v>
      </c>
      <c r="P444" s="88">
        <f t="shared" si="20"/>
        <v>3394</v>
      </c>
      <c r="Q444" s="50"/>
      <c r="R444" s="233">
        <v>47446</v>
      </c>
      <c r="S444" s="232">
        <v>1904</v>
      </c>
      <c r="T444" s="234">
        <v>49350</v>
      </c>
    </row>
    <row r="445" spans="1:20">
      <c r="A445" s="48">
        <v>94431</v>
      </c>
      <c r="B445" s="49" t="s">
        <v>2294</v>
      </c>
      <c r="C445" s="235">
        <v>3.882E-4</v>
      </c>
      <c r="D445" s="235">
        <v>4.2440000000000002E-4</v>
      </c>
      <c r="E445" s="204">
        <v>920943</v>
      </c>
      <c r="F445" s="204" t="s">
        <v>1930</v>
      </c>
      <c r="G445" s="233">
        <v>142080</v>
      </c>
      <c r="H445" s="221">
        <v>126418</v>
      </c>
      <c r="I445" s="233">
        <v>244383</v>
      </c>
      <c r="J445" s="232">
        <v>207234</v>
      </c>
      <c r="K445" s="88">
        <f t="shared" si="19"/>
        <v>720115</v>
      </c>
      <c r="L445" s="50"/>
      <c r="M445" s="233">
        <v>4767</v>
      </c>
      <c r="N445" s="233">
        <v>0</v>
      </c>
      <c r="O445" s="232">
        <v>0</v>
      </c>
      <c r="P445" s="88">
        <f t="shared" si="20"/>
        <v>4767</v>
      </c>
      <c r="Q445" s="50"/>
      <c r="R445" s="233">
        <v>255813</v>
      </c>
      <c r="S445" s="232">
        <v>84678</v>
      </c>
      <c r="T445" s="234">
        <v>340491</v>
      </c>
    </row>
    <row r="446" spans="1:20">
      <c r="A446" s="48">
        <v>94437</v>
      </c>
      <c r="B446" s="49" t="s">
        <v>1148</v>
      </c>
      <c r="C446" s="235">
        <v>1.63E-5</v>
      </c>
      <c r="D446" s="235">
        <v>1.5299999999999999E-5</v>
      </c>
      <c r="E446" s="204">
        <v>38669</v>
      </c>
      <c r="F446" s="204" t="s">
        <v>1930</v>
      </c>
      <c r="G446" s="233">
        <v>5966</v>
      </c>
      <c r="H446" s="221">
        <v>5308</v>
      </c>
      <c r="I446" s="233">
        <v>10261</v>
      </c>
      <c r="J446" s="232">
        <v>13304</v>
      </c>
      <c r="K446" s="88">
        <f t="shared" si="19"/>
        <v>34839</v>
      </c>
      <c r="L446" s="50"/>
      <c r="M446" s="233">
        <v>200</v>
      </c>
      <c r="N446" s="233">
        <v>0</v>
      </c>
      <c r="O446" s="232">
        <v>0</v>
      </c>
      <c r="P446" s="88">
        <f t="shared" si="20"/>
        <v>200</v>
      </c>
      <c r="Q446" s="50"/>
      <c r="R446" s="233">
        <v>10741</v>
      </c>
      <c r="S446" s="232">
        <v>6892</v>
      </c>
      <c r="T446" s="234">
        <v>17633</v>
      </c>
    </row>
    <row r="447" spans="1:20">
      <c r="A447" s="48">
        <v>94501</v>
      </c>
      <c r="B447" s="49" t="s">
        <v>1149</v>
      </c>
      <c r="C447" s="235">
        <v>5.8639E-3</v>
      </c>
      <c r="D447" s="235">
        <v>5.6991000000000003E-3</v>
      </c>
      <c r="E447" s="204">
        <v>13911176</v>
      </c>
      <c r="F447" s="204" t="s">
        <v>1930</v>
      </c>
      <c r="G447" s="233">
        <v>2146164</v>
      </c>
      <c r="H447" s="221">
        <v>1909591</v>
      </c>
      <c r="I447" s="233">
        <v>3691489</v>
      </c>
      <c r="J447" s="232">
        <v>148578</v>
      </c>
      <c r="K447" s="88">
        <f t="shared" si="19"/>
        <v>7895822</v>
      </c>
      <c r="L447" s="50"/>
      <c r="M447" s="233">
        <v>72015</v>
      </c>
      <c r="N447" s="233">
        <v>0</v>
      </c>
      <c r="O447" s="232">
        <v>8676</v>
      </c>
      <c r="P447" s="88">
        <f t="shared" si="20"/>
        <v>80691</v>
      </c>
      <c r="Q447" s="50"/>
      <c r="R447" s="233">
        <v>3864152</v>
      </c>
      <c r="S447" s="232">
        <v>125529</v>
      </c>
      <c r="T447" s="234">
        <v>3989681</v>
      </c>
    </row>
    <row r="448" spans="1:20">
      <c r="A448" s="48">
        <v>94511</v>
      </c>
      <c r="B448" s="49" t="s">
        <v>1150</v>
      </c>
      <c r="C448" s="235">
        <v>1.9548999999999999E-3</v>
      </c>
      <c r="D448" s="235">
        <v>1.8538999999999999E-3</v>
      </c>
      <c r="E448" s="204">
        <v>4637691</v>
      </c>
      <c r="F448" s="204" t="s">
        <v>1930</v>
      </c>
      <c r="G448" s="233">
        <v>715486</v>
      </c>
      <c r="H448" s="221">
        <v>636617</v>
      </c>
      <c r="I448" s="233">
        <v>1230664</v>
      </c>
      <c r="J448" s="232">
        <v>90765</v>
      </c>
      <c r="K448" s="88">
        <f t="shared" si="19"/>
        <v>2673532</v>
      </c>
      <c r="L448" s="50"/>
      <c r="M448" s="233">
        <v>24008</v>
      </c>
      <c r="N448" s="233">
        <v>0</v>
      </c>
      <c r="O448" s="232">
        <v>20572</v>
      </c>
      <c r="P448" s="88">
        <f t="shared" si="20"/>
        <v>44580</v>
      </c>
      <c r="Q448" s="50"/>
      <c r="R448" s="233">
        <v>1288226</v>
      </c>
      <c r="S448" s="232">
        <v>77659</v>
      </c>
      <c r="T448" s="234">
        <v>1365885</v>
      </c>
    </row>
    <row r="449" spans="1:20">
      <c r="A449" s="48">
        <v>94512</v>
      </c>
      <c r="B449" s="49" t="s">
        <v>1151</v>
      </c>
      <c r="C449" s="235">
        <v>0</v>
      </c>
      <c r="D449" s="235">
        <v>0</v>
      </c>
      <c r="E449" s="204">
        <v>0</v>
      </c>
      <c r="F449" s="204" t="s">
        <v>1930</v>
      </c>
      <c r="G449" s="233">
        <v>0</v>
      </c>
      <c r="H449" s="221">
        <v>0</v>
      </c>
      <c r="I449" s="233">
        <v>0</v>
      </c>
      <c r="J449" s="232">
        <v>0</v>
      </c>
      <c r="K449" s="88">
        <f t="shared" si="19"/>
        <v>0</v>
      </c>
      <c r="L449" s="50"/>
      <c r="M449" s="233">
        <v>0</v>
      </c>
      <c r="N449" s="233">
        <v>0</v>
      </c>
      <c r="O449" s="232">
        <v>59923</v>
      </c>
      <c r="P449" s="88">
        <f t="shared" si="20"/>
        <v>59923</v>
      </c>
      <c r="Q449" s="50"/>
      <c r="R449" s="233">
        <v>0</v>
      </c>
      <c r="S449" s="232">
        <v>-78657</v>
      </c>
      <c r="T449" s="234">
        <v>-78657</v>
      </c>
    </row>
    <row r="450" spans="1:20">
      <c r="A450" s="48">
        <v>94517</v>
      </c>
      <c r="B450" s="49" t="s">
        <v>1152</v>
      </c>
      <c r="C450" s="235">
        <v>3.6199999999999999E-5</v>
      </c>
      <c r="D450" s="235">
        <v>4.7599999999999998E-5</v>
      </c>
      <c r="E450" s="204">
        <v>85879</v>
      </c>
      <c r="F450" s="204" t="s">
        <v>1930</v>
      </c>
      <c r="G450" s="233">
        <v>13249</v>
      </c>
      <c r="H450" s="221">
        <v>11789</v>
      </c>
      <c r="I450" s="233">
        <v>22789</v>
      </c>
      <c r="J450" s="232">
        <v>12828</v>
      </c>
      <c r="K450" s="88">
        <f t="shared" si="19"/>
        <v>60655</v>
      </c>
      <c r="L450" s="50"/>
      <c r="M450" s="233">
        <v>445</v>
      </c>
      <c r="N450" s="233">
        <v>0</v>
      </c>
      <c r="O450" s="232">
        <v>0</v>
      </c>
      <c r="P450" s="88">
        <f t="shared" si="20"/>
        <v>445</v>
      </c>
      <c r="Q450" s="50"/>
      <c r="R450" s="233">
        <v>23855</v>
      </c>
      <c r="S450" s="232">
        <v>9761</v>
      </c>
      <c r="T450" s="234">
        <v>33616</v>
      </c>
    </row>
    <row r="451" spans="1:20">
      <c r="A451" s="48">
        <v>94521</v>
      </c>
      <c r="B451" s="49" t="s">
        <v>2295</v>
      </c>
      <c r="C451" s="235">
        <v>1.5880000000000001E-4</v>
      </c>
      <c r="D451" s="235">
        <v>1.517E-4</v>
      </c>
      <c r="E451" s="204">
        <v>376728</v>
      </c>
      <c r="F451" s="204" t="s">
        <v>1930</v>
      </c>
      <c r="G451" s="233">
        <v>58120</v>
      </c>
      <c r="H451" s="221">
        <v>51714</v>
      </c>
      <c r="I451" s="233">
        <v>99969</v>
      </c>
      <c r="J451" s="232">
        <v>10090</v>
      </c>
      <c r="K451" s="88">
        <f t="shared" si="19"/>
        <v>219893</v>
      </c>
      <c r="L451" s="50"/>
      <c r="M451" s="233">
        <v>1950</v>
      </c>
      <c r="N451" s="233">
        <v>0</v>
      </c>
      <c r="O451" s="232">
        <v>14325</v>
      </c>
      <c r="P451" s="88">
        <f t="shared" si="20"/>
        <v>16275</v>
      </c>
      <c r="Q451" s="50"/>
      <c r="R451" s="233">
        <v>104645</v>
      </c>
      <c r="S451" s="232">
        <v>-908</v>
      </c>
      <c r="T451" s="234">
        <v>103737</v>
      </c>
    </row>
    <row r="452" spans="1:20">
      <c r="A452" s="48">
        <v>94527</v>
      </c>
      <c r="B452" s="49" t="s">
        <v>1154</v>
      </c>
      <c r="C452" s="235">
        <v>6.6000000000000003E-6</v>
      </c>
      <c r="D452" s="235">
        <v>5.4E-6</v>
      </c>
      <c r="E452" s="204">
        <v>15657</v>
      </c>
      <c r="F452" s="204" t="s">
        <v>1930</v>
      </c>
      <c r="G452" s="233">
        <v>2416</v>
      </c>
      <c r="H452" s="221">
        <v>2149</v>
      </c>
      <c r="I452" s="233">
        <v>4155</v>
      </c>
      <c r="J452" s="232">
        <v>803</v>
      </c>
      <c r="K452" s="88">
        <f t="shared" si="19"/>
        <v>9523</v>
      </c>
      <c r="L452" s="50"/>
      <c r="M452" s="233">
        <v>81</v>
      </c>
      <c r="N452" s="233">
        <v>0</v>
      </c>
      <c r="O452" s="232">
        <v>2247</v>
      </c>
      <c r="P452" s="88">
        <f t="shared" si="20"/>
        <v>2328</v>
      </c>
      <c r="Q452" s="50"/>
      <c r="R452" s="233">
        <v>4349</v>
      </c>
      <c r="S452" s="232">
        <v>-787</v>
      </c>
      <c r="T452" s="234">
        <v>3562</v>
      </c>
    </row>
    <row r="453" spans="1:20">
      <c r="A453" s="48">
        <v>94531</v>
      </c>
      <c r="B453" s="49" t="s">
        <v>2487</v>
      </c>
      <c r="C453" s="235">
        <v>1.4E-5</v>
      </c>
      <c r="D453" s="235">
        <v>1.5E-5</v>
      </c>
      <c r="E453" s="204">
        <v>33213</v>
      </c>
      <c r="F453" s="204" t="s">
        <v>1930</v>
      </c>
      <c r="G453" s="233">
        <v>5124</v>
      </c>
      <c r="H453" s="221">
        <v>4559</v>
      </c>
      <c r="I453" s="233">
        <v>8813</v>
      </c>
      <c r="J453" s="232">
        <v>7957</v>
      </c>
      <c r="K453" s="88">
        <f t="shared" si="19"/>
        <v>26453</v>
      </c>
      <c r="L453" s="50"/>
      <c r="M453" s="233">
        <v>172</v>
      </c>
      <c r="N453" s="233">
        <v>0</v>
      </c>
      <c r="O453" s="232">
        <v>0</v>
      </c>
      <c r="P453" s="88">
        <f t="shared" si="20"/>
        <v>172</v>
      </c>
      <c r="Q453" s="50"/>
      <c r="R453" s="233">
        <v>9226</v>
      </c>
      <c r="S453" s="232">
        <v>3665</v>
      </c>
      <c r="T453" s="234">
        <v>12891</v>
      </c>
    </row>
    <row r="454" spans="1:20">
      <c r="A454" s="48">
        <v>94532</v>
      </c>
      <c r="B454" s="49" t="s">
        <v>1156</v>
      </c>
      <c r="C454" s="235">
        <v>1.0280000000000001E-4</v>
      </c>
      <c r="D454" s="235">
        <v>8.7800000000000006E-5</v>
      </c>
      <c r="E454" s="204">
        <v>243877</v>
      </c>
      <c r="F454" s="204" t="s">
        <v>1930</v>
      </c>
      <c r="G454" s="233">
        <v>37624</v>
      </c>
      <c r="H454" s="221">
        <v>33477</v>
      </c>
      <c r="I454" s="233">
        <v>64715</v>
      </c>
      <c r="J454" s="232">
        <v>9560</v>
      </c>
      <c r="K454" s="88">
        <f t="shared" si="19"/>
        <v>145376</v>
      </c>
      <c r="L454" s="50"/>
      <c r="M454" s="233">
        <v>1262</v>
      </c>
      <c r="N454" s="233">
        <v>0</v>
      </c>
      <c r="O454" s="232">
        <v>4871</v>
      </c>
      <c r="P454" s="88">
        <f t="shared" si="20"/>
        <v>6133</v>
      </c>
      <c r="Q454" s="50"/>
      <c r="R454" s="233">
        <v>67742</v>
      </c>
      <c r="S454" s="232">
        <v>-3107</v>
      </c>
      <c r="T454" s="234">
        <v>64635</v>
      </c>
    </row>
    <row r="455" spans="1:20">
      <c r="A455" s="48">
        <v>94541</v>
      </c>
      <c r="B455" s="49" t="s">
        <v>2296</v>
      </c>
      <c r="C455" s="235">
        <v>2.8219999999999997E-4</v>
      </c>
      <c r="D455" s="235">
        <v>2.9300000000000002E-4</v>
      </c>
      <c r="E455" s="204">
        <v>669475</v>
      </c>
      <c r="F455" s="204" t="s">
        <v>1930</v>
      </c>
      <c r="G455" s="233">
        <v>103284</v>
      </c>
      <c r="H455" s="221">
        <v>91899</v>
      </c>
      <c r="I455" s="233">
        <v>177653</v>
      </c>
      <c r="J455" s="232">
        <v>0</v>
      </c>
      <c r="K455" s="88">
        <f t="shared" si="19"/>
        <v>372836</v>
      </c>
      <c r="L455" s="50"/>
      <c r="M455" s="233">
        <v>3466</v>
      </c>
      <c r="N455" s="233">
        <v>0</v>
      </c>
      <c r="O455" s="232">
        <v>31668</v>
      </c>
      <c r="P455" s="88">
        <f t="shared" si="20"/>
        <v>35134</v>
      </c>
      <c r="Q455" s="50"/>
      <c r="R455" s="233">
        <v>185962</v>
      </c>
      <c r="S455" s="232">
        <v>-14289</v>
      </c>
      <c r="T455" s="234">
        <v>171673</v>
      </c>
    </row>
    <row r="456" spans="1:20">
      <c r="A456" s="48">
        <v>94547</v>
      </c>
      <c r="B456" s="49" t="s">
        <v>1158</v>
      </c>
      <c r="C456" s="235">
        <v>1.01E-5</v>
      </c>
      <c r="D456" s="235">
        <v>1.08E-5</v>
      </c>
      <c r="E456" s="204">
        <v>23961</v>
      </c>
      <c r="F456" s="204" t="s">
        <v>1930</v>
      </c>
      <c r="G456" s="233">
        <v>3697</v>
      </c>
      <c r="H456" s="221">
        <v>3289</v>
      </c>
      <c r="I456" s="233">
        <v>6358</v>
      </c>
      <c r="J456" s="232">
        <v>4672</v>
      </c>
      <c r="K456" s="88">
        <f t="shared" si="19"/>
        <v>18016</v>
      </c>
      <c r="L456" s="50"/>
      <c r="M456" s="233">
        <v>124</v>
      </c>
      <c r="N456" s="233">
        <v>0</v>
      </c>
      <c r="O456" s="232">
        <v>0</v>
      </c>
      <c r="P456" s="88">
        <f t="shared" si="20"/>
        <v>124</v>
      </c>
      <c r="Q456" s="50"/>
      <c r="R456" s="233">
        <v>6656</v>
      </c>
      <c r="S456" s="232">
        <v>1705</v>
      </c>
      <c r="T456" s="234">
        <v>8361</v>
      </c>
    </row>
    <row r="457" spans="1:20">
      <c r="A457" s="48">
        <v>94551</v>
      </c>
      <c r="B457" s="49" t="s">
        <v>2297</v>
      </c>
      <c r="C457" s="235">
        <v>4.9200000000000003E-5</v>
      </c>
      <c r="D457" s="235">
        <v>4.1900000000000002E-5</v>
      </c>
      <c r="E457" s="204">
        <v>116719</v>
      </c>
      <c r="F457" s="204" t="s">
        <v>1930</v>
      </c>
      <c r="G457" s="233">
        <v>18007</v>
      </c>
      <c r="H457" s="221">
        <v>16022</v>
      </c>
      <c r="I457" s="233">
        <v>30973</v>
      </c>
      <c r="J457" s="232">
        <v>13168</v>
      </c>
      <c r="K457" s="88">
        <f t="shared" si="19"/>
        <v>78170</v>
      </c>
      <c r="L457" s="50"/>
      <c r="M457" s="233">
        <v>604</v>
      </c>
      <c r="N457" s="233">
        <v>0</v>
      </c>
      <c r="O457" s="232">
        <v>710</v>
      </c>
      <c r="P457" s="88">
        <f t="shared" si="20"/>
        <v>1314</v>
      </c>
      <c r="Q457" s="50"/>
      <c r="R457" s="233">
        <v>32421</v>
      </c>
      <c r="S457" s="232">
        <v>5732</v>
      </c>
      <c r="T457" s="234">
        <v>38153</v>
      </c>
    </row>
    <row r="458" spans="1:20">
      <c r="A458" s="48">
        <v>94601</v>
      </c>
      <c r="B458" s="49" t="s">
        <v>1160</v>
      </c>
      <c r="C458" s="235">
        <v>1.0712E-3</v>
      </c>
      <c r="D458" s="235">
        <v>1.0602999999999999E-3</v>
      </c>
      <c r="E458" s="204">
        <v>2541253</v>
      </c>
      <c r="F458" s="204" t="s">
        <v>1930</v>
      </c>
      <c r="G458" s="233">
        <v>392055</v>
      </c>
      <c r="H458" s="221">
        <v>348838</v>
      </c>
      <c r="I458" s="233">
        <v>674350</v>
      </c>
      <c r="J458" s="232">
        <v>72678</v>
      </c>
      <c r="K458" s="88">
        <f t="shared" si="19"/>
        <v>1487921</v>
      </c>
      <c r="L458" s="50"/>
      <c r="M458" s="233">
        <v>13155</v>
      </c>
      <c r="N458" s="233">
        <v>0</v>
      </c>
      <c r="O458" s="232">
        <v>984</v>
      </c>
      <c r="P458" s="88">
        <f t="shared" si="20"/>
        <v>14139</v>
      </c>
      <c r="Q458" s="50"/>
      <c r="R458" s="233">
        <v>705892</v>
      </c>
      <c r="S458" s="232">
        <v>26134</v>
      </c>
      <c r="T458" s="234">
        <v>732026</v>
      </c>
    </row>
    <row r="459" spans="1:20">
      <c r="A459" s="48">
        <v>94604</v>
      </c>
      <c r="B459" s="49" t="s">
        <v>1161</v>
      </c>
      <c r="C459" s="235">
        <v>2.7699999999999999E-5</v>
      </c>
      <c r="D459" s="235">
        <v>2.62E-5</v>
      </c>
      <c r="E459" s="204">
        <v>65714</v>
      </c>
      <c r="F459" s="204" t="s">
        <v>1930</v>
      </c>
      <c r="G459" s="233">
        <v>10138</v>
      </c>
      <c r="H459" s="221">
        <v>9021</v>
      </c>
      <c r="I459" s="233">
        <v>17438</v>
      </c>
      <c r="J459" s="232">
        <v>3578</v>
      </c>
      <c r="K459" s="88">
        <f t="shared" si="19"/>
        <v>40175</v>
      </c>
      <c r="L459" s="50"/>
      <c r="M459" s="233">
        <v>340</v>
      </c>
      <c r="N459" s="233">
        <v>0</v>
      </c>
      <c r="O459" s="232">
        <v>0</v>
      </c>
      <c r="P459" s="88">
        <f t="shared" si="20"/>
        <v>340</v>
      </c>
      <c r="Q459" s="50"/>
      <c r="R459" s="233">
        <v>18254</v>
      </c>
      <c r="S459" s="232">
        <v>1154</v>
      </c>
      <c r="T459" s="234">
        <v>19408</v>
      </c>
    </row>
    <row r="460" spans="1:20">
      <c r="A460" s="48">
        <v>94606</v>
      </c>
      <c r="B460" s="49" t="s">
        <v>1162</v>
      </c>
      <c r="C460" s="235">
        <v>1.9019999999999999E-4</v>
      </c>
      <c r="D460" s="235">
        <v>2.3550000000000001E-4</v>
      </c>
      <c r="E460" s="204">
        <v>451219</v>
      </c>
      <c r="F460" s="204" t="s">
        <v>1930</v>
      </c>
      <c r="G460" s="233">
        <v>69612</v>
      </c>
      <c r="H460" s="221">
        <v>61939</v>
      </c>
      <c r="I460" s="233">
        <v>119736</v>
      </c>
      <c r="J460" s="232">
        <v>0</v>
      </c>
      <c r="K460" s="88">
        <f t="shared" si="19"/>
        <v>251287</v>
      </c>
      <c r="L460" s="50"/>
      <c r="M460" s="233">
        <v>2336</v>
      </c>
      <c r="N460" s="233">
        <v>0</v>
      </c>
      <c r="O460" s="232">
        <v>52852</v>
      </c>
      <c r="P460" s="88">
        <f t="shared" si="20"/>
        <v>55188</v>
      </c>
      <c r="Q460" s="50"/>
      <c r="R460" s="233">
        <v>125337</v>
      </c>
      <c r="S460" s="232">
        <v>-30387</v>
      </c>
      <c r="T460" s="234">
        <v>94950</v>
      </c>
    </row>
    <row r="461" spans="1:20">
      <c r="A461" s="48">
        <v>94611</v>
      </c>
      <c r="B461" s="49" t="s">
        <v>2298</v>
      </c>
      <c r="C461" s="235">
        <v>3.5149999999999998E-4</v>
      </c>
      <c r="D461" s="235">
        <v>3.6850000000000001E-4</v>
      </c>
      <c r="E461" s="204">
        <v>833878</v>
      </c>
      <c r="F461" s="204" t="s">
        <v>1930</v>
      </c>
      <c r="G461" s="233">
        <v>128648</v>
      </c>
      <c r="H461" s="221">
        <v>114467</v>
      </c>
      <c r="I461" s="233">
        <v>221279</v>
      </c>
      <c r="J461" s="232">
        <v>1175</v>
      </c>
      <c r="K461" s="88">
        <f t="shared" si="19"/>
        <v>465569</v>
      </c>
      <c r="L461" s="50"/>
      <c r="M461" s="233">
        <v>4317</v>
      </c>
      <c r="N461" s="233">
        <v>0</v>
      </c>
      <c r="O461" s="232">
        <v>24785</v>
      </c>
      <c r="P461" s="88">
        <f t="shared" si="20"/>
        <v>29102</v>
      </c>
      <c r="Q461" s="50"/>
      <c r="R461" s="233">
        <v>231629</v>
      </c>
      <c r="S461" s="232">
        <v>-9311</v>
      </c>
      <c r="T461" s="234">
        <v>222318</v>
      </c>
    </row>
    <row r="462" spans="1:20">
      <c r="A462" s="48">
        <v>94621</v>
      </c>
      <c r="B462" s="49" t="s">
        <v>2299</v>
      </c>
      <c r="C462" s="235">
        <v>1.0450000000000001E-4</v>
      </c>
      <c r="D462" s="235">
        <v>9.7600000000000001E-5</v>
      </c>
      <c r="E462" s="204">
        <v>247910</v>
      </c>
      <c r="F462" s="204" t="s">
        <v>1930</v>
      </c>
      <c r="G462" s="233">
        <v>38247</v>
      </c>
      <c r="H462" s="221">
        <v>34031</v>
      </c>
      <c r="I462" s="233">
        <v>65786</v>
      </c>
      <c r="J462" s="232">
        <v>19728</v>
      </c>
      <c r="K462" s="88">
        <f t="shared" si="19"/>
        <v>157792</v>
      </c>
      <c r="L462" s="50"/>
      <c r="M462" s="233">
        <v>1283</v>
      </c>
      <c r="N462" s="233">
        <v>0</v>
      </c>
      <c r="O462" s="232">
        <v>10114</v>
      </c>
      <c r="P462" s="88">
        <f t="shared" si="20"/>
        <v>11397</v>
      </c>
      <c r="Q462" s="50"/>
      <c r="R462" s="233">
        <v>68863</v>
      </c>
      <c r="S462" s="232">
        <v>3576</v>
      </c>
      <c r="T462" s="234">
        <v>72439</v>
      </c>
    </row>
    <row r="463" spans="1:20">
      <c r="A463" s="48">
        <v>94631</v>
      </c>
      <c r="B463" s="49" t="s">
        <v>2300</v>
      </c>
      <c r="C463" s="235">
        <v>4.4799999999999998E-5</v>
      </c>
      <c r="D463" s="235">
        <v>3.9100000000000002E-5</v>
      </c>
      <c r="E463" s="204">
        <v>106281</v>
      </c>
      <c r="F463" s="204" t="s">
        <v>1930</v>
      </c>
      <c r="G463" s="233">
        <v>16397</v>
      </c>
      <c r="H463" s="221">
        <v>14590</v>
      </c>
      <c r="I463" s="233">
        <v>28203</v>
      </c>
      <c r="J463" s="232">
        <v>7035</v>
      </c>
      <c r="K463" s="88">
        <f t="shared" si="19"/>
        <v>66225</v>
      </c>
      <c r="L463" s="50"/>
      <c r="M463" s="233">
        <v>550</v>
      </c>
      <c r="N463" s="233">
        <v>0</v>
      </c>
      <c r="O463" s="232">
        <v>0</v>
      </c>
      <c r="P463" s="88">
        <f t="shared" si="20"/>
        <v>550</v>
      </c>
      <c r="Q463" s="50"/>
      <c r="R463" s="233">
        <v>29522</v>
      </c>
      <c r="S463" s="232">
        <v>3256</v>
      </c>
      <c r="T463" s="234">
        <v>32778</v>
      </c>
    </row>
    <row r="464" spans="1:20">
      <c r="A464" s="48">
        <v>94641</v>
      </c>
      <c r="B464" s="49" t="s">
        <v>2301</v>
      </c>
      <c r="C464" s="235">
        <v>3.5999999999999998E-6</v>
      </c>
      <c r="D464" s="235">
        <v>3.8999999999999999E-6</v>
      </c>
      <c r="E464" s="204">
        <v>8540</v>
      </c>
      <c r="F464" s="204" t="s">
        <v>1930</v>
      </c>
      <c r="G464" s="233">
        <v>1318</v>
      </c>
      <c r="H464" s="221">
        <v>1173</v>
      </c>
      <c r="I464" s="233">
        <v>2266</v>
      </c>
      <c r="J464" s="232">
        <v>5161</v>
      </c>
      <c r="K464" s="88">
        <f t="shared" si="19"/>
        <v>9918</v>
      </c>
      <c r="L464" s="50"/>
      <c r="M464" s="233">
        <v>44</v>
      </c>
      <c r="N464" s="233">
        <v>0</v>
      </c>
      <c r="O464" s="232">
        <v>0</v>
      </c>
      <c r="P464" s="88">
        <f t="shared" si="20"/>
        <v>44</v>
      </c>
      <c r="Q464" s="50"/>
      <c r="R464" s="233">
        <v>2372</v>
      </c>
      <c r="S464" s="232">
        <v>2728</v>
      </c>
      <c r="T464" s="234">
        <v>5100</v>
      </c>
    </row>
    <row r="465" spans="1:20">
      <c r="A465" s="48">
        <v>94701</v>
      </c>
      <c r="B465" s="49" t="s">
        <v>1167</v>
      </c>
      <c r="C465" s="235">
        <v>2.3993999999999999E-3</v>
      </c>
      <c r="D465" s="235">
        <v>2.5446000000000002E-3</v>
      </c>
      <c r="E465" s="204">
        <v>5692197</v>
      </c>
      <c r="F465" s="204" t="s">
        <v>1930</v>
      </c>
      <c r="G465" s="233">
        <v>878171</v>
      </c>
      <c r="H465" s="221">
        <v>781370</v>
      </c>
      <c r="I465" s="233">
        <v>1510489</v>
      </c>
      <c r="J465" s="232">
        <v>14859</v>
      </c>
      <c r="K465" s="88">
        <f t="shared" ref="K465:K530" si="21">G465+H465+I465+J465</f>
        <v>3184889</v>
      </c>
      <c r="L465" s="50"/>
      <c r="M465" s="233">
        <v>29467</v>
      </c>
      <c r="N465" s="233">
        <v>0</v>
      </c>
      <c r="O465" s="232">
        <v>188404</v>
      </c>
      <c r="P465" s="88">
        <f t="shared" ref="P465:P530" si="22">M465+N465+O465</f>
        <v>217871</v>
      </c>
      <c r="Q465" s="50"/>
      <c r="R465" s="233">
        <v>1581140</v>
      </c>
      <c r="S465" s="232">
        <v>-32473</v>
      </c>
      <c r="T465" s="234">
        <v>1548667</v>
      </c>
    </row>
    <row r="466" spans="1:20">
      <c r="A466" s="48">
        <v>94704</v>
      </c>
      <c r="B466" s="49" t="s">
        <v>1168</v>
      </c>
      <c r="C466" s="235">
        <v>1.63E-5</v>
      </c>
      <c r="D466" s="235">
        <v>9.5000000000000005E-6</v>
      </c>
      <c r="E466" s="204">
        <v>38669</v>
      </c>
      <c r="F466" s="204" t="s">
        <v>1930</v>
      </c>
      <c r="G466" s="233">
        <v>5966</v>
      </c>
      <c r="H466" s="221">
        <v>5308</v>
      </c>
      <c r="I466" s="233">
        <v>10261</v>
      </c>
      <c r="J466" s="232">
        <v>4937</v>
      </c>
      <c r="K466" s="88">
        <f t="shared" si="21"/>
        <v>26472</v>
      </c>
      <c r="L466" s="50"/>
      <c r="M466" s="233">
        <v>200</v>
      </c>
      <c r="N466" s="233">
        <v>0</v>
      </c>
      <c r="O466" s="232">
        <v>69</v>
      </c>
      <c r="P466" s="88">
        <f t="shared" si="22"/>
        <v>269</v>
      </c>
      <c r="Q466" s="50"/>
      <c r="R466" s="233">
        <v>10741</v>
      </c>
      <c r="S466" s="232">
        <v>1269</v>
      </c>
      <c r="T466" s="234">
        <v>12010</v>
      </c>
    </row>
    <row r="467" spans="1:20">
      <c r="A467" s="48">
        <v>94711</v>
      </c>
      <c r="B467" s="49" t="s">
        <v>2302</v>
      </c>
      <c r="C467" s="235">
        <v>3.3589999999999998E-4</v>
      </c>
      <c r="D467" s="235">
        <v>3.3599999999999998E-4</v>
      </c>
      <c r="E467" s="50">
        <v>796870</v>
      </c>
      <c r="F467" s="50"/>
      <c r="G467" s="233">
        <v>122938</v>
      </c>
      <c r="H467" s="221">
        <v>109386</v>
      </c>
      <c r="I467" s="233">
        <v>211458</v>
      </c>
      <c r="J467" s="232">
        <v>6983</v>
      </c>
      <c r="K467" s="88">
        <f t="shared" si="21"/>
        <v>450765</v>
      </c>
      <c r="L467" s="50"/>
      <c r="M467" s="233">
        <v>4125</v>
      </c>
      <c r="N467" s="233">
        <v>0</v>
      </c>
      <c r="O467" s="232">
        <v>2875</v>
      </c>
      <c r="P467" s="88">
        <f t="shared" si="22"/>
        <v>7000</v>
      </c>
      <c r="Q467" s="50"/>
      <c r="R467" s="233">
        <v>221349</v>
      </c>
      <c r="S467" s="232">
        <v>1908</v>
      </c>
      <c r="T467" s="234">
        <v>223257</v>
      </c>
    </row>
    <row r="468" spans="1:20">
      <c r="A468" s="48">
        <v>94801</v>
      </c>
      <c r="B468" s="49" t="s">
        <v>1170</v>
      </c>
      <c r="C468" s="235">
        <v>6.7719999999999998E-4</v>
      </c>
      <c r="D468" s="235">
        <v>7.2440000000000004E-4</v>
      </c>
      <c r="E468" s="50">
        <v>1606550</v>
      </c>
      <c r="F468" s="50"/>
      <c r="G468" s="233">
        <v>247852</v>
      </c>
      <c r="H468" s="221">
        <v>220532</v>
      </c>
      <c r="I468" s="233">
        <v>426316</v>
      </c>
      <c r="J468" s="232">
        <v>17822</v>
      </c>
      <c r="K468" s="88">
        <f t="shared" si="21"/>
        <v>912522</v>
      </c>
      <c r="L468" s="50"/>
      <c r="M468" s="233">
        <v>8317</v>
      </c>
      <c r="N468" s="233">
        <v>0</v>
      </c>
      <c r="O468" s="232">
        <v>36966</v>
      </c>
      <c r="P468" s="88">
        <f t="shared" si="22"/>
        <v>45283</v>
      </c>
      <c r="Q468" s="50"/>
      <c r="R468" s="233">
        <v>446257</v>
      </c>
      <c r="S468" s="232">
        <v>12092</v>
      </c>
      <c r="T468" s="234">
        <v>458349</v>
      </c>
    </row>
    <row r="469" spans="1:20">
      <c r="A469" s="48">
        <v>94804</v>
      </c>
      <c r="B469" s="49" t="s">
        <v>1171</v>
      </c>
      <c r="C469" s="235">
        <v>3.3000000000000002E-6</v>
      </c>
      <c r="D469" s="235">
        <v>3.8E-6</v>
      </c>
      <c r="E469" s="50">
        <v>7829</v>
      </c>
      <c r="F469" s="50"/>
      <c r="G469" s="233">
        <v>1208</v>
      </c>
      <c r="H469" s="221">
        <v>1075</v>
      </c>
      <c r="I469" s="233">
        <v>2077</v>
      </c>
      <c r="J469" s="232">
        <v>1172</v>
      </c>
      <c r="K469" s="88">
        <f t="shared" si="21"/>
        <v>5532</v>
      </c>
      <c r="L469" s="50"/>
      <c r="M469" s="233">
        <v>41</v>
      </c>
      <c r="N469" s="233">
        <v>0</v>
      </c>
      <c r="O469" s="232">
        <v>142</v>
      </c>
      <c r="P469" s="88">
        <f t="shared" si="22"/>
        <v>183</v>
      </c>
      <c r="Q469" s="50"/>
      <c r="R469" s="233">
        <v>2175</v>
      </c>
      <c r="S469" s="232">
        <v>2000</v>
      </c>
      <c r="T469" s="234">
        <v>4175</v>
      </c>
    </row>
    <row r="470" spans="1:20">
      <c r="A470" s="48">
        <v>94812</v>
      </c>
      <c r="B470" s="49" t="s">
        <v>1172</v>
      </c>
      <c r="C470" s="235">
        <v>3.2100000000000001E-5</v>
      </c>
      <c r="D470" s="235">
        <v>3.3000000000000003E-5</v>
      </c>
      <c r="E470" s="212">
        <v>76152</v>
      </c>
      <c r="F470" s="212" t="s">
        <v>1930</v>
      </c>
      <c r="G470" s="233">
        <v>11748</v>
      </c>
      <c r="H470" s="221">
        <v>10453</v>
      </c>
      <c r="I470" s="233">
        <v>20208</v>
      </c>
      <c r="J470" s="232">
        <v>9807</v>
      </c>
      <c r="K470" s="88">
        <f t="shared" si="21"/>
        <v>52216</v>
      </c>
      <c r="L470" s="50"/>
      <c r="M470" s="233">
        <v>394</v>
      </c>
      <c r="N470" s="233">
        <v>0</v>
      </c>
      <c r="O470" s="232">
        <v>0</v>
      </c>
      <c r="P470" s="88">
        <f t="shared" si="22"/>
        <v>394</v>
      </c>
      <c r="Q470" s="50"/>
      <c r="R470" s="233">
        <v>21153</v>
      </c>
      <c r="S470" s="232">
        <v>4887</v>
      </c>
      <c r="T470" s="234">
        <v>26040</v>
      </c>
    </row>
    <row r="471" spans="1:20">
      <c r="A471" s="48">
        <v>94901</v>
      </c>
      <c r="B471" s="49" t="s">
        <v>1173</v>
      </c>
      <c r="C471" s="235">
        <v>7.1234000000000002E-3</v>
      </c>
      <c r="D471" s="235">
        <v>6.7841999999999998E-3</v>
      </c>
      <c r="E471" s="212">
        <v>16899141</v>
      </c>
      <c r="F471" s="212" t="s">
        <v>1930</v>
      </c>
      <c r="G471" s="233">
        <v>2607136</v>
      </c>
      <c r="H471" s="221">
        <v>2319750</v>
      </c>
      <c r="I471" s="233">
        <v>4484380</v>
      </c>
      <c r="J471" s="232">
        <v>225129</v>
      </c>
      <c r="K471" s="88">
        <f t="shared" si="21"/>
        <v>9636395</v>
      </c>
      <c r="L471" s="50"/>
      <c r="M471" s="233">
        <v>87482</v>
      </c>
      <c r="N471" s="233">
        <v>0</v>
      </c>
      <c r="O471" s="232">
        <v>81221</v>
      </c>
      <c r="P471" s="88">
        <f t="shared" si="22"/>
        <v>168703</v>
      </c>
      <c r="Q471" s="50"/>
      <c r="R471" s="233">
        <v>4694128</v>
      </c>
      <c r="S471" s="232">
        <v>18634</v>
      </c>
      <c r="T471" s="234">
        <v>4712762</v>
      </c>
    </row>
    <row r="472" spans="1:20">
      <c r="A472" s="48">
        <v>94908</v>
      </c>
      <c r="B472" s="49" t="s">
        <v>1174</v>
      </c>
      <c r="C472" s="235">
        <v>6.8000000000000001E-6</v>
      </c>
      <c r="D472" s="235">
        <v>7.7000000000000008E-6</v>
      </c>
      <c r="E472" s="212">
        <v>16132</v>
      </c>
      <c r="F472" s="212" t="s">
        <v>1930</v>
      </c>
      <c r="G472" s="233">
        <v>2489</v>
      </c>
      <c r="H472" s="221">
        <v>2215</v>
      </c>
      <c r="I472" s="233">
        <v>4281</v>
      </c>
      <c r="J472" s="232">
        <v>0</v>
      </c>
      <c r="K472" s="88">
        <f t="shared" si="21"/>
        <v>8985</v>
      </c>
      <c r="L472" s="50"/>
      <c r="M472" s="233">
        <v>84</v>
      </c>
      <c r="N472" s="233">
        <v>0</v>
      </c>
      <c r="O472" s="232">
        <v>15303</v>
      </c>
      <c r="P472" s="88">
        <f t="shared" si="22"/>
        <v>15387</v>
      </c>
      <c r="Q472" s="50"/>
      <c r="R472" s="233">
        <v>4481</v>
      </c>
      <c r="S472" s="232">
        <v>-6873</v>
      </c>
      <c r="T472" s="234">
        <v>-2392</v>
      </c>
    </row>
    <row r="473" spans="1:20">
      <c r="A473" s="48">
        <v>94911</v>
      </c>
      <c r="B473" s="49" t="s">
        <v>1175</v>
      </c>
      <c r="C473" s="235">
        <v>2.9845000000000002E-3</v>
      </c>
      <c r="D473" s="235">
        <v>2.8311E-3</v>
      </c>
      <c r="E473" s="212">
        <v>7080255</v>
      </c>
      <c r="F473" s="212" t="s">
        <v>1930</v>
      </c>
      <c r="G473" s="233">
        <v>1092315</v>
      </c>
      <c r="H473" s="221">
        <v>971909</v>
      </c>
      <c r="I473" s="233">
        <v>1878826</v>
      </c>
      <c r="J473" s="232">
        <v>119500</v>
      </c>
      <c r="K473" s="88">
        <f t="shared" si="21"/>
        <v>4062550</v>
      </c>
      <c r="L473" s="50"/>
      <c r="M473" s="233">
        <v>36653</v>
      </c>
      <c r="N473" s="233">
        <v>0</v>
      </c>
      <c r="O473" s="232">
        <v>21376</v>
      </c>
      <c r="P473" s="88">
        <f t="shared" si="22"/>
        <v>58029</v>
      </c>
      <c r="Q473" s="50"/>
      <c r="R473" s="233">
        <v>1966705</v>
      </c>
      <c r="S473" s="232">
        <v>15404</v>
      </c>
      <c r="T473" s="234">
        <v>1982109</v>
      </c>
    </row>
    <row r="474" spans="1:20">
      <c r="A474" s="48">
        <v>94917</v>
      </c>
      <c r="B474" s="49" t="s">
        <v>1176</v>
      </c>
      <c r="C474" s="235">
        <v>3.0899999999999999E-5</v>
      </c>
      <c r="D474" s="235">
        <v>3.5099999999999999E-5</v>
      </c>
      <c r="E474" s="212">
        <v>73305</v>
      </c>
      <c r="F474" s="212" t="s">
        <v>1930</v>
      </c>
      <c r="G474" s="233">
        <v>11309</v>
      </c>
      <c r="H474" s="221">
        <v>10063</v>
      </c>
      <c r="I474" s="233">
        <v>19452</v>
      </c>
      <c r="J474" s="232">
        <v>16632</v>
      </c>
      <c r="K474" s="88">
        <f t="shared" si="21"/>
        <v>57456</v>
      </c>
      <c r="L474" s="50"/>
      <c r="M474" s="233">
        <v>379</v>
      </c>
      <c r="N474" s="233">
        <v>0</v>
      </c>
      <c r="O474" s="232">
        <v>0</v>
      </c>
      <c r="P474" s="88">
        <f t="shared" si="22"/>
        <v>379</v>
      </c>
      <c r="Q474" s="50"/>
      <c r="R474" s="233">
        <v>20362</v>
      </c>
      <c r="S474" s="232">
        <v>8881</v>
      </c>
      <c r="T474" s="234">
        <v>29243</v>
      </c>
    </row>
    <row r="475" spans="1:20">
      <c r="A475" s="48">
        <v>94921</v>
      </c>
      <c r="B475" s="49" t="s">
        <v>1177</v>
      </c>
      <c r="C475" s="235">
        <v>3.9271000000000002E-3</v>
      </c>
      <c r="D475" s="235">
        <v>3.9515000000000002E-3</v>
      </c>
      <c r="E475" s="212">
        <v>9316424</v>
      </c>
      <c r="F475" s="212" t="s">
        <v>1930</v>
      </c>
      <c r="G475" s="233">
        <v>1437303</v>
      </c>
      <c r="H475" s="221">
        <v>1278868</v>
      </c>
      <c r="I475" s="233">
        <v>2472219</v>
      </c>
      <c r="J475" s="232">
        <v>14401</v>
      </c>
      <c r="K475" s="88">
        <f t="shared" si="21"/>
        <v>5202791</v>
      </c>
      <c r="L475" s="50"/>
      <c r="M475" s="233">
        <v>48229</v>
      </c>
      <c r="N475" s="233">
        <v>0</v>
      </c>
      <c r="O475" s="232">
        <v>338996</v>
      </c>
      <c r="P475" s="88">
        <f t="shared" si="22"/>
        <v>387225</v>
      </c>
      <c r="Q475" s="50"/>
      <c r="R475" s="233">
        <v>2587853</v>
      </c>
      <c r="S475" s="232">
        <v>-186399</v>
      </c>
      <c r="T475" s="234">
        <v>2401454</v>
      </c>
    </row>
    <row r="476" spans="1:20">
      <c r="A476" s="48">
        <v>94923</v>
      </c>
      <c r="B476" s="49" t="s">
        <v>1178</v>
      </c>
      <c r="C476" s="235">
        <v>2.9099999999999999E-5</v>
      </c>
      <c r="D476" s="235">
        <v>3.0700000000000001E-5</v>
      </c>
      <c r="E476" s="212">
        <v>69035</v>
      </c>
      <c r="F476" s="212" t="s">
        <v>1930</v>
      </c>
      <c r="G476" s="233">
        <v>10650</v>
      </c>
      <c r="H476" s="221">
        <v>9477</v>
      </c>
      <c r="I476" s="233">
        <v>18319</v>
      </c>
      <c r="J476" s="232">
        <v>4323</v>
      </c>
      <c r="K476" s="88">
        <f t="shared" si="21"/>
        <v>42769</v>
      </c>
      <c r="L476" s="50"/>
      <c r="M476" s="233">
        <v>357</v>
      </c>
      <c r="N476" s="233">
        <v>0</v>
      </c>
      <c r="O476" s="232">
        <v>0</v>
      </c>
      <c r="P476" s="88">
        <f t="shared" si="22"/>
        <v>357</v>
      </c>
      <c r="Q476" s="50"/>
      <c r="R476" s="233">
        <v>19176</v>
      </c>
      <c r="S476" s="232">
        <v>1615</v>
      </c>
      <c r="T476" s="234">
        <v>20791</v>
      </c>
    </row>
    <row r="477" spans="1:20">
      <c r="A477" s="48">
        <v>94927</v>
      </c>
      <c r="B477" s="49" t="s">
        <v>1179</v>
      </c>
      <c r="C477" s="235">
        <v>2.76E-5</v>
      </c>
      <c r="D477" s="235">
        <v>3.0599999999999998E-5</v>
      </c>
      <c r="E477" s="212">
        <v>65477</v>
      </c>
      <c r="F477" s="212" t="s">
        <v>1930</v>
      </c>
      <c r="G477" s="233">
        <v>10101</v>
      </c>
      <c r="H477" s="221">
        <v>8988</v>
      </c>
      <c r="I477" s="233">
        <v>17375</v>
      </c>
      <c r="J477" s="232">
        <v>4844</v>
      </c>
      <c r="K477" s="88">
        <f t="shared" si="21"/>
        <v>41308</v>
      </c>
      <c r="L477" s="50"/>
      <c r="M477" s="233">
        <v>339</v>
      </c>
      <c r="N477" s="233">
        <v>0</v>
      </c>
      <c r="O477" s="232">
        <v>0</v>
      </c>
      <c r="P477" s="88">
        <f t="shared" si="22"/>
        <v>339</v>
      </c>
      <c r="Q477" s="50"/>
      <c r="R477" s="233">
        <v>18188</v>
      </c>
      <c r="S477" s="232">
        <v>1685</v>
      </c>
      <c r="T477" s="234">
        <v>19873</v>
      </c>
    </row>
    <row r="478" spans="1:20">
      <c r="A478" s="48">
        <v>94931</v>
      </c>
      <c r="B478" s="49" t="s">
        <v>2303</v>
      </c>
      <c r="C478" s="235">
        <v>2.0350000000000001E-4</v>
      </c>
      <c r="D478" s="235">
        <v>2.163E-4</v>
      </c>
      <c r="E478" s="212">
        <v>482772</v>
      </c>
      <c r="F478" s="212" t="s">
        <v>1930</v>
      </c>
      <c r="G478" s="233">
        <v>74480</v>
      </c>
      <c r="H478" s="221">
        <v>66270</v>
      </c>
      <c r="I478" s="233">
        <v>128109</v>
      </c>
      <c r="J478" s="232">
        <v>716</v>
      </c>
      <c r="K478" s="88">
        <f t="shared" si="21"/>
        <v>269575</v>
      </c>
      <c r="L478" s="50"/>
      <c r="M478" s="233">
        <v>2499</v>
      </c>
      <c r="N478" s="233">
        <v>0</v>
      </c>
      <c r="O478" s="232">
        <v>15634</v>
      </c>
      <c r="P478" s="88">
        <f t="shared" si="22"/>
        <v>18133</v>
      </c>
      <c r="Q478" s="50"/>
      <c r="R478" s="233">
        <v>134101</v>
      </c>
      <c r="S478" s="232">
        <v>-9864</v>
      </c>
      <c r="T478" s="234">
        <v>124237</v>
      </c>
    </row>
    <row r="479" spans="1:20" s="205" customFormat="1">
      <c r="A479" s="208">
        <v>94937</v>
      </c>
      <c r="B479" s="206" t="s">
        <v>2304</v>
      </c>
      <c r="C479" s="235">
        <v>0</v>
      </c>
      <c r="D479" s="235">
        <v>0</v>
      </c>
      <c r="E479" s="212">
        <v>0</v>
      </c>
      <c r="F479" s="212" t="s">
        <v>1930</v>
      </c>
      <c r="G479" s="233">
        <v>0</v>
      </c>
      <c r="H479" s="221">
        <v>0</v>
      </c>
      <c r="I479" s="233">
        <v>0</v>
      </c>
      <c r="J479" s="232">
        <v>0</v>
      </c>
      <c r="K479" s="88"/>
      <c r="L479" s="204"/>
      <c r="M479" s="233">
        <v>0</v>
      </c>
      <c r="N479" s="233">
        <v>0</v>
      </c>
      <c r="O479" s="232">
        <v>0</v>
      </c>
      <c r="P479" s="88"/>
      <c r="Q479" s="204"/>
      <c r="R479" s="233">
        <v>0</v>
      </c>
      <c r="S479" s="232">
        <v>0</v>
      </c>
      <c r="T479" s="234">
        <v>0</v>
      </c>
    </row>
    <row r="480" spans="1:20">
      <c r="A480" s="48">
        <v>94941</v>
      </c>
      <c r="B480" s="49" t="s">
        <v>1181</v>
      </c>
      <c r="C480" s="235">
        <v>5.4239999999999996E-4</v>
      </c>
      <c r="D480" s="235">
        <v>5.7879999999999997E-4</v>
      </c>
      <c r="E480" s="212">
        <v>1286758</v>
      </c>
      <c r="F480" s="212" t="s">
        <v>1930</v>
      </c>
      <c r="G480" s="233">
        <v>198516</v>
      </c>
      <c r="H480" s="221">
        <v>176633</v>
      </c>
      <c r="I480" s="233">
        <v>341456</v>
      </c>
      <c r="J480" s="232">
        <v>22905</v>
      </c>
      <c r="K480" s="88">
        <f t="shared" si="21"/>
        <v>739510</v>
      </c>
      <c r="L480" s="50"/>
      <c r="M480" s="233">
        <v>6661</v>
      </c>
      <c r="N480" s="233">
        <v>0</v>
      </c>
      <c r="O480" s="232">
        <v>39327</v>
      </c>
      <c r="P480" s="88">
        <f t="shared" si="22"/>
        <v>45988</v>
      </c>
      <c r="Q480" s="50"/>
      <c r="R480" s="233">
        <v>357427</v>
      </c>
      <c r="S480" s="232">
        <v>36038</v>
      </c>
      <c r="T480" s="234">
        <v>393465</v>
      </c>
    </row>
    <row r="481" spans="1:20" s="209" customFormat="1">
      <c r="A481" s="211">
        <v>94947</v>
      </c>
      <c r="B481" s="210" t="s">
        <v>1934</v>
      </c>
      <c r="C481" s="235">
        <v>0</v>
      </c>
      <c r="D481" s="235">
        <v>0</v>
      </c>
      <c r="E481" s="212">
        <v>0</v>
      </c>
      <c r="F481" s="212" t="s">
        <v>1930</v>
      </c>
      <c r="G481" s="233">
        <v>0</v>
      </c>
      <c r="H481" s="221">
        <v>0</v>
      </c>
      <c r="I481" s="233">
        <v>0</v>
      </c>
      <c r="J481" s="232">
        <v>0</v>
      </c>
      <c r="K481" s="88"/>
      <c r="L481" s="207"/>
      <c r="M481" s="233">
        <v>0</v>
      </c>
      <c r="N481" s="233">
        <v>0</v>
      </c>
      <c r="O481" s="232">
        <v>0</v>
      </c>
      <c r="P481" s="88"/>
      <c r="Q481" s="207"/>
      <c r="R481" s="233">
        <v>0</v>
      </c>
      <c r="S481" s="232">
        <v>0</v>
      </c>
      <c r="T481" s="234">
        <v>0</v>
      </c>
    </row>
    <row r="482" spans="1:20">
      <c r="A482" s="48">
        <v>95001</v>
      </c>
      <c r="B482" s="49" t="s">
        <v>1182</v>
      </c>
      <c r="C482" s="235">
        <v>2.3002999999999999E-3</v>
      </c>
      <c r="D482" s="235">
        <v>2.4867000000000001E-3</v>
      </c>
      <c r="E482" s="212">
        <v>5457098</v>
      </c>
      <c r="F482" s="212" t="s">
        <v>1930</v>
      </c>
      <c r="G482" s="233">
        <v>841901</v>
      </c>
      <c r="H482" s="221">
        <v>749098</v>
      </c>
      <c r="I482" s="233">
        <v>1448103</v>
      </c>
      <c r="J482" s="232">
        <v>121208</v>
      </c>
      <c r="K482" s="88">
        <f t="shared" si="21"/>
        <v>3160310</v>
      </c>
      <c r="L482" s="50"/>
      <c r="M482" s="233">
        <v>28250</v>
      </c>
      <c r="N482" s="233">
        <v>0</v>
      </c>
      <c r="O482" s="232">
        <v>49464</v>
      </c>
      <c r="P482" s="88">
        <f t="shared" si="22"/>
        <v>77714</v>
      </c>
      <c r="Q482" s="50"/>
      <c r="R482" s="233">
        <v>1515836</v>
      </c>
      <c r="S482" s="232">
        <v>39325</v>
      </c>
      <c r="T482" s="234">
        <v>1555161</v>
      </c>
    </row>
    <row r="483" spans="1:20">
      <c r="A483" s="48">
        <v>95002</v>
      </c>
      <c r="B483" s="49" t="s">
        <v>1183</v>
      </c>
      <c r="C483" s="235">
        <v>1.8589999999999999E-4</v>
      </c>
      <c r="D483" s="235">
        <v>1.907E-4</v>
      </c>
      <c r="E483" s="212">
        <v>441018</v>
      </c>
      <c r="F483" s="212" t="s">
        <v>1930</v>
      </c>
      <c r="G483" s="233">
        <v>68039</v>
      </c>
      <c r="H483" s="221">
        <v>60538</v>
      </c>
      <c r="I483" s="233">
        <v>117029</v>
      </c>
      <c r="J483" s="232">
        <v>18706</v>
      </c>
      <c r="K483" s="88">
        <f t="shared" si="21"/>
        <v>264312</v>
      </c>
      <c r="L483" s="50"/>
      <c r="M483" s="233">
        <v>2283</v>
      </c>
      <c r="N483" s="233">
        <v>0</v>
      </c>
      <c r="O483" s="232">
        <v>0</v>
      </c>
      <c r="P483" s="88">
        <f t="shared" si="22"/>
        <v>2283</v>
      </c>
      <c r="Q483" s="50"/>
      <c r="R483" s="233">
        <v>122503</v>
      </c>
      <c r="S483" s="232">
        <v>8615</v>
      </c>
      <c r="T483" s="234">
        <v>131118</v>
      </c>
    </row>
    <row r="484" spans="1:20">
      <c r="A484" s="48">
        <v>95005</v>
      </c>
      <c r="B484" s="49" t="s">
        <v>1184</v>
      </c>
      <c r="C484" s="235">
        <v>2.131E-4</v>
      </c>
      <c r="D484" s="235">
        <v>2.2949999999999999E-4</v>
      </c>
      <c r="E484" s="212">
        <v>505546</v>
      </c>
      <c r="F484" s="212" t="s">
        <v>1930</v>
      </c>
      <c r="G484" s="233">
        <v>77994</v>
      </c>
      <c r="H484" s="221">
        <v>69397</v>
      </c>
      <c r="I484" s="233">
        <v>134152</v>
      </c>
      <c r="J484" s="232">
        <v>4292</v>
      </c>
      <c r="K484" s="88">
        <f t="shared" si="21"/>
        <v>285835</v>
      </c>
      <c r="L484" s="50"/>
      <c r="M484" s="233">
        <v>2617</v>
      </c>
      <c r="N484" s="233">
        <v>0</v>
      </c>
      <c r="O484" s="232">
        <v>4029</v>
      </c>
      <c r="P484" s="88">
        <f t="shared" si="22"/>
        <v>6646</v>
      </c>
      <c r="Q484" s="50"/>
      <c r="R484" s="233">
        <v>140427</v>
      </c>
      <c r="S484" s="232">
        <v>8291</v>
      </c>
      <c r="T484" s="234">
        <v>148718</v>
      </c>
    </row>
    <row r="485" spans="1:20">
      <c r="A485" s="48">
        <v>95008</v>
      </c>
      <c r="B485" s="49" t="s">
        <v>1185</v>
      </c>
      <c r="C485" s="235">
        <v>1.188E-4</v>
      </c>
      <c r="D485" s="235">
        <v>1.1519999999999999E-4</v>
      </c>
      <c r="E485" s="212">
        <v>281834</v>
      </c>
      <c r="F485" s="212" t="s">
        <v>1930</v>
      </c>
      <c r="G485" s="233">
        <v>43480</v>
      </c>
      <c r="H485" s="221">
        <v>38688</v>
      </c>
      <c r="I485" s="233">
        <v>74788</v>
      </c>
      <c r="J485" s="232">
        <v>18509</v>
      </c>
      <c r="K485" s="88">
        <f t="shared" si="21"/>
        <v>175465</v>
      </c>
      <c r="L485" s="50"/>
      <c r="M485" s="233">
        <v>1459</v>
      </c>
      <c r="N485" s="233">
        <v>0</v>
      </c>
      <c r="O485" s="232">
        <v>4058</v>
      </c>
      <c r="P485" s="88">
        <f t="shared" si="22"/>
        <v>5517</v>
      </c>
      <c r="Q485" s="50"/>
      <c r="R485" s="233">
        <v>78286</v>
      </c>
      <c r="S485" s="232">
        <v>11671</v>
      </c>
      <c r="T485" s="234">
        <v>89957</v>
      </c>
    </row>
    <row r="486" spans="1:20">
      <c r="A486" s="48">
        <v>95009</v>
      </c>
      <c r="B486" s="49" t="s">
        <v>1186</v>
      </c>
      <c r="C486" s="235">
        <v>4.0277999999999998E-3</v>
      </c>
      <c r="D486" s="235">
        <v>4.2208999999999997E-3</v>
      </c>
      <c r="E486" s="212">
        <v>9555319</v>
      </c>
      <c r="F486" s="212" t="s">
        <v>1930</v>
      </c>
      <c r="G486" s="233">
        <v>1474159</v>
      </c>
      <c r="H486" s="221">
        <v>1311662</v>
      </c>
      <c r="I486" s="233">
        <v>2535613</v>
      </c>
      <c r="J486" s="232">
        <v>318871</v>
      </c>
      <c r="K486" s="88">
        <f t="shared" si="21"/>
        <v>5640305</v>
      </c>
      <c r="L486" s="50"/>
      <c r="M486" s="233">
        <v>49465</v>
      </c>
      <c r="N486" s="233">
        <v>0</v>
      </c>
      <c r="O486" s="232">
        <v>113116</v>
      </c>
      <c r="P486" s="88">
        <f t="shared" si="22"/>
        <v>162581</v>
      </c>
      <c r="Q486" s="50"/>
      <c r="R486" s="233">
        <v>2654211</v>
      </c>
      <c r="S486" s="232">
        <v>550303</v>
      </c>
      <c r="T486" s="234">
        <v>3204514</v>
      </c>
    </row>
    <row r="487" spans="1:20">
      <c r="A487" s="48">
        <v>95011</v>
      </c>
      <c r="B487" s="49" t="s">
        <v>2305</v>
      </c>
      <c r="C487" s="235">
        <v>1.8760000000000001E-4</v>
      </c>
      <c r="D487" s="235">
        <v>1.8000000000000001E-4</v>
      </c>
      <c r="E487" s="212">
        <v>445051</v>
      </c>
      <c r="F487" s="212" t="s">
        <v>1930</v>
      </c>
      <c r="G487" s="233">
        <v>68661</v>
      </c>
      <c r="H487" s="221">
        <v>61093</v>
      </c>
      <c r="I487" s="233">
        <v>118099</v>
      </c>
      <c r="J487" s="232">
        <v>5719</v>
      </c>
      <c r="K487" s="88">
        <f t="shared" si="21"/>
        <v>253572</v>
      </c>
      <c r="L487" s="50"/>
      <c r="M487" s="233">
        <v>2304</v>
      </c>
      <c r="N487" s="233">
        <v>0</v>
      </c>
      <c r="O487" s="232">
        <v>4270</v>
      </c>
      <c r="P487" s="88">
        <f t="shared" si="22"/>
        <v>6574</v>
      </c>
      <c r="Q487" s="50"/>
      <c r="R487" s="233">
        <v>123623</v>
      </c>
      <c r="S487" s="232">
        <v>-3004</v>
      </c>
      <c r="T487" s="234">
        <v>120619</v>
      </c>
    </row>
    <row r="488" spans="1:20">
      <c r="A488" s="48">
        <v>95017</v>
      </c>
      <c r="B488" s="49" t="s">
        <v>1188</v>
      </c>
      <c r="C488" s="235">
        <v>4.5500000000000001E-5</v>
      </c>
      <c r="D488" s="235">
        <v>3.8800000000000001E-5</v>
      </c>
      <c r="E488" s="212">
        <v>107942</v>
      </c>
      <c r="F488" s="212" t="s">
        <v>1930</v>
      </c>
      <c r="G488" s="233">
        <v>16653</v>
      </c>
      <c r="H488" s="221">
        <v>14818</v>
      </c>
      <c r="I488" s="233">
        <v>28644</v>
      </c>
      <c r="J488" s="232">
        <v>6820</v>
      </c>
      <c r="K488" s="88">
        <f t="shared" si="21"/>
        <v>66935</v>
      </c>
      <c r="L488" s="50"/>
      <c r="M488" s="233">
        <v>559</v>
      </c>
      <c r="N488" s="233">
        <v>0</v>
      </c>
      <c r="O488" s="232">
        <v>0</v>
      </c>
      <c r="P488" s="88">
        <f t="shared" si="22"/>
        <v>559</v>
      </c>
      <c r="Q488" s="50"/>
      <c r="R488" s="233">
        <v>29983</v>
      </c>
      <c r="S488" s="232">
        <v>7890</v>
      </c>
      <c r="T488" s="234">
        <v>37873</v>
      </c>
    </row>
    <row r="489" spans="1:20">
      <c r="A489" s="48">
        <v>95101</v>
      </c>
      <c r="B489" s="49" t="s">
        <v>1189</v>
      </c>
      <c r="C489" s="235">
        <v>8.5109999999999995E-3</v>
      </c>
      <c r="D489" s="235">
        <v>8.3750999999999999E-3</v>
      </c>
      <c r="E489" s="212">
        <v>20191003</v>
      </c>
      <c r="F489" s="212" t="s">
        <v>1930</v>
      </c>
      <c r="G489" s="233">
        <v>3114992</v>
      </c>
      <c r="H489" s="221">
        <v>2771624</v>
      </c>
      <c r="I489" s="233">
        <v>5357913</v>
      </c>
      <c r="J489" s="232">
        <v>2454</v>
      </c>
      <c r="K489" s="88">
        <f t="shared" si="21"/>
        <v>11246983</v>
      </c>
      <c r="L489" s="50"/>
      <c r="M489" s="233">
        <v>104524</v>
      </c>
      <c r="N489" s="233">
        <v>0</v>
      </c>
      <c r="O489" s="232">
        <v>152878</v>
      </c>
      <c r="P489" s="88">
        <f t="shared" si="22"/>
        <v>257402</v>
      </c>
      <c r="Q489" s="50"/>
      <c r="R489" s="233">
        <v>5608519</v>
      </c>
      <c r="S489" s="232">
        <v>-16926</v>
      </c>
      <c r="T489" s="234">
        <v>5591593</v>
      </c>
    </row>
    <row r="490" spans="1:20">
      <c r="A490" s="48">
        <v>95103</v>
      </c>
      <c r="B490" s="49" t="s">
        <v>1190</v>
      </c>
      <c r="C490" s="235">
        <v>4.4400000000000002E-5</v>
      </c>
      <c r="D490" s="235">
        <v>4.9100000000000001E-5</v>
      </c>
      <c r="E490" s="212">
        <v>105332</v>
      </c>
      <c r="F490" s="212" t="s">
        <v>1930</v>
      </c>
      <c r="G490" s="233">
        <v>16250</v>
      </c>
      <c r="H490" s="221">
        <v>14459</v>
      </c>
      <c r="I490" s="233">
        <v>27951</v>
      </c>
      <c r="J490" s="232">
        <v>9697</v>
      </c>
      <c r="K490" s="88">
        <f t="shared" si="21"/>
        <v>68357</v>
      </c>
      <c r="L490" s="50"/>
      <c r="M490" s="233">
        <v>545</v>
      </c>
      <c r="N490" s="233">
        <v>0</v>
      </c>
      <c r="O490" s="232">
        <v>0</v>
      </c>
      <c r="P490" s="88">
        <f t="shared" si="22"/>
        <v>545</v>
      </c>
      <c r="Q490" s="50"/>
      <c r="R490" s="233">
        <v>29258</v>
      </c>
      <c r="S490" s="232">
        <v>18768</v>
      </c>
      <c r="T490" s="234">
        <v>48026</v>
      </c>
    </row>
    <row r="491" spans="1:20">
      <c r="A491" s="48">
        <v>95104</v>
      </c>
      <c r="B491" s="49" t="s">
        <v>1191</v>
      </c>
      <c r="C491" s="235">
        <v>9.8300000000000004E-5</v>
      </c>
      <c r="D491" s="235">
        <v>1.02E-4</v>
      </c>
      <c r="E491" s="212">
        <v>233201</v>
      </c>
      <c r="F491" s="212" t="s">
        <v>1930</v>
      </c>
      <c r="G491" s="233">
        <v>35977</v>
      </c>
      <c r="H491" s="221">
        <v>32012</v>
      </c>
      <c r="I491" s="233">
        <v>61883</v>
      </c>
      <c r="J491" s="232">
        <v>19229</v>
      </c>
      <c r="K491" s="88">
        <f t="shared" si="21"/>
        <v>149101</v>
      </c>
      <c r="L491" s="50"/>
      <c r="M491" s="233">
        <v>1207</v>
      </c>
      <c r="N491" s="233">
        <v>0</v>
      </c>
      <c r="O491" s="232">
        <v>0</v>
      </c>
      <c r="P491" s="88">
        <f t="shared" si="22"/>
        <v>1207</v>
      </c>
      <c r="Q491" s="50"/>
      <c r="R491" s="233">
        <v>64777</v>
      </c>
      <c r="S491" s="232">
        <v>10356</v>
      </c>
      <c r="T491" s="234">
        <v>75133</v>
      </c>
    </row>
    <row r="492" spans="1:20">
      <c r="A492" s="48">
        <v>95105</v>
      </c>
      <c r="B492" s="49" t="s">
        <v>1192</v>
      </c>
      <c r="C492" s="235">
        <v>6.5900000000000003E-5</v>
      </c>
      <c r="D492" s="235">
        <v>6.1099999999999994E-5</v>
      </c>
      <c r="E492" s="212">
        <v>156337</v>
      </c>
      <c r="F492" s="212" t="s">
        <v>1930</v>
      </c>
      <c r="G492" s="233">
        <v>24119</v>
      </c>
      <c r="H492" s="221">
        <v>21460</v>
      </c>
      <c r="I492" s="233">
        <v>41486</v>
      </c>
      <c r="J492" s="232">
        <v>10343</v>
      </c>
      <c r="K492" s="88">
        <f t="shared" si="21"/>
        <v>97408</v>
      </c>
      <c r="L492" s="50"/>
      <c r="M492" s="233">
        <v>809</v>
      </c>
      <c r="N492" s="233">
        <v>0</v>
      </c>
      <c r="O492" s="232">
        <v>0</v>
      </c>
      <c r="P492" s="88">
        <f t="shared" si="22"/>
        <v>809</v>
      </c>
      <c r="Q492" s="50"/>
      <c r="R492" s="233">
        <v>43426</v>
      </c>
      <c r="S492" s="232">
        <v>5557</v>
      </c>
      <c r="T492" s="234">
        <v>48983</v>
      </c>
    </row>
    <row r="493" spans="1:20">
      <c r="A493" s="48">
        <v>95106</v>
      </c>
      <c r="B493" s="49" t="s">
        <v>2306</v>
      </c>
      <c r="C493" s="235">
        <v>1.3900000000000001E-5</v>
      </c>
      <c r="D493" s="235">
        <v>1.2099999999999999E-5</v>
      </c>
      <c r="E493" s="212">
        <v>32976</v>
      </c>
      <c r="F493" s="212" t="s">
        <v>1930</v>
      </c>
      <c r="G493" s="233">
        <v>5087</v>
      </c>
      <c r="H493" s="221">
        <v>4527</v>
      </c>
      <c r="I493" s="233">
        <v>8750</v>
      </c>
      <c r="J493" s="232">
        <v>4636</v>
      </c>
      <c r="K493" s="88">
        <f t="shared" si="21"/>
        <v>23000</v>
      </c>
      <c r="L493" s="50"/>
      <c r="M493" s="233">
        <v>171</v>
      </c>
      <c r="N493" s="233">
        <v>0</v>
      </c>
      <c r="O493" s="232">
        <v>1076</v>
      </c>
      <c r="P493" s="88">
        <f t="shared" si="22"/>
        <v>1247</v>
      </c>
      <c r="Q493" s="50"/>
      <c r="R493" s="233">
        <v>9160</v>
      </c>
      <c r="S493" s="232">
        <v>2803</v>
      </c>
      <c r="T493" s="234">
        <v>11963</v>
      </c>
    </row>
    <row r="494" spans="1:20">
      <c r="A494" s="48">
        <v>95110</v>
      </c>
      <c r="B494" s="49" t="s">
        <v>1194</v>
      </c>
      <c r="C494" s="235">
        <v>3.5975E-3</v>
      </c>
      <c r="D494" s="235">
        <v>4.2902000000000001E-3</v>
      </c>
      <c r="E494" s="212">
        <v>8534500</v>
      </c>
      <c r="F494" s="212" t="s">
        <v>1930</v>
      </c>
      <c r="G494" s="233">
        <v>1316671</v>
      </c>
      <c r="H494" s="221">
        <v>1171533</v>
      </c>
      <c r="I494" s="233">
        <v>2264727</v>
      </c>
      <c r="J494" s="232">
        <v>0</v>
      </c>
      <c r="K494" s="88">
        <f t="shared" si="21"/>
        <v>4752931</v>
      </c>
      <c r="L494" s="50"/>
      <c r="M494" s="233">
        <v>44181</v>
      </c>
      <c r="N494" s="233">
        <v>0</v>
      </c>
      <c r="O494" s="232">
        <v>813395</v>
      </c>
      <c r="P494" s="88">
        <f t="shared" si="22"/>
        <v>857576</v>
      </c>
      <c r="Q494" s="50"/>
      <c r="R494" s="233">
        <v>2370655</v>
      </c>
      <c r="S494" s="232">
        <v>-720222</v>
      </c>
      <c r="T494" s="234">
        <v>1650433</v>
      </c>
    </row>
    <row r="495" spans="1:20">
      <c r="A495" s="48">
        <v>95111</v>
      </c>
      <c r="B495" s="49" t="s">
        <v>2307</v>
      </c>
      <c r="C495" s="235">
        <v>1.1188999999999999E-3</v>
      </c>
      <c r="D495" s="235">
        <v>1.0778999999999999E-3</v>
      </c>
      <c r="E495" s="212">
        <v>2654413</v>
      </c>
      <c r="F495" s="212" t="s">
        <v>1930</v>
      </c>
      <c r="G495" s="233">
        <v>409513</v>
      </c>
      <c r="H495" s="221">
        <v>364372</v>
      </c>
      <c r="I495" s="233">
        <v>704379</v>
      </c>
      <c r="J495" s="232">
        <v>0</v>
      </c>
      <c r="K495" s="88">
        <f t="shared" si="21"/>
        <v>1478264</v>
      </c>
      <c r="L495" s="50"/>
      <c r="M495" s="233">
        <v>13741</v>
      </c>
      <c r="N495" s="233">
        <v>0</v>
      </c>
      <c r="O495" s="232">
        <v>72731</v>
      </c>
      <c r="P495" s="88">
        <f t="shared" si="22"/>
        <v>86472</v>
      </c>
      <c r="Q495" s="50"/>
      <c r="R495" s="233">
        <v>737325</v>
      </c>
      <c r="S495" s="232">
        <v>-62211</v>
      </c>
      <c r="T495" s="234">
        <v>675114</v>
      </c>
    </row>
    <row r="496" spans="1:20">
      <c r="A496" s="48">
        <v>95113</v>
      </c>
      <c r="B496" s="49" t="s">
        <v>1196</v>
      </c>
      <c r="C496" s="235">
        <v>4.49E-5</v>
      </c>
      <c r="D496" s="235">
        <v>4.6699999999999997E-5</v>
      </c>
      <c r="E496" s="212">
        <v>106518</v>
      </c>
      <c r="F496" s="212" t="s">
        <v>1930</v>
      </c>
      <c r="G496" s="233">
        <v>16433</v>
      </c>
      <c r="H496" s="221">
        <v>14621</v>
      </c>
      <c r="I496" s="233">
        <v>28266</v>
      </c>
      <c r="J496" s="232">
        <v>91937</v>
      </c>
      <c r="K496" s="88">
        <f t="shared" si="21"/>
        <v>151257</v>
      </c>
      <c r="L496" s="50"/>
      <c r="M496" s="233">
        <v>551</v>
      </c>
      <c r="N496" s="233">
        <v>0</v>
      </c>
      <c r="O496" s="232">
        <v>0</v>
      </c>
      <c r="P496" s="88">
        <f t="shared" si="22"/>
        <v>551</v>
      </c>
      <c r="Q496" s="50"/>
      <c r="R496" s="233">
        <v>29588</v>
      </c>
      <c r="S496" s="232">
        <v>41492</v>
      </c>
      <c r="T496" s="234">
        <v>71080</v>
      </c>
    </row>
    <row r="497" spans="1:20">
      <c r="A497" s="48">
        <v>95121</v>
      </c>
      <c r="B497" s="49" t="s">
        <v>2308</v>
      </c>
      <c r="C497" s="235">
        <v>5.2059999999999997E-4</v>
      </c>
      <c r="D497" s="235">
        <v>4.9770000000000001E-4</v>
      </c>
      <c r="E497" s="212">
        <v>1235041</v>
      </c>
      <c r="F497" s="212" t="s">
        <v>1930</v>
      </c>
      <c r="G497" s="233">
        <v>190538</v>
      </c>
      <c r="H497" s="221">
        <v>169535</v>
      </c>
      <c r="I497" s="233">
        <v>327732</v>
      </c>
      <c r="J497" s="232">
        <v>13463</v>
      </c>
      <c r="K497" s="88">
        <f t="shared" si="21"/>
        <v>701268</v>
      </c>
      <c r="L497" s="50"/>
      <c r="M497" s="233">
        <v>6393</v>
      </c>
      <c r="N497" s="233">
        <v>0</v>
      </c>
      <c r="O497" s="232">
        <v>1285</v>
      </c>
      <c r="P497" s="88">
        <f t="shared" si="22"/>
        <v>7678</v>
      </c>
      <c r="Q497" s="50"/>
      <c r="R497" s="233">
        <v>343061</v>
      </c>
      <c r="S497" s="232">
        <v>-5897</v>
      </c>
      <c r="T497" s="234">
        <v>337164</v>
      </c>
    </row>
    <row r="498" spans="1:20">
      <c r="A498" s="48">
        <v>95122</v>
      </c>
      <c r="B498" s="49" t="s">
        <v>2309</v>
      </c>
      <c r="C498" s="235">
        <v>6.6000000000000003E-6</v>
      </c>
      <c r="D498" s="235">
        <v>6.4999999999999996E-6</v>
      </c>
      <c r="E498" s="212">
        <v>15657</v>
      </c>
      <c r="F498" s="212" t="s">
        <v>1930</v>
      </c>
      <c r="G498" s="233">
        <v>2416</v>
      </c>
      <c r="H498" s="221">
        <v>2149</v>
      </c>
      <c r="I498" s="233">
        <v>4155</v>
      </c>
      <c r="J498" s="232">
        <v>3737</v>
      </c>
      <c r="K498" s="88">
        <f t="shared" si="21"/>
        <v>12457</v>
      </c>
      <c r="L498" s="50"/>
      <c r="M498" s="233">
        <v>81</v>
      </c>
      <c r="N498" s="233">
        <v>0</v>
      </c>
      <c r="O498" s="232">
        <v>0</v>
      </c>
      <c r="P498" s="88">
        <f t="shared" si="22"/>
        <v>81</v>
      </c>
      <c r="Q498" s="50"/>
      <c r="R498" s="233">
        <v>4349</v>
      </c>
      <c r="S498" s="232">
        <v>1394</v>
      </c>
      <c r="T498" s="234">
        <v>5743</v>
      </c>
    </row>
    <row r="499" spans="1:20">
      <c r="A499" s="48">
        <v>95123</v>
      </c>
      <c r="B499" s="49" t="s">
        <v>1199</v>
      </c>
      <c r="C499" s="235">
        <v>5.41E-5</v>
      </c>
      <c r="D499" s="235">
        <v>5.7399999999999999E-5</v>
      </c>
      <c r="E499" s="212">
        <v>128344</v>
      </c>
      <c r="F499" s="212" t="s">
        <v>1930</v>
      </c>
      <c r="G499" s="233">
        <v>19800</v>
      </c>
      <c r="H499" s="221">
        <v>17617</v>
      </c>
      <c r="I499" s="233">
        <v>34057</v>
      </c>
      <c r="J499" s="232">
        <v>5660</v>
      </c>
      <c r="K499" s="88">
        <f t="shared" si="21"/>
        <v>77134</v>
      </c>
      <c r="L499" s="50"/>
      <c r="M499" s="233">
        <v>664</v>
      </c>
      <c r="N499" s="233">
        <v>0</v>
      </c>
      <c r="O499" s="232">
        <v>0</v>
      </c>
      <c r="P499" s="88">
        <f t="shared" si="22"/>
        <v>664</v>
      </c>
      <c r="Q499" s="50"/>
      <c r="R499" s="233">
        <v>35650</v>
      </c>
      <c r="S499" s="232">
        <v>1881</v>
      </c>
      <c r="T499" s="234">
        <v>37531</v>
      </c>
    </row>
    <row r="500" spans="1:20">
      <c r="A500" s="48">
        <v>95131</v>
      </c>
      <c r="B500" s="49" t="s">
        <v>2310</v>
      </c>
      <c r="C500" s="235">
        <v>1.7581000000000001E-3</v>
      </c>
      <c r="D500" s="235">
        <v>1.6682999999999999E-3</v>
      </c>
      <c r="E500" s="212">
        <v>4170814</v>
      </c>
      <c r="F500" s="212" t="s">
        <v>1930</v>
      </c>
      <c r="G500" s="233">
        <v>643458</v>
      </c>
      <c r="H500" s="221">
        <v>572529</v>
      </c>
      <c r="I500" s="233">
        <v>1106773</v>
      </c>
      <c r="J500" s="232">
        <v>95997</v>
      </c>
      <c r="K500" s="88">
        <f t="shared" si="21"/>
        <v>2418757</v>
      </c>
      <c r="L500" s="50"/>
      <c r="M500" s="233">
        <v>21591</v>
      </c>
      <c r="N500" s="233">
        <v>0</v>
      </c>
      <c r="O500" s="232">
        <v>0</v>
      </c>
      <c r="P500" s="88">
        <f t="shared" si="22"/>
        <v>21591</v>
      </c>
      <c r="Q500" s="50"/>
      <c r="R500" s="233">
        <v>1158540</v>
      </c>
      <c r="S500" s="232">
        <v>40038</v>
      </c>
      <c r="T500" s="234">
        <v>1198578</v>
      </c>
    </row>
    <row r="501" spans="1:20">
      <c r="A501" s="48">
        <v>95141</v>
      </c>
      <c r="B501" s="49" t="s">
        <v>2311</v>
      </c>
      <c r="C501" s="235">
        <v>3.2400000000000001E-4</v>
      </c>
      <c r="D501" s="235">
        <v>3.2220000000000003E-4</v>
      </c>
      <c r="E501" s="212">
        <v>768639</v>
      </c>
      <c r="F501" s="212" t="s">
        <v>1930</v>
      </c>
      <c r="G501" s="233">
        <v>118583</v>
      </c>
      <c r="H501" s="221">
        <v>105512</v>
      </c>
      <c r="I501" s="233">
        <v>203967</v>
      </c>
      <c r="J501" s="232">
        <v>0</v>
      </c>
      <c r="K501" s="88">
        <f t="shared" si="21"/>
        <v>428062</v>
      </c>
      <c r="L501" s="50"/>
      <c r="M501" s="233">
        <v>3979</v>
      </c>
      <c r="N501" s="233">
        <v>0</v>
      </c>
      <c r="O501" s="232">
        <v>23502</v>
      </c>
      <c r="P501" s="88">
        <f t="shared" si="22"/>
        <v>27481</v>
      </c>
      <c r="Q501" s="50"/>
      <c r="R501" s="233">
        <v>213507</v>
      </c>
      <c r="S501" s="232">
        <v>-12963</v>
      </c>
      <c r="T501" s="234">
        <v>200544</v>
      </c>
    </row>
    <row r="502" spans="1:20">
      <c r="A502" s="48">
        <v>95151</v>
      </c>
      <c r="B502" s="49" t="s">
        <v>2312</v>
      </c>
      <c r="C502" s="235">
        <v>1.159E-4</v>
      </c>
      <c r="D502" s="235">
        <v>1.092E-4</v>
      </c>
      <c r="E502" s="212">
        <v>274954</v>
      </c>
      <c r="F502" s="212" t="s">
        <v>1930</v>
      </c>
      <c r="G502" s="233">
        <v>42419</v>
      </c>
      <c r="H502" s="221">
        <v>37743</v>
      </c>
      <c r="I502" s="233">
        <v>72962</v>
      </c>
      <c r="J502" s="232">
        <v>249</v>
      </c>
      <c r="K502" s="88">
        <f t="shared" si="21"/>
        <v>153373</v>
      </c>
      <c r="L502" s="50"/>
      <c r="M502" s="233">
        <v>1423</v>
      </c>
      <c r="N502" s="233">
        <v>0</v>
      </c>
      <c r="O502" s="232">
        <v>7102</v>
      </c>
      <c r="P502" s="88">
        <f t="shared" si="22"/>
        <v>8525</v>
      </c>
      <c r="Q502" s="50"/>
      <c r="R502" s="233">
        <v>76375</v>
      </c>
      <c r="S502" s="232">
        <v>-3275</v>
      </c>
      <c r="T502" s="234">
        <v>73100</v>
      </c>
    </row>
    <row r="503" spans="1:20">
      <c r="A503" s="48">
        <v>95161</v>
      </c>
      <c r="B503" s="49" t="s">
        <v>2313</v>
      </c>
      <c r="C503" s="235">
        <v>6.9200000000000002E-5</v>
      </c>
      <c r="D503" s="235">
        <v>6.8100000000000002E-5</v>
      </c>
      <c r="E503" s="212">
        <v>164166</v>
      </c>
      <c r="F503" s="212" t="s">
        <v>1930</v>
      </c>
      <c r="G503" s="233">
        <v>25327</v>
      </c>
      <c r="H503" s="221">
        <v>22535</v>
      </c>
      <c r="I503" s="233">
        <v>43563</v>
      </c>
      <c r="J503" s="232">
        <v>10072</v>
      </c>
      <c r="K503" s="88">
        <f t="shared" si="21"/>
        <v>101497</v>
      </c>
      <c r="L503" s="50"/>
      <c r="M503" s="233">
        <v>850</v>
      </c>
      <c r="N503" s="233">
        <v>0</v>
      </c>
      <c r="O503" s="232">
        <v>610</v>
      </c>
      <c r="P503" s="88">
        <f t="shared" si="22"/>
        <v>1460</v>
      </c>
      <c r="Q503" s="50"/>
      <c r="R503" s="233">
        <v>45601</v>
      </c>
      <c r="S503" s="232">
        <v>2943</v>
      </c>
      <c r="T503" s="234">
        <v>48544</v>
      </c>
    </row>
    <row r="504" spans="1:20">
      <c r="A504" s="48">
        <v>95171</v>
      </c>
      <c r="B504" s="49" t="s">
        <v>2314</v>
      </c>
      <c r="C504" s="235">
        <v>8.8599999999999999E-5</v>
      </c>
      <c r="D504" s="235">
        <v>1.0459999999999999E-4</v>
      </c>
      <c r="E504" s="212">
        <v>210190</v>
      </c>
      <c r="F504" s="212" t="s">
        <v>1930</v>
      </c>
      <c r="G504" s="233">
        <v>32427</v>
      </c>
      <c r="H504" s="221">
        <v>28853</v>
      </c>
      <c r="I504" s="233">
        <v>55776</v>
      </c>
      <c r="J504" s="232">
        <v>3021</v>
      </c>
      <c r="K504" s="88">
        <f t="shared" si="21"/>
        <v>120077</v>
      </c>
      <c r="L504" s="50"/>
      <c r="M504" s="233">
        <v>1088</v>
      </c>
      <c r="N504" s="233">
        <v>0</v>
      </c>
      <c r="O504" s="232">
        <v>15947</v>
      </c>
      <c r="P504" s="88">
        <f t="shared" si="22"/>
        <v>17035</v>
      </c>
      <c r="Q504" s="50"/>
      <c r="R504" s="233">
        <v>58385</v>
      </c>
      <c r="S504" s="232">
        <v>-5663</v>
      </c>
      <c r="T504" s="234">
        <v>52722</v>
      </c>
    </row>
    <row r="505" spans="1:20">
      <c r="A505" s="48">
        <v>95181</v>
      </c>
      <c r="B505" s="49" t="s">
        <v>2315</v>
      </c>
      <c r="C505" s="235">
        <v>7.7899999999999996E-5</v>
      </c>
      <c r="D505" s="235">
        <v>7.7100000000000004E-5</v>
      </c>
      <c r="E505" s="213">
        <v>184805</v>
      </c>
      <c r="F505" s="213" t="s">
        <v>1930</v>
      </c>
      <c r="G505" s="233">
        <v>28511</v>
      </c>
      <c r="H505" s="221">
        <v>25368</v>
      </c>
      <c r="I505" s="233">
        <v>49040</v>
      </c>
      <c r="J505" s="232">
        <v>482</v>
      </c>
      <c r="K505" s="88">
        <f t="shared" si="21"/>
        <v>103401</v>
      </c>
      <c r="L505" s="50"/>
      <c r="M505" s="233">
        <v>957</v>
      </c>
      <c r="N505" s="233">
        <v>0</v>
      </c>
      <c r="O505" s="232">
        <v>10181</v>
      </c>
      <c r="P505" s="88">
        <f t="shared" si="22"/>
        <v>11138</v>
      </c>
      <c r="Q505" s="50"/>
      <c r="R505" s="233">
        <v>51334</v>
      </c>
      <c r="S505" s="232">
        <v>-3375</v>
      </c>
      <c r="T505" s="234">
        <v>47959</v>
      </c>
    </row>
    <row r="506" spans="1:20">
      <c r="A506" s="48">
        <v>95191</v>
      </c>
      <c r="B506" s="49" t="s">
        <v>2316</v>
      </c>
      <c r="C506" s="235">
        <v>4.2599999999999999E-5</v>
      </c>
      <c r="D506" s="235">
        <v>5.3999999999999998E-5</v>
      </c>
      <c r="E506" s="213">
        <v>101062</v>
      </c>
      <c r="F506" s="213" t="s">
        <v>1930</v>
      </c>
      <c r="G506" s="233">
        <v>15591</v>
      </c>
      <c r="H506" s="221">
        <v>13873</v>
      </c>
      <c r="I506" s="233">
        <v>26818</v>
      </c>
      <c r="J506" s="232">
        <v>9524</v>
      </c>
      <c r="K506" s="88">
        <f t="shared" si="21"/>
        <v>65806</v>
      </c>
      <c r="L506" s="50"/>
      <c r="M506" s="233">
        <v>523</v>
      </c>
      <c r="N506" s="233">
        <v>0</v>
      </c>
      <c r="O506" s="232">
        <v>3442</v>
      </c>
      <c r="P506" s="88">
        <f t="shared" si="22"/>
        <v>3965</v>
      </c>
      <c r="Q506" s="50"/>
      <c r="R506" s="233">
        <v>28072</v>
      </c>
      <c r="S506" s="232">
        <v>5235</v>
      </c>
      <c r="T506" s="234">
        <v>33307</v>
      </c>
    </row>
    <row r="507" spans="1:20">
      <c r="A507" s="48">
        <v>95201</v>
      </c>
      <c r="B507" s="49" t="s">
        <v>1207</v>
      </c>
      <c r="C507" s="235">
        <v>7.0259999999999995E-4</v>
      </c>
      <c r="D507" s="235">
        <v>7.0969999999999996E-4</v>
      </c>
      <c r="E507" s="213">
        <v>1666807</v>
      </c>
      <c r="F507" s="213" t="s">
        <v>1930</v>
      </c>
      <c r="G507" s="233">
        <v>257149</v>
      </c>
      <c r="H507" s="221">
        <v>228803</v>
      </c>
      <c r="I507" s="233">
        <v>442306</v>
      </c>
      <c r="J507" s="232">
        <v>4233</v>
      </c>
      <c r="K507" s="88">
        <f t="shared" si="21"/>
        <v>932491</v>
      </c>
      <c r="L507" s="50"/>
      <c r="M507" s="233">
        <v>8629</v>
      </c>
      <c r="N507" s="233">
        <v>0</v>
      </c>
      <c r="O507" s="232">
        <v>29894</v>
      </c>
      <c r="P507" s="88">
        <f t="shared" si="22"/>
        <v>38523</v>
      </c>
      <c r="Q507" s="50"/>
      <c r="R507" s="233">
        <v>462994</v>
      </c>
      <c r="S507" s="232">
        <v>-14817</v>
      </c>
      <c r="T507" s="234">
        <v>448177</v>
      </c>
    </row>
    <row r="508" spans="1:20">
      <c r="A508" s="48">
        <v>95204</v>
      </c>
      <c r="B508" s="49" t="s">
        <v>1208</v>
      </c>
      <c r="C508" s="235">
        <v>1.06E-5</v>
      </c>
      <c r="D508" s="235">
        <v>1.26E-5</v>
      </c>
      <c r="E508" s="213">
        <v>25147</v>
      </c>
      <c r="F508" s="213" t="s">
        <v>1930</v>
      </c>
      <c r="G508" s="233">
        <v>3880</v>
      </c>
      <c r="H508" s="221">
        <v>3452</v>
      </c>
      <c r="I508" s="233">
        <v>6673</v>
      </c>
      <c r="J508" s="232">
        <v>1368</v>
      </c>
      <c r="K508" s="88">
        <f t="shared" si="21"/>
        <v>15373</v>
      </c>
      <c r="L508" s="50"/>
      <c r="M508" s="233">
        <v>130</v>
      </c>
      <c r="N508" s="233">
        <v>0</v>
      </c>
      <c r="O508" s="232">
        <v>775</v>
      </c>
      <c r="P508" s="88">
        <f t="shared" si="22"/>
        <v>905</v>
      </c>
      <c r="Q508" s="50"/>
      <c r="R508" s="233">
        <v>6985</v>
      </c>
      <c r="S508" s="232">
        <v>-261</v>
      </c>
      <c r="T508" s="234">
        <v>6724</v>
      </c>
    </row>
    <row r="509" spans="1:20">
      <c r="A509" s="48">
        <v>95205</v>
      </c>
      <c r="B509" s="49" t="s">
        <v>1209</v>
      </c>
      <c r="C509" s="235">
        <v>1.7E-6</v>
      </c>
      <c r="D509" s="235">
        <v>4.5000000000000001E-6</v>
      </c>
      <c r="E509" s="213">
        <v>4033</v>
      </c>
      <c r="F509" s="213" t="s">
        <v>1930</v>
      </c>
      <c r="G509" s="233">
        <v>622</v>
      </c>
      <c r="H509" s="221">
        <v>553</v>
      </c>
      <c r="I509" s="233">
        <v>1070</v>
      </c>
      <c r="J509" s="232">
        <v>294</v>
      </c>
      <c r="K509" s="88">
        <f t="shared" si="21"/>
        <v>2539</v>
      </c>
      <c r="L509" s="50"/>
      <c r="M509" s="233">
        <v>21</v>
      </c>
      <c r="N509" s="233">
        <v>0</v>
      </c>
      <c r="O509" s="232">
        <v>949</v>
      </c>
      <c r="P509" s="88">
        <f t="shared" si="22"/>
        <v>970</v>
      </c>
      <c r="Q509" s="50"/>
      <c r="R509" s="233">
        <v>1120</v>
      </c>
      <c r="S509" s="232">
        <v>74</v>
      </c>
      <c r="T509" s="234">
        <v>1194</v>
      </c>
    </row>
    <row r="510" spans="1:20">
      <c r="A510" s="48">
        <v>95211</v>
      </c>
      <c r="B510" s="49" t="s">
        <v>2317</v>
      </c>
      <c r="C510" s="235">
        <v>5.4999999999999999E-6</v>
      </c>
      <c r="D510" s="235">
        <v>8.3999999999999992E-6</v>
      </c>
      <c r="E510" s="213">
        <v>13048</v>
      </c>
      <c r="F510" s="213" t="s">
        <v>1930</v>
      </c>
      <c r="G510" s="233">
        <v>2013</v>
      </c>
      <c r="H510" s="221">
        <v>1791</v>
      </c>
      <c r="I510" s="233">
        <v>3462</v>
      </c>
      <c r="J510" s="232">
        <v>946</v>
      </c>
      <c r="K510" s="88">
        <f t="shared" si="21"/>
        <v>8212</v>
      </c>
      <c r="L510" s="50"/>
      <c r="M510" s="233">
        <v>68</v>
      </c>
      <c r="N510" s="233">
        <v>0</v>
      </c>
      <c r="O510" s="232">
        <v>1758</v>
      </c>
      <c r="P510" s="88">
        <f t="shared" si="22"/>
        <v>1826</v>
      </c>
      <c r="Q510" s="50"/>
      <c r="R510" s="233">
        <v>3624</v>
      </c>
      <c r="S510" s="232">
        <v>-902</v>
      </c>
      <c r="T510" s="234">
        <v>2722</v>
      </c>
    </row>
    <row r="511" spans="1:20">
      <c r="A511" s="48">
        <v>95221</v>
      </c>
      <c r="B511" s="49" t="s">
        <v>2318</v>
      </c>
      <c r="C511" s="235">
        <v>5.7000000000000003E-5</v>
      </c>
      <c r="D511" s="235">
        <v>4.4100000000000001E-5</v>
      </c>
      <c r="E511" s="213">
        <v>135223</v>
      </c>
      <c r="F511" s="213" t="s">
        <v>1930</v>
      </c>
      <c r="G511" s="233">
        <v>20862</v>
      </c>
      <c r="H511" s="221">
        <v>18562</v>
      </c>
      <c r="I511" s="233">
        <v>35883</v>
      </c>
      <c r="J511" s="232">
        <v>20204</v>
      </c>
      <c r="K511" s="88">
        <f t="shared" si="21"/>
        <v>95511</v>
      </c>
      <c r="L511" s="50"/>
      <c r="M511" s="233">
        <v>700</v>
      </c>
      <c r="N511" s="233">
        <v>0</v>
      </c>
      <c r="O511" s="232">
        <v>6516</v>
      </c>
      <c r="P511" s="88">
        <f t="shared" si="22"/>
        <v>7216</v>
      </c>
      <c r="Q511" s="50"/>
      <c r="R511" s="233">
        <v>37561</v>
      </c>
      <c r="S511" s="232">
        <v>4121</v>
      </c>
      <c r="T511" s="234">
        <v>41682</v>
      </c>
    </row>
    <row r="512" spans="1:20">
      <c r="A512" s="48">
        <v>95301</v>
      </c>
      <c r="B512" s="49" t="s">
        <v>1212</v>
      </c>
      <c r="C512" s="235">
        <v>2.3362000000000001E-3</v>
      </c>
      <c r="D512" s="235">
        <v>2.3917999999999999E-3</v>
      </c>
      <c r="E512" s="213">
        <v>5542265</v>
      </c>
      <c r="F512" s="213" t="s">
        <v>1930</v>
      </c>
      <c r="G512" s="233">
        <v>855040</v>
      </c>
      <c r="H512" s="221">
        <v>760788</v>
      </c>
      <c r="I512" s="233">
        <v>1470703</v>
      </c>
      <c r="J512" s="232">
        <v>42774</v>
      </c>
      <c r="K512" s="88">
        <f t="shared" si="21"/>
        <v>3129305</v>
      </c>
      <c r="L512" s="50"/>
      <c r="M512" s="233">
        <v>28691</v>
      </c>
      <c r="N512" s="233">
        <v>0</v>
      </c>
      <c r="O512" s="232">
        <v>25264</v>
      </c>
      <c r="P512" s="88">
        <f t="shared" si="22"/>
        <v>53955</v>
      </c>
      <c r="Q512" s="50"/>
      <c r="R512" s="233">
        <v>1539493</v>
      </c>
      <c r="S512" s="232">
        <v>13159</v>
      </c>
      <c r="T512" s="234">
        <v>1552652</v>
      </c>
    </row>
    <row r="513" spans="1:20">
      <c r="A513" s="48">
        <v>95311</v>
      </c>
      <c r="B513" s="49" t="s">
        <v>1213</v>
      </c>
      <c r="C513" s="235">
        <v>2.6302999999999999E-3</v>
      </c>
      <c r="D513" s="235">
        <v>2.6873999999999999E-3</v>
      </c>
      <c r="E513" s="213">
        <v>6239971</v>
      </c>
      <c r="F513" s="213" t="s">
        <v>1930</v>
      </c>
      <c r="G513" s="233">
        <v>962679</v>
      </c>
      <c r="H513" s="221">
        <v>856562</v>
      </c>
      <c r="I513" s="233">
        <v>1655847</v>
      </c>
      <c r="J513" s="232">
        <v>41494</v>
      </c>
      <c r="K513" s="88">
        <f t="shared" si="21"/>
        <v>3516582</v>
      </c>
      <c r="L513" s="50"/>
      <c r="M513" s="233">
        <v>32303</v>
      </c>
      <c r="N513" s="233">
        <v>0</v>
      </c>
      <c r="O513" s="232">
        <v>58842</v>
      </c>
      <c r="P513" s="88">
        <f t="shared" si="22"/>
        <v>91145</v>
      </c>
      <c r="Q513" s="50"/>
      <c r="R513" s="233">
        <v>1733297</v>
      </c>
      <c r="S513" s="232">
        <v>-43357</v>
      </c>
      <c r="T513" s="234">
        <v>1689940</v>
      </c>
    </row>
    <row r="514" spans="1:20">
      <c r="A514" s="48">
        <v>95317</v>
      </c>
      <c r="B514" s="49" t="s">
        <v>1214</v>
      </c>
      <c r="C514" s="235">
        <v>4.32E-5</v>
      </c>
      <c r="D514" s="235">
        <v>4.8900000000000003E-5</v>
      </c>
      <c r="E514" s="213">
        <v>102485</v>
      </c>
      <c r="F514" s="213" t="s">
        <v>1930</v>
      </c>
      <c r="G514" s="233">
        <v>15811</v>
      </c>
      <c r="H514" s="221">
        <v>14068</v>
      </c>
      <c r="I514" s="233">
        <v>27196</v>
      </c>
      <c r="J514" s="232">
        <v>4826</v>
      </c>
      <c r="K514" s="88">
        <f t="shared" si="21"/>
        <v>61901</v>
      </c>
      <c r="L514" s="50"/>
      <c r="M514" s="233">
        <v>531</v>
      </c>
      <c r="N514" s="233">
        <v>0</v>
      </c>
      <c r="O514" s="232">
        <v>0</v>
      </c>
      <c r="P514" s="88">
        <f t="shared" si="22"/>
        <v>531</v>
      </c>
      <c r="Q514" s="50"/>
      <c r="R514" s="233">
        <v>28468</v>
      </c>
      <c r="S514" s="232">
        <v>2726</v>
      </c>
      <c r="T514" s="234">
        <v>31194</v>
      </c>
    </row>
    <row r="515" spans="1:20">
      <c r="A515" s="48">
        <v>95321</v>
      </c>
      <c r="B515" s="49" t="s">
        <v>2319</v>
      </c>
      <c r="C515" s="235">
        <v>5.1999999999999997E-5</v>
      </c>
      <c r="D515" s="235">
        <v>4.71E-5</v>
      </c>
      <c r="E515" s="213">
        <v>123362</v>
      </c>
      <c r="F515" s="213" t="s">
        <v>1930</v>
      </c>
      <c r="G515" s="233">
        <v>19032</v>
      </c>
      <c r="H515" s="221">
        <v>16934</v>
      </c>
      <c r="I515" s="233">
        <v>32735</v>
      </c>
      <c r="J515" s="232">
        <v>6589</v>
      </c>
      <c r="K515" s="88">
        <f t="shared" si="21"/>
        <v>75290</v>
      </c>
      <c r="L515" s="50"/>
      <c r="M515" s="233">
        <v>639</v>
      </c>
      <c r="N515" s="233">
        <v>0</v>
      </c>
      <c r="O515" s="232">
        <v>1618</v>
      </c>
      <c r="P515" s="88">
        <f t="shared" si="22"/>
        <v>2257</v>
      </c>
      <c r="Q515" s="50"/>
      <c r="R515" s="233">
        <v>34267</v>
      </c>
      <c r="S515" s="232">
        <v>2368</v>
      </c>
      <c r="T515" s="234">
        <v>36635</v>
      </c>
    </row>
    <row r="516" spans="1:20">
      <c r="A516" s="48">
        <v>95401</v>
      </c>
      <c r="B516" s="49" t="s">
        <v>1216</v>
      </c>
      <c r="C516" s="235">
        <v>2.8792000000000002E-3</v>
      </c>
      <c r="D516" s="235">
        <v>2.9992E-3</v>
      </c>
      <c r="E516" s="213">
        <v>6830447</v>
      </c>
      <c r="F516" s="213" t="s">
        <v>1930</v>
      </c>
      <c r="G516" s="233">
        <v>1053776</v>
      </c>
      <c r="H516" s="221">
        <v>937617</v>
      </c>
      <c r="I516" s="233">
        <v>1812537</v>
      </c>
      <c r="J516" s="232">
        <v>12696</v>
      </c>
      <c r="K516" s="88">
        <f t="shared" si="21"/>
        <v>3816626</v>
      </c>
      <c r="L516" s="50"/>
      <c r="M516" s="233">
        <v>35359</v>
      </c>
      <c r="N516" s="233">
        <v>0</v>
      </c>
      <c r="O516" s="232">
        <v>132713</v>
      </c>
      <c r="P516" s="88">
        <f t="shared" si="22"/>
        <v>168072</v>
      </c>
      <c r="Q516" s="50"/>
      <c r="R516" s="233">
        <v>1897315</v>
      </c>
      <c r="S516" s="232">
        <v>-19424</v>
      </c>
      <c r="T516" s="234">
        <v>1877891</v>
      </c>
    </row>
    <row r="517" spans="1:20">
      <c r="A517" s="48">
        <v>95404</v>
      </c>
      <c r="B517" s="49" t="s">
        <v>1217</v>
      </c>
      <c r="C517" s="235">
        <v>5.0000000000000002E-5</v>
      </c>
      <c r="D517" s="235">
        <v>5.3100000000000003E-5</v>
      </c>
      <c r="E517" s="213">
        <v>118617</v>
      </c>
      <c r="F517" s="213" t="s">
        <v>1930</v>
      </c>
      <c r="G517" s="233">
        <v>18300</v>
      </c>
      <c r="H517" s="221">
        <v>16283</v>
      </c>
      <c r="I517" s="233">
        <v>31476</v>
      </c>
      <c r="J517" s="232">
        <v>3211</v>
      </c>
      <c r="K517" s="88">
        <f t="shared" si="21"/>
        <v>69270</v>
      </c>
      <c r="L517" s="50"/>
      <c r="M517" s="233">
        <v>614</v>
      </c>
      <c r="N517" s="233">
        <v>0</v>
      </c>
      <c r="O517" s="232">
        <v>3328</v>
      </c>
      <c r="P517" s="88">
        <f t="shared" si="22"/>
        <v>3942</v>
      </c>
      <c r="Q517" s="50"/>
      <c r="R517" s="233">
        <v>32949</v>
      </c>
      <c r="S517" s="232">
        <v>1115</v>
      </c>
      <c r="T517" s="234">
        <v>34064</v>
      </c>
    </row>
    <row r="518" spans="1:20">
      <c r="A518" s="48">
        <v>95405</v>
      </c>
      <c r="B518" s="49" t="s">
        <v>1218</v>
      </c>
      <c r="C518" s="235">
        <v>1.7600000000000001E-5</v>
      </c>
      <c r="D518" s="235">
        <v>1.84E-5</v>
      </c>
      <c r="E518" s="213">
        <v>41753</v>
      </c>
      <c r="F518" s="213" t="s">
        <v>1930</v>
      </c>
      <c r="G518" s="233">
        <v>6442</v>
      </c>
      <c r="H518" s="221">
        <v>5731</v>
      </c>
      <c r="I518" s="233">
        <v>11080</v>
      </c>
      <c r="J518" s="232">
        <v>18233</v>
      </c>
      <c r="K518" s="88">
        <f t="shared" si="21"/>
        <v>41486</v>
      </c>
      <c r="L518" s="50"/>
      <c r="M518" s="233">
        <v>216</v>
      </c>
      <c r="N518" s="233">
        <v>0</v>
      </c>
      <c r="O518" s="232">
        <v>0</v>
      </c>
      <c r="P518" s="88">
        <f t="shared" si="22"/>
        <v>216</v>
      </c>
      <c r="Q518" s="50"/>
      <c r="R518" s="233">
        <v>11598</v>
      </c>
      <c r="S518" s="232">
        <v>7516</v>
      </c>
      <c r="T518" s="234">
        <v>19114</v>
      </c>
    </row>
    <row r="519" spans="1:20">
      <c r="A519" s="48">
        <v>95411</v>
      </c>
      <c r="B519" s="49" t="s">
        <v>1219</v>
      </c>
      <c r="C519" s="235">
        <v>2.1646E-3</v>
      </c>
      <c r="D519" s="235">
        <v>2.2173000000000002E-3</v>
      </c>
      <c r="E519" s="213">
        <v>5135171</v>
      </c>
      <c r="F519" s="213" t="s">
        <v>1930</v>
      </c>
      <c r="G519" s="233">
        <v>792235</v>
      </c>
      <c r="H519" s="221">
        <v>704906</v>
      </c>
      <c r="I519" s="233">
        <v>1362676</v>
      </c>
      <c r="J519" s="232">
        <v>8705</v>
      </c>
      <c r="K519" s="88">
        <f t="shared" si="21"/>
        <v>2868522</v>
      </c>
      <c r="L519" s="50"/>
      <c r="M519" s="233">
        <v>26583</v>
      </c>
      <c r="N519" s="233">
        <v>0</v>
      </c>
      <c r="O519" s="232">
        <v>37742</v>
      </c>
      <c r="P519" s="88">
        <f t="shared" si="22"/>
        <v>64325</v>
      </c>
      <c r="Q519" s="50"/>
      <c r="R519" s="233">
        <v>1426413</v>
      </c>
      <c r="S519" s="232">
        <v>-25353</v>
      </c>
      <c r="T519" s="234">
        <v>1401060</v>
      </c>
    </row>
    <row r="520" spans="1:20">
      <c r="A520" s="48">
        <v>95412</v>
      </c>
      <c r="B520" s="49" t="s">
        <v>1220</v>
      </c>
      <c r="C520" s="235">
        <v>0</v>
      </c>
      <c r="D520" s="235">
        <v>0</v>
      </c>
      <c r="E520" s="213">
        <v>0</v>
      </c>
      <c r="F520" s="213" t="s">
        <v>1930</v>
      </c>
      <c r="G520" s="233">
        <v>0</v>
      </c>
      <c r="H520" s="221">
        <v>0</v>
      </c>
      <c r="I520" s="233">
        <v>0</v>
      </c>
      <c r="J520" s="232">
        <v>0</v>
      </c>
      <c r="K520" s="88">
        <f t="shared" si="21"/>
        <v>0</v>
      </c>
      <c r="L520" s="50"/>
      <c r="M520" s="233">
        <v>0</v>
      </c>
      <c r="N520" s="233">
        <v>0</v>
      </c>
      <c r="O520" s="232">
        <v>9383</v>
      </c>
      <c r="P520" s="88">
        <f t="shared" si="22"/>
        <v>9383</v>
      </c>
      <c r="Q520" s="50"/>
      <c r="R520" s="233">
        <v>0</v>
      </c>
      <c r="S520" s="232">
        <v>-18447</v>
      </c>
      <c r="T520" s="234">
        <v>-18447</v>
      </c>
    </row>
    <row r="521" spans="1:20">
      <c r="A521" s="48">
        <v>95413</v>
      </c>
      <c r="B521" s="49" t="s">
        <v>2763</v>
      </c>
      <c r="C521" s="235">
        <v>2.6879999999999997E-4</v>
      </c>
      <c r="D521" s="235">
        <v>2.5809999999999999E-4</v>
      </c>
      <c r="E521" s="213">
        <v>637686</v>
      </c>
      <c r="F521" s="213" t="s">
        <v>1930</v>
      </c>
      <c r="G521" s="233">
        <v>98380</v>
      </c>
      <c r="H521" s="221">
        <v>87535</v>
      </c>
      <c r="I521" s="233">
        <v>169217</v>
      </c>
      <c r="J521" s="232">
        <v>167873</v>
      </c>
      <c r="K521" s="88">
        <f t="shared" si="21"/>
        <v>523005</v>
      </c>
      <c r="L521" s="50"/>
      <c r="M521" s="233">
        <v>3301</v>
      </c>
      <c r="N521" s="233">
        <v>0</v>
      </c>
      <c r="O521" s="232">
        <v>0</v>
      </c>
      <c r="P521" s="88">
        <f t="shared" si="22"/>
        <v>3301</v>
      </c>
      <c r="Q521" s="50"/>
      <c r="R521" s="233">
        <v>177132</v>
      </c>
      <c r="S521" s="232">
        <v>79192</v>
      </c>
      <c r="T521" s="234">
        <v>256324</v>
      </c>
    </row>
    <row r="522" spans="1:20">
      <c r="A522" s="48">
        <v>95415</v>
      </c>
      <c r="B522" s="49" t="s">
        <v>1222</v>
      </c>
      <c r="C522" s="235">
        <v>7.1099999999999994E-5</v>
      </c>
      <c r="D522" s="235">
        <v>6.2899999999999997E-5</v>
      </c>
      <c r="E522" s="213">
        <v>168674</v>
      </c>
      <c r="F522" s="213" t="s">
        <v>1930</v>
      </c>
      <c r="G522" s="233">
        <v>26022</v>
      </c>
      <c r="H522" s="221">
        <v>23154</v>
      </c>
      <c r="I522" s="233">
        <v>44759</v>
      </c>
      <c r="J522" s="232">
        <v>3142</v>
      </c>
      <c r="K522" s="88">
        <f t="shared" si="21"/>
        <v>97077</v>
      </c>
      <c r="L522" s="50"/>
      <c r="M522" s="233">
        <v>873</v>
      </c>
      <c r="N522" s="233">
        <v>0</v>
      </c>
      <c r="O522" s="232">
        <v>11354</v>
      </c>
      <c r="P522" s="88">
        <f t="shared" si="22"/>
        <v>12227</v>
      </c>
      <c r="Q522" s="50"/>
      <c r="R522" s="233">
        <v>46853</v>
      </c>
      <c r="S522" s="232">
        <v>567</v>
      </c>
      <c r="T522" s="234">
        <v>47420</v>
      </c>
    </row>
    <row r="523" spans="1:20">
      <c r="A523" s="48">
        <v>95421</v>
      </c>
      <c r="B523" s="49" t="s">
        <v>2320</v>
      </c>
      <c r="C523" s="235">
        <v>3.8300000000000003E-5</v>
      </c>
      <c r="D523" s="235">
        <v>3.8699999999999999E-5</v>
      </c>
      <c r="E523" s="213">
        <v>90861</v>
      </c>
      <c r="F523" s="213" t="s">
        <v>1930</v>
      </c>
      <c r="G523" s="233">
        <v>14018</v>
      </c>
      <c r="H523" s="221">
        <v>12473</v>
      </c>
      <c r="I523" s="233">
        <v>24111</v>
      </c>
      <c r="J523" s="232">
        <v>560</v>
      </c>
      <c r="K523" s="88">
        <f t="shared" si="21"/>
        <v>51162</v>
      </c>
      <c r="L523" s="50"/>
      <c r="M523" s="233">
        <v>470</v>
      </c>
      <c r="N523" s="233">
        <v>0</v>
      </c>
      <c r="O523" s="232">
        <v>4403</v>
      </c>
      <c r="P523" s="88">
        <f t="shared" si="22"/>
        <v>4873</v>
      </c>
      <c r="Q523" s="50"/>
      <c r="R523" s="233">
        <v>25239</v>
      </c>
      <c r="S523" s="232">
        <v>-4796</v>
      </c>
      <c r="T523" s="234">
        <v>20443</v>
      </c>
    </row>
    <row r="524" spans="1:20">
      <c r="A524" s="48">
        <v>95431</v>
      </c>
      <c r="B524" s="49" t="s">
        <v>2321</v>
      </c>
      <c r="C524" s="235">
        <v>1.4630000000000001E-4</v>
      </c>
      <c r="D524" s="235">
        <v>1.5300000000000001E-4</v>
      </c>
      <c r="E524" s="213">
        <v>347074</v>
      </c>
      <c r="F524" s="213" t="s">
        <v>1930</v>
      </c>
      <c r="G524" s="233">
        <v>53545</v>
      </c>
      <c r="H524" s="221">
        <v>47643</v>
      </c>
      <c r="I524" s="233">
        <v>92100</v>
      </c>
      <c r="J524" s="232">
        <v>0</v>
      </c>
      <c r="K524" s="88">
        <f t="shared" si="21"/>
        <v>193288</v>
      </c>
      <c r="L524" s="50"/>
      <c r="M524" s="233">
        <v>1797</v>
      </c>
      <c r="N524" s="233">
        <v>0</v>
      </c>
      <c r="O524" s="232">
        <v>33027</v>
      </c>
      <c r="P524" s="88">
        <f t="shared" si="22"/>
        <v>34824</v>
      </c>
      <c r="Q524" s="50"/>
      <c r="R524" s="233">
        <v>96408</v>
      </c>
      <c r="S524" s="232">
        <v>-12213</v>
      </c>
      <c r="T524" s="234">
        <v>84195</v>
      </c>
    </row>
    <row r="525" spans="1:20">
      <c r="A525" s="48">
        <v>95501</v>
      </c>
      <c r="B525" s="49" t="s">
        <v>1225</v>
      </c>
      <c r="C525" s="235">
        <v>4.8900999999999997E-3</v>
      </c>
      <c r="D525" s="235">
        <v>4.8764999999999998E-3</v>
      </c>
      <c r="E525" s="213">
        <v>11600990</v>
      </c>
      <c r="F525" s="213" t="s">
        <v>1930</v>
      </c>
      <c r="G525" s="233">
        <v>1789757</v>
      </c>
      <c r="H525" s="221">
        <v>1592471</v>
      </c>
      <c r="I525" s="233">
        <v>3078455</v>
      </c>
      <c r="J525" s="232">
        <v>0</v>
      </c>
      <c r="K525" s="88">
        <f t="shared" si="21"/>
        <v>6460683</v>
      </c>
      <c r="L525" s="50"/>
      <c r="M525" s="233">
        <v>60055</v>
      </c>
      <c r="N525" s="233">
        <v>0</v>
      </c>
      <c r="O525" s="232">
        <v>141278</v>
      </c>
      <c r="P525" s="88">
        <f t="shared" si="22"/>
        <v>201333</v>
      </c>
      <c r="Q525" s="50"/>
      <c r="R525" s="233">
        <v>3222444</v>
      </c>
      <c r="S525" s="232">
        <v>-23300</v>
      </c>
      <c r="T525" s="234">
        <v>3199144</v>
      </c>
    </row>
    <row r="526" spans="1:20">
      <c r="A526" s="48">
        <v>95504</v>
      </c>
      <c r="B526" s="49" t="s">
        <v>1226</v>
      </c>
      <c r="C526" s="235">
        <v>8.8000000000000004E-6</v>
      </c>
      <c r="D526" s="235">
        <v>9.3999999999999998E-6</v>
      </c>
      <c r="E526" s="213">
        <v>20877</v>
      </c>
      <c r="F526" s="213" t="s">
        <v>1930</v>
      </c>
      <c r="G526" s="233">
        <v>3221</v>
      </c>
      <c r="H526" s="221">
        <v>2866</v>
      </c>
      <c r="I526" s="233">
        <v>5540</v>
      </c>
      <c r="J526" s="232">
        <v>9317</v>
      </c>
      <c r="K526" s="88">
        <f t="shared" si="21"/>
        <v>20944</v>
      </c>
      <c r="L526" s="50"/>
      <c r="M526" s="233">
        <v>108</v>
      </c>
      <c r="N526" s="233">
        <v>0</v>
      </c>
      <c r="O526" s="232">
        <v>0</v>
      </c>
      <c r="P526" s="88">
        <f t="shared" si="22"/>
        <v>108</v>
      </c>
      <c r="Q526" s="50"/>
      <c r="R526" s="233">
        <v>5799</v>
      </c>
      <c r="S526" s="232">
        <v>4040</v>
      </c>
      <c r="T526" s="234">
        <v>9839</v>
      </c>
    </row>
    <row r="527" spans="1:20">
      <c r="A527" s="48">
        <v>95511</v>
      </c>
      <c r="B527" s="49" t="s">
        <v>1227</v>
      </c>
      <c r="C527" s="235">
        <v>9.5339999999999997E-4</v>
      </c>
      <c r="D527" s="235">
        <v>9.7460000000000005E-4</v>
      </c>
      <c r="E527" s="213">
        <v>2261791</v>
      </c>
      <c r="F527" s="213" t="s">
        <v>1930</v>
      </c>
      <c r="G527" s="233">
        <v>348941</v>
      </c>
      <c r="H527" s="221">
        <v>310477</v>
      </c>
      <c r="I527" s="233">
        <v>600192</v>
      </c>
      <c r="J527" s="232">
        <v>48211</v>
      </c>
      <c r="K527" s="88">
        <f t="shared" si="21"/>
        <v>1307821</v>
      </c>
      <c r="L527" s="50"/>
      <c r="M527" s="233">
        <v>11709</v>
      </c>
      <c r="N527" s="233">
        <v>0</v>
      </c>
      <c r="O527" s="232">
        <v>32399</v>
      </c>
      <c r="P527" s="88">
        <f t="shared" si="22"/>
        <v>44108</v>
      </c>
      <c r="Q527" s="50"/>
      <c r="R527" s="233">
        <v>628265</v>
      </c>
      <c r="S527" s="232">
        <v>103</v>
      </c>
      <c r="T527" s="234">
        <v>628368</v>
      </c>
    </row>
    <row r="528" spans="1:20">
      <c r="A528" s="48">
        <v>95513</v>
      </c>
      <c r="B528" s="49" t="s">
        <v>1228</v>
      </c>
      <c r="C528" s="235">
        <v>4.5399999999999999E-5</v>
      </c>
      <c r="D528" s="235">
        <v>4.6699999999999997E-5</v>
      </c>
      <c r="E528" s="213">
        <v>107704</v>
      </c>
      <c r="F528" s="213" t="s">
        <v>1930</v>
      </c>
      <c r="G528" s="233">
        <v>16616</v>
      </c>
      <c r="H528" s="221">
        <v>14785</v>
      </c>
      <c r="I528" s="233">
        <v>28581</v>
      </c>
      <c r="J528" s="232">
        <v>21477</v>
      </c>
      <c r="K528" s="88">
        <f t="shared" si="21"/>
        <v>81459</v>
      </c>
      <c r="L528" s="50"/>
      <c r="M528" s="233">
        <v>558</v>
      </c>
      <c r="N528" s="233">
        <v>0</v>
      </c>
      <c r="O528" s="232">
        <v>0</v>
      </c>
      <c r="P528" s="88">
        <f t="shared" si="22"/>
        <v>558</v>
      </c>
      <c r="Q528" s="50"/>
      <c r="R528" s="233">
        <v>29917</v>
      </c>
      <c r="S528" s="232">
        <v>11276</v>
      </c>
      <c r="T528" s="234">
        <v>41193</v>
      </c>
    </row>
    <row r="529" spans="1:20">
      <c r="A529" s="48">
        <v>95517</v>
      </c>
      <c r="B529" s="49" t="s">
        <v>2322</v>
      </c>
      <c r="C529" s="235">
        <v>1.88E-5</v>
      </c>
      <c r="D529" s="235">
        <v>2.4499999999999999E-5</v>
      </c>
      <c r="E529" s="213">
        <v>44600</v>
      </c>
      <c r="F529" s="213" t="s">
        <v>1930</v>
      </c>
      <c r="G529" s="233">
        <v>6881</v>
      </c>
      <c r="H529" s="221">
        <v>6122</v>
      </c>
      <c r="I529" s="233">
        <v>11835</v>
      </c>
      <c r="J529" s="232">
        <v>11454</v>
      </c>
      <c r="K529" s="88">
        <f t="shared" si="21"/>
        <v>36292</v>
      </c>
      <c r="L529" s="50"/>
      <c r="M529" s="233">
        <v>231</v>
      </c>
      <c r="N529" s="233">
        <v>0</v>
      </c>
      <c r="O529" s="232">
        <v>2556</v>
      </c>
      <c r="P529" s="88">
        <f t="shared" si="22"/>
        <v>2787</v>
      </c>
      <c r="Q529" s="50"/>
      <c r="R529" s="233">
        <v>12389</v>
      </c>
      <c r="S529" s="232">
        <v>5895</v>
      </c>
      <c r="T529" s="234">
        <v>18284</v>
      </c>
    </row>
    <row r="530" spans="1:20">
      <c r="A530" s="48">
        <v>95601</v>
      </c>
      <c r="B530" s="49" t="s">
        <v>1230</v>
      </c>
      <c r="C530" s="235">
        <v>2.6251999999999998E-3</v>
      </c>
      <c r="D530" s="235">
        <v>2.6280000000000001E-3</v>
      </c>
      <c r="E530" s="213">
        <v>6227872</v>
      </c>
      <c r="F530" s="213" t="s">
        <v>1930</v>
      </c>
      <c r="G530" s="233">
        <v>960813</v>
      </c>
      <c r="H530" s="221">
        <v>854902</v>
      </c>
      <c r="I530" s="233">
        <v>1652637</v>
      </c>
      <c r="J530" s="232">
        <v>33391</v>
      </c>
      <c r="K530" s="88">
        <f t="shared" si="21"/>
        <v>3501743</v>
      </c>
      <c r="L530" s="50"/>
      <c r="M530" s="233">
        <v>32240</v>
      </c>
      <c r="N530" s="233">
        <v>0</v>
      </c>
      <c r="O530" s="232">
        <v>33658</v>
      </c>
      <c r="P530" s="88">
        <f t="shared" si="22"/>
        <v>65898</v>
      </c>
      <c r="Q530" s="50"/>
      <c r="R530" s="233">
        <v>1729936</v>
      </c>
      <c r="S530" s="232">
        <v>42593</v>
      </c>
      <c r="T530" s="234">
        <v>1772529</v>
      </c>
    </row>
    <row r="531" spans="1:20">
      <c r="A531" s="48">
        <v>95611</v>
      </c>
      <c r="B531" s="49" t="s">
        <v>2323</v>
      </c>
      <c r="C531" s="235">
        <v>3.8440000000000002E-4</v>
      </c>
      <c r="D531" s="235">
        <v>4.0660000000000002E-4</v>
      </c>
      <c r="E531" s="213">
        <v>911928</v>
      </c>
      <c r="F531" s="213" t="s">
        <v>1930</v>
      </c>
      <c r="G531" s="233">
        <v>140689</v>
      </c>
      <c r="H531" s="221">
        <v>125180</v>
      </c>
      <c r="I531" s="233">
        <v>241991</v>
      </c>
      <c r="J531" s="232">
        <v>5465</v>
      </c>
      <c r="K531" s="88">
        <f t="shared" ref="K531:K594" si="23">G531+H531+I531+J531</f>
        <v>513325</v>
      </c>
      <c r="L531" s="50"/>
      <c r="M531" s="233">
        <v>4721</v>
      </c>
      <c r="N531" s="233">
        <v>0</v>
      </c>
      <c r="O531" s="232">
        <v>4327</v>
      </c>
      <c r="P531" s="88">
        <f t="shared" ref="P531:P594" si="24">M531+N531+O531</f>
        <v>9048</v>
      </c>
      <c r="Q531" s="50"/>
      <c r="R531" s="233">
        <v>253309</v>
      </c>
      <c r="S531" s="232">
        <v>529</v>
      </c>
      <c r="T531" s="234">
        <v>253838</v>
      </c>
    </row>
    <row r="532" spans="1:20">
      <c r="A532" s="48">
        <v>95617</v>
      </c>
      <c r="B532" s="49" t="s">
        <v>1232</v>
      </c>
      <c r="C532" s="235">
        <v>1.59E-5</v>
      </c>
      <c r="D532" s="235">
        <v>1.6399999999999999E-5</v>
      </c>
      <c r="E532" s="213">
        <v>37720</v>
      </c>
      <c r="F532" s="213" t="s">
        <v>1930</v>
      </c>
      <c r="G532" s="233">
        <v>5819</v>
      </c>
      <c r="H532" s="221">
        <v>5178</v>
      </c>
      <c r="I532" s="233">
        <v>10009</v>
      </c>
      <c r="J532" s="232">
        <v>916</v>
      </c>
      <c r="K532" s="88">
        <f t="shared" si="23"/>
        <v>21922</v>
      </c>
      <c r="L532" s="50"/>
      <c r="M532" s="233">
        <v>195</v>
      </c>
      <c r="N532" s="233">
        <v>0</v>
      </c>
      <c r="O532" s="232">
        <v>417</v>
      </c>
      <c r="P532" s="88">
        <f t="shared" si="24"/>
        <v>612</v>
      </c>
      <c r="Q532" s="50"/>
      <c r="R532" s="233">
        <v>10478</v>
      </c>
      <c r="S532" s="232">
        <v>-554</v>
      </c>
      <c r="T532" s="234">
        <v>9924</v>
      </c>
    </row>
    <row r="533" spans="1:20">
      <c r="A533" s="48">
        <v>95621</v>
      </c>
      <c r="B533" s="49" t="s">
        <v>2324</v>
      </c>
      <c r="C533" s="235">
        <v>4.9019999999999999E-4</v>
      </c>
      <c r="D533" s="235">
        <v>4.5360000000000002E-4</v>
      </c>
      <c r="E533" s="213">
        <v>1162922</v>
      </c>
      <c r="F533" s="213" t="s">
        <v>1930</v>
      </c>
      <c r="G533" s="233">
        <v>179411</v>
      </c>
      <c r="H533" s="221">
        <v>159635</v>
      </c>
      <c r="I533" s="233">
        <v>308595</v>
      </c>
      <c r="J533" s="232">
        <v>42371</v>
      </c>
      <c r="K533" s="88">
        <f t="shared" si="23"/>
        <v>690012</v>
      </c>
      <c r="L533" s="50"/>
      <c r="M533" s="233">
        <v>6020</v>
      </c>
      <c r="N533" s="233">
        <v>0</v>
      </c>
      <c r="O533" s="232">
        <v>2706</v>
      </c>
      <c r="P533" s="88">
        <f t="shared" si="24"/>
        <v>8726</v>
      </c>
      <c r="Q533" s="50"/>
      <c r="R533" s="233">
        <v>323029</v>
      </c>
      <c r="S533" s="232">
        <v>12042</v>
      </c>
      <c r="T533" s="234">
        <v>335071</v>
      </c>
    </row>
    <row r="534" spans="1:20">
      <c r="A534" s="48">
        <v>95701</v>
      </c>
      <c r="B534" s="49" t="s">
        <v>1234</v>
      </c>
      <c r="C534" s="235">
        <v>1.3044E-3</v>
      </c>
      <c r="D534" s="235">
        <v>1.3747E-3</v>
      </c>
      <c r="E534" s="213">
        <v>3094483</v>
      </c>
      <c r="F534" s="213" t="s">
        <v>1930</v>
      </c>
      <c r="G534" s="233">
        <v>477405</v>
      </c>
      <c r="H534" s="221">
        <v>424780</v>
      </c>
      <c r="I534" s="233">
        <v>821156</v>
      </c>
      <c r="J534" s="232">
        <v>34377</v>
      </c>
      <c r="K534" s="88">
        <f t="shared" si="23"/>
        <v>1757718</v>
      </c>
      <c r="L534" s="50"/>
      <c r="M534" s="233">
        <v>16019</v>
      </c>
      <c r="N534" s="233">
        <v>0</v>
      </c>
      <c r="O534" s="232">
        <v>77258</v>
      </c>
      <c r="P534" s="88">
        <f t="shared" si="24"/>
        <v>93277</v>
      </c>
      <c r="Q534" s="50"/>
      <c r="R534" s="233">
        <v>859564</v>
      </c>
      <c r="S534" s="232">
        <v>9205</v>
      </c>
      <c r="T534" s="234">
        <v>868769</v>
      </c>
    </row>
    <row r="535" spans="1:20">
      <c r="A535" s="48">
        <v>95711</v>
      </c>
      <c r="B535" s="49" t="s">
        <v>2325</v>
      </c>
      <c r="C535" s="235">
        <v>1.4349999999999999E-4</v>
      </c>
      <c r="D535" s="235">
        <v>1.394E-4</v>
      </c>
      <c r="E535" s="213">
        <v>340431</v>
      </c>
      <c r="F535" s="213" t="s">
        <v>1930</v>
      </c>
      <c r="G535" s="233">
        <v>52520</v>
      </c>
      <c r="H535" s="221">
        <v>46731</v>
      </c>
      <c r="I535" s="233">
        <v>90337</v>
      </c>
      <c r="J535" s="232">
        <v>2879</v>
      </c>
      <c r="K535" s="88">
        <f t="shared" si="23"/>
        <v>192467</v>
      </c>
      <c r="L535" s="50"/>
      <c r="M535" s="233">
        <v>1762</v>
      </c>
      <c r="N535" s="233">
        <v>0</v>
      </c>
      <c r="O535" s="232">
        <v>9110</v>
      </c>
      <c r="P535" s="88">
        <f t="shared" si="24"/>
        <v>10872</v>
      </c>
      <c r="Q535" s="50"/>
      <c r="R535" s="233">
        <v>94563</v>
      </c>
      <c r="S535" s="232">
        <v>468</v>
      </c>
      <c r="T535" s="234">
        <v>95031</v>
      </c>
    </row>
    <row r="536" spans="1:20">
      <c r="A536" s="48">
        <v>95721</v>
      </c>
      <c r="B536" s="49" t="s">
        <v>2326</v>
      </c>
      <c r="C536" s="235">
        <v>6.7799999999999995E-5</v>
      </c>
      <c r="D536" s="235">
        <v>6.7600000000000003E-5</v>
      </c>
      <c r="E536" s="213">
        <v>160845</v>
      </c>
      <c r="F536" s="213" t="s">
        <v>1930</v>
      </c>
      <c r="G536" s="233">
        <v>24815</v>
      </c>
      <c r="H536" s="221">
        <v>22080</v>
      </c>
      <c r="I536" s="233">
        <v>42682</v>
      </c>
      <c r="J536" s="232">
        <v>0</v>
      </c>
      <c r="K536" s="88">
        <f t="shared" si="23"/>
        <v>89577</v>
      </c>
      <c r="L536" s="50"/>
      <c r="M536" s="233">
        <v>833</v>
      </c>
      <c r="N536" s="233">
        <v>0</v>
      </c>
      <c r="O536" s="232">
        <v>6588</v>
      </c>
      <c r="P536" s="88">
        <f t="shared" si="24"/>
        <v>7421</v>
      </c>
      <c r="Q536" s="50"/>
      <c r="R536" s="233">
        <v>44678</v>
      </c>
      <c r="S536" s="232">
        <v>-4986</v>
      </c>
      <c r="T536" s="234">
        <v>39692</v>
      </c>
    </row>
    <row r="537" spans="1:20">
      <c r="A537" s="48">
        <v>95733</v>
      </c>
      <c r="B537" s="49" t="s">
        <v>1237</v>
      </c>
      <c r="C537" s="235">
        <v>1.5500000000000001E-5</v>
      </c>
      <c r="D537" s="235">
        <v>1.5400000000000002E-5</v>
      </c>
      <c r="E537" s="213">
        <v>36771</v>
      </c>
      <c r="F537" s="213" t="s">
        <v>1930</v>
      </c>
      <c r="G537" s="233">
        <v>5673</v>
      </c>
      <c r="H537" s="221">
        <v>5047</v>
      </c>
      <c r="I537" s="233">
        <v>9758</v>
      </c>
      <c r="J537" s="232">
        <v>293</v>
      </c>
      <c r="K537" s="88">
        <f t="shared" si="23"/>
        <v>20771</v>
      </c>
      <c r="L537" s="50"/>
      <c r="M537" s="233">
        <v>190</v>
      </c>
      <c r="N537" s="233">
        <v>0</v>
      </c>
      <c r="O537" s="232">
        <v>329</v>
      </c>
      <c r="P537" s="88">
        <f t="shared" si="24"/>
        <v>519</v>
      </c>
      <c r="Q537" s="50"/>
      <c r="R537" s="233">
        <v>10214</v>
      </c>
      <c r="S537" s="232">
        <v>222</v>
      </c>
      <c r="T537" s="234">
        <v>10436</v>
      </c>
    </row>
    <row r="538" spans="1:20">
      <c r="A538" s="48">
        <v>95801</v>
      </c>
      <c r="B538" s="49" t="s">
        <v>1238</v>
      </c>
      <c r="C538" s="235">
        <v>9.7999999999999997E-4</v>
      </c>
      <c r="D538" s="235">
        <v>9.6310000000000005E-4</v>
      </c>
      <c r="E538" s="213">
        <v>2324895</v>
      </c>
      <c r="F538" s="213" t="s">
        <v>1930</v>
      </c>
      <c r="G538" s="233">
        <v>358676</v>
      </c>
      <c r="H538" s="221">
        <v>319139</v>
      </c>
      <c r="I538" s="233">
        <v>616937</v>
      </c>
      <c r="J538" s="232">
        <v>66360</v>
      </c>
      <c r="K538" s="88">
        <f t="shared" si="23"/>
        <v>1361112</v>
      </c>
      <c r="L538" s="50"/>
      <c r="M538" s="233">
        <v>12035</v>
      </c>
      <c r="N538" s="233">
        <v>0</v>
      </c>
      <c r="O538" s="232">
        <v>165</v>
      </c>
      <c r="P538" s="88">
        <f t="shared" si="24"/>
        <v>12200</v>
      </c>
      <c r="Q538" s="50"/>
      <c r="R538" s="233">
        <v>645794</v>
      </c>
      <c r="S538" s="232">
        <v>20070</v>
      </c>
      <c r="T538" s="234">
        <v>665864</v>
      </c>
    </row>
    <row r="539" spans="1:20">
      <c r="A539" s="48">
        <v>95802</v>
      </c>
      <c r="B539" s="49" t="s">
        <v>2764</v>
      </c>
      <c r="C539" s="235">
        <v>5.4E-6</v>
      </c>
      <c r="D539" s="235">
        <v>6.1E-6</v>
      </c>
      <c r="E539" s="213">
        <v>12811</v>
      </c>
      <c r="F539" s="213" t="s">
        <v>1930</v>
      </c>
      <c r="G539" s="233">
        <v>1976</v>
      </c>
      <c r="H539" s="221">
        <v>1759</v>
      </c>
      <c r="I539" s="233">
        <v>3399</v>
      </c>
      <c r="J539" s="232">
        <v>4124</v>
      </c>
      <c r="K539" s="88">
        <f t="shared" si="23"/>
        <v>11258</v>
      </c>
      <c r="L539" s="50"/>
      <c r="M539" s="233">
        <v>66</v>
      </c>
      <c r="N539" s="233">
        <v>0</v>
      </c>
      <c r="O539" s="232">
        <v>0</v>
      </c>
      <c r="P539" s="88">
        <f t="shared" si="24"/>
        <v>66</v>
      </c>
      <c r="Q539" s="50"/>
      <c r="R539" s="233">
        <v>3558</v>
      </c>
      <c r="S539" s="232">
        <v>434</v>
      </c>
      <c r="T539" s="234">
        <v>3992</v>
      </c>
    </row>
    <row r="540" spans="1:20">
      <c r="A540" s="48">
        <v>95804</v>
      </c>
      <c r="B540" s="49" t="s">
        <v>1240</v>
      </c>
      <c r="C540" s="235">
        <v>2.1699999999999999E-5</v>
      </c>
      <c r="D540" s="235">
        <v>2.19E-5</v>
      </c>
      <c r="E540" s="214">
        <v>51480</v>
      </c>
      <c r="F540" s="214" t="s">
        <v>1930</v>
      </c>
      <c r="G540" s="233">
        <v>7942</v>
      </c>
      <c r="H540" s="221">
        <v>7067</v>
      </c>
      <c r="I540" s="233">
        <v>13661</v>
      </c>
      <c r="J540" s="232">
        <v>2008</v>
      </c>
      <c r="K540" s="88">
        <f t="shared" si="23"/>
        <v>30678</v>
      </c>
      <c r="L540" s="50"/>
      <c r="M540" s="233">
        <v>266</v>
      </c>
      <c r="N540" s="233">
        <v>0</v>
      </c>
      <c r="O540" s="232">
        <v>2353</v>
      </c>
      <c r="P540" s="88">
        <f t="shared" si="24"/>
        <v>2619</v>
      </c>
      <c r="Q540" s="50"/>
      <c r="R540" s="233">
        <v>14300</v>
      </c>
      <c r="S540" s="232">
        <v>1035</v>
      </c>
      <c r="T540" s="234">
        <v>15335</v>
      </c>
    </row>
    <row r="541" spans="1:20">
      <c r="A541" s="48">
        <v>95811</v>
      </c>
      <c r="B541" s="49" t="s">
        <v>2327</v>
      </c>
      <c r="C541" s="235">
        <v>5.2729999999999997E-4</v>
      </c>
      <c r="D541" s="235">
        <v>5.3129999999999996E-4</v>
      </c>
      <c r="E541" s="214">
        <v>1250936</v>
      </c>
      <c r="F541" s="214" t="s">
        <v>1930</v>
      </c>
      <c r="G541" s="233">
        <v>192990</v>
      </c>
      <c r="H541" s="221">
        <v>171716</v>
      </c>
      <c r="I541" s="233">
        <v>331950</v>
      </c>
      <c r="J541" s="232">
        <v>1612</v>
      </c>
      <c r="K541" s="88">
        <f t="shared" si="23"/>
        <v>698268</v>
      </c>
      <c r="L541" s="50"/>
      <c r="M541" s="233">
        <v>6476</v>
      </c>
      <c r="N541" s="233">
        <v>0</v>
      </c>
      <c r="O541" s="232">
        <v>2962</v>
      </c>
      <c r="P541" s="88">
        <f t="shared" si="24"/>
        <v>9438</v>
      </c>
      <c r="Q541" s="50"/>
      <c r="R541" s="233">
        <v>347476</v>
      </c>
      <c r="S541" s="232">
        <v>-1308</v>
      </c>
      <c r="T541" s="234">
        <v>346168</v>
      </c>
    </row>
    <row r="542" spans="1:20">
      <c r="A542" s="48">
        <v>95813</v>
      </c>
      <c r="B542" s="49" t="s">
        <v>1242</v>
      </c>
      <c r="C542" s="235">
        <v>5.0699999999999999E-5</v>
      </c>
      <c r="D542" s="235">
        <v>4.88E-5</v>
      </c>
      <c r="E542" s="214">
        <v>120278</v>
      </c>
      <c r="F542" s="214" t="s">
        <v>1930</v>
      </c>
      <c r="G542" s="233">
        <v>18556</v>
      </c>
      <c r="H542" s="221">
        <v>16511</v>
      </c>
      <c r="I542" s="233">
        <v>31917</v>
      </c>
      <c r="J542" s="232">
        <v>86198</v>
      </c>
      <c r="K542" s="88">
        <f t="shared" si="23"/>
        <v>153182</v>
      </c>
      <c r="L542" s="50"/>
      <c r="M542" s="233">
        <v>623</v>
      </c>
      <c r="N542" s="233">
        <v>0</v>
      </c>
      <c r="O542" s="232">
        <v>0</v>
      </c>
      <c r="P542" s="88">
        <f t="shared" si="24"/>
        <v>623</v>
      </c>
      <c r="Q542" s="50"/>
      <c r="R542" s="233">
        <v>33410</v>
      </c>
      <c r="S542" s="232">
        <v>34117</v>
      </c>
      <c r="T542" s="234">
        <v>67527</v>
      </c>
    </row>
    <row r="543" spans="1:20">
      <c r="A543" s="48">
        <v>95821</v>
      </c>
      <c r="B543" s="49" t="s">
        <v>2328</v>
      </c>
      <c r="C543" s="235">
        <v>0</v>
      </c>
      <c r="D543" s="235">
        <v>0</v>
      </c>
      <c r="E543" s="214">
        <v>0</v>
      </c>
      <c r="F543" s="214" t="s">
        <v>1930</v>
      </c>
      <c r="G543" s="233">
        <v>0</v>
      </c>
      <c r="H543" s="221">
        <v>0</v>
      </c>
      <c r="I543" s="233">
        <v>0</v>
      </c>
      <c r="J543" s="232">
        <v>2281</v>
      </c>
      <c r="K543" s="88">
        <f t="shared" si="23"/>
        <v>2281</v>
      </c>
      <c r="L543" s="50"/>
      <c r="M543" s="233">
        <v>0</v>
      </c>
      <c r="N543" s="233">
        <v>0</v>
      </c>
      <c r="O543" s="232">
        <v>489</v>
      </c>
      <c r="P543" s="88">
        <f t="shared" si="24"/>
        <v>489</v>
      </c>
      <c r="Q543" s="50"/>
      <c r="R543" s="233">
        <v>0</v>
      </c>
      <c r="S543" s="232">
        <v>861</v>
      </c>
      <c r="T543" s="234">
        <v>861</v>
      </c>
    </row>
    <row r="544" spans="1:20">
      <c r="A544" s="48">
        <v>95831</v>
      </c>
      <c r="B544" s="49" t="s">
        <v>2329</v>
      </c>
      <c r="C544" s="235">
        <v>1.8E-5</v>
      </c>
      <c r="D544" s="235">
        <v>1.6799999999999998E-5</v>
      </c>
      <c r="E544" s="214">
        <v>42702</v>
      </c>
      <c r="F544" s="214" t="s">
        <v>1930</v>
      </c>
      <c r="G544" s="233">
        <v>6588</v>
      </c>
      <c r="H544" s="221">
        <v>5862</v>
      </c>
      <c r="I544" s="233">
        <v>11332</v>
      </c>
      <c r="J544" s="232">
        <v>26223</v>
      </c>
      <c r="K544" s="88">
        <f t="shared" si="23"/>
        <v>50005</v>
      </c>
      <c r="L544" s="50"/>
      <c r="M544" s="233">
        <v>221</v>
      </c>
      <c r="N544" s="233">
        <v>0</v>
      </c>
      <c r="O544" s="232">
        <v>0</v>
      </c>
      <c r="P544" s="88">
        <f t="shared" si="24"/>
        <v>221</v>
      </c>
      <c r="Q544" s="50"/>
      <c r="R544" s="233">
        <v>11862</v>
      </c>
      <c r="S544" s="232">
        <v>10648</v>
      </c>
      <c r="T544" s="234">
        <v>22510</v>
      </c>
    </row>
    <row r="545" spans="1:20">
      <c r="A545" s="48">
        <v>95841</v>
      </c>
      <c r="B545" s="49" t="s">
        <v>2330</v>
      </c>
      <c r="C545" s="235">
        <v>2.0000000000000002E-5</v>
      </c>
      <c r="D545" s="235">
        <v>2.0999999999999999E-5</v>
      </c>
      <c r="E545" s="214">
        <v>47447</v>
      </c>
      <c r="F545" s="214" t="s">
        <v>1930</v>
      </c>
      <c r="G545" s="233">
        <v>7320</v>
      </c>
      <c r="H545" s="221">
        <v>6513</v>
      </c>
      <c r="I545" s="233">
        <v>12591</v>
      </c>
      <c r="J545" s="232">
        <v>3014</v>
      </c>
      <c r="K545" s="88">
        <f t="shared" si="23"/>
        <v>29438</v>
      </c>
      <c r="L545" s="50"/>
      <c r="M545" s="233">
        <v>246</v>
      </c>
      <c r="N545" s="233">
        <v>0</v>
      </c>
      <c r="O545" s="232">
        <v>0</v>
      </c>
      <c r="P545" s="88">
        <f t="shared" si="24"/>
        <v>246</v>
      </c>
      <c r="Q545" s="50"/>
      <c r="R545" s="233">
        <v>13179</v>
      </c>
      <c r="S545" s="232">
        <v>1248</v>
      </c>
      <c r="T545" s="234">
        <v>14427</v>
      </c>
    </row>
    <row r="546" spans="1:20">
      <c r="A546" s="48">
        <v>95851</v>
      </c>
      <c r="B546" s="49" t="s">
        <v>2331</v>
      </c>
      <c r="C546" s="235">
        <v>1.403E-4</v>
      </c>
      <c r="D546" s="235">
        <v>1.327E-4</v>
      </c>
      <c r="E546" s="214">
        <v>332840</v>
      </c>
      <c r="F546" s="214" t="s">
        <v>1930</v>
      </c>
      <c r="G546" s="233">
        <v>51349</v>
      </c>
      <c r="H546" s="221">
        <v>45689</v>
      </c>
      <c r="I546" s="233">
        <v>88323</v>
      </c>
      <c r="J546" s="232">
        <v>151488</v>
      </c>
      <c r="K546" s="88">
        <f t="shared" si="23"/>
        <v>336849</v>
      </c>
      <c r="L546" s="50"/>
      <c r="M546" s="233">
        <v>1723</v>
      </c>
      <c r="N546" s="233">
        <v>0</v>
      </c>
      <c r="O546" s="232">
        <v>0</v>
      </c>
      <c r="P546" s="88">
        <f t="shared" si="24"/>
        <v>1723</v>
      </c>
      <c r="Q546" s="50"/>
      <c r="R546" s="233">
        <v>92454</v>
      </c>
      <c r="S546" s="232">
        <v>56099</v>
      </c>
      <c r="T546" s="234">
        <v>148553</v>
      </c>
    </row>
    <row r="547" spans="1:20">
      <c r="A547" s="48">
        <v>95853</v>
      </c>
      <c r="B547" s="49" t="s">
        <v>1247</v>
      </c>
      <c r="C547" s="235">
        <v>3.1300000000000002E-5</v>
      </c>
      <c r="D547" s="235">
        <v>2.69E-5</v>
      </c>
      <c r="E547" s="214">
        <v>74254</v>
      </c>
      <c r="F547" s="214" t="s">
        <v>1930</v>
      </c>
      <c r="G547" s="233">
        <v>11456</v>
      </c>
      <c r="H547" s="221">
        <v>10193</v>
      </c>
      <c r="I547" s="233">
        <v>19704</v>
      </c>
      <c r="J547" s="232">
        <v>8786</v>
      </c>
      <c r="K547" s="88">
        <f t="shared" si="23"/>
        <v>50139</v>
      </c>
      <c r="L547" s="50"/>
      <c r="M547" s="233">
        <v>384</v>
      </c>
      <c r="N547" s="233">
        <v>0</v>
      </c>
      <c r="O547" s="232">
        <v>0</v>
      </c>
      <c r="P547" s="88">
        <f t="shared" si="24"/>
        <v>384</v>
      </c>
      <c r="Q547" s="50"/>
      <c r="R547" s="233">
        <v>20626</v>
      </c>
      <c r="S547" s="232">
        <v>4580</v>
      </c>
      <c r="T547" s="234">
        <v>25206</v>
      </c>
    </row>
    <row r="548" spans="1:20">
      <c r="A548" s="48">
        <v>95901</v>
      </c>
      <c r="B548" s="49" t="s">
        <v>1248</v>
      </c>
      <c r="C548" s="235">
        <v>1.9158000000000001E-3</v>
      </c>
      <c r="D548" s="235">
        <v>1.8714999999999999E-3</v>
      </c>
      <c r="E548" s="214">
        <v>4544933</v>
      </c>
      <c r="F548" s="214" t="s">
        <v>1930</v>
      </c>
      <c r="G548" s="233">
        <v>701175</v>
      </c>
      <c r="H548" s="221">
        <v>623884</v>
      </c>
      <c r="I548" s="233">
        <v>1206050</v>
      </c>
      <c r="J548" s="232">
        <v>4319</v>
      </c>
      <c r="K548" s="88">
        <f t="shared" si="23"/>
        <v>2535428</v>
      </c>
      <c r="L548" s="50"/>
      <c r="M548" s="233">
        <v>23528</v>
      </c>
      <c r="N548" s="233">
        <v>0</v>
      </c>
      <c r="O548" s="232">
        <v>11578</v>
      </c>
      <c r="P548" s="88">
        <f t="shared" si="24"/>
        <v>35106</v>
      </c>
      <c r="Q548" s="50"/>
      <c r="R548" s="233">
        <v>1262460</v>
      </c>
      <c r="S548" s="232">
        <v>27562</v>
      </c>
      <c r="T548" s="234">
        <v>1290022</v>
      </c>
    </row>
    <row r="549" spans="1:20">
      <c r="A549" s="48">
        <v>95908</v>
      </c>
      <c r="B549" s="49" t="s">
        <v>1249</v>
      </c>
      <c r="C549" s="235">
        <v>6.1099999999999994E-5</v>
      </c>
      <c r="D549" s="235">
        <v>7.2200000000000007E-5</v>
      </c>
      <c r="E549" s="214">
        <v>144950</v>
      </c>
      <c r="F549" s="214" t="s">
        <v>1930</v>
      </c>
      <c r="G549" s="233">
        <v>22362</v>
      </c>
      <c r="H549" s="221">
        <v>19898</v>
      </c>
      <c r="I549" s="233">
        <v>38464</v>
      </c>
      <c r="J549" s="232">
        <v>0</v>
      </c>
      <c r="K549" s="88">
        <f t="shared" si="23"/>
        <v>80724</v>
      </c>
      <c r="L549" s="50"/>
      <c r="M549" s="233">
        <v>750</v>
      </c>
      <c r="N549" s="233">
        <v>0</v>
      </c>
      <c r="O549" s="232">
        <v>21950</v>
      </c>
      <c r="P549" s="88">
        <f t="shared" si="24"/>
        <v>22700</v>
      </c>
      <c r="Q549" s="50"/>
      <c r="R549" s="233">
        <v>40263</v>
      </c>
      <c r="S549" s="232">
        <v>-13336</v>
      </c>
      <c r="T549" s="234">
        <v>26927</v>
      </c>
    </row>
    <row r="550" spans="1:20">
      <c r="A550" s="48">
        <v>95911</v>
      </c>
      <c r="B550" s="49" t="s">
        <v>2332</v>
      </c>
      <c r="C550" s="235">
        <v>5.576E-4</v>
      </c>
      <c r="D550" s="235">
        <v>5.7450000000000003E-4</v>
      </c>
      <c r="E550" s="214">
        <v>1322818</v>
      </c>
      <c r="F550" s="214" t="s">
        <v>1930</v>
      </c>
      <c r="G550" s="233">
        <v>204079</v>
      </c>
      <c r="H550" s="221">
        <v>181583</v>
      </c>
      <c r="I550" s="233">
        <v>351025</v>
      </c>
      <c r="J550" s="232">
        <v>1306</v>
      </c>
      <c r="K550" s="88">
        <f t="shared" si="23"/>
        <v>737993</v>
      </c>
      <c r="L550" s="50"/>
      <c r="M550" s="233">
        <v>6848</v>
      </c>
      <c r="N550" s="233">
        <v>0</v>
      </c>
      <c r="O550" s="232">
        <v>50349</v>
      </c>
      <c r="P550" s="88">
        <f t="shared" si="24"/>
        <v>57197</v>
      </c>
      <c r="Q550" s="50"/>
      <c r="R550" s="233">
        <v>367443</v>
      </c>
      <c r="S550" s="232">
        <v>-20293</v>
      </c>
      <c r="T550" s="234">
        <v>347150</v>
      </c>
    </row>
    <row r="551" spans="1:20">
      <c r="A551" s="48">
        <v>95917</v>
      </c>
      <c r="B551" s="49" t="s">
        <v>1251</v>
      </c>
      <c r="C551" s="235">
        <v>2.05E-5</v>
      </c>
      <c r="D551" s="235">
        <v>2.6699999999999998E-5</v>
      </c>
      <c r="E551" s="214">
        <v>48633</v>
      </c>
      <c r="F551" s="214" t="s">
        <v>1930</v>
      </c>
      <c r="G551" s="233">
        <v>7503</v>
      </c>
      <c r="H551" s="221">
        <v>6676</v>
      </c>
      <c r="I551" s="233">
        <v>12905</v>
      </c>
      <c r="J551" s="232">
        <v>1999</v>
      </c>
      <c r="K551" s="88">
        <f t="shared" si="23"/>
        <v>29083</v>
      </c>
      <c r="L551" s="50"/>
      <c r="M551" s="233">
        <v>252</v>
      </c>
      <c r="N551" s="233">
        <v>0</v>
      </c>
      <c r="O551" s="232">
        <v>3512</v>
      </c>
      <c r="P551" s="88">
        <f t="shared" si="24"/>
        <v>3764</v>
      </c>
      <c r="Q551" s="50"/>
      <c r="R551" s="233">
        <v>13509</v>
      </c>
      <c r="S551" s="232">
        <v>1407</v>
      </c>
      <c r="T551" s="234">
        <v>14916</v>
      </c>
    </row>
    <row r="552" spans="1:20">
      <c r="A552" s="48">
        <v>95921</v>
      </c>
      <c r="B552" s="49" t="s">
        <v>2333</v>
      </c>
      <c r="C552" s="235">
        <v>4.9799999999999998E-5</v>
      </c>
      <c r="D552" s="235">
        <v>4.7500000000000003E-5</v>
      </c>
      <c r="E552" s="214">
        <v>118143</v>
      </c>
      <c r="F552" s="214" t="s">
        <v>1930</v>
      </c>
      <c r="G552" s="233">
        <v>18227</v>
      </c>
      <c r="H552" s="221">
        <v>16217</v>
      </c>
      <c r="I552" s="233">
        <v>31350</v>
      </c>
      <c r="J552" s="232">
        <v>4597</v>
      </c>
      <c r="K552" s="88">
        <f t="shared" si="23"/>
        <v>70391</v>
      </c>
      <c r="L552" s="50"/>
      <c r="M552" s="233">
        <v>612</v>
      </c>
      <c r="N552" s="233">
        <v>0</v>
      </c>
      <c r="O552" s="232">
        <v>0</v>
      </c>
      <c r="P552" s="88">
        <f t="shared" si="24"/>
        <v>612</v>
      </c>
      <c r="Q552" s="50"/>
      <c r="R552" s="233">
        <v>32817</v>
      </c>
      <c r="S552" s="232">
        <v>1077</v>
      </c>
      <c r="T552" s="234">
        <v>33894</v>
      </c>
    </row>
    <row r="553" spans="1:20">
      <c r="A553" s="48">
        <v>96001</v>
      </c>
      <c r="B553" s="49" t="s">
        <v>1253</v>
      </c>
      <c r="C553" s="235">
        <v>4.3840400000000002E-2</v>
      </c>
      <c r="D553" s="235">
        <v>4.4386399999999999E-2</v>
      </c>
      <c r="E553" s="214">
        <v>104004422</v>
      </c>
      <c r="F553" s="214" t="s">
        <v>1930</v>
      </c>
      <c r="G553" s="233">
        <v>16045411</v>
      </c>
      <c r="H553" s="221">
        <v>14276714</v>
      </c>
      <c r="I553" s="233">
        <v>27598759</v>
      </c>
      <c r="J553" s="232">
        <v>120257</v>
      </c>
      <c r="K553" s="88">
        <f t="shared" si="23"/>
        <v>58041141</v>
      </c>
      <c r="L553" s="50"/>
      <c r="M553" s="233">
        <v>538404</v>
      </c>
      <c r="N553" s="233">
        <v>0</v>
      </c>
      <c r="O553" s="232">
        <v>696147</v>
      </c>
      <c r="P553" s="88">
        <f t="shared" si="24"/>
        <v>1234551</v>
      </c>
      <c r="Q553" s="50"/>
      <c r="R553" s="233">
        <v>28889640</v>
      </c>
      <c r="S553" s="232">
        <v>1107085</v>
      </c>
      <c r="T553" s="234">
        <v>29996725</v>
      </c>
    </row>
    <row r="554" spans="1:20">
      <c r="A554" s="48">
        <v>96003</v>
      </c>
      <c r="B554" s="49" t="s">
        <v>1254</v>
      </c>
      <c r="C554" s="235">
        <v>1.6191999999999999E-3</v>
      </c>
      <c r="D554" s="235">
        <v>1.6523E-3</v>
      </c>
      <c r="E554" s="214">
        <v>3841296</v>
      </c>
      <c r="F554" s="214" t="s">
        <v>1930</v>
      </c>
      <c r="G554" s="233">
        <v>592621</v>
      </c>
      <c r="H554" s="221">
        <v>527296</v>
      </c>
      <c r="I554" s="233">
        <v>1019332</v>
      </c>
      <c r="J554" s="232">
        <v>1392</v>
      </c>
      <c r="K554" s="88">
        <f t="shared" si="23"/>
        <v>2140641</v>
      </c>
      <c r="L554" s="50"/>
      <c r="M554" s="233">
        <v>19885</v>
      </c>
      <c r="N554" s="233">
        <v>0</v>
      </c>
      <c r="O554" s="232">
        <v>162038</v>
      </c>
      <c r="P554" s="88">
        <f t="shared" si="24"/>
        <v>181923</v>
      </c>
      <c r="Q554" s="50"/>
      <c r="R554" s="233">
        <v>1067009</v>
      </c>
      <c r="S554" s="232">
        <v>-76658</v>
      </c>
      <c r="T554" s="234">
        <v>990351</v>
      </c>
    </row>
    <row r="555" spans="1:20">
      <c r="A555" s="48">
        <v>96004</v>
      </c>
      <c r="B555" s="49" t="s">
        <v>1255</v>
      </c>
      <c r="C555" s="235">
        <v>9.0419999999999997E-4</v>
      </c>
      <c r="D555" s="235">
        <v>8.9439999999999995E-4</v>
      </c>
      <c r="E555" s="214">
        <v>2145072</v>
      </c>
      <c r="F555" s="214" t="s">
        <v>1930</v>
      </c>
      <c r="G555" s="233">
        <v>330934</v>
      </c>
      <c r="H555" s="221">
        <v>294454</v>
      </c>
      <c r="I555" s="233">
        <v>569219</v>
      </c>
      <c r="J555" s="232">
        <v>137510</v>
      </c>
      <c r="K555" s="88">
        <f t="shared" si="23"/>
        <v>1332117</v>
      </c>
      <c r="L555" s="50"/>
      <c r="M555" s="233">
        <v>11104</v>
      </c>
      <c r="N555" s="233">
        <v>0</v>
      </c>
      <c r="O555" s="232">
        <v>0</v>
      </c>
      <c r="P555" s="88">
        <f t="shared" si="24"/>
        <v>11104</v>
      </c>
      <c r="Q555" s="50"/>
      <c r="R555" s="233">
        <v>595843</v>
      </c>
      <c r="S555" s="232">
        <v>78642</v>
      </c>
      <c r="T555" s="234">
        <v>674485</v>
      </c>
    </row>
    <row r="556" spans="1:20">
      <c r="A556" s="48">
        <v>96005</v>
      </c>
      <c r="B556" s="49" t="s">
        <v>1256</v>
      </c>
      <c r="C556" s="235">
        <v>2.6172999999999999E-3</v>
      </c>
      <c r="D556" s="235">
        <v>2.6733999999999998E-3</v>
      </c>
      <c r="E556" s="214">
        <v>6209131</v>
      </c>
      <c r="F556" s="214" t="s">
        <v>1930</v>
      </c>
      <c r="G556" s="233">
        <v>957921</v>
      </c>
      <c r="H556" s="221">
        <v>852329</v>
      </c>
      <c r="I556" s="233">
        <v>1647664</v>
      </c>
      <c r="J556" s="232">
        <v>64243</v>
      </c>
      <c r="K556" s="88">
        <f t="shared" si="23"/>
        <v>3522157</v>
      </c>
      <c r="L556" s="50"/>
      <c r="M556" s="233">
        <v>32143</v>
      </c>
      <c r="N556" s="233">
        <v>0</v>
      </c>
      <c r="O556" s="232">
        <v>8878</v>
      </c>
      <c r="P556" s="88">
        <f t="shared" si="24"/>
        <v>41021</v>
      </c>
      <c r="Q556" s="50"/>
      <c r="R556" s="233">
        <v>1724730</v>
      </c>
      <c r="S556" s="232">
        <v>155823</v>
      </c>
      <c r="T556" s="234">
        <v>1880553</v>
      </c>
    </row>
    <row r="557" spans="1:20">
      <c r="A557" s="48">
        <v>96008</v>
      </c>
      <c r="B557" s="49" t="s">
        <v>1257</v>
      </c>
      <c r="C557" s="235">
        <v>6.1884000000000002E-3</v>
      </c>
      <c r="D557" s="235">
        <v>5.9955E-3</v>
      </c>
      <c r="E557" s="214">
        <v>14681001</v>
      </c>
      <c r="F557" s="214" t="s">
        <v>1930</v>
      </c>
      <c r="G557" s="233">
        <v>2264930</v>
      </c>
      <c r="H557" s="221">
        <v>2015265</v>
      </c>
      <c r="I557" s="233">
        <v>3895771</v>
      </c>
      <c r="J557" s="232">
        <v>0</v>
      </c>
      <c r="K557" s="88">
        <f t="shared" si="23"/>
        <v>8175966</v>
      </c>
      <c r="L557" s="50"/>
      <c r="M557" s="233">
        <v>76000</v>
      </c>
      <c r="N557" s="233">
        <v>0</v>
      </c>
      <c r="O557" s="232">
        <v>922165</v>
      </c>
      <c r="P557" s="88">
        <f t="shared" si="24"/>
        <v>998165</v>
      </c>
      <c r="Q557" s="50"/>
      <c r="R557" s="233">
        <v>4077989</v>
      </c>
      <c r="S557" s="232">
        <v>-381090</v>
      </c>
      <c r="T557" s="234">
        <v>3696899</v>
      </c>
    </row>
    <row r="558" spans="1:20">
      <c r="A558" s="48">
        <v>96009</v>
      </c>
      <c r="B558" s="49" t="s">
        <v>1258</v>
      </c>
      <c r="C558" s="235">
        <v>3.8460000000000002E-4</v>
      </c>
      <c r="D558" s="235">
        <v>3.7609999999999998E-4</v>
      </c>
      <c r="E558" s="214">
        <v>912403</v>
      </c>
      <c r="F558" s="214" t="s">
        <v>1930</v>
      </c>
      <c r="G558" s="233">
        <v>140762</v>
      </c>
      <c r="H558" s="221">
        <v>125246</v>
      </c>
      <c r="I558" s="233">
        <v>242116</v>
      </c>
      <c r="J558" s="232">
        <v>46887</v>
      </c>
      <c r="K558" s="88">
        <f t="shared" si="23"/>
        <v>555011</v>
      </c>
      <c r="L558" s="50"/>
      <c r="M558" s="233">
        <v>4723</v>
      </c>
      <c r="N558" s="233">
        <v>0</v>
      </c>
      <c r="O558" s="232">
        <v>1687</v>
      </c>
      <c r="P558" s="88">
        <f t="shared" si="24"/>
        <v>6410</v>
      </c>
      <c r="Q558" s="50"/>
      <c r="R558" s="233">
        <v>253441</v>
      </c>
      <c r="S558" s="232">
        <v>17980</v>
      </c>
      <c r="T558" s="234">
        <v>271421</v>
      </c>
    </row>
    <row r="559" spans="1:20">
      <c r="A559" s="48">
        <v>96011</v>
      </c>
      <c r="B559" s="49" t="s">
        <v>1259</v>
      </c>
      <c r="C559" s="235">
        <v>6.2526600000000002E-2</v>
      </c>
      <c r="D559" s="235">
        <v>6.1150400000000001E-2</v>
      </c>
      <c r="E559" s="214">
        <v>148334479</v>
      </c>
      <c r="F559" s="214" t="s">
        <v>1930</v>
      </c>
      <c r="G559" s="233">
        <v>22884485</v>
      </c>
      <c r="H559" s="221">
        <v>20361912</v>
      </c>
      <c r="I559" s="233">
        <v>39362245</v>
      </c>
      <c r="J559" s="232">
        <v>1462569</v>
      </c>
      <c r="K559" s="88">
        <f t="shared" si="23"/>
        <v>84071211</v>
      </c>
      <c r="L559" s="50"/>
      <c r="M559" s="233">
        <v>767889</v>
      </c>
      <c r="N559" s="233">
        <v>0</v>
      </c>
      <c r="O559" s="232">
        <v>32612</v>
      </c>
      <c r="P559" s="88">
        <f t="shared" si="24"/>
        <v>800501</v>
      </c>
      <c r="Q559" s="50"/>
      <c r="R559" s="233">
        <v>41203341</v>
      </c>
      <c r="S559" s="232">
        <v>436963</v>
      </c>
      <c r="T559" s="234">
        <v>41640304</v>
      </c>
    </row>
    <row r="560" spans="1:20">
      <c r="A560" s="48">
        <v>96012</v>
      </c>
      <c r="B560" s="49" t="s">
        <v>1260</v>
      </c>
      <c r="C560" s="235">
        <v>2.5303000000000001E-3</v>
      </c>
      <c r="D560" s="235">
        <v>2.4417000000000002E-3</v>
      </c>
      <c r="E560" s="214">
        <v>6002737</v>
      </c>
      <c r="F560" s="214" t="s">
        <v>1930</v>
      </c>
      <c r="G560" s="233">
        <v>926080</v>
      </c>
      <c r="H560" s="221">
        <v>823997</v>
      </c>
      <c r="I560" s="233">
        <v>1592895</v>
      </c>
      <c r="J560" s="232">
        <v>95917</v>
      </c>
      <c r="K560" s="88">
        <f t="shared" si="23"/>
        <v>3438889</v>
      </c>
      <c r="L560" s="50"/>
      <c r="M560" s="233">
        <v>31075</v>
      </c>
      <c r="N560" s="233">
        <v>0</v>
      </c>
      <c r="O560" s="232">
        <v>703</v>
      </c>
      <c r="P560" s="88">
        <f t="shared" si="24"/>
        <v>31778</v>
      </c>
      <c r="Q560" s="50"/>
      <c r="R560" s="233">
        <v>1667399</v>
      </c>
      <c r="S560" s="232">
        <v>49156</v>
      </c>
      <c r="T560" s="234">
        <v>1716555</v>
      </c>
    </row>
    <row r="561" spans="1:20">
      <c r="A561" s="48">
        <v>96018</v>
      </c>
      <c r="B561" s="49" t="s">
        <v>1261</v>
      </c>
      <c r="C561" s="235">
        <v>4.5000000000000003E-5</v>
      </c>
      <c r="D561" s="235">
        <v>4.3600000000000003E-5</v>
      </c>
      <c r="E561" s="214">
        <v>106755</v>
      </c>
      <c r="F561" s="214" t="s">
        <v>1930</v>
      </c>
      <c r="G561" s="233">
        <v>16470</v>
      </c>
      <c r="H561" s="221">
        <v>14654</v>
      </c>
      <c r="I561" s="233">
        <v>28329</v>
      </c>
      <c r="J561" s="232">
        <v>3865</v>
      </c>
      <c r="K561" s="88">
        <f t="shared" si="23"/>
        <v>63318</v>
      </c>
      <c r="L561" s="50"/>
      <c r="M561" s="233">
        <v>553</v>
      </c>
      <c r="N561" s="233">
        <v>0</v>
      </c>
      <c r="O561" s="232">
        <v>0</v>
      </c>
      <c r="P561" s="88">
        <f t="shared" si="24"/>
        <v>553</v>
      </c>
      <c r="Q561" s="50"/>
      <c r="R561" s="233">
        <v>29654</v>
      </c>
      <c r="S561" s="232">
        <v>5885</v>
      </c>
      <c r="T561" s="234">
        <v>35539</v>
      </c>
    </row>
    <row r="562" spans="1:20">
      <c r="A562" s="48">
        <v>96021</v>
      </c>
      <c r="B562" s="49" t="s">
        <v>2334</v>
      </c>
      <c r="C562" s="235">
        <v>7.3760000000000004E-4</v>
      </c>
      <c r="D562" s="235">
        <v>7.2090000000000001E-4</v>
      </c>
      <c r="E562" s="214">
        <v>1749839</v>
      </c>
      <c r="F562" s="214" t="s">
        <v>1930</v>
      </c>
      <c r="G562" s="233">
        <v>269959</v>
      </c>
      <c r="H562" s="221">
        <v>240200</v>
      </c>
      <c r="I562" s="233">
        <v>464340</v>
      </c>
      <c r="J562" s="232">
        <v>15203</v>
      </c>
      <c r="K562" s="88">
        <f t="shared" si="23"/>
        <v>989702</v>
      </c>
      <c r="L562" s="50"/>
      <c r="M562" s="233">
        <v>9058</v>
      </c>
      <c r="N562" s="233">
        <v>0</v>
      </c>
      <c r="O562" s="232">
        <v>87034</v>
      </c>
      <c r="P562" s="88">
        <f t="shared" si="24"/>
        <v>96092</v>
      </c>
      <c r="Q562" s="50"/>
      <c r="R562" s="233">
        <v>486058</v>
      </c>
      <c r="S562" s="232">
        <v>-13480</v>
      </c>
      <c r="T562" s="234">
        <v>472578</v>
      </c>
    </row>
    <row r="563" spans="1:20">
      <c r="A563" s="48">
        <v>96031</v>
      </c>
      <c r="B563" s="49" t="s">
        <v>2335</v>
      </c>
      <c r="C563" s="235">
        <v>8.5170000000000005E-4</v>
      </c>
      <c r="D563" s="235">
        <v>8.2580000000000001E-4</v>
      </c>
      <c r="E563" s="214">
        <v>2020524</v>
      </c>
      <c r="F563" s="214" t="s">
        <v>1930</v>
      </c>
      <c r="G563" s="233">
        <v>311719</v>
      </c>
      <c r="H563" s="221">
        <v>277358</v>
      </c>
      <c r="I563" s="233">
        <v>536169</v>
      </c>
      <c r="J563" s="232">
        <v>0</v>
      </c>
      <c r="K563" s="88">
        <f t="shared" si="23"/>
        <v>1125246</v>
      </c>
      <c r="L563" s="50"/>
      <c r="M563" s="233">
        <v>10460</v>
      </c>
      <c r="N563" s="233">
        <v>0</v>
      </c>
      <c r="O563" s="232">
        <v>145457</v>
      </c>
      <c r="P563" s="88">
        <f t="shared" si="24"/>
        <v>155917</v>
      </c>
      <c r="Q563" s="50"/>
      <c r="R563" s="233">
        <v>561247</v>
      </c>
      <c r="S563" s="232">
        <v>-84382</v>
      </c>
      <c r="T563" s="234">
        <v>476865</v>
      </c>
    </row>
    <row r="564" spans="1:20">
      <c r="A564" s="48">
        <v>96041</v>
      </c>
      <c r="B564" s="49" t="s">
        <v>2336</v>
      </c>
      <c r="C564" s="235">
        <v>1.7003999999999999E-3</v>
      </c>
      <c r="D564" s="235">
        <v>1.7361E-3</v>
      </c>
      <c r="E564" s="214">
        <v>4033930</v>
      </c>
      <c r="F564" s="214" t="s">
        <v>1930</v>
      </c>
      <c r="G564" s="233">
        <v>622340</v>
      </c>
      <c r="H564" s="221">
        <v>553738</v>
      </c>
      <c r="I564" s="233">
        <v>1070449</v>
      </c>
      <c r="J564" s="232">
        <v>0</v>
      </c>
      <c r="K564" s="88">
        <f t="shared" si="23"/>
        <v>2246527</v>
      </c>
      <c r="L564" s="50"/>
      <c r="M564" s="233">
        <v>20883</v>
      </c>
      <c r="N564" s="233">
        <v>0</v>
      </c>
      <c r="O564" s="232">
        <v>162463</v>
      </c>
      <c r="P564" s="88">
        <f t="shared" si="24"/>
        <v>183346</v>
      </c>
      <c r="Q564" s="50"/>
      <c r="R564" s="233">
        <v>1120518</v>
      </c>
      <c r="S564" s="232">
        <v>-80644</v>
      </c>
      <c r="T564" s="234">
        <v>1039874</v>
      </c>
    </row>
    <row r="565" spans="1:20">
      <c r="A565" s="48">
        <v>96051</v>
      </c>
      <c r="B565" s="49" t="s">
        <v>2337</v>
      </c>
      <c r="C565" s="235">
        <v>1.042E-3</v>
      </c>
      <c r="D565" s="235">
        <v>1.0062000000000001E-3</v>
      </c>
      <c r="E565" s="214">
        <v>2471980</v>
      </c>
      <c r="F565" s="214" t="s">
        <v>1930</v>
      </c>
      <c r="G565" s="233">
        <v>381368</v>
      </c>
      <c r="H565" s="221">
        <v>339329</v>
      </c>
      <c r="I565" s="233">
        <v>655968</v>
      </c>
      <c r="J565" s="232">
        <v>0</v>
      </c>
      <c r="K565" s="88">
        <f t="shared" si="23"/>
        <v>1376665</v>
      </c>
      <c r="L565" s="50"/>
      <c r="M565" s="233">
        <v>12797</v>
      </c>
      <c r="N565" s="233">
        <v>0</v>
      </c>
      <c r="O565" s="232">
        <v>89308</v>
      </c>
      <c r="P565" s="88">
        <f t="shared" si="24"/>
        <v>102105</v>
      </c>
      <c r="Q565" s="50"/>
      <c r="R565" s="233">
        <v>686650</v>
      </c>
      <c r="S565" s="232">
        <v>-50724</v>
      </c>
      <c r="T565" s="234">
        <v>635926</v>
      </c>
    </row>
    <row r="566" spans="1:20">
      <c r="A566" s="48">
        <v>96061</v>
      </c>
      <c r="B566" s="49" t="s">
        <v>2338</v>
      </c>
      <c r="C566" s="235">
        <v>3.1559999999999997E-4</v>
      </c>
      <c r="D566" s="235">
        <v>3.3950000000000001E-4</v>
      </c>
      <c r="E566" s="214">
        <v>748711</v>
      </c>
      <c r="F566" s="214" t="s">
        <v>1930</v>
      </c>
      <c r="G566" s="233">
        <v>115508</v>
      </c>
      <c r="H566" s="221">
        <v>102775</v>
      </c>
      <c r="I566" s="233">
        <v>198679</v>
      </c>
      <c r="J566" s="232">
        <v>15967</v>
      </c>
      <c r="K566" s="88">
        <f t="shared" si="23"/>
        <v>432929</v>
      </c>
      <c r="L566" s="50"/>
      <c r="M566" s="233">
        <v>3876</v>
      </c>
      <c r="N566" s="233">
        <v>0</v>
      </c>
      <c r="O566" s="232">
        <v>13815</v>
      </c>
      <c r="P566" s="88">
        <f t="shared" si="24"/>
        <v>17691</v>
      </c>
      <c r="Q566" s="50"/>
      <c r="R566" s="233">
        <v>207972</v>
      </c>
      <c r="S566" s="232">
        <v>-246</v>
      </c>
      <c r="T566" s="234">
        <v>207726</v>
      </c>
    </row>
    <row r="567" spans="1:20">
      <c r="A567" s="48">
        <v>96071</v>
      </c>
      <c r="B567" s="49" t="s">
        <v>2339</v>
      </c>
      <c r="C567" s="235">
        <v>1.1751000000000001E-3</v>
      </c>
      <c r="D567" s="235">
        <v>1.1367E-3</v>
      </c>
      <c r="E567" s="214">
        <v>2787739</v>
      </c>
      <c r="F567" s="214" t="s">
        <v>1930</v>
      </c>
      <c r="G567" s="233">
        <v>430082</v>
      </c>
      <c r="H567" s="221">
        <v>382674</v>
      </c>
      <c r="I567" s="233">
        <v>739758</v>
      </c>
      <c r="J567" s="232">
        <v>90687</v>
      </c>
      <c r="K567" s="88">
        <f t="shared" si="23"/>
        <v>1643201</v>
      </c>
      <c r="L567" s="50"/>
      <c r="M567" s="233">
        <v>14431</v>
      </c>
      <c r="N567" s="233">
        <v>0</v>
      </c>
      <c r="O567" s="232">
        <v>39863</v>
      </c>
      <c r="P567" s="88">
        <f t="shared" si="24"/>
        <v>54294</v>
      </c>
      <c r="Q567" s="50"/>
      <c r="R567" s="233">
        <v>774359</v>
      </c>
      <c r="S567" s="232">
        <v>10914</v>
      </c>
      <c r="T567" s="234">
        <v>785273</v>
      </c>
    </row>
    <row r="568" spans="1:20">
      <c r="A568" s="48">
        <v>96081</v>
      </c>
      <c r="B568" s="49" t="s">
        <v>2340</v>
      </c>
      <c r="C568" s="235">
        <v>5.4920000000000001E-4</v>
      </c>
      <c r="D568" s="235">
        <v>5.0900000000000001E-4</v>
      </c>
      <c r="E568" s="214">
        <v>1302890</v>
      </c>
      <c r="F568" s="214" t="s">
        <v>1930</v>
      </c>
      <c r="G568" s="233">
        <v>201005</v>
      </c>
      <c r="H568" s="221">
        <v>178848</v>
      </c>
      <c r="I568" s="233">
        <v>345737</v>
      </c>
      <c r="J568" s="232">
        <v>10068</v>
      </c>
      <c r="K568" s="88">
        <f t="shared" si="23"/>
        <v>735658</v>
      </c>
      <c r="L568" s="50"/>
      <c r="M568" s="233">
        <v>6745</v>
      </c>
      <c r="N568" s="233">
        <v>0</v>
      </c>
      <c r="O568" s="232">
        <v>1853</v>
      </c>
      <c r="P568" s="88">
        <f t="shared" si="24"/>
        <v>8598</v>
      </c>
      <c r="Q568" s="50"/>
      <c r="R568" s="233">
        <v>361908</v>
      </c>
      <c r="S568" s="232">
        <v>6768</v>
      </c>
      <c r="T568" s="234">
        <v>368676</v>
      </c>
    </row>
    <row r="569" spans="1:20">
      <c r="A569" s="48">
        <v>96101</v>
      </c>
      <c r="B569" s="49" t="s">
        <v>1269</v>
      </c>
      <c r="C569" s="235">
        <v>7.9739999999999998E-4</v>
      </c>
      <c r="D569" s="235">
        <v>7.6749999999999995E-4</v>
      </c>
      <c r="E569" s="214">
        <v>1891706</v>
      </c>
      <c r="F569" s="214" t="s">
        <v>1930</v>
      </c>
      <c r="G569" s="233">
        <v>291845</v>
      </c>
      <c r="H569" s="221">
        <v>259675</v>
      </c>
      <c r="I569" s="233">
        <v>501986</v>
      </c>
      <c r="J569" s="232">
        <v>54889</v>
      </c>
      <c r="K569" s="88">
        <f t="shared" si="23"/>
        <v>1108395</v>
      </c>
      <c r="L569" s="50"/>
      <c r="M569" s="233">
        <v>9793</v>
      </c>
      <c r="N569" s="233">
        <v>0</v>
      </c>
      <c r="O569" s="232">
        <v>2275</v>
      </c>
      <c r="P569" s="88">
        <f t="shared" si="24"/>
        <v>12068</v>
      </c>
      <c r="Q569" s="50"/>
      <c r="R569" s="233">
        <v>525465</v>
      </c>
      <c r="S569" s="232">
        <v>25672</v>
      </c>
      <c r="T569" s="234">
        <v>551137</v>
      </c>
    </row>
    <row r="570" spans="1:20">
      <c r="A570" s="48">
        <v>96102</v>
      </c>
      <c r="B570" s="49" t="s">
        <v>1270</v>
      </c>
      <c r="C570" s="235">
        <v>1.2999999999999999E-5</v>
      </c>
      <c r="D570" s="235">
        <v>1.36E-5</v>
      </c>
      <c r="E570" s="214">
        <v>30840</v>
      </c>
      <c r="F570" s="214" t="s">
        <v>1930</v>
      </c>
      <c r="G570" s="233">
        <v>4758</v>
      </c>
      <c r="H570" s="221">
        <v>4233</v>
      </c>
      <c r="I570" s="233">
        <v>8184</v>
      </c>
      <c r="J570" s="232">
        <v>0</v>
      </c>
      <c r="K570" s="88">
        <f t="shared" si="23"/>
        <v>17175</v>
      </c>
      <c r="L570" s="50"/>
      <c r="M570" s="233">
        <v>160</v>
      </c>
      <c r="N570" s="233">
        <v>0</v>
      </c>
      <c r="O570" s="232">
        <v>3870</v>
      </c>
      <c r="P570" s="88">
        <f t="shared" si="24"/>
        <v>4030</v>
      </c>
      <c r="Q570" s="50"/>
      <c r="R570" s="233">
        <v>8567</v>
      </c>
      <c r="S570" s="232">
        <v>-1972</v>
      </c>
      <c r="T570" s="234">
        <v>6595</v>
      </c>
    </row>
    <row r="571" spans="1:20">
      <c r="A571" s="48">
        <v>96111</v>
      </c>
      <c r="B571" s="49" t="s">
        <v>2341</v>
      </c>
      <c r="C571" s="235">
        <v>1.47E-4</v>
      </c>
      <c r="D571" s="235">
        <v>1.5349999999999999E-4</v>
      </c>
      <c r="E571" s="214">
        <v>348734</v>
      </c>
      <c r="F571" s="214" t="s">
        <v>1930</v>
      </c>
      <c r="G571" s="233">
        <v>53801</v>
      </c>
      <c r="H571" s="221">
        <v>47871</v>
      </c>
      <c r="I571" s="233">
        <v>92541</v>
      </c>
      <c r="J571" s="232">
        <v>11049</v>
      </c>
      <c r="K571" s="88">
        <f t="shared" si="23"/>
        <v>205262</v>
      </c>
      <c r="L571" s="50"/>
      <c r="M571" s="233">
        <v>1805</v>
      </c>
      <c r="N571" s="233">
        <v>0</v>
      </c>
      <c r="O571" s="232">
        <v>1261</v>
      </c>
      <c r="P571" s="88">
        <f t="shared" si="24"/>
        <v>3066</v>
      </c>
      <c r="Q571" s="50"/>
      <c r="R571" s="233">
        <v>96869</v>
      </c>
      <c r="S571" s="232">
        <v>8891</v>
      </c>
      <c r="T571" s="234">
        <v>105760</v>
      </c>
    </row>
    <row r="572" spans="1:20">
      <c r="A572" s="48">
        <v>96121</v>
      </c>
      <c r="B572" s="49" t="s">
        <v>2342</v>
      </c>
      <c r="C572" s="235">
        <v>2.1699999999999999E-5</v>
      </c>
      <c r="D572" s="235">
        <v>2.2500000000000001E-5</v>
      </c>
      <c r="E572" s="214">
        <v>51480</v>
      </c>
      <c r="F572" s="214" t="s">
        <v>1930</v>
      </c>
      <c r="G572" s="233">
        <v>7942</v>
      </c>
      <c r="H572" s="221">
        <v>7067</v>
      </c>
      <c r="I572" s="233">
        <v>13661</v>
      </c>
      <c r="J572" s="232">
        <v>258</v>
      </c>
      <c r="K572" s="88">
        <f t="shared" si="23"/>
        <v>28928</v>
      </c>
      <c r="L572" s="50"/>
      <c r="M572" s="233">
        <v>266</v>
      </c>
      <c r="N572" s="233">
        <v>0</v>
      </c>
      <c r="O572" s="232">
        <v>2114</v>
      </c>
      <c r="P572" s="88">
        <f t="shared" si="24"/>
        <v>2380</v>
      </c>
      <c r="Q572" s="50"/>
      <c r="R572" s="233">
        <v>14300</v>
      </c>
      <c r="S572" s="232">
        <v>-1295</v>
      </c>
      <c r="T572" s="234">
        <v>13005</v>
      </c>
    </row>
    <row r="573" spans="1:20">
      <c r="A573" s="48">
        <v>96201</v>
      </c>
      <c r="B573" s="49" t="s">
        <v>1273</v>
      </c>
      <c r="C573" s="235">
        <v>1.1052E-3</v>
      </c>
      <c r="D573" s="235">
        <v>1.1788E-3</v>
      </c>
      <c r="E573" s="214">
        <v>2621912</v>
      </c>
      <c r="F573" s="214" t="s">
        <v>1930</v>
      </c>
      <c r="G573" s="233">
        <v>404499</v>
      </c>
      <c r="H573" s="221">
        <v>359910</v>
      </c>
      <c r="I573" s="233">
        <v>695754</v>
      </c>
      <c r="J573" s="232">
        <v>0</v>
      </c>
      <c r="K573" s="88">
        <f t="shared" si="23"/>
        <v>1460163</v>
      </c>
      <c r="L573" s="50"/>
      <c r="M573" s="233">
        <v>13573</v>
      </c>
      <c r="N573" s="233">
        <v>0</v>
      </c>
      <c r="O573" s="232">
        <v>100519</v>
      </c>
      <c r="P573" s="88">
        <f t="shared" si="24"/>
        <v>114092</v>
      </c>
      <c r="Q573" s="50"/>
      <c r="R573" s="233">
        <v>728297</v>
      </c>
      <c r="S573" s="232">
        <v>-35895</v>
      </c>
      <c r="T573" s="234">
        <v>692402</v>
      </c>
    </row>
    <row r="574" spans="1:20">
      <c r="A574" s="48">
        <v>96204</v>
      </c>
      <c r="B574" s="49" t="s">
        <v>1274</v>
      </c>
      <c r="C574" s="235">
        <v>1.42E-5</v>
      </c>
      <c r="D574" s="235">
        <v>1.5099999999999999E-5</v>
      </c>
      <c r="E574" s="214">
        <v>33687</v>
      </c>
      <c r="F574" s="214" t="s">
        <v>1930</v>
      </c>
      <c r="G574" s="233">
        <v>5197</v>
      </c>
      <c r="H574" s="221">
        <v>4624</v>
      </c>
      <c r="I574" s="233">
        <v>8939</v>
      </c>
      <c r="J574" s="232">
        <v>3075</v>
      </c>
      <c r="K574" s="88">
        <f t="shared" si="23"/>
        <v>21835</v>
      </c>
      <c r="L574" s="50"/>
      <c r="M574" s="233">
        <v>174</v>
      </c>
      <c r="N574" s="233">
        <v>0</v>
      </c>
      <c r="O574" s="232">
        <v>0</v>
      </c>
      <c r="P574" s="88">
        <f t="shared" si="24"/>
        <v>174</v>
      </c>
      <c r="Q574" s="50"/>
      <c r="R574" s="233">
        <v>9357</v>
      </c>
      <c r="S574" s="232">
        <v>1951</v>
      </c>
      <c r="T574" s="234">
        <v>11308</v>
      </c>
    </row>
    <row r="575" spans="1:20">
      <c r="A575" s="48">
        <v>96211</v>
      </c>
      <c r="B575" s="49" t="s">
        <v>2343</v>
      </c>
      <c r="C575" s="235">
        <v>2.8099999999999999E-5</v>
      </c>
      <c r="D575" s="235">
        <v>2.62E-5</v>
      </c>
      <c r="E575" s="215">
        <v>66663</v>
      </c>
      <c r="F575" s="215" t="s">
        <v>1930</v>
      </c>
      <c r="G575" s="233">
        <v>10284</v>
      </c>
      <c r="H575" s="221">
        <v>9151</v>
      </c>
      <c r="I575" s="233">
        <v>17690</v>
      </c>
      <c r="J575" s="232">
        <v>7064</v>
      </c>
      <c r="K575" s="88">
        <f t="shared" si="23"/>
        <v>44189</v>
      </c>
      <c r="L575" s="50"/>
      <c r="M575" s="233">
        <v>345</v>
      </c>
      <c r="N575" s="233">
        <v>0</v>
      </c>
      <c r="O575" s="232">
        <v>0</v>
      </c>
      <c r="P575" s="88">
        <f t="shared" si="24"/>
        <v>345</v>
      </c>
      <c r="Q575" s="50"/>
      <c r="R575" s="233">
        <v>18517</v>
      </c>
      <c r="S575" s="232">
        <v>-1535</v>
      </c>
      <c r="T575" s="234">
        <v>16982</v>
      </c>
    </row>
    <row r="576" spans="1:20">
      <c r="A576" s="48">
        <v>96221</v>
      </c>
      <c r="B576" s="49" t="s">
        <v>2344</v>
      </c>
      <c r="C576" s="235">
        <v>2.2809999999999999E-4</v>
      </c>
      <c r="D576" s="235">
        <v>2.3350000000000001E-4</v>
      </c>
      <c r="E576" s="215">
        <v>541131</v>
      </c>
      <c r="F576" s="215" t="s">
        <v>1930</v>
      </c>
      <c r="G576" s="233">
        <v>83484</v>
      </c>
      <c r="H576" s="221">
        <v>74281</v>
      </c>
      <c r="I576" s="233">
        <v>143595</v>
      </c>
      <c r="J576" s="232">
        <v>0</v>
      </c>
      <c r="K576" s="88">
        <f t="shared" si="23"/>
        <v>301360</v>
      </c>
      <c r="L576" s="50"/>
      <c r="M576" s="233">
        <v>2801</v>
      </c>
      <c r="N576" s="233">
        <v>0</v>
      </c>
      <c r="O576" s="232">
        <v>17587</v>
      </c>
      <c r="P576" s="88">
        <f t="shared" si="24"/>
        <v>20388</v>
      </c>
      <c r="Q576" s="50"/>
      <c r="R576" s="233">
        <v>150312</v>
      </c>
      <c r="S576" s="232">
        <v>-5474</v>
      </c>
      <c r="T576" s="234">
        <v>144838</v>
      </c>
    </row>
    <row r="577" spans="1:20">
      <c r="A577" s="48">
        <v>96231</v>
      </c>
      <c r="B577" s="49" t="s">
        <v>2345</v>
      </c>
      <c r="C577" s="235">
        <v>1.2540000000000001E-4</v>
      </c>
      <c r="D577" s="235">
        <v>1.3339999999999999E-4</v>
      </c>
      <c r="E577" s="215">
        <v>297492</v>
      </c>
      <c r="F577" s="215" t="s">
        <v>1930</v>
      </c>
      <c r="G577" s="233">
        <v>45896</v>
      </c>
      <c r="H577" s="221">
        <v>40837</v>
      </c>
      <c r="I577" s="233">
        <v>78943</v>
      </c>
      <c r="J577" s="232">
        <v>1915</v>
      </c>
      <c r="K577" s="88">
        <f t="shared" si="23"/>
        <v>167591</v>
      </c>
      <c r="L577" s="50"/>
      <c r="M577" s="233">
        <v>1540</v>
      </c>
      <c r="N577" s="233">
        <v>0</v>
      </c>
      <c r="O577" s="232">
        <v>22322</v>
      </c>
      <c r="P577" s="88">
        <f t="shared" si="24"/>
        <v>23862</v>
      </c>
      <c r="Q577" s="50"/>
      <c r="R577" s="233">
        <v>82635</v>
      </c>
      <c r="S577" s="232">
        <v>-10839</v>
      </c>
      <c r="T577" s="234">
        <v>71796</v>
      </c>
    </row>
    <row r="578" spans="1:20">
      <c r="A578" s="48">
        <v>96241</v>
      </c>
      <c r="B578" s="49" t="s">
        <v>2346</v>
      </c>
      <c r="C578" s="235">
        <v>5.4299999999999998E-5</v>
      </c>
      <c r="D578" s="235">
        <v>4.4700000000000002E-5</v>
      </c>
      <c r="E578" s="215">
        <v>128818</v>
      </c>
      <c r="F578" s="215" t="s">
        <v>1930</v>
      </c>
      <c r="G578" s="233">
        <v>19874</v>
      </c>
      <c r="H578" s="221">
        <v>17683</v>
      </c>
      <c r="I578" s="233">
        <v>34183</v>
      </c>
      <c r="J578" s="232">
        <v>5386</v>
      </c>
      <c r="K578" s="88">
        <f t="shared" si="23"/>
        <v>77126</v>
      </c>
      <c r="L578" s="50"/>
      <c r="M578" s="233">
        <v>667</v>
      </c>
      <c r="N578" s="233">
        <v>0</v>
      </c>
      <c r="O578" s="232">
        <v>2843</v>
      </c>
      <c r="P578" s="88">
        <f t="shared" si="24"/>
        <v>3510</v>
      </c>
      <c r="Q578" s="50"/>
      <c r="R578" s="233">
        <v>35782</v>
      </c>
      <c r="S578" s="232">
        <v>3441</v>
      </c>
      <c r="T578" s="234">
        <v>39223</v>
      </c>
    </row>
    <row r="579" spans="1:20">
      <c r="A579" s="48">
        <v>96251</v>
      </c>
      <c r="B579" s="49" t="s">
        <v>2347</v>
      </c>
      <c r="C579" s="235">
        <v>1.011E-4</v>
      </c>
      <c r="D579" s="235">
        <v>9.3999999999999994E-5</v>
      </c>
      <c r="E579" s="215">
        <v>239844</v>
      </c>
      <c r="F579" s="215" t="s">
        <v>1930</v>
      </c>
      <c r="G579" s="233">
        <v>37002</v>
      </c>
      <c r="H579" s="221">
        <v>32924</v>
      </c>
      <c r="I579" s="233">
        <v>63645</v>
      </c>
      <c r="J579" s="232">
        <v>4649</v>
      </c>
      <c r="K579" s="88">
        <f t="shared" si="23"/>
        <v>138220</v>
      </c>
      <c r="L579" s="50"/>
      <c r="M579" s="233">
        <v>1242</v>
      </c>
      <c r="N579" s="233">
        <v>0</v>
      </c>
      <c r="O579" s="232">
        <v>10419</v>
      </c>
      <c r="P579" s="88">
        <f t="shared" si="24"/>
        <v>11661</v>
      </c>
      <c r="Q579" s="50"/>
      <c r="R579" s="233">
        <v>66622</v>
      </c>
      <c r="S579" s="232">
        <v>-7630</v>
      </c>
      <c r="T579" s="234">
        <v>58992</v>
      </c>
    </row>
    <row r="580" spans="1:20">
      <c r="A580" s="48">
        <v>96301</v>
      </c>
      <c r="B580" s="49" t="s">
        <v>1280</v>
      </c>
      <c r="C580" s="235">
        <v>4.4197999999999998E-3</v>
      </c>
      <c r="D580" s="235">
        <v>4.3712999999999998E-3</v>
      </c>
      <c r="E580" s="215">
        <v>10485277</v>
      </c>
      <c r="F580" s="215" t="s">
        <v>1930</v>
      </c>
      <c r="G580" s="233">
        <v>1617629</v>
      </c>
      <c r="H580" s="221">
        <v>1439316</v>
      </c>
      <c r="I580" s="233">
        <v>2782388</v>
      </c>
      <c r="J580" s="232">
        <v>27387</v>
      </c>
      <c r="K580" s="88">
        <f t="shared" si="23"/>
        <v>5866720</v>
      </c>
      <c r="L580" s="50"/>
      <c r="M580" s="233">
        <v>54280</v>
      </c>
      <c r="N580" s="233">
        <v>0</v>
      </c>
      <c r="O580" s="232">
        <v>127331</v>
      </c>
      <c r="P580" s="88">
        <f t="shared" si="24"/>
        <v>181611</v>
      </c>
      <c r="Q580" s="50"/>
      <c r="R580" s="233">
        <v>2912529</v>
      </c>
      <c r="S580" s="232">
        <v>-34571</v>
      </c>
      <c r="T580" s="234">
        <v>2877958</v>
      </c>
    </row>
    <row r="581" spans="1:20">
      <c r="A581" s="48">
        <v>96302</v>
      </c>
      <c r="B581" s="49" t="s">
        <v>2348</v>
      </c>
      <c r="C581" s="235">
        <v>2.3499999999999999E-5</v>
      </c>
      <c r="D581" s="235">
        <v>2.5199999999999999E-5</v>
      </c>
      <c r="E581" s="215">
        <v>55750</v>
      </c>
      <c r="F581" s="215" t="s">
        <v>1930</v>
      </c>
      <c r="G581" s="233">
        <v>8601</v>
      </c>
      <c r="H581" s="221">
        <v>7653</v>
      </c>
      <c r="I581" s="233">
        <v>14794</v>
      </c>
      <c r="J581" s="232">
        <v>4772</v>
      </c>
      <c r="K581" s="88">
        <f t="shared" si="23"/>
        <v>35820</v>
      </c>
      <c r="L581" s="50"/>
      <c r="M581" s="233">
        <v>289</v>
      </c>
      <c r="N581" s="233">
        <v>0</v>
      </c>
      <c r="O581" s="232">
        <v>746</v>
      </c>
      <c r="P581" s="88">
        <f t="shared" si="24"/>
        <v>1035</v>
      </c>
      <c r="Q581" s="50"/>
      <c r="R581" s="233">
        <v>15486</v>
      </c>
      <c r="S581" s="232">
        <v>2441</v>
      </c>
      <c r="T581" s="234">
        <v>17927</v>
      </c>
    </row>
    <row r="582" spans="1:20">
      <c r="A582" s="48">
        <v>96304</v>
      </c>
      <c r="B582" s="49" t="s">
        <v>1282</v>
      </c>
      <c r="C582" s="235">
        <v>4.7500000000000003E-5</v>
      </c>
      <c r="D582" s="235">
        <v>4.5500000000000001E-5</v>
      </c>
      <c r="E582" s="215">
        <v>112686</v>
      </c>
      <c r="F582" s="215" t="s">
        <v>1930</v>
      </c>
      <c r="G582" s="233">
        <v>17385</v>
      </c>
      <c r="H582" s="221">
        <v>15469</v>
      </c>
      <c r="I582" s="233">
        <v>29903</v>
      </c>
      <c r="J582" s="232">
        <v>9034</v>
      </c>
      <c r="K582" s="88">
        <f t="shared" si="23"/>
        <v>71791</v>
      </c>
      <c r="L582" s="50"/>
      <c r="M582" s="233">
        <v>583</v>
      </c>
      <c r="N582" s="233">
        <v>0</v>
      </c>
      <c r="O582" s="232">
        <v>733</v>
      </c>
      <c r="P582" s="88">
        <f t="shared" si="24"/>
        <v>1316</v>
      </c>
      <c r="Q582" s="50"/>
      <c r="R582" s="233">
        <v>31301</v>
      </c>
      <c r="S582" s="232">
        <v>3589</v>
      </c>
      <c r="T582" s="234">
        <v>34890</v>
      </c>
    </row>
    <row r="583" spans="1:20">
      <c r="A583" s="48">
        <v>96305</v>
      </c>
      <c r="B583" s="49" t="s">
        <v>1283</v>
      </c>
      <c r="C583" s="235">
        <v>4.1100000000000003E-5</v>
      </c>
      <c r="D583" s="235">
        <v>4.5500000000000001E-5</v>
      </c>
      <c r="E583" s="215">
        <v>97503</v>
      </c>
      <c r="F583" s="215" t="s">
        <v>1930</v>
      </c>
      <c r="G583" s="233">
        <v>15042</v>
      </c>
      <c r="H583" s="221">
        <v>13384</v>
      </c>
      <c r="I583" s="233">
        <v>25874</v>
      </c>
      <c r="J583" s="232">
        <v>16290</v>
      </c>
      <c r="K583" s="88">
        <f t="shared" si="23"/>
        <v>70590</v>
      </c>
      <c r="L583" s="50"/>
      <c r="M583" s="233">
        <v>505</v>
      </c>
      <c r="N583" s="233">
        <v>0</v>
      </c>
      <c r="O583" s="232">
        <v>0</v>
      </c>
      <c r="P583" s="88">
        <f t="shared" si="24"/>
        <v>505</v>
      </c>
      <c r="Q583" s="50"/>
      <c r="R583" s="233">
        <v>27084</v>
      </c>
      <c r="S583" s="232">
        <v>6681</v>
      </c>
      <c r="T583" s="234">
        <v>33765</v>
      </c>
    </row>
    <row r="584" spans="1:20">
      <c r="A584" s="48">
        <v>96310</v>
      </c>
      <c r="B584" s="49" t="s">
        <v>1284</v>
      </c>
      <c r="C584" s="235">
        <v>5.02E-5</v>
      </c>
      <c r="D584" s="235">
        <v>6.1099999999999994E-5</v>
      </c>
      <c r="E584" s="215">
        <v>119092</v>
      </c>
      <c r="F584" s="215" t="s">
        <v>1930</v>
      </c>
      <c r="G584" s="233">
        <v>18373</v>
      </c>
      <c r="H584" s="221">
        <v>16347</v>
      </c>
      <c r="I584" s="233">
        <v>31602</v>
      </c>
      <c r="J584" s="232">
        <v>5953</v>
      </c>
      <c r="K584" s="88">
        <f t="shared" si="23"/>
        <v>72275</v>
      </c>
      <c r="L584" s="50"/>
      <c r="M584" s="233">
        <v>617</v>
      </c>
      <c r="N584" s="233">
        <v>0</v>
      </c>
      <c r="O584" s="232">
        <v>5950</v>
      </c>
      <c r="P584" s="88">
        <f t="shared" si="24"/>
        <v>6567</v>
      </c>
      <c r="Q584" s="50"/>
      <c r="R584" s="233">
        <v>33080</v>
      </c>
      <c r="S584" s="232">
        <v>2495</v>
      </c>
      <c r="T584" s="234">
        <v>35575</v>
      </c>
    </row>
    <row r="585" spans="1:20">
      <c r="A585" s="48">
        <v>96311</v>
      </c>
      <c r="B585" s="49" t="s">
        <v>2349</v>
      </c>
      <c r="C585" s="235">
        <v>1.3328000000000001E-3</v>
      </c>
      <c r="D585" s="235">
        <v>1.3113000000000001E-3</v>
      </c>
      <c r="E585" s="215">
        <v>3161857</v>
      </c>
      <c r="F585" s="215" t="s">
        <v>1930</v>
      </c>
      <c r="G585" s="233">
        <v>487799</v>
      </c>
      <c r="H585" s="221">
        <v>434029</v>
      </c>
      <c r="I585" s="233">
        <v>839035</v>
      </c>
      <c r="J585" s="232">
        <v>0</v>
      </c>
      <c r="K585" s="88">
        <f t="shared" si="23"/>
        <v>1760863</v>
      </c>
      <c r="L585" s="50"/>
      <c r="M585" s="233">
        <v>16368</v>
      </c>
      <c r="N585" s="233">
        <v>0</v>
      </c>
      <c r="O585" s="232">
        <v>112780</v>
      </c>
      <c r="P585" s="88">
        <f t="shared" si="24"/>
        <v>129148</v>
      </c>
      <c r="Q585" s="50"/>
      <c r="R585" s="233">
        <v>878279</v>
      </c>
      <c r="S585" s="232">
        <v>-38768</v>
      </c>
      <c r="T585" s="234">
        <v>839511</v>
      </c>
    </row>
    <row r="586" spans="1:20">
      <c r="A586" s="48">
        <v>96312</v>
      </c>
      <c r="B586" s="49" t="s">
        <v>2350</v>
      </c>
      <c r="C586" s="235">
        <v>6.1E-6</v>
      </c>
      <c r="D586" s="235">
        <v>1.5999999999999999E-5</v>
      </c>
      <c r="E586" s="215">
        <v>14471</v>
      </c>
      <c r="F586" s="215" t="s">
        <v>1930</v>
      </c>
      <c r="G586" s="233">
        <v>2233</v>
      </c>
      <c r="H586" s="221">
        <v>1987</v>
      </c>
      <c r="I586" s="233">
        <v>3840</v>
      </c>
      <c r="J586" s="232">
        <v>5741</v>
      </c>
      <c r="K586" s="88">
        <f t="shared" si="23"/>
        <v>13801</v>
      </c>
      <c r="L586" s="50"/>
      <c r="M586" s="233">
        <v>75</v>
      </c>
      <c r="N586" s="233">
        <v>0</v>
      </c>
      <c r="O586" s="232">
        <v>7008</v>
      </c>
      <c r="P586" s="88">
        <f t="shared" si="24"/>
        <v>7083</v>
      </c>
      <c r="Q586" s="50"/>
      <c r="R586" s="233">
        <v>4020</v>
      </c>
      <c r="S586" s="232">
        <v>-1283</v>
      </c>
      <c r="T586" s="234">
        <v>2737</v>
      </c>
    </row>
    <row r="587" spans="1:20">
      <c r="A587" s="48">
        <v>96318</v>
      </c>
      <c r="B587" s="49" t="s">
        <v>1287</v>
      </c>
      <c r="C587" s="235">
        <v>2.2098999999999999E-3</v>
      </c>
      <c r="D587" s="235">
        <v>2.1684999999999999E-3</v>
      </c>
      <c r="E587" s="215">
        <v>5242639</v>
      </c>
      <c r="F587" s="215" t="s">
        <v>1930</v>
      </c>
      <c r="G587" s="233">
        <v>808815</v>
      </c>
      <c r="H587" s="221">
        <v>719659</v>
      </c>
      <c r="I587" s="233">
        <v>1391194</v>
      </c>
      <c r="J587" s="232">
        <v>5150573</v>
      </c>
      <c r="K587" s="88">
        <f t="shared" si="23"/>
        <v>8070241</v>
      </c>
      <c r="L587" s="50"/>
      <c r="M587" s="233">
        <v>27140</v>
      </c>
      <c r="N587" s="233">
        <v>0</v>
      </c>
      <c r="O587" s="232">
        <v>0</v>
      </c>
      <c r="P587" s="88">
        <f t="shared" si="24"/>
        <v>27140</v>
      </c>
      <c r="Q587" s="50"/>
      <c r="R587" s="233">
        <v>1456264</v>
      </c>
      <c r="S587" s="232">
        <v>2691083</v>
      </c>
      <c r="T587" s="234">
        <v>4147347</v>
      </c>
    </row>
    <row r="588" spans="1:20">
      <c r="A588" s="48">
        <v>96321</v>
      </c>
      <c r="B588" s="49" t="s">
        <v>2351</v>
      </c>
      <c r="C588" s="235">
        <v>3.7299999999999999E-5</v>
      </c>
      <c r="D588" s="235">
        <v>3.6900000000000002E-5</v>
      </c>
      <c r="E588" s="215">
        <v>88488</v>
      </c>
      <c r="F588" s="215" t="s">
        <v>1930</v>
      </c>
      <c r="G588" s="233">
        <v>13652</v>
      </c>
      <c r="H588" s="221">
        <v>12147</v>
      </c>
      <c r="I588" s="233">
        <v>23481</v>
      </c>
      <c r="J588" s="232">
        <v>2037</v>
      </c>
      <c r="K588" s="88">
        <f t="shared" si="23"/>
        <v>51317</v>
      </c>
      <c r="L588" s="50"/>
      <c r="M588" s="233">
        <v>458</v>
      </c>
      <c r="N588" s="233">
        <v>0</v>
      </c>
      <c r="O588" s="232">
        <v>1391</v>
      </c>
      <c r="P588" s="88">
        <f t="shared" si="24"/>
        <v>1849</v>
      </c>
      <c r="Q588" s="50"/>
      <c r="R588" s="233">
        <v>24580</v>
      </c>
      <c r="S588" s="232">
        <v>-243</v>
      </c>
      <c r="T588" s="234">
        <v>24337</v>
      </c>
    </row>
    <row r="589" spans="1:20">
      <c r="A589" s="48">
        <v>96331</v>
      </c>
      <c r="B589" s="49" t="s">
        <v>2352</v>
      </c>
      <c r="C589" s="235">
        <v>7.0220000000000005E-4</v>
      </c>
      <c r="D589" s="235">
        <v>7.0850000000000004E-4</v>
      </c>
      <c r="E589" s="215">
        <v>1665859</v>
      </c>
      <c r="F589" s="215" t="s">
        <v>1930</v>
      </c>
      <c r="G589" s="233">
        <v>257002</v>
      </c>
      <c r="H589" s="221">
        <v>228672</v>
      </c>
      <c r="I589" s="233">
        <v>442055</v>
      </c>
      <c r="J589" s="232">
        <v>1400</v>
      </c>
      <c r="K589" s="88">
        <f t="shared" si="23"/>
        <v>929129</v>
      </c>
      <c r="L589" s="50"/>
      <c r="M589" s="233">
        <v>8624</v>
      </c>
      <c r="N589" s="233">
        <v>0</v>
      </c>
      <c r="O589" s="232">
        <v>67389</v>
      </c>
      <c r="P589" s="88">
        <f t="shared" si="24"/>
        <v>76013</v>
      </c>
      <c r="Q589" s="50"/>
      <c r="R589" s="233">
        <v>462731</v>
      </c>
      <c r="S589" s="232">
        <v>-31677</v>
      </c>
      <c r="T589" s="234">
        <v>431054</v>
      </c>
    </row>
    <row r="590" spans="1:20">
      <c r="A590" s="48">
        <v>96341</v>
      </c>
      <c r="B590" s="49" t="s">
        <v>2353</v>
      </c>
      <c r="C590" s="235">
        <v>9.1399999999999999E-5</v>
      </c>
      <c r="D590" s="235">
        <v>8.3800000000000004E-5</v>
      </c>
      <c r="E590" s="215">
        <v>216832</v>
      </c>
      <c r="F590" s="215" t="s">
        <v>1930</v>
      </c>
      <c r="G590" s="233">
        <v>33452</v>
      </c>
      <c r="H590" s="221">
        <v>29765</v>
      </c>
      <c r="I590" s="233">
        <v>57539</v>
      </c>
      <c r="J590" s="232">
        <v>7342</v>
      </c>
      <c r="K590" s="88">
        <f t="shared" si="23"/>
        <v>128098</v>
      </c>
      <c r="L590" s="50"/>
      <c r="M590" s="233">
        <v>1122</v>
      </c>
      <c r="N590" s="233">
        <v>0</v>
      </c>
      <c r="O590" s="232">
        <v>5984</v>
      </c>
      <c r="P590" s="88">
        <f t="shared" si="24"/>
        <v>7106</v>
      </c>
      <c r="Q590" s="50"/>
      <c r="R590" s="233">
        <v>60230</v>
      </c>
      <c r="S590" s="232">
        <v>-2239</v>
      </c>
      <c r="T590" s="234">
        <v>57991</v>
      </c>
    </row>
    <row r="591" spans="1:20">
      <c r="A591" s="48">
        <v>96351</v>
      </c>
      <c r="B591" s="49" t="s">
        <v>2488</v>
      </c>
      <c r="C591" s="235">
        <v>1.0456E-3</v>
      </c>
      <c r="D591" s="235">
        <v>1.0616E-3</v>
      </c>
      <c r="E591" s="215">
        <v>2480521</v>
      </c>
      <c r="F591" s="215" t="s">
        <v>1930</v>
      </c>
      <c r="G591" s="233">
        <v>382685</v>
      </c>
      <c r="H591" s="221">
        <v>340501</v>
      </c>
      <c r="I591" s="233">
        <v>658234</v>
      </c>
      <c r="J591" s="232">
        <v>1398</v>
      </c>
      <c r="K591" s="88">
        <f t="shared" si="23"/>
        <v>1382818</v>
      </c>
      <c r="L591" s="50"/>
      <c r="M591" s="233">
        <v>12841</v>
      </c>
      <c r="N591" s="233">
        <v>0</v>
      </c>
      <c r="O591" s="232">
        <v>35067</v>
      </c>
      <c r="P591" s="88">
        <f t="shared" si="24"/>
        <v>47908</v>
      </c>
      <c r="Q591" s="50"/>
      <c r="R591" s="233">
        <v>689022</v>
      </c>
      <c r="S591" s="232">
        <v>-9188</v>
      </c>
      <c r="T591" s="234">
        <v>679834</v>
      </c>
    </row>
    <row r="592" spans="1:20">
      <c r="A592" s="48">
        <v>96361</v>
      </c>
      <c r="B592" s="49" t="s">
        <v>2354</v>
      </c>
      <c r="C592" s="235">
        <v>4.9400000000000001E-5</v>
      </c>
      <c r="D592" s="235">
        <v>5.5699999999999999E-5</v>
      </c>
      <c r="E592" s="215">
        <v>117194</v>
      </c>
      <c r="F592" s="215" t="s">
        <v>1930</v>
      </c>
      <c r="G592" s="233">
        <v>18080</v>
      </c>
      <c r="H592" s="221">
        <v>16088</v>
      </c>
      <c r="I592" s="233">
        <v>31099</v>
      </c>
      <c r="J592" s="232">
        <v>1546</v>
      </c>
      <c r="K592" s="88">
        <f t="shared" si="23"/>
        <v>66813</v>
      </c>
      <c r="L592" s="50"/>
      <c r="M592" s="233">
        <v>607</v>
      </c>
      <c r="N592" s="233">
        <v>0</v>
      </c>
      <c r="O592" s="232">
        <v>5439</v>
      </c>
      <c r="P592" s="88">
        <f t="shared" si="24"/>
        <v>6046</v>
      </c>
      <c r="Q592" s="50"/>
      <c r="R592" s="233">
        <v>32553</v>
      </c>
      <c r="S592" s="232">
        <v>190</v>
      </c>
      <c r="T592" s="234">
        <v>32743</v>
      </c>
    </row>
    <row r="593" spans="1:20">
      <c r="A593" s="48">
        <v>96371</v>
      </c>
      <c r="B593" s="49" t="s">
        <v>2489</v>
      </c>
      <c r="C593" s="235">
        <v>1.4200000000000001E-4</v>
      </c>
      <c r="D593" s="235">
        <v>1.5249999999999999E-4</v>
      </c>
      <c r="E593" s="215">
        <v>336873</v>
      </c>
      <c r="F593" s="215" t="s">
        <v>1930</v>
      </c>
      <c r="G593" s="233">
        <v>51971</v>
      </c>
      <c r="H593" s="221">
        <v>46242</v>
      </c>
      <c r="I593" s="233">
        <v>89393</v>
      </c>
      <c r="J593" s="232">
        <v>0</v>
      </c>
      <c r="K593" s="88">
        <f t="shared" si="23"/>
        <v>187606</v>
      </c>
      <c r="L593" s="50"/>
      <c r="M593" s="233">
        <v>1744</v>
      </c>
      <c r="N593" s="233">
        <v>0</v>
      </c>
      <c r="O593" s="232">
        <v>16072</v>
      </c>
      <c r="P593" s="88">
        <f t="shared" si="24"/>
        <v>17816</v>
      </c>
      <c r="Q593" s="50"/>
      <c r="R593" s="233">
        <v>93574</v>
      </c>
      <c r="S593" s="232">
        <v>-4573</v>
      </c>
      <c r="T593" s="234">
        <v>89001</v>
      </c>
    </row>
    <row r="594" spans="1:20">
      <c r="A594" s="48">
        <v>96381</v>
      </c>
      <c r="B594" s="49" t="s">
        <v>1294</v>
      </c>
      <c r="C594" s="235">
        <v>3.5200000000000002E-5</v>
      </c>
      <c r="D594" s="235">
        <v>3.2100000000000001E-5</v>
      </c>
      <c r="E594" s="215">
        <v>83506</v>
      </c>
      <c r="F594" s="215" t="s">
        <v>1930</v>
      </c>
      <c r="G594" s="233">
        <v>12883</v>
      </c>
      <c r="H594" s="221">
        <v>11463</v>
      </c>
      <c r="I594" s="233">
        <v>22159</v>
      </c>
      <c r="J594" s="232">
        <v>1710</v>
      </c>
      <c r="K594" s="88">
        <f t="shared" si="23"/>
        <v>48215</v>
      </c>
      <c r="L594" s="50"/>
      <c r="M594" s="233">
        <v>432</v>
      </c>
      <c r="N594" s="233">
        <v>0</v>
      </c>
      <c r="O594" s="232">
        <v>634</v>
      </c>
      <c r="P594" s="88">
        <f t="shared" si="24"/>
        <v>1066</v>
      </c>
      <c r="Q594" s="50"/>
      <c r="R594" s="233">
        <v>23196</v>
      </c>
      <c r="S594" s="232">
        <v>-775</v>
      </c>
      <c r="T594" s="234">
        <v>22421</v>
      </c>
    </row>
    <row r="595" spans="1:20">
      <c r="A595" s="48">
        <v>96391</v>
      </c>
      <c r="B595" s="49" t="s">
        <v>2355</v>
      </c>
      <c r="C595" s="235">
        <v>2.1350000000000001E-4</v>
      </c>
      <c r="D595" s="235">
        <v>2.029E-4</v>
      </c>
      <c r="E595" s="215">
        <v>506495</v>
      </c>
      <c r="F595" s="215" t="s">
        <v>1930</v>
      </c>
      <c r="G595" s="233">
        <v>78140</v>
      </c>
      <c r="H595" s="221">
        <v>69527</v>
      </c>
      <c r="I595" s="233">
        <v>134404</v>
      </c>
      <c r="J595" s="232">
        <v>0</v>
      </c>
      <c r="K595" s="88">
        <f t="shared" ref="K595:K659" si="25">G595+H595+I595+J595</f>
        <v>282071</v>
      </c>
      <c r="L595" s="50"/>
      <c r="M595" s="233">
        <v>2622</v>
      </c>
      <c r="N595" s="233">
        <v>0</v>
      </c>
      <c r="O595" s="232">
        <v>20575</v>
      </c>
      <c r="P595" s="88">
        <f t="shared" ref="P595:P659" si="26">M595+N595+O595</f>
        <v>23197</v>
      </c>
      <c r="Q595" s="50"/>
      <c r="R595" s="233">
        <v>140691</v>
      </c>
      <c r="S595" s="232">
        <v>-665</v>
      </c>
      <c r="T595" s="234">
        <v>140026</v>
      </c>
    </row>
    <row r="596" spans="1:20">
      <c r="A596" s="48">
        <v>96401</v>
      </c>
      <c r="B596" s="49" t="s">
        <v>1296</v>
      </c>
      <c r="C596" s="235">
        <v>4.4764999999999996E-3</v>
      </c>
      <c r="D596" s="235">
        <v>4.5672000000000004E-3</v>
      </c>
      <c r="E596" s="215">
        <v>10619789</v>
      </c>
      <c r="F596" s="215" t="s">
        <v>1930</v>
      </c>
      <c r="G596" s="233">
        <v>1638381</v>
      </c>
      <c r="H596" s="221">
        <v>1457781</v>
      </c>
      <c r="I596" s="233">
        <v>2818082</v>
      </c>
      <c r="J596" s="232">
        <v>0</v>
      </c>
      <c r="K596" s="88">
        <f t="shared" si="25"/>
        <v>5914244</v>
      </c>
      <c r="L596" s="50"/>
      <c r="M596" s="233">
        <v>54976</v>
      </c>
      <c r="N596" s="233">
        <v>0</v>
      </c>
      <c r="O596" s="232">
        <v>163892</v>
      </c>
      <c r="P596" s="88">
        <f t="shared" si="26"/>
        <v>218868</v>
      </c>
      <c r="Q596" s="50"/>
      <c r="R596" s="233">
        <v>2949893</v>
      </c>
      <c r="S596" s="232">
        <v>-37128</v>
      </c>
      <c r="T596" s="234">
        <v>2912765</v>
      </c>
    </row>
    <row r="597" spans="1:20">
      <c r="A597" s="48">
        <v>96404</v>
      </c>
      <c r="B597" s="49" t="s">
        <v>1297</v>
      </c>
      <c r="C597" s="235">
        <v>9.98E-5</v>
      </c>
      <c r="D597" s="235">
        <v>1.026E-4</v>
      </c>
      <c r="E597" s="215">
        <v>236760</v>
      </c>
      <c r="F597" s="215" t="s">
        <v>1930</v>
      </c>
      <c r="G597" s="233">
        <v>36526</v>
      </c>
      <c r="H597" s="221">
        <v>32500</v>
      </c>
      <c r="I597" s="233">
        <v>62827</v>
      </c>
      <c r="J597" s="232">
        <v>25677</v>
      </c>
      <c r="K597" s="88">
        <f t="shared" si="25"/>
        <v>157530</v>
      </c>
      <c r="L597" s="50"/>
      <c r="M597" s="233">
        <v>1226</v>
      </c>
      <c r="N597" s="233">
        <v>0</v>
      </c>
      <c r="O597" s="232">
        <v>0</v>
      </c>
      <c r="P597" s="88">
        <f t="shared" si="26"/>
        <v>1226</v>
      </c>
      <c r="Q597" s="50"/>
      <c r="R597" s="233">
        <v>65766</v>
      </c>
      <c r="S597" s="232">
        <v>12826</v>
      </c>
      <c r="T597" s="234">
        <v>78592</v>
      </c>
    </row>
    <row r="598" spans="1:20">
      <c r="A598" s="48">
        <v>96405</v>
      </c>
      <c r="B598" s="49" t="s">
        <v>1298</v>
      </c>
      <c r="C598" s="235">
        <v>1.3219999999999999E-4</v>
      </c>
      <c r="D598" s="235">
        <v>1.6139999999999999E-4</v>
      </c>
      <c r="E598" s="215">
        <v>313624</v>
      </c>
      <c r="F598" s="215" t="s">
        <v>1930</v>
      </c>
      <c r="G598" s="233">
        <v>48385</v>
      </c>
      <c r="H598" s="221">
        <v>43051</v>
      </c>
      <c r="I598" s="233">
        <v>83224</v>
      </c>
      <c r="J598" s="232">
        <v>4606</v>
      </c>
      <c r="K598" s="88">
        <f t="shared" si="25"/>
        <v>179266</v>
      </c>
      <c r="L598" s="50"/>
      <c r="M598" s="233">
        <v>1624</v>
      </c>
      <c r="N598" s="233">
        <v>0</v>
      </c>
      <c r="O598" s="232">
        <v>1578</v>
      </c>
      <c r="P598" s="88">
        <f t="shared" si="26"/>
        <v>3202</v>
      </c>
      <c r="Q598" s="50"/>
      <c r="R598" s="233">
        <v>87116</v>
      </c>
      <c r="S598" s="232">
        <v>4206</v>
      </c>
      <c r="T598" s="234">
        <v>91322</v>
      </c>
    </row>
    <row r="599" spans="1:20">
      <c r="A599" s="48">
        <v>96411</v>
      </c>
      <c r="B599" s="49" t="s">
        <v>2356</v>
      </c>
      <c r="C599" s="235">
        <v>7.1899999999999999E-5</v>
      </c>
      <c r="D599" s="235">
        <v>7.2299999999999996E-5</v>
      </c>
      <c r="E599" s="215">
        <v>170571</v>
      </c>
      <c r="F599" s="215" t="s">
        <v>1930</v>
      </c>
      <c r="G599" s="233">
        <v>26315</v>
      </c>
      <c r="H599" s="221">
        <v>23414</v>
      </c>
      <c r="I599" s="233">
        <v>45263</v>
      </c>
      <c r="J599" s="232">
        <v>7628</v>
      </c>
      <c r="K599" s="88">
        <f t="shared" si="25"/>
        <v>102620</v>
      </c>
      <c r="L599" s="50"/>
      <c r="M599" s="233">
        <v>883</v>
      </c>
      <c r="N599" s="233">
        <v>0</v>
      </c>
      <c r="O599" s="232">
        <v>5714</v>
      </c>
      <c r="P599" s="88">
        <f t="shared" si="26"/>
        <v>6597</v>
      </c>
      <c r="Q599" s="50"/>
      <c r="R599" s="233">
        <v>47380</v>
      </c>
      <c r="S599" s="232">
        <v>1584</v>
      </c>
      <c r="T599" s="234">
        <v>48964</v>
      </c>
    </row>
    <row r="600" spans="1:20">
      <c r="A600" s="48">
        <v>96421</v>
      </c>
      <c r="B600" s="49" t="s">
        <v>2357</v>
      </c>
      <c r="C600" s="235">
        <v>4.2880000000000001E-4</v>
      </c>
      <c r="D600" s="235">
        <v>4.2529999999999998E-4</v>
      </c>
      <c r="E600" s="215">
        <v>1017260</v>
      </c>
      <c r="F600" s="215" t="s">
        <v>1930</v>
      </c>
      <c r="G600" s="233">
        <v>156939</v>
      </c>
      <c r="H600" s="221">
        <v>139640</v>
      </c>
      <c r="I600" s="233">
        <v>269942</v>
      </c>
      <c r="J600" s="232">
        <v>0</v>
      </c>
      <c r="K600" s="88">
        <f t="shared" si="25"/>
        <v>566521</v>
      </c>
      <c r="L600" s="50"/>
      <c r="M600" s="233">
        <v>5266</v>
      </c>
      <c r="N600" s="233">
        <v>0</v>
      </c>
      <c r="O600" s="232">
        <v>60679</v>
      </c>
      <c r="P600" s="88">
        <f t="shared" si="26"/>
        <v>65945</v>
      </c>
      <c r="Q600" s="50"/>
      <c r="R600" s="233">
        <v>282568</v>
      </c>
      <c r="S600" s="232">
        <v>-39301</v>
      </c>
      <c r="T600" s="234">
        <v>243267</v>
      </c>
    </row>
    <row r="601" spans="1:20">
      <c r="A601" s="48">
        <v>96431</v>
      </c>
      <c r="B601" s="49" t="s">
        <v>2358</v>
      </c>
      <c r="C601" s="235">
        <v>3.0599999999999998E-5</v>
      </c>
      <c r="D601" s="235">
        <v>4.2799999999999997E-5</v>
      </c>
      <c r="E601" s="215">
        <v>72594</v>
      </c>
      <c r="F601" s="215" t="s">
        <v>1930</v>
      </c>
      <c r="G601" s="233">
        <v>11199</v>
      </c>
      <c r="H601" s="221">
        <v>9965</v>
      </c>
      <c r="I601" s="233">
        <v>19264</v>
      </c>
      <c r="J601" s="232">
        <v>4082</v>
      </c>
      <c r="K601" s="88">
        <f t="shared" si="25"/>
        <v>44510</v>
      </c>
      <c r="L601" s="50"/>
      <c r="M601" s="233">
        <v>376</v>
      </c>
      <c r="N601" s="233">
        <v>0</v>
      </c>
      <c r="O601" s="232">
        <v>9581</v>
      </c>
      <c r="P601" s="88">
        <f t="shared" si="26"/>
        <v>9957</v>
      </c>
      <c r="Q601" s="50"/>
      <c r="R601" s="233">
        <v>20165</v>
      </c>
      <c r="S601" s="232">
        <v>-2392</v>
      </c>
      <c r="T601" s="234">
        <v>17773</v>
      </c>
    </row>
    <row r="602" spans="1:20">
      <c r="A602" s="48">
        <v>96441</v>
      </c>
      <c r="B602" s="49" t="s">
        <v>2359</v>
      </c>
      <c r="C602" s="235">
        <v>2.8E-5</v>
      </c>
      <c r="D602" s="235">
        <v>2.97E-5</v>
      </c>
      <c r="E602" s="215">
        <v>66426</v>
      </c>
      <c r="F602" s="215" t="s">
        <v>1930</v>
      </c>
      <c r="G602" s="233">
        <v>10248</v>
      </c>
      <c r="H602" s="221">
        <v>9118</v>
      </c>
      <c r="I602" s="233">
        <v>17627</v>
      </c>
      <c r="J602" s="232">
        <v>4392</v>
      </c>
      <c r="K602" s="88">
        <f t="shared" si="25"/>
        <v>41385</v>
      </c>
      <c r="L602" s="50"/>
      <c r="M602" s="233">
        <v>344</v>
      </c>
      <c r="N602" s="233">
        <v>0</v>
      </c>
      <c r="O602" s="232">
        <v>57</v>
      </c>
      <c r="P602" s="88">
        <f t="shared" si="26"/>
        <v>401</v>
      </c>
      <c r="Q602" s="50"/>
      <c r="R602" s="233">
        <v>18451</v>
      </c>
      <c r="S602" s="232">
        <v>2845</v>
      </c>
      <c r="T602" s="234">
        <v>21296</v>
      </c>
    </row>
    <row r="603" spans="1:20">
      <c r="A603" s="48">
        <v>96451</v>
      </c>
      <c r="B603" s="49" t="s">
        <v>2360</v>
      </c>
      <c r="C603" s="235">
        <v>1.8700000000000001E-5</v>
      </c>
      <c r="D603" s="235">
        <v>2.0299999999999999E-5</v>
      </c>
      <c r="E603" s="215">
        <v>44363</v>
      </c>
      <c r="F603" s="215" t="s">
        <v>1930</v>
      </c>
      <c r="G603" s="233">
        <v>6844</v>
      </c>
      <c r="H603" s="221">
        <v>6089</v>
      </c>
      <c r="I603" s="233">
        <v>11772</v>
      </c>
      <c r="J603" s="232">
        <v>4558</v>
      </c>
      <c r="K603" s="88">
        <f t="shared" si="25"/>
        <v>29263</v>
      </c>
      <c r="L603" s="50"/>
      <c r="M603" s="233">
        <v>230</v>
      </c>
      <c r="N603" s="233">
        <v>0</v>
      </c>
      <c r="O603" s="232">
        <v>2079</v>
      </c>
      <c r="P603" s="88">
        <f t="shared" si="26"/>
        <v>2309</v>
      </c>
      <c r="Q603" s="50"/>
      <c r="R603" s="233">
        <v>12323</v>
      </c>
      <c r="S603" s="232">
        <v>588</v>
      </c>
      <c r="T603" s="234">
        <v>12911</v>
      </c>
    </row>
    <row r="604" spans="1:20">
      <c r="A604" s="48">
        <v>96461</v>
      </c>
      <c r="B604" s="49" t="s">
        <v>2361</v>
      </c>
      <c r="C604" s="235">
        <v>1.538E-4</v>
      </c>
      <c r="D604" s="235">
        <v>1.361E-4</v>
      </c>
      <c r="E604" s="215">
        <v>364866</v>
      </c>
      <c r="F604" s="215" t="s">
        <v>1930</v>
      </c>
      <c r="G604" s="233">
        <v>56290</v>
      </c>
      <c r="H604" s="221">
        <v>50085</v>
      </c>
      <c r="I604" s="233">
        <v>96821</v>
      </c>
      <c r="J604" s="232">
        <v>11947</v>
      </c>
      <c r="K604" s="88">
        <f t="shared" si="25"/>
        <v>215143</v>
      </c>
      <c r="L604" s="50"/>
      <c r="M604" s="233">
        <v>1889</v>
      </c>
      <c r="N604" s="233">
        <v>0</v>
      </c>
      <c r="O604" s="232">
        <v>9861</v>
      </c>
      <c r="P604" s="88">
        <f t="shared" si="26"/>
        <v>11750</v>
      </c>
      <c r="Q604" s="50"/>
      <c r="R604" s="233">
        <v>101350</v>
      </c>
      <c r="S604" s="232">
        <v>-1446</v>
      </c>
      <c r="T604" s="234">
        <v>99904</v>
      </c>
    </row>
    <row r="605" spans="1:20">
      <c r="A605" s="48">
        <v>96501</v>
      </c>
      <c r="B605" s="49" t="s">
        <v>1305</v>
      </c>
      <c r="C605" s="235">
        <v>1.453E-2</v>
      </c>
      <c r="D605" s="235">
        <v>1.44739E-2</v>
      </c>
      <c r="E605" s="215">
        <v>34470129</v>
      </c>
      <c r="F605" s="215" t="s">
        <v>1930</v>
      </c>
      <c r="G605" s="233">
        <v>5317922</v>
      </c>
      <c r="H605" s="221">
        <v>4731723</v>
      </c>
      <c r="I605" s="233">
        <v>9147042</v>
      </c>
      <c r="J605" s="232">
        <v>113402</v>
      </c>
      <c r="K605" s="88">
        <f t="shared" si="25"/>
        <v>19310089</v>
      </c>
      <c r="L605" s="50"/>
      <c r="M605" s="233">
        <v>178443</v>
      </c>
      <c r="N605" s="233">
        <v>0</v>
      </c>
      <c r="O605" s="232">
        <v>280861</v>
      </c>
      <c r="P605" s="88">
        <f t="shared" si="26"/>
        <v>459304</v>
      </c>
      <c r="Q605" s="50"/>
      <c r="R605" s="233">
        <v>9574878</v>
      </c>
      <c r="S605" s="232">
        <v>126655</v>
      </c>
      <c r="T605" s="234">
        <v>9701533</v>
      </c>
    </row>
    <row r="606" spans="1:20">
      <c r="A606" s="48">
        <v>96502</v>
      </c>
      <c r="B606" s="49" t="s">
        <v>2765</v>
      </c>
      <c r="C606" s="235">
        <v>4.059E-4</v>
      </c>
      <c r="D606" s="235">
        <v>4.2440000000000002E-4</v>
      </c>
      <c r="E606" s="215">
        <v>962934</v>
      </c>
      <c r="F606" s="215" t="s">
        <v>1930</v>
      </c>
      <c r="G606" s="233">
        <v>148558</v>
      </c>
      <c r="H606" s="221">
        <v>132183</v>
      </c>
      <c r="I606" s="233">
        <v>255525</v>
      </c>
      <c r="J606" s="232">
        <v>16491</v>
      </c>
      <c r="K606" s="88">
        <f t="shared" si="25"/>
        <v>552757</v>
      </c>
      <c r="L606" s="50"/>
      <c r="M606" s="233">
        <v>4985</v>
      </c>
      <c r="N606" s="233">
        <v>0</v>
      </c>
      <c r="O606" s="232">
        <v>0</v>
      </c>
      <c r="P606" s="88">
        <f t="shared" si="26"/>
        <v>4985</v>
      </c>
      <c r="Q606" s="50"/>
      <c r="R606" s="233">
        <v>267477</v>
      </c>
      <c r="S606" s="232">
        <v>23122</v>
      </c>
      <c r="T606" s="234">
        <v>290599</v>
      </c>
    </row>
    <row r="607" spans="1:20">
      <c r="A607" s="48">
        <v>96503</v>
      </c>
      <c r="B607" s="49" t="s">
        <v>1307</v>
      </c>
      <c r="C607" s="235">
        <v>2.856E-4</v>
      </c>
      <c r="D607" s="235">
        <v>3.0039999999999998E-4</v>
      </c>
      <c r="E607" s="215">
        <v>677541</v>
      </c>
      <c r="F607" s="215" t="s">
        <v>1930</v>
      </c>
      <c r="G607" s="233">
        <v>104528</v>
      </c>
      <c r="H607" s="221">
        <v>93006</v>
      </c>
      <c r="I607" s="233">
        <v>179793</v>
      </c>
      <c r="J607" s="232">
        <v>287738</v>
      </c>
      <c r="K607" s="88">
        <f t="shared" si="25"/>
        <v>665065</v>
      </c>
      <c r="L607" s="50"/>
      <c r="M607" s="233">
        <v>3507</v>
      </c>
      <c r="N607" s="233">
        <v>0</v>
      </c>
      <c r="O607" s="232">
        <v>0</v>
      </c>
      <c r="P607" s="88">
        <f t="shared" si="26"/>
        <v>3507</v>
      </c>
      <c r="Q607" s="50"/>
      <c r="R607" s="233">
        <v>188203</v>
      </c>
      <c r="S607" s="232">
        <v>104796</v>
      </c>
      <c r="T607" s="234">
        <v>292999</v>
      </c>
    </row>
    <row r="608" spans="1:20">
      <c r="A608" s="48">
        <v>96504</v>
      </c>
      <c r="B608" s="49" t="s">
        <v>1308</v>
      </c>
      <c r="C608" s="235">
        <v>4.0900000000000002E-4</v>
      </c>
      <c r="D608" s="235">
        <v>4.1760000000000001E-4</v>
      </c>
      <c r="E608" s="215">
        <v>970288</v>
      </c>
      <c r="F608" s="215" t="s">
        <v>1930</v>
      </c>
      <c r="G608" s="233">
        <v>149692</v>
      </c>
      <c r="H608" s="221">
        <v>133192</v>
      </c>
      <c r="I608" s="233">
        <v>257477</v>
      </c>
      <c r="J608" s="232">
        <v>30948</v>
      </c>
      <c r="K608" s="88">
        <f t="shared" si="25"/>
        <v>571309</v>
      </c>
      <c r="L608" s="50"/>
      <c r="M608" s="233">
        <v>5023</v>
      </c>
      <c r="N608" s="233">
        <v>0</v>
      </c>
      <c r="O608" s="232">
        <v>3438</v>
      </c>
      <c r="P608" s="88">
        <f t="shared" si="26"/>
        <v>8461</v>
      </c>
      <c r="Q608" s="50"/>
      <c r="R608" s="233">
        <v>269520</v>
      </c>
      <c r="S608" s="232">
        <v>11348</v>
      </c>
      <c r="T608" s="234">
        <v>280868</v>
      </c>
    </row>
    <row r="609" spans="1:20">
      <c r="A609" s="48">
        <v>96507</v>
      </c>
      <c r="B609" s="49" t="s">
        <v>1309</v>
      </c>
      <c r="C609" s="235">
        <v>2.2176000000000001E-3</v>
      </c>
      <c r="D609" s="235">
        <v>2.2147E-3</v>
      </c>
      <c r="E609" s="215">
        <v>5260906</v>
      </c>
      <c r="F609" s="215" t="s">
        <v>1930</v>
      </c>
      <c r="G609" s="233">
        <v>811633</v>
      </c>
      <c r="H609" s="221">
        <v>722166</v>
      </c>
      <c r="I609" s="233">
        <v>1396041</v>
      </c>
      <c r="J609" s="232">
        <v>85460</v>
      </c>
      <c r="K609" s="88">
        <f t="shared" si="25"/>
        <v>3015300</v>
      </c>
      <c r="L609" s="50"/>
      <c r="M609" s="233">
        <v>27234</v>
      </c>
      <c r="N609" s="233">
        <v>0</v>
      </c>
      <c r="O609" s="232">
        <v>17095</v>
      </c>
      <c r="P609" s="88">
        <f t="shared" si="26"/>
        <v>44329</v>
      </c>
      <c r="Q609" s="50"/>
      <c r="R609" s="233">
        <v>1461339</v>
      </c>
      <c r="S609" s="232">
        <v>67118</v>
      </c>
      <c r="T609" s="234">
        <v>1528457</v>
      </c>
    </row>
    <row r="610" spans="1:20">
      <c r="A610" s="48">
        <v>96508</v>
      </c>
      <c r="B610" s="49" t="s">
        <v>2766</v>
      </c>
      <c r="C610" s="235">
        <v>7.4000000000000003E-6</v>
      </c>
      <c r="D610" s="235">
        <v>8.6000000000000007E-6</v>
      </c>
      <c r="E610" s="216">
        <v>17555</v>
      </c>
      <c r="F610" s="216" t="s">
        <v>1930</v>
      </c>
      <c r="G610" s="233">
        <v>2708</v>
      </c>
      <c r="H610" s="221">
        <v>2410</v>
      </c>
      <c r="I610" s="233">
        <v>4659</v>
      </c>
      <c r="J610" s="232">
        <v>12344</v>
      </c>
      <c r="K610" s="88">
        <f t="shared" si="25"/>
        <v>22121</v>
      </c>
      <c r="L610" s="50"/>
      <c r="M610" s="233">
        <v>91</v>
      </c>
      <c r="N610" s="233">
        <v>0</v>
      </c>
      <c r="O610" s="232">
        <v>0</v>
      </c>
      <c r="P610" s="88">
        <f t="shared" si="26"/>
        <v>91</v>
      </c>
      <c r="Q610" s="50"/>
      <c r="R610" s="233">
        <v>4876</v>
      </c>
      <c r="S610" s="232">
        <v>5799</v>
      </c>
      <c r="T610" s="234">
        <v>10675</v>
      </c>
    </row>
    <row r="611" spans="1:20">
      <c r="A611" s="48">
        <v>96511</v>
      </c>
      <c r="B611" s="49" t="s">
        <v>2362</v>
      </c>
      <c r="C611" s="235">
        <v>6.1580000000000001E-4</v>
      </c>
      <c r="D611" s="235">
        <v>6.2069999999999996E-4</v>
      </c>
      <c r="E611" s="216">
        <v>1460888</v>
      </c>
      <c r="F611" s="216" t="s">
        <v>1930</v>
      </c>
      <c r="G611" s="233">
        <v>225380</v>
      </c>
      <c r="H611" s="221">
        <v>200536</v>
      </c>
      <c r="I611" s="233">
        <v>387663</v>
      </c>
      <c r="J611" s="232">
        <v>0</v>
      </c>
      <c r="K611" s="88">
        <f t="shared" si="25"/>
        <v>813579</v>
      </c>
      <c r="L611" s="50"/>
      <c r="M611" s="233">
        <v>7563</v>
      </c>
      <c r="N611" s="233">
        <v>0</v>
      </c>
      <c r="O611" s="232">
        <v>55836</v>
      </c>
      <c r="P611" s="88">
        <f t="shared" si="26"/>
        <v>63399</v>
      </c>
      <c r="Q611" s="50"/>
      <c r="R611" s="233">
        <v>405796</v>
      </c>
      <c r="S611" s="232">
        <v>-51447</v>
      </c>
      <c r="T611" s="234">
        <v>354349</v>
      </c>
    </row>
    <row r="612" spans="1:20">
      <c r="A612" s="48">
        <v>96512</v>
      </c>
      <c r="B612" s="49" t="s">
        <v>1312</v>
      </c>
      <c r="C612" s="235">
        <v>1.5899999999999999E-4</v>
      </c>
      <c r="D612" s="235">
        <v>1.5119999999999999E-4</v>
      </c>
      <c r="E612" s="216">
        <v>377202</v>
      </c>
      <c r="F612" s="216" t="s">
        <v>1930</v>
      </c>
      <c r="G612" s="233">
        <v>58193</v>
      </c>
      <c r="H612" s="221">
        <v>51778</v>
      </c>
      <c r="I612" s="233">
        <v>100095</v>
      </c>
      <c r="J612" s="232">
        <v>10002</v>
      </c>
      <c r="K612" s="88">
        <f t="shared" si="25"/>
        <v>220068</v>
      </c>
      <c r="L612" s="50"/>
      <c r="M612" s="233">
        <v>1953</v>
      </c>
      <c r="N612" s="233">
        <v>0</v>
      </c>
      <c r="O612" s="232">
        <v>7472</v>
      </c>
      <c r="P612" s="88">
        <f t="shared" si="26"/>
        <v>9425</v>
      </c>
      <c r="Q612" s="50"/>
      <c r="R612" s="233">
        <v>104777</v>
      </c>
      <c r="S612" s="232">
        <v>1973</v>
      </c>
      <c r="T612" s="234">
        <v>106750</v>
      </c>
    </row>
    <row r="614" spans="1:20">
      <c r="A614" s="48">
        <v>96521</v>
      </c>
      <c r="B614" s="49" t="s">
        <v>2363</v>
      </c>
      <c r="C614" s="235">
        <v>9.6719999999999998E-4</v>
      </c>
      <c r="D614" s="235">
        <v>9.881E-4</v>
      </c>
      <c r="E614" s="216">
        <v>2294529</v>
      </c>
      <c r="F614" s="216" t="s">
        <v>1930</v>
      </c>
      <c r="G614" s="233">
        <v>353991</v>
      </c>
      <c r="H614" s="221">
        <v>314971</v>
      </c>
      <c r="I614" s="233">
        <v>608879</v>
      </c>
      <c r="J614" s="232">
        <v>13526</v>
      </c>
      <c r="K614" s="88">
        <f t="shared" si="25"/>
        <v>1291367</v>
      </c>
      <c r="L614" s="50"/>
      <c r="M614" s="233">
        <v>11878</v>
      </c>
      <c r="N614" s="233">
        <v>0</v>
      </c>
      <c r="O614" s="232">
        <v>66754</v>
      </c>
      <c r="P614" s="88">
        <f t="shared" si="26"/>
        <v>78632</v>
      </c>
      <c r="Q614" s="50"/>
      <c r="R614" s="233">
        <v>637359</v>
      </c>
      <c r="S614" s="232">
        <v>-6086</v>
      </c>
      <c r="T614" s="234">
        <v>631273</v>
      </c>
    </row>
    <row r="615" spans="1:20">
      <c r="A615" s="48">
        <v>96531</v>
      </c>
      <c r="B615" s="49" t="s">
        <v>1314</v>
      </c>
      <c r="C615" s="235">
        <v>8.7183999999999994E-3</v>
      </c>
      <c r="D615" s="235">
        <v>8.5845000000000001E-3</v>
      </c>
      <c r="E615" s="216">
        <v>20683026</v>
      </c>
      <c r="F615" s="216" t="s">
        <v>1930</v>
      </c>
      <c r="G615" s="233">
        <v>3190900</v>
      </c>
      <c r="H615" s="221">
        <v>2839165</v>
      </c>
      <c r="I615" s="233">
        <v>5488477</v>
      </c>
      <c r="J615" s="232">
        <v>21971</v>
      </c>
      <c r="K615" s="88">
        <f t="shared" si="25"/>
        <v>11540513</v>
      </c>
      <c r="L615" s="50"/>
      <c r="M615" s="233">
        <v>107071</v>
      </c>
      <c r="N615" s="233">
        <v>0</v>
      </c>
      <c r="O615" s="232">
        <v>363715</v>
      </c>
      <c r="P615" s="88">
        <f t="shared" si="26"/>
        <v>470786</v>
      </c>
      <c r="Q615" s="50"/>
      <c r="R615" s="233">
        <v>5745190</v>
      </c>
      <c r="S615" s="232">
        <v>-139676</v>
      </c>
      <c r="T615" s="234">
        <v>5605514</v>
      </c>
    </row>
    <row r="616" spans="1:20">
      <c r="A616" s="48">
        <v>96541</v>
      </c>
      <c r="B616" s="49" t="s">
        <v>2364</v>
      </c>
      <c r="C616" s="235">
        <v>3.5780000000000002E-4</v>
      </c>
      <c r="D616" s="235">
        <v>3.5950000000000001E-4</v>
      </c>
      <c r="E616" s="216">
        <v>848824</v>
      </c>
      <c r="F616" s="216" t="s">
        <v>1930</v>
      </c>
      <c r="G616" s="233">
        <v>130953</v>
      </c>
      <c r="H616" s="221">
        <v>116518</v>
      </c>
      <c r="I616" s="233">
        <v>225245</v>
      </c>
      <c r="J616" s="232">
        <v>11846</v>
      </c>
      <c r="K616" s="88">
        <f t="shared" si="25"/>
        <v>484562</v>
      </c>
      <c r="L616" s="50"/>
      <c r="M616" s="233">
        <v>4394</v>
      </c>
      <c r="N616" s="233">
        <v>0</v>
      </c>
      <c r="O616" s="232">
        <v>5150</v>
      </c>
      <c r="P616" s="88">
        <f t="shared" si="26"/>
        <v>9544</v>
      </c>
      <c r="Q616" s="50"/>
      <c r="R616" s="233">
        <v>235781</v>
      </c>
      <c r="S616" s="232">
        <v>11668</v>
      </c>
      <c r="T616" s="234">
        <v>247449</v>
      </c>
    </row>
    <row r="617" spans="1:20">
      <c r="A617" s="48">
        <v>96601</v>
      </c>
      <c r="B617" s="49" t="s">
        <v>1316</v>
      </c>
      <c r="C617" s="235">
        <v>1.7382999999999999E-3</v>
      </c>
      <c r="D617" s="235">
        <v>1.8169E-3</v>
      </c>
      <c r="E617" s="216">
        <v>4123842</v>
      </c>
      <c r="F617" s="216" t="s">
        <v>1930</v>
      </c>
      <c r="G617" s="233">
        <v>636211</v>
      </c>
      <c r="H617" s="221">
        <v>566081</v>
      </c>
      <c r="I617" s="233">
        <v>1094309</v>
      </c>
      <c r="J617" s="232">
        <v>18007</v>
      </c>
      <c r="K617" s="88">
        <f t="shared" si="25"/>
        <v>2314608</v>
      </c>
      <c r="L617" s="50"/>
      <c r="M617" s="233">
        <v>21348</v>
      </c>
      <c r="N617" s="233">
        <v>0</v>
      </c>
      <c r="O617" s="232">
        <v>78122</v>
      </c>
      <c r="P617" s="88">
        <f t="shared" si="26"/>
        <v>99470</v>
      </c>
      <c r="Q617" s="50"/>
      <c r="R617" s="233">
        <v>1145493</v>
      </c>
      <c r="S617" s="232">
        <v>10810</v>
      </c>
      <c r="T617" s="234">
        <v>1156303</v>
      </c>
    </row>
    <row r="618" spans="1:20">
      <c r="A618" s="48">
        <v>96604</v>
      </c>
      <c r="B618" s="49" t="s">
        <v>1317</v>
      </c>
      <c r="C618" s="235">
        <v>5.5999999999999997E-6</v>
      </c>
      <c r="D618" s="235">
        <v>7.6000000000000001E-6</v>
      </c>
      <c r="E618" s="216">
        <v>13285</v>
      </c>
      <c r="F618" s="216" t="s">
        <v>1930</v>
      </c>
      <c r="G618" s="233">
        <v>2050</v>
      </c>
      <c r="H618" s="221">
        <v>1823</v>
      </c>
      <c r="I618" s="233">
        <v>3525</v>
      </c>
      <c r="J618" s="232">
        <v>1487</v>
      </c>
      <c r="K618" s="88">
        <f t="shared" si="25"/>
        <v>8885</v>
      </c>
      <c r="L618" s="50"/>
      <c r="M618" s="233">
        <v>69</v>
      </c>
      <c r="N618" s="233">
        <v>0</v>
      </c>
      <c r="O618" s="232">
        <v>31</v>
      </c>
      <c r="P618" s="88">
        <f t="shared" si="26"/>
        <v>100</v>
      </c>
      <c r="Q618" s="50"/>
      <c r="R618" s="233">
        <v>3690</v>
      </c>
      <c r="S618" s="232">
        <v>870</v>
      </c>
      <c r="T618" s="234">
        <v>4560</v>
      </c>
    </row>
    <row r="619" spans="1:20">
      <c r="A619" s="48">
        <v>96611</v>
      </c>
      <c r="B619" s="49" t="s">
        <v>2365</v>
      </c>
      <c r="C619" s="235">
        <v>2.41E-5</v>
      </c>
      <c r="D619" s="235">
        <v>2.83E-5</v>
      </c>
      <c r="E619" s="216">
        <v>57173</v>
      </c>
      <c r="F619" s="216" t="s">
        <v>1930</v>
      </c>
      <c r="G619" s="233">
        <v>8821</v>
      </c>
      <c r="H619" s="221">
        <v>7848</v>
      </c>
      <c r="I619" s="233">
        <v>15172</v>
      </c>
      <c r="J619" s="232">
        <v>263</v>
      </c>
      <c r="K619" s="88">
        <f t="shared" si="25"/>
        <v>32104</v>
      </c>
      <c r="L619" s="50"/>
      <c r="M619" s="233">
        <v>296</v>
      </c>
      <c r="N619" s="233">
        <v>0</v>
      </c>
      <c r="O619" s="232">
        <v>5198</v>
      </c>
      <c r="P619" s="88">
        <f t="shared" si="26"/>
        <v>5494</v>
      </c>
      <c r="Q619" s="50"/>
      <c r="R619" s="233">
        <v>15881</v>
      </c>
      <c r="S619" s="232">
        <v>-426</v>
      </c>
      <c r="T619" s="234">
        <v>15455</v>
      </c>
    </row>
    <row r="620" spans="1:20">
      <c r="A620" s="48">
        <v>96612</v>
      </c>
      <c r="B620" s="49" t="s">
        <v>2767</v>
      </c>
      <c r="C620" s="235">
        <v>5.4500000000000003E-5</v>
      </c>
      <c r="D620" s="235">
        <v>6.3299999999999994E-5</v>
      </c>
      <c r="E620" s="216">
        <v>129293</v>
      </c>
      <c r="F620" s="216" t="s">
        <v>1930</v>
      </c>
      <c r="G620" s="233">
        <v>19947</v>
      </c>
      <c r="H620" s="221">
        <v>17748</v>
      </c>
      <c r="I620" s="233">
        <v>34309</v>
      </c>
      <c r="J620" s="232">
        <v>4765</v>
      </c>
      <c r="K620" s="88">
        <f t="shared" si="25"/>
        <v>76769</v>
      </c>
      <c r="L620" s="50"/>
      <c r="M620" s="233">
        <v>669</v>
      </c>
      <c r="N620" s="233">
        <v>0</v>
      </c>
      <c r="O620" s="232">
        <v>2264</v>
      </c>
      <c r="P620" s="88">
        <f t="shared" si="26"/>
        <v>2933</v>
      </c>
      <c r="Q620" s="50"/>
      <c r="R620" s="233">
        <v>35914</v>
      </c>
      <c r="S620" s="232">
        <v>1711</v>
      </c>
      <c r="T620" s="234">
        <v>37625</v>
      </c>
    </row>
    <row r="621" spans="1:20">
      <c r="A621" s="48">
        <v>96621</v>
      </c>
      <c r="B621" s="49" t="s">
        <v>2366</v>
      </c>
      <c r="C621" s="235">
        <v>1.9199999999999999E-5</v>
      </c>
      <c r="D621" s="235">
        <v>2.5999999999999998E-5</v>
      </c>
      <c r="E621" s="216">
        <v>45549</v>
      </c>
      <c r="F621" s="216" t="s">
        <v>1930</v>
      </c>
      <c r="G621" s="233">
        <v>7027</v>
      </c>
      <c r="H621" s="221">
        <v>6253</v>
      </c>
      <c r="I621" s="233">
        <v>12087</v>
      </c>
      <c r="J621" s="232">
        <v>856</v>
      </c>
      <c r="K621" s="88">
        <f t="shared" si="25"/>
        <v>26223</v>
      </c>
      <c r="L621" s="50"/>
      <c r="M621" s="233">
        <v>236</v>
      </c>
      <c r="N621" s="233">
        <v>0</v>
      </c>
      <c r="O621" s="232">
        <v>4283</v>
      </c>
      <c r="P621" s="88">
        <f t="shared" si="26"/>
        <v>4519</v>
      </c>
      <c r="Q621" s="50"/>
      <c r="R621" s="233">
        <v>12652</v>
      </c>
      <c r="S621" s="232">
        <v>-2837</v>
      </c>
      <c r="T621" s="234">
        <v>9815</v>
      </c>
    </row>
    <row r="622" spans="1:20">
      <c r="A622" s="48">
        <v>96631</v>
      </c>
      <c r="B622" s="49" t="s">
        <v>2367</v>
      </c>
      <c r="C622" s="235">
        <v>2.3600000000000001E-5</v>
      </c>
      <c r="D622" s="235">
        <v>2.51E-5</v>
      </c>
      <c r="E622" s="216">
        <v>55987</v>
      </c>
      <c r="F622" s="216" t="s">
        <v>1930</v>
      </c>
      <c r="G622" s="233">
        <v>8638</v>
      </c>
      <c r="H622" s="221">
        <v>7685</v>
      </c>
      <c r="I622" s="233">
        <v>14857</v>
      </c>
      <c r="J622" s="232">
        <v>1094</v>
      </c>
      <c r="K622" s="88">
        <f t="shared" si="25"/>
        <v>32274</v>
      </c>
      <c r="L622" s="50"/>
      <c r="M622" s="233">
        <v>290</v>
      </c>
      <c r="N622" s="233">
        <v>0</v>
      </c>
      <c r="O622" s="232">
        <v>531</v>
      </c>
      <c r="P622" s="88">
        <f t="shared" si="26"/>
        <v>821</v>
      </c>
      <c r="Q622" s="50"/>
      <c r="R622" s="233">
        <v>15552</v>
      </c>
      <c r="S622" s="232">
        <v>2111</v>
      </c>
      <c r="T622" s="234">
        <v>17663</v>
      </c>
    </row>
    <row r="623" spans="1:20">
      <c r="A623" s="48">
        <v>96641</v>
      </c>
      <c r="B623" s="49" t="s">
        <v>2368</v>
      </c>
      <c r="C623" s="235">
        <v>3.2100000000000001E-5</v>
      </c>
      <c r="D623" s="235">
        <v>3.2199999999999997E-5</v>
      </c>
      <c r="E623" s="216">
        <v>76152</v>
      </c>
      <c r="F623" s="216" t="s">
        <v>1930</v>
      </c>
      <c r="G623" s="233">
        <v>11748</v>
      </c>
      <c r="H623" s="221">
        <v>10453</v>
      </c>
      <c r="I623" s="233">
        <v>20208</v>
      </c>
      <c r="J623" s="232">
        <v>14432</v>
      </c>
      <c r="K623" s="88">
        <f t="shared" si="25"/>
        <v>56841</v>
      </c>
      <c r="L623" s="50"/>
      <c r="M623" s="233">
        <v>394</v>
      </c>
      <c r="N623" s="233">
        <v>0</v>
      </c>
      <c r="O623" s="232">
        <v>0</v>
      </c>
      <c r="P623" s="88">
        <f t="shared" si="26"/>
        <v>394</v>
      </c>
      <c r="Q623" s="50"/>
      <c r="R623" s="233">
        <v>21153</v>
      </c>
      <c r="S623" s="232">
        <v>7161</v>
      </c>
      <c r="T623" s="234">
        <v>28314</v>
      </c>
    </row>
    <row r="624" spans="1:20">
      <c r="A624" s="48">
        <v>96651</v>
      </c>
      <c r="B624" s="49" t="s">
        <v>2369</v>
      </c>
      <c r="C624" s="235">
        <v>1.9400000000000001E-5</v>
      </c>
      <c r="D624" s="235">
        <v>1.7399999999999999E-5</v>
      </c>
      <c r="E624" s="216">
        <v>46023</v>
      </c>
      <c r="F624" s="216" t="s">
        <v>1930</v>
      </c>
      <c r="G624" s="233">
        <v>7100</v>
      </c>
      <c r="H624" s="221">
        <v>6317</v>
      </c>
      <c r="I624" s="233">
        <v>12213</v>
      </c>
      <c r="J624" s="232">
        <v>2918</v>
      </c>
      <c r="K624" s="88">
        <f t="shared" si="25"/>
        <v>28548</v>
      </c>
      <c r="L624" s="50"/>
      <c r="M624" s="233">
        <v>238</v>
      </c>
      <c r="N624" s="233">
        <v>0</v>
      </c>
      <c r="O624" s="232">
        <v>392</v>
      </c>
      <c r="P624" s="88">
        <f t="shared" si="26"/>
        <v>630</v>
      </c>
      <c r="Q624" s="50"/>
      <c r="R624" s="233">
        <v>12784</v>
      </c>
      <c r="S624" s="232">
        <v>12</v>
      </c>
      <c r="T624" s="234">
        <v>12796</v>
      </c>
    </row>
    <row r="625" spans="1:20">
      <c r="A625" s="48">
        <v>96661</v>
      </c>
      <c r="B625" s="49" t="s">
        <v>2370</v>
      </c>
      <c r="C625" s="235">
        <v>1.9000000000000001E-5</v>
      </c>
      <c r="D625" s="235">
        <v>1.9700000000000001E-5</v>
      </c>
      <c r="E625" s="216">
        <v>45074</v>
      </c>
      <c r="F625" s="216" t="s">
        <v>1930</v>
      </c>
      <c r="G625" s="233">
        <v>6954</v>
      </c>
      <c r="H625" s="221">
        <v>6187</v>
      </c>
      <c r="I625" s="233">
        <v>11961</v>
      </c>
      <c r="J625" s="232">
        <v>3696</v>
      </c>
      <c r="K625" s="88">
        <f t="shared" si="25"/>
        <v>28798</v>
      </c>
      <c r="L625" s="50"/>
      <c r="M625" s="233">
        <v>233</v>
      </c>
      <c r="N625" s="233">
        <v>0</v>
      </c>
      <c r="O625" s="232">
        <v>0</v>
      </c>
      <c r="P625" s="88">
        <f t="shared" si="26"/>
        <v>233</v>
      </c>
      <c r="Q625" s="50"/>
      <c r="R625" s="233">
        <v>12520</v>
      </c>
      <c r="S625" s="232">
        <v>2708</v>
      </c>
      <c r="T625" s="234">
        <v>15228</v>
      </c>
    </row>
    <row r="626" spans="1:20">
      <c r="A626" s="48">
        <v>96671</v>
      </c>
      <c r="B626" s="49" t="s">
        <v>2371</v>
      </c>
      <c r="C626" s="235">
        <v>1.3900000000000001E-5</v>
      </c>
      <c r="D626" s="235">
        <v>1.49E-5</v>
      </c>
      <c r="E626" s="216">
        <v>32976</v>
      </c>
      <c r="F626" s="216" t="s">
        <v>1930</v>
      </c>
      <c r="G626" s="233">
        <v>5087</v>
      </c>
      <c r="H626" s="221">
        <v>4527</v>
      </c>
      <c r="I626" s="233">
        <v>8750</v>
      </c>
      <c r="J626" s="232">
        <v>5736</v>
      </c>
      <c r="K626" s="88">
        <f t="shared" si="25"/>
        <v>24100</v>
      </c>
      <c r="L626" s="50"/>
      <c r="M626" s="233">
        <v>171</v>
      </c>
      <c r="N626" s="233">
        <v>0</v>
      </c>
      <c r="O626" s="232">
        <v>0</v>
      </c>
      <c r="P626" s="88">
        <f t="shared" si="26"/>
        <v>171</v>
      </c>
      <c r="Q626" s="50"/>
      <c r="R626" s="233">
        <v>9160</v>
      </c>
      <c r="S626" s="232">
        <v>3860</v>
      </c>
      <c r="T626" s="234">
        <v>13020</v>
      </c>
    </row>
    <row r="627" spans="1:20">
      <c r="A627" s="48">
        <v>96681</v>
      </c>
      <c r="B627" s="49" t="s">
        <v>2372</v>
      </c>
      <c r="C627" s="235">
        <v>2.0599999999999999E-5</v>
      </c>
      <c r="D627" s="235">
        <v>1.7499999999999998E-5</v>
      </c>
      <c r="E627" s="216">
        <v>48870</v>
      </c>
      <c r="F627" s="216" t="s">
        <v>1930</v>
      </c>
      <c r="G627" s="233">
        <v>7540</v>
      </c>
      <c r="H627" s="221">
        <v>6709</v>
      </c>
      <c r="I627" s="233">
        <v>12968</v>
      </c>
      <c r="J627" s="232">
        <v>13276</v>
      </c>
      <c r="K627" s="88">
        <f t="shared" si="25"/>
        <v>40493</v>
      </c>
      <c r="L627" s="50"/>
      <c r="M627" s="233">
        <v>253</v>
      </c>
      <c r="N627" s="233">
        <v>0</v>
      </c>
      <c r="O627" s="232">
        <v>6212</v>
      </c>
      <c r="P627" s="88">
        <f t="shared" si="26"/>
        <v>6465</v>
      </c>
      <c r="Q627" s="50"/>
      <c r="R627" s="233">
        <v>13575</v>
      </c>
      <c r="S627" s="232">
        <v>4774</v>
      </c>
      <c r="T627" s="234">
        <v>18349</v>
      </c>
    </row>
    <row r="628" spans="1:20">
      <c r="A628" s="48">
        <v>96701</v>
      </c>
      <c r="B628" s="49" t="s">
        <v>1327</v>
      </c>
      <c r="C628" s="235">
        <v>8.5999000000000006E-3</v>
      </c>
      <c r="D628" s="235">
        <v>8.4206000000000003E-3</v>
      </c>
      <c r="E628" s="216">
        <v>20401904</v>
      </c>
      <c r="F628" s="216" t="s">
        <v>1930</v>
      </c>
      <c r="G628" s="233">
        <v>3147529</v>
      </c>
      <c r="H628" s="221">
        <v>2800575</v>
      </c>
      <c r="I628" s="233">
        <v>5413878</v>
      </c>
      <c r="J628" s="232">
        <v>278573</v>
      </c>
      <c r="K628" s="88">
        <f t="shared" si="25"/>
        <v>11640555</v>
      </c>
      <c r="L628" s="50"/>
      <c r="M628" s="233">
        <v>105615</v>
      </c>
      <c r="N628" s="233">
        <v>0</v>
      </c>
      <c r="O628" s="232">
        <v>118719</v>
      </c>
      <c r="P628" s="88">
        <f t="shared" si="26"/>
        <v>224334</v>
      </c>
      <c r="Q628" s="50"/>
      <c r="R628" s="233">
        <v>5667102</v>
      </c>
      <c r="S628" s="232">
        <v>115986</v>
      </c>
      <c r="T628" s="234">
        <v>5783088</v>
      </c>
    </row>
    <row r="629" spans="1:20">
      <c r="A629" s="48">
        <v>96704</v>
      </c>
      <c r="B629" s="49" t="s">
        <v>1328</v>
      </c>
      <c r="C629" s="235">
        <v>1.7550000000000001E-4</v>
      </c>
      <c r="D629" s="235">
        <v>1.7259999999999999E-4</v>
      </c>
      <c r="E629" s="216">
        <v>416346</v>
      </c>
      <c r="F629" s="216" t="s">
        <v>1930</v>
      </c>
      <c r="G629" s="233">
        <v>64232</v>
      </c>
      <c r="H629" s="221">
        <v>57152</v>
      </c>
      <c r="I629" s="233">
        <v>110482</v>
      </c>
      <c r="J629" s="232">
        <v>38151</v>
      </c>
      <c r="K629" s="88">
        <f t="shared" si="25"/>
        <v>270017</v>
      </c>
      <c r="L629" s="50"/>
      <c r="M629" s="233">
        <v>2155</v>
      </c>
      <c r="N629" s="233">
        <v>0</v>
      </c>
      <c r="O629" s="232">
        <v>0</v>
      </c>
      <c r="P629" s="88">
        <f t="shared" si="26"/>
        <v>2155</v>
      </c>
      <c r="Q629" s="50"/>
      <c r="R629" s="233">
        <v>115650</v>
      </c>
      <c r="S629" s="232">
        <v>14330</v>
      </c>
      <c r="T629" s="234">
        <v>129980</v>
      </c>
    </row>
    <row r="630" spans="1:20">
      <c r="A630" s="48">
        <v>96708</v>
      </c>
      <c r="B630" s="49" t="s">
        <v>1329</v>
      </c>
      <c r="C630" s="235">
        <v>8.8579999999999996E-4</v>
      </c>
      <c r="D630" s="235">
        <v>9.031E-4</v>
      </c>
      <c r="E630" s="216">
        <v>2101421</v>
      </c>
      <c r="F630" s="216" t="s">
        <v>1930</v>
      </c>
      <c r="G630" s="233">
        <v>324199</v>
      </c>
      <c r="H630" s="221">
        <v>288462</v>
      </c>
      <c r="I630" s="233">
        <v>557636</v>
      </c>
      <c r="J630" s="232">
        <v>83209</v>
      </c>
      <c r="K630" s="88">
        <f t="shared" si="25"/>
        <v>1253506</v>
      </c>
      <c r="L630" s="50"/>
      <c r="M630" s="233">
        <v>10879</v>
      </c>
      <c r="N630" s="233">
        <v>0</v>
      </c>
      <c r="O630" s="232">
        <v>12940</v>
      </c>
      <c r="P630" s="88">
        <f t="shared" si="26"/>
        <v>23819</v>
      </c>
      <c r="Q630" s="50"/>
      <c r="R630" s="233">
        <v>583718</v>
      </c>
      <c r="S630" s="232">
        <v>35387</v>
      </c>
      <c r="T630" s="234">
        <v>619105</v>
      </c>
    </row>
    <row r="631" spans="1:20">
      <c r="A631" s="48">
        <v>96711</v>
      </c>
      <c r="B631" s="49" t="s">
        <v>1330</v>
      </c>
      <c r="C631" s="235">
        <v>3.9007999999999998E-3</v>
      </c>
      <c r="D631" s="235">
        <v>4.0464000000000003E-3</v>
      </c>
      <c r="E631" s="216">
        <v>9254032</v>
      </c>
      <c r="F631" s="216" t="s">
        <v>1930</v>
      </c>
      <c r="G631" s="233">
        <v>1427677</v>
      </c>
      <c r="H631" s="221">
        <v>1270303</v>
      </c>
      <c r="I631" s="233">
        <v>2455663</v>
      </c>
      <c r="J631" s="232">
        <v>0</v>
      </c>
      <c r="K631" s="88">
        <f t="shared" si="25"/>
        <v>5153643</v>
      </c>
      <c r="L631" s="50"/>
      <c r="M631" s="233">
        <v>47906</v>
      </c>
      <c r="N631" s="233">
        <v>0</v>
      </c>
      <c r="O631" s="232">
        <v>409014</v>
      </c>
      <c r="P631" s="88">
        <f t="shared" si="26"/>
        <v>456920</v>
      </c>
      <c r="Q631" s="50"/>
      <c r="R631" s="233">
        <v>2570522</v>
      </c>
      <c r="S631" s="232">
        <v>-194188</v>
      </c>
      <c r="T631" s="234">
        <v>2376334</v>
      </c>
    </row>
    <row r="632" spans="1:20">
      <c r="A632" s="48">
        <v>96721</v>
      </c>
      <c r="B632" s="49" t="s">
        <v>2373</v>
      </c>
      <c r="C632" s="235">
        <v>2.1790000000000001E-4</v>
      </c>
      <c r="D632" s="235">
        <v>2.1379999999999999E-4</v>
      </c>
      <c r="E632" s="216">
        <v>516933</v>
      </c>
      <c r="F632" s="216" t="s">
        <v>1930</v>
      </c>
      <c r="G632" s="233">
        <v>79751</v>
      </c>
      <c r="H632" s="221">
        <v>70959</v>
      </c>
      <c r="I632" s="233">
        <v>137174</v>
      </c>
      <c r="J632" s="232">
        <v>8328</v>
      </c>
      <c r="K632" s="88">
        <f t="shared" si="25"/>
        <v>296212</v>
      </c>
      <c r="L632" s="50"/>
      <c r="M632" s="233">
        <v>2676</v>
      </c>
      <c r="N632" s="233">
        <v>0</v>
      </c>
      <c r="O632" s="232">
        <v>16609</v>
      </c>
      <c r="P632" s="88">
        <f t="shared" si="26"/>
        <v>19285</v>
      </c>
      <c r="Q632" s="50"/>
      <c r="R632" s="233">
        <v>143590</v>
      </c>
      <c r="S632" s="232">
        <v>-991</v>
      </c>
      <c r="T632" s="234">
        <v>142599</v>
      </c>
    </row>
    <row r="633" spans="1:20">
      <c r="A633" s="48">
        <v>96731</v>
      </c>
      <c r="B633" s="49" t="s">
        <v>2374</v>
      </c>
      <c r="C633" s="235">
        <v>1.7019999999999999E-4</v>
      </c>
      <c r="D633" s="235">
        <v>1.697E-4</v>
      </c>
      <c r="E633" s="216">
        <v>403773</v>
      </c>
      <c r="F633" s="216" t="s">
        <v>1930</v>
      </c>
      <c r="G633" s="233">
        <v>62293</v>
      </c>
      <c r="H633" s="221">
        <v>55426</v>
      </c>
      <c r="I633" s="233">
        <v>107146</v>
      </c>
      <c r="J633" s="232">
        <v>13647</v>
      </c>
      <c r="K633" s="88">
        <f t="shared" si="25"/>
        <v>238512</v>
      </c>
      <c r="L633" s="50"/>
      <c r="M633" s="233">
        <v>2090</v>
      </c>
      <c r="N633" s="233">
        <v>0</v>
      </c>
      <c r="O633" s="232">
        <v>1770</v>
      </c>
      <c r="P633" s="88">
        <f t="shared" si="26"/>
        <v>3860</v>
      </c>
      <c r="Q633" s="50"/>
      <c r="R633" s="233">
        <v>112157</v>
      </c>
      <c r="S633" s="232">
        <v>6857</v>
      </c>
      <c r="T633" s="234">
        <v>119014</v>
      </c>
    </row>
    <row r="634" spans="1:20">
      <c r="A634" s="48">
        <v>96733</v>
      </c>
      <c r="B634" s="49" t="s">
        <v>1333</v>
      </c>
      <c r="C634" s="235">
        <v>1.1800000000000001E-5</v>
      </c>
      <c r="D634" s="235">
        <v>7.3000000000000004E-6</v>
      </c>
      <c r="E634" s="216">
        <v>27994</v>
      </c>
      <c r="F634" s="216" t="s">
        <v>1930</v>
      </c>
      <c r="G634" s="233">
        <v>4319</v>
      </c>
      <c r="H634" s="221">
        <v>3843</v>
      </c>
      <c r="I634" s="233">
        <v>7428</v>
      </c>
      <c r="J634" s="232">
        <v>4117</v>
      </c>
      <c r="K634" s="88">
        <f t="shared" si="25"/>
        <v>19707</v>
      </c>
      <c r="L634" s="50"/>
      <c r="M634" s="233">
        <v>145</v>
      </c>
      <c r="N634" s="233">
        <v>0</v>
      </c>
      <c r="O634" s="232">
        <v>705</v>
      </c>
      <c r="P634" s="88">
        <f t="shared" si="26"/>
        <v>850</v>
      </c>
      <c r="Q634" s="50"/>
      <c r="R634" s="233">
        <v>7776</v>
      </c>
      <c r="S634" s="232">
        <v>2113</v>
      </c>
      <c r="T634" s="234">
        <v>9889</v>
      </c>
    </row>
    <row r="635" spans="1:20">
      <c r="A635" s="48">
        <v>96741</v>
      </c>
      <c r="B635" s="49" t="s">
        <v>2375</v>
      </c>
      <c r="C635" s="235">
        <v>9.8900000000000005E-5</v>
      </c>
      <c r="D635" s="235">
        <v>9.0799999999999998E-5</v>
      </c>
      <c r="E635" s="216">
        <v>234625</v>
      </c>
      <c r="F635" s="216" t="s">
        <v>1930</v>
      </c>
      <c r="G635" s="233">
        <v>36197</v>
      </c>
      <c r="H635" s="221">
        <v>32207</v>
      </c>
      <c r="I635" s="233">
        <v>62260</v>
      </c>
      <c r="J635" s="232">
        <v>4092</v>
      </c>
      <c r="K635" s="88">
        <f t="shared" si="25"/>
        <v>134756</v>
      </c>
      <c r="L635" s="50"/>
      <c r="M635" s="233">
        <v>1215</v>
      </c>
      <c r="N635" s="233">
        <v>0</v>
      </c>
      <c r="O635" s="232">
        <v>1693</v>
      </c>
      <c r="P635" s="88">
        <f t="shared" si="26"/>
        <v>2908</v>
      </c>
      <c r="Q635" s="50"/>
      <c r="R635" s="233">
        <v>65172</v>
      </c>
      <c r="S635" s="232">
        <v>2903</v>
      </c>
      <c r="T635" s="234">
        <v>68075</v>
      </c>
    </row>
    <row r="636" spans="1:20">
      <c r="A636" s="48">
        <v>96751</v>
      </c>
      <c r="B636" s="49" t="s">
        <v>2376</v>
      </c>
      <c r="C636" s="235">
        <v>2.7920000000000001E-4</v>
      </c>
      <c r="D636" s="235">
        <v>2.5809999999999999E-4</v>
      </c>
      <c r="E636" s="216">
        <v>662358</v>
      </c>
      <c r="F636" s="216" t="s">
        <v>1930</v>
      </c>
      <c r="G636" s="233">
        <v>102186</v>
      </c>
      <c r="H636" s="221">
        <v>90922</v>
      </c>
      <c r="I636" s="233">
        <v>175764</v>
      </c>
      <c r="J636" s="232">
        <v>1710</v>
      </c>
      <c r="K636" s="88">
        <f t="shared" si="25"/>
        <v>370582</v>
      </c>
      <c r="L636" s="50"/>
      <c r="M636" s="233">
        <v>3429</v>
      </c>
      <c r="N636" s="233">
        <v>0</v>
      </c>
      <c r="O636" s="232">
        <v>19725</v>
      </c>
      <c r="P636" s="88">
        <f t="shared" si="26"/>
        <v>23154</v>
      </c>
      <c r="Q636" s="50"/>
      <c r="R636" s="233">
        <v>183985</v>
      </c>
      <c r="S636" s="232">
        <v>-418</v>
      </c>
      <c r="T636" s="234">
        <v>183567</v>
      </c>
    </row>
    <row r="637" spans="1:20">
      <c r="A637" s="48">
        <v>96801</v>
      </c>
      <c r="B637" s="49" t="s">
        <v>1336</v>
      </c>
      <c r="C637" s="235">
        <v>7.6252999999999998E-3</v>
      </c>
      <c r="D637" s="235">
        <v>7.5814000000000003E-3</v>
      </c>
      <c r="E637" s="216">
        <v>18089819</v>
      </c>
      <c r="F637" s="216" t="s">
        <v>1930</v>
      </c>
      <c r="G637" s="233">
        <v>2790829</v>
      </c>
      <c r="H637" s="221">
        <v>2483194</v>
      </c>
      <c r="I637" s="233">
        <v>4800340</v>
      </c>
      <c r="J637" s="232">
        <v>244257</v>
      </c>
      <c r="K637" s="88">
        <f t="shared" si="25"/>
        <v>10318620</v>
      </c>
      <c r="L637" s="50"/>
      <c r="M637" s="233">
        <v>93646</v>
      </c>
      <c r="N637" s="233">
        <v>0</v>
      </c>
      <c r="O637" s="232">
        <v>54881</v>
      </c>
      <c r="P637" s="88">
        <f t="shared" si="26"/>
        <v>148527</v>
      </c>
      <c r="Q637" s="50"/>
      <c r="R637" s="233">
        <v>5024867</v>
      </c>
      <c r="S637" s="232">
        <v>234375</v>
      </c>
      <c r="T637" s="234">
        <v>5259242</v>
      </c>
    </row>
    <row r="638" spans="1:20">
      <c r="A638" s="48">
        <v>96804</v>
      </c>
      <c r="B638" s="49" t="s">
        <v>1337</v>
      </c>
      <c r="C638" s="235">
        <v>2.5539999999999997E-4</v>
      </c>
      <c r="D638" s="235">
        <v>2.654E-4</v>
      </c>
      <c r="E638" s="216">
        <v>605896</v>
      </c>
      <c r="F638" s="216" t="s">
        <v>1930</v>
      </c>
      <c r="G638" s="233">
        <v>93475</v>
      </c>
      <c r="H638" s="221">
        <v>83171</v>
      </c>
      <c r="I638" s="233">
        <v>160781</v>
      </c>
      <c r="J638" s="232">
        <v>4075</v>
      </c>
      <c r="K638" s="88">
        <f t="shared" si="25"/>
        <v>341502</v>
      </c>
      <c r="L638" s="50"/>
      <c r="M638" s="233">
        <v>3137</v>
      </c>
      <c r="N638" s="233">
        <v>0</v>
      </c>
      <c r="O638" s="232">
        <v>20354</v>
      </c>
      <c r="P638" s="88">
        <f t="shared" si="26"/>
        <v>23491</v>
      </c>
      <c r="Q638" s="50"/>
      <c r="R638" s="233">
        <v>168302</v>
      </c>
      <c r="S638" s="232">
        <v>-2456</v>
      </c>
      <c r="T638" s="234">
        <v>165846</v>
      </c>
    </row>
    <row r="639" spans="1:20">
      <c r="A639" s="48">
        <v>96808</v>
      </c>
      <c r="B639" s="49" t="s">
        <v>1338</v>
      </c>
      <c r="C639" s="235">
        <v>1.2572E-3</v>
      </c>
      <c r="D639" s="235">
        <v>1.2711000000000001E-3</v>
      </c>
      <c r="E639" s="216">
        <v>2982508</v>
      </c>
      <c r="F639" s="216" t="s">
        <v>1930</v>
      </c>
      <c r="G639" s="233">
        <v>460130</v>
      </c>
      <c r="H639" s="221">
        <v>409410</v>
      </c>
      <c r="I639" s="233">
        <v>791443</v>
      </c>
      <c r="J639" s="232">
        <v>18089</v>
      </c>
      <c r="K639" s="88">
        <f t="shared" si="25"/>
        <v>1679072</v>
      </c>
      <c r="L639" s="50"/>
      <c r="M639" s="233">
        <v>15440</v>
      </c>
      <c r="N639" s="233">
        <v>0</v>
      </c>
      <c r="O639" s="232">
        <v>15050</v>
      </c>
      <c r="P639" s="88">
        <f t="shared" si="26"/>
        <v>30490</v>
      </c>
      <c r="Q639" s="50"/>
      <c r="R639" s="233">
        <v>828461</v>
      </c>
      <c r="S639" s="232">
        <v>20446</v>
      </c>
      <c r="T639" s="234">
        <v>848907</v>
      </c>
    </row>
    <row r="640" spans="1:20">
      <c r="A640" s="48">
        <v>96811</v>
      </c>
      <c r="B640" s="49" t="s">
        <v>2377</v>
      </c>
      <c r="C640" s="235">
        <v>6.1249E-3</v>
      </c>
      <c r="D640" s="235">
        <v>6.0096999999999998E-3</v>
      </c>
      <c r="E640" s="216">
        <v>14530358</v>
      </c>
      <c r="F640" s="216" t="s">
        <v>1930</v>
      </c>
      <c r="G640" s="233">
        <v>2241689</v>
      </c>
      <c r="H640" s="221">
        <v>1994586</v>
      </c>
      <c r="I640" s="233">
        <v>3855796</v>
      </c>
      <c r="J640" s="232">
        <v>28059</v>
      </c>
      <c r="K640" s="88">
        <f t="shared" si="25"/>
        <v>8120130</v>
      </c>
      <c r="L640" s="50"/>
      <c r="M640" s="233">
        <v>75220</v>
      </c>
      <c r="N640" s="233">
        <v>0</v>
      </c>
      <c r="O640" s="232">
        <v>73994</v>
      </c>
      <c r="P640" s="88">
        <f t="shared" si="26"/>
        <v>149214</v>
      </c>
      <c r="Q640" s="50"/>
      <c r="R640" s="233">
        <v>4036144</v>
      </c>
      <c r="S640" s="232">
        <v>-36406</v>
      </c>
      <c r="T640" s="234">
        <v>3999738</v>
      </c>
    </row>
    <row r="641" spans="1:20">
      <c r="A641" s="48">
        <v>96821</v>
      </c>
      <c r="B641" s="49" t="s">
        <v>2378</v>
      </c>
      <c r="C641" s="235">
        <v>1.1529999999999999E-3</v>
      </c>
      <c r="D641" s="235">
        <v>1.3247000000000001E-3</v>
      </c>
      <c r="E641" s="216">
        <v>2735310</v>
      </c>
      <c r="F641" s="216" t="s">
        <v>1930</v>
      </c>
      <c r="G641" s="233">
        <v>421993</v>
      </c>
      <c r="H641" s="221">
        <v>375477</v>
      </c>
      <c r="I641" s="233">
        <v>725846</v>
      </c>
      <c r="J641" s="232">
        <v>0</v>
      </c>
      <c r="K641" s="88">
        <f t="shared" si="25"/>
        <v>1523316</v>
      </c>
      <c r="L641" s="50"/>
      <c r="M641" s="233">
        <v>14160</v>
      </c>
      <c r="N641" s="233">
        <v>0</v>
      </c>
      <c r="O641" s="232">
        <v>169149</v>
      </c>
      <c r="P641" s="88">
        <f t="shared" si="26"/>
        <v>183309</v>
      </c>
      <c r="Q641" s="50"/>
      <c r="R641" s="233">
        <v>759796</v>
      </c>
      <c r="S641" s="232">
        <v>-77119</v>
      </c>
      <c r="T641" s="234">
        <v>682677</v>
      </c>
    </row>
    <row r="642" spans="1:20">
      <c r="A642" s="48">
        <v>96831</v>
      </c>
      <c r="B642" s="49" t="s">
        <v>2379</v>
      </c>
      <c r="C642" s="235">
        <v>9.3130000000000003E-4</v>
      </c>
      <c r="D642" s="235">
        <v>9.1929999999999996E-4</v>
      </c>
      <c r="E642" s="216">
        <v>2209362</v>
      </c>
      <c r="F642" s="216" t="s">
        <v>1930</v>
      </c>
      <c r="G642" s="233">
        <v>340852</v>
      </c>
      <c r="H642" s="221">
        <v>303280</v>
      </c>
      <c r="I642" s="233">
        <v>586279</v>
      </c>
      <c r="J642" s="232">
        <v>18400</v>
      </c>
      <c r="K642" s="88">
        <f t="shared" si="25"/>
        <v>1248811</v>
      </c>
      <c r="L642" s="50"/>
      <c r="M642" s="233">
        <v>11437</v>
      </c>
      <c r="N642" s="233">
        <v>0</v>
      </c>
      <c r="O642" s="232">
        <v>5806</v>
      </c>
      <c r="P642" s="88">
        <f t="shared" si="26"/>
        <v>17243</v>
      </c>
      <c r="Q642" s="50"/>
      <c r="R642" s="233">
        <v>613702</v>
      </c>
      <c r="S642" s="232">
        <v>17873</v>
      </c>
      <c r="T642" s="234">
        <v>631575</v>
      </c>
    </row>
    <row r="643" spans="1:20">
      <c r="A643" s="48">
        <v>96901</v>
      </c>
      <c r="B643" s="49" t="s">
        <v>1342</v>
      </c>
      <c r="C643" s="235">
        <v>9.1089999999999997E-4</v>
      </c>
      <c r="D643" s="235">
        <v>8.9820000000000004E-4</v>
      </c>
      <c r="E643" s="216">
        <v>2160966</v>
      </c>
      <c r="F643" s="216" t="s">
        <v>1930</v>
      </c>
      <c r="G643" s="233">
        <v>333386</v>
      </c>
      <c r="H643" s="221">
        <v>296636</v>
      </c>
      <c r="I643" s="233">
        <v>573437</v>
      </c>
      <c r="J643" s="232">
        <v>68835</v>
      </c>
      <c r="K643" s="88">
        <f t="shared" si="25"/>
        <v>1272294</v>
      </c>
      <c r="L643" s="50"/>
      <c r="M643" s="233">
        <v>11187</v>
      </c>
      <c r="N643" s="233">
        <v>0</v>
      </c>
      <c r="O643" s="232">
        <v>0</v>
      </c>
      <c r="P643" s="88">
        <f t="shared" si="26"/>
        <v>11187</v>
      </c>
      <c r="Q643" s="50"/>
      <c r="R643" s="233">
        <v>600259</v>
      </c>
      <c r="S643" s="232">
        <v>31901</v>
      </c>
      <c r="T643" s="234">
        <v>632160</v>
      </c>
    </row>
    <row r="644" spans="1:20">
      <c r="A644" s="48">
        <v>96911</v>
      </c>
      <c r="B644" s="49" t="s">
        <v>2380</v>
      </c>
      <c r="C644" s="235">
        <v>2.3E-6</v>
      </c>
      <c r="D644" s="235">
        <v>2.3999999999999999E-6</v>
      </c>
      <c r="E644" s="216">
        <v>5456</v>
      </c>
      <c r="F644" s="216" t="s">
        <v>1930</v>
      </c>
      <c r="G644" s="233">
        <v>842</v>
      </c>
      <c r="H644" s="221">
        <v>749</v>
      </c>
      <c r="I644" s="233">
        <v>1448</v>
      </c>
      <c r="J644" s="232">
        <v>1923</v>
      </c>
      <c r="K644" s="88">
        <f t="shared" si="25"/>
        <v>4962</v>
      </c>
      <c r="L644" s="50"/>
      <c r="M644" s="233">
        <v>28</v>
      </c>
      <c r="N644" s="233">
        <v>0</v>
      </c>
      <c r="O644" s="232">
        <v>1941</v>
      </c>
      <c r="P644" s="88">
        <f t="shared" si="26"/>
        <v>1969</v>
      </c>
      <c r="Q644" s="50"/>
      <c r="R644" s="233">
        <v>1516</v>
      </c>
      <c r="S644" s="232">
        <v>764</v>
      </c>
      <c r="T644" s="234">
        <v>2280</v>
      </c>
    </row>
    <row r="645" spans="1:20">
      <c r="A645" s="48">
        <v>96912</v>
      </c>
      <c r="B645" s="49" t="s">
        <v>2381</v>
      </c>
      <c r="C645" s="235">
        <v>6.8100000000000002E-5</v>
      </c>
      <c r="D645" s="235">
        <v>6.0099999999999997E-5</v>
      </c>
      <c r="E645" s="217">
        <v>161556</v>
      </c>
      <c r="F645" s="217" t="s">
        <v>1930</v>
      </c>
      <c r="G645" s="233">
        <v>24924</v>
      </c>
      <c r="H645" s="221">
        <v>22177</v>
      </c>
      <c r="I645" s="233">
        <v>42871</v>
      </c>
      <c r="J645" s="232">
        <v>1472</v>
      </c>
      <c r="K645" s="88">
        <f t="shared" si="25"/>
        <v>91444</v>
      </c>
      <c r="L645" s="50"/>
      <c r="M645" s="233">
        <v>836</v>
      </c>
      <c r="N645" s="233">
        <v>0</v>
      </c>
      <c r="O645" s="232">
        <v>2729</v>
      </c>
      <c r="P645" s="88">
        <f t="shared" si="26"/>
        <v>3565</v>
      </c>
      <c r="Q645" s="50"/>
      <c r="R645" s="233">
        <v>44876</v>
      </c>
      <c r="S645" s="232">
        <v>2396</v>
      </c>
      <c r="T645" s="234">
        <v>47272</v>
      </c>
    </row>
    <row r="646" spans="1:20">
      <c r="A646" s="48">
        <v>96918</v>
      </c>
      <c r="B646" s="49" t="s">
        <v>1345</v>
      </c>
      <c r="C646" s="235">
        <v>3.2299999999999999E-5</v>
      </c>
      <c r="D646" s="235">
        <v>3.8000000000000002E-5</v>
      </c>
      <c r="E646" s="217">
        <v>76627</v>
      </c>
      <c r="F646" s="217" t="s">
        <v>1930</v>
      </c>
      <c r="G646" s="233">
        <v>11822</v>
      </c>
      <c r="H646" s="221">
        <v>10519</v>
      </c>
      <c r="I646" s="233">
        <v>20334</v>
      </c>
      <c r="J646" s="232">
        <v>1798</v>
      </c>
      <c r="K646" s="88">
        <f t="shared" si="25"/>
        <v>44473</v>
      </c>
      <c r="L646" s="50"/>
      <c r="M646" s="233">
        <v>397</v>
      </c>
      <c r="N646" s="233">
        <v>0</v>
      </c>
      <c r="O646" s="232">
        <v>3897</v>
      </c>
      <c r="P646" s="88">
        <f t="shared" si="26"/>
        <v>4294</v>
      </c>
      <c r="Q646" s="50"/>
      <c r="R646" s="233">
        <v>21285</v>
      </c>
      <c r="S646" s="232">
        <v>4776</v>
      </c>
      <c r="T646" s="234">
        <v>26061</v>
      </c>
    </row>
    <row r="647" spans="1:20">
      <c r="A647" s="48">
        <v>97001</v>
      </c>
      <c r="B647" s="49" t="s">
        <v>1346</v>
      </c>
      <c r="C647" s="235">
        <v>1.3370999999999999E-3</v>
      </c>
      <c r="D647" s="235">
        <v>1.3778E-3</v>
      </c>
      <c r="E647" s="217">
        <v>3172058</v>
      </c>
      <c r="F647" s="217" t="s">
        <v>1930</v>
      </c>
      <c r="G647" s="233">
        <v>489373</v>
      </c>
      <c r="H647" s="221">
        <v>435430</v>
      </c>
      <c r="I647" s="233">
        <v>841742</v>
      </c>
      <c r="J647" s="232">
        <v>142216</v>
      </c>
      <c r="K647" s="88">
        <f t="shared" si="25"/>
        <v>1908761</v>
      </c>
      <c r="L647" s="50"/>
      <c r="M647" s="233">
        <v>16421</v>
      </c>
      <c r="N647" s="233">
        <v>0</v>
      </c>
      <c r="O647" s="232">
        <v>0</v>
      </c>
      <c r="P647" s="88">
        <f t="shared" si="26"/>
        <v>16421</v>
      </c>
      <c r="Q647" s="50"/>
      <c r="R647" s="233">
        <v>881113</v>
      </c>
      <c r="S647" s="232">
        <v>46843</v>
      </c>
      <c r="T647" s="234">
        <v>927956</v>
      </c>
    </row>
    <row r="648" spans="1:20">
      <c r="A648" s="48">
        <v>97002</v>
      </c>
      <c r="B648" s="49" t="s">
        <v>1347</v>
      </c>
      <c r="C648" s="235">
        <v>4.8569999999999999E-4</v>
      </c>
      <c r="D648" s="235">
        <v>5.2610000000000005E-4</v>
      </c>
      <c r="E648" s="217">
        <v>1152247</v>
      </c>
      <c r="F648" s="217" t="s">
        <v>1930</v>
      </c>
      <c r="G648" s="233">
        <v>177764</v>
      </c>
      <c r="H648" s="221">
        <v>158169</v>
      </c>
      <c r="I648" s="233">
        <v>305762</v>
      </c>
      <c r="J648" s="232">
        <v>5136</v>
      </c>
      <c r="K648" s="88">
        <f t="shared" si="25"/>
        <v>646831</v>
      </c>
      <c r="L648" s="50"/>
      <c r="M648" s="233">
        <v>5965</v>
      </c>
      <c r="N648" s="233">
        <v>0</v>
      </c>
      <c r="O648" s="232">
        <v>75548</v>
      </c>
      <c r="P648" s="88">
        <f t="shared" si="26"/>
        <v>81513</v>
      </c>
      <c r="Q648" s="50"/>
      <c r="R648" s="233">
        <v>320063</v>
      </c>
      <c r="S648" s="232">
        <v>-7630</v>
      </c>
      <c r="T648" s="234">
        <v>312433</v>
      </c>
    </row>
    <row r="649" spans="1:20">
      <c r="A649" s="48">
        <v>97004</v>
      </c>
      <c r="B649" s="49" t="s">
        <v>1348</v>
      </c>
      <c r="C649" s="235">
        <v>8.4999999999999999E-6</v>
      </c>
      <c r="D649" s="235">
        <v>9.7999999999999993E-6</v>
      </c>
      <c r="E649" s="217">
        <v>20165</v>
      </c>
      <c r="F649" s="217" t="s">
        <v>1930</v>
      </c>
      <c r="G649" s="233">
        <v>3111</v>
      </c>
      <c r="H649" s="221">
        <v>2768</v>
      </c>
      <c r="I649" s="233">
        <v>5351</v>
      </c>
      <c r="J649" s="232">
        <v>5157</v>
      </c>
      <c r="K649" s="88">
        <f t="shared" si="25"/>
        <v>16387</v>
      </c>
      <c r="L649" s="50"/>
      <c r="M649" s="233">
        <v>104</v>
      </c>
      <c r="N649" s="233">
        <v>0</v>
      </c>
      <c r="O649" s="232">
        <v>0</v>
      </c>
      <c r="P649" s="88">
        <f t="shared" si="26"/>
        <v>104</v>
      </c>
      <c r="Q649" s="50"/>
      <c r="R649" s="233">
        <v>5601</v>
      </c>
      <c r="S649" s="232">
        <v>2552</v>
      </c>
      <c r="T649" s="234">
        <v>8153</v>
      </c>
    </row>
    <row r="650" spans="1:20">
      <c r="A650" s="48">
        <v>97005</v>
      </c>
      <c r="B650" s="49" t="s">
        <v>1349</v>
      </c>
      <c r="C650" s="235">
        <v>2.7500000000000001E-5</v>
      </c>
      <c r="D650" s="235">
        <v>2.83E-5</v>
      </c>
      <c r="E650" s="217">
        <v>65239</v>
      </c>
      <c r="F650" s="217" t="s">
        <v>1930</v>
      </c>
      <c r="G650" s="233">
        <v>10065</v>
      </c>
      <c r="H650" s="221">
        <v>8955</v>
      </c>
      <c r="I650" s="233">
        <v>17312</v>
      </c>
      <c r="J650" s="232">
        <v>9886</v>
      </c>
      <c r="K650" s="88">
        <f t="shared" si="25"/>
        <v>46218</v>
      </c>
      <c r="L650" s="50"/>
      <c r="M650" s="233">
        <v>338</v>
      </c>
      <c r="N650" s="233">
        <v>0</v>
      </c>
      <c r="O650" s="232">
        <v>702</v>
      </c>
      <c r="P650" s="88">
        <f t="shared" si="26"/>
        <v>1040</v>
      </c>
      <c r="Q650" s="50"/>
      <c r="R650" s="233">
        <v>18122</v>
      </c>
      <c r="S650" s="232">
        <v>3372</v>
      </c>
      <c r="T650" s="234">
        <v>21494</v>
      </c>
    </row>
    <row r="651" spans="1:20">
      <c r="A651" s="48">
        <v>97008</v>
      </c>
      <c r="B651" s="49" t="s">
        <v>1350</v>
      </c>
      <c r="C651" s="235">
        <v>2.766E-4</v>
      </c>
      <c r="D651" s="235">
        <v>2.8659999999999997E-4</v>
      </c>
      <c r="E651" s="217">
        <v>656190</v>
      </c>
      <c r="F651" s="217" t="s">
        <v>1930</v>
      </c>
      <c r="G651" s="233">
        <v>101234</v>
      </c>
      <c r="H651" s="221">
        <v>90075</v>
      </c>
      <c r="I651" s="233">
        <v>174127</v>
      </c>
      <c r="J651" s="232">
        <v>3810</v>
      </c>
      <c r="K651" s="88">
        <f t="shared" si="25"/>
        <v>369246</v>
      </c>
      <c r="L651" s="50"/>
      <c r="M651" s="233">
        <v>3397</v>
      </c>
      <c r="N651" s="233">
        <v>0</v>
      </c>
      <c r="O651" s="232">
        <v>5294</v>
      </c>
      <c r="P651" s="88">
        <f t="shared" si="26"/>
        <v>8691</v>
      </c>
      <c r="Q651" s="50"/>
      <c r="R651" s="233">
        <v>182272</v>
      </c>
      <c r="S651" s="232">
        <v>6191</v>
      </c>
      <c r="T651" s="234">
        <v>188463</v>
      </c>
    </row>
    <row r="652" spans="1:20">
      <c r="A652" s="48">
        <v>97010</v>
      </c>
      <c r="B652" s="49" t="s">
        <v>1351</v>
      </c>
      <c r="C652" s="235">
        <v>0</v>
      </c>
      <c r="D652" s="235">
        <v>0</v>
      </c>
      <c r="E652" s="217">
        <v>0</v>
      </c>
      <c r="F652" s="217" t="s">
        <v>1930</v>
      </c>
      <c r="G652" s="233">
        <v>0</v>
      </c>
      <c r="H652" s="221">
        <v>0</v>
      </c>
      <c r="I652" s="233">
        <v>0</v>
      </c>
      <c r="J652" s="232">
        <v>0</v>
      </c>
      <c r="K652" s="88">
        <f t="shared" si="25"/>
        <v>0</v>
      </c>
      <c r="L652" s="50"/>
      <c r="M652" s="233">
        <v>0</v>
      </c>
      <c r="N652" s="233">
        <v>0</v>
      </c>
      <c r="O652" s="232">
        <v>777787</v>
      </c>
      <c r="P652" s="88">
        <f t="shared" si="26"/>
        <v>777787</v>
      </c>
      <c r="Q652" s="50"/>
      <c r="R652" s="233">
        <v>0</v>
      </c>
      <c r="S652" s="232">
        <v>-1279115</v>
      </c>
      <c r="T652" s="234">
        <v>-1279115</v>
      </c>
    </row>
    <row r="653" spans="1:20">
      <c r="A653" s="48">
        <v>97011</v>
      </c>
      <c r="B653" s="49" t="s">
        <v>1352</v>
      </c>
      <c r="C653" s="235">
        <v>1.9426999999999999E-3</v>
      </c>
      <c r="D653" s="235">
        <v>1.9166999999999999E-3</v>
      </c>
      <c r="E653" s="217">
        <v>4608749</v>
      </c>
      <c r="F653" s="217" t="s">
        <v>1930</v>
      </c>
      <c r="G653" s="233">
        <v>711020</v>
      </c>
      <c r="H653" s="221">
        <v>632644</v>
      </c>
      <c r="I653" s="233">
        <v>1222984</v>
      </c>
      <c r="J653" s="232">
        <v>0</v>
      </c>
      <c r="K653" s="88">
        <f t="shared" si="25"/>
        <v>2566648</v>
      </c>
      <c r="L653" s="50"/>
      <c r="M653" s="233">
        <v>23858</v>
      </c>
      <c r="N653" s="233">
        <v>0</v>
      </c>
      <c r="O653" s="232">
        <v>61009</v>
      </c>
      <c r="P653" s="88">
        <f t="shared" si="26"/>
        <v>84867</v>
      </c>
      <c r="Q653" s="50"/>
      <c r="R653" s="233">
        <v>1280187</v>
      </c>
      <c r="S653" s="232">
        <v>-40429</v>
      </c>
      <c r="T653" s="234">
        <v>1239758</v>
      </c>
    </row>
    <row r="654" spans="1:20">
      <c r="A654" s="48">
        <v>97012</v>
      </c>
      <c r="B654" s="49" t="s">
        <v>2768</v>
      </c>
      <c r="C654" s="235">
        <v>3.0700000000000001E-5</v>
      </c>
      <c r="D654" s="235">
        <v>2.9499999999999999E-5</v>
      </c>
      <c r="E654" s="217">
        <v>72831</v>
      </c>
      <c r="F654" s="217" t="s">
        <v>1930</v>
      </c>
      <c r="G654" s="233">
        <v>11236</v>
      </c>
      <c r="H654" s="221">
        <v>9997</v>
      </c>
      <c r="I654" s="233">
        <v>19327</v>
      </c>
      <c r="J654" s="232">
        <v>6719</v>
      </c>
      <c r="K654" s="88">
        <f t="shared" si="25"/>
        <v>47279</v>
      </c>
      <c r="L654" s="50"/>
      <c r="M654" s="233">
        <v>377</v>
      </c>
      <c r="N654" s="233">
        <v>0</v>
      </c>
      <c r="O654" s="232">
        <v>415</v>
      </c>
      <c r="P654" s="88">
        <f t="shared" si="26"/>
        <v>792</v>
      </c>
      <c r="Q654" s="50"/>
      <c r="R654" s="233">
        <v>20230</v>
      </c>
      <c r="S654" s="232">
        <v>1569</v>
      </c>
      <c r="T654" s="234">
        <v>21799</v>
      </c>
    </row>
    <row r="655" spans="1:20">
      <c r="A655" s="48">
        <v>97013</v>
      </c>
      <c r="B655" s="49" t="s">
        <v>1354</v>
      </c>
      <c r="C655" s="235">
        <v>2.19E-5</v>
      </c>
      <c r="D655" s="235">
        <v>1.8199999999999999E-5</v>
      </c>
      <c r="E655" s="217">
        <v>51954</v>
      </c>
      <c r="F655" s="217" t="s">
        <v>1930</v>
      </c>
      <c r="G655" s="233">
        <v>8015</v>
      </c>
      <c r="H655" s="221">
        <v>7132</v>
      </c>
      <c r="I655" s="233">
        <v>13787</v>
      </c>
      <c r="J655" s="232">
        <v>7375</v>
      </c>
      <c r="K655" s="88">
        <f t="shared" si="25"/>
        <v>36309</v>
      </c>
      <c r="L655" s="50"/>
      <c r="M655" s="233">
        <v>269</v>
      </c>
      <c r="N655" s="233">
        <v>0</v>
      </c>
      <c r="O655" s="232">
        <v>0</v>
      </c>
      <c r="P655" s="88">
        <f t="shared" si="26"/>
        <v>269</v>
      </c>
      <c r="Q655" s="50"/>
      <c r="R655" s="233">
        <v>14432</v>
      </c>
      <c r="S655" s="232">
        <v>2956</v>
      </c>
      <c r="T655" s="234">
        <v>17388</v>
      </c>
    </row>
    <row r="656" spans="1:20">
      <c r="A656" s="48">
        <v>97015</v>
      </c>
      <c r="B656" s="49" t="s">
        <v>1355</v>
      </c>
      <c r="C656" s="235">
        <v>5.1700000000000003E-5</v>
      </c>
      <c r="D656" s="235">
        <v>4.1499999999999999E-5</v>
      </c>
      <c r="E656" s="217">
        <v>122650</v>
      </c>
      <c r="F656" s="217" t="s">
        <v>1930</v>
      </c>
      <c r="G656" s="233">
        <v>18922</v>
      </c>
      <c r="H656" s="221">
        <v>16836</v>
      </c>
      <c r="I656" s="233">
        <v>32547</v>
      </c>
      <c r="J656" s="232">
        <v>9840</v>
      </c>
      <c r="K656" s="88">
        <f t="shared" si="25"/>
        <v>78145</v>
      </c>
      <c r="L656" s="50"/>
      <c r="M656" s="233">
        <v>635</v>
      </c>
      <c r="N656" s="233">
        <v>0</v>
      </c>
      <c r="O656" s="232">
        <v>3745</v>
      </c>
      <c r="P656" s="88">
        <f t="shared" si="26"/>
        <v>4380</v>
      </c>
      <c r="Q656" s="50"/>
      <c r="R656" s="233">
        <v>34069</v>
      </c>
      <c r="S656" s="232">
        <v>1860</v>
      </c>
      <c r="T656" s="234">
        <v>35929</v>
      </c>
    </row>
    <row r="657" spans="1:20">
      <c r="A657" s="48">
        <v>97018</v>
      </c>
      <c r="B657" s="49" t="s">
        <v>1356</v>
      </c>
      <c r="C657" s="235">
        <v>7.4000000000000003E-6</v>
      </c>
      <c r="D657" s="235">
        <v>8.6000000000000007E-6</v>
      </c>
      <c r="E657" s="217">
        <v>17555</v>
      </c>
      <c r="F657" s="217" t="s">
        <v>1930</v>
      </c>
      <c r="G657" s="233">
        <v>2708</v>
      </c>
      <c r="H657" s="221">
        <v>2410</v>
      </c>
      <c r="I657" s="233">
        <v>4659</v>
      </c>
      <c r="J657" s="232">
        <v>7148</v>
      </c>
      <c r="K657" s="88">
        <f t="shared" si="25"/>
        <v>16925</v>
      </c>
      <c r="L657" s="50"/>
      <c r="M657" s="233">
        <v>91</v>
      </c>
      <c r="N657" s="233">
        <v>0</v>
      </c>
      <c r="O657" s="232">
        <v>0</v>
      </c>
      <c r="P657" s="88">
        <f t="shared" si="26"/>
        <v>91</v>
      </c>
      <c r="Q657" s="50"/>
      <c r="R657" s="233">
        <v>4876</v>
      </c>
      <c r="S657" s="232">
        <v>3577</v>
      </c>
      <c r="T657" s="234">
        <v>8453</v>
      </c>
    </row>
    <row r="658" spans="1:20">
      <c r="A658" s="48">
        <v>97101</v>
      </c>
      <c r="B658" s="49" t="s">
        <v>1357</v>
      </c>
      <c r="C658" s="235">
        <v>2.4805000000000001E-3</v>
      </c>
      <c r="D658" s="235">
        <v>2.5790000000000001E-3</v>
      </c>
      <c r="E658" s="217">
        <v>5884594</v>
      </c>
      <c r="F658" s="217" t="s">
        <v>1930</v>
      </c>
      <c r="G658" s="233">
        <v>907853</v>
      </c>
      <c r="H658" s="221">
        <v>807780</v>
      </c>
      <c r="I658" s="233">
        <v>1561544</v>
      </c>
      <c r="J658" s="232">
        <v>35145</v>
      </c>
      <c r="K658" s="88">
        <f t="shared" si="25"/>
        <v>3312322</v>
      </c>
      <c r="L658" s="50"/>
      <c r="M658" s="233">
        <v>30463</v>
      </c>
      <c r="N658" s="233">
        <v>0</v>
      </c>
      <c r="O658" s="232">
        <v>0</v>
      </c>
      <c r="P658" s="88">
        <f t="shared" si="26"/>
        <v>30463</v>
      </c>
      <c r="Q658" s="50"/>
      <c r="R658" s="233">
        <v>1634583</v>
      </c>
      <c r="S658" s="232">
        <v>9399</v>
      </c>
      <c r="T658" s="234">
        <v>1643982</v>
      </c>
    </row>
    <row r="659" spans="1:20">
      <c r="A659" s="48">
        <v>97104</v>
      </c>
      <c r="B659" s="49" t="s">
        <v>1358</v>
      </c>
      <c r="C659" s="235">
        <v>5.6100000000000002E-5</v>
      </c>
      <c r="D659" s="235">
        <v>5.4299999999999998E-5</v>
      </c>
      <c r="E659" s="217">
        <v>133088</v>
      </c>
      <c r="F659" s="217" t="s">
        <v>1930</v>
      </c>
      <c r="G659" s="233">
        <v>20532</v>
      </c>
      <c r="H659" s="221">
        <v>18269</v>
      </c>
      <c r="I659" s="233">
        <v>35317</v>
      </c>
      <c r="J659" s="232">
        <v>11210</v>
      </c>
      <c r="K659" s="88">
        <f t="shared" si="25"/>
        <v>85328</v>
      </c>
      <c r="L659" s="50"/>
      <c r="M659" s="233">
        <v>689</v>
      </c>
      <c r="N659" s="233">
        <v>0</v>
      </c>
      <c r="O659" s="232">
        <v>0</v>
      </c>
      <c r="P659" s="88">
        <f t="shared" si="26"/>
        <v>689</v>
      </c>
      <c r="Q659" s="50"/>
      <c r="R659" s="233">
        <v>36968</v>
      </c>
      <c r="S659" s="232">
        <v>7518</v>
      </c>
      <c r="T659" s="234">
        <v>44486</v>
      </c>
    </row>
    <row r="660" spans="1:20">
      <c r="A660" s="48">
        <v>97111</v>
      </c>
      <c r="B660" s="49" t="s">
        <v>2382</v>
      </c>
      <c r="C660" s="235">
        <v>2.7779999999999998E-4</v>
      </c>
      <c r="D660" s="235">
        <v>2.8200000000000002E-4</v>
      </c>
      <c r="E660" s="217">
        <v>659037</v>
      </c>
      <c r="F660" s="217" t="s">
        <v>1930</v>
      </c>
      <c r="G660" s="233">
        <v>101674</v>
      </c>
      <c r="H660" s="221">
        <v>90466</v>
      </c>
      <c r="I660" s="233">
        <v>174883</v>
      </c>
      <c r="J660" s="232">
        <v>656</v>
      </c>
      <c r="K660" s="88">
        <f t="shared" ref="K660:K725" si="27">G660+H660+I660+J660</f>
        <v>367679</v>
      </c>
      <c r="L660" s="50"/>
      <c r="M660" s="233">
        <v>3412</v>
      </c>
      <c r="N660" s="233">
        <v>0</v>
      </c>
      <c r="O660" s="232">
        <v>19675</v>
      </c>
      <c r="P660" s="88">
        <f t="shared" ref="P660:P725" si="28">M660+N660+O660</f>
        <v>23087</v>
      </c>
      <c r="Q660" s="50"/>
      <c r="R660" s="233">
        <v>183063</v>
      </c>
      <c r="S660" s="232">
        <v>-3431</v>
      </c>
      <c r="T660" s="234">
        <v>179632</v>
      </c>
    </row>
    <row r="661" spans="1:20">
      <c r="A661" s="48">
        <v>97121</v>
      </c>
      <c r="B661" s="49" t="s">
        <v>2383</v>
      </c>
      <c r="C661" s="235">
        <v>1.2980000000000001E-4</v>
      </c>
      <c r="D661" s="235">
        <v>1.3640000000000001E-4</v>
      </c>
      <c r="E661" s="217">
        <v>307930</v>
      </c>
      <c r="F661" s="217" t="s">
        <v>1930</v>
      </c>
      <c r="G661" s="233">
        <v>47506</v>
      </c>
      <c r="H661" s="221">
        <v>42270</v>
      </c>
      <c r="I661" s="233">
        <v>81713</v>
      </c>
      <c r="J661" s="232">
        <v>15643</v>
      </c>
      <c r="K661" s="88">
        <f t="shared" si="27"/>
        <v>187132</v>
      </c>
      <c r="L661" s="50"/>
      <c r="M661" s="233">
        <v>1594</v>
      </c>
      <c r="N661" s="233">
        <v>0</v>
      </c>
      <c r="O661" s="232">
        <v>5525</v>
      </c>
      <c r="P661" s="88">
        <f t="shared" si="28"/>
        <v>7119</v>
      </c>
      <c r="Q661" s="50"/>
      <c r="R661" s="233">
        <v>85535</v>
      </c>
      <c r="S661" s="232">
        <v>263</v>
      </c>
      <c r="T661" s="234">
        <v>85798</v>
      </c>
    </row>
    <row r="662" spans="1:20">
      <c r="A662" s="48">
        <v>97131</v>
      </c>
      <c r="B662" s="49" t="s">
        <v>2384</v>
      </c>
      <c r="C662" s="235">
        <v>6.0749999999999997E-4</v>
      </c>
      <c r="D662" s="235">
        <v>7.358E-4</v>
      </c>
      <c r="E662" s="217">
        <v>1441198</v>
      </c>
      <c r="F662" s="217" t="s">
        <v>1930</v>
      </c>
      <c r="G662" s="233">
        <v>222343</v>
      </c>
      <c r="H662" s="221">
        <v>197834</v>
      </c>
      <c r="I662" s="233">
        <v>382438</v>
      </c>
      <c r="J662" s="232">
        <v>20955</v>
      </c>
      <c r="K662" s="88">
        <f t="shared" si="27"/>
        <v>823570</v>
      </c>
      <c r="L662" s="50"/>
      <c r="M662" s="233">
        <v>7461</v>
      </c>
      <c r="N662" s="233">
        <v>0</v>
      </c>
      <c r="O662" s="232">
        <v>118742</v>
      </c>
      <c r="P662" s="88">
        <f t="shared" si="28"/>
        <v>126203</v>
      </c>
      <c r="Q662" s="50"/>
      <c r="R662" s="233">
        <v>400326</v>
      </c>
      <c r="S662" s="232">
        <v>-21454</v>
      </c>
      <c r="T662" s="234">
        <v>378872</v>
      </c>
    </row>
    <row r="663" spans="1:20">
      <c r="A663" s="48">
        <v>97201</v>
      </c>
      <c r="B663" s="49" t="s">
        <v>1362</v>
      </c>
      <c r="C663" s="235">
        <v>5.1219999999999998E-4</v>
      </c>
      <c r="D663" s="235">
        <v>5.2689999999999996E-4</v>
      </c>
      <c r="E663" s="217">
        <v>1215114</v>
      </c>
      <c r="F663" s="217" t="s">
        <v>1930</v>
      </c>
      <c r="G663" s="233">
        <v>187463</v>
      </c>
      <c r="H663" s="221">
        <v>166799</v>
      </c>
      <c r="I663" s="233">
        <v>322444</v>
      </c>
      <c r="J663" s="232">
        <v>30683</v>
      </c>
      <c r="K663" s="88">
        <f t="shared" si="27"/>
        <v>707389</v>
      </c>
      <c r="L663" s="50"/>
      <c r="M663" s="233">
        <v>6290</v>
      </c>
      <c r="N663" s="233">
        <v>0</v>
      </c>
      <c r="O663" s="232">
        <v>1246</v>
      </c>
      <c r="P663" s="88">
        <f t="shared" si="28"/>
        <v>7536</v>
      </c>
      <c r="Q663" s="50"/>
      <c r="R663" s="233">
        <v>337526</v>
      </c>
      <c r="S663" s="232">
        <v>10658</v>
      </c>
      <c r="T663" s="234">
        <v>348184</v>
      </c>
    </row>
    <row r="664" spans="1:20">
      <c r="A664" s="48">
        <v>97211</v>
      </c>
      <c r="B664" s="49" t="s">
        <v>2385</v>
      </c>
      <c r="C664" s="235">
        <v>1.4569999999999999E-4</v>
      </c>
      <c r="D664" s="235">
        <v>1.5980000000000001E-4</v>
      </c>
      <c r="E664" s="217">
        <v>345650</v>
      </c>
      <c r="F664" s="217" t="s">
        <v>1930</v>
      </c>
      <c r="G664" s="233">
        <v>53326</v>
      </c>
      <c r="H664" s="221">
        <v>47448</v>
      </c>
      <c r="I664" s="233">
        <v>91722</v>
      </c>
      <c r="J664" s="232">
        <v>11315</v>
      </c>
      <c r="K664" s="88">
        <f t="shared" si="27"/>
        <v>203811</v>
      </c>
      <c r="L664" s="50"/>
      <c r="M664" s="233">
        <v>1789</v>
      </c>
      <c r="N664" s="233">
        <v>0</v>
      </c>
      <c r="O664" s="232">
        <v>12606</v>
      </c>
      <c r="P664" s="88">
        <f t="shared" si="28"/>
        <v>14395</v>
      </c>
      <c r="Q664" s="50"/>
      <c r="R664" s="233">
        <v>96012</v>
      </c>
      <c r="S664" s="232">
        <v>-859</v>
      </c>
      <c r="T664" s="234">
        <v>95153</v>
      </c>
    </row>
    <row r="665" spans="1:20">
      <c r="A665" s="48">
        <v>97213</v>
      </c>
      <c r="B665" s="49" t="s">
        <v>2769</v>
      </c>
      <c r="C665" s="235">
        <v>4.5599999999999997E-5</v>
      </c>
      <c r="D665" s="235">
        <v>3.9100000000000002E-5</v>
      </c>
      <c r="E665" s="217">
        <v>108179</v>
      </c>
      <c r="F665" s="217" t="s">
        <v>1930</v>
      </c>
      <c r="G665" s="233">
        <v>16689</v>
      </c>
      <c r="H665" s="221">
        <v>14849</v>
      </c>
      <c r="I665" s="233">
        <v>28706</v>
      </c>
      <c r="J665" s="232">
        <v>8617</v>
      </c>
      <c r="K665" s="88">
        <f t="shared" si="27"/>
        <v>68861</v>
      </c>
      <c r="L665" s="50"/>
      <c r="M665" s="233">
        <v>560</v>
      </c>
      <c r="N665" s="233">
        <v>0</v>
      </c>
      <c r="O665" s="232">
        <v>322</v>
      </c>
      <c r="P665" s="88">
        <f t="shared" si="28"/>
        <v>882</v>
      </c>
      <c r="Q665" s="50"/>
      <c r="R665" s="233">
        <v>30049</v>
      </c>
      <c r="S665" s="232">
        <v>3081</v>
      </c>
      <c r="T665" s="234">
        <v>33130</v>
      </c>
    </row>
    <row r="666" spans="1:20">
      <c r="A666" s="48">
        <v>97217</v>
      </c>
      <c r="B666" s="49" t="s">
        <v>2386</v>
      </c>
      <c r="C666" s="235">
        <v>4.8999999999999997E-6</v>
      </c>
      <c r="D666" s="235">
        <v>4.6E-6</v>
      </c>
      <c r="E666" s="217">
        <v>11624</v>
      </c>
      <c r="F666" s="217" t="s">
        <v>1930</v>
      </c>
      <c r="G666" s="233">
        <v>1793</v>
      </c>
      <c r="H666" s="221">
        <v>1596</v>
      </c>
      <c r="I666" s="233">
        <v>3085</v>
      </c>
      <c r="J666" s="232">
        <v>8394</v>
      </c>
      <c r="K666" s="88">
        <f t="shared" si="27"/>
        <v>14868</v>
      </c>
      <c r="L666" s="50"/>
      <c r="M666" s="233">
        <v>60</v>
      </c>
      <c r="N666" s="233">
        <v>0</v>
      </c>
      <c r="O666" s="232">
        <v>0</v>
      </c>
      <c r="P666" s="88">
        <f t="shared" si="28"/>
        <v>60</v>
      </c>
      <c r="Q666" s="50"/>
      <c r="R666" s="233">
        <v>3229</v>
      </c>
      <c r="S666" s="232">
        <v>4143</v>
      </c>
      <c r="T666" s="234">
        <v>7372</v>
      </c>
    </row>
    <row r="667" spans="1:20">
      <c r="A667" s="48">
        <v>97221</v>
      </c>
      <c r="B667" s="49" t="s">
        <v>2387</v>
      </c>
      <c r="C667" s="235">
        <v>3.9999999999999998E-6</v>
      </c>
      <c r="D667" s="235">
        <v>7.1999999999999997E-6</v>
      </c>
      <c r="E667" s="217">
        <v>9489</v>
      </c>
      <c r="F667" s="217" t="s">
        <v>1930</v>
      </c>
      <c r="G667" s="233">
        <v>1464</v>
      </c>
      <c r="H667" s="221">
        <v>1303</v>
      </c>
      <c r="I667" s="233">
        <v>2518</v>
      </c>
      <c r="J667" s="232">
        <v>6077</v>
      </c>
      <c r="K667" s="88">
        <f t="shared" si="27"/>
        <v>11362</v>
      </c>
      <c r="L667" s="50"/>
      <c r="M667" s="233">
        <v>49</v>
      </c>
      <c r="N667" s="233">
        <v>0</v>
      </c>
      <c r="O667" s="232">
        <v>0</v>
      </c>
      <c r="P667" s="88">
        <f t="shared" si="28"/>
        <v>49</v>
      </c>
      <c r="Q667" s="50"/>
      <c r="R667" s="233">
        <v>2636</v>
      </c>
      <c r="S667" s="232">
        <v>3385</v>
      </c>
      <c r="T667" s="234">
        <v>6021</v>
      </c>
    </row>
    <row r="668" spans="1:20">
      <c r="A668" s="48">
        <v>97301</v>
      </c>
      <c r="B668" s="49" t="s">
        <v>1367</v>
      </c>
      <c r="C668" s="235">
        <v>2.4616E-3</v>
      </c>
      <c r="D668" s="235">
        <v>2.5135999999999999E-3</v>
      </c>
      <c r="E668" s="217">
        <v>5839757</v>
      </c>
      <c r="F668" s="217" t="s">
        <v>1930</v>
      </c>
      <c r="G668" s="233">
        <v>900936</v>
      </c>
      <c r="H668" s="221">
        <v>801625</v>
      </c>
      <c r="I668" s="233">
        <v>1549646</v>
      </c>
      <c r="J668" s="232">
        <v>10684</v>
      </c>
      <c r="K668" s="88">
        <f t="shared" si="27"/>
        <v>3262891</v>
      </c>
      <c r="L668" s="50"/>
      <c r="M668" s="233">
        <v>30231</v>
      </c>
      <c r="N668" s="233">
        <v>0</v>
      </c>
      <c r="O668" s="232">
        <v>48917</v>
      </c>
      <c r="P668" s="88">
        <f t="shared" si="28"/>
        <v>79148</v>
      </c>
      <c r="Q668" s="50"/>
      <c r="R668" s="233">
        <v>1622128</v>
      </c>
      <c r="S668" s="232">
        <v>-14603</v>
      </c>
      <c r="T668" s="234">
        <v>1607525</v>
      </c>
    </row>
    <row r="669" spans="1:20">
      <c r="A669" s="48">
        <v>97304</v>
      </c>
      <c r="B669" s="49" t="s">
        <v>1368</v>
      </c>
      <c r="C669" s="235">
        <v>1.5299999999999999E-5</v>
      </c>
      <c r="D669" s="235">
        <v>1.6799999999999998E-5</v>
      </c>
      <c r="E669" s="217">
        <v>36297</v>
      </c>
      <c r="F669" s="217" t="s">
        <v>1930</v>
      </c>
      <c r="G669" s="233">
        <v>5600</v>
      </c>
      <c r="H669" s="221">
        <v>4983</v>
      </c>
      <c r="I669" s="233">
        <v>9632</v>
      </c>
      <c r="J669" s="232">
        <v>9181</v>
      </c>
      <c r="K669" s="88">
        <f t="shared" si="27"/>
        <v>29396</v>
      </c>
      <c r="L669" s="50"/>
      <c r="M669" s="233">
        <v>188</v>
      </c>
      <c r="N669" s="233">
        <v>0</v>
      </c>
      <c r="O669" s="232">
        <v>0</v>
      </c>
      <c r="P669" s="88">
        <f t="shared" si="28"/>
        <v>188</v>
      </c>
      <c r="Q669" s="50"/>
      <c r="R669" s="233">
        <v>10082</v>
      </c>
      <c r="S669" s="232">
        <v>4481</v>
      </c>
      <c r="T669" s="234">
        <v>14563</v>
      </c>
    </row>
    <row r="670" spans="1:20">
      <c r="A670" s="48">
        <v>97311</v>
      </c>
      <c r="B670" s="49" t="s">
        <v>1369</v>
      </c>
      <c r="C670" s="235">
        <v>8.8420000000000002E-4</v>
      </c>
      <c r="D670" s="235">
        <v>9.1799999999999998E-4</v>
      </c>
      <c r="E670" s="217">
        <v>2097625</v>
      </c>
      <c r="F670" s="217" t="s">
        <v>1930</v>
      </c>
      <c r="G670" s="233">
        <v>323614</v>
      </c>
      <c r="H670" s="221">
        <v>287942</v>
      </c>
      <c r="I670" s="233">
        <v>556629</v>
      </c>
      <c r="J670" s="232">
        <v>0</v>
      </c>
      <c r="K670" s="88">
        <f t="shared" si="27"/>
        <v>1168185</v>
      </c>
      <c r="L670" s="50"/>
      <c r="M670" s="233">
        <v>10859</v>
      </c>
      <c r="N670" s="233">
        <v>0</v>
      </c>
      <c r="O670" s="232">
        <v>82924</v>
      </c>
      <c r="P670" s="88">
        <f t="shared" si="28"/>
        <v>93783</v>
      </c>
      <c r="Q670" s="50"/>
      <c r="R670" s="233">
        <v>582664</v>
      </c>
      <c r="S670" s="232">
        <v>-48862</v>
      </c>
      <c r="T670" s="234">
        <v>533802</v>
      </c>
    </row>
    <row r="671" spans="1:20">
      <c r="A671" s="48">
        <v>97401</v>
      </c>
      <c r="B671" s="49" t="s">
        <v>1370</v>
      </c>
      <c r="C671" s="235">
        <v>7.1440000000000002E-3</v>
      </c>
      <c r="D671" s="235">
        <v>7.1303E-3</v>
      </c>
      <c r="E671" s="217">
        <v>16948011</v>
      </c>
      <c r="F671" s="217" t="s">
        <v>1930</v>
      </c>
      <c r="G671" s="233">
        <v>2614675</v>
      </c>
      <c r="H671" s="221">
        <v>2326458</v>
      </c>
      <c r="I671" s="233">
        <v>4497348</v>
      </c>
      <c r="J671" s="232">
        <v>194684</v>
      </c>
      <c r="K671" s="88">
        <f t="shared" si="27"/>
        <v>9633165</v>
      </c>
      <c r="L671" s="50"/>
      <c r="M671" s="233">
        <v>87735</v>
      </c>
      <c r="N671" s="233">
        <v>0</v>
      </c>
      <c r="O671" s="232">
        <v>24107</v>
      </c>
      <c r="P671" s="88">
        <f t="shared" si="28"/>
        <v>111842</v>
      </c>
      <c r="Q671" s="50"/>
      <c r="R671" s="233">
        <v>4707703</v>
      </c>
      <c r="S671" s="232">
        <v>-954</v>
      </c>
      <c r="T671" s="234">
        <v>4706749</v>
      </c>
    </row>
    <row r="672" spans="1:20">
      <c r="A672" s="48">
        <v>97402</v>
      </c>
      <c r="B672" s="49" t="s">
        <v>1371</v>
      </c>
      <c r="C672" s="235">
        <v>4.8399999999999997E-5</v>
      </c>
      <c r="D672" s="235">
        <v>4.8000000000000001E-5</v>
      </c>
      <c r="E672" s="217">
        <v>114821</v>
      </c>
      <c r="F672" s="217" t="s">
        <v>1930</v>
      </c>
      <c r="G672" s="233">
        <v>17714</v>
      </c>
      <c r="H672" s="221">
        <v>15761</v>
      </c>
      <c r="I672" s="233">
        <v>30469</v>
      </c>
      <c r="J672" s="232">
        <v>12911</v>
      </c>
      <c r="K672" s="88">
        <f t="shared" si="27"/>
        <v>76855</v>
      </c>
      <c r="L672" s="50"/>
      <c r="M672" s="233">
        <v>594</v>
      </c>
      <c r="N672" s="233">
        <v>0</v>
      </c>
      <c r="O672" s="232">
        <v>0</v>
      </c>
      <c r="P672" s="88">
        <f t="shared" si="28"/>
        <v>594</v>
      </c>
      <c r="Q672" s="50"/>
      <c r="R672" s="233">
        <v>31894</v>
      </c>
      <c r="S672" s="232">
        <v>5903</v>
      </c>
      <c r="T672" s="234">
        <v>37797</v>
      </c>
    </row>
    <row r="673" spans="1:20">
      <c r="A673" s="48">
        <v>97404</v>
      </c>
      <c r="B673" s="49" t="s">
        <v>1372</v>
      </c>
      <c r="C673" s="235">
        <v>2.0320000000000001E-4</v>
      </c>
      <c r="D673" s="235">
        <v>2.1010000000000001E-4</v>
      </c>
      <c r="E673" s="217">
        <v>482060</v>
      </c>
      <c r="F673" s="217" t="s">
        <v>1930</v>
      </c>
      <c r="G673" s="233">
        <v>74370</v>
      </c>
      <c r="H673" s="221">
        <v>66173</v>
      </c>
      <c r="I673" s="233">
        <v>127920</v>
      </c>
      <c r="J673" s="232">
        <v>0</v>
      </c>
      <c r="K673" s="88">
        <f t="shared" si="27"/>
        <v>268463</v>
      </c>
      <c r="L673" s="50"/>
      <c r="M673" s="233">
        <v>2495</v>
      </c>
      <c r="N673" s="233">
        <v>0</v>
      </c>
      <c r="O673" s="232">
        <v>26048</v>
      </c>
      <c r="P673" s="88">
        <f t="shared" si="28"/>
        <v>28543</v>
      </c>
      <c r="Q673" s="50"/>
      <c r="R673" s="233">
        <v>133903</v>
      </c>
      <c r="S673" s="232">
        <v>-9082</v>
      </c>
      <c r="T673" s="234">
        <v>124821</v>
      </c>
    </row>
    <row r="674" spans="1:20">
      <c r="A674" s="48">
        <v>97405</v>
      </c>
      <c r="B674" s="49" t="s">
        <v>1373</v>
      </c>
      <c r="C674" s="235">
        <v>1.156E-4</v>
      </c>
      <c r="D674" s="235">
        <v>1.091E-4</v>
      </c>
      <c r="E674" s="217">
        <v>274243</v>
      </c>
      <c r="F674" s="217" t="s">
        <v>1930</v>
      </c>
      <c r="G674" s="233">
        <v>42309</v>
      </c>
      <c r="H674" s="221">
        <v>37646</v>
      </c>
      <c r="I674" s="233">
        <v>72773</v>
      </c>
      <c r="J674" s="232">
        <v>33588</v>
      </c>
      <c r="K674" s="88">
        <f t="shared" si="27"/>
        <v>186316</v>
      </c>
      <c r="L674" s="50"/>
      <c r="M674" s="233">
        <v>1420</v>
      </c>
      <c r="N674" s="233">
        <v>0</v>
      </c>
      <c r="O674" s="232">
        <v>0</v>
      </c>
      <c r="P674" s="88">
        <f t="shared" si="28"/>
        <v>1420</v>
      </c>
      <c r="Q674" s="50"/>
      <c r="R674" s="233">
        <v>76177</v>
      </c>
      <c r="S674" s="232">
        <v>8872</v>
      </c>
      <c r="T674" s="234">
        <v>85049</v>
      </c>
    </row>
    <row r="675" spans="1:20">
      <c r="A675" s="48">
        <v>97408</v>
      </c>
      <c r="B675" s="49" t="s">
        <v>1374</v>
      </c>
      <c r="C675" s="235">
        <v>4.3000000000000002E-5</v>
      </c>
      <c r="D675" s="235">
        <v>4.4499999999999997E-5</v>
      </c>
      <c r="E675" s="217">
        <v>102011</v>
      </c>
      <c r="F675" s="217" t="s">
        <v>1930</v>
      </c>
      <c r="G675" s="233">
        <v>15738</v>
      </c>
      <c r="H675" s="221">
        <v>14003</v>
      </c>
      <c r="I675" s="233">
        <v>27070</v>
      </c>
      <c r="J675" s="232">
        <v>6868</v>
      </c>
      <c r="K675" s="88">
        <f t="shared" si="27"/>
        <v>63679</v>
      </c>
      <c r="L675" s="50"/>
      <c r="M675" s="233">
        <v>528</v>
      </c>
      <c r="N675" s="233">
        <v>0</v>
      </c>
      <c r="O675" s="232">
        <v>0</v>
      </c>
      <c r="P675" s="88">
        <f t="shared" si="28"/>
        <v>528</v>
      </c>
      <c r="Q675" s="50"/>
      <c r="R675" s="233">
        <v>28336</v>
      </c>
      <c r="S675" s="232">
        <v>3527</v>
      </c>
      <c r="T675" s="234">
        <v>31863</v>
      </c>
    </row>
    <row r="676" spans="1:20">
      <c r="A676" s="48">
        <v>97411</v>
      </c>
      <c r="B676" s="49" t="s">
        <v>1375</v>
      </c>
      <c r="C676" s="235">
        <v>6.2385000000000001E-3</v>
      </c>
      <c r="D676" s="235">
        <v>6.6379000000000004E-3</v>
      </c>
      <c r="E676" s="217">
        <v>14799856</v>
      </c>
      <c r="F676" s="217" t="s">
        <v>1930</v>
      </c>
      <c r="G676" s="233">
        <v>2283266</v>
      </c>
      <c r="H676" s="221">
        <v>2031580</v>
      </c>
      <c r="I676" s="233">
        <v>3927310</v>
      </c>
      <c r="J676" s="232">
        <v>0</v>
      </c>
      <c r="K676" s="88">
        <f t="shared" si="27"/>
        <v>8242156</v>
      </c>
      <c r="L676" s="50"/>
      <c r="M676" s="233">
        <v>76615</v>
      </c>
      <c r="N676" s="233">
        <v>0</v>
      </c>
      <c r="O676" s="232">
        <v>667530</v>
      </c>
      <c r="P676" s="88">
        <f t="shared" si="28"/>
        <v>744145</v>
      </c>
      <c r="Q676" s="50"/>
      <c r="R676" s="233">
        <v>4111003</v>
      </c>
      <c r="S676" s="232">
        <v>-393360</v>
      </c>
      <c r="T676" s="234">
        <v>3717643</v>
      </c>
    </row>
    <row r="677" spans="1:20">
      <c r="A677" s="48">
        <v>97412</v>
      </c>
      <c r="B677" s="49" t="s">
        <v>1376</v>
      </c>
      <c r="C677" s="235">
        <v>4.6245000000000001E-3</v>
      </c>
      <c r="D677" s="235">
        <v>4.5082000000000004E-3</v>
      </c>
      <c r="E677" s="217">
        <v>10970896</v>
      </c>
      <c r="F677" s="217" t="s">
        <v>1930</v>
      </c>
      <c r="G677" s="233">
        <v>1692549</v>
      </c>
      <c r="H677" s="221">
        <v>1505978</v>
      </c>
      <c r="I677" s="233">
        <v>2911252</v>
      </c>
      <c r="J677" s="232">
        <v>233378</v>
      </c>
      <c r="K677" s="88">
        <f t="shared" si="27"/>
        <v>6343157</v>
      </c>
      <c r="L677" s="50"/>
      <c r="M677" s="233">
        <v>56793</v>
      </c>
      <c r="N677" s="233">
        <v>0</v>
      </c>
      <c r="O677" s="232">
        <v>0</v>
      </c>
      <c r="P677" s="88">
        <f t="shared" si="28"/>
        <v>56793</v>
      </c>
      <c r="Q677" s="50"/>
      <c r="R677" s="233">
        <v>3047421</v>
      </c>
      <c r="S677" s="232">
        <v>107578</v>
      </c>
      <c r="T677" s="234">
        <v>3154999</v>
      </c>
    </row>
    <row r="678" spans="1:20">
      <c r="A678" s="48">
        <v>97413</v>
      </c>
      <c r="B678" s="49" t="s">
        <v>1377</v>
      </c>
      <c r="C678" s="235">
        <v>2.7E-4</v>
      </c>
      <c r="D678" s="235">
        <v>2.6570000000000001E-4</v>
      </c>
      <c r="E678" s="217">
        <v>640532</v>
      </c>
      <c r="F678" s="217" t="s">
        <v>1930</v>
      </c>
      <c r="G678" s="233">
        <v>98819</v>
      </c>
      <c r="H678" s="221">
        <v>87926</v>
      </c>
      <c r="I678" s="233">
        <v>169973</v>
      </c>
      <c r="J678" s="232">
        <v>21390</v>
      </c>
      <c r="K678" s="88">
        <f t="shared" si="27"/>
        <v>378108</v>
      </c>
      <c r="L678" s="50"/>
      <c r="M678" s="233">
        <v>3316</v>
      </c>
      <c r="N678" s="233">
        <v>0</v>
      </c>
      <c r="O678" s="232">
        <v>439</v>
      </c>
      <c r="P678" s="88">
        <f t="shared" si="28"/>
        <v>3755</v>
      </c>
      <c r="Q678" s="50"/>
      <c r="R678" s="233">
        <v>177923</v>
      </c>
      <c r="S678" s="232">
        <v>1118</v>
      </c>
      <c r="T678" s="234">
        <v>179041</v>
      </c>
    </row>
    <row r="679" spans="1:20">
      <c r="A679" s="48">
        <v>97421</v>
      </c>
      <c r="B679" s="49" t="s">
        <v>2388</v>
      </c>
      <c r="C679" s="235">
        <v>4.4739999999999998E-4</v>
      </c>
      <c r="D679" s="235">
        <v>4.2890000000000002E-4</v>
      </c>
      <c r="E679" s="217">
        <v>1061386</v>
      </c>
      <c r="F679" s="217" t="s">
        <v>1930</v>
      </c>
      <c r="G679" s="233">
        <v>163747</v>
      </c>
      <c r="H679" s="221">
        <v>145696</v>
      </c>
      <c r="I679" s="233">
        <v>281651</v>
      </c>
      <c r="J679" s="232">
        <v>12678</v>
      </c>
      <c r="K679" s="88">
        <f t="shared" si="27"/>
        <v>603772</v>
      </c>
      <c r="L679" s="50"/>
      <c r="M679" s="233">
        <v>5495</v>
      </c>
      <c r="N679" s="233">
        <v>0</v>
      </c>
      <c r="O679" s="232">
        <v>8104</v>
      </c>
      <c r="P679" s="88">
        <f t="shared" si="28"/>
        <v>13599</v>
      </c>
      <c r="Q679" s="50"/>
      <c r="R679" s="233">
        <v>294825</v>
      </c>
      <c r="S679" s="232">
        <v>-12344</v>
      </c>
      <c r="T679" s="234">
        <v>282481</v>
      </c>
    </row>
    <row r="680" spans="1:20">
      <c r="A680" s="48">
        <v>97423</v>
      </c>
      <c r="B680" s="49" t="s">
        <v>1379</v>
      </c>
      <c r="C680" s="235">
        <v>3.93E-5</v>
      </c>
      <c r="D680" s="235">
        <v>4.3600000000000003E-5</v>
      </c>
      <c r="E680" s="218">
        <v>93233</v>
      </c>
      <c r="F680" s="218" t="s">
        <v>1930</v>
      </c>
      <c r="G680" s="233">
        <v>14384</v>
      </c>
      <c r="H680" s="221">
        <v>12798</v>
      </c>
      <c r="I680" s="233">
        <v>24740</v>
      </c>
      <c r="J680" s="232">
        <v>37150</v>
      </c>
      <c r="K680" s="88">
        <f t="shared" si="27"/>
        <v>89072</v>
      </c>
      <c r="L680" s="50"/>
      <c r="M680" s="233">
        <v>483</v>
      </c>
      <c r="N680" s="233">
        <v>0</v>
      </c>
      <c r="O680" s="232">
        <v>0</v>
      </c>
      <c r="P680" s="88">
        <f t="shared" si="28"/>
        <v>483</v>
      </c>
      <c r="Q680" s="50"/>
      <c r="R680" s="233">
        <v>25898</v>
      </c>
      <c r="S680" s="232">
        <v>15711</v>
      </c>
      <c r="T680" s="234">
        <v>41609</v>
      </c>
    </row>
    <row r="681" spans="1:20">
      <c r="A681" s="48">
        <v>97431</v>
      </c>
      <c r="B681" s="49" t="s">
        <v>2389</v>
      </c>
      <c r="C681" s="235">
        <v>1.0349999999999999E-4</v>
      </c>
      <c r="D681" s="235">
        <v>8.5599999999999994E-5</v>
      </c>
      <c r="E681" s="218">
        <v>245537</v>
      </c>
      <c r="F681" s="218" t="s">
        <v>1930</v>
      </c>
      <c r="G681" s="233">
        <v>37881</v>
      </c>
      <c r="H681" s="221">
        <v>33705</v>
      </c>
      <c r="I681" s="233">
        <v>65156</v>
      </c>
      <c r="J681" s="232">
        <v>17263</v>
      </c>
      <c r="K681" s="88">
        <f t="shared" si="27"/>
        <v>154005</v>
      </c>
      <c r="L681" s="50"/>
      <c r="M681" s="233">
        <v>1271</v>
      </c>
      <c r="N681" s="233">
        <v>0</v>
      </c>
      <c r="O681" s="232">
        <v>0</v>
      </c>
      <c r="P681" s="88">
        <f t="shared" si="28"/>
        <v>1271</v>
      </c>
      <c r="Q681" s="50"/>
      <c r="R681" s="233">
        <v>68204</v>
      </c>
      <c r="S681" s="232">
        <v>5239</v>
      </c>
      <c r="T681" s="234">
        <v>73443</v>
      </c>
    </row>
    <row r="682" spans="1:20">
      <c r="A682" s="48">
        <v>97441</v>
      </c>
      <c r="B682" s="49" t="s">
        <v>2390</v>
      </c>
      <c r="C682" s="235">
        <v>5.2899999999999998E-5</v>
      </c>
      <c r="D682" s="235">
        <v>7.5799999999999999E-5</v>
      </c>
      <c r="E682" s="218">
        <v>125497</v>
      </c>
      <c r="F682" s="218" t="s">
        <v>1930</v>
      </c>
      <c r="G682" s="233">
        <v>19361</v>
      </c>
      <c r="H682" s="221">
        <v>17227</v>
      </c>
      <c r="I682" s="233">
        <v>33302</v>
      </c>
      <c r="J682" s="232">
        <v>0</v>
      </c>
      <c r="K682" s="88">
        <f t="shared" si="27"/>
        <v>69890</v>
      </c>
      <c r="L682" s="50"/>
      <c r="M682" s="233">
        <v>650</v>
      </c>
      <c r="N682" s="233">
        <v>0</v>
      </c>
      <c r="O682" s="232">
        <v>25076</v>
      </c>
      <c r="P682" s="88">
        <f t="shared" si="28"/>
        <v>25726</v>
      </c>
      <c r="Q682" s="50"/>
      <c r="R682" s="233">
        <v>34860</v>
      </c>
      <c r="S682" s="232">
        <v>-7198</v>
      </c>
      <c r="T682" s="234">
        <v>27662</v>
      </c>
    </row>
    <row r="683" spans="1:20">
      <c r="A683" s="48">
        <v>97451</v>
      </c>
      <c r="B683" s="49" t="s">
        <v>2391</v>
      </c>
      <c r="C683" s="235">
        <v>6.3380000000000001E-4</v>
      </c>
      <c r="D683" s="235">
        <v>5.5820000000000002E-4</v>
      </c>
      <c r="E683" s="218">
        <v>1503590</v>
      </c>
      <c r="F683" s="218" t="s">
        <v>1930</v>
      </c>
      <c r="G683" s="233">
        <v>231968</v>
      </c>
      <c r="H683" s="221">
        <v>206398</v>
      </c>
      <c r="I683" s="233">
        <v>398995</v>
      </c>
      <c r="J683" s="232">
        <v>21165</v>
      </c>
      <c r="K683" s="88">
        <f t="shared" si="27"/>
        <v>858526</v>
      </c>
      <c r="L683" s="50"/>
      <c r="M683" s="233">
        <v>7784</v>
      </c>
      <c r="N683" s="233">
        <v>0</v>
      </c>
      <c r="O683" s="232">
        <v>34586</v>
      </c>
      <c r="P683" s="88">
        <f t="shared" si="28"/>
        <v>42370</v>
      </c>
      <c r="Q683" s="50"/>
      <c r="R683" s="233">
        <v>417657</v>
      </c>
      <c r="S683" s="232">
        <v>81</v>
      </c>
      <c r="T683" s="234">
        <v>417738</v>
      </c>
    </row>
    <row r="684" spans="1:20" s="350" customFormat="1">
      <c r="A684" s="352" t="s">
        <v>3513</v>
      </c>
      <c r="B684" s="353" t="s">
        <v>2392</v>
      </c>
      <c r="C684" s="348">
        <v>5.3019999999999999E-4</v>
      </c>
      <c r="D684" s="348">
        <v>5.5650000000000003E-4</v>
      </c>
      <c r="E684" s="349">
        <v>1257816</v>
      </c>
      <c r="F684" s="349" t="s">
        <v>1930</v>
      </c>
      <c r="G684" s="354">
        <v>194051</v>
      </c>
      <c r="H684" s="354">
        <v>172661</v>
      </c>
      <c r="I684" s="354">
        <v>333776</v>
      </c>
      <c r="J684" s="349">
        <v>2730</v>
      </c>
      <c r="K684" s="354">
        <f t="shared" si="27"/>
        <v>703218</v>
      </c>
      <c r="L684" s="349"/>
      <c r="M684" s="354">
        <v>6511</v>
      </c>
      <c r="N684" s="354">
        <v>0</v>
      </c>
      <c r="O684" s="349">
        <v>55903</v>
      </c>
      <c r="P684" s="354">
        <f t="shared" si="28"/>
        <v>62414</v>
      </c>
      <c r="Q684" s="349"/>
      <c r="R684" s="354">
        <v>349387</v>
      </c>
      <c r="S684" s="349">
        <v>-21034</v>
      </c>
      <c r="T684" s="355">
        <v>328353</v>
      </c>
    </row>
    <row r="685" spans="1:20" s="350" customFormat="1">
      <c r="A685" s="352" t="s">
        <v>3514</v>
      </c>
      <c r="B685" s="353" t="s">
        <v>1384</v>
      </c>
      <c r="C685" s="348">
        <v>0</v>
      </c>
      <c r="D685" s="348">
        <v>4.1100000000000003E-5</v>
      </c>
      <c r="E685" s="349">
        <v>0</v>
      </c>
      <c r="F685" s="349" t="s">
        <v>1930</v>
      </c>
      <c r="G685" s="354">
        <v>0</v>
      </c>
      <c r="H685" s="354">
        <v>0</v>
      </c>
      <c r="I685" s="354">
        <v>0</v>
      </c>
      <c r="J685" s="349">
        <v>310</v>
      </c>
      <c r="K685" s="354">
        <f t="shared" si="27"/>
        <v>310</v>
      </c>
      <c r="L685" s="349"/>
      <c r="M685" s="354">
        <v>0</v>
      </c>
      <c r="N685" s="354">
        <v>0</v>
      </c>
      <c r="O685" s="349">
        <v>31362</v>
      </c>
      <c r="P685" s="354">
        <f t="shared" si="28"/>
        <v>31362</v>
      </c>
      <c r="Q685" s="349"/>
      <c r="R685" s="354">
        <v>0</v>
      </c>
      <c r="S685" s="349">
        <v>-8061</v>
      </c>
      <c r="T685" s="355">
        <v>-8061</v>
      </c>
    </row>
    <row r="686" spans="1:20" s="226" customFormat="1">
      <c r="A686" s="227">
        <v>97461</v>
      </c>
      <c r="B686" s="228" t="s">
        <v>2392</v>
      </c>
      <c r="C686" s="235">
        <f>SUM(C684:C685)</f>
        <v>5.3019999999999999E-4</v>
      </c>
      <c r="D686" s="235">
        <f t="shared" ref="D686:T686" si="29">SUM(D684:D685)</f>
        <v>5.976E-4</v>
      </c>
      <c r="E686" s="232">
        <f t="shared" si="29"/>
        <v>1257816</v>
      </c>
      <c r="F686" s="232"/>
      <c r="G686" s="233">
        <f t="shared" si="29"/>
        <v>194051</v>
      </c>
      <c r="H686" s="221">
        <f t="shared" si="29"/>
        <v>172661</v>
      </c>
      <c r="I686" s="233">
        <f t="shared" si="29"/>
        <v>333776</v>
      </c>
      <c r="J686" s="232">
        <f t="shared" si="29"/>
        <v>3040</v>
      </c>
      <c r="K686" s="221">
        <f t="shared" si="29"/>
        <v>703528</v>
      </c>
      <c r="L686" s="232"/>
      <c r="M686" s="233">
        <f t="shared" si="29"/>
        <v>6511</v>
      </c>
      <c r="N686" s="233">
        <f t="shared" si="29"/>
        <v>0</v>
      </c>
      <c r="O686" s="232">
        <f t="shared" si="29"/>
        <v>87265</v>
      </c>
      <c r="P686" s="221">
        <f t="shared" si="29"/>
        <v>93776</v>
      </c>
      <c r="Q686" s="232"/>
      <c r="R686" s="233">
        <f t="shared" si="29"/>
        <v>349387</v>
      </c>
      <c r="S686" s="232">
        <f t="shared" si="29"/>
        <v>-29095</v>
      </c>
      <c r="T686" s="234">
        <f t="shared" si="29"/>
        <v>320292</v>
      </c>
    </row>
    <row r="687" spans="1:20">
      <c r="A687" s="48">
        <v>97471</v>
      </c>
      <c r="B687" s="49" t="s">
        <v>2393</v>
      </c>
      <c r="C687" s="235">
        <v>1.66E-5</v>
      </c>
      <c r="D687" s="235">
        <v>1.22E-5</v>
      </c>
      <c r="E687" s="218">
        <v>39381</v>
      </c>
      <c r="F687" s="218" t="s">
        <v>1930</v>
      </c>
      <c r="G687" s="233">
        <v>6076</v>
      </c>
      <c r="H687" s="221">
        <v>5406</v>
      </c>
      <c r="I687" s="233">
        <v>10450</v>
      </c>
      <c r="J687" s="232">
        <v>10650</v>
      </c>
      <c r="K687" s="88">
        <f t="shared" si="27"/>
        <v>32582</v>
      </c>
      <c r="L687" s="50"/>
      <c r="M687" s="233">
        <v>204</v>
      </c>
      <c r="N687" s="233">
        <v>0</v>
      </c>
      <c r="O687" s="232">
        <v>0</v>
      </c>
      <c r="P687" s="88">
        <f t="shared" si="28"/>
        <v>204</v>
      </c>
      <c r="Q687" s="50"/>
      <c r="R687" s="233">
        <v>10939</v>
      </c>
      <c r="S687" s="232">
        <v>4239</v>
      </c>
      <c r="T687" s="234">
        <v>15178</v>
      </c>
    </row>
    <row r="688" spans="1:20">
      <c r="A688" s="48">
        <v>97481</v>
      </c>
      <c r="B688" s="49" t="s">
        <v>2490</v>
      </c>
      <c r="C688" s="235">
        <v>1.26E-5</v>
      </c>
      <c r="D688" s="235">
        <v>9.9000000000000001E-6</v>
      </c>
      <c r="E688" s="218">
        <v>29892</v>
      </c>
      <c r="F688" s="218" t="s">
        <v>1930</v>
      </c>
      <c r="G688" s="233">
        <v>4612</v>
      </c>
      <c r="H688" s="221">
        <v>4103</v>
      </c>
      <c r="I688" s="233">
        <v>7932</v>
      </c>
      <c r="J688" s="232">
        <v>1760</v>
      </c>
      <c r="K688" s="88">
        <f t="shared" si="27"/>
        <v>18407</v>
      </c>
      <c r="L688" s="50"/>
      <c r="M688" s="233">
        <v>155</v>
      </c>
      <c r="N688" s="233">
        <v>0</v>
      </c>
      <c r="O688" s="232">
        <v>2336</v>
      </c>
      <c r="P688" s="88">
        <f t="shared" si="28"/>
        <v>2491</v>
      </c>
      <c r="Q688" s="50"/>
      <c r="R688" s="233">
        <v>8303</v>
      </c>
      <c r="S688" s="232">
        <v>1709</v>
      </c>
      <c r="T688" s="234">
        <v>10012</v>
      </c>
    </row>
    <row r="689" spans="1:20">
      <c r="A689" s="48">
        <v>97491</v>
      </c>
      <c r="B689" s="49" t="s">
        <v>2394</v>
      </c>
      <c r="C689" s="235">
        <v>0</v>
      </c>
      <c r="D689" s="235">
        <v>0</v>
      </c>
      <c r="E689" s="218">
        <v>0</v>
      </c>
      <c r="F689" s="218" t="s">
        <v>1930</v>
      </c>
      <c r="G689" s="233">
        <v>0</v>
      </c>
      <c r="H689" s="221">
        <v>0</v>
      </c>
      <c r="I689" s="233">
        <v>0</v>
      </c>
      <c r="J689" s="232">
        <v>0</v>
      </c>
      <c r="K689" s="88">
        <f t="shared" si="27"/>
        <v>0</v>
      </c>
      <c r="L689" s="50"/>
      <c r="M689" s="233">
        <v>0</v>
      </c>
      <c r="N689" s="233">
        <v>0</v>
      </c>
      <c r="O689" s="232">
        <v>2921</v>
      </c>
      <c r="P689" s="88">
        <f t="shared" si="28"/>
        <v>2921</v>
      </c>
      <c r="Q689" s="50"/>
      <c r="R689" s="233">
        <v>0</v>
      </c>
      <c r="S689" s="232">
        <v>-4927</v>
      </c>
      <c r="T689" s="234">
        <v>-4927</v>
      </c>
    </row>
    <row r="690" spans="1:20">
      <c r="A690" s="48">
        <v>97501</v>
      </c>
      <c r="B690" s="49" t="s">
        <v>1388</v>
      </c>
      <c r="C690" s="235">
        <v>1.0767999999999999E-3</v>
      </c>
      <c r="D690" s="235">
        <v>1.1000999999999999E-3</v>
      </c>
      <c r="E690" s="218">
        <v>2554538</v>
      </c>
      <c r="F690" s="218" t="s">
        <v>1930</v>
      </c>
      <c r="G690" s="233">
        <v>394104</v>
      </c>
      <c r="H690" s="221">
        <v>350662</v>
      </c>
      <c r="I690" s="233">
        <v>677876</v>
      </c>
      <c r="J690" s="232">
        <v>80569</v>
      </c>
      <c r="K690" s="88">
        <f t="shared" si="27"/>
        <v>1503211</v>
      </c>
      <c r="L690" s="50"/>
      <c r="M690" s="233">
        <v>13224</v>
      </c>
      <c r="N690" s="233">
        <v>0</v>
      </c>
      <c r="O690" s="232">
        <v>3282</v>
      </c>
      <c r="P690" s="88">
        <f t="shared" si="28"/>
        <v>16506</v>
      </c>
      <c r="Q690" s="50"/>
      <c r="R690" s="233">
        <v>709582</v>
      </c>
      <c r="S690" s="232">
        <v>43661</v>
      </c>
      <c r="T690" s="234">
        <v>753243</v>
      </c>
    </row>
    <row r="691" spans="1:20">
      <c r="A691" s="48">
        <v>97511</v>
      </c>
      <c r="B691" s="49" t="s">
        <v>2395</v>
      </c>
      <c r="C691" s="235">
        <v>1.8090000000000001E-4</v>
      </c>
      <c r="D691" s="235">
        <v>2.3450000000000001E-4</v>
      </c>
      <c r="E691" s="218">
        <v>429157</v>
      </c>
      <c r="F691" s="218" t="s">
        <v>1930</v>
      </c>
      <c r="G691" s="233">
        <v>66209</v>
      </c>
      <c r="H691" s="221">
        <v>58911</v>
      </c>
      <c r="I691" s="233">
        <v>113882</v>
      </c>
      <c r="J691" s="232">
        <v>8581</v>
      </c>
      <c r="K691" s="88">
        <f t="shared" si="27"/>
        <v>247583</v>
      </c>
      <c r="L691" s="50"/>
      <c r="M691" s="233">
        <v>2222</v>
      </c>
      <c r="N691" s="233">
        <v>0</v>
      </c>
      <c r="O691" s="232">
        <v>27881</v>
      </c>
      <c r="P691" s="88">
        <f t="shared" si="28"/>
        <v>30103</v>
      </c>
      <c r="Q691" s="50"/>
      <c r="R691" s="233">
        <v>119208</v>
      </c>
      <c r="S691" s="232">
        <v>-3085</v>
      </c>
      <c r="T691" s="234">
        <v>116123</v>
      </c>
    </row>
    <row r="692" spans="1:20">
      <c r="A692" s="48">
        <v>97521</v>
      </c>
      <c r="B692" s="49" t="s">
        <v>2396</v>
      </c>
      <c r="C692" s="235">
        <v>1.2640000000000001E-4</v>
      </c>
      <c r="D692" s="235">
        <v>1.2870000000000001E-4</v>
      </c>
      <c r="E692" s="218">
        <v>299864</v>
      </c>
      <c r="F692" s="218" t="s">
        <v>1930</v>
      </c>
      <c r="G692" s="233">
        <v>46262</v>
      </c>
      <c r="H692" s="221">
        <v>41162</v>
      </c>
      <c r="I692" s="233">
        <v>79572</v>
      </c>
      <c r="J692" s="232">
        <v>0</v>
      </c>
      <c r="K692" s="88">
        <f t="shared" si="27"/>
        <v>166996</v>
      </c>
      <c r="L692" s="50"/>
      <c r="M692" s="233">
        <v>1552</v>
      </c>
      <c r="N692" s="233">
        <v>0</v>
      </c>
      <c r="O692" s="232">
        <v>13218</v>
      </c>
      <c r="P692" s="88">
        <f t="shared" si="28"/>
        <v>14770</v>
      </c>
      <c r="Q692" s="50"/>
      <c r="R692" s="233">
        <v>83294</v>
      </c>
      <c r="S692" s="232">
        <v>-4767</v>
      </c>
      <c r="T692" s="234">
        <v>78527</v>
      </c>
    </row>
    <row r="693" spans="1:20" s="181" customFormat="1">
      <c r="A693" s="179">
        <v>97527</v>
      </c>
      <c r="B693" s="180" t="s">
        <v>1641</v>
      </c>
      <c r="C693" s="235">
        <v>1.3999999999999999E-6</v>
      </c>
      <c r="D693" s="235">
        <v>0</v>
      </c>
      <c r="E693" s="218">
        <v>3321</v>
      </c>
      <c r="F693" s="218" t="s">
        <v>1930</v>
      </c>
      <c r="G693" s="233">
        <v>512</v>
      </c>
      <c r="H693" s="221">
        <v>456</v>
      </c>
      <c r="I693" s="233">
        <v>881</v>
      </c>
      <c r="J693" s="232">
        <v>3462</v>
      </c>
      <c r="K693" s="88">
        <f t="shared" si="27"/>
        <v>5311</v>
      </c>
      <c r="L693" s="178"/>
      <c r="M693" s="233">
        <v>17</v>
      </c>
      <c r="N693" s="233">
        <v>0</v>
      </c>
      <c r="O693" s="232">
        <v>0</v>
      </c>
      <c r="P693" s="88">
        <f t="shared" si="28"/>
        <v>17</v>
      </c>
      <c r="Q693" s="178"/>
      <c r="R693" s="233">
        <v>923</v>
      </c>
      <c r="S693" s="232">
        <v>866</v>
      </c>
      <c r="T693" s="234">
        <v>1789</v>
      </c>
    </row>
    <row r="694" spans="1:20">
      <c r="A694" s="48">
        <v>97531</v>
      </c>
      <c r="B694" s="49" t="s">
        <v>1391</v>
      </c>
      <c r="C694" s="235">
        <v>5.2800000000000003E-5</v>
      </c>
      <c r="D694" s="235">
        <v>4.32E-5</v>
      </c>
      <c r="E694" s="218">
        <v>125260</v>
      </c>
      <c r="F694" s="218" t="s">
        <v>1930</v>
      </c>
      <c r="G694" s="233">
        <v>19325</v>
      </c>
      <c r="H694" s="221">
        <v>17194</v>
      </c>
      <c r="I694" s="233">
        <v>33239</v>
      </c>
      <c r="J694" s="232">
        <v>18303</v>
      </c>
      <c r="K694" s="88">
        <f t="shared" si="27"/>
        <v>88061</v>
      </c>
      <c r="L694" s="50"/>
      <c r="M694" s="233">
        <v>648</v>
      </c>
      <c r="N694" s="233">
        <v>0</v>
      </c>
      <c r="O694" s="232">
        <v>3521</v>
      </c>
      <c r="P694" s="88">
        <f t="shared" si="28"/>
        <v>4169</v>
      </c>
      <c r="Q694" s="50"/>
      <c r="R694" s="233">
        <v>34794</v>
      </c>
      <c r="S694" s="232">
        <v>42</v>
      </c>
      <c r="T694" s="234">
        <v>34836</v>
      </c>
    </row>
    <row r="695" spans="1:20">
      <c r="A695" s="48">
        <v>97601</v>
      </c>
      <c r="B695" s="49" t="s">
        <v>1392</v>
      </c>
      <c r="C695" s="235">
        <v>5.2467E-3</v>
      </c>
      <c r="D695" s="235">
        <v>5.1672000000000003E-3</v>
      </c>
      <c r="E695" s="218">
        <v>12446967</v>
      </c>
      <c r="F695" s="218" t="s">
        <v>1930</v>
      </c>
      <c r="G695" s="233">
        <v>1920271</v>
      </c>
      <c r="H695" s="221">
        <v>1708599</v>
      </c>
      <c r="I695" s="233">
        <v>3302945</v>
      </c>
      <c r="J695" s="232">
        <v>143195</v>
      </c>
      <c r="K695" s="88">
        <f t="shared" si="27"/>
        <v>7075010</v>
      </c>
      <c r="L695" s="50"/>
      <c r="M695" s="233">
        <v>64435</v>
      </c>
      <c r="N695" s="233">
        <v>0</v>
      </c>
      <c r="O695" s="232">
        <v>56258</v>
      </c>
      <c r="P695" s="88">
        <f t="shared" si="28"/>
        <v>120693</v>
      </c>
      <c r="Q695" s="50"/>
      <c r="R695" s="233">
        <v>3457434</v>
      </c>
      <c r="S695" s="232">
        <v>-900</v>
      </c>
      <c r="T695" s="234">
        <v>3456534</v>
      </c>
    </row>
    <row r="696" spans="1:20">
      <c r="A696" s="48">
        <v>97607</v>
      </c>
      <c r="B696" s="49" t="s">
        <v>1393</v>
      </c>
      <c r="C696" s="235">
        <v>2.23E-5</v>
      </c>
      <c r="D696" s="235">
        <v>2.3200000000000001E-5</v>
      </c>
      <c r="E696" s="218">
        <v>52903</v>
      </c>
      <c r="F696" s="218" t="s">
        <v>1930</v>
      </c>
      <c r="G696" s="233">
        <v>8162</v>
      </c>
      <c r="H696" s="221">
        <v>7262</v>
      </c>
      <c r="I696" s="233">
        <v>14038</v>
      </c>
      <c r="J696" s="232">
        <v>13674</v>
      </c>
      <c r="K696" s="88">
        <f t="shared" si="27"/>
        <v>43136</v>
      </c>
      <c r="L696" s="50"/>
      <c r="M696" s="233">
        <v>274</v>
      </c>
      <c r="N696" s="233">
        <v>0</v>
      </c>
      <c r="O696" s="232">
        <v>0</v>
      </c>
      <c r="P696" s="88">
        <f t="shared" si="28"/>
        <v>274</v>
      </c>
      <c r="Q696" s="50"/>
      <c r="R696" s="233">
        <v>14695</v>
      </c>
      <c r="S696" s="232">
        <v>6841</v>
      </c>
      <c r="T696" s="234">
        <v>21536</v>
      </c>
    </row>
    <row r="697" spans="1:20">
      <c r="A697" s="48">
        <v>97611</v>
      </c>
      <c r="B697" s="49" t="s">
        <v>1394</v>
      </c>
      <c r="C697" s="235">
        <v>2.3620999999999998E-3</v>
      </c>
      <c r="D697" s="235">
        <v>2.4767999999999999E-3</v>
      </c>
      <c r="E697" s="218">
        <v>5603709</v>
      </c>
      <c r="F697" s="218" t="s">
        <v>1930</v>
      </c>
      <c r="G697" s="233">
        <v>864519</v>
      </c>
      <c r="H697" s="221">
        <v>769222</v>
      </c>
      <c r="I697" s="233">
        <v>1487008</v>
      </c>
      <c r="J697" s="232">
        <v>0</v>
      </c>
      <c r="K697" s="88">
        <f t="shared" si="27"/>
        <v>3120749</v>
      </c>
      <c r="L697" s="50"/>
      <c r="M697" s="233">
        <v>29009</v>
      </c>
      <c r="N697" s="233">
        <v>0</v>
      </c>
      <c r="O697" s="232">
        <v>262473</v>
      </c>
      <c r="P697" s="88">
        <f t="shared" si="28"/>
        <v>291482</v>
      </c>
      <c r="Q697" s="50"/>
      <c r="R697" s="233">
        <v>1556560</v>
      </c>
      <c r="S697" s="232">
        <v>-141266</v>
      </c>
      <c r="T697" s="234">
        <v>1415294</v>
      </c>
    </row>
    <row r="698" spans="1:20">
      <c r="A698" s="48">
        <v>97613</v>
      </c>
      <c r="B698" s="49" t="s">
        <v>2753</v>
      </c>
      <c r="C698" s="235">
        <v>1.155E-4</v>
      </c>
      <c r="D698" s="235">
        <v>1.1629999999999999E-4</v>
      </c>
      <c r="E698" s="218">
        <v>274006</v>
      </c>
      <c r="F698" s="218" t="s">
        <v>1930</v>
      </c>
      <c r="G698" s="233">
        <v>42273</v>
      </c>
      <c r="H698" s="221">
        <v>37613</v>
      </c>
      <c r="I698" s="233">
        <v>72710</v>
      </c>
      <c r="J698" s="232">
        <v>7279</v>
      </c>
      <c r="K698" s="88">
        <f t="shared" si="27"/>
        <v>159875</v>
      </c>
      <c r="L698" s="50"/>
      <c r="M698" s="233">
        <v>1418</v>
      </c>
      <c r="N698" s="233">
        <v>0</v>
      </c>
      <c r="O698" s="232">
        <v>1649</v>
      </c>
      <c r="P698" s="88">
        <f t="shared" si="28"/>
        <v>3067</v>
      </c>
      <c r="Q698" s="50"/>
      <c r="R698" s="233">
        <v>76111</v>
      </c>
      <c r="S698" s="232">
        <v>633</v>
      </c>
      <c r="T698" s="234">
        <v>76744</v>
      </c>
    </row>
    <row r="699" spans="1:20">
      <c r="A699" s="48">
        <v>97621</v>
      </c>
      <c r="B699" s="49" t="s">
        <v>1396</v>
      </c>
      <c r="C699" s="235">
        <v>4.4650000000000001E-4</v>
      </c>
      <c r="D699" s="235">
        <v>4.5179999999999998E-4</v>
      </c>
      <c r="E699" s="218">
        <v>1059251</v>
      </c>
      <c r="F699" s="218" t="s">
        <v>1930</v>
      </c>
      <c r="G699" s="233">
        <v>163417</v>
      </c>
      <c r="H699" s="221">
        <v>145404</v>
      </c>
      <c r="I699" s="233">
        <v>281084</v>
      </c>
      <c r="J699" s="232">
        <v>7112</v>
      </c>
      <c r="K699" s="88">
        <f t="shared" si="27"/>
        <v>597017</v>
      </c>
      <c r="L699" s="50"/>
      <c r="M699" s="233">
        <v>5483</v>
      </c>
      <c r="N699" s="233">
        <v>0</v>
      </c>
      <c r="O699" s="232">
        <v>77672</v>
      </c>
      <c r="P699" s="88">
        <f t="shared" si="28"/>
        <v>83155</v>
      </c>
      <c r="Q699" s="50"/>
      <c r="R699" s="233">
        <v>294231</v>
      </c>
      <c r="S699" s="232">
        <v>-19086</v>
      </c>
      <c r="T699" s="234">
        <v>275145</v>
      </c>
    </row>
    <row r="700" spans="1:20">
      <c r="A700" s="48">
        <v>97623</v>
      </c>
      <c r="B700" s="49" t="s">
        <v>1397</v>
      </c>
      <c r="C700" s="235">
        <v>2.4000000000000001E-5</v>
      </c>
      <c r="D700" s="235">
        <v>2.9499999999999999E-5</v>
      </c>
      <c r="E700" s="218">
        <v>56936</v>
      </c>
      <c r="F700" s="218" t="s">
        <v>1930</v>
      </c>
      <c r="G700" s="233">
        <v>8784</v>
      </c>
      <c r="H700" s="221">
        <v>7815</v>
      </c>
      <c r="I700" s="233">
        <v>15109</v>
      </c>
      <c r="J700" s="232">
        <v>2822</v>
      </c>
      <c r="K700" s="88">
        <f t="shared" si="27"/>
        <v>34530</v>
      </c>
      <c r="L700" s="50"/>
      <c r="M700" s="233">
        <v>295</v>
      </c>
      <c r="N700" s="233">
        <v>0</v>
      </c>
      <c r="O700" s="232">
        <v>5509</v>
      </c>
      <c r="P700" s="88">
        <f t="shared" si="28"/>
        <v>5804</v>
      </c>
      <c r="Q700" s="50"/>
      <c r="R700" s="233">
        <v>15815</v>
      </c>
      <c r="S700" s="232">
        <v>2196</v>
      </c>
      <c r="T700" s="234">
        <v>18011</v>
      </c>
    </row>
    <row r="701" spans="1:20">
      <c r="A701" s="48">
        <v>97627</v>
      </c>
      <c r="B701" s="49" t="s">
        <v>1398</v>
      </c>
      <c r="C701" s="235">
        <v>9.5000000000000005E-6</v>
      </c>
      <c r="D701" s="235">
        <v>9.7000000000000003E-6</v>
      </c>
      <c r="E701" s="218">
        <v>22537</v>
      </c>
      <c r="F701" s="218" t="s">
        <v>1930</v>
      </c>
      <c r="G701" s="233">
        <v>3477</v>
      </c>
      <c r="H701" s="221">
        <v>3094</v>
      </c>
      <c r="I701" s="233">
        <v>5981</v>
      </c>
      <c r="J701" s="232">
        <v>860</v>
      </c>
      <c r="K701" s="88">
        <f t="shared" si="27"/>
        <v>13412</v>
      </c>
      <c r="L701" s="50"/>
      <c r="M701" s="233">
        <v>117</v>
      </c>
      <c r="N701" s="233">
        <v>0</v>
      </c>
      <c r="O701" s="232">
        <v>455</v>
      </c>
      <c r="P701" s="88">
        <f t="shared" si="28"/>
        <v>572</v>
      </c>
      <c r="Q701" s="50"/>
      <c r="R701" s="233">
        <v>6260</v>
      </c>
      <c r="S701" s="232">
        <v>-64</v>
      </c>
      <c r="T701" s="234">
        <v>6196</v>
      </c>
    </row>
    <row r="702" spans="1:20">
      <c r="A702" s="48">
        <v>97631</v>
      </c>
      <c r="B702" s="49" t="s">
        <v>2397</v>
      </c>
      <c r="C702" s="235">
        <v>2.0909999999999999E-4</v>
      </c>
      <c r="D702" s="235">
        <v>2.051E-4</v>
      </c>
      <c r="E702" s="218">
        <v>496057</v>
      </c>
      <c r="F702" s="218" t="s">
        <v>1930</v>
      </c>
      <c r="G702" s="233">
        <v>76530</v>
      </c>
      <c r="H702" s="221">
        <v>68094</v>
      </c>
      <c r="I702" s="233">
        <v>131634</v>
      </c>
      <c r="J702" s="232">
        <v>3847</v>
      </c>
      <c r="K702" s="88">
        <f t="shared" si="27"/>
        <v>280105</v>
      </c>
      <c r="L702" s="50"/>
      <c r="M702" s="233">
        <v>2568</v>
      </c>
      <c r="N702" s="233">
        <v>0</v>
      </c>
      <c r="O702" s="232">
        <v>7878</v>
      </c>
      <c r="P702" s="88">
        <f t="shared" si="28"/>
        <v>10446</v>
      </c>
      <c r="Q702" s="50"/>
      <c r="R702" s="233">
        <v>137791</v>
      </c>
      <c r="S702" s="232">
        <v>3264</v>
      </c>
      <c r="T702" s="234">
        <v>141055</v>
      </c>
    </row>
    <row r="703" spans="1:20">
      <c r="A703" s="48">
        <v>97637</v>
      </c>
      <c r="B703" s="49" t="s">
        <v>1400</v>
      </c>
      <c r="C703" s="235">
        <v>3.7000000000000002E-6</v>
      </c>
      <c r="D703" s="235">
        <v>4.3000000000000003E-6</v>
      </c>
      <c r="E703" s="218">
        <v>8778</v>
      </c>
      <c r="F703" s="218" t="s">
        <v>1930</v>
      </c>
      <c r="G703" s="233">
        <v>1354</v>
      </c>
      <c r="H703" s="221">
        <v>1205</v>
      </c>
      <c r="I703" s="233">
        <v>2329</v>
      </c>
      <c r="J703" s="232">
        <v>1324</v>
      </c>
      <c r="K703" s="88">
        <f t="shared" si="27"/>
        <v>6212</v>
      </c>
      <c r="L703" s="50"/>
      <c r="M703" s="233">
        <v>45</v>
      </c>
      <c r="N703" s="233">
        <v>0</v>
      </c>
      <c r="O703" s="232">
        <v>20</v>
      </c>
      <c r="P703" s="88">
        <f t="shared" si="28"/>
        <v>65</v>
      </c>
      <c r="Q703" s="50"/>
      <c r="R703" s="233">
        <v>2438</v>
      </c>
      <c r="S703" s="232">
        <v>571</v>
      </c>
      <c r="T703" s="234">
        <v>3009</v>
      </c>
    </row>
    <row r="704" spans="1:20">
      <c r="A704" s="48">
        <v>97641</v>
      </c>
      <c r="B704" s="49" t="s">
        <v>2398</v>
      </c>
      <c r="C704" s="235">
        <v>5.1400000000000003E-5</v>
      </c>
      <c r="D704" s="235">
        <v>6.8899999999999994E-5</v>
      </c>
      <c r="E704" s="218">
        <v>121938</v>
      </c>
      <c r="F704" s="218" t="s">
        <v>1930</v>
      </c>
      <c r="G704" s="233">
        <v>18812</v>
      </c>
      <c r="H704" s="221">
        <v>16739</v>
      </c>
      <c r="I704" s="233">
        <v>32358</v>
      </c>
      <c r="J704" s="232">
        <v>8101</v>
      </c>
      <c r="K704" s="88">
        <f t="shared" si="27"/>
        <v>76010</v>
      </c>
      <c r="L704" s="50"/>
      <c r="M704" s="233">
        <v>631</v>
      </c>
      <c r="N704" s="233">
        <v>0</v>
      </c>
      <c r="O704" s="232">
        <v>8286</v>
      </c>
      <c r="P704" s="88">
        <f t="shared" si="28"/>
        <v>8917</v>
      </c>
      <c r="Q704" s="50"/>
      <c r="R704" s="233">
        <v>33871</v>
      </c>
      <c r="S704" s="232">
        <v>0</v>
      </c>
      <c r="T704" s="234">
        <v>33871</v>
      </c>
    </row>
    <row r="705" spans="1:20">
      <c r="A705" s="48">
        <v>97651</v>
      </c>
      <c r="B705" s="49" t="s">
        <v>1402</v>
      </c>
      <c r="C705" s="235">
        <v>5.1929999999999999E-4</v>
      </c>
      <c r="D705" s="235">
        <v>5.1979999999999995E-4</v>
      </c>
      <c r="E705" s="218">
        <v>1231957</v>
      </c>
      <c r="F705" s="218" t="s">
        <v>1930</v>
      </c>
      <c r="G705" s="233">
        <v>190062</v>
      </c>
      <c r="H705" s="221">
        <v>169112</v>
      </c>
      <c r="I705" s="233">
        <v>326914</v>
      </c>
      <c r="J705" s="232">
        <v>1180</v>
      </c>
      <c r="K705" s="88">
        <f t="shared" si="27"/>
        <v>687268</v>
      </c>
      <c r="L705" s="50"/>
      <c r="M705" s="233">
        <v>6378</v>
      </c>
      <c r="N705" s="233">
        <v>0</v>
      </c>
      <c r="O705" s="232">
        <v>40115</v>
      </c>
      <c r="P705" s="88">
        <f t="shared" si="28"/>
        <v>46493</v>
      </c>
      <c r="Q705" s="50"/>
      <c r="R705" s="233">
        <v>342205</v>
      </c>
      <c r="S705" s="232">
        <v>-23900</v>
      </c>
      <c r="T705" s="234">
        <v>318305</v>
      </c>
    </row>
    <row r="706" spans="1:20">
      <c r="A706" s="48">
        <v>97661</v>
      </c>
      <c r="B706" s="49" t="s">
        <v>1403</v>
      </c>
      <c r="C706" s="235">
        <v>4.3999999999999999E-5</v>
      </c>
      <c r="D706" s="235">
        <v>5.1600000000000001E-5</v>
      </c>
      <c r="E706" s="218">
        <v>104383</v>
      </c>
      <c r="F706" s="218" t="s">
        <v>1930</v>
      </c>
      <c r="G706" s="233">
        <v>16104</v>
      </c>
      <c r="H706" s="221">
        <v>14329</v>
      </c>
      <c r="I706" s="233">
        <v>27699</v>
      </c>
      <c r="J706" s="232">
        <v>7695</v>
      </c>
      <c r="K706" s="88">
        <f t="shared" si="27"/>
        <v>65827</v>
      </c>
      <c r="L706" s="50"/>
      <c r="M706" s="233">
        <v>540</v>
      </c>
      <c r="N706" s="233">
        <v>0</v>
      </c>
      <c r="O706" s="232">
        <v>2802</v>
      </c>
      <c r="P706" s="88">
        <f t="shared" si="28"/>
        <v>3342</v>
      </c>
      <c r="Q706" s="50"/>
      <c r="R706" s="233">
        <v>28995</v>
      </c>
      <c r="S706" s="232">
        <v>4350</v>
      </c>
      <c r="T706" s="234">
        <v>33345</v>
      </c>
    </row>
    <row r="707" spans="1:20">
      <c r="A707" s="48">
        <v>97701</v>
      </c>
      <c r="B707" s="49" t="s">
        <v>1404</v>
      </c>
      <c r="C707" s="235">
        <v>2.5590000000000001E-3</v>
      </c>
      <c r="D707" s="235">
        <v>2.4975000000000002E-3</v>
      </c>
      <c r="E707" s="218">
        <v>6070823</v>
      </c>
      <c r="F707" s="218" t="s">
        <v>1930</v>
      </c>
      <c r="G707" s="233">
        <v>936584</v>
      </c>
      <c r="H707" s="221">
        <v>833344</v>
      </c>
      <c r="I707" s="233">
        <v>1610962</v>
      </c>
      <c r="J707" s="232">
        <v>51260</v>
      </c>
      <c r="K707" s="88">
        <f t="shared" si="27"/>
        <v>3432150</v>
      </c>
      <c r="L707" s="50"/>
      <c r="M707" s="233">
        <v>31427</v>
      </c>
      <c r="N707" s="233">
        <v>0</v>
      </c>
      <c r="O707" s="232">
        <v>0</v>
      </c>
      <c r="P707" s="88">
        <f t="shared" si="28"/>
        <v>31427</v>
      </c>
      <c r="Q707" s="50"/>
      <c r="R707" s="233">
        <v>1686312</v>
      </c>
      <c r="S707" s="232">
        <v>10250</v>
      </c>
      <c r="T707" s="234">
        <v>1696562</v>
      </c>
    </row>
    <row r="708" spans="1:20">
      <c r="A708" s="48">
        <v>97705</v>
      </c>
      <c r="B708" s="49" t="s">
        <v>1405</v>
      </c>
      <c r="C708" s="235">
        <v>4.5500000000000001E-5</v>
      </c>
      <c r="D708" s="235">
        <v>4.7700000000000001E-5</v>
      </c>
      <c r="E708" s="218">
        <v>107942</v>
      </c>
      <c r="F708" s="218" t="s">
        <v>1930</v>
      </c>
      <c r="G708" s="233">
        <v>16653</v>
      </c>
      <c r="H708" s="221">
        <v>14818</v>
      </c>
      <c r="I708" s="233">
        <v>28644</v>
      </c>
      <c r="J708" s="232">
        <v>1548</v>
      </c>
      <c r="K708" s="88">
        <f t="shared" si="27"/>
        <v>61663</v>
      </c>
      <c r="L708" s="50"/>
      <c r="M708" s="233">
        <v>559</v>
      </c>
      <c r="N708" s="233">
        <v>0</v>
      </c>
      <c r="O708" s="232">
        <v>9592</v>
      </c>
      <c r="P708" s="88">
        <f t="shared" si="28"/>
        <v>10151</v>
      </c>
      <c r="Q708" s="50"/>
      <c r="R708" s="233">
        <v>29983</v>
      </c>
      <c r="S708" s="232">
        <v>-54</v>
      </c>
      <c r="T708" s="234">
        <v>29929</v>
      </c>
    </row>
    <row r="709" spans="1:20">
      <c r="A709" s="48">
        <v>97711</v>
      </c>
      <c r="B709" s="49" t="s">
        <v>1406</v>
      </c>
      <c r="C709" s="235">
        <v>9.1239999999999995E-4</v>
      </c>
      <c r="D709" s="235">
        <v>9.0879999999999997E-4</v>
      </c>
      <c r="E709" s="218">
        <v>2164525</v>
      </c>
      <c r="F709" s="218" t="s">
        <v>1930</v>
      </c>
      <c r="G709" s="233">
        <v>333935</v>
      </c>
      <c r="H709" s="221">
        <v>297125</v>
      </c>
      <c r="I709" s="233">
        <v>574381</v>
      </c>
      <c r="J709" s="232">
        <v>12495</v>
      </c>
      <c r="K709" s="88">
        <f t="shared" si="27"/>
        <v>1217936</v>
      </c>
      <c r="L709" s="50"/>
      <c r="M709" s="233">
        <v>11205</v>
      </c>
      <c r="N709" s="233">
        <v>0</v>
      </c>
      <c r="O709" s="232">
        <v>22125</v>
      </c>
      <c r="P709" s="88">
        <f t="shared" si="28"/>
        <v>33330</v>
      </c>
      <c r="Q709" s="50"/>
      <c r="R709" s="233">
        <v>601247</v>
      </c>
      <c r="S709" s="232">
        <v>1420</v>
      </c>
      <c r="T709" s="234">
        <v>602667</v>
      </c>
    </row>
    <row r="710" spans="1:20">
      <c r="A710" s="48">
        <v>97713</v>
      </c>
      <c r="B710" s="49" t="s">
        <v>1407</v>
      </c>
      <c r="C710" s="235">
        <v>5.0500000000000001E-5</v>
      </c>
      <c r="D710" s="235">
        <v>4.1199999999999999E-5</v>
      </c>
      <c r="E710" s="218">
        <v>119803</v>
      </c>
      <c r="F710" s="218" t="s">
        <v>1930</v>
      </c>
      <c r="G710" s="233">
        <v>18483</v>
      </c>
      <c r="H710" s="221">
        <v>16445</v>
      </c>
      <c r="I710" s="233">
        <v>31791</v>
      </c>
      <c r="J710" s="232">
        <v>4434</v>
      </c>
      <c r="K710" s="88">
        <f t="shared" si="27"/>
        <v>71153</v>
      </c>
      <c r="L710" s="50"/>
      <c r="M710" s="233">
        <v>620</v>
      </c>
      <c r="N710" s="233">
        <v>0</v>
      </c>
      <c r="O710" s="232">
        <v>11193</v>
      </c>
      <c r="P710" s="88">
        <f t="shared" si="28"/>
        <v>11813</v>
      </c>
      <c r="Q710" s="50"/>
      <c r="R710" s="233">
        <v>33278</v>
      </c>
      <c r="S710" s="232">
        <v>-3702</v>
      </c>
      <c r="T710" s="234">
        <v>29576</v>
      </c>
    </row>
    <row r="711" spans="1:20">
      <c r="A711" s="48">
        <v>97717</v>
      </c>
      <c r="B711" s="49" t="s">
        <v>1408</v>
      </c>
      <c r="C711" s="235">
        <v>5.3000000000000001E-6</v>
      </c>
      <c r="D711" s="235">
        <v>4.6999999999999999E-6</v>
      </c>
      <c r="E711" s="218">
        <v>12573</v>
      </c>
      <c r="F711" s="218" t="s">
        <v>1930</v>
      </c>
      <c r="G711" s="233">
        <v>1940</v>
      </c>
      <c r="H711" s="221">
        <v>1726</v>
      </c>
      <c r="I711" s="233">
        <v>3336</v>
      </c>
      <c r="J711" s="232">
        <v>1033</v>
      </c>
      <c r="K711" s="88">
        <f t="shared" si="27"/>
        <v>8035</v>
      </c>
      <c r="L711" s="50"/>
      <c r="M711" s="233">
        <v>65</v>
      </c>
      <c r="N711" s="233">
        <v>0</v>
      </c>
      <c r="O711" s="232">
        <v>1481</v>
      </c>
      <c r="P711" s="88">
        <f t="shared" si="28"/>
        <v>1546</v>
      </c>
      <c r="Q711" s="50"/>
      <c r="R711" s="233">
        <v>3493</v>
      </c>
      <c r="S711" s="232">
        <v>-1455</v>
      </c>
      <c r="T711" s="234">
        <v>2038</v>
      </c>
    </row>
    <row r="712" spans="1:20">
      <c r="A712" s="48">
        <v>97721</v>
      </c>
      <c r="B712" s="49" t="s">
        <v>1409</v>
      </c>
      <c r="C712" s="235">
        <v>5.9069999999999999E-4</v>
      </c>
      <c r="D712" s="235">
        <v>5.6599999999999999E-4</v>
      </c>
      <c r="E712" s="218">
        <v>1401342</v>
      </c>
      <c r="F712" s="218" t="s">
        <v>1930</v>
      </c>
      <c r="G712" s="233">
        <v>216194</v>
      </c>
      <c r="H712" s="221">
        <v>192363</v>
      </c>
      <c r="I712" s="233">
        <v>371862</v>
      </c>
      <c r="J712" s="232">
        <v>11194</v>
      </c>
      <c r="K712" s="88">
        <f t="shared" si="27"/>
        <v>791613</v>
      </c>
      <c r="L712" s="50"/>
      <c r="M712" s="233">
        <v>7254</v>
      </c>
      <c r="N712" s="233">
        <v>0</v>
      </c>
      <c r="O712" s="232">
        <v>16380</v>
      </c>
      <c r="P712" s="88">
        <f t="shared" si="28"/>
        <v>23634</v>
      </c>
      <c r="Q712" s="50"/>
      <c r="R712" s="233">
        <v>389255</v>
      </c>
      <c r="S712" s="232">
        <v>-8177</v>
      </c>
      <c r="T712" s="234">
        <v>381078</v>
      </c>
    </row>
    <row r="713" spans="1:20">
      <c r="A713" s="48">
        <v>97727</v>
      </c>
      <c r="B713" s="49" t="s">
        <v>1410</v>
      </c>
      <c r="C713" s="235">
        <v>2.0599999999999999E-5</v>
      </c>
      <c r="D713" s="235">
        <v>2.27E-5</v>
      </c>
      <c r="E713" s="218">
        <v>48870</v>
      </c>
      <c r="F713" s="218" t="s">
        <v>1930</v>
      </c>
      <c r="G713" s="233">
        <v>7540</v>
      </c>
      <c r="H713" s="221">
        <v>6709</v>
      </c>
      <c r="I713" s="233">
        <v>12968</v>
      </c>
      <c r="J713" s="232">
        <v>0</v>
      </c>
      <c r="K713" s="88">
        <f t="shared" si="27"/>
        <v>27217</v>
      </c>
      <c r="L713" s="50"/>
      <c r="M713" s="233">
        <v>253</v>
      </c>
      <c r="N713" s="233">
        <v>0</v>
      </c>
      <c r="O713" s="232">
        <v>1628</v>
      </c>
      <c r="P713" s="88">
        <f t="shared" si="28"/>
        <v>1881</v>
      </c>
      <c r="Q713" s="50"/>
      <c r="R713" s="233">
        <v>13575</v>
      </c>
      <c r="S713" s="232">
        <v>-1410</v>
      </c>
      <c r="T713" s="234">
        <v>12165</v>
      </c>
    </row>
    <row r="714" spans="1:20">
      <c r="A714" s="48">
        <v>97731</v>
      </c>
      <c r="B714" s="49" t="s">
        <v>2399</v>
      </c>
      <c r="C714" s="235">
        <v>3.3200000000000001E-5</v>
      </c>
      <c r="D714" s="235">
        <v>3.5500000000000002E-5</v>
      </c>
      <c r="E714" s="218">
        <v>78762</v>
      </c>
      <c r="F714" s="218" t="s">
        <v>1930</v>
      </c>
      <c r="G714" s="233">
        <v>12151</v>
      </c>
      <c r="H714" s="221">
        <v>10811</v>
      </c>
      <c r="I714" s="233">
        <v>20900</v>
      </c>
      <c r="J714" s="232">
        <v>4695</v>
      </c>
      <c r="K714" s="88">
        <f t="shared" si="27"/>
        <v>48557</v>
      </c>
      <c r="L714" s="50"/>
      <c r="M714" s="233">
        <v>408</v>
      </c>
      <c r="N714" s="233">
        <v>0</v>
      </c>
      <c r="O714" s="232">
        <v>0</v>
      </c>
      <c r="P714" s="88">
        <f t="shared" si="28"/>
        <v>408</v>
      </c>
      <c r="Q714" s="50"/>
      <c r="R714" s="233">
        <v>21878</v>
      </c>
      <c r="S714" s="232">
        <v>3280</v>
      </c>
      <c r="T714" s="234">
        <v>25158</v>
      </c>
    </row>
    <row r="715" spans="1:20">
      <c r="A715" s="48">
        <v>97801</v>
      </c>
      <c r="B715" s="49" t="s">
        <v>1412</v>
      </c>
      <c r="C715" s="235">
        <v>6.5702E-3</v>
      </c>
      <c r="D715" s="235">
        <v>6.9303000000000003E-3</v>
      </c>
      <c r="E715" s="218">
        <v>15586761</v>
      </c>
      <c r="F715" s="218" t="s">
        <v>1930</v>
      </c>
      <c r="G715" s="233">
        <v>2404667</v>
      </c>
      <c r="H715" s="221">
        <v>2139599</v>
      </c>
      <c r="I715" s="233">
        <v>4136125</v>
      </c>
      <c r="J715" s="232">
        <v>0</v>
      </c>
      <c r="K715" s="88">
        <f t="shared" si="27"/>
        <v>8680391</v>
      </c>
      <c r="L715" s="50"/>
      <c r="M715" s="233">
        <v>80689</v>
      </c>
      <c r="N715" s="233">
        <v>0</v>
      </c>
      <c r="O715" s="232">
        <v>508951</v>
      </c>
      <c r="P715" s="88">
        <f t="shared" si="28"/>
        <v>589640</v>
      </c>
      <c r="Q715" s="50"/>
      <c r="R715" s="233">
        <v>4329584</v>
      </c>
      <c r="S715" s="232">
        <v>-154797</v>
      </c>
      <c r="T715" s="234">
        <v>4174787</v>
      </c>
    </row>
    <row r="716" spans="1:20">
      <c r="A716" s="48">
        <v>97802</v>
      </c>
      <c r="B716" s="49" t="s">
        <v>1413</v>
      </c>
      <c r="C716" s="235">
        <v>1.684E-4</v>
      </c>
      <c r="D716" s="235">
        <v>1.5300000000000001E-4</v>
      </c>
      <c r="E716" s="219">
        <v>399502</v>
      </c>
      <c r="F716" s="219" t="s">
        <v>1930</v>
      </c>
      <c r="G716" s="233">
        <v>61634</v>
      </c>
      <c r="H716" s="221">
        <v>54840</v>
      </c>
      <c r="I716" s="233">
        <v>106013</v>
      </c>
      <c r="J716" s="232">
        <v>12750</v>
      </c>
      <c r="K716" s="88">
        <f t="shared" si="27"/>
        <v>235237</v>
      </c>
      <c r="L716" s="50"/>
      <c r="M716" s="233">
        <v>2068</v>
      </c>
      <c r="N716" s="233">
        <v>0</v>
      </c>
      <c r="O716" s="232">
        <v>17264</v>
      </c>
      <c r="P716" s="88">
        <f t="shared" si="28"/>
        <v>19332</v>
      </c>
      <c r="Q716" s="50"/>
      <c r="R716" s="233">
        <v>110971</v>
      </c>
      <c r="S716" s="232">
        <v>1914</v>
      </c>
      <c r="T716" s="234">
        <v>112885</v>
      </c>
    </row>
    <row r="717" spans="1:20">
      <c r="A717" s="48">
        <v>97803</v>
      </c>
      <c r="B717" s="49" t="s">
        <v>1414</v>
      </c>
      <c r="C717" s="235">
        <v>8.1699999999999994E-5</v>
      </c>
      <c r="D717" s="235">
        <v>7.5300000000000001E-5</v>
      </c>
      <c r="E717" s="219">
        <v>193820</v>
      </c>
      <c r="F717" s="219" t="s">
        <v>1930</v>
      </c>
      <c r="G717" s="233">
        <v>29902</v>
      </c>
      <c r="H717" s="221">
        <v>26605</v>
      </c>
      <c r="I717" s="233">
        <v>51432</v>
      </c>
      <c r="J717" s="232">
        <v>5367</v>
      </c>
      <c r="K717" s="88">
        <f t="shared" si="27"/>
        <v>113306</v>
      </c>
      <c r="L717" s="50"/>
      <c r="M717" s="233">
        <v>1003</v>
      </c>
      <c r="N717" s="233">
        <v>0</v>
      </c>
      <c r="O717" s="232">
        <v>685</v>
      </c>
      <c r="P717" s="88">
        <f t="shared" si="28"/>
        <v>1688</v>
      </c>
      <c r="Q717" s="50"/>
      <c r="R717" s="233">
        <v>53838</v>
      </c>
      <c r="S717" s="232">
        <v>4391</v>
      </c>
      <c r="T717" s="234">
        <v>58229</v>
      </c>
    </row>
    <row r="718" spans="1:20">
      <c r="A718" s="48">
        <v>97805</v>
      </c>
      <c r="B718" s="49" t="s">
        <v>1415</v>
      </c>
      <c r="C718" s="235">
        <v>8.2700000000000004E-5</v>
      </c>
      <c r="D718" s="235">
        <v>7.9400000000000006E-5</v>
      </c>
      <c r="E718" s="219">
        <v>196193</v>
      </c>
      <c r="F718" s="219" t="s">
        <v>1930</v>
      </c>
      <c r="G718" s="233">
        <v>30268</v>
      </c>
      <c r="H718" s="221">
        <v>26932</v>
      </c>
      <c r="I718" s="233">
        <v>52062</v>
      </c>
      <c r="J718" s="232">
        <v>9379</v>
      </c>
      <c r="K718" s="88">
        <f t="shared" si="27"/>
        <v>118641</v>
      </c>
      <c r="L718" s="50"/>
      <c r="M718" s="233">
        <v>1016</v>
      </c>
      <c r="N718" s="233">
        <v>0</v>
      </c>
      <c r="O718" s="232">
        <v>0</v>
      </c>
      <c r="P718" s="88">
        <f t="shared" si="28"/>
        <v>1016</v>
      </c>
      <c r="Q718" s="50"/>
      <c r="R718" s="233">
        <v>54497</v>
      </c>
      <c r="S718" s="232">
        <v>4756</v>
      </c>
      <c r="T718" s="234">
        <v>59253</v>
      </c>
    </row>
    <row r="719" spans="1:20">
      <c r="A719" s="48">
        <v>97811</v>
      </c>
      <c r="B719" s="49" t="s">
        <v>1416</v>
      </c>
      <c r="C719" s="235">
        <v>2.4342999999999999E-3</v>
      </c>
      <c r="D719" s="235">
        <v>2.4172E-3</v>
      </c>
      <c r="E719" s="219">
        <v>5774992</v>
      </c>
      <c r="F719" s="219" t="s">
        <v>1930</v>
      </c>
      <c r="G719" s="233">
        <v>890944</v>
      </c>
      <c r="H719" s="221">
        <v>792734</v>
      </c>
      <c r="I719" s="233">
        <v>1532460</v>
      </c>
      <c r="J719" s="232">
        <v>0</v>
      </c>
      <c r="K719" s="88">
        <f t="shared" si="27"/>
        <v>3216138</v>
      </c>
      <c r="L719" s="50"/>
      <c r="M719" s="233">
        <v>29896</v>
      </c>
      <c r="N719" s="233">
        <v>0</v>
      </c>
      <c r="O719" s="232">
        <v>95364</v>
      </c>
      <c r="P719" s="88">
        <f t="shared" si="28"/>
        <v>125260</v>
      </c>
      <c r="Q719" s="50"/>
      <c r="R719" s="233">
        <v>1604138</v>
      </c>
      <c r="S719" s="232">
        <v>-74364</v>
      </c>
      <c r="T719" s="234">
        <v>1529774</v>
      </c>
    </row>
    <row r="720" spans="1:20">
      <c r="A720" s="48">
        <v>97817</v>
      </c>
      <c r="B720" s="49" t="s">
        <v>1417</v>
      </c>
      <c r="C720" s="235">
        <v>1.8199999999999999E-5</v>
      </c>
      <c r="D720" s="235">
        <v>2.2200000000000001E-5</v>
      </c>
      <c r="E720" s="219">
        <v>43177</v>
      </c>
      <c r="F720" s="219" t="s">
        <v>1930</v>
      </c>
      <c r="G720" s="233">
        <v>6661</v>
      </c>
      <c r="H720" s="221">
        <v>5927</v>
      </c>
      <c r="I720" s="233">
        <v>11457</v>
      </c>
      <c r="J720" s="232">
        <v>13908</v>
      </c>
      <c r="K720" s="88">
        <f t="shared" si="27"/>
        <v>37953</v>
      </c>
      <c r="L720" s="50"/>
      <c r="M720" s="233">
        <v>224</v>
      </c>
      <c r="N720" s="233">
        <v>0</v>
      </c>
      <c r="O720" s="232">
        <v>1088</v>
      </c>
      <c r="P720" s="88">
        <f t="shared" si="28"/>
        <v>1312</v>
      </c>
      <c r="Q720" s="50"/>
      <c r="R720" s="233">
        <v>11993</v>
      </c>
      <c r="S720" s="232">
        <v>4171</v>
      </c>
      <c r="T720" s="234">
        <v>16164</v>
      </c>
    </row>
    <row r="721" spans="1:20">
      <c r="A721" s="48">
        <v>97818</v>
      </c>
      <c r="B721" s="49" t="s">
        <v>1418</v>
      </c>
      <c r="C721" s="235">
        <v>2.0299999999999999E-5</v>
      </c>
      <c r="D721" s="235">
        <v>2.1999999999999999E-5</v>
      </c>
      <c r="E721" s="219">
        <v>48159</v>
      </c>
      <c r="F721" s="219" t="s">
        <v>1930</v>
      </c>
      <c r="G721" s="233">
        <v>7430</v>
      </c>
      <c r="H721" s="221">
        <v>6611</v>
      </c>
      <c r="I721" s="233">
        <v>12779</v>
      </c>
      <c r="J721" s="232">
        <v>3906</v>
      </c>
      <c r="K721" s="88">
        <f t="shared" si="27"/>
        <v>30726</v>
      </c>
      <c r="L721" s="50"/>
      <c r="M721" s="233">
        <v>249</v>
      </c>
      <c r="N721" s="233">
        <v>0</v>
      </c>
      <c r="O721" s="232">
        <v>983</v>
      </c>
      <c r="P721" s="88">
        <f t="shared" si="28"/>
        <v>1232</v>
      </c>
      <c r="Q721" s="50"/>
      <c r="R721" s="233">
        <v>13377</v>
      </c>
      <c r="S721" s="232">
        <v>-89</v>
      </c>
      <c r="T721" s="234">
        <v>13288</v>
      </c>
    </row>
    <row r="722" spans="1:20">
      <c r="A722" s="48">
        <v>97821</v>
      </c>
      <c r="B722" s="49" t="s">
        <v>2400</v>
      </c>
      <c r="C722" s="235">
        <v>1.071E-4</v>
      </c>
      <c r="D722" s="235">
        <v>1.126E-4</v>
      </c>
      <c r="E722" s="219">
        <v>254078</v>
      </c>
      <c r="F722" s="219" t="s">
        <v>1930</v>
      </c>
      <c r="G722" s="233">
        <v>39198</v>
      </c>
      <c r="H722" s="221">
        <v>34878</v>
      </c>
      <c r="I722" s="233">
        <v>67422</v>
      </c>
      <c r="J722" s="232">
        <v>12602</v>
      </c>
      <c r="K722" s="88">
        <f t="shared" si="27"/>
        <v>154100</v>
      </c>
      <c r="L722" s="50"/>
      <c r="M722" s="233">
        <v>1315</v>
      </c>
      <c r="N722" s="233">
        <v>0</v>
      </c>
      <c r="O722" s="232">
        <v>5606</v>
      </c>
      <c r="P722" s="88">
        <f t="shared" si="28"/>
        <v>6921</v>
      </c>
      <c r="Q722" s="50"/>
      <c r="R722" s="233">
        <v>70576</v>
      </c>
      <c r="S722" s="232">
        <v>-7137</v>
      </c>
      <c r="T722" s="234">
        <v>63439</v>
      </c>
    </row>
    <row r="723" spans="1:20">
      <c r="A723" s="48">
        <v>97823</v>
      </c>
      <c r="B723" s="49" t="s">
        <v>1420</v>
      </c>
      <c r="C723" s="235">
        <v>1.7200000000000001E-5</v>
      </c>
      <c r="D723" s="235">
        <v>2.3300000000000001E-5</v>
      </c>
      <c r="E723" s="219">
        <v>40804</v>
      </c>
      <c r="F723" s="219" t="s">
        <v>1930</v>
      </c>
      <c r="G723" s="233">
        <v>6295</v>
      </c>
      <c r="H723" s="221">
        <v>5601</v>
      </c>
      <c r="I723" s="233">
        <v>10828</v>
      </c>
      <c r="J723" s="232">
        <v>1190</v>
      </c>
      <c r="K723" s="88">
        <f t="shared" si="27"/>
        <v>23914</v>
      </c>
      <c r="L723" s="50"/>
      <c r="M723" s="233">
        <v>211</v>
      </c>
      <c r="N723" s="233">
        <v>0</v>
      </c>
      <c r="O723" s="232">
        <v>2106</v>
      </c>
      <c r="P723" s="88">
        <f t="shared" si="28"/>
        <v>2317</v>
      </c>
      <c r="Q723" s="50"/>
      <c r="R723" s="233">
        <v>11334</v>
      </c>
      <c r="S723" s="232">
        <v>-598</v>
      </c>
      <c r="T723" s="234">
        <v>10736</v>
      </c>
    </row>
    <row r="724" spans="1:20">
      <c r="A724" s="48">
        <v>97831</v>
      </c>
      <c r="B724" s="49" t="s">
        <v>2401</v>
      </c>
      <c r="C724" s="235">
        <v>1.5200000000000001E-4</v>
      </c>
      <c r="D724" s="235">
        <v>1.7009999999999999E-4</v>
      </c>
      <c r="E724" s="219">
        <v>360596</v>
      </c>
      <c r="F724" s="219" t="s">
        <v>1930</v>
      </c>
      <c r="G724" s="233">
        <v>55631</v>
      </c>
      <c r="H724" s="221">
        <v>49499</v>
      </c>
      <c r="I724" s="233">
        <v>95688</v>
      </c>
      <c r="J724" s="232">
        <v>11447</v>
      </c>
      <c r="K724" s="88">
        <f t="shared" si="27"/>
        <v>212265</v>
      </c>
      <c r="L724" s="50"/>
      <c r="M724" s="233">
        <v>1867</v>
      </c>
      <c r="N724" s="233">
        <v>0</v>
      </c>
      <c r="O724" s="232">
        <v>5865</v>
      </c>
      <c r="P724" s="88">
        <f t="shared" si="28"/>
        <v>7732</v>
      </c>
      <c r="Q724" s="50"/>
      <c r="R724" s="233">
        <v>100164</v>
      </c>
      <c r="S724" s="232">
        <v>-2869</v>
      </c>
      <c r="T724" s="234">
        <v>97295</v>
      </c>
    </row>
    <row r="725" spans="1:20">
      <c r="A725" s="48">
        <v>97837</v>
      </c>
      <c r="B725" s="49" t="s">
        <v>1422</v>
      </c>
      <c r="C725" s="235">
        <v>9.3000000000000007E-6</v>
      </c>
      <c r="D725" s="235">
        <v>1.0200000000000001E-5</v>
      </c>
      <c r="E725" s="219">
        <v>22063</v>
      </c>
      <c r="F725" s="219" t="s">
        <v>1930</v>
      </c>
      <c r="G725" s="233">
        <v>3404</v>
      </c>
      <c r="H725" s="221">
        <v>3029</v>
      </c>
      <c r="I725" s="233">
        <v>5855</v>
      </c>
      <c r="J725" s="232">
        <v>3379</v>
      </c>
      <c r="K725" s="88">
        <f t="shared" si="27"/>
        <v>15667</v>
      </c>
      <c r="L725" s="50"/>
      <c r="M725" s="233">
        <v>114</v>
      </c>
      <c r="N725" s="233">
        <v>0</v>
      </c>
      <c r="O725" s="232">
        <v>139</v>
      </c>
      <c r="P725" s="88">
        <f t="shared" si="28"/>
        <v>253</v>
      </c>
      <c r="Q725" s="50"/>
      <c r="R725" s="233">
        <v>6128</v>
      </c>
      <c r="S725" s="232">
        <v>1610</v>
      </c>
      <c r="T725" s="234">
        <v>7738</v>
      </c>
    </row>
    <row r="726" spans="1:20">
      <c r="A726" s="48">
        <v>97840</v>
      </c>
      <c r="B726" s="49" t="s">
        <v>2402</v>
      </c>
      <c r="C726" s="235">
        <v>1.36E-4</v>
      </c>
      <c r="D726" s="235">
        <v>1.3190000000000001E-4</v>
      </c>
      <c r="E726" s="219">
        <v>322639</v>
      </c>
      <c r="F726" s="219" t="s">
        <v>1930</v>
      </c>
      <c r="G726" s="233">
        <v>49775</v>
      </c>
      <c r="H726" s="221">
        <v>44288</v>
      </c>
      <c r="I726" s="233">
        <v>85616</v>
      </c>
      <c r="J726" s="232">
        <v>90526</v>
      </c>
      <c r="K726" s="88">
        <f t="shared" ref="K726:K789" si="30">G726+H726+I726+J726</f>
        <v>270205</v>
      </c>
      <c r="L726" s="50"/>
      <c r="M726" s="233">
        <v>1670</v>
      </c>
      <c r="N726" s="233">
        <v>0</v>
      </c>
      <c r="O726" s="232">
        <v>0</v>
      </c>
      <c r="P726" s="88">
        <f t="shared" ref="P726:P789" si="31">M726+N726+O726</f>
        <v>1670</v>
      </c>
      <c r="Q726" s="50"/>
      <c r="R726" s="233">
        <v>89620</v>
      </c>
      <c r="S726" s="232">
        <v>37670</v>
      </c>
      <c r="T726" s="234">
        <v>127290</v>
      </c>
    </row>
    <row r="727" spans="1:20">
      <c r="A727" s="48">
        <v>97841</v>
      </c>
      <c r="B727" s="49" t="s">
        <v>2403</v>
      </c>
      <c r="C727" s="235">
        <v>1.2E-5</v>
      </c>
      <c r="D727" s="235">
        <v>1.31E-5</v>
      </c>
      <c r="E727" s="219">
        <v>28468</v>
      </c>
      <c r="F727" s="219" t="s">
        <v>1930</v>
      </c>
      <c r="G727" s="233">
        <v>4392</v>
      </c>
      <c r="H727" s="221">
        <v>3908</v>
      </c>
      <c r="I727" s="233">
        <v>7554</v>
      </c>
      <c r="J727" s="232">
        <v>186</v>
      </c>
      <c r="K727" s="88">
        <f t="shared" si="30"/>
        <v>16040</v>
      </c>
      <c r="L727" s="50"/>
      <c r="M727" s="233">
        <v>147</v>
      </c>
      <c r="N727" s="233">
        <v>0</v>
      </c>
      <c r="O727" s="232">
        <v>783</v>
      </c>
      <c r="P727" s="88">
        <f t="shared" si="31"/>
        <v>930</v>
      </c>
      <c r="Q727" s="50"/>
      <c r="R727" s="233">
        <v>7908</v>
      </c>
      <c r="S727" s="232">
        <v>-3836</v>
      </c>
      <c r="T727" s="234">
        <v>4072</v>
      </c>
    </row>
    <row r="728" spans="1:20">
      <c r="A728" s="48">
        <v>97847</v>
      </c>
      <c r="B728" s="49" t="s">
        <v>1425</v>
      </c>
      <c r="C728" s="235">
        <v>1.9999999999999999E-6</v>
      </c>
      <c r="D728" s="235">
        <v>2.0999999999999998E-6</v>
      </c>
      <c r="E728" s="219">
        <v>4745</v>
      </c>
      <c r="F728" s="219" t="s">
        <v>1930</v>
      </c>
      <c r="G728" s="233">
        <v>732</v>
      </c>
      <c r="H728" s="221">
        <v>651</v>
      </c>
      <c r="I728" s="233">
        <v>1259</v>
      </c>
      <c r="J728" s="232">
        <v>2019</v>
      </c>
      <c r="K728" s="88">
        <f t="shared" si="30"/>
        <v>4661</v>
      </c>
      <c r="L728" s="50"/>
      <c r="M728" s="233">
        <v>25</v>
      </c>
      <c r="N728" s="233">
        <v>0</v>
      </c>
      <c r="O728" s="232">
        <v>0</v>
      </c>
      <c r="P728" s="88">
        <f t="shared" si="31"/>
        <v>25</v>
      </c>
      <c r="Q728" s="50"/>
      <c r="R728" s="233">
        <v>1318</v>
      </c>
      <c r="S728" s="232">
        <v>610</v>
      </c>
      <c r="T728" s="234">
        <v>1928</v>
      </c>
    </row>
    <row r="729" spans="1:20">
      <c r="A729" s="48">
        <v>97851</v>
      </c>
      <c r="B729" s="49" t="s">
        <v>2404</v>
      </c>
      <c r="C729" s="235">
        <v>2.7750000000000002E-4</v>
      </c>
      <c r="D729" s="235">
        <v>2.7799999999999998E-4</v>
      </c>
      <c r="E729" s="219">
        <v>658325</v>
      </c>
      <c r="F729" s="219" t="s">
        <v>1930</v>
      </c>
      <c r="G729" s="233">
        <v>101564</v>
      </c>
      <c r="H729" s="221">
        <v>90369</v>
      </c>
      <c r="I729" s="233">
        <v>174694</v>
      </c>
      <c r="J729" s="232">
        <v>0</v>
      </c>
      <c r="K729" s="88">
        <f t="shared" si="30"/>
        <v>366627</v>
      </c>
      <c r="L729" s="50"/>
      <c r="M729" s="233">
        <v>3408</v>
      </c>
      <c r="N729" s="233">
        <v>0</v>
      </c>
      <c r="O729" s="232">
        <v>25332</v>
      </c>
      <c r="P729" s="88">
        <f t="shared" si="31"/>
        <v>28740</v>
      </c>
      <c r="Q729" s="50"/>
      <c r="R729" s="233">
        <v>182865</v>
      </c>
      <c r="S729" s="232">
        <v>-6676</v>
      </c>
      <c r="T729" s="234">
        <v>176189</v>
      </c>
    </row>
    <row r="730" spans="1:20">
      <c r="A730" s="48">
        <v>97853</v>
      </c>
      <c r="B730" s="49" t="s">
        <v>1427</v>
      </c>
      <c r="C730" s="235">
        <v>9.09E-5</v>
      </c>
      <c r="D730" s="235">
        <v>1.0289999999999999E-4</v>
      </c>
      <c r="E730" s="219">
        <v>215646</v>
      </c>
      <c r="F730" s="219" t="s">
        <v>1930</v>
      </c>
      <c r="G730" s="233">
        <v>33269</v>
      </c>
      <c r="H730" s="221">
        <v>29601</v>
      </c>
      <c r="I730" s="233">
        <v>57224</v>
      </c>
      <c r="J730" s="232">
        <v>4930</v>
      </c>
      <c r="K730" s="88">
        <f t="shared" si="30"/>
        <v>125024</v>
      </c>
      <c r="L730" s="50"/>
      <c r="M730" s="233">
        <v>1116</v>
      </c>
      <c r="N730" s="233">
        <v>0</v>
      </c>
      <c r="O730" s="232">
        <v>18002</v>
      </c>
      <c r="P730" s="88">
        <f t="shared" si="31"/>
        <v>19118</v>
      </c>
      <c r="Q730" s="50"/>
      <c r="R730" s="233">
        <v>59901</v>
      </c>
      <c r="S730" s="232">
        <v>-2497</v>
      </c>
      <c r="T730" s="234">
        <v>57404</v>
      </c>
    </row>
    <row r="731" spans="1:20">
      <c r="A731" s="48">
        <v>97861</v>
      </c>
      <c r="B731" s="49" t="s">
        <v>2405</v>
      </c>
      <c r="C731" s="235">
        <v>4.3000000000000002E-5</v>
      </c>
      <c r="D731" s="235">
        <v>6.7000000000000002E-5</v>
      </c>
      <c r="E731" s="219">
        <v>102011</v>
      </c>
      <c r="F731" s="219" t="s">
        <v>1930</v>
      </c>
      <c r="G731" s="233">
        <v>15738</v>
      </c>
      <c r="H731" s="221">
        <v>14003</v>
      </c>
      <c r="I731" s="233">
        <v>27070</v>
      </c>
      <c r="J731" s="232">
        <v>799</v>
      </c>
      <c r="K731" s="88">
        <f t="shared" si="30"/>
        <v>57610</v>
      </c>
      <c r="L731" s="50"/>
      <c r="M731" s="233">
        <v>528</v>
      </c>
      <c r="N731" s="233">
        <v>0</v>
      </c>
      <c r="O731" s="232">
        <v>15816</v>
      </c>
      <c r="P731" s="88">
        <f t="shared" si="31"/>
        <v>16344</v>
      </c>
      <c r="Q731" s="50"/>
      <c r="R731" s="233">
        <v>28336</v>
      </c>
      <c r="S731" s="232">
        <v>-6822</v>
      </c>
      <c r="T731" s="234">
        <v>21514</v>
      </c>
    </row>
    <row r="732" spans="1:20">
      <c r="A732" s="48">
        <v>97871</v>
      </c>
      <c r="B732" s="49" t="s">
        <v>2406</v>
      </c>
      <c r="C732" s="235">
        <v>3.1080000000000002E-4</v>
      </c>
      <c r="D732" s="235">
        <v>2.9930000000000001E-4</v>
      </c>
      <c r="E732" s="219">
        <v>737324</v>
      </c>
      <c r="F732" s="219" t="s">
        <v>1930</v>
      </c>
      <c r="G732" s="233">
        <v>113752</v>
      </c>
      <c r="H732" s="221">
        <v>101213</v>
      </c>
      <c r="I732" s="233">
        <v>195657</v>
      </c>
      <c r="J732" s="232">
        <v>260432</v>
      </c>
      <c r="K732" s="88">
        <f t="shared" si="30"/>
        <v>671054</v>
      </c>
      <c r="L732" s="50"/>
      <c r="M732" s="233">
        <v>3817</v>
      </c>
      <c r="N732" s="233">
        <v>0</v>
      </c>
      <c r="O732" s="232">
        <v>0</v>
      </c>
      <c r="P732" s="88">
        <f t="shared" si="31"/>
        <v>3817</v>
      </c>
      <c r="Q732" s="50"/>
      <c r="R732" s="233">
        <v>204809</v>
      </c>
      <c r="S732" s="232">
        <v>109999</v>
      </c>
      <c r="T732" s="234">
        <v>314808</v>
      </c>
    </row>
    <row r="733" spans="1:20">
      <c r="A733" s="48">
        <v>97877</v>
      </c>
      <c r="B733" s="49" t="s">
        <v>1430</v>
      </c>
      <c r="C733" s="235">
        <v>1.7999999999999999E-6</v>
      </c>
      <c r="D733" s="235">
        <v>1.9E-6</v>
      </c>
      <c r="E733" s="219">
        <v>4270</v>
      </c>
      <c r="F733" s="219" t="s">
        <v>1930</v>
      </c>
      <c r="G733" s="233">
        <v>659</v>
      </c>
      <c r="H733" s="221">
        <v>586</v>
      </c>
      <c r="I733" s="233">
        <v>1133</v>
      </c>
      <c r="J733" s="232">
        <v>2439</v>
      </c>
      <c r="K733" s="88">
        <f t="shared" si="30"/>
        <v>4817</v>
      </c>
      <c r="L733" s="50"/>
      <c r="M733" s="233">
        <v>22</v>
      </c>
      <c r="N733" s="233">
        <v>0</v>
      </c>
      <c r="O733" s="232">
        <v>0</v>
      </c>
      <c r="P733" s="88">
        <f t="shared" si="31"/>
        <v>22</v>
      </c>
      <c r="Q733" s="50"/>
      <c r="R733" s="233">
        <v>1186</v>
      </c>
      <c r="S733" s="232">
        <v>1008</v>
      </c>
      <c r="T733" s="234">
        <v>2194</v>
      </c>
    </row>
    <row r="734" spans="1:20">
      <c r="A734" s="48">
        <v>97901</v>
      </c>
      <c r="B734" s="49" t="s">
        <v>1431</v>
      </c>
      <c r="C734" s="235">
        <v>4.2154000000000002E-3</v>
      </c>
      <c r="D734" s="235">
        <v>4.2658000000000001E-3</v>
      </c>
      <c r="E734" s="219">
        <v>10000370</v>
      </c>
      <c r="F734" s="219" t="s">
        <v>1930</v>
      </c>
      <c r="G734" s="233">
        <v>1542820</v>
      </c>
      <c r="H734" s="221">
        <v>1372753</v>
      </c>
      <c r="I734" s="233">
        <v>2653712</v>
      </c>
      <c r="J734" s="232">
        <v>48144</v>
      </c>
      <c r="K734" s="88">
        <f t="shared" si="30"/>
        <v>5617429</v>
      </c>
      <c r="L734" s="50"/>
      <c r="M734" s="233">
        <v>51769</v>
      </c>
      <c r="N734" s="233">
        <v>0</v>
      </c>
      <c r="O734" s="232">
        <v>28304</v>
      </c>
      <c r="P734" s="88">
        <f t="shared" si="31"/>
        <v>80073</v>
      </c>
      <c r="Q734" s="50"/>
      <c r="R734" s="233">
        <v>2777835</v>
      </c>
      <c r="S734" s="232">
        <v>30359</v>
      </c>
      <c r="T734" s="234">
        <v>2808194</v>
      </c>
    </row>
    <row r="735" spans="1:20">
      <c r="A735" s="48">
        <v>97911</v>
      </c>
      <c r="B735" s="49" t="s">
        <v>1432</v>
      </c>
      <c r="C735" s="235">
        <v>1.2834000000000001E-3</v>
      </c>
      <c r="D735" s="235">
        <v>1.3005E-3</v>
      </c>
      <c r="E735" s="219">
        <v>3044664</v>
      </c>
      <c r="F735" s="219" t="s">
        <v>1930</v>
      </c>
      <c r="G735" s="233">
        <v>469719</v>
      </c>
      <c r="H735" s="221">
        <v>417942</v>
      </c>
      <c r="I735" s="233">
        <v>807936</v>
      </c>
      <c r="J735" s="232">
        <v>11320</v>
      </c>
      <c r="K735" s="88">
        <f t="shared" si="30"/>
        <v>1706917</v>
      </c>
      <c r="L735" s="50"/>
      <c r="M735" s="233">
        <v>15761</v>
      </c>
      <c r="N735" s="233">
        <v>0</v>
      </c>
      <c r="O735" s="232">
        <v>18493</v>
      </c>
      <c r="P735" s="88">
        <f t="shared" si="31"/>
        <v>34254</v>
      </c>
      <c r="Q735" s="50"/>
      <c r="R735" s="233">
        <v>845726</v>
      </c>
      <c r="S735" s="232">
        <v>10611</v>
      </c>
      <c r="T735" s="234">
        <v>856337</v>
      </c>
    </row>
    <row r="736" spans="1:20">
      <c r="A736" s="48">
        <v>97913</v>
      </c>
      <c r="B736" s="49" t="s">
        <v>2770</v>
      </c>
      <c r="C736" s="235">
        <v>3.3899999999999997E-5</v>
      </c>
      <c r="D736" s="235">
        <v>3.5899999999999998E-5</v>
      </c>
      <c r="E736" s="219">
        <v>80422</v>
      </c>
      <c r="F736" s="219" t="s">
        <v>1930</v>
      </c>
      <c r="G736" s="233">
        <v>12407</v>
      </c>
      <c r="H736" s="221">
        <v>11039</v>
      </c>
      <c r="I736" s="233">
        <v>21341</v>
      </c>
      <c r="J736" s="232">
        <v>17313</v>
      </c>
      <c r="K736" s="88">
        <f t="shared" si="30"/>
        <v>62100</v>
      </c>
      <c r="L736" s="50"/>
      <c r="M736" s="233">
        <v>416</v>
      </c>
      <c r="N736" s="233">
        <v>0</v>
      </c>
      <c r="O736" s="232">
        <v>0</v>
      </c>
      <c r="P736" s="88">
        <f t="shared" si="31"/>
        <v>416</v>
      </c>
      <c r="Q736" s="50"/>
      <c r="R736" s="233">
        <v>22339</v>
      </c>
      <c r="S736" s="232">
        <v>7130</v>
      </c>
      <c r="T736" s="234">
        <v>29469</v>
      </c>
    </row>
    <row r="737" spans="1:20">
      <c r="A737" s="48">
        <v>97917</v>
      </c>
      <c r="B737" s="49" t="s">
        <v>1434</v>
      </c>
      <c r="C737" s="235">
        <v>1.9700000000000001E-5</v>
      </c>
      <c r="D737" s="235">
        <v>2.0999999999999999E-5</v>
      </c>
      <c r="E737" s="219">
        <v>46735</v>
      </c>
      <c r="F737" s="219" t="s">
        <v>1930</v>
      </c>
      <c r="G737" s="233">
        <v>7210</v>
      </c>
      <c r="H737" s="221">
        <v>6415</v>
      </c>
      <c r="I737" s="233">
        <v>12402</v>
      </c>
      <c r="J737" s="232">
        <v>7021</v>
      </c>
      <c r="K737" s="88">
        <f t="shared" si="30"/>
        <v>33048</v>
      </c>
      <c r="L737" s="50"/>
      <c r="M737" s="233">
        <v>242</v>
      </c>
      <c r="N737" s="233">
        <v>0</v>
      </c>
      <c r="O737" s="232">
        <v>0</v>
      </c>
      <c r="P737" s="88">
        <f t="shared" si="31"/>
        <v>242</v>
      </c>
      <c r="Q737" s="50"/>
      <c r="R737" s="233">
        <v>12982</v>
      </c>
      <c r="S737" s="232">
        <v>3750</v>
      </c>
      <c r="T737" s="234">
        <v>16732</v>
      </c>
    </row>
    <row r="738" spans="1:20">
      <c r="A738" s="48">
        <v>97921</v>
      </c>
      <c r="B738" s="49" t="s">
        <v>2407</v>
      </c>
      <c r="C738" s="235">
        <v>2.2699999999999999E-4</v>
      </c>
      <c r="D738" s="235">
        <v>2.1699999999999999E-4</v>
      </c>
      <c r="E738" s="219">
        <v>538522</v>
      </c>
      <c r="F738" s="219" t="s">
        <v>1930</v>
      </c>
      <c r="G738" s="233">
        <v>83081</v>
      </c>
      <c r="H738" s="221">
        <v>73923</v>
      </c>
      <c r="I738" s="233">
        <v>142903</v>
      </c>
      <c r="J738" s="232">
        <v>12802</v>
      </c>
      <c r="K738" s="88">
        <f t="shared" si="30"/>
        <v>312709</v>
      </c>
      <c r="L738" s="50"/>
      <c r="M738" s="233">
        <v>2788</v>
      </c>
      <c r="N738" s="233">
        <v>0</v>
      </c>
      <c r="O738" s="232">
        <v>2898</v>
      </c>
      <c r="P738" s="88">
        <f t="shared" si="31"/>
        <v>5686</v>
      </c>
      <c r="Q738" s="50"/>
      <c r="R738" s="233">
        <v>149587</v>
      </c>
      <c r="S738" s="232">
        <v>5157</v>
      </c>
      <c r="T738" s="234">
        <v>154744</v>
      </c>
    </row>
    <row r="739" spans="1:20">
      <c r="A739" s="48">
        <v>97931</v>
      </c>
      <c r="B739" s="49" t="s">
        <v>2408</v>
      </c>
      <c r="C739" s="235">
        <v>6.7600000000000003E-5</v>
      </c>
      <c r="D739" s="235">
        <v>7.0199999999999999E-5</v>
      </c>
      <c r="E739" s="219">
        <v>160370</v>
      </c>
      <c r="F739" s="219" t="s">
        <v>1930</v>
      </c>
      <c r="G739" s="233">
        <v>24741</v>
      </c>
      <c r="H739" s="221">
        <v>22014</v>
      </c>
      <c r="I739" s="233">
        <v>42556</v>
      </c>
      <c r="J739" s="232">
        <v>9841</v>
      </c>
      <c r="K739" s="88">
        <f t="shared" si="30"/>
        <v>99152</v>
      </c>
      <c r="L739" s="50"/>
      <c r="M739" s="233">
        <v>830</v>
      </c>
      <c r="N739" s="233">
        <v>0</v>
      </c>
      <c r="O739" s="232">
        <v>3109</v>
      </c>
      <c r="P739" s="88">
        <f t="shared" si="31"/>
        <v>3939</v>
      </c>
      <c r="Q739" s="50"/>
      <c r="R739" s="233">
        <v>44547</v>
      </c>
      <c r="S739" s="232">
        <v>1729</v>
      </c>
      <c r="T739" s="234">
        <v>46276</v>
      </c>
    </row>
    <row r="740" spans="1:20">
      <c r="A740" s="48">
        <v>97941</v>
      </c>
      <c r="B740" s="49" t="s">
        <v>2409</v>
      </c>
      <c r="C740" s="235">
        <v>2.0159999999999999E-4</v>
      </c>
      <c r="D740" s="235">
        <v>2.0479999999999999E-4</v>
      </c>
      <c r="E740" s="219">
        <v>478264</v>
      </c>
      <c r="F740" s="219" t="s">
        <v>1930</v>
      </c>
      <c r="G740" s="233">
        <v>73785</v>
      </c>
      <c r="H740" s="221">
        <v>65651</v>
      </c>
      <c r="I740" s="233">
        <v>126913</v>
      </c>
      <c r="J740" s="232">
        <v>19522</v>
      </c>
      <c r="K740" s="88">
        <f t="shared" si="30"/>
        <v>285871</v>
      </c>
      <c r="L740" s="50"/>
      <c r="M740" s="233">
        <v>2476</v>
      </c>
      <c r="N740" s="233">
        <v>0</v>
      </c>
      <c r="O740" s="232">
        <v>6561</v>
      </c>
      <c r="P740" s="88">
        <f t="shared" si="31"/>
        <v>9037</v>
      </c>
      <c r="Q740" s="50"/>
      <c r="R740" s="233">
        <v>132849</v>
      </c>
      <c r="S740" s="232">
        <v>9717</v>
      </c>
      <c r="T740" s="234">
        <v>142566</v>
      </c>
    </row>
    <row r="741" spans="1:20">
      <c r="A741" s="48">
        <v>97947</v>
      </c>
      <c r="B741" s="49" t="s">
        <v>1438</v>
      </c>
      <c r="C741" s="235">
        <v>1.47E-5</v>
      </c>
      <c r="D741" s="235">
        <v>1.3900000000000001E-5</v>
      </c>
      <c r="E741" s="219">
        <v>34873</v>
      </c>
      <c r="F741" s="219" t="s">
        <v>1930</v>
      </c>
      <c r="G741" s="233">
        <v>5380</v>
      </c>
      <c r="H741" s="221">
        <v>4788</v>
      </c>
      <c r="I741" s="233">
        <v>9254</v>
      </c>
      <c r="J741" s="232">
        <v>11430</v>
      </c>
      <c r="K741" s="88">
        <f t="shared" si="30"/>
        <v>30852</v>
      </c>
      <c r="L741" s="50"/>
      <c r="M741" s="233">
        <v>181</v>
      </c>
      <c r="N741" s="233">
        <v>0</v>
      </c>
      <c r="O741" s="232">
        <v>0</v>
      </c>
      <c r="P741" s="88">
        <f t="shared" si="31"/>
        <v>181</v>
      </c>
      <c r="Q741" s="50"/>
      <c r="R741" s="233">
        <v>9687</v>
      </c>
      <c r="S741" s="232">
        <v>4453</v>
      </c>
      <c r="T741" s="234">
        <v>14140</v>
      </c>
    </row>
    <row r="742" spans="1:20">
      <c r="A742" s="48">
        <v>97948</v>
      </c>
      <c r="B742" s="49" t="s">
        <v>1439</v>
      </c>
      <c r="C742" s="235">
        <v>2.1299999999999999E-5</v>
      </c>
      <c r="D742" s="235">
        <v>2.2099999999999998E-5</v>
      </c>
      <c r="E742" s="219">
        <v>50531</v>
      </c>
      <c r="F742" s="219" t="s">
        <v>1930</v>
      </c>
      <c r="G742" s="233">
        <v>7796</v>
      </c>
      <c r="H742" s="221">
        <v>6936</v>
      </c>
      <c r="I742" s="233">
        <v>13409</v>
      </c>
      <c r="J742" s="232">
        <v>1178</v>
      </c>
      <c r="K742" s="88">
        <f t="shared" si="30"/>
        <v>29319</v>
      </c>
      <c r="L742" s="50"/>
      <c r="M742" s="233">
        <v>262</v>
      </c>
      <c r="N742" s="233">
        <v>0</v>
      </c>
      <c r="O742" s="232">
        <v>6237</v>
      </c>
      <c r="P742" s="88">
        <f t="shared" si="31"/>
        <v>6499</v>
      </c>
      <c r="Q742" s="50"/>
      <c r="R742" s="233">
        <v>14036</v>
      </c>
      <c r="S742" s="232">
        <v>-878</v>
      </c>
      <c r="T742" s="234">
        <v>13158</v>
      </c>
    </row>
    <row r="743" spans="1:20">
      <c r="A743" s="48">
        <v>97951</v>
      </c>
      <c r="B743" s="49" t="s">
        <v>1440</v>
      </c>
      <c r="C743" s="235">
        <v>1.1826E-3</v>
      </c>
      <c r="D743" s="235">
        <v>1.2440999999999999E-3</v>
      </c>
      <c r="E743" s="219">
        <v>2805532</v>
      </c>
      <c r="F743" s="219" t="s">
        <v>1930</v>
      </c>
      <c r="G743" s="233">
        <v>432827</v>
      </c>
      <c r="H743" s="221">
        <v>385116</v>
      </c>
      <c r="I743" s="233">
        <v>744480</v>
      </c>
      <c r="J743" s="232">
        <v>20429</v>
      </c>
      <c r="K743" s="88">
        <f t="shared" si="30"/>
        <v>1582852</v>
      </c>
      <c r="L743" s="50"/>
      <c r="M743" s="233">
        <v>14524</v>
      </c>
      <c r="N743" s="233">
        <v>0</v>
      </c>
      <c r="O743" s="232">
        <v>100</v>
      </c>
      <c r="P743" s="88">
        <f t="shared" si="31"/>
        <v>14624</v>
      </c>
      <c r="Q743" s="50"/>
      <c r="R743" s="233">
        <v>779301</v>
      </c>
      <c r="S743" s="232">
        <v>4342</v>
      </c>
      <c r="T743" s="234">
        <v>783643</v>
      </c>
    </row>
    <row r="744" spans="1:20">
      <c r="A744" s="48">
        <v>97957</v>
      </c>
      <c r="B744" s="49" t="s">
        <v>1441</v>
      </c>
      <c r="C744" s="235">
        <v>1.7200000000000001E-5</v>
      </c>
      <c r="D744" s="235">
        <v>1.8700000000000001E-5</v>
      </c>
      <c r="E744" s="219">
        <v>40804</v>
      </c>
      <c r="F744" s="219" t="s">
        <v>1930</v>
      </c>
      <c r="G744" s="233">
        <v>6295</v>
      </c>
      <c r="H744" s="221">
        <v>5601</v>
      </c>
      <c r="I744" s="233">
        <v>10828</v>
      </c>
      <c r="J744" s="232">
        <v>5813</v>
      </c>
      <c r="K744" s="88">
        <f t="shared" si="30"/>
        <v>28537</v>
      </c>
      <c r="L744" s="50"/>
      <c r="M744" s="233">
        <v>211</v>
      </c>
      <c r="N744" s="233">
        <v>0</v>
      </c>
      <c r="O744" s="232">
        <v>466</v>
      </c>
      <c r="P744" s="88">
        <f t="shared" si="31"/>
        <v>677</v>
      </c>
      <c r="Q744" s="50"/>
      <c r="R744" s="233">
        <v>11334</v>
      </c>
      <c r="S744" s="232">
        <v>1280</v>
      </c>
      <c r="T744" s="234">
        <v>12614</v>
      </c>
    </row>
    <row r="745" spans="1:20">
      <c r="A745" s="48">
        <v>98001</v>
      </c>
      <c r="B745" s="49" t="s">
        <v>1442</v>
      </c>
      <c r="C745" s="235">
        <v>5.3728999999999999E-3</v>
      </c>
      <c r="D745" s="235">
        <v>5.1148000000000001E-3</v>
      </c>
      <c r="E745" s="219">
        <v>12746356</v>
      </c>
      <c r="F745" s="219" t="s">
        <v>1930</v>
      </c>
      <c r="G745" s="233">
        <v>1966460</v>
      </c>
      <c r="H745" s="221">
        <v>1749696</v>
      </c>
      <c r="I745" s="233">
        <v>3382391</v>
      </c>
      <c r="J745" s="232">
        <v>275498</v>
      </c>
      <c r="K745" s="88">
        <f t="shared" si="30"/>
        <v>7374045</v>
      </c>
      <c r="L745" s="50"/>
      <c r="M745" s="233">
        <v>65985</v>
      </c>
      <c r="N745" s="233">
        <v>0</v>
      </c>
      <c r="O745" s="232">
        <v>0</v>
      </c>
      <c r="P745" s="88">
        <f t="shared" si="31"/>
        <v>65985</v>
      </c>
      <c r="Q745" s="50"/>
      <c r="R745" s="233">
        <v>3540596</v>
      </c>
      <c r="S745" s="232">
        <v>124587</v>
      </c>
      <c r="T745" s="234">
        <v>3665183</v>
      </c>
    </row>
    <row r="746" spans="1:20">
      <c r="A746" s="48">
        <v>98002</v>
      </c>
      <c r="B746" s="49" t="s">
        <v>1443</v>
      </c>
      <c r="C746" s="235">
        <v>6.4999999999999996E-6</v>
      </c>
      <c r="D746" s="235">
        <v>6.7000000000000002E-6</v>
      </c>
      <c r="E746" s="219">
        <v>15420</v>
      </c>
      <c r="F746" s="219" t="s">
        <v>1930</v>
      </c>
      <c r="G746" s="233">
        <v>2379</v>
      </c>
      <c r="H746" s="221">
        <v>2117</v>
      </c>
      <c r="I746" s="233">
        <v>4092</v>
      </c>
      <c r="J746" s="232">
        <v>1772</v>
      </c>
      <c r="K746" s="88">
        <f t="shared" si="30"/>
        <v>10360</v>
      </c>
      <c r="L746" s="50"/>
      <c r="M746" s="233">
        <v>80</v>
      </c>
      <c r="N746" s="233">
        <v>0</v>
      </c>
      <c r="O746" s="232">
        <v>0</v>
      </c>
      <c r="P746" s="88">
        <f t="shared" si="31"/>
        <v>80</v>
      </c>
      <c r="Q746" s="50"/>
      <c r="R746" s="233">
        <v>4283</v>
      </c>
      <c r="S746" s="232">
        <v>-5879</v>
      </c>
      <c r="T746" s="234">
        <v>-1596</v>
      </c>
    </row>
    <row r="747" spans="1:20">
      <c r="A747" s="48">
        <v>98003</v>
      </c>
      <c r="B747" s="49" t="s">
        <v>1444</v>
      </c>
      <c r="C747" s="235">
        <v>7.7000000000000001E-5</v>
      </c>
      <c r="D747" s="235">
        <v>7.9599999999999997E-5</v>
      </c>
      <c r="E747" s="219">
        <v>182670</v>
      </c>
      <c r="F747" s="219" t="s">
        <v>1930</v>
      </c>
      <c r="G747" s="233">
        <v>28182</v>
      </c>
      <c r="H747" s="221">
        <v>25075</v>
      </c>
      <c r="I747" s="233">
        <v>48474</v>
      </c>
      <c r="J747" s="232">
        <v>62655</v>
      </c>
      <c r="K747" s="88">
        <f t="shared" si="30"/>
        <v>164386</v>
      </c>
      <c r="L747" s="50"/>
      <c r="M747" s="233">
        <v>946</v>
      </c>
      <c r="N747" s="233">
        <v>0</v>
      </c>
      <c r="O747" s="232">
        <v>0</v>
      </c>
      <c r="P747" s="88">
        <f t="shared" si="31"/>
        <v>946</v>
      </c>
      <c r="Q747" s="50"/>
      <c r="R747" s="233">
        <v>50741</v>
      </c>
      <c r="S747" s="232">
        <v>25199</v>
      </c>
      <c r="T747" s="234">
        <v>75940</v>
      </c>
    </row>
    <row r="748" spans="1:20">
      <c r="A748" s="48">
        <v>98004</v>
      </c>
      <c r="B748" s="49" t="s">
        <v>1445</v>
      </c>
      <c r="C748" s="235">
        <v>1.189E-4</v>
      </c>
      <c r="D748" s="235">
        <v>1.182E-4</v>
      </c>
      <c r="E748" s="219">
        <v>282071</v>
      </c>
      <c r="F748" s="219" t="s">
        <v>1930</v>
      </c>
      <c r="G748" s="233">
        <v>43517</v>
      </c>
      <c r="H748" s="221">
        <v>38720</v>
      </c>
      <c r="I748" s="233">
        <v>74851</v>
      </c>
      <c r="J748" s="232">
        <v>41871</v>
      </c>
      <c r="K748" s="88">
        <f t="shared" si="30"/>
        <v>198959</v>
      </c>
      <c r="L748" s="50"/>
      <c r="M748" s="233">
        <v>1460</v>
      </c>
      <c r="N748" s="233">
        <v>0</v>
      </c>
      <c r="O748" s="232">
        <v>0</v>
      </c>
      <c r="P748" s="88">
        <f t="shared" si="31"/>
        <v>1460</v>
      </c>
      <c r="Q748" s="50"/>
      <c r="R748" s="233">
        <v>78352</v>
      </c>
      <c r="S748" s="232">
        <v>19024</v>
      </c>
      <c r="T748" s="234">
        <v>97376</v>
      </c>
    </row>
    <row r="749" spans="1:20">
      <c r="A749" s="48">
        <v>98008</v>
      </c>
      <c r="B749" s="49" t="s">
        <v>1446</v>
      </c>
      <c r="C749" s="235">
        <v>7.7000000000000008E-6</v>
      </c>
      <c r="D749" s="235">
        <v>7.9999999999999996E-6</v>
      </c>
      <c r="E749" s="219">
        <v>18267</v>
      </c>
      <c r="F749" s="219" t="s">
        <v>1930</v>
      </c>
      <c r="G749" s="233">
        <v>2818</v>
      </c>
      <c r="H749" s="221">
        <v>2507</v>
      </c>
      <c r="I749" s="233">
        <v>4847</v>
      </c>
      <c r="J749" s="232">
        <v>20</v>
      </c>
      <c r="K749" s="88">
        <f t="shared" si="30"/>
        <v>10192</v>
      </c>
      <c r="L749" s="50"/>
      <c r="M749" s="233">
        <v>95</v>
      </c>
      <c r="N749" s="233">
        <v>0</v>
      </c>
      <c r="O749" s="232">
        <v>556</v>
      </c>
      <c r="P749" s="88">
        <f t="shared" si="31"/>
        <v>651</v>
      </c>
      <c r="Q749" s="50"/>
      <c r="R749" s="233">
        <v>5074</v>
      </c>
      <c r="S749" s="232">
        <v>-548</v>
      </c>
      <c r="T749" s="234">
        <v>4526</v>
      </c>
    </row>
    <row r="750" spans="1:20">
      <c r="A750" s="48">
        <v>98011</v>
      </c>
      <c r="B750" s="49" t="s">
        <v>1447</v>
      </c>
      <c r="C750" s="235">
        <v>3.2946999999999998E-3</v>
      </c>
      <c r="D750" s="235">
        <v>3.1578999999999999E-3</v>
      </c>
      <c r="E750" s="219">
        <v>7816155</v>
      </c>
      <c r="F750" s="219" t="s">
        <v>1930</v>
      </c>
      <c r="G750" s="233">
        <v>1205847</v>
      </c>
      <c r="H750" s="221">
        <v>1072925</v>
      </c>
      <c r="I750" s="233">
        <v>2074106</v>
      </c>
      <c r="J750" s="232">
        <v>81290</v>
      </c>
      <c r="K750" s="88">
        <f t="shared" si="30"/>
        <v>4434168</v>
      </c>
      <c r="L750" s="50"/>
      <c r="M750" s="233">
        <v>40462</v>
      </c>
      <c r="N750" s="233">
        <v>0</v>
      </c>
      <c r="O750" s="232">
        <v>168657</v>
      </c>
      <c r="P750" s="88">
        <f t="shared" si="31"/>
        <v>209119</v>
      </c>
      <c r="Q750" s="50"/>
      <c r="R750" s="233">
        <v>2171118</v>
      </c>
      <c r="S750" s="232">
        <v>-126045</v>
      </c>
      <c r="T750" s="234">
        <v>2045073</v>
      </c>
    </row>
    <row r="751" spans="1:20">
      <c r="A751" s="48">
        <v>98013</v>
      </c>
      <c r="B751" s="49" t="s">
        <v>2771</v>
      </c>
      <c r="C751" s="235">
        <v>1.3439999999999999E-4</v>
      </c>
      <c r="D751" s="235">
        <v>1.415E-4</v>
      </c>
      <c r="E751" s="50">
        <v>318843</v>
      </c>
      <c r="F751" s="50"/>
      <c r="G751" s="233">
        <v>49190</v>
      </c>
      <c r="H751" s="221">
        <v>43768</v>
      </c>
      <c r="I751" s="233">
        <v>84609</v>
      </c>
      <c r="J751" s="232">
        <v>137928</v>
      </c>
      <c r="K751" s="88">
        <f t="shared" si="30"/>
        <v>315495</v>
      </c>
      <c r="L751" s="50"/>
      <c r="M751" s="233">
        <v>1651</v>
      </c>
      <c r="N751" s="233">
        <v>0</v>
      </c>
      <c r="O751" s="232">
        <v>0</v>
      </c>
      <c r="P751" s="88">
        <f t="shared" si="31"/>
        <v>1651</v>
      </c>
      <c r="Q751" s="50"/>
      <c r="R751" s="233">
        <v>88566</v>
      </c>
      <c r="S751" s="232">
        <v>55732</v>
      </c>
      <c r="T751" s="234">
        <v>144298</v>
      </c>
    </row>
    <row r="752" spans="1:20">
      <c r="A752" s="48">
        <v>98021</v>
      </c>
      <c r="B752" s="49" t="s">
        <v>2410</v>
      </c>
      <c r="C752" s="235">
        <v>3.6100000000000003E-5</v>
      </c>
      <c r="D752" s="235">
        <v>8.6199999999999995E-5</v>
      </c>
      <c r="E752" s="50">
        <v>85642</v>
      </c>
      <c r="F752" s="50"/>
      <c r="G752" s="233">
        <v>13212</v>
      </c>
      <c r="H752" s="221">
        <v>11756</v>
      </c>
      <c r="I752" s="233">
        <v>22726</v>
      </c>
      <c r="J752" s="232">
        <v>6068</v>
      </c>
      <c r="K752" s="88">
        <f t="shared" si="30"/>
        <v>53762</v>
      </c>
      <c r="L752" s="50"/>
      <c r="M752" s="233">
        <v>443</v>
      </c>
      <c r="N752" s="233">
        <v>0</v>
      </c>
      <c r="O752" s="232">
        <v>29951</v>
      </c>
      <c r="P752" s="88">
        <f t="shared" si="31"/>
        <v>30394</v>
      </c>
      <c r="Q752" s="50"/>
      <c r="R752" s="233">
        <v>23789</v>
      </c>
      <c r="S752" s="232">
        <v>-559</v>
      </c>
      <c r="T752" s="234">
        <v>23230</v>
      </c>
    </row>
    <row r="753" spans="1:20">
      <c r="A753" s="48">
        <v>98023</v>
      </c>
      <c r="B753" s="49" t="s">
        <v>1450</v>
      </c>
      <c r="C753" s="235">
        <v>1.88E-5</v>
      </c>
      <c r="D753" s="235">
        <v>1.43E-5</v>
      </c>
      <c r="E753" s="50">
        <v>44600</v>
      </c>
      <c r="F753" s="50"/>
      <c r="G753" s="233">
        <v>6881</v>
      </c>
      <c r="H753" s="221">
        <v>6122</v>
      </c>
      <c r="I753" s="233">
        <v>11835</v>
      </c>
      <c r="J753" s="232">
        <v>1700</v>
      </c>
      <c r="K753" s="88">
        <f t="shared" si="30"/>
        <v>26538</v>
      </c>
      <c r="L753" s="50"/>
      <c r="M753" s="233">
        <v>231</v>
      </c>
      <c r="N753" s="233">
        <v>0</v>
      </c>
      <c r="O753" s="232">
        <v>2588</v>
      </c>
      <c r="P753" s="88">
        <f t="shared" si="31"/>
        <v>2819</v>
      </c>
      <c r="Q753" s="50"/>
      <c r="R753" s="233">
        <v>12389</v>
      </c>
      <c r="S753" s="232">
        <v>-2200</v>
      </c>
      <c r="T753" s="234">
        <v>10189</v>
      </c>
    </row>
    <row r="754" spans="1:20">
      <c r="A754" s="48">
        <v>98031</v>
      </c>
      <c r="B754" s="49" t="s">
        <v>2411</v>
      </c>
      <c r="C754" s="235">
        <v>1.717E-4</v>
      </c>
      <c r="D754" s="235">
        <v>1.537E-4</v>
      </c>
      <c r="E754" s="50">
        <v>407331</v>
      </c>
      <c r="F754" s="50"/>
      <c r="G754" s="233">
        <v>62842</v>
      </c>
      <c r="H754" s="221">
        <v>55914</v>
      </c>
      <c r="I754" s="233">
        <v>108090</v>
      </c>
      <c r="J754" s="232">
        <v>7268</v>
      </c>
      <c r="K754" s="88">
        <f t="shared" si="30"/>
        <v>234114</v>
      </c>
      <c r="L754" s="50"/>
      <c r="M754" s="233">
        <v>2109</v>
      </c>
      <c r="N754" s="233">
        <v>0</v>
      </c>
      <c r="O754" s="232">
        <v>5245</v>
      </c>
      <c r="P754" s="88">
        <f t="shared" si="31"/>
        <v>7354</v>
      </c>
      <c r="Q754" s="50"/>
      <c r="R754" s="233">
        <v>113146</v>
      </c>
      <c r="S754" s="232">
        <v>-92</v>
      </c>
      <c r="T754" s="234">
        <v>113054</v>
      </c>
    </row>
    <row r="755" spans="1:20">
      <c r="A755" s="48">
        <v>98041</v>
      </c>
      <c r="B755" s="49" t="s">
        <v>2412</v>
      </c>
      <c r="C755" s="235">
        <v>2.242E-4</v>
      </c>
      <c r="D755" s="235">
        <v>1.9230000000000001E-4</v>
      </c>
      <c r="E755" s="50">
        <v>531879</v>
      </c>
      <c r="F755" s="50"/>
      <c r="G755" s="233">
        <v>82056</v>
      </c>
      <c r="H755" s="221">
        <v>73011</v>
      </c>
      <c r="I755" s="233">
        <v>141140</v>
      </c>
      <c r="J755" s="232">
        <v>23837</v>
      </c>
      <c r="K755" s="88">
        <f t="shared" si="30"/>
        <v>320044</v>
      </c>
      <c r="L755" s="50"/>
      <c r="M755" s="233">
        <v>2753</v>
      </c>
      <c r="N755" s="233">
        <v>0</v>
      </c>
      <c r="O755" s="232">
        <v>1903</v>
      </c>
      <c r="P755" s="88">
        <f t="shared" si="31"/>
        <v>4656</v>
      </c>
      <c r="Q755" s="50"/>
      <c r="R755" s="233">
        <v>147742</v>
      </c>
      <c r="S755" s="232">
        <v>3840</v>
      </c>
      <c r="T755" s="234">
        <v>151582</v>
      </c>
    </row>
    <row r="756" spans="1:20">
      <c r="A756" s="48">
        <v>98051</v>
      </c>
      <c r="B756" s="49" t="s">
        <v>2413</v>
      </c>
      <c r="C756" s="235">
        <v>2.699E-4</v>
      </c>
      <c r="D756" s="235">
        <v>2.8019999999999998E-4</v>
      </c>
      <c r="E756" s="50">
        <v>640295</v>
      </c>
      <c r="F756" s="50"/>
      <c r="G756" s="233">
        <v>98782</v>
      </c>
      <c r="H756" s="221">
        <v>87893</v>
      </c>
      <c r="I756" s="233">
        <v>169910</v>
      </c>
      <c r="J756" s="232">
        <v>12423</v>
      </c>
      <c r="K756" s="88">
        <f t="shared" si="30"/>
        <v>369008</v>
      </c>
      <c r="L756" s="50"/>
      <c r="M756" s="233">
        <v>3315</v>
      </c>
      <c r="N756" s="233">
        <v>0</v>
      </c>
      <c r="O756" s="232">
        <v>5552</v>
      </c>
      <c r="P756" s="88">
        <f t="shared" si="31"/>
        <v>8867</v>
      </c>
      <c r="Q756" s="50"/>
      <c r="R756" s="233">
        <v>177857</v>
      </c>
      <c r="S756" s="232">
        <v>7633</v>
      </c>
      <c r="T756" s="234">
        <v>185490</v>
      </c>
    </row>
    <row r="757" spans="1:20">
      <c r="A757" s="48">
        <v>98061</v>
      </c>
      <c r="B757" s="49" t="s">
        <v>2414</v>
      </c>
      <c r="C757" s="235">
        <v>1.3420000000000001E-4</v>
      </c>
      <c r="D757" s="235">
        <v>1.0670000000000001E-4</v>
      </c>
      <c r="E757" s="50">
        <v>318368</v>
      </c>
      <c r="F757" s="50"/>
      <c r="G757" s="233">
        <v>49117</v>
      </c>
      <c r="H757" s="221">
        <v>43702</v>
      </c>
      <c r="I757" s="233">
        <v>84483</v>
      </c>
      <c r="J757" s="232">
        <v>14234</v>
      </c>
      <c r="K757" s="88">
        <f t="shared" si="30"/>
        <v>191536</v>
      </c>
      <c r="L757" s="50"/>
      <c r="M757" s="233">
        <v>1648</v>
      </c>
      <c r="N757" s="233">
        <v>0</v>
      </c>
      <c r="O757" s="232">
        <v>10224</v>
      </c>
      <c r="P757" s="88">
        <f t="shared" si="31"/>
        <v>11872</v>
      </c>
      <c r="Q757" s="50"/>
      <c r="R757" s="233">
        <v>88434</v>
      </c>
      <c r="S757" s="232">
        <v>-3412</v>
      </c>
      <c r="T757" s="234">
        <v>85022</v>
      </c>
    </row>
    <row r="758" spans="1:20">
      <c r="A758" s="48">
        <v>98071</v>
      </c>
      <c r="B758" s="49" t="s">
        <v>2415</v>
      </c>
      <c r="C758" s="235">
        <v>3.5800000000000003E-5</v>
      </c>
      <c r="D758" s="235">
        <v>4.0099999999999999E-5</v>
      </c>
      <c r="E758" s="50">
        <v>84930</v>
      </c>
      <c r="F758" s="50"/>
      <c r="G758" s="233">
        <v>13103</v>
      </c>
      <c r="H758" s="221">
        <v>11658</v>
      </c>
      <c r="I758" s="233">
        <v>22537</v>
      </c>
      <c r="J758" s="232">
        <v>20473</v>
      </c>
      <c r="K758" s="88">
        <f t="shared" si="30"/>
        <v>67771</v>
      </c>
      <c r="L758" s="50"/>
      <c r="M758" s="233">
        <v>440</v>
      </c>
      <c r="N758" s="233">
        <v>0</v>
      </c>
      <c r="O758" s="232">
        <v>541</v>
      </c>
      <c r="P758" s="88">
        <f t="shared" si="31"/>
        <v>981</v>
      </c>
      <c r="Q758" s="50"/>
      <c r="R758" s="233">
        <v>23591</v>
      </c>
      <c r="S758" s="232">
        <v>6474</v>
      </c>
      <c r="T758" s="234">
        <v>30065</v>
      </c>
    </row>
    <row r="759" spans="1:20">
      <c r="A759" s="48">
        <v>98081</v>
      </c>
      <c r="B759" s="49" t="s">
        <v>2416</v>
      </c>
      <c r="C759" s="235">
        <v>1.7200000000000001E-5</v>
      </c>
      <c r="D759" s="235">
        <v>1.8300000000000001E-5</v>
      </c>
      <c r="E759" s="50">
        <v>40804</v>
      </c>
      <c r="F759" s="50"/>
      <c r="G759" s="233">
        <v>6295</v>
      </c>
      <c r="H759" s="221">
        <v>5601</v>
      </c>
      <c r="I759" s="233">
        <v>10828</v>
      </c>
      <c r="J759" s="232">
        <v>0</v>
      </c>
      <c r="K759" s="88">
        <f t="shared" si="30"/>
        <v>22724</v>
      </c>
      <c r="L759" s="50"/>
      <c r="M759" s="233">
        <v>211</v>
      </c>
      <c r="N759" s="233">
        <v>0</v>
      </c>
      <c r="O759" s="232">
        <v>3428</v>
      </c>
      <c r="P759" s="88">
        <f t="shared" si="31"/>
        <v>3639</v>
      </c>
      <c r="Q759" s="50"/>
      <c r="R759" s="233">
        <v>11334</v>
      </c>
      <c r="S759" s="232">
        <v>-2166</v>
      </c>
      <c r="T759" s="234">
        <v>9168</v>
      </c>
    </row>
    <row r="760" spans="1:20">
      <c r="A760" s="48">
        <v>98091</v>
      </c>
      <c r="B760" s="49" t="s">
        <v>2417</v>
      </c>
      <c r="C760" s="235">
        <v>5.1600000000000001E-5</v>
      </c>
      <c r="D760" s="235">
        <v>4.7500000000000003E-5</v>
      </c>
      <c r="E760" s="50">
        <v>122413</v>
      </c>
      <c r="F760" s="50"/>
      <c r="G760" s="233">
        <v>18885</v>
      </c>
      <c r="H760" s="221">
        <v>16803</v>
      </c>
      <c r="I760" s="233">
        <v>32484</v>
      </c>
      <c r="J760" s="232">
        <v>5795</v>
      </c>
      <c r="K760" s="88">
        <f t="shared" si="30"/>
        <v>73967</v>
      </c>
      <c r="L760" s="50"/>
      <c r="M760" s="233">
        <v>634</v>
      </c>
      <c r="N760" s="233">
        <v>0</v>
      </c>
      <c r="O760" s="232">
        <v>0</v>
      </c>
      <c r="P760" s="88">
        <f t="shared" si="31"/>
        <v>634</v>
      </c>
      <c r="Q760" s="50"/>
      <c r="R760" s="233">
        <v>34003</v>
      </c>
      <c r="S760" s="232">
        <v>976</v>
      </c>
      <c r="T760" s="234">
        <v>34979</v>
      </c>
    </row>
    <row r="761" spans="1:20">
      <c r="A761" s="48">
        <v>98101</v>
      </c>
      <c r="B761" s="49" t="s">
        <v>1458</v>
      </c>
      <c r="C761" s="235">
        <v>2.6497999999999999E-3</v>
      </c>
      <c r="D761" s="235">
        <v>2.8706999999999999E-3</v>
      </c>
      <c r="E761" s="50">
        <v>6286232</v>
      </c>
      <c r="F761" s="50"/>
      <c r="G761" s="233">
        <v>969816</v>
      </c>
      <c r="H761" s="221">
        <v>862912</v>
      </c>
      <c r="I761" s="233">
        <v>1668123</v>
      </c>
      <c r="J761" s="232">
        <v>13234</v>
      </c>
      <c r="K761" s="88">
        <f t="shared" si="30"/>
        <v>3514085</v>
      </c>
      <c r="L761" s="50"/>
      <c r="M761" s="233">
        <v>32542</v>
      </c>
      <c r="N761" s="233">
        <v>0</v>
      </c>
      <c r="O761" s="232">
        <v>206313</v>
      </c>
      <c r="P761" s="88">
        <f t="shared" si="31"/>
        <v>238855</v>
      </c>
      <c r="Q761" s="50"/>
      <c r="R761" s="233">
        <v>1746147</v>
      </c>
      <c r="S761" s="232">
        <v>-31729</v>
      </c>
      <c r="T761" s="234">
        <v>1714418</v>
      </c>
    </row>
    <row r="762" spans="1:20">
      <c r="A762" s="48">
        <v>98102</v>
      </c>
      <c r="B762" s="49" t="s">
        <v>1459</v>
      </c>
      <c r="C762" s="235">
        <v>1.496E-4</v>
      </c>
      <c r="D762" s="235">
        <v>1.5809999999999999E-4</v>
      </c>
      <c r="E762" s="50">
        <v>354902</v>
      </c>
      <c r="F762" s="50"/>
      <c r="G762" s="233">
        <v>54753</v>
      </c>
      <c r="H762" s="221">
        <v>48718</v>
      </c>
      <c r="I762" s="233">
        <v>94177</v>
      </c>
      <c r="J762" s="232">
        <v>0</v>
      </c>
      <c r="K762" s="88">
        <f t="shared" si="30"/>
        <v>197648</v>
      </c>
      <c r="L762" s="50"/>
      <c r="M762" s="233">
        <v>1837</v>
      </c>
      <c r="N762" s="233">
        <v>0</v>
      </c>
      <c r="O762" s="232">
        <v>13146</v>
      </c>
      <c r="P762" s="88">
        <f t="shared" si="31"/>
        <v>14983</v>
      </c>
      <c r="Q762" s="50"/>
      <c r="R762" s="233">
        <v>98582</v>
      </c>
      <c r="S762" s="232">
        <v>-6674</v>
      </c>
      <c r="T762" s="234">
        <v>91908</v>
      </c>
    </row>
    <row r="763" spans="1:20">
      <c r="A763" s="48">
        <v>98103</v>
      </c>
      <c r="B763" s="49" t="s">
        <v>1460</v>
      </c>
      <c r="C763" s="235">
        <v>4.8450000000000001E-4</v>
      </c>
      <c r="D763" s="235">
        <v>5.4410000000000005E-4</v>
      </c>
      <c r="E763" s="50">
        <v>1149400</v>
      </c>
      <c r="F763" s="50"/>
      <c r="G763" s="233">
        <v>177325</v>
      </c>
      <c r="H763" s="221">
        <v>157779</v>
      </c>
      <c r="I763" s="233">
        <v>305006</v>
      </c>
      <c r="J763" s="232">
        <v>7298</v>
      </c>
      <c r="K763" s="88">
        <f t="shared" si="30"/>
        <v>647408</v>
      </c>
      <c r="L763" s="50"/>
      <c r="M763" s="233">
        <v>5950</v>
      </c>
      <c r="N763" s="233">
        <v>0</v>
      </c>
      <c r="O763" s="232">
        <v>39675</v>
      </c>
      <c r="P763" s="88">
        <f t="shared" si="31"/>
        <v>45625</v>
      </c>
      <c r="Q763" s="50"/>
      <c r="R763" s="233">
        <v>319272</v>
      </c>
      <c r="S763" s="232">
        <v>-24913</v>
      </c>
      <c r="T763" s="234">
        <v>294359</v>
      </c>
    </row>
    <row r="764" spans="1:20">
      <c r="A764" s="48">
        <v>98107</v>
      </c>
      <c r="B764" s="49" t="s">
        <v>1461</v>
      </c>
      <c r="C764" s="235">
        <v>1.01E-5</v>
      </c>
      <c r="D764" s="235">
        <v>1.08E-5</v>
      </c>
      <c r="E764" s="50">
        <v>23961</v>
      </c>
      <c r="F764" s="50"/>
      <c r="G764" s="233">
        <v>3697</v>
      </c>
      <c r="H764" s="221">
        <v>3289</v>
      </c>
      <c r="I764" s="233">
        <v>6358</v>
      </c>
      <c r="J764" s="232">
        <v>7863</v>
      </c>
      <c r="K764" s="88">
        <f t="shared" si="30"/>
        <v>21207</v>
      </c>
      <c r="L764" s="50"/>
      <c r="M764" s="233">
        <v>124</v>
      </c>
      <c r="N764" s="233">
        <v>0</v>
      </c>
      <c r="O764" s="232">
        <v>0</v>
      </c>
      <c r="P764" s="88">
        <f t="shared" si="31"/>
        <v>124</v>
      </c>
      <c r="Q764" s="50"/>
      <c r="R764" s="233">
        <v>6656</v>
      </c>
      <c r="S764" s="232">
        <v>4229</v>
      </c>
      <c r="T764" s="234">
        <v>10885</v>
      </c>
    </row>
    <row r="765" spans="1:20">
      <c r="A765" s="48">
        <v>98109</v>
      </c>
      <c r="B765" s="49" t="s">
        <v>1462</v>
      </c>
      <c r="C765" s="235">
        <v>1.4310000000000001E-4</v>
      </c>
      <c r="D765" s="235">
        <v>1.573E-4</v>
      </c>
      <c r="E765" s="50">
        <v>339482</v>
      </c>
      <c r="F765" s="50"/>
      <c r="G765" s="233">
        <v>52374</v>
      </c>
      <c r="H765" s="221">
        <v>46601</v>
      </c>
      <c r="I765" s="233">
        <v>90085</v>
      </c>
      <c r="J765" s="232">
        <v>8985</v>
      </c>
      <c r="K765" s="88">
        <f t="shared" si="30"/>
        <v>198045</v>
      </c>
      <c r="L765" s="50"/>
      <c r="M765" s="233">
        <v>1757</v>
      </c>
      <c r="N765" s="233">
        <v>0</v>
      </c>
      <c r="O765" s="232">
        <v>13377</v>
      </c>
      <c r="P765" s="88">
        <f t="shared" si="31"/>
        <v>15134</v>
      </c>
      <c r="Q765" s="50"/>
      <c r="R765" s="233">
        <v>94299</v>
      </c>
      <c r="S765" s="232">
        <v>-7438</v>
      </c>
      <c r="T765" s="234">
        <v>86861</v>
      </c>
    </row>
    <row r="766" spans="1:20">
      <c r="A766" s="48">
        <v>98111</v>
      </c>
      <c r="B766" s="49" t="s">
        <v>2418</v>
      </c>
      <c r="C766" s="235">
        <v>1.0207E-3</v>
      </c>
      <c r="D766" s="235">
        <v>1.0143000000000001E-3</v>
      </c>
      <c r="E766" s="50">
        <v>2421449</v>
      </c>
      <c r="F766" s="50"/>
      <c r="G766" s="233">
        <v>373572</v>
      </c>
      <c r="H766" s="221">
        <v>332393</v>
      </c>
      <c r="I766" s="233">
        <v>642559</v>
      </c>
      <c r="J766" s="232">
        <v>0</v>
      </c>
      <c r="K766" s="88">
        <f t="shared" si="30"/>
        <v>1348524</v>
      </c>
      <c r="L766" s="50"/>
      <c r="M766" s="233">
        <v>12535</v>
      </c>
      <c r="N766" s="233">
        <v>0</v>
      </c>
      <c r="O766" s="232">
        <v>76213</v>
      </c>
      <c r="P766" s="88">
        <f t="shared" si="31"/>
        <v>88748</v>
      </c>
      <c r="Q766" s="50"/>
      <c r="R766" s="233">
        <v>672614</v>
      </c>
      <c r="S766" s="232">
        <v>-29272</v>
      </c>
      <c r="T766" s="234">
        <v>643342</v>
      </c>
    </row>
    <row r="767" spans="1:20">
      <c r="A767" s="48">
        <v>98113</v>
      </c>
      <c r="B767" s="49" t="s">
        <v>1464</v>
      </c>
      <c r="C767" s="235">
        <v>3.8999999999999999E-5</v>
      </c>
      <c r="D767" s="235">
        <v>4.6199999999999998E-5</v>
      </c>
      <c r="E767" s="50">
        <v>92521</v>
      </c>
      <c r="F767" s="50"/>
      <c r="G767" s="233">
        <v>14274</v>
      </c>
      <c r="H767" s="221">
        <v>12700</v>
      </c>
      <c r="I767" s="233">
        <v>24552</v>
      </c>
      <c r="J767" s="232">
        <v>7102</v>
      </c>
      <c r="K767" s="88">
        <f t="shared" si="30"/>
        <v>58628</v>
      </c>
      <c r="L767" s="50"/>
      <c r="M767" s="233">
        <v>479</v>
      </c>
      <c r="N767" s="233">
        <v>0</v>
      </c>
      <c r="O767" s="232">
        <v>416</v>
      </c>
      <c r="P767" s="88">
        <f t="shared" si="31"/>
        <v>895</v>
      </c>
      <c r="Q767" s="50"/>
      <c r="R767" s="233">
        <v>25700</v>
      </c>
      <c r="S767" s="232">
        <v>4533</v>
      </c>
      <c r="T767" s="234">
        <v>30233</v>
      </c>
    </row>
    <row r="768" spans="1:20">
      <c r="A768" s="48">
        <v>98121</v>
      </c>
      <c r="B768" s="49" t="s">
        <v>2419</v>
      </c>
      <c r="C768" s="235">
        <v>2.241E-4</v>
      </c>
      <c r="D768" s="235">
        <v>2.0100000000000001E-4</v>
      </c>
      <c r="E768" s="50">
        <v>531642</v>
      </c>
      <c r="F768" s="50"/>
      <c r="G768" s="233">
        <v>82020</v>
      </c>
      <c r="H768" s="221">
        <v>72979</v>
      </c>
      <c r="I768" s="233">
        <v>141077</v>
      </c>
      <c r="J768" s="232">
        <v>5555</v>
      </c>
      <c r="K768" s="88">
        <f t="shared" si="30"/>
        <v>301631</v>
      </c>
      <c r="L768" s="50"/>
      <c r="M768" s="233">
        <v>2752</v>
      </c>
      <c r="N768" s="233">
        <v>0</v>
      </c>
      <c r="O768" s="232">
        <v>17709</v>
      </c>
      <c r="P768" s="88">
        <f t="shared" si="31"/>
        <v>20461</v>
      </c>
      <c r="Q768" s="50"/>
      <c r="R768" s="233">
        <v>147676</v>
      </c>
      <c r="S768" s="232">
        <v>-4423</v>
      </c>
      <c r="T768" s="234">
        <v>143253</v>
      </c>
    </row>
    <row r="769" spans="1:20">
      <c r="A769" s="48">
        <v>98131</v>
      </c>
      <c r="B769" s="49" t="s">
        <v>2420</v>
      </c>
      <c r="C769" s="235">
        <v>2.297E-4</v>
      </c>
      <c r="D769" s="235">
        <v>2.5230000000000001E-4</v>
      </c>
      <c r="E769" s="50">
        <v>544927</v>
      </c>
      <c r="F769" s="50"/>
      <c r="G769" s="233">
        <v>84069</v>
      </c>
      <c r="H769" s="221">
        <v>74802</v>
      </c>
      <c r="I769" s="233">
        <v>144603</v>
      </c>
      <c r="J769" s="232">
        <v>0</v>
      </c>
      <c r="K769" s="88">
        <f t="shared" si="30"/>
        <v>303474</v>
      </c>
      <c r="L769" s="50"/>
      <c r="M769" s="233">
        <v>2821</v>
      </c>
      <c r="N769" s="233">
        <v>0</v>
      </c>
      <c r="O769" s="232">
        <v>41009</v>
      </c>
      <c r="P769" s="88">
        <f t="shared" si="31"/>
        <v>43830</v>
      </c>
      <c r="Q769" s="50"/>
      <c r="R769" s="233">
        <v>151366</v>
      </c>
      <c r="S769" s="232">
        <v>-26275</v>
      </c>
      <c r="T769" s="234">
        <v>125091</v>
      </c>
    </row>
    <row r="770" spans="1:20">
      <c r="A770" s="48">
        <v>98141</v>
      </c>
      <c r="B770" s="49" t="s">
        <v>2421</v>
      </c>
      <c r="C770" s="235">
        <v>3.0160000000000001E-4</v>
      </c>
      <c r="D770" s="235">
        <v>3.0360000000000001E-4</v>
      </c>
      <c r="E770" s="50">
        <v>715498</v>
      </c>
      <c r="F770" s="50"/>
      <c r="G770" s="233">
        <v>110384</v>
      </c>
      <c r="H770" s="221">
        <v>98217</v>
      </c>
      <c r="I770" s="233">
        <v>189866</v>
      </c>
      <c r="J770" s="232">
        <v>3632</v>
      </c>
      <c r="K770" s="88">
        <f t="shared" si="30"/>
        <v>402099</v>
      </c>
      <c r="L770" s="50"/>
      <c r="M770" s="233">
        <v>3704</v>
      </c>
      <c r="N770" s="233">
        <v>0</v>
      </c>
      <c r="O770" s="232">
        <v>20500</v>
      </c>
      <c r="P770" s="88">
        <f t="shared" si="31"/>
        <v>24204</v>
      </c>
      <c r="Q770" s="50"/>
      <c r="R770" s="233">
        <v>198746</v>
      </c>
      <c r="S770" s="232">
        <v>-14365</v>
      </c>
      <c r="T770" s="234">
        <v>184381</v>
      </c>
    </row>
    <row r="771" spans="1:20">
      <c r="A771" s="48">
        <v>98147</v>
      </c>
      <c r="B771" s="49" t="s">
        <v>2422</v>
      </c>
      <c r="C771" s="235">
        <v>1.15E-5</v>
      </c>
      <c r="D771" s="235">
        <v>1.29E-5</v>
      </c>
      <c r="E771" s="50">
        <v>27282</v>
      </c>
      <c r="F771" s="50"/>
      <c r="G771" s="233">
        <v>4209</v>
      </c>
      <c r="H771" s="221">
        <v>3745</v>
      </c>
      <c r="I771" s="233">
        <v>7240</v>
      </c>
      <c r="J771" s="232">
        <v>7998</v>
      </c>
      <c r="K771" s="88">
        <f t="shared" si="30"/>
        <v>23192</v>
      </c>
      <c r="L771" s="50"/>
      <c r="M771" s="233">
        <v>141</v>
      </c>
      <c r="N771" s="233">
        <v>0</v>
      </c>
      <c r="O771" s="232">
        <v>0</v>
      </c>
      <c r="P771" s="88">
        <f t="shared" si="31"/>
        <v>141</v>
      </c>
      <c r="Q771" s="50"/>
      <c r="R771" s="233">
        <v>7578</v>
      </c>
      <c r="S771" s="232">
        <v>4051</v>
      </c>
      <c r="T771" s="234">
        <v>11629</v>
      </c>
    </row>
    <row r="772" spans="1:20">
      <c r="A772" s="48">
        <v>98161</v>
      </c>
      <c r="B772" s="49" t="s">
        <v>2423</v>
      </c>
      <c r="C772" s="235">
        <v>6.7000000000000002E-6</v>
      </c>
      <c r="D772" s="235">
        <v>7.3000000000000004E-6</v>
      </c>
      <c r="E772" s="50">
        <v>15895</v>
      </c>
      <c r="F772" s="50"/>
      <c r="G772" s="233">
        <v>2452</v>
      </c>
      <c r="H772" s="221">
        <v>2182</v>
      </c>
      <c r="I772" s="233">
        <v>4218</v>
      </c>
      <c r="J772" s="232">
        <v>2865</v>
      </c>
      <c r="K772" s="88">
        <f t="shared" si="30"/>
        <v>11717</v>
      </c>
      <c r="L772" s="50"/>
      <c r="M772" s="233">
        <v>82</v>
      </c>
      <c r="N772" s="233">
        <v>0</v>
      </c>
      <c r="O772" s="232">
        <v>0</v>
      </c>
      <c r="P772" s="88">
        <f t="shared" si="31"/>
        <v>82</v>
      </c>
      <c r="Q772" s="50"/>
      <c r="R772" s="233">
        <v>4415</v>
      </c>
      <c r="S772" s="232">
        <v>1383</v>
      </c>
      <c r="T772" s="234">
        <v>5798</v>
      </c>
    </row>
    <row r="773" spans="1:20">
      <c r="A773" s="48">
        <v>98201</v>
      </c>
      <c r="B773" s="49" t="s">
        <v>1470</v>
      </c>
      <c r="C773" s="235">
        <v>3.1725E-3</v>
      </c>
      <c r="D773" s="235">
        <v>3.1664000000000002E-3</v>
      </c>
      <c r="E773" s="50">
        <v>7526255</v>
      </c>
      <c r="F773" s="50"/>
      <c r="G773" s="233">
        <v>1161122</v>
      </c>
      <c r="H773" s="221">
        <v>1033131</v>
      </c>
      <c r="I773" s="233">
        <v>1997178</v>
      </c>
      <c r="J773" s="232">
        <v>47695</v>
      </c>
      <c r="K773" s="88">
        <f t="shared" si="30"/>
        <v>4239126</v>
      </c>
      <c r="L773" s="50"/>
      <c r="M773" s="233">
        <v>38961</v>
      </c>
      <c r="N773" s="233">
        <v>0</v>
      </c>
      <c r="O773" s="232">
        <v>50438</v>
      </c>
      <c r="P773" s="88">
        <f t="shared" si="31"/>
        <v>89399</v>
      </c>
      <c r="Q773" s="50"/>
      <c r="R773" s="233">
        <v>2090592</v>
      </c>
      <c r="S773" s="232">
        <v>-13335</v>
      </c>
      <c r="T773" s="234">
        <v>2077257</v>
      </c>
    </row>
    <row r="774" spans="1:20">
      <c r="A774" s="48">
        <v>98205</v>
      </c>
      <c r="B774" s="49" t="s">
        <v>1471</v>
      </c>
      <c r="C774" s="235">
        <v>3.6100000000000003E-5</v>
      </c>
      <c r="D774" s="235">
        <v>4.6799999999999999E-5</v>
      </c>
      <c r="E774" s="50">
        <v>85642</v>
      </c>
      <c r="F774" s="50"/>
      <c r="G774" s="233">
        <v>13212</v>
      </c>
      <c r="H774" s="221">
        <v>11756</v>
      </c>
      <c r="I774" s="233">
        <v>22726</v>
      </c>
      <c r="J774" s="232">
        <v>1169</v>
      </c>
      <c r="K774" s="88">
        <f t="shared" si="30"/>
        <v>48863</v>
      </c>
      <c r="L774" s="50"/>
      <c r="M774" s="233">
        <v>443</v>
      </c>
      <c r="N774" s="233">
        <v>0</v>
      </c>
      <c r="O774" s="232">
        <v>6010</v>
      </c>
      <c r="P774" s="88">
        <f t="shared" si="31"/>
        <v>6453</v>
      </c>
      <c r="Q774" s="50"/>
      <c r="R774" s="233">
        <v>23789</v>
      </c>
      <c r="S774" s="232">
        <v>-1258</v>
      </c>
      <c r="T774" s="234">
        <v>22531</v>
      </c>
    </row>
    <row r="775" spans="1:20">
      <c r="A775" s="48">
        <v>98211</v>
      </c>
      <c r="B775" s="49" t="s">
        <v>1472</v>
      </c>
      <c r="C775" s="235">
        <v>8.5470000000000001E-4</v>
      </c>
      <c r="D775" s="235">
        <v>8.6689999999999998E-4</v>
      </c>
      <c r="E775" s="50">
        <v>2027641</v>
      </c>
      <c r="F775" s="50"/>
      <c r="G775" s="233">
        <v>312817</v>
      </c>
      <c r="H775" s="221">
        <v>278335</v>
      </c>
      <c r="I775" s="233">
        <v>538058</v>
      </c>
      <c r="J775" s="232">
        <v>0</v>
      </c>
      <c r="K775" s="88">
        <f t="shared" si="30"/>
        <v>1129210</v>
      </c>
      <c r="L775" s="50"/>
      <c r="M775" s="233">
        <v>10497</v>
      </c>
      <c r="N775" s="233">
        <v>0</v>
      </c>
      <c r="O775" s="232">
        <v>112320</v>
      </c>
      <c r="P775" s="88">
        <f t="shared" si="31"/>
        <v>122817</v>
      </c>
      <c r="Q775" s="50"/>
      <c r="R775" s="233">
        <v>563224</v>
      </c>
      <c r="S775" s="232">
        <v>-56480</v>
      </c>
      <c r="T775" s="234">
        <v>506744</v>
      </c>
    </row>
    <row r="776" spans="1:20">
      <c r="A776" s="48">
        <v>98218</v>
      </c>
      <c r="B776" s="49" t="s">
        <v>1473</v>
      </c>
      <c r="C776" s="235">
        <v>1.5500000000000001E-5</v>
      </c>
      <c r="D776" s="235">
        <v>1.3200000000000001E-5</v>
      </c>
      <c r="E776" s="50">
        <v>36771</v>
      </c>
      <c r="F776" s="50"/>
      <c r="G776" s="233">
        <v>5673</v>
      </c>
      <c r="H776" s="221">
        <v>5047</v>
      </c>
      <c r="I776" s="233">
        <v>9758</v>
      </c>
      <c r="J776" s="232">
        <v>3767</v>
      </c>
      <c r="K776" s="88">
        <f t="shared" si="30"/>
        <v>24245</v>
      </c>
      <c r="L776" s="50"/>
      <c r="M776" s="233">
        <v>190</v>
      </c>
      <c r="N776" s="233">
        <v>0</v>
      </c>
      <c r="O776" s="232">
        <v>285</v>
      </c>
      <c r="P776" s="88">
        <f t="shared" si="31"/>
        <v>475</v>
      </c>
      <c r="Q776" s="50"/>
      <c r="R776" s="233">
        <v>10214</v>
      </c>
      <c r="S776" s="232">
        <v>269</v>
      </c>
      <c r="T776" s="234">
        <v>10483</v>
      </c>
    </row>
    <row r="777" spans="1:20">
      <c r="A777" s="48">
        <v>98221</v>
      </c>
      <c r="B777" s="49" t="s">
        <v>2424</v>
      </c>
      <c r="C777" s="235">
        <v>1.8499999999999999E-5</v>
      </c>
      <c r="D777" s="235">
        <v>1.8899999999999999E-5</v>
      </c>
      <c r="E777" s="50">
        <v>43888</v>
      </c>
      <c r="F777" s="50"/>
      <c r="G777" s="233">
        <v>6771</v>
      </c>
      <c r="H777" s="221">
        <v>6025</v>
      </c>
      <c r="I777" s="233">
        <v>11646</v>
      </c>
      <c r="J777" s="232">
        <v>4486</v>
      </c>
      <c r="K777" s="88">
        <f t="shared" si="30"/>
        <v>28928</v>
      </c>
      <c r="L777" s="50"/>
      <c r="M777" s="233">
        <v>227</v>
      </c>
      <c r="N777" s="233">
        <v>0</v>
      </c>
      <c r="O777" s="232">
        <v>0</v>
      </c>
      <c r="P777" s="88">
        <f t="shared" si="31"/>
        <v>227</v>
      </c>
      <c r="Q777" s="50"/>
      <c r="R777" s="233">
        <v>12191</v>
      </c>
      <c r="S777" s="232">
        <v>1809</v>
      </c>
      <c r="T777" s="234">
        <v>14000</v>
      </c>
    </row>
    <row r="778" spans="1:20">
      <c r="A778" s="48">
        <v>98231</v>
      </c>
      <c r="B778" s="49" t="s">
        <v>2425</v>
      </c>
      <c r="C778" s="235">
        <v>3.1000000000000001E-5</v>
      </c>
      <c r="D778" s="235">
        <v>2.2799999999999999E-5</v>
      </c>
      <c r="E778" s="50">
        <v>73543</v>
      </c>
      <c r="F778" s="50"/>
      <c r="G778" s="233">
        <v>11346</v>
      </c>
      <c r="H778" s="221">
        <v>10096</v>
      </c>
      <c r="I778" s="233">
        <v>19515</v>
      </c>
      <c r="J778" s="232">
        <v>7747</v>
      </c>
      <c r="K778" s="88">
        <f t="shared" si="30"/>
        <v>48704</v>
      </c>
      <c r="L778" s="50"/>
      <c r="M778" s="233">
        <v>381</v>
      </c>
      <c r="N778" s="233">
        <v>0</v>
      </c>
      <c r="O778" s="232">
        <v>5129</v>
      </c>
      <c r="P778" s="88">
        <f t="shared" si="31"/>
        <v>5510</v>
      </c>
      <c r="Q778" s="50"/>
      <c r="R778" s="233">
        <v>20428</v>
      </c>
      <c r="S778" s="232">
        <v>-1821</v>
      </c>
      <c r="T778" s="234">
        <v>18607</v>
      </c>
    </row>
    <row r="779" spans="1:20">
      <c r="A779" s="48">
        <v>98237</v>
      </c>
      <c r="B779" s="49" t="s">
        <v>1476</v>
      </c>
      <c r="C779" s="235">
        <v>5.5999999999999997E-6</v>
      </c>
      <c r="D779" s="235">
        <v>5.9000000000000003E-6</v>
      </c>
      <c r="E779" s="50">
        <v>13285</v>
      </c>
      <c r="F779" s="50"/>
      <c r="G779" s="233">
        <v>2050</v>
      </c>
      <c r="H779" s="221">
        <v>1823</v>
      </c>
      <c r="I779" s="233">
        <v>3525</v>
      </c>
      <c r="J779" s="232">
        <v>4018</v>
      </c>
      <c r="K779" s="88">
        <f t="shared" si="30"/>
        <v>11416</v>
      </c>
      <c r="L779" s="50"/>
      <c r="M779" s="233">
        <v>69</v>
      </c>
      <c r="N779" s="233">
        <v>0</v>
      </c>
      <c r="O779" s="232">
        <v>0</v>
      </c>
      <c r="P779" s="88">
        <f t="shared" si="31"/>
        <v>69</v>
      </c>
      <c r="Q779" s="50"/>
      <c r="R779" s="233">
        <v>3690</v>
      </c>
      <c r="S779" s="232">
        <v>1826</v>
      </c>
      <c r="T779" s="234">
        <v>5516</v>
      </c>
    </row>
    <row r="780" spans="1:20">
      <c r="A780" s="48">
        <v>98241</v>
      </c>
      <c r="B780" s="49" t="s">
        <v>2426</v>
      </c>
      <c r="C780" s="235">
        <v>1.22E-5</v>
      </c>
      <c r="D780" s="235">
        <v>1.5099999999999999E-5</v>
      </c>
      <c r="E780" s="50">
        <v>28943</v>
      </c>
      <c r="F780" s="50"/>
      <c r="G780" s="233">
        <v>4465</v>
      </c>
      <c r="H780" s="221">
        <v>3973</v>
      </c>
      <c r="I780" s="233">
        <v>7680</v>
      </c>
      <c r="J780" s="232">
        <v>2352</v>
      </c>
      <c r="K780" s="88">
        <f t="shared" si="30"/>
        <v>18470</v>
      </c>
      <c r="L780" s="50"/>
      <c r="M780" s="233">
        <v>150</v>
      </c>
      <c r="N780" s="233">
        <v>0</v>
      </c>
      <c r="O780" s="232">
        <v>2460</v>
      </c>
      <c r="P780" s="88">
        <f t="shared" si="31"/>
        <v>2610</v>
      </c>
      <c r="Q780" s="50"/>
      <c r="R780" s="233">
        <v>8039</v>
      </c>
      <c r="S780" s="232">
        <v>2327</v>
      </c>
      <c r="T780" s="234">
        <v>10366</v>
      </c>
    </row>
    <row r="781" spans="1:20">
      <c r="A781" s="48">
        <v>98251</v>
      </c>
      <c r="B781" s="49" t="s">
        <v>2427</v>
      </c>
      <c r="C781" s="235">
        <v>2.7E-6</v>
      </c>
      <c r="D781" s="235">
        <v>3.0000000000000001E-6</v>
      </c>
      <c r="E781" s="50">
        <v>6405</v>
      </c>
      <c r="F781" s="50"/>
      <c r="G781" s="233">
        <v>988</v>
      </c>
      <c r="H781" s="221">
        <v>879</v>
      </c>
      <c r="I781" s="233">
        <v>1700</v>
      </c>
      <c r="J781" s="232">
        <v>1458</v>
      </c>
      <c r="K781" s="88">
        <f t="shared" si="30"/>
        <v>5025</v>
      </c>
      <c r="L781" s="50"/>
      <c r="M781" s="233">
        <v>33</v>
      </c>
      <c r="N781" s="233">
        <v>0</v>
      </c>
      <c r="O781" s="232">
        <v>0</v>
      </c>
      <c r="P781" s="88">
        <f t="shared" si="31"/>
        <v>33</v>
      </c>
      <c r="Q781" s="50"/>
      <c r="R781" s="233">
        <v>1779</v>
      </c>
      <c r="S781" s="232">
        <v>722</v>
      </c>
      <c r="T781" s="234">
        <v>2501</v>
      </c>
    </row>
    <row r="782" spans="1:20">
      <c r="A782" s="48">
        <v>98261</v>
      </c>
      <c r="B782" s="49" t="s">
        <v>2428</v>
      </c>
      <c r="C782" s="235">
        <v>3.3099999999999998E-5</v>
      </c>
      <c r="D782" s="235">
        <v>3.3200000000000001E-5</v>
      </c>
      <c r="E782" s="50">
        <v>78525</v>
      </c>
      <c r="F782" s="50"/>
      <c r="G782" s="233">
        <v>12114</v>
      </c>
      <c r="H782" s="221">
        <v>10779</v>
      </c>
      <c r="I782" s="233">
        <v>20837</v>
      </c>
      <c r="J782" s="232">
        <v>6529</v>
      </c>
      <c r="K782" s="88">
        <f t="shared" si="30"/>
        <v>50259</v>
      </c>
      <c r="L782" s="50"/>
      <c r="M782" s="233">
        <v>407</v>
      </c>
      <c r="N782" s="233">
        <v>0</v>
      </c>
      <c r="O782" s="232">
        <v>3201</v>
      </c>
      <c r="P782" s="88">
        <f t="shared" si="31"/>
        <v>3608</v>
      </c>
      <c r="Q782" s="50"/>
      <c r="R782" s="233">
        <v>21812</v>
      </c>
      <c r="S782" s="232">
        <v>1417</v>
      </c>
      <c r="T782" s="234">
        <v>23229</v>
      </c>
    </row>
    <row r="783" spans="1:20">
      <c r="A783" s="48">
        <v>98271</v>
      </c>
      <c r="B783" s="49" t="s">
        <v>2429</v>
      </c>
      <c r="C783" s="235">
        <v>5.3000000000000001E-6</v>
      </c>
      <c r="D783" s="235">
        <v>5.1000000000000003E-6</v>
      </c>
      <c r="E783" s="50">
        <v>12573</v>
      </c>
      <c r="F783" s="50"/>
      <c r="G783" s="233">
        <v>1940</v>
      </c>
      <c r="H783" s="221">
        <v>1726</v>
      </c>
      <c r="I783" s="233">
        <v>3336</v>
      </c>
      <c r="J783" s="232">
        <v>2879</v>
      </c>
      <c r="K783" s="88">
        <f t="shared" si="30"/>
        <v>9881</v>
      </c>
      <c r="L783" s="50"/>
      <c r="M783" s="233">
        <v>65</v>
      </c>
      <c r="N783" s="233">
        <v>0</v>
      </c>
      <c r="O783" s="232">
        <v>0</v>
      </c>
      <c r="P783" s="88">
        <f t="shared" si="31"/>
        <v>65</v>
      </c>
      <c r="Q783" s="50"/>
      <c r="R783" s="233">
        <v>3493</v>
      </c>
      <c r="S783" s="232">
        <v>1857</v>
      </c>
      <c r="T783" s="234">
        <v>5350</v>
      </c>
    </row>
    <row r="784" spans="1:20">
      <c r="A784" s="48">
        <v>98301</v>
      </c>
      <c r="B784" s="49" t="s">
        <v>1481</v>
      </c>
      <c r="C784" s="235">
        <v>1.7489999999999999E-3</v>
      </c>
      <c r="D784" s="235">
        <v>1.7542E-3</v>
      </c>
      <c r="E784" s="50">
        <v>4149226</v>
      </c>
      <c r="F784" s="50"/>
      <c r="G784" s="233">
        <v>640127</v>
      </c>
      <c r="H784" s="221">
        <v>569565</v>
      </c>
      <c r="I784" s="233">
        <v>1101044</v>
      </c>
      <c r="J784" s="232">
        <v>56900</v>
      </c>
      <c r="K784" s="88">
        <f t="shared" si="30"/>
        <v>2367636</v>
      </c>
      <c r="L784" s="50"/>
      <c r="M784" s="233">
        <v>21479</v>
      </c>
      <c r="N784" s="233">
        <v>0</v>
      </c>
      <c r="O784" s="232">
        <v>0</v>
      </c>
      <c r="P784" s="88">
        <f t="shared" si="31"/>
        <v>21479</v>
      </c>
      <c r="Q784" s="50"/>
      <c r="R784" s="233">
        <v>1152544</v>
      </c>
      <c r="S784" s="232">
        <v>25032</v>
      </c>
      <c r="T784" s="234">
        <v>1177576</v>
      </c>
    </row>
    <row r="785" spans="1:20">
      <c r="A785" s="48">
        <v>98304</v>
      </c>
      <c r="B785" s="49" t="s">
        <v>1482</v>
      </c>
      <c r="C785" s="235">
        <v>1.9300000000000002E-5</v>
      </c>
      <c r="D785" s="235">
        <v>2.0999999999999999E-5</v>
      </c>
      <c r="E785" s="50">
        <v>45786</v>
      </c>
      <c r="F785" s="50"/>
      <c r="G785" s="233">
        <v>7064</v>
      </c>
      <c r="H785" s="221">
        <v>6286</v>
      </c>
      <c r="I785" s="233">
        <v>12150</v>
      </c>
      <c r="J785" s="232">
        <v>3861</v>
      </c>
      <c r="K785" s="88">
        <f t="shared" si="30"/>
        <v>29361</v>
      </c>
      <c r="L785" s="50"/>
      <c r="M785" s="233">
        <v>237</v>
      </c>
      <c r="N785" s="233">
        <v>0</v>
      </c>
      <c r="O785" s="232">
        <v>0</v>
      </c>
      <c r="P785" s="88">
        <f t="shared" si="31"/>
        <v>237</v>
      </c>
      <c r="Q785" s="50"/>
      <c r="R785" s="233">
        <v>12718</v>
      </c>
      <c r="S785" s="232">
        <v>1416</v>
      </c>
      <c r="T785" s="234">
        <v>14134</v>
      </c>
    </row>
    <row r="786" spans="1:20">
      <c r="A786" s="48">
        <v>98308</v>
      </c>
      <c r="B786" s="49" t="s">
        <v>1483</v>
      </c>
      <c r="C786" s="235">
        <v>2.2399999999999999E-5</v>
      </c>
      <c r="D786" s="235">
        <v>2.37E-5</v>
      </c>
      <c r="E786" s="229">
        <v>53140</v>
      </c>
      <c r="F786" s="229" t="s">
        <v>1930</v>
      </c>
      <c r="G786" s="233">
        <v>8198</v>
      </c>
      <c r="H786" s="221">
        <v>7295</v>
      </c>
      <c r="I786" s="233">
        <v>14101</v>
      </c>
      <c r="J786" s="232">
        <v>7416</v>
      </c>
      <c r="K786" s="88">
        <f t="shared" si="30"/>
        <v>37010</v>
      </c>
      <c r="L786" s="50"/>
      <c r="M786" s="233">
        <v>275</v>
      </c>
      <c r="N786" s="233">
        <v>0</v>
      </c>
      <c r="O786" s="232">
        <v>0</v>
      </c>
      <c r="P786" s="88">
        <f t="shared" si="31"/>
        <v>275</v>
      </c>
      <c r="Q786" s="50"/>
      <c r="R786" s="233">
        <v>14761</v>
      </c>
      <c r="S786" s="232">
        <v>4258</v>
      </c>
      <c r="T786" s="234">
        <v>19019</v>
      </c>
    </row>
    <row r="787" spans="1:20">
      <c r="A787" s="48">
        <v>98311</v>
      </c>
      <c r="B787" s="49" t="s">
        <v>1484</v>
      </c>
      <c r="C787" s="235">
        <v>1.0931999999999999E-3</v>
      </c>
      <c r="D787" s="235">
        <v>1.1536000000000001E-3</v>
      </c>
      <c r="E787" s="229">
        <v>2593444</v>
      </c>
      <c r="F787" s="229" t="s">
        <v>1930</v>
      </c>
      <c r="G787" s="233">
        <v>400107</v>
      </c>
      <c r="H787" s="221">
        <v>356003</v>
      </c>
      <c r="I787" s="233">
        <v>688200</v>
      </c>
      <c r="J787" s="232">
        <v>0</v>
      </c>
      <c r="K787" s="88">
        <f t="shared" si="30"/>
        <v>1444310</v>
      </c>
      <c r="L787" s="50"/>
      <c r="M787" s="233">
        <v>13426</v>
      </c>
      <c r="N787" s="233">
        <v>0</v>
      </c>
      <c r="O787" s="232">
        <v>152880</v>
      </c>
      <c r="P787" s="88">
        <f t="shared" si="31"/>
        <v>166306</v>
      </c>
      <c r="Q787" s="50"/>
      <c r="R787" s="233">
        <v>720389</v>
      </c>
      <c r="S787" s="232">
        <v>-39908</v>
      </c>
      <c r="T787" s="234">
        <v>680481</v>
      </c>
    </row>
    <row r="788" spans="1:20">
      <c r="A788" s="48">
        <v>98313</v>
      </c>
      <c r="B788" s="49" t="s">
        <v>1485</v>
      </c>
      <c r="C788" s="235">
        <v>2.4240000000000001E-4</v>
      </c>
      <c r="D788" s="235">
        <v>2.3560000000000001E-4</v>
      </c>
      <c r="E788" s="229">
        <v>575056</v>
      </c>
      <c r="F788" s="229" t="s">
        <v>1930</v>
      </c>
      <c r="G788" s="233">
        <v>88717</v>
      </c>
      <c r="H788" s="221">
        <v>78938</v>
      </c>
      <c r="I788" s="233">
        <v>152598</v>
      </c>
      <c r="J788" s="232">
        <v>283623</v>
      </c>
      <c r="K788" s="88">
        <f t="shared" si="30"/>
        <v>603876</v>
      </c>
      <c r="L788" s="50"/>
      <c r="M788" s="233">
        <v>2977</v>
      </c>
      <c r="N788" s="233">
        <v>0</v>
      </c>
      <c r="O788" s="232">
        <v>0</v>
      </c>
      <c r="P788" s="88">
        <f t="shared" si="31"/>
        <v>2977</v>
      </c>
      <c r="Q788" s="50"/>
      <c r="R788" s="233">
        <v>159735</v>
      </c>
      <c r="S788" s="232">
        <v>109986</v>
      </c>
      <c r="T788" s="234">
        <v>269721</v>
      </c>
    </row>
    <row r="789" spans="1:20">
      <c r="A789" s="48">
        <v>98321</v>
      </c>
      <c r="B789" s="49" t="s">
        <v>2430</v>
      </c>
      <c r="C789" s="235">
        <v>1.9199999999999999E-5</v>
      </c>
      <c r="D789" s="235">
        <v>2.05E-5</v>
      </c>
      <c r="E789" s="229">
        <v>45549</v>
      </c>
      <c r="F789" s="229" t="s">
        <v>1930</v>
      </c>
      <c r="G789" s="233">
        <v>7027</v>
      </c>
      <c r="H789" s="221">
        <v>6253</v>
      </c>
      <c r="I789" s="233">
        <v>12087</v>
      </c>
      <c r="J789" s="232">
        <v>63</v>
      </c>
      <c r="K789" s="88">
        <f t="shared" si="30"/>
        <v>25430</v>
      </c>
      <c r="L789" s="50"/>
      <c r="M789" s="233">
        <v>236</v>
      </c>
      <c r="N789" s="233">
        <v>0</v>
      </c>
      <c r="O789" s="232">
        <v>1957</v>
      </c>
      <c r="P789" s="88">
        <f t="shared" si="31"/>
        <v>2193</v>
      </c>
      <c r="Q789" s="50"/>
      <c r="R789" s="233">
        <v>12652</v>
      </c>
      <c r="S789" s="232">
        <v>453</v>
      </c>
      <c r="T789" s="234">
        <v>13105</v>
      </c>
    </row>
    <row r="790" spans="1:20">
      <c r="A790" s="48">
        <v>98331</v>
      </c>
      <c r="B790" s="49" t="s">
        <v>2431</v>
      </c>
      <c r="C790" s="235">
        <v>9.3000000000000007E-6</v>
      </c>
      <c r="D790" s="235">
        <v>9.7999999999999993E-6</v>
      </c>
      <c r="E790" s="229">
        <v>22063</v>
      </c>
      <c r="F790" s="229" t="s">
        <v>1930</v>
      </c>
      <c r="G790" s="233">
        <v>3404</v>
      </c>
      <c r="H790" s="221">
        <v>3029</v>
      </c>
      <c r="I790" s="233">
        <v>5855</v>
      </c>
      <c r="J790" s="232">
        <v>3274</v>
      </c>
      <c r="K790" s="88">
        <f t="shared" ref="K790:K859" si="32">G790+H790+I790+J790</f>
        <v>15562</v>
      </c>
      <c r="L790" s="50"/>
      <c r="M790" s="233">
        <v>114</v>
      </c>
      <c r="N790" s="233">
        <v>0</v>
      </c>
      <c r="O790" s="232">
        <v>0</v>
      </c>
      <c r="P790" s="88">
        <f t="shared" ref="P790:P859" si="33">M790+N790+O790</f>
        <v>114</v>
      </c>
      <c r="Q790" s="50"/>
      <c r="R790" s="233">
        <v>6128</v>
      </c>
      <c r="S790" s="232">
        <v>1309</v>
      </c>
      <c r="T790" s="234">
        <v>7437</v>
      </c>
    </row>
    <row r="791" spans="1:20">
      <c r="A791" s="48">
        <v>98401</v>
      </c>
      <c r="B791" s="49" t="s">
        <v>1488</v>
      </c>
      <c r="C791" s="235">
        <v>2.7358E-3</v>
      </c>
      <c r="D791" s="235">
        <v>2.7655000000000002E-3</v>
      </c>
      <c r="E791" s="229">
        <v>6490253</v>
      </c>
      <c r="F791" s="229" t="s">
        <v>1930</v>
      </c>
      <c r="G791" s="233">
        <v>1001292</v>
      </c>
      <c r="H791" s="221">
        <v>890919</v>
      </c>
      <c r="I791" s="233">
        <v>1722263</v>
      </c>
      <c r="J791" s="232">
        <v>198418</v>
      </c>
      <c r="K791" s="88">
        <f t="shared" si="32"/>
        <v>3812892</v>
      </c>
      <c r="L791" s="50"/>
      <c r="M791" s="233">
        <v>33598</v>
      </c>
      <c r="N791" s="233">
        <v>0</v>
      </c>
      <c r="O791" s="232">
        <v>4093</v>
      </c>
      <c r="P791" s="88">
        <f t="shared" si="33"/>
        <v>37691</v>
      </c>
      <c r="Q791" s="50"/>
      <c r="R791" s="233">
        <v>1802818</v>
      </c>
      <c r="S791" s="232">
        <v>81533</v>
      </c>
      <c r="T791" s="234">
        <v>1884351</v>
      </c>
    </row>
    <row r="792" spans="1:20">
      <c r="A792" s="48">
        <v>98404</v>
      </c>
      <c r="B792" s="49" t="s">
        <v>1489</v>
      </c>
      <c r="C792" s="235">
        <v>1.5099999999999999E-5</v>
      </c>
      <c r="D792" s="235">
        <v>1.52E-5</v>
      </c>
      <c r="E792" s="229">
        <v>35822</v>
      </c>
      <c r="F792" s="229" t="s">
        <v>1930</v>
      </c>
      <c r="G792" s="233">
        <v>5527</v>
      </c>
      <c r="H792" s="221">
        <v>4917</v>
      </c>
      <c r="I792" s="233">
        <v>9506</v>
      </c>
      <c r="J792" s="232">
        <v>7686</v>
      </c>
      <c r="K792" s="88">
        <f t="shared" si="32"/>
        <v>27636</v>
      </c>
      <c r="L792" s="50"/>
      <c r="M792" s="233">
        <v>185</v>
      </c>
      <c r="N792" s="233">
        <v>0</v>
      </c>
      <c r="O792" s="232">
        <v>0</v>
      </c>
      <c r="P792" s="88">
        <f t="shared" si="33"/>
        <v>185</v>
      </c>
      <c r="Q792" s="50"/>
      <c r="R792" s="233">
        <v>9950</v>
      </c>
      <c r="S792" s="232">
        <v>2503</v>
      </c>
      <c r="T792" s="234">
        <v>12453</v>
      </c>
    </row>
    <row r="793" spans="1:20">
      <c r="A793" s="48">
        <v>98411</v>
      </c>
      <c r="B793" s="49" t="s">
        <v>1490</v>
      </c>
      <c r="C793" s="235">
        <v>1.9327000000000001E-3</v>
      </c>
      <c r="D793" s="235">
        <v>1.9816E-3</v>
      </c>
      <c r="E793" s="229">
        <v>4585025</v>
      </c>
      <c r="F793" s="229" t="s">
        <v>1930</v>
      </c>
      <c r="G793" s="233">
        <v>707360</v>
      </c>
      <c r="H793" s="221">
        <v>629388</v>
      </c>
      <c r="I793" s="233">
        <v>1216689</v>
      </c>
      <c r="J793" s="232">
        <v>0</v>
      </c>
      <c r="K793" s="88">
        <f t="shared" si="32"/>
        <v>2553437</v>
      </c>
      <c r="L793" s="50"/>
      <c r="M793" s="233">
        <v>23735</v>
      </c>
      <c r="N793" s="233">
        <v>0</v>
      </c>
      <c r="O793" s="232">
        <v>116454</v>
      </c>
      <c r="P793" s="88">
        <f t="shared" si="33"/>
        <v>140189</v>
      </c>
      <c r="Q793" s="50"/>
      <c r="R793" s="233">
        <v>1273597</v>
      </c>
      <c r="S793" s="232">
        <v>-35630</v>
      </c>
      <c r="T793" s="234">
        <v>1237967</v>
      </c>
    </row>
    <row r="794" spans="1:20" s="350" customFormat="1">
      <c r="A794" s="352" t="s">
        <v>3515</v>
      </c>
      <c r="B794" s="353" t="s">
        <v>2483</v>
      </c>
      <c r="C794" s="348">
        <v>4.1600000000000002E-5</v>
      </c>
      <c r="D794" s="348">
        <v>2.83E-5</v>
      </c>
      <c r="E794" s="349">
        <v>98689</v>
      </c>
      <c r="F794" s="349" t="s">
        <v>1930</v>
      </c>
      <c r="G794" s="354">
        <v>15225</v>
      </c>
      <c r="H794" s="354">
        <v>13548</v>
      </c>
      <c r="I794" s="354">
        <v>26188</v>
      </c>
      <c r="J794" s="349">
        <v>18529</v>
      </c>
      <c r="K794" s="354">
        <f t="shared" si="32"/>
        <v>73490</v>
      </c>
      <c r="L794" s="349"/>
      <c r="M794" s="354">
        <v>511</v>
      </c>
      <c r="N794" s="354">
        <v>0</v>
      </c>
      <c r="O794" s="349">
        <v>0</v>
      </c>
      <c r="P794" s="354">
        <f t="shared" si="33"/>
        <v>511</v>
      </c>
      <c r="Q794" s="349"/>
      <c r="R794" s="354">
        <v>27413</v>
      </c>
      <c r="S794" s="349">
        <v>5537</v>
      </c>
      <c r="T794" s="355">
        <v>32950</v>
      </c>
    </row>
    <row r="795" spans="1:20" s="350" customFormat="1">
      <c r="A795" s="352" t="s">
        <v>3516</v>
      </c>
      <c r="B795" s="353" t="s">
        <v>2483</v>
      </c>
      <c r="C795" s="348">
        <v>0</v>
      </c>
      <c r="D795" s="348">
        <v>1.0200000000000001E-5</v>
      </c>
      <c r="E795" s="349">
        <v>0</v>
      </c>
      <c r="F795" s="349" t="s">
        <v>1930</v>
      </c>
      <c r="G795" s="354">
        <v>0</v>
      </c>
      <c r="H795" s="354">
        <v>0</v>
      </c>
      <c r="I795" s="354">
        <v>0</v>
      </c>
      <c r="J795" s="349">
        <v>0</v>
      </c>
      <c r="K795" s="354">
        <v>0</v>
      </c>
      <c r="L795" s="349"/>
      <c r="M795" s="354">
        <v>0</v>
      </c>
      <c r="N795" s="354">
        <v>0</v>
      </c>
      <c r="O795" s="349">
        <v>24349</v>
      </c>
      <c r="P795" s="349">
        <v>24349</v>
      </c>
      <c r="R795" s="354">
        <v>0</v>
      </c>
      <c r="S795" s="349">
        <v>-9271</v>
      </c>
      <c r="T795" s="355">
        <v>-9271</v>
      </c>
    </row>
    <row r="796" spans="1:20" s="226" customFormat="1">
      <c r="A796" s="227">
        <v>98414</v>
      </c>
      <c r="B796" s="228" t="s">
        <v>2483</v>
      </c>
      <c r="C796" s="235">
        <f>SUM(C794:C795)</f>
        <v>4.1600000000000002E-5</v>
      </c>
      <c r="D796" s="235">
        <f t="shared" ref="D796:T796" si="34">SUM(D794:D795)</f>
        <v>3.8500000000000001E-5</v>
      </c>
      <c r="E796" s="232">
        <f t="shared" si="34"/>
        <v>98689</v>
      </c>
      <c r="F796" s="232"/>
      <c r="G796" s="233">
        <f t="shared" si="34"/>
        <v>15225</v>
      </c>
      <c r="H796" s="221">
        <f t="shared" si="34"/>
        <v>13548</v>
      </c>
      <c r="I796" s="233">
        <f t="shared" si="34"/>
        <v>26188</v>
      </c>
      <c r="J796" s="232">
        <f t="shared" si="34"/>
        <v>18529</v>
      </c>
      <c r="K796" s="221">
        <f t="shared" si="34"/>
        <v>73490</v>
      </c>
      <c r="L796" s="232"/>
      <c r="M796" s="233">
        <f t="shared" si="34"/>
        <v>511</v>
      </c>
      <c r="N796" s="233">
        <f t="shared" si="34"/>
        <v>0</v>
      </c>
      <c r="O796" s="232">
        <f t="shared" si="34"/>
        <v>24349</v>
      </c>
      <c r="P796" s="237">
        <f t="shared" si="34"/>
        <v>24860</v>
      </c>
      <c r="R796" s="233">
        <f t="shared" si="34"/>
        <v>27413</v>
      </c>
      <c r="S796" s="232">
        <f t="shared" si="34"/>
        <v>-3734</v>
      </c>
      <c r="T796" s="234">
        <f t="shared" si="34"/>
        <v>23679</v>
      </c>
    </row>
    <row r="797" spans="1:20">
      <c r="A797" s="48">
        <v>98417</v>
      </c>
      <c r="B797" s="49" t="s">
        <v>1492</v>
      </c>
      <c r="C797" s="235">
        <v>2.1500000000000001E-5</v>
      </c>
      <c r="D797" s="235">
        <v>2.2900000000000001E-5</v>
      </c>
      <c r="E797" s="229">
        <v>51005</v>
      </c>
      <c r="F797" s="229" t="s">
        <v>1930</v>
      </c>
      <c r="G797" s="233">
        <v>7869</v>
      </c>
      <c r="H797" s="221">
        <v>7001</v>
      </c>
      <c r="I797" s="233">
        <v>13535</v>
      </c>
      <c r="J797" s="232">
        <v>4701</v>
      </c>
      <c r="K797" s="88">
        <f t="shared" si="32"/>
        <v>33106</v>
      </c>
      <c r="L797" s="50"/>
      <c r="M797" s="233">
        <v>264</v>
      </c>
      <c r="N797" s="233">
        <v>0</v>
      </c>
      <c r="O797" s="232">
        <v>0</v>
      </c>
      <c r="P797" s="88">
        <f t="shared" si="33"/>
        <v>264</v>
      </c>
      <c r="Q797" s="50"/>
      <c r="R797" s="233">
        <v>14168</v>
      </c>
      <c r="S797" s="232">
        <v>1052</v>
      </c>
      <c r="T797" s="234">
        <v>15220</v>
      </c>
    </row>
    <row r="798" spans="1:20">
      <c r="A798" s="48">
        <v>98421</v>
      </c>
      <c r="B798" s="49" t="s">
        <v>2432</v>
      </c>
      <c r="C798" s="235">
        <v>1.06E-4</v>
      </c>
      <c r="D798" s="235">
        <v>8.2700000000000004E-5</v>
      </c>
      <c r="E798" s="229">
        <v>251468</v>
      </c>
      <c r="F798" s="229" t="s">
        <v>1930</v>
      </c>
      <c r="G798" s="233">
        <v>38796</v>
      </c>
      <c r="H798" s="221">
        <v>34519</v>
      </c>
      <c r="I798" s="233">
        <v>66730</v>
      </c>
      <c r="J798" s="232">
        <v>17902</v>
      </c>
      <c r="K798" s="88">
        <f t="shared" si="32"/>
        <v>157947</v>
      </c>
      <c r="L798" s="50"/>
      <c r="M798" s="233">
        <v>1302</v>
      </c>
      <c r="N798" s="233">
        <v>0</v>
      </c>
      <c r="O798" s="232">
        <v>9065</v>
      </c>
      <c r="P798" s="88">
        <f t="shared" si="33"/>
        <v>10367</v>
      </c>
      <c r="Q798" s="50"/>
      <c r="R798" s="233">
        <v>69851</v>
      </c>
      <c r="S798" s="232">
        <v>2976</v>
      </c>
      <c r="T798" s="234">
        <v>72827</v>
      </c>
    </row>
    <row r="799" spans="1:20">
      <c r="A799" s="48">
        <v>98427</v>
      </c>
      <c r="B799" s="49" t="s">
        <v>1494</v>
      </c>
      <c r="C799" s="235">
        <v>3.4000000000000001E-6</v>
      </c>
      <c r="D799" s="235">
        <v>3.9999999999999998E-6</v>
      </c>
      <c r="E799" s="229">
        <v>8066</v>
      </c>
      <c r="F799" s="229" t="s">
        <v>1930</v>
      </c>
      <c r="G799" s="233">
        <v>1244</v>
      </c>
      <c r="H799" s="221">
        <v>1107</v>
      </c>
      <c r="I799" s="233">
        <v>2140</v>
      </c>
      <c r="J799" s="232">
        <v>1747</v>
      </c>
      <c r="K799" s="88">
        <f t="shared" si="32"/>
        <v>6238</v>
      </c>
      <c r="L799" s="50"/>
      <c r="M799" s="233">
        <v>42</v>
      </c>
      <c r="N799" s="233">
        <v>0</v>
      </c>
      <c r="O799" s="232">
        <v>0</v>
      </c>
      <c r="P799" s="88">
        <f t="shared" si="33"/>
        <v>42</v>
      </c>
      <c r="Q799" s="50"/>
      <c r="R799" s="233">
        <v>2241</v>
      </c>
      <c r="S799" s="232">
        <v>707</v>
      </c>
      <c r="T799" s="234">
        <v>2948</v>
      </c>
    </row>
    <row r="800" spans="1:20">
      <c r="A800" s="48">
        <v>98431</v>
      </c>
      <c r="B800" s="49" t="s">
        <v>1495</v>
      </c>
      <c r="C800" s="235">
        <v>1.961E-4</v>
      </c>
      <c r="D800" s="235">
        <v>2.0589999999999999E-4</v>
      </c>
      <c r="E800" s="229">
        <v>465216</v>
      </c>
      <c r="F800" s="229" t="s">
        <v>1930</v>
      </c>
      <c r="G800" s="233">
        <v>71772</v>
      </c>
      <c r="H800" s="221">
        <v>63861</v>
      </c>
      <c r="I800" s="233">
        <v>123450</v>
      </c>
      <c r="J800" s="232">
        <v>0</v>
      </c>
      <c r="K800" s="88">
        <f t="shared" si="32"/>
        <v>259083</v>
      </c>
      <c r="L800" s="50"/>
      <c r="M800" s="233">
        <v>2408</v>
      </c>
      <c r="N800" s="233">
        <v>0</v>
      </c>
      <c r="O800" s="232">
        <v>33499</v>
      </c>
      <c r="P800" s="88">
        <f t="shared" si="33"/>
        <v>35907</v>
      </c>
      <c r="Q800" s="50"/>
      <c r="R800" s="233">
        <v>129225</v>
      </c>
      <c r="S800" s="232">
        <v>-12036</v>
      </c>
      <c r="T800" s="234">
        <v>117189</v>
      </c>
    </row>
    <row r="801" spans="1:20">
      <c r="A801" s="48">
        <v>98441</v>
      </c>
      <c r="B801" s="49" t="s">
        <v>2433</v>
      </c>
      <c r="C801" s="235">
        <v>1.0900000000000001E-4</v>
      </c>
      <c r="D801" s="235">
        <v>8.2700000000000004E-5</v>
      </c>
      <c r="E801" s="229">
        <v>258585</v>
      </c>
      <c r="F801" s="229" t="s">
        <v>1930</v>
      </c>
      <c r="G801" s="233">
        <v>39894</v>
      </c>
      <c r="H801" s="221">
        <v>35496</v>
      </c>
      <c r="I801" s="233">
        <v>68619</v>
      </c>
      <c r="J801" s="232">
        <v>12072</v>
      </c>
      <c r="K801" s="88">
        <f t="shared" si="32"/>
        <v>156081</v>
      </c>
      <c r="L801" s="50"/>
      <c r="M801" s="233">
        <v>1339</v>
      </c>
      <c r="N801" s="233">
        <v>0</v>
      </c>
      <c r="O801" s="232">
        <v>13805</v>
      </c>
      <c r="P801" s="88">
        <f t="shared" si="33"/>
        <v>15144</v>
      </c>
      <c r="Q801" s="50"/>
      <c r="R801" s="233">
        <v>71828</v>
      </c>
      <c r="S801" s="232">
        <v>-5014</v>
      </c>
      <c r="T801" s="234">
        <v>66814</v>
      </c>
    </row>
    <row r="802" spans="1:20">
      <c r="A802" s="48">
        <v>98451</v>
      </c>
      <c r="B802" s="49" t="s">
        <v>2434</v>
      </c>
      <c r="C802" s="235">
        <v>4.88E-5</v>
      </c>
      <c r="D802" s="235">
        <v>5.7000000000000003E-5</v>
      </c>
      <c r="E802" s="229">
        <v>115770</v>
      </c>
      <c r="F802" s="229" t="s">
        <v>1930</v>
      </c>
      <c r="G802" s="233">
        <v>17861</v>
      </c>
      <c r="H802" s="221">
        <v>15892</v>
      </c>
      <c r="I802" s="233">
        <v>30721</v>
      </c>
      <c r="J802" s="232">
        <v>380</v>
      </c>
      <c r="K802" s="88">
        <f t="shared" si="32"/>
        <v>64854</v>
      </c>
      <c r="L802" s="50"/>
      <c r="M802" s="233">
        <v>599</v>
      </c>
      <c r="N802" s="233">
        <v>0</v>
      </c>
      <c r="O802" s="232">
        <v>4433</v>
      </c>
      <c r="P802" s="88">
        <f t="shared" si="33"/>
        <v>5032</v>
      </c>
      <c r="Q802" s="50"/>
      <c r="R802" s="233">
        <v>32158</v>
      </c>
      <c r="S802" s="232">
        <v>-1432</v>
      </c>
      <c r="T802" s="234">
        <v>30726</v>
      </c>
    </row>
    <row r="803" spans="1:20" s="223" customFormat="1">
      <c r="A803" s="224">
        <v>98471</v>
      </c>
      <c r="B803" s="225" t="s">
        <v>2435</v>
      </c>
      <c r="C803" s="235">
        <v>6.1E-6</v>
      </c>
      <c r="D803" s="235">
        <v>0</v>
      </c>
      <c r="E803" s="229">
        <v>14471</v>
      </c>
      <c r="F803" s="229" t="s">
        <v>1930</v>
      </c>
      <c r="G803" s="233">
        <v>2233</v>
      </c>
      <c r="H803" s="221">
        <v>1987</v>
      </c>
      <c r="I803" s="233">
        <v>3840</v>
      </c>
      <c r="J803" s="232">
        <v>5121</v>
      </c>
      <c r="K803" s="221">
        <f t="shared" si="32"/>
        <v>13181</v>
      </c>
      <c r="L803" s="222"/>
      <c r="M803" s="233">
        <v>75</v>
      </c>
      <c r="N803" s="233">
        <v>0</v>
      </c>
      <c r="O803" s="232">
        <v>0</v>
      </c>
      <c r="P803" s="221">
        <f t="shared" si="33"/>
        <v>75</v>
      </c>
      <c r="Q803" s="222"/>
      <c r="R803" s="233">
        <v>4020</v>
      </c>
      <c r="S803" s="232">
        <v>1280</v>
      </c>
      <c r="T803" s="234">
        <v>5300</v>
      </c>
    </row>
    <row r="804" spans="1:20">
      <c r="A804" s="48">
        <v>98481</v>
      </c>
      <c r="B804" s="49" t="s">
        <v>2436</v>
      </c>
      <c r="C804" s="235">
        <v>7.2000000000000002E-5</v>
      </c>
      <c r="D804" s="235">
        <v>6.3899999999999995E-5</v>
      </c>
      <c r="E804" s="229">
        <v>170809</v>
      </c>
      <c r="F804" s="229" t="s">
        <v>1930</v>
      </c>
      <c r="G804" s="233">
        <v>26352</v>
      </c>
      <c r="H804" s="221">
        <v>23447</v>
      </c>
      <c r="I804" s="233">
        <v>45326</v>
      </c>
      <c r="J804" s="232">
        <v>2185</v>
      </c>
      <c r="K804" s="88">
        <f t="shared" si="32"/>
        <v>97310</v>
      </c>
      <c r="L804" s="50"/>
      <c r="M804" s="233">
        <v>884</v>
      </c>
      <c r="N804" s="233">
        <v>0</v>
      </c>
      <c r="O804" s="232">
        <v>4175</v>
      </c>
      <c r="P804" s="88">
        <f t="shared" si="33"/>
        <v>5059</v>
      </c>
      <c r="Q804" s="50"/>
      <c r="R804" s="233">
        <v>47446</v>
      </c>
      <c r="S804" s="232">
        <v>495</v>
      </c>
      <c r="T804" s="234">
        <v>47941</v>
      </c>
    </row>
    <row r="805" spans="1:20">
      <c r="A805" s="48">
        <v>98501</v>
      </c>
      <c r="B805" s="49" t="s">
        <v>1499</v>
      </c>
      <c r="C805" s="235">
        <v>1.6239E-3</v>
      </c>
      <c r="D805" s="235">
        <v>1.6022E-3</v>
      </c>
      <c r="E805" s="229">
        <v>3852446</v>
      </c>
      <c r="F805" s="229" t="s">
        <v>1930</v>
      </c>
      <c r="G805" s="233">
        <v>594341</v>
      </c>
      <c r="H805" s="221">
        <v>528826</v>
      </c>
      <c r="I805" s="233">
        <v>1022291</v>
      </c>
      <c r="J805" s="232">
        <v>103062</v>
      </c>
      <c r="K805" s="88">
        <f t="shared" si="32"/>
        <v>2248520</v>
      </c>
      <c r="L805" s="50"/>
      <c r="M805" s="233">
        <v>19943</v>
      </c>
      <c r="N805" s="233">
        <v>0</v>
      </c>
      <c r="O805" s="232">
        <v>0</v>
      </c>
      <c r="P805" s="88">
        <f t="shared" si="33"/>
        <v>19943</v>
      </c>
      <c r="Q805" s="50"/>
      <c r="R805" s="233">
        <v>1070106</v>
      </c>
      <c r="S805" s="232">
        <v>31738</v>
      </c>
      <c r="T805" s="234">
        <v>1101844</v>
      </c>
    </row>
    <row r="806" spans="1:20">
      <c r="A806" s="48">
        <v>98511</v>
      </c>
      <c r="B806" s="49" t="s">
        <v>2437</v>
      </c>
      <c r="C806" s="235">
        <v>4.0000000000000003E-5</v>
      </c>
      <c r="D806" s="235">
        <v>4.8000000000000001E-5</v>
      </c>
      <c r="E806" s="229">
        <v>94894</v>
      </c>
      <c r="F806" s="229" t="s">
        <v>1930</v>
      </c>
      <c r="G806" s="233">
        <v>14640</v>
      </c>
      <c r="H806" s="221">
        <v>13026</v>
      </c>
      <c r="I806" s="233">
        <v>25181</v>
      </c>
      <c r="J806" s="232">
        <v>4106</v>
      </c>
      <c r="K806" s="88">
        <f t="shared" si="32"/>
        <v>56953</v>
      </c>
      <c r="L806" s="50"/>
      <c r="M806" s="233">
        <v>491</v>
      </c>
      <c r="N806" s="233">
        <v>0</v>
      </c>
      <c r="O806" s="232">
        <v>3548</v>
      </c>
      <c r="P806" s="88">
        <f t="shared" si="33"/>
        <v>4039</v>
      </c>
      <c r="Q806" s="50"/>
      <c r="R806" s="233">
        <v>26359</v>
      </c>
      <c r="S806" s="232">
        <v>-9955</v>
      </c>
      <c r="T806" s="234">
        <v>16404</v>
      </c>
    </row>
    <row r="807" spans="1:20">
      <c r="A807" s="48">
        <v>98517</v>
      </c>
      <c r="B807" s="49" t="s">
        <v>1501</v>
      </c>
      <c r="C807" s="235">
        <v>2.3E-6</v>
      </c>
      <c r="D807" s="235">
        <v>2.3E-6</v>
      </c>
      <c r="E807" s="229">
        <v>5456</v>
      </c>
      <c r="F807" s="229" t="s">
        <v>1930</v>
      </c>
      <c r="G807" s="233">
        <v>842</v>
      </c>
      <c r="H807" s="221">
        <v>749</v>
      </c>
      <c r="I807" s="233">
        <v>1448</v>
      </c>
      <c r="J807" s="232">
        <v>2754</v>
      </c>
      <c r="K807" s="88">
        <f t="shared" si="32"/>
        <v>5793</v>
      </c>
      <c r="L807" s="50"/>
      <c r="M807" s="233">
        <v>28</v>
      </c>
      <c r="N807" s="233">
        <v>0</v>
      </c>
      <c r="O807" s="232">
        <v>0</v>
      </c>
      <c r="P807" s="88">
        <f t="shared" si="33"/>
        <v>28</v>
      </c>
      <c r="Q807" s="50"/>
      <c r="R807" s="233">
        <v>1516</v>
      </c>
      <c r="S807" s="232">
        <v>1018</v>
      </c>
      <c r="T807" s="234">
        <v>2534</v>
      </c>
    </row>
    <row r="808" spans="1:20">
      <c r="A808" s="48">
        <v>98521</v>
      </c>
      <c r="B808" s="49" t="s">
        <v>1502</v>
      </c>
      <c r="C808" s="235">
        <v>6.4780000000000003E-4</v>
      </c>
      <c r="D808" s="235">
        <v>6.6180000000000004E-4</v>
      </c>
      <c r="E808" s="229">
        <v>1536803</v>
      </c>
      <c r="F808" s="229" t="s">
        <v>1930</v>
      </c>
      <c r="G808" s="233">
        <v>237092</v>
      </c>
      <c r="H808" s="221">
        <v>210957</v>
      </c>
      <c r="I808" s="233">
        <v>407808</v>
      </c>
      <c r="J808" s="232">
        <v>26095</v>
      </c>
      <c r="K808" s="88">
        <f t="shared" si="32"/>
        <v>881952</v>
      </c>
      <c r="L808" s="50"/>
      <c r="M808" s="233">
        <v>7956</v>
      </c>
      <c r="N808" s="233">
        <v>0</v>
      </c>
      <c r="O808" s="232">
        <v>52330</v>
      </c>
      <c r="P808" s="88">
        <f t="shared" si="33"/>
        <v>60286</v>
      </c>
      <c r="Q808" s="50"/>
      <c r="R808" s="233">
        <v>426883</v>
      </c>
      <c r="S808" s="232">
        <v>-16971</v>
      </c>
      <c r="T808" s="234">
        <v>409912</v>
      </c>
    </row>
    <row r="809" spans="1:20">
      <c r="A809" s="48">
        <v>98601</v>
      </c>
      <c r="B809" s="49" t="s">
        <v>1503</v>
      </c>
      <c r="C809" s="235">
        <v>3.4765999999999998E-3</v>
      </c>
      <c r="D809" s="235">
        <v>3.4148E-3</v>
      </c>
      <c r="E809" s="229">
        <v>8247684</v>
      </c>
      <c r="F809" s="229" t="s">
        <v>1930</v>
      </c>
      <c r="G809" s="233">
        <v>1272422</v>
      </c>
      <c r="H809" s="221">
        <v>1132162</v>
      </c>
      <c r="I809" s="233">
        <v>2188617</v>
      </c>
      <c r="J809" s="232">
        <v>0</v>
      </c>
      <c r="K809" s="88">
        <f t="shared" si="32"/>
        <v>4593201</v>
      </c>
      <c r="L809" s="50"/>
      <c r="M809" s="233">
        <v>42696</v>
      </c>
      <c r="N809" s="233">
        <v>0</v>
      </c>
      <c r="O809" s="232">
        <v>132455</v>
      </c>
      <c r="P809" s="88">
        <f t="shared" si="33"/>
        <v>175151</v>
      </c>
      <c r="Q809" s="50"/>
      <c r="R809" s="233">
        <v>2290986</v>
      </c>
      <c r="S809" s="232">
        <v>-95496</v>
      </c>
      <c r="T809" s="234">
        <v>2195490</v>
      </c>
    </row>
    <row r="810" spans="1:20" s="350" customFormat="1">
      <c r="A810" s="352" t="s">
        <v>3517</v>
      </c>
      <c r="B810" s="353" t="s">
        <v>1504</v>
      </c>
      <c r="C810" s="348">
        <v>1.29E-5</v>
      </c>
      <c r="D810" s="348">
        <v>1.34E-5</v>
      </c>
      <c r="E810" s="349">
        <v>30603</v>
      </c>
      <c r="F810" s="349" t="s">
        <v>1930</v>
      </c>
      <c r="G810" s="354">
        <v>4721</v>
      </c>
      <c r="H810" s="354">
        <v>4201</v>
      </c>
      <c r="I810" s="354">
        <v>8121</v>
      </c>
      <c r="J810" s="349">
        <v>4763</v>
      </c>
      <c r="K810" s="354">
        <f t="shared" si="32"/>
        <v>21806</v>
      </c>
      <c r="L810" s="349"/>
      <c r="M810" s="354">
        <v>158</v>
      </c>
      <c r="N810" s="354">
        <v>0</v>
      </c>
      <c r="O810" s="349">
        <v>395</v>
      </c>
      <c r="P810" s="354">
        <f t="shared" si="33"/>
        <v>553</v>
      </c>
      <c r="Q810" s="349"/>
      <c r="R810" s="354">
        <v>8501</v>
      </c>
      <c r="S810" s="349">
        <v>2178</v>
      </c>
      <c r="T810" s="355">
        <v>10679</v>
      </c>
    </row>
    <row r="811" spans="1:20" s="350" customFormat="1">
      <c r="A811" s="352" t="s">
        <v>3518</v>
      </c>
      <c r="B811" s="353" t="s">
        <v>1620</v>
      </c>
      <c r="C811" s="348">
        <v>0</v>
      </c>
      <c r="D811" s="348">
        <v>0</v>
      </c>
      <c r="E811" s="349">
        <v>0</v>
      </c>
      <c r="F811" s="349" t="s">
        <v>1930</v>
      </c>
      <c r="G811" s="354">
        <v>0</v>
      </c>
      <c r="H811" s="354">
        <v>0</v>
      </c>
      <c r="I811" s="354">
        <v>0</v>
      </c>
      <c r="J811" s="349">
        <v>1056</v>
      </c>
      <c r="K811" s="354">
        <f>G811+H811+I811+J811</f>
        <v>1056</v>
      </c>
      <c r="L811" s="349"/>
      <c r="M811" s="354">
        <v>0</v>
      </c>
      <c r="N811" s="354">
        <v>0</v>
      </c>
      <c r="O811" s="349">
        <v>3238</v>
      </c>
      <c r="P811" s="354">
        <f>M811+N811+O811</f>
        <v>3238</v>
      </c>
      <c r="Q811" s="349"/>
      <c r="R811" s="354">
        <v>0</v>
      </c>
      <c r="S811" s="349">
        <v>171</v>
      </c>
      <c r="T811" s="355">
        <v>171</v>
      </c>
    </row>
    <row r="812" spans="1:20" s="226" customFormat="1">
      <c r="A812" s="227">
        <v>98604</v>
      </c>
      <c r="B812" s="228" t="s">
        <v>1504</v>
      </c>
      <c r="C812" s="235">
        <f>SUM(C810:C811)</f>
        <v>1.29E-5</v>
      </c>
      <c r="D812" s="235">
        <f t="shared" ref="D812:T812" si="35">SUM(D810:D811)</f>
        <v>1.34E-5</v>
      </c>
      <c r="E812" s="232">
        <f t="shared" si="35"/>
        <v>30603</v>
      </c>
      <c r="F812" s="232"/>
      <c r="G812" s="233">
        <f t="shared" si="35"/>
        <v>4721</v>
      </c>
      <c r="H812" s="221">
        <f t="shared" si="35"/>
        <v>4201</v>
      </c>
      <c r="I812" s="233">
        <f t="shared" si="35"/>
        <v>8121</v>
      </c>
      <c r="J812" s="232">
        <f t="shared" si="35"/>
        <v>5819</v>
      </c>
      <c r="K812" s="221">
        <f t="shared" si="35"/>
        <v>22862</v>
      </c>
      <c r="L812" s="232"/>
      <c r="M812" s="233">
        <f t="shared" si="35"/>
        <v>158</v>
      </c>
      <c r="N812" s="233">
        <f t="shared" si="35"/>
        <v>0</v>
      </c>
      <c r="O812" s="232">
        <f t="shared" si="35"/>
        <v>3633</v>
      </c>
      <c r="P812" s="221">
        <f t="shared" si="35"/>
        <v>3791</v>
      </c>
      <c r="Q812" s="232"/>
      <c r="R812" s="233">
        <f t="shared" si="35"/>
        <v>8501</v>
      </c>
      <c r="S812" s="232">
        <f t="shared" si="35"/>
        <v>2349</v>
      </c>
      <c r="T812" s="234">
        <f t="shared" si="35"/>
        <v>10850</v>
      </c>
    </row>
    <row r="813" spans="1:20">
      <c r="A813" s="48">
        <v>98607</v>
      </c>
      <c r="B813" s="49" t="s">
        <v>1505</v>
      </c>
      <c r="C813" s="235">
        <v>6.9E-6</v>
      </c>
      <c r="D813" s="235">
        <v>5.9000000000000003E-6</v>
      </c>
      <c r="E813" s="229">
        <v>16369</v>
      </c>
      <c r="F813" s="229" t="s">
        <v>1930</v>
      </c>
      <c r="G813" s="233">
        <v>2525</v>
      </c>
      <c r="H813" s="221">
        <v>2247</v>
      </c>
      <c r="I813" s="233">
        <v>4344</v>
      </c>
      <c r="J813" s="232">
        <v>1428</v>
      </c>
      <c r="K813" s="88">
        <f t="shared" si="32"/>
        <v>10544</v>
      </c>
      <c r="L813" s="50"/>
      <c r="M813" s="233">
        <v>85</v>
      </c>
      <c r="N813" s="233">
        <v>0</v>
      </c>
      <c r="O813" s="232">
        <v>602</v>
      </c>
      <c r="P813" s="88">
        <f t="shared" si="33"/>
        <v>687</v>
      </c>
      <c r="Q813" s="50"/>
      <c r="R813" s="233">
        <v>4547</v>
      </c>
      <c r="S813" s="232">
        <v>-512</v>
      </c>
      <c r="T813" s="234">
        <v>4035</v>
      </c>
    </row>
    <row r="814" spans="1:20">
      <c r="A814" s="48">
        <v>98608</v>
      </c>
      <c r="B814" s="49" t="s">
        <v>1506</v>
      </c>
      <c r="C814" s="235">
        <v>4.3099999999999997E-5</v>
      </c>
      <c r="D814" s="235">
        <v>4.9200000000000003E-5</v>
      </c>
      <c r="E814" s="229">
        <v>102248</v>
      </c>
      <c r="F814" s="229" t="s">
        <v>1930</v>
      </c>
      <c r="G814" s="233">
        <v>15774</v>
      </c>
      <c r="H814" s="221">
        <v>14035</v>
      </c>
      <c r="I814" s="233">
        <v>27133</v>
      </c>
      <c r="J814" s="232">
        <v>3440</v>
      </c>
      <c r="K814" s="88">
        <f t="shared" si="32"/>
        <v>60382</v>
      </c>
      <c r="L814" s="50"/>
      <c r="M814" s="233">
        <v>529</v>
      </c>
      <c r="N814" s="233">
        <v>0</v>
      </c>
      <c r="O814" s="232">
        <v>4498</v>
      </c>
      <c r="P814" s="88">
        <f t="shared" si="33"/>
        <v>5027</v>
      </c>
      <c r="Q814" s="50"/>
      <c r="R814" s="233">
        <v>28402</v>
      </c>
      <c r="S814" s="232">
        <v>961</v>
      </c>
      <c r="T814" s="234">
        <v>29363</v>
      </c>
    </row>
    <row r="815" spans="1:20">
      <c r="A815" s="48">
        <v>98611</v>
      </c>
      <c r="B815" s="49" t="s">
        <v>2438</v>
      </c>
      <c r="C815" s="235">
        <v>1.143E-4</v>
      </c>
      <c r="D815" s="235">
        <v>8.6899999999999998E-5</v>
      </c>
      <c r="E815" s="229">
        <v>271159</v>
      </c>
      <c r="F815" s="229" t="s">
        <v>1930</v>
      </c>
      <c r="G815" s="233">
        <v>41833</v>
      </c>
      <c r="H815" s="221">
        <v>37222</v>
      </c>
      <c r="I815" s="233">
        <v>71955</v>
      </c>
      <c r="J815" s="232">
        <v>27552</v>
      </c>
      <c r="K815" s="88">
        <f t="shared" si="32"/>
        <v>178562</v>
      </c>
      <c r="L815" s="50"/>
      <c r="M815" s="233">
        <v>1404</v>
      </c>
      <c r="N815" s="233">
        <v>0</v>
      </c>
      <c r="O815" s="232">
        <v>6191</v>
      </c>
      <c r="P815" s="88">
        <f t="shared" si="33"/>
        <v>7595</v>
      </c>
      <c r="Q815" s="50"/>
      <c r="R815" s="233">
        <v>75321</v>
      </c>
      <c r="S815" s="232">
        <v>6163</v>
      </c>
      <c r="T815" s="234">
        <v>81484</v>
      </c>
    </row>
    <row r="816" spans="1:20">
      <c r="A816" s="48">
        <v>98621</v>
      </c>
      <c r="B816" s="49" t="s">
        <v>2439</v>
      </c>
      <c r="C816" s="235">
        <v>1.371E-4</v>
      </c>
      <c r="D816" s="235">
        <v>1.314E-4</v>
      </c>
      <c r="E816" s="229">
        <v>325248</v>
      </c>
      <c r="F816" s="229" t="s">
        <v>1930</v>
      </c>
      <c r="G816" s="233">
        <v>50178</v>
      </c>
      <c r="H816" s="221">
        <v>44647</v>
      </c>
      <c r="I816" s="233">
        <v>86308</v>
      </c>
      <c r="J816" s="232">
        <v>229</v>
      </c>
      <c r="K816" s="88">
        <f t="shared" si="32"/>
        <v>181362</v>
      </c>
      <c r="L816" s="50"/>
      <c r="M816" s="233">
        <v>1684</v>
      </c>
      <c r="N816" s="233">
        <v>0</v>
      </c>
      <c r="O816" s="232">
        <v>6715</v>
      </c>
      <c r="P816" s="88">
        <f t="shared" si="33"/>
        <v>8399</v>
      </c>
      <c r="Q816" s="50"/>
      <c r="R816" s="233">
        <v>90345</v>
      </c>
      <c r="S816" s="232">
        <v>-3483</v>
      </c>
      <c r="T816" s="234">
        <v>86862</v>
      </c>
    </row>
    <row r="817" spans="1:20">
      <c r="A817" s="48">
        <v>98627</v>
      </c>
      <c r="B817" s="49" t="s">
        <v>1509</v>
      </c>
      <c r="C817" s="235">
        <v>8.3000000000000002E-6</v>
      </c>
      <c r="D817" s="235">
        <v>8.6999999999999997E-6</v>
      </c>
      <c r="E817" s="229">
        <v>19690</v>
      </c>
      <c r="F817" s="229" t="s">
        <v>1930</v>
      </c>
      <c r="G817" s="233">
        <v>3038</v>
      </c>
      <c r="H817" s="221">
        <v>2703</v>
      </c>
      <c r="I817" s="233">
        <v>5225</v>
      </c>
      <c r="J817" s="232">
        <v>206</v>
      </c>
      <c r="K817" s="88">
        <f t="shared" si="32"/>
        <v>11172</v>
      </c>
      <c r="L817" s="50"/>
      <c r="M817" s="233">
        <v>102</v>
      </c>
      <c r="N817" s="233">
        <v>0</v>
      </c>
      <c r="O817" s="232">
        <v>1443</v>
      </c>
      <c r="P817" s="88">
        <f t="shared" si="33"/>
        <v>1545</v>
      </c>
      <c r="Q817" s="50"/>
      <c r="R817" s="233">
        <v>5469</v>
      </c>
      <c r="S817" s="232">
        <v>-389</v>
      </c>
      <c r="T817" s="234">
        <v>5080</v>
      </c>
    </row>
    <row r="818" spans="1:20">
      <c r="A818" s="48">
        <v>98631</v>
      </c>
      <c r="B818" s="49" t="s">
        <v>1510</v>
      </c>
      <c r="C818" s="235">
        <v>1.0238000000000001E-3</v>
      </c>
      <c r="D818" s="235">
        <v>1.0051999999999999E-3</v>
      </c>
      <c r="E818" s="229">
        <v>2428804</v>
      </c>
      <c r="F818" s="229" t="s">
        <v>1930</v>
      </c>
      <c r="G818" s="233">
        <v>374707</v>
      </c>
      <c r="H818" s="221">
        <v>333403</v>
      </c>
      <c r="I818" s="233">
        <v>644511</v>
      </c>
      <c r="J818" s="232">
        <v>18991</v>
      </c>
      <c r="K818" s="88">
        <f t="shared" si="32"/>
        <v>1371612</v>
      </c>
      <c r="L818" s="50"/>
      <c r="M818" s="233">
        <v>12573</v>
      </c>
      <c r="N818" s="233">
        <v>0</v>
      </c>
      <c r="O818" s="232">
        <v>60399</v>
      </c>
      <c r="P818" s="88">
        <f t="shared" si="33"/>
        <v>72972</v>
      </c>
      <c r="Q818" s="50"/>
      <c r="R818" s="233">
        <v>674657</v>
      </c>
      <c r="S818" s="232">
        <v>-36968</v>
      </c>
      <c r="T818" s="234">
        <v>637689</v>
      </c>
    </row>
    <row r="819" spans="1:20">
      <c r="A819" s="48">
        <v>98637</v>
      </c>
      <c r="B819" s="49" t="s">
        <v>1511</v>
      </c>
      <c r="C819" s="235">
        <v>1.9000000000000001E-5</v>
      </c>
      <c r="D819" s="235">
        <v>2.0800000000000001E-5</v>
      </c>
      <c r="E819" s="229">
        <v>45074</v>
      </c>
      <c r="F819" s="229" t="s">
        <v>1930</v>
      </c>
      <c r="G819" s="233">
        <v>6954</v>
      </c>
      <c r="H819" s="221">
        <v>6187</v>
      </c>
      <c r="I819" s="233">
        <v>11961</v>
      </c>
      <c r="J819" s="232">
        <v>9802</v>
      </c>
      <c r="K819" s="88">
        <f t="shared" si="32"/>
        <v>34904</v>
      </c>
      <c r="L819" s="50"/>
      <c r="M819" s="233">
        <v>233</v>
      </c>
      <c r="N819" s="233">
        <v>0</v>
      </c>
      <c r="O819" s="232">
        <v>0</v>
      </c>
      <c r="P819" s="88">
        <f t="shared" si="33"/>
        <v>233</v>
      </c>
      <c r="Q819" s="50"/>
      <c r="R819" s="233">
        <v>12520</v>
      </c>
      <c r="S819" s="232">
        <v>4352</v>
      </c>
      <c r="T819" s="234">
        <v>16872</v>
      </c>
    </row>
    <row r="820" spans="1:20">
      <c r="A820" s="48">
        <v>98641</v>
      </c>
      <c r="B820" s="49" t="s">
        <v>2440</v>
      </c>
      <c r="C820" s="235">
        <v>2.9080000000000002E-4</v>
      </c>
      <c r="D820" s="235">
        <v>2.965E-4</v>
      </c>
      <c r="E820" s="229">
        <v>689877</v>
      </c>
      <c r="F820" s="229" t="s">
        <v>1930</v>
      </c>
      <c r="G820" s="233">
        <v>106432</v>
      </c>
      <c r="H820" s="221">
        <v>94699</v>
      </c>
      <c r="I820" s="233">
        <v>183067</v>
      </c>
      <c r="J820" s="232">
        <v>1967</v>
      </c>
      <c r="K820" s="88">
        <f t="shared" si="32"/>
        <v>386165</v>
      </c>
      <c r="L820" s="50"/>
      <c r="M820" s="233">
        <v>3571</v>
      </c>
      <c r="N820" s="233">
        <v>0</v>
      </c>
      <c r="O820" s="232">
        <v>5099</v>
      </c>
      <c r="P820" s="88">
        <f t="shared" si="33"/>
        <v>8670</v>
      </c>
      <c r="Q820" s="50"/>
      <c r="R820" s="233">
        <v>191629</v>
      </c>
      <c r="S820" s="232">
        <v>68</v>
      </c>
      <c r="T820" s="234">
        <v>191697</v>
      </c>
    </row>
    <row r="822" spans="1:20">
      <c r="A822" s="48">
        <v>98701</v>
      </c>
      <c r="B822" s="49" t="s">
        <v>1513</v>
      </c>
      <c r="C822" s="235">
        <v>1.0870000000000001E-3</v>
      </c>
      <c r="D822" s="235">
        <v>1.1333999999999999E-3</v>
      </c>
      <c r="E822" s="229">
        <v>2578736</v>
      </c>
      <c r="F822" s="229" t="s">
        <v>1930</v>
      </c>
      <c r="G822" s="233">
        <v>397838</v>
      </c>
      <c r="H822" s="221">
        <v>353983</v>
      </c>
      <c r="I822" s="233">
        <v>684297</v>
      </c>
      <c r="J822" s="232">
        <v>2231</v>
      </c>
      <c r="K822" s="88">
        <f t="shared" si="32"/>
        <v>1438349</v>
      </c>
      <c r="L822" s="50"/>
      <c r="M822" s="233">
        <v>13349</v>
      </c>
      <c r="N822" s="233">
        <v>0</v>
      </c>
      <c r="O822" s="232">
        <v>78824</v>
      </c>
      <c r="P822" s="88">
        <f t="shared" si="33"/>
        <v>92173</v>
      </c>
      <c r="Q822" s="50"/>
      <c r="R822" s="233">
        <v>716304</v>
      </c>
      <c r="S822" s="232">
        <v>-35842</v>
      </c>
      <c r="T822" s="234">
        <v>680462</v>
      </c>
    </row>
    <row r="823" spans="1:20">
      <c r="A823" s="48">
        <v>98711</v>
      </c>
      <c r="B823" s="49" t="s">
        <v>2441</v>
      </c>
      <c r="C823" s="235">
        <v>1.6679999999999999E-4</v>
      </c>
      <c r="D823" s="235">
        <v>1.8369999999999999E-4</v>
      </c>
      <c r="E823" s="229">
        <v>395707</v>
      </c>
      <c r="F823" s="229" t="s">
        <v>1930</v>
      </c>
      <c r="G823" s="233">
        <v>61048</v>
      </c>
      <c r="H823" s="221">
        <v>54318</v>
      </c>
      <c r="I823" s="233">
        <v>105005</v>
      </c>
      <c r="J823" s="232">
        <v>0</v>
      </c>
      <c r="K823" s="88">
        <f t="shared" si="32"/>
        <v>220371</v>
      </c>
      <c r="L823" s="50"/>
      <c r="M823" s="233">
        <v>2048</v>
      </c>
      <c r="N823" s="233">
        <v>0</v>
      </c>
      <c r="O823" s="232">
        <v>31195</v>
      </c>
      <c r="P823" s="88">
        <f t="shared" si="33"/>
        <v>33243</v>
      </c>
      <c r="Q823" s="50"/>
      <c r="R823" s="233">
        <v>109917</v>
      </c>
      <c r="S823" s="232">
        <v>-9096</v>
      </c>
      <c r="T823" s="234">
        <v>100821</v>
      </c>
    </row>
    <row r="824" spans="1:20">
      <c r="A824" s="48">
        <v>98717</v>
      </c>
      <c r="B824" s="49" t="s">
        <v>1515</v>
      </c>
      <c r="C824" s="235">
        <v>1.9599999999999999E-5</v>
      </c>
      <c r="D824" s="235">
        <v>2.1100000000000001E-5</v>
      </c>
      <c r="E824" s="229">
        <v>46498</v>
      </c>
      <c r="F824" s="229" t="s">
        <v>1930</v>
      </c>
      <c r="G824" s="233">
        <v>7174</v>
      </c>
      <c r="H824" s="221">
        <v>6383</v>
      </c>
      <c r="I824" s="233">
        <v>12339</v>
      </c>
      <c r="J824" s="232">
        <v>928</v>
      </c>
      <c r="K824" s="88">
        <f t="shared" si="32"/>
        <v>26824</v>
      </c>
      <c r="L824" s="50"/>
      <c r="M824" s="233">
        <v>241</v>
      </c>
      <c r="N824" s="233">
        <v>0</v>
      </c>
      <c r="O824" s="232">
        <v>2000</v>
      </c>
      <c r="P824" s="88">
        <f t="shared" si="33"/>
        <v>2241</v>
      </c>
      <c r="Q824" s="50"/>
      <c r="R824" s="233">
        <v>12916</v>
      </c>
      <c r="S824" s="232">
        <v>-184</v>
      </c>
      <c r="T824" s="234">
        <v>12732</v>
      </c>
    </row>
    <row r="825" spans="1:20">
      <c r="A825" s="48">
        <v>98801</v>
      </c>
      <c r="B825" s="49" t="s">
        <v>1516</v>
      </c>
      <c r="C825" s="235">
        <v>2.1394999999999999E-3</v>
      </c>
      <c r="D825" s="235">
        <v>2.2859E-3</v>
      </c>
      <c r="E825" s="230">
        <v>5075626</v>
      </c>
      <c r="F825" s="230" t="s">
        <v>1930</v>
      </c>
      <c r="G825" s="233">
        <v>783048</v>
      </c>
      <c r="H825" s="221">
        <v>696732</v>
      </c>
      <c r="I825" s="233">
        <v>1346875</v>
      </c>
      <c r="J825" s="232">
        <v>90601</v>
      </c>
      <c r="K825" s="88">
        <f t="shared" si="32"/>
        <v>2917256</v>
      </c>
      <c r="L825" s="50"/>
      <c r="M825" s="233">
        <v>26275</v>
      </c>
      <c r="N825" s="233">
        <v>0</v>
      </c>
      <c r="O825" s="232">
        <v>76084</v>
      </c>
      <c r="P825" s="88">
        <f t="shared" si="33"/>
        <v>102359</v>
      </c>
      <c r="Q825" s="50"/>
      <c r="R825" s="233">
        <v>1409873</v>
      </c>
      <c r="S825" s="232">
        <v>36447</v>
      </c>
      <c r="T825" s="234">
        <v>1446320</v>
      </c>
    </row>
    <row r="826" spans="1:20">
      <c r="A826" s="48">
        <v>98811</v>
      </c>
      <c r="B826" s="49" t="s">
        <v>1517</v>
      </c>
      <c r="C826" s="235">
        <v>6.332E-4</v>
      </c>
      <c r="D826" s="235">
        <v>6.5160000000000001E-4</v>
      </c>
      <c r="E826" s="230">
        <v>1502167</v>
      </c>
      <c r="F826" s="230" t="s">
        <v>1930</v>
      </c>
      <c r="G826" s="233">
        <v>231749</v>
      </c>
      <c r="H826" s="221">
        <v>206203</v>
      </c>
      <c r="I826" s="233">
        <v>398617</v>
      </c>
      <c r="J826" s="232">
        <v>10392</v>
      </c>
      <c r="K826" s="88">
        <f t="shared" si="32"/>
        <v>846961</v>
      </c>
      <c r="L826" s="50"/>
      <c r="M826" s="233">
        <v>7776</v>
      </c>
      <c r="N826" s="233">
        <v>0</v>
      </c>
      <c r="O826" s="232">
        <v>32558</v>
      </c>
      <c r="P826" s="88">
        <f t="shared" si="33"/>
        <v>40334</v>
      </c>
      <c r="Q826" s="50"/>
      <c r="R826" s="233">
        <v>417262</v>
      </c>
      <c r="S826" s="232">
        <v>1421</v>
      </c>
      <c r="T826" s="234">
        <v>418683</v>
      </c>
    </row>
    <row r="827" spans="1:20">
      <c r="A827" s="48">
        <v>98817</v>
      </c>
      <c r="B827" s="49" t="s">
        <v>1518</v>
      </c>
      <c r="C827" s="235">
        <v>2.4000000000000001E-5</v>
      </c>
      <c r="D827" s="235">
        <v>2.5199999999999999E-5</v>
      </c>
      <c r="E827" s="230">
        <v>56936</v>
      </c>
      <c r="F827" s="230" t="s">
        <v>1930</v>
      </c>
      <c r="G827" s="233">
        <v>8784</v>
      </c>
      <c r="H827" s="221">
        <v>7815</v>
      </c>
      <c r="I827" s="233">
        <v>15109</v>
      </c>
      <c r="J827" s="232">
        <v>3830</v>
      </c>
      <c r="K827" s="88">
        <f t="shared" si="32"/>
        <v>35538</v>
      </c>
      <c r="L827" s="50"/>
      <c r="M827" s="233">
        <v>295</v>
      </c>
      <c r="N827" s="233">
        <v>0</v>
      </c>
      <c r="O827" s="232">
        <v>0</v>
      </c>
      <c r="P827" s="88">
        <f t="shared" si="33"/>
        <v>295</v>
      </c>
      <c r="Q827" s="50"/>
      <c r="R827" s="233">
        <v>15815</v>
      </c>
      <c r="S827" s="232">
        <v>-955</v>
      </c>
      <c r="T827" s="234">
        <v>14860</v>
      </c>
    </row>
    <row r="828" spans="1:20">
      <c r="A828" s="48">
        <v>98901</v>
      </c>
      <c r="B828" s="49" t="s">
        <v>1519</v>
      </c>
      <c r="C828" s="235">
        <v>3.0289999999999999E-4</v>
      </c>
      <c r="D828" s="235">
        <v>3.5050000000000001E-4</v>
      </c>
      <c r="E828" s="230">
        <v>718582</v>
      </c>
      <c r="F828" s="230" t="s">
        <v>1930</v>
      </c>
      <c r="G828" s="233">
        <v>110860</v>
      </c>
      <c r="H828" s="221">
        <v>98640</v>
      </c>
      <c r="I828" s="233">
        <v>190684</v>
      </c>
      <c r="J828" s="232">
        <v>5223</v>
      </c>
      <c r="K828" s="88">
        <f t="shared" si="32"/>
        <v>405407</v>
      </c>
      <c r="L828" s="50"/>
      <c r="M828" s="233">
        <v>3720</v>
      </c>
      <c r="N828" s="233">
        <v>0</v>
      </c>
      <c r="O828" s="232">
        <v>23281</v>
      </c>
      <c r="P828" s="88">
        <f t="shared" si="33"/>
        <v>27001</v>
      </c>
      <c r="Q828" s="50"/>
      <c r="R828" s="233">
        <v>199603</v>
      </c>
      <c r="S828" s="232">
        <v>-4531</v>
      </c>
      <c r="T828" s="234">
        <v>195072</v>
      </c>
    </row>
    <row r="829" spans="1:20">
      <c r="A829" s="48">
        <v>98904</v>
      </c>
      <c r="B829" s="49" t="s">
        <v>1520</v>
      </c>
      <c r="C829" s="235">
        <v>3.9999999999999998E-6</v>
      </c>
      <c r="D829" s="235">
        <v>2.7999999999999999E-6</v>
      </c>
      <c r="E829" s="230">
        <v>9489</v>
      </c>
      <c r="F829" s="230" t="s">
        <v>1930</v>
      </c>
      <c r="G829" s="233">
        <v>1464</v>
      </c>
      <c r="H829" s="221">
        <v>1303</v>
      </c>
      <c r="I829" s="233">
        <v>2518</v>
      </c>
      <c r="J829" s="232">
        <v>762</v>
      </c>
      <c r="K829" s="88">
        <f t="shared" si="32"/>
        <v>6047</v>
      </c>
      <c r="L829" s="50"/>
      <c r="M829" s="233">
        <v>49</v>
      </c>
      <c r="N829" s="233">
        <v>0</v>
      </c>
      <c r="O829" s="232">
        <v>1361</v>
      </c>
      <c r="P829" s="88">
        <f t="shared" si="33"/>
        <v>1410</v>
      </c>
      <c r="Q829" s="50"/>
      <c r="R829" s="233">
        <v>2636</v>
      </c>
      <c r="S829" s="232">
        <v>-163</v>
      </c>
      <c r="T829" s="234">
        <v>2473</v>
      </c>
    </row>
    <row r="830" spans="1:20">
      <c r="A830" s="48">
        <v>98911</v>
      </c>
      <c r="B830" s="49" t="s">
        <v>2442</v>
      </c>
      <c r="C830" s="235">
        <v>2.8900000000000001E-5</v>
      </c>
      <c r="D830" s="235">
        <v>2.7900000000000001E-5</v>
      </c>
      <c r="E830" s="230">
        <v>68561</v>
      </c>
      <c r="F830" s="230" t="s">
        <v>1930</v>
      </c>
      <c r="G830" s="233">
        <v>10577</v>
      </c>
      <c r="H830" s="221">
        <v>9411</v>
      </c>
      <c r="I830" s="233">
        <v>18193</v>
      </c>
      <c r="J830" s="232">
        <v>12643</v>
      </c>
      <c r="K830" s="88">
        <f t="shared" si="32"/>
        <v>50824</v>
      </c>
      <c r="L830" s="50"/>
      <c r="M830" s="233">
        <v>355</v>
      </c>
      <c r="N830" s="233">
        <v>0</v>
      </c>
      <c r="O830" s="232">
        <v>0</v>
      </c>
      <c r="P830" s="88">
        <f t="shared" si="33"/>
        <v>355</v>
      </c>
      <c r="Q830" s="50"/>
      <c r="R830" s="233">
        <v>19044</v>
      </c>
      <c r="S830" s="232">
        <v>6908</v>
      </c>
      <c r="T830" s="234">
        <v>25952</v>
      </c>
    </row>
    <row r="831" spans="1:20">
      <c r="A831" s="48">
        <v>99001</v>
      </c>
      <c r="B831" s="49" t="s">
        <v>1522</v>
      </c>
      <c r="C831" s="235">
        <v>8.2226E-3</v>
      </c>
      <c r="D831" s="235">
        <v>8.0949000000000004E-3</v>
      </c>
      <c r="E831" s="230">
        <v>19506819</v>
      </c>
      <c r="F831" s="230" t="s">
        <v>1930</v>
      </c>
      <c r="G831" s="233">
        <v>3009439</v>
      </c>
      <c r="H831" s="221">
        <v>2677706</v>
      </c>
      <c r="I831" s="233">
        <v>5176357</v>
      </c>
      <c r="J831" s="232">
        <v>209363</v>
      </c>
      <c r="K831" s="88">
        <f t="shared" si="32"/>
        <v>11072865</v>
      </c>
      <c r="L831" s="50"/>
      <c r="M831" s="233">
        <v>100982</v>
      </c>
      <c r="N831" s="233">
        <v>0</v>
      </c>
      <c r="O831" s="232">
        <v>0</v>
      </c>
      <c r="P831" s="88">
        <f t="shared" si="33"/>
        <v>100982</v>
      </c>
      <c r="Q831" s="50"/>
      <c r="R831" s="233">
        <v>5418471</v>
      </c>
      <c r="S831" s="232">
        <v>195187</v>
      </c>
      <c r="T831" s="234">
        <v>5613658</v>
      </c>
    </row>
    <row r="832" spans="1:20">
      <c r="A832" s="48">
        <v>99011</v>
      </c>
      <c r="B832" s="49" t="s">
        <v>1523</v>
      </c>
      <c r="C832" s="235">
        <v>3.8665000000000001E-3</v>
      </c>
      <c r="D832" s="235">
        <v>3.8736999999999999E-3</v>
      </c>
      <c r="E832" s="230">
        <v>9172660</v>
      </c>
      <c r="F832" s="230" t="s">
        <v>1930</v>
      </c>
      <c r="G832" s="233">
        <v>1415124</v>
      </c>
      <c r="H832" s="221">
        <v>1259134</v>
      </c>
      <c r="I832" s="233">
        <v>2434070</v>
      </c>
      <c r="J832" s="232">
        <v>838</v>
      </c>
      <c r="K832" s="88">
        <f t="shared" si="32"/>
        <v>5109166</v>
      </c>
      <c r="L832" s="50"/>
      <c r="M832" s="233">
        <v>47484</v>
      </c>
      <c r="N832" s="233">
        <v>0</v>
      </c>
      <c r="O832" s="232">
        <v>184222</v>
      </c>
      <c r="P832" s="88">
        <f t="shared" si="33"/>
        <v>231706</v>
      </c>
      <c r="Q832" s="50"/>
      <c r="R832" s="233">
        <v>2547919</v>
      </c>
      <c r="S832" s="232">
        <v>-211857</v>
      </c>
      <c r="T832" s="234">
        <v>2336062</v>
      </c>
    </row>
    <row r="833" spans="1:20">
      <c r="A833" s="48">
        <v>99013</v>
      </c>
      <c r="B833" s="49" t="s">
        <v>1524</v>
      </c>
      <c r="C833" s="235">
        <v>4.8900000000000003E-5</v>
      </c>
      <c r="D833" s="235">
        <v>5.5999999999999999E-5</v>
      </c>
      <c r="E833" s="230">
        <v>116008</v>
      </c>
      <c r="F833" s="230" t="s">
        <v>1930</v>
      </c>
      <c r="G833" s="233">
        <v>17897</v>
      </c>
      <c r="H833" s="221">
        <v>15924</v>
      </c>
      <c r="I833" s="233">
        <v>30784</v>
      </c>
      <c r="J833" s="232">
        <v>0</v>
      </c>
      <c r="K833" s="88">
        <f t="shared" si="32"/>
        <v>64605</v>
      </c>
      <c r="L833" s="50"/>
      <c r="M833" s="233">
        <v>601</v>
      </c>
      <c r="N833" s="233">
        <v>0</v>
      </c>
      <c r="O833" s="232">
        <v>6685</v>
      </c>
      <c r="P833" s="88">
        <f t="shared" si="33"/>
        <v>7286</v>
      </c>
      <c r="Q833" s="50"/>
      <c r="R833" s="233">
        <v>32224</v>
      </c>
      <c r="S833" s="232">
        <v>-3150</v>
      </c>
      <c r="T833" s="234">
        <v>29074</v>
      </c>
    </row>
    <row r="834" spans="1:20">
      <c r="A834" s="48">
        <v>99014</v>
      </c>
      <c r="B834" s="49" t="s">
        <v>1525</v>
      </c>
      <c r="C834" s="235">
        <v>1.45E-5</v>
      </c>
      <c r="D834" s="235">
        <v>2.0100000000000001E-5</v>
      </c>
      <c r="E834" s="230">
        <v>34399</v>
      </c>
      <c r="F834" s="230" t="s">
        <v>1930</v>
      </c>
      <c r="G834" s="233">
        <v>5307</v>
      </c>
      <c r="H834" s="221">
        <v>4722</v>
      </c>
      <c r="I834" s="233">
        <v>9128</v>
      </c>
      <c r="J834" s="232">
        <v>8368</v>
      </c>
      <c r="K834" s="88">
        <f t="shared" si="32"/>
        <v>27525</v>
      </c>
      <c r="L834" s="50"/>
      <c r="M834" s="233">
        <v>178</v>
      </c>
      <c r="N834" s="233">
        <v>0</v>
      </c>
      <c r="O834" s="232">
        <v>225</v>
      </c>
      <c r="P834" s="88">
        <f t="shared" si="33"/>
        <v>403</v>
      </c>
      <c r="Q834" s="50"/>
      <c r="R834" s="233">
        <v>9555</v>
      </c>
      <c r="S834" s="232">
        <v>4279</v>
      </c>
      <c r="T834" s="234">
        <v>13834</v>
      </c>
    </row>
    <row r="835" spans="1:20">
      <c r="A835" s="48">
        <v>99017</v>
      </c>
      <c r="B835" s="49" t="s">
        <v>1526</v>
      </c>
      <c r="C835" s="235">
        <v>4.5599999999999997E-5</v>
      </c>
      <c r="D835" s="235">
        <v>5.13E-5</v>
      </c>
      <c r="E835" s="230">
        <v>108179</v>
      </c>
      <c r="F835" s="230" t="s">
        <v>1930</v>
      </c>
      <c r="G835" s="233">
        <v>16689</v>
      </c>
      <c r="H835" s="221">
        <v>14849</v>
      </c>
      <c r="I835" s="233">
        <v>28706</v>
      </c>
      <c r="J835" s="232">
        <v>5362</v>
      </c>
      <c r="K835" s="88">
        <f t="shared" si="32"/>
        <v>65606</v>
      </c>
      <c r="L835" s="50"/>
      <c r="M835" s="233">
        <v>560</v>
      </c>
      <c r="N835" s="233">
        <v>0</v>
      </c>
      <c r="O835" s="232">
        <v>3293</v>
      </c>
      <c r="P835" s="88">
        <f t="shared" si="33"/>
        <v>3853</v>
      </c>
      <c r="Q835" s="50"/>
      <c r="R835" s="233">
        <v>30049</v>
      </c>
      <c r="S835" s="232">
        <v>-1419</v>
      </c>
      <c r="T835" s="234">
        <v>28630</v>
      </c>
    </row>
    <row r="836" spans="1:20">
      <c r="A836" s="48">
        <v>99021</v>
      </c>
      <c r="B836" s="49" t="s">
        <v>2443</v>
      </c>
      <c r="C836" s="235">
        <v>1.3200000000000001E-4</v>
      </c>
      <c r="D836" s="235">
        <v>1.5249999999999999E-4</v>
      </c>
      <c r="E836" s="230">
        <v>313149</v>
      </c>
      <c r="F836" s="230" t="s">
        <v>1930</v>
      </c>
      <c r="G836" s="233">
        <v>48311</v>
      </c>
      <c r="H836" s="221">
        <v>42986</v>
      </c>
      <c r="I836" s="233">
        <v>83098</v>
      </c>
      <c r="J836" s="232">
        <v>7338</v>
      </c>
      <c r="K836" s="88">
        <f t="shared" si="32"/>
        <v>181733</v>
      </c>
      <c r="L836" s="50"/>
      <c r="M836" s="233">
        <v>1621</v>
      </c>
      <c r="N836" s="233">
        <v>0</v>
      </c>
      <c r="O836" s="232">
        <v>13687</v>
      </c>
      <c r="P836" s="88">
        <f t="shared" si="33"/>
        <v>15308</v>
      </c>
      <c r="Q836" s="50"/>
      <c r="R836" s="233">
        <v>86984</v>
      </c>
      <c r="S836" s="232">
        <v>669</v>
      </c>
      <c r="T836" s="234">
        <v>87653</v>
      </c>
    </row>
    <row r="837" spans="1:20">
      <c r="A837" s="48">
        <v>99022</v>
      </c>
      <c r="B837" s="49" t="s">
        <v>2444</v>
      </c>
      <c r="C837" s="235">
        <v>9.9000000000000001E-6</v>
      </c>
      <c r="D837" s="235">
        <v>1.08E-5</v>
      </c>
      <c r="E837" s="230">
        <v>23486</v>
      </c>
      <c r="F837" s="230" t="s">
        <v>1930</v>
      </c>
      <c r="G837" s="233">
        <v>3623</v>
      </c>
      <c r="H837" s="221">
        <v>3224</v>
      </c>
      <c r="I837" s="233">
        <v>6232</v>
      </c>
      <c r="J837" s="232">
        <v>10975</v>
      </c>
      <c r="K837" s="88">
        <f t="shared" si="32"/>
        <v>24054</v>
      </c>
      <c r="L837" s="50"/>
      <c r="M837" s="233">
        <v>122</v>
      </c>
      <c r="N837" s="233">
        <v>0</v>
      </c>
      <c r="O837" s="232">
        <v>0</v>
      </c>
      <c r="P837" s="88">
        <f t="shared" si="33"/>
        <v>122</v>
      </c>
      <c r="Q837" s="50"/>
      <c r="R837" s="233">
        <v>6524</v>
      </c>
      <c r="S837" s="232">
        <v>4162</v>
      </c>
      <c r="T837" s="234">
        <v>10686</v>
      </c>
    </row>
    <row r="838" spans="1:20">
      <c r="A838" s="48">
        <v>99031</v>
      </c>
      <c r="B838" s="49" t="s">
        <v>2445</v>
      </c>
      <c r="C838" s="235">
        <v>1.3669999999999999E-4</v>
      </c>
      <c r="D838" s="235">
        <v>1.518E-4</v>
      </c>
      <c r="E838" s="230">
        <v>324299</v>
      </c>
      <c r="F838" s="230" t="s">
        <v>1930</v>
      </c>
      <c r="G838" s="233">
        <v>50032</v>
      </c>
      <c r="H838" s="221">
        <v>44516</v>
      </c>
      <c r="I838" s="233">
        <v>86056</v>
      </c>
      <c r="J838" s="232">
        <v>1850</v>
      </c>
      <c r="K838" s="88">
        <f t="shared" si="32"/>
        <v>182454</v>
      </c>
      <c r="L838" s="50"/>
      <c r="M838" s="233">
        <v>1679</v>
      </c>
      <c r="N838" s="233">
        <v>0</v>
      </c>
      <c r="O838" s="232">
        <v>27900</v>
      </c>
      <c r="P838" s="88">
        <f t="shared" si="33"/>
        <v>29579</v>
      </c>
      <c r="Q838" s="50"/>
      <c r="R838" s="233">
        <v>90082</v>
      </c>
      <c r="S838" s="232">
        <v>-15810</v>
      </c>
      <c r="T838" s="234">
        <v>74272</v>
      </c>
    </row>
    <row r="839" spans="1:20">
      <c r="A839" s="48">
        <v>99041</v>
      </c>
      <c r="B839" s="49" t="s">
        <v>2446</v>
      </c>
      <c r="C839" s="235">
        <v>6.6399999999999999E-4</v>
      </c>
      <c r="D839" s="235">
        <v>6.3500000000000004E-4</v>
      </c>
      <c r="E839" s="230">
        <v>1575235</v>
      </c>
      <c r="F839" s="230" t="s">
        <v>1930</v>
      </c>
      <c r="G839" s="233">
        <v>243021</v>
      </c>
      <c r="H839" s="221">
        <v>216233</v>
      </c>
      <c r="I839" s="233">
        <v>418007</v>
      </c>
      <c r="J839" s="232">
        <v>24066</v>
      </c>
      <c r="K839" s="88">
        <f t="shared" si="32"/>
        <v>901327</v>
      </c>
      <c r="L839" s="50"/>
      <c r="M839" s="233">
        <v>8155</v>
      </c>
      <c r="N839" s="233">
        <v>0</v>
      </c>
      <c r="O839" s="232">
        <v>13122</v>
      </c>
      <c r="P839" s="88">
        <f t="shared" si="33"/>
        <v>21277</v>
      </c>
      <c r="Q839" s="50"/>
      <c r="R839" s="233">
        <v>437558</v>
      </c>
      <c r="S839" s="232">
        <v>25573</v>
      </c>
      <c r="T839" s="234">
        <v>463131</v>
      </c>
    </row>
    <row r="840" spans="1:20">
      <c r="A840" s="48">
        <v>99047</v>
      </c>
      <c r="B840" s="49" t="s">
        <v>1530</v>
      </c>
      <c r="C840" s="235">
        <v>1.56E-5</v>
      </c>
      <c r="D840" s="235">
        <v>1.42E-5</v>
      </c>
      <c r="E840" s="230">
        <v>37009</v>
      </c>
      <c r="F840" s="230" t="s">
        <v>1930</v>
      </c>
      <c r="G840" s="233">
        <v>5710</v>
      </c>
      <c r="H840" s="221">
        <v>5080</v>
      </c>
      <c r="I840" s="233">
        <v>9821</v>
      </c>
      <c r="J840" s="232">
        <v>6776</v>
      </c>
      <c r="K840" s="88">
        <f t="shared" si="32"/>
        <v>27387</v>
      </c>
      <c r="L840" s="50"/>
      <c r="M840" s="233">
        <v>192</v>
      </c>
      <c r="N840" s="233">
        <v>0</v>
      </c>
      <c r="O840" s="232">
        <v>0</v>
      </c>
      <c r="P840" s="88">
        <f t="shared" si="33"/>
        <v>192</v>
      </c>
      <c r="Q840" s="50"/>
      <c r="R840" s="233">
        <v>10280</v>
      </c>
      <c r="S840" s="232">
        <v>3015</v>
      </c>
      <c r="T840" s="234">
        <v>13295</v>
      </c>
    </row>
    <row r="841" spans="1:20">
      <c r="A841" s="48">
        <v>99051</v>
      </c>
      <c r="B841" s="49" t="s">
        <v>2447</v>
      </c>
      <c r="C841" s="235">
        <v>3.5330000000000002E-4</v>
      </c>
      <c r="D841" s="235">
        <v>3.5359999999999998E-4</v>
      </c>
      <c r="E841" s="230">
        <v>838148</v>
      </c>
      <c r="F841" s="230" t="s">
        <v>1930</v>
      </c>
      <c r="G841" s="233">
        <v>129306</v>
      </c>
      <c r="H841" s="221">
        <v>115053</v>
      </c>
      <c r="I841" s="233">
        <v>222412</v>
      </c>
      <c r="J841" s="232">
        <v>6035</v>
      </c>
      <c r="K841" s="88">
        <f t="shared" si="32"/>
        <v>472806</v>
      </c>
      <c r="L841" s="50"/>
      <c r="M841" s="233">
        <v>4339</v>
      </c>
      <c r="N841" s="233">
        <v>0</v>
      </c>
      <c r="O841" s="232">
        <v>13404</v>
      </c>
      <c r="P841" s="88">
        <f t="shared" si="33"/>
        <v>17743</v>
      </c>
      <c r="Q841" s="50"/>
      <c r="R841" s="233">
        <v>232815</v>
      </c>
      <c r="S841" s="232">
        <v>1887</v>
      </c>
      <c r="T841" s="234">
        <v>234702</v>
      </c>
    </row>
    <row r="842" spans="1:20">
      <c r="A842" s="48">
        <v>99061</v>
      </c>
      <c r="B842" s="49" t="s">
        <v>2448</v>
      </c>
      <c r="C842" s="235">
        <v>7.5000000000000002E-6</v>
      </c>
      <c r="D842" s="235">
        <v>8.1000000000000004E-6</v>
      </c>
      <c r="E842" s="230">
        <v>17793</v>
      </c>
      <c r="F842" s="230" t="s">
        <v>1930</v>
      </c>
      <c r="G842" s="233">
        <v>2745</v>
      </c>
      <c r="H842" s="221">
        <v>2443</v>
      </c>
      <c r="I842" s="233">
        <v>4721</v>
      </c>
      <c r="J842" s="232">
        <v>7969</v>
      </c>
      <c r="K842" s="88">
        <f t="shared" si="32"/>
        <v>17878</v>
      </c>
      <c r="L842" s="50"/>
      <c r="M842" s="233">
        <v>92</v>
      </c>
      <c r="N842" s="233">
        <v>0</v>
      </c>
      <c r="O842" s="232">
        <v>0</v>
      </c>
      <c r="P842" s="88">
        <f t="shared" si="33"/>
        <v>92</v>
      </c>
      <c r="Q842" s="50"/>
      <c r="R842" s="233">
        <v>4942</v>
      </c>
      <c r="S842" s="232">
        <v>3513</v>
      </c>
      <c r="T842" s="234">
        <v>8455</v>
      </c>
    </row>
    <row r="843" spans="1:20">
      <c r="A843" s="48">
        <v>99071</v>
      </c>
      <c r="B843" s="49" t="s">
        <v>2449</v>
      </c>
      <c r="C843" s="235">
        <v>2.2799999999999999E-5</v>
      </c>
      <c r="D843" s="235">
        <v>3.04E-5</v>
      </c>
      <c r="E843" s="230">
        <v>54089</v>
      </c>
      <c r="F843" s="230" t="s">
        <v>1930</v>
      </c>
      <c r="G843" s="233">
        <v>8345</v>
      </c>
      <c r="H843" s="221">
        <v>7425</v>
      </c>
      <c r="I843" s="233">
        <v>14353</v>
      </c>
      <c r="J843" s="232">
        <v>614</v>
      </c>
      <c r="K843" s="88">
        <f t="shared" si="32"/>
        <v>30737</v>
      </c>
      <c r="L843" s="50"/>
      <c r="M843" s="233">
        <v>280</v>
      </c>
      <c r="N843" s="233">
        <v>0</v>
      </c>
      <c r="O843" s="232">
        <v>4179</v>
      </c>
      <c r="P843" s="88">
        <f t="shared" si="33"/>
        <v>4459</v>
      </c>
      <c r="Q843" s="50"/>
      <c r="R843" s="233">
        <v>15025</v>
      </c>
      <c r="S843" s="232">
        <v>-1950</v>
      </c>
      <c r="T843" s="234">
        <v>13075</v>
      </c>
    </row>
    <row r="844" spans="1:20">
      <c r="A844" s="48">
        <v>99081</v>
      </c>
      <c r="B844" s="49" t="s">
        <v>2491</v>
      </c>
      <c r="C844" s="235">
        <v>1.4600000000000001E-5</v>
      </c>
      <c r="D844" s="235">
        <v>1.1E-5</v>
      </c>
      <c r="E844" s="230">
        <v>34636</v>
      </c>
      <c r="F844" s="230" t="s">
        <v>1930</v>
      </c>
      <c r="G844" s="233">
        <v>5344</v>
      </c>
      <c r="H844" s="221">
        <v>4755</v>
      </c>
      <c r="I844" s="233">
        <v>9191</v>
      </c>
      <c r="J844" s="232">
        <v>5866</v>
      </c>
      <c r="K844" s="88">
        <f t="shared" si="32"/>
        <v>25156</v>
      </c>
      <c r="L844" s="50"/>
      <c r="M844" s="233">
        <v>179</v>
      </c>
      <c r="N844" s="233">
        <v>0</v>
      </c>
      <c r="O844" s="232">
        <v>8362</v>
      </c>
      <c r="P844" s="88">
        <f t="shared" si="33"/>
        <v>8541</v>
      </c>
      <c r="Q844" s="50"/>
      <c r="R844" s="233">
        <v>9621</v>
      </c>
      <c r="S844" s="232">
        <v>-1818</v>
      </c>
      <c r="T844" s="234">
        <v>7803</v>
      </c>
    </row>
    <row r="845" spans="1:20">
      <c r="A845" s="48">
        <v>99091</v>
      </c>
      <c r="B845" s="49" t="s">
        <v>2492</v>
      </c>
      <c r="C845" s="235">
        <v>3.4999999999999999E-6</v>
      </c>
      <c r="D845" s="235">
        <v>3.9999999999999998E-6</v>
      </c>
      <c r="E845" s="230">
        <v>8303</v>
      </c>
      <c r="F845" s="230" t="s">
        <v>1930</v>
      </c>
      <c r="G845" s="233">
        <v>1281</v>
      </c>
      <c r="H845" s="221">
        <v>1140</v>
      </c>
      <c r="I845" s="233">
        <v>2203</v>
      </c>
      <c r="J845" s="232">
        <v>5036</v>
      </c>
      <c r="K845" s="88">
        <f t="shared" si="32"/>
        <v>9660</v>
      </c>
      <c r="L845" s="50"/>
      <c r="M845" s="233">
        <v>43</v>
      </c>
      <c r="N845" s="233">
        <v>0</v>
      </c>
      <c r="O845" s="232">
        <v>0</v>
      </c>
      <c r="P845" s="88">
        <f t="shared" si="33"/>
        <v>43</v>
      </c>
      <c r="Q845" s="50"/>
      <c r="R845" s="233">
        <v>2306</v>
      </c>
      <c r="S845" s="232">
        <v>-1327</v>
      </c>
      <c r="T845" s="234">
        <v>979</v>
      </c>
    </row>
    <row r="846" spans="1:20">
      <c r="A846" s="48">
        <v>99101</v>
      </c>
      <c r="B846" s="49" t="s">
        <v>1536</v>
      </c>
      <c r="C846" s="235">
        <v>2.1986000000000002E-3</v>
      </c>
      <c r="D846" s="235">
        <v>2.1724000000000001E-3</v>
      </c>
      <c r="E846" s="230">
        <v>5215831</v>
      </c>
      <c r="F846" s="230" t="s">
        <v>1930</v>
      </c>
      <c r="G846" s="233">
        <v>804679</v>
      </c>
      <c r="H846" s="221">
        <v>715979</v>
      </c>
      <c r="I846" s="233">
        <v>1384080</v>
      </c>
      <c r="J846" s="232">
        <v>34730</v>
      </c>
      <c r="K846" s="88">
        <f t="shared" si="32"/>
        <v>2939468</v>
      </c>
      <c r="L846" s="50"/>
      <c r="M846" s="233">
        <v>27001</v>
      </c>
      <c r="N846" s="233">
        <v>0</v>
      </c>
      <c r="O846" s="232">
        <v>54085</v>
      </c>
      <c r="P846" s="88">
        <f t="shared" si="33"/>
        <v>81086</v>
      </c>
      <c r="Q846" s="50"/>
      <c r="R846" s="233">
        <v>1448818</v>
      </c>
      <c r="S846" s="232">
        <v>-23157</v>
      </c>
      <c r="T846" s="234">
        <v>1425661</v>
      </c>
    </row>
    <row r="847" spans="1:20">
      <c r="A847" s="48">
        <v>99104</v>
      </c>
      <c r="B847" s="49" t="s">
        <v>1537</v>
      </c>
      <c r="C847" s="235">
        <v>3.4E-5</v>
      </c>
      <c r="D847" s="235">
        <v>3.3500000000000001E-5</v>
      </c>
      <c r="E847" s="230">
        <v>80660</v>
      </c>
      <c r="F847" s="230" t="s">
        <v>1930</v>
      </c>
      <c r="G847" s="233">
        <v>12444</v>
      </c>
      <c r="H847" s="221">
        <v>11072</v>
      </c>
      <c r="I847" s="233">
        <v>21404</v>
      </c>
      <c r="J847" s="232">
        <v>16545</v>
      </c>
      <c r="K847" s="88">
        <f t="shared" si="32"/>
        <v>61465</v>
      </c>
      <c r="L847" s="50"/>
      <c r="M847" s="233">
        <v>418</v>
      </c>
      <c r="N847" s="233">
        <v>0</v>
      </c>
      <c r="O847" s="232">
        <v>0</v>
      </c>
      <c r="P847" s="88">
        <f t="shared" si="33"/>
        <v>418</v>
      </c>
      <c r="Q847" s="50"/>
      <c r="R847" s="233">
        <v>22405</v>
      </c>
      <c r="S847" s="232">
        <v>8025</v>
      </c>
      <c r="T847" s="234">
        <v>30430</v>
      </c>
    </row>
    <row r="848" spans="1:20">
      <c r="A848" s="48">
        <v>99109</v>
      </c>
      <c r="B848" s="49" t="s">
        <v>1538</v>
      </c>
      <c r="C848" s="235">
        <v>1.194E-4</v>
      </c>
      <c r="D848" s="235">
        <v>1.2339999999999999E-4</v>
      </c>
      <c r="E848" s="230">
        <v>283258</v>
      </c>
      <c r="F848" s="230" t="s">
        <v>1930</v>
      </c>
      <c r="G848" s="233">
        <v>43700</v>
      </c>
      <c r="H848" s="221">
        <v>38883</v>
      </c>
      <c r="I848" s="233">
        <v>75166</v>
      </c>
      <c r="J848" s="232">
        <v>3815</v>
      </c>
      <c r="K848" s="88">
        <f t="shared" si="32"/>
        <v>161564</v>
      </c>
      <c r="L848" s="50"/>
      <c r="M848" s="233">
        <v>1466</v>
      </c>
      <c r="N848" s="233">
        <v>0</v>
      </c>
      <c r="O848" s="232">
        <v>8952</v>
      </c>
      <c r="P848" s="88">
        <f t="shared" si="33"/>
        <v>10418</v>
      </c>
      <c r="Q848" s="50"/>
      <c r="R848" s="233">
        <v>78681</v>
      </c>
      <c r="S848" s="232">
        <v>-6025</v>
      </c>
      <c r="T848" s="234">
        <v>72656</v>
      </c>
    </row>
    <row r="849" spans="1:20">
      <c r="A849" s="48">
        <v>99110</v>
      </c>
      <c r="B849" s="49" t="s">
        <v>1539</v>
      </c>
      <c r="C849" s="235">
        <v>1.75E-4</v>
      </c>
      <c r="D849" s="235">
        <v>1.7670000000000001E-4</v>
      </c>
      <c r="E849" s="230">
        <v>415160</v>
      </c>
      <c r="F849" s="230" t="s">
        <v>1930</v>
      </c>
      <c r="G849" s="233">
        <v>64049</v>
      </c>
      <c r="H849" s="221">
        <v>56989</v>
      </c>
      <c r="I849" s="233">
        <v>110167</v>
      </c>
      <c r="J849" s="232">
        <v>70943</v>
      </c>
      <c r="K849" s="88">
        <f t="shared" si="32"/>
        <v>302148</v>
      </c>
      <c r="L849" s="50"/>
      <c r="M849" s="233">
        <v>2149</v>
      </c>
      <c r="N849" s="233">
        <v>0</v>
      </c>
      <c r="O849" s="232">
        <v>0</v>
      </c>
      <c r="P849" s="88">
        <f t="shared" si="33"/>
        <v>2149</v>
      </c>
      <c r="Q849" s="50"/>
      <c r="R849" s="233">
        <v>115320</v>
      </c>
      <c r="S849" s="232">
        <v>34935</v>
      </c>
      <c r="T849" s="234">
        <v>150255</v>
      </c>
    </row>
    <row r="850" spans="1:20">
      <c r="A850" s="48">
        <v>99111</v>
      </c>
      <c r="B850" s="49" t="s">
        <v>1540</v>
      </c>
      <c r="C850" s="235">
        <v>1.3067E-3</v>
      </c>
      <c r="D850" s="235">
        <v>1.2618E-3</v>
      </c>
      <c r="E850" s="230">
        <v>3099939</v>
      </c>
      <c r="F850" s="230" t="s">
        <v>1930</v>
      </c>
      <c r="G850" s="233">
        <v>478247</v>
      </c>
      <c r="H850" s="221">
        <v>425529</v>
      </c>
      <c r="I850" s="233">
        <v>822604</v>
      </c>
      <c r="J850" s="232">
        <v>0</v>
      </c>
      <c r="K850" s="88">
        <f t="shared" si="32"/>
        <v>1726380</v>
      </c>
      <c r="L850" s="50"/>
      <c r="M850" s="233">
        <v>16048</v>
      </c>
      <c r="N850" s="233">
        <v>0</v>
      </c>
      <c r="O850" s="232">
        <v>85364</v>
      </c>
      <c r="P850" s="88">
        <f t="shared" si="33"/>
        <v>101412</v>
      </c>
      <c r="Q850" s="50"/>
      <c r="R850" s="233">
        <v>861080</v>
      </c>
      <c r="S850" s="232">
        <v>-70799</v>
      </c>
      <c r="T850" s="234">
        <v>790281</v>
      </c>
    </row>
    <row r="851" spans="1:20">
      <c r="A851" s="48">
        <v>99201</v>
      </c>
      <c r="B851" s="49" t="s">
        <v>1541</v>
      </c>
      <c r="C851" s="235">
        <v>3.4217999999999998E-2</v>
      </c>
      <c r="D851" s="235">
        <v>3.3297199999999999E-2</v>
      </c>
      <c r="E851" s="230">
        <v>81176799</v>
      </c>
      <c r="F851" s="230" t="s">
        <v>1930</v>
      </c>
      <c r="G851" s="233">
        <v>12523651</v>
      </c>
      <c r="H851" s="221">
        <v>11143160</v>
      </c>
      <c r="I851" s="233">
        <v>21541189</v>
      </c>
      <c r="J851" s="232">
        <v>1400637</v>
      </c>
      <c r="K851" s="88">
        <f t="shared" si="32"/>
        <v>46608637</v>
      </c>
      <c r="L851" s="50"/>
      <c r="M851" s="233">
        <v>420231</v>
      </c>
      <c r="N851" s="233">
        <v>0</v>
      </c>
      <c r="O851" s="232">
        <v>0</v>
      </c>
      <c r="P851" s="88">
        <f t="shared" si="33"/>
        <v>420231</v>
      </c>
      <c r="Q851" s="50"/>
      <c r="R851" s="233">
        <v>22548738</v>
      </c>
      <c r="S851" s="232">
        <v>386921</v>
      </c>
      <c r="T851" s="234">
        <v>22935659</v>
      </c>
    </row>
    <row r="852" spans="1:20">
      <c r="A852" s="48">
        <v>99202</v>
      </c>
      <c r="B852" s="49" t="s">
        <v>2450</v>
      </c>
      <c r="C852" s="235">
        <v>2.7011000000000001E-3</v>
      </c>
      <c r="D852" s="235">
        <v>2.5855000000000001E-3</v>
      </c>
      <c r="E852" s="230">
        <v>6407933</v>
      </c>
      <c r="F852" s="230" t="s">
        <v>1930</v>
      </c>
      <c r="G852" s="233">
        <v>988592</v>
      </c>
      <c r="H852" s="221">
        <v>879618</v>
      </c>
      <c r="I852" s="233">
        <v>1700418</v>
      </c>
      <c r="J852" s="232">
        <v>0</v>
      </c>
      <c r="K852" s="88">
        <f t="shared" si="32"/>
        <v>3568628</v>
      </c>
      <c r="L852" s="50"/>
      <c r="M852" s="233">
        <v>33172</v>
      </c>
      <c r="N852" s="233">
        <v>0</v>
      </c>
      <c r="O852" s="232">
        <v>120022</v>
      </c>
      <c r="P852" s="88">
        <f t="shared" si="33"/>
        <v>153194</v>
      </c>
      <c r="Q852" s="50"/>
      <c r="R852" s="233">
        <v>1779952</v>
      </c>
      <c r="S852" s="232">
        <v>-75166</v>
      </c>
      <c r="T852" s="234">
        <v>1704786</v>
      </c>
    </row>
    <row r="853" spans="1:20">
      <c r="A853" s="48">
        <v>99203</v>
      </c>
      <c r="B853" s="49" t="s">
        <v>2451</v>
      </c>
      <c r="C853" s="235">
        <v>2.9760000000000002E-4</v>
      </c>
      <c r="D853" s="235">
        <v>3.0410000000000002E-4</v>
      </c>
      <c r="E853" s="230">
        <v>706009</v>
      </c>
      <c r="F853" s="230" t="s">
        <v>1930</v>
      </c>
      <c r="G853" s="233">
        <v>108920</v>
      </c>
      <c r="H853" s="221">
        <v>96914</v>
      </c>
      <c r="I853" s="233">
        <v>187348</v>
      </c>
      <c r="J853" s="232">
        <v>8157</v>
      </c>
      <c r="K853" s="88">
        <f t="shared" si="32"/>
        <v>401339</v>
      </c>
      <c r="L853" s="50"/>
      <c r="M853" s="233">
        <v>3655</v>
      </c>
      <c r="N853" s="233">
        <v>0</v>
      </c>
      <c r="O853" s="232">
        <v>26201</v>
      </c>
      <c r="P853" s="88">
        <f t="shared" si="33"/>
        <v>29856</v>
      </c>
      <c r="Q853" s="50"/>
      <c r="R853" s="233">
        <v>196110</v>
      </c>
      <c r="S853" s="232">
        <v>8430</v>
      </c>
      <c r="T853" s="234">
        <v>204540</v>
      </c>
    </row>
    <row r="854" spans="1:20">
      <c r="A854" s="48">
        <v>99204</v>
      </c>
      <c r="B854" s="49" t="s">
        <v>1544</v>
      </c>
      <c r="C854" s="235">
        <v>9.2520000000000005E-4</v>
      </c>
      <c r="D854" s="235">
        <v>8.3549999999999998E-4</v>
      </c>
      <c r="E854" s="230">
        <v>2194891</v>
      </c>
      <c r="F854" s="230" t="s">
        <v>1930</v>
      </c>
      <c r="G854" s="233">
        <v>338619</v>
      </c>
      <c r="H854" s="221">
        <v>301293</v>
      </c>
      <c r="I854" s="233">
        <v>582439</v>
      </c>
      <c r="J854" s="232">
        <v>126160</v>
      </c>
      <c r="K854" s="88">
        <f t="shared" si="32"/>
        <v>1348511</v>
      </c>
      <c r="L854" s="50"/>
      <c r="M854" s="233">
        <v>11362</v>
      </c>
      <c r="N854" s="233">
        <v>0</v>
      </c>
      <c r="O854" s="232">
        <v>0</v>
      </c>
      <c r="P854" s="88">
        <f t="shared" si="33"/>
        <v>11362</v>
      </c>
      <c r="Q854" s="50"/>
      <c r="R854" s="233">
        <v>609682</v>
      </c>
      <c r="S854" s="232">
        <v>51409</v>
      </c>
      <c r="T854" s="234">
        <v>661091</v>
      </c>
    </row>
    <row r="855" spans="1:20">
      <c r="A855" s="48">
        <v>99206</v>
      </c>
      <c r="B855" s="49" t="s">
        <v>2452</v>
      </c>
      <c r="C855" s="235">
        <v>1.7377E-3</v>
      </c>
      <c r="D855" s="235">
        <v>1.6957999999999999E-3</v>
      </c>
      <c r="E855" s="230">
        <v>4122419</v>
      </c>
      <c r="F855" s="230" t="s">
        <v>1930</v>
      </c>
      <c r="G855" s="233">
        <v>635991</v>
      </c>
      <c r="H855" s="221">
        <v>565885</v>
      </c>
      <c r="I855" s="233">
        <v>1093931</v>
      </c>
      <c r="J855" s="232">
        <v>840347</v>
      </c>
      <c r="K855" s="88">
        <f t="shared" si="32"/>
        <v>3136154</v>
      </c>
      <c r="L855" s="50"/>
      <c r="M855" s="233">
        <v>21341</v>
      </c>
      <c r="N855" s="233">
        <v>0</v>
      </c>
      <c r="O855" s="232">
        <v>0</v>
      </c>
      <c r="P855" s="88">
        <f t="shared" si="33"/>
        <v>21341</v>
      </c>
      <c r="Q855" s="50"/>
      <c r="R855" s="233">
        <v>1145097</v>
      </c>
      <c r="S855" s="232">
        <v>312871</v>
      </c>
      <c r="T855" s="234">
        <v>1457968</v>
      </c>
    </row>
    <row r="856" spans="1:20">
      <c r="A856" s="48">
        <v>99207</v>
      </c>
      <c r="B856" s="49" t="s">
        <v>1546</v>
      </c>
      <c r="C856" s="235">
        <v>1.3990000000000001E-4</v>
      </c>
      <c r="D856" s="235">
        <v>1.3329999999999999E-4</v>
      </c>
      <c r="E856" s="230">
        <v>331891</v>
      </c>
      <c r="F856" s="230" t="s">
        <v>1930</v>
      </c>
      <c r="G856" s="233">
        <v>51203</v>
      </c>
      <c r="H856" s="221">
        <v>45559</v>
      </c>
      <c r="I856" s="233">
        <v>88071</v>
      </c>
      <c r="J856" s="232">
        <v>190835</v>
      </c>
      <c r="K856" s="88">
        <f t="shared" si="32"/>
        <v>375668</v>
      </c>
      <c r="L856" s="50"/>
      <c r="M856" s="233">
        <v>1718</v>
      </c>
      <c r="N856" s="233">
        <v>0</v>
      </c>
      <c r="O856" s="232">
        <v>0</v>
      </c>
      <c r="P856" s="88">
        <f t="shared" si="33"/>
        <v>1718</v>
      </c>
      <c r="Q856" s="50"/>
      <c r="R856" s="233">
        <v>92190</v>
      </c>
      <c r="S856" s="232">
        <v>69872</v>
      </c>
      <c r="T856" s="234">
        <v>162062</v>
      </c>
    </row>
    <row r="857" spans="1:20">
      <c r="A857" s="48">
        <v>99208</v>
      </c>
      <c r="B857" s="49" t="s">
        <v>1547</v>
      </c>
      <c r="C857" s="235">
        <v>2.3560000000000001E-4</v>
      </c>
      <c r="D857" s="235">
        <v>1.4569999999999999E-4</v>
      </c>
      <c r="E857" s="230">
        <v>558924</v>
      </c>
      <c r="F857" s="230" t="s">
        <v>1930</v>
      </c>
      <c r="G857" s="233">
        <v>86229</v>
      </c>
      <c r="H857" s="221">
        <v>76723</v>
      </c>
      <c r="I857" s="233">
        <v>148317</v>
      </c>
      <c r="J857" s="232">
        <v>50056</v>
      </c>
      <c r="K857" s="88">
        <f t="shared" si="32"/>
        <v>361325</v>
      </c>
      <c r="L857" s="50"/>
      <c r="M857" s="233">
        <v>2893</v>
      </c>
      <c r="N857" s="233">
        <v>0</v>
      </c>
      <c r="O857" s="232">
        <v>18070</v>
      </c>
      <c r="P857" s="88">
        <f t="shared" si="33"/>
        <v>20963</v>
      </c>
      <c r="Q857" s="50"/>
      <c r="R857" s="233">
        <v>155254</v>
      </c>
      <c r="S857" s="232">
        <v>-7938</v>
      </c>
      <c r="T857" s="234">
        <v>147316</v>
      </c>
    </row>
    <row r="858" spans="1:20">
      <c r="A858" s="48">
        <v>99210</v>
      </c>
      <c r="B858" s="49" t="s">
        <v>1548</v>
      </c>
      <c r="C858" s="235">
        <v>1.6613000000000001E-3</v>
      </c>
      <c r="D858" s="235">
        <v>1.5943999999999999E-3</v>
      </c>
      <c r="E858" s="230">
        <v>3941172</v>
      </c>
      <c r="F858" s="230" t="s">
        <v>1930</v>
      </c>
      <c r="G858" s="233">
        <v>608029</v>
      </c>
      <c r="H858" s="221">
        <v>541006</v>
      </c>
      <c r="I858" s="233">
        <v>1045835</v>
      </c>
      <c r="J858" s="232">
        <v>151956</v>
      </c>
      <c r="K858" s="88">
        <f t="shared" si="32"/>
        <v>2346826</v>
      </c>
      <c r="L858" s="50"/>
      <c r="M858" s="233">
        <v>20402</v>
      </c>
      <c r="N858" s="233">
        <v>0</v>
      </c>
      <c r="O858" s="232">
        <v>0</v>
      </c>
      <c r="P858" s="88">
        <f t="shared" si="33"/>
        <v>20402</v>
      </c>
      <c r="Q858" s="50"/>
      <c r="R858" s="233">
        <v>1094752</v>
      </c>
      <c r="S858" s="232">
        <v>62014</v>
      </c>
      <c r="T858" s="234">
        <v>1156766</v>
      </c>
    </row>
    <row r="859" spans="1:20">
      <c r="A859" s="48">
        <v>99211</v>
      </c>
      <c r="B859" s="49" t="s">
        <v>1549</v>
      </c>
      <c r="C859" s="235">
        <v>3.8652899999999997E-2</v>
      </c>
      <c r="D859" s="235">
        <v>3.7100599999999997E-2</v>
      </c>
      <c r="E859" s="230">
        <v>91697898</v>
      </c>
      <c r="F859" s="230" t="s">
        <v>1930</v>
      </c>
      <c r="G859" s="233">
        <v>14146807</v>
      </c>
      <c r="H859" s="221">
        <v>12587395</v>
      </c>
      <c r="I859" s="233">
        <v>24333083</v>
      </c>
      <c r="J859" s="232">
        <v>650029</v>
      </c>
      <c r="K859" s="88">
        <f t="shared" si="32"/>
        <v>51717314</v>
      </c>
      <c r="L859" s="50"/>
      <c r="M859" s="233">
        <v>474696</v>
      </c>
      <c r="N859" s="233">
        <v>0</v>
      </c>
      <c r="O859" s="232">
        <v>1116278</v>
      </c>
      <c r="P859" s="88">
        <f t="shared" si="33"/>
        <v>1590974</v>
      </c>
      <c r="Q859" s="50"/>
      <c r="R859" s="233">
        <v>25471217</v>
      </c>
      <c r="S859" s="232">
        <v>-560159</v>
      </c>
      <c r="T859" s="234">
        <v>24911058</v>
      </c>
    </row>
    <row r="860" spans="1:20">
      <c r="A860" s="48">
        <v>99212</v>
      </c>
      <c r="B860" s="49" t="s">
        <v>1550</v>
      </c>
      <c r="C860" s="235">
        <v>7.2200000000000007E-5</v>
      </c>
      <c r="D860" s="235">
        <v>8.14E-5</v>
      </c>
      <c r="E860" s="231">
        <v>171283</v>
      </c>
      <c r="F860" s="231" t="s">
        <v>1930</v>
      </c>
      <c r="G860" s="233">
        <v>26425</v>
      </c>
      <c r="H860" s="221">
        <v>23512</v>
      </c>
      <c r="I860" s="233">
        <v>45452</v>
      </c>
      <c r="J860" s="232">
        <v>181</v>
      </c>
      <c r="K860" s="88">
        <f t="shared" ref="K860:K923" si="36">G860+H860+I860+J860</f>
        <v>95570</v>
      </c>
      <c r="L860" s="50"/>
      <c r="M860" s="233">
        <v>887</v>
      </c>
      <c r="N860" s="233">
        <v>0</v>
      </c>
      <c r="O860" s="232">
        <v>27961</v>
      </c>
      <c r="P860" s="88">
        <f t="shared" ref="P860:P923" si="37">M860+N860+O860</f>
        <v>28848</v>
      </c>
      <c r="Q860" s="50"/>
      <c r="R860" s="233">
        <v>47578</v>
      </c>
      <c r="S860" s="232">
        <v>-17534</v>
      </c>
      <c r="T860" s="234">
        <v>30044</v>
      </c>
    </row>
    <row r="861" spans="1:20">
      <c r="A861" s="48">
        <v>99213</v>
      </c>
      <c r="B861" s="49" t="s">
        <v>1551</v>
      </c>
      <c r="C861" s="235">
        <v>7.6519999999999995E-4</v>
      </c>
      <c r="D861" s="235">
        <v>7.5159999999999995E-4</v>
      </c>
      <c r="E861" s="231">
        <v>1815316</v>
      </c>
      <c r="F861" s="231" t="s">
        <v>1930</v>
      </c>
      <c r="G861" s="233">
        <v>280060</v>
      </c>
      <c r="H861" s="221">
        <v>249189</v>
      </c>
      <c r="I861" s="233">
        <v>481715</v>
      </c>
      <c r="J861" s="232">
        <v>17354</v>
      </c>
      <c r="K861" s="88">
        <f t="shared" si="36"/>
        <v>1028318</v>
      </c>
      <c r="L861" s="50"/>
      <c r="M861" s="233">
        <v>9397</v>
      </c>
      <c r="N861" s="233">
        <v>0</v>
      </c>
      <c r="O861" s="232">
        <v>31841</v>
      </c>
      <c r="P861" s="88">
        <f t="shared" si="37"/>
        <v>41238</v>
      </c>
      <c r="Q861" s="50"/>
      <c r="R861" s="233">
        <v>504246</v>
      </c>
      <c r="S861" s="232">
        <v>-6642</v>
      </c>
      <c r="T861" s="234">
        <v>497604</v>
      </c>
    </row>
    <row r="862" spans="1:20">
      <c r="A862" s="48">
        <v>99218</v>
      </c>
      <c r="B862" s="49" t="s">
        <v>1552</v>
      </c>
      <c r="C862" s="235">
        <v>3.3276999999999998E-3</v>
      </c>
      <c r="D862" s="235">
        <v>3.1162E-3</v>
      </c>
      <c r="E862" s="231">
        <v>7894442</v>
      </c>
      <c r="F862" s="231" t="s">
        <v>1930</v>
      </c>
      <c r="G862" s="233">
        <v>1217925</v>
      </c>
      <c r="H862" s="221">
        <v>1083672</v>
      </c>
      <c r="I862" s="233">
        <v>2094880</v>
      </c>
      <c r="J862" s="232">
        <v>301160</v>
      </c>
      <c r="K862" s="88">
        <f t="shared" si="36"/>
        <v>4697637</v>
      </c>
      <c r="L862" s="50"/>
      <c r="M862" s="233">
        <v>40867</v>
      </c>
      <c r="N862" s="233">
        <v>0</v>
      </c>
      <c r="O862" s="232">
        <v>0</v>
      </c>
      <c r="P862" s="88">
        <f t="shared" si="37"/>
        <v>40867</v>
      </c>
      <c r="Q862" s="50"/>
      <c r="R862" s="233">
        <v>2192864</v>
      </c>
      <c r="S862" s="232">
        <v>113866</v>
      </c>
      <c r="T862" s="234">
        <v>2306730</v>
      </c>
    </row>
    <row r="863" spans="1:20">
      <c r="A863" s="48">
        <v>99221</v>
      </c>
      <c r="B863" s="49" t="s">
        <v>2453</v>
      </c>
      <c r="C863" s="235">
        <v>1.26885E-2</v>
      </c>
      <c r="D863" s="235">
        <v>1.27709E-2</v>
      </c>
      <c r="E863" s="231">
        <v>30101461</v>
      </c>
      <c r="F863" s="231" t="s">
        <v>1930</v>
      </c>
      <c r="G863" s="233">
        <v>4643940</v>
      </c>
      <c r="H863" s="221">
        <v>4132035</v>
      </c>
      <c r="I863" s="233">
        <v>7987766</v>
      </c>
      <c r="J863" s="232">
        <v>0</v>
      </c>
      <c r="K863" s="88">
        <f t="shared" si="36"/>
        <v>16763741</v>
      </c>
      <c r="L863" s="50"/>
      <c r="M863" s="233">
        <v>155827</v>
      </c>
      <c r="N863" s="233">
        <v>0</v>
      </c>
      <c r="O863" s="232">
        <v>578576</v>
      </c>
      <c r="P863" s="88">
        <f t="shared" si="37"/>
        <v>734403</v>
      </c>
      <c r="Q863" s="50"/>
      <c r="R863" s="233">
        <v>8361379</v>
      </c>
      <c r="S863" s="232">
        <v>-311894</v>
      </c>
      <c r="T863" s="234">
        <v>8049485</v>
      </c>
    </row>
    <row r="864" spans="1:20">
      <c r="A864" s="48">
        <v>99222</v>
      </c>
      <c r="B864" s="49" t="s">
        <v>1554</v>
      </c>
      <c r="C864" s="235">
        <v>3.7200000000000003E-5</v>
      </c>
      <c r="D864" s="235">
        <v>3.9100000000000002E-5</v>
      </c>
      <c r="E864" s="231">
        <v>88251</v>
      </c>
      <c r="F864" s="231" t="s">
        <v>1930</v>
      </c>
      <c r="G864" s="233">
        <v>13615</v>
      </c>
      <c r="H864" s="221">
        <v>12114</v>
      </c>
      <c r="I864" s="233">
        <v>23418</v>
      </c>
      <c r="J864" s="232">
        <v>1038</v>
      </c>
      <c r="K864" s="88">
        <f t="shared" si="36"/>
        <v>50185</v>
      </c>
      <c r="L864" s="50"/>
      <c r="M864" s="233">
        <v>457</v>
      </c>
      <c r="N864" s="233">
        <v>0</v>
      </c>
      <c r="O864" s="232">
        <v>5264</v>
      </c>
      <c r="P864" s="88">
        <f t="shared" si="37"/>
        <v>5721</v>
      </c>
      <c r="Q864" s="50"/>
      <c r="R864" s="233">
        <v>24514</v>
      </c>
      <c r="S864" s="232">
        <v>-385</v>
      </c>
      <c r="T864" s="234">
        <v>24129</v>
      </c>
    </row>
    <row r="865" spans="1:20">
      <c r="A865" s="48">
        <v>99231</v>
      </c>
      <c r="B865" s="49" t="s">
        <v>2454</v>
      </c>
      <c r="C865" s="235">
        <v>3.6329999999999999E-4</v>
      </c>
      <c r="D865" s="235">
        <v>3.7179999999999998E-4</v>
      </c>
      <c r="E865" s="231">
        <v>861872</v>
      </c>
      <c r="F865" s="231" t="s">
        <v>1930</v>
      </c>
      <c r="G865" s="233">
        <v>132966</v>
      </c>
      <c r="H865" s="221">
        <v>118310</v>
      </c>
      <c r="I865" s="233">
        <v>228708</v>
      </c>
      <c r="J865" s="232">
        <v>0</v>
      </c>
      <c r="K865" s="88">
        <f t="shared" si="36"/>
        <v>479984</v>
      </c>
      <c r="L865" s="50"/>
      <c r="M865" s="233">
        <v>4462</v>
      </c>
      <c r="N865" s="233">
        <v>0</v>
      </c>
      <c r="O865" s="232">
        <v>28617</v>
      </c>
      <c r="P865" s="88">
        <f t="shared" si="37"/>
        <v>33079</v>
      </c>
      <c r="Q865" s="50"/>
      <c r="R865" s="233">
        <v>239405</v>
      </c>
      <c r="S865" s="232">
        <v>-17866</v>
      </c>
      <c r="T865" s="234">
        <v>221539</v>
      </c>
    </row>
    <row r="866" spans="1:20">
      <c r="A866" s="48">
        <v>99241</v>
      </c>
      <c r="B866" s="49" t="s">
        <v>2455</v>
      </c>
      <c r="C866" s="235">
        <v>5.488E-4</v>
      </c>
      <c r="D866" s="235">
        <v>5.5329999999999995E-4</v>
      </c>
      <c r="E866" s="231">
        <v>1301941</v>
      </c>
      <c r="F866" s="231" t="s">
        <v>1930</v>
      </c>
      <c r="G866" s="233">
        <v>200859</v>
      </c>
      <c r="H866" s="221">
        <v>178718</v>
      </c>
      <c r="I866" s="233">
        <v>345485</v>
      </c>
      <c r="J866" s="232">
        <v>0</v>
      </c>
      <c r="K866" s="88">
        <f t="shared" si="36"/>
        <v>725062</v>
      </c>
      <c r="L866" s="50"/>
      <c r="M866" s="233">
        <v>6740</v>
      </c>
      <c r="N866" s="233">
        <v>0</v>
      </c>
      <c r="O866" s="232">
        <v>64351</v>
      </c>
      <c r="P866" s="88">
        <f t="shared" si="37"/>
        <v>71091</v>
      </c>
      <c r="Q866" s="50"/>
      <c r="R866" s="233">
        <v>361644</v>
      </c>
      <c r="S866" s="232">
        <v>-55208</v>
      </c>
      <c r="T866" s="234">
        <v>306436</v>
      </c>
    </row>
    <row r="867" spans="1:20">
      <c r="A867" s="48">
        <v>99251</v>
      </c>
      <c r="B867" s="49" t="s">
        <v>2456</v>
      </c>
      <c r="C867" s="235">
        <v>1.5935000000000001E-3</v>
      </c>
      <c r="D867" s="235">
        <v>1.6069000000000001E-3</v>
      </c>
      <c r="E867" s="231">
        <v>3780327</v>
      </c>
      <c r="F867" s="231" t="s">
        <v>1930</v>
      </c>
      <c r="G867" s="233">
        <v>583215</v>
      </c>
      <c r="H867" s="221">
        <v>518926</v>
      </c>
      <c r="I867" s="233">
        <v>1003153</v>
      </c>
      <c r="J867" s="232">
        <v>1524</v>
      </c>
      <c r="K867" s="88">
        <f t="shared" si="36"/>
        <v>2106818</v>
      </c>
      <c r="L867" s="50"/>
      <c r="M867" s="233">
        <v>19570</v>
      </c>
      <c r="N867" s="233">
        <v>0</v>
      </c>
      <c r="O867" s="232">
        <v>33789</v>
      </c>
      <c r="P867" s="88">
        <f t="shared" si="37"/>
        <v>53359</v>
      </c>
      <c r="Q867" s="50"/>
      <c r="R867" s="233">
        <v>1050073</v>
      </c>
      <c r="S867" s="232">
        <v>-15782</v>
      </c>
      <c r="T867" s="234">
        <v>1034291</v>
      </c>
    </row>
    <row r="868" spans="1:20">
      <c r="A868" s="48">
        <v>99252</v>
      </c>
      <c r="B868" s="49" t="s">
        <v>1558</v>
      </c>
      <c r="C868" s="235">
        <v>6.7239999999999997E-4</v>
      </c>
      <c r="D868" s="235">
        <v>6.1269999999999999E-4</v>
      </c>
      <c r="E868" s="231">
        <v>1595163</v>
      </c>
      <c r="F868" s="231" t="s">
        <v>1930</v>
      </c>
      <c r="G868" s="233">
        <v>246096</v>
      </c>
      <c r="H868" s="221">
        <v>218968</v>
      </c>
      <c r="I868" s="233">
        <v>423295</v>
      </c>
      <c r="J868" s="232">
        <v>0</v>
      </c>
      <c r="K868" s="88">
        <f t="shared" si="36"/>
        <v>888359</v>
      </c>
      <c r="L868" s="50"/>
      <c r="M868" s="233">
        <v>8258</v>
      </c>
      <c r="N868" s="233">
        <v>0</v>
      </c>
      <c r="O868" s="232">
        <v>146683</v>
      </c>
      <c r="P868" s="88">
        <f t="shared" si="37"/>
        <v>154941</v>
      </c>
      <c r="Q868" s="50"/>
      <c r="R868" s="233">
        <v>443093</v>
      </c>
      <c r="S868" s="232">
        <v>-93460</v>
      </c>
      <c r="T868" s="234">
        <v>349633</v>
      </c>
    </row>
    <row r="869" spans="1:20">
      <c r="A869" s="48">
        <v>99261</v>
      </c>
      <c r="B869" s="49" t="s">
        <v>2457</v>
      </c>
      <c r="C869" s="235">
        <v>2.0975999999999998E-3</v>
      </c>
      <c r="D869" s="235">
        <v>1.9938E-3</v>
      </c>
      <c r="E869" s="231">
        <v>4976225</v>
      </c>
      <c r="F869" s="231" t="s">
        <v>1930</v>
      </c>
      <c r="G869" s="233">
        <v>767713</v>
      </c>
      <c r="H869" s="221">
        <v>683088</v>
      </c>
      <c r="I869" s="233">
        <v>1320498</v>
      </c>
      <c r="J869" s="232">
        <v>0</v>
      </c>
      <c r="K869" s="88">
        <f t="shared" si="36"/>
        <v>2771299</v>
      </c>
      <c r="L869" s="50"/>
      <c r="M869" s="233">
        <v>25761</v>
      </c>
      <c r="N869" s="233">
        <v>0</v>
      </c>
      <c r="O869" s="232">
        <v>102016</v>
      </c>
      <c r="P869" s="88">
        <f t="shared" si="37"/>
        <v>127777</v>
      </c>
      <c r="Q869" s="50"/>
      <c r="R869" s="233">
        <v>1382262</v>
      </c>
      <c r="S869" s="232">
        <v>-74815</v>
      </c>
      <c r="T869" s="234">
        <v>1307447</v>
      </c>
    </row>
    <row r="870" spans="1:20">
      <c r="A870" s="48">
        <v>99271</v>
      </c>
      <c r="B870" s="49" t="s">
        <v>2458</v>
      </c>
      <c r="C870" s="235">
        <v>4.2411999999999997E-3</v>
      </c>
      <c r="D870" s="235">
        <v>4.0137000000000003E-3</v>
      </c>
      <c r="E870" s="231">
        <v>10061577</v>
      </c>
      <c r="F870" s="231" t="s">
        <v>1930</v>
      </c>
      <c r="G870" s="233">
        <v>1552262</v>
      </c>
      <c r="H870" s="221">
        <v>1381155</v>
      </c>
      <c r="I870" s="233">
        <v>2669954</v>
      </c>
      <c r="J870" s="232">
        <v>74425</v>
      </c>
      <c r="K870" s="88">
        <f t="shared" si="36"/>
        <v>5677796</v>
      </c>
      <c r="L870" s="50"/>
      <c r="M870" s="233">
        <v>52086</v>
      </c>
      <c r="N870" s="233">
        <v>0</v>
      </c>
      <c r="O870" s="232">
        <v>77503</v>
      </c>
      <c r="P870" s="88">
        <f t="shared" si="37"/>
        <v>129589</v>
      </c>
      <c r="Q870" s="50"/>
      <c r="R870" s="233">
        <v>2794836</v>
      </c>
      <c r="S870" s="232">
        <v>-26683</v>
      </c>
      <c r="T870" s="234">
        <v>2768153</v>
      </c>
    </row>
    <row r="871" spans="1:20">
      <c r="A871" s="48">
        <v>99281</v>
      </c>
      <c r="B871" s="49" t="s">
        <v>2459</v>
      </c>
      <c r="C871" s="235">
        <v>2.3770000000000002E-3</v>
      </c>
      <c r="D871" s="235">
        <v>2.2918999999999999E-3</v>
      </c>
      <c r="E871" s="231">
        <v>5639057</v>
      </c>
      <c r="F871" s="231" t="s">
        <v>1930</v>
      </c>
      <c r="G871" s="233">
        <v>869972</v>
      </c>
      <c r="H871" s="221">
        <v>774075</v>
      </c>
      <c r="I871" s="233">
        <v>1496388</v>
      </c>
      <c r="J871" s="232">
        <v>19048</v>
      </c>
      <c r="K871" s="88">
        <f t="shared" si="36"/>
        <v>3159483</v>
      </c>
      <c r="L871" s="50"/>
      <c r="M871" s="233">
        <v>29192</v>
      </c>
      <c r="N871" s="233">
        <v>0</v>
      </c>
      <c r="O871" s="232">
        <v>84495</v>
      </c>
      <c r="P871" s="88">
        <f t="shared" si="37"/>
        <v>113687</v>
      </c>
      <c r="Q871" s="50"/>
      <c r="R871" s="233">
        <v>1566379</v>
      </c>
      <c r="S871" s="232">
        <v>-32585</v>
      </c>
      <c r="T871" s="234">
        <v>1533794</v>
      </c>
    </row>
    <row r="872" spans="1:20">
      <c r="A872" s="48">
        <v>99291</v>
      </c>
      <c r="B872" s="49" t="s">
        <v>2460</v>
      </c>
      <c r="C872" s="235">
        <v>8.2370000000000002E-4</v>
      </c>
      <c r="D872" s="235">
        <v>7.3499999999999998E-4</v>
      </c>
      <c r="E872" s="231">
        <v>1954098</v>
      </c>
      <c r="F872" s="231" t="s">
        <v>1930</v>
      </c>
      <c r="G872" s="233">
        <v>301471</v>
      </c>
      <c r="H872" s="221">
        <v>268240</v>
      </c>
      <c r="I872" s="233">
        <v>518542</v>
      </c>
      <c r="J872" s="232">
        <v>12562</v>
      </c>
      <c r="K872" s="88">
        <f t="shared" si="36"/>
        <v>1100815</v>
      </c>
      <c r="L872" s="50"/>
      <c r="M872" s="233">
        <v>10116</v>
      </c>
      <c r="N872" s="233">
        <v>0</v>
      </c>
      <c r="O872" s="232">
        <v>82354</v>
      </c>
      <c r="P872" s="88">
        <f t="shared" si="37"/>
        <v>92470</v>
      </c>
      <c r="Q872" s="50"/>
      <c r="R872" s="233">
        <v>542796</v>
      </c>
      <c r="S872" s="232">
        <v>-52321</v>
      </c>
      <c r="T872" s="234">
        <v>490475</v>
      </c>
    </row>
    <row r="873" spans="1:20">
      <c r="A873" s="48">
        <v>99301</v>
      </c>
      <c r="B873" s="49" t="s">
        <v>1563</v>
      </c>
      <c r="C873" s="235">
        <v>1.7239E-3</v>
      </c>
      <c r="D873" s="235">
        <v>1.7879E-3</v>
      </c>
      <c r="E873" s="231">
        <v>4089680</v>
      </c>
      <c r="F873" s="231" t="s">
        <v>1930</v>
      </c>
      <c r="G873" s="233">
        <v>630941</v>
      </c>
      <c r="H873" s="221">
        <v>561391</v>
      </c>
      <c r="I873" s="233">
        <v>1085243</v>
      </c>
      <c r="J873" s="232">
        <v>12780</v>
      </c>
      <c r="K873" s="88">
        <f t="shared" si="36"/>
        <v>2290355</v>
      </c>
      <c r="L873" s="50"/>
      <c r="M873" s="233">
        <v>21171</v>
      </c>
      <c r="N873" s="233">
        <v>0</v>
      </c>
      <c r="O873" s="232">
        <v>110271</v>
      </c>
      <c r="P873" s="88">
        <f t="shared" si="37"/>
        <v>131442</v>
      </c>
      <c r="Q873" s="50"/>
      <c r="R873" s="233">
        <v>1136004</v>
      </c>
      <c r="S873" s="232">
        <v>22906</v>
      </c>
      <c r="T873" s="234">
        <v>1158910</v>
      </c>
    </row>
    <row r="874" spans="1:20">
      <c r="A874" s="48">
        <v>99304</v>
      </c>
      <c r="B874" s="49" t="s">
        <v>1564</v>
      </c>
      <c r="C874" s="235">
        <v>8.4999999999999999E-6</v>
      </c>
      <c r="D874" s="235">
        <v>9.2E-6</v>
      </c>
      <c r="E874" s="231">
        <v>20165</v>
      </c>
      <c r="F874" s="231" t="s">
        <v>1930</v>
      </c>
      <c r="G874" s="233">
        <v>3111</v>
      </c>
      <c r="H874" s="221">
        <v>2768</v>
      </c>
      <c r="I874" s="233">
        <v>5351</v>
      </c>
      <c r="J874" s="232">
        <v>5796</v>
      </c>
      <c r="K874" s="88">
        <f t="shared" si="36"/>
        <v>17026</v>
      </c>
      <c r="L874" s="50"/>
      <c r="M874" s="233">
        <v>104</v>
      </c>
      <c r="N874" s="233">
        <v>0</v>
      </c>
      <c r="O874" s="232">
        <v>0</v>
      </c>
      <c r="P874" s="88">
        <f t="shared" si="37"/>
        <v>104</v>
      </c>
      <c r="Q874" s="50"/>
      <c r="R874" s="233">
        <v>5601</v>
      </c>
      <c r="S874" s="232">
        <v>2064</v>
      </c>
      <c r="T874" s="234">
        <v>7665</v>
      </c>
    </row>
    <row r="875" spans="1:20">
      <c r="A875" s="48">
        <v>99311</v>
      </c>
      <c r="B875" s="49" t="s">
        <v>2461</v>
      </c>
      <c r="C875" s="235">
        <v>6.0699999999999998E-5</v>
      </c>
      <c r="D875" s="235">
        <v>5.4299999999999998E-5</v>
      </c>
      <c r="E875" s="231">
        <v>144001</v>
      </c>
      <c r="F875" s="231" t="s">
        <v>1930</v>
      </c>
      <c r="G875" s="233">
        <v>22216</v>
      </c>
      <c r="H875" s="221">
        <v>19767</v>
      </c>
      <c r="I875" s="233">
        <v>38212</v>
      </c>
      <c r="J875" s="232">
        <v>4078</v>
      </c>
      <c r="K875" s="88">
        <f t="shared" si="36"/>
        <v>84273</v>
      </c>
      <c r="L875" s="50"/>
      <c r="M875" s="233">
        <v>745</v>
      </c>
      <c r="N875" s="233">
        <v>0</v>
      </c>
      <c r="O875" s="232">
        <v>3557</v>
      </c>
      <c r="P875" s="88">
        <f t="shared" si="37"/>
        <v>4302</v>
      </c>
      <c r="Q875" s="50"/>
      <c r="R875" s="233">
        <v>40000</v>
      </c>
      <c r="S875" s="232">
        <v>-2182</v>
      </c>
      <c r="T875" s="234">
        <v>37818</v>
      </c>
    </row>
    <row r="876" spans="1:20">
      <c r="A876" s="48">
        <v>99321</v>
      </c>
      <c r="B876" s="49" t="s">
        <v>2462</v>
      </c>
      <c r="C876" s="235">
        <v>8.7000000000000001E-5</v>
      </c>
      <c r="D876" s="235">
        <v>1.1E-4</v>
      </c>
      <c r="E876" s="231">
        <v>206394</v>
      </c>
      <c r="F876" s="231" t="s">
        <v>1930</v>
      </c>
      <c r="G876" s="233">
        <v>31842</v>
      </c>
      <c r="H876" s="221">
        <v>28331</v>
      </c>
      <c r="I876" s="233">
        <v>54769</v>
      </c>
      <c r="J876" s="232">
        <v>80354</v>
      </c>
      <c r="K876" s="88">
        <f t="shared" si="36"/>
        <v>195296</v>
      </c>
      <c r="L876" s="50"/>
      <c r="M876" s="233">
        <v>1068</v>
      </c>
      <c r="N876" s="233">
        <v>0</v>
      </c>
      <c r="O876" s="232">
        <v>0</v>
      </c>
      <c r="P876" s="88">
        <f t="shared" si="37"/>
        <v>1068</v>
      </c>
      <c r="Q876" s="50"/>
      <c r="R876" s="233">
        <v>57331</v>
      </c>
      <c r="S876" s="232">
        <v>48383</v>
      </c>
      <c r="T876" s="234">
        <v>105714</v>
      </c>
    </row>
    <row r="877" spans="1:20">
      <c r="A877" s="48">
        <v>99401</v>
      </c>
      <c r="B877" s="49" t="s">
        <v>1567</v>
      </c>
      <c r="C877" s="235">
        <v>8.3949999999999997E-4</v>
      </c>
      <c r="D877" s="235">
        <v>9.2389999999999996E-4</v>
      </c>
      <c r="E877" s="231">
        <v>1991581</v>
      </c>
      <c r="F877" s="231" t="s">
        <v>1930</v>
      </c>
      <c r="G877" s="233">
        <v>307254</v>
      </c>
      <c r="H877" s="221">
        <v>273385</v>
      </c>
      <c r="I877" s="233">
        <v>528489</v>
      </c>
      <c r="J877" s="232">
        <v>7764</v>
      </c>
      <c r="K877" s="88">
        <f t="shared" si="36"/>
        <v>1116892</v>
      </c>
      <c r="L877" s="50"/>
      <c r="M877" s="233">
        <v>10310</v>
      </c>
      <c r="N877" s="233">
        <v>0</v>
      </c>
      <c r="O877" s="232">
        <v>71466</v>
      </c>
      <c r="P877" s="88">
        <f t="shared" si="37"/>
        <v>81776</v>
      </c>
      <c r="Q877" s="50"/>
      <c r="R877" s="233">
        <v>553208</v>
      </c>
      <c r="S877" s="232">
        <v>7509</v>
      </c>
      <c r="T877" s="234">
        <v>560717</v>
      </c>
    </row>
    <row r="878" spans="1:20">
      <c r="A878" s="48">
        <v>99404</v>
      </c>
      <c r="B878" s="49" t="s">
        <v>1568</v>
      </c>
      <c r="C878" s="235">
        <v>9.0999999999999993E-6</v>
      </c>
      <c r="D878" s="235">
        <v>9.3999999999999998E-6</v>
      </c>
      <c r="E878" s="231">
        <v>21588</v>
      </c>
      <c r="F878" s="231" t="s">
        <v>1930</v>
      </c>
      <c r="G878" s="233">
        <v>3331</v>
      </c>
      <c r="H878" s="221">
        <v>2963</v>
      </c>
      <c r="I878" s="233">
        <v>5729</v>
      </c>
      <c r="J878" s="232">
        <v>1629</v>
      </c>
      <c r="K878" s="88">
        <f t="shared" si="36"/>
        <v>13652</v>
      </c>
      <c r="L878" s="50"/>
      <c r="M878" s="233">
        <v>112</v>
      </c>
      <c r="N878" s="233">
        <v>0</v>
      </c>
      <c r="O878" s="232">
        <v>0</v>
      </c>
      <c r="P878" s="88">
        <f t="shared" si="37"/>
        <v>112</v>
      </c>
      <c r="Q878" s="50"/>
      <c r="R878" s="233">
        <v>5997</v>
      </c>
      <c r="S878" s="232">
        <v>655</v>
      </c>
      <c r="T878" s="234">
        <v>6652</v>
      </c>
    </row>
    <row r="879" spans="1:20">
      <c r="A879" s="48">
        <v>99405</v>
      </c>
      <c r="B879" s="49" t="s">
        <v>1569</v>
      </c>
      <c r="C879" s="235">
        <v>5.2200000000000002E-5</v>
      </c>
      <c r="D879" s="235">
        <v>6.2700000000000006E-5</v>
      </c>
      <c r="E879" s="231">
        <v>123836</v>
      </c>
      <c r="F879" s="231" t="s">
        <v>1930</v>
      </c>
      <c r="G879" s="233">
        <v>19105</v>
      </c>
      <c r="H879" s="221">
        <v>16999</v>
      </c>
      <c r="I879" s="233">
        <v>32861</v>
      </c>
      <c r="J879" s="232">
        <v>14217</v>
      </c>
      <c r="K879" s="88">
        <f t="shared" si="36"/>
        <v>83182</v>
      </c>
      <c r="L879" s="50"/>
      <c r="M879" s="233">
        <v>641</v>
      </c>
      <c r="N879" s="233">
        <v>0</v>
      </c>
      <c r="O879" s="232">
        <v>0</v>
      </c>
      <c r="P879" s="88">
        <f t="shared" si="37"/>
        <v>641</v>
      </c>
      <c r="Q879" s="50"/>
      <c r="R879" s="233">
        <v>34398</v>
      </c>
      <c r="S879" s="232">
        <v>6652</v>
      </c>
      <c r="T879" s="234">
        <v>41050</v>
      </c>
    </row>
    <row r="880" spans="1:20">
      <c r="A880" s="48">
        <v>99411</v>
      </c>
      <c r="B880" s="49" t="s">
        <v>2463</v>
      </c>
      <c r="C880" s="235">
        <v>1.7239999999999999E-4</v>
      </c>
      <c r="D880" s="235">
        <v>1.583E-4</v>
      </c>
      <c r="E880" s="231">
        <v>408992</v>
      </c>
      <c r="F880" s="231" t="s">
        <v>1930</v>
      </c>
      <c r="G880" s="233">
        <v>63098</v>
      </c>
      <c r="H880" s="221">
        <v>56142</v>
      </c>
      <c r="I880" s="233">
        <v>108531</v>
      </c>
      <c r="J880" s="232">
        <v>41315</v>
      </c>
      <c r="K880" s="88">
        <f t="shared" si="36"/>
        <v>269086</v>
      </c>
      <c r="L880" s="50"/>
      <c r="M880" s="233">
        <v>2117</v>
      </c>
      <c r="N880" s="233">
        <v>0</v>
      </c>
      <c r="O880" s="232">
        <v>0</v>
      </c>
      <c r="P880" s="88">
        <f t="shared" si="37"/>
        <v>2117</v>
      </c>
      <c r="Q880" s="50"/>
      <c r="R880" s="233">
        <v>113607</v>
      </c>
      <c r="S880" s="232">
        <v>11785</v>
      </c>
      <c r="T880" s="234">
        <v>125392</v>
      </c>
    </row>
    <row r="881" spans="1:20">
      <c r="A881" s="48">
        <v>99413</v>
      </c>
      <c r="B881" s="49" t="s">
        <v>1571</v>
      </c>
      <c r="C881" s="235">
        <v>1.98E-5</v>
      </c>
      <c r="D881" s="235">
        <v>3.1099999999999997E-5</v>
      </c>
      <c r="E881" s="231">
        <v>46972</v>
      </c>
      <c r="F881" s="231" t="s">
        <v>1930</v>
      </c>
      <c r="G881" s="233">
        <v>7247</v>
      </c>
      <c r="H881" s="221">
        <v>6448</v>
      </c>
      <c r="I881" s="233">
        <v>12465</v>
      </c>
      <c r="J881" s="232">
        <v>4311</v>
      </c>
      <c r="K881" s="88">
        <f t="shared" si="36"/>
        <v>30471</v>
      </c>
      <c r="L881" s="50"/>
      <c r="M881" s="233">
        <v>243</v>
      </c>
      <c r="N881" s="233">
        <v>0</v>
      </c>
      <c r="O881" s="232">
        <v>5202</v>
      </c>
      <c r="P881" s="88">
        <f t="shared" si="37"/>
        <v>5445</v>
      </c>
      <c r="Q881" s="50"/>
      <c r="R881" s="233">
        <v>13048</v>
      </c>
      <c r="S881" s="232">
        <v>-653</v>
      </c>
      <c r="T881" s="234">
        <v>12395</v>
      </c>
    </row>
    <row r="882" spans="1:20">
      <c r="A882" s="48">
        <v>99421</v>
      </c>
      <c r="B882" s="49" t="s">
        <v>2464</v>
      </c>
      <c r="C882" s="235">
        <v>1.24E-5</v>
      </c>
      <c r="D882" s="235">
        <v>1.04E-5</v>
      </c>
      <c r="E882" s="231">
        <v>29417</v>
      </c>
      <c r="F882" s="231" t="s">
        <v>1930</v>
      </c>
      <c r="G882" s="233">
        <v>4538</v>
      </c>
      <c r="H882" s="221">
        <v>4038</v>
      </c>
      <c r="I882" s="233">
        <v>7806</v>
      </c>
      <c r="J882" s="232">
        <v>917</v>
      </c>
      <c r="K882" s="88">
        <f t="shared" si="36"/>
        <v>17299</v>
      </c>
      <c r="L882" s="50"/>
      <c r="M882" s="233">
        <v>152</v>
      </c>
      <c r="N882" s="233">
        <v>0</v>
      </c>
      <c r="O882" s="232">
        <v>3553</v>
      </c>
      <c r="P882" s="88">
        <f t="shared" si="37"/>
        <v>3705</v>
      </c>
      <c r="Q882" s="50"/>
      <c r="R882" s="233">
        <v>8171</v>
      </c>
      <c r="S882" s="232">
        <v>-895</v>
      </c>
      <c r="T882" s="234">
        <v>7276</v>
      </c>
    </row>
    <row r="883" spans="1:20">
      <c r="A883" s="48">
        <v>99431</v>
      </c>
      <c r="B883" s="49" t="s">
        <v>2465</v>
      </c>
      <c r="C883" s="235">
        <v>2.1999999999999999E-5</v>
      </c>
      <c r="D883" s="235">
        <v>2.2200000000000001E-5</v>
      </c>
      <c r="E883" s="231">
        <v>52192</v>
      </c>
      <c r="F883" s="231" t="s">
        <v>1930</v>
      </c>
      <c r="G883" s="233">
        <v>8052</v>
      </c>
      <c r="H883" s="221">
        <v>7164</v>
      </c>
      <c r="I883" s="233">
        <v>13850</v>
      </c>
      <c r="J883" s="232">
        <v>0</v>
      </c>
      <c r="K883" s="88">
        <f t="shared" si="36"/>
        <v>29066</v>
      </c>
      <c r="L883" s="50"/>
      <c r="M883" s="233">
        <v>270</v>
      </c>
      <c r="N883" s="233">
        <v>0</v>
      </c>
      <c r="O883" s="232">
        <v>4208</v>
      </c>
      <c r="P883" s="88">
        <f t="shared" si="37"/>
        <v>4478</v>
      </c>
      <c r="Q883" s="50"/>
      <c r="R883" s="233">
        <v>14497</v>
      </c>
      <c r="S883" s="232">
        <v>-434</v>
      </c>
      <c r="T883" s="234">
        <v>14063</v>
      </c>
    </row>
    <row r="884" spans="1:20">
      <c r="A884" s="48">
        <v>99501</v>
      </c>
      <c r="B884" s="49" t="s">
        <v>1574</v>
      </c>
      <c r="C884" s="235">
        <v>1.6559000000000001E-3</v>
      </c>
      <c r="D884" s="235">
        <v>1.6785000000000001E-3</v>
      </c>
      <c r="E884" s="231">
        <v>3928361</v>
      </c>
      <c r="F884" s="231" t="s">
        <v>1930</v>
      </c>
      <c r="G884" s="233">
        <v>606053</v>
      </c>
      <c r="H884" s="221">
        <v>539247</v>
      </c>
      <c r="I884" s="233">
        <v>1042435</v>
      </c>
      <c r="J884" s="232">
        <v>26120</v>
      </c>
      <c r="K884" s="88">
        <f t="shared" si="36"/>
        <v>2213855</v>
      </c>
      <c r="L884" s="50"/>
      <c r="M884" s="233">
        <v>20336</v>
      </c>
      <c r="N884" s="233">
        <v>0</v>
      </c>
      <c r="O884" s="232">
        <v>16129</v>
      </c>
      <c r="P884" s="88">
        <f t="shared" si="37"/>
        <v>36465</v>
      </c>
      <c r="Q884" s="50"/>
      <c r="R884" s="233">
        <v>1091193</v>
      </c>
      <c r="S884" s="232">
        <v>2662</v>
      </c>
      <c r="T884" s="234">
        <v>1093855</v>
      </c>
    </row>
    <row r="885" spans="1:20">
      <c r="A885" s="48">
        <v>99502</v>
      </c>
      <c r="B885" s="49" t="s">
        <v>1575</v>
      </c>
      <c r="C885" s="235">
        <v>1.5699999999999999E-4</v>
      </c>
      <c r="D885" s="235">
        <v>1.373E-4</v>
      </c>
      <c r="E885" s="231">
        <v>372458</v>
      </c>
      <c r="F885" s="231" t="s">
        <v>1930</v>
      </c>
      <c r="G885" s="233">
        <v>57461</v>
      </c>
      <c r="H885" s="221">
        <v>51127</v>
      </c>
      <c r="I885" s="233">
        <v>98836</v>
      </c>
      <c r="J885" s="232">
        <v>20987</v>
      </c>
      <c r="K885" s="88">
        <f t="shared" si="36"/>
        <v>228411</v>
      </c>
      <c r="L885" s="50"/>
      <c r="M885" s="233">
        <v>1928</v>
      </c>
      <c r="N885" s="233">
        <v>0</v>
      </c>
      <c r="O885" s="232">
        <v>0</v>
      </c>
      <c r="P885" s="88">
        <f t="shared" si="37"/>
        <v>1928</v>
      </c>
      <c r="Q885" s="50"/>
      <c r="R885" s="233">
        <v>103459</v>
      </c>
      <c r="S885" s="232">
        <v>11737</v>
      </c>
      <c r="T885" s="234">
        <v>115196</v>
      </c>
    </row>
    <row r="886" spans="1:20">
      <c r="A886" s="48">
        <v>99508</v>
      </c>
      <c r="B886" s="49" t="s">
        <v>1576</v>
      </c>
      <c r="C886" s="235">
        <v>2.1699999999999999E-5</v>
      </c>
      <c r="D886" s="235">
        <v>2.2099999999999998E-5</v>
      </c>
      <c r="E886" s="231">
        <v>51480</v>
      </c>
      <c r="F886" s="231" t="s">
        <v>1930</v>
      </c>
      <c r="G886" s="233">
        <v>7942</v>
      </c>
      <c r="H886" s="221">
        <v>7067</v>
      </c>
      <c r="I886" s="233">
        <v>13661</v>
      </c>
      <c r="J886" s="232">
        <v>28</v>
      </c>
      <c r="K886" s="88">
        <f t="shared" si="36"/>
        <v>28698</v>
      </c>
      <c r="L886" s="50"/>
      <c r="M886" s="233">
        <v>266</v>
      </c>
      <c r="N886" s="233">
        <v>0</v>
      </c>
      <c r="O886" s="232">
        <v>834</v>
      </c>
      <c r="P886" s="88">
        <f t="shared" si="37"/>
        <v>1100</v>
      </c>
      <c r="Q886" s="50"/>
      <c r="R886" s="233">
        <v>14300</v>
      </c>
      <c r="S886" s="232">
        <v>-1042</v>
      </c>
      <c r="T886" s="234">
        <v>13258</v>
      </c>
    </row>
    <row r="887" spans="1:20">
      <c r="A887" s="48">
        <v>99509</v>
      </c>
      <c r="B887" s="49" t="s">
        <v>1577</v>
      </c>
      <c r="C887" s="235">
        <v>2.62E-5</v>
      </c>
      <c r="D887" s="235">
        <v>2.76E-5</v>
      </c>
      <c r="E887" s="231">
        <v>62155</v>
      </c>
      <c r="F887" s="231" t="s">
        <v>1930</v>
      </c>
      <c r="G887" s="233">
        <v>9589</v>
      </c>
      <c r="H887" s="221">
        <v>8532</v>
      </c>
      <c r="I887" s="233">
        <v>16494</v>
      </c>
      <c r="J887" s="232">
        <v>0</v>
      </c>
      <c r="K887" s="88">
        <f t="shared" si="36"/>
        <v>34615</v>
      </c>
      <c r="L887" s="50"/>
      <c r="M887" s="233">
        <v>322</v>
      </c>
      <c r="N887" s="233">
        <v>0</v>
      </c>
      <c r="O887" s="232">
        <v>3733</v>
      </c>
      <c r="P887" s="88">
        <f t="shared" si="37"/>
        <v>4055</v>
      </c>
      <c r="Q887" s="50"/>
      <c r="R887" s="233">
        <v>17265</v>
      </c>
      <c r="S887" s="232">
        <v>-4641</v>
      </c>
      <c r="T887" s="234">
        <v>12624</v>
      </c>
    </row>
    <row r="888" spans="1:20">
      <c r="A888" s="48">
        <v>99511</v>
      </c>
      <c r="B888" s="49" t="s">
        <v>2466</v>
      </c>
      <c r="C888" s="235">
        <v>1.3468E-3</v>
      </c>
      <c r="D888" s="235">
        <v>1.4048999999999999E-3</v>
      </c>
      <c r="E888" s="231">
        <v>3195070</v>
      </c>
      <c r="F888" s="231" t="s">
        <v>1930</v>
      </c>
      <c r="G888" s="233">
        <v>492923</v>
      </c>
      <c r="H888" s="221">
        <v>438588</v>
      </c>
      <c r="I888" s="233">
        <v>847848</v>
      </c>
      <c r="J888" s="232">
        <v>2027</v>
      </c>
      <c r="K888" s="88">
        <f t="shared" si="36"/>
        <v>1781386</v>
      </c>
      <c r="L888" s="50"/>
      <c r="M888" s="233">
        <v>16540</v>
      </c>
      <c r="N888" s="233">
        <v>0</v>
      </c>
      <c r="O888" s="232">
        <v>134401</v>
      </c>
      <c r="P888" s="88">
        <f t="shared" si="37"/>
        <v>150941</v>
      </c>
      <c r="Q888" s="50"/>
      <c r="R888" s="233">
        <v>887505</v>
      </c>
      <c r="S888" s="232">
        <v>-51080</v>
      </c>
      <c r="T888" s="234">
        <v>836425</v>
      </c>
    </row>
    <row r="889" spans="1:20">
      <c r="A889" s="48">
        <v>99521</v>
      </c>
      <c r="B889" s="49" t="s">
        <v>2467</v>
      </c>
      <c r="C889" s="235">
        <v>4.9669999999999998E-4</v>
      </c>
      <c r="D889" s="235">
        <v>4.2700000000000002E-4</v>
      </c>
      <c r="E889" s="231">
        <v>1178342</v>
      </c>
      <c r="F889" s="231" t="s">
        <v>1930</v>
      </c>
      <c r="G889" s="233">
        <v>181790</v>
      </c>
      <c r="H889" s="221">
        <v>161751</v>
      </c>
      <c r="I889" s="233">
        <v>312687</v>
      </c>
      <c r="J889" s="232">
        <v>22179</v>
      </c>
      <c r="K889" s="88">
        <f t="shared" si="36"/>
        <v>678407</v>
      </c>
      <c r="L889" s="50"/>
      <c r="M889" s="233">
        <v>6100</v>
      </c>
      <c r="N889" s="233">
        <v>0</v>
      </c>
      <c r="O889" s="232">
        <v>9436</v>
      </c>
      <c r="P889" s="88">
        <f t="shared" si="37"/>
        <v>15536</v>
      </c>
      <c r="Q889" s="50"/>
      <c r="R889" s="233">
        <v>327312</v>
      </c>
      <c r="S889" s="232">
        <v>211</v>
      </c>
      <c r="T889" s="234">
        <v>327523</v>
      </c>
    </row>
    <row r="890" spans="1:20">
      <c r="A890" s="48">
        <v>99527</v>
      </c>
      <c r="B890" s="49" t="s">
        <v>1580</v>
      </c>
      <c r="C890" s="235">
        <v>1.15E-5</v>
      </c>
      <c r="D890" s="235">
        <v>1.19E-5</v>
      </c>
      <c r="E890" s="231">
        <v>27282</v>
      </c>
      <c r="F890" s="231" t="s">
        <v>1930</v>
      </c>
      <c r="G890" s="233">
        <v>4209</v>
      </c>
      <c r="H890" s="221">
        <v>3745</v>
      </c>
      <c r="I890" s="233">
        <v>7240</v>
      </c>
      <c r="J890" s="232">
        <v>1078</v>
      </c>
      <c r="K890" s="88">
        <f t="shared" si="36"/>
        <v>16272</v>
      </c>
      <c r="L890" s="50"/>
      <c r="M890" s="233">
        <v>141</v>
      </c>
      <c r="N890" s="233">
        <v>0</v>
      </c>
      <c r="O890" s="232">
        <v>0</v>
      </c>
      <c r="P890" s="88">
        <f t="shared" si="37"/>
        <v>141</v>
      </c>
      <c r="Q890" s="50"/>
      <c r="R890" s="233">
        <v>7578</v>
      </c>
      <c r="S890" s="232">
        <v>724</v>
      </c>
      <c r="T890" s="234">
        <v>8302</v>
      </c>
    </row>
    <row r="891" spans="1:20">
      <c r="A891" s="48">
        <v>99531</v>
      </c>
      <c r="B891" s="49" t="s">
        <v>2468</v>
      </c>
      <c r="C891" s="235">
        <v>8.8800000000000004E-5</v>
      </c>
      <c r="D891" s="235">
        <v>9.3499999999999996E-5</v>
      </c>
      <c r="E891" s="231">
        <v>210664</v>
      </c>
      <c r="F891" s="231" t="s">
        <v>1930</v>
      </c>
      <c r="G891" s="233">
        <v>32500</v>
      </c>
      <c r="H891" s="221">
        <v>28917</v>
      </c>
      <c r="I891" s="233">
        <v>55902</v>
      </c>
      <c r="J891" s="232">
        <v>59872</v>
      </c>
      <c r="K891" s="88">
        <f t="shared" si="36"/>
        <v>177191</v>
      </c>
      <c r="L891" s="50"/>
      <c r="M891" s="233">
        <v>1091</v>
      </c>
      <c r="N891" s="233">
        <v>0</v>
      </c>
      <c r="O891" s="232">
        <v>0</v>
      </c>
      <c r="P891" s="88">
        <f t="shared" si="37"/>
        <v>1091</v>
      </c>
      <c r="Q891" s="50"/>
      <c r="R891" s="233">
        <v>58517</v>
      </c>
      <c r="S891" s="232">
        <v>24500</v>
      </c>
      <c r="T891" s="234">
        <v>83017</v>
      </c>
    </row>
    <row r="892" spans="1:20">
      <c r="A892" s="48">
        <v>99601</v>
      </c>
      <c r="B892" s="49" t="s">
        <v>1582</v>
      </c>
      <c r="C892" s="235">
        <v>5.9616000000000001E-3</v>
      </c>
      <c r="D892" s="235">
        <v>5.7812000000000002E-3</v>
      </c>
      <c r="E892" s="231">
        <v>14142954</v>
      </c>
      <c r="F892" s="231" t="s">
        <v>1930</v>
      </c>
      <c r="G892" s="233">
        <v>2181922</v>
      </c>
      <c r="H892" s="221">
        <v>1941407</v>
      </c>
      <c r="I892" s="233">
        <v>3752994</v>
      </c>
      <c r="J892" s="232">
        <v>210675</v>
      </c>
      <c r="K892" s="88">
        <f t="shared" si="36"/>
        <v>8086998</v>
      </c>
      <c r="L892" s="50"/>
      <c r="M892" s="233">
        <v>73214</v>
      </c>
      <c r="N892" s="233">
        <v>0</v>
      </c>
      <c r="O892" s="232">
        <v>44248</v>
      </c>
      <c r="P892" s="88">
        <f t="shared" si="37"/>
        <v>117462</v>
      </c>
      <c r="Q892" s="50"/>
      <c r="R892" s="233">
        <v>3928533</v>
      </c>
      <c r="S892" s="232">
        <v>56562</v>
      </c>
      <c r="T892" s="234">
        <v>3985095</v>
      </c>
    </row>
    <row r="893" spans="1:20">
      <c r="A893" s="48">
        <v>99602</v>
      </c>
      <c r="B893" s="49" t="s">
        <v>1583</v>
      </c>
      <c r="C893" s="235">
        <v>6.0800000000000001E-5</v>
      </c>
      <c r="D893" s="235">
        <v>6.19E-5</v>
      </c>
      <c r="E893" s="231">
        <v>144238</v>
      </c>
      <c r="F893" s="231" t="s">
        <v>1930</v>
      </c>
      <c r="G893" s="233">
        <v>22253</v>
      </c>
      <c r="H893" s="221">
        <v>19799</v>
      </c>
      <c r="I893" s="233">
        <v>38275</v>
      </c>
      <c r="J893" s="232">
        <v>6923</v>
      </c>
      <c r="K893" s="88">
        <f t="shared" si="36"/>
        <v>87250</v>
      </c>
      <c r="L893" s="50"/>
      <c r="M893" s="233">
        <v>747</v>
      </c>
      <c r="N893" s="233">
        <v>0</v>
      </c>
      <c r="O893" s="232">
        <v>422</v>
      </c>
      <c r="P893" s="88">
        <f t="shared" si="37"/>
        <v>1169</v>
      </c>
      <c r="Q893" s="50"/>
      <c r="R893" s="233">
        <v>40066</v>
      </c>
      <c r="S893" s="232">
        <v>1213</v>
      </c>
      <c r="T893" s="234">
        <v>41279</v>
      </c>
    </row>
    <row r="894" spans="1:20">
      <c r="A894" s="48">
        <v>99603</v>
      </c>
      <c r="B894" s="49" t="s">
        <v>2772</v>
      </c>
      <c r="C894" s="235">
        <v>1.7550000000000001E-4</v>
      </c>
      <c r="D894" s="235">
        <v>1.615E-4</v>
      </c>
      <c r="E894" s="231">
        <v>416346</v>
      </c>
      <c r="F894" s="231" t="s">
        <v>1930</v>
      </c>
      <c r="G894" s="233">
        <v>64232</v>
      </c>
      <c r="H894" s="221">
        <v>57152</v>
      </c>
      <c r="I894" s="233">
        <v>110482</v>
      </c>
      <c r="J894" s="232">
        <v>75872</v>
      </c>
      <c r="K894" s="88">
        <f t="shared" si="36"/>
        <v>307738</v>
      </c>
      <c r="L894" s="50"/>
      <c r="M894" s="233">
        <v>2155</v>
      </c>
      <c r="N894" s="233">
        <v>0</v>
      </c>
      <c r="O894" s="232">
        <v>0</v>
      </c>
      <c r="P894" s="88">
        <f t="shared" si="37"/>
        <v>2155</v>
      </c>
      <c r="Q894" s="50"/>
      <c r="R894" s="233">
        <v>115650</v>
      </c>
      <c r="S894" s="232">
        <v>41812</v>
      </c>
      <c r="T894" s="234">
        <v>157462</v>
      </c>
    </row>
    <row r="895" spans="1:20">
      <c r="A895" s="48">
        <v>99604</v>
      </c>
      <c r="B895" s="49" t="s">
        <v>1585</v>
      </c>
      <c r="C895" s="235">
        <v>1.02E-4</v>
      </c>
      <c r="D895" s="235">
        <v>1.009E-4</v>
      </c>
      <c r="E895" s="50">
        <v>241979</v>
      </c>
      <c r="F895" s="50"/>
      <c r="G895" s="233">
        <v>37332</v>
      </c>
      <c r="H895" s="221">
        <v>33216</v>
      </c>
      <c r="I895" s="233">
        <v>64212</v>
      </c>
      <c r="J895" s="232">
        <v>20727</v>
      </c>
      <c r="K895" s="88">
        <f t="shared" si="36"/>
        <v>155487</v>
      </c>
      <c r="L895" s="50"/>
      <c r="M895" s="233">
        <v>1253</v>
      </c>
      <c r="N895" s="233">
        <v>0</v>
      </c>
      <c r="O895" s="232">
        <v>0</v>
      </c>
      <c r="P895" s="88">
        <f t="shared" si="37"/>
        <v>1253</v>
      </c>
      <c r="Q895" s="50"/>
      <c r="R895" s="233">
        <v>67215</v>
      </c>
      <c r="S895" s="232">
        <v>11859</v>
      </c>
      <c r="T895" s="234">
        <v>79074</v>
      </c>
    </row>
    <row r="896" spans="1:20">
      <c r="A896" s="48">
        <v>99609</v>
      </c>
      <c r="B896" s="49" t="s">
        <v>1586</v>
      </c>
      <c r="C896" s="235">
        <v>2.0100000000000001E-5</v>
      </c>
      <c r="D896" s="235">
        <v>1.52E-5</v>
      </c>
      <c r="E896" s="50">
        <v>47684</v>
      </c>
      <c r="F896" s="50"/>
      <c r="G896" s="233">
        <v>7357</v>
      </c>
      <c r="H896" s="221">
        <v>6545</v>
      </c>
      <c r="I896" s="233">
        <v>12654</v>
      </c>
      <c r="J896" s="232">
        <v>5627</v>
      </c>
      <c r="K896" s="88">
        <f t="shared" si="36"/>
        <v>32183</v>
      </c>
      <c r="L896" s="50"/>
      <c r="M896" s="233">
        <v>247</v>
      </c>
      <c r="N896" s="233">
        <v>0</v>
      </c>
      <c r="O896" s="232">
        <v>1142</v>
      </c>
      <c r="P896" s="88">
        <f t="shared" si="37"/>
        <v>1389</v>
      </c>
      <c r="Q896" s="50"/>
      <c r="R896" s="233">
        <v>13245</v>
      </c>
      <c r="S896" s="232">
        <v>2717</v>
      </c>
      <c r="T896" s="234">
        <v>15962</v>
      </c>
    </row>
    <row r="897" spans="1:20">
      <c r="A897" s="48">
        <v>99610</v>
      </c>
      <c r="B897" s="49" t="s">
        <v>1587</v>
      </c>
      <c r="C897" s="235">
        <v>1.872E-4</v>
      </c>
      <c r="D897" s="235">
        <v>1.9440000000000001E-4</v>
      </c>
      <c r="E897" s="50">
        <v>444102</v>
      </c>
      <c r="F897" s="50"/>
      <c r="G897" s="233">
        <v>68514</v>
      </c>
      <c r="H897" s="221">
        <v>60962</v>
      </c>
      <c r="I897" s="233">
        <v>117848</v>
      </c>
      <c r="J897" s="232">
        <v>855</v>
      </c>
      <c r="K897" s="88">
        <f t="shared" si="36"/>
        <v>248179</v>
      </c>
      <c r="L897" s="50"/>
      <c r="M897" s="233">
        <v>2299</v>
      </c>
      <c r="N897" s="233">
        <v>0</v>
      </c>
      <c r="O897" s="232">
        <v>8068</v>
      </c>
      <c r="P897" s="88">
        <f t="shared" si="37"/>
        <v>10367</v>
      </c>
      <c r="Q897" s="50"/>
      <c r="R897" s="233">
        <v>123360</v>
      </c>
      <c r="S897" s="232">
        <v>-738</v>
      </c>
      <c r="T897" s="234">
        <v>122622</v>
      </c>
    </row>
    <row r="898" spans="1:20">
      <c r="A898" s="48">
        <v>99611</v>
      </c>
      <c r="B898" s="49" t="s">
        <v>1588</v>
      </c>
      <c r="C898" s="235">
        <v>3.2894E-3</v>
      </c>
      <c r="D898" s="235">
        <v>3.1959000000000002E-3</v>
      </c>
      <c r="E898" s="50">
        <v>7803582</v>
      </c>
      <c r="F898" s="50"/>
      <c r="G898" s="233">
        <v>1203907</v>
      </c>
      <c r="H898" s="221">
        <v>1071199</v>
      </c>
      <c r="I898" s="233">
        <v>2070769</v>
      </c>
      <c r="J898" s="232">
        <v>61818</v>
      </c>
      <c r="K898" s="88">
        <f t="shared" si="36"/>
        <v>4407693</v>
      </c>
      <c r="L898" s="50"/>
      <c r="M898" s="233">
        <v>40397</v>
      </c>
      <c r="N898" s="233">
        <v>0</v>
      </c>
      <c r="O898" s="232">
        <v>100389</v>
      </c>
      <c r="P898" s="88">
        <f t="shared" si="37"/>
        <v>140786</v>
      </c>
      <c r="Q898" s="50"/>
      <c r="R898" s="233">
        <v>2167626</v>
      </c>
      <c r="S898" s="232">
        <v>-79577</v>
      </c>
      <c r="T898" s="234">
        <v>2088049</v>
      </c>
    </row>
    <row r="899" spans="1:20">
      <c r="A899" s="48">
        <v>99613</v>
      </c>
      <c r="B899" s="49" t="s">
        <v>1589</v>
      </c>
      <c r="C899" s="235">
        <v>3.57E-4</v>
      </c>
      <c r="D899" s="235">
        <v>3.2909999999999998E-4</v>
      </c>
      <c r="E899" s="50">
        <v>846926</v>
      </c>
      <c r="F899" s="50"/>
      <c r="G899" s="233">
        <v>130661</v>
      </c>
      <c r="H899" s="221">
        <v>116258</v>
      </c>
      <c r="I899" s="233">
        <v>224741</v>
      </c>
      <c r="J899" s="232">
        <v>342685</v>
      </c>
      <c r="K899" s="88">
        <f t="shared" si="36"/>
        <v>814345</v>
      </c>
      <c r="L899" s="50"/>
      <c r="M899" s="233">
        <v>4384</v>
      </c>
      <c r="N899" s="233">
        <v>0</v>
      </c>
      <c r="O899" s="232">
        <v>0</v>
      </c>
      <c r="P899" s="88">
        <f t="shared" si="37"/>
        <v>4384</v>
      </c>
      <c r="Q899" s="50"/>
      <c r="R899" s="233">
        <v>235253</v>
      </c>
      <c r="S899" s="232">
        <v>135388</v>
      </c>
      <c r="T899" s="234">
        <v>370641</v>
      </c>
    </row>
    <row r="900" spans="1:20">
      <c r="A900" s="48">
        <v>99621</v>
      </c>
      <c r="B900" s="49" t="s">
        <v>2469</v>
      </c>
      <c r="C900" s="235">
        <v>3.7399999999999998E-4</v>
      </c>
      <c r="D900" s="235">
        <v>3.7060000000000001E-4</v>
      </c>
      <c r="E900" s="50">
        <v>887256</v>
      </c>
      <c r="F900" s="50"/>
      <c r="G900" s="233">
        <v>136883</v>
      </c>
      <c r="H900" s="221">
        <v>121794</v>
      </c>
      <c r="I900" s="233">
        <v>235443</v>
      </c>
      <c r="J900" s="232">
        <v>26836</v>
      </c>
      <c r="K900" s="88">
        <f t="shared" si="36"/>
        <v>520956</v>
      </c>
      <c r="L900" s="50"/>
      <c r="M900" s="233">
        <v>4593</v>
      </c>
      <c r="N900" s="233">
        <v>0</v>
      </c>
      <c r="O900" s="232">
        <v>3834</v>
      </c>
      <c r="P900" s="88">
        <f t="shared" si="37"/>
        <v>8427</v>
      </c>
      <c r="Q900" s="50"/>
      <c r="R900" s="233">
        <v>246456</v>
      </c>
      <c r="S900" s="232">
        <v>12349</v>
      </c>
      <c r="T900" s="234">
        <v>258805</v>
      </c>
    </row>
    <row r="901" spans="1:20">
      <c r="A901" s="48">
        <v>99623</v>
      </c>
      <c r="B901" s="49" t="s">
        <v>3504</v>
      </c>
      <c r="C901" s="235">
        <v>3.4799999999999999E-5</v>
      </c>
      <c r="D901" s="235">
        <v>2.6400000000000001E-5</v>
      </c>
      <c r="E901" s="50">
        <v>82558</v>
      </c>
      <c r="F901" s="50"/>
      <c r="G901" s="233">
        <v>12737</v>
      </c>
      <c r="H901" s="221">
        <v>11333</v>
      </c>
      <c r="I901" s="233">
        <v>21908</v>
      </c>
      <c r="J901" s="232">
        <v>1303</v>
      </c>
      <c r="K901" s="88">
        <f t="shared" si="36"/>
        <v>47281</v>
      </c>
      <c r="L901" s="50"/>
      <c r="M901" s="233">
        <v>427</v>
      </c>
      <c r="N901" s="233">
        <v>0</v>
      </c>
      <c r="O901" s="232">
        <v>2046</v>
      </c>
      <c r="P901" s="88">
        <f t="shared" si="37"/>
        <v>2473</v>
      </c>
      <c r="Q901" s="50"/>
      <c r="R901" s="233">
        <v>22932</v>
      </c>
      <c r="S901" s="232">
        <v>311</v>
      </c>
      <c r="T901" s="234">
        <v>23243</v>
      </c>
    </row>
    <row r="902" spans="1:20">
      <c r="A902" s="48">
        <v>99631</v>
      </c>
      <c r="B902" s="49" t="s">
        <v>2470</v>
      </c>
      <c r="C902" s="235">
        <v>1.11E-4</v>
      </c>
      <c r="D902" s="235">
        <v>1.102E-4</v>
      </c>
      <c r="E902" s="50">
        <v>263330</v>
      </c>
      <c r="F902" s="50"/>
      <c r="G902" s="233">
        <v>40626</v>
      </c>
      <c r="H902" s="221">
        <v>36148</v>
      </c>
      <c r="I902" s="233">
        <v>69878</v>
      </c>
      <c r="J902" s="232">
        <v>803</v>
      </c>
      <c r="K902" s="88">
        <f t="shared" si="36"/>
        <v>147455</v>
      </c>
      <c r="L902" s="50"/>
      <c r="M902" s="233">
        <v>1363</v>
      </c>
      <c r="N902" s="233">
        <v>0</v>
      </c>
      <c r="O902" s="232">
        <v>2497</v>
      </c>
      <c r="P902" s="88">
        <f t="shared" si="37"/>
        <v>3860</v>
      </c>
      <c r="Q902" s="50"/>
      <c r="R902" s="233">
        <v>73146</v>
      </c>
      <c r="S902" s="232">
        <v>-4302</v>
      </c>
      <c r="T902" s="234">
        <v>68844</v>
      </c>
    </row>
    <row r="903" spans="1:20">
      <c r="A903" s="48">
        <v>99651</v>
      </c>
      <c r="B903" s="49" t="s">
        <v>2471</v>
      </c>
      <c r="C903" s="235">
        <v>5.7000000000000003E-5</v>
      </c>
      <c r="D903" s="235">
        <v>6.7199999999999994E-5</v>
      </c>
      <c r="E903" s="50">
        <v>135223</v>
      </c>
      <c r="F903" s="50"/>
      <c r="G903" s="233">
        <v>20862</v>
      </c>
      <c r="H903" s="221">
        <v>18562</v>
      </c>
      <c r="I903" s="233">
        <v>35883</v>
      </c>
      <c r="J903" s="232">
        <v>3097</v>
      </c>
      <c r="K903" s="88">
        <f t="shared" si="36"/>
        <v>78404</v>
      </c>
      <c r="L903" s="50"/>
      <c r="M903" s="233">
        <v>700</v>
      </c>
      <c r="N903" s="233">
        <v>0</v>
      </c>
      <c r="O903" s="232">
        <v>6539</v>
      </c>
      <c r="P903" s="88">
        <f t="shared" si="37"/>
        <v>7239</v>
      </c>
      <c r="Q903" s="50"/>
      <c r="R903" s="233">
        <v>37561</v>
      </c>
      <c r="S903" s="232">
        <v>-227</v>
      </c>
      <c r="T903" s="234">
        <v>37334</v>
      </c>
    </row>
    <row r="904" spans="1:20">
      <c r="A904" s="48">
        <v>99661</v>
      </c>
      <c r="B904" s="49" t="s">
        <v>2493</v>
      </c>
      <c r="C904" s="235">
        <v>2.5999999999999998E-5</v>
      </c>
      <c r="D904" s="235">
        <v>3.26E-5</v>
      </c>
      <c r="E904" s="50">
        <v>61681</v>
      </c>
      <c r="F904" s="50"/>
      <c r="G904" s="233">
        <v>9516</v>
      </c>
      <c r="H904" s="221">
        <v>8467</v>
      </c>
      <c r="I904" s="233">
        <v>16368</v>
      </c>
      <c r="J904" s="232">
        <v>41516</v>
      </c>
      <c r="K904" s="88">
        <f t="shared" si="36"/>
        <v>75867</v>
      </c>
      <c r="L904" s="50"/>
      <c r="M904" s="233">
        <v>319</v>
      </c>
      <c r="N904" s="233">
        <v>0</v>
      </c>
      <c r="O904" s="232">
        <v>0</v>
      </c>
      <c r="P904" s="88">
        <f t="shared" si="37"/>
        <v>319</v>
      </c>
      <c r="Q904" s="50"/>
      <c r="R904" s="233">
        <v>17133</v>
      </c>
      <c r="S904" s="232">
        <v>17737</v>
      </c>
      <c r="T904" s="234">
        <v>34870</v>
      </c>
    </row>
    <row r="905" spans="1:20">
      <c r="A905" s="48">
        <v>99701</v>
      </c>
      <c r="B905" s="49" t="s">
        <v>1595</v>
      </c>
      <c r="C905" s="235">
        <v>2.9659E-3</v>
      </c>
      <c r="D905" s="235">
        <v>2.9190000000000002E-3</v>
      </c>
      <c r="E905" s="50">
        <v>7036129</v>
      </c>
      <c r="F905" s="50"/>
      <c r="G905" s="233">
        <v>1085508</v>
      </c>
      <c r="H905" s="221">
        <v>965851</v>
      </c>
      <c r="I905" s="233">
        <v>1867117</v>
      </c>
      <c r="J905" s="232">
        <v>11285</v>
      </c>
      <c r="K905" s="88">
        <f t="shared" si="36"/>
        <v>3929761</v>
      </c>
      <c r="L905" s="50"/>
      <c r="M905" s="233">
        <v>36424</v>
      </c>
      <c r="N905" s="233">
        <v>0</v>
      </c>
      <c r="O905" s="232">
        <v>20475</v>
      </c>
      <c r="P905" s="88">
        <f t="shared" si="37"/>
        <v>56899</v>
      </c>
      <c r="Q905" s="50"/>
      <c r="R905" s="233">
        <v>1954448</v>
      </c>
      <c r="S905" s="232">
        <v>-5521</v>
      </c>
      <c r="T905" s="234">
        <v>1948927</v>
      </c>
    </row>
    <row r="906" spans="1:20">
      <c r="A906" s="48">
        <v>99705</v>
      </c>
      <c r="B906" s="49" t="s">
        <v>1596</v>
      </c>
      <c r="C906" s="235">
        <v>1.6349999999999999E-4</v>
      </c>
      <c r="D906" s="235">
        <v>1.7229999999999999E-4</v>
      </c>
      <c r="E906" s="50">
        <v>387878</v>
      </c>
      <c r="F906" s="50"/>
      <c r="G906" s="233">
        <v>59840</v>
      </c>
      <c r="H906" s="221">
        <v>53244</v>
      </c>
      <c r="I906" s="233">
        <v>102928</v>
      </c>
      <c r="J906" s="232">
        <v>9123</v>
      </c>
      <c r="K906" s="88">
        <f t="shared" si="36"/>
        <v>225135</v>
      </c>
      <c r="L906" s="50"/>
      <c r="M906" s="233">
        <v>2008</v>
      </c>
      <c r="N906" s="233">
        <v>0</v>
      </c>
      <c r="O906" s="232">
        <v>244</v>
      </c>
      <c r="P906" s="88">
        <f t="shared" si="37"/>
        <v>2252</v>
      </c>
      <c r="Q906" s="50"/>
      <c r="R906" s="233">
        <v>107742</v>
      </c>
      <c r="S906" s="232">
        <v>6947</v>
      </c>
      <c r="T906" s="234">
        <v>114689</v>
      </c>
    </row>
    <row r="907" spans="1:20">
      <c r="A907" s="48">
        <v>99711</v>
      </c>
      <c r="B907" s="49" t="s">
        <v>2472</v>
      </c>
      <c r="C907" s="235">
        <v>4.462E-4</v>
      </c>
      <c r="D907" s="235">
        <v>4.5459999999999999E-4</v>
      </c>
      <c r="E907" s="50">
        <v>1058539</v>
      </c>
      <c r="F907" s="50"/>
      <c r="G907" s="233">
        <v>163307</v>
      </c>
      <c r="H907" s="221">
        <v>145306</v>
      </c>
      <c r="I907" s="233">
        <v>280895</v>
      </c>
      <c r="J907" s="232">
        <v>10132</v>
      </c>
      <c r="K907" s="88">
        <f t="shared" si="36"/>
        <v>599640</v>
      </c>
      <c r="L907" s="50"/>
      <c r="M907" s="233">
        <v>5480</v>
      </c>
      <c r="N907" s="233">
        <v>0</v>
      </c>
      <c r="O907" s="232">
        <v>5402</v>
      </c>
      <c r="P907" s="88">
        <f t="shared" si="37"/>
        <v>10882</v>
      </c>
      <c r="Q907" s="50"/>
      <c r="R907" s="233">
        <v>294034</v>
      </c>
      <c r="S907" s="232">
        <v>-1088</v>
      </c>
      <c r="T907" s="234">
        <v>292946</v>
      </c>
    </row>
    <row r="908" spans="1:20">
      <c r="A908" s="48">
        <v>99717</v>
      </c>
      <c r="B908" s="49" t="s">
        <v>2473</v>
      </c>
      <c r="C908" s="235">
        <v>2.1800000000000001E-5</v>
      </c>
      <c r="D908" s="235">
        <v>2.19E-5</v>
      </c>
      <c r="E908" s="50">
        <v>51717</v>
      </c>
      <c r="F908" s="50"/>
      <c r="G908" s="233">
        <v>7979</v>
      </c>
      <c r="H908" s="221">
        <v>7099</v>
      </c>
      <c r="I908" s="233">
        <v>13724</v>
      </c>
      <c r="J908" s="232">
        <v>0</v>
      </c>
      <c r="K908" s="88">
        <f t="shared" si="36"/>
        <v>28802</v>
      </c>
      <c r="L908" s="50"/>
      <c r="M908" s="233">
        <v>268</v>
      </c>
      <c r="N908" s="233">
        <v>0</v>
      </c>
      <c r="O908" s="232">
        <v>4093</v>
      </c>
      <c r="P908" s="88">
        <f t="shared" si="37"/>
        <v>4361</v>
      </c>
      <c r="Q908" s="50"/>
      <c r="R908" s="233">
        <v>14366</v>
      </c>
      <c r="S908" s="232">
        <v>-1627</v>
      </c>
      <c r="T908" s="234">
        <v>12739</v>
      </c>
    </row>
    <row r="909" spans="1:20">
      <c r="A909" s="48">
        <v>99721</v>
      </c>
      <c r="B909" s="49" t="s">
        <v>2474</v>
      </c>
      <c r="C909" s="235">
        <v>5.886E-4</v>
      </c>
      <c r="D909" s="235">
        <v>5.7779999999999995E-4</v>
      </c>
      <c r="E909" s="50">
        <v>1396361</v>
      </c>
      <c r="F909" s="50"/>
      <c r="G909" s="233">
        <v>215425</v>
      </c>
      <c r="H909" s="221">
        <v>191679</v>
      </c>
      <c r="I909" s="233">
        <v>370540</v>
      </c>
      <c r="J909" s="232">
        <v>0</v>
      </c>
      <c r="K909" s="88">
        <f t="shared" si="36"/>
        <v>777644</v>
      </c>
      <c r="L909" s="50"/>
      <c r="M909" s="233">
        <v>7229</v>
      </c>
      <c r="N909" s="233">
        <v>0</v>
      </c>
      <c r="O909" s="232">
        <v>40498</v>
      </c>
      <c r="P909" s="88">
        <f t="shared" si="37"/>
        <v>47727</v>
      </c>
      <c r="Q909" s="50"/>
      <c r="R909" s="233">
        <v>387872</v>
      </c>
      <c r="S909" s="232">
        <v>-15685</v>
      </c>
      <c r="T909" s="234">
        <v>372187</v>
      </c>
    </row>
    <row r="910" spans="1:20">
      <c r="A910" s="48">
        <v>99727</v>
      </c>
      <c r="B910" s="49" t="s">
        <v>1600</v>
      </c>
      <c r="C910" s="235">
        <v>2.2099999999999998E-5</v>
      </c>
      <c r="D910" s="235">
        <v>2.3900000000000002E-5</v>
      </c>
      <c r="E910" s="50">
        <v>52429</v>
      </c>
      <c r="F910" s="50"/>
      <c r="G910" s="233">
        <v>8089</v>
      </c>
      <c r="H910" s="221">
        <v>7197</v>
      </c>
      <c r="I910" s="233">
        <v>13913</v>
      </c>
      <c r="J910" s="232">
        <v>68017</v>
      </c>
      <c r="K910" s="88">
        <f t="shared" si="36"/>
        <v>97216</v>
      </c>
      <c r="L910" s="50"/>
      <c r="M910" s="233">
        <v>271</v>
      </c>
      <c r="N910" s="233">
        <v>0</v>
      </c>
      <c r="O910" s="232">
        <v>0</v>
      </c>
      <c r="P910" s="88">
        <f t="shared" si="37"/>
        <v>271</v>
      </c>
      <c r="Q910" s="50"/>
      <c r="R910" s="233">
        <v>14563</v>
      </c>
      <c r="S910" s="232">
        <v>28353</v>
      </c>
      <c r="T910" s="234">
        <v>42916</v>
      </c>
    </row>
    <row r="911" spans="1:20">
      <c r="A911" s="48">
        <v>99801</v>
      </c>
      <c r="B911" s="49" t="s">
        <v>1601</v>
      </c>
      <c r="C911" s="235">
        <v>4.9709000000000003E-3</v>
      </c>
      <c r="D911" s="235">
        <v>5.1866000000000004E-3</v>
      </c>
      <c r="E911" s="50">
        <v>11792675</v>
      </c>
      <c r="F911" s="50"/>
      <c r="G911" s="233">
        <v>1819330</v>
      </c>
      <c r="H911" s="221">
        <v>1618783</v>
      </c>
      <c r="I911" s="233">
        <v>3129321</v>
      </c>
      <c r="J911" s="232">
        <v>0</v>
      </c>
      <c r="K911" s="88">
        <f t="shared" si="36"/>
        <v>6567434</v>
      </c>
      <c r="L911" s="50"/>
      <c r="M911" s="233">
        <v>61048</v>
      </c>
      <c r="N911" s="233">
        <v>0</v>
      </c>
      <c r="O911" s="232">
        <v>343453</v>
      </c>
      <c r="P911" s="88">
        <f t="shared" si="37"/>
        <v>404501</v>
      </c>
      <c r="Q911" s="50"/>
      <c r="R911" s="233">
        <v>3275689</v>
      </c>
      <c r="S911" s="232">
        <v>-89773</v>
      </c>
      <c r="T911" s="234">
        <v>3185916</v>
      </c>
    </row>
    <row r="912" spans="1:20">
      <c r="A912" s="48">
        <v>99802</v>
      </c>
      <c r="B912" s="49" t="s">
        <v>2773</v>
      </c>
      <c r="C912" s="235">
        <v>1.19E-5</v>
      </c>
      <c r="D912" s="235">
        <v>6.0000000000000002E-6</v>
      </c>
      <c r="E912" s="50">
        <v>28231</v>
      </c>
      <c r="F912" s="50"/>
      <c r="G912" s="233">
        <v>4355</v>
      </c>
      <c r="H912" s="221">
        <v>3875</v>
      </c>
      <c r="I912" s="233">
        <v>7491</v>
      </c>
      <c r="J912" s="232">
        <v>5957</v>
      </c>
      <c r="K912" s="88">
        <f t="shared" si="36"/>
        <v>21678</v>
      </c>
      <c r="L912" s="50"/>
      <c r="M912" s="233">
        <v>146</v>
      </c>
      <c r="N912" s="233">
        <v>0</v>
      </c>
      <c r="O912" s="232">
        <v>0</v>
      </c>
      <c r="P912" s="88">
        <f t="shared" si="37"/>
        <v>146</v>
      </c>
      <c r="Q912" s="50"/>
      <c r="R912" s="233">
        <v>7842</v>
      </c>
      <c r="S912" s="232">
        <v>1575</v>
      </c>
      <c r="T912" s="234">
        <v>9417</v>
      </c>
    </row>
    <row r="913" spans="1:20">
      <c r="A913" s="48">
        <v>99804</v>
      </c>
      <c r="B913" s="49" t="s">
        <v>1603</v>
      </c>
      <c r="C913" s="235">
        <v>8.1000000000000004E-5</v>
      </c>
      <c r="D913" s="235">
        <v>9.0500000000000004E-5</v>
      </c>
      <c r="E913" s="50">
        <v>192160</v>
      </c>
      <c r="F913" s="50"/>
      <c r="G913" s="233">
        <v>29646</v>
      </c>
      <c r="H913" s="221">
        <v>26377</v>
      </c>
      <c r="I913" s="233">
        <v>50992</v>
      </c>
      <c r="J913" s="232">
        <v>8772</v>
      </c>
      <c r="K913" s="88">
        <f t="shared" si="36"/>
        <v>115787</v>
      </c>
      <c r="L913" s="50"/>
      <c r="M913" s="233">
        <v>995</v>
      </c>
      <c r="N913" s="233">
        <v>0</v>
      </c>
      <c r="O913" s="232">
        <v>129</v>
      </c>
      <c r="P913" s="88">
        <f t="shared" si="37"/>
        <v>1124</v>
      </c>
      <c r="Q913" s="50"/>
      <c r="R913" s="233">
        <v>53377</v>
      </c>
      <c r="S913" s="232">
        <v>4885</v>
      </c>
      <c r="T913" s="234">
        <v>58262</v>
      </c>
    </row>
    <row r="914" spans="1:20">
      <c r="A914" s="48">
        <v>99811</v>
      </c>
      <c r="B914" s="49" t="s">
        <v>2022</v>
      </c>
      <c r="C914" s="235">
        <v>6.4733000000000004E-3</v>
      </c>
      <c r="D914" s="235">
        <v>6.7026999999999998E-3</v>
      </c>
      <c r="E914" s="50">
        <v>15356881</v>
      </c>
      <c r="F914" s="50"/>
      <c r="G914" s="233">
        <v>2369202</v>
      </c>
      <c r="H914" s="221">
        <v>2108043</v>
      </c>
      <c r="I914" s="233">
        <v>4075124</v>
      </c>
      <c r="J914" s="232">
        <v>0</v>
      </c>
      <c r="K914" s="88">
        <f t="shared" si="36"/>
        <v>8552369</v>
      </c>
      <c r="L914" s="50"/>
      <c r="M914" s="233">
        <v>79499</v>
      </c>
      <c r="N914" s="233">
        <v>0</v>
      </c>
      <c r="O914" s="232">
        <v>605474</v>
      </c>
      <c r="P914" s="88">
        <f t="shared" si="37"/>
        <v>684973</v>
      </c>
      <c r="Q914" s="50"/>
      <c r="R914" s="233">
        <v>4265730</v>
      </c>
      <c r="S914" s="232">
        <v>-297315</v>
      </c>
      <c r="T914" s="234">
        <v>3968415</v>
      </c>
    </row>
    <row r="915" spans="1:20">
      <c r="A915" s="48">
        <v>99812</v>
      </c>
      <c r="B915" s="49" t="s">
        <v>1605</v>
      </c>
      <c r="C915" s="235">
        <v>1.9700000000000001E-5</v>
      </c>
      <c r="D915" s="235">
        <v>2.2099999999999998E-5</v>
      </c>
      <c r="E915" s="50">
        <v>46735</v>
      </c>
      <c r="F915" s="50"/>
      <c r="G915" s="233">
        <v>7210</v>
      </c>
      <c r="H915" s="221">
        <v>6415</v>
      </c>
      <c r="I915" s="233">
        <v>12402</v>
      </c>
      <c r="J915" s="232">
        <v>15128</v>
      </c>
      <c r="K915" s="88">
        <f t="shared" si="36"/>
        <v>41155</v>
      </c>
      <c r="L915" s="50"/>
      <c r="M915" s="233">
        <v>242</v>
      </c>
      <c r="N915" s="233">
        <v>0</v>
      </c>
      <c r="O915" s="232">
        <v>0</v>
      </c>
      <c r="P915" s="88">
        <f t="shared" si="37"/>
        <v>242</v>
      </c>
      <c r="Q915" s="50"/>
      <c r="R915" s="233">
        <v>12982</v>
      </c>
      <c r="S915" s="232">
        <v>6159</v>
      </c>
      <c r="T915" s="234">
        <v>19141</v>
      </c>
    </row>
    <row r="916" spans="1:20">
      <c r="A916" s="48">
        <v>99818</v>
      </c>
      <c r="B916" s="49" t="s">
        <v>2023</v>
      </c>
      <c r="C916" s="235">
        <v>3.3399999999999999E-5</v>
      </c>
      <c r="D916" s="235">
        <v>3.1600000000000002E-5</v>
      </c>
      <c r="E916" s="50">
        <v>79236</v>
      </c>
      <c r="F916" s="50"/>
      <c r="G916" s="233">
        <v>12224</v>
      </c>
      <c r="H916" s="221">
        <v>10877</v>
      </c>
      <c r="I916" s="233">
        <v>21026</v>
      </c>
      <c r="J916" s="232">
        <v>554</v>
      </c>
      <c r="K916" s="88">
        <f t="shared" si="36"/>
        <v>44681</v>
      </c>
      <c r="L916" s="50"/>
      <c r="M916" s="233">
        <v>410</v>
      </c>
      <c r="N916" s="233">
        <v>0</v>
      </c>
      <c r="O916" s="232">
        <v>5622</v>
      </c>
      <c r="P916" s="88">
        <f t="shared" si="37"/>
        <v>6032</v>
      </c>
      <c r="Q916" s="50"/>
      <c r="R916" s="233">
        <v>22010</v>
      </c>
      <c r="S916" s="232">
        <v>419</v>
      </c>
      <c r="T916" s="234">
        <v>22429</v>
      </c>
    </row>
    <row r="917" spans="1:20">
      <c r="A917" s="48">
        <v>99821</v>
      </c>
      <c r="B917" s="49" t="s">
        <v>2475</v>
      </c>
      <c r="C917" s="235">
        <v>9.2899999999999995E-5</v>
      </c>
      <c r="D917" s="235">
        <v>9.1100000000000005E-5</v>
      </c>
      <c r="E917" s="50">
        <v>220391</v>
      </c>
      <c r="F917" s="50"/>
      <c r="G917" s="233">
        <v>34001</v>
      </c>
      <c r="H917" s="221">
        <v>30253</v>
      </c>
      <c r="I917" s="233">
        <v>58483</v>
      </c>
      <c r="J917" s="232">
        <v>16591</v>
      </c>
      <c r="K917" s="88">
        <f t="shared" si="36"/>
        <v>139328</v>
      </c>
      <c r="L917" s="50"/>
      <c r="M917" s="233">
        <v>1141</v>
      </c>
      <c r="N917" s="233">
        <v>0</v>
      </c>
      <c r="O917" s="232">
        <v>250</v>
      </c>
      <c r="P917" s="88">
        <f t="shared" si="37"/>
        <v>1391</v>
      </c>
      <c r="Q917" s="50"/>
      <c r="R917" s="233">
        <v>61219</v>
      </c>
      <c r="S917" s="232">
        <v>11230</v>
      </c>
      <c r="T917" s="234">
        <v>72449</v>
      </c>
    </row>
    <row r="918" spans="1:20">
      <c r="A918" s="48">
        <v>99831</v>
      </c>
      <c r="B918" s="49" t="s">
        <v>2476</v>
      </c>
      <c r="C918" s="235">
        <v>4.9700000000000002E-5</v>
      </c>
      <c r="D918" s="235">
        <v>6.3299999999999994E-5</v>
      </c>
      <c r="E918" s="50">
        <v>117905</v>
      </c>
      <c r="F918" s="50"/>
      <c r="G918" s="233">
        <v>18190</v>
      </c>
      <c r="H918" s="221">
        <v>16185</v>
      </c>
      <c r="I918" s="233">
        <v>31288</v>
      </c>
      <c r="J918" s="232">
        <v>4819</v>
      </c>
      <c r="K918" s="88">
        <f t="shared" si="36"/>
        <v>70482</v>
      </c>
      <c r="L918" s="50"/>
      <c r="M918" s="233">
        <v>610</v>
      </c>
      <c r="N918" s="233">
        <v>0</v>
      </c>
      <c r="O918" s="232">
        <v>7455</v>
      </c>
      <c r="P918" s="88">
        <f t="shared" si="37"/>
        <v>8065</v>
      </c>
      <c r="Q918" s="50"/>
      <c r="R918" s="233">
        <v>32751</v>
      </c>
      <c r="S918" s="232">
        <v>103</v>
      </c>
      <c r="T918" s="234">
        <v>32854</v>
      </c>
    </row>
    <row r="919" spans="1:20">
      <c r="A919" s="48">
        <v>99841</v>
      </c>
      <c r="B919" s="49" t="s">
        <v>2477</v>
      </c>
      <c r="C919" s="235">
        <v>3.2199999999999997E-5</v>
      </c>
      <c r="D919" s="235">
        <v>4.3399999999999998E-5</v>
      </c>
      <c r="E919" s="50">
        <v>76389</v>
      </c>
      <c r="F919" s="50"/>
      <c r="G919" s="233">
        <v>11785</v>
      </c>
      <c r="H919" s="221">
        <v>10486</v>
      </c>
      <c r="I919" s="233">
        <v>20271</v>
      </c>
      <c r="J919" s="232">
        <v>574</v>
      </c>
      <c r="K919" s="88">
        <f t="shared" si="36"/>
        <v>43116</v>
      </c>
      <c r="L919" s="50"/>
      <c r="M919" s="233">
        <v>395</v>
      </c>
      <c r="N919" s="233">
        <v>0</v>
      </c>
      <c r="O919" s="232">
        <v>8879</v>
      </c>
      <c r="P919" s="88">
        <f t="shared" si="37"/>
        <v>9274</v>
      </c>
      <c r="Q919" s="50"/>
      <c r="R919" s="233">
        <v>21219</v>
      </c>
      <c r="S919" s="232">
        <v>-2883</v>
      </c>
      <c r="T919" s="234">
        <v>18336</v>
      </c>
    </row>
    <row r="920" spans="1:20">
      <c r="A920" s="48">
        <v>99851</v>
      </c>
      <c r="B920" s="49" t="s">
        <v>2478</v>
      </c>
      <c r="C920" s="235">
        <v>2.34E-5</v>
      </c>
      <c r="D920" s="235">
        <v>2.23E-5</v>
      </c>
      <c r="E920" s="50">
        <v>55513</v>
      </c>
      <c r="F920" s="50"/>
      <c r="G920" s="233">
        <v>8564</v>
      </c>
      <c r="H920" s="221">
        <v>7620</v>
      </c>
      <c r="I920" s="233">
        <v>14731</v>
      </c>
      <c r="J920" s="232">
        <v>65</v>
      </c>
      <c r="K920" s="88">
        <f t="shared" si="36"/>
        <v>30980</v>
      </c>
      <c r="L920" s="50"/>
      <c r="M920" s="233">
        <v>287</v>
      </c>
      <c r="N920" s="233">
        <v>0</v>
      </c>
      <c r="O920" s="232">
        <v>4221</v>
      </c>
      <c r="P920" s="88">
        <f t="shared" si="37"/>
        <v>4508</v>
      </c>
      <c r="Q920" s="50"/>
      <c r="R920" s="233">
        <v>15420</v>
      </c>
      <c r="S920" s="232">
        <v>-1336</v>
      </c>
      <c r="T920" s="234">
        <v>14084</v>
      </c>
    </row>
    <row r="921" spans="1:20">
      <c r="A921" s="48">
        <v>99901</v>
      </c>
      <c r="B921" s="49" t="s">
        <v>1611</v>
      </c>
      <c r="C921" s="235">
        <v>1.5693E-3</v>
      </c>
      <c r="D921" s="235">
        <v>1.6707E-3</v>
      </c>
      <c r="E921" s="50">
        <v>3722916</v>
      </c>
      <c r="F921" s="50"/>
      <c r="G921" s="233">
        <v>574358</v>
      </c>
      <c r="H921" s="221">
        <v>511045</v>
      </c>
      <c r="I921" s="233">
        <v>987918</v>
      </c>
      <c r="J921" s="232">
        <v>38150</v>
      </c>
      <c r="K921" s="88">
        <f t="shared" si="36"/>
        <v>2111471</v>
      </c>
      <c r="L921" s="50"/>
      <c r="M921" s="233">
        <v>19273</v>
      </c>
      <c r="N921" s="233">
        <v>0</v>
      </c>
      <c r="O921" s="232">
        <v>80037</v>
      </c>
      <c r="P921" s="88">
        <f t="shared" si="37"/>
        <v>99310</v>
      </c>
      <c r="Q921" s="50"/>
      <c r="R921" s="233">
        <v>1034126</v>
      </c>
      <c r="S921" s="232">
        <v>-6774</v>
      </c>
      <c r="T921" s="234">
        <v>1027352</v>
      </c>
    </row>
    <row r="922" spans="1:20">
      <c r="A922" s="48">
        <v>99911</v>
      </c>
      <c r="B922" s="49" t="s">
        <v>2479</v>
      </c>
      <c r="C922" s="235">
        <v>2.3900000000000001E-4</v>
      </c>
      <c r="D922" s="235">
        <v>2.5980000000000003E-4</v>
      </c>
      <c r="E922" s="50">
        <v>566990</v>
      </c>
      <c r="F922" s="50"/>
      <c r="G922" s="233">
        <v>87473</v>
      </c>
      <c r="H922" s="221">
        <v>77831</v>
      </c>
      <c r="I922" s="233">
        <v>150457</v>
      </c>
      <c r="J922" s="232">
        <v>4825</v>
      </c>
      <c r="K922" s="88">
        <f t="shared" si="36"/>
        <v>320586</v>
      </c>
      <c r="L922" s="50"/>
      <c r="M922" s="233">
        <v>2935</v>
      </c>
      <c r="N922" s="233">
        <v>0</v>
      </c>
      <c r="O922" s="232">
        <v>11799</v>
      </c>
      <c r="P922" s="88">
        <f t="shared" si="37"/>
        <v>14734</v>
      </c>
      <c r="Q922" s="50"/>
      <c r="R922" s="233">
        <v>157495</v>
      </c>
      <c r="S922" s="232">
        <v>-7207</v>
      </c>
      <c r="T922" s="234">
        <v>150288</v>
      </c>
    </row>
    <row r="923" spans="1:20">
      <c r="A923" s="48">
        <v>99921</v>
      </c>
      <c r="B923" s="49" t="s">
        <v>2480</v>
      </c>
      <c r="C923" s="235">
        <v>1.3119999999999999E-4</v>
      </c>
      <c r="D923" s="235">
        <v>1.506E-4</v>
      </c>
      <c r="E923" s="50">
        <v>311251</v>
      </c>
      <c r="F923" s="50"/>
      <c r="G923" s="233">
        <v>48019</v>
      </c>
      <c r="H923" s="221">
        <v>42726</v>
      </c>
      <c r="I923" s="233">
        <v>82594</v>
      </c>
      <c r="J923" s="232">
        <v>1708</v>
      </c>
      <c r="K923" s="88">
        <f t="shared" si="36"/>
        <v>175047</v>
      </c>
      <c r="L923" s="50"/>
      <c r="M923" s="233">
        <v>1611</v>
      </c>
      <c r="N923" s="233">
        <v>0</v>
      </c>
      <c r="O923" s="232">
        <v>19558</v>
      </c>
      <c r="P923" s="88">
        <f t="shared" si="37"/>
        <v>21169</v>
      </c>
      <c r="Q923" s="50"/>
      <c r="R923" s="233">
        <v>86457</v>
      </c>
      <c r="S923" s="232">
        <v>-7225</v>
      </c>
      <c r="T923" s="234">
        <v>79232</v>
      </c>
    </row>
    <row r="924" spans="1:20">
      <c r="A924" s="48">
        <v>99931</v>
      </c>
      <c r="B924" s="49" t="s">
        <v>2481</v>
      </c>
      <c r="C924" s="235">
        <v>1.52E-5</v>
      </c>
      <c r="D924" s="235">
        <v>1.5800000000000001E-5</v>
      </c>
      <c r="E924" s="50">
        <v>36060</v>
      </c>
      <c r="F924" s="50"/>
      <c r="G924" s="233">
        <v>5563</v>
      </c>
      <c r="H924" s="221">
        <v>4950</v>
      </c>
      <c r="I924" s="233">
        <v>9569</v>
      </c>
      <c r="J924" s="232">
        <v>1614</v>
      </c>
      <c r="K924" s="88">
        <f t="shared" ref="K924:K927" si="38">G924+H924+I924+J924</f>
        <v>21696</v>
      </c>
      <c r="L924" s="50"/>
      <c r="M924" s="233">
        <v>187</v>
      </c>
      <c r="N924" s="233">
        <v>0</v>
      </c>
      <c r="O924" s="232">
        <v>5213</v>
      </c>
      <c r="P924" s="88">
        <f t="shared" ref="P924:P927" si="39">M924+N924+O924</f>
        <v>5400</v>
      </c>
      <c r="Q924" s="50"/>
      <c r="R924" s="233">
        <v>10016</v>
      </c>
      <c r="S924" s="232">
        <v>-2861</v>
      </c>
      <c r="T924" s="234">
        <v>7155</v>
      </c>
    </row>
    <row r="925" spans="1:20">
      <c r="A925" s="48">
        <v>99941</v>
      </c>
      <c r="B925" s="49" t="s">
        <v>2482</v>
      </c>
      <c r="C925" s="235">
        <v>7.4200000000000001E-5</v>
      </c>
      <c r="D925" s="235">
        <v>7.5400000000000003E-5</v>
      </c>
      <c r="E925" s="50">
        <v>176028</v>
      </c>
      <c r="F925" s="50"/>
      <c r="G925" s="233">
        <v>27157</v>
      </c>
      <c r="H925" s="221">
        <v>24164</v>
      </c>
      <c r="I925" s="233">
        <v>46711</v>
      </c>
      <c r="J925" s="232">
        <v>0</v>
      </c>
      <c r="K925" s="88">
        <f t="shared" si="38"/>
        <v>98032</v>
      </c>
      <c r="L925" s="50"/>
      <c r="M925" s="233">
        <v>911</v>
      </c>
      <c r="N925" s="233">
        <v>0</v>
      </c>
      <c r="O925" s="232">
        <v>9131</v>
      </c>
      <c r="P925" s="88">
        <f t="shared" si="39"/>
        <v>10042</v>
      </c>
      <c r="Q925" s="50"/>
      <c r="R925" s="233">
        <v>48896</v>
      </c>
      <c r="S925" s="232">
        <v>-5026</v>
      </c>
      <c r="T925" s="234">
        <v>43870</v>
      </c>
    </row>
    <row r="926" spans="1:20">
      <c r="A926" s="48">
        <v>99991</v>
      </c>
      <c r="B926" s="49" t="s">
        <v>1616</v>
      </c>
      <c r="C926" s="235">
        <v>5.2700000000000002E-4</v>
      </c>
      <c r="D926" s="235">
        <v>5.3450000000000004E-4</v>
      </c>
      <c r="E926" s="50">
        <v>1250224</v>
      </c>
      <c r="F926" s="50"/>
      <c r="G926" s="233">
        <v>192880</v>
      </c>
      <c r="H926" s="221">
        <v>171619</v>
      </c>
      <c r="I926" s="233">
        <v>331761</v>
      </c>
      <c r="J926" s="232">
        <v>9601</v>
      </c>
      <c r="K926" s="88">
        <f t="shared" si="38"/>
        <v>705861</v>
      </c>
      <c r="L926" s="50"/>
      <c r="M926" s="233">
        <v>6472</v>
      </c>
      <c r="N926" s="233">
        <v>0</v>
      </c>
      <c r="O926" s="232">
        <v>27621</v>
      </c>
      <c r="P926" s="88">
        <f t="shared" si="39"/>
        <v>34093</v>
      </c>
      <c r="Q926" s="50"/>
      <c r="R926" s="233">
        <v>347279</v>
      </c>
      <c r="S926" s="232">
        <v>10622</v>
      </c>
      <c r="T926" s="234">
        <v>357901</v>
      </c>
    </row>
    <row r="927" spans="1:20">
      <c r="A927" s="48">
        <v>99999</v>
      </c>
      <c r="B927" s="49" t="s">
        <v>1617</v>
      </c>
      <c r="C927" s="235">
        <v>9.2020000000000003E-4</v>
      </c>
      <c r="D927" s="235">
        <v>8.7509999999999997E-4</v>
      </c>
      <c r="E927" s="50">
        <v>2183029</v>
      </c>
      <c r="F927" s="50"/>
      <c r="G927" s="233">
        <v>336790</v>
      </c>
      <c r="H927" s="221">
        <v>299665</v>
      </c>
      <c r="I927" s="233">
        <v>579292</v>
      </c>
      <c r="J927" s="232">
        <v>139284</v>
      </c>
      <c r="K927" s="88">
        <f t="shared" si="38"/>
        <v>1355031</v>
      </c>
      <c r="L927" s="50"/>
      <c r="M927" s="233">
        <v>11301</v>
      </c>
      <c r="N927" s="233">
        <v>0</v>
      </c>
      <c r="O927" s="232">
        <v>3425</v>
      </c>
      <c r="P927" s="88">
        <f t="shared" si="39"/>
        <v>14726</v>
      </c>
      <c r="Q927" s="50"/>
      <c r="R927" s="233">
        <v>606387</v>
      </c>
      <c r="S927" s="232">
        <v>34690</v>
      </c>
      <c r="T927" s="234">
        <v>641077</v>
      </c>
    </row>
    <row r="928" spans="1:20">
      <c r="A928" s="48"/>
      <c r="B928" s="49"/>
      <c r="C928" s="177"/>
      <c r="D928" s="91"/>
    </row>
    <row r="929" spans="1:20" s="95" customFormat="1">
      <c r="A929" s="90"/>
      <c r="B929" s="54"/>
      <c r="C929" s="177"/>
      <c r="D929" s="82"/>
      <c r="E929" s="92"/>
      <c r="F929" s="92"/>
      <c r="G929" s="93"/>
      <c r="H929" s="94"/>
      <c r="I929" s="93"/>
      <c r="J929" s="93"/>
      <c r="K929" s="94"/>
      <c r="L929" s="93"/>
      <c r="M929" s="93"/>
      <c r="N929" s="93"/>
      <c r="O929" s="93"/>
      <c r="P929" s="94"/>
      <c r="Q929" s="93"/>
      <c r="R929" s="93"/>
      <c r="S929" s="93"/>
      <c r="T929" s="93"/>
    </row>
    <row r="930" spans="1:20">
      <c r="B930" s="4" t="s">
        <v>691</v>
      </c>
      <c r="C930" s="254" t="s">
        <v>692</v>
      </c>
    </row>
    <row r="931" spans="1:20">
      <c r="A931" s="227"/>
      <c r="B931" s="131" t="s">
        <v>2027</v>
      </c>
      <c r="C931" s="227">
        <v>96331</v>
      </c>
      <c r="H931" s="82"/>
      <c r="K931" s="82"/>
      <c r="P931" s="82"/>
    </row>
    <row r="932" spans="1:20">
      <c r="A932" s="227"/>
      <c r="B932" s="131" t="s">
        <v>2028</v>
      </c>
      <c r="C932" s="227">
        <v>94611</v>
      </c>
      <c r="H932" s="82"/>
      <c r="K932" s="82"/>
      <c r="P932" s="82"/>
    </row>
    <row r="933" spans="1:20">
      <c r="A933" s="227"/>
      <c r="B933" s="131" t="s">
        <v>1041</v>
      </c>
      <c r="C933" s="227">
        <v>93402</v>
      </c>
      <c r="H933" s="82"/>
      <c r="K933" s="82"/>
      <c r="P933" s="82"/>
    </row>
    <row r="934" spans="1:20">
      <c r="A934" s="227"/>
      <c r="B934" s="131" t="s">
        <v>2499</v>
      </c>
      <c r="C934" s="227">
        <v>90151</v>
      </c>
      <c r="H934" s="82"/>
      <c r="K934" s="82"/>
      <c r="P934" s="82"/>
    </row>
    <row r="935" spans="1:20">
      <c r="A935" s="227"/>
      <c r="B935" s="131" t="s">
        <v>1105</v>
      </c>
      <c r="C935" s="48">
        <v>94109</v>
      </c>
      <c r="H935" s="82"/>
      <c r="K935" s="82"/>
      <c r="P935" s="82"/>
    </row>
    <row r="936" spans="1:20">
      <c r="A936" s="227"/>
      <c r="B936" s="131" t="s">
        <v>738</v>
      </c>
      <c r="C936" s="48">
        <v>90101</v>
      </c>
      <c r="H936" s="82"/>
      <c r="K936" s="82"/>
      <c r="P936" s="82"/>
    </row>
    <row r="937" spans="1:20">
      <c r="A937" s="227"/>
      <c r="B937" s="131" t="s">
        <v>741</v>
      </c>
      <c r="C937" s="48">
        <v>90117</v>
      </c>
      <c r="H937" s="82"/>
      <c r="K937" s="82"/>
      <c r="P937" s="82"/>
    </row>
    <row r="938" spans="1:20">
      <c r="A938" s="227"/>
      <c r="B938" s="131" t="s">
        <v>1948</v>
      </c>
      <c r="C938" s="48">
        <v>98411</v>
      </c>
      <c r="H938" s="82"/>
      <c r="K938" s="82"/>
      <c r="P938" s="82"/>
    </row>
    <row r="939" spans="1:20">
      <c r="A939" s="227"/>
      <c r="B939" s="131" t="s">
        <v>1492</v>
      </c>
      <c r="C939" s="48">
        <v>98417</v>
      </c>
      <c r="H939" s="82"/>
      <c r="K939" s="82"/>
      <c r="P939" s="82"/>
    </row>
    <row r="940" spans="1:20">
      <c r="A940" s="227"/>
      <c r="B940" s="131" t="s">
        <v>1350</v>
      </c>
      <c r="C940" s="48">
        <v>97008</v>
      </c>
      <c r="H940" s="82"/>
      <c r="K940" s="82"/>
      <c r="P940" s="82"/>
    </row>
    <row r="941" spans="1:20">
      <c r="A941" s="227"/>
      <c r="B941" s="131" t="s">
        <v>1351</v>
      </c>
      <c r="C941" s="48">
        <v>97010</v>
      </c>
      <c r="H941" s="82"/>
      <c r="K941" s="82"/>
      <c r="P941" s="82"/>
    </row>
    <row r="942" spans="1:20">
      <c r="A942" s="227"/>
      <c r="B942" s="131" t="s">
        <v>735</v>
      </c>
      <c r="C942" s="48">
        <v>90096</v>
      </c>
      <c r="H942" s="82"/>
      <c r="K942" s="82"/>
      <c r="P942" s="82"/>
    </row>
    <row r="943" spans="1:20">
      <c r="A943" s="227"/>
      <c r="B943" s="131" t="s">
        <v>786</v>
      </c>
      <c r="C943" s="48">
        <v>90805</v>
      </c>
      <c r="H943" s="82"/>
      <c r="K943" s="82"/>
      <c r="P943" s="82"/>
    </row>
    <row r="944" spans="1:20">
      <c r="A944" s="227"/>
      <c r="B944" s="131" t="s">
        <v>929</v>
      </c>
      <c r="C944" s="48">
        <v>92109</v>
      </c>
      <c r="H944" s="82"/>
      <c r="K944" s="82"/>
      <c r="P944" s="82"/>
    </row>
    <row r="945" spans="1:16">
      <c r="A945" s="227"/>
      <c r="B945" s="131" t="s">
        <v>747</v>
      </c>
      <c r="C945" s="48">
        <v>90201</v>
      </c>
      <c r="H945" s="82"/>
      <c r="K945" s="82"/>
      <c r="P945" s="82"/>
    </row>
    <row r="946" spans="1:16">
      <c r="A946" s="227"/>
      <c r="B946" s="131" t="s">
        <v>750</v>
      </c>
      <c r="C946" s="48">
        <v>90206</v>
      </c>
      <c r="H946" s="82"/>
      <c r="K946" s="82"/>
      <c r="P946" s="82"/>
    </row>
    <row r="947" spans="1:16">
      <c r="A947" s="227"/>
      <c r="B947" s="131" t="s">
        <v>748</v>
      </c>
      <c r="C947" s="48">
        <v>90203</v>
      </c>
      <c r="H947" s="82"/>
      <c r="K947" s="82"/>
      <c r="P947" s="82"/>
    </row>
    <row r="948" spans="1:16">
      <c r="A948" s="227"/>
      <c r="B948" s="131" t="s">
        <v>749</v>
      </c>
      <c r="C948" s="48">
        <v>90205</v>
      </c>
      <c r="H948" s="82"/>
      <c r="K948" s="82"/>
      <c r="P948" s="82"/>
    </row>
    <row r="949" spans="1:16">
      <c r="A949" s="227"/>
      <c r="B949" s="131" t="s">
        <v>752</v>
      </c>
      <c r="C949" s="48">
        <v>90301</v>
      </c>
      <c r="H949" s="82"/>
      <c r="K949" s="82"/>
      <c r="P949" s="82"/>
    </row>
    <row r="950" spans="1:16">
      <c r="A950" s="227"/>
      <c r="B950" s="131" t="s">
        <v>1024</v>
      </c>
      <c r="C950" s="48">
        <v>93209</v>
      </c>
      <c r="H950" s="82"/>
      <c r="K950" s="82"/>
      <c r="P950" s="82"/>
    </row>
    <row r="951" spans="1:16">
      <c r="A951" s="227"/>
      <c r="B951" s="131" t="s">
        <v>2029</v>
      </c>
      <c r="C951" s="48">
        <v>92021</v>
      </c>
      <c r="H951" s="82"/>
      <c r="K951" s="82"/>
      <c r="P951" s="82"/>
    </row>
    <row r="952" spans="1:16">
      <c r="A952" s="227"/>
      <c r="B952" s="131" t="s">
        <v>2030</v>
      </c>
      <c r="C952" s="48">
        <v>94351</v>
      </c>
      <c r="H952" s="82"/>
      <c r="K952" s="82"/>
      <c r="P952" s="82"/>
    </row>
    <row r="953" spans="1:16">
      <c r="A953" s="227"/>
      <c r="B953" s="131" t="s">
        <v>2031</v>
      </c>
      <c r="C953" s="48">
        <v>94347</v>
      </c>
      <c r="H953" s="82"/>
      <c r="K953" s="82"/>
      <c r="P953" s="82"/>
    </row>
    <row r="954" spans="1:16">
      <c r="A954" s="227"/>
      <c r="B954" s="131" t="s">
        <v>755</v>
      </c>
      <c r="C954" s="227">
        <v>90401</v>
      </c>
      <c r="H954" s="82"/>
      <c r="K954" s="82"/>
      <c r="P954" s="82"/>
    </row>
    <row r="955" spans="1:16">
      <c r="A955" s="227"/>
      <c r="B955" s="131" t="s">
        <v>2032</v>
      </c>
      <c r="C955" s="48">
        <v>90451</v>
      </c>
      <c r="H955" s="82"/>
      <c r="K955" s="82"/>
      <c r="P955" s="82"/>
    </row>
    <row r="956" spans="1:16">
      <c r="A956" s="227"/>
      <c r="B956" s="131" t="s">
        <v>2033</v>
      </c>
      <c r="C956" s="48">
        <v>99271</v>
      </c>
      <c r="H956" s="82"/>
      <c r="K956" s="82"/>
      <c r="P956" s="82"/>
    </row>
    <row r="957" spans="1:16">
      <c r="A957" s="227"/>
      <c r="B957" s="131" t="s">
        <v>737</v>
      </c>
      <c r="C957" s="48">
        <v>90099</v>
      </c>
      <c r="H957" s="82"/>
      <c r="K957" s="82"/>
      <c r="P957" s="82"/>
    </row>
    <row r="958" spans="1:16">
      <c r="A958" s="227"/>
      <c r="B958" s="131" t="s">
        <v>1596</v>
      </c>
      <c r="C958" s="48">
        <v>99705</v>
      </c>
      <c r="H958" s="82"/>
      <c r="K958" s="82"/>
      <c r="P958" s="82"/>
    </row>
    <row r="959" spans="1:16">
      <c r="A959" s="227"/>
      <c r="B959" s="131" t="s">
        <v>1949</v>
      </c>
      <c r="C959" s="227">
        <v>97651</v>
      </c>
      <c r="H959" s="82"/>
      <c r="K959" s="82"/>
      <c r="P959" s="82"/>
    </row>
    <row r="960" spans="1:16">
      <c r="A960" s="227"/>
      <c r="B960" s="131" t="s">
        <v>2034</v>
      </c>
      <c r="C960" s="48">
        <v>95106</v>
      </c>
      <c r="H960" s="82"/>
      <c r="K960" s="82"/>
      <c r="P960" s="82"/>
    </row>
    <row r="961" spans="1:16">
      <c r="A961" s="227"/>
      <c r="B961" s="131" t="s">
        <v>764</v>
      </c>
      <c r="C961" s="48">
        <v>90501</v>
      </c>
      <c r="H961" s="82"/>
      <c r="K961" s="82"/>
      <c r="P961" s="82"/>
    </row>
    <row r="962" spans="1:16">
      <c r="A962" s="227"/>
      <c r="B962" s="131" t="s">
        <v>1950</v>
      </c>
      <c r="C962" s="48">
        <v>97611</v>
      </c>
      <c r="H962" s="82"/>
      <c r="K962" s="82"/>
      <c r="P962" s="82"/>
    </row>
    <row r="963" spans="1:16">
      <c r="A963" s="227"/>
      <c r="B963" s="131" t="s">
        <v>1393</v>
      </c>
      <c r="C963" s="48">
        <v>97607</v>
      </c>
      <c r="H963" s="82"/>
      <c r="K963" s="82"/>
      <c r="P963" s="82"/>
    </row>
    <row r="964" spans="1:16">
      <c r="A964" s="227"/>
      <c r="B964" s="131" t="s">
        <v>2753</v>
      </c>
      <c r="C964" s="48">
        <v>97613</v>
      </c>
      <c r="H964" s="82"/>
      <c r="K964" s="82"/>
      <c r="P964" s="82"/>
    </row>
    <row r="965" spans="1:16">
      <c r="A965" s="227"/>
      <c r="B965" s="131" t="s">
        <v>1951</v>
      </c>
      <c r="C965" s="48">
        <v>91121</v>
      </c>
      <c r="H965" s="82"/>
      <c r="K965" s="82"/>
      <c r="P965" s="82"/>
    </row>
    <row r="966" spans="1:16">
      <c r="A966" s="227"/>
      <c r="B966" s="131" t="s">
        <v>838</v>
      </c>
      <c r="C966" s="51">
        <v>91127</v>
      </c>
      <c r="H966" s="82"/>
      <c r="K966" s="82"/>
      <c r="P966" s="82"/>
    </row>
    <row r="967" spans="1:16">
      <c r="A967" s="227"/>
      <c r="B967" s="131" t="s">
        <v>839</v>
      </c>
      <c r="C967" s="48">
        <v>91128</v>
      </c>
      <c r="H967" s="82"/>
      <c r="K967" s="82"/>
      <c r="P967" s="82"/>
    </row>
    <row r="968" spans="1:16">
      <c r="A968" s="227"/>
      <c r="B968" s="131" t="s">
        <v>2035</v>
      </c>
      <c r="C968" s="227">
        <v>91681</v>
      </c>
      <c r="H968" s="82"/>
      <c r="K968" s="82"/>
      <c r="P968" s="82"/>
    </row>
    <row r="969" spans="1:16">
      <c r="A969" s="227"/>
      <c r="B969" s="131" t="s">
        <v>2036</v>
      </c>
      <c r="C969" s="48">
        <v>90811</v>
      </c>
      <c r="H969" s="82"/>
      <c r="K969" s="82"/>
      <c r="P969" s="82"/>
    </row>
    <row r="970" spans="1:16">
      <c r="A970" s="227"/>
      <c r="B970" s="131" t="s">
        <v>2038</v>
      </c>
      <c r="C970" s="48">
        <v>90721</v>
      </c>
      <c r="H970" s="82"/>
      <c r="K970" s="82"/>
      <c r="P970" s="82"/>
    </row>
    <row r="971" spans="1:16">
      <c r="A971" s="227"/>
      <c r="B971" s="131" t="s">
        <v>2037</v>
      </c>
      <c r="C971" s="48">
        <v>98271</v>
      </c>
      <c r="H971" s="82"/>
      <c r="K971" s="82"/>
      <c r="P971" s="82"/>
    </row>
    <row r="972" spans="1:16">
      <c r="A972" s="227"/>
      <c r="B972" s="131" t="s">
        <v>767</v>
      </c>
      <c r="C972" s="48">
        <v>90601</v>
      </c>
      <c r="H972" s="82"/>
      <c r="K972" s="82"/>
      <c r="P972" s="82"/>
    </row>
    <row r="973" spans="1:16">
      <c r="A973" s="227"/>
      <c r="B973" s="131" t="s">
        <v>259</v>
      </c>
      <c r="C973" s="48">
        <v>90602</v>
      </c>
      <c r="H973" s="82"/>
      <c r="K973" s="82"/>
      <c r="P973" s="82"/>
    </row>
    <row r="974" spans="1:16">
      <c r="A974" s="227"/>
      <c r="B974" s="131" t="s">
        <v>768</v>
      </c>
      <c r="C974" s="48">
        <v>90605</v>
      </c>
      <c r="H974" s="82"/>
      <c r="K974" s="82"/>
      <c r="P974" s="82"/>
    </row>
    <row r="975" spans="1:16">
      <c r="A975" s="227"/>
      <c r="B975" s="131" t="s">
        <v>2039</v>
      </c>
      <c r="C975" s="48">
        <v>97461</v>
      </c>
      <c r="H975" s="82"/>
      <c r="K975" s="82"/>
      <c r="P975" s="82"/>
    </row>
    <row r="976" spans="1:16">
      <c r="A976" s="227"/>
      <c r="B976" s="131" t="s">
        <v>1384</v>
      </c>
      <c r="C976" s="48">
        <v>97463</v>
      </c>
      <c r="H976" s="82"/>
      <c r="K976" s="82"/>
      <c r="P976" s="82"/>
    </row>
    <row r="977" spans="1:16">
      <c r="A977" s="227"/>
      <c r="B977" s="131" t="s">
        <v>777</v>
      </c>
      <c r="C977" s="227">
        <v>90705</v>
      </c>
      <c r="H977" s="82"/>
      <c r="K977" s="82"/>
      <c r="P977" s="82"/>
    </row>
    <row r="978" spans="1:16">
      <c r="A978" s="227"/>
      <c r="B978" s="131" t="s">
        <v>2040</v>
      </c>
      <c r="C978" s="48">
        <v>98451</v>
      </c>
      <c r="H978" s="82"/>
      <c r="K978" s="82"/>
      <c r="P978" s="82"/>
    </row>
    <row r="979" spans="1:16">
      <c r="A979" s="227"/>
      <c r="B979" s="131" t="s">
        <v>2041</v>
      </c>
      <c r="C979" s="48">
        <v>96451</v>
      </c>
      <c r="H979" s="82"/>
      <c r="K979" s="82"/>
      <c r="P979" s="82"/>
    </row>
    <row r="980" spans="1:16">
      <c r="A980" s="227"/>
      <c r="B980" s="131" t="s">
        <v>2042</v>
      </c>
      <c r="C980" s="48">
        <v>96121</v>
      </c>
      <c r="H980" s="82"/>
      <c r="K980" s="82"/>
      <c r="P980" s="82"/>
    </row>
    <row r="981" spans="1:16">
      <c r="A981" s="227"/>
      <c r="B981" s="131" t="s">
        <v>2500</v>
      </c>
      <c r="C981" s="48">
        <v>91091</v>
      </c>
      <c r="H981" s="82"/>
      <c r="K981" s="82"/>
      <c r="P981" s="82"/>
    </row>
    <row r="982" spans="1:16">
      <c r="A982" s="227"/>
      <c r="B982" s="131" t="s">
        <v>2043</v>
      </c>
      <c r="C982" s="48">
        <v>90611</v>
      </c>
      <c r="H982" s="82"/>
      <c r="K982" s="82"/>
      <c r="P982" s="82"/>
    </row>
    <row r="983" spans="1:16">
      <c r="A983" s="227"/>
      <c r="B983" s="131" t="s">
        <v>1345</v>
      </c>
      <c r="C983" s="48">
        <v>96918</v>
      </c>
      <c r="H983" s="82"/>
      <c r="K983" s="82"/>
      <c r="P983" s="82"/>
    </row>
    <row r="984" spans="1:16">
      <c r="A984" s="227"/>
      <c r="B984" s="131" t="s">
        <v>2044</v>
      </c>
      <c r="C984" s="48">
        <v>96911</v>
      </c>
      <c r="H984" s="82"/>
      <c r="K984" s="82"/>
      <c r="P984" s="82"/>
    </row>
    <row r="985" spans="1:16">
      <c r="A985" s="227"/>
      <c r="B985" s="131" t="s">
        <v>1547</v>
      </c>
      <c r="C985" s="48">
        <v>99208</v>
      </c>
      <c r="H985" s="82"/>
      <c r="K985" s="82"/>
      <c r="P985" s="82"/>
    </row>
    <row r="986" spans="1:16">
      <c r="A986" s="227"/>
      <c r="B986" s="131" t="s">
        <v>2045</v>
      </c>
      <c r="C986" s="48">
        <v>91631</v>
      </c>
      <c r="H986" s="82"/>
      <c r="K986" s="82"/>
      <c r="P986" s="82"/>
    </row>
    <row r="987" spans="1:16">
      <c r="A987" s="227"/>
      <c r="B987" s="131" t="s">
        <v>775</v>
      </c>
      <c r="C987" s="48">
        <v>90701</v>
      </c>
      <c r="H987" s="82"/>
      <c r="K987" s="82"/>
      <c r="P987" s="82"/>
    </row>
    <row r="988" spans="1:16">
      <c r="A988" s="227"/>
      <c r="B988" s="131" t="s">
        <v>776</v>
      </c>
      <c r="C988" s="48">
        <v>90704</v>
      </c>
      <c r="H988" s="82"/>
      <c r="K988" s="82"/>
      <c r="P988" s="82"/>
    </row>
    <row r="989" spans="1:16">
      <c r="A989" s="227"/>
      <c r="B989" s="131" t="s">
        <v>2756</v>
      </c>
      <c r="C989" s="48">
        <v>91633</v>
      </c>
      <c r="H989" s="82"/>
      <c r="K989" s="82"/>
      <c r="P989" s="82"/>
    </row>
    <row r="990" spans="1:16">
      <c r="A990" s="227"/>
      <c r="B990" s="131" t="s">
        <v>2046</v>
      </c>
      <c r="C990" s="48">
        <v>90631</v>
      </c>
      <c r="H990" s="82"/>
      <c r="K990" s="82"/>
      <c r="P990" s="82"/>
    </row>
    <row r="991" spans="1:16">
      <c r="A991" s="227"/>
      <c r="B991" s="131" t="s">
        <v>2047</v>
      </c>
      <c r="C991" s="48">
        <v>90731</v>
      </c>
      <c r="H991" s="82"/>
      <c r="K991" s="82"/>
      <c r="P991" s="82"/>
    </row>
    <row r="992" spans="1:16">
      <c r="A992" s="227"/>
      <c r="B992" s="131" t="s">
        <v>1952</v>
      </c>
      <c r="C992" s="48">
        <v>93621</v>
      </c>
      <c r="H992" s="82"/>
      <c r="K992" s="82"/>
      <c r="P992" s="82"/>
    </row>
    <row r="993" spans="1:16">
      <c r="A993" s="227"/>
      <c r="B993" s="131" t="s">
        <v>1070</v>
      </c>
      <c r="C993" s="48">
        <v>93623</v>
      </c>
      <c r="H993" s="82"/>
      <c r="K993" s="82"/>
      <c r="P993" s="82"/>
    </row>
    <row r="994" spans="1:16">
      <c r="A994" s="227"/>
      <c r="B994" s="131" t="s">
        <v>2048</v>
      </c>
      <c r="C994" s="48">
        <v>91020</v>
      </c>
      <c r="H994" s="82"/>
      <c r="K994" s="82"/>
      <c r="P994" s="82"/>
    </row>
    <row r="995" spans="1:16">
      <c r="A995" s="227"/>
      <c r="B995" s="131" t="s">
        <v>2049</v>
      </c>
      <c r="C995" s="48">
        <v>95141</v>
      </c>
      <c r="H995" s="82"/>
      <c r="K995" s="82"/>
      <c r="P995" s="82"/>
    </row>
    <row r="996" spans="1:16">
      <c r="A996" s="227"/>
      <c r="B996" s="131" t="s">
        <v>1190</v>
      </c>
      <c r="C996" s="48">
        <v>95103</v>
      </c>
      <c r="H996" s="82"/>
      <c r="K996" s="82"/>
      <c r="P996" s="82"/>
    </row>
    <row r="997" spans="1:16">
      <c r="A997" s="227"/>
      <c r="B997" s="131" t="s">
        <v>2050</v>
      </c>
      <c r="C997" s="48">
        <v>93021</v>
      </c>
      <c r="H997" s="82"/>
      <c r="K997" s="82"/>
      <c r="P997" s="82"/>
    </row>
    <row r="998" spans="1:16">
      <c r="A998" s="227"/>
      <c r="B998" s="131" t="s">
        <v>784</v>
      </c>
      <c r="C998" s="48">
        <v>90801</v>
      </c>
      <c r="H998" s="82"/>
      <c r="K998" s="82"/>
      <c r="P998" s="82"/>
    </row>
    <row r="999" spans="1:16">
      <c r="A999" s="227"/>
      <c r="B999" s="131" t="s">
        <v>785</v>
      </c>
      <c r="C999" s="48">
        <v>90804</v>
      </c>
      <c r="H999" s="82"/>
      <c r="K999" s="82"/>
      <c r="P999" s="82"/>
    </row>
    <row r="1000" spans="1:16">
      <c r="A1000" s="227"/>
      <c r="B1000" s="131" t="s">
        <v>787</v>
      </c>
      <c r="C1000" s="48">
        <v>90808</v>
      </c>
      <c r="H1000" s="82"/>
      <c r="K1000" s="82"/>
      <c r="P1000" s="82"/>
    </row>
    <row r="1001" spans="1:16">
      <c r="A1001" s="227"/>
      <c r="B1001" s="131" t="s">
        <v>1076</v>
      </c>
      <c r="C1001" s="48">
        <v>93671</v>
      </c>
      <c r="H1001" s="82"/>
      <c r="K1001" s="82"/>
      <c r="P1001" s="82"/>
    </row>
    <row r="1002" spans="1:16">
      <c r="A1002" s="227"/>
      <c r="B1002" s="131" t="s">
        <v>2776</v>
      </c>
      <c r="C1002" s="48">
        <v>93677</v>
      </c>
      <c r="H1002" s="82"/>
      <c r="K1002" s="82"/>
      <c r="P1002" s="82"/>
    </row>
    <row r="1003" spans="1:16">
      <c r="A1003" s="227"/>
      <c r="B1003" s="131" t="s">
        <v>2051</v>
      </c>
      <c r="C1003" s="227">
        <v>97441</v>
      </c>
      <c r="H1003" s="82"/>
      <c r="K1003" s="82"/>
      <c r="P1003" s="82"/>
    </row>
    <row r="1004" spans="1:16">
      <c r="A1004" s="227"/>
      <c r="B1004" s="131" t="s">
        <v>2052</v>
      </c>
      <c r="C1004" s="48">
        <v>93111</v>
      </c>
      <c r="H1004" s="82"/>
      <c r="K1004" s="82"/>
      <c r="P1004" s="82"/>
    </row>
    <row r="1005" spans="1:16">
      <c r="A1005" s="227"/>
      <c r="B1005" s="131" t="s">
        <v>2053</v>
      </c>
      <c r="C1005" s="48">
        <v>91111</v>
      </c>
      <c r="H1005" s="82"/>
      <c r="K1005" s="82"/>
      <c r="P1005" s="82"/>
    </row>
    <row r="1006" spans="1:16">
      <c r="A1006" s="227"/>
      <c r="B1006" s="131" t="s">
        <v>2054</v>
      </c>
      <c r="C1006" s="48">
        <v>96231</v>
      </c>
      <c r="H1006" s="82"/>
      <c r="K1006" s="82"/>
      <c r="P1006" s="82"/>
    </row>
    <row r="1007" spans="1:16">
      <c r="A1007" s="227"/>
      <c r="B1007" s="131" t="s">
        <v>2055</v>
      </c>
      <c r="C1007" s="51">
        <v>99831</v>
      </c>
      <c r="H1007" s="82"/>
      <c r="K1007" s="82"/>
      <c r="P1007" s="82"/>
    </row>
    <row r="1008" spans="1:16">
      <c r="A1008" s="227"/>
      <c r="B1008" s="131" t="s">
        <v>2056</v>
      </c>
      <c r="C1008" s="48">
        <v>91151</v>
      </c>
      <c r="H1008" s="82"/>
      <c r="K1008" s="82"/>
      <c r="P1008" s="82"/>
    </row>
    <row r="1009" spans="1:16">
      <c r="A1009" s="227"/>
      <c r="B1009" s="131" t="s">
        <v>844</v>
      </c>
      <c r="C1009" s="227">
        <v>91154</v>
      </c>
      <c r="H1009" s="82"/>
      <c r="K1009" s="82"/>
      <c r="P1009" s="82"/>
    </row>
    <row r="1010" spans="1:16">
      <c r="A1010" s="227"/>
      <c r="B1010" s="131" t="s">
        <v>792</v>
      </c>
      <c r="C1010" s="48">
        <v>90901</v>
      </c>
      <c r="H1010" s="82"/>
      <c r="K1010" s="82"/>
      <c r="P1010" s="82"/>
    </row>
    <row r="1011" spans="1:16">
      <c r="A1011" s="227"/>
      <c r="B1011" s="131" t="s">
        <v>2057</v>
      </c>
      <c r="C1011" s="48">
        <v>90941</v>
      </c>
      <c r="H1011" s="82"/>
      <c r="K1011" s="82"/>
      <c r="P1011" s="82"/>
    </row>
    <row r="1012" spans="1:16">
      <c r="A1012" s="227"/>
      <c r="B1012" s="131" t="s">
        <v>2058</v>
      </c>
      <c r="C1012" s="48">
        <v>99521</v>
      </c>
      <c r="H1012" s="82"/>
      <c r="K1012" s="82"/>
      <c r="P1012" s="82"/>
    </row>
    <row r="1013" spans="1:16">
      <c r="A1013" s="227"/>
      <c r="B1013" s="131" t="s">
        <v>1580</v>
      </c>
      <c r="C1013" s="48">
        <v>99527</v>
      </c>
      <c r="H1013" s="82"/>
      <c r="K1013" s="82"/>
      <c r="P1013" s="82"/>
    </row>
    <row r="1014" spans="1:16">
      <c r="A1014" s="227"/>
      <c r="B1014" s="131" t="s">
        <v>1576</v>
      </c>
      <c r="C1014" s="48">
        <v>99508</v>
      </c>
      <c r="H1014" s="82"/>
      <c r="K1014" s="82"/>
      <c r="P1014" s="82"/>
    </row>
    <row r="1015" spans="1:16">
      <c r="A1015" s="227"/>
      <c r="B1015" s="131" t="s">
        <v>1156</v>
      </c>
      <c r="C1015" s="48">
        <v>94532</v>
      </c>
      <c r="H1015" s="82"/>
      <c r="K1015" s="82"/>
      <c r="P1015" s="82"/>
    </row>
    <row r="1016" spans="1:16">
      <c r="A1016" s="227"/>
      <c r="B1016" s="131" t="s">
        <v>1953</v>
      </c>
      <c r="C1016" s="48">
        <v>91071</v>
      </c>
      <c r="H1016" s="82"/>
      <c r="K1016" s="82"/>
      <c r="P1016" s="82"/>
    </row>
    <row r="1017" spans="1:16">
      <c r="A1017" s="227"/>
      <c r="B1017" s="131" t="s">
        <v>826</v>
      </c>
      <c r="C1017" s="48">
        <v>91077</v>
      </c>
      <c r="H1017" s="82"/>
      <c r="K1017" s="82"/>
      <c r="P1017" s="82"/>
    </row>
    <row r="1018" spans="1:16">
      <c r="A1018" s="227"/>
      <c r="B1018" s="131" t="s">
        <v>2059</v>
      </c>
      <c r="C1018" s="48">
        <v>92331</v>
      </c>
      <c r="H1018" s="82"/>
      <c r="K1018" s="82"/>
      <c r="P1018" s="82"/>
    </row>
    <row r="1019" spans="1:16">
      <c r="A1019" s="227"/>
      <c r="B1019" s="131" t="s">
        <v>2060</v>
      </c>
      <c r="C1019" s="48">
        <v>92414</v>
      </c>
      <c r="H1019" s="82"/>
      <c r="K1019" s="82"/>
      <c r="P1019" s="82"/>
    </row>
    <row r="1020" spans="1:16">
      <c r="A1020" s="227"/>
      <c r="B1020" s="131" t="s">
        <v>2061</v>
      </c>
      <c r="C1020" s="48">
        <v>99511</v>
      </c>
      <c r="H1020" s="82"/>
      <c r="K1020" s="82"/>
      <c r="P1020" s="82"/>
    </row>
    <row r="1021" spans="1:16">
      <c r="A1021" s="227"/>
      <c r="B1021" s="131" t="s">
        <v>2062</v>
      </c>
      <c r="C1021" s="51">
        <v>99941</v>
      </c>
      <c r="H1021" s="82"/>
      <c r="K1021" s="82"/>
      <c r="P1021" s="82"/>
    </row>
    <row r="1022" spans="1:16">
      <c r="A1022" s="227"/>
      <c r="B1022" s="131" t="s">
        <v>1298</v>
      </c>
      <c r="C1022" s="48">
        <v>96405</v>
      </c>
      <c r="H1022" s="82"/>
      <c r="K1022" s="82"/>
      <c r="P1022" s="82"/>
    </row>
    <row r="1023" spans="1:16">
      <c r="A1023" s="227"/>
      <c r="B1023" s="131" t="s">
        <v>1954</v>
      </c>
      <c r="C1023" s="227">
        <v>98811</v>
      </c>
      <c r="H1023" s="82"/>
      <c r="K1023" s="82"/>
      <c r="P1023" s="82"/>
    </row>
    <row r="1024" spans="1:16">
      <c r="A1024" s="227"/>
      <c r="B1024" s="131" t="s">
        <v>1518</v>
      </c>
      <c r="C1024" s="48">
        <v>98817</v>
      </c>
      <c r="H1024" s="82"/>
      <c r="K1024" s="82"/>
      <c r="P1024" s="82"/>
    </row>
    <row r="1025" spans="1:16">
      <c r="A1025" s="227"/>
      <c r="B1025" s="131" t="s">
        <v>2063</v>
      </c>
      <c r="C1025" s="48">
        <v>92561</v>
      </c>
      <c r="H1025" s="82"/>
      <c r="K1025" s="82"/>
      <c r="P1025" s="82"/>
    </row>
    <row r="1026" spans="1:16">
      <c r="A1026" s="227"/>
      <c r="B1026" s="131" t="s">
        <v>1459</v>
      </c>
      <c r="C1026" s="48">
        <v>98102</v>
      </c>
      <c r="H1026" s="82"/>
      <c r="K1026" s="82"/>
      <c r="P1026" s="82"/>
    </row>
    <row r="1027" spans="1:16">
      <c r="A1027" s="227"/>
      <c r="B1027" s="131" t="s">
        <v>2064</v>
      </c>
      <c r="C1027" s="48">
        <v>95321</v>
      </c>
      <c r="H1027" s="82"/>
      <c r="K1027" s="82"/>
      <c r="P1027" s="82"/>
    </row>
    <row r="1028" spans="1:16">
      <c r="A1028" s="227"/>
      <c r="B1028" s="131" t="s">
        <v>2065</v>
      </c>
      <c r="C1028" s="48">
        <v>91861</v>
      </c>
      <c r="H1028" s="82"/>
      <c r="K1028" s="82"/>
      <c r="P1028" s="82"/>
    </row>
    <row r="1029" spans="1:16">
      <c r="A1029" s="227"/>
      <c r="B1029" s="131" t="s">
        <v>2066</v>
      </c>
      <c r="C1029" s="48">
        <v>92421</v>
      </c>
      <c r="H1029" s="82"/>
      <c r="K1029" s="82"/>
      <c r="P1029" s="82"/>
    </row>
    <row r="1030" spans="1:16">
      <c r="A1030" s="227"/>
      <c r="B1030" s="131" t="s">
        <v>799</v>
      </c>
      <c r="C1030" s="48">
        <v>91001</v>
      </c>
      <c r="H1030" s="82"/>
      <c r="K1030" s="82"/>
      <c r="P1030" s="82"/>
    </row>
    <row r="1031" spans="1:16">
      <c r="A1031" s="227"/>
      <c r="B1031" s="131" t="s">
        <v>802</v>
      </c>
      <c r="C1031" s="48">
        <v>91004</v>
      </c>
      <c r="H1031" s="82"/>
      <c r="K1031" s="82"/>
      <c r="P1031" s="82"/>
    </row>
    <row r="1032" spans="1:16">
      <c r="A1032" s="227"/>
      <c r="B1032" s="131" t="s">
        <v>2777</v>
      </c>
      <c r="C1032" s="48">
        <v>91006</v>
      </c>
      <c r="H1032" s="82"/>
      <c r="K1032" s="82"/>
      <c r="P1032" s="82"/>
    </row>
    <row r="1033" spans="1:16">
      <c r="A1033" s="227"/>
      <c r="B1033" s="131" t="s">
        <v>2778</v>
      </c>
      <c r="C1033" s="48">
        <v>91003</v>
      </c>
      <c r="H1033" s="82"/>
      <c r="K1033" s="82"/>
      <c r="P1033" s="82"/>
    </row>
    <row r="1034" spans="1:16">
      <c r="A1034" s="227"/>
      <c r="B1034" s="131" t="s">
        <v>806</v>
      </c>
      <c r="C1034" s="48">
        <v>91009</v>
      </c>
      <c r="H1034" s="82"/>
      <c r="K1034" s="82"/>
      <c r="P1034" s="82"/>
    </row>
    <row r="1035" spans="1:16">
      <c r="A1035" s="227"/>
      <c r="B1035" s="131" t="s">
        <v>819</v>
      </c>
      <c r="C1035" s="48">
        <v>91042</v>
      </c>
      <c r="H1035" s="82"/>
      <c r="K1035" s="82"/>
      <c r="P1035" s="82"/>
    </row>
    <row r="1036" spans="1:16">
      <c r="A1036" s="227"/>
      <c r="B1036" s="131" t="s">
        <v>2067</v>
      </c>
      <c r="C1036" s="48">
        <v>98711</v>
      </c>
      <c r="H1036" s="82"/>
      <c r="K1036" s="82"/>
      <c r="P1036" s="82"/>
    </row>
    <row r="1037" spans="1:16">
      <c r="A1037" s="227"/>
      <c r="B1037" s="131" t="s">
        <v>1515</v>
      </c>
      <c r="C1037" s="48">
        <v>98717</v>
      </c>
      <c r="H1037" s="82"/>
      <c r="K1037" s="82"/>
      <c r="P1037" s="82"/>
    </row>
    <row r="1038" spans="1:16">
      <c r="A1038" s="227"/>
      <c r="B1038" s="131" t="s">
        <v>829</v>
      </c>
      <c r="C1038" s="48">
        <v>91101</v>
      </c>
      <c r="H1038" s="82"/>
      <c r="K1038" s="82"/>
      <c r="P1038" s="82"/>
    </row>
    <row r="1039" spans="1:16">
      <c r="A1039" s="227"/>
      <c r="B1039" s="131" t="s">
        <v>2068</v>
      </c>
      <c r="C1039" s="48">
        <v>93531</v>
      </c>
      <c r="H1039" s="82"/>
      <c r="K1039" s="82"/>
      <c r="P1039" s="82"/>
    </row>
    <row r="1040" spans="1:16">
      <c r="A1040" s="227"/>
      <c r="B1040" s="131" t="s">
        <v>2751</v>
      </c>
      <c r="C1040" s="48">
        <v>93537</v>
      </c>
      <c r="H1040" s="82"/>
      <c r="K1040" s="82"/>
      <c r="P1040" s="82"/>
    </row>
    <row r="1041" spans="1:16">
      <c r="A1041" s="227"/>
      <c r="B1041" s="131" t="s">
        <v>2069</v>
      </c>
      <c r="C1041" s="48">
        <v>97111</v>
      </c>
      <c r="H1041" s="82"/>
      <c r="K1041" s="82"/>
      <c r="P1041" s="82"/>
    </row>
    <row r="1042" spans="1:16">
      <c r="A1042" s="227"/>
      <c r="B1042" s="131" t="s">
        <v>847</v>
      </c>
      <c r="C1042" s="48">
        <v>91201</v>
      </c>
      <c r="H1042" s="82"/>
      <c r="K1042" s="82"/>
      <c r="P1042" s="82"/>
    </row>
    <row r="1043" spans="1:16">
      <c r="A1043" s="227"/>
      <c r="B1043" s="131" t="s">
        <v>2779</v>
      </c>
      <c r="C1043" s="48">
        <v>91206</v>
      </c>
      <c r="H1043" s="82"/>
      <c r="K1043" s="82"/>
      <c r="P1043" s="82"/>
    </row>
    <row r="1044" spans="1:16">
      <c r="A1044" s="227"/>
      <c r="B1044" s="131" t="s">
        <v>2780</v>
      </c>
      <c r="C1044" s="48">
        <v>91203</v>
      </c>
      <c r="H1044" s="82"/>
      <c r="K1044" s="82"/>
      <c r="P1044" s="82"/>
    </row>
    <row r="1045" spans="1:16">
      <c r="A1045" s="227"/>
      <c r="B1045" s="131" t="s">
        <v>851</v>
      </c>
      <c r="C1045" s="48">
        <v>91208</v>
      </c>
      <c r="H1045" s="82"/>
      <c r="K1045" s="82"/>
      <c r="P1045" s="82"/>
    </row>
    <row r="1046" spans="1:16">
      <c r="A1046" s="227"/>
      <c r="B1046" s="131" t="s">
        <v>848</v>
      </c>
      <c r="C1046" s="48">
        <v>91202</v>
      </c>
      <c r="H1046" s="82"/>
      <c r="K1046" s="82"/>
      <c r="P1046" s="82"/>
    </row>
    <row r="1047" spans="1:16">
      <c r="A1047" s="227"/>
      <c r="B1047" s="131" t="s">
        <v>1955</v>
      </c>
      <c r="C1047" s="48">
        <v>90111</v>
      </c>
      <c r="H1047" s="82"/>
      <c r="K1047" s="82"/>
      <c r="P1047" s="82"/>
    </row>
    <row r="1048" spans="1:16">
      <c r="A1048" s="227"/>
      <c r="B1048" s="131" t="s">
        <v>2070</v>
      </c>
      <c r="C1048" s="227">
        <v>90011</v>
      </c>
      <c r="H1048" s="82"/>
      <c r="K1048" s="82"/>
      <c r="P1048" s="82"/>
    </row>
    <row r="1049" spans="1:16">
      <c r="A1049" s="227"/>
      <c r="B1049" s="131" t="s">
        <v>2071</v>
      </c>
      <c r="C1049" s="48">
        <v>93931</v>
      </c>
      <c r="H1049" s="82"/>
      <c r="K1049" s="82"/>
      <c r="P1049" s="82"/>
    </row>
    <row r="1050" spans="1:16">
      <c r="A1050" s="227"/>
      <c r="B1050" s="131" t="s">
        <v>862</v>
      </c>
      <c r="C1050" s="227">
        <v>91301</v>
      </c>
      <c r="H1050" s="82"/>
      <c r="K1050" s="82"/>
      <c r="P1050" s="82"/>
    </row>
    <row r="1051" spans="1:16">
      <c r="A1051" s="227"/>
      <c r="B1051" s="131" t="s">
        <v>2781</v>
      </c>
      <c r="C1051" s="48">
        <v>91306</v>
      </c>
      <c r="H1051" s="82"/>
      <c r="K1051" s="82"/>
      <c r="P1051" s="82"/>
    </row>
    <row r="1052" spans="1:16">
      <c r="A1052" s="227"/>
      <c r="B1052" s="131" t="s">
        <v>865</v>
      </c>
      <c r="C1052" s="48">
        <v>91308</v>
      </c>
      <c r="H1052" s="82"/>
      <c r="K1052" s="82"/>
      <c r="P1052" s="82"/>
    </row>
    <row r="1053" spans="1:16">
      <c r="A1053" s="227"/>
      <c r="B1053" s="131" t="s">
        <v>2072</v>
      </c>
      <c r="C1053" s="48">
        <v>91461</v>
      </c>
      <c r="H1053" s="82"/>
      <c r="K1053" s="82"/>
      <c r="P1053" s="82"/>
    </row>
    <row r="1054" spans="1:16">
      <c r="A1054" s="227"/>
      <c r="B1054" s="131" t="s">
        <v>2073</v>
      </c>
      <c r="C1054" s="48">
        <v>91010</v>
      </c>
      <c r="H1054" s="82"/>
      <c r="K1054" s="82"/>
      <c r="P1054" s="82"/>
    </row>
    <row r="1055" spans="1:16">
      <c r="A1055" s="227"/>
      <c r="B1055" s="131" t="s">
        <v>804</v>
      </c>
      <c r="C1055" s="48">
        <v>91007</v>
      </c>
      <c r="H1055" s="82"/>
      <c r="K1055" s="82"/>
      <c r="P1055" s="82"/>
    </row>
    <row r="1056" spans="1:16">
      <c r="A1056" s="227"/>
      <c r="B1056" s="131" t="s">
        <v>872</v>
      </c>
      <c r="C1056" s="48">
        <v>91401</v>
      </c>
      <c r="H1056" s="82"/>
      <c r="K1056" s="82"/>
      <c r="P1056" s="82"/>
    </row>
    <row r="1057" spans="1:16">
      <c r="A1057" s="227"/>
      <c r="B1057" s="131" t="s">
        <v>2074</v>
      </c>
      <c r="C1057" s="48">
        <v>93171</v>
      </c>
      <c r="H1057" s="82"/>
      <c r="K1057" s="82"/>
      <c r="P1057" s="82"/>
    </row>
    <row r="1058" spans="1:16">
      <c r="A1058" s="227"/>
      <c r="B1058" s="131" t="s">
        <v>882</v>
      </c>
      <c r="C1058" s="48">
        <v>91501</v>
      </c>
      <c r="H1058" s="82"/>
      <c r="K1058" s="82"/>
      <c r="P1058" s="82"/>
    </row>
    <row r="1059" spans="1:16">
      <c r="A1059" s="227"/>
      <c r="B1059" s="131" t="s">
        <v>883</v>
      </c>
      <c r="C1059" s="48">
        <v>91504</v>
      </c>
      <c r="H1059" s="82"/>
      <c r="K1059" s="82"/>
      <c r="P1059" s="82"/>
    </row>
    <row r="1060" spans="1:16">
      <c r="A1060" s="227"/>
      <c r="B1060" s="131" t="s">
        <v>2075</v>
      </c>
      <c r="C1060" s="48">
        <v>96312</v>
      </c>
      <c r="H1060" s="82"/>
      <c r="K1060" s="82"/>
      <c r="P1060" s="82"/>
    </row>
    <row r="1061" spans="1:16">
      <c r="A1061" s="227"/>
      <c r="B1061" s="131" t="s">
        <v>2076</v>
      </c>
      <c r="C1061" s="48">
        <v>96241</v>
      </c>
      <c r="H1061" s="82"/>
      <c r="K1061" s="82"/>
      <c r="P1061" s="82"/>
    </row>
    <row r="1062" spans="1:16">
      <c r="A1062" s="227"/>
      <c r="B1062" s="131" t="s">
        <v>2077</v>
      </c>
      <c r="C1062" s="48">
        <v>94431</v>
      </c>
      <c r="H1062" s="82"/>
      <c r="K1062" s="82"/>
      <c r="P1062" s="82"/>
    </row>
    <row r="1063" spans="1:16">
      <c r="A1063" s="227"/>
      <c r="B1063" s="131" t="s">
        <v>1148</v>
      </c>
      <c r="C1063" s="48">
        <v>94437</v>
      </c>
      <c r="H1063" s="82"/>
      <c r="K1063" s="82"/>
      <c r="P1063" s="82"/>
    </row>
    <row r="1064" spans="1:16">
      <c r="A1064" s="227"/>
      <c r="B1064" s="131" t="s">
        <v>2078</v>
      </c>
      <c r="C1064" s="48">
        <v>91671</v>
      </c>
      <c r="H1064" s="82"/>
      <c r="K1064" s="82"/>
      <c r="P1064" s="82"/>
    </row>
    <row r="1065" spans="1:16">
      <c r="A1065" s="227"/>
      <c r="B1065" s="131" t="s">
        <v>805</v>
      </c>
      <c r="C1065" s="48">
        <v>91008</v>
      </c>
      <c r="H1065" s="82"/>
      <c r="K1065" s="82"/>
      <c r="P1065" s="82"/>
    </row>
    <row r="1066" spans="1:16">
      <c r="A1066" s="227"/>
      <c r="B1066" s="131" t="s">
        <v>1312</v>
      </c>
      <c r="C1066" s="48">
        <v>96512</v>
      </c>
      <c r="H1066" s="82"/>
      <c r="K1066" s="82"/>
      <c r="P1066" s="82"/>
    </row>
    <row r="1067" spans="1:16">
      <c r="A1067" s="227"/>
      <c r="B1067" s="131" t="s">
        <v>1309</v>
      </c>
      <c r="C1067" s="48">
        <v>96507</v>
      </c>
      <c r="H1067" s="82"/>
      <c r="K1067" s="82"/>
      <c r="P1067" s="82"/>
    </row>
    <row r="1068" spans="1:16">
      <c r="A1068" s="227"/>
      <c r="B1068" s="131" t="s">
        <v>1640</v>
      </c>
      <c r="C1068" s="48">
        <v>91015</v>
      </c>
      <c r="H1068" s="82"/>
      <c r="K1068" s="82"/>
      <c r="P1068" s="82"/>
    </row>
    <row r="1069" spans="1:16">
      <c r="A1069" s="227"/>
      <c r="B1069" s="131" t="s">
        <v>2079</v>
      </c>
      <c r="C1069" s="48">
        <v>96521</v>
      </c>
      <c r="H1069" s="82"/>
      <c r="K1069" s="82"/>
      <c r="P1069" s="82"/>
    </row>
    <row r="1070" spans="1:16">
      <c r="A1070" s="227"/>
      <c r="B1070" s="131" t="s">
        <v>2080</v>
      </c>
      <c r="C1070" s="48">
        <v>91024</v>
      </c>
      <c r="H1070" s="82"/>
      <c r="K1070" s="82"/>
      <c r="P1070" s="82"/>
    </row>
    <row r="1071" spans="1:16">
      <c r="A1071" s="227"/>
      <c r="B1071" s="131" t="s">
        <v>2081</v>
      </c>
      <c r="C1071" s="48">
        <v>96821</v>
      </c>
      <c r="H1071" s="82"/>
      <c r="K1071" s="82"/>
      <c r="P1071" s="82"/>
    </row>
    <row r="1072" spans="1:16">
      <c r="A1072" s="227"/>
      <c r="B1072" s="131" t="s">
        <v>884</v>
      </c>
      <c r="C1072" s="48">
        <v>91601</v>
      </c>
      <c r="H1072" s="82"/>
      <c r="K1072" s="82"/>
      <c r="P1072" s="82"/>
    </row>
    <row r="1073" spans="1:16">
      <c r="A1073" s="51"/>
      <c r="B1073" s="131" t="s">
        <v>885</v>
      </c>
      <c r="C1073" s="48">
        <v>91604</v>
      </c>
      <c r="H1073" s="82"/>
      <c r="K1073" s="82"/>
      <c r="P1073" s="82"/>
    </row>
    <row r="1074" spans="1:16">
      <c r="A1074" s="51"/>
      <c r="B1074" s="131" t="s">
        <v>2082</v>
      </c>
      <c r="C1074" s="48">
        <v>96391</v>
      </c>
      <c r="H1074" s="82"/>
      <c r="K1074" s="82"/>
      <c r="P1074" s="82"/>
    </row>
    <row r="1075" spans="1:16">
      <c r="A1075" s="51"/>
      <c r="B1075" s="131" t="s">
        <v>2083</v>
      </c>
      <c r="C1075" s="48">
        <v>99221</v>
      </c>
      <c r="H1075" s="82"/>
      <c r="K1075" s="82"/>
      <c r="P1075" s="82"/>
    </row>
    <row r="1076" spans="1:16">
      <c r="A1076" s="227"/>
      <c r="B1076" s="131" t="s">
        <v>2084</v>
      </c>
      <c r="C1076" s="48">
        <v>91051</v>
      </c>
      <c r="H1076" s="82"/>
      <c r="K1076" s="82"/>
      <c r="P1076" s="82"/>
    </row>
    <row r="1077" spans="1:16">
      <c r="A1077" s="227"/>
      <c r="B1077" s="131" t="s">
        <v>897</v>
      </c>
      <c r="C1077" s="48">
        <v>91701</v>
      </c>
      <c r="H1077" s="82"/>
      <c r="K1077" s="82"/>
      <c r="P1077" s="82"/>
    </row>
    <row r="1078" spans="1:16">
      <c r="A1078" s="227"/>
      <c r="B1078" s="131" t="s">
        <v>898</v>
      </c>
      <c r="C1078" s="48">
        <v>91704</v>
      </c>
      <c r="H1078" s="82"/>
      <c r="K1078" s="82"/>
      <c r="P1078" s="82"/>
    </row>
    <row r="1079" spans="1:16">
      <c r="A1079" s="227"/>
      <c r="B1079" s="131" t="s">
        <v>2782</v>
      </c>
      <c r="C1079" s="48">
        <v>91706</v>
      </c>
      <c r="H1079" s="82"/>
      <c r="K1079" s="82"/>
      <c r="P1079" s="82"/>
    </row>
    <row r="1080" spans="1:16">
      <c r="A1080" s="227"/>
      <c r="B1080" s="131" t="s">
        <v>2085</v>
      </c>
      <c r="C1080" s="48">
        <v>91881</v>
      </c>
      <c r="H1080" s="82"/>
      <c r="K1080" s="82"/>
      <c r="P1080" s="82"/>
    </row>
    <row r="1081" spans="1:16">
      <c r="A1081" s="227"/>
      <c r="B1081" s="131" t="s">
        <v>901</v>
      </c>
      <c r="C1081" s="48">
        <v>91801</v>
      </c>
      <c r="H1081" s="82"/>
      <c r="K1081" s="82"/>
      <c r="P1081" s="82"/>
    </row>
    <row r="1082" spans="1:16">
      <c r="A1082" s="227"/>
      <c r="B1082" s="131" t="s">
        <v>902</v>
      </c>
      <c r="C1082" s="48">
        <v>91804</v>
      </c>
      <c r="H1082" s="82"/>
      <c r="K1082" s="82"/>
      <c r="P1082" s="82"/>
    </row>
    <row r="1083" spans="1:16">
      <c r="A1083" s="227"/>
      <c r="B1083" s="131" t="s">
        <v>2086</v>
      </c>
      <c r="C1083" s="48">
        <v>91691</v>
      </c>
      <c r="H1083" s="82"/>
      <c r="K1083" s="82"/>
      <c r="P1083" s="82"/>
    </row>
    <row r="1084" spans="1:16">
      <c r="A1084" s="227"/>
      <c r="B1084" s="131" t="s">
        <v>1554</v>
      </c>
      <c r="C1084" s="48">
        <v>99222</v>
      </c>
      <c r="H1084" s="82"/>
      <c r="K1084" s="82"/>
      <c r="P1084" s="82"/>
    </row>
    <row r="1085" spans="1:16">
      <c r="A1085" s="227"/>
      <c r="B1085" s="131" t="s">
        <v>1043</v>
      </c>
      <c r="C1085" s="48">
        <v>93408</v>
      </c>
      <c r="H1085" s="82"/>
      <c r="K1085" s="82"/>
      <c r="P1085" s="82"/>
    </row>
    <row r="1086" spans="1:16">
      <c r="A1086" s="227"/>
      <c r="B1086" s="131" t="s">
        <v>1258</v>
      </c>
      <c r="C1086" s="48">
        <v>96009</v>
      </c>
      <c r="H1086" s="82"/>
      <c r="K1086" s="82"/>
      <c r="P1086" s="82"/>
    </row>
    <row r="1087" spans="1:16">
      <c r="A1087" s="227"/>
      <c r="B1087" s="131" t="s">
        <v>2087</v>
      </c>
      <c r="C1087" s="48">
        <v>92441</v>
      </c>
      <c r="H1087" s="82"/>
      <c r="K1087" s="82"/>
      <c r="P1087" s="82"/>
    </row>
    <row r="1088" spans="1:16">
      <c r="A1088" s="227"/>
      <c r="B1088" s="131" t="s">
        <v>2088</v>
      </c>
      <c r="C1088" s="48">
        <v>96811</v>
      </c>
      <c r="H1088" s="82"/>
      <c r="K1088" s="82"/>
      <c r="P1088" s="82"/>
    </row>
    <row r="1089" spans="1:16">
      <c r="A1089" s="227"/>
      <c r="B1089" s="131" t="s">
        <v>1956</v>
      </c>
      <c r="C1089" s="48">
        <v>96011</v>
      </c>
      <c r="H1089" s="82"/>
      <c r="K1089" s="82"/>
      <c r="P1089" s="82"/>
    </row>
    <row r="1090" spans="1:16">
      <c r="A1090" s="227"/>
      <c r="B1090" s="131" t="s">
        <v>1261</v>
      </c>
      <c r="C1090" s="48">
        <v>96018</v>
      </c>
      <c r="H1090" s="82"/>
      <c r="K1090" s="82"/>
      <c r="P1090" s="82"/>
    </row>
    <row r="1091" spans="1:16">
      <c r="A1091" s="227"/>
      <c r="B1091" s="131" t="s">
        <v>1254</v>
      </c>
      <c r="C1091" s="48">
        <v>96003</v>
      </c>
      <c r="H1091" s="82"/>
      <c r="K1091" s="82"/>
      <c r="P1091" s="82"/>
    </row>
    <row r="1092" spans="1:16">
      <c r="A1092" s="227"/>
      <c r="B1092" s="131" t="s">
        <v>1256</v>
      </c>
      <c r="C1092" s="48">
        <v>96005</v>
      </c>
      <c r="H1092" s="82"/>
      <c r="K1092" s="82"/>
      <c r="P1092" s="82"/>
    </row>
    <row r="1093" spans="1:16">
      <c r="A1093" s="227"/>
      <c r="B1093" s="131" t="s">
        <v>1260</v>
      </c>
      <c r="C1093" s="48">
        <v>96012</v>
      </c>
      <c r="H1093" s="82"/>
      <c r="K1093" s="82"/>
      <c r="P1093" s="82"/>
    </row>
    <row r="1094" spans="1:16">
      <c r="A1094" s="227"/>
      <c r="B1094" s="131" t="s">
        <v>915</v>
      </c>
      <c r="C1094" s="48">
        <v>91901</v>
      </c>
      <c r="H1094" s="82"/>
      <c r="K1094" s="82"/>
      <c r="P1094" s="82"/>
    </row>
    <row r="1095" spans="1:16">
      <c r="A1095" s="227"/>
      <c r="B1095" s="131" t="s">
        <v>917</v>
      </c>
      <c r="C1095" s="48">
        <v>91904</v>
      </c>
      <c r="H1095" s="82"/>
      <c r="K1095" s="82"/>
      <c r="P1095" s="82"/>
    </row>
    <row r="1096" spans="1:16">
      <c r="A1096" s="227"/>
      <c r="B1096" s="131" t="s">
        <v>2783</v>
      </c>
      <c r="C1096" s="48">
        <v>91903</v>
      </c>
      <c r="H1096" s="82"/>
      <c r="K1096" s="82"/>
      <c r="P1096" s="82"/>
    </row>
    <row r="1097" spans="1:16">
      <c r="A1097" s="227"/>
      <c r="B1097" s="131" t="s">
        <v>922</v>
      </c>
      <c r="C1097" s="48">
        <v>92001</v>
      </c>
      <c r="H1097" s="82"/>
      <c r="K1097" s="82"/>
      <c r="P1097" s="82"/>
    </row>
    <row r="1098" spans="1:16">
      <c r="A1098" s="227"/>
      <c r="B1098" s="131" t="s">
        <v>1957</v>
      </c>
      <c r="C1098" s="48">
        <v>93641</v>
      </c>
      <c r="H1098" s="82"/>
      <c r="K1098" s="82"/>
      <c r="P1098" s="82"/>
    </row>
    <row r="1099" spans="1:16">
      <c r="A1099" s="227"/>
      <c r="B1099" s="131" t="s">
        <v>1073</v>
      </c>
      <c r="C1099" s="227">
        <v>93647</v>
      </c>
      <c r="H1099" s="82"/>
      <c r="K1099" s="82"/>
      <c r="P1099" s="82"/>
    </row>
    <row r="1100" spans="1:16">
      <c r="A1100" s="227"/>
      <c r="B1100" s="131" t="s">
        <v>2089</v>
      </c>
      <c r="C1100" s="48">
        <v>98041</v>
      </c>
      <c r="H1100" s="82"/>
      <c r="K1100" s="82"/>
      <c r="P1100" s="82"/>
    </row>
    <row r="1101" spans="1:16">
      <c r="A1101" s="227"/>
      <c r="B1101" s="131" t="s">
        <v>2767</v>
      </c>
      <c r="C1101" s="48">
        <v>96612</v>
      </c>
      <c r="H1101" s="82"/>
      <c r="K1101" s="82"/>
      <c r="P1101" s="82"/>
    </row>
    <row r="1102" spans="1:16">
      <c r="A1102" s="227"/>
      <c r="B1102" s="131" t="s">
        <v>2090</v>
      </c>
      <c r="C1102" s="48">
        <v>90751</v>
      </c>
      <c r="H1102" s="82"/>
      <c r="K1102" s="82"/>
      <c r="P1102" s="82"/>
    </row>
    <row r="1103" spans="1:16">
      <c r="A1103" s="227"/>
      <c r="B1103" s="131" t="s">
        <v>927</v>
      </c>
      <c r="C1103" s="48">
        <v>92101</v>
      </c>
      <c r="H1103" s="82"/>
      <c r="K1103" s="82"/>
      <c r="P1103" s="82"/>
    </row>
    <row r="1104" spans="1:16">
      <c r="A1104" s="227"/>
      <c r="B1104" s="131" t="s">
        <v>928</v>
      </c>
      <c r="C1104" s="48">
        <v>92104</v>
      </c>
      <c r="H1104" s="82"/>
      <c r="K1104" s="82"/>
      <c r="P1104" s="82"/>
    </row>
    <row r="1105" spans="1:16">
      <c r="A1105" s="227"/>
      <c r="B1105" s="131" t="s">
        <v>1958</v>
      </c>
      <c r="C1105" s="48">
        <v>91821</v>
      </c>
      <c r="H1105" s="82"/>
      <c r="K1105" s="82"/>
      <c r="P1105" s="82"/>
    </row>
    <row r="1106" spans="1:16">
      <c r="A1106" s="227"/>
      <c r="B1106" s="131" t="s">
        <v>2091</v>
      </c>
      <c r="C1106" s="227">
        <v>90931</v>
      </c>
      <c r="H1106" s="82"/>
      <c r="K1106" s="82"/>
      <c r="P1106" s="82"/>
    </row>
    <row r="1107" spans="1:16">
      <c r="A1107" s="227"/>
      <c r="B1107" s="131" t="s">
        <v>932</v>
      </c>
      <c r="C1107" s="48">
        <v>92201</v>
      </c>
      <c r="H1107" s="82"/>
      <c r="K1107" s="82"/>
      <c r="P1107" s="82"/>
    </row>
    <row r="1108" spans="1:16">
      <c r="A1108" s="227"/>
      <c r="B1108" s="252" t="s">
        <v>1931</v>
      </c>
      <c r="C1108" s="48">
        <v>92214</v>
      </c>
      <c r="H1108" s="82"/>
      <c r="K1108" s="82"/>
      <c r="P1108" s="82"/>
    </row>
    <row r="1109" spans="1:16">
      <c r="A1109" s="227"/>
      <c r="B1109" s="131" t="s">
        <v>2092</v>
      </c>
      <c r="C1109" s="48">
        <v>95131</v>
      </c>
      <c r="H1109" s="82"/>
      <c r="K1109" s="82"/>
      <c r="P1109" s="82"/>
    </row>
    <row r="1110" spans="1:16">
      <c r="A1110" s="227"/>
      <c r="B1110" s="131" t="s">
        <v>2501</v>
      </c>
      <c r="C1110" s="48">
        <v>93441</v>
      </c>
      <c r="H1110" s="82"/>
      <c r="K1110" s="82"/>
      <c r="P1110" s="82"/>
    </row>
    <row r="1111" spans="1:16">
      <c r="A1111" s="227"/>
      <c r="B1111" s="131" t="s">
        <v>1050</v>
      </c>
      <c r="C1111" s="48">
        <v>93442</v>
      </c>
      <c r="H1111" s="82"/>
      <c r="K1111" s="82"/>
      <c r="P1111" s="82"/>
    </row>
    <row r="1112" spans="1:16">
      <c r="A1112" s="227"/>
      <c r="B1112" s="131" t="s">
        <v>2093</v>
      </c>
      <c r="C1112" s="48">
        <v>98091</v>
      </c>
      <c r="H1112" s="82"/>
      <c r="K1112" s="82"/>
      <c r="P1112" s="82"/>
    </row>
    <row r="1113" spans="1:16">
      <c r="A1113" s="227"/>
      <c r="B1113" s="131" t="s">
        <v>933</v>
      </c>
      <c r="C1113" s="48">
        <v>92301</v>
      </c>
      <c r="H1113" s="82"/>
      <c r="K1113" s="82"/>
      <c r="P1113" s="82"/>
    </row>
    <row r="1114" spans="1:16">
      <c r="A1114" s="227"/>
      <c r="B1114" s="131" t="s">
        <v>934</v>
      </c>
      <c r="C1114" s="48">
        <v>92302</v>
      </c>
      <c r="H1114" s="82"/>
      <c r="K1114" s="82"/>
      <c r="P1114" s="82"/>
    </row>
    <row r="1115" spans="1:16">
      <c r="A1115" s="227"/>
      <c r="B1115" s="131" t="s">
        <v>1959</v>
      </c>
      <c r="C1115" s="48">
        <v>98211</v>
      </c>
      <c r="H1115" s="82"/>
      <c r="K1115" s="82"/>
      <c r="P1115" s="82"/>
    </row>
    <row r="1116" spans="1:16">
      <c r="A1116" s="227"/>
      <c r="B1116" s="131" t="s">
        <v>1473</v>
      </c>
      <c r="C1116" s="48">
        <v>98218</v>
      </c>
      <c r="H1116" s="82"/>
      <c r="K1116" s="82"/>
      <c r="P1116" s="82"/>
    </row>
    <row r="1117" spans="1:16">
      <c r="A1117" s="227"/>
      <c r="B1117" s="131" t="s">
        <v>957</v>
      </c>
      <c r="C1117" s="48">
        <v>92506</v>
      </c>
      <c r="H1117" s="82"/>
      <c r="K1117" s="82"/>
      <c r="P1117" s="82"/>
    </row>
    <row r="1118" spans="1:16">
      <c r="A1118" s="227"/>
      <c r="B1118" s="131" t="s">
        <v>2760</v>
      </c>
      <c r="C1118" s="48">
        <v>92508</v>
      </c>
      <c r="H1118" s="82"/>
      <c r="K1118" s="82"/>
      <c r="P1118" s="82"/>
    </row>
    <row r="1119" spans="1:16">
      <c r="A1119" s="227"/>
      <c r="B1119" s="131" t="s">
        <v>1619</v>
      </c>
      <c r="C1119" s="48">
        <v>96519</v>
      </c>
      <c r="H1119" s="82"/>
      <c r="K1119" s="82"/>
      <c r="P1119" s="82"/>
    </row>
    <row r="1120" spans="1:16">
      <c r="A1120" s="227"/>
      <c r="B1120" s="131" t="s">
        <v>2094</v>
      </c>
      <c r="C1120" s="48">
        <v>94341</v>
      </c>
      <c r="H1120" s="82"/>
      <c r="K1120" s="82"/>
      <c r="P1120" s="82"/>
    </row>
    <row r="1121" spans="1:16">
      <c r="A1121" s="227"/>
      <c r="B1121" s="131" t="s">
        <v>2095</v>
      </c>
      <c r="C1121" s="48">
        <v>94641</v>
      </c>
      <c r="H1121" s="82"/>
      <c r="K1121" s="82"/>
      <c r="P1121" s="82"/>
    </row>
    <row r="1122" spans="1:16">
      <c r="A1122" s="227"/>
      <c r="B1122" s="131" t="s">
        <v>2096</v>
      </c>
      <c r="C1122" s="48">
        <v>90813</v>
      </c>
      <c r="H1122" s="82"/>
      <c r="K1122" s="82"/>
      <c r="P1122" s="82"/>
    </row>
    <row r="1123" spans="1:16">
      <c r="A1123" s="227"/>
      <c r="B1123" s="131" t="s">
        <v>1116</v>
      </c>
      <c r="C1123" s="227">
        <v>94168</v>
      </c>
      <c r="H1123" s="82"/>
      <c r="K1123" s="82"/>
      <c r="P1123" s="82"/>
    </row>
    <row r="1124" spans="1:16">
      <c r="A1124" s="227"/>
      <c r="B1124" s="131" t="s">
        <v>2097</v>
      </c>
      <c r="C1124" s="48">
        <v>98911</v>
      </c>
      <c r="H1124" s="82"/>
      <c r="K1124" s="82"/>
      <c r="P1124" s="82"/>
    </row>
    <row r="1125" spans="1:16">
      <c r="A1125" s="227"/>
      <c r="B1125" s="131" t="s">
        <v>2098</v>
      </c>
      <c r="C1125" s="48">
        <v>97521</v>
      </c>
      <c r="H1125" s="82"/>
      <c r="K1125" s="82"/>
      <c r="P1125" s="82"/>
    </row>
    <row r="1126" spans="1:16">
      <c r="A1126" s="227"/>
      <c r="B1126" s="131" t="s">
        <v>1641</v>
      </c>
      <c r="C1126" s="48">
        <v>97527</v>
      </c>
      <c r="H1126" s="82"/>
      <c r="K1126" s="82"/>
      <c r="P1126" s="82"/>
    </row>
    <row r="1127" spans="1:16">
      <c r="A1127" s="227"/>
      <c r="B1127" s="131" t="s">
        <v>942</v>
      </c>
      <c r="C1127" s="48">
        <v>92401</v>
      </c>
      <c r="H1127" s="82"/>
      <c r="K1127" s="82"/>
      <c r="P1127" s="82"/>
    </row>
    <row r="1128" spans="1:16">
      <c r="A1128" s="227"/>
      <c r="B1128" s="131" t="s">
        <v>1960</v>
      </c>
      <c r="C1128" s="48">
        <v>91311</v>
      </c>
      <c r="H1128" s="82"/>
      <c r="K1128" s="82"/>
      <c r="P1128" s="82"/>
    </row>
    <row r="1129" spans="1:16">
      <c r="A1129" s="227"/>
      <c r="B1129" s="131" t="s">
        <v>867</v>
      </c>
      <c r="C1129" s="48">
        <v>91317</v>
      </c>
      <c r="H1129" s="82"/>
      <c r="K1129" s="82"/>
      <c r="P1129" s="82"/>
    </row>
    <row r="1130" spans="1:16">
      <c r="A1130" s="227"/>
      <c r="B1130" s="131" t="s">
        <v>2099</v>
      </c>
      <c r="C1130" s="48">
        <v>91261</v>
      </c>
      <c r="H1130" s="82"/>
      <c r="K1130" s="82"/>
      <c r="P1130" s="82"/>
    </row>
    <row r="1131" spans="1:16">
      <c r="A1131" s="227"/>
      <c r="B1131" s="131" t="s">
        <v>2100</v>
      </c>
      <c r="C1131" s="48">
        <v>91851</v>
      </c>
      <c r="H1131" s="82"/>
      <c r="K1131" s="82"/>
      <c r="P1131" s="82"/>
    </row>
    <row r="1132" spans="1:16">
      <c r="A1132" s="227"/>
      <c r="B1132" s="131" t="s">
        <v>1374</v>
      </c>
      <c r="C1132" s="48">
        <v>97408</v>
      </c>
      <c r="H1132" s="82"/>
      <c r="K1132" s="82"/>
      <c r="P1132" s="82"/>
    </row>
    <row r="1133" spans="1:16">
      <c r="A1133" s="227"/>
      <c r="B1133" s="131" t="s">
        <v>2101</v>
      </c>
      <c r="C1133" s="48">
        <v>96641</v>
      </c>
      <c r="H1133" s="82"/>
      <c r="K1133" s="82"/>
      <c r="P1133" s="82"/>
    </row>
    <row r="1134" spans="1:16">
      <c r="A1134" s="227"/>
      <c r="B1134" s="131" t="s">
        <v>2102</v>
      </c>
      <c r="C1134" s="48">
        <v>93031</v>
      </c>
      <c r="H1134" s="82"/>
      <c r="K1134" s="82"/>
      <c r="P1134" s="82"/>
    </row>
    <row r="1135" spans="1:16">
      <c r="A1135" s="227"/>
      <c r="B1135" s="131" t="s">
        <v>1005</v>
      </c>
      <c r="C1135" s="48">
        <v>93027</v>
      </c>
      <c r="H1135" s="82"/>
      <c r="K1135" s="82"/>
      <c r="P1135" s="82"/>
    </row>
    <row r="1136" spans="1:16">
      <c r="A1136" s="227"/>
      <c r="B1136" s="131" t="s">
        <v>2103</v>
      </c>
      <c r="C1136" s="48">
        <v>96051</v>
      </c>
      <c r="H1136" s="82"/>
      <c r="K1136" s="82"/>
      <c r="P1136" s="82"/>
    </row>
    <row r="1137" spans="1:16">
      <c r="A1137" s="227"/>
      <c r="B1137" s="131" t="s">
        <v>2104</v>
      </c>
      <c r="C1137" s="48">
        <v>92571</v>
      </c>
      <c r="H1137" s="82"/>
      <c r="K1137" s="82"/>
      <c r="P1137" s="82"/>
    </row>
    <row r="1138" spans="1:16">
      <c r="A1138" s="227"/>
      <c r="B1138" s="131" t="s">
        <v>2105</v>
      </c>
      <c r="C1138" s="48">
        <v>93631</v>
      </c>
      <c r="H1138" s="82"/>
      <c r="K1138" s="82"/>
      <c r="P1138" s="82"/>
    </row>
    <row r="1139" spans="1:16">
      <c r="A1139" s="227"/>
      <c r="B1139" s="252" t="s">
        <v>1932</v>
      </c>
      <c r="C1139" s="48">
        <v>93604</v>
      </c>
      <c r="H1139" s="82"/>
      <c r="K1139" s="82"/>
      <c r="P1139" s="82"/>
    </row>
    <row r="1140" spans="1:16">
      <c r="A1140" s="227"/>
      <c r="B1140" s="131" t="s">
        <v>955</v>
      </c>
      <c r="C1140" s="48">
        <v>92504</v>
      </c>
      <c r="H1140" s="82"/>
      <c r="K1140" s="82"/>
      <c r="P1140" s="82"/>
    </row>
    <row r="1141" spans="1:16">
      <c r="A1141" s="227"/>
      <c r="B1141" s="131" t="s">
        <v>953</v>
      </c>
      <c r="C1141" s="48">
        <v>92501</v>
      </c>
      <c r="H1141" s="82"/>
      <c r="K1141" s="82"/>
      <c r="P1141" s="82"/>
    </row>
    <row r="1142" spans="1:16">
      <c r="A1142" s="227"/>
      <c r="B1142" s="131" t="s">
        <v>956</v>
      </c>
      <c r="C1142" s="48">
        <v>92505</v>
      </c>
      <c r="H1142" s="82"/>
      <c r="K1142" s="82"/>
      <c r="P1142" s="82"/>
    </row>
    <row r="1143" spans="1:16">
      <c r="A1143" s="227"/>
      <c r="B1143" s="131" t="s">
        <v>1961</v>
      </c>
      <c r="C1143" s="48">
        <v>93921</v>
      </c>
      <c r="H1143" s="82"/>
      <c r="K1143" s="82"/>
      <c r="P1143" s="82"/>
    </row>
    <row r="1144" spans="1:16">
      <c r="A1144" s="227"/>
      <c r="B1144" s="131" t="s">
        <v>2106</v>
      </c>
      <c r="C1144" s="48">
        <v>99431</v>
      </c>
      <c r="H1144" s="82"/>
      <c r="K1144" s="82"/>
      <c r="P1144" s="82"/>
    </row>
    <row r="1145" spans="1:16">
      <c r="A1145" s="227"/>
      <c r="B1145" s="131" t="s">
        <v>970</v>
      </c>
      <c r="C1145" s="48">
        <v>92604</v>
      </c>
      <c r="H1145" s="82"/>
      <c r="K1145" s="82"/>
      <c r="P1145" s="82"/>
    </row>
    <row r="1146" spans="1:16">
      <c r="A1146" s="227"/>
      <c r="B1146" s="131" t="s">
        <v>968</v>
      </c>
      <c r="C1146" s="48">
        <v>92601</v>
      </c>
      <c r="H1146" s="82"/>
      <c r="K1146" s="82"/>
      <c r="P1146" s="82"/>
    </row>
    <row r="1147" spans="1:16">
      <c r="A1147" s="227"/>
      <c r="B1147" s="131" t="s">
        <v>972</v>
      </c>
      <c r="C1147" s="48">
        <v>92608</v>
      </c>
      <c r="H1147" s="82"/>
      <c r="K1147" s="82"/>
      <c r="P1147" s="82"/>
    </row>
    <row r="1148" spans="1:16">
      <c r="A1148" s="227"/>
      <c r="B1148" s="131" t="s">
        <v>984</v>
      </c>
      <c r="C1148" s="48">
        <v>92704</v>
      </c>
      <c r="H1148" s="82"/>
      <c r="K1148" s="82"/>
      <c r="P1148" s="82"/>
    </row>
    <row r="1149" spans="1:16">
      <c r="A1149" s="227"/>
      <c r="B1149" s="131" t="s">
        <v>983</v>
      </c>
      <c r="C1149" s="48">
        <v>92701</v>
      </c>
      <c r="H1149" s="82"/>
      <c r="K1149" s="82"/>
      <c r="P1149" s="82"/>
    </row>
    <row r="1150" spans="1:16">
      <c r="A1150" s="227"/>
      <c r="B1150" s="131" t="s">
        <v>2107</v>
      </c>
      <c r="C1150" s="48">
        <v>93651</v>
      </c>
      <c r="H1150" s="82"/>
      <c r="K1150" s="82"/>
      <c r="P1150" s="82"/>
    </row>
    <row r="1151" spans="1:16">
      <c r="A1151" s="227"/>
      <c r="B1151" s="131" t="s">
        <v>985</v>
      </c>
      <c r="C1151" s="48">
        <v>92801</v>
      </c>
      <c r="H1151" s="82"/>
      <c r="K1151" s="82"/>
      <c r="P1151" s="82"/>
    </row>
    <row r="1152" spans="1:16">
      <c r="A1152" s="227"/>
      <c r="B1152" s="131" t="s">
        <v>987</v>
      </c>
      <c r="C1152" s="48">
        <v>92804</v>
      </c>
      <c r="H1152" s="82"/>
      <c r="K1152" s="82"/>
      <c r="P1152" s="82"/>
    </row>
    <row r="1153" spans="1:16">
      <c r="A1153" s="227"/>
      <c r="B1153" s="131" t="s">
        <v>986</v>
      </c>
      <c r="C1153" s="48">
        <v>92802</v>
      </c>
      <c r="H1153" s="82"/>
      <c r="K1153" s="82"/>
      <c r="P1153" s="82"/>
    </row>
    <row r="1154" spans="1:16">
      <c r="A1154" s="227"/>
      <c r="B1154" s="131" t="s">
        <v>2108</v>
      </c>
      <c r="C1154" s="48">
        <v>96081</v>
      </c>
      <c r="H1154" s="82"/>
      <c r="K1154" s="82"/>
      <c r="P1154" s="82"/>
    </row>
    <row r="1155" spans="1:16">
      <c r="A1155" s="227"/>
      <c r="B1155" s="131" t="s">
        <v>994</v>
      </c>
      <c r="C1155" s="48">
        <v>92901</v>
      </c>
      <c r="H1155" s="82"/>
      <c r="K1155" s="82"/>
      <c r="P1155" s="82"/>
    </row>
    <row r="1156" spans="1:16">
      <c r="A1156" s="227"/>
      <c r="B1156" s="131" t="s">
        <v>1001</v>
      </c>
      <c r="C1156" s="48">
        <v>93001</v>
      </c>
      <c r="H1156" s="82"/>
      <c r="K1156" s="82"/>
      <c r="P1156" s="82"/>
    </row>
    <row r="1157" spans="1:16">
      <c r="A1157" s="227"/>
      <c r="B1157" s="131" t="s">
        <v>1002</v>
      </c>
      <c r="C1157" s="48">
        <v>93009</v>
      </c>
      <c r="H1157" s="82"/>
      <c r="K1157" s="82"/>
      <c r="P1157" s="82"/>
    </row>
    <row r="1158" spans="1:16">
      <c r="A1158" s="227"/>
      <c r="B1158" s="131" t="s">
        <v>2109</v>
      </c>
      <c r="C1158" s="48">
        <v>92921</v>
      </c>
      <c r="H1158" s="82"/>
      <c r="K1158" s="82"/>
      <c r="P1158" s="82"/>
    </row>
    <row r="1159" spans="1:16">
      <c r="A1159" s="227"/>
      <c r="B1159" s="131" t="s">
        <v>2110</v>
      </c>
      <c r="C1159" s="48">
        <v>98621</v>
      </c>
      <c r="H1159" s="82"/>
      <c r="K1159" s="82"/>
      <c r="P1159" s="82"/>
    </row>
    <row r="1160" spans="1:16">
      <c r="A1160" s="227"/>
      <c r="B1160" s="131" t="s">
        <v>1509</v>
      </c>
      <c r="C1160" s="48">
        <v>98627</v>
      </c>
      <c r="H1160" s="82"/>
      <c r="K1160" s="82"/>
      <c r="P1160" s="82"/>
    </row>
    <row r="1161" spans="1:16">
      <c r="A1161" s="227"/>
      <c r="B1161" s="131" t="s">
        <v>2111</v>
      </c>
      <c r="C1161" s="48">
        <v>91221</v>
      </c>
      <c r="H1161" s="82"/>
      <c r="K1161" s="82"/>
      <c r="P1161" s="82"/>
    </row>
    <row r="1162" spans="1:16">
      <c r="A1162" s="227"/>
      <c r="B1162" s="131" t="s">
        <v>2112</v>
      </c>
      <c r="C1162" s="48">
        <v>92861</v>
      </c>
      <c r="H1162" s="82"/>
      <c r="K1162" s="82"/>
      <c r="P1162" s="82"/>
    </row>
    <row r="1163" spans="1:16">
      <c r="A1163" s="227"/>
      <c r="B1163" s="131" t="s">
        <v>1962</v>
      </c>
      <c r="C1163" s="48">
        <v>94311</v>
      </c>
      <c r="H1163" s="82"/>
      <c r="K1163" s="82"/>
      <c r="P1163" s="82"/>
    </row>
    <row r="1164" spans="1:16">
      <c r="A1164" s="227"/>
      <c r="B1164" s="131" t="s">
        <v>1132</v>
      </c>
      <c r="C1164" s="48">
        <v>94317</v>
      </c>
      <c r="H1164" s="82"/>
      <c r="K1164" s="82"/>
      <c r="P1164" s="82"/>
    </row>
    <row r="1165" spans="1:16">
      <c r="A1165" s="227"/>
      <c r="B1165" s="131" t="s">
        <v>1131</v>
      </c>
      <c r="C1165" s="48">
        <v>94313</v>
      </c>
      <c r="H1165" s="82"/>
      <c r="K1165" s="82"/>
      <c r="P1165" s="82"/>
    </row>
    <row r="1166" spans="1:16">
      <c r="A1166" s="227"/>
      <c r="B1166" s="131" t="s">
        <v>1007</v>
      </c>
      <c r="C1166" s="48">
        <v>93101</v>
      </c>
      <c r="H1166" s="82"/>
      <c r="K1166" s="82"/>
      <c r="P1166" s="82"/>
    </row>
    <row r="1167" spans="1:16">
      <c r="A1167" s="227"/>
      <c r="B1167" s="131" t="s">
        <v>260</v>
      </c>
      <c r="C1167" s="48">
        <v>93103</v>
      </c>
      <c r="H1167" s="82"/>
      <c r="K1167" s="82"/>
      <c r="P1167" s="82"/>
    </row>
    <row r="1168" spans="1:16">
      <c r="A1168" s="227"/>
      <c r="B1168" s="131" t="s">
        <v>1963</v>
      </c>
      <c r="C1168" s="48">
        <v>93211</v>
      </c>
      <c r="H1168" s="82"/>
      <c r="K1168" s="82"/>
      <c r="P1168" s="82"/>
    </row>
    <row r="1169" spans="1:16">
      <c r="A1169" s="227"/>
      <c r="B1169" s="131" t="s">
        <v>1026</v>
      </c>
      <c r="C1169" s="48">
        <v>93212</v>
      </c>
      <c r="H1169" s="82"/>
      <c r="K1169" s="82"/>
      <c r="P1169" s="82"/>
    </row>
    <row r="1170" spans="1:16">
      <c r="A1170" s="227"/>
      <c r="B1170" s="131" t="s">
        <v>1021</v>
      </c>
      <c r="C1170" s="48">
        <v>93201</v>
      </c>
      <c r="H1170" s="82"/>
      <c r="K1170" s="82"/>
      <c r="P1170" s="82"/>
    </row>
    <row r="1171" spans="1:16">
      <c r="A1171" s="227"/>
      <c r="B1171" s="131" t="s">
        <v>1023</v>
      </c>
      <c r="C1171" s="48">
        <v>93204</v>
      </c>
      <c r="H1171" s="82"/>
      <c r="K1171" s="82"/>
      <c r="P1171" s="82"/>
    </row>
    <row r="1172" spans="1:16">
      <c r="A1172" s="227"/>
      <c r="B1172" s="131" t="s">
        <v>1550</v>
      </c>
      <c r="C1172" s="48">
        <v>99212</v>
      </c>
      <c r="H1172" s="82"/>
      <c r="K1172" s="82"/>
      <c r="P1172" s="82"/>
    </row>
    <row r="1173" spans="1:16">
      <c r="A1173" s="227"/>
      <c r="B1173" s="131" t="s">
        <v>1349</v>
      </c>
      <c r="C1173" s="48">
        <v>97005</v>
      </c>
      <c r="H1173" s="82"/>
      <c r="K1173" s="82"/>
      <c r="P1173" s="82"/>
    </row>
    <row r="1174" spans="1:16">
      <c r="A1174" s="227"/>
      <c r="B1174" s="131" t="s">
        <v>2113</v>
      </c>
      <c r="C1174" s="51">
        <v>99931</v>
      </c>
      <c r="H1174" s="82"/>
      <c r="K1174" s="82"/>
      <c r="P1174" s="82"/>
    </row>
    <row r="1175" spans="1:16">
      <c r="A1175" s="227"/>
      <c r="B1175" s="131" t="s">
        <v>1618</v>
      </c>
      <c r="C1175" s="227">
        <v>92509</v>
      </c>
      <c r="H1175" s="82"/>
      <c r="K1175" s="82"/>
      <c r="P1175" s="82"/>
    </row>
    <row r="1176" spans="1:16">
      <c r="A1176" s="227"/>
      <c r="B1176" s="131" t="s">
        <v>2114</v>
      </c>
      <c r="C1176" s="48">
        <v>98021</v>
      </c>
      <c r="H1176" s="82"/>
      <c r="K1176" s="82"/>
      <c r="P1176" s="82"/>
    </row>
    <row r="1177" spans="1:16">
      <c r="A1177" s="227"/>
      <c r="B1177" s="131" t="s">
        <v>1450</v>
      </c>
      <c r="C1177" s="48">
        <v>98023</v>
      </c>
      <c r="H1177" s="82"/>
      <c r="K1177" s="82"/>
      <c r="P1177" s="82"/>
    </row>
    <row r="1178" spans="1:16">
      <c r="A1178" s="227"/>
      <c r="B1178" s="131" t="s">
        <v>2026</v>
      </c>
      <c r="C1178" s="220">
        <v>70505</v>
      </c>
      <c r="H1178" s="82"/>
      <c r="K1178" s="82"/>
      <c r="P1178" s="82"/>
    </row>
    <row r="1179" spans="1:16">
      <c r="A1179" s="227"/>
      <c r="B1179" s="131" t="s">
        <v>2772</v>
      </c>
      <c r="C1179" s="227">
        <v>99603</v>
      </c>
      <c r="H1179" s="82"/>
      <c r="K1179" s="82"/>
      <c r="P1179" s="82"/>
    </row>
    <row r="1180" spans="1:16">
      <c r="A1180" s="227"/>
      <c r="B1180" s="131" t="s">
        <v>1587</v>
      </c>
      <c r="C1180" s="48">
        <v>99610</v>
      </c>
      <c r="H1180" s="82"/>
      <c r="K1180" s="82"/>
      <c r="P1180" s="82"/>
    </row>
    <row r="1181" spans="1:16">
      <c r="A1181" s="227"/>
      <c r="B1181" s="131" t="s">
        <v>2115</v>
      </c>
      <c r="C1181" s="48">
        <v>92681</v>
      </c>
      <c r="H1181" s="82"/>
      <c r="K1181" s="82"/>
      <c r="P1181" s="82"/>
    </row>
    <row r="1182" spans="1:16">
      <c r="A1182" s="227"/>
      <c r="B1182" s="131" t="s">
        <v>1008</v>
      </c>
      <c r="C1182" s="48">
        <v>93108</v>
      </c>
      <c r="H1182" s="82"/>
      <c r="K1182" s="82"/>
      <c r="P1182" s="82"/>
    </row>
    <row r="1183" spans="1:16">
      <c r="A1183" s="227"/>
      <c r="B1183" s="131" t="s">
        <v>1964</v>
      </c>
      <c r="C1183" s="48">
        <v>97951</v>
      </c>
      <c r="H1183" s="82"/>
      <c r="K1183" s="82"/>
      <c r="P1183" s="82"/>
    </row>
    <row r="1184" spans="1:16">
      <c r="A1184" s="227"/>
      <c r="B1184" s="131" t="s">
        <v>1441</v>
      </c>
      <c r="C1184" s="48">
        <v>97957</v>
      </c>
      <c r="H1184" s="82"/>
      <c r="K1184" s="82"/>
      <c r="P1184" s="82"/>
    </row>
    <row r="1185" spans="1:16">
      <c r="A1185" s="227"/>
      <c r="B1185" s="131" t="s">
        <v>2116</v>
      </c>
      <c r="C1185" s="48">
        <v>92111</v>
      </c>
      <c r="H1185" s="82"/>
      <c r="K1185" s="82"/>
      <c r="P1185" s="82"/>
    </row>
    <row r="1186" spans="1:16">
      <c r="A1186" s="227"/>
      <c r="B1186" s="131" t="s">
        <v>1028</v>
      </c>
      <c r="C1186" s="227">
        <v>93301</v>
      </c>
      <c r="H1186" s="82"/>
      <c r="K1186" s="82"/>
      <c r="P1186" s="82"/>
    </row>
    <row r="1187" spans="1:16">
      <c r="A1187" s="227"/>
      <c r="B1187" s="131" t="s">
        <v>1029</v>
      </c>
      <c r="C1187" s="48">
        <v>93304</v>
      </c>
      <c r="H1187" s="82"/>
      <c r="K1187" s="82"/>
      <c r="P1187" s="82"/>
    </row>
    <row r="1188" spans="1:16">
      <c r="A1188" s="227"/>
      <c r="B1188" s="131" t="s">
        <v>1030</v>
      </c>
      <c r="C1188" s="48">
        <v>93305</v>
      </c>
      <c r="H1188" s="82"/>
      <c r="K1188" s="82"/>
      <c r="P1188" s="82"/>
    </row>
    <row r="1189" spans="1:16">
      <c r="A1189" s="227"/>
      <c r="B1189" s="131" t="s">
        <v>1548</v>
      </c>
      <c r="C1189" s="48">
        <v>99210</v>
      </c>
      <c r="H1189" s="82"/>
      <c r="K1189" s="82"/>
      <c r="P1189" s="82"/>
    </row>
    <row r="1190" spans="1:16">
      <c r="A1190" s="227"/>
      <c r="B1190" s="131" t="s">
        <v>1352</v>
      </c>
      <c r="C1190" s="48">
        <v>97011</v>
      </c>
      <c r="H1190" s="82"/>
      <c r="K1190" s="82"/>
      <c r="P1190" s="82"/>
    </row>
    <row r="1191" spans="1:16">
      <c r="A1191" s="227"/>
      <c r="B1191" s="131" t="s">
        <v>1354</v>
      </c>
      <c r="C1191" s="48">
        <v>97013</v>
      </c>
      <c r="H1191" s="82"/>
      <c r="K1191" s="82"/>
      <c r="P1191" s="82"/>
    </row>
    <row r="1192" spans="1:16">
      <c r="A1192" s="227"/>
      <c r="B1192" s="131" t="s">
        <v>2768</v>
      </c>
      <c r="C1192" s="48">
        <v>97012</v>
      </c>
      <c r="H1192" s="82"/>
      <c r="K1192" s="82"/>
      <c r="P1192" s="82"/>
    </row>
    <row r="1193" spans="1:16">
      <c r="A1193" s="227"/>
      <c r="B1193" s="131" t="s">
        <v>1356</v>
      </c>
      <c r="C1193" s="48">
        <v>97018</v>
      </c>
      <c r="H1193" s="82"/>
      <c r="K1193" s="82"/>
      <c r="P1193" s="82"/>
    </row>
    <row r="1194" spans="1:16">
      <c r="A1194" s="227"/>
      <c r="B1194" s="131" t="s">
        <v>2117</v>
      </c>
      <c r="C1194" s="48">
        <v>90911</v>
      </c>
      <c r="H1194" s="82"/>
      <c r="K1194" s="82"/>
      <c r="P1194" s="82"/>
    </row>
    <row r="1195" spans="1:16">
      <c r="A1195" s="227"/>
      <c r="B1195" s="131" t="s">
        <v>794</v>
      </c>
      <c r="C1195" s="48">
        <v>90917</v>
      </c>
      <c r="H1195" s="82"/>
      <c r="K1195" s="82"/>
      <c r="P1195" s="82"/>
    </row>
    <row r="1196" spans="1:16">
      <c r="A1196" s="227"/>
      <c r="B1196" s="131" t="s">
        <v>2118</v>
      </c>
      <c r="C1196" s="48">
        <v>90641</v>
      </c>
      <c r="H1196" s="82"/>
      <c r="K1196" s="82"/>
      <c r="P1196" s="82"/>
    </row>
    <row r="1197" spans="1:16">
      <c r="A1197" s="227"/>
      <c r="B1197" s="131" t="s">
        <v>2119</v>
      </c>
      <c r="C1197" s="48">
        <v>98641</v>
      </c>
      <c r="H1197" s="82"/>
      <c r="K1197" s="82"/>
      <c r="P1197" s="82"/>
    </row>
    <row r="1198" spans="1:16">
      <c r="A1198" s="227"/>
      <c r="B1198" s="131" t="s">
        <v>3520</v>
      </c>
      <c r="C1198" s="48" t="s">
        <v>3518</v>
      </c>
      <c r="H1198" s="82"/>
      <c r="K1198" s="82"/>
      <c r="P1198" s="82"/>
    </row>
    <row r="1199" spans="1:16">
      <c r="A1199" s="227"/>
      <c r="B1199" s="131" t="s">
        <v>2120</v>
      </c>
      <c r="C1199" s="48">
        <v>98161</v>
      </c>
      <c r="H1199" s="82"/>
      <c r="K1199" s="82"/>
      <c r="P1199" s="82"/>
    </row>
    <row r="1200" spans="1:16">
      <c r="A1200" s="227"/>
      <c r="B1200" s="131" t="s">
        <v>2121</v>
      </c>
      <c r="C1200" s="48">
        <v>97731</v>
      </c>
      <c r="H1200" s="82"/>
      <c r="K1200" s="82"/>
      <c r="P1200" s="82"/>
    </row>
    <row r="1201" spans="1:16">
      <c r="A1201" s="227"/>
      <c r="B1201" s="131" t="s">
        <v>2122</v>
      </c>
      <c r="C1201" s="51">
        <v>99851</v>
      </c>
      <c r="H1201" s="82"/>
      <c r="K1201" s="82"/>
      <c r="P1201" s="82"/>
    </row>
    <row r="1202" spans="1:16">
      <c r="A1202" s="227"/>
      <c r="B1202" s="131" t="s">
        <v>2123</v>
      </c>
      <c r="C1202" s="227">
        <v>90131</v>
      </c>
      <c r="H1202" s="82"/>
      <c r="K1202" s="82"/>
      <c r="P1202" s="82"/>
    </row>
    <row r="1203" spans="1:16">
      <c r="A1203" s="227"/>
      <c r="B1203" s="131" t="s">
        <v>2124</v>
      </c>
      <c r="C1203" s="48">
        <v>91651</v>
      </c>
      <c r="H1203" s="82"/>
      <c r="K1203" s="82"/>
      <c r="P1203" s="82"/>
    </row>
    <row r="1204" spans="1:16">
      <c r="A1204" s="227"/>
      <c r="B1204" s="131" t="s">
        <v>2125</v>
      </c>
      <c r="C1204" s="48">
        <v>94211</v>
      </c>
      <c r="H1204" s="82"/>
      <c r="K1204" s="82"/>
      <c r="P1204" s="82"/>
    </row>
    <row r="1205" spans="1:16">
      <c r="A1205" s="227"/>
      <c r="B1205" s="131" t="s">
        <v>2126</v>
      </c>
      <c r="C1205" s="48">
        <v>94331</v>
      </c>
      <c r="H1205" s="82"/>
      <c r="K1205" s="82"/>
      <c r="P1205" s="82"/>
    </row>
    <row r="1206" spans="1:16">
      <c r="A1206" s="227"/>
      <c r="B1206" s="131" t="s">
        <v>2127</v>
      </c>
      <c r="C1206" s="48">
        <v>92431</v>
      </c>
      <c r="H1206" s="82"/>
      <c r="K1206" s="82"/>
      <c r="P1206" s="82"/>
    </row>
    <row r="1207" spans="1:16">
      <c r="A1207" s="227"/>
      <c r="B1207" s="131" t="s">
        <v>2128</v>
      </c>
      <c r="C1207" s="48">
        <v>97821</v>
      </c>
      <c r="H1207" s="82"/>
      <c r="K1207" s="82"/>
      <c r="P1207" s="82"/>
    </row>
    <row r="1208" spans="1:16">
      <c r="A1208" s="227"/>
      <c r="B1208" s="131" t="s">
        <v>1420</v>
      </c>
      <c r="C1208" s="48">
        <v>97823</v>
      </c>
      <c r="H1208" s="82"/>
      <c r="K1208" s="82"/>
      <c r="P1208" s="82"/>
    </row>
    <row r="1209" spans="1:16">
      <c r="A1209" s="227"/>
      <c r="B1209" s="131" t="s">
        <v>2129</v>
      </c>
      <c r="C1209" s="48">
        <v>93141</v>
      </c>
      <c r="H1209" s="82"/>
      <c r="K1209" s="82"/>
      <c r="P1209" s="82"/>
    </row>
    <row r="1210" spans="1:16">
      <c r="A1210" s="227"/>
      <c r="B1210" s="131" t="s">
        <v>2130</v>
      </c>
      <c r="C1210" s="48">
        <v>98081</v>
      </c>
      <c r="H1210" s="82"/>
      <c r="K1210" s="82"/>
      <c r="P1210" s="82"/>
    </row>
    <row r="1211" spans="1:16">
      <c r="A1211" s="227"/>
      <c r="B1211" s="131" t="s">
        <v>2131</v>
      </c>
      <c r="C1211" s="48">
        <v>92671</v>
      </c>
      <c r="H1211" s="82"/>
      <c r="K1211" s="82"/>
      <c r="P1211" s="82"/>
    </row>
    <row r="1212" spans="1:16">
      <c r="A1212" s="227"/>
      <c r="B1212" s="131" t="s">
        <v>2132</v>
      </c>
      <c r="C1212" s="48">
        <v>97421</v>
      </c>
      <c r="H1212" s="82"/>
      <c r="K1212" s="82"/>
      <c r="P1212" s="82"/>
    </row>
    <row r="1213" spans="1:16">
      <c r="A1213" s="227"/>
      <c r="B1213" s="131" t="s">
        <v>1379</v>
      </c>
      <c r="C1213" s="48">
        <v>97423</v>
      </c>
      <c r="H1213" s="82"/>
      <c r="K1213" s="82"/>
      <c r="P1213" s="82"/>
    </row>
    <row r="1214" spans="1:16">
      <c r="A1214" s="227"/>
      <c r="B1214" s="131" t="s">
        <v>1965</v>
      </c>
      <c r="C1214" s="48">
        <v>92611</v>
      </c>
      <c r="H1214" s="82"/>
      <c r="K1214" s="82"/>
      <c r="P1214" s="82"/>
    </row>
    <row r="1215" spans="1:16">
      <c r="A1215" s="227"/>
      <c r="B1215" s="131" t="s">
        <v>2761</v>
      </c>
      <c r="C1215" s="48">
        <v>92613</v>
      </c>
      <c r="H1215" s="82"/>
      <c r="K1215" s="82"/>
      <c r="P1215" s="82"/>
    </row>
    <row r="1216" spans="1:16">
      <c r="A1216" s="227"/>
      <c r="B1216" s="131" t="s">
        <v>2794</v>
      </c>
      <c r="C1216" s="48">
        <v>92614</v>
      </c>
      <c r="H1216" s="82"/>
      <c r="K1216" s="82"/>
      <c r="P1216" s="82"/>
    </row>
    <row r="1217" spans="1:16">
      <c r="A1217" s="227"/>
      <c r="B1217" s="131" t="s">
        <v>954</v>
      </c>
      <c r="C1217" s="48">
        <v>92502</v>
      </c>
      <c r="H1217" s="82"/>
      <c r="K1217" s="82"/>
      <c r="P1217" s="82"/>
    </row>
    <row r="1218" spans="1:16">
      <c r="A1218" s="227"/>
      <c r="B1218" s="131" t="s">
        <v>2502</v>
      </c>
      <c r="C1218" s="48">
        <v>94531</v>
      </c>
      <c r="H1218" s="82"/>
      <c r="K1218" s="82"/>
      <c r="P1218" s="82"/>
    </row>
    <row r="1219" spans="1:16">
      <c r="A1219" s="227"/>
      <c r="B1219" s="131" t="s">
        <v>2503</v>
      </c>
      <c r="C1219" s="48">
        <v>94541</v>
      </c>
      <c r="H1219" s="82"/>
      <c r="K1219" s="82"/>
      <c r="P1219" s="82"/>
    </row>
    <row r="1220" spans="1:16">
      <c r="A1220" s="227"/>
      <c r="B1220" s="131" t="s">
        <v>1158</v>
      </c>
      <c r="C1220" s="48">
        <v>94547</v>
      </c>
      <c r="H1220" s="82"/>
      <c r="K1220" s="82"/>
      <c r="P1220" s="82"/>
    </row>
    <row r="1221" spans="1:16">
      <c r="A1221" s="227"/>
      <c r="B1221" s="131" t="s">
        <v>1184</v>
      </c>
      <c r="C1221" s="48">
        <v>95005</v>
      </c>
      <c r="H1221" s="82"/>
      <c r="K1221" s="82"/>
      <c r="P1221" s="82"/>
    </row>
    <row r="1222" spans="1:16">
      <c r="A1222" s="227"/>
      <c r="B1222" s="131" t="s">
        <v>2504</v>
      </c>
      <c r="C1222" s="48">
        <v>98111</v>
      </c>
      <c r="H1222" s="82"/>
      <c r="K1222" s="82"/>
      <c r="P1222" s="82"/>
    </row>
    <row r="1223" spans="1:16">
      <c r="A1223" s="227"/>
      <c r="B1223" s="131" t="s">
        <v>1461</v>
      </c>
      <c r="C1223" s="48">
        <v>98107</v>
      </c>
      <c r="H1223" s="82"/>
      <c r="K1223" s="82"/>
      <c r="P1223" s="82"/>
    </row>
    <row r="1224" spans="1:16">
      <c r="A1224" s="227"/>
      <c r="B1224" s="131" t="s">
        <v>1464</v>
      </c>
      <c r="C1224" s="48">
        <v>98113</v>
      </c>
      <c r="H1224" s="82"/>
      <c r="K1224" s="82"/>
      <c r="P1224" s="82"/>
    </row>
    <row r="1225" spans="1:16">
      <c r="A1225" s="227"/>
      <c r="B1225" s="131" t="s">
        <v>1583</v>
      </c>
      <c r="C1225" s="227">
        <v>99602</v>
      </c>
      <c r="H1225" s="82"/>
      <c r="K1225" s="82"/>
      <c r="P1225" s="82"/>
    </row>
    <row r="1226" spans="1:16">
      <c r="A1226" s="227"/>
      <c r="B1226" s="131" t="s">
        <v>1040</v>
      </c>
      <c r="C1226" s="48">
        <v>93401</v>
      </c>
      <c r="H1226" s="82"/>
      <c r="K1226" s="82"/>
      <c r="P1226" s="82"/>
    </row>
    <row r="1227" spans="1:16">
      <c r="A1227" s="227"/>
      <c r="B1227" s="131" t="s">
        <v>3506</v>
      </c>
      <c r="C1227" s="48">
        <v>97491</v>
      </c>
      <c r="H1227" s="82"/>
      <c r="K1227" s="82"/>
      <c r="P1227" s="82"/>
    </row>
    <row r="1228" spans="1:16">
      <c r="A1228" s="227"/>
      <c r="B1228" s="131" t="s">
        <v>2505</v>
      </c>
      <c r="C1228" s="48">
        <v>95151</v>
      </c>
      <c r="H1228" s="82"/>
      <c r="K1228" s="82"/>
      <c r="P1228" s="82"/>
    </row>
    <row r="1229" spans="1:16">
      <c r="A1229" s="227"/>
      <c r="B1229" s="131" t="s">
        <v>1294</v>
      </c>
      <c r="C1229" s="48">
        <v>96381</v>
      </c>
      <c r="H1229" s="82"/>
      <c r="K1229" s="82"/>
      <c r="P1229" s="82"/>
    </row>
    <row r="1230" spans="1:16">
      <c r="A1230" s="227"/>
      <c r="B1230" s="131" t="s">
        <v>2506</v>
      </c>
      <c r="C1230" s="48">
        <v>95611</v>
      </c>
      <c r="H1230" s="82"/>
      <c r="K1230" s="82"/>
      <c r="P1230" s="82"/>
    </row>
    <row r="1231" spans="1:16">
      <c r="A1231" s="227"/>
      <c r="B1231" s="131" t="s">
        <v>1054</v>
      </c>
      <c r="C1231" s="48">
        <v>93501</v>
      </c>
      <c r="H1231" s="82"/>
      <c r="K1231" s="82"/>
      <c r="P1231" s="82"/>
    </row>
    <row r="1232" spans="1:16">
      <c r="A1232" s="227"/>
      <c r="B1232" s="131" t="s">
        <v>2507</v>
      </c>
      <c r="C1232" s="48">
        <v>93511</v>
      </c>
      <c r="H1232" s="82"/>
      <c r="K1232" s="82"/>
      <c r="P1232" s="82"/>
    </row>
    <row r="1233" spans="1:16">
      <c r="A1233" s="227"/>
      <c r="B1233" s="131" t="s">
        <v>1056</v>
      </c>
      <c r="C1233" s="48">
        <v>93517</v>
      </c>
      <c r="H1233" s="82"/>
      <c r="K1233" s="82"/>
      <c r="P1233" s="82"/>
    </row>
    <row r="1234" spans="1:16">
      <c r="A1234" s="227"/>
      <c r="B1234" s="131" t="s">
        <v>2508</v>
      </c>
      <c r="C1234" s="48">
        <v>99631</v>
      </c>
      <c r="H1234" s="82"/>
      <c r="K1234" s="82"/>
      <c r="P1234" s="82"/>
    </row>
    <row r="1235" spans="1:16">
      <c r="A1235" s="227"/>
      <c r="B1235" s="131" t="s">
        <v>2509</v>
      </c>
      <c r="C1235" s="48">
        <v>99261</v>
      </c>
      <c r="H1235" s="82"/>
      <c r="K1235" s="82"/>
      <c r="P1235" s="82"/>
    </row>
    <row r="1236" spans="1:16">
      <c r="A1236" s="227"/>
      <c r="B1236" s="131" t="s">
        <v>2510</v>
      </c>
      <c r="C1236" s="48">
        <v>98241</v>
      </c>
      <c r="H1236" s="82"/>
      <c r="K1236" s="82"/>
      <c r="P1236" s="82"/>
    </row>
    <row r="1237" spans="1:16">
      <c r="A1237" s="227"/>
      <c r="B1237" s="131" t="s">
        <v>2511</v>
      </c>
      <c r="C1237" s="48">
        <v>99251</v>
      </c>
      <c r="H1237" s="82"/>
      <c r="K1237" s="82"/>
      <c r="P1237" s="82"/>
    </row>
    <row r="1238" spans="1:16">
      <c r="A1238" s="227"/>
      <c r="B1238" s="131" t="s">
        <v>1558</v>
      </c>
      <c r="C1238" s="48">
        <v>99252</v>
      </c>
      <c r="H1238" s="82"/>
      <c r="K1238" s="82"/>
      <c r="P1238" s="82"/>
    </row>
    <row r="1239" spans="1:16">
      <c r="A1239" s="227"/>
      <c r="B1239" s="131" t="s">
        <v>2512</v>
      </c>
      <c r="C1239" s="48">
        <v>96631</v>
      </c>
      <c r="H1239" s="82"/>
      <c r="K1239" s="82"/>
      <c r="P1239" s="82"/>
    </row>
    <row r="1240" spans="1:16">
      <c r="A1240" s="227"/>
      <c r="B1240" s="131" t="s">
        <v>2513</v>
      </c>
      <c r="C1240" s="48">
        <v>96651</v>
      </c>
      <c r="H1240" s="82"/>
      <c r="K1240" s="82"/>
      <c r="P1240" s="82"/>
    </row>
    <row r="1241" spans="1:16">
      <c r="A1241" s="227"/>
      <c r="B1241" s="131" t="s">
        <v>1062</v>
      </c>
      <c r="C1241" s="48">
        <v>93601</v>
      </c>
      <c r="H1241" s="82"/>
      <c r="K1241" s="82"/>
      <c r="P1241" s="82"/>
    </row>
    <row r="1242" spans="1:16">
      <c r="A1242" s="227"/>
      <c r="B1242" s="131" t="s">
        <v>1068</v>
      </c>
      <c r="C1242" s="48">
        <v>93618</v>
      </c>
      <c r="H1242" s="82"/>
      <c r="K1242" s="82"/>
      <c r="P1242" s="82"/>
    </row>
    <row r="1243" spans="1:16">
      <c r="A1243" s="227"/>
      <c r="B1243" s="131" t="s">
        <v>1966</v>
      </c>
      <c r="C1243" s="48">
        <v>93611</v>
      </c>
      <c r="H1243" s="82"/>
      <c r="K1243" s="82"/>
      <c r="P1243" s="82"/>
    </row>
    <row r="1244" spans="1:16">
      <c r="A1244" s="227"/>
      <c r="B1244" s="131" t="s">
        <v>1067</v>
      </c>
      <c r="C1244" s="48">
        <v>93617</v>
      </c>
      <c r="H1244" s="82"/>
      <c r="K1244" s="82"/>
      <c r="P1244" s="82"/>
    </row>
    <row r="1245" spans="1:16">
      <c r="A1245" s="227"/>
      <c r="B1245" s="131" t="s">
        <v>1079</v>
      </c>
      <c r="C1245" s="48">
        <v>93701</v>
      </c>
      <c r="H1245" s="82"/>
      <c r="K1245" s="82"/>
      <c r="P1245" s="82"/>
    </row>
    <row r="1246" spans="1:16">
      <c r="A1246" s="227"/>
      <c r="B1246" s="131" t="s">
        <v>1080</v>
      </c>
      <c r="C1246" s="48">
        <v>93704</v>
      </c>
      <c r="H1246" s="82"/>
      <c r="K1246" s="82"/>
      <c r="P1246" s="82"/>
    </row>
    <row r="1247" spans="1:16">
      <c r="A1247" s="227"/>
      <c r="B1247" s="131" t="s">
        <v>2514</v>
      </c>
      <c r="C1247" s="48">
        <v>98331</v>
      </c>
      <c r="H1247" s="82"/>
      <c r="K1247" s="82"/>
      <c r="P1247" s="82"/>
    </row>
    <row r="1248" spans="1:16">
      <c r="A1248" s="227"/>
      <c r="B1248" s="131" t="s">
        <v>2515</v>
      </c>
      <c r="C1248" s="48">
        <v>94151</v>
      </c>
      <c r="H1248" s="82"/>
      <c r="K1248" s="82"/>
      <c r="P1248" s="82"/>
    </row>
    <row r="1249" spans="1:16">
      <c r="A1249" s="227"/>
      <c r="B1249" s="131" t="s">
        <v>1114</v>
      </c>
      <c r="C1249" s="48">
        <v>94157</v>
      </c>
      <c r="H1249" s="82"/>
      <c r="K1249" s="82"/>
      <c r="P1249" s="82"/>
    </row>
    <row r="1250" spans="1:16">
      <c r="A1250" s="227"/>
      <c r="B1250" s="131" t="s">
        <v>2516</v>
      </c>
      <c r="C1250" s="48">
        <v>91241</v>
      </c>
      <c r="H1250" s="82"/>
      <c r="K1250" s="82"/>
      <c r="P1250" s="82"/>
    </row>
    <row r="1251" spans="1:16">
      <c r="A1251" s="227"/>
      <c r="B1251" s="131" t="s">
        <v>1220</v>
      </c>
      <c r="C1251" s="48">
        <v>95412</v>
      </c>
      <c r="H1251" s="82"/>
      <c r="K1251" s="82"/>
      <c r="P1251" s="82"/>
    </row>
    <row r="1252" spans="1:16">
      <c r="A1252" s="227"/>
      <c r="B1252" s="131" t="s">
        <v>1967</v>
      </c>
      <c r="C1252" s="48">
        <v>99611</v>
      </c>
      <c r="H1252" s="82"/>
      <c r="K1252" s="82"/>
      <c r="P1252" s="82"/>
    </row>
    <row r="1253" spans="1:16">
      <c r="A1253" s="227"/>
      <c r="B1253" s="131" t="s">
        <v>2810</v>
      </c>
      <c r="C1253" s="48">
        <v>99613</v>
      </c>
      <c r="H1253" s="82"/>
      <c r="K1253" s="82"/>
      <c r="P1253" s="82"/>
    </row>
    <row r="1254" spans="1:16">
      <c r="A1254" s="227"/>
      <c r="B1254" s="131" t="s">
        <v>918</v>
      </c>
      <c r="C1254" s="48">
        <v>91908</v>
      </c>
      <c r="H1254" s="82"/>
      <c r="K1254" s="82"/>
      <c r="P1254" s="82"/>
    </row>
    <row r="1255" spans="1:16">
      <c r="A1255" s="227"/>
      <c r="B1255" s="131" t="s">
        <v>1969</v>
      </c>
      <c r="C1255" s="48">
        <v>90121</v>
      </c>
      <c r="H1255" s="82"/>
      <c r="K1255" s="82"/>
      <c r="P1255" s="82"/>
    </row>
    <row r="1256" spans="1:16">
      <c r="A1256" s="227"/>
      <c r="B1256" s="131" t="s">
        <v>1082</v>
      </c>
      <c r="C1256" s="48">
        <v>93803</v>
      </c>
      <c r="H1256" s="82"/>
      <c r="K1256" s="82"/>
      <c r="P1256" s="82"/>
    </row>
    <row r="1257" spans="1:16">
      <c r="A1257" s="227"/>
      <c r="B1257" s="131" t="s">
        <v>1081</v>
      </c>
      <c r="C1257" s="48">
        <v>93801</v>
      </c>
      <c r="H1257" s="82"/>
      <c r="K1257" s="82"/>
      <c r="P1257" s="82"/>
    </row>
    <row r="1258" spans="1:16">
      <c r="A1258" s="227"/>
      <c r="B1258" s="131" t="s">
        <v>1083</v>
      </c>
      <c r="C1258" s="48">
        <v>93806</v>
      </c>
      <c r="H1258" s="82"/>
      <c r="K1258" s="82"/>
      <c r="P1258" s="82"/>
    </row>
    <row r="1259" spans="1:16">
      <c r="A1259" s="227"/>
      <c r="B1259" s="131" t="s">
        <v>2517</v>
      </c>
      <c r="C1259" s="48">
        <v>91411</v>
      </c>
      <c r="H1259" s="82"/>
      <c r="K1259" s="82"/>
      <c r="P1259" s="82"/>
    </row>
    <row r="1260" spans="1:16">
      <c r="A1260" s="227"/>
      <c r="B1260" s="131" t="s">
        <v>874</v>
      </c>
      <c r="C1260" s="48">
        <v>91417</v>
      </c>
      <c r="H1260" s="82"/>
      <c r="K1260" s="82"/>
      <c r="P1260" s="82"/>
    </row>
    <row r="1261" spans="1:16">
      <c r="A1261" s="227"/>
      <c r="B1261" s="131" t="s">
        <v>2518</v>
      </c>
      <c r="C1261" s="48">
        <v>98061</v>
      </c>
      <c r="H1261" s="82"/>
      <c r="K1261" s="82"/>
      <c r="P1261" s="82"/>
    </row>
    <row r="1262" spans="1:16">
      <c r="A1262" s="227"/>
      <c r="B1262" s="131" t="s">
        <v>2815</v>
      </c>
      <c r="C1262" s="48">
        <v>93904</v>
      </c>
      <c r="H1262" s="82"/>
      <c r="K1262" s="82"/>
      <c r="P1262" s="82"/>
    </row>
    <row r="1263" spans="1:16">
      <c r="A1263" s="227"/>
      <c r="B1263" s="131" t="s">
        <v>1085</v>
      </c>
      <c r="C1263" s="48">
        <v>93901</v>
      </c>
      <c r="H1263" s="82"/>
      <c r="K1263" s="82"/>
      <c r="P1263" s="82"/>
    </row>
    <row r="1264" spans="1:16">
      <c r="A1264" s="227"/>
      <c r="B1264" s="131" t="s">
        <v>1087</v>
      </c>
      <c r="C1264" s="48">
        <v>93906</v>
      </c>
      <c r="H1264" s="82"/>
      <c r="K1264" s="82"/>
      <c r="P1264" s="82"/>
    </row>
    <row r="1265" spans="1:16">
      <c r="A1265" s="227"/>
      <c r="B1265" s="131" t="s">
        <v>1088</v>
      </c>
      <c r="C1265" s="227">
        <v>93908</v>
      </c>
      <c r="H1265" s="82"/>
      <c r="K1265" s="82"/>
      <c r="P1265" s="82"/>
    </row>
    <row r="1266" spans="1:16">
      <c r="A1266" s="227"/>
      <c r="B1266" s="131" t="s">
        <v>1174</v>
      </c>
      <c r="C1266" s="48">
        <v>94908</v>
      </c>
      <c r="H1266" s="82"/>
      <c r="K1266" s="82"/>
      <c r="P1266" s="82"/>
    </row>
    <row r="1267" spans="1:16">
      <c r="A1267" s="227"/>
      <c r="B1267" s="131" t="s">
        <v>2519</v>
      </c>
      <c r="C1267" s="48">
        <v>90161</v>
      </c>
      <c r="H1267" s="82"/>
      <c r="K1267" s="82"/>
      <c r="P1267" s="82"/>
    </row>
    <row r="1268" spans="1:16">
      <c r="A1268" s="227"/>
      <c r="B1268" s="131" t="s">
        <v>1095</v>
      </c>
      <c r="C1268" s="48">
        <v>94001</v>
      </c>
      <c r="H1268" s="82"/>
      <c r="K1268" s="82"/>
      <c r="P1268" s="82"/>
    </row>
    <row r="1269" spans="1:16">
      <c r="A1269" s="227"/>
      <c r="B1269" s="131" t="s">
        <v>1097</v>
      </c>
      <c r="C1269" s="48">
        <v>94004</v>
      </c>
      <c r="H1269" s="82"/>
      <c r="K1269" s="82"/>
      <c r="P1269" s="82"/>
    </row>
    <row r="1270" spans="1:16">
      <c r="A1270" s="227"/>
      <c r="B1270" s="131" t="s">
        <v>1968</v>
      </c>
      <c r="C1270" s="48">
        <v>94111</v>
      </c>
      <c r="H1270" s="82"/>
      <c r="K1270" s="82"/>
      <c r="P1270" s="82"/>
    </row>
    <row r="1271" spans="1:16">
      <c r="A1271" s="227"/>
      <c r="B1271" s="131" t="s">
        <v>2814</v>
      </c>
      <c r="C1271" s="48">
        <v>94117</v>
      </c>
      <c r="H1271" s="82"/>
      <c r="K1271" s="82"/>
      <c r="P1271" s="82"/>
    </row>
    <row r="1272" spans="1:16">
      <c r="A1272" s="227"/>
      <c r="B1272" s="131" t="s">
        <v>1970</v>
      </c>
      <c r="C1272" s="48">
        <v>97411</v>
      </c>
      <c r="H1272" s="82"/>
      <c r="K1272" s="82"/>
      <c r="P1272" s="82"/>
    </row>
    <row r="1273" spans="1:16">
      <c r="A1273" s="227"/>
      <c r="B1273" s="131" t="s">
        <v>1377</v>
      </c>
      <c r="C1273" s="48">
        <v>97413</v>
      </c>
      <c r="H1273" s="82"/>
      <c r="K1273" s="82"/>
      <c r="P1273" s="82"/>
    </row>
    <row r="1274" spans="1:16">
      <c r="A1274" s="227"/>
      <c r="B1274" s="131" t="s">
        <v>1376</v>
      </c>
      <c r="C1274" s="48">
        <v>97412</v>
      </c>
      <c r="H1274" s="82"/>
      <c r="K1274" s="82"/>
      <c r="P1274" s="82"/>
    </row>
    <row r="1275" spans="1:16">
      <c r="A1275" s="227"/>
      <c r="B1275" s="131" t="s">
        <v>2520</v>
      </c>
      <c r="C1275" s="48">
        <v>97431</v>
      </c>
      <c r="H1275" s="82"/>
      <c r="K1275" s="82"/>
      <c r="P1275" s="82"/>
    </row>
    <row r="1276" spans="1:16">
      <c r="A1276" s="227"/>
      <c r="B1276" s="131" t="s">
        <v>2521</v>
      </c>
      <c r="C1276" s="48">
        <v>97471</v>
      </c>
      <c r="H1276" s="82"/>
      <c r="K1276" s="82"/>
      <c r="P1276" s="82"/>
    </row>
    <row r="1277" spans="1:16">
      <c r="A1277" s="227"/>
      <c r="B1277" s="131" t="s">
        <v>2522</v>
      </c>
      <c r="C1277" s="48">
        <v>92351</v>
      </c>
      <c r="H1277" s="82"/>
      <c r="K1277" s="82"/>
      <c r="P1277" s="82"/>
    </row>
    <row r="1278" spans="1:16">
      <c r="A1278" s="227"/>
      <c r="B1278" s="131" t="s">
        <v>1102</v>
      </c>
      <c r="C1278" s="227">
        <v>94101</v>
      </c>
      <c r="H1278" s="82"/>
      <c r="K1278" s="82"/>
      <c r="P1278" s="82"/>
    </row>
    <row r="1279" spans="1:16">
      <c r="A1279" s="227"/>
      <c r="B1279" s="131" t="s">
        <v>1109</v>
      </c>
      <c r="C1279" s="227">
        <v>94118</v>
      </c>
      <c r="H1279" s="82"/>
      <c r="K1279" s="82"/>
      <c r="P1279" s="82"/>
    </row>
    <row r="1280" spans="1:16">
      <c r="A1280" s="227"/>
      <c r="B1280" s="131" t="s">
        <v>1103</v>
      </c>
      <c r="C1280" s="48">
        <v>94102</v>
      </c>
      <c r="H1280" s="82"/>
      <c r="K1280" s="82"/>
      <c r="P1280" s="82"/>
    </row>
    <row r="1281" spans="1:16">
      <c r="A1281" s="227"/>
      <c r="B1281" s="131" t="s">
        <v>1119</v>
      </c>
      <c r="C1281" s="48">
        <v>94201</v>
      </c>
      <c r="H1281" s="82"/>
      <c r="K1281" s="82"/>
      <c r="P1281" s="82"/>
    </row>
    <row r="1282" spans="1:16">
      <c r="A1282" s="227"/>
      <c r="B1282" s="131" t="s">
        <v>1120</v>
      </c>
      <c r="C1282" s="48">
        <v>94204</v>
      </c>
      <c r="H1282" s="82"/>
      <c r="K1282" s="82"/>
      <c r="P1282" s="82"/>
    </row>
    <row r="1283" spans="1:16">
      <c r="A1283" s="227"/>
      <c r="B1283" s="131" t="s">
        <v>1121</v>
      </c>
      <c r="C1283" s="48">
        <v>94205</v>
      </c>
      <c r="H1283" s="82"/>
      <c r="K1283" s="82"/>
      <c r="P1283" s="82"/>
    </row>
    <row r="1284" spans="1:16">
      <c r="A1284" s="227"/>
      <c r="B1284" s="131" t="s">
        <v>2523</v>
      </c>
      <c r="C1284" s="48">
        <v>95831</v>
      </c>
      <c r="H1284" s="82"/>
      <c r="K1284" s="82"/>
      <c r="P1284" s="82"/>
    </row>
    <row r="1285" spans="1:16">
      <c r="A1285" s="227"/>
      <c r="B1285" s="131" t="s">
        <v>1971</v>
      </c>
      <c r="C1285" s="48">
        <v>97721</v>
      </c>
      <c r="H1285" s="82"/>
      <c r="K1285" s="82"/>
      <c r="P1285" s="82"/>
    </row>
    <row r="1286" spans="1:16">
      <c r="A1286" s="227"/>
      <c r="B1286" s="131" t="s">
        <v>1408</v>
      </c>
      <c r="C1286" s="48">
        <v>97717</v>
      </c>
      <c r="H1286" s="82"/>
      <c r="K1286" s="82"/>
      <c r="P1286" s="82"/>
    </row>
    <row r="1287" spans="1:16">
      <c r="A1287" s="227"/>
      <c r="B1287" s="131" t="s">
        <v>1129</v>
      </c>
      <c r="C1287" s="48">
        <v>94301</v>
      </c>
      <c r="H1287" s="82"/>
      <c r="K1287" s="82"/>
      <c r="P1287" s="82"/>
    </row>
    <row r="1288" spans="1:16">
      <c r="A1288" s="227"/>
      <c r="B1288" s="131" t="s">
        <v>2524</v>
      </c>
      <c r="C1288" s="48">
        <v>91441</v>
      </c>
      <c r="H1288" s="82"/>
      <c r="K1288" s="82"/>
      <c r="P1288" s="82"/>
    </row>
    <row r="1289" spans="1:16">
      <c r="A1289" s="227"/>
      <c r="B1289" s="131" t="s">
        <v>1972</v>
      </c>
      <c r="C1289" s="48">
        <v>92531</v>
      </c>
      <c r="H1289" s="82"/>
      <c r="K1289" s="82"/>
      <c r="P1289" s="82"/>
    </row>
    <row r="1290" spans="1:16">
      <c r="A1290" s="227"/>
      <c r="B1290" s="131" t="s">
        <v>2525</v>
      </c>
      <c r="C1290" s="48">
        <v>90141</v>
      </c>
      <c r="H1290" s="82"/>
      <c r="K1290" s="82"/>
      <c r="P1290" s="82"/>
    </row>
    <row r="1291" spans="1:16">
      <c r="A1291" s="227"/>
      <c r="B1291" s="131" t="s">
        <v>1138</v>
      </c>
      <c r="C1291" s="48">
        <v>94401</v>
      </c>
      <c r="H1291" s="82"/>
      <c r="K1291" s="82"/>
      <c r="P1291" s="82"/>
    </row>
    <row r="1292" spans="1:16">
      <c r="A1292" s="227"/>
      <c r="B1292" s="131" t="s">
        <v>1140</v>
      </c>
      <c r="C1292" s="48">
        <v>94403</v>
      </c>
      <c r="H1292" s="82"/>
      <c r="K1292" s="82"/>
      <c r="P1292" s="82"/>
    </row>
    <row r="1293" spans="1:16">
      <c r="A1293" s="227"/>
      <c r="B1293" s="131" t="s">
        <v>1139</v>
      </c>
      <c r="C1293" s="48">
        <v>94402</v>
      </c>
      <c r="H1293" s="82"/>
      <c r="K1293" s="82"/>
      <c r="P1293" s="82"/>
    </row>
    <row r="1294" spans="1:16">
      <c r="A1294" s="227"/>
      <c r="B1294" s="131" t="s">
        <v>1973</v>
      </c>
      <c r="C1294" s="48">
        <v>99111</v>
      </c>
      <c r="H1294" s="82"/>
      <c r="K1294" s="82"/>
      <c r="P1294" s="82"/>
    </row>
    <row r="1295" spans="1:16">
      <c r="A1295" s="227"/>
      <c r="B1295" s="131" t="s">
        <v>2025</v>
      </c>
      <c r="C1295" s="48">
        <v>94501</v>
      </c>
      <c r="H1295" s="82"/>
      <c r="K1295" s="82"/>
      <c r="P1295" s="82"/>
    </row>
    <row r="1296" spans="1:16">
      <c r="A1296" s="227"/>
      <c r="B1296" s="131" t="s">
        <v>1974</v>
      </c>
      <c r="C1296" s="48">
        <v>94511</v>
      </c>
      <c r="H1296" s="82"/>
      <c r="K1296" s="82"/>
      <c r="P1296" s="82"/>
    </row>
    <row r="1297" spans="1:16">
      <c r="A1297" s="227"/>
      <c r="B1297" s="131" t="s">
        <v>2813</v>
      </c>
      <c r="C1297" s="48">
        <v>94517</v>
      </c>
      <c r="H1297" s="82"/>
      <c r="K1297" s="82"/>
      <c r="P1297" s="82"/>
    </row>
    <row r="1298" spans="1:16">
      <c r="A1298" s="227"/>
      <c r="B1298" s="131" t="s">
        <v>1151</v>
      </c>
      <c r="C1298" s="48">
        <v>94512</v>
      </c>
      <c r="H1298" s="82"/>
      <c r="K1298" s="82"/>
      <c r="P1298" s="82"/>
    </row>
    <row r="1299" spans="1:16">
      <c r="A1299" s="227"/>
      <c r="B1299" s="131" t="s">
        <v>2526</v>
      </c>
      <c r="C1299" s="48">
        <v>97211</v>
      </c>
      <c r="H1299" s="82"/>
      <c r="K1299" s="82"/>
      <c r="P1299" s="82"/>
    </row>
    <row r="1300" spans="1:16">
      <c r="A1300" s="227"/>
      <c r="B1300" s="131" t="s">
        <v>2527</v>
      </c>
      <c r="C1300" s="48">
        <v>97217</v>
      </c>
      <c r="H1300" s="82"/>
      <c r="K1300" s="82"/>
      <c r="P1300" s="82"/>
    </row>
    <row r="1301" spans="1:16">
      <c r="A1301" s="227"/>
      <c r="B1301" s="131" t="s">
        <v>1160</v>
      </c>
      <c r="C1301" s="48">
        <v>94601</v>
      </c>
      <c r="H1301" s="82"/>
      <c r="K1301" s="82"/>
      <c r="P1301" s="82"/>
    </row>
    <row r="1302" spans="1:16">
      <c r="A1302" s="227"/>
      <c r="B1302" s="131" t="s">
        <v>1161</v>
      </c>
      <c r="C1302" s="48">
        <v>94604</v>
      </c>
      <c r="H1302" s="82"/>
      <c r="K1302" s="82"/>
      <c r="P1302" s="82"/>
    </row>
    <row r="1303" spans="1:16">
      <c r="A1303" s="227"/>
      <c r="B1303" s="131" t="s">
        <v>1162</v>
      </c>
      <c r="C1303" s="48">
        <v>94606</v>
      </c>
      <c r="H1303" s="82"/>
      <c r="K1303" s="82"/>
      <c r="P1303" s="82"/>
    </row>
    <row r="1304" spans="1:16">
      <c r="A1304" s="227"/>
      <c r="B1304" s="131" t="s">
        <v>2769</v>
      </c>
      <c r="C1304" s="48">
        <v>97213</v>
      </c>
      <c r="H1304" s="82"/>
      <c r="K1304" s="82"/>
      <c r="P1304" s="82"/>
    </row>
    <row r="1305" spans="1:16">
      <c r="A1305" s="227"/>
      <c r="B1305" s="131" t="s">
        <v>1975</v>
      </c>
      <c r="C1305" s="48">
        <v>91811</v>
      </c>
      <c r="H1305" s="82"/>
      <c r="K1305" s="82"/>
      <c r="P1305" s="82"/>
    </row>
    <row r="1306" spans="1:16">
      <c r="A1306" s="227"/>
      <c r="B1306" s="131" t="s">
        <v>2757</v>
      </c>
      <c r="C1306" s="48">
        <v>91812</v>
      </c>
      <c r="H1306" s="82"/>
      <c r="K1306" s="82"/>
      <c r="P1306" s="82"/>
    </row>
    <row r="1307" spans="1:16">
      <c r="A1307" s="227"/>
      <c r="B1307" s="131" t="s">
        <v>905</v>
      </c>
      <c r="C1307" s="48">
        <v>91813</v>
      </c>
      <c r="H1307" s="82"/>
      <c r="K1307" s="82"/>
      <c r="P1307" s="82"/>
    </row>
    <row r="1308" spans="1:16">
      <c r="A1308" s="227"/>
      <c r="B1308" s="131" t="s">
        <v>770</v>
      </c>
      <c r="C1308" s="227">
        <v>90617</v>
      </c>
      <c r="H1308" s="82"/>
      <c r="K1308" s="82"/>
      <c r="P1308" s="82"/>
    </row>
    <row r="1309" spans="1:16">
      <c r="A1309" s="227"/>
      <c r="B1309" s="131" t="s">
        <v>1976</v>
      </c>
      <c r="C1309" s="227">
        <v>94121</v>
      </c>
      <c r="H1309" s="82"/>
      <c r="K1309" s="82"/>
      <c r="P1309" s="82"/>
    </row>
    <row r="1310" spans="1:16">
      <c r="A1310" s="227"/>
      <c r="B1310" s="131" t="s">
        <v>2812</v>
      </c>
      <c r="C1310" s="48">
        <v>94127</v>
      </c>
      <c r="H1310" s="82"/>
      <c r="K1310" s="82"/>
      <c r="P1310" s="82"/>
    </row>
    <row r="1311" spans="1:16">
      <c r="A1311" s="227"/>
      <c r="B1311" s="131" t="s">
        <v>2528</v>
      </c>
      <c r="C1311" s="48">
        <v>95621</v>
      </c>
      <c r="H1311" s="82"/>
      <c r="K1311" s="82"/>
      <c r="P1311" s="82"/>
    </row>
    <row r="1312" spans="1:16">
      <c r="A1312" s="227"/>
      <c r="B1312" s="131" t="s">
        <v>1232</v>
      </c>
      <c r="C1312" s="48">
        <v>95617</v>
      </c>
      <c r="H1312" s="82"/>
      <c r="K1312" s="82"/>
      <c r="P1312" s="82"/>
    </row>
    <row r="1313" spans="1:16">
      <c r="A1313" s="227"/>
      <c r="B1313" s="131" t="s">
        <v>2529</v>
      </c>
      <c r="C1313" s="48">
        <v>91251</v>
      </c>
      <c r="H1313" s="82"/>
      <c r="K1313" s="82"/>
      <c r="P1313" s="82"/>
    </row>
    <row r="1314" spans="1:16">
      <c r="A1314" s="227"/>
      <c r="B1314" s="131" t="s">
        <v>2530</v>
      </c>
      <c r="C1314" s="48">
        <v>96831</v>
      </c>
      <c r="H1314" s="82"/>
      <c r="K1314" s="82"/>
      <c r="P1314" s="82"/>
    </row>
    <row r="1315" spans="1:16">
      <c r="A1315" s="227"/>
      <c r="B1315" s="131" t="s">
        <v>2531</v>
      </c>
      <c r="C1315" s="48">
        <v>94251</v>
      </c>
      <c r="H1315" s="82"/>
      <c r="K1315" s="82"/>
      <c r="P1315" s="82"/>
    </row>
    <row r="1316" spans="1:16">
      <c r="A1316" s="227"/>
      <c r="B1316" s="131" t="s">
        <v>1167</v>
      </c>
      <c r="C1316" s="48">
        <v>94701</v>
      </c>
      <c r="H1316" s="82"/>
      <c r="K1316" s="82"/>
      <c r="P1316" s="82"/>
    </row>
    <row r="1317" spans="1:16">
      <c r="A1317" s="227"/>
      <c r="B1317" s="131" t="s">
        <v>1168</v>
      </c>
      <c r="C1317" s="48">
        <v>94704</v>
      </c>
      <c r="H1317" s="82"/>
      <c r="K1317" s="82"/>
      <c r="P1317" s="82"/>
    </row>
    <row r="1318" spans="1:16">
      <c r="A1318" s="227"/>
      <c r="B1318" s="131" t="s">
        <v>2532</v>
      </c>
      <c r="C1318" s="48">
        <v>91014</v>
      </c>
      <c r="H1318" s="82"/>
      <c r="K1318" s="82"/>
      <c r="P1318" s="82"/>
    </row>
    <row r="1319" spans="1:16">
      <c r="A1319" s="227"/>
      <c r="B1319" s="131" t="s">
        <v>2533</v>
      </c>
      <c r="C1319" s="48">
        <v>96731</v>
      </c>
      <c r="H1319" s="82"/>
      <c r="K1319" s="82"/>
      <c r="P1319" s="82"/>
    </row>
    <row r="1320" spans="1:16">
      <c r="A1320" s="227"/>
      <c r="B1320" s="131" t="s">
        <v>1333</v>
      </c>
      <c r="C1320" s="48">
        <v>96733</v>
      </c>
      <c r="H1320" s="82"/>
      <c r="K1320" s="82"/>
      <c r="P1320" s="82"/>
    </row>
    <row r="1321" spans="1:16">
      <c r="A1321" s="227"/>
      <c r="B1321" s="131" t="s">
        <v>2534</v>
      </c>
      <c r="C1321" s="48">
        <v>99202</v>
      </c>
      <c r="H1321" s="82"/>
      <c r="K1321" s="82"/>
      <c r="P1321" s="82"/>
    </row>
    <row r="1322" spans="1:16">
      <c r="A1322" s="227"/>
      <c r="B1322" s="131" t="s">
        <v>2535</v>
      </c>
      <c r="C1322" s="227">
        <v>94011</v>
      </c>
      <c r="H1322" s="82"/>
      <c r="K1322" s="82"/>
      <c r="P1322" s="82"/>
    </row>
    <row r="1323" spans="1:16">
      <c r="A1323" s="227"/>
      <c r="B1323" s="131" t="s">
        <v>2536</v>
      </c>
      <c r="C1323" s="48">
        <v>92631</v>
      </c>
      <c r="H1323" s="82"/>
      <c r="K1323" s="82"/>
      <c r="P1323" s="82"/>
    </row>
    <row r="1324" spans="1:16">
      <c r="A1324" s="227"/>
      <c r="B1324" s="131" t="s">
        <v>1237</v>
      </c>
      <c r="C1324" s="48">
        <v>95733</v>
      </c>
      <c r="H1324" s="82"/>
      <c r="K1324" s="82"/>
      <c r="P1324" s="82"/>
    </row>
    <row r="1325" spans="1:16">
      <c r="A1325" s="227"/>
      <c r="B1325" s="131" t="s">
        <v>2537</v>
      </c>
      <c r="C1325" s="48">
        <v>91431</v>
      </c>
      <c r="H1325" s="82"/>
      <c r="K1325" s="82"/>
      <c r="P1325" s="82"/>
    </row>
    <row r="1326" spans="1:16">
      <c r="A1326" s="227"/>
      <c r="B1326" s="131" t="s">
        <v>2538</v>
      </c>
      <c r="C1326" s="48">
        <v>96041</v>
      </c>
      <c r="H1326" s="82"/>
      <c r="K1326" s="82"/>
      <c r="P1326" s="82"/>
    </row>
    <row r="1327" spans="1:16">
      <c r="A1327" s="227"/>
      <c r="B1327" s="131" t="s">
        <v>1170</v>
      </c>
      <c r="C1327" s="48">
        <v>94801</v>
      </c>
      <c r="H1327" s="82"/>
      <c r="K1327" s="82"/>
      <c r="P1327" s="82"/>
    </row>
    <row r="1328" spans="1:16">
      <c r="A1328" s="227"/>
      <c r="B1328" s="131" t="s">
        <v>1171</v>
      </c>
      <c r="C1328" s="48">
        <v>94804</v>
      </c>
      <c r="H1328" s="82"/>
      <c r="K1328" s="82"/>
      <c r="P1328" s="82"/>
    </row>
    <row r="1329" spans="1:16">
      <c r="A1329" s="227"/>
      <c r="B1329" s="131" t="s">
        <v>2539</v>
      </c>
      <c r="C1329" s="48">
        <v>91661</v>
      </c>
      <c r="H1329" s="82"/>
      <c r="K1329" s="82"/>
      <c r="P1329" s="82"/>
    </row>
    <row r="1330" spans="1:16">
      <c r="A1330" s="227"/>
      <c r="B1330" s="131" t="s">
        <v>2540</v>
      </c>
      <c r="C1330" s="48">
        <v>99051</v>
      </c>
      <c r="H1330" s="82"/>
      <c r="K1330" s="82"/>
      <c r="P1330" s="82"/>
    </row>
    <row r="1331" spans="1:16">
      <c r="A1331" s="227"/>
      <c r="B1331" s="131" t="s">
        <v>1525</v>
      </c>
      <c r="C1331" s="48">
        <v>99014</v>
      </c>
      <c r="H1331" s="82"/>
      <c r="K1331" s="82"/>
      <c r="P1331" s="82"/>
    </row>
    <row r="1332" spans="1:16">
      <c r="A1332" s="227"/>
      <c r="B1332" s="131" t="s">
        <v>1173</v>
      </c>
      <c r="C1332" s="48">
        <v>94901</v>
      </c>
      <c r="H1332" s="82"/>
      <c r="K1332" s="82"/>
      <c r="P1332" s="82"/>
    </row>
    <row r="1333" spans="1:16">
      <c r="A1333" s="227"/>
      <c r="B1333" s="131" t="s">
        <v>1462</v>
      </c>
      <c r="C1333" s="48">
        <v>98109</v>
      </c>
      <c r="H1333" s="82"/>
      <c r="K1333" s="82"/>
      <c r="P1333" s="82"/>
    </row>
    <row r="1334" spans="1:16">
      <c r="A1334" s="227"/>
      <c r="B1334" s="131" t="s">
        <v>2808</v>
      </c>
      <c r="C1334" s="48">
        <v>98205</v>
      </c>
      <c r="H1334" s="82"/>
      <c r="K1334" s="82"/>
      <c r="P1334" s="82"/>
    </row>
    <row r="1335" spans="1:16">
      <c r="A1335" s="227"/>
      <c r="B1335" s="131" t="s">
        <v>2541</v>
      </c>
      <c r="C1335" s="48">
        <v>96661</v>
      </c>
      <c r="H1335" s="82"/>
      <c r="K1335" s="82"/>
      <c r="P1335" s="82"/>
    </row>
    <row r="1336" spans="1:16">
      <c r="A1336" s="227"/>
      <c r="B1336" s="131" t="s">
        <v>1182</v>
      </c>
      <c r="C1336" s="48">
        <v>95001</v>
      </c>
      <c r="H1336" s="82"/>
      <c r="K1336" s="82"/>
      <c r="P1336" s="82"/>
    </row>
    <row r="1337" spans="1:16">
      <c r="A1337" s="227"/>
      <c r="B1337" s="131" t="s">
        <v>1188</v>
      </c>
      <c r="C1337" s="48">
        <v>95017</v>
      </c>
      <c r="H1337" s="82"/>
      <c r="K1337" s="82"/>
      <c r="P1337" s="82"/>
    </row>
    <row r="1338" spans="1:16">
      <c r="A1338" s="227"/>
      <c r="B1338" s="131" t="s">
        <v>1977</v>
      </c>
      <c r="C1338" s="48">
        <v>96711</v>
      </c>
      <c r="H1338" s="82"/>
      <c r="K1338" s="82"/>
      <c r="P1338" s="82"/>
    </row>
    <row r="1339" spans="1:16">
      <c r="A1339" s="227"/>
      <c r="B1339" s="131" t="s">
        <v>2542</v>
      </c>
      <c r="C1339" s="48">
        <v>94131</v>
      </c>
      <c r="H1339" s="82"/>
      <c r="K1339" s="82"/>
      <c r="P1339" s="82"/>
    </row>
    <row r="1340" spans="1:16">
      <c r="A1340" s="227"/>
      <c r="B1340" s="131" t="s">
        <v>2543</v>
      </c>
      <c r="C1340" s="48">
        <v>95841</v>
      </c>
      <c r="H1340" s="82"/>
      <c r="K1340" s="82"/>
      <c r="P1340" s="82"/>
    </row>
    <row r="1341" spans="1:16">
      <c r="A1341" s="227"/>
      <c r="B1341" s="131" t="s">
        <v>2544</v>
      </c>
      <c r="C1341" s="48">
        <v>90511</v>
      </c>
      <c r="H1341" s="82"/>
      <c r="K1341" s="82"/>
      <c r="P1341" s="82"/>
    </row>
    <row r="1342" spans="1:16">
      <c r="A1342" s="227"/>
      <c r="B1342" s="131" t="s">
        <v>1189</v>
      </c>
      <c r="C1342" s="48">
        <v>95101</v>
      </c>
      <c r="H1342" s="82"/>
      <c r="K1342" s="82"/>
      <c r="P1342" s="82"/>
    </row>
    <row r="1343" spans="1:16">
      <c r="A1343" s="227"/>
      <c r="B1343" s="131" t="s">
        <v>1191</v>
      </c>
      <c r="C1343" s="48">
        <v>95104</v>
      </c>
      <c r="H1343" s="82"/>
      <c r="K1343" s="82"/>
      <c r="P1343" s="82"/>
    </row>
    <row r="1344" spans="1:16">
      <c r="A1344" s="227"/>
      <c r="B1344" s="131" t="s">
        <v>1194</v>
      </c>
      <c r="C1344" s="48">
        <v>95110</v>
      </c>
      <c r="H1344" s="82"/>
      <c r="K1344" s="82"/>
      <c r="P1344" s="82"/>
    </row>
    <row r="1345" spans="1:16">
      <c r="A1345" s="227"/>
      <c r="B1345" s="131" t="s">
        <v>1207</v>
      </c>
      <c r="C1345" s="48">
        <v>95201</v>
      </c>
      <c r="H1345" s="82"/>
      <c r="K1345" s="82"/>
      <c r="P1345" s="82"/>
    </row>
    <row r="1346" spans="1:16">
      <c r="A1346" s="227"/>
      <c r="B1346" s="131" t="s">
        <v>1208</v>
      </c>
      <c r="C1346" s="48">
        <v>95204</v>
      </c>
      <c r="H1346" s="82"/>
      <c r="K1346" s="82"/>
      <c r="P1346" s="82"/>
    </row>
    <row r="1347" spans="1:16">
      <c r="A1347" s="227"/>
      <c r="B1347" s="131" t="s">
        <v>2545</v>
      </c>
      <c r="C1347" s="51">
        <v>99921</v>
      </c>
      <c r="H1347" s="82"/>
      <c r="K1347" s="82"/>
      <c r="P1347" s="82"/>
    </row>
    <row r="1348" spans="1:16">
      <c r="A1348" s="227"/>
      <c r="B1348" s="131" t="s">
        <v>1141</v>
      </c>
      <c r="C1348" s="227">
        <v>94408</v>
      </c>
      <c r="H1348" s="82"/>
      <c r="K1348" s="82"/>
      <c r="P1348" s="82"/>
    </row>
    <row r="1349" spans="1:16">
      <c r="A1349" s="227"/>
      <c r="B1349" s="131" t="s">
        <v>1978</v>
      </c>
      <c r="C1349" s="227">
        <v>91331</v>
      </c>
      <c r="H1349" s="82"/>
      <c r="K1349" s="82"/>
      <c r="P1349" s="82"/>
    </row>
    <row r="1350" spans="1:16">
      <c r="A1350" s="227"/>
      <c r="B1350" s="131" t="s">
        <v>2546</v>
      </c>
      <c r="C1350" s="48">
        <v>93121</v>
      </c>
      <c r="H1350" s="82"/>
      <c r="K1350" s="82"/>
      <c r="P1350" s="82"/>
    </row>
    <row r="1351" spans="1:16">
      <c r="A1351" s="227"/>
      <c r="B1351" s="131" t="s">
        <v>1011</v>
      </c>
      <c r="C1351" s="48">
        <v>93127</v>
      </c>
      <c r="H1351" s="82"/>
      <c r="K1351" s="82"/>
      <c r="P1351" s="82"/>
    </row>
    <row r="1352" spans="1:16">
      <c r="A1352" s="227"/>
      <c r="B1352" s="131" t="s">
        <v>2547</v>
      </c>
      <c r="C1352" s="48">
        <v>95171</v>
      </c>
      <c r="H1352" s="82"/>
      <c r="K1352" s="82"/>
      <c r="P1352" s="82"/>
    </row>
    <row r="1353" spans="1:16">
      <c r="A1353" s="227"/>
      <c r="B1353" s="131" t="s">
        <v>2548</v>
      </c>
      <c r="C1353" s="48">
        <v>93421</v>
      </c>
      <c r="H1353" s="82"/>
      <c r="K1353" s="82"/>
      <c r="P1353" s="82"/>
    </row>
    <row r="1354" spans="1:16">
      <c r="A1354" s="227"/>
      <c r="B1354" s="131" t="s">
        <v>1539</v>
      </c>
      <c r="C1354" s="48">
        <v>99110</v>
      </c>
      <c r="H1354" s="82"/>
      <c r="K1354" s="82"/>
      <c r="P1354" s="82"/>
    </row>
    <row r="1355" spans="1:16">
      <c r="A1355" s="227"/>
      <c r="B1355" s="131" t="s">
        <v>2807</v>
      </c>
      <c r="C1355" s="48">
        <v>99109</v>
      </c>
      <c r="H1355" s="82"/>
      <c r="K1355" s="82"/>
      <c r="P1355" s="82"/>
    </row>
    <row r="1356" spans="1:16">
      <c r="A1356" s="227"/>
      <c r="B1356" s="131" t="s">
        <v>2549</v>
      </c>
      <c r="C1356" s="48">
        <v>92821</v>
      </c>
      <c r="H1356" s="82"/>
      <c r="K1356" s="82"/>
      <c r="P1356" s="82"/>
    </row>
    <row r="1357" spans="1:16">
      <c r="A1357" s="227"/>
      <c r="B1357" s="131" t="s">
        <v>2550</v>
      </c>
      <c r="C1357" s="48">
        <v>98521</v>
      </c>
      <c r="H1357" s="82"/>
      <c r="K1357" s="82"/>
      <c r="P1357" s="82"/>
    </row>
    <row r="1358" spans="1:16">
      <c r="A1358" s="227"/>
      <c r="B1358" s="131" t="s">
        <v>1979</v>
      </c>
      <c r="C1358" s="48">
        <v>92321</v>
      </c>
      <c r="H1358" s="82"/>
      <c r="K1358" s="82"/>
      <c r="P1358" s="82"/>
    </row>
    <row r="1359" spans="1:16">
      <c r="A1359" s="227"/>
      <c r="B1359" s="131" t="s">
        <v>938</v>
      </c>
      <c r="C1359" s="48">
        <v>92327</v>
      </c>
      <c r="H1359" s="82"/>
      <c r="K1359" s="82"/>
      <c r="P1359" s="82"/>
    </row>
    <row r="1360" spans="1:16">
      <c r="A1360" s="227"/>
      <c r="B1360" s="131" t="s">
        <v>1980</v>
      </c>
      <c r="C1360" s="48">
        <v>95411</v>
      </c>
      <c r="H1360" s="82"/>
      <c r="K1360" s="82"/>
      <c r="P1360" s="82"/>
    </row>
    <row r="1361" spans="1:16">
      <c r="A1361" s="227"/>
      <c r="B1361" s="131" t="s">
        <v>2811</v>
      </c>
      <c r="C1361" s="48">
        <v>95413</v>
      </c>
      <c r="H1361" s="82"/>
      <c r="K1361" s="82"/>
      <c r="P1361" s="82"/>
    </row>
    <row r="1362" spans="1:16">
      <c r="A1362" s="227"/>
      <c r="B1362" s="131" t="s">
        <v>2806</v>
      </c>
      <c r="C1362" s="48">
        <v>95415</v>
      </c>
      <c r="H1362" s="82"/>
      <c r="K1362" s="82"/>
      <c r="P1362" s="82"/>
    </row>
    <row r="1363" spans="1:16">
      <c r="A1363" s="227"/>
      <c r="B1363" s="131" t="s">
        <v>2551</v>
      </c>
      <c r="C1363" s="48">
        <v>92851</v>
      </c>
      <c r="H1363" s="82"/>
      <c r="K1363" s="82"/>
      <c r="P1363" s="82"/>
    </row>
    <row r="1364" spans="1:16">
      <c r="A1364" s="227"/>
      <c r="B1364" s="131" t="s">
        <v>2552</v>
      </c>
      <c r="C1364" s="48">
        <v>99291</v>
      </c>
      <c r="H1364" s="82"/>
      <c r="K1364" s="82"/>
      <c r="P1364" s="82"/>
    </row>
    <row r="1365" spans="1:16">
      <c r="A1365" s="227"/>
      <c r="B1365" s="131" t="s">
        <v>2553</v>
      </c>
      <c r="C1365" s="48">
        <v>96541</v>
      </c>
      <c r="H1365" s="82"/>
      <c r="K1365" s="82"/>
      <c r="P1365" s="82"/>
    </row>
    <row r="1366" spans="1:16">
      <c r="A1366" s="227"/>
      <c r="B1366" s="131" t="s">
        <v>2554</v>
      </c>
      <c r="C1366" s="48">
        <v>95431</v>
      </c>
      <c r="H1366" s="82"/>
      <c r="K1366" s="82"/>
      <c r="P1366" s="82"/>
    </row>
    <row r="1367" spans="1:16">
      <c r="A1367" s="227"/>
      <c r="B1367" s="131" t="s">
        <v>2555</v>
      </c>
      <c r="C1367" s="48">
        <v>98131</v>
      </c>
      <c r="H1367" s="82"/>
      <c r="K1367" s="82"/>
      <c r="P1367" s="82"/>
    </row>
    <row r="1368" spans="1:16">
      <c r="A1368" s="227"/>
      <c r="B1368" s="131" t="s">
        <v>2556</v>
      </c>
      <c r="C1368" s="48">
        <v>92461</v>
      </c>
      <c r="H1368" s="82"/>
      <c r="K1368" s="82"/>
      <c r="P1368" s="82"/>
    </row>
    <row r="1369" spans="1:16">
      <c r="A1369" s="227"/>
      <c r="B1369" s="131" t="s">
        <v>947</v>
      </c>
      <c r="C1369" s="48">
        <v>92427</v>
      </c>
      <c r="H1369" s="82"/>
      <c r="K1369" s="82"/>
      <c r="P1369" s="82"/>
    </row>
    <row r="1370" spans="1:16">
      <c r="A1370" s="227"/>
      <c r="B1370" s="131" t="s">
        <v>2557</v>
      </c>
      <c r="C1370" s="48">
        <v>98051</v>
      </c>
      <c r="H1370" s="82"/>
      <c r="K1370" s="82"/>
      <c r="P1370" s="82"/>
    </row>
    <row r="1371" spans="1:16">
      <c r="A1371" s="227"/>
      <c r="B1371" s="131" t="s">
        <v>830</v>
      </c>
      <c r="C1371" s="48">
        <v>91102</v>
      </c>
      <c r="H1371" s="82"/>
      <c r="K1371" s="82"/>
      <c r="P1371" s="82"/>
    </row>
    <row r="1372" spans="1:16">
      <c r="A1372" s="227"/>
      <c r="B1372" s="131" t="s">
        <v>2558</v>
      </c>
      <c r="C1372" s="48">
        <v>94521</v>
      </c>
      <c r="H1372" s="82"/>
      <c r="K1372" s="82"/>
      <c r="P1372" s="82"/>
    </row>
    <row r="1373" spans="1:16">
      <c r="A1373" s="227"/>
      <c r="B1373" s="131" t="s">
        <v>1154</v>
      </c>
      <c r="C1373" s="48">
        <v>94527</v>
      </c>
      <c r="H1373" s="82"/>
      <c r="K1373" s="82"/>
      <c r="P1373" s="82"/>
    </row>
    <row r="1374" spans="1:16">
      <c r="A1374" s="227"/>
      <c r="B1374" s="131" t="s">
        <v>1981</v>
      </c>
      <c r="C1374" s="48">
        <v>98311</v>
      </c>
      <c r="H1374" s="82"/>
      <c r="K1374" s="82"/>
      <c r="P1374" s="82"/>
    </row>
    <row r="1375" spans="1:16">
      <c r="A1375" s="227"/>
      <c r="B1375" s="131" t="s">
        <v>1485</v>
      </c>
      <c r="C1375" s="48">
        <v>98313</v>
      </c>
      <c r="H1375" s="82"/>
      <c r="K1375" s="82"/>
      <c r="P1375" s="82"/>
    </row>
    <row r="1376" spans="1:16">
      <c r="A1376" s="227"/>
      <c r="B1376" s="131" t="s">
        <v>1483</v>
      </c>
      <c r="C1376" s="48">
        <v>98308</v>
      </c>
      <c r="H1376" s="82"/>
      <c r="K1376" s="82"/>
      <c r="P1376" s="82"/>
    </row>
    <row r="1377" spans="1:16">
      <c r="A1377" s="227"/>
      <c r="B1377" s="131" t="s">
        <v>2559</v>
      </c>
      <c r="C1377" s="48">
        <v>92341</v>
      </c>
      <c r="H1377" s="82"/>
      <c r="K1377" s="82"/>
      <c r="P1377" s="82"/>
    </row>
    <row r="1378" spans="1:16">
      <c r="A1378" s="227"/>
      <c r="B1378" s="131" t="s">
        <v>1212</v>
      </c>
      <c r="C1378" s="48">
        <v>95301</v>
      </c>
      <c r="H1378" s="82"/>
      <c r="K1378" s="82"/>
      <c r="P1378" s="82"/>
    </row>
    <row r="1379" spans="1:16">
      <c r="A1379" s="227"/>
      <c r="B1379" s="131" t="s">
        <v>2560</v>
      </c>
      <c r="C1379" s="48">
        <v>91002</v>
      </c>
      <c r="H1379" s="82"/>
      <c r="K1379" s="82"/>
      <c r="P1379" s="82"/>
    </row>
    <row r="1380" spans="1:16">
      <c r="A1380" s="227"/>
      <c r="B1380" s="131" t="s">
        <v>1982</v>
      </c>
      <c r="C1380" s="48">
        <v>91451</v>
      </c>
      <c r="H1380" s="82"/>
      <c r="K1380" s="82"/>
      <c r="P1380" s="82"/>
    </row>
    <row r="1381" spans="1:16">
      <c r="A1381" s="227"/>
      <c r="B1381" s="131" t="s">
        <v>2805</v>
      </c>
      <c r="C1381" s="48">
        <v>91457</v>
      </c>
      <c r="H1381" s="82"/>
      <c r="K1381" s="82"/>
      <c r="P1381" s="82"/>
    </row>
    <row r="1382" spans="1:16">
      <c r="A1382" s="227"/>
      <c r="B1382" s="131" t="s">
        <v>1216</v>
      </c>
      <c r="C1382" s="48">
        <v>95401</v>
      </c>
      <c r="H1382" s="82"/>
      <c r="K1382" s="82"/>
      <c r="P1382" s="82"/>
    </row>
    <row r="1383" spans="1:16">
      <c r="A1383" s="227"/>
      <c r="B1383" s="131" t="s">
        <v>1217</v>
      </c>
      <c r="C1383" s="48">
        <v>95404</v>
      </c>
      <c r="H1383" s="82"/>
      <c r="K1383" s="82"/>
      <c r="P1383" s="82"/>
    </row>
    <row r="1384" spans="1:16">
      <c r="A1384" s="227"/>
      <c r="B1384" s="131" t="s">
        <v>876</v>
      </c>
      <c r="C1384" s="227">
        <v>91423</v>
      </c>
      <c r="H1384" s="82"/>
      <c r="K1384" s="82"/>
      <c r="P1384" s="82"/>
    </row>
    <row r="1385" spans="1:16">
      <c r="A1385" s="227"/>
      <c r="B1385" s="131" t="s">
        <v>2561</v>
      </c>
      <c r="C1385" s="48">
        <v>90861</v>
      </c>
      <c r="H1385" s="82"/>
      <c r="K1385" s="82"/>
      <c r="P1385" s="82"/>
    </row>
    <row r="1386" spans="1:16">
      <c r="A1386" s="227"/>
      <c r="B1386" s="131" t="s">
        <v>2562</v>
      </c>
      <c r="C1386" s="48">
        <v>93451</v>
      </c>
      <c r="H1386" s="82"/>
      <c r="K1386" s="82"/>
      <c r="P1386" s="82"/>
    </row>
    <row r="1387" spans="1:16">
      <c r="A1387" s="227"/>
      <c r="B1387" s="131" t="s">
        <v>1983</v>
      </c>
      <c r="C1387" s="48">
        <v>92931</v>
      </c>
      <c r="H1387" s="82"/>
      <c r="K1387" s="82"/>
      <c r="P1387" s="82"/>
    </row>
    <row r="1388" spans="1:16">
      <c r="A1388" s="227"/>
      <c r="B1388" s="131" t="s">
        <v>998</v>
      </c>
      <c r="C1388" s="48">
        <v>92917</v>
      </c>
      <c r="H1388" s="82"/>
      <c r="K1388" s="82"/>
      <c r="P1388" s="82"/>
    </row>
    <row r="1389" spans="1:16">
      <c r="A1389" s="227"/>
      <c r="B1389" s="131" t="s">
        <v>2563</v>
      </c>
      <c r="C1389" s="48">
        <v>97631</v>
      </c>
      <c r="H1389" s="82"/>
      <c r="K1389" s="82"/>
      <c r="P1389" s="82"/>
    </row>
    <row r="1390" spans="1:16">
      <c r="A1390" s="227"/>
      <c r="B1390" s="131" t="s">
        <v>1400</v>
      </c>
      <c r="C1390" s="48">
        <v>97637</v>
      </c>
      <c r="H1390" s="82"/>
      <c r="K1390" s="82"/>
      <c r="P1390" s="82"/>
    </row>
    <row r="1391" spans="1:16">
      <c r="A1391" s="227"/>
      <c r="B1391" s="131" t="s">
        <v>2564</v>
      </c>
      <c r="C1391" s="48">
        <v>90421</v>
      </c>
      <c r="H1391" s="82"/>
      <c r="K1391" s="82"/>
      <c r="P1391" s="82"/>
    </row>
    <row r="1392" spans="1:16">
      <c r="A1392" s="227"/>
      <c r="B1392" s="131" t="s">
        <v>2565</v>
      </c>
      <c r="C1392" s="48">
        <v>94321</v>
      </c>
      <c r="H1392" s="82"/>
      <c r="K1392" s="82"/>
      <c r="P1392" s="82"/>
    </row>
    <row r="1393" spans="1:16">
      <c r="A1393" s="227"/>
      <c r="B1393" s="131" t="s">
        <v>1225</v>
      </c>
      <c r="C1393" s="48">
        <v>95501</v>
      </c>
      <c r="H1393" s="82"/>
      <c r="K1393" s="82"/>
      <c r="P1393" s="82"/>
    </row>
    <row r="1394" spans="1:16">
      <c r="A1394" s="227"/>
      <c r="B1394" s="131" t="s">
        <v>1226</v>
      </c>
      <c r="C1394" s="48">
        <v>95504</v>
      </c>
      <c r="H1394" s="82"/>
      <c r="K1394" s="82"/>
      <c r="P1394" s="82"/>
    </row>
    <row r="1395" spans="1:16">
      <c r="A1395" s="227"/>
      <c r="B1395" s="131" t="s">
        <v>1984</v>
      </c>
      <c r="C1395" s="227">
        <v>95511</v>
      </c>
      <c r="H1395" s="82"/>
      <c r="K1395" s="82"/>
      <c r="P1395" s="82"/>
    </row>
    <row r="1396" spans="1:16">
      <c r="A1396" s="227"/>
      <c r="B1396" s="131" t="s">
        <v>2566</v>
      </c>
      <c r="C1396" s="48">
        <v>95517</v>
      </c>
      <c r="H1396" s="82"/>
      <c r="K1396" s="82"/>
      <c r="P1396" s="82"/>
    </row>
    <row r="1397" spans="1:16">
      <c r="A1397" s="227"/>
      <c r="B1397" s="131" t="s">
        <v>1228</v>
      </c>
      <c r="C1397" s="48">
        <v>95513</v>
      </c>
      <c r="H1397" s="82"/>
      <c r="K1397" s="82"/>
      <c r="P1397" s="82"/>
    </row>
    <row r="1398" spans="1:16">
      <c r="A1398" s="227"/>
      <c r="B1398" s="131" t="s">
        <v>2567</v>
      </c>
      <c r="C1398" s="48">
        <v>92651</v>
      </c>
      <c r="H1398" s="82"/>
      <c r="K1398" s="82"/>
      <c r="P1398" s="82"/>
    </row>
    <row r="1399" spans="1:16">
      <c r="A1399" s="227"/>
      <c r="B1399" s="131" t="s">
        <v>2568</v>
      </c>
      <c r="C1399" s="48">
        <v>94261</v>
      </c>
      <c r="H1399" s="82"/>
      <c r="K1399" s="82"/>
      <c r="P1399" s="82"/>
    </row>
    <row r="1400" spans="1:16">
      <c r="A1400" s="227"/>
      <c r="B1400" s="131" t="s">
        <v>1985</v>
      </c>
      <c r="C1400" s="48">
        <v>98431</v>
      </c>
      <c r="H1400" s="82"/>
      <c r="K1400" s="82"/>
      <c r="P1400" s="82"/>
    </row>
    <row r="1401" spans="1:16">
      <c r="A1401" s="227"/>
      <c r="B1401" s="131" t="s">
        <v>1489</v>
      </c>
      <c r="C1401" s="48">
        <v>98404</v>
      </c>
      <c r="H1401" s="82"/>
      <c r="K1401" s="82"/>
      <c r="P1401" s="82"/>
    </row>
    <row r="1402" spans="1:16">
      <c r="A1402" s="227"/>
      <c r="B1402" s="131" t="s">
        <v>2569</v>
      </c>
      <c r="C1402" s="227">
        <v>91841</v>
      </c>
      <c r="H1402" s="82"/>
      <c r="K1402" s="82"/>
      <c r="P1402" s="82"/>
    </row>
    <row r="1403" spans="1:16">
      <c r="A1403" s="227"/>
      <c r="B1403" s="131" t="s">
        <v>2570</v>
      </c>
      <c r="C1403" s="48">
        <v>93521</v>
      </c>
      <c r="H1403" s="82"/>
      <c r="K1403" s="82"/>
      <c r="P1403" s="82"/>
    </row>
    <row r="1404" spans="1:16">
      <c r="A1404" s="227"/>
      <c r="B1404" s="131" t="s">
        <v>1058</v>
      </c>
      <c r="C1404" s="48">
        <v>93527</v>
      </c>
      <c r="H1404" s="82"/>
      <c r="K1404" s="82"/>
      <c r="P1404" s="82"/>
    </row>
    <row r="1405" spans="1:16">
      <c r="A1405" s="227"/>
      <c r="B1405" s="131" t="s">
        <v>1986</v>
      </c>
      <c r="C1405" s="48">
        <v>93661</v>
      </c>
      <c r="H1405" s="82"/>
      <c r="K1405" s="82"/>
      <c r="P1405" s="82"/>
    </row>
    <row r="1406" spans="1:16">
      <c r="A1406" s="227"/>
      <c r="B1406" s="131" t="s">
        <v>2766</v>
      </c>
      <c r="C1406" s="48">
        <v>96508</v>
      </c>
      <c r="H1406" s="82"/>
      <c r="K1406" s="82"/>
      <c r="P1406" s="82"/>
    </row>
    <row r="1407" spans="1:16">
      <c r="A1407" s="227"/>
      <c r="B1407" s="131" t="s">
        <v>2571</v>
      </c>
      <c r="C1407" s="51">
        <v>99841</v>
      </c>
      <c r="H1407" s="82"/>
      <c r="K1407" s="82"/>
      <c r="P1407" s="82"/>
    </row>
    <row r="1408" spans="1:16">
      <c r="A1408" s="227"/>
      <c r="B1408" s="131" t="s">
        <v>1413</v>
      </c>
      <c r="C1408" s="227">
        <v>97802</v>
      </c>
      <c r="H1408" s="82"/>
      <c r="K1408" s="82"/>
      <c r="P1408" s="82"/>
    </row>
    <row r="1409" spans="1:16">
      <c r="A1409" s="227"/>
      <c r="B1409" s="131" t="s">
        <v>1987</v>
      </c>
      <c r="C1409" s="48">
        <v>97811</v>
      </c>
      <c r="H1409" s="82"/>
      <c r="K1409" s="82"/>
      <c r="P1409" s="82"/>
    </row>
    <row r="1410" spans="1:16">
      <c r="A1410" s="227"/>
      <c r="B1410" s="131" t="s">
        <v>1417</v>
      </c>
      <c r="C1410" s="227">
        <v>97817</v>
      </c>
      <c r="H1410" s="82"/>
      <c r="K1410" s="82"/>
      <c r="P1410" s="82"/>
    </row>
    <row r="1411" spans="1:16">
      <c r="A1411" s="227"/>
      <c r="B1411" s="131" t="s">
        <v>2804</v>
      </c>
      <c r="C1411" s="48">
        <v>97818</v>
      </c>
      <c r="H1411" s="82"/>
      <c r="K1411" s="82"/>
      <c r="P1411" s="82"/>
    </row>
    <row r="1412" spans="1:16">
      <c r="A1412" s="227"/>
      <c r="B1412" s="131" t="s">
        <v>2572</v>
      </c>
      <c r="C1412" s="48">
        <v>93341</v>
      </c>
      <c r="H1412" s="82"/>
      <c r="K1412" s="82"/>
      <c r="P1412" s="82"/>
    </row>
    <row r="1413" spans="1:16">
      <c r="A1413" s="227"/>
      <c r="B1413" s="131" t="s">
        <v>1230</v>
      </c>
      <c r="C1413" s="48">
        <v>95601</v>
      </c>
      <c r="H1413" s="82"/>
      <c r="K1413" s="82"/>
      <c r="P1413" s="82"/>
    </row>
    <row r="1414" spans="1:16">
      <c r="A1414" s="227"/>
      <c r="B1414" s="131" t="s">
        <v>2573</v>
      </c>
      <c r="C1414" s="48">
        <v>97941</v>
      </c>
      <c r="H1414" s="82"/>
      <c r="K1414" s="82"/>
      <c r="P1414" s="82"/>
    </row>
    <row r="1415" spans="1:16">
      <c r="A1415" s="227"/>
      <c r="B1415" s="131" t="s">
        <v>1438</v>
      </c>
      <c r="C1415" s="48">
        <v>97947</v>
      </c>
      <c r="H1415" s="82"/>
      <c r="K1415" s="82"/>
      <c r="P1415" s="82"/>
    </row>
    <row r="1416" spans="1:16">
      <c r="A1416" s="227"/>
      <c r="B1416" s="131" t="s">
        <v>1234</v>
      </c>
      <c r="C1416" s="48">
        <v>95701</v>
      </c>
      <c r="H1416" s="82"/>
      <c r="K1416" s="82"/>
      <c r="P1416" s="82"/>
    </row>
    <row r="1417" spans="1:16">
      <c r="A1417" s="227"/>
      <c r="B1417" s="131" t="s">
        <v>1439</v>
      </c>
      <c r="C1417" s="48">
        <v>97948</v>
      </c>
      <c r="H1417" s="82"/>
      <c r="K1417" s="82"/>
      <c r="P1417" s="82"/>
    </row>
    <row r="1418" spans="1:16">
      <c r="A1418" s="227"/>
      <c r="B1418" s="131" t="s">
        <v>2574</v>
      </c>
      <c r="C1418" s="48">
        <v>94421</v>
      </c>
      <c r="H1418" s="82"/>
      <c r="K1418" s="82"/>
      <c r="P1418" s="82"/>
    </row>
    <row r="1419" spans="1:16">
      <c r="A1419" s="227"/>
      <c r="B1419" s="131" t="s">
        <v>1145</v>
      </c>
      <c r="C1419" s="48">
        <v>94427</v>
      </c>
      <c r="H1419" s="82"/>
      <c r="K1419" s="82"/>
      <c r="P1419" s="82"/>
    </row>
    <row r="1420" spans="1:16">
      <c r="A1420" s="227"/>
      <c r="B1420" s="131" t="s">
        <v>2803</v>
      </c>
      <c r="C1420" s="48">
        <v>94428</v>
      </c>
      <c r="H1420" s="82"/>
      <c r="K1420" s="82"/>
      <c r="P1420" s="82"/>
    </row>
    <row r="1421" spans="1:16">
      <c r="A1421" s="227"/>
      <c r="B1421" s="131" t="s">
        <v>2575</v>
      </c>
      <c r="C1421" s="48">
        <v>93191</v>
      </c>
      <c r="H1421" s="82"/>
      <c r="K1421" s="82"/>
      <c r="P1421" s="82"/>
    </row>
    <row r="1422" spans="1:16">
      <c r="A1422" s="227"/>
      <c r="B1422" s="131" t="s">
        <v>2576</v>
      </c>
      <c r="C1422" s="48">
        <v>91831</v>
      </c>
      <c r="H1422" s="82"/>
      <c r="K1422" s="82"/>
      <c r="P1422" s="82"/>
    </row>
    <row r="1423" spans="1:16">
      <c r="A1423" s="227"/>
      <c r="B1423" s="131" t="s">
        <v>2577</v>
      </c>
      <c r="C1423" s="48">
        <v>92831</v>
      </c>
      <c r="H1423" s="82"/>
      <c r="K1423" s="82"/>
      <c r="P1423" s="82"/>
    </row>
    <row r="1424" spans="1:16">
      <c r="A1424" s="227"/>
      <c r="B1424" s="131" t="s">
        <v>2578</v>
      </c>
      <c r="C1424" s="48">
        <v>95911</v>
      </c>
      <c r="H1424" s="82"/>
      <c r="K1424" s="82"/>
      <c r="P1424" s="82"/>
    </row>
    <row r="1425" spans="1:16">
      <c r="A1425" s="227"/>
      <c r="B1425" s="131" t="s">
        <v>1251</v>
      </c>
      <c r="C1425" s="48">
        <v>95917</v>
      </c>
      <c r="H1425" s="82"/>
      <c r="K1425" s="82"/>
      <c r="P1425" s="82"/>
    </row>
    <row r="1426" spans="1:16">
      <c r="A1426" s="227"/>
      <c r="B1426" s="131" t="s">
        <v>2579</v>
      </c>
      <c r="C1426" s="48">
        <v>95711</v>
      </c>
      <c r="H1426" s="82"/>
      <c r="K1426" s="82"/>
      <c r="P1426" s="82"/>
    </row>
    <row r="1427" spans="1:16">
      <c r="A1427" s="227"/>
      <c r="B1427" s="131" t="s">
        <v>2580</v>
      </c>
      <c r="C1427" s="48">
        <v>95721</v>
      </c>
      <c r="H1427" s="82"/>
      <c r="K1427" s="82"/>
      <c r="P1427" s="82"/>
    </row>
    <row r="1428" spans="1:16">
      <c r="A1428" s="227"/>
      <c r="B1428" s="131" t="s">
        <v>2581</v>
      </c>
      <c r="C1428" s="48">
        <v>99021</v>
      </c>
      <c r="H1428" s="82"/>
      <c r="K1428" s="82"/>
      <c r="P1428" s="82"/>
    </row>
    <row r="1429" spans="1:16">
      <c r="A1429" s="227"/>
      <c r="B1429" s="131" t="s">
        <v>2764</v>
      </c>
      <c r="C1429" s="48">
        <v>95802</v>
      </c>
      <c r="H1429" s="82"/>
      <c r="K1429" s="82"/>
      <c r="P1429" s="82"/>
    </row>
    <row r="1430" spans="1:16">
      <c r="A1430" s="227"/>
      <c r="B1430" s="131" t="s">
        <v>1238</v>
      </c>
      <c r="C1430" s="227">
        <v>95801</v>
      </c>
      <c r="H1430" s="82"/>
      <c r="K1430" s="82"/>
      <c r="P1430" s="82"/>
    </row>
    <row r="1431" spans="1:16">
      <c r="A1431" s="227"/>
      <c r="B1431" s="131" t="s">
        <v>1240</v>
      </c>
      <c r="C1431" s="48">
        <v>95804</v>
      </c>
      <c r="H1431" s="82"/>
      <c r="K1431" s="82"/>
      <c r="P1431" s="82"/>
    </row>
    <row r="1432" spans="1:16">
      <c r="A1432" s="227"/>
      <c r="B1432" s="131" t="s">
        <v>2802</v>
      </c>
      <c r="C1432" s="48">
        <v>90092</v>
      </c>
      <c r="H1432" s="82"/>
      <c r="K1432" s="82"/>
      <c r="P1432" s="82"/>
    </row>
    <row r="1433" spans="1:16">
      <c r="A1433" s="227"/>
      <c r="B1433" s="131" t="s">
        <v>2582</v>
      </c>
      <c r="C1433" s="48">
        <v>99081</v>
      </c>
      <c r="H1433" s="82"/>
      <c r="K1433" s="82"/>
      <c r="P1433" s="82"/>
    </row>
    <row r="1434" spans="1:16">
      <c r="A1434" s="227"/>
      <c r="B1434" s="131" t="s">
        <v>2583</v>
      </c>
      <c r="C1434" s="227">
        <v>96071</v>
      </c>
      <c r="H1434" s="82"/>
      <c r="K1434" s="82"/>
      <c r="P1434" s="82"/>
    </row>
    <row r="1435" spans="1:16">
      <c r="A1435" s="227"/>
      <c r="B1435" s="131" t="s">
        <v>1096</v>
      </c>
      <c r="C1435" s="48">
        <v>94002</v>
      </c>
      <c r="H1435" s="82"/>
      <c r="K1435" s="82"/>
      <c r="P1435" s="82"/>
    </row>
    <row r="1436" spans="1:16">
      <c r="A1436" s="227"/>
      <c r="B1436" s="131" t="s">
        <v>2584</v>
      </c>
      <c r="C1436" s="48">
        <v>97840</v>
      </c>
      <c r="H1436" s="82"/>
      <c r="K1436" s="82"/>
      <c r="P1436" s="82"/>
    </row>
    <row r="1437" spans="1:16">
      <c r="A1437" s="227"/>
      <c r="B1437" s="131" t="s">
        <v>1425</v>
      </c>
      <c r="C1437" s="48">
        <v>97847</v>
      </c>
      <c r="H1437" s="82"/>
      <c r="K1437" s="82"/>
      <c r="P1437" s="82"/>
    </row>
    <row r="1438" spans="1:16">
      <c r="A1438" s="227"/>
      <c r="B1438" s="131" t="s">
        <v>2585</v>
      </c>
      <c r="C1438" s="48">
        <v>97921</v>
      </c>
      <c r="H1438" s="82"/>
      <c r="K1438" s="82"/>
      <c r="P1438" s="82"/>
    </row>
    <row r="1439" spans="1:16">
      <c r="A1439" s="227"/>
      <c r="B1439" s="131" t="s">
        <v>2586</v>
      </c>
      <c r="C1439" s="227">
        <v>95221</v>
      </c>
      <c r="H1439" s="82"/>
      <c r="K1439" s="82"/>
      <c r="P1439" s="82"/>
    </row>
    <row r="1440" spans="1:16">
      <c r="A1440" s="227"/>
      <c r="B1440" s="131" t="s">
        <v>2587</v>
      </c>
      <c r="C1440" s="48">
        <v>93610</v>
      </c>
      <c r="H1440" s="82"/>
      <c r="K1440" s="82"/>
      <c r="P1440" s="82"/>
    </row>
    <row r="1441" spans="1:16">
      <c r="A1441" s="227"/>
      <c r="B1441" s="131" t="s">
        <v>1248</v>
      </c>
      <c r="C1441" s="48">
        <v>95901</v>
      </c>
      <c r="H1441" s="82"/>
      <c r="K1441" s="82"/>
      <c r="P1441" s="82"/>
    </row>
    <row r="1442" spans="1:16">
      <c r="A1442" s="227"/>
      <c r="B1442" s="131" t="s">
        <v>1988</v>
      </c>
      <c r="C1442" s="48">
        <v>90114</v>
      </c>
      <c r="H1442" s="82"/>
      <c r="K1442" s="82"/>
      <c r="P1442" s="82"/>
    </row>
    <row r="1443" spans="1:16">
      <c r="A1443" s="227"/>
      <c r="B1443" s="131" t="s">
        <v>1253</v>
      </c>
      <c r="C1443" s="48">
        <v>96001</v>
      </c>
      <c r="H1443" s="82"/>
      <c r="K1443" s="82"/>
      <c r="P1443" s="82"/>
    </row>
    <row r="1444" spans="1:16">
      <c r="A1444" s="227"/>
      <c r="B1444" s="131" t="s">
        <v>1255</v>
      </c>
      <c r="C1444" s="48">
        <v>96004</v>
      </c>
      <c r="H1444" s="82"/>
      <c r="K1444" s="82"/>
      <c r="P1444" s="82"/>
    </row>
    <row r="1445" spans="1:16">
      <c r="A1445" s="227"/>
      <c r="B1445" s="131" t="s">
        <v>2801</v>
      </c>
      <c r="C1445" s="48">
        <v>96008</v>
      </c>
      <c r="H1445" s="82"/>
      <c r="K1445" s="82"/>
      <c r="P1445" s="82"/>
    </row>
    <row r="1446" spans="1:16">
      <c r="A1446" s="227"/>
      <c r="B1446" s="131" t="s">
        <v>833</v>
      </c>
      <c r="C1446" s="227">
        <v>91108</v>
      </c>
      <c r="H1446" s="82"/>
      <c r="K1446" s="82"/>
      <c r="P1446" s="82"/>
    </row>
    <row r="1447" spans="1:16">
      <c r="A1447" s="227"/>
      <c r="B1447" s="131" t="s">
        <v>1181</v>
      </c>
      <c r="C1447" s="48">
        <v>94941</v>
      </c>
      <c r="H1447" s="82"/>
      <c r="K1447" s="82"/>
      <c r="P1447" s="82"/>
    </row>
    <row r="1448" spans="1:16">
      <c r="A1448" s="227"/>
      <c r="B1448" s="131" t="s">
        <v>2588</v>
      </c>
      <c r="C1448" s="48">
        <v>95122</v>
      </c>
      <c r="H1448" s="82"/>
      <c r="K1448" s="82"/>
      <c r="P1448" s="82"/>
    </row>
    <row r="1449" spans="1:16">
      <c r="A1449" s="227"/>
      <c r="B1449" s="131" t="s">
        <v>971</v>
      </c>
      <c r="C1449" s="48">
        <v>92607</v>
      </c>
      <c r="H1449" s="82"/>
      <c r="K1449" s="82"/>
      <c r="P1449" s="82"/>
    </row>
    <row r="1450" spans="1:16">
      <c r="A1450" s="227"/>
      <c r="B1450" s="131" t="s">
        <v>2589</v>
      </c>
      <c r="C1450" s="48">
        <v>96431</v>
      </c>
      <c r="H1450" s="82"/>
      <c r="K1450" s="82"/>
      <c r="P1450" s="82"/>
    </row>
    <row r="1451" spans="1:16">
      <c r="A1451" s="227"/>
      <c r="B1451" s="131" t="s">
        <v>778</v>
      </c>
      <c r="C1451" s="48">
        <v>90709</v>
      </c>
      <c r="H1451" s="82"/>
      <c r="K1451" s="82"/>
      <c r="P1451" s="82"/>
    </row>
    <row r="1452" spans="1:16">
      <c r="A1452" s="227"/>
      <c r="B1452" s="131" t="s">
        <v>2590</v>
      </c>
      <c r="C1452" s="48">
        <v>91341</v>
      </c>
      <c r="H1452" s="82"/>
      <c r="K1452" s="82"/>
      <c r="P1452" s="82"/>
    </row>
    <row r="1453" spans="1:16">
      <c r="A1453" s="227"/>
      <c r="B1453" s="131" t="s">
        <v>2591</v>
      </c>
      <c r="C1453" s="227">
        <v>92941</v>
      </c>
      <c r="H1453" s="82"/>
      <c r="K1453" s="82"/>
      <c r="P1453" s="82"/>
    </row>
    <row r="1454" spans="1:16">
      <c r="A1454" s="227"/>
      <c r="B1454" s="131" t="s">
        <v>2592</v>
      </c>
      <c r="C1454" s="48">
        <v>94551</v>
      </c>
      <c r="H1454" s="82"/>
      <c r="K1454" s="82"/>
      <c r="P1454" s="82"/>
    </row>
    <row r="1455" spans="1:16">
      <c r="A1455" s="227"/>
      <c r="B1455" s="131" t="s">
        <v>2593</v>
      </c>
      <c r="C1455" s="48">
        <v>99022</v>
      </c>
      <c r="H1455" s="82"/>
      <c r="K1455" s="82"/>
      <c r="P1455" s="82"/>
    </row>
    <row r="1456" spans="1:16">
      <c r="A1456" s="227"/>
      <c r="B1456" s="131" t="s">
        <v>2594</v>
      </c>
      <c r="C1456" s="48">
        <v>96031</v>
      </c>
      <c r="H1456" s="82"/>
      <c r="K1456" s="82"/>
      <c r="P1456" s="82"/>
    </row>
    <row r="1457" spans="1:16">
      <c r="A1457" s="227"/>
      <c r="B1457" s="131" t="s">
        <v>2595</v>
      </c>
      <c r="C1457" s="227">
        <v>98414</v>
      </c>
      <c r="H1457" s="82"/>
      <c r="K1457" s="82"/>
      <c r="P1457" s="82"/>
    </row>
    <row r="1458" spans="1:16">
      <c r="A1458" s="227"/>
      <c r="B1458" s="131" t="s">
        <v>1269</v>
      </c>
      <c r="C1458" s="48">
        <v>96101</v>
      </c>
      <c r="H1458" s="82"/>
      <c r="K1458" s="82"/>
      <c r="P1458" s="82"/>
    </row>
    <row r="1459" spans="1:16">
      <c r="A1459" s="227"/>
      <c r="B1459" s="131" t="s">
        <v>2800</v>
      </c>
      <c r="C1459" s="48">
        <v>96102</v>
      </c>
      <c r="H1459" s="82"/>
      <c r="K1459" s="82"/>
      <c r="P1459" s="82"/>
    </row>
    <row r="1460" spans="1:16">
      <c r="A1460" s="227"/>
      <c r="B1460" s="131" t="s">
        <v>2596</v>
      </c>
      <c r="C1460" s="48">
        <v>93011</v>
      </c>
      <c r="H1460" s="82"/>
      <c r="K1460" s="82"/>
      <c r="P1460" s="82"/>
    </row>
    <row r="1461" spans="1:16">
      <c r="A1461" s="227"/>
      <c r="B1461" s="131" t="s">
        <v>1989</v>
      </c>
      <c r="C1461" s="48">
        <v>99011</v>
      </c>
      <c r="H1461" s="82"/>
      <c r="K1461" s="82"/>
      <c r="P1461" s="82"/>
    </row>
    <row r="1462" spans="1:16">
      <c r="A1462" s="227"/>
      <c r="B1462" s="131" t="s">
        <v>1526</v>
      </c>
      <c r="C1462" s="48">
        <v>99017</v>
      </c>
      <c r="H1462" s="82"/>
      <c r="K1462" s="82"/>
      <c r="P1462" s="82"/>
    </row>
    <row r="1463" spans="1:16">
      <c r="A1463" s="227"/>
      <c r="B1463" s="131" t="s">
        <v>1990</v>
      </c>
      <c r="C1463" s="48">
        <v>99013</v>
      </c>
      <c r="H1463" s="82"/>
      <c r="K1463" s="82"/>
      <c r="P1463" s="82"/>
    </row>
    <row r="1464" spans="1:16">
      <c r="A1464" s="227"/>
      <c r="B1464" s="131" t="s">
        <v>1273</v>
      </c>
      <c r="C1464" s="48">
        <v>96201</v>
      </c>
      <c r="H1464" s="82"/>
      <c r="K1464" s="82"/>
      <c r="P1464" s="82"/>
    </row>
    <row r="1465" spans="1:16">
      <c r="A1465" s="227"/>
      <c r="B1465" s="131" t="s">
        <v>1274</v>
      </c>
      <c r="C1465" s="48">
        <v>96204</v>
      </c>
      <c r="H1465" s="82"/>
      <c r="K1465" s="82"/>
      <c r="P1465" s="82"/>
    </row>
    <row r="1466" spans="1:16">
      <c r="A1466" s="227"/>
      <c r="B1466" s="131" t="s">
        <v>2597</v>
      </c>
      <c r="C1466" s="48">
        <v>91161</v>
      </c>
      <c r="H1466" s="82"/>
      <c r="K1466" s="82"/>
      <c r="P1466" s="82"/>
    </row>
    <row r="1467" spans="1:16">
      <c r="A1467" s="227"/>
      <c r="B1467" s="131" t="s">
        <v>1280</v>
      </c>
      <c r="C1467" s="48">
        <v>96301</v>
      </c>
      <c r="H1467" s="82"/>
      <c r="K1467" s="82"/>
      <c r="P1467" s="82"/>
    </row>
    <row r="1468" spans="1:16">
      <c r="A1468" s="227"/>
      <c r="B1468" s="131" t="s">
        <v>1282</v>
      </c>
      <c r="C1468" s="48">
        <v>96304</v>
      </c>
      <c r="H1468" s="82"/>
      <c r="K1468" s="82"/>
      <c r="P1468" s="82"/>
    </row>
    <row r="1469" spans="1:16">
      <c r="A1469" s="227"/>
      <c r="B1469" s="131" t="s">
        <v>1284</v>
      </c>
      <c r="C1469" s="48">
        <v>96310</v>
      </c>
      <c r="H1469" s="82"/>
      <c r="K1469" s="82"/>
      <c r="P1469" s="82"/>
    </row>
    <row r="1470" spans="1:16">
      <c r="A1470" s="227"/>
      <c r="B1470" s="131" t="s">
        <v>1283</v>
      </c>
      <c r="C1470" s="48">
        <v>96305</v>
      </c>
      <c r="H1470" s="82"/>
      <c r="K1470" s="82"/>
      <c r="P1470" s="82"/>
    </row>
    <row r="1471" spans="1:16">
      <c r="A1471" s="227"/>
      <c r="B1471" s="131" t="s">
        <v>1991</v>
      </c>
      <c r="C1471" s="48">
        <v>94921</v>
      </c>
      <c r="H1471" s="82"/>
      <c r="K1471" s="82"/>
      <c r="P1471" s="82"/>
    </row>
    <row r="1472" spans="1:16">
      <c r="A1472" s="227"/>
      <c r="B1472" s="131" t="s">
        <v>1179</v>
      </c>
      <c r="C1472" s="48">
        <v>94927</v>
      </c>
      <c r="H1472" s="82"/>
      <c r="K1472" s="82"/>
      <c r="P1472" s="82"/>
    </row>
    <row r="1473" spans="1:16">
      <c r="A1473" s="227"/>
      <c r="B1473" s="131" t="s">
        <v>1178</v>
      </c>
      <c r="C1473" s="48">
        <v>94923</v>
      </c>
      <c r="H1473" s="82"/>
      <c r="K1473" s="82"/>
      <c r="P1473" s="82"/>
    </row>
    <row r="1474" spans="1:16">
      <c r="A1474" s="227"/>
      <c r="B1474" s="131" t="s">
        <v>2598</v>
      </c>
      <c r="C1474" s="48">
        <v>91611</v>
      </c>
      <c r="H1474" s="82"/>
      <c r="K1474" s="82"/>
      <c r="P1474" s="82"/>
    </row>
    <row r="1475" spans="1:16">
      <c r="A1475" s="227"/>
      <c r="B1475" s="131" t="s">
        <v>1992</v>
      </c>
      <c r="C1475" s="48">
        <v>91231</v>
      </c>
      <c r="H1475" s="82"/>
      <c r="K1475" s="82"/>
      <c r="P1475" s="82"/>
    </row>
    <row r="1476" spans="1:16">
      <c r="A1476" s="227"/>
      <c r="B1476" s="131" t="s">
        <v>855</v>
      </c>
      <c r="C1476" s="48">
        <v>91217</v>
      </c>
      <c r="H1476" s="82"/>
      <c r="K1476" s="82"/>
      <c r="P1476" s="82"/>
    </row>
    <row r="1477" spans="1:16">
      <c r="A1477" s="227"/>
      <c r="B1477" s="131" t="s">
        <v>858</v>
      </c>
      <c r="C1477" s="48">
        <v>91233</v>
      </c>
      <c r="H1477" s="82"/>
      <c r="K1477" s="82"/>
      <c r="P1477" s="82"/>
    </row>
    <row r="1478" spans="1:16">
      <c r="A1478" s="227"/>
      <c r="B1478" s="131" t="s">
        <v>2599</v>
      </c>
      <c r="C1478" s="48">
        <v>99206</v>
      </c>
      <c r="H1478" s="82"/>
      <c r="K1478" s="82"/>
      <c r="P1478" s="82"/>
    </row>
    <row r="1479" spans="1:16">
      <c r="A1479" s="227"/>
      <c r="B1479" s="131" t="s">
        <v>2600</v>
      </c>
      <c r="C1479" s="48">
        <v>90461</v>
      </c>
      <c r="H1479" s="82"/>
      <c r="K1479" s="82"/>
      <c r="P1479" s="82"/>
    </row>
    <row r="1480" spans="1:16">
      <c r="A1480" s="227"/>
      <c r="B1480" s="131" t="s">
        <v>1993</v>
      </c>
      <c r="C1480" s="48">
        <v>98631</v>
      </c>
      <c r="H1480" s="82"/>
      <c r="K1480" s="82"/>
      <c r="P1480" s="82"/>
    </row>
    <row r="1481" spans="1:16">
      <c r="A1481" s="227"/>
      <c r="B1481" s="131" t="s">
        <v>1511</v>
      </c>
      <c r="C1481" s="48">
        <v>98637</v>
      </c>
      <c r="H1481" s="82"/>
      <c r="K1481" s="82"/>
      <c r="P1481" s="82"/>
    </row>
    <row r="1482" spans="1:16">
      <c r="A1482" s="227"/>
      <c r="B1482" s="131" t="s">
        <v>2601</v>
      </c>
      <c r="C1482" s="48">
        <v>96251</v>
      </c>
      <c r="H1482" s="82"/>
      <c r="K1482" s="82"/>
      <c r="P1482" s="82"/>
    </row>
    <row r="1483" spans="1:16">
      <c r="A1483" s="227"/>
      <c r="B1483" s="131" t="s">
        <v>1994</v>
      </c>
      <c r="C1483" s="48">
        <v>93691</v>
      </c>
      <c r="H1483" s="82"/>
      <c r="K1483" s="82"/>
      <c r="P1483" s="82"/>
    </row>
    <row r="1484" spans="1:16">
      <c r="A1484" s="227"/>
      <c r="B1484" s="131" t="s">
        <v>2602</v>
      </c>
      <c r="C1484" s="48">
        <v>99621</v>
      </c>
      <c r="H1484" s="82"/>
      <c r="K1484" s="82"/>
      <c r="P1484" s="82"/>
    </row>
    <row r="1485" spans="1:16">
      <c r="A1485" s="227"/>
      <c r="B1485" s="131" t="s">
        <v>3504</v>
      </c>
      <c r="C1485" s="48">
        <v>99623</v>
      </c>
      <c r="H1485" s="82"/>
      <c r="K1485" s="82"/>
      <c r="P1485" s="82"/>
    </row>
    <row r="1486" spans="1:16">
      <c r="A1486" s="227"/>
      <c r="B1486" s="131" t="s">
        <v>2603</v>
      </c>
      <c r="C1486" s="48">
        <v>91321</v>
      </c>
      <c r="H1486" s="82"/>
      <c r="K1486" s="82"/>
      <c r="P1486" s="82"/>
    </row>
    <row r="1487" spans="1:16">
      <c r="A1487" s="227"/>
      <c r="B1487" s="131" t="s">
        <v>3505</v>
      </c>
      <c r="C1487" s="48">
        <v>91327</v>
      </c>
      <c r="H1487" s="82"/>
      <c r="K1487" s="82"/>
      <c r="P1487" s="82"/>
    </row>
    <row r="1488" spans="1:16">
      <c r="A1488" s="227"/>
      <c r="B1488" s="131" t="s">
        <v>2604</v>
      </c>
      <c r="C1488" s="48">
        <v>94621</v>
      </c>
      <c r="H1488" s="82"/>
      <c r="K1488" s="82"/>
      <c r="P1488" s="82"/>
    </row>
    <row r="1489" spans="1:16">
      <c r="A1489" s="227"/>
      <c r="B1489" s="131" t="s">
        <v>2605</v>
      </c>
      <c r="C1489" s="48">
        <v>92011</v>
      </c>
      <c r="H1489" s="82"/>
      <c r="K1489" s="82"/>
      <c r="P1489" s="82"/>
    </row>
    <row r="1490" spans="1:16">
      <c r="A1490" s="227"/>
      <c r="B1490" s="131" t="s">
        <v>925</v>
      </c>
      <c r="C1490" s="48">
        <v>92017</v>
      </c>
      <c r="H1490" s="82"/>
      <c r="K1490" s="82"/>
      <c r="P1490" s="82"/>
    </row>
    <row r="1491" spans="1:16">
      <c r="A1491" s="227"/>
      <c r="B1491" s="131" t="s">
        <v>1616</v>
      </c>
      <c r="C1491" s="51">
        <v>99991</v>
      </c>
      <c r="H1491" s="82"/>
      <c r="K1491" s="82"/>
      <c r="P1491" s="82"/>
    </row>
    <row r="1492" spans="1:16">
      <c r="A1492" s="227"/>
      <c r="B1492" s="131" t="s">
        <v>1617</v>
      </c>
      <c r="C1492" s="51">
        <v>99999</v>
      </c>
      <c r="H1492" s="82"/>
      <c r="K1492" s="82"/>
      <c r="P1492" s="82"/>
    </row>
    <row r="1493" spans="1:16">
      <c r="A1493" s="227"/>
      <c r="B1493" s="131" t="s">
        <v>2609</v>
      </c>
      <c r="C1493" s="227">
        <v>92811</v>
      </c>
      <c r="H1493" s="82"/>
      <c r="K1493" s="82"/>
      <c r="P1493" s="82"/>
    </row>
    <row r="1494" spans="1:16">
      <c r="A1494" s="227"/>
      <c r="B1494" s="131" t="s">
        <v>923</v>
      </c>
      <c r="C1494" s="48">
        <v>92005</v>
      </c>
      <c r="H1494" s="82"/>
      <c r="K1494" s="82"/>
      <c r="P1494" s="82"/>
    </row>
    <row r="1495" spans="1:16">
      <c r="A1495" s="227"/>
      <c r="B1495" s="131" t="s">
        <v>1296</v>
      </c>
      <c r="C1495" s="48">
        <v>96401</v>
      </c>
      <c r="H1495" s="82"/>
      <c r="K1495" s="82"/>
      <c r="P1495" s="82"/>
    </row>
    <row r="1496" spans="1:16">
      <c r="A1496" s="227"/>
      <c r="B1496" s="131" t="s">
        <v>1297</v>
      </c>
      <c r="C1496" s="48">
        <v>96404</v>
      </c>
      <c r="H1496" s="82"/>
      <c r="K1496" s="82"/>
      <c r="P1496" s="82"/>
    </row>
    <row r="1497" spans="1:16">
      <c r="A1497" s="227"/>
      <c r="B1497" s="131" t="s">
        <v>2610</v>
      </c>
      <c r="C1497" s="227">
        <v>96421</v>
      </c>
      <c r="H1497" s="82"/>
      <c r="K1497" s="82"/>
      <c r="P1497" s="82"/>
    </row>
    <row r="1498" spans="1:16">
      <c r="A1498" s="227"/>
      <c r="B1498" s="131" t="s">
        <v>2611</v>
      </c>
      <c r="C1498" s="48">
        <v>91026</v>
      </c>
      <c r="H1498" s="82"/>
      <c r="K1498" s="82"/>
      <c r="P1498" s="82"/>
    </row>
    <row r="1499" spans="1:16">
      <c r="A1499" s="227"/>
      <c r="B1499" s="131" t="s">
        <v>1218</v>
      </c>
      <c r="C1499" s="48">
        <v>95405</v>
      </c>
      <c r="H1499" s="82"/>
      <c r="K1499" s="82"/>
      <c r="P1499" s="82"/>
    </row>
    <row r="1500" spans="1:16">
      <c r="A1500" s="227"/>
      <c r="B1500" s="131" t="s">
        <v>1098</v>
      </c>
      <c r="C1500" s="48">
        <v>94005</v>
      </c>
      <c r="H1500" s="82"/>
      <c r="K1500" s="82"/>
      <c r="P1500" s="82"/>
    </row>
    <row r="1501" spans="1:16">
      <c r="A1501" s="227"/>
      <c r="B1501" s="131" t="s">
        <v>1209</v>
      </c>
      <c r="C1501" s="48">
        <v>95205</v>
      </c>
      <c r="H1501" s="82"/>
      <c r="K1501" s="82"/>
      <c r="P1501" s="82"/>
    </row>
    <row r="1502" spans="1:16">
      <c r="A1502" s="227"/>
      <c r="B1502" s="131" t="s">
        <v>958</v>
      </c>
      <c r="C1502" s="48">
        <v>92507</v>
      </c>
      <c r="H1502" s="82"/>
      <c r="K1502" s="82"/>
      <c r="P1502" s="82"/>
    </row>
    <row r="1503" spans="1:16">
      <c r="A1503" s="227"/>
      <c r="B1503" s="131" t="s">
        <v>1995</v>
      </c>
      <c r="C1503" s="48">
        <v>92511</v>
      </c>
      <c r="H1503" s="82"/>
      <c r="K1503" s="82"/>
      <c r="P1503" s="82"/>
    </row>
    <row r="1504" spans="1:16">
      <c r="A1504" s="227"/>
      <c r="B1504" s="131" t="s">
        <v>2774</v>
      </c>
      <c r="C1504" s="227">
        <v>92113</v>
      </c>
      <c r="H1504" s="82"/>
      <c r="K1504" s="82"/>
      <c r="P1504" s="82"/>
    </row>
    <row r="1505" spans="1:16">
      <c r="A1505" s="227"/>
      <c r="B1505" s="131" t="s">
        <v>2765</v>
      </c>
      <c r="C1505" s="48">
        <v>96502</v>
      </c>
      <c r="H1505" s="82"/>
      <c r="K1505" s="82"/>
      <c r="P1505" s="82"/>
    </row>
    <row r="1506" spans="1:16">
      <c r="A1506" s="227"/>
      <c r="B1506" s="131" t="s">
        <v>1305</v>
      </c>
      <c r="C1506" s="227">
        <v>96501</v>
      </c>
      <c r="H1506" s="82"/>
      <c r="K1506" s="82"/>
      <c r="P1506" s="82"/>
    </row>
    <row r="1507" spans="1:16">
      <c r="A1507" s="227"/>
      <c r="B1507" s="131" t="s">
        <v>1308</v>
      </c>
      <c r="C1507" s="48">
        <v>96504</v>
      </c>
      <c r="H1507" s="82"/>
      <c r="K1507" s="82"/>
      <c r="P1507" s="82"/>
    </row>
    <row r="1508" spans="1:16">
      <c r="A1508" s="227"/>
      <c r="B1508" s="255" t="s">
        <v>2612</v>
      </c>
      <c r="C1508" s="48">
        <v>98471</v>
      </c>
      <c r="H1508" s="82"/>
      <c r="K1508" s="82"/>
      <c r="P1508" s="82"/>
    </row>
    <row r="1509" spans="1:16">
      <c r="A1509" s="227"/>
      <c r="B1509" s="131" t="s">
        <v>2775</v>
      </c>
      <c r="C1509" s="48">
        <v>97913</v>
      </c>
      <c r="H1509" s="82"/>
      <c r="K1509" s="82"/>
      <c r="P1509" s="82"/>
    </row>
    <row r="1510" spans="1:16">
      <c r="A1510" s="227"/>
      <c r="B1510" s="131" t="s">
        <v>2613</v>
      </c>
      <c r="C1510" s="48">
        <v>90621</v>
      </c>
      <c r="H1510" s="82"/>
      <c r="K1510" s="82"/>
      <c r="P1510" s="82"/>
    </row>
    <row r="1511" spans="1:16">
      <c r="A1511" s="227"/>
      <c r="B1511" s="131" t="s">
        <v>2614</v>
      </c>
      <c r="C1511" s="48">
        <v>91621</v>
      </c>
      <c r="H1511" s="82"/>
      <c r="K1511" s="82"/>
      <c r="P1511" s="82"/>
    </row>
    <row r="1512" spans="1:16">
      <c r="A1512" s="227"/>
      <c r="B1512" s="131" t="s">
        <v>1996</v>
      </c>
      <c r="C1512" s="48">
        <v>91871</v>
      </c>
      <c r="H1512" s="82"/>
      <c r="K1512" s="82"/>
      <c r="P1512" s="82"/>
    </row>
    <row r="1513" spans="1:16">
      <c r="A1513" s="227"/>
      <c r="B1513" s="131" t="s">
        <v>2615</v>
      </c>
      <c r="C1513" s="227">
        <v>98231</v>
      </c>
      <c r="H1513" s="82"/>
      <c r="K1513" s="82"/>
      <c r="P1513" s="82"/>
    </row>
    <row r="1514" spans="1:16">
      <c r="A1514" s="227"/>
      <c r="B1514" s="131" t="s">
        <v>2616</v>
      </c>
      <c r="C1514" s="48">
        <v>99311</v>
      </c>
      <c r="H1514" s="82"/>
      <c r="K1514" s="82"/>
      <c r="P1514" s="82"/>
    </row>
    <row r="1515" spans="1:16">
      <c r="A1515" s="227"/>
      <c r="B1515" s="131" t="s">
        <v>2606</v>
      </c>
      <c r="C1515" s="48">
        <v>96751</v>
      </c>
      <c r="H1515" s="82"/>
      <c r="K1515" s="82"/>
      <c r="P1515" s="82"/>
    </row>
    <row r="1516" spans="1:16">
      <c r="A1516" s="227"/>
      <c r="B1516" s="131" t="s">
        <v>2607</v>
      </c>
      <c r="C1516" s="48">
        <v>99711</v>
      </c>
      <c r="H1516" s="82"/>
      <c r="K1516" s="82"/>
      <c r="P1516" s="82"/>
    </row>
    <row r="1517" spans="1:16">
      <c r="A1517" s="227"/>
      <c r="B1517" s="131" t="s">
        <v>2608</v>
      </c>
      <c r="C1517" s="48">
        <v>99717</v>
      </c>
      <c r="H1517" s="82"/>
      <c r="K1517" s="82"/>
      <c r="P1517" s="82"/>
    </row>
    <row r="1518" spans="1:16">
      <c r="A1518" s="227"/>
      <c r="B1518" s="131" t="s">
        <v>1316</v>
      </c>
      <c r="C1518" s="48">
        <v>96601</v>
      </c>
      <c r="H1518" s="82"/>
      <c r="K1518" s="82"/>
      <c r="P1518" s="82"/>
    </row>
    <row r="1519" spans="1:16">
      <c r="A1519" s="227"/>
      <c r="B1519" s="131" t="s">
        <v>1317</v>
      </c>
      <c r="C1519" s="48">
        <v>96604</v>
      </c>
      <c r="H1519" s="82"/>
      <c r="K1519" s="82"/>
      <c r="P1519" s="82"/>
    </row>
    <row r="1520" spans="1:16">
      <c r="A1520" s="227"/>
      <c r="B1520" s="131" t="s">
        <v>1997</v>
      </c>
      <c r="C1520" s="48">
        <v>91012</v>
      </c>
      <c r="H1520" s="82"/>
      <c r="K1520" s="82"/>
      <c r="P1520" s="82"/>
    </row>
    <row r="1521" spans="1:16">
      <c r="A1521" s="227"/>
      <c r="B1521" s="131" t="s">
        <v>753</v>
      </c>
      <c r="C1521" s="48">
        <v>90305</v>
      </c>
      <c r="H1521" s="82"/>
      <c r="K1521" s="82"/>
      <c r="P1521" s="82"/>
    </row>
    <row r="1522" spans="1:16">
      <c r="A1522" s="227"/>
      <c r="B1522" s="131" t="s">
        <v>2617</v>
      </c>
      <c r="C1522" s="48">
        <v>98421</v>
      </c>
      <c r="H1522" s="82"/>
      <c r="K1522" s="82"/>
      <c r="P1522" s="82"/>
    </row>
    <row r="1523" spans="1:16">
      <c r="A1523" s="227"/>
      <c r="B1523" s="131" t="s">
        <v>2799</v>
      </c>
      <c r="C1523" s="48">
        <v>98427</v>
      </c>
      <c r="H1523" s="82"/>
      <c r="K1523" s="82"/>
      <c r="P1523" s="82"/>
    </row>
    <row r="1524" spans="1:16">
      <c r="A1524" s="227"/>
      <c r="B1524" s="131" t="s">
        <v>2618</v>
      </c>
      <c r="C1524" s="48">
        <v>95821</v>
      </c>
      <c r="H1524" s="82"/>
      <c r="K1524" s="82"/>
      <c r="P1524" s="82"/>
    </row>
    <row r="1525" spans="1:16">
      <c r="A1525" s="227"/>
      <c r="B1525" s="131" t="s">
        <v>2619</v>
      </c>
      <c r="C1525" s="48">
        <v>91021</v>
      </c>
      <c r="H1525" s="82"/>
      <c r="K1525" s="82"/>
      <c r="P1525" s="82"/>
    </row>
    <row r="1526" spans="1:16">
      <c r="A1526" s="227"/>
      <c r="B1526" s="131" t="s">
        <v>2798</v>
      </c>
      <c r="C1526" s="48">
        <v>91027</v>
      </c>
      <c r="H1526" s="82"/>
      <c r="K1526" s="82"/>
      <c r="P1526" s="82"/>
    </row>
    <row r="1527" spans="1:16">
      <c r="A1527" s="227"/>
      <c r="B1527" s="131" t="s">
        <v>2620</v>
      </c>
      <c r="C1527" s="48">
        <v>94161</v>
      </c>
      <c r="H1527" s="82"/>
      <c r="K1527" s="82"/>
      <c r="P1527" s="82"/>
    </row>
    <row r="1528" spans="1:16">
      <c r="A1528" s="227"/>
      <c r="B1528" s="131" t="s">
        <v>2621</v>
      </c>
      <c r="C1528" s="48">
        <v>98441</v>
      </c>
      <c r="H1528" s="82"/>
      <c r="K1528" s="82"/>
      <c r="P1528" s="82"/>
    </row>
    <row r="1529" spans="1:16">
      <c r="A1529" s="227"/>
      <c r="B1529" s="131" t="s">
        <v>2622</v>
      </c>
      <c r="C1529" s="48">
        <v>91061</v>
      </c>
      <c r="H1529" s="82"/>
      <c r="K1529" s="82"/>
      <c r="P1529" s="82"/>
    </row>
    <row r="1530" spans="1:16">
      <c r="A1530" s="227"/>
      <c r="B1530" s="131" t="s">
        <v>824</v>
      </c>
      <c r="C1530" s="48">
        <v>91067</v>
      </c>
      <c r="H1530" s="82"/>
      <c r="K1530" s="82"/>
      <c r="P1530" s="82"/>
    </row>
    <row r="1531" spans="1:16">
      <c r="A1531" s="227"/>
      <c r="B1531" s="131" t="s">
        <v>2797</v>
      </c>
      <c r="C1531" s="48">
        <v>94812</v>
      </c>
      <c r="H1531" s="82"/>
      <c r="K1531" s="82"/>
      <c r="P1531" s="82"/>
    </row>
    <row r="1532" spans="1:16">
      <c r="A1532" s="227"/>
      <c r="B1532" s="131" t="s">
        <v>2623</v>
      </c>
      <c r="C1532" s="48">
        <v>95921</v>
      </c>
      <c r="H1532" s="82"/>
      <c r="K1532" s="82"/>
      <c r="P1532" s="82"/>
    </row>
    <row r="1533" spans="1:16">
      <c r="A1533" s="227"/>
      <c r="B1533" s="131" t="s">
        <v>1327</v>
      </c>
      <c r="C1533" s="48">
        <v>96701</v>
      </c>
      <c r="H1533" s="82"/>
      <c r="K1533" s="82"/>
      <c r="P1533" s="82"/>
    </row>
    <row r="1534" spans="1:16">
      <c r="A1534" s="227"/>
      <c r="B1534" s="131" t="s">
        <v>1328</v>
      </c>
      <c r="C1534" s="48">
        <v>96704</v>
      </c>
      <c r="H1534" s="82"/>
      <c r="K1534" s="82"/>
      <c r="P1534" s="82"/>
    </row>
    <row r="1535" spans="1:16">
      <c r="A1535" s="227"/>
      <c r="B1535" s="131" t="s">
        <v>1329</v>
      </c>
      <c r="C1535" s="48">
        <v>96708</v>
      </c>
      <c r="H1535" s="82"/>
      <c r="K1535" s="82"/>
      <c r="P1535" s="82"/>
    </row>
    <row r="1536" spans="1:16">
      <c r="A1536" s="227"/>
      <c r="B1536" s="131" t="s">
        <v>1336</v>
      </c>
      <c r="C1536" s="48">
        <v>96801</v>
      </c>
      <c r="H1536" s="82"/>
      <c r="K1536" s="82"/>
      <c r="P1536" s="82"/>
    </row>
    <row r="1537" spans="1:16">
      <c r="A1537" s="227"/>
      <c r="B1537" s="131" t="s">
        <v>1337</v>
      </c>
      <c r="C1537" s="48">
        <v>96804</v>
      </c>
      <c r="H1537" s="82"/>
      <c r="K1537" s="82"/>
      <c r="P1537" s="82"/>
    </row>
    <row r="1538" spans="1:16">
      <c r="A1538" s="227"/>
      <c r="B1538" s="131" t="s">
        <v>1338</v>
      </c>
      <c r="C1538" s="48">
        <v>96808</v>
      </c>
      <c r="H1538" s="82"/>
      <c r="K1538" s="82"/>
      <c r="P1538" s="82"/>
    </row>
    <row r="1539" spans="1:16">
      <c r="A1539" s="227"/>
      <c r="B1539" s="131" t="s">
        <v>2624</v>
      </c>
      <c r="C1539" s="48">
        <v>96912</v>
      </c>
      <c r="H1539" s="82"/>
      <c r="K1539" s="82"/>
      <c r="P1539" s="82"/>
    </row>
    <row r="1540" spans="1:16">
      <c r="A1540" s="227"/>
      <c r="B1540" s="131" t="s">
        <v>1998</v>
      </c>
      <c r="C1540" s="48">
        <v>93911</v>
      </c>
      <c r="H1540" s="82"/>
      <c r="K1540" s="82"/>
      <c r="P1540" s="82"/>
    </row>
    <row r="1541" spans="1:16">
      <c r="A1541" s="227"/>
      <c r="B1541" s="131" t="s">
        <v>1091</v>
      </c>
      <c r="C1541" s="48">
        <v>93913</v>
      </c>
      <c r="H1541" s="82"/>
      <c r="K1541" s="82"/>
      <c r="P1541" s="82"/>
    </row>
    <row r="1542" spans="1:16">
      <c r="A1542" s="227"/>
      <c r="B1542" s="131" t="s">
        <v>1342</v>
      </c>
      <c r="C1542" s="48">
        <v>96901</v>
      </c>
      <c r="H1542" s="82"/>
      <c r="K1542" s="82"/>
      <c r="P1542" s="82"/>
    </row>
    <row r="1543" spans="1:16">
      <c r="A1543" s="227"/>
      <c r="B1543" s="131" t="s">
        <v>2625</v>
      </c>
      <c r="C1543" s="48">
        <v>97841</v>
      </c>
      <c r="H1543" s="82"/>
      <c r="K1543" s="82"/>
      <c r="P1543" s="82"/>
    </row>
    <row r="1544" spans="1:16">
      <c r="A1544" s="227"/>
      <c r="B1544" s="131" t="s">
        <v>1022</v>
      </c>
      <c r="C1544" s="48">
        <v>93202</v>
      </c>
      <c r="H1544" s="82"/>
      <c r="K1544" s="82"/>
      <c r="P1544" s="82"/>
    </row>
    <row r="1545" spans="1:16">
      <c r="A1545" s="227"/>
      <c r="B1545" s="131" t="s">
        <v>1064</v>
      </c>
      <c r="C1545" s="48">
        <v>93609</v>
      </c>
      <c r="H1545" s="82"/>
      <c r="K1545" s="82"/>
      <c r="P1545" s="82"/>
    </row>
    <row r="1546" spans="1:16">
      <c r="A1546" s="227"/>
      <c r="B1546" s="131" t="s">
        <v>1348</v>
      </c>
      <c r="C1546" s="48">
        <v>97004</v>
      </c>
      <c r="H1546" s="82"/>
      <c r="K1546" s="82"/>
      <c r="P1546" s="82"/>
    </row>
    <row r="1547" spans="1:16">
      <c r="A1547" s="227"/>
      <c r="B1547" s="131" t="s">
        <v>1346</v>
      </c>
      <c r="C1547" s="48">
        <v>97001</v>
      </c>
      <c r="H1547" s="82"/>
      <c r="K1547" s="82"/>
      <c r="P1547" s="82"/>
    </row>
    <row r="1548" spans="1:16">
      <c r="A1548" s="227"/>
      <c r="B1548" s="131" t="s">
        <v>1347</v>
      </c>
      <c r="C1548" s="48">
        <v>97002</v>
      </c>
      <c r="H1548" s="82"/>
      <c r="K1548" s="82"/>
      <c r="P1548" s="82"/>
    </row>
    <row r="1549" spans="1:16">
      <c r="A1549" s="227"/>
      <c r="B1549" s="131" t="s">
        <v>1355</v>
      </c>
      <c r="C1549" s="48">
        <v>97015</v>
      </c>
      <c r="H1549" s="82"/>
      <c r="K1549" s="82"/>
      <c r="P1549" s="82"/>
    </row>
    <row r="1550" spans="1:16">
      <c r="A1550" s="227"/>
      <c r="B1550" s="131" t="s">
        <v>2626</v>
      </c>
      <c r="C1550" s="48">
        <v>90441</v>
      </c>
      <c r="H1550" s="82"/>
      <c r="K1550" s="82"/>
      <c r="P1550" s="82"/>
    </row>
    <row r="1551" spans="1:16">
      <c r="A1551" s="227"/>
      <c r="B1551" s="131" t="s">
        <v>2627</v>
      </c>
      <c r="C1551" s="48">
        <v>97851</v>
      </c>
      <c r="H1551" s="82"/>
      <c r="K1551" s="82"/>
      <c r="P1551" s="82"/>
    </row>
    <row r="1552" spans="1:16">
      <c r="A1552" s="227"/>
      <c r="B1552" s="131" t="s">
        <v>1427</v>
      </c>
      <c r="C1552" s="48">
        <v>97853</v>
      </c>
      <c r="H1552" s="82"/>
      <c r="K1552" s="82"/>
      <c r="P1552" s="82"/>
    </row>
    <row r="1553" spans="1:16">
      <c r="A1553" s="227"/>
      <c r="B1553" s="131" t="s">
        <v>1357</v>
      </c>
      <c r="C1553" s="48">
        <v>97101</v>
      </c>
      <c r="H1553" s="82"/>
      <c r="K1553" s="82"/>
      <c r="P1553" s="82"/>
    </row>
    <row r="1554" spans="1:16">
      <c r="A1554" s="227"/>
      <c r="B1554" s="131" t="s">
        <v>1358</v>
      </c>
      <c r="C1554" s="48">
        <v>97104</v>
      </c>
      <c r="H1554" s="82"/>
      <c r="K1554" s="82"/>
      <c r="P1554" s="82"/>
    </row>
    <row r="1555" spans="1:16">
      <c r="A1555" s="227"/>
      <c r="B1555" s="131" t="s">
        <v>1362</v>
      </c>
      <c r="C1555" s="48">
        <v>97201</v>
      </c>
      <c r="H1555" s="82"/>
      <c r="K1555" s="82"/>
      <c r="P1555" s="82"/>
    </row>
    <row r="1556" spans="1:16">
      <c r="A1556" s="227"/>
      <c r="B1556" s="131" t="s">
        <v>2796</v>
      </c>
      <c r="C1556" s="48">
        <v>97304</v>
      </c>
      <c r="H1556" s="82"/>
      <c r="K1556" s="82"/>
      <c r="P1556" s="82"/>
    </row>
    <row r="1557" spans="1:16">
      <c r="A1557" s="227"/>
      <c r="B1557" s="131" t="s">
        <v>1367</v>
      </c>
      <c r="C1557" s="48">
        <v>97301</v>
      </c>
      <c r="H1557" s="82"/>
      <c r="K1557" s="82"/>
      <c r="P1557" s="82"/>
    </row>
    <row r="1558" spans="1:16">
      <c r="A1558" s="227"/>
      <c r="B1558" s="131" t="s">
        <v>1569</v>
      </c>
      <c r="C1558" s="48">
        <v>99405</v>
      </c>
      <c r="H1558" s="82"/>
      <c r="K1558" s="82"/>
      <c r="P1558" s="82"/>
    </row>
    <row r="1559" spans="1:16">
      <c r="A1559" s="227"/>
      <c r="B1559" s="131" t="s">
        <v>728</v>
      </c>
      <c r="C1559" s="220">
        <v>72265</v>
      </c>
      <c r="H1559" s="82"/>
      <c r="K1559" s="82"/>
      <c r="P1559" s="82"/>
    </row>
    <row r="1560" spans="1:16">
      <c r="A1560" s="227"/>
      <c r="B1560" s="131" t="s">
        <v>2762</v>
      </c>
      <c r="C1560" s="227">
        <v>94112</v>
      </c>
      <c r="H1560" s="82"/>
      <c r="K1560" s="82"/>
      <c r="P1560" s="82"/>
    </row>
    <row r="1561" spans="1:16">
      <c r="A1561" s="227"/>
      <c r="B1561" s="131" t="s">
        <v>1042</v>
      </c>
      <c r="C1561" s="48">
        <v>93406</v>
      </c>
      <c r="H1561" s="82"/>
      <c r="K1561" s="82"/>
      <c r="P1561" s="82"/>
    </row>
    <row r="1562" spans="1:16">
      <c r="A1562" s="227"/>
      <c r="B1562" s="131" t="s">
        <v>2628</v>
      </c>
      <c r="C1562" s="48">
        <v>99651</v>
      </c>
      <c r="H1562" s="82"/>
      <c r="K1562" s="82"/>
      <c r="P1562" s="82"/>
    </row>
    <row r="1563" spans="1:16">
      <c r="A1563" s="227"/>
      <c r="B1563" s="131" t="s">
        <v>2629</v>
      </c>
      <c r="C1563" s="48">
        <v>98611</v>
      </c>
      <c r="H1563" s="82"/>
      <c r="K1563" s="82"/>
      <c r="P1563" s="82"/>
    </row>
    <row r="1564" spans="1:16">
      <c r="A1564" s="227"/>
      <c r="B1564" s="131" t="s">
        <v>1505</v>
      </c>
      <c r="C1564" s="48">
        <v>98607</v>
      </c>
      <c r="H1564" s="82"/>
      <c r="K1564" s="82"/>
      <c r="P1564" s="82"/>
    </row>
    <row r="1565" spans="1:16">
      <c r="A1565" s="227"/>
      <c r="B1565" s="131" t="s">
        <v>2630</v>
      </c>
      <c r="C1565" s="48">
        <v>91641</v>
      </c>
      <c r="H1565" s="82"/>
      <c r="K1565" s="82"/>
      <c r="P1565" s="82"/>
    </row>
    <row r="1566" spans="1:16">
      <c r="A1566" s="227"/>
      <c r="B1566" s="131" t="s">
        <v>2631</v>
      </c>
      <c r="C1566" s="227">
        <v>95161</v>
      </c>
      <c r="H1566" s="82"/>
      <c r="K1566" s="82"/>
      <c r="P1566" s="82"/>
    </row>
    <row r="1567" spans="1:16">
      <c r="A1567" s="227"/>
      <c r="B1567" s="131" t="s">
        <v>2632</v>
      </c>
      <c r="C1567" s="48">
        <v>96361</v>
      </c>
      <c r="H1567" s="82"/>
      <c r="K1567" s="82"/>
      <c r="P1567" s="82"/>
    </row>
    <row r="1568" spans="1:16">
      <c r="A1568" s="227"/>
      <c r="B1568" s="131" t="s">
        <v>1104</v>
      </c>
      <c r="C1568" s="48">
        <v>94108</v>
      </c>
      <c r="H1568" s="82"/>
      <c r="K1568" s="82"/>
      <c r="P1568" s="82"/>
    </row>
    <row r="1569" spans="1:16">
      <c r="A1569" s="227"/>
      <c r="B1569" s="131" t="s">
        <v>2633</v>
      </c>
      <c r="C1569" s="48">
        <v>96351</v>
      </c>
      <c r="H1569" s="82"/>
      <c r="K1569" s="82"/>
      <c r="P1569" s="82"/>
    </row>
    <row r="1570" spans="1:16">
      <c r="A1570" s="227"/>
      <c r="B1570" s="131" t="s">
        <v>2634</v>
      </c>
      <c r="C1570" s="48">
        <v>93331</v>
      </c>
      <c r="H1570" s="82"/>
      <c r="K1570" s="82"/>
      <c r="P1570" s="82"/>
    </row>
    <row r="1571" spans="1:16">
      <c r="A1571" s="227"/>
      <c r="B1571" s="131" t="s">
        <v>2635</v>
      </c>
      <c r="C1571" s="48">
        <v>96021</v>
      </c>
      <c r="H1571" s="82"/>
      <c r="K1571" s="82"/>
      <c r="P1571" s="82"/>
    </row>
    <row r="1572" spans="1:16">
      <c r="A1572" s="227"/>
      <c r="B1572" s="131" t="s">
        <v>2636</v>
      </c>
      <c r="C1572" s="48">
        <v>95421</v>
      </c>
      <c r="H1572" s="82"/>
      <c r="K1572" s="82"/>
      <c r="P1572" s="82"/>
    </row>
    <row r="1573" spans="1:16">
      <c r="A1573" s="227"/>
      <c r="B1573" s="131" t="s">
        <v>1370</v>
      </c>
      <c r="C1573" s="48">
        <v>97401</v>
      </c>
      <c r="H1573" s="82"/>
      <c r="K1573" s="82"/>
      <c r="P1573" s="82"/>
    </row>
    <row r="1574" spans="1:16">
      <c r="A1574" s="227"/>
      <c r="B1574" s="131" t="s">
        <v>1372</v>
      </c>
      <c r="C1574" s="48">
        <v>97404</v>
      </c>
      <c r="H1574" s="82"/>
      <c r="K1574" s="82"/>
      <c r="P1574" s="82"/>
    </row>
    <row r="1575" spans="1:16">
      <c r="A1575" s="227"/>
      <c r="B1575" s="131" t="s">
        <v>2795</v>
      </c>
      <c r="C1575" s="48">
        <v>97402</v>
      </c>
      <c r="H1575" s="82"/>
      <c r="K1575" s="82"/>
      <c r="P1575" s="82"/>
    </row>
    <row r="1576" spans="1:16">
      <c r="A1576" s="227"/>
      <c r="B1576" s="131" t="s">
        <v>2637</v>
      </c>
      <c r="C1576" s="48">
        <v>91921</v>
      </c>
      <c r="H1576" s="82"/>
      <c r="K1576" s="82"/>
      <c r="P1576" s="82"/>
    </row>
    <row r="1577" spans="1:16">
      <c r="A1577" s="227"/>
      <c r="B1577" s="131" t="s">
        <v>1249</v>
      </c>
      <c r="C1577" s="48">
        <v>95908</v>
      </c>
      <c r="H1577" s="82"/>
      <c r="K1577" s="82"/>
      <c r="P1577" s="82"/>
    </row>
    <row r="1578" spans="1:16">
      <c r="A1578" s="227"/>
      <c r="B1578" s="131" t="s">
        <v>2638</v>
      </c>
      <c r="C1578" s="48">
        <v>99411</v>
      </c>
      <c r="H1578" s="82"/>
      <c r="K1578" s="82"/>
      <c r="P1578" s="82"/>
    </row>
    <row r="1579" spans="1:16">
      <c r="A1579" s="227"/>
      <c r="B1579" s="131" t="s">
        <v>1571</v>
      </c>
      <c r="C1579" s="48">
        <v>99413</v>
      </c>
      <c r="H1579" s="82"/>
      <c r="K1579" s="82"/>
      <c r="P1579" s="82"/>
    </row>
    <row r="1580" spans="1:16">
      <c r="A1580" s="227"/>
      <c r="B1580" s="131" t="s">
        <v>1388</v>
      </c>
      <c r="C1580" s="48">
        <v>97501</v>
      </c>
      <c r="H1580" s="82"/>
      <c r="K1580" s="82"/>
      <c r="P1580" s="82"/>
    </row>
    <row r="1581" spans="1:16">
      <c r="A1581" s="227"/>
      <c r="B1581" s="131" t="s">
        <v>2639</v>
      </c>
      <c r="C1581" s="48">
        <v>90431</v>
      </c>
      <c r="H1581" s="82"/>
      <c r="K1581" s="82"/>
      <c r="P1581" s="82"/>
    </row>
    <row r="1582" spans="1:16">
      <c r="A1582" s="227"/>
      <c r="B1582" s="131" t="s">
        <v>2640</v>
      </c>
      <c r="C1582" s="48">
        <v>95211</v>
      </c>
      <c r="H1582" s="82"/>
      <c r="K1582" s="82"/>
      <c r="P1582" s="82"/>
    </row>
    <row r="1583" spans="1:16">
      <c r="A1583" s="227"/>
      <c r="B1583" s="131" t="s">
        <v>2641</v>
      </c>
      <c r="C1583" s="227">
        <v>95181</v>
      </c>
      <c r="H1583" s="82"/>
      <c r="K1583" s="82"/>
      <c r="P1583" s="82"/>
    </row>
    <row r="1584" spans="1:16">
      <c r="A1584" s="227"/>
      <c r="B1584" s="131" t="s">
        <v>2642</v>
      </c>
      <c r="C1584" s="48">
        <v>93351</v>
      </c>
      <c r="H1584" s="82"/>
      <c r="K1584" s="82"/>
      <c r="P1584" s="82"/>
    </row>
    <row r="1585" spans="1:16">
      <c r="A1585" s="227"/>
      <c r="B1585" s="131" t="s">
        <v>1192</v>
      </c>
      <c r="C1585" s="48">
        <v>95105</v>
      </c>
      <c r="H1585" s="82"/>
      <c r="K1585" s="82"/>
      <c r="P1585" s="82"/>
    </row>
    <row r="1586" spans="1:16">
      <c r="A1586" s="227"/>
      <c r="B1586" s="131" t="s">
        <v>2643</v>
      </c>
      <c r="C1586" s="48">
        <v>94711</v>
      </c>
      <c r="H1586" s="82"/>
      <c r="K1586" s="82"/>
      <c r="P1586" s="82"/>
    </row>
    <row r="1587" spans="1:16">
      <c r="A1587" s="227"/>
      <c r="B1587" s="131" t="s">
        <v>1999</v>
      </c>
      <c r="C1587" s="48">
        <v>99211</v>
      </c>
      <c r="H1587" s="82"/>
      <c r="K1587" s="82"/>
      <c r="P1587" s="82"/>
    </row>
    <row r="1588" spans="1:16">
      <c r="A1588" s="227"/>
      <c r="B1588" s="131" t="s">
        <v>2000</v>
      </c>
      <c r="C1588" s="48">
        <v>99213</v>
      </c>
      <c r="H1588" s="82"/>
      <c r="K1588" s="82"/>
      <c r="P1588" s="82"/>
    </row>
    <row r="1589" spans="1:16">
      <c r="A1589" s="227"/>
      <c r="B1589" s="131" t="s">
        <v>1552</v>
      </c>
      <c r="C1589" s="227">
        <v>99218</v>
      </c>
      <c r="H1589" s="82"/>
      <c r="K1589" s="82"/>
      <c r="P1589" s="82"/>
    </row>
    <row r="1590" spans="1:16">
      <c r="A1590" s="227"/>
      <c r="B1590" s="131" t="s">
        <v>2644</v>
      </c>
      <c r="C1590" s="227">
        <v>97641</v>
      </c>
      <c r="H1590" s="82"/>
      <c r="K1590" s="82"/>
      <c r="P1590" s="82"/>
    </row>
    <row r="1591" spans="1:16">
      <c r="A1591" s="227"/>
      <c r="B1591" s="131" t="s">
        <v>2001</v>
      </c>
      <c r="C1591" s="48">
        <v>97621</v>
      </c>
      <c r="H1591" s="82"/>
      <c r="K1591" s="82"/>
      <c r="P1591" s="82"/>
    </row>
    <row r="1592" spans="1:16">
      <c r="A1592" s="227"/>
      <c r="B1592" s="131" t="s">
        <v>2002</v>
      </c>
      <c r="C1592" s="48">
        <v>97627</v>
      </c>
      <c r="H1592" s="82"/>
      <c r="K1592" s="82"/>
      <c r="P1592" s="82"/>
    </row>
    <row r="1593" spans="1:16">
      <c r="A1593" s="227"/>
      <c r="B1593" s="131" t="s">
        <v>2003</v>
      </c>
      <c r="C1593" s="48">
        <v>97623</v>
      </c>
      <c r="H1593" s="82"/>
      <c r="K1593" s="82"/>
      <c r="P1593" s="82"/>
    </row>
    <row r="1594" spans="1:16">
      <c r="A1594" s="227"/>
      <c r="B1594" s="131" t="s">
        <v>1392</v>
      </c>
      <c r="C1594" s="48">
        <v>97601</v>
      </c>
      <c r="H1594" s="82"/>
      <c r="K1594" s="82"/>
      <c r="P1594" s="82"/>
    </row>
    <row r="1595" spans="1:16">
      <c r="A1595" s="227"/>
      <c r="B1595" s="131" t="s">
        <v>2645</v>
      </c>
      <c r="C1595" s="48">
        <v>93681</v>
      </c>
      <c r="H1595" s="82"/>
      <c r="K1595" s="82"/>
      <c r="P1595" s="82"/>
    </row>
    <row r="1596" spans="1:16">
      <c r="A1596" s="227"/>
      <c r="B1596" s="131" t="s">
        <v>2646</v>
      </c>
      <c r="C1596" s="48">
        <v>97871</v>
      </c>
      <c r="H1596" s="82"/>
      <c r="K1596" s="82"/>
      <c r="P1596" s="82"/>
    </row>
    <row r="1597" spans="1:16">
      <c r="A1597" s="227"/>
      <c r="B1597" s="131" t="s">
        <v>1430</v>
      </c>
      <c r="C1597" s="48">
        <v>97877</v>
      </c>
      <c r="H1597" s="82"/>
      <c r="K1597" s="82"/>
      <c r="P1597" s="82"/>
    </row>
    <row r="1598" spans="1:16">
      <c r="A1598" s="227"/>
      <c r="B1598" s="131" t="s">
        <v>1575</v>
      </c>
      <c r="C1598" s="48">
        <v>99502</v>
      </c>
      <c r="H1598" s="82"/>
      <c r="K1598" s="82"/>
      <c r="P1598" s="82"/>
    </row>
    <row r="1599" spans="1:16">
      <c r="A1599" s="227"/>
      <c r="B1599" s="131" t="s">
        <v>2004</v>
      </c>
      <c r="C1599" s="48">
        <v>97911</v>
      </c>
      <c r="H1599" s="82"/>
      <c r="K1599" s="82"/>
      <c r="P1599" s="82"/>
    </row>
    <row r="1600" spans="1:16">
      <c r="A1600" s="227"/>
      <c r="B1600" s="131" t="s">
        <v>1434</v>
      </c>
      <c r="C1600" s="48">
        <v>97917</v>
      </c>
      <c r="H1600" s="82"/>
      <c r="K1600" s="82"/>
      <c r="P1600" s="82"/>
    </row>
    <row r="1601" spans="1:16">
      <c r="A1601" s="227"/>
      <c r="B1601" s="131" t="s">
        <v>2647</v>
      </c>
      <c r="C1601" s="48">
        <v>96611</v>
      </c>
      <c r="H1601" s="82"/>
      <c r="K1601" s="82"/>
      <c r="P1601" s="82"/>
    </row>
    <row r="1602" spans="1:16">
      <c r="A1602" s="227"/>
      <c r="B1602" s="131" t="s">
        <v>2648</v>
      </c>
      <c r="C1602" s="48">
        <v>96741</v>
      </c>
      <c r="H1602" s="82"/>
      <c r="K1602" s="82"/>
      <c r="P1602" s="82"/>
    </row>
    <row r="1603" spans="1:16">
      <c r="A1603" s="227"/>
      <c r="B1603" s="131" t="s">
        <v>1404</v>
      </c>
      <c r="C1603" s="48">
        <v>97701</v>
      </c>
      <c r="H1603" s="82"/>
      <c r="K1603" s="82"/>
      <c r="P1603" s="82"/>
    </row>
    <row r="1604" spans="1:16">
      <c r="A1604" s="227"/>
      <c r="B1604" s="131" t="s">
        <v>2649</v>
      </c>
      <c r="C1604" s="48">
        <v>92541</v>
      </c>
      <c r="H1604" s="82"/>
      <c r="K1604" s="82"/>
      <c r="P1604" s="82"/>
    </row>
    <row r="1605" spans="1:16">
      <c r="A1605" s="227"/>
      <c r="B1605" s="131" t="s">
        <v>2005</v>
      </c>
      <c r="C1605" s="48">
        <v>94221</v>
      </c>
      <c r="H1605" s="82"/>
      <c r="K1605" s="82"/>
      <c r="P1605" s="82"/>
    </row>
    <row r="1606" spans="1:16">
      <c r="A1606" s="227"/>
      <c r="B1606" s="131" t="s">
        <v>1122</v>
      </c>
      <c r="C1606" s="48">
        <v>94209</v>
      </c>
      <c r="H1606" s="82"/>
      <c r="K1606" s="82"/>
      <c r="P1606" s="82"/>
    </row>
    <row r="1607" spans="1:16">
      <c r="A1607" s="227"/>
      <c r="B1607" s="131" t="s">
        <v>2650</v>
      </c>
      <c r="C1607" s="48">
        <v>96341</v>
      </c>
      <c r="H1607" s="82"/>
      <c r="K1607" s="82"/>
      <c r="P1607" s="82"/>
    </row>
    <row r="1608" spans="1:16">
      <c r="A1608" s="227"/>
      <c r="B1608" s="131" t="s">
        <v>2651</v>
      </c>
      <c r="C1608" s="48">
        <v>93821</v>
      </c>
      <c r="H1608" s="82"/>
      <c r="K1608" s="82"/>
      <c r="P1608" s="82"/>
    </row>
    <row r="1609" spans="1:16">
      <c r="A1609" s="227"/>
      <c r="B1609" s="131" t="s">
        <v>2652</v>
      </c>
      <c r="C1609" s="48">
        <v>95851</v>
      </c>
      <c r="H1609" s="82"/>
      <c r="K1609" s="82"/>
      <c r="P1609" s="82"/>
    </row>
    <row r="1610" spans="1:16">
      <c r="A1610" s="227"/>
      <c r="B1610" s="131" t="s">
        <v>1247</v>
      </c>
      <c r="C1610" s="48">
        <v>95853</v>
      </c>
      <c r="H1610" s="82"/>
      <c r="K1610" s="82"/>
      <c r="P1610" s="82"/>
    </row>
    <row r="1611" spans="1:16">
      <c r="A1611" s="227"/>
      <c r="B1611" s="131" t="s">
        <v>1412</v>
      </c>
      <c r="C1611" s="48">
        <v>97801</v>
      </c>
      <c r="H1611" s="82"/>
      <c r="K1611" s="82"/>
      <c r="P1611" s="82"/>
    </row>
    <row r="1612" spans="1:16">
      <c r="A1612" s="227"/>
      <c r="B1612" s="131" t="s">
        <v>1414</v>
      </c>
      <c r="C1612" s="48">
        <v>97803</v>
      </c>
      <c r="H1612" s="82"/>
      <c r="K1612" s="82"/>
      <c r="P1612" s="82"/>
    </row>
    <row r="1613" spans="1:16">
      <c r="A1613" s="227"/>
      <c r="B1613" s="131" t="s">
        <v>1415</v>
      </c>
      <c r="C1613" s="48">
        <v>97805</v>
      </c>
      <c r="H1613" s="82"/>
      <c r="K1613" s="82"/>
      <c r="P1613" s="82"/>
    </row>
    <row r="1614" spans="1:16">
      <c r="A1614" s="227"/>
      <c r="B1614" s="131" t="s">
        <v>2006</v>
      </c>
      <c r="C1614" s="48">
        <v>97711</v>
      </c>
      <c r="H1614" s="82"/>
      <c r="K1614" s="82"/>
      <c r="P1614" s="82"/>
    </row>
    <row r="1615" spans="1:16">
      <c r="A1615" s="227"/>
      <c r="B1615" s="131" t="s">
        <v>2007</v>
      </c>
      <c r="C1615" s="48">
        <v>97727</v>
      </c>
      <c r="H1615" s="82"/>
      <c r="K1615" s="82"/>
      <c r="P1615" s="82"/>
    </row>
    <row r="1616" spans="1:16">
      <c r="A1616" s="227"/>
      <c r="B1616" s="131" t="s">
        <v>1431</v>
      </c>
      <c r="C1616" s="48">
        <v>97901</v>
      </c>
      <c r="H1616" s="82"/>
      <c r="K1616" s="82"/>
      <c r="P1616" s="82"/>
    </row>
    <row r="1617" spans="1:16">
      <c r="A1617" s="227"/>
      <c r="B1617" s="131" t="s">
        <v>1407</v>
      </c>
      <c r="C1617" s="48">
        <v>97713</v>
      </c>
      <c r="H1617" s="82"/>
      <c r="K1617" s="82"/>
      <c r="P1617" s="82"/>
    </row>
    <row r="1618" spans="1:16">
      <c r="A1618" s="227"/>
      <c r="B1618" s="131" t="s">
        <v>2653</v>
      </c>
      <c r="C1618" s="48">
        <v>98071</v>
      </c>
      <c r="H1618" s="82"/>
      <c r="K1618" s="82"/>
      <c r="P1618" s="82"/>
    </row>
    <row r="1619" spans="1:16">
      <c r="A1619" s="227"/>
      <c r="B1619" s="131" t="s">
        <v>2008</v>
      </c>
      <c r="C1619" s="48">
        <v>93321</v>
      </c>
      <c r="H1619" s="82"/>
      <c r="K1619" s="82"/>
      <c r="P1619" s="82"/>
    </row>
    <row r="1620" spans="1:16">
      <c r="A1620" s="227"/>
      <c r="B1620" s="131" t="s">
        <v>1035</v>
      </c>
      <c r="C1620" s="48">
        <v>93323</v>
      </c>
      <c r="H1620" s="82"/>
      <c r="K1620" s="82"/>
      <c r="P1620" s="82"/>
    </row>
    <row r="1621" spans="1:16">
      <c r="A1621" s="227"/>
      <c r="B1621" s="131" t="s">
        <v>1037</v>
      </c>
      <c r="C1621" s="48">
        <v>93333</v>
      </c>
      <c r="H1621" s="82"/>
      <c r="K1621" s="82"/>
      <c r="P1621" s="82"/>
    </row>
    <row r="1622" spans="1:16">
      <c r="A1622" s="227"/>
      <c r="B1622" s="131" t="s">
        <v>2654</v>
      </c>
      <c r="C1622" s="48">
        <v>99203</v>
      </c>
      <c r="H1622" s="82"/>
      <c r="K1622" s="82"/>
      <c r="P1622" s="82"/>
    </row>
    <row r="1623" spans="1:16">
      <c r="A1623" s="227"/>
      <c r="B1623" s="131" t="s">
        <v>2655</v>
      </c>
      <c r="C1623" s="48">
        <v>99421</v>
      </c>
      <c r="H1623" s="82"/>
      <c r="K1623" s="82"/>
      <c r="P1623" s="82"/>
    </row>
    <row r="1624" spans="1:16">
      <c r="A1624" s="227"/>
      <c r="B1624" s="131" t="s">
        <v>2656</v>
      </c>
      <c r="C1624" s="48">
        <v>93161</v>
      </c>
      <c r="H1624" s="82"/>
      <c r="K1624" s="82"/>
      <c r="P1624" s="82"/>
    </row>
    <row r="1625" spans="1:16">
      <c r="A1625" s="227"/>
      <c r="B1625" s="131" t="s">
        <v>2657</v>
      </c>
      <c r="C1625" s="48">
        <v>98261</v>
      </c>
      <c r="H1625" s="82"/>
      <c r="K1625" s="82"/>
      <c r="P1625" s="82"/>
    </row>
    <row r="1626" spans="1:16">
      <c r="A1626" s="227"/>
      <c r="B1626" s="131" t="s">
        <v>1476</v>
      </c>
      <c r="C1626" s="48">
        <v>98237</v>
      </c>
      <c r="H1626" s="82"/>
      <c r="K1626" s="82"/>
      <c r="P1626" s="82"/>
    </row>
    <row r="1627" spans="1:16">
      <c r="A1627" s="227"/>
      <c r="B1627" s="131" t="s">
        <v>1444</v>
      </c>
      <c r="C1627" s="48">
        <v>98003</v>
      </c>
      <c r="H1627" s="82"/>
      <c r="K1627" s="82"/>
      <c r="P1627" s="82"/>
    </row>
    <row r="1628" spans="1:16">
      <c r="A1628" s="227"/>
      <c r="B1628" s="131" t="s">
        <v>2793</v>
      </c>
      <c r="C1628" s="48">
        <v>98008</v>
      </c>
      <c r="H1628" s="82"/>
      <c r="K1628" s="82"/>
      <c r="P1628" s="82"/>
    </row>
    <row r="1629" spans="1:16">
      <c r="A1629" s="227"/>
      <c r="B1629" s="131" t="s">
        <v>1443</v>
      </c>
      <c r="C1629" s="48">
        <v>98002</v>
      </c>
      <c r="H1629" s="82"/>
      <c r="K1629" s="82"/>
      <c r="P1629" s="82"/>
    </row>
    <row r="1630" spans="1:16">
      <c r="A1630" s="227"/>
      <c r="B1630" s="131" t="s">
        <v>1442</v>
      </c>
      <c r="C1630" s="48">
        <v>98001</v>
      </c>
      <c r="H1630" s="82"/>
      <c r="K1630" s="82"/>
      <c r="P1630" s="82"/>
    </row>
    <row r="1631" spans="1:16">
      <c r="A1631" s="227"/>
      <c r="B1631" s="131" t="s">
        <v>1445</v>
      </c>
      <c r="C1631" s="48">
        <v>98004</v>
      </c>
      <c r="H1631" s="82"/>
      <c r="K1631" s="82"/>
      <c r="P1631" s="82"/>
    </row>
    <row r="1632" spans="1:16">
      <c r="A1632" s="227"/>
      <c r="B1632" s="131" t="s">
        <v>2658</v>
      </c>
      <c r="C1632" s="48">
        <v>97861</v>
      </c>
      <c r="H1632" s="82"/>
      <c r="K1632" s="82"/>
      <c r="P1632" s="82"/>
    </row>
    <row r="1633" spans="1:16">
      <c r="A1633" s="227"/>
      <c r="B1633" s="131" t="s">
        <v>2009</v>
      </c>
      <c r="C1633" s="48">
        <v>97311</v>
      </c>
      <c r="H1633" s="82"/>
      <c r="K1633" s="82"/>
      <c r="P1633" s="82"/>
    </row>
    <row r="1634" spans="1:16">
      <c r="A1634" s="227"/>
      <c r="B1634" s="131" t="s">
        <v>2659</v>
      </c>
      <c r="C1634" s="48">
        <v>93431</v>
      </c>
      <c r="H1634" s="82"/>
      <c r="K1634" s="82"/>
      <c r="P1634" s="82"/>
    </row>
    <row r="1635" spans="1:16">
      <c r="A1635" s="227"/>
      <c r="B1635" s="131" t="s">
        <v>2660</v>
      </c>
      <c r="C1635" s="48">
        <v>91214</v>
      </c>
      <c r="H1635" s="82"/>
      <c r="K1635" s="82"/>
      <c r="P1635" s="82"/>
    </row>
    <row r="1636" spans="1:16">
      <c r="A1636" s="227"/>
      <c r="B1636" s="131" t="s">
        <v>1458</v>
      </c>
      <c r="C1636" s="48">
        <v>98101</v>
      </c>
      <c r="H1636" s="82"/>
      <c r="K1636" s="82"/>
      <c r="P1636" s="82"/>
    </row>
    <row r="1637" spans="1:16">
      <c r="A1637" s="227"/>
      <c r="B1637" s="131" t="s">
        <v>2792</v>
      </c>
      <c r="C1637" s="48">
        <v>98103</v>
      </c>
      <c r="H1637" s="82"/>
      <c r="K1637" s="82"/>
      <c r="P1637" s="82"/>
    </row>
    <row r="1638" spans="1:16">
      <c r="A1638" s="227"/>
      <c r="B1638" s="131" t="s">
        <v>2661</v>
      </c>
      <c r="C1638" s="48">
        <v>98141</v>
      </c>
      <c r="H1638" s="82"/>
      <c r="K1638" s="82"/>
      <c r="P1638" s="82"/>
    </row>
    <row r="1639" spans="1:16">
      <c r="A1639" s="227"/>
      <c r="B1639" s="131" t="s">
        <v>2791</v>
      </c>
      <c r="C1639" s="48">
        <v>98147</v>
      </c>
      <c r="H1639" s="82"/>
      <c r="K1639" s="82"/>
      <c r="P1639" s="82"/>
    </row>
    <row r="1640" spans="1:16">
      <c r="A1640" s="227"/>
      <c r="B1640" s="131" t="s">
        <v>2685</v>
      </c>
      <c r="C1640" s="48">
        <v>91032</v>
      </c>
      <c r="H1640" s="82"/>
      <c r="K1640" s="82"/>
      <c r="P1640" s="82"/>
    </row>
    <row r="1641" spans="1:16">
      <c r="A1641" s="227"/>
      <c r="B1641" s="131" t="s">
        <v>2686</v>
      </c>
      <c r="C1641" s="48">
        <v>97831</v>
      </c>
      <c r="H1641" s="82"/>
      <c r="K1641" s="82"/>
      <c r="P1641" s="82"/>
    </row>
    <row r="1642" spans="1:16">
      <c r="A1642" s="227"/>
      <c r="B1642" s="131" t="s">
        <v>2790</v>
      </c>
      <c r="C1642" s="48">
        <v>97837</v>
      </c>
      <c r="H1642" s="82"/>
      <c r="K1642" s="82"/>
      <c r="P1642" s="82"/>
    </row>
    <row r="1643" spans="1:16">
      <c r="A1643" s="227"/>
      <c r="B1643" s="131" t="s">
        <v>2662</v>
      </c>
      <c r="C1643" s="227">
        <v>98221</v>
      </c>
      <c r="H1643" s="82"/>
      <c r="K1643" s="82"/>
      <c r="P1643" s="82"/>
    </row>
    <row r="1644" spans="1:16">
      <c r="A1644" s="227"/>
      <c r="B1644" s="131" t="s">
        <v>2010</v>
      </c>
      <c r="C1644" s="227">
        <v>98011</v>
      </c>
      <c r="H1644" s="82"/>
      <c r="K1644" s="82"/>
      <c r="P1644" s="82"/>
    </row>
    <row r="1645" spans="1:16">
      <c r="A1645" s="227"/>
      <c r="B1645" s="131" t="s">
        <v>2809</v>
      </c>
      <c r="C1645" s="48">
        <v>98013</v>
      </c>
      <c r="H1645" s="82"/>
      <c r="K1645" s="82"/>
      <c r="P1645" s="82"/>
    </row>
    <row r="1646" spans="1:16">
      <c r="A1646" s="227"/>
      <c r="B1646" s="131" t="s">
        <v>2011</v>
      </c>
      <c r="C1646" s="48">
        <v>97531</v>
      </c>
      <c r="H1646" s="82"/>
      <c r="K1646" s="82"/>
      <c r="P1646" s="82"/>
    </row>
    <row r="1647" spans="1:16">
      <c r="A1647" s="227"/>
      <c r="B1647" s="131" t="s">
        <v>1470</v>
      </c>
      <c r="C1647" s="48">
        <v>98201</v>
      </c>
      <c r="H1647" s="82"/>
      <c r="K1647" s="82"/>
      <c r="P1647" s="82"/>
    </row>
    <row r="1648" spans="1:16">
      <c r="A1648" s="227"/>
      <c r="B1648" s="131" t="s">
        <v>1405</v>
      </c>
      <c r="C1648" s="48">
        <v>97705</v>
      </c>
      <c r="H1648" s="82"/>
      <c r="K1648" s="82"/>
      <c r="P1648" s="82"/>
    </row>
    <row r="1649" spans="1:16">
      <c r="A1649" s="227"/>
      <c r="B1649" s="131" t="s">
        <v>1287</v>
      </c>
      <c r="C1649" s="48">
        <v>96318</v>
      </c>
      <c r="H1649" s="82"/>
      <c r="K1649" s="82"/>
      <c r="P1649" s="82"/>
    </row>
    <row r="1650" spans="1:16">
      <c r="A1650" s="227"/>
      <c r="B1650" s="131" t="s">
        <v>2012</v>
      </c>
      <c r="C1650" s="48">
        <v>95311</v>
      </c>
      <c r="H1650" s="82"/>
      <c r="K1650" s="82"/>
      <c r="P1650" s="82"/>
    </row>
    <row r="1651" spans="1:16">
      <c r="A1651" s="227"/>
      <c r="B1651" s="131" t="s">
        <v>1214</v>
      </c>
      <c r="C1651" s="48">
        <v>95317</v>
      </c>
      <c r="H1651" s="82"/>
      <c r="K1651" s="82"/>
      <c r="P1651" s="82"/>
    </row>
    <row r="1652" spans="1:16">
      <c r="A1652" s="227"/>
      <c r="B1652" s="131" t="s">
        <v>2663</v>
      </c>
      <c r="C1652" s="48">
        <v>91421</v>
      </c>
      <c r="H1652" s="82"/>
      <c r="K1652" s="82"/>
      <c r="P1652" s="82"/>
    </row>
    <row r="1653" spans="1:16">
      <c r="A1653" s="227"/>
      <c r="B1653" s="131" t="s">
        <v>1481</v>
      </c>
      <c r="C1653" s="48">
        <v>98301</v>
      </c>
      <c r="H1653" s="82"/>
      <c r="K1653" s="82"/>
      <c r="P1653" s="82"/>
    </row>
    <row r="1654" spans="1:16">
      <c r="A1654" s="227"/>
      <c r="B1654" s="131" t="s">
        <v>1482</v>
      </c>
      <c r="C1654" s="48">
        <v>98304</v>
      </c>
      <c r="H1654" s="82"/>
      <c r="K1654" s="82"/>
      <c r="P1654" s="82"/>
    </row>
    <row r="1655" spans="1:16">
      <c r="A1655" s="227"/>
      <c r="B1655" s="131" t="s">
        <v>2664</v>
      </c>
      <c r="C1655" s="48">
        <v>94241</v>
      </c>
      <c r="H1655" s="82"/>
      <c r="K1655" s="82"/>
      <c r="P1655" s="82"/>
    </row>
    <row r="1656" spans="1:16">
      <c r="A1656" s="227"/>
      <c r="B1656" s="131" t="s">
        <v>2665</v>
      </c>
      <c r="C1656" s="227">
        <v>96681</v>
      </c>
      <c r="H1656" s="82"/>
      <c r="K1656" s="82"/>
      <c r="P1656" s="82"/>
    </row>
    <row r="1657" spans="1:16">
      <c r="A1657" s="227"/>
      <c r="B1657" s="131" t="s">
        <v>2666</v>
      </c>
      <c r="C1657" s="220">
        <v>72593</v>
      </c>
      <c r="H1657" s="82"/>
      <c r="K1657" s="82"/>
      <c r="P1657" s="82"/>
    </row>
    <row r="1658" spans="1:16">
      <c r="A1658" s="227"/>
      <c r="B1658" s="131" t="s">
        <v>2667</v>
      </c>
      <c r="C1658" s="48">
        <v>95121</v>
      </c>
      <c r="H1658" s="82"/>
      <c r="K1658" s="82"/>
      <c r="P1658" s="82"/>
    </row>
    <row r="1659" spans="1:16">
      <c r="A1659" s="227"/>
      <c r="B1659" s="131" t="s">
        <v>1199</v>
      </c>
      <c r="C1659" s="48">
        <v>95123</v>
      </c>
      <c r="H1659" s="82"/>
      <c r="K1659" s="82"/>
      <c r="P1659" s="82"/>
    </row>
    <row r="1660" spans="1:16">
      <c r="A1660" s="227"/>
      <c r="B1660" s="131" t="s">
        <v>2668</v>
      </c>
      <c r="C1660" s="48">
        <v>99531</v>
      </c>
      <c r="H1660" s="82"/>
      <c r="K1660" s="82"/>
      <c r="P1660" s="82"/>
    </row>
    <row r="1661" spans="1:16">
      <c r="A1661" s="227"/>
      <c r="B1661" s="131" t="s">
        <v>2669</v>
      </c>
      <c r="C1661" s="48">
        <v>96671</v>
      </c>
      <c r="H1661" s="82"/>
      <c r="K1661" s="82"/>
      <c r="P1661" s="82"/>
    </row>
    <row r="1662" spans="1:16">
      <c r="A1662" s="227"/>
      <c r="B1662" s="131" t="s">
        <v>2670</v>
      </c>
      <c r="C1662" s="48">
        <v>91081</v>
      </c>
      <c r="H1662" s="82"/>
      <c r="K1662" s="82"/>
      <c r="P1662" s="82"/>
    </row>
    <row r="1663" spans="1:16">
      <c r="A1663" s="227"/>
      <c r="B1663" s="131" t="s">
        <v>822</v>
      </c>
      <c r="C1663" s="48">
        <v>91057</v>
      </c>
      <c r="H1663" s="82"/>
      <c r="K1663" s="82"/>
      <c r="P1663" s="82"/>
    </row>
    <row r="1664" spans="1:16">
      <c r="A1664" s="227"/>
      <c r="B1664" s="131" t="s">
        <v>2671</v>
      </c>
      <c r="C1664" s="48">
        <v>96461</v>
      </c>
      <c r="H1664" s="82"/>
      <c r="K1664" s="82"/>
      <c r="P1664" s="82"/>
    </row>
    <row r="1665" spans="1:16">
      <c r="A1665" s="227"/>
      <c r="B1665" s="131" t="s">
        <v>2013</v>
      </c>
      <c r="C1665" s="48">
        <v>92311</v>
      </c>
      <c r="H1665" s="82"/>
      <c r="K1665" s="82"/>
      <c r="P1665" s="82"/>
    </row>
    <row r="1666" spans="1:16">
      <c r="A1666" s="227"/>
      <c r="B1666" s="131" t="s">
        <v>936</v>
      </c>
      <c r="C1666" s="48">
        <v>92317</v>
      </c>
      <c r="H1666" s="82"/>
      <c r="K1666" s="82"/>
      <c r="P1666" s="82"/>
    </row>
    <row r="1667" spans="1:16">
      <c r="A1667" s="227"/>
      <c r="B1667" s="131" t="s">
        <v>1373</v>
      </c>
      <c r="C1667" s="48">
        <v>97405</v>
      </c>
      <c r="H1667" s="82"/>
      <c r="K1667" s="82"/>
      <c r="P1667" s="82"/>
    </row>
    <row r="1668" spans="1:16">
      <c r="A1668" s="227"/>
      <c r="B1668" s="131" t="s">
        <v>2672</v>
      </c>
      <c r="C1668" s="48">
        <v>91911</v>
      </c>
      <c r="H1668" s="82"/>
      <c r="K1668" s="82"/>
      <c r="P1668" s="82"/>
    </row>
    <row r="1669" spans="1:16">
      <c r="A1669" s="227"/>
      <c r="B1669" s="131" t="s">
        <v>920</v>
      </c>
      <c r="C1669" s="48">
        <v>91917</v>
      </c>
      <c r="H1669" s="82"/>
      <c r="K1669" s="82"/>
      <c r="P1669" s="82"/>
    </row>
    <row r="1670" spans="1:16">
      <c r="A1670" s="227"/>
      <c r="B1670" s="131" t="s">
        <v>2673</v>
      </c>
      <c r="C1670" s="227">
        <v>97481</v>
      </c>
      <c r="H1670" s="82"/>
      <c r="K1670" s="82"/>
      <c r="P1670" s="82"/>
    </row>
    <row r="1671" spans="1:16">
      <c r="A1671" s="227"/>
      <c r="B1671" s="131" t="s">
        <v>840</v>
      </c>
      <c r="C1671" s="51">
        <v>91138</v>
      </c>
      <c r="H1671" s="82"/>
      <c r="K1671" s="82"/>
      <c r="P1671" s="82"/>
    </row>
    <row r="1672" spans="1:16">
      <c r="A1672" s="227"/>
      <c r="B1672" s="131" t="s">
        <v>2674</v>
      </c>
      <c r="C1672" s="48">
        <v>95111</v>
      </c>
      <c r="H1672" s="82"/>
      <c r="K1672" s="82"/>
      <c r="P1672" s="82"/>
    </row>
    <row r="1673" spans="1:16">
      <c r="A1673" s="227"/>
      <c r="B1673" s="131" t="s">
        <v>1196</v>
      </c>
      <c r="C1673" s="48">
        <v>95113</v>
      </c>
      <c r="H1673" s="82"/>
      <c r="K1673" s="82"/>
      <c r="P1673" s="82"/>
    </row>
    <row r="1674" spans="1:16">
      <c r="A1674" s="227"/>
      <c r="B1674" s="131" t="s">
        <v>2675</v>
      </c>
      <c r="C1674" s="48">
        <v>94021</v>
      </c>
      <c r="H1674" s="82"/>
      <c r="K1674" s="82"/>
      <c r="P1674" s="82"/>
    </row>
    <row r="1675" spans="1:16">
      <c r="A1675" s="227"/>
      <c r="B1675" s="131" t="s">
        <v>795</v>
      </c>
      <c r="C1675" s="48">
        <v>90918</v>
      </c>
      <c r="H1675" s="82"/>
      <c r="K1675" s="82"/>
      <c r="P1675" s="82"/>
    </row>
    <row r="1676" spans="1:16">
      <c r="A1676" s="227"/>
      <c r="B1676" s="131" t="s">
        <v>1089</v>
      </c>
      <c r="C1676" s="227">
        <v>93910</v>
      </c>
      <c r="H1676" s="82"/>
      <c r="K1676" s="82"/>
      <c r="P1676" s="82"/>
    </row>
    <row r="1677" spans="1:16">
      <c r="A1677" s="227"/>
      <c r="B1677" s="131" t="s">
        <v>810</v>
      </c>
      <c r="C1677" s="48">
        <v>91013</v>
      </c>
      <c r="H1677" s="82"/>
      <c r="K1677" s="82"/>
      <c r="P1677" s="82"/>
    </row>
    <row r="1678" spans="1:16">
      <c r="A1678" s="227"/>
      <c r="B1678" s="131" t="s">
        <v>2676</v>
      </c>
      <c r="C1678" s="48">
        <v>96311</v>
      </c>
      <c r="H1678" s="82"/>
      <c r="K1678" s="82"/>
      <c r="P1678" s="82"/>
    </row>
    <row r="1679" spans="1:16">
      <c r="A1679" s="227"/>
      <c r="B1679" s="131" t="s">
        <v>2677</v>
      </c>
      <c r="C1679" s="48">
        <v>92841</v>
      </c>
      <c r="H1679" s="82"/>
      <c r="K1679" s="82"/>
      <c r="P1679" s="82"/>
    </row>
    <row r="1680" spans="1:16">
      <c r="A1680" s="227"/>
      <c r="B1680" s="131" t="s">
        <v>1586</v>
      </c>
      <c r="C1680" s="48">
        <v>99609</v>
      </c>
      <c r="H1680" s="82"/>
      <c r="K1680" s="82"/>
      <c r="P1680" s="82"/>
    </row>
    <row r="1681" spans="1:16">
      <c r="A1681" s="227"/>
      <c r="B1681" s="131" t="s">
        <v>2014</v>
      </c>
      <c r="C1681" s="48">
        <v>91011</v>
      </c>
      <c r="H1681" s="82"/>
      <c r="K1681" s="82"/>
      <c r="P1681" s="82"/>
    </row>
    <row r="1682" spans="1:16">
      <c r="A1682" s="227"/>
      <c r="B1682" s="131" t="s">
        <v>2015</v>
      </c>
      <c r="C1682" s="48">
        <v>91017</v>
      </c>
      <c r="H1682" s="82"/>
      <c r="K1682" s="82"/>
      <c r="P1682" s="82"/>
    </row>
    <row r="1683" spans="1:16">
      <c r="A1683" s="227"/>
      <c r="B1683" s="131" t="s">
        <v>1185</v>
      </c>
      <c r="C1683" s="227">
        <v>95008</v>
      </c>
      <c r="H1683" s="82"/>
      <c r="K1683" s="82"/>
      <c r="P1683" s="82"/>
    </row>
    <row r="1684" spans="1:16">
      <c r="A1684" s="227"/>
      <c r="B1684" s="131" t="s">
        <v>2678</v>
      </c>
      <c r="C1684" s="48">
        <v>72657</v>
      </c>
      <c r="H1684" s="82"/>
      <c r="K1684" s="82"/>
      <c r="P1684" s="82"/>
    </row>
    <row r="1685" spans="1:16">
      <c r="A1685" s="227"/>
      <c r="B1685" s="131" t="s">
        <v>2679</v>
      </c>
      <c r="C1685" s="48">
        <v>90307</v>
      </c>
      <c r="H1685" s="82"/>
      <c r="K1685" s="82"/>
      <c r="P1685" s="82"/>
    </row>
    <row r="1686" spans="1:16">
      <c r="A1686" s="227"/>
      <c r="B1686" s="131" t="s">
        <v>2680</v>
      </c>
      <c r="C1686" s="48">
        <v>98031</v>
      </c>
      <c r="H1686" s="82"/>
      <c r="K1686" s="82"/>
      <c r="P1686" s="82"/>
    </row>
    <row r="1687" spans="1:16">
      <c r="A1687" s="227"/>
      <c r="B1687" s="131" t="s">
        <v>2681</v>
      </c>
      <c r="C1687" s="48">
        <v>98121</v>
      </c>
      <c r="H1687" s="82"/>
      <c r="K1687" s="82"/>
      <c r="P1687" s="82"/>
    </row>
    <row r="1688" spans="1:16">
      <c r="A1688" s="227"/>
      <c r="B1688" s="131" t="s">
        <v>2682</v>
      </c>
      <c r="C1688" s="48">
        <v>96411</v>
      </c>
      <c r="H1688" s="82"/>
      <c r="K1688" s="82"/>
      <c r="P1688" s="82"/>
    </row>
    <row r="1689" spans="1:16">
      <c r="A1689" s="227"/>
      <c r="B1689" s="131" t="s">
        <v>2683</v>
      </c>
      <c r="C1689" s="227">
        <v>92661</v>
      </c>
      <c r="H1689" s="82"/>
      <c r="K1689" s="82"/>
      <c r="P1689" s="82"/>
    </row>
    <row r="1690" spans="1:16">
      <c r="A1690" s="227"/>
      <c r="B1690" s="131" t="s">
        <v>2684</v>
      </c>
      <c r="C1690" s="48">
        <v>96111</v>
      </c>
      <c r="H1690" s="82"/>
      <c r="K1690" s="82"/>
      <c r="P1690" s="82"/>
    </row>
    <row r="1691" spans="1:16">
      <c r="A1691" s="227"/>
      <c r="B1691" s="131" t="s">
        <v>2687</v>
      </c>
      <c r="C1691" s="48">
        <v>96061</v>
      </c>
      <c r="H1691" s="82"/>
      <c r="K1691" s="82"/>
      <c r="P1691" s="82"/>
    </row>
    <row r="1692" spans="1:16">
      <c r="A1692" s="227"/>
      <c r="B1692" s="131" t="s">
        <v>2688</v>
      </c>
      <c r="C1692" s="48">
        <v>98481</v>
      </c>
      <c r="H1692" s="82"/>
      <c r="K1692" s="82"/>
      <c r="P1692" s="82"/>
    </row>
    <row r="1693" spans="1:16">
      <c r="A1693" s="227"/>
      <c r="B1693" s="131" t="s">
        <v>2689</v>
      </c>
      <c r="C1693" s="48">
        <v>93602</v>
      </c>
      <c r="H1693" s="82"/>
      <c r="K1693" s="82"/>
      <c r="P1693" s="82"/>
    </row>
    <row r="1694" spans="1:16">
      <c r="A1694" s="227"/>
      <c r="B1694" s="131" t="s">
        <v>1488</v>
      </c>
      <c r="C1694" s="48">
        <v>98401</v>
      </c>
      <c r="H1694" s="82"/>
      <c r="K1694" s="82"/>
      <c r="P1694" s="82"/>
    </row>
    <row r="1695" spans="1:16">
      <c r="A1695" s="227"/>
      <c r="B1695" s="131" t="s">
        <v>2690</v>
      </c>
      <c r="C1695" s="51">
        <v>99821</v>
      </c>
      <c r="H1695" s="82"/>
      <c r="K1695" s="82"/>
      <c r="P1695" s="82"/>
    </row>
    <row r="1696" spans="1:16">
      <c r="A1696" s="227"/>
      <c r="B1696" s="131" t="s">
        <v>2691</v>
      </c>
      <c r="C1696" s="227">
        <v>96211</v>
      </c>
      <c r="H1696" s="82"/>
      <c r="K1696" s="82"/>
      <c r="P1696" s="82"/>
    </row>
    <row r="1697" spans="1:16">
      <c r="A1697" s="227"/>
      <c r="B1697" s="131" t="s">
        <v>2016</v>
      </c>
      <c r="C1697" s="48">
        <v>94911</v>
      </c>
      <c r="H1697" s="82"/>
      <c r="K1697" s="82"/>
      <c r="P1697" s="82"/>
    </row>
    <row r="1698" spans="1:16">
      <c r="A1698" s="227"/>
      <c r="B1698" s="131" t="s">
        <v>1176</v>
      </c>
      <c r="C1698" s="48">
        <v>94917</v>
      </c>
      <c r="H1698" s="82"/>
      <c r="K1698" s="82"/>
      <c r="P1698" s="82"/>
    </row>
    <row r="1699" spans="1:16">
      <c r="A1699" s="227"/>
      <c r="B1699" s="131" t="s">
        <v>2692</v>
      </c>
      <c r="C1699" s="227">
        <v>92621</v>
      </c>
      <c r="H1699" s="82"/>
      <c r="K1699" s="82"/>
      <c r="P1699" s="82"/>
    </row>
    <row r="1700" spans="1:16">
      <c r="A1700" s="227"/>
      <c r="B1700" s="131" t="s">
        <v>1499</v>
      </c>
      <c r="C1700" s="48">
        <v>98501</v>
      </c>
      <c r="H1700" s="82"/>
      <c r="K1700" s="82"/>
      <c r="P1700" s="82"/>
    </row>
    <row r="1701" spans="1:16">
      <c r="A1701" s="227"/>
      <c r="B1701" s="131" t="s">
        <v>2693</v>
      </c>
      <c r="C1701" s="48">
        <v>97931</v>
      </c>
      <c r="H1701" s="82"/>
      <c r="K1701" s="82"/>
      <c r="P1701" s="82"/>
    </row>
    <row r="1702" spans="1:16">
      <c r="A1702" s="227"/>
      <c r="B1702" s="131" t="s">
        <v>2694</v>
      </c>
      <c r="C1702" s="48">
        <v>93914</v>
      </c>
      <c r="H1702" s="82"/>
      <c r="K1702" s="82"/>
      <c r="P1702" s="82"/>
    </row>
    <row r="1703" spans="1:16">
      <c r="A1703" s="227"/>
      <c r="B1703" s="131" t="s">
        <v>2695</v>
      </c>
      <c r="C1703" s="48">
        <v>90651</v>
      </c>
      <c r="H1703" s="82"/>
      <c r="K1703" s="82"/>
      <c r="P1703" s="82"/>
    </row>
    <row r="1704" spans="1:16">
      <c r="A1704" s="227"/>
      <c r="B1704" s="131" t="s">
        <v>2696</v>
      </c>
      <c r="C1704" s="48">
        <v>94171</v>
      </c>
      <c r="H1704" s="82"/>
      <c r="K1704" s="82"/>
      <c r="P1704" s="82"/>
    </row>
    <row r="1705" spans="1:16">
      <c r="A1705" s="227"/>
      <c r="B1705" s="131" t="s">
        <v>1118</v>
      </c>
      <c r="C1705" s="48">
        <v>94172</v>
      </c>
      <c r="H1705" s="82"/>
      <c r="K1705" s="82"/>
      <c r="P1705" s="82"/>
    </row>
    <row r="1706" spans="1:16">
      <c r="A1706" s="227"/>
      <c r="B1706" s="131" t="s">
        <v>2697</v>
      </c>
      <c r="C1706" s="227">
        <v>91041</v>
      </c>
      <c r="H1706" s="82"/>
      <c r="K1706" s="82"/>
      <c r="P1706" s="82"/>
    </row>
    <row r="1707" spans="1:16">
      <c r="A1707" s="227"/>
      <c r="B1707" s="131" t="s">
        <v>2698</v>
      </c>
      <c r="C1707" s="48">
        <v>91047</v>
      </c>
      <c r="H1707" s="82"/>
      <c r="K1707" s="82"/>
      <c r="P1707" s="82"/>
    </row>
    <row r="1708" spans="1:16">
      <c r="A1708" s="227"/>
      <c r="B1708" s="131" t="s">
        <v>2699</v>
      </c>
      <c r="C1708" s="48">
        <v>97131</v>
      </c>
      <c r="H1708" s="82"/>
      <c r="K1708" s="82"/>
      <c r="P1708" s="82"/>
    </row>
    <row r="1709" spans="1:16">
      <c r="A1709" s="227"/>
      <c r="B1709" s="131" t="s">
        <v>1503</v>
      </c>
      <c r="C1709" s="48">
        <v>98601</v>
      </c>
      <c r="H1709" s="82"/>
      <c r="K1709" s="82"/>
      <c r="P1709" s="82"/>
    </row>
    <row r="1710" spans="1:16">
      <c r="A1710" s="227"/>
      <c r="B1710" s="131" t="s">
        <v>1513</v>
      </c>
      <c r="C1710" s="48">
        <v>98701</v>
      </c>
      <c r="H1710" s="82"/>
      <c r="K1710" s="82"/>
      <c r="P1710" s="82"/>
    </row>
    <row r="1711" spans="1:16">
      <c r="A1711" s="227"/>
      <c r="B1711" s="131" t="s">
        <v>2700</v>
      </c>
      <c r="C1711" s="48">
        <v>96721</v>
      </c>
      <c r="H1711" s="82"/>
      <c r="K1711" s="82"/>
      <c r="P1711" s="82"/>
    </row>
    <row r="1712" spans="1:16">
      <c r="A1712" s="227"/>
      <c r="B1712" s="131" t="s">
        <v>2701</v>
      </c>
      <c r="C1712" s="48">
        <v>95011</v>
      </c>
      <c r="H1712" s="82"/>
      <c r="K1712" s="82"/>
      <c r="P1712" s="82"/>
    </row>
    <row r="1713" spans="1:16">
      <c r="A1713" s="227"/>
      <c r="B1713" s="131" t="s">
        <v>2702</v>
      </c>
      <c r="C1713" s="48">
        <v>92451</v>
      </c>
      <c r="H1713" s="82"/>
      <c r="K1713" s="82"/>
      <c r="P1713" s="82"/>
    </row>
    <row r="1714" spans="1:16">
      <c r="A1714" s="227"/>
      <c r="B1714" s="131" t="s">
        <v>2703</v>
      </c>
      <c r="C1714" s="48">
        <v>93311</v>
      </c>
      <c r="H1714" s="82"/>
      <c r="K1714" s="82"/>
      <c r="P1714" s="82"/>
    </row>
    <row r="1715" spans="1:16">
      <c r="A1715" s="227"/>
      <c r="B1715" s="131" t="s">
        <v>1033</v>
      </c>
      <c r="C1715" s="48">
        <v>93317</v>
      </c>
      <c r="H1715" s="82"/>
      <c r="K1715" s="82"/>
      <c r="P1715" s="82"/>
    </row>
    <row r="1716" spans="1:16">
      <c r="A1716" s="227"/>
      <c r="B1716" s="131" t="s">
        <v>2704</v>
      </c>
      <c r="C1716" s="48">
        <v>90211</v>
      </c>
      <c r="H1716" s="82"/>
      <c r="K1716" s="82"/>
      <c r="P1716" s="82"/>
    </row>
    <row r="1717" spans="1:16">
      <c r="A1717" s="227"/>
      <c r="B1717" s="131" t="s">
        <v>2705</v>
      </c>
      <c r="C1717" s="48">
        <v>96302</v>
      </c>
      <c r="H1717" s="82"/>
      <c r="K1717" s="82"/>
      <c r="P1717" s="82"/>
    </row>
    <row r="1718" spans="1:16">
      <c r="A1718" s="227"/>
      <c r="B1718" s="131" t="s">
        <v>2706</v>
      </c>
      <c r="C1718" s="48">
        <v>93181</v>
      </c>
      <c r="H1718" s="82"/>
      <c r="K1718" s="82"/>
      <c r="P1718" s="82"/>
    </row>
    <row r="1719" spans="1:16">
      <c r="A1719" s="227"/>
      <c r="B1719" s="131" t="s">
        <v>2017</v>
      </c>
      <c r="C1719" s="48">
        <v>92911</v>
      </c>
      <c r="H1719" s="82"/>
      <c r="K1719" s="82"/>
      <c r="P1719" s="82"/>
    </row>
    <row r="1720" spans="1:16">
      <c r="A1720" s="227"/>
      <c r="B1720" s="131" t="s">
        <v>997</v>
      </c>
      <c r="C1720" s="48">
        <v>92914</v>
      </c>
      <c r="H1720" s="82"/>
      <c r="K1720" s="82"/>
      <c r="P1720" s="82"/>
    </row>
    <row r="1721" spans="1:16">
      <c r="A1721" s="227"/>
      <c r="B1721" s="131" t="s">
        <v>996</v>
      </c>
      <c r="C1721" s="48">
        <v>92913</v>
      </c>
      <c r="H1721" s="82"/>
      <c r="K1721" s="82"/>
      <c r="P1721" s="82"/>
    </row>
    <row r="1722" spans="1:16">
      <c r="A1722" s="227"/>
      <c r="B1722" s="131" t="s">
        <v>2707</v>
      </c>
      <c r="C1722" s="48">
        <v>93471</v>
      </c>
      <c r="H1722" s="82"/>
      <c r="K1722" s="82"/>
      <c r="P1722" s="82"/>
    </row>
    <row r="1723" spans="1:16">
      <c r="A1723" s="227"/>
      <c r="B1723" s="131" t="s">
        <v>736</v>
      </c>
      <c r="C1723" s="48">
        <v>90098</v>
      </c>
      <c r="H1723" s="82"/>
      <c r="K1723" s="82"/>
      <c r="P1723" s="82"/>
    </row>
    <row r="1724" spans="1:16">
      <c r="A1724" s="227"/>
      <c r="B1724" s="131" t="s">
        <v>2708</v>
      </c>
      <c r="C1724" s="48">
        <v>97121</v>
      </c>
      <c r="H1724" s="82"/>
      <c r="K1724" s="82"/>
      <c r="P1724" s="82"/>
    </row>
    <row r="1725" spans="1:16">
      <c r="A1725" s="227"/>
      <c r="B1725" s="131" t="s">
        <v>1516</v>
      </c>
      <c r="C1725" s="48">
        <v>98801</v>
      </c>
      <c r="H1725" s="82"/>
      <c r="K1725" s="82"/>
      <c r="P1725" s="82"/>
    </row>
    <row r="1726" spans="1:16">
      <c r="A1726" s="227"/>
      <c r="B1726" s="131" t="s">
        <v>2709</v>
      </c>
      <c r="C1726" s="48">
        <v>92521</v>
      </c>
      <c r="H1726" s="82"/>
      <c r="K1726" s="82"/>
      <c r="P1726" s="82"/>
    </row>
    <row r="1727" spans="1:16">
      <c r="A1727" s="227"/>
      <c r="B1727" s="131" t="s">
        <v>1046</v>
      </c>
      <c r="C1727" s="48">
        <v>93417</v>
      </c>
      <c r="H1727" s="82"/>
      <c r="K1727" s="82"/>
      <c r="P1727" s="82"/>
    </row>
    <row r="1728" spans="1:16">
      <c r="A1728" s="227"/>
      <c r="B1728" s="131" t="s">
        <v>1027</v>
      </c>
      <c r="C1728" s="48">
        <v>93219</v>
      </c>
      <c r="H1728" s="82"/>
      <c r="K1728" s="82"/>
      <c r="P1728" s="82"/>
    </row>
    <row r="1729" spans="1:16">
      <c r="A1729" s="227"/>
      <c r="B1729" s="131" t="s">
        <v>961</v>
      </c>
      <c r="C1729" s="48">
        <v>92513</v>
      </c>
      <c r="H1729" s="82"/>
      <c r="K1729" s="82"/>
      <c r="P1729" s="82"/>
    </row>
    <row r="1730" spans="1:16">
      <c r="A1730" s="227"/>
      <c r="B1730" s="131" t="s">
        <v>2018</v>
      </c>
      <c r="C1730" s="48">
        <v>97661</v>
      </c>
      <c r="H1730" s="82"/>
      <c r="K1730" s="82"/>
      <c r="P1730" s="82"/>
    </row>
    <row r="1731" spans="1:16">
      <c r="A1731" s="227"/>
      <c r="B1731" s="131" t="s">
        <v>2710</v>
      </c>
      <c r="C1731" s="48">
        <v>94931</v>
      </c>
      <c r="H1731" s="82"/>
      <c r="K1731" s="82"/>
      <c r="P1731" s="82"/>
    </row>
    <row r="1732" spans="1:16">
      <c r="A1732" s="227"/>
      <c r="B1732" s="256" t="s">
        <v>2711</v>
      </c>
      <c r="C1732" s="48">
        <v>94937</v>
      </c>
      <c r="H1732" s="82"/>
      <c r="K1732" s="82"/>
      <c r="P1732" s="82"/>
    </row>
    <row r="1733" spans="1:16">
      <c r="A1733" s="227"/>
      <c r="B1733" s="131" t="s">
        <v>2712</v>
      </c>
      <c r="C1733" s="48">
        <v>96221</v>
      </c>
      <c r="H1733" s="82"/>
      <c r="K1733" s="82"/>
      <c r="P1733" s="82"/>
    </row>
    <row r="1734" spans="1:16">
      <c r="A1734" s="227"/>
      <c r="B1734" s="131" t="s">
        <v>2713</v>
      </c>
      <c r="C1734" s="48">
        <v>97511</v>
      </c>
      <c r="H1734" s="82"/>
      <c r="K1734" s="82"/>
      <c r="P1734" s="82"/>
    </row>
    <row r="1735" spans="1:16">
      <c r="A1735" s="227"/>
      <c r="B1735" s="131" t="s">
        <v>1183</v>
      </c>
      <c r="C1735" s="48">
        <v>95002</v>
      </c>
      <c r="H1735" s="82"/>
      <c r="K1735" s="82"/>
      <c r="P1735" s="82"/>
    </row>
    <row r="1736" spans="1:16">
      <c r="A1736" s="227"/>
      <c r="B1736" s="131" t="s">
        <v>2714</v>
      </c>
      <c r="C1736" s="48">
        <v>98251</v>
      </c>
      <c r="H1736" s="82"/>
      <c r="K1736" s="82"/>
      <c r="P1736" s="82"/>
    </row>
    <row r="1737" spans="1:16">
      <c r="A1737" s="227"/>
      <c r="B1737" s="131" t="s">
        <v>1519</v>
      </c>
      <c r="C1737" s="48">
        <v>98901</v>
      </c>
      <c r="H1737" s="82"/>
      <c r="K1737" s="82"/>
      <c r="P1737" s="82"/>
    </row>
    <row r="1738" spans="1:16">
      <c r="A1738" s="227"/>
      <c r="B1738" s="131" t="s">
        <v>2789</v>
      </c>
      <c r="C1738" s="48">
        <v>98904</v>
      </c>
      <c r="H1738" s="82"/>
      <c r="K1738" s="82"/>
      <c r="P1738" s="82"/>
    </row>
    <row r="1739" spans="1:16">
      <c r="A1739" s="227"/>
      <c r="B1739" s="131" t="s">
        <v>1522</v>
      </c>
      <c r="C1739" s="48">
        <v>99001</v>
      </c>
      <c r="H1739" s="82"/>
      <c r="K1739" s="82"/>
      <c r="P1739" s="82"/>
    </row>
    <row r="1740" spans="1:16">
      <c r="A1740" s="227"/>
      <c r="B1740" s="131" t="s">
        <v>2752</v>
      </c>
      <c r="C1740" s="48">
        <v>99061</v>
      </c>
      <c r="H1740" s="82"/>
      <c r="K1740" s="82"/>
      <c r="P1740" s="82"/>
    </row>
    <row r="1741" spans="1:16">
      <c r="A1741" s="227"/>
      <c r="B1741" s="131" t="s">
        <v>1031</v>
      </c>
      <c r="C1741" s="48">
        <v>93309</v>
      </c>
      <c r="H1741" s="82"/>
      <c r="K1741" s="82"/>
      <c r="P1741" s="82"/>
    </row>
    <row r="1742" spans="1:16">
      <c r="A1742" s="227"/>
      <c r="B1742" s="131" t="s">
        <v>2715</v>
      </c>
      <c r="C1742" s="48">
        <v>91211</v>
      </c>
      <c r="H1742" s="82"/>
      <c r="K1742" s="82"/>
      <c r="P1742" s="82"/>
    </row>
    <row r="1743" spans="1:16">
      <c r="A1743" s="227"/>
      <c r="B1743" s="252" t="s">
        <v>1934</v>
      </c>
      <c r="C1743" s="48">
        <v>94947</v>
      </c>
      <c r="H1743" s="82"/>
      <c r="K1743" s="82"/>
      <c r="P1743" s="82"/>
    </row>
    <row r="1744" spans="1:16">
      <c r="A1744" s="227"/>
      <c r="B1744" s="131" t="s">
        <v>853</v>
      </c>
      <c r="C1744" s="48">
        <v>91213</v>
      </c>
      <c r="H1744" s="82"/>
      <c r="K1744" s="82"/>
      <c r="P1744" s="82"/>
    </row>
    <row r="1745" spans="1:16">
      <c r="A1745" s="227"/>
      <c r="B1745" s="131" t="s">
        <v>1536</v>
      </c>
      <c r="C1745" s="48">
        <v>99101</v>
      </c>
      <c r="H1745" s="82"/>
      <c r="K1745" s="82"/>
      <c r="P1745" s="82"/>
    </row>
    <row r="1746" spans="1:16">
      <c r="A1746" s="227"/>
      <c r="B1746" s="131" t="s">
        <v>2788</v>
      </c>
      <c r="C1746" s="48">
        <v>99104</v>
      </c>
      <c r="H1746" s="82"/>
      <c r="K1746" s="82"/>
      <c r="P1746" s="82"/>
    </row>
    <row r="1747" spans="1:16">
      <c r="A1747" s="227"/>
      <c r="B1747" s="131" t="s">
        <v>2716</v>
      </c>
      <c r="C1747" s="48">
        <v>92551</v>
      </c>
      <c r="H1747" s="82"/>
      <c r="K1747" s="82"/>
      <c r="P1747" s="82"/>
    </row>
    <row r="1748" spans="1:16">
      <c r="A1748" s="227"/>
      <c r="B1748" s="131" t="s">
        <v>2717</v>
      </c>
      <c r="C1748" s="48">
        <v>96321</v>
      </c>
      <c r="H1748" s="82"/>
      <c r="K1748" s="82"/>
      <c r="P1748" s="82"/>
    </row>
    <row r="1749" spans="1:16">
      <c r="A1749" s="227"/>
      <c r="B1749" s="131" t="s">
        <v>1186</v>
      </c>
      <c r="C1749" s="48">
        <v>95009</v>
      </c>
      <c r="H1749" s="82"/>
      <c r="K1749" s="82"/>
      <c r="P1749" s="82"/>
    </row>
    <row r="1750" spans="1:16">
      <c r="A1750" s="227"/>
      <c r="B1750" s="131" t="s">
        <v>2718</v>
      </c>
      <c r="C1750" s="48">
        <v>92641</v>
      </c>
      <c r="H1750" s="82"/>
      <c r="K1750" s="82"/>
      <c r="P1750" s="82"/>
    </row>
    <row r="1751" spans="1:16">
      <c r="A1751" s="227"/>
      <c r="B1751" s="131" t="s">
        <v>2719</v>
      </c>
      <c r="C1751" s="227">
        <v>90411</v>
      </c>
      <c r="H1751" s="82"/>
      <c r="K1751" s="82"/>
      <c r="P1751" s="82"/>
    </row>
    <row r="1752" spans="1:16">
      <c r="A1752" s="227"/>
      <c r="B1752" s="131" t="s">
        <v>758</v>
      </c>
      <c r="C1752" s="48">
        <v>90417</v>
      </c>
      <c r="H1752" s="82"/>
      <c r="K1752" s="82"/>
      <c r="P1752" s="82"/>
    </row>
    <row r="1753" spans="1:16">
      <c r="A1753" s="227"/>
      <c r="B1753" s="131" t="s">
        <v>757</v>
      </c>
      <c r="C1753" s="48">
        <v>90413</v>
      </c>
      <c r="H1753" s="82"/>
      <c r="K1753" s="82"/>
      <c r="P1753" s="82"/>
    </row>
    <row r="1754" spans="1:16">
      <c r="A1754" s="227"/>
      <c r="B1754" s="131" t="s">
        <v>2720</v>
      </c>
      <c r="C1754" s="48">
        <v>98321</v>
      </c>
      <c r="H1754" s="82"/>
      <c r="K1754" s="82"/>
      <c r="P1754" s="82"/>
    </row>
    <row r="1755" spans="1:16">
      <c r="A1755" s="227"/>
      <c r="B1755" s="131" t="s">
        <v>1541</v>
      </c>
      <c r="C1755" s="51">
        <v>99201</v>
      </c>
      <c r="H1755" s="82"/>
      <c r="K1755" s="82"/>
      <c r="P1755" s="82"/>
    </row>
    <row r="1756" spans="1:16">
      <c r="A1756" s="227"/>
      <c r="B1756" s="131" t="s">
        <v>1544</v>
      </c>
      <c r="C1756" s="48">
        <v>99204</v>
      </c>
      <c r="H1756" s="82"/>
      <c r="K1756" s="82"/>
      <c r="P1756" s="82"/>
    </row>
    <row r="1757" spans="1:16">
      <c r="A1757" s="227"/>
      <c r="B1757" s="131" t="s">
        <v>1546</v>
      </c>
      <c r="C1757" s="48">
        <v>99207</v>
      </c>
      <c r="H1757" s="82"/>
      <c r="K1757" s="82"/>
      <c r="P1757" s="82"/>
    </row>
    <row r="1758" spans="1:16">
      <c r="A1758" s="227"/>
      <c r="B1758" s="131" t="s">
        <v>2721</v>
      </c>
      <c r="C1758" s="227">
        <v>99281</v>
      </c>
      <c r="H1758" s="82"/>
      <c r="K1758" s="82"/>
      <c r="P1758" s="82"/>
    </row>
    <row r="1759" spans="1:16">
      <c r="A1759" s="227"/>
      <c r="B1759" s="131" t="s">
        <v>2722</v>
      </c>
      <c r="C1759" s="48">
        <v>93461</v>
      </c>
      <c r="H1759" s="82"/>
      <c r="K1759" s="82"/>
      <c r="P1759" s="82"/>
    </row>
    <row r="1760" spans="1:16">
      <c r="A1760" s="227"/>
      <c r="B1760" s="131" t="s">
        <v>2723</v>
      </c>
      <c r="C1760" s="48">
        <v>93151</v>
      </c>
      <c r="H1760" s="82"/>
      <c r="K1760" s="82"/>
      <c r="P1760" s="82"/>
    </row>
    <row r="1761" spans="1:16">
      <c r="A1761" s="227"/>
      <c r="B1761" s="131" t="s">
        <v>1016</v>
      </c>
      <c r="C1761" s="48">
        <v>93157</v>
      </c>
      <c r="H1761" s="82"/>
      <c r="K1761" s="82"/>
      <c r="P1761" s="82"/>
    </row>
    <row r="1762" spans="1:16">
      <c r="A1762" s="227"/>
      <c r="B1762" s="131" t="s">
        <v>2724</v>
      </c>
      <c r="C1762" s="48">
        <v>98511</v>
      </c>
      <c r="H1762" s="82"/>
      <c r="K1762" s="82"/>
      <c r="P1762" s="82"/>
    </row>
    <row r="1763" spans="1:16">
      <c r="A1763" s="227"/>
      <c r="B1763" s="131" t="s">
        <v>1501</v>
      </c>
      <c r="C1763" s="48">
        <v>98517</v>
      </c>
      <c r="H1763" s="82"/>
      <c r="K1763" s="82"/>
      <c r="P1763" s="82"/>
    </row>
    <row r="1764" spans="1:16">
      <c r="A1764" s="227"/>
      <c r="B1764" s="131" t="s">
        <v>2725</v>
      </c>
      <c r="C1764" s="48">
        <v>99661</v>
      </c>
      <c r="H1764" s="82"/>
      <c r="K1764" s="82"/>
      <c r="P1764" s="82"/>
    </row>
    <row r="1765" spans="1:16">
      <c r="A1765" s="227"/>
      <c r="B1765" s="131" t="s">
        <v>2726</v>
      </c>
      <c r="C1765" s="227">
        <v>94031</v>
      </c>
      <c r="H1765" s="82"/>
      <c r="K1765" s="82"/>
      <c r="P1765" s="82"/>
    </row>
    <row r="1766" spans="1:16">
      <c r="A1766" s="227"/>
      <c r="B1766" s="131" t="s">
        <v>1563</v>
      </c>
      <c r="C1766" s="48">
        <v>99301</v>
      </c>
      <c r="H1766" s="82"/>
      <c r="K1766" s="82"/>
      <c r="P1766" s="82"/>
    </row>
    <row r="1767" spans="1:16">
      <c r="A1767" s="227"/>
      <c r="B1767" s="131" t="s">
        <v>1564</v>
      </c>
      <c r="C1767" s="48">
        <v>99304</v>
      </c>
      <c r="H1767" s="82"/>
      <c r="K1767" s="82"/>
      <c r="P1767" s="82"/>
    </row>
    <row r="1768" spans="1:16">
      <c r="A1768" s="227"/>
      <c r="B1768" s="131" t="s">
        <v>2727</v>
      </c>
      <c r="C1768" s="48">
        <v>99321</v>
      </c>
      <c r="H1768" s="82"/>
      <c r="K1768" s="82"/>
      <c r="P1768" s="82"/>
    </row>
    <row r="1769" spans="1:16">
      <c r="A1769" s="227"/>
      <c r="B1769" s="131" t="s">
        <v>2728</v>
      </c>
      <c r="C1769" s="48">
        <v>93131</v>
      </c>
      <c r="H1769" s="82"/>
      <c r="K1769" s="82"/>
      <c r="P1769" s="82"/>
    </row>
    <row r="1770" spans="1:16">
      <c r="A1770" s="227"/>
      <c r="B1770" s="131" t="s">
        <v>1013</v>
      </c>
      <c r="C1770" s="48">
        <v>93137</v>
      </c>
      <c r="H1770" s="82"/>
      <c r="K1770" s="82"/>
      <c r="P1770" s="82"/>
    </row>
    <row r="1771" spans="1:16">
      <c r="A1771" s="227"/>
      <c r="B1771" s="131" t="s">
        <v>2019</v>
      </c>
      <c r="C1771" s="48">
        <v>90711</v>
      </c>
      <c r="H1771" s="82"/>
      <c r="K1771" s="82"/>
      <c r="P1771" s="82"/>
    </row>
    <row r="1772" spans="1:16">
      <c r="A1772" s="227"/>
      <c r="B1772" s="131" t="s">
        <v>1567</v>
      </c>
      <c r="C1772" s="48">
        <v>99401</v>
      </c>
      <c r="H1772" s="82"/>
      <c r="K1772" s="82"/>
      <c r="P1772" s="82"/>
    </row>
    <row r="1773" spans="1:16">
      <c r="A1773" s="227"/>
      <c r="B1773" s="131" t="s">
        <v>1568</v>
      </c>
      <c r="C1773" s="48">
        <v>99404</v>
      </c>
      <c r="H1773" s="82"/>
      <c r="K1773" s="82"/>
      <c r="P1773" s="82"/>
    </row>
    <row r="1774" spans="1:16">
      <c r="A1774" s="227"/>
      <c r="B1774" s="131" t="s">
        <v>2729</v>
      </c>
      <c r="C1774" s="48">
        <v>90741</v>
      </c>
      <c r="H1774" s="82"/>
      <c r="K1774" s="82"/>
      <c r="P1774" s="82"/>
    </row>
    <row r="1775" spans="1:16">
      <c r="A1775" s="227"/>
      <c r="B1775" s="131" t="s">
        <v>1574</v>
      </c>
      <c r="C1775" s="48">
        <v>99501</v>
      </c>
      <c r="H1775" s="82"/>
      <c r="K1775" s="82"/>
      <c r="P1775" s="82"/>
    </row>
    <row r="1776" spans="1:16">
      <c r="A1776" s="227"/>
      <c r="B1776" s="131" t="s">
        <v>1577</v>
      </c>
      <c r="C1776" s="48">
        <v>99509</v>
      </c>
      <c r="H1776" s="82"/>
      <c r="K1776" s="82"/>
      <c r="P1776" s="82"/>
    </row>
    <row r="1777" spans="1:16">
      <c r="A1777" s="227"/>
      <c r="B1777" s="131" t="s">
        <v>2787</v>
      </c>
      <c r="C1777" s="48">
        <v>91302</v>
      </c>
      <c r="H1777" s="82"/>
      <c r="K1777" s="82"/>
      <c r="P1777" s="82"/>
    </row>
    <row r="1778" spans="1:16">
      <c r="A1778" s="227"/>
      <c r="B1778" s="131" t="s">
        <v>2730</v>
      </c>
      <c r="C1778" s="48">
        <v>99041</v>
      </c>
      <c r="H1778" s="82"/>
      <c r="K1778" s="82"/>
      <c r="P1778" s="82"/>
    </row>
    <row r="1779" spans="1:16">
      <c r="A1779" s="227"/>
      <c r="B1779" s="131" t="s">
        <v>1530</v>
      </c>
      <c r="C1779" s="48">
        <v>99047</v>
      </c>
      <c r="H1779" s="82"/>
      <c r="K1779" s="82"/>
      <c r="P1779" s="82"/>
    </row>
    <row r="1780" spans="1:16">
      <c r="A1780" s="227"/>
      <c r="B1780" s="131" t="s">
        <v>1582</v>
      </c>
      <c r="C1780" s="48">
        <v>99601</v>
      </c>
      <c r="H1780" s="82"/>
      <c r="K1780" s="82"/>
      <c r="P1780" s="82"/>
    </row>
    <row r="1781" spans="1:16">
      <c r="A1781" s="227"/>
      <c r="B1781" s="131" t="s">
        <v>1585</v>
      </c>
      <c r="C1781" s="48">
        <v>99604</v>
      </c>
      <c r="H1781" s="82"/>
      <c r="K1781" s="82"/>
      <c r="P1781" s="82"/>
    </row>
    <row r="1782" spans="1:16">
      <c r="A1782" s="227"/>
      <c r="B1782" s="131" t="s">
        <v>2731</v>
      </c>
      <c r="C1782" s="48">
        <v>94411</v>
      </c>
      <c r="H1782" s="82"/>
      <c r="K1782" s="82"/>
      <c r="P1782" s="82"/>
    </row>
    <row r="1783" spans="1:16">
      <c r="A1783" s="227"/>
      <c r="B1783" s="131" t="s">
        <v>1143</v>
      </c>
      <c r="C1783" s="48">
        <v>94412</v>
      </c>
      <c r="H1783" s="82"/>
      <c r="K1783" s="82"/>
      <c r="P1783" s="82"/>
    </row>
    <row r="1784" spans="1:16">
      <c r="A1784" s="227"/>
      <c r="B1784" s="131" t="s">
        <v>2732</v>
      </c>
      <c r="C1784" s="48">
        <v>91141</v>
      </c>
      <c r="H1784" s="82"/>
      <c r="K1784" s="82"/>
      <c r="P1784" s="82"/>
    </row>
    <row r="1785" spans="1:16">
      <c r="A1785" s="227"/>
      <c r="B1785" s="131" t="s">
        <v>842</v>
      </c>
      <c r="C1785" s="48">
        <v>91147</v>
      </c>
      <c r="H1785" s="82"/>
      <c r="K1785" s="82"/>
      <c r="P1785" s="82"/>
    </row>
    <row r="1786" spans="1:16">
      <c r="A1786" s="227"/>
      <c r="B1786" s="131" t="s">
        <v>2733</v>
      </c>
      <c r="C1786" s="48">
        <v>99071</v>
      </c>
      <c r="H1786" s="82"/>
      <c r="K1786" s="82"/>
      <c r="P1786" s="82"/>
    </row>
    <row r="1787" spans="1:16">
      <c r="A1787" s="227"/>
      <c r="B1787" s="131" t="s">
        <v>2734</v>
      </c>
      <c r="C1787" s="48">
        <v>94231</v>
      </c>
      <c r="H1787" s="82"/>
      <c r="K1787" s="82"/>
      <c r="P1787" s="82"/>
    </row>
    <row r="1788" spans="1:16">
      <c r="A1788" s="227"/>
      <c r="B1788" s="131" t="s">
        <v>2735</v>
      </c>
      <c r="C1788" s="48">
        <v>99231</v>
      </c>
      <c r="H1788" s="82"/>
      <c r="K1788" s="82"/>
      <c r="P1788" s="82"/>
    </row>
    <row r="1789" spans="1:16">
      <c r="A1789" s="227"/>
      <c r="B1789" s="131" t="s">
        <v>2736</v>
      </c>
      <c r="C1789" s="48">
        <v>99091</v>
      </c>
      <c r="H1789" s="82"/>
      <c r="K1789" s="82"/>
      <c r="P1789" s="82"/>
    </row>
    <row r="1790" spans="1:16">
      <c r="A1790" s="227"/>
      <c r="B1790" s="131" t="s">
        <v>836</v>
      </c>
      <c r="C1790" s="227">
        <v>91120</v>
      </c>
      <c r="H1790" s="82"/>
      <c r="K1790" s="82"/>
      <c r="P1790" s="82"/>
    </row>
    <row r="1791" spans="1:16">
      <c r="A1791" s="227"/>
      <c r="B1791" s="131" t="s">
        <v>950</v>
      </c>
      <c r="C1791" s="48">
        <v>92444</v>
      </c>
      <c r="H1791" s="82"/>
      <c r="K1791" s="82"/>
      <c r="P1791" s="82"/>
    </row>
    <row r="1792" spans="1:16">
      <c r="A1792" s="227"/>
      <c r="B1792" s="131" t="s">
        <v>2737</v>
      </c>
      <c r="C1792" s="48">
        <v>90521</v>
      </c>
      <c r="H1792" s="82"/>
      <c r="K1792" s="82"/>
      <c r="P1792" s="82"/>
    </row>
    <row r="1793" spans="1:16">
      <c r="A1793" s="227"/>
      <c r="B1793" s="131" t="s">
        <v>34</v>
      </c>
      <c r="C1793" s="48">
        <v>90507</v>
      </c>
      <c r="H1793" s="82"/>
      <c r="K1793" s="82"/>
      <c r="P1793" s="82"/>
    </row>
    <row r="1794" spans="1:16">
      <c r="A1794" s="227"/>
      <c r="B1794" s="131" t="s">
        <v>969</v>
      </c>
      <c r="C1794" s="48">
        <v>92602</v>
      </c>
      <c r="H1794" s="82"/>
      <c r="K1794" s="82"/>
      <c r="P1794" s="82"/>
    </row>
    <row r="1795" spans="1:16">
      <c r="A1795" s="227"/>
      <c r="B1795" s="131" t="s">
        <v>886</v>
      </c>
      <c r="C1795" s="48">
        <v>91608</v>
      </c>
      <c r="H1795" s="82"/>
      <c r="K1795" s="82"/>
      <c r="P1795" s="82"/>
    </row>
    <row r="1796" spans="1:16">
      <c r="A1796" s="227"/>
      <c r="B1796" s="131" t="s">
        <v>48</v>
      </c>
      <c r="C1796" s="227">
        <v>91119</v>
      </c>
      <c r="H1796" s="82"/>
      <c r="K1796" s="82"/>
      <c r="P1796" s="82"/>
    </row>
    <row r="1797" spans="1:16">
      <c r="A1797" s="227"/>
      <c r="B1797" s="131" t="s">
        <v>832</v>
      </c>
      <c r="C1797" s="48">
        <v>91107</v>
      </c>
      <c r="H1797" s="82"/>
      <c r="K1797" s="82"/>
      <c r="P1797" s="82"/>
    </row>
    <row r="1798" spans="1:16">
      <c r="A1798" s="227"/>
      <c r="B1798" s="131" t="s">
        <v>2786</v>
      </c>
      <c r="C1798" s="48">
        <v>91818</v>
      </c>
      <c r="H1798" s="82"/>
      <c r="K1798" s="82"/>
      <c r="P1798" s="82"/>
    </row>
    <row r="1799" spans="1:16">
      <c r="A1799" s="227"/>
      <c r="B1799" s="131" t="s">
        <v>907</v>
      </c>
      <c r="C1799" s="48">
        <v>91819</v>
      </c>
      <c r="H1799" s="82"/>
      <c r="K1799" s="82"/>
      <c r="P1799" s="82"/>
    </row>
    <row r="1800" spans="1:16">
      <c r="A1800" s="227"/>
      <c r="B1800" s="131" t="s">
        <v>2738</v>
      </c>
      <c r="C1800" s="48">
        <v>96371</v>
      </c>
      <c r="H1800" s="82"/>
      <c r="K1800" s="82"/>
      <c r="P1800" s="82"/>
    </row>
    <row r="1801" spans="1:16">
      <c r="A1801" s="227"/>
      <c r="B1801" s="131" t="s">
        <v>2739</v>
      </c>
      <c r="C1801" s="48">
        <v>96441</v>
      </c>
      <c r="H1801" s="82"/>
      <c r="K1801" s="82"/>
      <c r="P1801" s="82"/>
    </row>
    <row r="1802" spans="1:16">
      <c r="A1802" s="227"/>
      <c r="B1802" s="131" t="s">
        <v>2740</v>
      </c>
      <c r="C1802" s="48">
        <v>90921</v>
      </c>
      <c r="H1802" s="82"/>
      <c r="K1802" s="82"/>
      <c r="P1802" s="82"/>
    </row>
    <row r="1803" spans="1:16">
      <c r="A1803" s="227"/>
      <c r="B1803" s="131" t="s">
        <v>2020</v>
      </c>
      <c r="C1803" s="48">
        <v>92411</v>
      </c>
      <c r="H1803" s="82"/>
      <c r="K1803" s="82"/>
      <c r="P1803" s="82"/>
    </row>
    <row r="1804" spans="1:16">
      <c r="A1804" s="227"/>
      <c r="B1804" s="131" t="s">
        <v>945</v>
      </c>
      <c r="C1804" s="48">
        <v>92417</v>
      </c>
      <c r="H1804" s="82"/>
      <c r="K1804" s="82"/>
      <c r="P1804" s="82"/>
    </row>
    <row r="1805" spans="1:16">
      <c r="A1805" s="227"/>
      <c r="B1805" s="131" t="s">
        <v>943</v>
      </c>
      <c r="C1805" s="48">
        <v>92403</v>
      </c>
      <c r="H1805" s="82"/>
      <c r="K1805" s="82"/>
      <c r="P1805" s="82"/>
    </row>
    <row r="1806" spans="1:16">
      <c r="A1806" s="227"/>
      <c r="B1806" s="131" t="s">
        <v>1595</v>
      </c>
      <c r="C1806" s="48">
        <v>99701</v>
      </c>
      <c r="H1806" s="82"/>
      <c r="K1806" s="82"/>
      <c r="P1806" s="82"/>
    </row>
    <row r="1807" spans="1:16">
      <c r="A1807" s="227"/>
      <c r="B1807" s="131" t="s">
        <v>2741</v>
      </c>
      <c r="C1807" s="48">
        <v>99721</v>
      </c>
      <c r="H1807" s="82"/>
      <c r="K1807" s="82"/>
      <c r="P1807" s="82"/>
    </row>
    <row r="1808" spans="1:16">
      <c r="A1808" s="227"/>
      <c r="B1808" s="131" t="s">
        <v>1600</v>
      </c>
      <c r="C1808" s="48">
        <v>99727</v>
      </c>
      <c r="H1808" s="82"/>
      <c r="K1808" s="82"/>
      <c r="P1808" s="82"/>
    </row>
    <row r="1809" spans="1:16">
      <c r="A1809" s="227"/>
      <c r="B1809" s="131" t="s">
        <v>2742</v>
      </c>
      <c r="C1809" s="48">
        <v>95811</v>
      </c>
      <c r="H1809" s="82"/>
      <c r="K1809" s="82"/>
      <c r="P1809" s="82"/>
    </row>
    <row r="1810" spans="1:16">
      <c r="A1810" s="227"/>
      <c r="B1810" s="131" t="s">
        <v>1242</v>
      </c>
      <c r="C1810" s="48">
        <v>95813</v>
      </c>
      <c r="H1810" s="82"/>
      <c r="K1810" s="82"/>
      <c r="P1810" s="82"/>
    </row>
    <row r="1811" spans="1:16">
      <c r="A1811" s="227"/>
      <c r="B1811" s="131" t="s">
        <v>2021</v>
      </c>
      <c r="C1811" s="48">
        <v>96531</v>
      </c>
      <c r="H1811" s="82"/>
      <c r="K1811" s="82"/>
      <c r="P1811" s="82"/>
    </row>
    <row r="1812" spans="1:16">
      <c r="A1812" s="227"/>
      <c r="B1812" s="131" t="s">
        <v>1307</v>
      </c>
      <c r="C1812" s="48">
        <v>96503</v>
      </c>
      <c r="H1812" s="82"/>
      <c r="K1812" s="82"/>
      <c r="P1812" s="82"/>
    </row>
    <row r="1813" spans="1:16">
      <c r="A1813" s="227"/>
      <c r="B1813" s="131" t="s">
        <v>2022</v>
      </c>
      <c r="C1813" s="48">
        <v>99811</v>
      </c>
      <c r="H1813" s="82"/>
      <c r="K1813" s="82"/>
      <c r="P1813" s="82"/>
    </row>
    <row r="1814" spans="1:16">
      <c r="A1814" s="227"/>
      <c r="B1814" s="131" t="s">
        <v>2023</v>
      </c>
      <c r="C1814" s="51">
        <v>99818</v>
      </c>
      <c r="H1814" s="82"/>
      <c r="K1814" s="82"/>
      <c r="P1814" s="82"/>
    </row>
    <row r="1815" spans="1:16">
      <c r="A1815" s="227"/>
      <c r="B1815" s="131" t="s">
        <v>1601</v>
      </c>
      <c r="C1815" s="48">
        <v>99801</v>
      </c>
      <c r="H1815" s="82"/>
      <c r="K1815" s="82"/>
      <c r="P1815" s="82"/>
    </row>
    <row r="1816" spans="1:16">
      <c r="A1816" s="227"/>
      <c r="B1816" s="131" t="s">
        <v>1603</v>
      </c>
      <c r="C1816" s="48">
        <v>99804</v>
      </c>
      <c r="H1816" s="82"/>
      <c r="K1816" s="82"/>
      <c r="P1816" s="82"/>
    </row>
    <row r="1817" spans="1:16">
      <c r="A1817" s="227"/>
      <c r="B1817" s="131" t="s">
        <v>2773</v>
      </c>
      <c r="C1817" s="48">
        <v>99802</v>
      </c>
      <c r="H1817" s="82"/>
      <c r="K1817" s="82"/>
      <c r="P1817" s="82"/>
    </row>
    <row r="1818" spans="1:16">
      <c r="A1818" s="227"/>
      <c r="B1818" s="131" t="s">
        <v>1605</v>
      </c>
      <c r="C1818" s="51">
        <v>99812</v>
      </c>
      <c r="H1818" s="82"/>
      <c r="K1818" s="82"/>
      <c r="P1818" s="82"/>
    </row>
    <row r="1819" spans="1:16">
      <c r="A1819" s="227"/>
      <c r="B1819" s="131" t="s">
        <v>2743</v>
      </c>
      <c r="C1819" s="48">
        <v>95191</v>
      </c>
      <c r="H1819" s="82"/>
      <c r="K1819" s="82"/>
      <c r="P1819" s="82"/>
    </row>
    <row r="1820" spans="1:16">
      <c r="A1820" s="227"/>
      <c r="B1820" s="131" t="s">
        <v>2744</v>
      </c>
      <c r="C1820" s="48">
        <v>90812</v>
      </c>
      <c r="H1820" s="82"/>
      <c r="K1820" s="82"/>
      <c r="P1820" s="82"/>
    </row>
    <row r="1821" spans="1:16">
      <c r="A1821" s="227"/>
      <c r="B1821" s="131" t="s">
        <v>2745</v>
      </c>
      <c r="C1821" s="48">
        <v>97221</v>
      </c>
      <c r="H1821" s="82"/>
      <c r="K1821" s="82"/>
      <c r="P1821" s="82"/>
    </row>
    <row r="1822" spans="1:16">
      <c r="A1822" s="227"/>
      <c r="B1822" s="131" t="s">
        <v>2746</v>
      </c>
      <c r="C1822" s="48">
        <v>99031</v>
      </c>
      <c r="H1822" s="82"/>
      <c r="K1822" s="82"/>
      <c r="P1822" s="82"/>
    </row>
    <row r="1823" spans="1:16">
      <c r="A1823" s="227"/>
      <c r="B1823" s="131" t="s">
        <v>2024</v>
      </c>
      <c r="C1823" s="48">
        <v>93411</v>
      </c>
      <c r="H1823" s="82"/>
      <c r="K1823" s="82"/>
      <c r="P1823" s="82"/>
    </row>
    <row r="1824" spans="1:16">
      <c r="A1824" s="227"/>
      <c r="B1824" s="131" t="s">
        <v>1045</v>
      </c>
      <c r="C1824" s="48">
        <v>93413</v>
      </c>
      <c r="H1824" s="82"/>
      <c r="K1824" s="82"/>
      <c r="P1824" s="82"/>
    </row>
    <row r="1825" spans="1:16">
      <c r="A1825" s="227"/>
      <c r="B1825" s="131" t="s">
        <v>2747</v>
      </c>
      <c r="C1825" s="48">
        <v>97451</v>
      </c>
      <c r="H1825" s="82"/>
      <c r="K1825" s="82"/>
      <c r="P1825" s="82"/>
    </row>
    <row r="1826" spans="1:16">
      <c r="A1826" s="227"/>
      <c r="B1826" s="131" t="s">
        <v>2748</v>
      </c>
      <c r="C1826" s="48">
        <v>94631</v>
      </c>
      <c r="H1826" s="82"/>
      <c r="K1826" s="82"/>
      <c r="P1826" s="82"/>
    </row>
    <row r="1827" spans="1:16">
      <c r="A1827" s="227"/>
      <c r="B1827" s="131" t="s">
        <v>2749</v>
      </c>
      <c r="C1827" s="227">
        <v>91171</v>
      </c>
      <c r="H1827" s="82"/>
      <c r="K1827" s="82"/>
      <c r="P1827" s="82"/>
    </row>
    <row r="1828" spans="1:16">
      <c r="A1828" s="227"/>
      <c r="B1828" s="131" t="s">
        <v>831</v>
      </c>
      <c r="C1828" s="227">
        <v>91104</v>
      </c>
      <c r="H1828" s="82"/>
      <c r="K1828" s="82"/>
      <c r="P1828" s="82"/>
    </row>
    <row r="1829" spans="1:16">
      <c r="A1829" s="227"/>
      <c r="B1829" s="131" t="s">
        <v>2785</v>
      </c>
      <c r="C1829" s="227">
        <v>91109</v>
      </c>
      <c r="H1829" s="82"/>
      <c r="K1829" s="82"/>
      <c r="P1829" s="82"/>
    </row>
    <row r="1830" spans="1:16">
      <c r="A1830" s="227"/>
      <c r="B1830" s="131" t="s">
        <v>2750</v>
      </c>
      <c r="C1830" s="227">
        <v>96621</v>
      </c>
      <c r="H1830" s="82"/>
      <c r="K1830" s="82"/>
      <c r="P1830" s="82"/>
    </row>
    <row r="1831" spans="1:16">
      <c r="A1831" s="227"/>
      <c r="B1831" s="131" t="s">
        <v>2498</v>
      </c>
      <c r="C1831" s="227">
        <v>96511</v>
      </c>
      <c r="H1831" s="82"/>
      <c r="K1831" s="82"/>
      <c r="P1831" s="82"/>
    </row>
    <row r="1832" spans="1:16">
      <c r="A1832" s="227"/>
      <c r="B1832" s="131" t="s">
        <v>1611</v>
      </c>
      <c r="C1832" s="51">
        <v>99901</v>
      </c>
      <c r="H1832" s="82"/>
      <c r="K1832" s="82"/>
      <c r="P1832" s="82"/>
    </row>
    <row r="1833" spans="1:16">
      <c r="A1833" s="227"/>
      <c r="B1833" s="131" t="s">
        <v>3521</v>
      </c>
      <c r="C1833" s="227">
        <v>98604</v>
      </c>
      <c r="H1833" s="82"/>
      <c r="K1833" s="82"/>
      <c r="P1833" s="82"/>
    </row>
    <row r="1834" spans="1:16">
      <c r="A1834" s="227"/>
      <c r="B1834" s="131" t="s">
        <v>1506</v>
      </c>
      <c r="C1834" s="227">
        <v>98608</v>
      </c>
      <c r="H1834" s="82"/>
      <c r="K1834" s="82"/>
      <c r="P1834" s="82"/>
    </row>
    <row r="1835" spans="1:16">
      <c r="A1835" s="227"/>
      <c r="B1835" s="131" t="s">
        <v>2497</v>
      </c>
      <c r="C1835" s="51">
        <v>99911</v>
      </c>
      <c r="H1835" s="82"/>
      <c r="K1835" s="82"/>
      <c r="P1835" s="82"/>
    </row>
    <row r="1836" spans="1:16">
      <c r="A1836" s="227"/>
      <c r="B1836" s="131" t="s">
        <v>731</v>
      </c>
      <c r="C1836" s="227">
        <v>90001</v>
      </c>
      <c r="H1836" s="82"/>
      <c r="K1836" s="82"/>
      <c r="P1836" s="82"/>
    </row>
    <row r="1837" spans="1:16">
      <c r="A1837" s="227"/>
      <c r="B1837" s="131" t="s">
        <v>2784</v>
      </c>
      <c r="C1837" s="227">
        <v>90002</v>
      </c>
      <c r="H1837" s="82"/>
      <c r="K1837" s="82"/>
      <c r="P1837" s="82"/>
    </row>
    <row r="1838" spans="1:16">
      <c r="A1838" s="227"/>
      <c r="B1838" s="131" t="s">
        <v>2496</v>
      </c>
      <c r="C1838" s="227">
        <v>91719</v>
      </c>
      <c r="H1838" s="82"/>
      <c r="K1838" s="82"/>
      <c r="P1838" s="82"/>
    </row>
    <row r="1839" spans="1:16">
      <c r="A1839" s="227"/>
      <c r="B1839" s="131" t="s">
        <v>2494</v>
      </c>
      <c r="C1839" s="227">
        <v>93541</v>
      </c>
      <c r="H1839" s="82"/>
      <c r="K1839" s="82"/>
      <c r="P1839" s="82"/>
    </row>
    <row r="1840" spans="1:16">
      <c r="A1840" s="227"/>
      <c r="B1840" s="131" t="s">
        <v>2495</v>
      </c>
      <c r="C1840" s="227">
        <v>99241</v>
      </c>
      <c r="H1840" s="82"/>
      <c r="K1840" s="82"/>
      <c r="P1840" s="82"/>
    </row>
    <row r="1841" spans="1:16">
      <c r="A1841" s="227"/>
      <c r="B1841" s="253"/>
      <c r="H1841" s="82"/>
      <c r="K1841" s="82"/>
      <c r="P1841" s="82"/>
    </row>
    <row r="1842" spans="1:16">
      <c r="B1842" s="253"/>
      <c r="H1842" s="82"/>
      <c r="K1842" s="82"/>
      <c r="P1842" s="82"/>
    </row>
    <row r="1843" spans="1:16">
      <c r="B1843" s="253"/>
      <c r="H1843" s="82"/>
      <c r="K1843" s="82"/>
      <c r="P1843" s="82"/>
    </row>
    <row r="1844" spans="1:16">
      <c r="B1844" s="253"/>
      <c r="H1844" s="82"/>
      <c r="K1844" s="82"/>
      <c r="P1844" s="82"/>
    </row>
    <row r="1845" spans="1:16">
      <c r="B1845" s="253"/>
      <c r="H1845" s="82"/>
      <c r="K1845" s="82"/>
      <c r="P1845" s="82"/>
    </row>
    <row r="1846" spans="1:16">
      <c r="B1846" s="253"/>
      <c r="H1846" s="82"/>
      <c r="K1846" s="82"/>
      <c r="P1846" s="82"/>
    </row>
    <row r="1847" spans="1:16">
      <c r="B1847" s="253"/>
      <c r="H1847" s="82"/>
      <c r="K1847" s="82"/>
      <c r="P1847" s="82"/>
    </row>
    <row r="1848" spans="1:16">
      <c r="B1848" s="253"/>
      <c r="H1848" s="82"/>
      <c r="K1848" s="82"/>
      <c r="P1848" s="82"/>
    </row>
    <row r="1849" spans="1:16">
      <c r="B1849" s="253"/>
      <c r="H1849" s="82"/>
      <c r="K1849" s="82"/>
      <c r="P1849" s="82"/>
    </row>
    <row r="1850" spans="1:16">
      <c r="B1850" s="253"/>
      <c r="H1850" s="82"/>
      <c r="K1850" s="82"/>
      <c r="P1850" s="82"/>
    </row>
    <row r="1851" spans="1:16">
      <c r="B1851" s="253"/>
      <c r="H1851" s="82"/>
      <c r="K1851" s="82"/>
      <c r="P1851" s="82"/>
    </row>
    <row r="1852" spans="1:16">
      <c r="B1852" s="253"/>
      <c r="H1852" s="82"/>
      <c r="K1852" s="82"/>
      <c r="P1852" s="82"/>
    </row>
    <row r="1853" spans="1:16">
      <c r="B1853" s="253"/>
      <c r="H1853" s="82"/>
      <c r="K1853" s="82"/>
      <c r="P1853" s="82"/>
    </row>
    <row r="1854" spans="1:16">
      <c r="B1854" s="253"/>
      <c r="H1854" s="82"/>
      <c r="K1854" s="82"/>
      <c r="P1854" s="82"/>
    </row>
    <row r="1855" spans="1:16">
      <c r="B1855" s="253"/>
      <c r="H1855" s="82"/>
      <c r="K1855" s="82"/>
      <c r="P1855" s="82"/>
    </row>
    <row r="1856" spans="1:16">
      <c r="B1856" s="253"/>
      <c r="H1856" s="82"/>
      <c r="K1856" s="82"/>
      <c r="P1856" s="82"/>
    </row>
    <row r="1857" spans="2:16">
      <c r="B1857" s="253"/>
      <c r="H1857" s="82"/>
      <c r="K1857" s="82"/>
      <c r="P1857" s="82"/>
    </row>
    <row r="1858" spans="2:16">
      <c r="B1858" s="253"/>
      <c r="H1858" s="82"/>
      <c r="K1858" s="82"/>
      <c r="P1858" s="82"/>
    </row>
    <row r="1859" spans="2:16">
      <c r="B1859" s="253"/>
      <c r="H1859" s="82"/>
      <c r="K1859" s="82"/>
      <c r="P1859" s="82"/>
    </row>
    <row r="1860" spans="2:16">
      <c r="B1860" s="253"/>
      <c r="H1860" s="82"/>
      <c r="K1860" s="82"/>
      <c r="P1860" s="82"/>
    </row>
    <row r="1861" spans="2:16">
      <c r="B1861" s="253"/>
      <c r="H1861" s="82"/>
      <c r="K1861" s="82"/>
      <c r="P1861" s="82"/>
    </row>
    <row r="1862" spans="2:16">
      <c r="B1862" s="253"/>
      <c r="H1862" s="82"/>
      <c r="K1862" s="82"/>
      <c r="P1862" s="82"/>
    </row>
    <row r="1863" spans="2:16">
      <c r="B1863" s="253"/>
      <c r="H1863" s="82"/>
      <c r="K1863" s="82"/>
      <c r="P1863" s="82"/>
    </row>
    <row r="1864" spans="2:16">
      <c r="B1864" s="253"/>
      <c r="H1864" s="82"/>
      <c r="K1864" s="82"/>
      <c r="P1864" s="82"/>
    </row>
    <row r="1865" spans="2:16">
      <c r="B1865" s="253"/>
      <c r="H1865" s="82"/>
      <c r="K1865" s="82"/>
      <c r="P1865" s="82"/>
    </row>
    <row r="1866" spans="2:16">
      <c r="B1866" s="253"/>
      <c r="H1866" s="82"/>
      <c r="K1866" s="82"/>
      <c r="P1866" s="82"/>
    </row>
    <row r="1867" spans="2:16">
      <c r="B1867" s="253"/>
      <c r="H1867" s="82"/>
      <c r="K1867" s="82"/>
      <c r="P1867" s="82"/>
    </row>
    <row r="1868" spans="2:16">
      <c r="B1868" s="253"/>
      <c r="H1868" s="82"/>
      <c r="K1868" s="82"/>
      <c r="P1868" s="82"/>
    </row>
    <row r="1869" spans="2:16">
      <c r="B1869" s="253"/>
      <c r="H1869" s="82"/>
      <c r="K1869" s="82"/>
      <c r="P1869" s="82"/>
    </row>
    <row r="1870" spans="2:16">
      <c r="B1870" s="253"/>
      <c r="H1870" s="82"/>
      <c r="K1870" s="82"/>
      <c r="P1870" s="82"/>
    </row>
    <row r="1871" spans="2:16">
      <c r="B1871" s="253"/>
      <c r="H1871" s="82"/>
      <c r="K1871" s="82"/>
      <c r="P1871" s="82"/>
    </row>
    <row r="1872" spans="2:16">
      <c r="B1872" s="253"/>
      <c r="H1872" s="82"/>
      <c r="K1872" s="82"/>
      <c r="P1872" s="82"/>
    </row>
    <row r="1873" spans="2:16">
      <c r="B1873" s="253"/>
      <c r="H1873" s="82"/>
      <c r="K1873" s="82"/>
      <c r="P1873" s="82"/>
    </row>
    <row r="1874" spans="2:16">
      <c r="B1874" s="253"/>
      <c r="H1874" s="82"/>
      <c r="K1874" s="82"/>
      <c r="P1874" s="82"/>
    </row>
    <row r="1875" spans="2:16">
      <c r="B1875" s="253"/>
      <c r="H1875" s="82"/>
      <c r="K1875" s="82"/>
      <c r="P1875" s="82"/>
    </row>
    <row r="1876" spans="2:16">
      <c r="B1876" s="253"/>
      <c r="H1876" s="82"/>
      <c r="K1876" s="82"/>
      <c r="P1876" s="82"/>
    </row>
    <row r="1877" spans="2:16">
      <c r="B1877" s="253"/>
      <c r="H1877" s="82"/>
      <c r="K1877" s="82"/>
      <c r="P1877" s="82"/>
    </row>
    <row r="1878" spans="2:16">
      <c r="B1878" s="253"/>
      <c r="H1878" s="82"/>
      <c r="K1878" s="82"/>
      <c r="P1878" s="82"/>
    </row>
    <row r="1879" spans="2:16">
      <c r="B1879" s="253"/>
      <c r="H1879" s="82"/>
      <c r="K1879" s="82"/>
      <c r="P1879" s="82"/>
    </row>
    <row r="1880" spans="2:16">
      <c r="B1880" s="253"/>
      <c r="H1880" s="82"/>
      <c r="K1880" s="82"/>
      <c r="P1880" s="82"/>
    </row>
    <row r="1881" spans="2:16">
      <c r="B1881" s="253"/>
      <c r="H1881" s="82"/>
      <c r="K1881" s="82"/>
      <c r="P1881" s="82"/>
    </row>
    <row r="1882" spans="2:16">
      <c r="B1882" s="253"/>
      <c r="H1882" s="82"/>
      <c r="K1882" s="82"/>
      <c r="P1882" s="82"/>
    </row>
    <row r="1883" spans="2:16">
      <c r="B1883" s="253"/>
      <c r="H1883" s="82"/>
      <c r="K1883" s="82"/>
      <c r="P1883" s="82"/>
    </row>
    <row r="1884" spans="2:16">
      <c r="B1884" s="253"/>
      <c r="H1884" s="82"/>
      <c r="K1884" s="82"/>
      <c r="P1884" s="82"/>
    </row>
    <row r="1885" spans="2:16">
      <c r="B1885" s="253"/>
      <c r="H1885" s="82"/>
      <c r="K1885" s="82"/>
      <c r="P1885" s="82"/>
    </row>
    <row r="1886" spans="2:16">
      <c r="B1886" s="253"/>
      <c r="H1886" s="82"/>
      <c r="K1886" s="82"/>
      <c r="P1886" s="82"/>
    </row>
    <row r="1887" spans="2:16">
      <c r="B1887" s="253"/>
      <c r="H1887" s="82"/>
      <c r="K1887" s="82"/>
      <c r="P1887" s="82"/>
    </row>
    <row r="1888" spans="2:16">
      <c r="B1888" s="253"/>
      <c r="H1888" s="82"/>
      <c r="K1888" s="82"/>
      <c r="P1888" s="82"/>
    </row>
    <row r="1889" spans="2:16">
      <c r="B1889" s="253"/>
      <c r="H1889" s="82"/>
      <c r="K1889" s="82"/>
      <c r="P1889" s="82"/>
    </row>
    <row r="1890" spans="2:16">
      <c r="B1890" s="253"/>
      <c r="H1890" s="82"/>
      <c r="K1890" s="82"/>
      <c r="P1890" s="82"/>
    </row>
    <row r="1891" spans="2:16">
      <c r="B1891" s="253"/>
      <c r="H1891" s="82"/>
      <c r="K1891" s="82"/>
      <c r="P1891" s="82"/>
    </row>
    <row r="1892" spans="2:16">
      <c r="B1892" s="253"/>
      <c r="H1892" s="82"/>
      <c r="K1892" s="82"/>
      <c r="P1892" s="82"/>
    </row>
    <row r="1893" spans="2:16">
      <c r="B1893" s="253"/>
      <c r="H1893" s="82"/>
      <c r="K1893" s="82"/>
      <c r="P1893" s="82"/>
    </row>
    <row r="1894" spans="2:16">
      <c r="B1894" s="253"/>
      <c r="H1894" s="82"/>
      <c r="K1894" s="82"/>
      <c r="P1894" s="82"/>
    </row>
    <row r="1895" spans="2:16">
      <c r="B1895" s="253"/>
      <c r="H1895" s="82"/>
      <c r="K1895" s="82"/>
      <c r="P1895" s="82"/>
    </row>
    <row r="1896" spans="2:16">
      <c r="B1896" s="253"/>
      <c r="H1896" s="82"/>
      <c r="K1896" s="82"/>
      <c r="P1896" s="82"/>
    </row>
    <row r="1897" spans="2:16">
      <c r="B1897" s="253"/>
      <c r="H1897" s="82"/>
      <c r="K1897" s="82"/>
      <c r="P1897" s="82"/>
    </row>
    <row r="1898" spans="2:16">
      <c r="B1898" s="253"/>
      <c r="H1898" s="82"/>
      <c r="K1898" s="82"/>
      <c r="P1898" s="82"/>
    </row>
    <row r="1899" spans="2:16">
      <c r="B1899" s="253"/>
      <c r="H1899" s="82"/>
      <c r="K1899" s="82"/>
      <c r="P1899" s="82"/>
    </row>
    <row r="1900" spans="2:16">
      <c r="B1900" s="253"/>
      <c r="H1900" s="82"/>
      <c r="K1900" s="82"/>
      <c r="P1900" s="82"/>
    </row>
    <row r="1901" spans="2:16">
      <c r="B1901" s="253"/>
      <c r="H1901" s="82"/>
      <c r="K1901" s="82"/>
      <c r="P1901" s="82"/>
    </row>
    <row r="1902" spans="2:16">
      <c r="B1902" s="253"/>
      <c r="H1902" s="82"/>
      <c r="K1902" s="82"/>
      <c r="P1902" s="82"/>
    </row>
    <row r="1903" spans="2:16">
      <c r="B1903" s="253"/>
      <c r="H1903" s="82"/>
      <c r="K1903" s="82"/>
      <c r="P1903" s="82"/>
    </row>
    <row r="1904" spans="2:16">
      <c r="B1904" s="253"/>
      <c r="H1904" s="82"/>
      <c r="K1904" s="82"/>
      <c r="P1904" s="82"/>
    </row>
    <row r="1905" spans="2:16">
      <c r="B1905" s="253"/>
      <c r="H1905" s="82"/>
      <c r="K1905" s="82"/>
      <c r="P1905" s="82"/>
    </row>
    <row r="1906" spans="2:16">
      <c r="B1906" s="253"/>
      <c r="H1906" s="82"/>
      <c r="K1906" s="82"/>
      <c r="P1906" s="82"/>
    </row>
    <row r="1907" spans="2:16">
      <c r="B1907" s="253"/>
      <c r="H1907" s="82"/>
      <c r="K1907" s="82"/>
      <c r="P1907" s="82"/>
    </row>
    <row r="1908" spans="2:16">
      <c r="B1908" s="253"/>
      <c r="H1908" s="82"/>
      <c r="K1908" s="82"/>
      <c r="P1908" s="82"/>
    </row>
    <row r="1909" spans="2:16">
      <c r="B1909" s="253"/>
      <c r="H1909" s="82"/>
      <c r="K1909" s="82"/>
      <c r="P1909" s="82"/>
    </row>
    <row r="1910" spans="2:16">
      <c r="B1910" s="253"/>
      <c r="H1910" s="82"/>
      <c r="K1910" s="82"/>
      <c r="P1910" s="82"/>
    </row>
  </sheetData>
  <sheetProtection algorithmName="SHA-512" hashValue="plBLH6HUh8I9bIyJ2riVbqaEI+pQiYr7UxMk3AD+Q4DKkn+/Qocy44BrDkXz1S7AnUT2b4Eu0ISTsxyqMOzTnw==" saltValue="pZ199ImjFTrssI64Cqcs3w==" spinCount="100000" sheet="1" objects="1" scenarios="1"/>
  <autoFilter ref="A7:T927" xr:uid="{0377592B-20E9-4397-9FAE-81D849D3F24C}"/>
  <sortState xmlns:xlrd2="http://schemas.microsoft.com/office/spreadsheetml/2017/richdata2" ref="B931:C1840">
    <sortCondition ref="B931:B1840"/>
  </sortState>
  <pageMargins left="0.7" right="0.7" top="0.75" bottom="0.75" header="0.3" footer="0.3"/>
  <pageSetup paperSize="5" scale="4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814"/>
  <sheetViews>
    <sheetView topLeftCell="D1" zoomScaleNormal="100" workbookViewId="0">
      <pane ySplit="5400" topLeftCell="A905"/>
      <selection pane="bottomLeft"/>
    </sheetView>
  </sheetViews>
  <sheetFormatPr defaultColWidth="9.140625" defaultRowHeight="15"/>
  <cols>
    <col min="1" max="1" width="10.5703125" style="226" customWidth="1"/>
    <col min="2" max="2" width="43.7109375" style="226" customWidth="1"/>
    <col min="3" max="4" width="13.85546875" style="226" customWidth="1"/>
    <col min="5" max="5" width="18.28515625" style="226" customWidth="1"/>
    <col min="6" max="6" width="3.85546875" style="226" customWidth="1"/>
    <col min="7" max="7" width="18.28515625" style="226" customWidth="1"/>
    <col min="8" max="8" width="20" style="89" customWidth="1"/>
    <col min="9" max="9" width="14.42578125" style="226" customWidth="1"/>
    <col min="10" max="10" width="19.42578125" style="226" customWidth="1"/>
    <col min="11" max="11" width="20" style="89" customWidth="1"/>
    <col min="12" max="12" width="3.85546875" style="226" customWidth="1"/>
    <col min="13" max="13" width="18.28515625" style="226" customWidth="1"/>
    <col min="14" max="14" width="11.85546875" style="226" customWidth="1"/>
    <col min="15" max="15" width="19.42578125" style="226" customWidth="1"/>
    <col min="16" max="16" width="20" style="89" customWidth="1"/>
    <col min="17" max="17" width="3.85546875" style="226" customWidth="1"/>
    <col min="18" max="18" width="13.85546875" style="226" customWidth="1"/>
    <col min="19" max="19" width="22.42578125" style="226" customWidth="1"/>
    <col min="20" max="20" width="14.85546875" style="226" bestFit="1" customWidth="1"/>
    <col min="21" max="16384" width="9.140625" style="226"/>
  </cols>
  <sheetData>
    <row r="1" spans="1:20">
      <c r="A1" s="226" t="s">
        <v>1922</v>
      </c>
      <c r="H1" s="226"/>
    </row>
    <row r="2" spans="1:20">
      <c r="A2" s="226" t="s">
        <v>1926</v>
      </c>
      <c r="H2" s="226"/>
    </row>
    <row r="3" spans="1:20" s="95" customFormat="1">
      <c r="A3" s="90"/>
      <c r="B3" s="54" t="s">
        <v>3522</v>
      </c>
      <c r="C3" s="91">
        <v>1</v>
      </c>
      <c r="D3" s="91">
        <v>1</v>
      </c>
      <c r="E3" s="92">
        <f>SUM(E9:E911)-SUM(E673,E674)</f>
        <v>1527723006</v>
      </c>
      <c r="F3" s="92"/>
      <c r="G3" s="92">
        <f>SUM(G9:G911)-SUM(G673,G674)</f>
        <v>88010998</v>
      </c>
      <c r="H3" s="92">
        <f>SUM(H9:H911)-SUM(H673,H674)</f>
        <v>370932998</v>
      </c>
      <c r="I3" s="92">
        <f>SUM(I9:I911)-SUM(I673,I674)</f>
        <v>218179990</v>
      </c>
      <c r="J3" s="92">
        <f>SUM(J9:J911)-SUM(J673,J674)</f>
        <v>44399345</v>
      </c>
      <c r="K3" s="92">
        <f>SUM(K9:K911)-SUM(K673,K674)</f>
        <v>721523331</v>
      </c>
      <c r="L3" s="92"/>
      <c r="M3" s="92">
        <f>SUM(M9:M911)-SUM(M673,M674)</f>
        <v>43245007</v>
      </c>
      <c r="N3" s="92">
        <f>SUM(N9:N911)-SUM(N673,N674)</f>
        <v>0</v>
      </c>
      <c r="O3" s="92">
        <f>SUM(O9:O911)-SUM(O673,O674)</f>
        <v>44399369</v>
      </c>
      <c r="P3" s="92">
        <f>SUM(P9:P911)-SUM(P673,P674)</f>
        <v>87644376</v>
      </c>
      <c r="Q3" s="92"/>
      <c r="R3" s="92">
        <f>SUM(R9:R911)-SUM(R673,R674)</f>
        <v>514844016</v>
      </c>
      <c r="S3" s="92">
        <f>SUM(S9:S911)-SUM(S673,S674)</f>
        <v>36</v>
      </c>
      <c r="T3" s="92">
        <f>SUM(T9:T911)-SUM(T673,T674)</f>
        <v>514844052</v>
      </c>
    </row>
    <row r="4" spans="1:20" s="95" customFormat="1">
      <c r="A4" s="90"/>
      <c r="B4" s="54"/>
      <c r="C4" s="91">
        <v>1</v>
      </c>
      <c r="D4" s="91">
        <v>1</v>
      </c>
      <c r="E4" s="92">
        <v>1527723006</v>
      </c>
      <c r="F4" s="92"/>
      <c r="G4" s="93">
        <v>88010998</v>
      </c>
      <c r="H4" s="94">
        <v>370932998</v>
      </c>
      <c r="I4" s="93">
        <v>218179990</v>
      </c>
      <c r="J4" s="93">
        <v>44399345</v>
      </c>
      <c r="K4" s="94">
        <v>721523331</v>
      </c>
      <c r="L4" s="93"/>
      <c r="M4" s="93">
        <v>43245007</v>
      </c>
      <c r="N4" s="93">
        <v>0</v>
      </c>
      <c r="O4" s="93">
        <v>44399369</v>
      </c>
      <c r="P4" s="94">
        <v>87644376</v>
      </c>
      <c r="Q4" s="93"/>
      <c r="R4" s="93">
        <v>514844016</v>
      </c>
      <c r="S4" s="93">
        <v>36</v>
      </c>
      <c r="T4" s="93">
        <v>514844052</v>
      </c>
    </row>
    <row r="5" spans="1:20">
      <c r="H5" s="226"/>
    </row>
    <row r="6" spans="1:20">
      <c r="G6" s="83" t="s">
        <v>2</v>
      </c>
      <c r="H6" s="83"/>
      <c r="I6" s="83"/>
      <c r="J6" s="83"/>
      <c r="K6" s="84"/>
      <c r="M6" s="83" t="s">
        <v>3</v>
      </c>
      <c r="N6" s="83"/>
      <c r="O6" s="83"/>
      <c r="P6" s="84"/>
      <c r="R6" s="83" t="s">
        <v>4</v>
      </c>
      <c r="S6" s="83"/>
      <c r="T6" s="83"/>
    </row>
    <row r="7" spans="1:20"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0">
      <c r="A8" s="7" t="s">
        <v>692</v>
      </c>
      <c r="B8" s="60" t="s">
        <v>691</v>
      </c>
      <c r="C8" s="85"/>
      <c r="D8" s="85"/>
      <c r="E8" s="85"/>
      <c r="F8" s="85"/>
      <c r="G8" s="85"/>
      <c r="H8" s="86"/>
      <c r="I8" s="85"/>
      <c r="J8" s="85"/>
      <c r="K8" s="86"/>
      <c r="L8" s="85"/>
      <c r="M8" s="85"/>
      <c r="N8" s="85"/>
      <c r="O8" s="85"/>
      <c r="P8" s="86"/>
      <c r="Q8" s="85"/>
      <c r="R8" s="85"/>
      <c r="S8" s="85"/>
      <c r="T8" s="85"/>
    </row>
    <row r="9" spans="1:20">
      <c r="A9" s="227">
        <v>70505</v>
      </c>
      <c r="B9" s="228" t="s">
        <v>727</v>
      </c>
      <c r="C9" s="87">
        <v>4.147E-4</v>
      </c>
      <c r="D9" s="87">
        <v>4.6880000000000001E-4</v>
      </c>
      <c r="E9" s="232">
        <v>633547</v>
      </c>
      <c r="F9" s="232"/>
      <c r="G9" s="233">
        <v>36498</v>
      </c>
      <c r="H9" s="221">
        <v>153826</v>
      </c>
      <c r="I9" s="233">
        <v>90479</v>
      </c>
      <c r="J9" s="232">
        <v>0</v>
      </c>
      <c r="K9" s="221">
        <f t="shared" ref="K9:K72" si="0">G9+H9+I9+J9</f>
        <v>280803</v>
      </c>
      <c r="L9" s="232"/>
      <c r="M9" s="233">
        <v>17934</v>
      </c>
      <c r="N9" s="233">
        <v>0</v>
      </c>
      <c r="O9" s="232">
        <v>53472</v>
      </c>
      <c r="P9" s="221">
        <f t="shared" ref="P9:P72" si="1">M9+N9+O9</f>
        <v>71406</v>
      </c>
      <c r="Q9" s="232"/>
      <c r="R9" s="233">
        <v>213506</v>
      </c>
      <c r="S9" s="234">
        <v>-18259</v>
      </c>
      <c r="T9" s="234">
        <v>195247</v>
      </c>
    </row>
    <row r="10" spans="1:20">
      <c r="A10" s="227">
        <v>72265</v>
      </c>
      <c r="B10" s="228" t="s">
        <v>728</v>
      </c>
      <c r="C10" s="87">
        <v>1.4009999999999999E-4</v>
      </c>
      <c r="D10" s="87">
        <v>1.327E-4</v>
      </c>
      <c r="E10" s="232">
        <v>214034</v>
      </c>
      <c r="F10" s="232"/>
      <c r="G10" s="233">
        <v>12330</v>
      </c>
      <c r="H10" s="221">
        <v>51967</v>
      </c>
      <c r="I10" s="233">
        <v>30567</v>
      </c>
      <c r="J10" s="232">
        <v>6550</v>
      </c>
      <c r="K10" s="221">
        <f t="shared" si="0"/>
        <v>101414</v>
      </c>
      <c r="L10" s="232"/>
      <c r="M10" s="233">
        <v>6059</v>
      </c>
      <c r="N10" s="233">
        <v>0</v>
      </c>
      <c r="O10" s="232">
        <v>3729</v>
      </c>
      <c r="P10" s="221">
        <f t="shared" si="1"/>
        <v>9788</v>
      </c>
      <c r="Q10" s="232"/>
      <c r="R10" s="233">
        <v>72130</v>
      </c>
      <c r="S10" s="234">
        <v>3031</v>
      </c>
      <c r="T10" s="234">
        <v>75161</v>
      </c>
    </row>
    <row r="11" spans="1:20">
      <c r="A11" s="227">
        <v>72593</v>
      </c>
      <c r="B11" s="228" t="s">
        <v>729</v>
      </c>
      <c r="C11" s="87">
        <v>5.9000000000000003E-6</v>
      </c>
      <c r="D11" s="87">
        <v>0</v>
      </c>
      <c r="E11" s="232">
        <v>9014</v>
      </c>
      <c r="F11" s="232"/>
      <c r="G11" s="233">
        <v>519</v>
      </c>
      <c r="H11" s="221">
        <v>2188</v>
      </c>
      <c r="I11" s="233">
        <v>1287</v>
      </c>
      <c r="J11" s="232">
        <v>3014</v>
      </c>
      <c r="K11" s="221">
        <f t="shared" si="0"/>
        <v>7008</v>
      </c>
      <c r="L11" s="232"/>
      <c r="M11" s="233">
        <v>255</v>
      </c>
      <c r="N11" s="233">
        <v>0</v>
      </c>
      <c r="O11" s="232">
        <v>0</v>
      </c>
      <c r="P11" s="221">
        <f t="shared" si="1"/>
        <v>255</v>
      </c>
      <c r="Q11" s="232"/>
      <c r="R11" s="233">
        <v>3038</v>
      </c>
      <c r="S11" s="234">
        <v>753</v>
      </c>
      <c r="T11" s="234">
        <v>3791</v>
      </c>
    </row>
    <row r="12" spans="1:20">
      <c r="A12" s="227">
        <v>72657</v>
      </c>
      <c r="B12" s="228" t="s">
        <v>730</v>
      </c>
      <c r="C12" s="87">
        <v>3.9900000000000001E-5</v>
      </c>
      <c r="D12" s="87">
        <v>4.2799999999999997E-5</v>
      </c>
      <c r="E12" s="232">
        <v>60956</v>
      </c>
      <c r="F12" s="232"/>
      <c r="G12" s="233">
        <v>3512</v>
      </c>
      <c r="H12" s="221">
        <v>14801</v>
      </c>
      <c r="I12" s="233">
        <v>8705</v>
      </c>
      <c r="J12" s="232">
        <v>3272</v>
      </c>
      <c r="K12" s="221">
        <f t="shared" si="0"/>
        <v>30290</v>
      </c>
      <c r="L12" s="232"/>
      <c r="M12" s="233">
        <v>1725</v>
      </c>
      <c r="N12" s="233">
        <v>0</v>
      </c>
      <c r="O12" s="232">
        <v>6366</v>
      </c>
      <c r="P12" s="221">
        <f t="shared" si="1"/>
        <v>8091</v>
      </c>
      <c r="Q12" s="232"/>
      <c r="R12" s="233">
        <v>20542</v>
      </c>
      <c r="S12" s="234">
        <v>900</v>
      </c>
      <c r="T12" s="234">
        <v>21442</v>
      </c>
    </row>
    <row r="13" spans="1:20">
      <c r="A13" s="227">
        <v>90001</v>
      </c>
      <c r="B13" s="228" t="s">
        <v>731</v>
      </c>
      <c r="C13" s="87">
        <v>8.6030000000000004E-4</v>
      </c>
      <c r="D13" s="87">
        <v>8.6910000000000004E-4</v>
      </c>
      <c r="E13" s="232">
        <v>1314300</v>
      </c>
      <c r="F13" s="232"/>
      <c r="G13" s="233">
        <v>75716</v>
      </c>
      <c r="H13" s="221">
        <v>319114</v>
      </c>
      <c r="I13" s="233">
        <v>187700</v>
      </c>
      <c r="J13" s="232">
        <v>11972</v>
      </c>
      <c r="K13" s="221">
        <f t="shared" si="0"/>
        <v>594502</v>
      </c>
      <c r="L13" s="232"/>
      <c r="M13" s="233">
        <v>37204</v>
      </c>
      <c r="N13" s="233">
        <v>0</v>
      </c>
      <c r="O13" s="232">
        <v>15474</v>
      </c>
      <c r="P13" s="221">
        <f t="shared" si="1"/>
        <v>52678</v>
      </c>
      <c r="Q13" s="232"/>
      <c r="R13" s="233">
        <v>442920</v>
      </c>
      <c r="S13" s="234">
        <v>891</v>
      </c>
      <c r="T13" s="234">
        <f>443812-1</f>
        <v>443811</v>
      </c>
    </row>
    <row r="14" spans="1:20">
      <c r="A14" s="227">
        <v>90002</v>
      </c>
      <c r="B14" s="228" t="s">
        <v>732</v>
      </c>
      <c r="C14" s="87">
        <v>1.06E-5</v>
      </c>
      <c r="D14" s="87">
        <v>1.15E-5</v>
      </c>
      <c r="E14" s="232">
        <v>16194</v>
      </c>
      <c r="F14" s="232"/>
      <c r="G14" s="233">
        <v>933</v>
      </c>
      <c r="H14" s="221">
        <v>3932</v>
      </c>
      <c r="I14" s="233">
        <v>2313</v>
      </c>
      <c r="J14" s="232">
        <v>1497</v>
      </c>
      <c r="K14" s="221">
        <f t="shared" si="0"/>
        <v>8675</v>
      </c>
      <c r="L14" s="232"/>
      <c r="M14" s="233">
        <v>458</v>
      </c>
      <c r="N14" s="233">
        <v>0</v>
      </c>
      <c r="O14" s="232">
        <v>0</v>
      </c>
      <c r="P14" s="221">
        <f t="shared" si="1"/>
        <v>458</v>
      </c>
      <c r="Q14" s="232"/>
      <c r="R14" s="233">
        <v>5457</v>
      </c>
      <c r="S14" s="234">
        <v>563</v>
      </c>
      <c r="T14" s="234">
        <v>6020</v>
      </c>
    </row>
    <row r="15" spans="1:20">
      <c r="A15" s="227">
        <v>90011</v>
      </c>
      <c r="B15" s="228" t="s">
        <v>733</v>
      </c>
      <c r="C15" s="87">
        <v>1.974E-4</v>
      </c>
      <c r="D15" s="87">
        <v>2.0819999999999999E-4</v>
      </c>
      <c r="E15" s="232">
        <v>301573</v>
      </c>
      <c r="F15" s="232"/>
      <c r="G15" s="233">
        <v>17373</v>
      </c>
      <c r="H15" s="221">
        <v>73222</v>
      </c>
      <c r="I15" s="233">
        <v>43069</v>
      </c>
      <c r="J15" s="232">
        <v>2300</v>
      </c>
      <c r="K15" s="221">
        <f t="shared" si="0"/>
        <v>135964</v>
      </c>
      <c r="L15" s="232"/>
      <c r="M15" s="233">
        <v>8537</v>
      </c>
      <c r="N15" s="233">
        <v>0</v>
      </c>
      <c r="O15" s="232">
        <v>30094</v>
      </c>
      <c r="P15" s="221">
        <f t="shared" si="1"/>
        <v>38631</v>
      </c>
      <c r="Q15" s="232"/>
      <c r="R15" s="233">
        <v>101630</v>
      </c>
      <c r="S15" s="234">
        <v>-7615</v>
      </c>
      <c r="T15" s="234">
        <v>94015</v>
      </c>
    </row>
    <row r="16" spans="1:20">
      <c r="A16" s="227">
        <v>90092</v>
      </c>
      <c r="B16" s="228" t="s">
        <v>734</v>
      </c>
      <c r="C16" s="87">
        <v>3.5349999999999997E-4</v>
      </c>
      <c r="D16" s="87">
        <v>3.946E-4</v>
      </c>
      <c r="E16" s="232">
        <v>540050</v>
      </c>
      <c r="F16" s="232"/>
      <c r="G16" s="233">
        <v>31112</v>
      </c>
      <c r="H16" s="221">
        <v>131125</v>
      </c>
      <c r="I16" s="233">
        <v>77127</v>
      </c>
      <c r="J16" s="232">
        <v>0</v>
      </c>
      <c r="K16" s="221">
        <f t="shared" si="0"/>
        <v>239364</v>
      </c>
      <c r="L16" s="232"/>
      <c r="M16" s="233">
        <v>15287</v>
      </c>
      <c r="N16" s="233">
        <v>0</v>
      </c>
      <c r="O16" s="232">
        <v>83168</v>
      </c>
      <c r="P16" s="221">
        <f t="shared" si="1"/>
        <v>98455</v>
      </c>
      <c r="Q16" s="232"/>
      <c r="R16" s="233">
        <v>181997</v>
      </c>
      <c r="S16" s="234">
        <v>-42793</v>
      </c>
      <c r="T16" s="234">
        <f>139205-1</f>
        <v>139204</v>
      </c>
    </row>
    <row r="17" spans="1:20">
      <c r="A17" s="227">
        <v>90096</v>
      </c>
      <c r="B17" s="228" t="s">
        <v>735</v>
      </c>
      <c r="C17" s="87">
        <v>9.7559999999999997E-4</v>
      </c>
      <c r="D17" s="87">
        <v>1.3860999999999999E-3</v>
      </c>
      <c r="E17" s="232">
        <v>1490447</v>
      </c>
      <c r="F17" s="232"/>
      <c r="G17" s="233">
        <v>85864</v>
      </c>
      <c r="H17" s="221">
        <v>361882</v>
      </c>
      <c r="I17" s="233">
        <v>212856</v>
      </c>
      <c r="J17" s="232">
        <v>43597</v>
      </c>
      <c r="K17" s="221">
        <f t="shared" si="0"/>
        <v>704199</v>
      </c>
      <c r="L17" s="232"/>
      <c r="M17" s="233">
        <v>42190</v>
      </c>
      <c r="N17" s="233">
        <v>0</v>
      </c>
      <c r="O17" s="232">
        <v>238564</v>
      </c>
      <c r="P17" s="221">
        <f t="shared" si="1"/>
        <v>280754</v>
      </c>
      <c r="Q17" s="232"/>
      <c r="R17" s="233">
        <v>502282</v>
      </c>
      <c r="S17" s="234">
        <v>-27538</v>
      </c>
      <c r="T17" s="234">
        <v>474744</v>
      </c>
    </row>
    <row r="18" spans="1:20">
      <c r="A18" s="227">
        <v>90098</v>
      </c>
      <c r="B18" s="228" t="s">
        <v>736</v>
      </c>
      <c r="C18" s="87">
        <v>2.9599999999999998E-4</v>
      </c>
      <c r="D18" s="87">
        <v>2.9280000000000002E-4</v>
      </c>
      <c r="E18" s="232">
        <v>452206</v>
      </c>
      <c r="F18" s="232"/>
      <c r="G18" s="233">
        <v>26051</v>
      </c>
      <c r="H18" s="221">
        <v>109796</v>
      </c>
      <c r="I18" s="233">
        <v>64581</v>
      </c>
      <c r="J18" s="232">
        <v>5581</v>
      </c>
      <c r="K18" s="221">
        <f t="shared" si="0"/>
        <v>206009</v>
      </c>
      <c r="L18" s="232"/>
      <c r="M18" s="233">
        <v>12801</v>
      </c>
      <c r="N18" s="233">
        <v>0</v>
      </c>
      <c r="O18" s="232">
        <v>110893</v>
      </c>
      <c r="P18" s="221">
        <f t="shared" si="1"/>
        <v>123694</v>
      </c>
      <c r="Q18" s="232"/>
      <c r="R18" s="233">
        <v>152394</v>
      </c>
      <c r="S18" s="234">
        <v>-51374</v>
      </c>
      <c r="T18" s="234">
        <v>101020</v>
      </c>
    </row>
    <row r="19" spans="1:20">
      <c r="A19" s="227">
        <v>90099</v>
      </c>
      <c r="B19" s="228" t="s">
        <v>737</v>
      </c>
      <c r="C19" s="87">
        <v>6.6330000000000002E-4</v>
      </c>
      <c r="D19" s="87">
        <v>4.9330000000000001E-4</v>
      </c>
      <c r="E19" s="232">
        <v>1013339</v>
      </c>
      <c r="F19" s="232"/>
      <c r="G19" s="233">
        <v>58378</v>
      </c>
      <c r="H19" s="221">
        <v>246040</v>
      </c>
      <c r="I19" s="233">
        <v>144719</v>
      </c>
      <c r="J19" s="232">
        <v>89744</v>
      </c>
      <c r="K19" s="221">
        <f t="shared" si="0"/>
        <v>538881</v>
      </c>
      <c r="L19" s="232"/>
      <c r="M19" s="233">
        <v>28684</v>
      </c>
      <c r="N19" s="233">
        <v>0</v>
      </c>
      <c r="O19" s="232">
        <v>44006</v>
      </c>
      <c r="P19" s="221">
        <f t="shared" si="1"/>
        <v>72690</v>
      </c>
      <c r="Q19" s="232"/>
      <c r="R19" s="233">
        <v>341496</v>
      </c>
      <c r="S19" s="234">
        <v>7780</v>
      </c>
      <c r="T19" s="234">
        <v>349276</v>
      </c>
    </row>
    <row r="20" spans="1:20">
      <c r="A20" s="227">
        <v>90101</v>
      </c>
      <c r="B20" s="228" t="s">
        <v>738</v>
      </c>
      <c r="C20" s="87">
        <v>6.6312000000000003E-3</v>
      </c>
      <c r="D20" s="87">
        <v>6.3996000000000001E-3</v>
      </c>
      <c r="E20" s="232">
        <v>10130637</v>
      </c>
      <c r="F20" s="232"/>
      <c r="G20" s="233">
        <v>583619</v>
      </c>
      <c r="H20" s="221">
        <v>2459731</v>
      </c>
      <c r="I20" s="233">
        <v>1446795</v>
      </c>
      <c r="J20" s="232">
        <v>245836</v>
      </c>
      <c r="K20" s="221">
        <f t="shared" si="0"/>
        <v>4735981</v>
      </c>
      <c r="L20" s="232"/>
      <c r="M20" s="233">
        <v>286766</v>
      </c>
      <c r="N20" s="233">
        <v>0</v>
      </c>
      <c r="O20" s="232">
        <v>25616</v>
      </c>
      <c r="P20" s="221">
        <f t="shared" si="1"/>
        <v>312382</v>
      </c>
      <c r="Q20" s="232"/>
      <c r="R20" s="233">
        <v>3414034</v>
      </c>
      <c r="S20" s="234">
        <v>67895</v>
      </c>
      <c r="T20" s="234">
        <f>3481928+1</f>
        <v>3481929</v>
      </c>
    </row>
    <row r="21" spans="1:20">
      <c r="A21" s="227">
        <v>90111</v>
      </c>
      <c r="B21" s="228" t="s">
        <v>739</v>
      </c>
      <c r="C21" s="87">
        <v>4.9740000000000001E-3</v>
      </c>
      <c r="D21" s="87">
        <v>4.8874000000000001E-3</v>
      </c>
      <c r="E21" s="232">
        <v>7598894</v>
      </c>
      <c r="F21" s="232"/>
      <c r="G21" s="233">
        <v>437767</v>
      </c>
      <c r="H21" s="221">
        <v>1845021</v>
      </c>
      <c r="I21" s="233">
        <v>1085227</v>
      </c>
      <c r="J21" s="232">
        <v>15088</v>
      </c>
      <c r="K21" s="221">
        <f t="shared" si="0"/>
        <v>3383103</v>
      </c>
      <c r="L21" s="232"/>
      <c r="M21" s="233">
        <v>215101</v>
      </c>
      <c r="N21" s="233">
        <v>0</v>
      </c>
      <c r="O21" s="232">
        <v>106602</v>
      </c>
      <c r="P21" s="221">
        <f t="shared" si="1"/>
        <v>321703</v>
      </c>
      <c r="Q21" s="232"/>
      <c r="R21" s="233">
        <v>2560834</v>
      </c>
      <c r="S21" s="234">
        <v>-53609</v>
      </c>
      <c r="T21" s="234">
        <v>2507225</v>
      </c>
    </row>
    <row r="22" spans="1:20">
      <c r="A22" s="227">
        <v>90114</v>
      </c>
      <c r="B22" s="228" t="s">
        <v>740</v>
      </c>
      <c r="C22" s="87">
        <v>1.0919E-3</v>
      </c>
      <c r="D22" s="87">
        <v>1.0681E-3</v>
      </c>
      <c r="E22" s="232">
        <v>1668121</v>
      </c>
      <c r="F22" s="232"/>
      <c r="G22" s="233">
        <v>96099</v>
      </c>
      <c r="H22" s="221">
        <v>405022</v>
      </c>
      <c r="I22" s="233">
        <v>238231</v>
      </c>
      <c r="J22" s="232">
        <v>1077044</v>
      </c>
      <c r="K22" s="221">
        <f t="shared" si="0"/>
        <v>1816396</v>
      </c>
      <c r="L22" s="232"/>
      <c r="M22" s="233">
        <v>47219</v>
      </c>
      <c r="N22" s="233">
        <v>0</v>
      </c>
      <c r="O22" s="232">
        <v>0</v>
      </c>
      <c r="P22" s="221">
        <f t="shared" si="1"/>
        <v>47219</v>
      </c>
      <c r="Q22" s="232"/>
      <c r="R22" s="233">
        <v>562158</v>
      </c>
      <c r="S22" s="234">
        <v>371192</v>
      </c>
      <c r="T22" s="234">
        <v>933350</v>
      </c>
    </row>
    <row r="23" spans="1:20">
      <c r="A23" s="227">
        <v>90117</v>
      </c>
      <c r="B23" s="228" t="s">
        <v>741</v>
      </c>
      <c r="C23" s="87">
        <v>1.407E-4</v>
      </c>
      <c r="D23" s="87">
        <v>1.35E-4</v>
      </c>
      <c r="E23" s="232">
        <v>214951</v>
      </c>
      <c r="F23" s="232"/>
      <c r="G23" s="233">
        <v>12383</v>
      </c>
      <c r="H23" s="221">
        <v>52190</v>
      </c>
      <c r="I23" s="233">
        <v>30698</v>
      </c>
      <c r="J23" s="232">
        <v>44526</v>
      </c>
      <c r="K23" s="221">
        <f t="shared" si="0"/>
        <v>139797</v>
      </c>
      <c r="L23" s="232"/>
      <c r="M23" s="233">
        <v>6085</v>
      </c>
      <c r="N23" s="233">
        <v>0</v>
      </c>
      <c r="O23" s="232">
        <v>0</v>
      </c>
      <c r="P23" s="221">
        <f t="shared" si="1"/>
        <v>6085</v>
      </c>
      <c r="Q23" s="232"/>
      <c r="R23" s="233">
        <v>72439</v>
      </c>
      <c r="S23" s="234">
        <v>18359</v>
      </c>
      <c r="T23" s="234">
        <f>90797+1</f>
        <v>90798</v>
      </c>
    </row>
    <row r="24" spans="1:20">
      <c r="A24" s="227">
        <v>90121</v>
      </c>
      <c r="B24" s="228" t="s">
        <v>742</v>
      </c>
      <c r="C24" s="87">
        <v>1.0991E-3</v>
      </c>
      <c r="D24" s="87">
        <v>1.0789E-3</v>
      </c>
      <c r="E24" s="232">
        <v>1679120</v>
      </c>
      <c r="F24" s="232"/>
      <c r="G24" s="233">
        <v>96733</v>
      </c>
      <c r="H24" s="221">
        <v>407692</v>
      </c>
      <c r="I24" s="233">
        <v>239802</v>
      </c>
      <c r="J24" s="232">
        <v>3244</v>
      </c>
      <c r="K24" s="221">
        <f t="shared" si="0"/>
        <v>747471</v>
      </c>
      <c r="L24" s="232"/>
      <c r="M24" s="233">
        <v>47531</v>
      </c>
      <c r="N24" s="233">
        <v>0</v>
      </c>
      <c r="O24" s="232">
        <v>81552</v>
      </c>
      <c r="P24" s="221">
        <f t="shared" si="1"/>
        <v>129083</v>
      </c>
      <c r="Q24" s="232"/>
      <c r="R24" s="233">
        <v>565865</v>
      </c>
      <c r="S24" s="234">
        <v>-25049</v>
      </c>
      <c r="T24" s="234">
        <v>540816</v>
      </c>
    </row>
    <row r="25" spans="1:20">
      <c r="A25" s="227">
        <v>90131</v>
      </c>
      <c r="B25" s="228" t="s">
        <v>743</v>
      </c>
      <c r="C25" s="87">
        <v>4.7639999999999998E-4</v>
      </c>
      <c r="D25" s="87">
        <v>5.0440000000000001E-4</v>
      </c>
      <c r="E25" s="232">
        <v>727807</v>
      </c>
      <c r="F25" s="232"/>
      <c r="G25" s="233">
        <v>41928</v>
      </c>
      <c r="H25" s="221">
        <v>176712</v>
      </c>
      <c r="I25" s="233">
        <v>103941</v>
      </c>
      <c r="J25" s="232">
        <v>0</v>
      </c>
      <c r="K25" s="221">
        <f t="shared" si="0"/>
        <v>322581</v>
      </c>
      <c r="L25" s="232"/>
      <c r="M25" s="233">
        <v>20602</v>
      </c>
      <c r="N25" s="233">
        <v>0</v>
      </c>
      <c r="O25" s="232">
        <v>42066</v>
      </c>
      <c r="P25" s="221">
        <f t="shared" si="1"/>
        <v>62668</v>
      </c>
      <c r="Q25" s="232"/>
      <c r="R25" s="233">
        <v>245272</v>
      </c>
      <c r="S25" s="234">
        <v>-15937</v>
      </c>
      <c r="T25" s="234">
        <v>229335</v>
      </c>
    </row>
    <row r="26" spans="1:20">
      <c r="A26" s="227">
        <v>90141</v>
      </c>
      <c r="B26" s="228" t="s">
        <v>744</v>
      </c>
      <c r="C26" s="87">
        <v>1.4779999999999999E-4</v>
      </c>
      <c r="D26" s="87">
        <v>1.306E-4</v>
      </c>
      <c r="E26" s="232">
        <v>225797</v>
      </c>
      <c r="F26" s="232"/>
      <c r="G26" s="233">
        <v>13008</v>
      </c>
      <c r="H26" s="221">
        <v>54824</v>
      </c>
      <c r="I26" s="233">
        <v>32247</v>
      </c>
      <c r="J26" s="232">
        <v>8660</v>
      </c>
      <c r="K26" s="221">
        <f t="shared" si="0"/>
        <v>108739</v>
      </c>
      <c r="L26" s="232"/>
      <c r="M26" s="233">
        <v>6392</v>
      </c>
      <c r="N26" s="233">
        <v>0</v>
      </c>
      <c r="O26" s="232">
        <v>10174</v>
      </c>
      <c r="P26" s="221">
        <f t="shared" si="1"/>
        <v>16566</v>
      </c>
      <c r="Q26" s="232"/>
      <c r="R26" s="233">
        <v>76094</v>
      </c>
      <c r="S26" s="234">
        <v>-857</v>
      </c>
      <c r="T26" s="234">
        <v>75237</v>
      </c>
    </row>
    <row r="27" spans="1:20">
      <c r="A27" s="227">
        <v>90151</v>
      </c>
      <c r="B27" s="228" t="s">
        <v>745</v>
      </c>
      <c r="C27" s="87">
        <v>9.9000000000000001E-6</v>
      </c>
      <c r="D27" s="87">
        <v>1.0000000000000001E-5</v>
      </c>
      <c r="E27" s="232">
        <v>15124</v>
      </c>
      <c r="F27" s="232"/>
      <c r="G27" s="233">
        <v>871</v>
      </c>
      <c r="H27" s="221">
        <v>3672</v>
      </c>
      <c r="I27" s="233">
        <v>2160</v>
      </c>
      <c r="J27" s="232">
        <v>0</v>
      </c>
      <c r="K27" s="221">
        <f t="shared" si="0"/>
        <v>6703</v>
      </c>
      <c r="L27" s="232"/>
      <c r="M27" s="233">
        <v>428</v>
      </c>
      <c r="N27" s="233">
        <v>0</v>
      </c>
      <c r="O27" s="232">
        <v>2719</v>
      </c>
      <c r="P27" s="221">
        <f t="shared" si="1"/>
        <v>3147</v>
      </c>
      <c r="Q27" s="232"/>
      <c r="R27" s="233">
        <v>5097</v>
      </c>
      <c r="S27" s="234">
        <v>-1090</v>
      </c>
      <c r="T27" s="234">
        <v>4007</v>
      </c>
    </row>
    <row r="28" spans="1:20">
      <c r="A28" s="227">
        <v>90161</v>
      </c>
      <c r="B28" s="228" t="s">
        <v>746</v>
      </c>
      <c r="C28" s="87">
        <v>3.4199999999999998E-5</v>
      </c>
      <c r="D28" s="87">
        <v>3.4799999999999999E-5</v>
      </c>
      <c r="E28" s="232">
        <v>52248</v>
      </c>
      <c r="F28" s="232"/>
      <c r="G28" s="233">
        <v>3010</v>
      </c>
      <c r="H28" s="221">
        <v>12686</v>
      </c>
      <c r="I28" s="233">
        <v>7462</v>
      </c>
      <c r="J28" s="232">
        <v>4022</v>
      </c>
      <c r="K28" s="221">
        <f t="shared" si="0"/>
        <v>27180</v>
      </c>
      <c r="L28" s="232"/>
      <c r="M28" s="233">
        <v>1479</v>
      </c>
      <c r="N28" s="233">
        <v>0</v>
      </c>
      <c r="O28" s="232">
        <v>462</v>
      </c>
      <c r="P28" s="221">
        <f t="shared" si="1"/>
        <v>1941</v>
      </c>
      <c r="Q28" s="232"/>
      <c r="R28" s="233">
        <v>17608</v>
      </c>
      <c r="S28" s="234">
        <v>1591</v>
      </c>
      <c r="T28" s="234">
        <v>19199</v>
      </c>
    </row>
    <row r="29" spans="1:20">
      <c r="A29" s="227">
        <v>90201</v>
      </c>
      <c r="B29" s="228" t="s">
        <v>747</v>
      </c>
      <c r="C29" s="87">
        <v>1.2126999999999999E-3</v>
      </c>
      <c r="D29" s="87">
        <v>1.2419E-3</v>
      </c>
      <c r="E29" s="232">
        <v>1852670</v>
      </c>
      <c r="F29" s="232"/>
      <c r="G29" s="233">
        <v>106731</v>
      </c>
      <c r="H29" s="221">
        <v>449830</v>
      </c>
      <c r="I29" s="233">
        <v>264587</v>
      </c>
      <c r="J29" s="232">
        <v>36621</v>
      </c>
      <c r="K29" s="221">
        <f t="shared" si="0"/>
        <v>857769</v>
      </c>
      <c r="L29" s="232"/>
      <c r="M29" s="233">
        <v>52443</v>
      </c>
      <c r="N29" s="233">
        <v>0</v>
      </c>
      <c r="O29" s="232">
        <v>36396</v>
      </c>
      <c r="P29" s="221">
        <f t="shared" si="1"/>
        <v>88839</v>
      </c>
      <c r="Q29" s="232"/>
      <c r="R29" s="233">
        <v>624351</v>
      </c>
      <c r="S29" s="234">
        <v>24941</v>
      </c>
      <c r="T29" s="234">
        <v>649292</v>
      </c>
    </row>
    <row r="30" spans="1:20">
      <c r="A30" s="227">
        <v>90203</v>
      </c>
      <c r="B30" s="228" t="s">
        <v>748</v>
      </c>
      <c r="C30" s="87">
        <v>1.994E-4</v>
      </c>
      <c r="D30" s="87">
        <v>2.3680000000000001E-4</v>
      </c>
      <c r="E30" s="232">
        <v>304628</v>
      </c>
      <c r="F30" s="232"/>
      <c r="G30" s="233">
        <v>17549</v>
      </c>
      <c r="H30" s="221">
        <v>73964</v>
      </c>
      <c r="I30" s="233">
        <v>43505</v>
      </c>
      <c r="J30" s="232">
        <v>2154</v>
      </c>
      <c r="K30" s="221">
        <f t="shared" si="0"/>
        <v>137172</v>
      </c>
      <c r="L30" s="232"/>
      <c r="M30" s="233">
        <v>8623</v>
      </c>
      <c r="N30" s="233">
        <v>0</v>
      </c>
      <c r="O30" s="232">
        <v>49077</v>
      </c>
      <c r="P30" s="221">
        <f t="shared" si="1"/>
        <v>57700</v>
      </c>
      <c r="Q30" s="232"/>
      <c r="R30" s="233">
        <v>102660</v>
      </c>
      <c r="S30" s="234">
        <v>-18026</v>
      </c>
      <c r="T30" s="234">
        <v>84634</v>
      </c>
    </row>
    <row r="31" spans="1:20">
      <c r="A31" s="227">
        <v>90205</v>
      </c>
      <c r="B31" s="228" t="s">
        <v>749</v>
      </c>
      <c r="C31" s="87">
        <v>3.0000000000000001E-5</v>
      </c>
      <c r="D31" s="87">
        <v>3.3599999999999997E-5</v>
      </c>
      <c r="E31" s="232">
        <v>45832</v>
      </c>
      <c r="F31" s="232"/>
      <c r="G31" s="233">
        <v>2640</v>
      </c>
      <c r="H31" s="221">
        <v>11128</v>
      </c>
      <c r="I31" s="233">
        <v>6545</v>
      </c>
      <c r="J31" s="232">
        <v>769</v>
      </c>
      <c r="K31" s="221">
        <f t="shared" si="0"/>
        <v>21082</v>
      </c>
      <c r="L31" s="232"/>
      <c r="M31" s="233">
        <v>1297</v>
      </c>
      <c r="N31" s="233">
        <v>0</v>
      </c>
      <c r="O31" s="232">
        <v>2625</v>
      </c>
      <c r="P31" s="221">
        <f t="shared" si="1"/>
        <v>3922</v>
      </c>
      <c r="Q31" s="232"/>
      <c r="R31" s="233">
        <v>15445</v>
      </c>
      <c r="S31" s="234">
        <v>-105</v>
      </c>
      <c r="T31" s="234">
        <v>15340</v>
      </c>
    </row>
    <row r="32" spans="1:20">
      <c r="A32" s="227">
        <v>90206</v>
      </c>
      <c r="B32" s="228" t="s">
        <v>750</v>
      </c>
      <c r="C32" s="87">
        <v>4.2069999999999998E-4</v>
      </c>
      <c r="D32" s="87">
        <v>4.347E-4</v>
      </c>
      <c r="E32" s="232">
        <v>642713</v>
      </c>
      <c r="F32" s="232"/>
      <c r="G32" s="233">
        <v>37026</v>
      </c>
      <c r="H32" s="221">
        <v>156051</v>
      </c>
      <c r="I32" s="233">
        <v>91788</v>
      </c>
      <c r="J32" s="232">
        <v>8978</v>
      </c>
      <c r="K32" s="221">
        <f t="shared" si="0"/>
        <v>293843</v>
      </c>
      <c r="L32" s="232"/>
      <c r="M32" s="233">
        <v>18193</v>
      </c>
      <c r="N32" s="233">
        <v>0</v>
      </c>
      <c r="O32" s="232">
        <v>25382</v>
      </c>
      <c r="P32" s="221">
        <f t="shared" si="1"/>
        <v>43575</v>
      </c>
      <c r="Q32" s="232"/>
      <c r="R32" s="233">
        <v>216595</v>
      </c>
      <c r="S32" s="234">
        <v>1315</v>
      </c>
      <c r="T32" s="234">
        <v>217910</v>
      </c>
    </row>
    <row r="33" spans="1:20">
      <c r="A33" s="227">
        <v>90211</v>
      </c>
      <c r="B33" s="228" t="s">
        <v>751</v>
      </c>
      <c r="C33" s="87">
        <v>1.4799999999999999E-4</v>
      </c>
      <c r="D33" s="87">
        <v>1.5689999999999999E-4</v>
      </c>
      <c r="E33" s="232">
        <v>226103</v>
      </c>
      <c r="F33" s="232"/>
      <c r="G33" s="233">
        <v>13026</v>
      </c>
      <c r="H33" s="221">
        <v>54898</v>
      </c>
      <c r="I33" s="233">
        <v>32291</v>
      </c>
      <c r="J33" s="232">
        <v>0</v>
      </c>
      <c r="K33" s="221">
        <f t="shared" si="0"/>
        <v>100215</v>
      </c>
      <c r="L33" s="232"/>
      <c r="M33" s="233">
        <v>6400</v>
      </c>
      <c r="N33" s="233">
        <v>0</v>
      </c>
      <c r="O33" s="232">
        <v>15344</v>
      </c>
      <c r="P33" s="221">
        <f t="shared" si="1"/>
        <v>21744</v>
      </c>
      <c r="Q33" s="232"/>
      <c r="R33" s="233">
        <v>76197</v>
      </c>
      <c r="S33" s="234">
        <v>-6134</v>
      </c>
      <c r="T33" s="234">
        <v>70063</v>
      </c>
    </row>
    <row r="34" spans="1:20">
      <c r="A34" s="227">
        <v>90301</v>
      </c>
      <c r="B34" s="228" t="s">
        <v>752</v>
      </c>
      <c r="C34" s="87">
        <v>6.7040000000000003E-4</v>
      </c>
      <c r="D34" s="87">
        <v>6.4000000000000005E-4</v>
      </c>
      <c r="E34" s="232">
        <v>1024185</v>
      </c>
      <c r="F34" s="232"/>
      <c r="G34" s="233">
        <v>59003</v>
      </c>
      <c r="H34" s="221">
        <v>248673</v>
      </c>
      <c r="I34" s="233">
        <v>146268</v>
      </c>
      <c r="J34" s="232">
        <v>4314</v>
      </c>
      <c r="K34" s="221">
        <f t="shared" si="0"/>
        <v>458258</v>
      </c>
      <c r="L34" s="232"/>
      <c r="M34" s="233">
        <v>28991</v>
      </c>
      <c r="N34" s="233">
        <v>0</v>
      </c>
      <c r="O34" s="232">
        <v>13341</v>
      </c>
      <c r="P34" s="221">
        <f t="shared" si="1"/>
        <v>42332</v>
      </c>
      <c r="Q34" s="232"/>
      <c r="R34" s="233">
        <v>345151</v>
      </c>
      <c r="S34" s="234">
        <v>-5567</v>
      </c>
      <c r="T34" s="234">
        <v>339584</v>
      </c>
    </row>
    <row r="35" spans="1:20">
      <c r="A35" s="227">
        <v>90305</v>
      </c>
      <c r="B35" s="228" t="s">
        <v>753</v>
      </c>
      <c r="C35" s="87">
        <v>1.617E-4</v>
      </c>
      <c r="D35" s="87">
        <v>1.7009999999999999E-4</v>
      </c>
      <c r="E35" s="232">
        <v>247033</v>
      </c>
      <c r="F35" s="232"/>
      <c r="G35" s="233">
        <v>14231</v>
      </c>
      <c r="H35" s="221">
        <v>59980</v>
      </c>
      <c r="I35" s="233">
        <v>35280</v>
      </c>
      <c r="J35" s="232">
        <v>20715</v>
      </c>
      <c r="K35" s="221">
        <f t="shared" si="0"/>
        <v>130206</v>
      </c>
      <c r="L35" s="232"/>
      <c r="M35" s="233">
        <v>6993</v>
      </c>
      <c r="N35" s="233">
        <v>0</v>
      </c>
      <c r="O35" s="232">
        <v>0</v>
      </c>
      <c r="P35" s="221">
        <f t="shared" si="1"/>
        <v>6993</v>
      </c>
      <c r="Q35" s="232"/>
      <c r="R35" s="233">
        <v>83250</v>
      </c>
      <c r="S35" s="234">
        <v>10025</v>
      </c>
      <c r="T35" s="234">
        <v>93275</v>
      </c>
    </row>
    <row r="36" spans="1:20">
      <c r="A36" s="227">
        <v>90307</v>
      </c>
      <c r="B36" s="228" t="s">
        <v>754</v>
      </c>
      <c r="C36" s="87">
        <v>7.7999999999999999E-6</v>
      </c>
      <c r="D36" s="87">
        <v>7.7000000000000008E-6</v>
      </c>
      <c r="E36" s="232">
        <v>11916</v>
      </c>
      <c r="F36" s="232"/>
      <c r="G36" s="233">
        <v>686</v>
      </c>
      <c r="H36" s="221">
        <v>2893</v>
      </c>
      <c r="I36" s="233">
        <v>1702</v>
      </c>
      <c r="J36" s="232">
        <v>647</v>
      </c>
      <c r="K36" s="221">
        <f t="shared" si="0"/>
        <v>5928</v>
      </c>
      <c r="L36" s="232"/>
      <c r="M36" s="233">
        <v>337</v>
      </c>
      <c r="N36" s="233">
        <v>0</v>
      </c>
      <c r="O36" s="232">
        <v>40</v>
      </c>
      <c r="P36" s="221">
        <f t="shared" si="1"/>
        <v>377</v>
      </c>
      <c r="Q36" s="232"/>
      <c r="R36" s="233">
        <v>4016</v>
      </c>
      <c r="S36" s="234">
        <v>160</v>
      </c>
      <c r="T36" s="234">
        <v>4176</v>
      </c>
    </row>
    <row r="37" spans="1:20">
      <c r="A37" s="227">
        <v>90401</v>
      </c>
      <c r="B37" s="228" t="s">
        <v>755</v>
      </c>
      <c r="C37" s="87">
        <v>1.3270999999999999E-3</v>
      </c>
      <c r="D37" s="87">
        <v>1.3626999999999999E-3</v>
      </c>
      <c r="E37" s="232">
        <v>2027441</v>
      </c>
      <c r="F37" s="232"/>
      <c r="G37" s="233">
        <v>116799</v>
      </c>
      <c r="H37" s="221">
        <v>492266</v>
      </c>
      <c r="I37" s="233">
        <v>289547</v>
      </c>
      <c r="J37" s="232">
        <v>44019</v>
      </c>
      <c r="K37" s="221">
        <f t="shared" si="0"/>
        <v>942631</v>
      </c>
      <c r="L37" s="232"/>
      <c r="M37" s="233">
        <v>57390</v>
      </c>
      <c r="N37" s="233">
        <v>0</v>
      </c>
      <c r="O37" s="232">
        <v>11305</v>
      </c>
      <c r="P37" s="221">
        <f t="shared" si="1"/>
        <v>68695</v>
      </c>
      <c r="Q37" s="232"/>
      <c r="R37" s="233">
        <v>683249</v>
      </c>
      <c r="S37" s="234">
        <v>23981</v>
      </c>
      <c r="T37" s="234">
        <v>707230</v>
      </c>
    </row>
    <row r="38" spans="1:20">
      <c r="A38" s="227">
        <v>90411</v>
      </c>
      <c r="B38" s="228" t="s">
        <v>756</v>
      </c>
      <c r="C38" s="87">
        <v>3.5100000000000002E-4</v>
      </c>
      <c r="D38" s="87">
        <v>3.5490000000000001E-4</v>
      </c>
      <c r="E38" s="232">
        <v>536231</v>
      </c>
      <c r="F38" s="232"/>
      <c r="G38" s="233">
        <v>30892</v>
      </c>
      <c r="H38" s="221">
        <v>130197</v>
      </c>
      <c r="I38" s="233">
        <v>76581</v>
      </c>
      <c r="J38" s="232">
        <v>0</v>
      </c>
      <c r="K38" s="221">
        <f t="shared" si="0"/>
        <v>237670</v>
      </c>
      <c r="L38" s="232"/>
      <c r="M38" s="233">
        <v>15179</v>
      </c>
      <c r="N38" s="233">
        <v>0</v>
      </c>
      <c r="O38" s="232">
        <v>41985</v>
      </c>
      <c r="P38" s="221">
        <f t="shared" si="1"/>
        <v>57164</v>
      </c>
      <c r="Q38" s="232"/>
      <c r="R38" s="233">
        <v>180710</v>
      </c>
      <c r="S38" s="234">
        <v>-15971</v>
      </c>
      <c r="T38" s="234">
        <v>164739</v>
      </c>
    </row>
    <row r="39" spans="1:20">
      <c r="A39" s="227">
        <v>90413</v>
      </c>
      <c r="B39" s="228" t="s">
        <v>757</v>
      </c>
      <c r="C39" s="87">
        <v>3.4600000000000001E-5</v>
      </c>
      <c r="D39" s="87">
        <v>3.7299999999999999E-5</v>
      </c>
      <c r="E39" s="232">
        <v>52859</v>
      </c>
      <c r="F39" s="232"/>
      <c r="G39" s="233">
        <v>3045</v>
      </c>
      <c r="H39" s="221">
        <v>12834</v>
      </c>
      <c r="I39" s="233">
        <v>7549</v>
      </c>
      <c r="J39" s="232">
        <v>5923</v>
      </c>
      <c r="K39" s="221">
        <f t="shared" si="0"/>
        <v>29351</v>
      </c>
      <c r="L39" s="232"/>
      <c r="M39" s="233">
        <v>1496</v>
      </c>
      <c r="N39" s="233">
        <v>0</v>
      </c>
      <c r="O39" s="232">
        <v>916</v>
      </c>
      <c r="P39" s="221">
        <f t="shared" si="1"/>
        <v>2412</v>
      </c>
      <c r="Q39" s="232"/>
      <c r="R39" s="233">
        <v>17814</v>
      </c>
      <c r="S39" s="234">
        <v>3416</v>
      </c>
      <c r="T39" s="234">
        <v>21230</v>
      </c>
    </row>
    <row r="40" spans="1:20">
      <c r="A40" s="227">
        <v>90417</v>
      </c>
      <c r="B40" s="228" t="s">
        <v>758</v>
      </c>
      <c r="C40" s="87">
        <v>1.17E-5</v>
      </c>
      <c r="D40" s="87">
        <v>1.2099999999999999E-5</v>
      </c>
      <c r="E40" s="232">
        <v>17874</v>
      </c>
      <c r="F40" s="232"/>
      <c r="G40" s="233">
        <v>1030</v>
      </c>
      <c r="H40" s="221">
        <v>4340</v>
      </c>
      <c r="I40" s="233">
        <v>2553</v>
      </c>
      <c r="J40" s="232">
        <v>3477</v>
      </c>
      <c r="K40" s="221">
        <f t="shared" si="0"/>
        <v>11400</v>
      </c>
      <c r="L40" s="232"/>
      <c r="M40" s="233">
        <v>506</v>
      </c>
      <c r="N40" s="233">
        <v>0</v>
      </c>
      <c r="O40" s="232">
        <v>0</v>
      </c>
      <c r="P40" s="221">
        <f t="shared" si="1"/>
        <v>506</v>
      </c>
      <c r="Q40" s="232"/>
      <c r="R40" s="233">
        <v>6024</v>
      </c>
      <c r="S40" s="234">
        <v>1221</v>
      </c>
      <c r="T40" s="234">
        <f>7244+1</f>
        <v>7245</v>
      </c>
    </row>
    <row r="41" spans="1:20">
      <c r="A41" s="227">
        <v>90421</v>
      </c>
      <c r="B41" s="228" t="s">
        <v>759</v>
      </c>
      <c r="C41" s="87">
        <v>2.19E-5</v>
      </c>
      <c r="D41" s="87">
        <v>2.3600000000000001E-5</v>
      </c>
      <c r="E41" s="232">
        <v>33457</v>
      </c>
      <c r="F41" s="232"/>
      <c r="G41" s="233">
        <v>1927</v>
      </c>
      <c r="H41" s="221">
        <v>8123</v>
      </c>
      <c r="I41" s="233">
        <v>4778</v>
      </c>
      <c r="J41" s="232">
        <v>0</v>
      </c>
      <c r="K41" s="221">
        <f t="shared" si="0"/>
        <v>14828</v>
      </c>
      <c r="L41" s="232"/>
      <c r="M41" s="233">
        <v>947</v>
      </c>
      <c r="N41" s="233">
        <v>0</v>
      </c>
      <c r="O41" s="232">
        <v>4721</v>
      </c>
      <c r="P41" s="221">
        <f t="shared" si="1"/>
        <v>5668</v>
      </c>
      <c r="Q41" s="232"/>
      <c r="R41" s="233">
        <v>11275</v>
      </c>
      <c r="S41" s="234">
        <v>-1814</v>
      </c>
      <c r="T41" s="234">
        <v>9461</v>
      </c>
    </row>
    <row r="42" spans="1:20">
      <c r="A42" s="227">
        <v>90431</v>
      </c>
      <c r="B42" s="228" t="s">
        <v>760</v>
      </c>
      <c r="C42" s="87">
        <v>4.8300000000000002E-5</v>
      </c>
      <c r="D42" s="87">
        <v>4.2799999999999997E-5</v>
      </c>
      <c r="E42" s="232">
        <v>73789</v>
      </c>
      <c r="F42" s="232"/>
      <c r="G42" s="233">
        <v>4251</v>
      </c>
      <c r="H42" s="221">
        <v>17916</v>
      </c>
      <c r="I42" s="233">
        <v>10538</v>
      </c>
      <c r="J42" s="232">
        <v>8663</v>
      </c>
      <c r="K42" s="221">
        <f t="shared" si="0"/>
        <v>41368</v>
      </c>
      <c r="L42" s="232"/>
      <c r="M42" s="233">
        <v>2089</v>
      </c>
      <c r="N42" s="233">
        <v>0</v>
      </c>
      <c r="O42" s="232">
        <v>1273</v>
      </c>
      <c r="P42" s="221">
        <f t="shared" si="1"/>
        <v>3362</v>
      </c>
      <c r="Q42" s="232"/>
      <c r="R42" s="233">
        <v>24867</v>
      </c>
      <c r="S42" s="234">
        <v>3649</v>
      </c>
      <c r="T42" s="234">
        <v>28516</v>
      </c>
    </row>
    <row r="43" spans="1:20">
      <c r="A43" s="227">
        <v>90441</v>
      </c>
      <c r="B43" s="228" t="s">
        <v>761</v>
      </c>
      <c r="C43" s="87">
        <v>8.3999999999999992E-6</v>
      </c>
      <c r="D43" s="87">
        <v>9.3999999999999998E-6</v>
      </c>
      <c r="E43" s="232">
        <v>12833</v>
      </c>
      <c r="F43" s="232"/>
      <c r="G43" s="233">
        <v>739</v>
      </c>
      <c r="H43" s="221">
        <v>3115</v>
      </c>
      <c r="I43" s="233">
        <v>1833</v>
      </c>
      <c r="J43" s="232">
        <v>890</v>
      </c>
      <c r="K43" s="221">
        <f t="shared" si="0"/>
        <v>6577</v>
      </c>
      <c r="L43" s="232"/>
      <c r="M43" s="233">
        <v>363</v>
      </c>
      <c r="N43" s="233">
        <v>0</v>
      </c>
      <c r="O43" s="232">
        <v>129</v>
      </c>
      <c r="P43" s="221">
        <f t="shared" si="1"/>
        <v>492</v>
      </c>
      <c r="Q43" s="232"/>
      <c r="R43" s="233">
        <v>4325</v>
      </c>
      <c r="S43" s="234">
        <v>621</v>
      </c>
      <c r="T43" s="234">
        <v>4946</v>
      </c>
    </row>
    <row r="44" spans="1:20">
      <c r="A44" s="227">
        <v>90451</v>
      </c>
      <c r="B44" s="228" t="s">
        <v>762</v>
      </c>
      <c r="C44" s="87">
        <v>1.6699999999999999E-5</v>
      </c>
      <c r="D44" s="87">
        <v>1.7900000000000001E-5</v>
      </c>
      <c r="E44" s="232">
        <v>25513</v>
      </c>
      <c r="F44" s="232"/>
      <c r="G44" s="233">
        <v>1470</v>
      </c>
      <c r="H44" s="221">
        <v>6194</v>
      </c>
      <c r="I44" s="233">
        <v>3644</v>
      </c>
      <c r="J44" s="232">
        <v>2202</v>
      </c>
      <c r="K44" s="221">
        <f t="shared" si="0"/>
        <v>13510</v>
      </c>
      <c r="L44" s="232"/>
      <c r="M44" s="233">
        <v>722</v>
      </c>
      <c r="N44" s="233">
        <v>0</v>
      </c>
      <c r="O44" s="232">
        <v>903</v>
      </c>
      <c r="P44" s="221">
        <f t="shared" si="1"/>
        <v>1625</v>
      </c>
      <c r="Q44" s="232"/>
      <c r="R44" s="233">
        <v>8598</v>
      </c>
      <c r="S44" s="234">
        <v>635</v>
      </c>
      <c r="T44" s="234">
        <f>9232+1</f>
        <v>9233</v>
      </c>
    </row>
    <row r="45" spans="1:20">
      <c r="A45" s="227">
        <v>90461</v>
      </c>
      <c r="B45" s="228" t="s">
        <v>763</v>
      </c>
      <c r="C45" s="87">
        <v>7.4000000000000003E-6</v>
      </c>
      <c r="D45" s="87">
        <v>1.7200000000000001E-5</v>
      </c>
      <c r="E45" s="232">
        <v>11305</v>
      </c>
      <c r="F45" s="232"/>
      <c r="G45" s="233">
        <v>651</v>
      </c>
      <c r="H45" s="221">
        <v>2745</v>
      </c>
      <c r="I45" s="233">
        <v>1615</v>
      </c>
      <c r="J45" s="232">
        <v>3066</v>
      </c>
      <c r="K45" s="221">
        <f t="shared" si="0"/>
        <v>8077</v>
      </c>
      <c r="L45" s="232"/>
      <c r="M45" s="233">
        <v>320</v>
      </c>
      <c r="N45" s="233">
        <v>0</v>
      </c>
      <c r="O45" s="232">
        <v>7660</v>
      </c>
      <c r="P45" s="221">
        <f t="shared" si="1"/>
        <v>7980</v>
      </c>
      <c r="Q45" s="232"/>
      <c r="R45" s="233">
        <v>3810</v>
      </c>
      <c r="S45" s="234">
        <v>-1001</v>
      </c>
      <c r="T45" s="234">
        <f>2808+1</f>
        <v>2809</v>
      </c>
    </row>
    <row r="46" spans="1:20">
      <c r="A46" s="227">
        <v>90501</v>
      </c>
      <c r="B46" s="228" t="s">
        <v>764</v>
      </c>
      <c r="C46" s="87">
        <v>1.4176E-3</v>
      </c>
      <c r="D46" s="87">
        <v>1.4001E-3</v>
      </c>
      <c r="E46" s="232">
        <v>2165700</v>
      </c>
      <c r="F46" s="232"/>
      <c r="G46" s="233">
        <v>124764</v>
      </c>
      <c r="H46" s="221">
        <v>525835</v>
      </c>
      <c r="I46" s="233">
        <v>309292</v>
      </c>
      <c r="J46" s="232">
        <v>53925</v>
      </c>
      <c r="K46" s="221">
        <f t="shared" si="0"/>
        <v>1013816</v>
      </c>
      <c r="L46" s="232"/>
      <c r="M46" s="233">
        <v>61304</v>
      </c>
      <c r="N46" s="233">
        <v>0</v>
      </c>
      <c r="O46" s="232">
        <v>0</v>
      </c>
      <c r="P46" s="221">
        <f t="shared" si="1"/>
        <v>61304</v>
      </c>
      <c r="Q46" s="232"/>
      <c r="R46" s="233">
        <v>729843</v>
      </c>
      <c r="S46" s="234">
        <v>27148</v>
      </c>
      <c r="T46" s="234">
        <v>756991</v>
      </c>
    </row>
    <row r="47" spans="1:20">
      <c r="A47" s="227">
        <v>90507</v>
      </c>
      <c r="B47" s="228" t="s">
        <v>34</v>
      </c>
      <c r="C47" s="87">
        <v>6.6000000000000003E-6</v>
      </c>
      <c r="D47" s="87">
        <v>7.3000000000000004E-6</v>
      </c>
      <c r="E47" s="232">
        <v>10083</v>
      </c>
      <c r="F47" s="232"/>
      <c r="G47" s="233">
        <v>581</v>
      </c>
      <c r="H47" s="221">
        <v>2448</v>
      </c>
      <c r="I47" s="233">
        <v>1440</v>
      </c>
      <c r="J47" s="232">
        <v>11545</v>
      </c>
      <c r="K47" s="221">
        <f t="shared" si="0"/>
        <v>16014</v>
      </c>
      <c r="L47" s="232"/>
      <c r="M47" s="233">
        <v>285</v>
      </c>
      <c r="N47" s="233">
        <v>0</v>
      </c>
      <c r="O47" s="232">
        <v>0</v>
      </c>
      <c r="P47" s="221">
        <f t="shared" si="1"/>
        <v>285</v>
      </c>
      <c r="Q47" s="232"/>
      <c r="R47" s="233">
        <v>3398</v>
      </c>
      <c r="S47" s="234">
        <v>4117</v>
      </c>
      <c r="T47" s="234">
        <v>7515</v>
      </c>
    </row>
    <row r="48" spans="1:20">
      <c r="A48" s="227">
        <v>90511</v>
      </c>
      <c r="B48" s="228" t="s">
        <v>765</v>
      </c>
      <c r="C48" s="87">
        <v>8.7000000000000001E-5</v>
      </c>
      <c r="D48" s="87">
        <v>9.5500000000000004E-5</v>
      </c>
      <c r="E48" s="232">
        <v>132912</v>
      </c>
      <c r="F48" s="232"/>
      <c r="G48" s="233">
        <v>7657</v>
      </c>
      <c r="H48" s="221">
        <v>32271</v>
      </c>
      <c r="I48" s="233">
        <v>18982</v>
      </c>
      <c r="J48" s="232">
        <v>14433</v>
      </c>
      <c r="K48" s="221">
        <f t="shared" si="0"/>
        <v>73343</v>
      </c>
      <c r="L48" s="232"/>
      <c r="M48" s="233">
        <v>3762</v>
      </c>
      <c r="N48" s="233">
        <v>0</v>
      </c>
      <c r="O48" s="232">
        <v>0</v>
      </c>
      <c r="P48" s="221">
        <f t="shared" si="1"/>
        <v>3762</v>
      </c>
      <c r="Q48" s="232"/>
      <c r="R48" s="233">
        <v>44791</v>
      </c>
      <c r="S48" s="234">
        <v>6485</v>
      </c>
      <c r="T48" s="234">
        <f>51277-1</f>
        <v>51276</v>
      </c>
    </row>
    <row r="49" spans="1:20">
      <c r="A49" s="227">
        <v>90521</v>
      </c>
      <c r="B49" s="228" t="s">
        <v>766</v>
      </c>
      <c r="C49" s="87">
        <v>1.3880000000000001E-4</v>
      </c>
      <c r="D49" s="87">
        <v>1.395E-4</v>
      </c>
      <c r="E49" s="232">
        <v>212048</v>
      </c>
      <c r="F49" s="232"/>
      <c r="G49" s="233">
        <v>12216</v>
      </c>
      <c r="H49" s="221">
        <v>51485</v>
      </c>
      <c r="I49" s="233">
        <v>30283</v>
      </c>
      <c r="J49" s="232">
        <v>0</v>
      </c>
      <c r="K49" s="221">
        <f t="shared" si="0"/>
        <v>93984</v>
      </c>
      <c r="L49" s="232"/>
      <c r="M49" s="233">
        <v>6002</v>
      </c>
      <c r="N49" s="233">
        <v>0</v>
      </c>
      <c r="O49" s="232">
        <v>18446</v>
      </c>
      <c r="P49" s="221">
        <f t="shared" si="1"/>
        <v>24448</v>
      </c>
      <c r="Q49" s="232"/>
      <c r="R49" s="233">
        <v>71460</v>
      </c>
      <c r="S49" s="234">
        <v>-7131</v>
      </c>
      <c r="T49" s="234">
        <v>64329</v>
      </c>
    </row>
    <row r="50" spans="1:20">
      <c r="A50" s="227">
        <v>90601</v>
      </c>
      <c r="B50" s="228" t="s">
        <v>767</v>
      </c>
      <c r="C50" s="87">
        <v>1.1888000000000001E-3</v>
      </c>
      <c r="D50" s="87">
        <v>1.1785999999999999E-3</v>
      </c>
      <c r="E50" s="232">
        <v>1816157</v>
      </c>
      <c r="F50" s="232"/>
      <c r="G50" s="233">
        <v>104627</v>
      </c>
      <c r="H50" s="221">
        <v>440965</v>
      </c>
      <c r="I50" s="233">
        <v>259372</v>
      </c>
      <c r="J50" s="232">
        <v>20795</v>
      </c>
      <c r="K50" s="221">
        <f t="shared" si="0"/>
        <v>825759</v>
      </c>
      <c r="L50" s="232"/>
      <c r="M50" s="233">
        <v>51410</v>
      </c>
      <c r="N50" s="233">
        <v>0</v>
      </c>
      <c r="O50" s="232">
        <v>19784</v>
      </c>
      <c r="P50" s="221">
        <f t="shared" si="1"/>
        <v>71194</v>
      </c>
      <c r="Q50" s="232"/>
      <c r="R50" s="233">
        <v>612047</v>
      </c>
      <c r="S50" s="234">
        <v>8359</v>
      </c>
      <c r="T50" s="234">
        <v>620406</v>
      </c>
    </row>
    <row r="51" spans="1:20">
      <c r="A51" s="227">
        <v>90602</v>
      </c>
      <c r="B51" s="228" t="s">
        <v>259</v>
      </c>
      <c r="C51" s="87">
        <v>6.3899999999999995E-5</v>
      </c>
      <c r="D51" s="87">
        <v>6.3299999999999994E-5</v>
      </c>
      <c r="E51" s="232">
        <v>97621</v>
      </c>
      <c r="F51" s="232"/>
      <c r="G51" s="233">
        <v>5624</v>
      </c>
      <c r="H51" s="221">
        <v>23703</v>
      </c>
      <c r="I51" s="233">
        <v>13942</v>
      </c>
      <c r="J51" s="232">
        <v>38810</v>
      </c>
      <c r="K51" s="221">
        <f t="shared" si="0"/>
        <v>82079</v>
      </c>
      <c r="L51" s="232"/>
      <c r="M51" s="233">
        <v>2763</v>
      </c>
      <c r="N51" s="233">
        <v>0</v>
      </c>
      <c r="O51" s="232">
        <v>0</v>
      </c>
      <c r="P51" s="221">
        <f t="shared" si="1"/>
        <v>2763</v>
      </c>
      <c r="Q51" s="232"/>
      <c r="R51" s="233">
        <v>32899</v>
      </c>
      <c r="S51" s="234">
        <v>14161</v>
      </c>
      <c r="T51" s="234">
        <f>47059+1</f>
        <v>47060</v>
      </c>
    </row>
    <row r="52" spans="1:20">
      <c r="A52" s="227">
        <v>90605</v>
      </c>
      <c r="B52" s="228" t="s">
        <v>768</v>
      </c>
      <c r="C52" s="87">
        <v>4.1999999999999998E-5</v>
      </c>
      <c r="D52" s="87">
        <v>3.8399999999999998E-5</v>
      </c>
      <c r="E52" s="232">
        <v>64164</v>
      </c>
      <c r="F52" s="232"/>
      <c r="G52" s="233">
        <v>3696</v>
      </c>
      <c r="H52" s="221">
        <v>15579</v>
      </c>
      <c r="I52" s="233">
        <v>9164</v>
      </c>
      <c r="J52" s="232">
        <v>15425</v>
      </c>
      <c r="K52" s="221">
        <f t="shared" si="0"/>
        <v>43864</v>
      </c>
      <c r="L52" s="232"/>
      <c r="M52" s="233">
        <v>1816</v>
      </c>
      <c r="N52" s="233">
        <v>0</v>
      </c>
      <c r="O52" s="232">
        <v>0</v>
      </c>
      <c r="P52" s="221">
        <f t="shared" si="1"/>
        <v>1816</v>
      </c>
      <c r="Q52" s="232"/>
      <c r="R52" s="233">
        <v>21623</v>
      </c>
      <c r="S52" s="234">
        <v>5623</v>
      </c>
      <c r="T52" s="234">
        <f>27247-1</f>
        <v>27246</v>
      </c>
    </row>
    <row r="53" spans="1:20">
      <c r="A53" s="227">
        <v>90611</v>
      </c>
      <c r="B53" s="228" t="s">
        <v>769</v>
      </c>
      <c r="C53" s="87">
        <v>1.4880000000000001E-4</v>
      </c>
      <c r="D53" s="87">
        <v>1.5669999999999999E-4</v>
      </c>
      <c r="E53" s="232">
        <v>227325</v>
      </c>
      <c r="F53" s="232"/>
      <c r="G53" s="233">
        <v>13096</v>
      </c>
      <c r="H53" s="221">
        <v>55195</v>
      </c>
      <c r="I53" s="233">
        <v>32465</v>
      </c>
      <c r="J53" s="232">
        <v>2524</v>
      </c>
      <c r="K53" s="221">
        <f t="shared" si="0"/>
        <v>103280</v>
      </c>
      <c r="L53" s="232"/>
      <c r="M53" s="233">
        <v>6435</v>
      </c>
      <c r="N53" s="233">
        <v>0</v>
      </c>
      <c r="O53" s="232">
        <v>18006</v>
      </c>
      <c r="P53" s="221">
        <f t="shared" si="1"/>
        <v>24441</v>
      </c>
      <c r="Q53" s="232"/>
      <c r="R53" s="233">
        <v>76609</v>
      </c>
      <c r="S53" s="234">
        <v>-3082</v>
      </c>
      <c r="T53" s="234">
        <v>73527</v>
      </c>
    </row>
    <row r="54" spans="1:20">
      <c r="A54" s="227">
        <v>90617</v>
      </c>
      <c r="B54" s="228" t="s">
        <v>770</v>
      </c>
      <c r="C54" s="87">
        <v>2.5999999999999998E-5</v>
      </c>
      <c r="D54" s="87">
        <v>2.6800000000000001E-5</v>
      </c>
      <c r="E54" s="232">
        <v>39721</v>
      </c>
      <c r="F54" s="232"/>
      <c r="G54" s="233">
        <v>2288</v>
      </c>
      <c r="H54" s="221">
        <v>9644</v>
      </c>
      <c r="I54" s="233">
        <v>5673</v>
      </c>
      <c r="J54" s="232">
        <v>7632</v>
      </c>
      <c r="K54" s="221">
        <f t="shared" si="0"/>
        <v>25237</v>
      </c>
      <c r="L54" s="232"/>
      <c r="M54" s="233">
        <v>1124</v>
      </c>
      <c r="N54" s="233">
        <v>0</v>
      </c>
      <c r="O54" s="232">
        <v>0</v>
      </c>
      <c r="P54" s="221">
        <f t="shared" si="1"/>
        <v>1124</v>
      </c>
      <c r="Q54" s="232"/>
      <c r="R54" s="233">
        <v>13386</v>
      </c>
      <c r="S54" s="234">
        <v>4087</v>
      </c>
      <c r="T54" s="234">
        <v>17473</v>
      </c>
    </row>
    <row r="55" spans="1:20">
      <c r="A55" s="227">
        <v>90621</v>
      </c>
      <c r="B55" s="228" t="s">
        <v>771</v>
      </c>
      <c r="C55" s="87">
        <v>6.3999999999999997E-5</v>
      </c>
      <c r="D55" s="87">
        <v>8.2100000000000003E-5</v>
      </c>
      <c r="E55" s="232">
        <v>97774</v>
      </c>
      <c r="F55" s="232"/>
      <c r="G55" s="233">
        <v>5633</v>
      </c>
      <c r="H55" s="221">
        <v>23740</v>
      </c>
      <c r="I55" s="233">
        <v>13964</v>
      </c>
      <c r="J55" s="232">
        <v>588</v>
      </c>
      <c r="K55" s="221">
        <f t="shared" si="0"/>
        <v>43925</v>
      </c>
      <c r="L55" s="232"/>
      <c r="M55" s="233">
        <v>2768</v>
      </c>
      <c r="N55" s="233">
        <v>0</v>
      </c>
      <c r="O55" s="232">
        <v>19000</v>
      </c>
      <c r="P55" s="221">
        <f t="shared" si="1"/>
        <v>21768</v>
      </c>
      <c r="Q55" s="232"/>
      <c r="R55" s="233">
        <v>32950</v>
      </c>
      <c r="S55" s="234">
        <v>-5337</v>
      </c>
      <c r="T55" s="234">
        <v>27613</v>
      </c>
    </row>
    <row r="56" spans="1:20">
      <c r="A56" s="227">
        <v>90631</v>
      </c>
      <c r="B56" s="228" t="s">
        <v>772</v>
      </c>
      <c r="C56" s="87">
        <v>3.9560000000000002E-4</v>
      </c>
      <c r="D56" s="87">
        <v>3.8000000000000002E-4</v>
      </c>
      <c r="E56" s="232">
        <v>604367</v>
      </c>
      <c r="F56" s="232"/>
      <c r="G56" s="233">
        <v>34817</v>
      </c>
      <c r="H56" s="221">
        <v>146742</v>
      </c>
      <c r="I56" s="233">
        <v>86312</v>
      </c>
      <c r="J56" s="232">
        <v>17764</v>
      </c>
      <c r="K56" s="221">
        <f t="shared" si="0"/>
        <v>285635</v>
      </c>
      <c r="L56" s="232"/>
      <c r="M56" s="233">
        <v>17108</v>
      </c>
      <c r="N56" s="233">
        <v>0</v>
      </c>
      <c r="O56" s="232">
        <v>8233</v>
      </c>
      <c r="P56" s="221">
        <f t="shared" si="1"/>
        <v>25341</v>
      </c>
      <c r="Q56" s="232"/>
      <c r="R56" s="233">
        <v>203672</v>
      </c>
      <c r="S56" s="234">
        <v>-484</v>
      </c>
      <c r="T56" s="234">
        <f>203189-1</f>
        <v>203188</v>
      </c>
    </row>
    <row r="57" spans="1:20">
      <c r="A57" s="227">
        <v>90641</v>
      </c>
      <c r="B57" s="228" t="s">
        <v>773</v>
      </c>
      <c r="C57" s="87">
        <v>1.38E-5</v>
      </c>
      <c r="D57" s="87">
        <v>1.4399999999999999E-5</v>
      </c>
      <c r="E57" s="232">
        <v>21083</v>
      </c>
      <c r="F57" s="232"/>
      <c r="G57" s="233">
        <v>1215</v>
      </c>
      <c r="H57" s="221">
        <v>5118</v>
      </c>
      <c r="I57" s="233">
        <v>3011</v>
      </c>
      <c r="J57" s="232">
        <v>304</v>
      </c>
      <c r="K57" s="221">
        <f t="shared" si="0"/>
        <v>9648</v>
      </c>
      <c r="L57" s="232"/>
      <c r="M57" s="233">
        <v>597</v>
      </c>
      <c r="N57" s="233">
        <v>0</v>
      </c>
      <c r="O57" s="232">
        <v>517</v>
      </c>
      <c r="P57" s="221">
        <f t="shared" si="1"/>
        <v>1114</v>
      </c>
      <c r="Q57" s="232"/>
      <c r="R57" s="233">
        <v>7105</v>
      </c>
      <c r="S57" s="234">
        <v>-123</v>
      </c>
      <c r="T57" s="234">
        <v>6982</v>
      </c>
    </row>
    <row r="58" spans="1:20">
      <c r="A58" s="227">
        <v>90651</v>
      </c>
      <c r="B58" s="228" t="s">
        <v>774</v>
      </c>
      <c r="C58" s="87">
        <v>1E-4</v>
      </c>
      <c r="D58" s="87">
        <v>1.108E-4</v>
      </c>
      <c r="E58" s="232">
        <v>152772</v>
      </c>
      <c r="F58" s="232"/>
      <c r="G58" s="233">
        <v>8801</v>
      </c>
      <c r="H58" s="221">
        <v>37093</v>
      </c>
      <c r="I58" s="233">
        <v>21818</v>
      </c>
      <c r="J58" s="232">
        <v>85885</v>
      </c>
      <c r="K58" s="221">
        <f t="shared" si="0"/>
        <v>153597</v>
      </c>
      <c r="L58" s="232"/>
      <c r="M58" s="233">
        <v>4325</v>
      </c>
      <c r="N58" s="233">
        <v>0</v>
      </c>
      <c r="O58" s="232">
        <v>4659</v>
      </c>
      <c r="P58" s="221">
        <f t="shared" si="1"/>
        <v>8984</v>
      </c>
      <c r="Q58" s="232"/>
      <c r="R58" s="233">
        <v>51484</v>
      </c>
      <c r="S58" s="234">
        <v>25671</v>
      </c>
      <c r="T58" s="234">
        <f>77156-1</f>
        <v>77155</v>
      </c>
    </row>
    <row r="59" spans="1:20">
      <c r="A59" s="227">
        <v>90701</v>
      </c>
      <c r="B59" s="228" t="s">
        <v>775</v>
      </c>
      <c r="C59" s="87">
        <v>2.6581E-3</v>
      </c>
      <c r="D59" s="87">
        <v>2.3587E-3</v>
      </c>
      <c r="E59" s="232">
        <v>4060841</v>
      </c>
      <c r="F59" s="232"/>
      <c r="G59" s="233">
        <v>233942</v>
      </c>
      <c r="H59" s="221">
        <v>985977</v>
      </c>
      <c r="I59" s="233">
        <v>579944</v>
      </c>
      <c r="J59" s="232">
        <v>130818</v>
      </c>
      <c r="K59" s="221">
        <f t="shared" si="0"/>
        <v>1930681</v>
      </c>
      <c r="L59" s="232"/>
      <c r="M59" s="233">
        <v>114950</v>
      </c>
      <c r="N59" s="233">
        <v>0</v>
      </c>
      <c r="O59" s="232">
        <v>31847</v>
      </c>
      <c r="P59" s="221">
        <f t="shared" si="1"/>
        <v>146797</v>
      </c>
      <c r="Q59" s="232"/>
      <c r="R59" s="233">
        <v>1368507</v>
      </c>
      <c r="S59" s="234">
        <v>33872</v>
      </c>
      <c r="T59" s="234">
        <v>1402379</v>
      </c>
    </row>
    <row r="60" spans="1:20">
      <c r="A60" s="227">
        <v>90704</v>
      </c>
      <c r="B60" s="228" t="s">
        <v>776</v>
      </c>
      <c r="C60" s="87">
        <v>3.3300000000000003E-5</v>
      </c>
      <c r="D60" s="87">
        <v>3.4900000000000001E-5</v>
      </c>
      <c r="E60" s="232">
        <v>50873</v>
      </c>
      <c r="F60" s="232"/>
      <c r="G60" s="233">
        <v>2931</v>
      </c>
      <c r="H60" s="221">
        <v>12352</v>
      </c>
      <c r="I60" s="233">
        <v>7265</v>
      </c>
      <c r="J60" s="232">
        <v>14629</v>
      </c>
      <c r="K60" s="221">
        <f t="shared" si="0"/>
        <v>37177</v>
      </c>
      <c r="L60" s="232"/>
      <c r="M60" s="233">
        <v>1440</v>
      </c>
      <c r="N60" s="233">
        <v>0</v>
      </c>
      <c r="O60" s="232">
        <v>0</v>
      </c>
      <c r="P60" s="221">
        <f t="shared" si="1"/>
        <v>1440</v>
      </c>
      <c r="Q60" s="232"/>
      <c r="R60" s="233">
        <v>17144</v>
      </c>
      <c r="S60" s="234">
        <v>5643</v>
      </c>
      <c r="T60" s="234">
        <f>22788-1</f>
        <v>22787</v>
      </c>
    </row>
    <row r="61" spans="1:20">
      <c r="A61" s="227">
        <v>90705</v>
      </c>
      <c r="B61" s="228" t="s">
        <v>777</v>
      </c>
      <c r="C61" s="87">
        <v>5.3000000000000001E-5</v>
      </c>
      <c r="D61" s="87">
        <v>3.3899999999999997E-5</v>
      </c>
      <c r="E61" s="232">
        <v>80969</v>
      </c>
      <c r="F61" s="232"/>
      <c r="G61" s="233">
        <v>4665</v>
      </c>
      <c r="H61" s="221">
        <v>19659</v>
      </c>
      <c r="I61" s="233">
        <v>11564</v>
      </c>
      <c r="J61" s="232">
        <v>18366</v>
      </c>
      <c r="K61" s="221">
        <f t="shared" si="0"/>
        <v>54254</v>
      </c>
      <c r="L61" s="232"/>
      <c r="M61" s="233">
        <v>2292</v>
      </c>
      <c r="N61" s="233">
        <v>0</v>
      </c>
      <c r="O61" s="232">
        <v>0</v>
      </c>
      <c r="P61" s="221">
        <f t="shared" si="1"/>
        <v>2292</v>
      </c>
      <c r="Q61" s="232"/>
      <c r="R61" s="233">
        <v>27287</v>
      </c>
      <c r="S61" s="234">
        <v>6194</v>
      </c>
      <c r="T61" s="234">
        <v>33481</v>
      </c>
    </row>
    <row r="62" spans="1:20">
      <c r="A62" s="227">
        <v>90709</v>
      </c>
      <c r="B62" s="228" t="s">
        <v>778</v>
      </c>
      <c r="C62" s="87">
        <v>1.2650000000000001E-4</v>
      </c>
      <c r="D62" s="87">
        <v>1.4569999999999999E-4</v>
      </c>
      <c r="E62" s="232">
        <v>193257</v>
      </c>
      <c r="F62" s="232"/>
      <c r="G62" s="233">
        <v>11133</v>
      </c>
      <c r="H62" s="221">
        <v>46924</v>
      </c>
      <c r="I62" s="233">
        <v>27600</v>
      </c>
      <c r="J62" s="232">
        <v>5085</v>
      </c>
      <c r="K62" s="221">
        <f t="shared" si="0"/>
        <v>90742</v>
      </c>
      <c r="L62" s="232"/>
      <c r="M62" s="233">
        <v>5470</v>
      </c>
      <c r="N62" s="233">
        <v>0</v>
      </c>
      <c r="O62" s="232">
        <v>42511</v>
      </c>
      <c r="P62" s="221">
        <f t="shared" si="1"/>
        <v>47981</v>
      </c>
      <c r="Q62" s="232"/>
      <c r="R62" s="233">
        <v>65128</v>
      </c>
      <c r="S62" s="234">
        <v>-9374</v>
      </c>
      <c r="T62" s="234">
        <v>55754</v>
      </c>
    </row>
    <row r="63" spans="1:20">
      <c r="A63" s="227">
        <v>90711</v>
      </c>
      <c r="B63" s="228" t="s">
        <v>779</v>
      </c>
      <c r="C63" s="87">
        <v>1.6877000000000001E-3</v>
      </c>
      <c r="D63" s="87">
        <v>1.7302000000000001E-3</v>
      </c>
      <c r="E63" s="232">
        <v>2578338</v>
      </c>
      <c r="F63" s="232"/>
      <c r="G63" s="233">
        <v>148536</v>
      </c>
      <c r="H63" s="221">
        <v>626023</v>
      </c>
      <c r="I63" s="233">
        <v>368222</v>
      </c>
      <c r="J63" s="232">
        <v>0</v>
      </c>
      <c r="K63" s="221">
        <f t="shared" si="0"/>
        <v>1142781</v>
      </c>
      <c r="L63" s="232"/>
      <c r="M63" s="233">
        <v>72985</v>
      </c>
      <c r="N63" s="233">
        <v>0</v>
      </c>
      <c r="O63" s="232">
        <v>160849</v>
      </c>
      <c r="P63" s="221">
        <f t="shared" si="1"/>
        <v>233834</v>
      </c>
      <c r="Q63" s="232"/>
      <c r="R63" s="233">
        <v>868902</v>
      </c>
      <c r="S63" s="234">
        <v>-68798</v>
      </c>
      <c r="T63" s="234">
        <v>800104</v>
      </c>
    </row>
    <row r="64" spans="1:20">
      <c r="A64" s="227">
        <v>90721</v>
      </c>
      <c r="B64" s="228" t="s">
        <v>780</v>
      </c>
      <c r="C64" s="87">
        <v>2.8600000000000001E-5</v>
      </c>
      <c r="D64" s="87">
        <v>3.7299999999999999E-5</v>
      </c>
      <c r="E64" s="232">
        <v>43693</v>
      </c>
      <c r="F64" s="232"/>
      <c r="G64" s="233">
        <v>2517</v>
      </c>
      <c r="H64" s="221">
        <v>10608</v>
      </c>
      <c r="I64" s="233">
        <v>6240</v>
      </c>
      <c r="J64" s="232">
        <v>2956</v>
      </c>
      <c r="K64" s="221">
        <f t="shared" si="0"/>
        <v>22321</v>
      </c>
      <c r="L64" s="232"/>
      <c r="M64" s="233">
        <v>1237</v>
      </c>
      <c r="N64" s="233">
        <v>0</v>
      </c>
      <c r="O64" s="232">
        <v>4943</v>
      </c>
      <c r="P64" s="221">
        <f t="shared" si="1"/>
        <v>6180</v>
      </c>
      <c r="Q64" s="232"/>
      <c r="R64" s="233">
        <v>14725</v>
      </c>
      <c r="S64" s="234">
        <v>1072</v>
      </c>
      <c r="T64" s="234">
        <f>15796+1</f>
        <v>15797</v>
      </c>
    </row>
    <row r="65" spans="1:20">
      <c r="A65" s="227">
        <v>90731</v>
      </c>
      <c r="B65" s="228" t="s">
        <v>781</v>
      </c>
      <c r="C65" s="87">
        <v>1.741E-4</v>
      </c>
      <c r="D65" s="87">
        <v>1.917E-4</v>
      </c>
      <c r="E65" s="232">
        <v>265977</v>
      </c>
      <c r="F65" s="232"/>
      <c r="G65" s="233">
        <v>15323</v>
      </c>
      <c r="H65" s="221">
        <v>64580</v>
      </c>
      <c r="I65" s="233">
        <v>37985</v>
      </c>
      <c r="J65" s="232">
        <v>0</v>
      </c>
      <c r="K65" s="221">
        <f t="shared" si="0"/>
        <v>117888</v>
      </c>
      <c r="L65" s="232"/>
      <c r="M65" s="233">
        <v>7529</v>
      </c>
      <c r="N65" s="233">
        <v>0</v>
      </c>
      <c r="O65" s="232">
        <v>18148</v>
      </c>
      <c r="P65" s="221">
        <f t="shared" si="1"/>
        <v>25677</v>
      </c>
      <c r="Q65" s="232"/>
      <c r="R65" s="233">
        <v>89634</v>
      </c>
      <c r="S65" s="234">
        <v>-7025</v>
      </c>
      <c r="T65" s="234">
        <v>82609</v>
      </c>
    </row>
    <row r="66" spans="1:20">
      <c r="A66" s="227">
        <v>90741</v>
      </c>
      <c r="B66" s="228" t="s">
        <v>782</v>
      </c>
      <c r="C66" s="87">
        <v>9.0999999999999993E-6</v>
      </c>
      <c r="D66" s="87">
        <v>1.2099999999999999E-5</v>
      </c>
      <c r="E66" s="232">
        <v>13902</v>
      </c>
      <c r="F66" s="232"/>
      <c r="G66" s="233">
        <v>801</v>
      </c>
      <c r="H66" s="221">
        <v>3375</v>
      </c>
      <c r="I66" s="233">
        <v>1985</v>
      </c>
      <c r="J66" s="232">
        <v>2169</v>
      </c>
      <c r="K66" s="221">
        <f t="shared" si="0"/>
        <v>8330</v>
      </c>
      <c r="L66" s="232"/>
      <c r="M66" s="233">
        <v>394</v>
      </c>
      <c r="N66" s="233">
        <v>0</v>
      </c>
      <c r="O66" s="232">
        <v>952</v>
      </c>
      <c r="P66" s="221">
        <f t="shared" si="1"/>
        <v>1346</v>
      </c>
      <c r="Q66" s="232"/>
      <c r="R66" s="233">
        <v>4685</v>
      </c>
      <c r="S66" s="234">
        <v>235</v>
      </c>
      <c r="T66" s="234">
        <v>4920</v>
      </c>
    </row>
    <row r="67" spans="1:20">
      <c r="A67" s="227">
        <v>90751</v>
      </c>
      <c r="B67" s="228" t="s">
        <v>783</v>
      </c>
      <c r="C67" s="87">
        <v>6.8700000000000003E-5</v>
      </c>
      <c r="D67" s="87">
        <v>6.5599999999999995E-5</v>
      </c>
      <c r="E67" s="232">
        <v>104955</v>
      </c>
      <c r="F67" s="232"/>
      <c r="G67" s="233">
        <v>6046</v>
      </c>
      <c r="H67" s="221">
        <v>25483</v>
      </c>
      <c r="I67" s="233">
        <v>14989</v>
      </c>
      <c r="J67" s="232">
        <v>4940</v>
      </c>
      <c r="K67" s="221">
        <f t="shared" si="0"/>
        <v>51458</v>
      </c>
      <c r="L67" s="232"/>
      <c r="M67" s="233">
        <v>2971</v>
      </c>
      <c r="N67" s="233">
        <v>0</v>
      </c>
      <c r="O67" s="232">
        <v>1080</v>
      </c>
      <c r="P67" s="221">
        <f t="shared" si="1"/>
        <v>4051</v>
      </c>
      <c r="Q67" s="232"/>
      <c r="R67" s="233">
        <v>35370</v>
      </c>
      <c r="S67" s="234">
        <v>3400</v>
      </c>
      <c r="T67" s="234">
        <v>38770</v>
      </c>
    </row>
    <row r="68" spans="1:20">
      <c r="A68" s="227">
        <v>90801</v>
      </c>
      <c r="B68" s="228" t="s">
        <v>784</v>
      </c>
      <c r="C68" s="87">
        <v>1.3064000000000001E-3</v>
      </c>
      <c r="D68" s="87">
        <v>1.1404E-3</v>
      </c>
      <c r="E68" s="232">
        <v>1995817</v>
      </c>
      <c r="F68" s="232"/>
      <c r="G68" s="233">
        <v>114978</v>
      </c>
      <c r="H68" s="221">
        <v>484586</v>
      </c>
      <c r="I68" s="233">
        <v>285030</v>
      </c>
      <c r="J68" s="232">
        <v>151641</v>
      </c>
      <c r="K68" s="221">
        <f t="shared" si="0"/>
        <v>1036235</v>
      </c>
      <c r="L68" s="232"/>
      <c r="M68" s="233">
        <v>56495</v>
      </c>
      <c r="N68" s="233">
        <v>0</v>
      </c>
      <c r="O68" s="232">
        <v>0</v>
      </c>
      <c r="P68" s="221">
        <f t="shared" si="1"/>
        <v>56495</v>
      </c>
      <c r="Q68" s="232"/>
      <c r="R68" s="233">
        <v>672592</v>
      </c>
      <c r="S68" s="234">
        <v>65370</v>
      </c>
      <c r="T68" s="234">
        <v>737962</v>
      </c>
    </row>
    <row r="69" spans="1:20">
      <c r="A69" s="227">
        <v>90804</v>
      </c>
      <c r="B69" s="228" t="s">
        <v>785</v>
      </c>
      <c r="C69" s="87">
        <v>6.1999999999999999E-6</v>
      </c>
      <c r="D69" s="87">
        <v>6.0000000000000002E-6</v>
      </c>
      <c r="E69" s="232">
        <v>9472</v>
      </c>
      <c r="F69" s="232"/>
      <c r="G69" s="233">
        <v>546</v>
      </c>
      <c r="H69" s="221">
        <v>2300</v>
      </c>
      <c r="I69" s="233">
        <v>1353</v>
      </c>
      <c r="J69" s="232">
        <v>1462</v>
      </c>
      <c r="K69" s="221">
        <f t="shared" si="0"/>
        <v>5661</v>
      </c>
      <c r="L69" s="232"/>
      <c r="M69" s="233">
        <v>268</v>
      </c>
      <c r="N69" s="233">
        <v>0</v>
      </c>
      <c r="O69" s="232">
        <v>0</v>
      </c>
      <c r="P69" s="221">
        <f t="shared" si="1"/>
        <v>268</v>
      </c>
      <c r="Q69" s="232"/>
      <c r="R69" s="233">
        <v>3192</v>
      </c>
      <c r="S69" s="234">
        <v>893</v>
      </c>
      <c r="T69" s="234">
        <v>4085</v>
      </c>
    </row>
    <row r="70" spans="1:20">
      <c r="A70" s="227">
        <v>90805</v>
      </c>
      <c r="B70" s="228" t="s">
        <v>786</v>
      </c>
      <c r="C70" s="87">
        <v>5.1900000000000001E-5</v>
      </c>
      <c r="D70" s="87">
        <v>5.5099999999999998E-5</v>
      </c>
      <c r="E70" s="232">
        <v>79289</v>
      </c>
      <c r="F70" s="232"/>
      <c r="G70" s="233">
        <v>4568</v>
      </c>
      <c r="H70" s="221">
        <v>19252</v>
      </c>
      <c r="I70" s="233">
        <v>11324</v>
      </c>
      <c r="J70" s="232">
        <v>22022</v>
      </c>
      <c r="K70" s="221">
        <f t="shared" si="0"/>
        <v>57166</v>
      </c>
      <c r="L70" s="232"/>
      <c r="M70" s="233">
        <v>2244</v>
      </c>
      <c r="N70" s="233">
        <v>0</v>
      </c>
      <c r="O70" s="232">
        <v>0</v>
      </c>
      <c r="P70" s="221">
        <f t="shared" si="1"/>
        <v>2244</v>
      </c>
      <c r="Q70" s="232"/>
      <c r="R70" s="233">
        <v>26720</v>
      </c>
      <c r="S70" s="234">
        <v>9443</v>
      </c>
      <c r="T70" s="234">
        <v>36163</v>
      </c>
    </row>
    <row r="71" spans="1:20">
      <c r="A71" s="227">
        <v>90808</v>
      </c>
      <c r="B71" s="228" t="s">
        <v>787</v>
      </c>
      <c r="C71" s="87">
        <v>1.131E-4</v>
      </c>
      <c r="D71" s="87">
        <v>1.109E-4</v>
      </c>
      <c r="E71" s="232">
        <v>172785</v>
      </c>
      <c r="F71" s="232"/>
      <c r="G71" s="233">
        <v>9954</v>
      </c>
      <c r="H71" s="221">
        <v>41952</v>
      </c>
      <c r="I71" s="233">
        <v>24676</v>
      </c>
      <c r="J71" s="232">
        <v>5678</v>
      </c>
      <c r="K71" s="221">
        <f t="shared" si="0"/>
        <v>82260</v>
      </c>
      <c r="L71" s="232"/>
      <c r="M71" s="233">
        <v>4891</v>
      </c>
      <c r="N71" s="233">
        <v>0</v>
      </c>
      <c r="O71" s="232">
        <v>2008</v>
      </c>
      <c r="P71" s="221">
        <f t="shared" si="1"/>
        <v>6899</v>
      </c>
      <c r="Q71" s="232"/>
      <c r="R71" s="233">
        <v>58229</v>
      </c>
      <c r="S71" s="234">
        <v>731</v>
      </c>
      <c r="T71" s="234">
        <f>58959+1</f>
        <v>58960</v>
      </c>
    </row>
    <row r="72" spans="1:20">
      <c r="A72" s="227">
        <v>90811</v>
      </c>
      <c r="B72" s="228" t="s">
        <v>788</v>
      </c>
      <c r="C72" s="87">
        <v>3.3599999999999997E-5</v>
      </c>
      <c r="D72" s="87">
        <v>4.0000000000000003E-5</v>
      </c>
      <c r="E72" s="232">
        <v>51331</v>
      </c>
      <c r="F72" s="232"/>
      <c r="G72" s="233">
        <v>2957</v>
      </c>
      <c r="H72" s="221">
        <v>12463</v>
      </c>
      <c r="I72" s="233">
        <v>7331</v>
      </c>
      <c r="J72" s="232">
        <v>471</v>
      </c>
      <c r="K72" s="221">
        <f t="shared" si="0"/>
        <v>23222</v>
      </c>
      <c r="L72" s="232"/>
      <c r="M72" s="233">
        <v>1453</v>
      </c>
      <c r="N72" s="233">
        <v>0</v>
      </c>
      <c r="O72" s="232">
        <v>8846</v>
      </c>
      <c r="P72" s="221">
        <f t="shared" si="1"/>
        <v>10299</v>
      </c>
      <c r="Q72" s="232"/>
      <c r="R72" s="233">
        <v>17299</v>
      </c>
      <c r="S72" s="234">
        <v>-1986</v>
      </c>
      <c r="T72" s="234">
        <v>15313</v>
      </c>
    </row>
    <row r="73" spans="1:20">
      <c r="A73" s="227">
        <v>90812</v>
      </c>
      <c r="B73" s="228" t="s">
        <v>789</v>
      </c>
      <c r="C73" s="87">
        <v>2.2900000000000001E-4</v>
      </c>
      <c r="D73" s="87">
        <v>2.13E-4</v>
      </c>
      <c r="E73" s="232">
        <v>349849</v>
      </c>
      <c r="F73" s="232"/>
      <c r="G73" s="233">
        <v>20155</v>
      </c>
      <c r="H73" s="221">
        <v>84944</v>
      </c>
      <c r="I73" s="233">
        <v>49963</v>
      </c>
      <c r="J73" s="232">
        <v>15087</v>
      </c>
      <c r="K73" s="221">
        <f t="shared" ref="K73:K136" si="2">G73+H73+I73+J73</f>
        <v>170149</v>
      </c>
      <c r="L73" s="232"/>
      <c r="M73" s="233">
        <v>9903</v>
      </c>
      <c r="N73" s="233">
        <v>0</v>
      </c>
      <c r="O73" s="232">
        <v>10549</v>
      </c>
      <c r="P73" s="221">
        <f t="shared" ref="P73:P136" si="3">M73+N73+O73</f>
        <v>20452</v>
      </c>
      <c r="Q73" s="232"/>
      <c r="R73" s="233">
        <v>117899</v>
      </c>
      <c r="S73" s="234">
        <v>3117</v>
      </c>
      <c r="T73" s="234">
        <v>121016</v>
      </c>
    </row>
    <row r="74" spans="1:20">
      <c r="A74" s="227">
        <v>90813</v>
      </c>
      <c r="B74" s="228" t="s">
        <v>790</v>
      </c>
      <c r="C74" s="87">
        <v>5.3000000000000001E-6</v>
      </c>
      <c r="D74" s="87">
        <v>5.4999999999999999E-6</v>
      </c>
      <c r="E74" s="232">
        <v>8097</v>
      </c>
      <c r="F74" s="232"/>
      <c r="G74" s="233">
        <v>466</v>
      </c>
      <c r="H74" s="221">
        <v>1966</v>
      </c>
      <c r="I74" s="233">
        <v>1156</v>
      </c>
      <c r="J74" s="232">
        <v>0</v>
      </c>
      <c r="K74" s="221">
        <f t="shared" si="2"/>
        <v>3588</v>
      </c>
      <c r="L74" s="232"/>
      <c r="M74" s="233">
        <v>229</v>
      </c>
      <c r="N74" s="233">
        <v>0</v>
      </c>
      <c r="O74" s="232">
        <v>1124</v>
      </c>
      <c r="P74" s="221">
        <f t="shared" si="3"/>
        <v>1353</v>
      </c>
      <c r="Q74" s="232"/>
      <c r="R74" s="233">
        <v>2729</v>
      </c>
      <c r="S74" s="234">
        <v>-505</v>
      </c>
      <c r="T74" s="234">
        <f>2223+1</f>
        <v>2224</v>
      </c>
    </row>
    <row r="75" spans="1:20">
      <c r="A75" s="227">
        <v>90861</v>
      </c>
      <c r="B75" s="228" t="s">
        <v>791</v>
      </c>
      <c r="C75" s="87">
        <v>4.1999999999999996E-6</v>
      </c>
      <c r="D75" s="87">
        <v>4.7999999999999998E-6</v>
      </c>
      <c r="E75" s="232">
        <v>6416</v>
      </c>
      <c r="F75" s="232"/>
      <c r="G75" s="233">
        <v>370</v>
      </c>
      <c r="H75" s="221">
        <v>1558</v>
      </c>
      <c r="I75" s="233">
        <v>916</v>
      </c>
      <c r="J75" s="232">
        <v>3211</v>
      </c>
      <c r="K75" s="221">
        <f t="shared" si="2"/>
        <v>6055</v>
      </c>
      <c r="L75" s="232"/>
      <c r="M75" s="233">
        <v>182</v>
      </c>
      <c r="N75" s="233">
        <v>0</v>
      </c>
      <c r="O75" s="232">
        <v>1117</v>
      </c>
      <c r="P75" s="221">
        <f t="shared" si="3"/>
        <v>1299</v>
      </c>
      <c r="Q75" s="232"/>
      <c r="R75" s="233">
        <v>2162</v>
      </c>
      <c r="S75" s="234">
        <v>191</v>
      </c>
      <c r="T75" s="234">
        <v>2353</v>
      </c>
    </row>
    <row r="76" spans="1:20">
      <c r="A76" s="227">
        <v>90901</v>
      </c>
      <c r="B76" s="228" t="s">
        <v>792</v>
      </c>
      <c r="C76" s="87">
        <v>2.1814999999999998E-3</v>
      </c>
      <c r="D76" s="87">
        <v>2.1302999999999999E-3</v>
      </c>
      <c r="E76" s="232">
        <v>3332728</v>
      </c>
      <c r="F76" s="232"/>
      <c r="G76" s="233">
        <v>191996</v>
      </c>
      <c r="H76" s="221">
        <v>809191</v>
      </c>
      <c r="I76" s="233">
        <v>475960</v>
      </c>
      <c r="J76" s="232">
        <v>22389</v>
      </c>
      <c r="K76" s="221">
        <f t="shared" si="2"/>
        <v>1499536</v>
      </c>
      <c r="L76" s="232"/>
      <c r="M76" s="233">
        <v>94339</v>
      </c>
      <c r="N76" s="233">
        <v>0</v>
      </c>
      <c r="O76" s="232">
        <v>38005</v>
      </c>
      <c r="P76" s="221">
        <f t="shared" si="3"/>
        <v>132344</v>
      </c>
      <c r="Q76" s="232"/>
      <c r="R76" s="233">
        <v>1123132</v>
      </c>
      <c r="S76" s="234">
        <v>-5969</v>
      </c>
      <c r="T76" s="234">
        <v>1117163</v>
      </c>
    </row>
    <row r="77" spans="1:20">
      <c r="A77" s="227">
        <v>90911</v>
      </c>
      <c r="B77" s="228" t="s">
        <v>793</v>
      </c>
      <c r="C77" s="87">
        <v>3.9780000000000002E-4</v>
      </c>
      <c r="D77" s="87">
        <v>3.6010000000000003E-4</v>
      </c>
      <c r="E77" s="232">
        <v>607728</v>
      </c>
      <c r="F77" s="232"/>
      <c r="G77" s="233">
        <v>35011</v>
      </c>
      <c r="H77" s="221">
        <v>147557</v>
      </c>
      <c r="I77" s="233">
        <v>86792</v>
      </c>
      <c r="J77" s="232">
        <v>6806</v>
      </c>
      <c r="K77" s="221">
        <f t="shared" si="2"/>
        <v>276166</v>
      </c>
      <c r="L77" s="232"/>
      <c r="M77" s="233">
        <v>17203</v>
      </c>
      <c r="N77" s="233">
        <v>0</v>
      </c>
      <c r="O77" s="232">
        <v>31482</v>
      </c>
      <c r="P77" s="221">
        <f t="shared" si="3"/>
        <v>48685</v>
      </c>
      <c r="Q77" s="232"/>
      <c r="R77" s="233">
        <v>204805</v>
      </c>
      <c r="S77" s="234">
        <v>-18326</v>
      </c>
      <c r="T77" s="234">
        <v>186479</v>
      </c>
    </row>
    <row r="78" spans="1:20">
      <c r="A78" s="227">
        <v>90917</v>
      </c>
      <c r="B78" s="228" t="s">
        <v>794</v>
      </c>
      <c r="C78" s="87">
        <v>1.4399999999999999E-5</v>
      </c>
      <c r="D78" s="87">
        <v>1.42E-5</v>
      </c>
      <c r="E78" s="232">
        <v>21999</v>
      </c>
      <c r="F78" s="232"/>
      <c r="G78" s="233">
        <v>1267</v>
      </c>
      <c r="H78" s="221">
        <v>5342</v>
      </c>
      <c r="I78" s="233">
        <v>3142</v>
      </c>
      <c r="J78" s="232">
        <v>1461</v>
      </c>
      <c r="K78" s="221">
        <f t="shared" si="2"/>
        <v>11212</v>
      </c>
      <c r="L78" s="232"/>
      <c r="M78" s="233">
        <v>623</v>
      </c>
      <c r="N78" s="233">
        <v>0</v>
      </c>
      <c r="O78" s="232">
        <v>966</v>
      </c>
      <c r="P78" s="221">
        <f t="shared" si="3"/>
        <v>1589</v>
      </c>
      <c r="Q78" s="232"/>
      <c r="R78" s="233">
        <v>7414</v>
      </c>
      <c r="S78" s="234">
        <v>-22</v>
      </c>
      <c r="T78" s="234">
        <v>7392</v>
      </c>
    </row>
    <row r="79" spans="1:20">
      <c r="A79" s="227">
        <v>90918</v>
      </c>
      <c r="B79" s="228" t="s">
        <v>795</v>
      </c>
      <c r="C79" s="87">
        <v>1.19E-5</v>
      </c>
      <c r="D79" s="87">
        <v>1.24E-5</v>
      </c>
      <c r="E79" s="232">
        <v>18180</v>
      </c>
      <c r="F79" s="232"/>
      <c r="G79" s="233">
        <v>1047</v>
      </c>
      <c r="H79" s="221">
        <v>4414</v>
      </c>
      <c r="I79" s="233">
        <v>2596</v>
      </c>
      <c r="J79" s="232">
        <v>0</v>
      </c>
      <c r="K79" s="221">
        <f t="shared" si="2"/>
        <v>8057</v>
      </c>
      <c r="L79" s="232"/>
      <c r="M79" s="233">
        <v>515</v>
      </c>
      <c r="N79" s="233">
        <v>0</v>
      </c>
      <c r="O79" s="232">
        <v>2553</v>
      </c>
      <c r="P79" s="221">
        <f t="shared" si="3"/>
        <v>3068</v>
      </c>
      <c r="Q79" s="232"/>
      <c r="R79" s="233">
        <v>6127</v>
      </c>
      <c r="S79" s="234">
        <v>-1087</v>
      </c>
      <c r="T79" s="234">
        <f>5039+1</f>
        <v>5040</v>
      </c>
    </row>
    <row r="80" spans="1:20">
      <c r="A80" s="227">
        <v>90921</v>
      </c>
      <c r="B80" s="228" t="s">
        <v>796</v>
      </c>
      <c r="C80" s="87">
        <v>1.2970000000000001E-4</v>
      </c>
      <c r="D80" s="87">
        <v>8.7399999999999997E-5</v>
      </c>
      <c r="E80" s="232">
        <v>198146</v>
      </c>
      <c r="F80" s="232"/>
      <c r="G80" s="233">
        <v>11415</v>
      </c>
      <c r="H80" s="221">
        <v>48110</v>
      </c>
      <c r="I80" s="233">
        <v>28298</v>
      </c>
      <c r="J80" s="232">
        <v>31212</v>
      </c>
      <c r="K80" s="221">
        <f t="shared" si="2"/>
        <v>119035</v>
      </c>
      <c r="L80" s="232"/>
      <c r="M80" s="233">
        <v>5609</v>
      </c>
      <c r="N80" s="233">
        <v>0</v>
      </c>
      <c r="O80" s="232">
        <v>7007</v>
      </c>
      <c r="P80" s="221">
        <f t="shared" si="3"/>
        <v>12616</v>
      </c>
      <c r="Q80" s="232"/>
      <c r="R80" s="233">
        <v>66775</v>
      </c>
      <c r="S80" s="234">
        <v>5102</v>
      </c>
      <c r="T80" s="234">
        <v>71877</v>
      </c>
    </row>
    <row r="81" spans="1:20">
      <c r="A81" s="227">
        <v>90931</v>
      </c>
      <c r="B81" s="228" t="s">
        <v>797</v>
      </c>
      <c r="C81" s="87">
        <v>4.07E-5</v>
      </c>
      <c r="D81" s="87">
        <v>5.1900000000000001E-5</v>
      </c>
      <c r="E81" s="232">
        <v>62178</v>
      </c>
      <c r="F81" s="232"/>
      <c r="G81" s="233">
        <v>3582</v>
      </c>
      <c r="H81" s="221">
        <v>15097</v>
      </c>
      <c r="I81" s="233">
        <v>8880</v>
      </c>
      <c r="J81" s="232">
        <v>3743</v>
      </c>
      <c r="K81" s="221">
        <f t="shared" si="2"/>
        <v>31302</v>
      </c>
      <c r="L81" s="232"/>
      <c r="M81" s="233">
        <v>1760</v>
      </c>
      <c r="N81" s="233">
        <v>0</v>
      </c>
      <c r="O81" s="232">
        <v>14137</v>
      </c>
      <c r="P81" s="221">
        <f t="shared" si="3"/>
        <v>15897</v>
      </c>
      <c r="Q81" s="232"/>
      <c r="R81" s="233">
        <v>20954</v>
      </c>
      <c r="S81" s="234">
        <v>-1298</v>
      </c>
      <c r="T81" s="234">
        <v>19656</v>
      </c>
    </row>
    <row r="82" spans="1:20">
      <c r="A82" s="227">
        <v>90941</v>
      </c>
      <c r="B82" s="228" t="s">
        <v>798</v>
      </c>
      <c r="C82" s="87">
        <v>7.0300000000000001E-5</v>
      </c>
      <c r="D82" s="87">
        <v>9.0799999999999998E-5</v>
      </c>
      <c r="E82" s="232">
        <v>107399</v>
      </c>
      <c r="F82" s="232"/>
      <c r="G82" s="233">
        <v>6187</v>
      </c>
      <c r="H82" s="221">
        <v>26076</v>
      </c>
      <c r="I82" s="233">
        <v>15338</v>
      </c>
      <c r="J82" s="232">
        <v>1686</v>
      </c>
      <c r="K82" s="221">
        <f t="shared" si="2"/>
        <v>49287</v>
      </c>
      <c r="L82" s="232"/>
      <c r="M82" s="233">
        <v>3040</v>
      </c>
      <c r="N82" s="233">
        <v>0</v>
      </c>
      <c r="O82" s="232">
        <v>16031</v>
      </c>
      <c r="P82" s="221">
        <f t="shared" si="3"/>
        <v>19071</v>
      </c>
      <c r="Q82" s="232"/>
      <c r="R82" s="233">
        <v>36194</v>
      </c>
      <c r="S82" s="234">
        <v>-4988</v>
      </c>
      <c r="T82" s="234">
        <f>31205+1</f>
        <v>31206</v>
      </c>
    </row>
    <row r="83" spans="1:20">
      <c r="A83" s="227">
        <v>91001</v>
      </c>
      <c r="B83" s="228" t="s">
        <v>799</v>
      </c>
      <c r="C83" s="87">
        <v>6.6703999999999999E-3</v>
      </c>
      <c r="D83" s="87">
        <v>6.6189999999999999E-3</v>
      </c>
      <c r="E83" s="232">
        <v>10190523</v>
      </c>
      <c r="F83" s="232"/>
      <c r="G83" s="233">
        <v>587069</v>
      </c>
      <c r="H83" s="221">
        <v>2474271</v>
      </c>
      <c r="I83" s="233">
        <v>1455348</v>
      </c>
      <c r="J83" s="232">
        <v>35831</v>
      </c>
      <c r="K83" s="221">
        <f t="shared" si="2"/>
        <v>4552519</v>
      </c>
      <c r="L83" s="232"/>
      <c r="M83" s="233">
        <v>288461</v>
      </c>
      <c r="N83" s="233">
        <v>0</v>
      </c>
      <c r="O83" s="232">
        <v>269013</v>
      </c>
      <c r="P83" s="221">
        <f t="shared" si="3"/>
        <v>557474</v>
      </c>
      <c r="Q83" s="232"/>
      <c r="R83" s="233">
        <v>3434215</v>
      </c>
      <c r="S83" s="234">
        <v>-50061</v>
      </c>
      <c r="T83" s="234">
        <v>3384154</v>
      </c>
    </row>
    <row r="84" spans="1:20">
      <c r="A84" s="227">
        <v>91002</v>
      </c>
      <c r="B84" s="228" t="s">
        <v>800</v>
      </c>
      <c r="C84" s="87">
        <v>6.8860000000000004E-4</v>
      </c>
      <c r="D84" s="87">
        <v>5.6360000000000004E-4</v>
      </c>
      <c r="E84" s="232">
        <v>1051990</v>
      </c>
      <c r="F84" s="232"/>
      <c r="G84" s="233">
        <v>60604</v>
      </c>
      <c r="H84" s="221">
        <v>255424</v>
      </c>
      <c r="I84" s="233">
        <v>150239</v>
      </c>
      <c r="J84" s="232">
        <v>39390</v>
      </c>
      <c r="K84" s="221">
        <f t="shared" si="2"/>
        <v>505657</v>
      </c>
      <c r="L84" s="232"/>
      <c r="M84" s="233">
        <v>29779</v>
      </c>
      <c r="N84" s="233">
        <v>0</v>
      </c>
      <c r="O84" s="232">
        <v>48600</v>
      </c>
      <c r="P84" s="221">
        <f t="shared" si="3"/>
        <v>78379</v>
      </c>
      <c r="Q84" s="232"/>
      <c r="R84" s="233">
        <v>354522</v>
      </c>
      <c r="S84" s="234">
        <v>-8849</v>
      </c>
      <c r="T84" s="234">
        <v>345673</v>
      </c>
    </row>
    <row r="85" spans="1:20">
      <c r="A85" s="227">
        <v>91003</v>
      </c>
      <c r="B85" s="228" t="s">
        <v>801</v>
      </c>
      <c r="C85" s="87">
        <v>5.7260000000000004E-4</v>
      </c>
      <c r="D85" s="87">
        <v>5.6550000000000003E-4</v>
      </c>
      <c r="E85" s="232">
        <v>874774</v>
      </c>
      <c r="F85" s="232"/>
      <c r="G85" s="233">
        <v>50395</v>
      </c>
      <c r="H85" s="221">
        <v>212396</v>
      </c>
      <c r="I85" s="233">
        <v>124930</v>
      </c>
      <c r="J85" s="232">
        <v>27734</v>
      </c>
      <c r="K85" s="221">
        <f t="shared" si="2"/>
        <v>415455</v>
      </c>
      <c r="L85" s="232"/>
      <c r="M85" s="233">
        <v>24762</v>
      </c>
      <c r="N85" s="233">
        <v>0</v>
      </c>
      <c r="O85" s="232">
        <v>28524</v>
      </c>
      <c r="P85" s="221">
        <f t="shared" si="3"/>
        <v>53286</v>
      </c>
      <c r="Q85" s="232"/>
      <c r="R85" s="233">
        <v>294800</v>
      </c>
      <c r="S85" s="234">
        <v>7266</v>
      </c>
      <c r="T85" s="234">
        <v>302066</v>
      </c>
    </row>
    <row r="86" spans="1:20">
      <c r="A86" s="227">
        <v>91004</v>
      </c>
      <c r="B86" s="228" t="s">
        <v>802</v>
      </c>
      <c r="C86" s="87">
        <v>2.58E-5</v>
      </c>
      <c r="D86" s="87">
        <v>1.7499999999999998E-5</v>
      </c>
      <c r="E86" s="232">
        <v>39415</v>
      </c>
      <c r="F86" s="232"/>
      <c r="G86" s="233">
        <v>2271</v>
      </c>
      <c r="H86" s="221">
        <v>9571</v>
      </c>
      <c r="I86" s="233">
        <v>5629</v>
      </c>
      <c r="J86" s="232">
        <v>12153</v>
      </c>
      <c r="K86" s="221">
        <f t="shared" si="2"/>
        <v>29624</v>
      </c>
      <c r="L86" s="232"/>
      <c r="M86" s="233">
        <v>1116</v>
      </c>
      <c r="N86" s="233">
        <v>0</v>
      </c>
      <c r="O86" s="232">
        <v>108</v>
      </c>
      <c r="P86" s="221">
        <f t="shared" si="3"/>
        <v>1224</v>
      </c>
      <c r="Q86" s="232"/>
      <c r="R86" s="233">
        <v>13283</v>
      </c>
      <c r="S86" s="234">
        <v>4277</v>
      </c>
      <c r="T86" s="234">
        <v>17560</v>
      </c>
    </row>
    <row r="87" spans="1:20">
      <c r="A87" s="227">
        <v>91006</v>
      </c>
      <c r="B87" s="228" t="s">
        <v>803</v>
      </c>
      <c r="C87" s="87">
        <v>1.0317E-3</v>
      </c>
      <c r="D87" s="87">
        <v>1.0096E-3</v>
      </c>
      <c r="E87" s="232">
        <v>1576152</v>
      </c>
      <c r="F87" s="232"/>
      <c r="G87" s="233">
        <v>90801</v>
      </c>
      <c r="H87" s="221">
        <v>382692</v>
      </c>
      <c r="I87" s="233">
        <v>225096</v>
      </c>
      <c r="J87" s="232">
        <v>18199</v>
      </c>
      <c r="K87" s="221">
        <f t="shared" si="2"/>
        <v>716788</v>
      </c>
      <c r="L87" s="232"/>
      <c r="M87" s="233">
        <v>44616</v>
      </c>
      <c r="N87" s="233">
        <v>0</v>
      </c>
      <c r="O87" s="232">
        <v>22958</v>
      </c>
      <c r="P87" s="221">
        <f t="shared" si="3"/>
        <v>67574</v>
      </c>
      <c r="Q87" s="232"/>
      <c r="R87" s="233">
        <v>531165</v>
      </c>
      <c r="S87" s="234">
        <v>3230</v>
      </c>
      <c r="T87" s="234">
        <v>534395</v>
      </c>
    </row>
    <row r="88" spans="1:20">
      <c r="A88" s="227">
        <v>91007</v>
      </c>
      <c r="B88" s="228" t="s">
        <v>804</v>
      </c>
      <c r="C88" s="87">
        <v>9.5000000000000005E-6</v>
      </c>
      <c r="D88" s="87">
        <v>1.2500000000000001E-5</v>
      </c>
      <c r="E88" s="232">
        <v>14513</v>
      </c>
      <c r="F88" s="232"/>
      <c r="G88" s="233">
        <v>836</v>
      </c>
      <c r="H88" s="221">
        <v>3524</v>
      </c>
      <c r="I88" s="233">
        <v>2073</v>
      </c>
      <c r="J88" s="232">
        <v>7476</v>
      </c>
      <c r="K88" s="221">
        <f t="shared" si="2"/>
        <v>13909</v>
      </c>
      <c r="L88" s="232"/>
      <c r="M88" s="233">
        <v>411</v>
      </c>
      <c r="N88" s="233">
        <v>0</v>
      </c>
      <c r="O88" s="232">
        <v>507</v>
      </c>
      <c r="P88" s="221">
        <f t="shared" si="3"/>
        <v>918</v>
      </c>
      <c r="Q88" s="232"/>
      <c r="R88" s="233">
        <v>4891</v>
      </c>
      <c r="S88" s="234">
        <v>2150</v>
      </c>
      <c r="T88" s="234">
        <v>7041</v>
      </c>
    </row>
    <row r="89" spans="1:20">
      <c r="A89" s="227">
        <v>91008</v>
      </c>
      <c r="B89" s="228" t="s">
        <v>805</v>
      </c>
      <c r="C89" s="87">
        <v>1.236E-4</v>
      </c>
      <c r="D89" s="87">
        <v>1.273E-4</v>
      </c>
      <c r="E89" s="232">
        <v>188827</v>
      </c>
      <c r="F89" s="232"/>
      <c r="G89" s="233">
        <v>10878</v>
      </c>
      <c r="H89" s="221">
        <v>45847</v>
      </c>
      <c r="I89" s="233">
        <v>26967</v>
      </c>
      <c r="J89" s="232">
        <v>37042</v>
      </c>
      <c r="K89" s="221">
        <f t="shared" si="2"/>
        <v>120734</v>
      </c>
      <c r="L89" s="232"/>
      <c r="M89" s="233">
        <v>5345</v>
      </c>
      <c r="N89" s="233">
        <v>0</v>
      </c>
      <c r="O89" s="232">
        <v>0</v>
      </c>
      <c r="P89" s="221">
        <f t="shared" si="3"/>
        <v>5345</v>
      </c>
      <c r="Q89" s="232"/>
      <c r="R89" s="233">
        <v>63635</v>
      </c>
      <c r="S89" s="234">
        <v>17548</v>
      </c>
      <c r="T89" s="234">
        <v>81183</v>
      </c>
    </row>
    <row r="90" spans="1:20">
      <c r="A90" s="227">
        <v>91009</v>
      </c>
      <c r="B90" s="228" t="s">
        <v>806</v>
      </c>
      <c r="C90" s="87">
        <v>1.7499999999999998E-5</v>
      </c>
      <c r="D90" s="87">
        <v>1.8700000000000001E-5</v>
      </c>
      <c r="E90" s="232">
        <v>26735</v>
      </c>
      <c r="F90" s="232"/>
      <c r="G90" s="233">
        <v>1540</v>
      </c>
      <c r="H90" s="221">
        <v>6491</v>
      </c>
      <c r="I90" s="233">
        <v>3818</v>
      </c>
      <c r="J90" s="232">
        <v>4951</v>
      </c>
      <c r="K90" s="221">
        <f t="shared" si="2"/>
        <v>16800</v>
      </c>
      <c r="L90" s="232"/>
      <c r="M90" s="233">
        <v>757</v>
      </c>
      <c r="N90" s="233">
        <v>0</v>
      </c>
      <c r="O90" s="232">
        <v>2458</v>
      </c>
      <c r="P90" s="221">
        <f t="shared" si="3"/>
        <v>3215</v>
      </c>
      <c r="Q90" s="232"/>
      <c r="R90" s="233">
        <v>9010</v>
      </c>
      <c r="S90" s="234">
        <v>187</v>
      </c>
      <c r="T90" s="234">
        <v>9197</v>
      </c>
    </row>
    <row r="91" spans="1:20">
      <c r="A91" s="227">
        <v>91010</v>
      </c>
      <c r="B91" s="228" t="s">
        <v>807</v>
      </c>
      <c r="C91" s="87">
        <v>7.0099999999999996E-5</v>
      </c>
      <c r="D91" s="87">
        <v>6.8399999999999996E-5</v>
      </c>
      <c r="E91" s="232">
        <v>107093</v>
      </c>
      <c r="F91" s="232"/>
      <c r="G91" s="233">
        <v>6170</v>
      </c>
      <c r="H91" s="221">
        <v>26003</v>
      </c>
      <c r="I91" s="233">
        <v>15294</v>
      </c>
      <c r="J91" s="232">
        <v>7603</v>
      </c>
      <c r="K91" s="221">
        <f t="shared" si="2"/>
        <v>55070</v>
      </c>
      <c r="L91" s="232"/>
      <c r="M91" s="233">
        <v>3031</v>
      </c>
      <c r="N91" s="233">
        <v>0</v>
      </c>
      <c r="O91" s="232">
        <v>296</v>
      </c>
      <c r="P91" s="221">
        <f t="shared" si="3"/>
        <v>3327</v>
      </c>
      <c r="Q91" s="232"/>
      <c r="R91" s="233">
        <v>36091</v>
      </c>
      <c r="S91" s="234">
        <v>4736</v>
      </c>
      <c r="T91" s="234">
        <v>40827</v>
      </c>
    </row>
    <row r="92" spans="1:20">
      <c r="A92" s="227">
        <v>91011</v>
      </c>
      <c r="B92" s="228" t="s">
        <v>808</v>
      </c>
      <c r="C92" s="87">
        <v>3.5760000000000002E-4</v>
      </c>
      <c r="D92" s="87">
        <v>3.1789999999999998E-4</v>
      </c>
      <c r="E92" s="232">
        <v>546314</v>
      </c>
      <c r="F92" s="232"/>
      <c r="G92" s="233">
        <v>31473</v>
      </c>
      <c r="H92" s="221">
        <v>132645</v>
      </c>
      <c r="I92" s="233">
        <v>78021</v>
      </c>
      <c r="J92" s="232">
        <v>43643</v>
      </c>
      <c r="K92" s="221">
        <f t="shared" si="2"/>
        <v>285782</v>
      </c>
      <c r="L92" s="232"/>
      <c r="M92" s="233">
        <v>15464</v>
      </c>
      <c r="N92" s="233">
        <v>0</v>
      </c>
      <c r="O92" s="232">
        <v>0</v>
      </c>
      <c r="P92" s="221">
        <f t="shared" si="3"/>
        <v>15464</v>
      </c>
      <c r="Q92" s="232"/>
      <c r="R92" s="233">
        <v>184108</v>
      </c>
      <c r="S92" s="234">
        <v>16126</v>
      </c>
      <c r="T92" s="234">
        <v>200234</v>
      </c>
    </row>
    <row r="93" spans="1:20">
      <c r="A93" s="227">
        <v>91012</v>
      </c>
      <c r="B93" s="228" t="s">
        <v>809</v>
      </c>
      <c r="C93" s="87">
        <v>1.9300000000000002E-5</v>
      </c>
      <c r="D93" s="87">
        <v>1.49E-5</v>
      </c>
      <c r="E93" s="232">
        <v>29485</v>
      </c>
      <c r="F93" s="232"/>
      <c r="G93" s="233">
        <v>1699</v>
      </c>
      <c r="H93" s="221">
        <v>7159</v>
      </c>
      <c r="I93" s="233">
        <v>4211</v>
      </c>
      <c r="J93" s="232">
        <v>5400</v>
      </c>
      <c r="K93" s="221">
        <f t="shared" si="2"/>
        <v>18469</v>
      </c>
      <c r="L93" s="232"/>
      <c r="M93" s="233">
        <v>835</v>
      </c>
      <c r="N93" s="233">
        <v>0</v>
      </c>
      <c r="O93" s="232">
        <v>2458</v>
      </c>
      <c r="P93" s="221">
        <f t="shared" si="3"/>
        <v>3293</v>
      </c>
      <c r="Q93" s="232"/>
      <c r="R93" s="233">
        <v>9936</v>
      </c>
      <c r="S93" s="234">
        <v>-662</v>
      </c>
      <c r="T93" s="234">
        <f>9275-1</f>
        <v>9274</v>
      </c>
    </row>
    <row r="94" spans="1:20">
      <c r="A94" s="227">
        <v>91013</v>
      </c>
      <c r="B94" s="228" t="s">
        <v>810</v>
      </c>
      <c r="C94" s="87">
        <v>2.34E-5</v>
      </c>
      <c r="D94" s="87">
        <v>2.1800000000000001E-5</v>
      </c>
      <c r="E94" s="232">
        <v>35749</v>
      </c>
      <c r="F94" s="232"/>
      <c r="G94" s="233">
        <v>2059</v>
      </c>
      <c r="H94" s="221">
        <v>8680</v>
      </c>
      <c r="I94" s="233">
        <v>5105</v>
      </c>
      <c r="J94" s="232">
        <v>31764</v>
      </c>
      <c r="K94" s="221">
        <f t="shared" si="2"/>
        <v>47608</v>
      </c>
      <c r="L94" s="232"/>
      <c r="M94" s="233">
        <v>1012</v>
      </c>
      <c r="N94" s="233">
        <v>0</v>
      </c>
      <c r="O94" s="232">
        <v>0</v>
      </c>
      <c r="P94" s="221">
        <f t="shared" si="3"/>
        <v>1012</v>
      </c>
      <c r="Q94" s="232"/>
      <c r="R94" s="233">
        <v>12047</v>
      </c>
      <c r="S94" s="234">
        <v>9518</v>
      </c>
      <c r="T94" s="234">
        <v>21565</v>
      </c>
    </row>
    <row r="95" spans="1:20">
      <c r="A95" s="227">
        <v>91014</v>
      </c>
      <c r="B95" s="228" t="s">
        <v>811</v>
      </c>
      <c r="C95" s="87">
        <v>2.22E-4</v>
      </c>
      <c r="D95" s="87">
        <v>2.1499999999999999E-4</v>
      </c>
      <c r="E95" s="232">
        <v>339155</v>
      </c>
      <c r="F95" s="232"/>
      <c r="G95" s="233">
        <v>19538</v>
      </c>
      <c r="H95" s="221">
        <v>82347</v>
      </c>
      <c r="I95" s="233">
        <v>48436</v>
      </c>
      <c r="J95" s="232">
        <v>1313</v>
      </c>
      <c r="K95" s="221">
        <f t="shared" si="2"/>
        <v>151634</v>
      </c>
      <c r="L95" s="232"/>
      <c r="M95" s="233">
        <v>9600</v>
      </c>
      <c r="N95" s="233">
        <v>0</v>
      </c>
      <c r="O95" s="232">
        <v>11287</v>
      </c>
      <c r="P95" s="221">
        <f t="shared" si="3"/>
        <v>20887</v>
      </c>
      <c r="Q95" s="232"/>
      <c r="R95" s="233">
        <v>114295</v>
      </c>
      <c r="S95" s="234">
        <v>-6129</v>
      </c>
      <c r="T95" s="234">
        <f>108167-1</f>
        <v>108166</v>
      </c>
    </row>
    <row r="96" spans="1:20">
      <c r="A96" s="227">
        <v>91017</v>
      </c>
      <c r="B96" s="228" t="s">
        <v>812</v>
      </c>
      <c r="C96" s="87">
        <v>2.4300000000000001E-5</v>
      </c>
      <c r="D96" s="87">
        <v>2.3E-5</v>
      </c>
      <c r="E96" s="232">
        <v>37124</v>
      </c>
      <c r="F96" s="232"/>
      <c r="G96" s="233">
        <v>2139</v>
      </c>
      <c r="H96" s="221">
        <v>9014</v>
      </c>
      <c r="I96" s="233">
        <v>5302</v>
      </c>
      <c r="J96" s="232">
        <v>10242</v>
      </c>
      <c r="K96" s="221">
        <f t="shared" si="2"/>
        <v>26697</v>
      </c>
      <c r="L96" s="232"/>
      <c r="M96" s="233">
        <v>1051</v>
      </c>
      <c r="N96" s="233">
        <v>0</v>
      </c>
      <c r="O96" s="232">
        <v>0</v>
      </c>
      <c r="P96" s="221">
        <f t="shared" si="3"/>
        <v>1051</v>
      </c>
      <c r="Q96" s="232"/>
      <c r="R96" s="233">
        <v>12511</v>
      </c>
      <c r="S96" s="234">
        <v>4025</v>
      </c>
      <c r="T96" s="234">
        <v>16536</v>
      </c>
    </row>
    <row r="97" spans="1:20">
      <c r="A97" s="227">
        <v>91020</v>
      </c>
      <c r="B97" s="228" t="s">
        <v>813</v>
      </c>
      <c r="C97" s="87">
        <v>2.27E-5</v>
      </c>
      <c r="D97" s="87">
        <v>1.9899999999999999E-5</v>
      </c>
      <c r="E97" s="232">
        <v>34679</v>
      </c>
      <c r="F97" s="232"/>
      <c r="G97" s="233">
        <v>1998</v>
      </c>
      <c r="H97" s="221">
        <v>8420</v>
      </c>
      <c r="I97" s="233">
        <v>4953</v>
      </c>
      <c r="J97" s="232">
        <v>4064</v>
      </c>
      <c r="K97" s="221">
        <f t="shared" si="2"/>
        <v>19435</v>
      </c>
      <c r="L97" s="232"/>
      <c r="M97" s="233">
        <v>982</v>
      </c>
      <c r="N97" s="233">
        <v>0</v>
      </c>
      <c r="O97" s="232">
        <v>376</v>
      </c>
      <c r="P97" s="221">
        <f t="shared" si="3"/>
        <v>1358</v>
      </c>
      <c r="Q97" s="232"/>
      <c r="R97" s="233">
        <v>11687</v>
      </c>
      <c r="S97" s="234">
        <v>1259</v>
      </c>
      <c r="T97" s="234">
        <v>12946</v>
      </c>
    </row>
    <row r="98" spans="1:20">
      <c r="A98" s="227">
        <v>91021</v>
      </c>
      <c r="B98" s="228" t="s">
        <v>814</v>
      </c>
      <c r="C98" s="87">
        <v>8.6450000000000003E-4</v>
      </c>
      <c r="D98" s="87">
        <v>8.6989999999999995E-4</v>
      </c>
      <c r="E98" s="232">
        <v>1320717</v>
      </c>
      <c r="F98" s="232"/>
      <c r="G98" s="233">
        <v>76086</v>
      </c>
      <c r="H98" s="221">
        <v>320672</v>
      </c>
      <c r="I98" s="233">
        <v>188617</v>
      </c>
      <c r="J98" s="232">
        <v>0</v>
      </c>
      <c r="K98" s="221">
        <f t="shared" si="2"/>
        <v>585375</v>
      </c>
      <c r="L98" s="232"/>
      <c r="M98" s="233">
        <v>37385</v>
      </c>
      <c r="N98" s="233">
        <v>0</v>
      </c>
      <c r="O98" s="232">
        <v>82677</v>
      </c>
      <c r="P98" s="221">
        <f t="shared" si="3"/>
        <v>120062</v>
      </c>
      <c r="Q98" s="232"/>
      <c r="R98" s="233">
        <v>445083</v>
      </c>
      <c r="S98" s="234">
        <v>-48679</v>
      </c>
      <c r="T98" s="234">
        <v>396404</v>
      </c>
    </row>
    <row r="99" spans="1:20">
      <c r="A99" s="227">
        <v>91024</v>
      </c>
      <c r="B99" s="228" t="s">
        <v>815</v>
      </c>
      <c r="C99" s="87">
        <v>7.2999999999999999E-5</v>
      </c>
      <c r="D99" s="87">
        <v>6.6299999999999999E-5</v>
      </c>
      <c r="E99" s="232">
        <v>111524</v>
      </c>
      <c r="F99" s="232"/>
      <c r="G99" s="233">
        <v>6425</v>
      </c>
      <c r="H99" s="221">
        <v>27078</v>
      </c>
      <c r="I99" s="233">
        <v>15927</v>
      </c>
      <c r="J99" s="232">
        <v>24081</v>
      </c>
      <c r="K99" s="221">
        <f t="shared" si="2"/>
        <v>73511</v>
      </c>
      <c r="L99" s="232"/>
      <c r="M99" s="233">
        <v>3157</v>
      </c>
      <c r="N99" s="233">
        <v>0</v>
      </c>
      <c r="O99" s="232">
        <v>0</v>
      </c>
      <c r="P99" s="221">
        <f t="shared" si="3"/>
        <v>3157</v>
      </c>
      <c r="Q99" s="232"/>
      <c r="R99" s="233">
        <v>37584</v>
      </c>
      <c r="S99" s="234">
        <v>10843</v>
      </c>
      <c r="T99" s="234">
        <f>48426+1</f>
        <v>48427</v>
      </c>
    </row>
    <row r="100" spans="1:20">
      <c r="A100" s="227">
        <v>91026</v>
      </c>
      <c r="B100" s="228" t="s">
        <v>43</v>
      </c>
      <c r="C100" s="87">
        <v>4.18E-5</v>
      </c>
      <c r="D100" s="87">
        <v>6.0900000000000003E-5</v>
      </c>
      <c r="E100" s="232">
        <v>63859</v>
      </c>
      <c r="F100" s="232"/>
      <c r="G100" s="233">
        <v>3679</v>
      </c>
      <c r="H100" s="221">
        <v>15505</v>
      </c>
      <c r="I100" s="233">
        <v>9120</v>
      </c>
      <c r="J100" s="232">
        <v>34468</v>
      </c>
      <c r="K100" s="221">
        <f t="shared" si="2"/>
        <v>62772</v>
      </c>
      <c r="L100" s="232"/>
      <c r="M100" s="233">
        <v>1808</v>
      </c>
      <c r="N100" s="233">
        <v>0</v>
      </c>
      <c r="O100" s="232">
        <v>3103</v>
      </c>
      <c r="P100" s="221">
        <f t="shared" si="3"/>
        <v>4911</v>
      </c>
      <c r="Q100" s="232"/>
      <c r="R100" s="233">
        <v>21520</v>
      </c>
      <c r="S100" s="234">
        <v>11546</v>
      </c>
      <c r="T100" s="234">
        <v>33066</v>
      </c>
    </row>
    <row r="101" spans="1:20">
      <c r="A101" s="227">
        <v>91027</v>
      </c>
      <c r="B101" s="228" t="s">
        <v>816</v>
      </c>
      <c r="C101" s="87">
        <v>1.4E-5</v>
      </c>
      <c r="D101" s="87">
        <v>1.6099999999999998E-5</v>
      </c>
      <c r="E101" s="232">
        <v>21388</v>
      </c>
      <c r="F101" s="232"/>
      <c r="G101" s="233">
        <v>1232</v>
      </c>
      <c r="H101" s="221">
        <v>5193</v>
      </c>
      <c r="I101" s="233">
        <v>3055</v>
      </c>
      <c r="J101" s="232">
        <v>16343</v>
      </c>
      <c r="K101" s="221">
        <f t="shared" si="2"/>
        <v>25823</v>
      </c>
      <c r="L101" s="232"/>
      <c r="M101" s="233">
        <v>605</v>
      </c>
      <c r="N101" s="233">
        <v>0</v>
      </c>
      <c r="O101" s="232">
        <v>0</v>
      </c>
      <c r="P101" s="221">
        <f t="shared" si="3"/>
        <v>605</v>
      </c>
      <c r="Q101" s="232"/>
      <c r="R101" s="233">
        <v>7208</v>
      </c>
      <c r="S101" s="234">
        <v>6601</v>
      </c>
      <c r="T101" s="234">
        <f>13808+1</f>
        <v>13809</v>
      </c>
    </row>
    <row r="102" spans="1:20">
      <c r="A102" s="227">
        <v>91032</v>
      </c>
      <c r="B102" s="228" t="s">
        <v>817</v>
      </c>
      <c r="C102" s="87">
        <v>1.8E-5</v>
      </c>
      <c r="D102" s="87">
        <v>1.8600000000000001E-5</v>
      </c>
      <c r="E102" s="232">
        <v>27499</v>
      </c>
      <c r="F102" s="232"/>
      <c r="G102" s="233">
        <v>1584</v>
      </c>
      <c r="H102" s="221">
        <v>6677</v>
      </c>
      <c r="I102" s="233">
        <v>3927</v>
      </c>
      <c r="J102" s="232">
        <v>14996</v>
      </c>
      <c r="K102" s="221">
        <f t="shared" si="2"/>
        <v>27184</v>
      </c>
      <c r="L102" s="232"/>
      <c r="M102" s="233">
        <v>778</v>
      </c>
      <c r="N102" s="233">
        <v>0</v>
      </c>
      <c r="O102" s="232">
        <v>0</v>
      </c>
      <c r="P102" s="221">
        <f t="shared" si="3"/>
        <v>778</v>
      </c>
      <c r="Q102" s="232"/>
      <c r="R102" s="233">
        <v>9267</v>
      </c>
      <c r="S102" s="234">
        <v>6458</v>
      </c>
      <c r="T102" s="234">
        <v>15725</v>
      </c>
    </row>
    <row r="103" spans="1:20">
      <c r="A103" s="227">
        <v>91041</v>
      </c>
      <c r="B103" s="228" t="s">
        <v>818</v>
      </c>
      <c r="C103" s="87">
        <v>4.0400000000000001E-4</v>
      </c>
      <c r="D103" s="87">
        <v>4.3609999999999998E-4</v>
      </c>
      <c r="E103" s="232">
        <v>617200</v>
      </c>
      <c r="F103" s="232"/>
      <c r="G103" s="233">
        <v>35556</v>
      </c>
      <c r="H103" s="221">
        <v>149857</v>
      </c>
      <c r="I103" s="233">
        <v>88145</v>
      </c>
      <c r="J103" s="232">
        <v>0</v>
      </c>
      <c r="K103" s="221">
        <f t="shared" si="2"/>
        <v>273558</v>
      </c>
      <c r="L103" s="232"/>
      <c r="M103" s="233">
        <v>17471</v>
      </c>
      <c r="N103" s="233">
        <v>0</v>
      </c>
      <c r="O103" s="232">
        <v>109443</v>
      </c>
      <c r="P103" s="221">
        <f t="shared" si="3"/>
        <v>126914</v>
      </c>
      <c r="Q103" s="232"/>
      <c r="R103" s="233">
        <v>207997</v>
      </c>
      <c r="S103" s="234">
        <v>-39088</v>
      </c>
      <c r="T103" s="234">
        <v>168909</v>
      </c>
    </row>
    <row r="104" spans="1:20">
      <c r="A104" s="227">
        <v>91042</v>
      </c>
      <c r="B104" s="228" t="s">
        <v>819</v>
      </c>
      <c r="C104" s="87">
        <v>2.3360000000000001E-4</v>
      </c>
      <c r="D104" s="87">
        <v>2.062E-4</v>
      </c>
      <c r="E104" s="232">
        <v>356876</v>
      </c>
      <c r="F104" s="232"/>
      <c r="G104" s="233">
        <v>20559</v>
      </c>
      <c r="H104" s="221">
        <v>86650</v>
      </c>
      <c r="I104" s="233">
        <v>50967</v>
      </c>
      <c r="J104" s="232">
        <v>12354</v>
      </c>
      <c r="K104" s="221">
        <f t="shared" si="2"/>
        <v>170530</v>
      </c>
      <c r="L104" s="232"/>
      <c r="M104" s="233">
        <v>10102</v>
      </c>
      <c r="N104" s="233">
        <v>0</v>
      </c>
      <c r="O104" s="232">
        <v>6985</v>
      </c>
      <c r="P104" s="221">
        <f t="shared" si="3"/>
        <v>17087</v>
      </c>
      <c r="Q104" s="232"/>
      <c r="R104" s="233">
        <v>120268</v>
      </c>
      <c r="S104" s="234">
        <v>717</v>
      </c>
      <c r="T104" s="234">
        <f>120984+1</f>
        <v>120985</v>
      </c>
    </row>
    <row r="105" spans="1:20">
      <c r="A105" s="227">
        <v>91047</v>
      </c>
      <c r="B105" s="228" t="s">
        <v>820</v>
      </c>
      <c r="C105" s="87">
        <v>1.31E-5</v>
      </c>
      <c r="D105" s="87">
        <v>1.3200000000000001E-5</v>
      </c>
      <c r="E105" s="232">
        <v>20013</v>
      </c>
      <c r="F105" s="232"/>
      <c r="G105" s="233">
        <v>1153</v>
      </c>
      <c r="H105" s="221">
        <v>4859</v>
      </c>
      <c r="I105" s="233">
        <v>2858</v>
      </c>
      <c r="J105" s="232">
        <v>20507</v>
      </c>
      <c r="K105" s="221">
        <f t="shared" si="2"/>
        <v>29377</v>
      </c>
      <c r="L105" s="232"/>
      <c r="M105" s="233">
        <v>567</v>
      </c>
      <c r="N105" s="233">
        <v>0</v>
      </c>
      <c r="O105" s="232">
        <v>0</v>
      </c>
      <c r="P105" s="221">
        <f t="shared" si="3"/>
        <v>567</v>
      </c>
      <c r="Q105" s="232"/>
      <c r="R105" s="233">
        <v>6744</v>
      </c>
      <c r="S105" s="234">
        <v>7559</v>
      </c>
      <c r="T105" s="234">
        <v>14303</v>
      </c>
    </row>
    <row r="106" spans="1:20">
      <c r="A106" s="227">
        <v>91051</v>
      </c>
      <c r="B106" s="228" t="s">
        <v>821</v>
      </c>
      <c r="C106" s="87">
        <v>6.6400000000000001E-5</v>
      </c>
      <c r="D106" s="87">
        <v>7.6600000000000005E-5</v>
      </c>
      <c r="E106" s="232">
        <v>101441</v>
      </c>
      <c r="F106" s="232"/>
      <c r="G106" s="233">
        <v>5844</v>
      </c>
      <c r="H106" s="221">
        <v>24630</v>
      </c>
      <c r="I106" s="233">
        <v>14487</v>
      </c>
      <c r="J106" s="232">
        <v>1619</v>
      </c>
      <c r="K106" s="221">
        <f t="shared" si="2"/>
        <v>46580</v>
      </c>
      <c r="L106" s="232"/>
      <c r="M106" s="233">
        <v>2871</v>
      </c>
      <c r="N106" s="233">
        <v>0</v>
      </c>
      <c r="O106" s="232">
        <v>8430</v>
      </c>
      <c r="P106" s="221">
        <f t="shared" si="3"/>
        <v>11301</v>
      </c>
      <c r="Q106" s="232"/>
      <c r="R106" s="233">
        <v>34186</v>
      </c>
      <c r="S106" s="234">
        <v>-1576</v>
      </c>
      <c r="T106" s="234">
        <f>32609+1</f>
        <v>32610</v>
      </c>
    </row>
    <row r="107" spans="1:20">
      <c r="A107" s="227">
        <v>91057</v>
      </c>
      <c r="B107" s="228" t="s">
        <v>822</v>
      </c>
      <c r="C107" s="87">
        <v>1.4399999999999999E-5</v>
      </c>
      <c r="D107" s="87">
        <v>1.5E-5</v>
      </c>
      <c r="E107" s="232">
        <v>21999</v>
      </c>
      <c r="F107" s="232"/>
      <c r="G107" s="233">
        <v>1267</v>
      </c>
      <c r="H107" s="221">
        <v>5342</v>
      </c>
      <c r="I107" s="233">
        <v>3142</v>
      </c>
      <c r="J107" s="232">
        <v>5805</v>
      </c>
      <c r="K107" s="221">
        <f t="shared" si="2"/>
        <v>15556</v>
      </c>
      <c r="L107" s="232"/>
      <c r="M107" s="233">
        <v>623</v>
      </c>
      <c r="N107" s="233">
        <v>0</v>
      </c>
      <c r="O107" s="232">
        <v>0</v>
      </c>
      <c r="P107" s="221">
        <f t="shared" si="3"/>
        <v>623</v>
      </c>
      <c r="Q107" s="232"/>
      <c r="R107" s="233">
        <v>7414</v>
      </c>
      <c r="S107" s="234">
        <v>2191</v>
      </c>
      <c r="T107" s="234">
        <v>9605</v>
      </c>
    </row>
    <row r="108" spans="1:20">
      <c r="A108" s="227">
        <v>91061</v>
      </c>
      <c r="B108" s="228" t="s">
        <v>823</v>
      </c>
      <c r="C108" s="87">
        <v>4.104E-4</v>
      </c>
      <c r="D108" s="87">
        <v>3.7730000000000001E-4</v>
      </c>
      <c r="E108" s="232">
        <v>626978</v>
      </c>
      <c r="F108" s="232"/>
      <c r="G108" s="233">
        <v>36120</v>
      </c>
      <c r="H108" s="221">
        <v>152231</v>
      </c>
      <c r="I108" s="233">
        <v>89541</v>
      </c>
      <c r="J108" s="232">
        <v>19267</v>
      </c>
      <c r="K108" s="221">
        <f t="shared" si="2"/>
        <v>297159</v>
      </c>
      <c r="L108" s="232"/>
      <c r="M108" s="233">
        <v>17748</v>
      </c>
      <c r="N108" s="233">
        <v>0</v>
      </c>
      <c r="O108" s="232">
        <v>27800</v>
      </c>
      <c r="P108" s="221">
        <f t="shared" si="3"/>
        <v>45548</v>
      </c>
      <c r="Q108" s="232"/>
      <c r="R108" s="233">
        <v>211292</v>
      </c>
      <c r="S108" s="234">
        <v>-13384</v>
      </c>
      <c r="T108" s="234">
        <v>197908</v>
      </c>
    </row>
    <row r="109" spans="1:20">
      <c r="A109" s="227">
        <v>91067</v>
      </c>
      <c r="B109" s="228" t="s">
        <v>824</v>
      </c>
      <c r="C109" s="87">
        <v>1.5699999999999999E-5</v>
      </c>
      <c r="D109" s="87">
        <v>1.8499999999999999E-5</v>
      </c>
      <c r="E109" s="232">
        <v>23985</v>
      </c>
      <c r="F109" s="232"/>
      <c r="G109" s="233">
        <v>1382</v>
      </c>
      <c r="H109" s="221">
        <v>5824</v>
      </c>
      <c r="I109" s="233">
        <v>3425</v>
      </c>
      <c r="J109" s="232">
        <v>2413</v>
      </c>
      <c r="K109" s="221">
        <f t="shared" si="2"/>
        <v>13044</v>
      </c>
      <c r="L109" s="232"/>
      <c r="M109" s="233">
        <v>679</v>
      </c>
      <c r="N109" s="233">
        <v>0</v>
      </c>
      <c r="O109" s="232">
        <v>406</v>
      </c>
      <c r="P109" s="221">
        <f t="shared" si="3"/>
        <v>1085</v>
      </c>
      <c r="Q109" s="232"/>
      <c r="R109" s="233">
        <v>8083</v>
      </c>
      <c r="S109" s="234">
        <v>1156</v>
      </c>
      <c r="T109" s="234">
        <v>9239</v>
      </c>
    </row>
    <row r="110" spans="1:20">
      <c r="A110" s="227">
        <v>91071</v>
      </c>
      <c r="B110" s="228" t="s">
        <v>825</v>
      </c>
      <c r="C110" s="87">
        <v>2.2770000000000001E-4</v>
      </c>
      <c r="D110" s="87">
        <v>2.4379999999999999E-4</v>
      </c>
      <c r="E110" s="232">
        <v>347863</v>
      </c>
      <c r="F110" s="232"/>
      <c r="G110" s="233">
        <v>20040</v>
      </c>
      <c r="H110" s="221">
        <v>84462</v>
      </c>
      <c r="I110" s="233">
        <v>49680</v>
      </c>
      <c r="J110" s="232">
        <v>8372</v>
      </c>
      <c r="K110" s="221">
        <f t="shared" si="2"/>
        <v>162554</v>
      </c>
      <c r="L110" s="232"/>
      <c r="M110" s="233">
        <v>9847</v>
      </c>
      <c r="N110" s="233">
        <v>0</v>
      </c>
      <c r="O110" s="232">
        <v>22478</v>
      </c>
      <c r="P110" s="221">
        <f t="shared" si="3"/>
        <v>32325</v>
      </c>
      <c r="Q110" s="232"/>
      <c r="R110" s="233">
        <v>117230</v>
      </c>
      <c r="S110" s="234">
        <v>2353</v>
      </c>
      <c r="T110" s="234">
        <v>119583</v>
      </c>
    </row>
    <row r="111" spans="1:20">
      <c r="A111" s="227">
        <v>91077</v>
      </c>
      <c r="B111" s="228" t="s">
        <v>826</v>
      </c>
      <c r="C111" s="87">
        <v>3.5999999999999998E-6</v>
      </c>
      <c r="D111" s="87">
        <v>3.9999999999999998E-6</v>
      </c>
      <c r="E111" s="232">
        <v>5500</v>
      </c>
      <c r="F111" s="232"/>
      <c r="G111" s="233">
        <v>317</v>
      </c>
      <c r="H111" s="221">
        <v>1336</v>
      </c>
      <c r="I111" s="233">
        <v>785</v>
      </c>
      <c r="J111" s="232">
        <v>1826</v>
      </c>
      <c r="K111" s="221">
        <f t="shared" si="2"/>
        <v>4264</v>
      </c>
      <c r="L111" s="232"/>
      <c r="M111" s="233">
        <v>156</v>
      </c>
      <c r="N111" s="233">
        <v>0</v>
      </c>
      <c r="O111" s="232">
        <v>51</v>
      </c>
      <c r="P111" s="221">
        <f t="shared" si="3"/>
        <v>207</v>
      </c>
      <c r="Q111" s="232"/>
      <c r="R111" s="233">
        <v>1853</v>
      </c>
      <c r="S111" s="234">
        <v>551</v>
      </c>
      <c r="T111" s="234">
        <f>2405-1</f>
        <v>2404</v>
      </c>
    </row>
    <row r="112" spans="1:20">
      <c r="A112" s="227">
        <v>91081</v>
      </c>
      <c r="B112" s="228" t="s">
        <v>827</v>
      </c>
      <c r="C112" s="87">
        <v>3.6240000000000003E-4</v>
      </c>
      <c r="D112" s="87">
        <v>3.6499999999999998E-4</v>
      </c>
      <c r="E112" s="232">
        <v>553647</v>
      </c>
      <c r="F112" s="232"/>
      <c r="G112" s="233">
        <v>31895</v>
      </c>
      <c r="H112" s="221">
        <v>134426</v>
      </c>
      <c r="I112" s="233">
        <v>79068</v>
      </c>
      <c r="J112" s="232">
        <v>1618</v>
      </c>
      <c r="K112" s="221">
        <f t="shared" si="2"/>
        <v>247007</v>
      </c>
      <c r="L112" s="232"/>
      <c r="M112" s="233">
        <v>15672</v>
      </c>
      <c r="N112" s="233">
        <v>0</v>
      </c>
      <c r="O112" s="232">
        <v>13549</v>
      </c>
      <c r="P112" s="221">
        <f t="shared" si="3"/>
        <v>29221</v>
      </c>
      <c r="Q112" s="232"/>
      <c r="R112" s="233">
        <v>186579</v>
      </c>
      <c r="S112" s="234">
        <v>-13101</v>
      </c>
      <c r="T112" s="234">
        <v>173478</v>
      </c>
    </row>
    <row r="113" spans="1:20">
      <c r="A113" s="227">
        <v>91091</v>
      </c>
      <c r="B113" s="228" t="s">
        <v>828</v>
      </c>
      <c r="C113" s="87">
        <v>5.3790000000000001E-4</v>
      </c>
      <c r="D113" s="87">
        <v>5.6380000000000004E-4</v>
      </c>
      <c r="E113" s="232">
        <v>821762</v>
      </c>
      <c r="F113" s="232"/>
      <c r="G113" s="233">
        <v>47341</v>
      </c>
      <c r="H113" s="221">
        <v>199525</v>
      </c>
      <c r="I113" s="233">
        <v>117359</v>
      </c>
      <c r="J113" s="232">
        <v>0</v>
      </c>
      <c r="K113" s="221">
        <f t="shared" si="2"/>
        <v>364225</v>
      </c>
      <c r="L113" s="232"/>
      <c r="M113" s="233">
        <v>23261</v>
      </c>
      <c r="N113" s="233">
        <v>0</v>
      </c>
      <c r="O113" s="232">
        <v>66212</v>
      </c>
      <c r="P113" s="221">
        <f t="shared" si="3"/>
        <v>89473</v>
      </c>
      <c r="Q113" s="232"/>
      <c r="R113" s="233">
        <v>276935</v>
      </c>
      <c r="S113" s="234">
        <v>-30835</v>
      </c>
      <c r="T113" s="234">
        <f>246099+1</f>
        <v>246100</v>
      </c>
    </row>
    <row r="114" spans="1:20">
      <c r="A114" s="227">
        <v>91101</v>
      </c>
      <c r="B114" s="228" t="s">
        <v>829</v>
      </c>
      <c r="C114" s="87">
        <v>1.35581E-2</v>
      </c>
      <c r="D114" s="87">
        <v>1.36685E-2</v>
      </c>
      <c r="E114" s="232">
        <v>20713021</v>
      </c>
      <c r="F114" s="232"/>
      <c r="G114" s="233">
        <v>1193262</v>
      </c>
      <c r="H114" s="221">
        <v>5029146</v>
      </c>
      <c r="I114" s="233">
        <v>2958106</v>
      </c>
      <c r="J114" s="232">
        <v>471609</v>
      </c>
      <c r="K114" s="221">
        <f t="shared" si="2"/>
        <v>9652123</v>
      </c>
      <c r="L114" s="232"/>
      <c r="M114" s="233">
        <v>586320</v>
      </c>
      <c r="N114" s="233">
        <v>0</v>
      </c>
      <c r="O114" s="232">
        <v>587664</v>
      </c>
      <c r="P114" s="221">
        <f t="shared" si="3"/>
        <v>1173984</v>
      </c>
      <c r="Q114" s="232"/>
      <c r="R114" s="233">
        <v>6980306</v>
      </c>
      <c r="S114" s="234">
        <v>147859</v>
      </c>
      <c r="T114" s="234">
        <v>7128165</v>
      </c>
    </row>
    <row r="115" spans="1:20">
      <c r="A115" s="227">
        <v>91102</v>
      </c>
      <c r="B115" s="228" t="s">
        <v>830</v>
      </c>
      <c r="C115" s="87">
        <v>3.2919999999999998E-4</v>
      </c>
      <c r="D115" s="87">
        <v>3.034E-4</v>
      </c>
      <c r="E115" s="232">
        <v>502926</v>
      </c>
      <c r="F115" s="232"/>
      <c r="G115" s="233">
        <v>28973</v>
      </c>
      <c r="H115" s="221">
        <v>122111</v>
      </c>
      <c r="I115" s="233">
        <v>71825</v>
      </c>
      <c r="J115" s="232">
        <v>35240</v>
      </c>
      <c r="K115" s="221">
        <f t="shared" si="2"/>
        <v>258149</v>
      </c>
      <c r="L115" s="232"/>
      <c r="M115" s="233">
        <v>14236</v>
      </c>
      <c r="N115" s="233">
        <v>0</v>
      </c>
      <c r="O115" s="232">
        <v>33978</v>
      </c>
      <c r="P115" s="221">
        <f t="shared" si="3"/>
        <v>48214</v>
      </c>
      <c r="Q115" s="232"/>
      <c r="R115" s="233">
        <v>169487</v>
      </c>
      <c r="S115" s="234">
        <v>-8323</v>
      </c>
      <c r="T115" s="234">
        <f>161163+1</f>
        <v>161164</v>
      </c>
    </row>
    <row r="116" spans="1:20">
      <c r="A116" s="227">
        <v>91104</v>
      </c>
      <c r="B116" s="228" t="s">
        <v>831</v>
      </c>
      <c r="C116" s="87">
        <v>7.9000000000000006E-6</v>
      </c>
      <c r="D116" s="87">
        <v>8.1999999999999994E-6</v>
      </c>
      <c r="E116" s="232">
        <v>12069</v>
      </c>
      <c r="F116" s="232"/>
      <c r="G116" s="233">
        <v>695</v>
      </c>
      <c r="H116" s="221">
        <v>2930</v>
      </c>
      <c r="I116" s="233">
        <v>1724</v>
      </c>
      <c r="J116" s="232">
        <v>2115</v>
      </c>
      <c r="K116" s="221">
        <f t="shared" si="2"/>
        <v>7464</v>
      </c>
      <c r="L116" s="232"/>
      <c r="M116" s="233">
        <v>342</v>
      </c>
      <c r="N116" s="233">
        <v>0</v>
      </c>
      <c r="O116" s="232">
        <v>39</v>
      </c>
      <c r="P116" s="221">
        <f t="shared" si="3"/>
        <v>381</v>
      </c>
      <c r="Q116" s="232"/>
      <c r="R116" s="233">
        <v>4067</v>
      </c>
      <c r="S116" s="234">
        <v>589</v>
      </c>
      <c r="T116" s="234">
        <v>4656</v>
      </c>
    </row>
    <row r="117" spans="1:20">
      <c r="A117" s="227">
        <v>91107</v>
      </c>
      <c r="B117" s="228" t="s">
        <v>832</v>
      </c>
      <c r="C117" s="87">
        <v>7.08E-5</v>
      </c>
      <c r="D117" s="87">
        <v>6.7899999999999997E-5</v>
      </c>
      <c r="E117" s="232">
        <v>108163</v>
      </c>
      <c r="F117" s="232"/>
      <c r="G117" s="233">
        <v>6231</v>
      </c>
      <c r="H117" s="221">
        <v>26263</v>
      </c>
      <c r="I117" s="233">
        <v>15447</v>
      </c>
      <c r="J117" s="232">
        <v>13143</v>
      </c>
      <c r="K117" s="221">
        <f t="shared" si="2"/>
        <v>61084</v>
      </c>
      <c r="L117" s="232"/>
      <c r="M117" s="233">
        <v>3062</v>
      </c>
      <c r="N117" s="233">
        <v>0</v>
      </c>
      <c r="O117" s="232">
        <v>0</v>
      </c>
      <c r="P117" s="221">
        <f t="shared" si="3"/>
        <v>3062</v>
      </c>
      <c r="Q117" s="232"/>
      <c r="R117" s="233">
        <v>36451</v>
      </c>
      <c r="S117" s="234">
        <v>5162</v>
      </c>
      <c r="T117" s="234">
        <v>41613</v>
      </c>
    </row>
    <row r="118" spans="1:20">
      <c r="A118" s="227">
        <v>91108</v>
      </c>
      <c r="B118" s="228" t="s">
        <v>833</v>
      </c>
      <c r="C118" s="87">
        <v>1.2413999999999999E-3</v>
      </c>
      <c r="D118" s="87">
        <v>1.2622E-3</v>
      </c>
      <c r="E118" s="232">
        <v>1896515</v>
      </c>
      <c r="F118" s="232"/>
      <c r="G118" s="233">
        <v>109257</v>
      </c>
      <c r="H118" s="221">
        <v>460476</v>
      </c>
      <c r="I118" s="233">
        <v>270849</v>
      </c>
      <c r="J118" s="232">
        <v>74887</v>
      </c>
      <c r="K118" s="221">
        <f t="shared" si="2"/>
        <v>915469</v>
      </c>
      <c r="L118" s="232"/>
      <c r="M118" s="233">
        <v>53684</v>
      </c>
      <c r="N118" s="233">
        <v>0</v>
      </c>
      <c r="O118" s="232">
        <v>0</v>
      </c>
      <c r="P118" s="221">
        <f t="shared" si="3"/>
        <v>53684</v>
      </c>
      <c r="Q118" s="232"/>
      <c r="R118" s="233">
        <v>639127</v>
      </c>
      <c r="S118" s="234">
        <v>34876</v>
      </c>
      <c r="T118" s="234">
        <v>674003</v>
      </c>
    </row>
    <row r="119" spans="1:20">
      <c r="A119" s="227">
        <v>91109</v>
      </c>
      <c r="B119" s="228" t="s">
        <v>834</v>
      </c>
      <c r="C119" s="87">
        <v>9.9599999999999995E-5</v>
      </c>
      <c r="D119" s="87">
        <v>9.2100000000000003E-5</v>
      </c>
      <c r="E119" s="232">
        <v>152161</v>
      </c>
      <c r="F119" s="232"/>
      <c r="G119" s="233">
        <v>8766</v>
      </c>
      <c r="H119" s="221">
        <v>36945</v>
      </c>
      <c r="I119" s="233">
        <v>21731</v>
      </c>
      <c r="J119" s="232">
        <v>5921</v>
      </c>
      <c r="K119" s="221">
        <f t="shared" si="2"/>
        <v>73363</v>
      </c>
      <c r="L119" s="232"/>
      <c r="M119" s="233">
        <v>4307</v>
      </c>
      <c r="N119" s="233">
        <v>0</v>
      </c>
      <c r="O119" s="232">
        <v>920</v>
      </c>
      <c r="P119" s="221">
        <f t="shared" si="3"/>
        <v>5227</v>
      </c>
      <c r="Q119" s="232"/>
      <c r="R119" s="233">
        <v>51278</v>
      </c>
      <c r="S119" s="234">
        <v>1215</v>
      </c>
      <c r="T119" s="234">
        <v>52493</v>
      </c>
    </row>
    <row r="120" spans="1:20">
      <c r="A120" s="227">
        <v>91111</v>
      </c>
      <c r="B120" s="228" t="s">
        <v>835</v>
      </c>
      <c r="C120" s="87">
        <v>2.2719999999999999E-4</v>
      </c>
      <c r="D120" s="87">
        <v>2.2359999999999999E-4</v>
      </c>
      <c r="E120" s="232">
        <v>347099</v>
      </c>
      <c r="F120" s="232"/>
      <c r="G120" s="233">
        <v>19996</v>
      </c>
      <c r="H120" s="221">
        <v>84276</v>
      </c>
      <c r="I120" s="233">
        <v>49570</v>
      </c>
      <c r="J120" s="232">
        <v>25492</v>
      </c>
      <c r="K120" s="221">
        <f t="shared" si="2"/>
        <v>179334</v>
      </c>
      <c r="L120" s="232"/>
      <c r="M120" s="233">
        <v>9825</v>
      </c>
      <c r="N120" s="233">
        <v>0</v>
      </c>
      <c r="O120" s="232">
        <v>0</v>
      </c>
      <c r="P120" s="221">
        <f t="shared" si="3"/>
        <v>9825</v>
      </c>
      <c r="Q120" s="232"/>
      <c r="R120" s="233">
        <v>116973</v>
      </c>
      <c r="S120" s="234">
        <v>10793</v>
      </c>
      <c r="T120" s="234">
        <v>127766</v>
      </c>
    </row>
    <row r="121" spans="1:20">
      <c r="A121" s="227">
        <v>91119</v>
      </c>
      <c r="B121" s="228" t="s">
        <v>48</v>
      </c>
      <c r="C121" s="87">
        <v>0</v>
      </c>
      <c r="D121" s="87">
        <v>0</v>
      </c>
      <c r="E121" s="232">
        <v>0</v>
      </c>
      <c r="F121" s="232"/>
      <c r="G121" s="233">
        <v>0</v>
      </c>
      <c r="H121" s="221">
        <v>0</v>
      </c>
      <c r="I121" s="233">
        <v>0</v>
      </c>
      <c r="J121" s="232">
        <v>0</v>
      </c>
      <c r="K121" s="221">
        <f t="shared" si="2"/>
        <v>0</v>
      </c>
      <c r="L121" s="232"/>
      <c r="M121" s="233">
        <v>0</v>
      </c>
      <c r="N121" s="233">
        <v>0</v>
      </c>
      <c r="O121" s="232">
        <v>321091</v>
      </c>
      <c r="P121" s="221">
        <f t="shared" si="3"/>
        <v>321091</v>
      </c>
      <c r="Q121" s="232"/>
      <c r="R121" s="233">
        <v>0</v>
      </c>
      <c r="S121" s="234">
        <v>-324334</v>
      </c>
      <c r="T121" s="234">
        <v>-324334</v>
      </c>
    </row>
    <row r="122" spans="1:20">
      <c r="A122" s="227">
        <v>91120</v>
      </c>
      <c r="B122" s="228" t="s">
        <v>836</v>
      </c>
      <c r="C122" s="87">
        <v>1.3019999999999999E-4</v>
      </c>
      <c r="D122" s="87">
        <v>1.184E-4</v>
      </c>
      <c r="E122" s="232">
        <v>198910</v>
      </c>
      <c r="F122" s="232"/>
      <c r="G122" s="233">
        <v>11459</v>
      </c>
      <c r="H122" s="221">
        <v>48295</v>
      </c>
      <c r="I122" s="233">
        <v>28407</v>
      </c>
      <c r="J122" s="232">
        <v>0</v>
      </c>
      <c r="K122" s="221">
        <f t="shared" si="2"/>
        <v>88161</v>
      </c>
      <c r="L122" s="232"/>
      <c r="M122" s="233">
        <v>5630</v>
      </c>
      <c r="N122" s="233">
        <v>0</v>
      </c>
      <c r="O122" s="232">
        <v>21939</v>
      </c>
      <c r="P122" s="221">
        <f t="shared" si="3"/>
        <v>27569</v>
      </c>
      <c r="Q122" s="232"/>
      <c r="R122" s="233">
        <v>67033</v>
      </c>
      <c r="S122" s="234">
        <v>-12131</v>
      </c>
      <c r="T122" s="234">
        <v>54902</v>
      </c>
    </row>
    <row r="123" spans="1:20">
      <c r="A123" s="227">
        <v>91121</v>
      </c>
      <c r="B123" s="228" t="s">
        <v>837</v>
      </c>
      <c r="C123" s="87">
        <v>9.9927999999999996E-3</v>
      </c>
      <c r="D123" s="87">
        <v>9.7842999999999992E-3</v>
      </c>
      <c r="E123" s="232">
        <v>15266230</v>
      </c>
      <c r="F123" s="232"/>
      <c r="G123" s="233">
        <v>879476</v>
      </c>
      <c r="H123" s="221">
        <v>3706660</v>
      </c>
      <c r="I123" s="233">
        <v>2180229</v>
      </c>
      <c r="J123" s="232">
        <v>0</v>
      </c>
      <c r="K123" s="221">
        <f t="shared" si="2"/>
        <v>6766365</v>
      </c>
      <c r="L123" s="232"/>
      <c r="M123" s="233">
        <v>432139</v>
      </c>
      <c r="N123" s="233">
        <v>0</v>
      </c>
      <c r="O123" s="232">
        <v>650994</v>
      </c>
      <c r="P123" s="221">
        <f t="shared" si="3"/>
        <v>1083133</v>
      </c>
      <c r="Q123" s="232"/>
      <c r="R123" s="233">
        <v>5144733</v>
      </c>
      <c r="S123" s="234">
        <v>-324255</v>
      </c>
      <c r="T123" s="234">
        <f>4820479-1</f>
        <v>4820478</v>
      </c>
    </row>
    <row r="124" spans="1:20">
      <c r="A124" s="227">
        <v>91127</v>
      </c>
      <c r="B124" s="228" t="s">
        <v>838</v>
      </c>
      <c r="C124" s="87">
        <v>2.6879999999999997E-4</v>
      </c>
      <c r="D124" s="87">
        <v>2.8229999999999998E-4</v>
      </c>
      <c r="E124" s="232">
        <v>410652</v>
      </c>
      <c r="F124" s="232"/>
      <c r="G124" s="233">
        <v>23657</v>
      </c>
      <c r="H124" s="221">
        <v>99706</v>
      </c>
      <c r="I124" s="233">
        <v>58647</v>
      </c>
      <c r="J124" s="232">
        <v>46863</v>
      </c>
      <c r="K124" s="221">
        <f t="shared" si="2"/>
        <v>228873</v>
      </c>
      <c r="L124" s="232"/>
      <c r="M124" s="233">
        <v>11624</v>
      </c>
      <c r="N124" s="233">
        <v>0</v>
      </c>
      <c r="O124" s="232">
        <v>0</v>
      </c>
      <c r="P124" s="221">
        <f t="shared" si="3"/>
        <v>11624</v>
      </c>
      <c r="Q124" s="232"/>
      <c r="R124" s="233">
        <v>138390</v>
      </c>
      <c r="S124" s="234">
        <v>25061</v>
      </c>
      <c r="T124" s="234">
        <v>163451</v>
      </c>
    </row>
    <row r="125" spans="1:20">
      <c r="A125" s="227">
        <v>91128</v>
      </c>
      <c r="B125" s="228" t="s">
        <v>839</v>
      </c>
      <c r="C125" s="87">
        <v>5.2380000000000005E-4</v>
      </c>
      <c r="D125" s="87">
        <v>5.0929999999999997E-4</v>
      </c>
      <c r="E125" s="232">
        <v>800221</v>
      </c>
      <c r="F125" s="232"/>
      <c r="G125" s="233">
        <v>46100</v>
      </c>
      <c r="H125" s="221">
        <v>194295</v>
      </c>
      <c r="I125" s="233">
        <v>114283</v>
      </c>
      <c r="J125" s="232">
        <v>15169</v>
      </c>
      <c r="K125" s="221">
        <f t="shared" si="2"/>
        <v>369847</v>
      </c>
      <c r="L125" s="232"/>
      <c r="M125" s="233">
        <v>22652</v>
      </c>
      <c r="N125" s="233">
        <v>0</v>
      </c>
      <c r="O125" s="232">
        <v>6263</v>
      </c>
      <c r="P125" s="221">
        <f t="shared" si="3"/>
        <v>28915</v>
      </c>
      <c r="Q125" s="232"/>
      <c r="R125" s="233">
        <v>269675</v>
      </c>
      <c r="S125" s="234">
        <v>-679</v>
      </c>
      <c r="T125" s="234">
        <v>268996</v>
      </c>
    </row>
    <row r="126" spans="1:20">
      <c r="A126" s="227">
        <v>91138</v>
      </c>
      <c r="B126" s="228" t="s">
        <v>840</v>
      </c>
      <c r="C126" s="87">
        <v>6.2629999999999999E-4</v>
      </c>
      <c r="D126" s="87">
        <v>6.2350000000000003E-4</v>
      </c>
      <c r="E126" s="232">
        <v>956813</v>
      </c>
      <c r="F126" s="232"/>
      <c r="G126" s="233">
        <v>55121</v>
      </c>
      <c r="H126" s="221">
        <v>232316</v>
      </c>
      <c r="I126" s="233">
        <v>136646</v>
      </c>
      <c r="J126" s="232">
        <v>0</v>
      </c>
      <c r="K126" s="221">
        <f t="shared" si="2"/>
        <v>424083</v>
      </c>
      <c r="L126" s="232"/>
      <c r="M126" s="233">
        <v>27084</v>
      </c>
      <c r="N126" s="233">
        <v>0</v>
      </c>
      <c r="O126" s="232">
        <v>127984</v>
      </c>
      <c r="P126" s="221">
        <f t="shared" si="3"/>
        <v>155068</v>
      </c>
      <c r="Q126" s="232"/>
      <c r="R126" s="233">
        <v>322447</v>
      </c>
      <c r="S126" s="234">
        <v>-48531</v>
      </c>
      <c r="T126" s="234">
        <v>273916</v>
      </c>
    </row>
    <row r="127" spans="1:20">
      <c r="A127" s="227">
        <v>91141</v>
      </c>
      <c r="B127" s="228" t="s">
        <v>841</v>
      </c>
      <c r="C127" s="87">
        <v>5.7569999999999995E-4</v>
      </c>
      <c r="D127" s="87">
        <v>5.5679999999999998E-4</v>
      </c>
      <c r="E127" s="232">
        <v>879510</v>
      </c>
      <c r="F127" s="232"/>
      <c r="G127" s="233">
        <v>50668</v>
      </c>
      <c r="H127" s="221">
        <v>213546</v>
      </c>
      <c r="I127" s="233">
        <v>125606</v>
      </c>
      <c r="J127" s="232">
        <v>0</v>
      </c>
      <c r="K127" s="221">
        <f t="shared" si="2"/>
        <v>389820</v>
      </c>
      <c r="L127" s="232"/>
      <c r="M127" s="233">
        <v>24896</v>
      </c>
      <c r="N127" s="233">
        <v>0</v>
      </c>
      <c r="O127" s="232">
        <v>80393</v>
      </c>
      <c r="P127" s="221">
        <f t="shared" si="3"/>
        <v>105289</v>
      </c>
      <c r="Q127" s="232"/>
      <c r="R127" s="233">
        <v>296396</v>
      </c>
      <c r="S127" s="234">
        <v>-38126</v>
      </c>
      <c r="T127" s="234">
        <v>258270</v>
      </c>
    </row>
    <row r="128" spans="1:20">
      <c r="A128" s="227">
        <v>91147</v>
      </c>
      <c r="B128" s="228" t="s">
        <v>842</v>
      </c>
      <c r="C128" s="87">
        <v>2.6699999999999998E-5</v>
      </c>
      <c r="D128" s="87">
        <v>2.4199999999999999E-5</v>
      </c>
      <c r="E128" s="232">
        <v>40790</v>
      </c>
      <c r="F128" s="232"/>
      <c r="G128" s="233">
        <v>2350</v>
      </c>
      <c r="H128" s="221">
        <v>9904</v>
      </c>
      <c r="I128" s="233">
        <v>5825</v>
      </c>
      <c r="J128" s="232">
        <v>8489</v>
      </c>
      <c r="K128" s="221">
        <f t="shared" si="2"/>
        <v>26568</v>
      </c>
      <c r="L128" s="232"/>
      <c r="M128" s="233">
        <v>1155</v>
      </c>
      <c r="N128" s="233">
        <v>0</v>
      </c>
      <c r="O128" s="232">
        <v>0</v>
      </c>
      <c r="P128" s="221">
        <f t="shared" si="3"/>
        <v>1155</v>
      </c>
      <c r="Q128" s="232"/>
      <c r="R128" s="233">
        <v>13746</v>
      </c>
      <c r="S128" s="234">
        <v>4333</v>
      </c>
      <c r="T128" s="234">
        <f>18080-1</f>
        <v>18079</v>
      </c>
    </row>
    <row r="129" spans="1:20">
      <c r="A129" s="227">
        <v>91151</v>
      </c>
      <c r="B129" s="228" t="s">
        <v>843</v>
      </c>
      <c r="C129" s="87">
        <v>6.3409999999999996E-4</v>
      </c>
      <c r="D129" s="87">
        <v>6.1180000000000002E-4</v>
      </c>
      <c r="E129" s="232">
        <v>968729</v>
      </c>
      <c r="F129" s="232"/>
      <c r="G129" s="233">
        <v>55808</v>
      </c>
      <c r="H129" s="221">
        <v>235208</v>
      </c>
      <c r="I129" s="233">
        <v>138348</v>
      </c>
      <c r="J129" s="232">
        <v>6907</v>
      </c>
      <c r="K129" s="221">
        <f t="shared" si="2"/>
        <v>436271</v>
      </c>
      <c r="L129" s="232"/>
      <c r="M129" s="233">
        <v>27422</v>
      </c>
      <c r="N129" s="233">
        <v>0</v>
      </c>
      <c r="O129" s="232">
        <v>49311</v>
      </c>
      <c r="P129" s="221">
        <f t="shared" si="3"/>
        <v>76733</v>
      </c>
      <c r="Q129" s="232"/>
      <c r="R129" s="233">
        <v>326463</v>
      </c>
      <c r="S129" s="234">
        <v>-15290</v>
      </c>
      <c r="T129" s="234">
        <f>311172+1</f>
        <v>311173</v>
      </c>
    </row>
    <row r="130" spans="1:20">
      <c r="A130" s="227">
        <v>91154</v>
      </c>
      <c r="B130" s="228" t="s">
        <v>844</v>
      </c>
      <c r="C130" s="87">
        <v>2.6299999999999999E-5</v>
      </c>
      <c r="D130" s="87">
        <v>1.9599999999999999E-5</v>
      </c>
      <c r="E130" s="232">
        <v>40179</v>
      </c>
      <c r="F130" s="232"/>
      <c r="G130" s="233">
        <v>2315</v>
      </c>
      <c r="H130" s="221">
        <v>9756</v>
      </c>
      <c r="I130" s="233">
        <v>5738</v>
      </c>
      <c r="J130" s="232">
        <v>7326</v>
      </c>
      <c r="K130" s="221">
        <f t="shared" si="2"/>
        <v>25135</v>
      </c>
      <c r="L130" s="232"/>
      <c r="M130" s="233">
        <v>1137</v>
      </c>
      <c r="N130" s="233">
        <v>0</v>
      </c>
      <c r="O130" s="232">
        <v>0</v>
      </c>
      <c r="P130" s="221">
        <f t="shared" si="3"/>
        <v>1137</v>
      </c>
      <c r="Q130" s="232"/>
      <c r="R130" s="233">
        <v>13540</v>
      </c>
      <c r="S130" s="234">
        <v>2962</v>
      </c>
      <c r="T130" s="234">
        <f>16503-1</f>
        <v>16502</v>
      </c>
    </row>
    <row r="131" spans="1:20">
      <c r="A131" s="227">
        <v>91161</v>
      </c>
      <c r="B131" s="228" t="s">
        <v>845</v>
      </c>
      <c r="C131" s="87">
        <v>9.2600000000000001E-5</v>
      </c>
      <c r="D131" s="87">
        <v>9.4599999999999996E-5</v>
      </c>
      <c r="E131" s="232">
        <v>141467</v>
      </c>
      <c r="F131" s="232"/>
      <c r="G131" s="233">
        <v>8150</v>
      </c>
      <c r="H131" s="221">
        <v>34348</v>
      </c>
      <c r="I131" s="233">
        <v>20203</v>
      </c>
      <c r="J131" s="232">
        <v>5327</v>
      </c>
      <c r="K131" s="221">
        <f t="shared" si="2"/>
        <v>68028</v>
      </c>
      <c r="L131" s="232"/>
      <c r="M131" s="233">
        <v>4004</v>
      </c>
      <c r="N131" s="233">
        <v>0</v>
      </c>
      <c r="O131" s="232">
        <v>3079</v>
      </c>
      <c r="P131" s="221">
        <f t="shared" si="3"/>
        <v>7083</v>
      </c>
      <c r="Q131" s="232"/>
      <c r="R131" s="233">
        <v>47675</v>
      </c>
      <c r="S131" s="234">
        <v>935</v>
      </c>
      <c r="T131" s="234">
        <v>48610</v>
      </c>
    </row>
    <row r="132" spans="1:20">
      <c r="A132" s="227">
        <v>91171</v>
      </c>
      <c r="B132" s="228" t="s">
        <v>846</v>
      </c>
      <c r="C132" s="87">
        <v>1.95E-4</v>
      </c>
      <c r="D132" s="87">
        <v>2.5589999999999999E-4</v>
      </c>
      <c r="E132" s="232">
        <v>297906</v>
      </c>
      <c r="F132" s="232"/>
      <c r="G132" s="233">
        <v>17162</v>
      </c>
      <c r="H132" s="221">
        <v>72331</v>
      </c>
      <c r="I132" s="233">
        <v>42545</v>
      </c>
      <c r="J132" s="232">
        <v>0</v>
      </c>
      <c r="K132" s="221">
        <f t="shared" si="2"/>
        <v>132038</v>
      </c>
      <c r="L132" s="232"/>
      <c r="M132" s="233">
        <v>8433</v>
      </c>
      <c r="N132" s="233">
        <v>0</v>
      </c>
      <c r="O132" s="232">
        <v>58020</v>
      </c>
      <c r="P132" s="221">
        <f t="shared" si="3"/>
        <v>66453</v>
      </c>
      <c r="Q132" s="232"/>
      <c r="R132" s="233">
        <v>100395</v>
      </c>
      <c r="S132" s="234">
        <v>-21400</v>
      </c>
      <c r="T132" s="234">
        <f>78994+1</f>
        <v>78995</v>
      </c>
    </row>
    <row r="133" spans="1:20">
      <c r="A133" s="227">
        <v>91201</v>
      </c>
      <c r="B133" s="228" t="s">
        <v>847</v>
      </c>
      <c r="C133" s="87">
        <v>2.2878E-3</v>
      </c>
      <c r="D133" s="87">
        <v>2.3127999999999998E-3</v>
      </c>
      <c r="E133" s="232">
        <v>3495125</v>
      </c>
      <c r="F133" s="232"/>
      <c r="G133" s="233">
        <v>201352</v>
      </c>
      <c r="H133" s="221">
        <v>848620</v>
      </c>
      <c r="I133" s="233">
        <v>499152</v>
      </c>
      <c r="J133" s="232">
        <v>40348</v>
      </c>
      <c r="K133" s="221">
        <f t="shared" si="2"/>
        <v>1589472</v>
      </c>
      <c r="L133" s="232"/>
      <c r="M133" s="233">
        <v>98936</v>
      </c>
      <c r="N133" s="233">
        <v>0</v>
      </c>
      <c r="O133" s="232">
        <v>96428</v>
      </c>
      <c r="P133" s="221">
        <f t="shared" si="3"/>
        <v>195364</v>
      </c>
      <c r="Q133" s="232"/>
      <c r="R133" s="233">
        <v>1177860</v>
      </c>
      <c r="S133" s="234">
        <v>-568</v>
      </c>
      <c r="T133" s="234">
        <v>1177292</v>
      </c>
    </row>
    <row r="134" spans="1:20">
      <c r="A134" s="227">
        <v>91202</v>
      </c>
      <c r="B134" s="228" t="s">
        <v>848</v>
      </c>
      <c r="C134" s="87">
        <v>1.9330000000000001E-4</v>
      </c>
      <c r="D134" s="87">
        <v>1.897E-4</v>
      </c>
      <c r="E134" s="232">
        <v>295309</v>
      </c>
      <c r="F134" s="232"/>
      <c r="G134" s="233">
        <v>17013</v>
      </c>
      <c r="H134" s="221">
        <v>71701</v>
      </c>
      <c r="I134" s="233">
        <v>42174</v>
      </c>
      <c r="J134" s="232">
        <v>27893</v>
      </c>
      <c r="K134" s="221">
        <f t="shared" si="2"/>
        <v>158781</v>
      </c>
      <c r="L134" s="232"/>
      <c r="M134" s="233">
        <v>8359</v>
      </c>
      <c r="N134" s="233">
        <v>0</v>
      </c>
      <c r="O134" s="232">
        <v>0</v>
      </c>
      <c r="P134" s="221">
        <f t="shared" si="3"/>
        <v>8359</v>
      </c>
      <c r="Q134" s="232"/>
      <c r="R134" s="233">
        <v>99519</v>
      </c>
      <c r="S134" s="234">
        <v>12367</v>
      </c>
      <c r="T134" s="234">
        <v>111886</v>
      </c>
    </row>
    <row r="135" spans="1:20">
      <c r="A135" s="227">
        <v>91203</v>
      </c>
      <c r="B135" s="228" t="s">
        <v>849</v>
      </c>
      <c r="C135" s="87">
        <v>2.1939999999999999E-4</v>
      </c>
      <c r="D135" s="87">
        <v>2.4479999999999999E-4</v>
      </c>
      <c r="E135" s="232">
        <v>335182</v>
      </c>
      <c r="F135" s="232"/>
      <c r="G135" s="233">
        <v>19310</v>
      </c>
      <c r="H135" s="221">
        <v>81383</v>
      </c>
      <c r="I135" s="233">
        <v>47869</v>
      </c>
      <c r="J135" s="232">
        <v>25236</v>
      </c>
      <c r="K135" s="221">
        <f t="shared" si="2"/>
        <v>173798</v>
      </c>
      <c r="L135" s="232"/>
      <c r="M135" s="233">
        <v>9488</v>
      </c>
      <c r="N135" s="233">
        <v>0</v>
      </c>
      <c r="O135" s="232">
        <v>0</v>
      </c>
      <c r="P135" s="221">
        <f t="shared" si="3"/>
        <v>9488</v>
      </c>
      <c r="Q135" s="232"/>
      <c r="R135" s="233">
        <v>112957</v>
      </c>
      <c r="S135" s="234">
        <v>12508</v>
      </c>
      <c r="T135" s="234">
        <f>125464+1</f>
        <v>125465</v>
      </c>
    </row>
    <row r="136" spans="1:20">
      <c r="A136" s="227">
        <v>91206</v>
      </c>
      <c r="B136" s="228" t="s">
        <v>850</v>
      </c>
      <c r="C136" s="87">
        <v>8.6450000000000003E-4</v>
      </c>
      <c r="D136" s="87">
        <v>8.2129999999999996E-4</v>
      </c>
      <c r="E136" s="232">
        <v>1320717</v>
      </c>
      <c r="F136" s="232"/>
      <c r="G136" s="233">
        <v>76086</v>
      </c>
      <c r="H136" s="221">
        <v>320672</v>
      </c>
      <c r="I136" s="233">
        <v>188617</v>
      </c>
      <c r="J136" s="232">
        <v>32943</v>
      </c>
      <c r="K136" s="221">
        <f t="shared" si="2"/>
        <v>618318</v>
      </c>
      <c r="L136" s="232"/>
      <c r="M136" s="233">
        <v>37385</v>
      </c>
      <c r="N136" s="233">
        <v>0</v>
      </c>
      <c r="O136" s="232">
        <v>1131</v>
      </c>
      <c r="P136" s="221">
        <f t="shared" si="3"/>
        <v>38516</v>
      </c>
      <c r="Q136" s="232"/>
      <c r="R136" s="233">
        <v>445083</v>
      </c>
      <c r="S136" s="234">
        <v>15708</v>
      </c>
      <c r="T136" s="234">
        <v>460791</v>
      </c>
    </row>
    <row r="137" spans="1:20">
      <c r="A137" s="227">
        <v>91208</v>
      </c>
      <c r="B137" s="228" t="s">
        <v>851</v>
      </c>
      <c r="C137" s="87">
        <v>1.42E-5</v>
      </c>
      <c r="D137" s="87">
        <v>1.3699999999999999E-5</v>
      </c>
      <c r="E137" s="232">
        <v>21694</v>
      </c>
      <c r="F137" s="232"/>
      <c r="G137" s="233">
        <v>1250</v>
      </c>
      <c r="H137" s="221">
        <v>5267</v>
      </c>
      <c r="I137" s="233">
        <v>3098</v>
      </c>
      <c r="J137" s="232">
        <v>3961</v>
      </c>
      <c r="K137" s="221">
        <f t="shared" ref="K137:K200" si="4">G137+H137+I137+J137</f>
        <v>13576</v>
      </c>
      <c r="L137" s="232"/>
      <c r="M137" s="233">
        <v>614</v>
      </c>
      <c r="N137" s="233">
        <v>0</v>
      </c>
      <c r="O137" s="232">
        <v>0</v>
      </c>
      <c r="P137" s="221">
        <f t="shared" ref="P137:P200" si="5">M137+N137+O137</f>
        <v>614</v>
      </c>
      <c r="Q137" s="232"/>
      <c r="R137" s="233">
        <v>7311</v>
      </c>
      <c r="S137" s="234">
        <v>3460</v>
      </c>
      <c r="T137" s="234">
        <v>10771</v>
      </c>
    </row>
    <row r="138" spans="1:20">
      <c r="A138" s="227">
        <v>91211</v>
      </c>
      <c r="B138" s="228" t="s">
        <v>852</v>
      </c>
      <c r="C138" s="87">
        <v>4.5530000000000001E-4</v>
      </c>
      <c r="D138" s="87">
        <v>4.6789999999999999E-4</v>
      </c>
      <c r="E138" s="232">
        <v>695572</v>
      </c>
      <c r="F138" s="232"/>
      <c r="G138" s="233">
        <v>40071</v>
      </c>
      <c r="H138" s="221">
        <v>168886</v>
      </c>
      <c r="I138" s="233">
        <v>99337</v>
      </c>
      <c r="J138" s="232">
        <v>6745</v>
      </c>
      <c r="K138" s="221">
        <f t="shared" si="4"/>
        <v>315039</v>
      </c>
      <c r="L138" s="232"/>
      <c r="M138" s="233">
        <v>19689</v>
      </c>
      <c r="N138" s="233">
        <v>0</v>
      </c>
      <c r="O138" s="232">
        <v>3315</v>
      </c>
      <c r="P138" s="221">
        <f t="shared" si="5"/>
        <v>23004</v>
      </c>
      <c r="Q138" s="232"/>
      <c r="R138" s="233">
        <v>234408</v>
      </c>
      <c r="S138" s="234">
        <v>1355</v>
      </c>
      <c r="T138" s="234">
        <v>235763</v>
      </c>
    </row>
    <row r="139" spans="1:20">
      <c r="A139" s="227">
        <v>91213</v>
      </c>
      <c r="B139" s="228" t="s">
        <v>853</v>
      </c>
      <c r="C139" s="87">
        <v>3.2499999999999997E-5</v>
      </c>
      <c r="D139" s="87">
        <v>3.57E-5</v>
      </c>
      <c r="E139" s="232">
        <v>49651</v>
      </c>
      <c r="F139" s="232"/>
      <c r="G139" s="233">
        <v>2860</v>
      </c>
      <c r="H139" s="221">
        <v>12056</v>
      </c>
      <c r="I139" s="233">
        <v>7091</v>
      </c>
      <c r="J139" s="232">
        <v>0</v>
      </c>
      <c r="K139" s="221">
        <f t="shared" si="4"/>
        <v>22007</v>
      </c>
      <c r="L139" s="232"/>
      <c r="M139" s="233">
        <v>1405</v>
      </c>
      <c r="N139" s="233">
        <v>0</v>
      </c>
      <c r="O139" s="232">
        <v>7680</v>
      </c>
      <c r="P139" s="221">
        <f t="shared" si="5"/>
        <v>9085</v>
      </c>
      <c r="Q139" s="232"/>
      <c r="R139" s="233">
        <v>16732</v>
      </c>
      <c r="S139" s="234">
        <v>-2660</v>
      </c>
      <c r="T139" s="234">
        <v>14072</v>
      </c>
    </row>
    <row r="140" spans="1:20">
      <c r="A140" s="227">
        <v>91214</v>
      </c>
      <c r="B140" s="228" t="s">
        <v>854</v>
      </c>
      <c r="C140" s="87">
        <v>2.9300000000000001E-5</v>
      </c>
      <c r="D140" s="87">
        <v>2.8200000000000001E-5</v>
      </c>
      <c r="E140" s="232">
        <v>44762</v>
      </c>
      <c r="F140" s="232"/>
      <c r="G140" s="233">
        <v>2579</v>
      </c>
      <c r="H140" s="221">
        <v>10868</v>
      </c>
      <c r="I140" s="233">
        <v>6393</v>
      </c>
      <c r="J140" s="232">
        <v>1300</v>
      </c>
      <c r="K140" s="221">
        <f t="shared" si="4"/>
        <v>21140</v>
      </c>
      <c r="L140" s="232"/>
      <c r="M140" s="233">
        <v>1267</v>
      </c>
      <c r="N140" s="233">
        <v>0</v>
      </c>
      <c r="O140" s="232">
        <v>3669</v>
      </c>
      <c r="P140" s="221">
        <f t="shared" si="5"/>
        <v>4936</v>
      </c>
      <c r="Q140" s="232"/>
      <c r="R140" s="233">
        <v>15085</v>
      </c>
      <c r="S140" s="234">
        <v>-283</v>
      </c>
      <c r="T140" s="234">
        <v>14802</v>
      </c>
    </row>
    <row r="141" spans="1:20">
      <c r="A141" s="227">
        <v>91217</v>
      </c>
      <c r="B141" s="228" t="s">
        <v>855</v>
      </c>
      <c r="C141" s="87">
        <v>2.8799999999999999E-5</v>
      </c>
      <c r="D141" s="87">
        <v>2.6699999999999998E-5</v>
      </c>
      <c r="E141" s="232">
        <v>43998</v>
      </c>
      <c r="F141" s="232"/>
      <c r="G141" s="233">
        <v>2535</v>
      </c>
      <c r="H141" s="221">
        <v>10683</v>
      </c>
      <c r="I141" s="233">
        <v>6284</v>
      </c>
      <c r="J141" s="232">
        <v>10784</v>
      </c>
      <c r="K141" s="221">
        <f t="shared" si="4"/>
        <v>30286</v>
      </c>
      <c r="L141" s="232"/>
      <c r="M141" s="233">
        <v>1245</v>
      </c>
      <c r="N141" s="233">
        <v>0</v>
      </c>
      <c r="O141" s="232">
        <v>0</v>
      </c>
      <c r="P141" s="221">
        <f t="shared" si="5"/>
        <v>1245</v>
      </c>
      <c r="Q141" s="232"/>
      <c r="R141" s="233">
        <v>14828</v>
      </c>
      <c r="S141" s="234">
        <v>4311</v>
      </c>
      <c r="T141" s="234">
        <v>19139</v>
      </c>
    </row>
    <row r="142" spans="1:20">
      <c r="A142" s="227">
        <v>91221</v>
      </c>
      <c r="B142" s="228" t="s">
        <v>856</v>
      </c>
      <c r="C142" s="87">
        <v>1.3359999999999999E-4</v>
      </c>
      <c r="D142" s="87">
        <v>1.294E-4</v>
      </c>
      <c r="E142" s="232">
        <v>204104</v>
      </c>
      <c r="F142" s="232"/>
      <c r="G142" s="233">
        <v>11758</v>
      </c>
      <c r="H142" s="221">
        <v>49557</v>
      </c>
      <c r="I142" s="233">
        <v>29149</v>
      </c>
      <c r="J142" s="232">
        <v>5038</v>
      </c>
      <c r="K142" s="221">
        <f t="shared" si="4"/>
        <v>95502</v>
      </c>
      <c r="L142" s="232"/>
      <c r="M142" s="233">
        <v>5778</v>
      </c>
      <c r="N142" s="233">
        <v>0</v>
      </c>
      <c r="O142" s="232">
        <v>7113</v>
      </c>
      <c r="P142" s="221">
        <f t="shared" si="5"/>
        <v>12891</v>
      </c>
      <c r="Q142" s="232"/>
      <c r="R142" s="233">
        <v>68783</v>
      </c>
      <c r="S142" s="234">
        <v>1397</v>
      </c>
      <c r="T142" s="234">
        <v>70180</v>
      </c>
    </row>
    <row r="143" spans="1:20">
      <c r="A143" s="227">
        <v>91231</v>
      </c>
      <c r="B143" s="228" t="s">
        <v>857</v>
      </c>
      <c r="C143" s="87">
        <v>1.8856000000000001E-3</v>
      </c>
      <c r="D143" s="87">
        <v>1.9957E-3</v>
      </c>
      <c r="E143" s="232">
        <v>2880674</v>
      </c>
      <c r="F143" s="232"/>
      <c r="G143" s="233">
        <v>165954</v>
      </c>
      <c r="H143" s="221">
        <v>699431</v>
      </c>
      <c r="I143" s="233">
        <v>411400</v>
      </c>
      <c r="J143" s="232">
        <v>10587</v>
      </c>
      <c r="K143" s="221">
        <f t="shared" si="4"/>
        <v>1287372</v>
      </c>
      <c r="L143" s="232"/>
      <c r="M143" s="233">
        <v>81543</v>
      </c>
      <c r="N143" s="233">
        <v>0</v>
      </c>
      <c r="O143" s="232">
        <v>132995</v>
      </c>
      <c r="P143" s="221">
        <f t="shared" si="5"/>
        <v>214538</v>
      </c>
      <c r="Q143" s="232"/>
      <c r="R143" s="233">
        <v>970790</v>
      </c>
      <c r="S143" s="234">
        <v>-32073</v>
      </c>
      <c r="T143" s="234">
        <v>938717</v>
      </c>
    </row>
    <row r="144" spans="1:20">
      <c r="A144" s="227">
        <v>91233</v>
      </c>
      <c r="B144" s="228" t="s">
        <v>858</v>
      </c>
      <c r="C144" s="87">
        <v>5.8100000000000003E-5</v>
      </c>
      <c r="D144" s="87">
        <v>4.5599999999999997E-5</v>
      </c>
      <c r="E144" s="232">
        <v>88761</v>
      </c>
      <c r="F144" s="232"/>
      <c r="G144" s="233">
        <v>5113</v>
      </c>
      <c r="H144" s="221">
        <v>21551</v>
      </c>
      <c r="I144" s="233">
        <v>12676</v>
      </c>
      <c r="J144" s="232">
        <v>9544</v>
      </c>
      <c r="K144" s="221">
        <f t="shared" si="4"/>
        <v>48884</v>
      </c>
      <c r="L144" s="232"/>
      <c r="M144" s="233">
        <v>2513</v>
      </c>
      <c r="N144" s="233">
        <v>0</v>
      </c>
      <c r="O144" s="232">
        <v>117</v>
      </c>
      <c r="P144" s="221">
        <f t="shared" si="5"/>
        <v>2630</v>
      </c>
      <c r="Q144" s="232"/>
      <c r="R144" s="233">
        <v>29912</v>
      </c>
      <c r="S144" s="234">
        <v>4289</v>
      </c>
      <c r="T144" s="234">
        <f>34202-1</f>
        <v>34201</v>
      </c>
    </row>
    <row r="145" spans="1:20">
      <c r="A145" s="227">
        <v>91241</v>
      </c>
      <c r="B145" s="228" t="s">
        <v>859</v>
      </c>
      <c r="C145" s="87">
        <v>3.5500000000000002E-5</v>
      </c>
      <c r="D145" s="87">
        <v>3.68E-5</v>
      </c>
      <c r="E145" s="232">
        <v>54234</v>
      </c>
      <c r="F145" s="232"/>
      <c r="G145" s="233">
        <v>3124</v>
      </c>
      <c r="H145" s="221">
        <v>13168</v>
      </c>
      <c r="I145" s="233">
        <v>7745</v>
      </c>
      <c r="J145" s="232">
        <v>0</v>
      </c>
      <c r="K145" s="221">
        <f t="shared" si="4"/>
        <v>24037</v>
      </c>
      <c r="L145" s="232"/>
      <c r="M145" s="233">
        <v>1535</v>
      </c>
      <c r="N145" s="233">
        <v>0</v>
      </c>
      <c r="O145" s="232">
        <v>4391</v>
      </c>
      <c r="P145" s="221">
        <f t="shared" si="5"/>
        <v>5926</v>
      </c>
      <c r="Q145" s="232"/>
      <c r="R145" s="233">
        <v>18277</v>
      </c>
      <c r="S145" s="234">
        <v>-2564</v>
      </c>
      <c r="T145" s="234">
        <v>15713</v>
      </c>
    </row>
    <row r="146" spans="1:20">
      <c r="A146" s="227">
        <v>91251</v>
      </c>
      <c r="B146" s="228" t="s">
        <v>860</v>
      </c>
      <c r="C146" s="87">
        <v>1.9899999999999999E-5</v>
      </c>
      <c r="D146" s="87">
        <v>2.65E-5</v>
      </c>
      <c r="E146" s="232">
        <v>30402</v>
      </c>
      <c r="F146" s="232"/>
      <c r="G146" s="233">
        <v>1751</v>
      </c>
      <c r="H146" s="221">
        <v>7381</v>
      </c>
      <c r="I146" s="233">
        <v>4342</v>
      </c>
      <c r="J146" s="232">
        <v>2341</v>
      </c>
      <c r="K146" s="221">
        <f t="shared" si="4"/>
        <v>15815</v>
      </c>
      <c r="L146" s="232"/>
      <c r="M146" s="233">
        <v>861</v>
      </c>
      <c r="N146" s="233">
        <v>0</v>
      </c>
      <c r="O146" s="232">
        <v>3540</v>
      </c>
      <c r="P146" s="221">
        <f t="shared" si="5"/>
        <v>4401</v>
      </c>
      <c r="Q146" s="232"/>
      <c r="R146" s="233">
        <v>10245</v>
      </c>
      <c r="S146" s="234">
        <v>1340</v>
      </c>
      <c r="T146" s="234">
        <f>11586-1</f>
        <v>11585</v>
      </c>
    </row>
    <row r="147" spans="1:20">
      <c r="A147" s="227">
        <v>91261</v>
      </c>
      <c r="B147" s="228" t="s">
        <v>861</v>
      </c>
      <c r="C147" s="87">
        <v>1.03E-5</v>
      </c>
      <c r="D147" s="87">
        <v>9.5000000000000005E-6</v>
      </c>
      <c r="E147" s="232">
        <v>15736</v>
      </c>
      <c r="F147" s="232"/>
      <c r="G147" s="233">
        <v>907</v>
      </c>
      <c r="H147" s="221">
        <v>3821</v>
      </c>
      <c r="I147" s="233">
        <v>2247</v>
      </c>
      <c r="J147" s="232">
        <v>1784</v>
      </c>
      <c r="K147" s="221">
        <f t="shared" si="4"/>
        <v>8759</v>
      </c>
      <c r="L147" s="232"/>
      <c r="M147" s="233">
        <v>445</v>
      </c>
      <c r="N147" s="233">
        <v>0</v>
      </c>
      <c r="O147" s="232">
        <v>0</v>
      </c>
      <c r="P147" s="221">
        <f t="shared" si="5"/>
        <v>445</v>
      </c>
      <c r="Q147" s="232"/>
      <c r="R147" s="233">
        <v>5303</v>
      </c>
      <c r="S147" s="234">
        <v>850</v>
      </c>
      <c r="T147" s="234">
        <v>6153</v>
      </c>
    </row>
    <row r="148" spans="1:20">
      <c r="A148" s="227">
        <v>91301</v>
      </c>
      <c r="B148" s="228" t="s">
        <v>862</v>
      </c>
      <c r="C148" s="87">
        <v>7.6985999999999999E-3</v>
      </c>
      <c r="D148" s="87">
        <v>7.7765000000000004E-3</v>
      </c>
      <c r="E148" s="232">
        <v>11761328</v>
      </c>
      <c r="F148" s="232"/>
      <c r="G148" s="233">
        <v>677561</v>
      </c>
      <c r="H148" s="221">
        <v>2855665</v>
      </c>
      <c r="I148" s="233">
        <v>1679681</v>
      </c>
      <c r="J148" s="232">
        <v>19915</v>
      </c>
      <c r="K148" s="221">
        <f t="shared" si="4"/>
        <v>5232822</v>
      </c>
      <c r="L148" s="232"/>
      <c r="M148" s="233">
        <v>332926</v>
      </c>
      <c r="N148" s="233">
        <v>0</v>
      </c>
      <c r="O148" s="232">
        <v>249856</v>
      </c>
      <c r="P148" s="221">
        <f t="shared" si="5"/>
        <v>582782</v>
      </c>
      <c r="Q148" s="232"/>
      <c r="R148" s="233">
        <v>3963578</v>
      </c>
      <c r="S148" s="234">
        <v>-98741</v>
      </c>
      <c r="T148" s="234">
        <v>3864837</v>
      </c>
    </row>
    <row r="149" spans="1:20">
      <c r="A149" s="51">
        <v>91302</v>
      </c>
      <c r="B149" s="228" t="s">
        <v>863</v>
      </c>
      <c r="C149" s="87">
        <v>6.0300000000000002E-4</v>
      </c>
      <c r="D149" s="87">
        <v>5.9190000000000002E-4</v>
      </c>
      <c r="E149" s="232">
        <v>921217</v>
      </c>
      <c r="F149" s="232"/>
      <c r="G149" s="233">
        <v>53071</v>
      </c>
      <c r="H149" s="221">
        <v>223673</v>
      </c>
      <c r="I149" s="233">
        <v>131563</v>
      </c>
      <c r="J149" s="232">
        <v>32897</v>
      </c>
      <c r="K149" s="221">
        <f t="shared" si="4"/>
        <v>441204</v>
      </c>
      <c r="L149" s="232"/>
      <c r="M149" s="233">
        <v>26077</v>
      </c>
      <c r="N149" s="233">
        <v>0</v>
      </c>
      <c r="O149" s="232">
        <v>6670</v>
      </c>
      <c r="P149" s="221">
        <f t="shared" si="5"/>
        <v>32747</v>
      </c>
      <c r="Q149" s="232"/>
      <c r="R149" s="233">
        <v>310451</v>
      </c>
      <c r="S149" s="234">
        <v>18435</v>
      </c>
      <c r="T149" s="234">
        <v>328886</v>
      </c>
    </row>
    <row r="150" spans="1:20">
      <c r="A150" s="51">
        <v>91306</v>
      </c>
      <c r="B150" s="228" t="s">
        <v>864</v>
      </c>
      <c r="C150" s="87">
        <v>1.6412E-3</v>
      </c>
      <c r="D150" s="87">
        <v>1.6676E-3</v>
      </c>
      <c r="E150" s="232">
        <v>2507299</v>
      </c>
      <c r="F150" s="232"/>
      <c r="G150" s="233">
        <v>144444</v>
      </c>
      <c r="H150" s="221">
        <v>608776</v>
      </c>
      <c r="I150" s="233">
        <v>358077</v>
      </c>
      <c r="J150" s="232">
        <v>113707</v>
      </c>
      <c r="K150" s="221">
        <f t="shared" si="4"/>
        <v>1225004</v>
      </c>
      <c r="L150" s="232"/>
      <c r="M150" s="233">
        <v>70974</v>
      </c>
      <c r="N150" s="233">
        <v>0</v>
      </c>
      <c r="O150" s="232">
        <v>7101</v>
      </c>
      <c r="P150" s="221">
        <f t="shared" si="5"/>
        <v>78075</v>
      </c>
      <c r="Q150" s="232"/>
      <c r="R150" s="233">
        <v>844962</v>
      </c>
      <c r="S150" s="234">
        <v>59215</v>
      </c>
      <c r="T150" s="234">
        <v>904177</v>
      </c>
    </row>
    <row r="151" spans="1:20">
      <c r="A151" s="51">
        <v>91308</v>
      </c>
      <c r="B151" s="228" t="s">
        <v>865</v>
      </c>
      <c r="C151" s="87">
        <v>1.8009999999999999E-4</v>
      </c>
      <c r="D151" s="87">
        <v>2.05E-4</v>
      </c>
      <c r="E151" s="232">
        <v>275143</v>
      </c>
      <c r="F151" s="232"/>
      <c r="G151" s="233">
        <v>15851</v>
      </c>
      <c r="H151" s="221">
        <v>66805</v>
      </c>
      <c r="I151" s="233">
        <v>39294</v>
      </c>
      <c r="J151" s="232">
        <v>2442</v>
      </c>
      <c r="K151" s="221">
        <f t="shared" si="4"/>
        <v>124392</v>
      </c>
      <c r="L151" s="232"/>
      <c r="M151" s="233">
        <v>7788</v>
      </c>
      <c r="N151" s="233">
        <v>0</v>
      </c>
      <c r="O151" s="232">
        <v>21144</v>
      </c>
      <c r="P151" s="221">
        <f t="shared" si="5"/>
        <v>28932</v>
      </c>
      <c r="Q151" s="232"/>
      <c r="R151" s="233">
        <v>92723</v>
      </c>
      <c r="S151" s="234">
        <v>-3684</v>
      </c>
      <c r="T151" s="234">
        <f>89040-1</f>
        <v>89039</v>
      </c>
    </row>
    <row r="152" spans="1:20">
      <c r="A152" s="227">
        <v>91311</v>
      </c>
      <c r="B152" s="228" t="s">
        <v>866</v>
      </c>
      <c r="C152" s="87">
        <v>7.6685E-3</v>
      </c>
      <c r="D152" s="87">
        <v>7.6649999999999999E-3</v>
      </c>
      <c r="E152" s="232">
        <v>11715344</v>
      </c>
      <c r="F152" s="232"/>
      <c r="G152" s="233">
        <v>674912</v>
      </c>
      <c r="H152" s="221">
        <v>2844500</v>
      </c>
      <c r="I152" s="233">
        <v>1673113</v>
      </c>
      <c r="J152" s="232">
        <v>78345</v>
      </c>
      <c r="K152" s="221">
        <f t="shared" si="4"/>
        <v>5270870</v>
      </c>
      <c r="L152" s="232"/>
      <c r="M152" s="233">
        <v>331624</v>
      </c>
      <c r="N152" s="233">
        <v>0</v>
      </c>
      <c r="O152" s="232">
        <v>516736</v>
      </c>
      <c r="P152" s="221">
        <f t="shared" si="5"/>
        <v>848360</v>
      </c>
      <c r="Q152" s="232"/>
      <c r="R152" s="233">
        <v>3948081</v>
      </c>
      <c r="S152" s="234">
        <v>-187514</v>
      </c>
      <c r="T152" s="234">
        <v>3760567</v>
      </c>
    </row>
    <row r="153" spans="1:20">
      <c r="A153" s="227">
        <v>91317</v>
      </c>
      <c r="B153" s="228" t="s">
        <v>867</v>
      </c>
      <c r="C153" s="87">
        <v>1.016E-4</v>
      </c>
      <c r="D153" s="87">
        <v>9.0500000000000004E-5</v>
      </c>
      <c r="E153" s="232">
        <v>155217</v>
      </c>
      <c r="F153" s="232"/>
      <c r="G153" s="233">
        <v>8942</v>
      </c>
      <c r="H153" s="221">
        <v>37687</v>
      </c>
      <c r="I153" s="233">
        <v>22167</v>
      </c>
      <c r="J153" s="232">
        <v>13159</v>
      </c>
      <c r="K153" s="221">
        <f t="shared" si="4"/>
        <v>81955</v>
      </c>
      <c r="L153" s="232"/>
      <c r="M153" s="233">
        <v>4394</v>
      </c>
      <c r="N153" s="233">
        <v>0</v>
      </c>
      <c r="O153" s="232">
        <v>1760</v>
      </c>
      <c r="P153" s="221">
        <f t="shared" si="5"/>
        <v>6154</v>
      </c>
      <c r="Q153" s="232"/>
      <c r="R153" s="233">
        <v>52308</v>
      </c>
      <c r="S153" s="234">
        <v>2823</v>
      </c>
      <c r="T153" s="234">
        <f>55132-1</f>
        <v>55131</v>
      </c>
    </row>
    <row r="154" spans="1:20">
      <c r="A154" s="227">
        <v>91321</v>
      </c>
      <c r="B154" s="228" t="s">
        <v>868</v>
      </c>
      <c r="C154" s="87">
        <v>4.2799999999999997E-5</v>
      </c>
      <c r="D154" s="87">
        <v>4.1999999999999998E-5</v>
      </c>
      <c r="E154" s="232">
        <v>65387</v>
      </c>
      <c r="F154" s="232"/>
      <c r="G154" s="233">
        <v>3767</v>
      </c>
      <c r="H154" s="221">
        <v>15876</v>
      </c>
      <c r="I154" s="233">
        <v>9338</v>
      </c>
      <c r="J154" s="232">
        <v>18992</v>
      </c>
      <c r="K154" s="221">
        <f t="shared" si="4"/>
        <v>47973</v>
      </c>
      <c r="L154" s="232"/>
      <c r="M154" s="233">
        <v>1851</v>
      </c>
      <c r="N154" s="233">
        <v>0</v>
      </c>
      <c r="O154" s="232">
        <v>3760</v>
      </c>
      <c r="P154" s="221">
        <f t="shared" si="5"/>
        <v>5611</v>
      </c>
      <c r="Q154" s="232"/>
      <c r="R154" s="233">
        <v>22035</v>
      </c>
      <c r="S154" s="234">
        <v>3437</v>
      </c>
      <c r="T154" s="234">
        <v>25472</v>
      </c>
    </row>
    <row r="155" spans="1:20">
      <c r="A155" s="227">
        <v>91327</v>
      </c>
      <c r="B155" s="228" t="s">
        <v>869</v>
      </c>
      <c r="C155" s="87">
        <v>8.1999999999999994E-6</v>
      </c>
      <c r="D155" s="87">
        <v>1.03E-5</v>
      </c>
      <c r="E155" s="232">
        <v>12527</v>
      </c>
      <c r="F155" s="232"/>
      <c r="G155" s="233">
        <v>722</v>
      </c>
      <c r="H155" s="221">
        <v>3042</v>
      </c>
      <c r="I155" s="233">
        <v>1789</v>
      </c>
      <c r="J155" s="232">
        <v>36</v>
      </c>
      <c r="K155" s="221">
        <f t="shared" si="4"/>
        <v>5589</v>
      </c>
      <c r="L155" s="232"/>
      <c r="M155" s="233">
        <v>355</v>
      </c>
      <c r="N155" s="233">
        <v>0</v>
      </c>
      <c r="O155" s="232">
        <v>1563</v>
      </c>
      <c r="P155" s="221">
        <f t="shared" si="5"/>
        <v>1918</v>
      </c>
      <c r="Q155" s="232"/>
      <c r="R155" s="233">
        <v>4222</v>
      </c>
      <c r="S155" s="234">
        <v>-481</v>
      </c>
      <c r="T155" s="234">
        <v>3741</v>
      </c>
    </row>
    <row r="156" spans="1:20">
      <c r="A156" s="227">
        <v>91331</v>
      </c>
      <c r="B156" s="228" t="s">
        <v>870</v>
      </c>
      <c r="C156" s="87">
        <v>3.0033E-3</v>
      </c>
      <c r="D156" s="87">
        <v>2.8509999999999998E-3</v>
      </c>
      <c r="E156" s="232">
        <v>4588210</v>
      </c>
      <c r="F156" s="232"/>
      <c r="G156" s="233">
        <v>264323</v>
      </c>
      <c r="H156" s="221">
        <v>1114023</v>
      </c>
      <c r="I156" s="233">
        <v>655260</v>
      </c>
      <c r="J156" s="232">
        <v>0</v>
      </c>
      <c r="K156" s="221">
        <f t="shared" si="4"/>
        <v>2033606</v>
      </c>
      <c r="L156" s="232"/>
      <c r="M156" s="233">
        <v>129878</v>
      </c>
      <c r="N156" s="233">
        <v>0</v>
      </c>
      <c r="O156" s="232">
        <v>342951</v>
      </c>
      <c r="P156" s="221">
        <f t="shared" si="5"/>
        <v>472829</v>
      </c>
      <c r="Q156" s="232"/>
      <c r="R156" s="233">
        <v>1546231</v>
      </c>
      <c r="S156" s="234">
        <v>-176510</v>
      </c>
      <c r="T156" s="234">
        <v>1369721</v>
      </c>
    </row>
    <row r="157" spans="1:20">
      <c r="A157" s="227">
        <v>91341</v>
      </c>
      <c r="B157" s="228" t="s">
        <v>871</v>
      </c>
      <c r="C157" s="87">
        <v>2.51E-5</v>
      </c>
      <c r="D157" s="87">
        <v>1.4399999999999999E-5</v>
      </c>
      <c r="E157" s="232">
        <v>38346</v>
      </c>
      <c r="F157" s="232"/>
      <c r="G157" s="233">
        <v>2209</v>
      </c>
      <c r="H157" s="221">
        <v>9311</v>
      </c>
      <c r="I157" s="233">
        <v>5476</v>
      </c>
      <c r="J157" s="232">
        <v>5566</v>
      </c>
      <c r="K157" s="221">
        <f t="shared" si="4"/>
        <v>22562</v>
      </c>
      <c r="L157" s="232"/>
      <c r="M157" s="233">
        <v>1085</v>
      </c>
      <c r="N157" s="233">
        <v>0</v>
      </c>
      <c r="O157" s="232">
        <v>1759</v>
      </c>
      <c r="P157" s="221">
        <f t="shared" si="5"/>
        <v>2844</v>
      </c>
      <c r="Q157" s="232"/>
      <c r="R157" s="233">
        <v>12923</v>
      </c>
      <c r="S157" s="234">
        <v>939</v>
      </c>
      <c r="T157" s="234">
        <f>13861+1</f>
        <v>13862</v>
      </c>
    </row>
    <row r="158" spans="1:20">
      <c r="A158" s="227">
        <v>91401</v>
      </c>
      <c r="B158" s="228" t="s">
        <v>872</v>
      </c>
      <c r="C158" s="87">
        <v>3.5885000000000001E-3</v>
      </c>
      <c r="D158" s="87">
        <v>3.6841E-3</v>
      </c>
      <c r="E158" s="232">
        <v>5482234</v>
      </c>
      <c r="F158" s="232"/>
      <c r="G158" s="233">
        <v>315827</v>
      </c>
      <c r="H158" s="221">
        <v>1331093</v>
      </c>
      <c r="I158" s="233">
        <v>782939</v>
      </c>
      <c r="J158" s="232">
        <v>17446</v>
      </c>
      <c r="K158" s="221">
        <f t="shared" si="4"/>
        <v>2447305</v>
      </c>
      <c r="L158" s="232"/>
      <c r="M158" s="233">
        <v>155185</v>
      </c>
      <c r="N158" s="233">
        <v>0</v>
      </c>
      <c r="O158" s="232">
        <v>142927</v>
      </c>
      <c r="P158" s="221">
        <f t="shared" si="5"/>
        <v>298112</v>
      </c>
      <c r="Q158" s="232"/>
      <c r="R158" s="233">
        <v>1847518</v>
      </c>
      <c r="S158" s="234">
        <v>-23160</v>
      </c>
      <c r="T158" s="234">
        <v>1824358</v>
      </c>
    </row>
    <row r="159" spans="1:20">
      <c r="A159" s="227">
        <v>91411</v>
      </c>
      <c r="B159" s="228" t="s">
        <v>873</v>
      </c>
      <c r="C159" s="87">
        <v>3.7829999999999998E-4</v>
      </c>
      <c r="D159" s="87">
        <v>3.5379999999999998E-4</v>
      </c>
      <c r="E159" s="232">
        <v>577938</v>
      </c>
      <c r="F159" s="232"/>
      <c r="G159" s="233">
        <v>33295</v>
      </c>
      <c r="H159" s="221">
        <v>140324</v>
      </c>
      <c r="I159" s="233">
        <v>82537</v>
      </c>
      <c r="J159" s="232">
        <v>28581</v>
      </c>
      <c r="K159" s="221">
        <f t="shared" si="4"/>
        <v>284737</v>
      </c>
      <c r="L159" s="232"/>
      <c r="M159" s="233">
        <v>16360</v>
      </c>
      <c r="N159" s="233">
        <v>0</v>
      </c>
      <c r="O159" s="232">
        <v>1394</v>
      </c>
      <c r="P159" s="221">
        <f t="shared" si="5"/>
        <v>17754</v>
      </c>
      <c r="Q159" s="232"/>
      <c r="R159" s="233">
        <v>194765</v>
      </c>
      <c r="S159" s="234">
        <v>7766</v>
      </c>
      <c r="T159" s="234">
        <v>202531</v>
      </c>
    </row>
    <row r="160" spans="1:20">
      <c r="A160" s="227">
        <v>91417</v>
      </c>
      <c r="B160" s="228" t="s">
        <v>874</v>
      </c>
      <c r="C160" s="87">
        <v>9.3000000000000007E-6</v>
      </c>
      <c r="D160" s="87">
        <v>9.9000000000000001E-6</v>
      </c>
      <c r="E160" s="232">
        <v>14208</v>
      </c>
      <c r="F160" s="232"/>
      <c r="G160" s="233">
        <v>819</v>
      </c>
      <c r="H160" s="221">
        <v>3450</v>
      </c>
      <c r="I160" s="233">
        <v>2029</v>
      </c>
      <c r="J160" s="232">
        <v>2388</v>
      </c>
      <c r="K160" s="221">
        <f t="shared" si="4"/>
        <v>8686</v>
      </c>
      <c r="L160" s="232"/>
      <c r="M160" s="233">
        <v>402</v>
      </c>
      <c r="N160" s="233">
        <v>0</v>
      </c>
      <c r="O160" s="232">
        <v>0</v>
      </c>
      <c r="P160" s="221">
        <f t="shared" si="5"/>
        <v>402</v>
      </c>
      <c r="Q160" s="232"/>
      <c r="R160" s="233">
        <v>4788</v>
      </c>
      <c r="S160" s="234">
        <v>1814</v>
      </c>
      <c r="T160" s="234">
        <v>6602</v>
      </c>
    </row>
    <row r="161" spans="1:20">
      <c r="A161" s="227">
        <v>91421</v>
      </c>
      <c r="B161" s="228" t="s">
        <v>875</v>
      </c>
      <c r="C161" s="87">
        <v>6.9499999999999995E-5</v>
      </c>
      <c r="D161" s="87">
        <v>7.0400000000000004E-5</v>
      </c>
      <c r="E161" s="232">
        <v>106177</v>
      </c>
      <c r="F161" s="232"/>
      <c r="G161" s="233">
        <v>6117</v>
      </c>
      <c r="H161" s="221">
        <v>25779</v>
      </c>
      <c r="I161" s="233">
        <v>15164</v>
      </c>
      <c r="J161" s="232">
        <v>4339</v>
      </c>
      <c r="K161" s="221">
        <f t="shared" si="4"/>
        <v>51399</v>
      </c>
      <c r="L161" s="232"/>
      <c r="M161" s="233">
        <v>3006</v>
      </c>
      <c r="N161" s="233">
        <v>0</v>
      </c>
      <c r="O161" s="232">
        <v>3143</v>
      </c>
      <c r="P161" s="221">
        <f t="shared" si="5"/>
        <v>6149</v>
      </c>
      <c r="Q161" s="232"/>
      <c r="R161" s="233">
        <v>35782</v>
      </c>
      <c r="S161" s="234">
        <v>365</v>
      </c>
      <c r="T161" s="234">
        <v>36147</v>
      </c>
    </row>
    <row r="162" spans="1:20">
      <c r="A162" s="227">
        <v>91423</v>
      </c>
      <c r="B162" s="228" t="s">
        <v>876</v>
      </c>
      <c r="C162" s="87">
        <v>5.38E-5</v>
      </c>
      <c r="D162" s="87">
        <v>3.8699999999999999E-5</v>
      </c>
      <c r="E162" s="232">
        <v>82191</v>
      </c>
      <c r="F162" s="232"/>
      <c r="G162" s="233">
        <v>4735</v>
      </c>
      <c r="H162" s="221">
        <v>19956</v>
      </c>
      <c r="I162" s="233">
        <v>11738</v>
      </c>
      <c r="J162" s="232">
        <v>13454</v>
      </c>
      <c r="K162" s="221">
        <f t="shared" si="4"/>
        <v>49883</v>
      </c>
      <c r="L162" s="232"/>
      <c r="M162" s="233">
        <v>2327</v>
      </c>
      <c r="N162" s="233">
        <v>0</v>
      </c>
      <c r="O162" s="232">
        <v>2026</v>
      </c>
      <c r="P162" s="221">
        <f t="shared" si="5"/>
        <v>4353</v>
      </c>
      <c r="Q162" s="232"/>
      <c r="R162" s="233">
        <v>27699</v>
      </c>
      <c r="S162" s="234">
        <v>3208</v>
      </c>
      <c r="T162" s="234">
        <f>30906+1</f>
        <v>30907</v>
      </c>
    </row>
    <row r="163" spans="1:20">
      <c r="A163" s="227">
        <v>91431</v>
      </c>
      <c r="B163" s="228" t="s">
        <v>877</v>
      </c>
      <c r="C163" s="87">
        <v>1.562E-4</v>
      </c>
      <c r="D163" s="87">
        <v>1.417E-4</v>
      </c>
      <c r="E163" s="232">
        <v>238630</v>
      </c>
      <c r="F163" s="232"/>
      <c r="G163" s="233">
        <v>13747</v>
      </c>
      <c r="H163" s="221">
        <v>57939</v>
      </c>
      <c r="I163" s="233">
        <v>34080</v>
      </c>
      <c r="J163" s="232">
        <v>17694</v>
      </c>
      <c r="K163" s="221">
        <f t="shared" si="4"/>
        <v>123460</v>
      </c>
      <c r="L163" s="232"/>
      <c r="M163" s="233">
        <v>6755</v>
      </c>
      <c r="N163" s="233">
        <v>0</v>
      </c>
      <c r="O163" s="232">
        <v>1767</v>
      </c>
      <c r="P163" s="221">
        <f t="shared" si="5"/>
        <v>8522</v>
      </c>
      <c r="Q163" s="232"/>
      <c r="R163" s="233">
        <v>80419</v>
      </c>
      <c r="S163" s="234">
        <v>4026</v>
      </c>
      <c r="T163" s="234">
        <v>84445</v>
      </c>
    </row>
    <row r="164" spans="1:20">
      <c r="A164" s="227">
        <v>91441</v>
      </c>
      <c r="B164" s="228" t="s">
        <v>878</v>
      </c>
      <c r="C164" s="87">
        <v>9.5140000000000003E-4</v>
      </c>
      <c r="D164" s="87">
        <v>7.3800000000000005E-4</v>
      </c>
      <c r="E164" s="232">
        <v>1453476</v>
      </c>
      <c r="F164" s="232"/>
      <c r="G164" s="233">
        <v>83734</v>
      </c>
      <c r="H164" s="221">
        <v>352905</v>
      </c>
      <c r="I164" s="233">
        <v>207576</v>
      </c>
      <c r="J164" s="232">
        <v>46954</v>
      </c>
      <c r="K164" s="221">
        <f t="shared" si="4"/>
        <v>691169</v>
      </c>
      <c r="L164" s="232"/>
      <c r="M164" s="233">
        <v>41143</v>
      </c>
      <c r="N164" s="233">
        <v>0</v>
      </c>
      <c r="O164" s="232">
        <v>103301</v>
      </c>
      <c r="P164" s="221">
        <f t="shared" si="5"/>
        <v>144444</v>
      </c>
      <c r="Q164" s="232"/>
      <c r="R164" s="233">
        <v>489823</v>
      </c>
      <c r="S164" s="234">
        <v>-39929</v>
      </c>
      <c r="T164" s="234">
        <v>449894</v>
      </c>
    </row>
    <row r="165" spans="1:20">
      <c r="A165" s="227">
        <v>91451</v>
      </c>
      <c r="B165" s="228" t="s">
        <v>879</v>
      </c>
      <c r="C165" s="87">
        <v>1.4760000000000001E-3</v>
      </c>
      <c r="D165" s="87">
        <v>1.5629000000000001E-3</v>
      </c>
      <c r="E165" s="232">
        <v>2254919</v>
      </c>
      <c r="F165" s="232"/>
      <c r="G165" s="233">
        <v>129904</v>
      </c>
      <c r="H165" s="221">
        <v>547497</v>
      </c>
      <c r="I165" s="233">
        <v>322034</v>
      </c>
      <c r="J165" s="232">
        <v>0</v>
      </c>
      <c r="K165" s="221">
        <f t="shared" si="4"/>
        <v>999435</v>
      </c>
      <c r="L165" s="232"/>
      <c r="M165" s="233">
        <v>63830</v>
      </c>
      <c r="N165" s="233">
        <v>0</v>
      </c>
      <c r="O165" s="232">
        <v>199933</v>
      </c>
      <c r="P165" s="221">
        <f t="shared" si="5"/>
        <v>263763</v>
      </c>
      <c r="Q165" s="232"/>
      <c r="R165" s="233">
        <v>759910</v>
      </c>
      <c r="S165" s="234">
        <v>-85072</v>
      </c>
      <c r="T165" s="234">
        <v>674838</v>
      </c>
    </row>
    <row r="166" spans="1:20">
      <c r="A166" s="227">
        <v>91457</v>
      </c>
      <c r="B166" s="228" t="s">
        <v>880</v>
      </c>
      <c r="C166" s="87">
        <v>2.23E-5</v>
      </c>
      <c r="D166" s="87">
        <v>2.58E-5</v>
      </c>
      <c r="E166" s="232">
        <v>34068</v>
      </c>
      <c r="F166" s="232"/>
      <c r="G166" s="233">
        <v>1963</v>
      </c>
      <c r="H166" s="221">
        <v>8272</v>
      </c>
      <c r="I166" s="233">
        <v>4865</v>
      </c>
      <c r="J166" s="232">
        <v>30858</v>
      </c>
      <c r="K166" s="221">
        <f t="shared" si="4"/>
        <v>45958</v>
      </c>
      <c r="L166" s="232"/>
      <c r="M166" s="233">
        <v>964</v>
      </c>
      <c r="N166" s="233">
        <v>0</v>
      </c>
      <c r="O166" s="232">
        <v>0</v>
      </c>
      <c r="P166" s="221">
        <f t="shared" si="5"/>
        <v>964</v>
      </c>
      <c r="Q166" s="232"/>
      <c r="R166" s="233">
        <v>11481</v>
      </c>
      <c r="S166" s="234">
        <v>10929</v>
      </c>
      <c r="T166" s="234">
        <v>22410</v>
      </c>
    </row>
    <row r="167" spans="1:20">
      <c r="A167" s="227">
        <v>91461</v>
      </c>
      <c r="B167" s="228" t="s">
        <v>881</v>
      </c>
      <c r="C167" s="87">
        <v>9.3999999999999998E-6</v>
      </c>
      <c r="D167" s="87">
        <v>8.6999999999999997E-6</v>
      </c>
      <c r="E167" s="232">
        <v>14361</v>
      </c>
      <c r="F167" s="232"/>
      <c r="G167" s="233">
        <v>827</v>
      </c>
      <c r="H167" s="221">
        <v>3487</v>
      </c>
      <c r="I167" s="233">
        <v>2051</v>
      </c>
      <c r="J167" s="232">
        <v>2052</v>
      </c>
      <c r="K167" s="221">
        <f t="shared" si="4"/>
        <v>8417</v>
      </c>
      <c r="L167" s="232"/>
      <c r="M167" s="233">
        <v>407</v>
      </c>
      <c r="N167" s="233">
        <v>0</v>
      </c>
      <c r="O167" s="232">
        <v>637</v>
      </c>
      <c r="P167" s="221">
        <f t="shared" si="5"/>
        <v>1044</v>
      </c>
      <c r="Q167" s="232"/>
      <c r="R167" s="233">
        <v>4840</v>
      </c>
      <c r="S167" s="234">
        <v>945</v>
      </c>
      <c r="T167" s="234">
        <f>5784+1</f>
        <v>5785</v>
      </c>
    </row>
    <row r="168" spans="1:20">
      <c r="A168" s="227">
        <v>91501</v>
      </c>
      <c r="B168" s="228" t="s">
        <v>882</v>
      </c>
      <c r="C168" s="87">
        <v>4.9700000000000005E-4</v>
      </c>
      <c r="D168" s="87">
        <v>5.1099999999999995E-4</v>
      </c>
      <c r="E168" s="232">
        <v>759278</v>
      </c>
      <c r="F168" s="232"/>
      <c r="G168" s="233">
        <v>43741</v>
      </c>
      <c r="H168" s="221">
        <v>184353</v>
      </c>
      <c r="I168" s="233">
        <v>108435</v>
      </c>
      <c r="J168" s="232">
        <v>24430</v>
      </c>
      <c r="K168" s="221">
        <f t="shared" si="4"/>
        <v>360959</v>
      </c>
      <c r="L168" s="232"/>
      <c r="M168" s="233">
        <v>21493</v>
      </c>
      <c r="N168" s="233">
        <v>0</v>
      </c>
      <c r="O168" s="232">
        <v>6922</v>
      </c>
      <c r="P168" s="221">
        <f t="shared" si="5"/>
        <v>28415</v>
      </c>
      <c r="Q168" s="232"/>
      <c r="R168" s="233">
        <v>255877</v>
      </c>
      <c r="S168" s="234">
        <v>15592</v>
      </c>
      <c r="T168" s="234">
        <v>271469</v>
      </c>
    </row>
    <row r="169" spans="1:20">
      <c r="A169" s="227">
        <v>91504</v>
      </c>
      <c r="B169" s="228" t="s">
        <v>883</v>
      </c>
      <c r="C169" s="87">
        <v>9.7000000000000003E-6</v>
      </c>
      <c r="D169" s="87">
        <v>1.0200000000000001E-5</v>
      </c>
      <c r="E169" s="232">
        <v>14819</v>
      </c>
      <c r="F169" s="232"/>
      <c r="G169" s="233">
        <v>854</v>
      </c>
      <c r="H169" s="221">
        <v>3599</v>
      </c>
      <c r="I169" s="233">
        <v>2116</v>
      </c>
      <c r="J169" s="232">
        <v>5620</v>
      </c>
      <c r="K169" s="221">
        <f t="shared" si="4"/>
        <v>12189</v>
      </c>
      <c r="L169" s="232"/>
      <c r="M169" s="233">
        <v>419</v>
      </c>
      <c r="N169" s="233">
        <v>0</v>
      </c>
      <c r="O169" s="232">
        <v>0</v>
      </c>
      <c r="P169" s="221">
        <f t="shared" si="5"/>
        <v>419</v>
      </c>
      <c r="Q169" s="232"/>
      <c r="R169" s="233">
        <v>4994</v>
      </c>
      <c r="S169" s="234">
        <v>2602</v>
      </c>
      <c r="T169" s="234">
        <v>7596</v>
      </c>
    </row>
    <row r="170" spans="1:20">
      <c r="A170" s="227">
        <v>91601</v>
      </c>
      <c r="B170" s="228" t="s">
        <v>884</v>
      </c>
      <c r="C170" s="87">
        <v>2.8040000000000001E-3</v>
      </c>
      <c r="D170" s="87">
        <v>2.9077999999999999E-3</v>
      </c>
      <c r="E170" s="232">
        <v>4283735</v>
      </c>
      <c r="F170" s="232"/>
      <c r="G170" s="233">
        <v>246783</v>
      </c>
      <c r="H170" s="221">
        <v>1040096</v>
      </c>
      <c r="I170" s="233">
        <v>611777</v>
      </c>
      <c r="J170" s="232">
        <v>168530</v>
      </c>
      <c r="K170" s="221">
        <f t="shared" si="4"/>
        <v>2067186</v>
      </c>
      <c r="L170" s="232"/>
      <c r="M170" s="233">
        <v>121259</v>
      </c>
      <c r="N170" s="233">
        <v>0</v>
      </c>
      <c r="O170" s="232">
        <v>40367</v>
      </c>
      <c r="P170" s="221">
        <f t="shared" si="5"/>
        <v>161626</v>
      </c>
      <c r="Q170" s="232"/>
      <c r="R170" s="233">
        <v>1443623</v>
      </c>
      <c r="S170" s="234">
        <v>76132</v>
      </c>
      <c r="T170" s="234">
        <v>1519755</v>
      </c>
    </row>
    <row r="171" spans="1:20">
      <c r="A171" s="227">
        <v>91604</v>
      </c>
      <c r="B171" s="228" t="s">
        <v>885</v>
      </c>
      <c r="C171" s="87">
        <v>8.8499999999999996E-5</v>
      </c>
      <c r="D171" s="87">
        <v>8.6799999999999996E-5</v>
      </c>
      <c r="E171" s="232">
        <v>135203</v>
      </c>
      <c r="F171" s="232"/>
      <c r="G171" s="233">
        <v>7789</v>
      </c>
      <c r="H171" s="221">
        <v>32827</v>
      </c>
      <c r="I171" s="233">
        <v>19309</v>
      </c>
      <c r="J171" s="232">
        <v>20977</v>
      </c>
      <c r="K171" s="221">
        <f t="shared" si="4"/>
        <v>80902</v>
      </c>
      <c r="L171" s="232"/>
      <c r="M171" s="233">
        <v>3827</v>
      </c>
      <c r="N171" s="233">
        <v>0</v>
      </c>
      <c r="O171" s="232">
        <v>0</v>
      </c>
      <c r="P171" s="221">
        <f t="shared" si="5"/>
        <v>3827</v>
      </c>
      <c r="Q171" s="232"/>
      <c r="R171" s="233">
        <v>45564</v>
      </c>
      <c r="S171" s="234">
        <v>7680</v>
      </c>
      <c r="T171" s="234">
        <v>53244</v>
      </c>
    </row>
    <row r="172" spans="1:20">
      <c r="A172" s="227">
        <v>91608</v>
      </c>
      <c r="B172" s="228" t="s">
        <v>886</v>
      </c>
      <c r="C172" s="87">
        <v>1.5349999999999999E-4</v>
      </c>
      <c r="D172" s="87">
        <v>1.208E-4</v>
      </c>
      <c r="E172" s="232">
        <v>234505</v>
      </c>
      <c r="F172" s="232"/>
      <c r="G172" s="233">
        <v>13510</v>
      </c>
      <c r="H172" s="221">
        <v>56938</v>
      </c>
      <c r="I172" s="233">
        <v>33491</v>
      </c>
      <c r="J172" s="232">
        <v>2430</v>
      </c>
      <c r="K172" s="221">
        <f t="shared" si="4"/>
        <v>106369</v>
      </c>
      <c r="L172" s="232"/>
      <c r="M172" s="233">
        <v>6638</v>
      </c>
      <c r="N172" s="233">
        <v>0</v>
      </c>
      <c r="O172" s="232">
        <v>28763</v>
      </c>
      <c r="P172" s="221">
        <f t="shared" si="5"/>
        <v>35401</v>
      </c>
      <c r="Q172" s="232"/>
      <c r="R172" s="233">
        <v>79029</v>
      </c>
      <c r="S172" s="234">
        <v>-12888</v>
      </c>
      <c r="T172" s="234">
        <f>66140+1</f>
        <v>66141</v>
      </c>
    </row>
    <row r="173" spans="1:20">
      <c r="A173" s="227">
        <v>91611</v>
      </c>
      <c r="B173" s="228" t="s">
        <v>887</v>
      </c>
      <c r="C173" s="87">
        <v>1.4708E-3</v>
      </c>
      <c r="D173" s="87">
        <v>1.4345E-3</v>
      </c>
      <c r="E173" s="232">
        <v>2246975</v>
      </c>
      <c r="F173" s="232"/>
      <c r="G173" s="233">
        <v>129447</v>
      </c>
      <c r="H173" s="221">
        <v>545569</v>
      </c>
      <c r="I173" s="233">
        <v>320899</v>
      </c>
      <c r="J173" s="232">
        <v>19333</v>
      </c>
      <c r="K173" s="221">
        <f t="shared" si="4"/>
        <v>1015248</v>
      </c>
      <c r="L173" s="232"/>
      <c r="M173" s="233">
        <v>63605</v>
      </c>
      <c r="N173" s="233">
        <v>0</v>
      </c>
      <c r="O173" s="232">
        <v>53335</v>
      </c>
      <c r="P173" s="221">
        <f t="shared" si="5"/>
        <v>116940</v>
      </c>
      <c r="Q173" s="232"/>
      <c r="R173" s="233">
        <v>757233</v>
      </c>
      <c r="S173" s="234">
        <v>2483</v>
      </c>
      <c r="T173" s="234">
        <f>759715+1</f>
        <v>759716</v>
      </c>
    </row>
    <row r="174" spans="1:20">
      <c r="A174" s="227">
        <v>91621</v>
      </c>
      <c r="B174" s="228" t="s">
        <v>888</v>
      </c>
      <c r="C174" s="87">
        <v>2.7050000000000002E-4</v>
      </c>
      <c r="D174" s="87">
        <v>2.5240000000000001E-4</v>
      </c>
      <c r="E174" s="232">
        <v>413249</v>
      </c>
      <c r="F174" s="232"/>
      <c r="G174" s="233">
        <v>23807</v>
      </c>
      <c r="H174" s="221">
        <v>100337</v>
      </c>
      <c r="I174" s="233">
        <v>59018</v>
      </c>
      <c r="J174" s="232">
        <v>13260</v>
      </c>
      <c r="K174" s="221">
        <f t="shared" si="4"/>
        <v>196422</v>
      </c>
      <c r="L174" s="232"/>
      <c r="M174" s="233">
        <v>11698</v>
      </c>
      <c r="N174" s="233">
        <v>0</v>
      </c>
      <c r="O174" s="232">
        <v>14620</v>
      </c>
      <c r="P174" s="221">
        <f t="shared" si="5"/>
        <v>26318</v>
      </c>
      <c r="Q174" s="232"/>
      <c r="R174" s="233">
        <v>139265</v>
      </c>
      <c r="S174" s="234">
        <v>-4185</v>
      </c>
      <c r="T174" s="234">
        <v>135080</v>
      </c>
    </row>
    <row r="175" spans="1:20">
      <c r="A175" s="227">
        <v>91631</v>
      </c>
      <c r="B175" s="228" t="s">
        <v>889</v>
      </c>
      <c r="C175" s="87">
        <v>5.2249999999999996E-4</v>
      </c>
      <c r="D175" s="87">
        <v>5.3870000000000003E-4</v>
      </c>
      <c r="E175" s="232">
        <v>798235</v>
      </c>
      <c r="F175" s="232"/>
      <c r="G175" s="233">
        <v>45986</v>
      </c>
      <c r="H175" s="221">
        <v>193812</v>
      </c>
      <c r="I175" s="233">
        <v>113999</v>
      </c>
      <c r="J175" s="232">
        <v>0</v>
      </c>
      <c r="K175" s="221">
        <f t="shared" si="4"/>
        <v>353797</v>
      </c>
      <c r="L175" s="232"/>
      <c r="M175" s="233">
        <v>22596</v>
      </c>
      <c r="N175" s="233">
        <v>0</v>
      </c>
      <c r="O175" s="232">
        <v>52272</v>
      </c>
      <c r="P175" s="221">
        <f t="shared" si="5"/>
        <v>74868</v>
      </c>
      <c r="Q175" s="232"/>
      <c r="R175" s="233">
        <v>269006</v>
      </c>
      <c r="S175" s="234">
        <v>-16747</v>
      </c>
      <c r="T175" s="234">
        <v>252259</v>
      </c>
    </row>
    <row r="176" spans="1:20">
      <c r="A176" s="227">
        <v>91633</v>
      </c>
      <c r="B176" s="228" t="s">
        <v>890</v>
      </c>
      <c r="C176" s="87">
        <v>2.51E-5</v>
      </c>
      <c r="D176" s="87">
        <v>2.3799999999999999E-5</v>
      </c>
      <c r="E176" s="232">
        <v>38346</v>
      </c>
      <c r="F176" s="232"/>
      <c r="G176" s="233">
        <v>2209</v>
      </c>
      <c r="H176" s="221">
        <v>9311</v>
      </c>
      <c r="I176" s="233">
        <v>5476</v>
      </c>
      <c r="J176" s="232">
        <v>1513</v>
      </c>
      <c r="K176" s="221">
        <f t="shared" si="4"/>
        <v>18509</v>
      </c>
      <c r="L176" s="232"/>
      <c r="M176" s="233">
        <v>1085</v>
      </c>
      <c r="N176" s="233">
        <v>0</v>
      </c>
      <c r="O176" s="232">
        <v>3215</v>
      </c>
      <c r="P176" s="221">
        <f t="shared" si="5"/>
        <v>4300</v>
      </c>
      <c r="Q176" s="232"/>
      <c r="R176" s="233">
        <v>12923</v>
      </c>
      <c r="S176" s="234">
        <v>-1367</v>
      </c>
      <c r="T176" s="234">
        <f>11555+1</f>
        <v>11556</v>
      </c>
    </row>
    <row r="177" spans="1:20">
      <c r="A177" s="227">
        <v>91641</v>
      </c>
      <c r="B177" s="228" t="s">
        <v>891</v>
      </c>
      <c r="C177" s="87">
        <v>3.1139999999999998E-4</v>
      </c>
      <c r="D177" s="87">
        <v>2.742E-4</v>
      </c>
      <c r="E177" s="232">
        <v>475733</v>
      </c>
      <c r="F177" s="232"/>
      <c r="G177" s="233">
        <v>27407</v>
      </c>
      <c r="H177" s="221">
        <v>115509</v>
      </c>
      <c r="I177" s="233">
        <v>67941</v>
      </c>
      <c r="J177" s="232">
        <v>0</v>
      </c>
      <c r="K177" s="221">
        <f t="shared" si="4"/>
        <v>210857</v>
      </c>
      <c r="L177" s="232"/>
      <c r="M177" s="233">
        <v>13466</v>
      </c>
      <c r="N177" s="233">
        <v>0</v>
      </c>
      <c r="O177" s="232">
        <v>55139</v>
      </c>
      <c r="P177" s="221">
        <f t="shared" si="5"/>
        <v>68605</v>
      </c>
      <c r="Q177" s="232"/>
      <c r="R177" s="233">
        <v>160322</v>
      </c>
      <c r="S177" s="234">
        <v>-25877</v>
      </c>
      <c r="T177" s="234">
        <v>134445</v>
      </c>
    </row>
    <row r="178" spans="1:20">
      <c r="A178" s="227">
        <v>91651</v>
      </c>
      <c r="B178" s="228" t="s">
        <v>892</v>
      </c>
      <c r="C178" s="87">
        <v>4.4440000000000001E-4</v>
      </c>
      <c r="D178" s="87">
        <v>4.6099999999999998E-4</v>
      </c>
      <c r="E178" s="232">
        <v>678920</v>
      </c>
      <c r="F178" s="232"/>
      <c r="G178" s="233">
        <v>39112</v>
      </c>
      <c r="H178" s="221">
        <v>164843</v>
      </c>
      <c r="I178" s="233">
        <v>96959</v>
      </c>
      <c r="J178" s="232">
        <v>0</v>
      </c>
      <c r="K178" s="221">
        <f t="shared" si="4"/>
        <v>300914</v>
      </c>
      <c r="L178" s="232"/>
      <c r="M178" s="233">
        <v>19218</v>
      </c>
      <c r="N178" s="233">
        <v>0</v>
      </c>
      <c r="O178" s="232">
        <v>30696</v>
      </c>
      <c r="P178" s="221">
        <f t="shared" si="5"/>
        <v>49914</v>
      </c>
      <c r="Q178" s="232"/>
      <c r="R178" s="233">
        <v>228797</v>
      </c>
      <c r="S178" s="234">
        <v>-12407</v>
      </c>
      <c r="T178" s="234">
        <v>216390</v>
      </c>
    </row>
    <row r="179" spans="1:20">
      <c r="A179" s="227">
        <v>91661</v>
      </c>
      <c r="B179" s="228" t="s">
        <v>893</v>
      </c>
      <c r="C179" s="87">
        <v>1.673E-4</v>
      </c>
      <c r="D179" s="87">
        <v>1.6750000000000001E-4</v>
      </c>
      <c r="E179" s="232">
        <v>255588</v>
      </c>
      <c r="F179" s="232"/>
      <c r="G179" s="233">
        <v>14724</v>
      </c>
      <c r="H179" s="221">
        <v>62057</v>
      </c>
      <c r="I179" s="233">
        <v>36502</v>
      </c>
      <c r="J179" s="232">
        <v>0</v>
      </c>
      <c r="K179" s="221">
        <f t="shared" si="4"/>
        <v>113283</v>
      </c>
      <c r="L179" s="232"/>
      <c r="M179" s="233">
        <v>7235</v>
      </c>
      <c r="N179" s="233">
        <v>0</v>
      </c>
      <c r="O179" s="232">
        <v>45519</v>
      </c>
      <c r="P179" s="221">
        <f t="shared" si="5"/>
        <v>52754</v>
      </c>
      <c r="Q179" s="232"/>
      <c r="R179" s="233">
        <v>86133</v>
      </c>
      <c r="S179" s="234">
        <v>-16188</v>
      </c>
      <c r="T179" s="234">
        <v>69945</v>
      </c>
    </row>
    <row r="180" spans="1:20">
      <c r="A180" s="227">
        <v>91671</v>
      </c>
      <c r="B180" s="228" t="s">
        <v>894</v>
      </c>
      <c r="C180" s="87">
        <v>9.6700000000000006E-5</v>
      </c>
      <c r="D180" s="87">
        <v>9.7600000000000001E-5</v>
      </c>
      <c r="E180" s="232">
        <v>147731</v>
      </c>
      <c r="F180" s="232"/>
      <c r="G180" s="233">
        <v>8511</v>
      </c>
      <c r="H180" s="221">
        <v>35869</v>
      </c>
      <c r="I180" s="233">
        <v>21098</v>
      </c>
      <c r="J180" s="232">
        <v>11497</v>
      </c>
      <c r="K180" s="221">
        <f t="shared" si="4"/>
        <v>76975</v>
      </c>
      <c r="L180" s="232"/>
      <c r="M180" s="233">
        <v>4182</v>
      </c>
      <c r="N180" s="233">
        <v>0</v>
      </c>
      <c r="O180" s="232">
        <v>1197</v>
      </c>
      <c r="P180" s="221">
        <f t="shared" si="5"/>
        <v>5379</v>
      </c>
      <c r="Q180" s="232"/>
      <c r="R180" s="233">
        <v>49785</v>
      </c>
      <c r="S180" s="234">
        <v>5725</v>
      </c>
      <c r="T180" s="234">
        <v>55510</v>
      </c>
    </row>
    <row r="181" spans="1:20">
      <c r="A181" s="227">
        <v>91681</v>
      </c>
      <c r="B181" s="228" t="s">
        <v>895</v>
      </c>
      <c r="C181" s="87">
        <v>4.728E-4</v>
      </c>
      <c r="D181" s="87">
        <v>4.7130000000000002E-4</v>
      </c>
      <c r="E181" s="232">
        <v>722307</v>
      </c>
      <c r="F181" s="232"/>
      <c r="G181" s="233">
        <v>41612</v>
      </c>
      <c r="H181" s="221">
        <v>175378</v>
      </c>
      <c r="I181" s="233">
        <v>103156</v>
      </c>
      <c r="J181" s="232">
        <v>274278</v>
      </c>
      <c r="K181" s="221">
        <f t="shared" si="4"/>
        <v>594424</v>
      </c>
      <c r="L181" s="232"/>
      <c r="M181" s="233">
        <v>20446</v>
      </c>
      <c r="N181" s="233">
        <v>0</v>
      </c>
      <c r="O181" s="232">
        <v>4516</v>
      </c>
      <c r="P181" s="221">
        <f t="shared" si="5"/>
        <v>24962</v>
      </c>
      <c r="Q181" s="232"/>
      <c r="R181" s="233">
        <v>243418</v>
      </c>
      <c r="S181" s="234">
        <v>89641</v>
      </c>
      <c r="T181" s="234">
        <v>333059</v>
      </c>
    </row>
    <row r="182" spans="1:20">
      <c r="A182" s="227">
        <v>91691</v>
      </c>
      <c r="B182" s="228" t="s">
        <v>896</v>
      </c>
      <c r="C182" s="87">
        <v>2.3200000000000001E-5</v>
      </c>
      <c r="D182" s="87">
        <v>2.4199999999999999E-5</v>
      </c>
      <c r="E182" s="232">
        <v>35443</v>
      </c>
      <c r="F182" s="232"/>
      <c r="G182" s="233">
        <v>2042</v>
      </c>
      <c r="H182" s="221">
        <v>8605</v>
      </c>
      <c r="I182" s="233">
        <v>5062</v>
      </c>
      <c r="J182" s="232">
        <v>1782</v>
      </c>
      <c r="K182" s="221">
        <f t="shared" si="4"/>
        <v>17491</v>
      </c>
      <c r="L182" s="232"/>
      <c r="M182" s="233">
        <v>1003</v>
      </c>
      <c r="N182" s="233">
        <v>0</v>
      </c>
      <c r="O182" s="232">
        <v>1533</v>
      </c>
      <c r="P182" s="221">
        <f t="shared" si="5"/>
        <v>2536</v>
      </c>
      <c r="Q182" s="232"/>
      <c r="R182" s="233">
        <v>11944</v>
      </c>
      <c r="S182" s="234">
        <v>129</v>
      </c>
      <c r="T182" s="234">
        <f>12074-1</f>
        <v>12073</v>
      </c>
    </row>
    <row r="183" spans="1:20">
      <c r="A183" s="227">
        <v>91701</v>
      </c>
      <c r="B183" s="228" t="s">
        <v>897</v>
      </c>
      <c r="C183" s="87">
        <v>1.2451999999999999E-3</v>
      </c>
      <c r="D183" s="87">
        <v>1.0897000000000001E-3</v>
      </c>
      <c r="E183" s="232">
        <v>1902321</v>
      </c>
      <c r="F183" s="232"/>
      <c r="G183" s="233">
        <v>109591</v>
      </c>
      <c r="H183" s="221">
        <v>461886</v>
      </c>
      <c r="I183" s="233">
        <v>271678</v>
      </c>
      <c r="J183" s="232">
        <v>95964</v>
      </c>
      <c r="K183" s="221">
        <f t="shared" si="4"/>
        <v>939119</v>
      </c>
      <c r="L183" s="232"/>
      <c r="M183" s="233">
        <v>53849</v>
      </c>
      <c r="N183" s="233">
        <v>0</v>
      </c>
      <c r="O183" s="232">
        <v>6949</v>
      </c>
      <c r="P183" s="221">
        <f t="shared" si="5"/>
        <v>60798</v>
      </c>
      <c r="Q183" s="232"/>
      <c r="R183" s="233">
        <v>641084</v>
      </c>
      <c r="S183" s="234">
        <v>18725</v>
      </c>
      <c r="T183" s="234">
        <v>659809</v>
      </c>
    </row>
    <row r="184" spans="1:20">
      <c r="A184" s="227">
        <v>91704</v>
      </c>
      <c r="B184" s="228" t="s">
        <v>898</v>
      </c>
      <c r="C184" s="87">
        <v>1.73E-5</v>
      </c>
      <c r="D184" s="87">
        <v>1.6699999999999999E-5</v>
      </c>
      <c r="E184" s="232">
        <v>26430</v>
      </c>
      <c r="F184" s="232"/>
      <c r="G184" s="233">
        <v>1523</v>
      </c>
      <c r="H184" s="221">
        <v>6417</v>
      </c>
      <c r="I184" s="233">
        <v>3775</v>
      </c>
      <c r="J184" s="232">
        <v>1084</v>
      </c>
      <c r="K184" s="221">
        <f t="shared" si="4"/>
        <v>12799</v>
      </c>
      <c r="L184" s="232"/>
      <c r="M184" s="233">
        <v>748</v>
      </c>
      <c r="N184" s="233">
        <v>0</v>
      </c>
      <c r="O184" s="232">
        <v>0</v>
      </c>
      <c r="P184" s="221">
        <f t="shared" si="5"/>
        <v>748</v>
      </c>
      <c r="Q184" s="232"/>
      <c r="R184" s="233">
        <v>8907</v>
      </c>
      <c r="S184" s="234">
        <v>641</v>
      </c>
      <c r="T184" s="234">
        <v>9548</v>
      </c>
    </row>
    <row r="185" spans="1:20">
      <c r="A185" s="227">
        <v>91706</v>
      </c>
      <c r="B185" s="228" t="s">
        <v>899</v>
      </c>
      <c r="C185" s="87">
        <v>2.4340000000000001E-4</v>
      </c>
      <c r="D185" s="87">
        <v>2.4279999999999999E-4</v>
      </c>
      <c r="E185" s="232">
        <v>371848</v>
      </c>
      <c r="F185" s="232"/>
      <c r="G185" s="233">
        <v>21422</v>
      </c>
      <c r="H185" s="221">
        <v>90285</v>
      </c>
      <c r="I185" s="233">
        <v>53105</v>
      </c>
      <c r="J185" s="232">
        <v>9101</v>
      </c>
      <c r="K185" s="221">
        <f t="shared" si="4"/>
        <v>173913</v>
      </c>
      <c r="L185" s="232"/>
      <c r="M185" s="233">
        <v>10526</v>
      </c>
      <c r="N185" s="233">
        <v>0</v>
      </c>
      <c r="O185" s="232">
        <v>8271</v>
      </c>
      <c r="P185" s="221">
        <f t="shared" si="5"/>
        <v>18797</v>
      </c>
      <c r="Q185" s="232"/>
      <c r="R185" s="233">
        <v>125313</v>
      </c>
      <c r="S185" s="234">
        <v>-4120</v>
      </c>
      <c r="T185" s="234">
        <v>121193</v>
      </c>
    </row>
    <row r="186" spans="1:20">
      <c r="A186" s="227">
        <v>91719</v>
      </c>
      <c r="B186" s="228" t="s">
        <v>900</v>
      </c>
      <c r="C186" s="87">
        <v>4.9700000000000002E-5</v>
      </c>
      <c r="D186" s="87">
        <v>4.9299999999999999E-5</v>
      </c>
      <c r="E186" s="232">
        <v>75928</v>
      </c>
      <c r="F186" s="232"/>
      <c r="G186" s="233">
        <v>4374</v>
      </c>
      <c r="H186" s="221">
        <v>18435</v>
      </c>
      <c r="I186" s="233">
        <v>10844</v>
      </c>
      <c r="J186" s="232">
        <v>4395</v>
      </c>
      <c r="K186" s="221">
        <f t="shared" si="4"/>
        <v>38048</v>
      </c>
      <c r="L186" s="232"/>
      <c r="M186" s="233">
        <v>2149</v>
      </c>
      <c r="N186" s="233">
        <v>0</v>
      </c>
      <c r="O186" s="232">
        <v>4419</v>
      </c>
      <c r="P186" s="221">
        <f t="shared" si="5"/>
        <v>6568</v>
      </c>
      <c r="Q186" s="232"/>
      <c r="R186" s="233">
        <v>25588</v>
      </c>
      <c r="S186" s="234">
        <v>37</v>
      </c>
      <c r="T186" s="234">
        <v>25625</v>
      </c>
    </row>
    <row r="187" spans="1:20">
      <c r="A187" s="227">
        <v>91801</v>
      </c>
      <c r="B187" s="228" t="s">
        <v>901</v>
      </c>
      <c r="C187" s="87">
        <v>8.0961000000000002E-3</v>
      </c>
      <c r="D187" s="87">
        <v>8.3853999999999995E-3</v>
      </c>
      <c r="E187" s="232">
        <v>12368598</v>
      </c>
      <c r="F187" s="232"/>
      <c r="G187" s="233">
        <v>712546</v>
      </c>
      <c r="H187" s="221">
        <v>3003111</v>
      </c>
      <c r="I187" s="233">
        <v>1766407</v>
      </c>
      <c r="J187" s="232">
        <v>0</v>
      </c>
      <c r="K187" s="221">
        <f t="shared" si="4"/>
        <v>5482064</v>
      </c>
      <c r="L187" s="232"/>
      <c r="M187" s="233">
        <v>350116</v>
      </c>
      <c r="N187" s="233">
        <v>0</v>
      </c>
      <c r="O187" s="232">
        <v>242225</v>
      </c>
      <c r="P187" s="221">
        <f t="shared" si="5"/>
        <v>592341</v>
      </c>
      <c r="Q187" s="232"/>
      <c r="R187" s="233">
        <v>4168229</v>
      </c>
      <c r="S187" s="234">
        <v>-87031</v>
      </c>
      <c r="T187" s="234">
        <f>4081197+1</f>
        <v>4081198</v>
      </c>
    </row>
    <row r="188" spans="1:20">
      <c r="A188" s="227">
        <v>91804</v>
      </c>
      <c r="B188" s="228" t="s">
        <v>902</v>
      </c>
      <c r="C188" s="87">
        <v>1.3439999999999999E-4</v>
      </c>
      <c r="D188" s="87">
        <v>1.462E-4</v>
      </c>
      <c r="E188" s="232">
        <v>205326</v>
      </c>
      <c r="F188" s="232"/>
      <c r="G188" s="233">
        <v>11829</v>
      </c>
      <c r="H188" s="221">
        <v>49854</v>
      </c>
      <c r="I188" s="233">
        <v>29323</v>
      </c>
      <c r="J188" s="232">
        <v>55699</v>
      </c>
      <c r="K188" s="221">
        <f t="shared" si="4"/>
        <v>146705</v>
      </c>
      <c r="L188" s="232"/>
      <c r="M188" s="233">
        <v>5812</v>
      </c>
      <c r="N188" s="233">
        <v>0</v>
      </c>
      <c r="O188" s="232">
        <v>0</v>
      </c>
      <c r="P188" s="221">
        <f t="shared" si="5"/>
        <v>5812</v>
      </c>
      <c r="Q188" s="232"/>
      <c r="R188" s="233">
        <v>69195</v>
      </c>
      <c r="S188" s="234">
        <v>23621</v>
      </c>
      <c r="T188" s="234">
        <v>92816</v>
      </c>
    </row>
    <row r="189" spans="1:20">
      <c r="A189" s="227">
        <v>91811</v>
      </c>
      <c r="B189" s="228" t="s">
        <v>903</v>
      </c>
      <c r="C189" s="87">
        <v>4.5555999999999999E-3</v>
      </c>
      <c r="D189" s="87">
        <v>4.6454000000000001E-3</v>
      </c>
      <c r="E189" s="232">
        <v>6959695</v>
      </c>
      <c r="F189" s="232"/>
      <c r="G189" s="233">
        <v>400943</v>
      </c>
      <c r="H189" s="221">
        <v>1689822</v>
      </c>
      <c r="I189" s="233">
        <v>993941</v>
      </c>
      <c r="J189" s="232">
        <v>0</v>
      </c>
      <c r="K189" s="221">
        <f t="shared" si="4"/>
        <v>3084706</v>
      </c>
      <c r="L189" s="232"/>
      <c r="M189" s="233">
        <v>197007</v>
      </c>
      <c r="N189" s="233">
        <v>0</v>
      </c>
      <c r="O189" s="232">
        <v>519421</v>
      </c>
      <c r="P189" s="221">
        <f t="shared" si="5"/>
        <v>716428</v>
      </c>
      <c r="Q189" s="232"/>
      <c r="R189" s="233">
        <v>2345423</v>
      </c>
      <c r="S189" s="234">
        <v>-197590</v>
      </c>
      <c r="T189" s="234">
        <v>2147833</v>
      </c>
    </row>
    <row r="190" spans="1:20">
      <c r="A190" s="227">
        <v>91812</v>
      </c>
      <c r="B190" s="228" t="s">
        <v>904</v>
      </c>
      <c r="C190" s="87">
        <v>5.0800000000000002E-5</v>
      </c>
      <c r="D190" s="87">
        <v>5.8199999999999998E-5</v>
      </c>
      <c r="E190" s="232">
        <v>77608</v>
      </c>
      <c r="F190" s="232"/>
      <c r="G190" s="233">
        <v>4471</v>
      </c>
      <c r="H190" s="221">
        <v>18843</v>
      </c>
      <c r="I190" s="233">
        <v>11084</v>
      </c>
      <c r="J190" s="232">
        <v>11326</v>
      </c>
      <c r="K190" s="221">
        <f t="shared" si="4"/>
        <v>45724</v>
      </c>
      <c r="L190" s="232"/>
      <c r="M190" s="233">
        <v>2197</v>
      </c>
      <c r="N190" s="233">
        <v>0</v>
      </c>
      <c r="O190" s="232">
        <v>2710</v>
      </c>
      <c r="P190" s="221">
        <f t="shared" si="5"/>
        <v>4907</v>
      </c>
      <c r="Q190" s="232"/>
      <c r="R190" s="233">
        <v>26154</v>
      </c>
      <c r="S190" s="234">
        <v>4584</v>
      </c>
      <c r="T190" s="234">
        <v>30738</v>
      </c>
    </row>
    <row r="191" spans="1:20">
      <c r="A191" s="227">
        <v>91813</v>
      </c>
      <c r="B191" s="228" t="s">
        <v>905</v>
      </c>
      <c r="C191" s="87">
        <v>8.6100000000000006E-5</v>
      </c>
      <c r="D191" s="87">
        <v>1.083E-4</v>
      </c>
      <c r="E191" s="232">
        <v>131537</v>
      </c>
      <c r="F191" s="232"/>
      <c r="G191" s="233">
        <v>7578</v>
      </c>
      <c r="H191" s="221">
        <v>31938</v>
      </c>
      <c r="I191" s="233">
        <v>18785</v>
      </c>
      <c r="J191" s="232">
        <v>10986</v>
      </c>
      <c r="K191" s="221">
        <f t="shared" si="4"/>
        <v>69287</v>
      </c>
      <c r="L191" s="232"/>
      <c r="M191" s="233">
        <v>3723</v>
      </c>
      <c r="N191" s="233">
        <v>0</v>
      </c>
      <c r="O191" s="232">
        <v>13565</v>
      </c>
      <c r="P191" s="221">
        <f t="shared" si="5"/>
        <v>17288</v>
      </c>
      <c r="Q191" s="232"/>
      <c r="R191" s="233">
        <v>44328</v>
      </c>
      <c r="S191" s="234">
        <v>-155</v>
      </c>
      <c r="T191" s="234">
        <v>44173</v>
      </c>
    </row>
    <row r="192" spans="1:20">
      <c r="A192" s="227">
        <v>91818</v>
      </c>
      <c r="B192" s="228" t="s">
        <v>906</v>
      </c>
      <c r="C192" s="87">
        <v>4.0079999999999998E-4</v>
      </c>
      <c r="D192" s="87">
        <v>3.8559999999999999E-4</v>
      </c>
      <c r="E192" s="232">
        <v>612311</v>
      </c>
      <c r="F192" s="232"/>
      <c r="G192" s="233">
        <v>35275</v>
      </c>
      <c r="H192" s="221">
        <v>148670</v>
      </c>
      <c r="I192" s="233">
        <v>87447</v>
      </c>
      <c r="J192" s="232">
        <v>469231</v>
      </c>
      <c r="K192" s="221">
        <f t="shared" si="4"/>
        <v>740623</v>
      </c>
      <c r="L192" s="232"/>
      <c r="M192" s="233">
        <v>17333</v>
      </c>
      <c r="N192" s="233">
        <v>0</v>
      </c>
      <c r="O192" s="232">
        <v>5024</v>
      </c>
      <c r="P192" s="221">
        <f t="shared" si="5"/>
        <v>22357</v>
      </c>
      <c r="Q192" s="232"/>
      <c r="R192" s="233">
        <v>206349</v>
      </c>
      <c r="S192" s="234">
        <v>155106</v>
      </c>
      <c r="T192" s="234">
        <f>361456-1</f>
        <v>361455</v>
      </c>
    </row>
    <row r="193" spans="1:20">
      <c r="A193" s="227">
        <v>91819</v>
      </c>
      <c r="B193" s="228" t="s">
        <v>907</v>
      </c>
      <c r="C193" s="87">
        <v>2.8489999999999999E-4</v>
      </c>
      <c r="D193" s="87">
        <v>2.8200000000000002E-4</v>
      </c>
      <c r="E193" s="232">
        <v>435248</v>
      </c>
      <c r="F193" s="232"/>
      <c r="G193" s="233">
        <v>25074</v>
      </c>
      <c r="H193" s="221">
        <v>105678</v>
      </c>
      <c r="I193" s="233">
        <v>62159</v>
      </c>
      <c r="J193" s="232">
        <v>15073</v>
      </c>
      <c r="K193" s="221">
        <f t="shared" si="4"/>
        <v>207984</v>
      </c>
      <c r="L193" s="232"/>
      <c r="M193" s="233">
        <v>12321</v>
      </c>
      <c r="N193" s="233">
        <v>0</v>
      </c>
      <c r="O193" s="232">
        <v>8276</v>
      </c>
      <c r="P193" s="221">
        <f t="shared" si="5"/>
        <v>20597</v>
      </c>
      <c r="Q193" s="232"/>
      <c r="R193" s="233">
        <v>146679</v>
      </c>
      <c r="S193" s="234">
        <v>5278</v>
      </c>
      <c r="T193" s="234">
        <v>151957</v>
      </c>
    </row>
    <row r="194" spans="1:20">
      <c r="A194" s="227">
        <v>91821</v>
      </c>
      <c r="B194" s="228" t="s">
        <v>908</v>
      </c>
      <c r="C194" s="87">
        <v>1.7330000000000001E-4</v>
      </c>
      <c r="D194" s="87">
        <v>1.63E-4</v>
      </c>
      <c r="E194" s="232">
        <v>264754</v>
      </c>
      <c r="F194" s="232"/>
      <c r="G194" s="233">
        <v>15252</v>
      </c>
      <c r="H194" s="221">
        <v>64283</v>
      </c>
      <c r="I194" s="233">
        <v>37811</v>
      </c>
      <c r="J194" s="232">
        <v>2434</v>
      </c>
      <c r="K194" s="221">
        <f t="shared" si="4"/>
        <v>119780</v>
      </c>
      <c r="L194" s="232"/>
      <c r="M194" s="233">
        <v>7494</v>
      </c>
      <c r="N194" s="233">
        <v>0</v>
      </c>
      <c r="O194" s="232">
        <v>1112</v>
      </c>
      <c r="P194" s="221">
        <f t="shared" si="5"/>
        <v>8606</v>
      </c>
      <c r="Q194" s="232"/>
      <c r="R194" s="233">
        <v>89222</v>
      </c>
      <c r="S194" s="234">
        <v>1572</v>
      </c>
      <c r="T194" s="234">
        <f>90795-1</f>
        <v>90794</v>
      </c>
    </row>
    <row r="195" spans="1:20">
      <c r="A195" s="227">
        <v>91831</v>
      </c>
      <c r="B195" s="228" t="s">
        <v>909</v>
      </c>
      <c r="C195" s="87">
        <v>3.366E-4</v>
      </c>
      <c r="D195" s="87">
        <v>3.414E-4</v>
      </c>
      <c r="E195" s="232">
        <v>514232</v>
      </c>
      <c r="F195" s="232"/>
      <c r="G195" s="233">
        <v>29625</v>
      </c>
      <c r="H195" s="221">
        <v>124856</v>
      </c>
      <c r="I195" s="233">
        <v>73439</v>
      </c>
      <c r="J195" s="232">
        <v>7847</v>
      </c>
      <c r="K195" s="221">
        <f t="shared" si="4"/>
        <v>235767</v>
      </c>
      <c r="L195" s="232"/>
      <c r="M195" s="233">
        <v>14556</v>
      </c>
      <c r="N195" s="233">
        <v>0</v>
      </c>
      <c r="O195" s="232">
        <v>13475</v>
      </c>
      <c r="P195" s="221">
        <f t="shared" si="5"/>
        <v>28031</v>
      </c>
      <c r="Q195" s="232"/>
      <c r="R195" s="233">
        <v>173296</v>
      </c>
      <c r="S195" s="234">
        <v>520</v>
      </c>
      <c r="T195" s="234">
        <v>173816</v>
      </c>
    </row>
    <row r="196" spans="1:20">
      <c r="A196" s="227">
        <v>91841</v>
      </c>
      <c r="B196" s="228" t="s">
        <v>910</v>
      </c>
      <c r="C196" s="87">
        <v>2.5339999999999998E-4</v>
      </c>
      <c r="D196" s="87">
        <v>2.63E-4</v>
      </c>
      <c r="E196" s="232">
        <v>387125</v>
      </c>
      <c r="F196" s="232"/>
      <c r="G196" s="233">
        <v>22302</v>
      </c>
      <c r="H196" s="221">
        <v>93994</v>
      </c>
      <c r="I196" s="233">
        <v>55287</v>
      </c>
      <c r="J196" s="232">
        <v>1681</v>
      </c>
      <c r="K196" s="221">
        <f t="shared" si="4"/>
        <v>173264</v>
      </c>
      <c r="L196" s="232"/>
      <c r="M196" s="233">
        <v>10958</v>
      </c>
      <c r="N196" s="233">
        <v>0</v>
      </c>
      <c r="O196" s="232">
        <v>14711</v>
      </c>
      <c r="P196" s="221">
        <f t="shared" si="5"/>
        <v>25669</v>
      </c>
      <c r="Q196" s="232"/>
      <c r="R196" s="233">
        <v>130461</v>
      </c>
      <c r="S196" s="234">
        <v>-9727</v>
      </c>
      <c r="T196" s="234">
        <v>120734</v>
      </c>
    </row>
    <row r="197" spans="1:20">
      <c r="A197" s="227">
        <v>91851</v>
      </c>
      <c r="B197" s="228" t="s">
        <v>911</v>
      </c>
      <c r="C197" s="87">
        <v>7.4910000000000005E-4</v>
      </c>
      <c r="D197" s="87">
        <v>7.2059999999999995E-4</v>
      </c>
      <c r="E197" s="232">
        <v>1144417</v>
      </c>
      <c r="F197" s="232"/>
      <c r="G197" s="233">
        <v>65929</v>
      </c>
      <c r="H197" s="221">
        <v>277866</v>
      </c>
      <c r="I197" s="233">
        <v>163439</v>
      </c>
      <c r="J197" s="232">
        <v>9030</v>
      </c>
      <c r="K197" s="221">
        <f t="shared" si="4"/>
        <v>516264</v>
      </c>
      <c r="L197" s="232"/>
      <c r="M197" s="233">
        <v>32395</v>
      </c>
      <c r="N197" s="233">
        <v>0</v>
      </c>
      <c r="O197" s="232">
        <v>44287</v>
      </c>
      <c r="P197" s="221">
        <f t="shared" si="5"/>
        <v>76682</v>
      </c>
      <c r="Q197" s="232"/>
      <c r="R197" s="233">
        <v>385670</v>
      </c>
      <c r="S197" s="234">
        <v>-13424</v>
      </c>
      <c r="T197" s="234">
        <v>372246</v>
      </c>
    </row>
    <row r="198" spans="1:20">
      <c r="A198" s="227">
        <v>91861</v>
      </c>
      <c r="B198" s="228" t="s">
        <v>912</v>
      </c>
      <c r="C198" s="87">
        <v>1.9700000000000001E-5</v>
      </c>
      <c r="D198" s="87">
        <v>1.9899999999999999E-5</v>
      </c>
      <c r="E198" s="232">
        <v>30096</v>
      </c>
      <c r="F198" s="232"/>
      <c r="G198" s="233">
        <v>1734</v>
      </c>
      <c r="H198" s="221">
        <v>7308</v>
      </c>
      <c r="I198" s="233">
        <v>4298</v>
      </c>
      <c r="J198" s="232">
        <v>2050</v>
      </c>
      <c r="K198" s="221">
        <f t="shared" si="4"/>
        <v>15390</v>
      </c>
      <c r="L198" s="232"/>
      <c r="M198" s="233">
        <v>852</v>
      </c>
      <c r="N198" s="233">
        <v>0</v>
      </c>
      <c r="O198" s="232">
        <v>1061</v>
      </c>
      <c r="P198" s="221">
        <f t="shared" si="5"/>
        <v>1913</v>
      </c>
      <c r="Q198" s="232"/>
      <c r="R198" s="233">
        <v>10142</v>
      </c>
      <c r="S198" s="234">
        <v>692</v>
      </c>
      <c r="T198" s="234">
        <f>10835-1</f>
        <v>10834</v>
      </c>
    </row>
    <row r="199" spans="1:20">
      <c r="A199" s="227">
        <v>91871</v>
      </c>
      <c r="B199" s="228" t="s">
        <v>913</v>
      </c>
      <c r="C199" s="87">
        <v>1.3319E-3</v>
      </c>
      <c r="D199" s="87">
        <v>1.2712000000000001E-3</v>
      </c>
      <c r="E199" s="232">
        <v>2034774</v>
      </c>
      <c r="F199" s="232"/>
      <c r="G199" s="233">
        <v>117222</v>
      </c>
      <c r="H199" s="221">
        <v>494045</v>
      </c>
      <c r="I199" s="233">
        <v>290594</v>
      </c>
      <c r="J199" s="232">
        <v>22538</v>
      </c>
      <c r="K199" s="221">
        <f t="shared" si="4"/>
        <v>924399</v>
      </c>
      <c r="L199" s="232"/>
      <c r="M199" s="233">
        <v>57598</v>
      </c>
      <c r="N199" s="233">
        <v>0</v>
      </c>
      <c r="O199" s="232">
        <v>73797</v>
      </c>
      <c r="P199" s="221">
        <f t="shared" si="5"/>
        <v>131395</v>
      </c>
      <c r="Q199" s="232"/>
      <c r="R199" s="233">
        <v>685721</v>
      </c>
      <c r="S199" s="234">
        <v>-28802</v>
      </c>
      <c r="T199" s="234">
        <v>656919</v>
      </c>
    </row>
    <row r="200" spans="1:20">
      <c r="A200" s="227">
        <v>91881</v>
      </c>
      <c r="B200" s="228" t="s">
        <v>914</v>
      </c>
      <c r="C200" s="87">
        <v>9.3000000000000007E-6</v>
      </c>
      <c r="D200" s="87">
        <v>1.01E-5</v>
      </c>
      <c r="E200" s="232">
        <v>14208</v>
      </c>
      <c r="F200" s="232"/>
      <c r="G200" s="233">
        <v>819</v>
      </c>
      <c r="H200" s="221">
        <v>3450</v>
      </c>
      <c r="I200" s="233">
        <v>2029</v>
      </c>
      <c r="J200" s="232">
        <v>1155</v>
      </c>
      <c r="K200" s="221">
        <f t="shared" si="4"/>
        <v>7453</v>
      </c>
      <c r="L200" s="232"/>
      <c r="M200" s="233">
        <v>402</v>
      </c>
      <c r="N200" s="233">
        <v>0</v>
      </c>
      <c r="O200" s="232">
        <v>8809</v>
      </c>
      <c r="P200" s="221">
        <f t="shared" si="5"/>
        <v>9211</v>
      </c>
      <c r="Q200" s="232"/>
      <c r="R200" s="233">
        <v>4788</v>
      </c>
      <c r="S200" s="234">
        <v>-5615</v>
      </c>
      <c r="T200" s="234">
        <v>-827</v>
      </c>
    </row>
    <row r="201" spans="1:20">
      <c r="A201" s="227">
        <v>91901</v>
      </c>
      <c r="B201" s="228" t="s">
        <v>915</v>
      </c>
      <c r="C201" s="87">
        <v>3.6706999999999998E-3</v>
      </c>
      <c r="D201" s="87">
        <v>3.6564000000000002E-3</v>
      </c>
      <c r="E201" s="232">
        <v>5607813</v>
      </c>
      <c r="F201" s="232"/>
      <c r="G201" s="233">
        <v>323062</v>
      </c>
      <c r="H201" s="221">
        <v>1361584</v>
      </c>
      <c r="I201" s="233">
        <v>800873</v>
      </c>
      <c r="J201" s="232">
        <v>89719</v>
      </c>
      <c r="K201" s="221">
        <f t="shared" ref="K201:K264" si="6">G201+H201+I201+J201</f>
        <v>2575238</v>
      </c>
      <c r="L201" s="232"/>
      <c r="M201" s="233">
        <v>158739</v>
      </c>
      <c r="N201" s="233">
        <v>0</v>
      </c>
      <c r="O201" s="232">
        <v>16546</v>
      </c>
      <c r="P201" s="221">
        <f t="shared" ref="P201:P264" si="7">M201+N201+O201</f>
        <v>175285</v>
      </c>
      <c r="Q201" s="232"/>
      <c r="R201" s="233">
        <v>1889838</v>
      </c>
      <c r="S201" s="234">
        <v>53714</v>
      </c>
      <c r="T201" s="234">
        <v>1943552</v>
      </c>
    </row>
    <row r="202" spans="1:20">
      <c r="A202" s="227">
        <v>91903</v>
      </c>
      <c r="B202" s="228" t="s">
        <v>916</v>
      </c>
      <c r="C202" s="87">
        <v>8.6999999999999997E-6</v>
      </c>
      <c r="D202" s="87">
        <v>8.3999999999999992E-6</v>
      </c>
      <c r="E202" s="232">
        <v>13291</v>
      </c>
      <c r="F202" s="232"/>
      <c r="G202" s="233">
        <v>766</v>
      </c>
      <c r="H202" s="221">
        <v>3227</v>
      </c>
      <c r="I202" s="233">
        <v>1898</v>
      </c>
      <c r="J202" s="232">
        <v>2037</v>
      </c>
      <c r="K202" s="221">
        <f t="shared" si="6"/>
        <v>7928</v>
      </c>
      <c r="L202" s="232"/>
      <c r="M202" s="233">
        <v>376</v>
      </c>
      <c r="N202" s="233">
        <v>0</v>
      </c>
      <c r="O202" s="232">
        <v>3011</v>
      </c>
      <c r="P202" s="221">
        <f t="shared" si="7"/>
        <v>3387</v>
      </c>
      <c r="Q202" s="232"/>
      <c r="R202" s="233">
        <v>4479</v>
      </c>
      <c r="S202" s="234">
        <v>-2426</v>
      </c>
      <c r="T202" s="234">
        <v>2053</v>
      </c>
    </row>
    <row r="203" spans="1:20">
      <c r="A203" s="227">
        <v>91904</v>
      </c>
      <c r="B203" s="228" t="s">
        <v>917</v>
      </c>
      <c r="C203" s="87">
        <v>3.3399999999999999E-5</v>
      </c>
      <c r="D203" s="87">
        <v>2.3300000000000001E-5</v>
      </c>
      <c r="E203" s="232">
        <v>51026</v>
      </c>
      <c r="F203" s="232"/>
      <c r="G203" s="233">
        <v>2940</v>
      </c>
      <c r="H203" s="221">
        <v>12389</v>
      </c>
      <c r="I203" s="233">
        <v>7287</v>
      </c>
      <c r="J203" s="232">
        <v>11190</v>
      </c>
      <c r="K203" s="221">
        <f t="shared" si="6"/>
        <v>33806</v>
      </c>
      <c r="L203" s="232"/>
      <c r="M203" s="233">
        <v>1444</v>
      </c>
      <c r="N203" s="233">
        <v>0</v>
      </c>
      <c r="O203" s="232">
        <v>0</v>
      </c>
      <c r="P203" s="221">
        <f t="shared" si="7"/>
        <v>1444</v>
      </c>
      <c r="Q203" s="232"/>
      <c r="R203" s="233">
        <v>17196</v>
      </c>
      <c r="S203" s="234">
        <v>4334</v>
      </c>
      <c r="T203" s="234">
        <v>21530</v>
      </c>
    </row>
    <row r="204" spans="1:20">
      <c r="A204" s="227">
        <v>91908</v>
      </c>
      <c r="B204" s="228" t="s">
        <v>918</v>
      </c>
      <c r="C204" s="87">
        <v>1.6900000000000001E-5</v>
      </c>
      <c r="D204" s="87">
        <v>1.3699999999999999E-5</v>
      </c>
      <c r="E204" s="232">
        <v>25819</v>
      </c>
      <c r="F204" s="232"/>
      <c r="G204" s="233">
        <v>1487</v>
      </c>
      <c r="H204" s="221">
        <v>6269</v>
      </c>
      <c r="I204" s="233">
        <v>3687</v>
      </c>
      <c r="J204" s="232">
        <v>935</v>
      </c>
      <c r="K204" s="221">
        <f t="shared" si="6"/>
        <v>12378</v>
      </c>
      <c r="L204" s="232"/>
      <c r="M204" s="233">
        <v>731</v>
      </c>
      <c r="N204" s="233">
        <v>0</v>
      </c>
      <c r="O204" s="232">
        <v>2553</v>
      </c>
      <c r="P204" s="221">
        <f t="shared" si="7"/>
        <v>3284</v>
      </c>
      <c r="Q204" s="232"/>
      <c r="R204" s="233">
        <v>8701</v>
      </c>
      <c r="S204" s="234">
        <v>-56</v>
      </c>
      <c r="T204" s="234">
        <v>8645</v>
      </c>
    </row>
    <row r="205" spans="1:20">
      <c r="A205" s="227">
        <v>91911</v>
      </c>
      <c r="B205" s="228" t="s">
        <v>919</v>
      </c>
      <c r="C205" s="87">
        <v>4.5580000000000002E-4</v>
      </c>
      <c r="D205" s="87">
        <v>4.639E-4</v>
      </c>
      <c r="E205" s="232">
        <v>696336</v>
      </c>
      <c r="F205" s="232"/>
      <c r="G205" s="233">
        <v>40115</v>
      </c>
      <c r="H205" s="221">
        <v>169071</v>
      </c>
      <c r="I205" s="233">
        <v>99446</v>
      </c>
      <c r="J205" s="232">
        <v>13510</v>
      </c>
      <c r="K205" s="221">
        <f t="shared" si="6"/>
        <v>322142</v>
      </c>
      <c r="L205" s="232"/>
      <c r="M205" s="233">
        <v>19711</v>
      </c>
      <c r="N205" s="233">
        <v>0</v>
      </c>
      <c r="O205" s="232">
        <v>5011</v>
      </c>
      <c r="P205" s="221">
        <f t="shared" si="7"/>
        <v>24722</v>
      </c>
      <c r="Q205" s="232"/>
      <c r="R205" s="233">
        <v>234666</v>
      </c>
      <c r="S205" s="234">
        <v>598</v>
      </c>
      <c r="T205" s="234">
        <v>235264</v>
      </c>
    </row>
    <row r="206" spans="1:20">
      <c r="A206" s="227">
        <v>91917</v>
      </c>
      <c r="B206" s="228" t="s">
        <v>920</v>
      </c>
      <c r="C206" s="87">
        <v>1.22E-5</v>
      </c>
      <c r="D206" s="87">
        <v>1.36E-5</v>
      </c>
      <c r="E206" s="232">
        <v>18638</v>
      </c>
      <c r="F206" s="232"/>
      <c r="G206" s="233">
        <v>1074</v>
      </c>
      <c r="H206" s="221">
        <v>4526</v>
      </c>
      <c r="I206" s="233">
        <v>2662</v>
      </c>
      <c r="J206" s="232">
        <v>527</v>
      </c>
      <c r="K206" s="221">
        <f t="shared" si="6"/>
        <v>8789</v>
      </c>
      <c r="L206" s="232"/>
      <c r="M206" s="233">
        <v>528</v>
      </c>
      <c r="N206" s="233">
        <v>0</v>
      </c>
      <c r="O206" s="232">
        <v>310</v>
      </c>
      <c r="P206" s="221">
        <f t="shared" si="7"/>
        <v>838</v>
      </c>
      <c r="Q206" s="232"/>
      <c r="R206" s="233">
        <v>6281</v>
      </c>
      <c r="S206" s="234">
        <v>126</v>
      </c>
      <c r="T206" s="234">
        <v>6407</v>
      </c>
    </row>
    <row r="207" spans="1:20">
      <c r="A207" s="227">
        <v>91921</v>
      </c>
      <c r="B207" s="228" t="s">
        <v>921</v>
      </c>
      <c r="C207" s="87">
        <v>3.769E-4</v>
      </c>
      <c r="D207" s="87">
        <v>3.6600000000000001E-4</v>
      </c>
      <c r="E207" s="232">
        <v>575799</v>
      </c>
      <c r="F207" s="232"/>
      <c r="G207" s="233">
        <v>33171</v>
      </c>
      <c r="H207" s="221">
        <v>139804</v>
      </c>
      <c r="I207" s="233">
        <v>82232</v>
      </c>
      <c r="J207" s="232">
        <v>0</v>
      </c>
      <c r="K207" s="221">
        <f t="shared" si="6"/>
        <v>255207</v>
      </c>
      <c r="L207" s="232"/>
      <c r="M207" s="233">
        <v>16299</v>
      </c>
      <c r="N207" s="233">
        <v>0</v>
      </c>
      <c r="O207" s="232">
        <v>10651</v>
      </c>
      <c r="P207" s="221">
        <f t="shared" si="7"/>
        <v>26950</v>
      </c>
      <c r="Q207" s="232"/>
      <c r="R207" s="233">
        <v>194045</v>
      </c>
      <c r="S207" s="234">
        <v>-5316</v>
      </c>
      <c r="T207" s="234">
        <v>188729</v>
      </c>
    </row>
    <row r="208" spans="1:20">
      <c r="A208" s="227">
        <v>92001</v>
      </c>
      <c r="B208" s="228" t="s">
        <v>922</v>
      </c>
      <c r="C208" s="87">
        <v>1.8143E-3</v>
      </c>
      <c r="D208" s="87">
        <v>1.9604000000000002E-3</v>
      </c>
      <c r="E208" s="232">
        <v>2771748</v>
      </c>
      <c r="F208" s="232"/>
      <c r="G208" s="233">
        <v>159678</v>
      </c>
      <c r="H208" s="221">
        <v>672984</v>
      </c>
      <c r="I208" s="233">
        <v>395844</v>
      </c>
      <c r="J208" s="232">
        <v>48219</v>
      </c>
      <c r="K208" s="221">
        <f t="shared" si="6"/>
        <v>1276725</v>
      </c>
      <c r="L208" s="232"/>
      <c r="M208" s="233">
        <v>78459</v>
      </c>
      <c r="N208" s="233">
        <v>0</v>
      </c>
      <c r="O208" s="232">
        <v>157894</v>
      </c>
      <c r="P208" s="221">
        <f t="shared" si="7"/>
        <v>236353</v>
      </c>
      <c r="Q208" s="232"/>
      <c r="R208" s="233">
        <v>934081</v>
      </c>
      <c r="S208" s="234">
        <v>-42009</v>
      </c>
      <c r="T208" s="234">
        <f>892073-1</f>
        <v>892072</v>
      </c>
    </row>
    <row r="209" spans="1:20">
      <c r="A209" s="227">
        <v>92005</v>
      </c>
      <c r="B209" s="228" t="s">
        <v>923</v>
      </c>
      <c r="C209" s="87">
        <v>4.1399999999999997E-5</v>
      </c>
      <c r="D209" s="87">
        <v>4.6499999999999999E-5</v>
      </c>
      <c r="E209" s="232">
        <v>63248</v>
      </c>
      <c r="F209" s="232"/>
      <c r="G209" s="233">
        <v>3644</v>
      </c>
      <c r="H209" s="221">
        <v>15356</v>
      </c>
      <c r="I209" s="233">
        <v>9033</v>
      </c>
      <c r="J209" s="232">
        <v>1741</v>
      </c>
      <c r="K209" s="221">
        <f t="shared" si="6"/>
        <v>29774</v>
      </c>
      <c r="L209" s="232"/>
      <c r="M209" s="233">
        <v>1790</v>
      </c>
      <c r="N209" s="233">
        <v>0</v>
      </c>
      <c r="O209" s="232">
        <v>2252</v>
      </c>
      <c r="P209" s="221">
        <f t="shared" si="7"/>
        <v>4042</v>
      </c>
      <c r="Q209" s="232"/>
      <c r="R209" s="233">
        <v>21315</v>
      </c>
      <c r="S209" s="234">
        <v>208</v>
      </c>
      <c r="T209" s="234">
        <f>21522+1</f>
        <v>21523</v>
      </c>
    </row>
    <row r="210" spans="1:20">
      <c r="A210" s="227">
        <v>92011</v>
      </c>
      <c r="B210" s="228" t="s">
        <v>924</v>
      </c>
      <c r="C210" s="87">
        <v>2.0049999999999999E-4</v>
      </c>
      <c r="D210" s="87">
        <v>1.8660000000000001E-4</v>
      </c>
      <c r="E210" s="232">
        <v>306308</v>
      </c>
      <c r="F210" s="232"/>
      <c r="G210" s="233">
        <v>17646</v>
      </c>
      <c r="H210" s="221">
        <v>74372</v>
      </c>
      <c r="I210" s="233">
        <v>43745</v>
      </c>
      <c r="J210" s="232">
        <v>17614</v>
      </c>
      <c r="K210" s="221">
        <f t="shared" si="6"/>
        <v>153377</v>
      </c>
      <c r="L210" s="232"/>
      <c r="M210" s="233">
        <v>8671</v>
      </c>
      <c r="N210" s="233">
        <v>0</v>
      </c>
      <c r="O210" s="232">
        <v>0</v>
      </c>
      <c r="P210" s="221">
        <f t="shared" si="7"/>
        <v>8671</v>
      </c>
      <c r="Q210" s="232"/>
      <c r="R210" s="233">
        <v>103226</v>
      </c>
      <c r="S210" s="234">
        <v>9780</v>
      </c>
      <c r="T210" s="234">
        <v>113006</v>
      </c>
    </row>
    <row r="211" spans="1:20">
      <c r="A211" s="227">
        <v>92017</v>
      </c>
      <c r="B211" s="228" t="s">
        <v>925</v>
      </c>
      <c r="C211" s="87">
        <v>3.4199999999999998E-5</v>
      </c>
      <c r="D211" s="87">
        <v>3.5099999999999999E-5</v>
      </c>
      <c r="E211" s="232">
        <v>52248</v>
      </c>
      <c r="F211" s="232"/>
      <c r="G211" s="233">
        <v>3010</v>
      </c>
      <c r="H211" s="221">
        <v>12686</v>
      </c>
      <c r="I211" s="233">
        <v>7462</v>
      </c>
      <c r="J211" s="232">
        <v>639</v>
      </c>
      <c r="K211" s="221">
        <f t="shared" si="6"/>
        <v>23797</v>
      </c>
      <c r="L211" s="232"/>
      <c r="M211" s="233">
        <v>1479</v>
      </c>
      <c r="N211" s="233">
        <v>0</v>
      </c>
      <c r="O211" s="232">
        <v>1257</v>
      </c>
      <c r="P211" s="221">
        <f t="shared" si="7"/>
        <v>2736</v>
      </c>
      <c r="Q211" s="232"/>
      <c r="R211" s="233">
        <v>17608</v>
      </c>
      <c r="S211" s="234">
        <v>-668</v>
      </c>
      <c r="T211" s="234">
        <f>16939+1</f>
        <v>16940</v>
      </c>
    </row>
    <row r="212" spans="1:20">
      <c r="A212" s="227">
        <v>92021</v>
      </c>
      <c r="B212" s="228" t="s">
        <v>926</v>
      </c>
      <c r="C212" s="87">
        <v>1.5779999999999999E-4</v>
      </c>
      <c r="D212" s="87">
        <v>1.4249999999999999E-4</v>
      </c>
      <c r="E212" s="232">
        <v>241075</v>
      </c>
      <c r="F212" s="232"/>
      <c r="G212" s="233">
        <v>13888</v>
      </c>
      <c r="H212" s="221">
        <v>58533</v>
      </c>
      <c r="I212" s="233">
        <v>34429</v>
      </c>
      <c r="J212" s="232">
        <v>30504</v>
      </c>
      <c r="K212" s="221">
        <f t="shared" si="6"/>
        <v>137354</v>
      </c>
      <c r="L212" s="232"/>
      <c r="M212" s="233">
        <v>6824</v>
      </c>
      <c r="N212" s="233">
        <v>0</v>
      </c>
      <c r="O212" s="232">
        <v>11142</v>
      </c>
      <c r="P212" s="221">
        <f t="shared" si="7"/>
        <v>17966</v>
      </c>
      <c r="Q212" s="232"/>
      <c r="R212" s="233">
        <v>81242</v>
      </c>
      <c r="S212" s="234">
        <v>1771</v>
      </c>
      <c r="T212" s="234">
        <f>83014-1</f>
        <v>83013</v>
      </c>
    </row>
    <row r="213" spans="1:20">
      <c r="A213" s="227">
        <v>92101</v>
      </c>
      <c r="B213" s="228" t="s">
        <v>927</v>
      </c>
      <c r="C213" s="87">
        <v>8.5209999999999995E-4</v>
      </c>
      <c r="D213" s="87">
        <v>8.6870000000000003E-4</v>
      </c>
      <c r="E213" s="232">
        <v>1301773</v>
      </c>
      <c r="F213" s="232"/>
      <c r="G213" s="233">
        <v>74994</v>
      </c>
      <c r="H213" s="221">
        <v>316072</v>
      </c>
      <c r="I213" s="233">
        <v>185911</v>
      </c>
      <c r="J213" s="232">
        <v>9505</v>
      </c>
      <c r="K213" s="221">
        <f t="shared" si="6"/>
        <v>586482</v>
      </c>
      <c r="L213" s="232"/>
      <c r="M213" s="233">
        <v>36849</v>
      </c>
      <c r="N213" s="233">
        <v>0</v>
      </c>
      <c r="O213" s="232">
        <v>63189</v>
      </c>
      <c r="P213" s="221">
        <f t="shared" si="7"/>
        <v>100038</v>
      </c>
      <c r="Q213" s="232"/>
      <c r="R213" s="233">
        <v>438699</v>
      </c>
      <c r="S213" s="234">
        <v>-10164</v>
      </c>
      <c r="T213" s="234">
        <v>428535</v>
      </c>
    </row>
    <row r="214" spans="1:20">
      <c r="A214" s="227">
        <v>92104</v>
      </c>
      <c r="B214" s="228" t="s">
        <v>928</v>
      </c>
      <c r="C214" s="87">
        <v>8.6000000000000007E-6</v>
      </c>
      <c r="D214" s="87">
        <v>8.8000000000000004E-6</v>
      </c>
      <c r="E214" s="232">
        <v>13138</v>
      </c>
      <c r="F214" s="232"/>
      <c r="G214" s="233">
        <v>757</v>
      </c>
      <c r="H214" s="221">
        <v>3190</v>
      </c>
      <c r="I214" s="233">
        <v>1876</v>
      </c>
      <c r="J214" s="232">
        <v>3377</v>
      </c>
      <c r="K214" s="221">
        <f t="shared" si="6"/>
        <v>9200</v>
      </c>
      <c r="L214" s="232"/>
      <c r="M214" s="233">
        <v>372</v>
      </c>
      <c r="N214" s="233">
        <v>0</v>
      </c>
      <c r="O214" s="232">
        <v>0</v>
      </c>
      <c r="P214" s="221">
        <f t="shared" si="7"/>
        <v>372</v>
      </c>
      <c r="Q214" s="232"/>
      <c r="R214" s="233">
        <v>4428</v>
      </c>
      <c r="S214" s="234">
        <v>1850</v>
      </c>
      <c r="T214" s="234">
        <f>6277+1</f>
        <v>6278</v>
      </c>
    </row>
    <row r="215" spans="1:20">
      <c r="A215" s="227">
        <v>92109</v>
      </c>
      <c r="B215" s="228" t="s">
        <v>929</v>
      </c>
      <c r="C215" s="87">
        <v>1.8809999999999999E-4</v>
      </c>
      <c r="D215" s="87">
        <v>1.7909999999999999E-4</v>
      </c>
      <c r="E215" s="232">
        <v>287365</v>
      </c>
      <c r="F215" s="232"/>
      <c r="G215" s="233">
        <v>16555</v>
      </c>
      <c r="H215" s="221">
        <v>69773</v>
      </c>
      <c r="I215" s="233">
        <v>41040</v>
      </c>
      <c r="J215" s="232">
        <v>2067</v>
      </c>
      <c r="K215" s="221">
        <f t="shared" si="6"/>
        <v>129435</v>
      </c>
      <c r="L215" s="232"/>
      <c r="M215" s="233">
        <v>8134</v>
      </c>
      <c r="N215" s="233">
        <v>0</v>
      </c>
      <c r="O215" s="232">
        <v>12612</v>
      </c>
      <c r="P215" s="221">
        <f t="shared" si="7"/>
        <v>20746</v>
      </c>
      <c r="Q215" s="232"/>
      <c r="R215" s="233">
        <v>96842</v>
      </c>
      <c r="S215" s="234">
        <v>-5396</v>
      </c>
      <c r="T215" s="234">
        <v>91446</v>
      </c>
    </row>
    <row r="216" spans="1:20">
      <c r="A216" s="227">
        <v>92111</v>
      </c>
      <c r="B216" s="228" t="s">
        <v>930</v>
      </c>
      <c r="C216" s="87">
        <v>5.0460000000000001E-4</v>
      </c>
      <c r="D216" s="87">
        <v>5.0009999999999996E-4</v>
      </c>
      <c r="E216" s="232">
        <v>770889</v>
      </c>
      <c r="F216" s="232"/>
      <c r="G216" s="233">
        <v>44410</v>
      </c>
      <c r="H216" s="221">
        <v>187173</v>
      </c>
      <c r="I216" s="233">
        <v>110094</v>
      </c>
      <c r="J216" s="232">
        <v>10602</v>
      </c>
      <c r="K216" s="221">
        <f t="shared" si="6"/>
        <v>352279</v>
      </c>
      <c r="L216" s="232"/>
      <c r="M216" s="233">
        <v>21821</v>
      </c>
      <c r="N216" s="233">
        <v>0</v>
      </c>
      <c r="O216" s="232">
        <v>13269</v>
      </c>
      <c r="P216" s="221">
        <f t="shared" si="7"/>
        <v>35090</v>
      </c>
      <c r="Q216" s="232"/>
      <c r="R216" s="233">
        <v>259790</v>
      </c>
      <c r="S216" s="234">
        <v>2449</v>
      </c>
      <c r="T216" s="234">
        <v>262239</v>
      </c>
    </row>
    <row r="217" spans="1:20">
      <c r="A217" s="227">
        <v>92113</v>
      </c>
      <c r="B217" s="228" t="s">
        <v>931</v>
      </c>
      <c r="C217" s="87">
        <v>1.4399999999999999E-5</v>
      </c>
      <c r="D217" s="87">
        <v>2.2099999999999998E-5</v>
      </c>
      <c r="E217" s="232">
        <v>21999</v>
      </c>
      <c r="F217" s="232"/>
      <c r="G217" s="233">
        <v>1267</v>
      </c>
      <c r="H217" s="221">
        <v>5342</v>
      </c>
      <c r="I217" s="233">
        <v>3142</v>
      </c>
      <c r="J217" s="232">
        <v>17604</v>
      </c>
      <c r="K217" s="221">
        <f t="shared" si="6"/>
        <v>27355</v>
      </c>
      <c r="L217" s="232"/>
      <c r="M217" s="233">
        <v>623</v>
      </c>
      <c r="N217" s="233">
        <v>0</v>
      </c>
      <c r="O217" s="232">
        <v>2179</v>
      </c>
      <c r="P217" s="221">
        <f t="shared" si="7"/>
        <v>2802</v>
      </c>
      <c r="Q217" s="232"/>
      <c r="R217" s="233">
        <v>7414</v>
      </c>
      <c r="S217" s="234">
        <v>7173</v>
      </c>
      <c r="T217" s="234">
        <v>14587</v>
      </c>
    </row>
    <row r="218" spans="1:20">
      <c r="A218" s="227">
        <v>92201</v>
      </c>
      <c r="B218" s="228" t="s">
        <v>932</v>
      </c>
      <c r="C218" s="87">
        <v>9.3389999999999999E-4</v>
      </c>
      <c r="D218" s="87">
        <v>1.0267E-3</v>
      </c>
      <c r="E218" s="232">
        <v>1426741</v>
      </c>
      <c r="F218" s="232"/>
      <c r="G218" s="233">
        <v>82193</v>
      </c>
      <c r="H218" s="221">
        <v>346414</v>
      </c>
      <c r="I218" s="233">
        <v>203758</v>
      </c>
      <c r="J218" s="232">
        <v>36804</v>
      </c>
      <c r="K218" s="221">
        <f t="shared" si="6"/>
        <v>669169</v>
      </c>
      <c r="L218" s="232"/>
      <c r="M218" s="233">
        <v>40387</v>
      </c>
      <c r="N218" s="233">
        <v>0</v>
      </c>
      <c r="O218" s="232">
        <v>43356</v>
      </c>
      <c r="P218" s="221">
        <f t="shared" si="7"/>
        <v>83743</v>
      </c>
      <c r="Q218" s="232"/>
      <c r="R218" s="233">
        <v>480813</v>
      </c>
      <c r="S218" s="234">
        <v>13056</v>
      </c>
      <c r="T218" s="234">
        <v>493869</v>
      </c>
    </row>
    <row r="219" spans="1:20">
      <c r="A219" s="227">
        <v>92301</v>
      </c>
      <c r="B219" s="228" t="s">
        <v>933</v>
      </c>
      <c r="C219" s="87">
        <v>5.2129999999999998E-3</v>
      </c>
      <c r="D219" s="87">
        <v>5.2411000000000003E-3</v>
      </c>
      <c r="E219" s="232">
        <v>7964020</v>
      </c>
      <c r="F219" s="232"/>
      <c r="G219" s="233">
        <v>458801</v>
      </c>
      <c r="H219" s="221">
        <v>1933674</v>
      </c>
      <c r="I219" s="233">
        <v>1137372</v>
      </c>
      <c r="J219" s="232">
        <v>53669</v>
      </c>
      <c r="K219" s="221">
        <f t="shared" si="6"/>
        <v>3583516</v>
      </c>
      <c r="L219" s="232"/>
      <c r="M219" s="233">
        <v>225436</v>
      </c>
      <c r="N219" s="233">
        <v>0</v>
      </c>
      <c r="O219" s="232">
        <v>40357</v>
      </c>
      <c r="P219" s="221">
        <f t="shared" si="7"/>
        <v>265793</v>
      </c>
      <c r="Q219" s="232"/>
      <c r="R219" s="233">
        <v>2683882</v>
      </c>
      <c r="S219" s="234">
        <v>7360</v>
      </c>
      <c r="T219" s="234">
        <v>2691242</v>
      </c>
    </row>
    <row r="220" spans="1:20">
      <c r="A220" s="227">
        <v>92302</v>
      </c>
      <c r="B220" s="228" t="s">
        <v>934</v>
      </c>
      <c r="C220" s="87">
        <v>2.9740000000000002E-4</v>
      </c>
      <c r="D220" s="87">
        <v>3.168E-4</v>
      </c>
      <c r="E220" s="232">
        <v>454345</v>
      </c>
      <c r="F220" s="232"/>
      <c r="G220" s="233">
        <v>26174</v>
      </c>
      <c r="H220" s="221">
        <v>110316</v>
      </c>
      <c r="I220" s="233">
        <v>64887</v>
      </c>
      <c r="J220" s="232">
        <v>0</v>
      </c>
      <c r="K220" s="221">
        <f t="shared" si="6"/>
        <v>201377</v>
      </c>
      <c r="L220" s="232"/>
      <c r="M220" s="233">
        <v>12861</v>
      </c>
      <c r="N220" s="233">
        <v>0</v>
      </c>
      <c r="O220" s="232">
        <v>28639</v>
      </c>
      <c r="P220" s="221">
        <f t="shared" si="7"/>
        <v>41500</v>
      </c>
      <c r="Q220" s="232"/>
      <c r="R220" s="233">
        <v>153115</v>
      </c>
      <c r="S220" s="234">
        <v>-9739</v>
      </c>
      <c r="T220" s="234">
        <v>143376</v>
      </c>
    </row>
    <row r="221" spans="1:20">
      <c r="A221" s="227">
        <v>92311</v>
      </c>
      <c r="B221" s="228" t="s">
        <v>935</v>
      </c>
      <c r="C221" s="87">
        <v>2.2504999999999999E-3</v>
      </c>
      <c r="D221" s="87">
        <v>2.1857000000000001E-3</v>
      </c>
      <c r="E221" s="232">
        <v>3438141</v>
      </c>
      <c r="F221" s="232"/>
      <c r="G221" s="233">
        <v>198069</v>
      </c>
      <c r="H221" s="221">
        <v>834785</v>
      </c>
      <c r="I221" s="233">
        <v>491014</v>
      </c>
      <c r="J221" s="232">
        <v>8358</v>
      </c>
      <c r="K221" s="221">
        <f t="shared" si="6"/>
        <v>1532226</v>
      </c>
      <c r="L221" s="232"/>
      <c r="M221" s="233">
        <v>97323</v>
      </c>
      <c r="N221" s="233">
        <v>0</v>
      </c>
      <c r="O221" s="232">
        <v>54246</v>
      </c>
      <c r="P221" s="221">
        <f t="shared" si="7"/>
        <v>151569</v>
      </c>
      <c r="Q221" s="232"/>
      <c r="R221" s="233">
        <v>1158656</v>
      </c>
      <c r="S221" s="234">
        <v>-36529</v>
      </c>
      <c r="T221" s="234">
        <v>1122127</v>
      </c>
    </row>
    <row r="222" spans="1:20">
      <c r="A222" s="227">
        <v>92317</v>
      </c>
      <c r="B222" s="228" t="s">
        <v>936</v>
      </c>
      <c r="C222" s="87">
        <v>2.94E-5</v>
      </c>
      <c r="D222" s="87">
        <v>2.9600000000000001E-5</v>
      </c>
      <c r="E222" s="232">
        <v>44915</v>
      </c>
      <c r="F222" s="232"/>
      <c r="G222" s="233">
        <v>2588</v>
      </c>
      <c r="H222" s="221">
        <v>10905</v>
      </c>
      <c r="I222" s="233">
        <v>6414</v>
      </c>
      <c r="J222" s="232">
        <v>15615</v>
      </c>
      <c r="K222" s="221">
        <f t="shared" si="6"/>
        <v>35522</v>
      </c>
      <c r="L222" s="232"/>
      <c r="M222" s="233">
        <v>1271</v>
      </c>
      <c r="N222" s="233">
        <v>0</v>
      </c>
      <c r="O222" s="232">
        <v>0</v>
      </c>
      <c r="P222" s="221">
        <f t="shared" si="7"/>
        <v>1271</v>
      </c>
      <c r="Q222" s="232"/>
      <c r="R222" s="233">
        <v>15136</v>
      </c>
      <c r="S222" s="234">
        <v>6218</v>
      </c>
      <c r="T222" s="234">
        <v>21354</v>
      </c>
    </row>
    <row r="223" spans="1:20">
      <c r="A223" s="227">
        <v>92321</v>
      </c>
      <c r="B223" s="228" t="s">
        <v>937</v>
      </c>
      <c r="C223" s="87">
        <v>1.1773E-3</v>
      </c>
      <c r="D223" s="87">
        <v>1.2218999999999999E-3</v>
      </c>
      <c r="E223" s="232">
        <v>1798588</v>
      </c>
      <c r="F223" s="232"/>
      <c r="G223" s="233">
        <v>103615</v>
      </c>
      <c r="H223" s="221">
        <v>436700</v>
      </c>
      <c r="I223" s="233">
        <v>256863</v>
      </c>
      <c r="J223" s="232">
        <v>35464</v>
      </c>
      <c r="K223" s="221">
        <f t="shared" si="6"/>
        <v>832642</v>
      </c>
      <c r="L223" s="232"/>
      <c r="M223" s="233">
        <v>50912</v>
      </c>
      <c r="N223" s="233">
        <v>0</v>
      </c>
      <c r="O223" s="232">
        <v>20669</v>
      </c>
      <c r="P223" s="221">
        <f t="shared" si="7"/>
        <v>71581</v>
      </c>
      <c r="Q223" s="232"/>
      <c r="R223" s="233">
        <v>606126</v>
      </c>
      <c r="S223" s="234">
        <v>20498</v>
      </c>
      <c r="T223" s="234">
        <v>626624</v>
      </c>
    </row>
    <row r="224" spans="1:20">
      <c r="A224" s="227">
        <v>92327</v>
      </c>
      <c r="B224" s="228" t="s">
        <v>938</v>
      </c>
      <c r="C224" s="87">
        <v>5.6999999999999996E-6</v>
      </c>
      <c r="D224" s="87">
        <v>7.6000000000000001E-6</v>
      </c>
      <c r="E224" s="232">
        <v>8708</v>
      </c>
      <c r="F224" s="232"/>
      <c r="G224" s="233">
        <v>502</v>
      </c>
      <c r="H224" s="221">
        <v>2115</v>
      </c>
      <c r="I224" s="233">
        <v>1244</v>
      </c>
      <c r="J224" s="232">
        <v>2932</v>
      </c>
      <c r="K224" s="221">
        <f t="shared" si="6"/>
        <v>6793</v>
      </c>
      <c r="L224" s="232"/>
      <c r="M224" s="233">
        <v>246</v>
      </c>
      <c r="N224" s="233">
        <v>0</v>
      </c>
      <c r="O224" s="232">
        <v>0</v>
      </c>
      <c r="P224" s="221">
        <f t="shared" si="7"/>
        <v>246</v>
      </c>
      <c r="Q224" s="232"/>
      <c r="R224" s="233">
        <v>2935</v>
      </c>
      <c r="S224" s="234">
        <v>1142</v>
      </c>
      <c r="T224" s="234">
        <v>4077</v>
      </c>
    </row>
    <row r="225" spans="1:20">
      <c r="A225" s="227">
        <v>92331</v>
      </c>
      <c r="B225" s="228" t="s">
        <v>939</v>
      </c>
      <c r="C225" s="87">
        <v>1.3970000000000001E-4</v>
      </c>
      <c r="D225" s="87">
        <v>1.393E-4</v>
      </c>
      <c r="E225" s="232">
        <v>213423</v>
      </c>
      <c r="F225" s="232"/>
      <c r="G225" s="233">
        <v>12295</v>
      </c>
      <c r="H225" s="221">
        <v>51819</v>
      </c>
      <c r="I225" s="233">
        <v>30480</v>
      </c>
      <c r="J225" s="232">
        <v>2070</v>
      </c>
      <c r="K225" s="221">
        <f t="shared" si="6"/>
        <v>96664</v>
      </c>
      <c r="L225" s="232"/>
      <c r="M225" s="233">
        <v>6041</v>
      </c>
      <c r="N225" s="233">
        <v>0</v>
      </c>
      <c r="O225" s="232">
        <v>7559</v>
      </c>
      <c r="P225" s="221">
        <f t="shared" si="7"/>
        <v>13600</v>
      </c>
      <c r="Q225" s="232"/>
      <c r="R225" s="233">
        <v>71924</v>
      </c>
      <c r="S225" s="234">
        <v>-755</v>
      </c>
      <c r="T225" s="234">
        <v>71169</v>
      </c>
    </row>
    <row r="226" spans="1:20">
      <c r="A226" s="227">
        <v>92341</v>
      </c>
      <c r="B226" s="228" t="s">
        <v>940</v>
      </c>
      <c r="C226" s="87">
        <v>9.7999999999999993E-6</v>
      </c>
      <c r="D226" s="87">
        <v>7.9000000000000006E-6</v>
      </c>
      <c r="E226" s="232">
        <v>14972</v>
      </c>
      <c r="F226" s="232"/>
      <c r="G226" s="233">
        <v>863</v>
      </c>
      <c r="H226" s="221">
        <v>3635</v>
      </c>
      <c r="I226" s="233">
        <v>2138</v>
      </c>
      <c r="J226" s="232">
        <v>523</v>
      </c>
      <c r="K226" s="221">
        <f t="shared" si="6"/>
        <v>7159</v>
      </c>
      <c r="L226" s="232"/>
      <c r="M226" s="233">
        <v>424</v>
      </c>
      <c r="N226" s="233">
        <v>0</v>
      </c>
      <c r="O226" s="232">
        <v>1977</v>
      </c>
      <c r="P226" s="221">
        <f t="shared" si="7"/>
        <v>2401</v>
      </c>
      <c r="Q226" s="232"/>
      <c r="R226" s="233">
        <v>5045</v>
      </c>
      <c r="S226" s="234">
        <v>-859</v>
      </c>
      <c r="T226" s="234">
        <f>4187-1</f>
        <v>4186</v>
      </c>
    </row>
    <row r="227" spans="1:20">
      <c r="A227" s="227">
        <v>92351</v>
      </c>
      <c r="B227" s="228" t="s">
        <v>941</v>
      </c>
      <c r="C227" s="87">
        <v>1.8600000000000001E-5</v>
      </c>
      <c r="D227" s="87">
        <v>1.95E-5</v>
      </c>
      <c r="E227" s="232">
        <v>28416</v>
      </c>
      <c r="F227" s="232"/>
      <c r="G227" s="233">
        <v>1637</v>
      </c>
      <c r="H227" s="221">
        <v>6899</v>
      </c>
      <c r="I227" s="233">
        <v>4058</v>
      </c>
      <c r="J227" s="232">
        <v>746</v>
      </c>
      <c r="K227" s="221">
        <f t="shared" si="6"/>
        <v>13340</v>
      </c>
      <c r="L227" s="232"/>
      <c r="M227" s="233">
        <v>804</v>
      </c>
      <c r="N227" s="233">
        <v>0</v>
      </c>
      <c r="O227" s="232">
        <v>4166</v>
      </c>
      <c r="P227" s="221">
        <f t="shared" si="7"/>
        <v>4970</v>
      </c>
      <c r="Q227" s="232"/>
      <c r="R227" s="233">
        <v>9576</v>
      </c>
      <c r="S227" s="234">
        <v>-1010</v>
      </c>
      <c r="T227" s="234">
        <f>8567-1</f>
        <v>8566</v>
      </c>
    </row>
    <row r="228" spans="1:20">
      <c r="A228" s="227">
        <v>92401</v>
      </c>
      <c r="B228" s="228" t="s">
        <v>942</v>
      </c>
      <c r="C228" s="87">
        <v>2.6890999999999998E-3</v>
      </c>
      <c r="D228" s="87">
        <v>2.7449000000000002E-3</v>
      </c>
      <c r="E228" s="232">
        <v>4108200</v>
      </c>
      <c r="F228" s="232"/>
      <c r="G228" s="233">
        <v>236670</v>
      </c>
      <c r="H228" s="221">
        <v>997476</v>
      </c>
      <c r="I228" s="233">
        <v>586708</v>
      </c>
      <c r="J228" s="232">
        <v>34938</v>
      </c>
      <c r="K228" s="221">
        <f t="shared" si="6"/>
        <v>1855792</v>
      </c>
      <c r="L228" s="232"/>
      <c r="M228" s="233">
        <v>116290</v>
      </c>
      <c r="N228" s="233">
        <v>0</v>
      </c>
      <c r="O228" s="232">
        <v>3448</v>
      </c>
      <c r="P228" s="221">
        <f t="shared" si="7"/>
        <v>119738</v>
      </c>
      <c r="Q228" s="232"/>
      <c r="R228" s="233">
        <v>1384467</v>
      </c>
      <c r="S228" s="234">
        <v>19009</v>
      </c>
      <c r="T228" s="234">
        <v>1403476</v>
      </c>
    </row>
    <row r="229" spans="1:20">
      <c r="A229" s="227">
        <v>92403</v>
      </c>
      <c r="B229" s="228" t="s">
        <v>943</v>
      </c>
      <c r="C229" s="87">
        <v>1.11E-5</v>
      </c>
      <c r="D229" s="87">
        <v>9.7999999999999993E-6</v>
      </c>
      <c r="E229" s="232">
        <v>16958</v>
      </c>
      <c r="F229" s="232"/>
      <c r="G229" s="233">
        <v>977</v>
      </c>
      <c r="H229" s="221">
        <v>4117</v>
      </c>
      <c r="I229" s="233">
        <v>2422</v>
      </c>
      <c r="J229" s="232">
        <v>1858</v>
      </c>
      <c r="K229" s="221">
        <f t="shared" si="6"/>
        <v>9374</v>
      </c>
      <c r="L229" s="232"/>
      <c r="M229" s="233">
        <v>480</v>
      </c>
      <c r="N229" s="233">
        <v>0</v>
      </c>
      <c r="O229" s="232">
        <v>1307</v>
      </c>
      <c r="P229" s="221">
        <f t="shared" si="7"/>
        <v>1787</v>
      </c>
      <c r="Q229" s="232"/>
      <c r="R229" s="233">
        <v>5715</v>
      </c>
      <c r="S229" s="234">
        <v>135</v>
      </c>
      <c r="T229" s="234">
        <f>5849+1</f>
        <v>5850</v>
      </c>
    </row>
    <row r="230" spans="1:20">
      <c r="A230" s="227">
        <v>92411</v>
      </c>
      <c r="B230" s="228" t="s">
        <v>944</v>
      </c>
      <c r="C230" s="87">
        <v>5.0469999999999996E-4</v>
      </c>
      <c r="D230" s="87">
        <v>4.8030000000000002E-4</v>
      </c>
      <c r="E230" s="232">
        <v>771042</v>
      </c>
      <c r="F230" s="232"/>
      <c r="G230" s="233">
        <v>44419</v>
      </c>
      <c r="H230" s="221">
        <v>187210</v>
      </c>
      <c r="I230" s="233">
        <v>110115</v>
      </c>
      <c r="J230" s="232">
        <v>369</v>
      </c>
      <c r="K230" s="221">
        <f t="shared" si="6"/>
        <v>342113</v>
      </c>
      <c r="L230" s="232"/>
      <c r="M230" s="233">
        <v>21826</v>
      </c>
      <c r="N230" s="233">
        <v>0</v>
      </c>
      <c r="O230" s="232">
        <v>44165</v>
      </c>
      <c r="P230" s="221">
        <f t="shared" si="7"/>
        <v>65991</v>
      </c>
      <c r="Q230" s="232"/>
      <c r="R230" s="233">
        <v>259842</v>
      </c>
      <c r="S230" s="234">
        <v>-17900</v>
      </c>
      <c r="T230" s="234">
        <v>241942</v>
      </c>
    </row>
    <row r="231" spans="1:20">
      <c r="A231" s="227">
        <v>92414</v>
      </c>
      <c r="B231" s="228" t="s">
        <v>70</v>
      </c>
      <c r="C231" s="87">
        <v>0</v>
      </c>
      <c r="D231" s="87">
        <v>0</v>
      </c>
      <c r="E231" s="232">
        <v>0</v>
      </c>
      <c r="F231" s="232"/>
      <c r="G231" s="233">
        <v>0</v>
      </c>
      <c r="H231" s="221">
        <v>0</v>
      </c>
      <c r="I231" s="233">
        <v>0</v>
      </c>
      <c r="J231" s="232">
        <v>0</v>
      </c>
      <c r="K231" s="221">
        <f t="shared" si="6"/>
        <v>0</v>
      </c>
      <c r="L231" s="232"/>
      <c r="M231" s="233">
        <v>0</v>
      </c>
      <c r="N231" s="233">
        <v>0</v>
      </c>
      <c r="O231" s="232">
        <v>5712</v>
      </c>
      <c r="P231" s="221">
        <f t="shared" si="7"/>
        <v>5712</v>
      </c>
      <c r="Q231" s="232"/>
      <c r="R231" s="233">
        <v>0</v>
      </c>
      <c r="S231" s="234">
        <v>-2445</v>
      </c>
      <c r="T231" s="234">
        <v>-2445</v>
      </c>
    </row>
    <row r="232" spans="1:20">
      <c r="A232" s="227">
        <v>92417</v>
      </c>
      <c r="B232" s="228" t="s">
        <v>945</v>
      </c>
      <c r="C232" s="87">
        <v>1.8300000000000001E-5</v>
      </c>
      <c r="D232" s="87">
        <v>1.77E-5</v>
      </c>
      <c r="E232" s="232">
        <v>27957</v>
      </c>
      <c r="F232" s="232"/>
      <c r="G232" s="233">
        <v>1611</v>
      </c>
      <c r="H232" s="221">
        <v>6788</v>
      </c>
      <c r="I232" s="233">
        <v>3993</v>
      </c>
      <c r="J232" s="232">
        <v>0</v>
      </c>
      <c r="K232" s="221">
        <f t="shared" si="6"/>
        <v>12392</v>
      </c>
      <c r="L232" s="232"/>
      <c r="M232" s="233">
        <v>791</v>
      </c>
      <c r="N232" s="233">
        <v>0</v>
      </c>
      <c r="O232" s="232">
        <v>2726</v>
      </c>
      <c r="P232" s="221">
        <f t="shared" si="7"/>
        <v>3517</v>
      </c>
      <c r="Q232" s="232"/>
      <c r="R232" s="233">
        <v>9422</v>
      </c>
      <c r="S232" s="234">
        <v>-895</v>
      </c>
      <c r="T232" s="234">
        <v>8527</v>
      </c>
    </row>
    <row r="233" spans="1:20">
      <c r="A233" s="227">
        <v>92421</v>
      </c>
      <c r="B233" s="228" t="s">
        <v>946</v>
      </c>
      <c r="C233" s="87">
        <v>8.8000000000000004E-6</v>
      </c>
      <c r="D233" s="87">
        <v>9.0000000000000002E-6</v>
      </c>
      <c r="E233" s="232">
        <v>13444</v>
      </c>
      <c r="F233" s="232"/>
      <c r="G233" s="233">
        <v>774</v>
      </c>
      <c r="H233" s="221">
        <v>3264</v>
      </c>
      <c r="I233" s="233">
        <v>1920</v>
      </c>
      <c r="J233" s="232">
        <v>3546</v>
      </c>
      <c r="K233" s="221">
        <f t="shared" si="6"/>
        <v>9504</v>
      </c>
      <c r="L233" s="232"/>
      <c r="M233" s="233">
        <v>381</v>
      </c>
      <c r="N233" s="233">
        <v>0</v>
      </c>
      <c r="O233" s="232">
        <v>1149</v>
      </c>
      <c r="P233" s="221">
        <f t="shared" si="7"/>
        <v>1530</v>
      </c>
      <c r="Q233" s="232"/>
      <c r="R233" s="233">
        <v>4531</v>
      </c>
      <c r="S233" s="234">
        <v>935</v>
      </c>
      <c r="T233" s="234">
        <v>5466</v>
      </c>
    </row>
    <row r="234" spans="1:20">
      <c r="A234" s="227">
        <v>92427</v>
      </c>
      <c r="B234" s="228" t="s">
        <v>947</v>
      </c>
      <c r="C234" s="87">
        <v>3.9999999999999998E-7</v>
      </c>
      <c r="D234" s="87">
        <v>6.9999999999999997E-7</v>
      </c>
      <c r="E234" s="232">
        <v>611</v>
      </c>
      <c r="F234" s="232"/>
      <c r="G234" s="233">
        <v>35</v>
      </c>
      <c r="H234" s="221">
        <v>148</v>
      </c>
      <c r="I234" s="233">
        <v>87</v>
      </c>
      <c r="J234" s="232">
        <v>1998</v>
      </c>
      <c r="K234" s="221">
        <f t="shared" si="6"/>
        <v>2268</v>
      </c>
      <c r="L234" s="232"/>
      <c r="M234" s="233">
        <v>17</v>
      </c>
      <c r="N234" s="233">
        <v>0</v>
      </c>
      <c r="O234" s="232">
        <v>0</v>
      </c>
      <c r="P234" s="221">
        <f t="shared" si="7"/>
        <v>17</v>
      </c>
      <c r="Q234" s="232"/>
      <c r="R234" s="233">
        <v>206</v>
      </c>
      <c r="S234" s="234">
        <v>841</v>
      </c>
      <c r="T234" s="234">
        <v>1047</v>
      </c>
    </row>
    <row r="235" spans="1:20">
      <c r="A235" s="227">
        <v>92431</v>
      </c>
      <c r="B235" s="228" t="s">
        <v>948</v>
      </c>
      <c r="C235" s="87">
        <v>3.0800000000000003E-5</v>
      </c>
      <c r="D235" s="87">
        <v>1.8499999999999999E-5</v>
      </c>
      <c r="E235" s="232">
        <v>47054</v>
      </c>
      <c r="F235" s="232"/>
      <c r="G235" s="233">
        <v>2711</v>
      </c>
      <c r="H235" s="221">
        <v>11425</v>
      </c>
      <c r="I235" s="233">
        <v>6720</v>
      </c>
      <c r="J235" s="232">
        <v>18832</v>
      </c>
      <c r="K235" s="221">
        <f t="shared" si="6"/>
        <v>39688</v>
      </c>
      <c r="L235" s="232"/>
      <c r="M235" s="233">
        <v>1332</v>
      </c>
      <c r="N235" s="233">
        <v>0</v>
      </c>
      <c r="O235" s="232">
        <v>3766</v>
      </c>
      <c r="P235" s="221">
        <f t="shared" si="7"/>
        <v>5098</v>
      </c>
      <c r="Q235" s="232"/>
      <c r="R235" s="233">
        <v>15857</v>
      </c>
      <c r="S235" s="234">
        <v>4147</v>
      </c>
      <c r="T235" s="234">
        <v>20004</v>
      </c>
    </row>
    <row r="236" spans="1:20">
      <c r="A236" s="227">
        <v>92441</v>
      </c>
      <c r="B236" s="228" t="s">
        <v>949</v>
      </c>
      <c r="C236" s="87">
        <v>7.7999999999999999E-5</v>
      </c>
      <c r="D236" s="87">
        <v>9.2299999999999994E-5</v>
      </c>
      <c r="E236" s="232">
        <v>119162</v>
      </c>
      <c r="F236" s="232"/>
      <c r="G236" s="233">
        <v>6865</v>
      </c>
      <c r="H236" s="221">
        <v>28933</v>
      </c>
      <c r="I236" s="233">
        <v>17018</v>
      </c>
      <c r="J236" s="232">
        <v>0</v>
      </c>
      <c r="K236" s="221">
        <f t="shared" si="6"/>
        <v>52816</v>
      </c>
      <c r="L236" s="232"/>
      <c r="M236" s="233">
        <v>3373</v>
      </c>
      <c r="N236" s="233">
        <v>0</v>
      </c>
      <c r="O236" s="232">
        <v>15306</v>
      </c>
      <c r="P236" s="221">
        <f t="shared" si="7"/>
        <v>18679</v>
      </c>
      <c r="Q236" s="232"/>
      <c r="R236" s="233">
        <v>40158</v>
      </c>
      <c r="S236" s="234">
        <v>-6990</v>
      </c>
      <c r="T236" s="234">
        <f>33167+1</f>
        <v>33168</v>
      </c>
    </row>
    <row r="237" spans="1:20">
      <c r="A237" s="227">
        <v>92444</v>
      </c>
      <c r="B237" s="228" t="s">
        <v>950</v>
      </c>
      <c r="C237" s="87">
        <v>1.7999999999999999E-6</v>
      </c>
      <c r="D237" s="87">
        <v>1.9999999999999999E-6</v>
      </c>
      <c r="E237" s="232">
        <v>2750</v>
      </c>
      <c r="F237" s="232"/>
      <c r="G237" s="233">
        <v>158</v>
      </c>
      <c r="H237" s="221">
        <v>667</v>
      </c>
      <c r="I237" s="233">
        <v>393</v>
      </c>
      <c r="J237" s="232">
        <v>2573</v>
      </c>
      <c r="K237" s="221">
        <f t="shared" si="6"/>
        <v>3791</v>
      </c>
      <c r="L237" s="232"/>
      <c r="M237" s="233">
        <v>78</v>
      </c>
      <c r="N237" s="233">
        <v>0</v>
      </c>
      <c r="O237" s="232">
        <v>0</v>
      </c>
      <c r="P237" s="221">
        <f t="shared" si="7"/>
        <v>78</v>
      </c>
      <c r="Q237" s="232"/>
      <c r="R237" s="233">
        <v>927</v>
      </c>
      <c r="S237" s="234">
        <v>1194</v>
      </c>
      <c r="T237" s="234">
        <v>2121</v>
      </c>
    </row>
    <row r="238" spans="1:20">
      <c r="A238" s="227">
        <v>92451</v>
      </c>
      <c r="B238" s="228" t="s">
        <v>951</v>
      </c>
      <c r="C238" s="87">
        <v>1.3070000000000001E-4</v>
      </c>
      <c r="D238" s="87">
        <v>1.4559999999999999E-4</v>
      </c>
      <c r="E238" s="232">
        <v>199673</v>
      </c>
      <c r="F238" s="232"/>
      <c r="G238" s="233">
        <v>11503</v>
      </c>
      <c r="H238" s="221">
        <v>48481</v>
      </c>
      <c r="I238" s="233">
        <v>28516</v>
      </c>
      <c r="J238" s="232">
        <v>29255</v>
      </c>
      <c r="K238" s="221">
        <f t="shared" si="6"/>
        <v>117755</v>
      </c>
      <c r="L238" s="232"/>
      <c r="M238" s="233">
        <v>5652</v>
      </c>
      <c r="N238" s="233">
        <v>0</v>
      </c>
      <c r="O238" s="232">
        <v>0</v>
      </c>
      <c r="P238" s="221">
        <f t="shared" si="7"/>
        <v>5652</v>
      </c>
      <c r="Q238" s="232"/>
      <c r="R238" s="233">
        <v>67290</v>
      </c>
      <c r="S238" s="234">
        <v>12363</v>
      </c>
      <c r="T238" s="234">
        <v>79653</v>
      </c>
    </row>
    <row r="239" spans="1:20">
      <c r="A239" s="227">
        <v>92461</v>
      </c>
      <c r="B239" s="228" t="s">
        <v>952</v>
      </c>
      <c r="C239" s="87">
        <v>7.1099999999999994E-5</v>
      </c>
      <c r="D239" s="87">
        <v>7.2999999999999999E-5</v>
      </c>
      <c r="E239" s="232">
        <v>108621</v>
      </c>
      <c r="F239" s="232"/>
      <c r="G239" s="233">
        <v>6258</v>
      </c>
      <c r="H239" s="221">
        <v>26373</v>
      </c>
      <c r="I239" s="233">
        <v>15513</v>
      </c>
      <c r="J239" s="232">
        <v>12982</v>
      </c>
      <c r="K239" s="221">
        <f t="shared" si="6"/>
        <v>61126</v>
      </c>
      <c r="L239" s="232"/>
      <c r="M239" s="233">
        <v>3075</v>
      </c>
      <c r="N239" s="233">
        <v>0</v>
      </c>
      <c r="O239" s="232">
        <v>4965</v>
      </c>
      <c r="P239" s="221">
        <f t="shared" si="7"/>
        <v>8040</v>
      </c>
      <c r="Q239" s="232"/>
      <c r="R239" s="233">
        <v>36605</v>
      </c>
      <c r="S239" s="234">
        <v>1157</v>
      </c>
      <c r="T239" s="234">
        <f>37763-1</f>
        <v>37762</v>
      </c>
    </row>
    <row r="240" spans="1:20">
      <c r="A240" s="227">
        <v>92501</v>
      </c>
      <c r="B240" s="228" t="s">
        <v>953</v>
      </c>
      <c r="C240" s="87">
        <v>3.8252E-3</v>
      </c>
      <c r="D240" s="87">
        <v>3.8141E-3</v>
      </c>
      <c r="E240" s="232">
        <v>5843846</v>
      </c>
      <c r="F240" s="232"/>
      <c r="G240" s="233">
        <v>336660</v>
      </c>
      <c r="H240" s="221">
        <v>1418892</v>
      </c>
      <c r="I240" s="233">
        <v>834582</v>
      </c>
      <c r="J240" s="232">
        <v>137822</v>
      </c>
      <c r="K240" s="221">
        <f t="shared" si="6"/>
        <v>2727956</v>
      </c>
      <c r="L240" s="232"/>
      <c r="M240" s="233">
        <v>165421</v>
      </c>
      <c r="N240" s="233">
        <v>0</v>
      </c>
      <c r="O240" s="232">
        <v>9032</v>
      </c>
      <c r="P240" s="221">
        <f t="shared" si="7"/>
        <v>174453</v>
      </c>
      <c r="Q240" s="232"/>
      <c r="R240" s="233">
        <v>1969381</v>
      </c>
      <c r="S240" s="234">
        <v>45362</v>
      </c>
      <c r="T240" s="234">
        <v>2014743</v>
      </c>
    </row>
    <row r="241" spans="1:20">
      <c r="A241" s="227">
        <v>92502</v>
      </c>
      <c r="B241" s="228" t="s">
        <v>954</v>
      </c>
      <c r="C241" s="87">
        <v>2.7500000000000001E-5</v>
      </c>
      <c r="D241" s="87">
        <v>2.8799999999999999E-5</v>
      </c>
      <c r="E241" s="232">
        <v>42012</v>
      </c>
      <c r="F241" s="232"/>
      <c r="G241" s="233">
        <v>2420</v>
      </c>
      <c r="H241" s="221">
        <v>10201</v>
      </c>
      <c r="I241" s="233">
        <v>6000</v>
      </c>
      <c r="J241" s="232">
        <v>3940</v>
      </c>
      <c r="K241" s="221">
        <f t="shared" si="6"/>
        <v>22561</v>
      </c>
      <c r="L241" s="232"/>
      <c r="M241" s="233">
        <v>1189</v>
      </c>
      <c r="N241" s="233">
        <v>0</v>
      </c>
      <c r="O241" s="232">
        <v>2154</v>
      </c>
      <c r="P241" s="221">
        <f t="shared" si="7"/>
        <v>3343</v>
      </c>
      <c r="Q241" s="232"/>
      <c r="R241" s="233">
        <v>14158</v>
      </c>
      <c r="S241" s="234">
        <v>-13</v>
      </c>
      <c r="T241" s="234">
        <v>14145</v>
      </c>
    </row>
    <row r="242" spans="1:20">
      <c r="A242" s="227">
        <v>92504</v>
      </c>
      <c r="B242" s="228" t="s">
        <v>955</v>
      </c>
      <c r="C242" s="87">
        <v>8.4300000000000003E-5</v>
      </c>
      <c r="D242" s="87">
        <v>7.2799999999999994E-5</v>
      </c>
      <c r="E242" s="232">
        <v>128787</v>
      </c>
      <c r="F242" s="232"/>
      <c r="G242" s="233">
        <v>7419</v>
      </c>
      <c r="H242" s="221">
        <v>31269</v>
      </c>
      <c r="I242" s="233">
        <v>18393</v>
      </c>
      <c r="J242" s="232">
        <v>29049</v>
      </c>
      <c r="K242" s="221">
        <f t="shared" si="6"/>
        <v>86130</v>
      </c>
      <c r="L242" s="232"/>
      <c r="M242" s="233">
        <v>3646</v>
      </c>
      <c r="N242" s="233">
        <v>0</v>
      </c>
      <c r="O242" s="232">
        <v>27</v>
      </c>
      <c r="P242" s="221">
        <f t="shared" si="7"/>
        <v>3673</v>
      </c>
      <c r="Q242" s="232"/>
      <c r="R242" s="233">
        <v>43401</v>
      </c>
      <c r="S242" s="234">
        <v>10026</v>
      </c>
      <c r="T242" s="234">
        <v>53427</v>
      </c>
    </row>
    <row r="243" spans="1:20">
      <c r="A243" s="227">
        <v>92505</v>
      </c>
      <c r="B243" s="228" t="s">
        <v>956</v>
      </c>
      <c r="C243" s="87">
        <v>1.9239999999999999E-4</v>
      </c>
      <c r="D243" s="87">
        <v>1.8709999999999999E-4</v>
      </c>
      <c r="E243" s="232">
        <v>293934</v>
      </c>
      <c r="F243" s="232"/>
      <c r="G243" s="233">
        <v>16933</v>
      </c>
      <c r="H243" s="221">
        <v>71367</v>
      </c>
      <c r="I243" s="233">
        <v>41978</v>
      </c>
      <c r="J243" s="232">
        <v>59108</v>
      </c>
      <c r="K243" s="221">
        <f t="shared" si="6"/>
        <v>189386</v>
      </c>
      <c r="L243" s="232"/>
      <c r="M243" s="233">
        <v>8320</v>
      </c>
      <c r="N243" s="233">
        <v>0</v>
      </c>
      <c r="O243" s="232">
        <v>0</v>
      </c>
      <c r="P243" s="221">
        <f t="shared" si="7"/>
        <v>8320</v>
      </c>
      <c r="Q243" s="232"/>
      <c r="R243" s="233">
        <v>99056</v>
      </c>
      <c r="S243" s="234">
        <v>23320</v>
      </c>
      <c r="T243" s="234">
        <v>122376</v>
      </c>
    </row>
    <row r="244" spans="1:20">
      <c r="A244" s="227">
        <v>92506</v>
      </c>
      <c r="B244" s="228" t="s">
        <v>957</v>
      </c>
      <c r="C244" s="87">
        <v>4.7500000000000003E-5</v>
      </c>
      <c r="D244" s="87">
        <v>4.3699999999999998E-5</v>
      </c>
      <c r="E244" s="232">
        <v>72567</v>
      </c>
      <c r="F244" s="232"/>
      <c r="G244" s="233">
        <v>4181</v>
      </c>
      <c r="H244" s="221">
        <v>17619</v>
      </c>
      <c r="I244" s="233">
        <v>10364</v>
      </c>
      <c r="J244" s="232">
        <v>17893</v>
      </c>
      <c r="K244" s="221">
        <f t="shared" si="6"/>
        <v>50057</v>
      </c>
      <c r="L244" s="232"/>
      <c r="M244" s="233">
        <v>2054</v>
      </c>
      <c r="N244" s="233">
        <v>0</v>
      </c>
      <c r="O244" s="232">
        <v>0</v>
      </c>
      <c r="P244" s="221">
        <f t="shared" si="7"/>
        <v>2054</v>
      </c>
      <c r="Q244" s="232"/>
      <c r="R244" s="233">
        <v>24455</v>
      </c>
      <c r="S244" s="234">
        <v>7399</v>
      </c>
      <c r="T244" s="234">
        <v>31854</v>
      </c>
    </row>
    <row r="245" spans="1:20">
      <c r="A245" s="227">
        <v>92507</v>
      </c>
      <c r="B245" s="228" t="s">
        <v>958</v>
      </c>
      <c r="C245" s="87">
        <v>9.5699999999999995E-5</v>
      </c>
      <c r="D245" s="87">
        <v>7.6799999999999997E-5</v>
      </c>
      <c r="E245" s="232">
        <v>146203</v>
      </c>
      <c r="F245" s="232"/>
      <c r="G245" s="233">
        <v>8423</v>
      </c>
      <c r="H245" s="221">
        <v>35498</v>
      </c>
      <c r="I245" s="233">
        <v>20880</v>
      </c>
      <c r="J245" s="232">
        <v>10349</v>
      </c>
      <c r="K245" s="221">
        <f t="shared" si="6"/>
        <v>75150</v>
      </c>
      <c r="L245" s="232"/>
      <c r="M245" s="233">
        <v>4139</v>
      </c>
      <c r="N245" s="233">
        <v>0</v>
      </c>
      <c r="O245" s="232">
        <v>14283</v>
      </c>
      <c r="P245" s="221">
        <f t="shared" si="7"/>
        <v>18422</v>
      </c>
      <c r="Q245" s="232"/>
      <c r="R245" s="233">
        <v>49271</v>
      </c>
      <c r="S245" s="234">
        <v>-5512</v>
      </c>
      <c r="T245" s="234">
        <f>43758+1</f>
        <v>43759</v>
      </c>
    </row>
    <row r="246" spans="1:20">
      <c r="A246" s="227">
        <v>92508</v>
      </c>
      <c r="B246" s="228" t="s">
        <v>959</v>
      </c>
      <c r="C246" s="87">
        <v>3.1E-4</v>
      </c>
      <c r="D246" s="87">
        <v>3.1930000000000001E-4</v>
      </c>
      <c r="E246" s="232">
        <v>473594</v>
      </c>
      <c r="F246" s="232"/>
      <c r="G246" s="233">
        <v>27283</v>
      </c>
      <c r="H246" s="221">
        <v>114989</v>
      </c>
      <c r="I246" s="233">
        <v>67636</v>
      </c>
      <c r="J246" s="232">
        <v>5884</v>
      </c>
      <c r="K246" s="221">
        <f t="shared" si="6"/>
        <v>215792</v>
      </c>
      <c r="L246" s="232"/>
      <c r="M246" s="233">
        <v>13406</v>
      </c>
      <c r="N246" s="233">
        <v>0</v>
      </c>
      <c r="O246" s="232">
        <v>1407</v>
      </c>
      <c r="P246" s="221">
        <f t="shared" si="7"/>
        <v>14813</v>
      </c>
      <c r="Q246" s="232"/>
      <c r="R246" s="233">
        <v>159602</v>
      </c>
      <c r="S246" s="234">
        <v>3411</v>
      </c>
      <c r="T246" s="234">
        <v>163013</v>
      </c>
    </row>
    <row r="247" spans="1:20">
      <c r="A247" s="227">
        <v>92511</v>
      </c>
      <c r="B247" s="228" t="s">
        <v>960</v>
      </c>
      <c r="C247" s="87">
        <v>3.3240000000000001E-3</v>
      </c>
      <c r="D247" s="87">
        <v>3.4164E-3</v>
      </c>
      <c r="E247" s="232">
        <v>5078151</v>
      </c>
      <c r="F247" s="232"/>
      <c r="G247" s="233">
        <v>292549</v>
      </c>
      <c r="H247" s="221">
        <v>1232981</v>
      </c>
      <c r="I247" s="233">
        <v>725230</v>
      </c>
      <c r="J247" s="232">
        <v>12146</v>
      </c>
      <c r="K247" s="221">
        <f t="shared" si="6"/>
        <v>2262906</v>
      </c>
      <c r="L247" s="232"/>
      <c r="M247" s="233">
        <v>143746</v>
      </c>
      <c r="N247" s="233">
        <v>0</v>
      </c>
      <c r="O247" s="232">
        <v>237633</v>
      </c>
      <c r="P247" s="221">
        <f t="shared" si="7"/>
        <v>381379</v>
      </c>
      <c r="Q247" s="232"/>
      <c r="R247" s="233">
        <v>1711341</v>
      </c>
      <c r="S247" s="234">
        <v>-72839</v>
      </c>
      <c r="T247" s="234">
        <f>1638503-1</f>
        <v>1638502</v>
      </c>
    </row>
    <row r="248" spans="1:20">
      <c r="A248" s="227">
        <v>92513</v>
      </c>
      <c r="B248" s="228" t="s">
        <v>961</v>
      </c>
      <c r="C248" s="87">
        <v>4.0328999999999999E-3</v>
      </c>
      <c r="D248" s="87">
        <v>3.9753000000000002E-3</v>
      </c>
      <c r="E248" s="232">
        <v>6161154</v>
      </c>
      <c r="F248" s="232"/>
      <c r="G248" s="233">
        <v>354940</v>
      </c>
      <c r="H248" s="221">
        <v>1495936</v>
      </c>
      <c r="I248" s="233">
        <v>879898</v>
      </c>
      <c r="J248" s="232">
        <f>1481541+87063+162533</f>
        <v>1731137</v>
      </c>
      <c r="K248" s="221">
        <f t="shared" si="6"/>
        <v>4461911</v>
      </c>
      <c r="L248" s="232"/>
      <c r="M248" s="233">
        <v>174403</v>
      </c>
      <c r="N248" s="233">
        <v>0</v>
      </c>
      <c r="O248" s="232">
        <f>106570+867533+690246</f>
        <v>1664349</v>
      </c>
      <c r="P248" s="221">
        <f t="shared" si="7"/>
        <v>1838752</v>
      </c>
      <c r="Q248" s="232"/>
      <c r="R248" s="233">
        <v>2076314</v>
      </c>
      <c r="S248" s="234">
        <f>491379-223763-102954</f>
        <v>164662</v>
      </c>
      <c r="T248" s="234">
        <f>2567693-223763-102954</f>
        <v>2240976</v>
      </c>
    </row>
    <row r="249" spans="1:20">
      <c r="A249" s="227">
        <v>92521</v>
      </c>
      <c r="B249" s="228" t="s">
        <v>962</v>
      </c>
      <c r="C249" s="87">
        <v>8.6899999999999998E-5</v>
      </c>
      <c r="D249" s="87">
        <v>8.9800000000000001E-5</v>
      </c>
      <c r="E249" s="232">
        <v>132759</v>
      </c>
      <c r="F249" s="232"/>
      <c r="G249" s="233">
        <v>7648</v>
      </c>
      <c r="H249" s="221">
        <v>32235</v>
      </c>
      <c r="I249" s="233">
        <v>18960</v>
      </c>
      <c r="J249" s="232">
        <v>3168</v>
      </c>
      <c r="K249" s="221">
        <f t="shared" si="6"/>
        <v>62011</v>
      </c>
      <c r="L249" s="232"/>
      <c r="M249" s="233">
        <v>3758</v>
      </c>
      <c r="N249" s="233">
        <v>0</v>
      </c>
      <c r="O249" s="232">
        <v>10611</v>
      </c>
      <c r="P249" s="221">
        <f t="shared" si="7"/>
        <v>14369</v>
      </c>
      <c r="Q249" s="232"/>
      <c r="R249" s="233">
        <v>44740</v>
      </c>
      <c r="S249" s="234">
        <v>-2554</v>
      </c>
      <c r="T249" s="234">
        <v>42186</v>
      </c>
    </row>
    <row r="250" spans="1:20">
      <c r="A250" s="227">
        <v>92531</v>
      </c>
      <c r="B250" s="228" t="s">
        <v>963</v>
      </c>
      <c r="C250" s="87">
        <v>8.6490000000000004E-4</v>
      </c>
      <c r="D250" s="87">
        <v>8.3779999999999998E-4</v>
      </c>
      <c r="E250" s="232">
        <v>1321328</v>
      </c>
      <c r="F250" s="232"/>
      <c r="G250" s="233">
        <v>76121</v>
      </c>
      <c r="H250" s="221">
        <v>320820</v>
      </c>
      <c r="I250" s="233">
        <v>188704</v>
      </c>
      <c r="J250" s="232">
        <v>0</v>
      </c>
      <c r="K250" s="221">
        <f t="shared" si="6"/>
        <v>585645</v>
      </c>
      <c r="L250" s="232"/>
      <c r="M250" s="233">
        <v>37403</v>
      </c>
      <c r="N250" s="233">
        <v>0</v>
      </c>
      <c r="O250" s="232">
        <v>124043</v>
      </c>
      <c r="P250" s="221">
        <f t="shared" si="7"/>
        <v>161446</v>
      </c>
      <c r="Q250" s="232"/>
      <c r="R250" s="233">
        <v>445289</v>
      </c>
      <c r="S250" s="234">
        <v>-61397</v>
      </c>
      <c r="T250" s="234">
        <v>383892</v>
      </c>
    </row>
    <row r="251" spans="1:20">
      <c r="A251" s="227">
        <v>92541</v>
      </c>
      <c r="B251" s="228" t="s">
        <v>964</v>
      </c>
      <c r="C251" s="87">
        <v>1.4469999999999999E-4</v>
      </c>
      <c r="D251" s="87">
        <v>1.4300000000000001E-4</v>
      </c>
      <c r="E251" s="232">
        <v>221062</v>
      </c>
      <c r="F251" s="232"/>
      <c r="G251" s="233">
        <v>12735</v>
      </c>
      <c r="H251" s="221">
        <v>53674</v>
      </c>
      <c r="I251" s="233">
        <v>31571</v>
      </c>
      <c r="J251" s="232">
        <v>7292</v>
      </c>
      <c r="K251" s="221">
        <f t="shared" si="6"/>
        <v>105272</v>
      </c>
      <c r="L251" s="232"/>
      <c r="M251" s="233">
        <v>6258</v>
      </c>
      <c r="N251" s="233">
        <v>0</v>
      </c>
      <c r="O251" s="232">
        <v>7300</v>
      </c>
      <c r="P251" s="221">
        <f t="shared" si="7"/>
        <v>13558</v>
      </c>
      <c r="Q251" s="232"/>
      <c r="R251" s="233">
        <v>74498</v>
      </c>
      <c r="S251" s="234">
        <v>2019</v>
      </c>
      <c r="T251" s="234">
        <v>76517</v>
      </c>
    </row>
    <row r="252" spans="1:20">
      <c r="A252" s="227">
        <v>92551</v>
      </c>
      <c r="B252" s="228" t="s">
        <v>965</v>
      </c>
      <c r="C252" s="87">
        <v>5.3300000000000001E-5</v>
      </c>
      <c r="D252" s="87">
        <v>4.18E-5</v>
      </c>
      <c r="E252" s="232">
        <v>81428</v>
      </c>
      <c r="F252" s="232"/>
      <c r="G252" s="233">
        <v>4691</v>
      </c>
      <c r="H252" s="221">
        <v>19771</v>
      </c>
      <c r="I252" s="233">
        <v>11629</v>
      </c>
      <c r="J252" s="232">
        <v>7529</v>
      </c>
      <c r="K252" s="221">
        <f t="shared" si="6"/>
        <v>43620</v>
      </c>
      <c r="L252" s="232"/>
      <c r="M252" s="233">
        <v>2305</v>
      </c>
      <c r="N252" s="233">
        <v>0</v>
      </c>
      <c r="O252" s="232">
        <v>8359</v>
      </c>
      <c r="P252" s="221">
        <f t="shared" si="7"/>
        <v>10664</v>
      </c>
      <c r="Q252" s="232"/>
      <c r="R252" s="233">
        <v>27441</v>
      </c>
      <c r="S252" s="234">
        <v>961</v>
      </c>
      <c r="T252" s="234">
        <v>28402</v>
      </c>
    </row>
    <row r="253" spans="1:20">
      <c r="A253" s="227">
        <v>92561</v>
      </c>
      <c r="B253" s="228" t="s">
        <v>966</v>
      </c>
      <c r="C253" s="87">
        <v>2.2200000000000001E-5</v>
      </c>
      <c r="D253" s="87">
        <v>2.2900000000000001E-5</v>
      </c>
      <c r="E253" s="232">
        <v>33915</v>
      </c>
      <c r="F253" s="232"/>
      <c r="G253" s="233">
        <v>1954</v>
      </c>
      <c r="H253" s="221">
        <v>8235</v>
      </c>
      <c r="I253" s="233">
        <v>4844</v>
      </c>
      <c r="J253" s="232">
        <v>5369</v>
      </c>
      <c r="K253" s="221">
        <f t="shared" si="6"/>
        <v>20402</v>
      </c>
      <c r="L253" s="232"/>
      <c r="M253" s="233">
        <v>960</v>
      </c>
      <c r="N253" s="233">
        <v>0</v>
      </c>
      <c r="O253" s="232">
        <v>0</v>
      </c>
      <c r="P253" s="221">
        <f t="shared" si="7"/>
        <v>960</v>
      </c>
      <c r="Q253" s="232"/>
      <c r="R253" s="233">
        <v>11430</v>
      </c>
      <c r="S253" s="234">
        <v>2639</v>
      </c>
      <c r="T253" s="234">
        <f>14068+1</f>
        <v>14069</v>
      </c>
    </row>
    <row r="254" spans="1:20">
      <c r="A254" s="227">
        <v>92571</v>
      </c>
      <c r="B254" s="228" t="s">
        <v>967</v>
      </c>
      <c r="C254" s="87">
        <v>1.01E-5</v>
      </c>
      <c r="D254" s="87">
        <v>3.1E-6</v>
      </c>
      <c r="E254" s="232">
        <v>15430</v>
      </c>
      <c r="F254" s="232"/>
      <c r="G254" s="233">
        <v>889</v>
      </c>
      <c r="H254" s="221">
        <v>3746</v>
      </c>
      <c r="I254" s="233">
        <v>2204</v>
      </c>
      <c r="J254" s="232">
        <v>9367</v>
      </c>
      <c r="K254" s="221">
        <f t="shared" si="6"/>
        <v>16206</v>
      </c>
      <c r="L254" s="232"/>
      <c r="M254" s="233">
        <v>437</v>
      </c>
      <c r="N254" s="233">
        <v>0</v>
      </c>
      <c r="O254" s="232">
        <v>100</v>
      </c>
      <c r="P254" s="221">
        <f t="shared" si="7"/>
        <v>537</v>
      </c>
      <c r="Q254" s="232"/>
      <c r="R254" s="233">
        <v>5200</v>
      </c>
      <c r="S254" s="234">
        <v>2687</v>
      </c>
      <c r="T254" s="234">
        <v>7887</v>
      </c>
    </row>
    <row r="255" spans="1:20">
      <c r="A255" s="227">
        <v>92601</v>
      </c>
      <c r="B255" s="228" t="s">
        <v>968</v>
      </c>
      <c r="C255" s="87">
        <v>1.51874E-2</v>
      </c>
      <c r="D255" s="87">
        <v>1.54185E-2</v>
      </c>
      <c r="E255" s="232">
        <v>23202140</v>
      </c>
      <c r="F255" s="232"/>
      <c r="G255" s="233">
        <v>1336658</v>
      </c>
      <c r="H255" s="221">
        <v>5633508</v>
      </c>
      <c r="I255" s="233">
        <v>3313587</v>
      </c>
      <c r="J255" s="232">
        <v>134811</v>
      </c>
      <c r="K255" s="221">
        <f t="shared" si="6"/>
        <v>10418564</v>
      </c>
      <c r="L255" s="232"/>
      <c r="M255" s="233">
        <v>656779</v>
      </c>
      <c r="N255" s="233">
        <v>0</v>
      </c>
      <c r="O255" s="232">
        <v>46060</v>
      </c>
      <c r="P255" s="221">
        <f t="shared" si="7"/>
        <v>702839</v>
      </c>
      <c r="Q255" s="232"/>
      <c r="R255" s="233">
        <v>7819142</v>
      </c>
      <c r="S255" s="234">
        <v>112074</v>
      </c>
      <c r="T255" s="234">
        <f>7931215+1</f>
        <v>7931216</v>
      </c>
    </row>
    <row r="256" spans="1:20">
      <c r="A256" s="227">
        <v>92602</v>
      </c>
      <c r="B256" s="228" t="s">
        <v>969</v>
      </c>
      <c r="C256" s="87">
        <v>8.3000000000000002E-6</v>
      </c>
      <c r="D256" s="87">
        <v>8.1999999999999994E-6</v>
      </c>
      <c r="E256" s="232">
        <v>12680</v>
      </c>
      <c r="F256" s="232"/>
      <c r="G256" s="233">
        <v>730</v>
      </c>
      <c r="H256" s="221">
        <v>3079</v>
      </c>
      <c r="I256" s="233">
        <v>1811</v>
      </c>
      <c r="J256" s="232">
        <v>352</v>
      </c>
      <c r="K256" s="221">
        <f t="shared" si="6"/>
        <v>5972</v>
      </c>
      <c r="L256" s="232"/>
      <c r="M256" s="233">
        <v>359</v>
      </c>
      <c r="N256" s="233">
        <v>0</v>
      </c>
      <c r="O256" s="232">
        <v>927</v>
      </c>
      <c r="P256" s="221">
        <f t="shared" si="7"/>
        <v>1286</v>
      </c>
      <c r="Q256" s="232"/>
      <c r="R256" s="233">
        <v>4273</v>
      </c>
      <c r="S256" s="234">
        <v>-99</v>
      </c>
      <c r="T256" s="234">
        <v>4174</v>
      </c>
    </row>
    <row r="257" spans="1:20">
      <c r="A257" s="227">
        <v>92604</v>
      </c>
      <c r="B257" s="228" t="s">
        <v>970</v>
      </c>
      <c r="C257" s="87">
        <v>3.4099999999999999E-4</v>
      </c>
      <c r="D257" s="87">
        <v>3.4380000000000001E-4</v>
      </c>
      <c r="E257" s="232">
        <v>520954</v>
      </c>
      <c r="F257" s="232"/>
      <c r="G257" s="233">
        <v>30012</v>
      </c>
      <c r="H257" s="221">
        <v>126488</v>
      </c>
      <c r="I257" s="233">
        <v>74399</v>
      </c>
      <c r="J257" s="232">
        <v>52760</v>
      </c>
      <c r="K257" s="221">
        <f t="shared" si="6"/>
        <v>283659</v>
      </c>
      <c r="L257" s="232"/>
      <c r="M257" s="233">
        <v>14747</v>
      </c>
      <c r="N257" s="233">
        <v>0</v>
      </c>
      <c r="O257" s="232">
        <v>0</v>
      </c>
      <c r="P257" s="221">
        <f t="shared" si="7"/>
        <v>14747</v>
      </c>
      <c r="Q257" s="232"/>
      <c r="R257" s="233">
        <v>175562</v>
      </c>
      <c r="S257" s="234">
        <v>23975</v>
      </c>
      <c r="T257" s="234">
        <v>199537</v>
      </c>
    </row>
    <row r="258" spans="1:20">
      <c r="A258" s="227">
        <v>92607</v>
      </c>
      <c r="B258" s="228" t="s">
        <v>971</v>
      </c>
      <c r="C258" s="87">
        <v>6.6400000000000001E-5</v>
      </c>
      <c r="D258" s="87">
        <v>7.0400000000000004E-5</v>
      </c>
      <c r="E258" s="232">
        <v>101441</v>
      </c>
      <c r="F258" s="232"/>
      <c r="G258" s="233">
        <v>5844</v>
      </c>
      <c r="H258" s="221">
        <v>24630</v>
      </c>
      <c r="I258" s="233">
        <v>14487</v>
      </c>
      <c r="J258" s="232">
        <v>9416</v>
      </c>
      <c r="K258" s="221">
        <f t="shared" si="6"/>
        <v>54377</v>
      </c>
      <c r="L258" s="232"/>
      <c r="M258" s="233">
        <v>2871</v>
      </c>
      <c r="N258" s="233">
        <v>0</v>
      </c>
      <c r="O258" s="232">
        <v>0</v>
      </c>
      <c r="P258" s="221">
        <f t="shared" si="7"/>
        <v>2871</v>
      </c>
      <c r="Q258" s="232"/>
      <c r="R258" s="233">
        <v>34186</v>
      </c>
      <c r="S258" s="234">
        <v>4781</v>
      </c>
      <c r="T258" s="234">
        <f>38966+1</f>
        <v>38967</v>
      </c>
    </row>
    <row r="259" spans="1:20">
      <c r="A259" s="227">
        <v>92608</v>
      </c>
      <c r="B259" s="228" t="s">
        <v>972</v>
      </c>
      <c r="C259" s="87">
        <v>0</v>
      </c>
      <c r="D259" s="87">
        <v>0</v>
      </c>
      <c r="E259" s="232">
        <v>0</v>
      </c>
      <c r="F259" s="232"/>
      <c r="G259" s="233">
        <v>0</v>
      </c>
      <c r="H259" s="221">
        <v>0</v>
      </c>
      <c r="I259" s="233">
        <v>0</v>
      </c>
      <c r="J259" s="232">
        <v>0</v>
      </c>
      <c r="K259" s="221">
        <f t="shared" si="6"/>
        <v>0</v>
      </c>
      <c r="L259" s="232"/>
      <c r="M259" s="233">
        <v>0</v>
      </c>
      <c r="N259" s="233">
        <v>0</v>
      </c>
      <c r="O259" s="232">
        <v>69935</v>
      </c>
      <c r="P259" s="221">
        <f t="shared" si="7"/>
        <v>69935</v>
      </c>
      <c r="Q259" s="232"/>
      <c r="R259" s="233">
        <v>0</v>
      </c>
      <c r="S259" s="234">
        <v>-69872</v>
      </c>
      <c r="T259" s="234">
        <v>-69872</v>
      </c>
    </row>
    <row r="260" spans="1:20">
      <c r="A260" s="227">
        <v>92611</v>
      </c>
      <c r="B260" s="228" t="s">
        <v>973</v>
      </c>
      <c r="C260" s="87">
        <v>1.3080899999999999E-2</v>
      </c>
      <c r="D260" s="87">
        <v>1.3650799999999999E-2</v>
      </c>
      <c r="E260" s="232">
        <v>19983992</v>
      </c>
      <c r="F260" s="232"/>
      <c r="G260" s="233">
        <v>1151263</v>
      </c>
      <c r="H260" s="221">
        <v>4852137</v>
      </c>
      <c r="I260" s="233">
        <v>2853991</v>
      </c>
      <c r="J260" s="232">
        <v>10109</v>
      </c>
      <c r="K260" s="221">
        <f t="shared" si="6"/>
        <v>8867500</v>
      </c>
      <c r="L260" s="232"/>
      <c r="M260" s="233">
        <v>565684</v>
      </c>
      <c r="N260" s="233">
        <v>0</v>
      </c>
      <c r="O260" s="232">
        <v>976593</v>
      </c>
      <c r="P260" s="221">
        <f t="shared" si="7"/>
        <v>1542277</v>
      </c>
      <c r="Q260" s="232"/>
      <c r="R260" s="233">
        <v>6734623</v>
      </c>
      <c r="S260" s="234">
        <v>-313138</v>
      </c>
      <c r="T260" s="234">
        <v>6421485</v>
      </c>
    </row>
    <row r="261" spans="1:20">
      <c r="A261" s="227">
        <v>92613</v>
      </c>
      <c r="B261" s="228" t="s">
        <v>974</v>
      </c>
      <c r="C261" s="87">
        <v>2.6439999999999998E-4</v>
      </c>
      <c r="D261" s="87">
        <v>2.81E-4</v>
      </c>
      <c r="E261" s="232">
        <v>403930</v>
      </c>
      <c r="F261" s="232"/>
      <c r="G261" s="233">
        <v>23270</v>
      </c>
      <c r="H261" s="221">
        <v>98075</v>
      </c>
      <c r="I261" s="233">
        <v>57687</v>
      </c>
      <c r="J261" s="232">
        <v>84489</v>
      </c>
      <c r="K261" s="221">
        <f t="shared" si="6"/>
        <v>263521</v>
      </c>
      <c r="L261" s="232"/>
      <c r="M261" s="233">
        <v>11434</v>
      </c>
      <c r="N261" s="233">
        <v>0</v>
      </c>
      <c r="O261" s="232">
        <v>941</v>
      </c>
      <c r="P261" s="221">
        <f t="shared" si="7"/>
        <v>12375</v>
      </c>
      <c r="Q261" s="232"/>
      <c r="R261" s="233">
        <v>136125</v>
      </c>
      <c r="S261" s="234">
        <v>41506</v>
      </c>
      <c r="T261" s="234">
        <v>177631</v>
      </c>
    </row>
    <row r="262" spans="1:20">
      <c r="A262" s="227">
        <v>92614</v>
      </c>
      <c r="B262" s="228" t="s">
        <v>975</v>
      </c>
      <c r="C262" s="87">
        <v>5.7273000000000003E-3</v>
      </c>
      <c r="D262" s="87">
        <v>5.6468000000000004E-3</v>
      </c>
      <c r="E262" s="232">
        <v>8749728</v>
      </c>
      <c r="F262" s="232"/>
      <c r="G262" s="233">
        <v>504065</v>
      </c>
      <c r="H262" s="221">
        <v>2124444</v>
      </c>
      <c r="I262" s="233">
        <v>1249582</v>
      </c>
      <c r="J262" s="232">
        <v>3908054</v>
      </c>
      <c r="K262" s="221">
        <f t="shared" si="6"/>
        <v>7786145</v>
      </c>
      <c r="L262" s="232"/>
      <c r="M262" s="233">
        <v>247677</v>
      </c>
      <c r="N262" s="233">
        <v>0</v>
      </c>
      <c r="O262" s="232">
        <v>0</v>
      </c>
      <c r="P262" s="221">
        <f t="shared" si="7"/>
        <v>247677</v>
      </c>
      <c r="Q262" s="232"/>
      <c r="R262" s="233">
        <v>2948666</v>
      </c>
      <c r="S262" s="234">
        <v>1416067</v>
      </c>
      <c r="T262" s="234">
        <v>4364733</v>
      </c>
    </row>
    <row r="263" spans="1:20">
      <c r="A263" s="227">
        <v>92621</v>
      </c>
      <c r="B263" s="228" t="s">
        <v>976</v>
      </c>
      <c r="C263" s="87">
        <v>2.72E-5</v>
      </c>
      <c r="D263" s="87">
        <v>3.2799999999999998E-5</v>
      </c>
      <c r="E263" s="232">
        <v>41554</v>
      </c>
      <c r="F263" s="232"/>
      <c r="G263" s="233">
        <v>2394</v>
      </c>
      <c r="H263" s="221">
        <v>10089</v>
      </c>
      <c r="I263" s="233">
        <v>5934</v>
      </c>
      <c r="J263" s="232">
        <v>872</v>
      </c>
      <c r="K263" s="221">
        <f t="shared" si="6"/>
        <v>19289</v>
      </c>
      <c r="L263" s="232"/>
      <c r="M263" s="233">
        <v>1176</v>
      </c>
      <c r="N263" s="233">
        <v>0</v>
      </c>
      <c r="O263" s="232">
        <v>6521</v>
      </c>
      <c r="P263" s="221">
        <f t="shared" si="7"/>
        <v>7697</v>
      </c>
      <c r="Q263" s="232"/>
      <c r="R263" s="233">
        <v>14004</v>
      </c>
      <c r="S263" s="234">
        <v>-1988</v>
      </c>
      <c r="T263" s="234">
        <v>12016</v>
      </c>
    </row>
    <row r="264" spans="1:20">
      <c r="A264" s="227">
        <v>92631</v>
      </c>
      <c r="B264" s="228" t="s">
        <v>977</v>
      </c>
      <c r="C264" s="87">
        <v>9.2710000000000004E-4</v>
      </c>
      <c r="D264" s="87">
        <v>1.0068E-3</v>
      </c>
      <c r="E264" s="232">
        <v>1416352</v>
      </c>
      <c r="F264" s="232"/>
      <c r="G264" s="233">
        <v>81595</v>
      </c>
      <c r="H264" s="221">
        <v>343892</v>
      </c>
      <c r="I264" s="233">
        <v>202275</v>
      </c>
      <c r="J264" s="232">
        <v>0</v>
      </c>
      <c r="K264" s="221">
        <f t="shared" si="6"/>
        <v>627762</v>
      </c>
      <c r="L264" s="232"/>
      <c r="M264" s="233">
        <v>40092</v>
      </c>
      <c r="N264" s="233">
        <v>0</v>
      </c>
      <c r="O264" s="232">
        <v>146834</v>
      </c>
      <c r="P264" s="221">
        <f t="shared" si="7"/>
        <v>186926</v>
      </c>
      <c r="Q264" s="232"/>
      <c r="R264" s="233">
        <v>477312</v>
      </c>
      <c r="S264" s="234">
        <v>-49734</v>
      </c>
      <c r="T264" s="234">
        <v>427578</v>
      </c>
    </row>
    <row r="265" spans="1:20">
      <c r="A265" s="227">
        <v>92641</v>
      </c>
      <c r="B265" s="228" t="s">
        <v>978</v>
      </c>
      <c r="C265" s="87">
        <v>1.0200000000000001E-5</v>
      </c>
      <c r="D265" s="87">
        <v>1.03E-5</v>
      </c>
      <c r="E265" s="232">
        <v>15583</v>
      </c>
      <c r="F265" s="232"/>
      <c r="G265" s="233">
        <v>898</v>
      </c>
      <c r="H265" s="221">
        <v>3784</v>
      </c>
      <c r="I265" s="233">
        <v>2225</v>
      </c>
      <c r="J265" s="232">
        <v>2556</v>
      </c>
      <c r="K265" s="221">
        <f t="shared" ref="K265:K328" si="8">G265+H265+I265+J265</f>
        <v>9463</v>
      </c>
      <c r="L265" s="232"/>
      <c r="M265" s="233">
        <v>441</v>
      </c>
      <c r="N265" s="233">
        <v>0</v>
      </c>
      <c r="O265" s="232">
        <v>945</v>
      </c>
      <c r="P265" s="221">
        <f t="shared" ref="P265:P328" si="9">M265+N265+O265</f>
        <v>1386</v>
      </c>
      <c r="Q265" s="232"/>
      <c r="R265" s="233">
        <v>5251</v>
      </c>
      <c r="S265" s="234">
        <v>173</v>
      </c>
      <c r="T265" s="234">
        <v>5424</v>
      </c>
    </row>
    <row r="266" spans="1:20">
      <c r="A266" s="227">
        <v>92651</v>
      </c>
      <c r="B266" s="228" t="s">
        <v>979</v>
      </c>
      <c r="C266" s="87">
        <v>2.6000000000000001E-6</v>
      </c>
      <c r="D266" s="87">
        <v>2.6000000000000001E-6</v>
      </c>
      <c r="E266" s="232">
        <v>3972</v>
      </c>
      <c r="F266" s="232"/>
      <c r="G266" s="233">
        <v>229</v>
      </c>
      <c r="H266" s="221">
        <v>964</v>
      </c>
      <c r="I266" s="233">
        <v>567</v>
      </c>
      <c r="J266" s="232">
        <v>3432</v>
      </c>
      <c r="K266" s="221">
        <f t="shared" si="8"/>
        <v>5192</v>
      </c>
      <c r="L266" s="232"/>
      <c r="M266" s="233">
        <v>112</v>
      </c>
      <c r="N266" s="233">
        <v>0</v>
      </c>
      <c r="O266" s="232">
        <v>0</v>
      </c>
      <c r="P266" s="221">
        <f t="shared" si="9"/>
        <v>112</v>
      </c>
      <c r="Q266" s="232"/>
      <c r="R266" s="233">
        <v>1339</v>
      </c>
      <c r="S266" s="234">
        <v>1345</v>
      </c>
      <c r="T266" s="234">
        <f>2683+1</f>
        <v>2684</v>
      </c>
    </row>
    <row r="267" spans="1:20">
      <c r="A267" s="227">
        <v>92661</v>
      </c>
      <c r="B267" s="228" t="s">
        <v>980</v>
      </c>
      <c r="C267" s="87">
        <v>6.9999999999999999E-4</v>
      </c>
      <c r="D267" s="87">
        <v>6.6299999999999996E-4</v>
      </c>
      <c r="E267" s="232">
        <v>1069406</v>
      </c>
      <c r="F267" s="232"/>
      <c r="G267" s="233">
        <v>61608</v>
      </c>
      <c r="H267" s="221">
        <v>259653</v>
      </c>
      <c r="I267" s="233">
        <v>152726</v>
      </c>
      <c r="J267" s="232">
        <v>446841</v>
      </c>
      <c r="K267" s="221">
        <f t="shared" si="8"/>
        <v>920828</v>
      </c>
      <c r="L267" s="232"/>
      <c r="M267" s="233">
        <v>30272</v>
      </c>
      <c r="N267" s="233">
        <v>0</v>
      </c>
      <c r="O267" s="232">
        <v>16877</v>
      </c>
      <c r="P267" s="221">
        <f t="shared" si="9"/>
        <v>47149</v>
      </c>
      <c r="Q267" s="232"/>
      <c r="R267" s="233">
        <v>360391</v>
      </c>
      <c r="S267" s="234">
        <v>130287</v>
      </c>
      <c r="T267" s="234">
        <v>490678</v>
      </c>
    </row>
    <row r="268" spans="1:20">
      <c r="A268" s="227">
        <v>92671</v>
      </c>
      <c r="B268" s="228" t="s">
        <v>981</v>
      </c>
      <c r="C268" s="87">
        <v>2.6000000000000001E-6</v>
      </c>
      <c r="D268" s="87">
        <v>2.9000000000000002E-6</v>
      </c>
      <c r="E268" s="232">
        <v>3972</v>
      </c>
      <c r="F268" s="232"/>
      <c r="G268" s="233">
        <v>229</v>
      </c>
      <c r="H268" s="221">
        <v>964</v>
      </c>
      <c r="I268" s="233">
        <v>567</v>
      </c>
      <c r="J268" s="232">
        <v>6237</v>
      </c>
      <c r="K268" s="221">
        <f t="shared" si="8"/>
        <v>7997</v>
      </c>
      <c r="L268" s="232"/>
      <c r="M268" s="233">
        <v>112</v>
      </c>
      <c r="N268" s="233">
        <v>0</v>
      </c>
      <c r="O268" s="232">
        <v>0</v>
      </c>
      <c r="P268" s="221">
        <f t="shared" si="9"/>
        <v>112</v>
      </c>
      <c r="Q268" s="232"/>
      <c r="R268" s="233">
        <v>1339</v>
      </c>
      <c r="S268" s="234">
        <v>2205</v>
      </c>
      <c r="T268" s="234">
        <f>3543+1</f>
        <v>3544</v>
      </c>
    </row>
    <row r="269" spans="1:20">
      <c r="A269" s="227">
        <v>92681</v>
      </c>
      <c r="B269" s="228" t="s">
        <v>982</v>
      </c>
      <c r="C269" s="87">
        <v>1.17E-5</v>
      </c>
      <c r="D269" s="87">
        <v>1.01E-5</v>
      </c>
      <c r="E269" s="232">
        <v>17874</v>
      </c>
      <c r="F269" s="232"/>
      <c r="G269" s="233">
        <v>1030</v>
      </c>
      <c r="H269" s="221">
        <v>4340</v>
      </c>
      <c r="I269" s="233">
        <v>2553</v>
      </c>
      <c r="J269" s="232">
        <v>13621</v>
      </c>
      <c r="K269" s="221">
        <f t="shared" si="8"/>
        <v>21544</v>
      </c>
      <c r="L269" s="232"/>
      <c r="M269" s="233">
        <v>506</v>
      </c>
      <c r="N269" s="233">
        <v>0</v>
      </c>
      <c r="O269" s="232">
        <v>0</v>
      </c>
      <c r="P269" s="221">
        <f t="shared" si="9"/>
        <v>506</v>
      </c>
      <c r="Q269" s="232"/>
      <c r="R269" s="233">
        <v>6024</v>
      </c>
      <c r="S269" s="234">
        <v>4960</v>
      </c>
      <c r="T269" s="234">
        <v>10984</v>
      </c>
    </row>
    <row r="270" spans="1:20">
      <c r="A270" s="227">
        <v>92701</v>
      </c>
      <c r="B270" s="228" t="s">
        <v>983</v>
      </c>
      <c r="C270" s="87">
        <v>3.0777000000000001E-3</v>
      </c>
      <c r="D270" s="87">
        <v>2.9588000000000001E-3</v>
      </c>
      <c r="E270" s="232">
        <v>4701873</v>
      </c>
      <c r="F270" s="232"/>
      <c r="G270" s="233">
        <v>270871</v>
      </c>
      <c r="H270" s="221">
        <v>1141620</v>
      </c>
      <c r="I270" s="233">
        <v>671493</v>
      </c>
      <c r="J270" s="232">
        <v>48990</v>
      </c>
      <c r="K270" s="221">
        <f t="shared" si="8"/>
        <v>2132974</v>
      </c>
      <c r="L270" s="232"/>
      <c r="M270" s="233">
        <v>133095</v>
      </c>
      <c r="N270" s="233">
        <v>0</v>
      </c>
      <c r="O270" s="232">
        <v>42924</v>
      </c>
      <c r="P270" s="221">
        <f t="shared" si="9"/>
        <v>176019</v>
      </c>
      <c r="Q270" s="232"/>
      <c r="R270" s="233">
        <v>1584535</v>
      </c>
      <c r="S270" s="234">
        <v>-25139</v>
      </c>
      <c r="T270" s="234">
        <f>1559397-1</f>
        <v>1559396</v>
      </c>
    </row>
    <row r="271" spans="1:20">
      <c r="A271" s="227">
        <v>92704</v>
      </c>
      <c r="B271" s="228" t="s">
        <v>984</v>
      </c>
      <c r="C271" s="87">
        <v>4.1600000000000002E-5</v>
      </c>
      <c r="D271" s="87">
        <v>4.7700000000000001E-5</v>
      </c>
      <c r="E271" s="232">
        <v>63553</v>
      </c>
      <c r="F271" s="232"/>
      <c r="G271" s="233">
        <v>3661</v>
      </c>
      <c r="H271" s="221">
        <v>15431</v>
      </c>
      <c r="I271" s="233">
        <v>9076</v>
      </c>
      <c r="J271" s="232">
        <v>1560</v>
      </c>
      <c r="K271" s="221">
        <f t="shared" si="8"/>
        <v>29728</v>
      </c>
      <c r="L271" s="232"/>
      <c r="M271" s="233">
        <v>1799</v>
      </c>
      <c r="N271" s="233">
        <v>0</v>
      </c>
      <c r="O271" s="232">
        <v>5674</v>
      </c>
      <c r="P271" s="221">
        <f t="shared" si="9"/>
        <v>7473</v>
      </c>
      <c r="Q271" s="232"/>
      <c r="R271" s="233">
        <v>21418</v>
      </c>
      <c r="S271" s="234">
        <v>-706</v>
      </c>
      <c r="T271" s="234">
        <f>20711+1</f>
        <v>20712</v>
      </c>
    </row>
    <row r="272" spans="1:20">
      <c r="A272" s="227">
        <v>92801</v>
      </c>
      <c r="B272" s="228" t="s">
        <v>985</v>
      </c>
      <c r="C272" s="87">
        <v>5.0951E-3</v>
      </c>
      <c r="D272" s="87">
        <v>5.1701000000000004E-3</v>
      </c>
      <c r="E272" s="232">
        <v>7783901</v>
      </c>
      <c r="F272" s="232"/>
      <c r="G272" s="233">
        <v>448425</v>
      </c>
      <c r="H272" s="221">
        <v>1889940</v>
      </c>
      <c r="I272" s="233">
        <v>1111649</v>
      </c>
      <c r="J272" s="232">
        <v>152907</v>
      </c>
      <c r="K272" s="221">
        <f t="shared" si="8"/>
        <v>3602921</v>
      </c>
      <c r="L272" s="232"/>
      <c r="M272" s="233">
        <v>220338</v>
      </c>
      <c r="N272" s="233">
        <v>0</v>
      </c>
      <c r="O272" s="232">
        <v>0</v>
      </c>
      <c r="P272" s="221">
        <f t="shared" si="9"/>
        <v>220338</v>
      </c>
      <c r="Q272" s="232"/>
      <c r="R272" s="233">
        <v>2623182</v>
      </c>
      <c r="S272" s="234">
        <v>81450</v>
      </c>
      <c r="T272" s="234">
        <f>2704631+1</f>
        <v>2704632</v>
      </c>
    </row>
    <row r="273" spans="1:20">
      <c r="A273" s="227">
        <v>92802</v>
      </c>
      <c r="B273" s="228" t="s">
        <v>986</v>
      </c>
      <c r="C273" s="87">
        <v>1.2970000000000001E-4</v>
      </c>
      <c r="D273" s="87">
        <v>1.3410000000000001E-4</v>
      </c>
      <c r="E273" s="232">
        <v>198146</v>
      </c>
      <c r="F273" s="232"/>
      <c r="G273" s="233">
        <v>11415</v>
      </c>
      <c r="H273" s="221">
        <v>48110</v>
      </c>
      <c r="I273" s="233">
        <v>28298</v>
      </c>
      <c r="J273" s="232">
        <v>0</v>
      </c>
      <c r="K273" s="221">
        <f t="shared" si="8"/>
        <v>87823</v>
      </c>
      <c r="L273" s="232"/>
      <c r="M273" s="233">
        <v>5609</v>
      </c>
      <c r="N273" s="233">
        <v>0</v>
      </c>
      <c r="O273" s="232">
        <v>17517</v>
      </c>
      <c r="P273" s="221">
        <f t="shared" si="9"/>
        <v>23126</v>
      </c>
      <c r="Q273" s="232"/>
      <c r="R273" s="233">
        <v>66775</v>
      </c>
      <c r="S273" s="234">
        <v>-6938</v>
      </c>
      <c r="T273" s="234">
        <v>59837</v>
      </c>
    </row>
    <row r="274" spans="1:20">
      <c r="A274" s="227">
        <v>92804</v>
      </c>
      <c r="B274" s="228" t="s">
        <v>987</v>
      </c>
      <c r="C274" s="87">
        <v>1.36E-4</v>
      </c>
      <c r="D274" s="87">
        <v>1.47E-4</v>
      </c>
      <c r="E274" s="232">
        <v>207770</v>
      </c>
      <c r="F274" s="232"/>
      <c r="G274" s="233">
        <v>11969</v>
      </c>
      <c r="H274" s="221">
        <v>50447</v>
      </c>
      <c r="I274" s="233">
        <v>29672</v>
      </c>
      <c r="J274" s="232">
        <v>8730</v>
      </c>
      <c r="K274" s="221">
        <f t="shared" si="8"/>
        <v>100818</v>
      </c>
      <c r="L274" s="232"/>
      <c r="M274" s="233">
        <v>5881</v>
      </c>
      <c r="N274" s="233">
        <v>0</v>
      </c>
      <c r="O274" s="232">
        <v>12427</v>
      </c>
      <c r="P274" s="221">
        <f t="shared" si="9"/>
        <v>18308</v>
      </c>
      <c r="Q274" s="232"/>
      <c r="R274" s="233">
        <v>70019</v>
      </c>
      <c r="S274" s="234">
        <v>-172</v>
      </c>
      <c r="T274" s="234">
        <v>69847</v>
      </c>
    </row>
    <row r="275" spans="1:20">
      <c r="A275" s="227">
        <v>92811</v>
      </c>
      <c r="B275" s="228" t="s">
        <v>988</v>
      </c>
      <c r="C275" s="87">
        <v>1.0036000000000001E-3</v>
      </c>
      <c r="D275" s="87">
        <v>9.8569999999999994E-4</v>
      </c>
      <c r="E275" s="232">
        <v>1533223</v>
      </c>
      <c r="F275" s="232"/>
      <c r="G275" s="233">
        <v>88328</v>
      </c>
      <c r="H275" s="221">
        <v>372269</v>
      </c>
      <c r="I275" s="233">
        <v>218965</v>
      </c>
      <c r="J275" s="232">
        <v>0</v>
      </c>
      <c r="K275" s="221">
        <f t="shared" si="8"/>
        <v>679562</v>
      </c>
      <c r="L275" s="232"/>
      <c r="M275" s="233">
        <v>43401</v>
      </c>
      <c r="N275" s="233">
        <v>0</v>
      </c>
      <c r="O275" s="232">
        <v>85272</v>
      </c>
      <c r="P275" s="221">
        <f t="shared" si="9"/>
        <v>128673</v>
      </c>
      <c r="Q275" s="232"/>
      <c r="R275" s="233">
        <v>516697</v>
      </c>
      <c r="S275" s="234">
        <v>-36667</v>
      </c>
      <c r="T275" s="234">
        <v>480030</v>
      </c>
    </row>
    <row r="276" spans="1:20">
      <c r="A276" s="227">
        <v>92821</v>
      </c>
      <c r="B276" s="228" t="s">
        <v>989</v>
      </c>
      <c r="C276" s="87">
        <v>9.9400000000000009E-4</v>
      </c>
      <c r="D276" s="87">
        <v>1.0139999999999999E-3</v>
      </c>
      <c r="E276" s="232">
        <v>1518557</v>
      </c>
      <c r="F276" s="232"/>
      <c r="G276" s="233">
        <v>87483</v>
      </c>
      <c r="H276" s="221">
        <v>368707</v>
      </c>
      <c r="I276" s="233">
        <v>216871</v>
      </c>
      <c r="J276" s="232">
        <v>24870</v>
      </c>
      <c r="K276" s="221">
        <f t="shared" si="8"/>
        <v>697931</v>
      </c>
      <c r="L276" s="232"/>
      <c r="M276" s="233">
        <v>42986</v>
      </c>
      <c r="N276" s="233">
        <v>0</v>
      </c>
      <c r="O276" s="232">
        <v>0</v>
      </c>
      <c r="P276" s="221">
        <f t="shared" si="9"/>
        <v>42986</v>
      </c>
      <c r="Q276" s="232"/>
      <c r="R276" s="233">
        <v>511755</v>
      </c>
      <c r="S276" s="234">
        <v>10495</v>
      </c>
      <c r="T276" s="234">
        <v>522250</v>
      </c>
    </row>
    <row r="277" spans="1:20">
      <c r="A277" s="227">
        <v>92831</v>
      </c>
      <c r="B277" s="228" t="s">
        <v>990</v>
      </c>
      <c r="C277" s="87">
        <v>2.1829999999999999E-4</v>
      </c>
      <c r="D277" s="87">
        <v>2.476E-4</v>
      </c>
      <c r="E277" s="232">
        <v>333502</v>
      </c>
      <c r="F277" s="232"/>
      <c r="G277" s="233">
        <v>19213</v>
      </c>
      <c r="H277" s="221">
        <v>80975</v>
      </c>
      <c r="I277" s="233">
        <v>47629</v>
      </c>
      <c r="J277" s="232">
        <v>19156</v>
      </c>
      <c r="K277" s="221">
        <f t="shared" si="8"/>
        <v>166973</v>
      </c>
      <c r="L277" s="232"/>
      <c r="M277" s="233">
        <v>9440</v>
      </c>
      <c r="N277" s="233">
        <v>0</v>
      </c>
      <c r="O277" s="232">
        <v>2159</v>
      </c>
      <c r="P277" s="221">
        <f t="shared" si="9"/>
        <v>11599</v>
      </c>
      <c r="Q277" s="232"/>
      <c r="R277" s="233">
        <v>112390</v>
      </c>
      <c r="S277" s="234">
        <v>9503</v>
      </c>
      <c r="T277" s="234">
        <f>121894-1</f>
        <v>121893</v>
      </c>
    </row>
    <row r="278" spans="1:20">
      <c r="A278" s="227">
        <v>92841</v>
      </c>
      <c r="B278" s="228" t="s">
        <v>991</v>
      </c>
      <c r="C278" s="87">
        <v>2.7809999999999998E-4</v>
      </c>
      <c r="D278" s="87">
        <v>2.8160000000000001E-4</v>
      </c>
      <c r="E278" s="232">
        <v>424860</v>
      </c>
      <c r="F278" s="232"/>
      <c r="G278" s="233">
        <v>24476</v>
      </c>
      <c r="H278" s="221">
        <v>103157</v>
      </c>
      <c r="I278" s="233">
        <v>60676</v>
      </c>
      <c r="J278" s="232">
        <v>5821</v>
      </c>
      <c r="K278" s="221">
        <f t="shared" si="8"/>
        <v>194130</v>
      </c>
      <c r="L278" s="232"/>
      <c r="M278" s="233">
        <v>12026</v>
      </c>
      <c r="N278" s="233">
        <v>0</v>
      </c>
      <c r="O278" s="232">
        <v>13149</v>
      </c>
      <c r="P278" s="221">
        <f t="shared" si="9"/>
        <v>25175</v>
      </c>
      <c r="Q278" s="232"/>
      <c r="R278" s="233">
        <v>143178</v>
      </c>
      <c r="S278" s="234">
        <v>2288</v>
      </c>
      <c r="T278" s="234">
        <v>145466</v>
      </c>
    </row>
    <row r="279" spans="1:20">
      <c r="A279" s="227">
        <v>92851</v>
      </c>
      <c r="B279" s="228" t="s">
        <v>992</v>
      </c>
      <c r="C279" s="87">
        <v>4.6079999999999998E-4</v>
      </c>
      <c r="D279" s="87">
        <v>4.3909999999999999E-4</v>
      </c>
      <c r="E279" s="232">
        <v>703975</v>
      </c>
      <c r="F279" s="232"/>
      <c r="G279" s="233">
        <v>40555</v>
      </c>
      <c r="H279" s="221">
        <v>170926</v>
      </c>
      <c r="I279" s="233">
        <v>100537</v>
      </c>
      <c r="J279" s="232">
        <v>0</v>
      </c>
      <c r="K279" s="221">
        <f t="shared" si="8"/>
        <v>312018</v>
      </c>
      <c r="L279" s="232"/>
      <c r="M279" s="233">
        <v>19927</v>
      </c>
      <c r="N279" s="233">
        <v>0</v>
      </c>
      <c r="O279" s="232">
        <v>62664</v>
      </c>
      <c r="P279" s="221">
        <f t="shared" si="9"/>
        <v>82591</v>
      </c>
      <c r="Q279" s="232"/>
      <c r="R279" s="233">
        <v>237240</v>
      </c>
      <c r="S279" s="234">
        <v>-35531</v>
      </c>
      <c r="T279" s="234">
        <v>201709</v>
      </c>
    </row>
    <row r="280" spans="1:20">
      <c r="A280" s="227">
        <v>92861</v>
      </c>
      <c r="B280" s="228" t="s">
        <v>993</v>
      </c>
      <c r="C280" s="87">
        <v>3.6010000000000003E-4</v>
      </c>
      <c r="D280" s="87">
        <v>3.3629999999999999E-4</v>
      </c>
      <c r="E280" s="232">
        <v>550133</v>
      </c>
      <c r="F280" s="232"/>
      <c r="G280" s="233">
        <v>31693</v>
      </c>
      <c r="H280" s="221">
        <v>133573</v>
      </c>
      <c r="I280" s="233">
        <v>78567</v>
      </c>
      <c r="J280" s="232">
        <v>0</v>
      </c>
      <c r="K280" s="221">
        <f t="shared" si="8"/>
        <v>243833</v>
      </c>
      <c r="L280" s="232"/>
      <c r="M280" s="233">
        <v>15573</v>
      </c>
      <c r="N280" s="233">
        <v>0</v>
      </c>
      <c r="O280" s="232">
        <v>83092</v>
      </c>
      <c r="P280" s="221">
        <f t="shared" si="9"/>
        <v>98665</v>
      </c>
      <c r="Q280" s="232"/>
      <c r="R280" s="233">
        <v>185395</v>
      </c>
      <c r="S280" s="234">
        <v>-36908</v>
      </c>
      <c r="T280" s="234">
        <f>148488-1</f>
        <v>148487</v>
      </c>
    </row>
    <row r="281" spans="1:20">
      <c r="A281" s="227">
        <v>92901</v>
      </c>
      <c r="B281" s="228" t="s">
        <v>994</v>
      </c>
      <c r="C281" s="87">
        <v>5.5082999999999998E-3</v>
      </c>
      <c r="D281" s="87">
        <v>5.7581000000000004E-3</v>
      </c>
      <c r="E281" s="232">
        <v>8415157</v>
      </c>
      <c r="F281" s="232"/>
      <c r="G281" s="233">
        <v>484791</v>
      </c>
      <c r="H281" s="221">
        <v>2043211</v>
      </c>
      <c r="I281" s="233">
        <v>1201801</v>
      </c>
      <c r="J281" s="232">
        <v>65697</v>
      </c>
      <c r="K281" s="221">
        <f t="shared" si="8"/>
        <v>3795500</v>
      </c>
      <c r="L281" s="232"/>
      <c r="M281" s="233">
        <v>238206</v>
      </c>
      <c r="N281" s="233">
        <v>0</v>
      </c>
      <c r="O281" s="232">
        <v>124949</v>
      </c>
      <c r="P281" s="221">
        <f t="shared" si="9"/>
        <v>363155</v>
      </c>
      <c r="Q281" s="232"/>
      <c r="R281" s="233">
        <v>2835915</v>
      </c>
      <c r="S281" s="234">
        <v>6522</v>
      </c>
      <c r="T281" s="234">
        <f>2842438-1</f>
        <v>2842437</v>
      </c>
    </row>
    <row r="282" spans="1:20">
      <c r="A282" s="227">
        <v>92911</v>
      </c>
      <c r="B282" s="228" t="s">
        <v>995</v>
      </c>
      <c r="C282" s="87">
        <v>1.9548999999999999E-3</v>
      </c>
      <c r="D282" s="87">
        <v>1.9442999999999999E-3</v>
      </c>
      <c r="E282" s="232">
        <v>2986546</v>
      </c>
      <c r="F282" s="232"/>
      <c r="G282" s="233">
        <v>172053</v>
      </c>
      <c r="H282" s="221">
        <v>725137</v>
      </c>
      <c r="I282" s="233">
        <v>426520</v>
      </c>
      <c r="J282" s="232">
        <v>28442</v>
      </c>
      <c r="K282" s="221">
        <f t="shared" si="8"/>
        <v>1352152</v>
      </c>
      <c r="L282" s="232"/>
      <c r="M282" s="233">
        <v>84540</v>
      </c>
      <c r="N282" s="233">
        <v>0</v>
      </c>
      <c r="O282" s="232">
        <v>113525</v>
      </c>
      <c r="P282" s="221">
        <f t="shared" si="9"/>
        <v>198065</v>
      </c>
      <c r="Q282" s="232"/>
      <c r="R282" s="233">
        <v>1006469</v>
      </c>
      <c r="S282" s="234">
        <v>-55041</v>
      </c>
      <c r="T282" s="234">
        <v>951428</v>
      </c>
    </row>
    <row r="283" spans="1:20">
      <c r="A283" s="227">
        <v>92913</v>
      </c>
      <c r="B283" s="228" t="s">
        <v>996</v>
      </c>
      <c r="C283" s="87">
        <v>2.1999999999999999E-5</v>
      </c>
      <c r="D283" s="87">
        <v>2.37E-5</v>
      </c>
      <c r="E283" s="232">
        <v>33610</v>
      </c>
      <c r="F283" s="232"/>
      <c r="G283" s="233">
        <v>1936</v>
      </c>
      <c r="H283" s="221">
        <v>8160</v>
      </c>
      <c r="I283" s="233">
        <v>4800</v>
      </c>
      <c r="J283" s="232">
        <v>79442</v>
      </c>
      <c r="K283" s="221">
        <f t="shared" si="8"/>
        <v>94338</v>
      </c>
      <c r="L283" s="232"/>
      <c r="M283" s="233">
        <v>951</v>
      </c>
      <c r="N283" s="233">
        <v>0</v>
      </c>
      <c r="O283" s="232">
        <v>2047</v>
      </c>
      <c r="P283" s="221">
        <f t="shared" si="9"/>
        <v>2998</v>
      </c>
      <c r="Q283" s="232"/>
      <c r="R283" s="233">
        <v>11327</v>
      </c>
      <c r="S283" s="234">
        <v>25513</v>
      </c>
      <c r="T283" s="234">
        <v>36840</v>
      </c>
    </row>
    <row r="284" spans="1:20">
      <c r="A284" s="227">
        <v>92914</v>
      </c>
      <c r="B284" s="228" t="s">
        <v>997</v>
      </c>
      <c r="C284" s="87">
        <v>2.8900000000000001E-5</v>
      </c>
      <c r="D284" s="87">
        <v>0</v>
      </c>
      <c r="E284" s="232">
        <v>44151</v>
      </c>
      <c r="F284" s="232"/>
      <c r="G284" s="233">
        <v>2544</v>
      </c>
      <c r="H284" s="221">
        <v>10720</v>
      </c>
      <c r="I284" s="233">
        <v>6305</v>
      </c>
      <c r="J284" s="232">
        <v>17173</v>
      </c>
      <c r="K284" s="221">
        <f t="shared" si="8"/>
        <v>36742</v>
      </c>
      <c r="L284" s="232"/>
      <c r="M284" s="233">
        <v>1250</v>
      </c>
      <c r="N284" s="233">
        <v>0</v>
      </c>
      <c r="O284" s="232">
        <v>0</v>
      </c>
      <c r="P284" s="221">
        <f t="shared" si="9"/>
        <v>1250</v>
      </c>
      <c r="Q284" s="232"/>
      <c r="R284" s="233">
        <v>14879</v>
      </c>
      <c r="S284" s="234">
        <v>4293</v>
      </c>
      <c r="T284" s="234">
        <v>19172</v>
      </c>
    </row>
    <row r="285" spans="1:20">
      <c r="A285" s="227">
        <v>92917</v>
      </c>
      <c r="B285" s="228" t="s">
        <v>998</v>
      </c>
      <c r="C285" s="87">
        <v>1.4800000000000001E-5</v>
      </c>
      <c r="D285" s="87">
        <v>2.0000000000000002E-5</v>
      </c>
      <c r="E285" s="232">
        <v>22610</v>
      </c>
      <c r="F285" s="232"/>
      <c r="G285" s="233">
        <v>1303</v>
      </c>
      <c r="H285" s="221">
        <v>5490</v>
      </c>
      <c r="I285" s="233">
        <v>3229</v>
      </c>
      <c r="J285" s="232">
        <v>13223</v>
      </c>
      <c r="K285" s="221">
        <f t="shared" si="8"/>
        <v>23245</v>
      </c>
      <c r="L285" s="232"/>
      <c r="M285" s="233">
        <v>640</v>
      </c>
      <c r="N285" s="233">
        <v>0</v>
      </c>
      <c r="O285" s="232">
        <v>0</v>
      </c>
      <c r="P285" s="221">
        <f t="shared" si="9"/>
        <v>640</v>
      </c>
      <c r="Q285" s="232"/>
      <c r="R285" s="233">
        <v>7620</v>
      </c>
      <c r="S285" s="234">
        <v>6352</v>
      </c>
      <c r="T285" s="234">
        <f>13971+1</f>
        <v>13972</v>
      </c>
    </row>
    <row r="286" spans="1:20">
      <c r="A286" s="227">
        <v>92921</v>
      </c>
      <c r="B286" s="228" t="s">
        <v>999</v>
      </c>
      <c r="C286" s="87">
        <v>7.4400000000000006E-5</v>
      </c>
      <c r="D286" s="87">
        <v>6.2899999999999997E-5</v>
      </c>
      <c r="E286" s="232">
        <v>113663</v>
      </c>
      <c r="F286" s="232"/>
      <c r="G286" s="233">
        <v>6548</v>
      </c>
      <c r="H286" s="221">
        <v>27597</v>
      </c>
      <c r="I286" s="233">
        <v>16233</v>
      </c>
      <c r="J286" s="232">
        <v>13244</v>
      </c>
      <c r="K286" s="221">
        <f t="shared" si="8"/>
        <v>63622</v>
      </c>
      <c r="L286" s="232"/>
      <c r="M286" s="233">
        <v>3217</v>
      </c>
      <c r="N286" s="233">
        <v>0</v>
      </c>
      <c r="O286" s="232">
        <v>7831</v>
      </c>
      <c r="P286" s="221">
        <f t="shared" si="9"/>
        <v>11048</v>
      </c>
      <c r="Q286" s="232"/>
      <c r="R286" s="233">
        <v>38304</v>
      </c>
      <c r="S286" s="234">
        <v>-2914</v>
      </c>
      <c r="T286" s="234">
        <v>35390</v>
      </c>
    </row>
    <row r="287" spans="1:20">
      <c r="A287" s="227">
        <v>92931</v>
      </c>
      <c r="B287" s="228" t="s">
        <v>1000</v>
      </c>
      <c r="C287" s="87">
        <v>2.3996E-3</v>
      </c>
      <c r="D287" s="87">
        <v>2.5048000000000002E-3</v>
      </c>
      <c r="E287" s="232">
        <v>3665924</v>
      </c>
      <c r="F287" s="232"/>
      <c r="G287" s="233">
        <v>211191</v>
      </c>
      <c r="H287" s="221">
        <v>890091</v>
      </c>
      <c r="I287" s="233">
        <v>523545</v>
      </c>
      <c r="J287" s="232">
        <v>7721</v>
      </c>
      <c r="K287" s="221">
        <f t="shared" si="8"/>
        <v>1632548</v>
      </c>
      <c r="L287" s="232"/>
      <c r="M287" s="233">
        <v>103771</v>
      </c>
      <c r="N287" s="233">
        <v>0</v>
      </c>
      <c r="O287" s="232">
        <v>147858</v>
      </c>
      <c r="P287" s="221">
        <f t="shared" si="9"/>
        <v>251629</v>
      </c>
      <c r="Q287" s="232"/>
      <c r="R287" s="233">
        <v>1235420</v>
      </c>
      <c r="S287" s="234">
        <v>-41276</v>
      </c>
      <c r="T287" s="234">
        <v>1194144</v>
      </c>
    </row>
    <row r="288" spans="1:20">
      <c r="A288" s="227">
        <v>92941</v>
      </c>
      <c r="B288" s="228" t="s">
        <v>81</v>
      </c>
      <c r="C288" s="87">
        <v>1.2300000000000001E-5</v>
      </c>
      <c r="D288" s="87">
        <v>1.84E-5</v>
      </c>
      <c r="E288" s="232">
        <v>18791</v>
      </c>
      <c r="F288" s="232"/>
      <c r="G288" s="233">
        <v>1083</v>
      </c>
      <c r="H288" s="221">
        <v>4563</v>
      </c>
      <c r="I288" s="233">
        <v>2684</v>
      </c>
      <c r="J288" s="232">
        <v>6612</v>
      </c>
      <c r="K288" s="221">
        <f t="shared" si="8"/>
        <v>14942</v>
      </c>
      <c r="L288" s="232"/>
      <c r="M288" s="233">
        <v>532</v>
      </c>
      <c r="N288" s="233">
        <v>0</v>
      </c>
      <c r="O288" s="232">
        <v>1770</v>
      </c>
      <c r="P288" s="221">
        <f t="shared" si="9"/>
        <v>2302</v>
      </c>
      <c r="Q288" s="232"/>
      <c r="R288" s="233">
        <v>6333</v>
      </c>
      <c r="S288" s="234">
        <v>3162</v>
      </c>
      <c r="T288" s="234">
        <v>9495</v>
      </c>
    </row>
    <row r="289" spans="1:20">
      <c r="A289" s="227">
        <v>93001</v>
      </c>
      <c r="B289" s="228" t="s">
        <v>1001</v>
      </c>
      <c r="C289" s="87">
        <v>2.2227000000000002E-3</v>
      </c>
      <c r="D289" s="87">
        <v>2.2739000000000001E-3</v>
      </c>
      <c r="E289" s="232">
        <v>3395670</v>
      </c>
      <c r="F289" s="232"/>
      <c r="G289" s="233">
        <v>195622</v>
      </c>
      <c r="H289" s="221">
        <v>824473</v>
      </c>
      <c r="I289" s="233">
        <v>484949</v>
      </c>
      <c r="J289" s="232">
        <v>8733</v>
      </c>
      <c r="K289" s="221">
        <f t="shared" si="8"/>
        <v>1513777</v>
      </c>
      <c r="L289" s="232"/>
      <c r="M289" s="233">
        <v>96121</v>
      </c>
      <c r="N289" s="233">
        <v>0</v>
      </c>
      <c r="O289" s="232">
        <v>123729</v>
      </c>
      <c r="P289" s="221">
        <f t="shared" si="9"/>
        <v>219850</v>
      </c>
      <c r="Q289" s="232"/>
      <c r="R289" s="233">
        <v>1144344</v>
      </c>
      <c r="S289" s="234">
        <v>-57358</v>
      </c>
      <c r="T289" s="234">
        <v>1086986</v>
      </c>
    </row>
    <row r="290" spans="1:20">
      <c r="A290" s="227">
        <v>93009</v>
      </c>
      <c r="B290" s="228" t="s">
        <v>1002</v>
      </c>
      <c r="C290" s="87">
        <v>1.47E-5</v>
      </c>
      <c r="D290" s="87">
        <v>1.5400000000000002E-5</v>
      </c>
      <c r="E290" s="232">
        <v>22458</v>
      </c>
      <c r="F290" s="232"/>
      <c r="G290" s="233">
        <v>1294</v>
      </c>
      <c r="H290" s="221">
        <v>5453</v>
      </c>
      <c r="I290" s="233">
        <v>3207</v>
      </c>
      <c r="J290" s="232">
        <v>0</v>
      </c>
      <c r="K290" s="221">
        <f t="shared" si="8"/>
        <v>9954</v>
      </c>
      <c r="L290" s="232"/>
      <c r="M290" s="233">
        <v>636</v>
      </c>
      <c r="N290" s="233">
        <v>0</v>
      </c>
      <c r="O290" s="232">
        <v>4280</v>
      </c>
      <c r="P290" s="221">
        <f t="shared" si="9"/>
        <v>4916</v>
      </c>
      <c r="Q290" s="232"/>
      <c r="R290" s="233">
        <v>7568</v>
      </c>
      <c r="S290" s="234">
        <v>-1918</v>
      </c>
      <c r="T290" s="234">
        <v>5650</v>
      </c>
    </row>
    <row r="291" spans="1:20">
      <c r="A291" s="227">
        <v>93011</v>
      </c>
      <c r="B291" s="228" t="s">
        <v>1003</v>
      </c>
      <c r="C291" s="87">
        <v>2.2699999999999999E-4</v>
      </c>
      <c r="D291" s="87">
        <v>2.6160000000000002E-4</v>
      </c>
      <c r="E291" s="232">
        <v>346793</v>
      </c>
      <c r="F291" s="232"/>
      <c r="G291" s="233">
        <v>19978</v>
      </c>
      <c r="H291" s="221">
        <v>84202</v>
      </c>
      <c r="I291" s="233">
        <v>49527</v>
      </c>
      <c r="J291" s="232">
        <v>1542</v>
      </c>
      <c r="K291" s="221">
        <f t="shared" si="8"/>
        <v>155249</v>
      </c>
      <c r="L291" s="232"/>
      <c r="M291" s="233">
        <v>9817</v>
      </c>
      <c r="N291" s="233">
        <v>0</v>
      </c>
      <c r="O291" s="232">
        <v>15019</v>
      </c>
      <c r="P291" s="221">
        <f t="shared" si="9"/>
        <v>24836</v>
      </c>
      <c r="Q291" s="232"/>
      <c r="R291" s="233">
        <v>116870</v>
      </c>
      <c r="S291" s="234">
        <v>-3863</v>
      </c>
      <c r="T291" s="234">
        <v>113007</v>
      </c>
    </row>
    <row r="292" spans="1:20">
      <c r="A292" s="227">
        <v>93021</v>
      </c>
      <c r="B292" s="228" t="s">
        <v>1004</v>
      </c>
      <c r="C292" s="87">
        <v>3.4199999999999998E-5</v>
      </c>
      <c r="D292" s="87">
        <v>2.8900000000000001E-5</v>
      </c>
      <c r="E292" s="232">
        <v>52248</v>
      </c>
      <c r="F292" s="232"/>
      <c r="G292" s="233">
        <v>3010</v>
      </c>
      <c r="H292" s="221">
        <v>12686</v>
      </c>
      <c r="I292" s="233">
        <v>7462</v>
      </c>
      <c r="J292" s="232">
        <v>3788</v>
      </c>
      <c r="K292" s="221">
        <f t="shared" si="8"/>
        <v>26946</v>
      </c>
      <c r="L292" s="232"/>
      <c r="M292" s="233">
        <v>1479</v>
      </c>
      <c r="N292" s="233">
        <v>0</v>
      </c>
      <c r="O292" s="232">
        <v>4978</v>
      </c>
      <c r="P292" s="221">
        <f t="shared" si="9"/>
        <v>6457</v>
      </c>
      <c r="Q292" s="232"/>
      <c r="R292" s="233">
        <v>17608</v>
      </c>
      <c r="S292" s="234">
        <v>260</v>
      </c>
      <c r="T292" s="234">
        <v>17868</v>
      </c>
    </row>
    <row r="293" spans="1:20">
      <c r="A293" s="227">
        <v>93027</v>
      </c>
      <c r="B293" s="228" t="s">
        <v>1005</v>
      </c>
      <c r="C293" s="87">
        <v>1.6699999999999999E-5</v>
      </c>
      <c r="D293" s="87">
        <v>1.6699999999999999E-5</v>
      </c>
      <c r="E293" s="232">
        <v>25513</v>
      </c>
      <c r="F293" s="232"/>
      <c r="G293" s="233">
        <v>1470</v>
      </c>
      <c r="H293" s="221">
        <v>6194</v>
      </c>
      <c r="I293" s="233">
        <v>3644</v>
      </c>
      <c r="J293" s="232">
        <v>1152</v>
      </c>
      <c r="K293" s="221">
        <f t="shared" si="8"/>
        <v>12460</v>
      </c>
      <c r="L293" s="232"/>
      <c r="M293" s="233">
        <v>722</v>
      </c>
      <c r="N293" s="233">
        <v>0</v>
      </c>
      <c r="O293" s="232">
        <v>834</v>
      </c>
      <c r="P293" s="221">
        <f t="shared" si="9"/>
        <v>1556</v>
      </c>
      <c r="Q293" s="232"/>
      <c r="R293" s="233">
        <v>8598</v>
      </c>
      <c r="S293" s="234">
        <v>-308</v>
      </c>
      <c r="T293" s="234">
        <v>8290</v>
      </c>
    </row>
    <row r="294" spans="1:20">
      <c r="A294" s="227">
        <v>93031</v>
      </c>
      <c r="B294" s="228" t="s">
        <v>1006</v>
      </c>
      <c r="C294" s="87">
        <v>2.1699999999999999E-5</v>
      </c>
      <c r="D294" s="87">
        <v>2.2399999999999999E-5</v>
      </c>
      <c r="E294" s="232">
        <v>33152</v>
      </c>
      <c r="F294" s="232"/>
      <c r="G294" s="233">
        <v>1910</v>
      </c>
      <c r="H294" s="221">
        <v>8050</v>
      </c>
      <c r="I294" s="233">
        <v>4735</v>
      </c>
      <c r="J294" s="232">
        <v>18910</v>
      </c>
      <c r="K294" s="221">
        <f t="shared" si="8"/>
        <v>33605</v>
      </c>
      <c r="L294" s="232"/>
      <c r="M294" s="233">
        <v>938</v>
      </c>
      <c r="N294" s="233">
        <v>0</v>
      </c>
      <c r="O294" s="232">
        <v>221</v>
      </c>
      <c r="P294" s="221">
        <f t="shared" si="9"/>
        <v>1159</v>
      </c>
      <c r="Q294" s="232"/>
      <c r="R294" s="233">
        <v>11172</v>
      </c>
      <c r="S294" s="234">
        <v>5880</v>
      </c>
      <c r="T294" s="234">
        <v>17052</v>
      </c>
    </row>
    <row r="295" spans="1:20">
      <c r="A295" s="227">
        <v>93101</v>
      </c>
      <c r="B295" s="228" t="s">
        <v>1007</v>
      </c>
      <c r="C295" s="87">
        <v>3.5159000000000002E-3</v>
      </c>
      <c r="D295" s="87">
        <v>3.5771000000000002E-3</v>
      </c>
      <c r="E295" s="232">
        <v>5371321</v>
      </c>
      <c r="F295" s="232"/>
      <c r="G295" s="233">
        <v>309438</v>
      </c>
      <c r="H295" s="221">
        <v>1304163</v>
      </c>
      <c r="I295" s="233">
        <v>767099</v>
      </c>
      <c r="J295" s="232">
        <v>104257</v>
      </c>
      <c r="K295" s="221">
        <f t="shared" si="8"/>
        <v>2484957</v>
      </c>
      <c r="L295" s="232"/>
      <c r="M295" s="233">
        <v>152045</v>
      </c>
      <c r="N295" s="233">
        <v>0</v>
      </c>
      <c r="O295" s="232">
        <v>115334</v>
      </c>
      <c r="P295" s="221">
        <f t="shared" si="9"/>
        <v>267379</v>
      </c>
      <c r="Q295" s="232"/>
      <c r="R295" s="233">
        <v>1810140</v>
      </c>
      <c r="S295" s="234">
        <v>39451</v>
      </c>
      <c r="T295" s="234">
        <v>1849591</v>
      </c>
    </row>
    <row r="296" spans="1:20">
      <c r="A296" s="227">
        <v>93103</v>
      </c>
      <c r="B296" s="228" t="s">
        <v>260</v>
      </c>
      <c r="C296" s="87">
        <v>1.7099999999999999E-5</v>
      </c>
      <c r="D296" s="87">
        <v>1.7200000000000001E-5</v>
      </c>
      <c r="E296" s="232">
        <v>26124</v>
      </c>
      <c r="F296" s="232"/>
      <c r="G296" s="233">
        <v>1505</v>
      </c>
      <c r="H296" s="221">
        <v>6343</v>
      </c>
      <c r="I296" s="233">
        <v>3731</v>
      </c>
      <c r="J296" s="232">
        <v>6718</v>
      </c>
      <c r="K296" s="221">
        <f t="shared" si="8"/>
        <v>18297</v>
      </c>
      <c r="L296" s="232"/>
      <c r="M296" s="233">
        <v>739</v>
      </c>
      <c r="N296" s="233">
        <v>0</v>
      </c>
      <c r="O296" s="232">
        <v>1798</v>
      </c>
      <c r="P296" s="221">
        <f t="shared" si="9"/>
        <v>2537</v>
      </c>
      <c r="Q296" s="232"/>
      <c r="R296" s="233">
        <v>8804</v>
      </c>
      <c r="S296" s="234">
        <v>2085</v>
      </c>
      <c r="T296" s="234">
        <v>10889</v>
      </c>
    </row>
    <row r="297" spans="1:20">
      <c r="A297" s="227">
        <v>93108</v>
      </c>
      <c r="B297" s="228" t="s">
        <v>1008</v>
      </c>
      <c r="C297" s="87">
        <v>2.6624999999999999E-3</v>
      </c>
      <c r="D297" s="87">
        <v>2.5661999999999998E-3</v>
      </c>
      <c r="E297" s="232">
        <v>4067562</v>
      </c>
      <c r="F297" s="232"/>
      <c r="G297" s="233">
        <v>234329</v>
      </c>
      <c r="H297" s="221">
        <v>987609</v>
      </c>
      <c r="I297" s="233">
        <v>580904</v>
      </c>
      <c r="J297" s="232">
        <v>274861</v>
      </c>
      <c r="K297" s="221">
        <f t="shared" si="8"/>
        <v>2077703</v>
      </c>
      <c r="L297" s="232"/>
      <c r="M297" s="233">
        <v>115140</v>
      </c>
      <c r="N297" s="233">
        <v>0</v>
      </c>
      <c r="O297" s="232">
        <v>0</v>
      </c>
      <c r="P297" s="221">
        <f t="shared" si="9"/>
        <v>115140</v>
      </c>
      <c r="Q297" s="232"/>
      <c r="R297" s="233">
        <v>1370772</v>
      </c>
      <c r="S297" s="234">
        <v>189775</v>
      </c>
      <c r="T297" s="234">
        <v>1560547</v>
      </c>
    </row>
    <row r="298" spans="1:20">
      <c r="A298" s="227">
        <v>93111</v>
      </c>
      <c r="B298" s="228" t="s">
        <v>1009</v>
      </c>
      <c r="C298" s="87">
        <v>5.8499999999999999E-5</v>
      </c>
      <c r="D298" s="87">
        <v>7.08E-5</v>
      </c>
      <c r="E298" s="232">
        <v>89372</v>
      </c>
      <c r="F298" s="232"/>
      <c r="G298" s="233">
        <v>5149</v>
      </c>
      <c r="H298" s="221">
        <v>21700</v>
      </c>
      <c r="I298" s="233">
        <v>12764</v>
      </c>
      <c r="J298" s="232">
        <v>0</v>
      </c>
      <c r="K298" s="221">
        <f t="shared" si="8"/>
        <v>39613</v>
      </c>
      <c r="L298" s="232"/>
      <c r="M298" s="233">
        <v>2530</v>
      </c>
      <c r="N298" s="233">
        <v>0</v>
      </c>
      <c r="O298" s="232">
        <v>15463</v>
      </c>
      <c r="P298" s="221">
        <f t="shared" si="9"/>
        <v>17993</v>
      </c>
      <c r="Q298" s="232"/>
      <c r="R298" s="233">
        <v>30118</v>
      </c>
      <c r="S298" s="234">
        <v>-5541</v>
      </c>
      <c r="T298" s="234">
        <f>24578-1</f>
        <v>24577</v>
      </c>
    </row>
    <row r="299" spans="1:20">
      <c r="A299" s="227">
        <v>93121</v>
      </c>
      <c r="B299" s="228" t="s">
        <v>1010</v>
      </c>
      <c r="C299" s="87">
        <v>6.2299999999999996E-5</v>
      </c>
      <c r="D299" s="87">
        <v>5.8900000000000002E-5</v>
      </c>
      <c r="E299" s="232">
        <v>95177</v>
      </c>
      <c r="F299" s="232"/>
      <c r="G299" s="233">
        <v>5483</v>
      </c>
      <c r="H299" s="221">
        <v>23109</v>
      </c>
      <c r="I299" s="233">
        <v>13593</v>
      </c>
      <c r="J299" s="232">
        <v>2043</v>
      </c>
      <c r="K299" s="221">
        <f t="shared" si="8"/>
        <v>44228</v>
      </c>
      <c r="L299" s="232"/>
      <c r="M299" s="233">
        <v>2694</v>
      </c>
      <c r="N299" s="233">
        <v>0</v>
      </c>
      <c r="O299" s="232">
        <v>9059</v>
      </c>
      <c r="P299" s="221">
        <f t="shared" si="9"/>
        <v>11753</v>
      </c>
      <c r="Q299" s="232"/>
      <c r="R299" s="233">
        <v>32075</v>
      </c>
      <c r="S299" s="234">
        <v>-3552</v>
      </c>
      <c r="T299" s="234">
        <f>28522+1</f>
        <v>28523</v>
      </c>
    </row>
    <row r="300" spans="1:20">
      <c r="A300" s="227">
        <v>93127</v>
      </c>
      <c r="B300" s="228" t="s">
        <v>1011</v>
      </c>
      <c r="C300" s="87">
        <v>6.9E-6</v>
      </c>
      <c r="D300" s="87">
        <v>6.8000000000000001E-6</v>
      </c>
      <c r="E300" s="232">
        <v>10541</v>
      </c>
      <c r="F300" s="232"/>
      <c r="G300" s="233">
        <v>607</v>
      </c>
      <c r="H300" s="221">
        <v>2560</v>
      </c>
      <c r="I300" s="233">
        <v>1505</v>
      </c>
      <c r="J300" s="232">
        <v>124</v>
      </c>
      <c r="K300" s="221">
        <f t="shared" si="8"/>
        <v>4796</v>
      </c>
      <c r="L300" s="232"/>
      <c r="M300" s="233">
        <v>298</v>
      </c>
      <c r="N300" s="233">
        <v>0</v>
      </c>
      <c r="O300" s="232">
        <v>731</v>
      </c>
      <c r="P300" s="221">
        <f t="shared" si="9"/>
        <v>1029</v>
      </c>
      <c r="Q300" s="232"/>
      <c r="R300" s="233">
        <v>3552</v>
      </c>
      <c r="S300" s="234">
        <v>-369</v>
      </c>
      <c r="T300" s="234">
        <v>3183</v>
      </c>
    </row>
    <row r="301" spans="1:20">
      <c r="A301" s="227">
        <v>93131</v>
      </c>
      <c r="B301" s="228" t="s">
        <v>1012</v>
      </c>
      <c r="C301" s="87">
        <v>2.218E-4</v>
      </c>
      <c r="D301" s="87">
        <v>2.3939999999999999E-4</v>
      </c>
      <c r="E301" s="232">
        <v>338849</v>
      </c>
      <c r="F301" s="232"/>
      <c r="G301" s="233">
        <v>19521</v>
      </c>
      <c r="H301" s="221">
        <v>82273</v>
      </c>
      <c r="I301" s="233">
        <v>48392</v>
      </c>
      <c r="J301" s="232">
        <v>7888</v>
      </c>
      <c r="K301" s="221">
        <f t="shared" si="8"/>
        <v>158074</v>
      </c>
      <c r="L301" s="232"/>
      <c r="M301" s="233">
        <v>9592</v>
      </c>
      <c r="N301" s="233">
        <v>0</v>
      </c>
      <c r="O301" s="232">
        <v>21906</v>
      </c>
      <c r="P301" s="221">
        <f t="shared" si="9"/>
        <v>31498</v>
      </c>
      <c r="Q301" s="232"/>
      <c r="R301" s="233">
        <v>114192</v>
      </c>
      <c r="S301" s="234">
        <v>-530</v>
      </c>
      <c r="T301" s="234">
        <v>113662</v>
      </c>
    </row>
    <row r="302" spans="1:20">
      <c r="A302" s="227">
        <v>93137</v>
      </c>
      <c r="B302" s="228" t="s">
        <v>1013</v>
      </c>
      <c r="C302" s="87">
        <v>3.3000000000000002E-6</v>
      </c>
      <c r="D302" s="87">
        <v>1.9E-6</v>
      </c>
      <c r="E302" s="232">
        <v>5041</v>
      </c>
      <c r="F302" s="232"/>
      <c r="G302" s="233">
        <v>290</v>
      </c>
      <c r="H302" s="221">
        <v>1224</v>
      </c>
      <c r="I302" s="233">
        <v>720</v>
      </c>
      <c r="J302" s="232">
        <v>2709</v>
      </c>
      <c r="K302" s="221">
        <f t="shared" si="8"/>
        <v>4943</v>
      </c>
      <c r="L302" s="232"/>
      <c r="M302" s="233">
        <v>143</v>
      </c>
      <c r="N302" s="233">
        <v>0</v>
      </c>
      <c r="O302" s="232">
        <v>0</v>
      </c>
      <c r="P302" s="221">
        <f t="shared" si="9"/>
        <v>143</v>
      </c>
      <c r="Q302" s="232"/>
      <c r="R302" s="233">
        <v>1699</v>
      </c>
      <c r="S302" s="234">
        <v>839</v>
      </c>
      <c r="T302" s="234">
        <v>2538</v>
      </c>
    </row>
    <row r="303" spans="1:20">
      <c r="A303" s="227">
        <v>93141</v>
      </c>
      <c r="B303" s="228" t="s">
        <v>1014</v>
      </c>
      <c r="C303" s="87">
        <v>4.1100000000000003E-5</v>
      </c>
      <c r="D303" s="87">
        <v>4.5500000000000001E-5</v>
      </c>
      <c r="E303" s="232">
        <v>62789</v>
      </c>
      <c r="F303" s="232"/>
      <c r="G303" s="233">
        <v>3617</v>
      </c>
      <c r="H303" s="221">
        <v>15246</v>
      </c>
      <c r="I303" s="233">
        <v>8967</v>
      </c>
      <c r="J303" s="232">
        <v>2083</v>
      </c>
      <c r="K303" s="221">
        <f t="shared" si="8"/>
        <v>29913</v>
      </c>
      <c r="L303" s="232"/>
      <c r="M303" s="233">
        <v>1777</v>
      </c>
      <c r="N303" s="233">
        <v>0</v>
      </c>
      <c r="O303" s="232">
        <v>7408</v>
      </c>
      <c r="P303" s="221">
        <f t="shared" si="9"/>
        <v>9185</v>
      </c>
      <c r="Q303" s="232"/>
      <c r="R303" s="233">
        <v>21160</v>
      </c>
      <c r="S303" s="234">
        <v>-351</v>
      </c>
      <c r="T303" s="234">
        <v>20809</v>
      </c>
    </row>
    <row r="304" spans="1:20">
      <c r="A304" s="227">
        <v>93151</v>
      </c>
      <c r="B304" s="228" t="s">
        <v>1015</v>
      </c>
      <c r="C304" s="87">
        <v>3.4279999999999998E-4</v>
      </c>
      <c r="D304" s="87">
        <v>3.6539999999999999E-4</v>
      </c>
      <c r="E304" s="232">
        <v>523703</v>
      </c>
      <c r="F304" s="232"/>
      <c r="G304" s="233">
        <v>30170</v>
      </c>
      <c r="H304" s="221">
        <v>127156</v>
      </c>
      <c r="I304" s="233">
        <v>74792</v>
      </c>
      <c r="J304" s="232">
        <v>3795</v>
      </c>
      <c r="K304" s="221">
        <f t="shared" si="8"/>
        <v>235913</v>
      </c>
      <c r="L304" s="232"/>
      <c r="M304" s="233">
        <v>14824</v>
      </c>
      <c r="N304" s="233">
        <v>0</v>
      </c>
      <c r="O304" s="232">
        <v>19989</v>
      </c>
      <c r="P304" s="221">
        <f t="shared" si="9"/>
        <v>34813</v>
      </c>
      <c r="Q304" s="232"/>
      <c r="R304" s="233">
        <v>176489</v>
      </c>
      <c r="S304" s="234">
        <v>-4355</v>
      </c>
      <c r="T304" s="234">
        <f>172133+1</f>
        <v>172134</v>
      </c>
    </row>
    <row r="305" spans="1:20">
      <c r="A305" s="227">
        <v>93157</v>
      </c>
      <c r="B305" s="228" t="s">
        <v>1016</v>
      </c>
      <c r="C305" s="87">
        <v>3.5999999999999998E-6</v>
      </c>
      <c r="D305" s="87">
        <v>3.8E-6</v>
      </c>
      <c r="E305" s="232">
        <v>5500</v>
      </c>
      <c r="F305" s="232"/>
      <c r="G305" s="233">
        <v>317</v>
      </c>
      <c r="H305" s="221">
        <v>1336</v>
      </c>
      <c r="I305" s="233">
        <v>785</v>
      </c>
      <c r="J305" s="232">
        <v>6931</v>
      </c>
      <c r="K305" s="221">
        <f t="shared" si="8"/>
        <v>9369</v>
      </c>
      <c r="L305" s="232"/>
      <c r="M305" s="233">
        <v>156</v>
      </c>
      <c r="N305" s="233">
        <v>0</v>
      </c>
      <c r="O305" s="232">
        <v>340</v>
      </c>
      <c r="P305" s="221">
        <f t="shared" si="9"/>
        <v>496</v>
      </c>
      <c r="Q305" s="232"/>
      <c r="R305" s="233">
        <v>1853</v>
      </c>
      <c r="S305" s="234">
        <v>2783</v>
      </c>
      <c r="T305" s="234">
        <f>4637-1</f>
        <v>4636</v>
      </c>
    </row>
    <row r="306" spans="1:20">
      <c r="A306" s="227">
        <v>93161</v>
      </c>
      <c r="B306" s="228" t="s">
        <v>1017</v>
      </c>
      <c r="C306" s="87">
        <v>1.038E-4</v>
      </c>
      <c r="D306" s="87">
        <v>6.2500000000000001E-5</v>
      </c>
      <c r="E306" s="232">
        <v>158578</v>
      </c>
      <c r="F306" s="232"/>
      <c r="G306" s="233">
        <v>9136</v>
      </c>
      <c r="H306" s="221">
        <v>38503</v>
      </c>
      <c r="I306" s="233">
        <v>22647</v>
      </c>
      <c r="J306" s="232">
        <v>35990</v>
      </c>
      <c r="K306" s="221">
        <f t="shared" si="8"/>
        <v>106276</v>
      </c>
      <c r="L306" s="232"/>
      <c r="M306" s="233">
        <v>4489</v>
      </c>
      <c r="N306" s="233">
        <v>0</v>
      </c>
      <c r="O306" s="232">
        <v>0</v>
      </c>
      <c r="P306" s="221">
        <f t="shared" si="9"/>
        <v>4489</v>
      </c>
      <c r="Q306" s="232"/>
      <c r="R306" s="233">
        <v>53441</v>
      </c>
      <c r="S306" s="234">
        <v>13001</v>
      </c>
      <c r="T306" s="234">
        <v>66442</v>
      </c>
    </row>
    <row r="307" spans="1:20">
      <c r="A307" s="227">
        <v>93171</v>
      </c>
      <c r="B307" s="228" t="s">
        <v>1018</v>
      </c>
      <c r="C307" s="87">
        <v>5.2000000000000002E-6</v>
      </c>
      <c r="D307" s="87">
        <v>5.8000000000000004E-6</v>
      </c>
      <c r="E307" s="232">
        <v>7944</v>
      </c>
      <c r="F307" s="232"/>
      <c r="G307" s="233">
        <v>458</v>
      </c>
      <c r="H307" s="221">
        <v>1929</v>
      </c>
      <c r="I307" s="233">
        <v>1135</v>
      </c>
      <c r="J307" s="232">
        <v>1960</v>
      </c>
      <c r="K307" s="221">
        <f t="shared" si="8"/>
        <v>5482</v>
      </c>
      <c r="L307" s="232"/>
      <c r="M307" s="233">
        <v>225</v>
      </c>
      <c r="N307" s="233">
        <v>0</v>
      </c>
      <c r="O307" s="232">
        <v>0</v>
      </c>
      <c r="P307" s="221">
        <f t="shared" si="9"/>
        <v>225</v>
      </c>
      <c r="Q307" s="232"/>
      <c r="R307" s="233">
        <v>2677</v>
      </c>
      <c r="S307" s="234">
        <v>791</v>
      </c>
      <c r="T307" s="234">
        <v>3468</v>
      </c>
    </row>
    <row r="308" spans="1:20">
      <c r="A308" s="227">
        <v>93181</v>
      </c>
      <c r="B308" s="228" t="s">
        <v>1019</v>
      </c>
      <c r="C308" s="87">
        <v>1.13E-5</v>
      </c>
      <c r="D308" s="87">
        <v>1.1E-5</v>
      </c>
      <c r="E308" s="232">
        <v>17263</v>
      </c>
      <c r="F308" s="232"/>
      <c r="G308" s="233">
        <v>995</v>
      </c>
      <c r="H308" s="221">
        <v>4191</v>
      </c>
      <c r="I308" s="233">
        <v>2465</v>
      </c>
      <c r="J308" s="232">
        <v>772</v>
      </c>
      <c r="K308" s="221">
        <f t="shared" si="8"/>
        <v>8423</v>
      </c>
      <c r="L308" s="232"/>
      <c r="M308" s="233">
        <v>489</v>
      </c>
      <c r="N308" s="233">
        <v>0</v>
      </c>
      <c r="O308" s="232">
        <v>28</v>
      </c>
      <c r="P308" s="221">
        <f t="shared" si="9"/>
        <v>517</v>
      </c>
      <c r="Q308" s="232"/>
      <c r="R308" s="233">
        <v>5818</v>
      </c>
      <c r="S308" s="234">
        <v>412</v>
      </c>
      <c r="T308" s="234">
        <v>6230</v>
      </c>
    </row>
    <row r="309" spans="1:20">
      <c r="A309" s="227">
        <v>93191</v>
      </c>
      <c r="B309" s="228" t="s">
        <v>1020</v>
      </c>
      <c r="C309" s="87">
        <v>2.4600000000000002E-5</v>
      </c>
      <c r="D309" s="87">
        <v>3.3000000000000003E-5</v>
      </c>
      <c r="E309" s="232">
        <v>37582</v>
      </c>
      <c r="F309" s="232"/>
      <c r="G309" s="233">
        <v>2165</v>
      </c>
      <c r="H309" s="221">
        <v>9125</v>
      </c>
      <c r="I309" s="233">
        <v>5367</v>
      </c>
      <c r="J309" s="232">
        <v>1713</v>
      </c>
      <c r="K309" s="221">
        <f t="shared" si="8"/>
        <v>18370</v>
      </c>
      <c r="L309" s="232"/>
      <c r="M309" s="233">
        <v>1064</v>
      </c>
      <c r="N309" s="233">
        <v>0</v>
      </c>
      <c r="O309" s="232">
        <v>2443</v>
      </c>
      <c r="P309" s="221">
        <f t="shared" si="9"/>
        <v>3507</v>
      </c>
      <c r="Q309" s="232"/>
      <c r="R309" s="233">
        <v>12665</v>
      </c>
      <c r="S309" s="234">
        <v>-169</v>
      </c>
      <c r="T309" s="234">
        <v>12496</v>
      </c>
    </row>
    <row r="310" spans="1:20">
      <c r="A310" s="227">
        <v>93201</v>
      </c>
      <c r="B310" s="228" t="s">
        <v>1021</v>
      </c>
      <c r="C310" s="87">
        <v>1.5517E-2</v>
      </c>
      <c r="D310" s="87">
        <v>1.5819699999999999E-2</v>
      </c>
      <c r="E310" s="232">
        <v>23705678</v>
      </c>
      <c r="F310" s="232"/>
      <c r="G310" s="233">
        <v>1365667</v>
      </c>
      <c r="H310" s="221">
        <v>5755768</v>
      </c>
      <c r="I310" s="233">
        <v>3385499</v>
      </c>
      <c r="J310" s="232">
        <v>809545</v>
      </c>
      <c r="K310" s="221">
        <f t="shared" si="8"/>
        <v>11316479</v>
      </c>
      <c r="L310" s="232"/>
      <c r="M310" s="233">
        <v>671033</v>
      </c>
      <c r="N310" s="233">
        <v>0</v>
      </c>
      <c r="O310" s="232">
        <v>206420</v>
      </c>
      <c r="P310" s="221">
        <f t="shared" si="9"/>
        <v>877453</v>
      </c>
      <c r="Q310" s="232"/>
      <c r="R310" s="233">
        <v>7988834</v>
      </c>
      <c r="S310" s="234">
        <v>397964</v>
      </c>
      <c r="T310" s="234">
        <f>8386799-1</f>
        <v>8386798</v>
      </c>
    </row>
    <row r="311" spans="1:20">
      <c r="A311" s="227">
        <v>93202</v>
      </c>
      <c r="B311" s="228" t="s">
        <v>1022</v>
      </c>
      <c r="C311" s="87">
        <v>0</v>
      </c>
      <c r="D311" s="87">
        <v>0</v>
      </c>
      <c r="E311" s="232">
        <v>0</v>
      </c>
      <c r="F311" s="232"/>
      <c r="G311" s="233">
        <v>0</v>
      </c>
      <c r="H311" s="221">
        <v>0</v>
      </c>
      <c r="I311" s="233">
        <v>0</v>
      </c>
      <c r="J311" s="232">
        <v>0</v>
      </c>
      <c r="K311" s="221">
        <f t="shared" si="8"/>
        <v>0</v>
      </c>
      <c r="L311" s="232"/>
      <c r="M311" s="233">
        <v>0</v>
      </c>
      <c r="N311" s="233">
        <v>0</v>
      </c>
      <c r="O311" s="232">
        <v>212519</v>
      </c>
      <c r="P311" s="221">
        <f t="shared" si="9"/>
        <v>212519</v>
      </c>
      <c r="Q311" s="232"/>
      <c r="R311" s="233">
        <v>0</v>
      </c>
      <c r="S311" s="234">
        <v>-109544</v>
      </c>
      <c r="T311" s="234">
        <v>-109544</v>
      </c>
    </row>
    <row r="312" spans="1:20">
      <c r="A312" s="227">
        <v>93204</v>
      </c>
      <c r="B312" s="228" t="s">
        <v>1023</v>
      </c>
      <c r="C312" s="87">
        <v>3.0279999999999999E-4</v>
      </c>
      <c r="D312" s="87">
        <v>2.9480000000000001E-4</v>
      </c>
      <c r="E312" s="232">
        <v>462595</v>
      </c>
      <c r="F312" s="232"/>
      <c r="G312" s="233">
        <v>26650</v>
      </c>
      <c r="H312" s="221">
        <v>112319</v>
      </c>
      <c r="I312" s="233">
        <v>66065</v>
      </c>
      <c r="J312" s="232">
        <v>24167</v>
      </c>
      <c r="K312" s="221">
        <f t="shared" si="8"/>
        <v>229201</v>
      </c>
      <c r="L312" s="232"/>
      <c r="M312" s="233">
        <v>13095</v>
      </c>
      <c r="N312" s="233">
        <v>0</v>
      </c>
      <c r="O312" s="232">
        <v>9452</v>
      </c>
      <c r="P312" s="221">
        <f t="shared" si="9"/>
        <v>22547</v>
      </c>
      <c r="Q312" s="232"/>
      <c r="R312" s="233">
        <v>155895</v>
      </c>
      <c r="S312" s="234">
        <v>782</v>
      </c>
      <c r="T312" s="234">
        <v>156677</v>
      </c>
    </row>
    <row r="313" spans="1:20">
      <c r="A313" s="227">
        <v>93209</v>
      </c>
      <c r="B313" s="228" t="s">
        <v>1024</v>
      </c>
      <c r="C313" s="87">
        <v>4.6693999999999998E-3</v>
      </c>
      <c r="D313" s="87">
        <v>4.5113999999999996E-3</v>
      </c>
      <c r="E313" s="232">
        <v>7133550</v>
      </c>
      <c r="F313" s="232"/>
      <c r="G313" s="233">
        <v>410959</v>
      </c>
      <c r="H313" s="221">
        <v>1732035</v>
      </c>
      <c r="I313" s="233">
        <v>1018770</v>
      </c>
      <c r="J313" s="232">
        <v>838336</v>
      </c>
      <c r="K313" s="221">
        <f t="shared" si="8"/>
        <v>4000100</v>
      </c>
      <c r="L313" s="232"/>
      <c r="M313" s="233">
        <v>201928</v>
      </c>
      <c r="N313" s="233">
        <v>0</v>
      </c>
      <c r="O313" s="232">
        <v>0</v>
      </c>
      <c r="P313" s="221">
        <f t="shared" si="9"/>
        <v>201928</v>
      </c>
      <c r="Q313" s="232"/>
      <c r="R313" s="233">
        <v>2404013</v>
      </c>
      <c r="S313" s="234">
        <v>551077</v>
      </c>
      <c r="T313" s="234">
        <v>2955090</v>
      </c>
    </row>
    <row r="314" spans="1:20">
      <c r="A314" s="227">
        <v>93211</v>
      </c>
      <c r="B314" s="228" t="s">
        <v>1025</v>
      </c>
      <c r="C314" s="87">
        <v>2.0374099999999999E-2</v>
      </c>
      <c r="D314" s="87">
        <v>2.0456800000000001E-2</v>
      </c>
      <c r="E314" s="232">
        <v>31125981</v>
      </c>
      <c r="F314" s="232"/>
      <c r="G314" s="233">
        <v>1793145</v>
      </c>
      <c r="H314" s="221">
        <v>7557426</v>
      </c>
      <c r="I314" s="233">
        <v>4445221</v>
      </c>
      <c r="J314" s="232">
        <v>0</v>
      </c>
      <c r="K314" s="221">
        <f t="shared" si="8"/>
        <v>13795792</v>
      </c>
      <c r="L314" s="232"/>
      <c r="M314" s="233">
        <v>881078</v>
      </c>
      <c r="N314" s="233">
        <v>0</v>
      </c>
      <c r="O314" s="232">
        <v>991023</v>
      </c>
      <c r="P314" s="221">
        <f t="shared" si="9"/>
        <v>1872101</v>
      </c>
      <c r="Q314" s="232"/>
      <c r="R314" s="233">
        <v>10489483</v>
      </c>
      <c r="S314" s="234">
        <v>-507236</v>
      </c>
      <c r="T314" s="234">
        <v>9982247</v>
      </c>
    </row>
    <row r="315" spans="1:20">
      <c r="A315" s="227">
        <v>93212</v>
      </c>
      <c r="B315" s="228" t="s">
        <v>1026</v>
      </c>
      <c r="C315" s="87">
        <v>2.2130000000000001E-4</v>
      </c>
      <c r="D315" s="87">
        <v>2.052E-4</v>
      </c>
      <c r="E315" s="232">
        <v>338085</v>
      </c>
      <c r="F315" s="232"/>
      <c r="G315" s="233">
        <v>19477</v>
      </c>
      <c r="H315" s="221">
        <v>82087</v>
      </c>
      <c r="I315" s="233">
        <v>48283</v>
      </c>
      <c r="J315" s="232">
        <v>158429</v>
      </c>
      <c r="K315" s="221">
        <f t="shared" si="8"/>
        <v>308276</v>
      </c>
      <c r="L315" s="232"/>
      <c r="M315" s="233">
        <v>9570</v>
      </c>
      <c r="N315" s="233">
        <v>0</v>
      </c>
      <c r="O315" s="232">
        <v>0</v>
      </c>
      <c r="P315" s="221">
        <f t="shared" si="9"/>
        <v>9570</v>
      </c>
      <c r="Q315" s="232"/>
      <c r="R315" s="233">
        <v>113935</v>
      </c>
      <c r="S315" s="234">
        <v>53448</v>
      </c>
      <c r="T315" s="234">
        <v>167383</v>
      </c>
    </row>
    <row r="316" spans="1:20">
      <c r="A316" s="227">
        <v>93219</v>
      </c>
      <c r="B316" s="228" t="s">
        <v>1027</v>
      </c>
      <c r="C316" s="87">
        <v>2.6289999999999999E-4</v>
      </c>
      <c r="D316" s="87">
        <v>2.286E-4</v>
      </c>
      <c r="E316" s="232">
        <v>401638</v>
      </c>
      <c r="F316" s="232"/>
      <c r="G316" s="233">
        <v>23138</v>
      </c>
      <c r="H316" s="221">
        <v>97518</v>
      </c>
      <c r="I316" s="233">
        <v>57360</v>
      </c>
      <c r="J316" s="232">
        <v>22706</v>
      </c>
      <c r="K316" s="221">
        <f t="shared" si="8"/>
        <v>200722</v>
      </c>
      <c r="L316" s="232"/>
      <c r="M316" s="233">
        <v>11369</v>
      </c>
      <c r="N316" s="233">
        <v>0</v>
      </c>
      <c r="O316" s="232">
        <v>9094</v>
      </c>
      <c r="P316" s="221">
        <f t="shared" si="9"/>
        <v>20463</v>
      </c>
      <c r="Q316" s="232"/>
      <c r="R316" s="233">
        <v>135352</v>
      </c>
      <c r="S316" s="234">
        <v>1456</v>
      </c>
      <c r="T316" s="234">
        <f>136809-1</f>
        <v>136808</v>
      </c>
    </row>
    <row r="317" spans="1:20">
      <c r="A317" s="227">
        <v>93301</v>
      </c>
      <c r="B317" s="228" t="s">
        <v>1028</v>
      </c>
      <c r="C317" s="87">
        <v>2.5243000000000002E-3</v>
      </c>
      <c r="D317" s="87">
        <v>2.5330999999999999E-3</v>
      </c>
      <c r="E317" s="232">
        <v>3856431</v>
      </c>
      <c r="F317" s="232"/>
      <c r="G317" s="233">
        <v>222166</v>
      </c>
      <c r="H317" s="221">
        <v>936346</v>
      </c>
      <c r="I317" s="233">
        <v>550752</v>
      </c>
      <c r="J317" s="232">
        <v>47371</v>
      </c>
      <c r="K317" s="221">
        <f t="shared" si="8"/>
        <v>1756635</v>
      </c>
      <c r="L317" s="232"/>
      <c r="M317" s="233">
        <v>109163</v>
      </c>
      <c r="N317" s="233">
        <v>0</v>
      </c>
      <c r="O317" s="232">
        <v>61692</v>
      </c>
      <c r="P317" s="221">
        <f t="shared" si="9"/>
        <v>170855</v>
      </c>
      <c r="Q317" s="232"/>
      <c r="R317" s="233">
        <v>1299621</v>
      </c>
      <c r="S317" s="234">
        <v>-19789</v>
      </c>
      <c r="T317" s="234">
        <f>1279831+1</f>
        <v>1279832</v>
      </c>
    </row>
    <row r="318" spans="1:20">
      <c r="A318" s="227">
        <v>93304</v>
      </c>
      <c r="B318" s="228" t="s">
        <v>1029</v>
      </c>
      <c r="C318" s="87">
        <v>3.0300000000000001E-5</v>
      </c>
      <c r="D318" s="87">
        <v>3.4400000000000003E-5</v>
      </c>
      <c r="E318" s="232">
        <v>46290</v>
      </c>
      <c r="F318" s="232"/>
      <c r="G318" s="233">
        <v>2667</v>
      </c>
      <c r="H318" s="221">
        <v>11239</v>
      </c>
      <c r="I318" s="233">
        <v>6611</v>
      </c>
      <c r="J318" s="232">
        <v>9418</v>
      </c>
      <c r="K318" s="221">
        <f t="shared" si="8"/>
        <v>29935</v>
      </c>
      <c r="L318" s="232"/>
      <c r="M318" s="233">
        <v>1310</v>
      </c>
      <c r="N318" s="233">
        <v>0</v>
      </c>
      <c r="O318" s="232">
        <v>0</v>
      </c>
      <c r="P318" s="221">
        <f t="shared" si="9"/>
        <v>1310</v>
      </c>
      <c r="Q318" s="232"/>
      <c r="R318" s="233">
        <v>15600</v>
      </c>
      <c r="S318" s="234">
        <v>5129</v>
      </c>
      <c r="T318" s="234">
        <v>20729</v>
      </c>
    </row>
    <row r="319" spans="1:20">
      <c r="A319" s="227">
        <v>93305</v>
      </c>
      <c r="B319" s="228" t="s">
        <v>1030</v>
      </c>
      <c r="C319" s="87">
        <v>4.6999999999999997E-5</v>
      </c>
      <c r="D319" s="87">
        <v>4.9400000000000001E-5</v>
      </c>
      <c r="E319" s="232">
        <v>71803</v>
      </c>
      <c r="F319" s="232"/>
      <c r="G319" s="233">
        <v>4137</v>
      </c>
      <c r="H319" s="221">
        <v>17434</v>
      </c>
      <c r="I319" s="233">
        <v>10254</v>
      </c>
      <c r="J319" s="232">
        <v>0</v>
      </c>
      <c r="K319" s="221">
        <f t="shared" si="8"/>
        <v>31825</v>
      </c>
      <c r="L319" s="232"/>
      <c r="M319" s="233">
        <v>2033</v>
      </c>
      <c r="N319" s="233">
        <v>0</v>
      </c>
      <c r="O319" s="232">
        <v>5631</v>
      </c>
      <c r="P319" s="221">
        <f t="shared" si="9"/>
        <v>7664</v>
      </c>
      <c r="Q319" s="232"/>
      <c r="R319" s="233">
        <v>24198</v>
      </c>
      <c r="S319" s="234">
        <v>-1929</v>
      </c>
      <c r="T319" s="234">
        <v>22269</v>
      </c>
    </row>
    <row r="320" spans="1:20">
      <c r="A320" s="227">
        <v>93309</v>
      </c>
      <c r="B320" s="228" t="s">
        <v>1031</v>
      </c>
      <c r="C320" s="87">
        <v>1.63E-4</v>
      </c>
      <c r="D320" s="87">
        <v>1.716E-4</v>
      </c>
      <c r="E320" s="232">
        <v>249019</v>
      </c>
      <c r="F320" s="232"/>
      <c r="G320" s="233">
        <v>14346</v>
      </c>
      <c r="H320" s="221">
        <v>60462</v>
      </c>
      <c r="I320" s="233">
        <v>35563</v>
      </c>
      <c r="J320" s="232">
        <v>22457</v>
      </c>
      <c r="K320" s="221">
        <f t="shared" si="8"/>
        <v>132828</v>
      </c>
      <c r="L320" s="232"/>
      <c r="M320" s="233">
        <v>7049</v>
      </c>
      <c r="N320" s="233">
        <v>0</v>
      </c>
      <c r="O320" s="232">
        <v>981</v>
      </c>
      <c r="P320" s="221">
        <f t="shared" si="9"/>
        <v>8030</v>
      </c>
      <c r="Q320" s="232"/>
      <c r="R320" s="233">
        <v>83920</v>
      </c>
      <c r="S320" s="234">
        <v>7147</v>
      </c>
      <c r="T320" s="234">
        <v>91067</v>
      </c>
    </row>
    <row r="321" spans="1:20">
      <c r="A321" s="227">
        <v>93311</v>
      </c>
      <c r="B321" s="228" t="s">
        <v>1032</v>
      </c>
      <c r="C321" s="87">
        <v>1.1665E-3</v>
      </c>
      <c r="D321" s="87">
        <v>1.1567000000000001E-3</v>
      </c>
      <c r="E321" s="232">
        <v>1782089</v>
      </c>
      <c r="F321" s="232"/>
      <c r="G321" s="233">
        <v>102665</v>
      </c>
      <c r="H321" s="221">
        <v>432693</v>
      </c>
      <c r="I321" s="233">
        <v>254507</v>
      </c>
      <c r="J321" s="232">
        <v>1699</v>
      </c>
      <c r="K321" s="221">
        <f t="shared" si="8"/>
        <v>791564</v>
      </c>
      <c r="L321" s="232"/>
      <c r="M321" s="233">
        <v>50445</v>
      </c>
      <c r="N321" s="233">
        <v>0</v>
      </c>
      <c r="O321" s="232">
        <v>83745</v>
      </c>
      <c r="P321" s="221">
        <f t="shared" si="9"/>
        <v>134190</v>
      </c>
      <c r="Q321" s="232"/>
      <c r="R321" s="233">
        <v>600566</v>
      </c>
      <c r="S321" s="234">
        <v>-37677</v>
      </c>
      <c r="T321" s="234">
        <v>562889</v>
      </c>
    </row>
    <row r="322" spans="1:20">
      <c r="A322" s="227">
        <v>93317</v>
      </c>
      <c r="B322" s="228" t="s">
        <v>1033</v>
      </c>
      <c r="C322" s="87">
        <v>5.0099999999999998E-5</v>
      </c>
      <c r="D322" s="87">
        <v>4.8099999999999997E-5</v>
      </c>
      <c r="E322" s="232">
        <v>76539</v>
      </c>
      <c r="F322" s="232"/>
      <c r="G322" s="233">
        <v>4409</v>
      </c>
      <c r="H322" s="221">
        <v>18583</v>
      </c>
      <c r="I322" s="233">
        <v>10931</v>
      </c>
      <c r="J322" s="232">
        <v>805</v>
      </c>
      <c r="K322" s="221">
        <f t="shared" si="8"/>
        <v>34728</v>
      </c>
      <c r="L322" s="232"/>
      <c r="M322" s="233">
        <v>2167</v>
      </c>
      <c r="N322" s="233">
        <v>0</v>
      </c>
      <c r="O322" s="232">
        <v>277</v>
      </c>
      <c r="P322" s="221">
        <f t="shared" si="9"/>
        <v>2444</v>
      </c>
      <c r="Q322" s="232"/>
      <c r="R322" s="233">
        <v>25794</v>
      </c>
      <c r="S322" s="234">
        <v>-23</v>
      </c>
      <c r="T322" s="234">
        <f>25770+1</f>
        <v>25771</v>
      </c>
    </row>
    <row r="323" spans="1:20">
      <c r="A323" s="227">
        <v>93321</v>
      </c>
      <c r="B323" s="228" t="s">
        <v>1034</v>
      </c>
      <c r="C323" s="87">
        <v>7.3600000000000002E-3</v>
      </c>
      <c r="D323" s="87">
        <v>7.4706E-3</v>
      </c>
      <c r="E323" s="232">
        <v>11244041</v>
      </c>
      <c r="F323" s="232"/>
      <c r="G323" s="233">
        <v>647761</v>
      </c>
      <c r="H323" s="221">
        <v>2730067</v>
      </c>
      <c r="I323" s="233">
        <v>1605805</v>
      </c>
      <c r="J323" s="232">
        <v>0</v>
      </c>
      <c r="K323" s="221">
        <f t="shared" si="8"/>
        <v>4983633</v>
      </c>
      <c r="L323" s="232"/>
      <c r="M323" s="233">
        <v>318283</v>
      </c>
      <c r="N323" s="233">
        <v>0</v>
      </c>
      <c r="O323" s="232">
        <v>681688</v>
      </c>
      <c r="P323" s="221">
        <f t="shared" si="9"/>
        <v>999971</v>
      </c>
      <c r="Q323" s="232"/>
      <c r="R323" s="233">
        <v>3789252</v>
      </c>
      <c r="S323" s="234">
        <v>-330030</v>
      </c>
      <c r="T323" s="234">
        <f>3459221+1</f>
        <v>3459222</v>
      </c>
    </row>
    <row r="324" spans="1:20">
      <c r="A324" s="227">
        <v>93323</v>
      </c>
      <c r="B324" s="228" t="s">
        <v>1035</v>
      </c>
      <c r="C324" s="87">
        <v>2.19E-5</v>
      </c>
      <c r="D324" s="87">
        <v>1.0200000000000001E-5</v>
      </c>
      <c r="E324" s="232">
        <v>33457</v>
      </c>
      <c r="F324" s="232"/>
      <c r="G324" s="233">
        <v>1927</v>
      </c>
      <c r="H324" s="221">
        <v>8123</v>
      </c>
      <c r="I324" s="233">
        <v>4778</v>
      </c>
      <c r="J324" s="232">
        <v>8607</v>
      </c>
      <c r="K324" s="221">
        <f t="shared" si="8"/>
        <v>23435</v>
      </c>
      <c r="L324" s="232"/>
      <c r="M324" s="233">
        <v>947</v>
      </c>
      <c r="N324" s="233">
        <v>0</v>
      </c>
      <c r="O324" s="232">
        <v>1100</v>
      </c>
      <c r="P324" s="221">
        <f t="shared" si="9"/>
        <v>2047</v>
      </c>
      <c r="Q324" s="232"/>
      <c r="R324" s="233">
        <v>11275</v>
      </c>
      <c r="S324" s="234">
        <v>2519</v>
      </c>
      <c r="T324" s="234">
        <v>13794</v>
      </c>
    </row>
    <row r="325" spans="1:20">
      <c r="A325" s="227">
        <v>93331</v>
      </c>
      <c r="B325" s="228" t="s">
        <v>1036</v>
      </c>
      <c r="C325" s="87">
        <v>1.208E-4</v>
      </c>
      <c r="D325" s="87">
        <v>1.3090000000000001E-4</v>
      </c>
      <c r="E325" s="232">
        <v>184549</v>
      </c>
      <c r="F325" s="232"/>
      <c r="G325" s="233">
        <v>10632</v>
      </c>
      <c r="H325" s="221">
        <v>44809</v>
      </c>
      <c r="I325" s="233">
        <v>26356</v>
      </c>
      <c r="J325" s="232">
        <v>2512</v>
      </c>
      <c r="K325" s="221">
        <f t="shared" si="8"/>
        <v>84309</v>
      </c>
      <c r="L325" s="232"/>
      <c r="M325" s="233">
        <v>5224</v>
      </c>
      <c r="N325" s="233">
        <v>0</v>
      </c>
      <c r="O325" s="232">
        <v>11531</v>
      </c>
      <c r="P325" s="221">
        <f t="shared" si="9"/>
        <v>16755</v>
      </c>
      <c r="Q325" s="232"/>
      <c r="R325" s="233">
        <v>62193</v>
      </c>
      <c r="S325" s="234">
        <v>-2506</v>
      </c>
      <c r="T325" s="234">
        <v>59687</v>
      </c>
    </row>
    <row r="326" spans="1:20">
      <c r="A326" s="227">
        <v>93333</v>
      </c>
      <c r="B326" s="228" t="s">
        <v>1037</v>
      </c>
      <c r="C326" s="87">
        <v>1.796E-4</v>
      </c>
      <c r="D326" s="87">
        <v>1.9990000000000001E-4</v>
      </c>
      <c r="E326" s="232">
        <v>274379</v>
      </c>
      <c r="F326" s="232"/>
      <c r="G326" s="233">
        <v>15807</v>
      </c>
      <c r="H326" s="221">
        <v>66619</v>
      </c>
      <c r="I326" s="233">
        <v>39185</v>
      </c>
      <c r="J326" s="232">
        <v>194737</v>
      </c>
      <c r="K326" s="221">
        <f t="shared" si="8"/>
        <v>316348</v>
      </c>
      <c r="L326" s="232"/>
      <c r="M326" s="233">
        <v>7767</v>
      </c>
      <c r="N326" s="233">
        <v>0</v>
      </c>
      <c r="O326" s="232">
        <v>0</v>
      </c>
      <c r="P326" s="221">
        <f t="shared" si="9"/>
        <v>7767</v>
      </c>
      <c r="Q326" s="232"/>
      <c r="R326" s="233">
        <v>92466</v>
      </c>
      <c r="S326" s="234">
        <v>74695</v>
      </c>
      <c r="T326" s="234">
        <v>167161</v>
      </c>
    </row>
    <row r="327" spans="1:20">
      <c r="A327" s="227">
        <v>93341</v>
      </c>
      <c r="B327" s="228" t="s">
        <v>1038</v>
      </c>
      <c r="C327" s="87">
        <v>2.34E-5</v>
      </c>
      <c r="D327" s="87">
        <v>2.73E-5</v>
      </c>
      <c r="E327" s="232">
        <v>35749</v>
      </c>
      <c r="F327" s="232"/>
      <c r="G327" s="233">
        <v>2059</v>
      </c>
      <c r="H327" s="221">
        <v>8680</v>
      </c>
      <c r="I327" s="233">
        <v>5105</v>
      </c>
      <c r="J327" s="232">
        <v>1866</v>
      </c>
      <c r="K327" s="221">
        <f t="shared" si="8"/>
        <v>17710</v>
      </c>
      <c r="L327" s="232"/>
      <c r="M327" s="233">
        <v>1012</v>
      </c>
      <c r="N327" s="233">
        <v>0</v>
      </c>
      <c r="O327" s="232">
        <v>863</v>
      </c>
      <c r="P327" s="221">
        <f t="shared" si="9"/>
        <v>1875</v>
      </c>
      <c r="Q327" s="232"/>
      <c r="R327" s="233">
        <v>12047</v>
      </c>
      <c r="S327" s="234">
        <v>708</v>
      </c>
      <c r="T327" s="234">
        <v>12755</v>
      </c>
    </row>
    <row r="328" spans="1:20">
      <c r="A328" s="227">
        <v>93351</v>
      </c>
      <c r="B328" s="228" t="s">
        <v>1039</v>
      </c>
      <c r="C328" s="87">
        <v>3.4E-5</v>
      </c>
      <c r="D328" s="87">
        <v>1.5999999999999999E-5</v>
      </c>
      <c r="E328" s="232">
        <v>51943</v>
      </c>
      <c r="F328" s="232"/>
      <c r="G328" s="233">
        <v>2992</v>
      </c>
      <c r="H328" s="221">
        <v>12611</v>
      </c>
      <c r="I328" s="233">
        <v>7418</v>
      </c>
      <c r="J328" s="232">
        <v>18867</v>
      </c>
      <c r="K328" s="221">
        <f t="shared" si="8"/>
        <v>41888</v>
      </c>
      <c r="L328" s="232"/>
      <c r="M328" s="233">
        <v>1470</v>
      </c>
      <c r="N328" s="233">
        <v>0</v>
      </c>
      <c r="O328" s="232">
        <v>4169</v>
      </c>
      <c r="P328" s="221">
        <f t="shared" si="9"/>
        <v>5639</v>
      </c>
      <c r="Q328" s="232"/>
      <c r="R328" s="233">
        <v>17505</v>
      </c>
      <c r="S328" s="234">
        <v>2906</v>
      </c>
      <c r="T328" s="234">
        <f>20410+1</f>
        <v>20411</v>
      </c>
    </row>
    <row r="329" spans="1:20">
      <c r="A329" s="227">
        <v>93401</v>
      </c>
      <c r="B329" s="228" t="s">
        <v>1040</v>
      </c>
      <c r="C329" s="87">
        <v>1.3834900000000001E-2</v>
      </c>
      <c r="D329" s="87">
        <v>1.37997E-2</v>
      </c>
      <c r="E329" s="232">
        <v>21135895</v>
      </c>
      <c r="F329" s="232"/>
      <c r="G329" s="233">
        <v>1217623</v>
      </c>
      <c r="H329" s="221">
        <v>5131821</v>
      </c>
      <c r="I329" s="233">
        <v>3018498</v>
      </c>
      <c r="J329" s="232">
        <v>99926</v>
      </c>
      <c r="K329" s="221">
        <f t="shared" ref="K329:K392" si="10">G329+H329+I329+J329</f>
        <v>9467868</v>
      </c>
      <c r="L329" s="232"/>
      <c r="M329" s="233">
        <v>598290</v>
      </c>
      <c r="N329" s="233">
        <v>0</v>
      </c>
      <c r="O329" s="232">
        <v>186001</v>
      </c>
      <c r="P329" s="221">
        <f t="shared" ref="P329:P392" si="11">M329+N329+O329</f>
        <v>784291</v>
      </c>
      <c r="Q329" s="232"/>
      <c r="R329" s="233">
        <v>7122815</v>
      </c>
      <c r="S329" s="234">
        <v>-76616</v>
      </c>
      <c r="T329" s="234">
        <v>7046199</v>
      </c>
    </row>
    <row r="330" spans="1:20">
      <c r="A330" s="227">
        <v>93402</v>
      </c>
      <c r="B330" s="228" t="s">
        <v>1041</v>
      </c>
      <c r="C330" s="87">
        <v>9.8800000000000003E-5</v>
      </c>
      <c r="D330" s="87">
        <v>9.2999999999999997E-5</v>
      </c>
      <c r="E330" s="232">
        <v>150939</v>
      </c>
      <c r="F330" s="232"/>
      <c r="G330" s="233">
        <v>8695</v>
      </c>
      <c r="H330" s="221">
        <v>36648</v>
      </c>
      <c r="I330" s="233">
        <v>21556</v>
      </c>
      <c r="J330" s="232">
        <v>5545</v>
      </c>
      <c r="K330" s="221">
        <f t="shared" si="10"/>
        <v>72444</v>
      </c>
      <c r="L330" s="232"/>
      <c r="M330" s="233">
        <v>4273</v>
      </c>
      <c r="N330" s="233">
        <v>0</v>
      </c>
      <c r="O330" s="232">
        <v>3446</v>
      </c>
      <c r="P330" s="221">
        <f t="shared" si="11"/>
        <v>7719</v>
      </c>
      <c r="Q330" s="232"/>
      <c r="R330" s="233">
        <v>50867</v>
      </c>
      <c r="S330" s="234">
        <v>3029</v>
      </c>
      <c r="T330" s="234">
        <f>53895+1</f>
        <v>53896</v>
      </c>
    </row>
    <row r="331" spans="1:20">
      <c r="A331" s="227">
        <v>93406</v>
      </c>
      <c r="B331" s="228" t="s">
        <v>1042</v>
      </c>
      <c r="C331" s="87">
        <v>6.5059999999999998E-4</v>
      </c>
      <c r="D331" s="87">
        <v>7.1170000000000001E-4</v>
      </c>
      <c r="E331" s="232">
        <v>993937</v>
      </c>
      <c r="F331" s="232"/>
      <c r="G331" s="233">
        <v>57260</v>
      </c>
      <c r="H331" s="221">
        <v>241329</v>
      </c>
      <c r="I331" s="233">
        <v>141948</v>
      </c>
      <c r="J331" s="232">
        <v>26056</v>
      </c>
      <c r="K331" s="221">
        <f t="shared" si="10"/>
        <v>466593</v>
      </c>
      <c r="L331" s="232"/>
      <c r="M331" s="233">
        <v>28135</v>
      </c>
      <c r="N331" s="233">
        <v>0</v>
      </c>
      <c r="O331" s="232">
        <v>48133</v>
      </c>
      <c r="P331" s="221">
        <f t="shared" si="11"/>
        <v>76268</v>
      </c>
      <c r="Q331" s="232"/>
      <c r="R331" s="233">
        <v>334958</v>
      </c>
      <c r="S331" s="234">
        <v>7011</v>
      </c>
      <c r="T331" s="234">
        <f>341968+1</f>
        <v>341969</v>
      </c>
    </row>
    <row r="332" spans="1:20">
      <c r="A332" s="227">
        <v>93408</v>
      </c>
      <c r="B332" s="228" t="s">
        <v>1043</v>
      </c>
      <c r="C332" s="87">
        <v>0</v>
      </c>
      <c r="D332" s="87">
        <v>1.8967999999999999E-3</v>
      </c>
      <c r="E332" s="232">
        <v>0</v>
      </c>
      <c r="F332" s="232"/>
      <c r="G332" s="233">
        <v>0</v>
      </c>
      <c r="H332" s="221">
        <v>0</v>
      </c>
      <c r="I332" s="233">
        <v>0</v>
      </c>
      <c r="J332" s="232">
        <v>173575</v>
      </c>
      <c r="K332" s="221">
        <f t="shared" si="10"/>
        <v>173575</v>
      </c>
      <c r="L332" s="232"/>
      <c r="M332" s="233">
        <v>0</v>
      </c>
      <c r="N332" s="233">
        <v>0</v>
      </c>
      <c r="O332" s="232">
        <v>1605024</v>
      </c>
      <c r="P332" s="221">
        <f t="shared" si="11"/>
        <v>1605024</v>
      </c>
      <c r="Q332" s="232"/>
      <c r="R332" s="233">
        <v>0</v>
      </c>
      <c r="S332" s="234">
        <v>-292149</v>
      </c>
      <c r="T332" s="234">
        <v>-292149</v>
      </c>
    </row>
    <row r="333" spans="1:20">
      <c r="A333" s="227">
        <v>93411</v>
      </c>
      <c r="B333" s="228" t="s">
        <v>1044</v>
      </c>
      <c r="C333" s="87">
        <v>1.7454999999999998E-2</v>
      </c>
      <c r="D333" s="87">
        <v>1.73309E-2</v>
      </c>
      <c r="E333" s="232">
        <v>26666405</v>
      </c>
      <c r="F333" s="232"/>
      <c r="G333" s="233">
        <v>1536232</v>
      </c>
      <c r="H333" s="221">
        <v>6474635</v>
      </c>
      <c r="I333" s="233">
        <v>3808332</v>
      </c>
      <c r="J333" s="232">
        <v>250711</v>
      </c>
      <c r="K333" s="221">
        <f t="shared" si="10"/>
        <v>12069910</v>
      </c>
      <c r="L333" s="232"/>
      <c r="M333" s="233">
        <v>754841</v>
      </c>
      <c r="N333" s="233">
        <v>0</v>
      </c>
      <c r="O333" s="232">
        <v>594754</v>
      </c>
      <c r="P333" s="221">
        <f t="shared" si="11"/>
        <v>1349595</v>
      </c>
      <c r="Q333" s="232"/>
      <c r="R333" s="233">
        <v>8986602</v>
      </c>
      <c r="S333" s="234">
        <v>-306468</v>
      </c>
      <c r="T333" s="234">
        <v>8680134</v>
      </c>
    </row>
    <row r="334" spans="1:20">
      <c r="A334" s="227">
        <v>93413</v>
      </c>
      <c r="B334" s="228" t="s">
        <v>1045</v>
      </c>
      <c r="C334" s="87">
        <v>7.7070000000000003E-4</v>
      </c>
      <c r="D334" s="87">
        <v>8.0130000000000002E-4</v>
      </c>
      <c r="E334" s="232">
        <v>1177416</v>
      </c>
      <c r="F334" s="232"/>
      <c r="G334" s="233">
        <v>67830</v>
      </c>
      <c r="H334" s="221">
        <v>285878</v>
      </c>
      <c r="I334" s="233">
        <v>168151</v>
      </c>
      <c r="J334" s="232">
        <v>0</v>
      </c>
      <c r="K334" s="221">
        <f t="shared" si="10"/>
        <v>521859</v>
      </c>
      <c r="L334" s="232"/>
      <c r="M334" s="233">
        <v>33329</v>
      </c>
      <c r="N334" s="233">
        <v>0</v>
      </c>
      <c r="O334" s="232">
        <v>35372</v>
      </c>
      <c r="P334" s="221">
        <f t="shared" si="11"/>
        <v>68701</v>
      </c>
      <c r="Q334" s="232"/>
      <c r="R334" s="233">
        <v>396790</v>
      </c>
      <c r="S334" s="234">
        <v>-17507</v>
      </c>
      <c r="T334" s="234">
        <v>379283</v>
      </c>
    </row>
    <row r="335" spans="1:20">
      <c r="A335" s="227">
        <v>93417</v>
      </c>
      <c r="B335" s="228" t="s">
        <v>1046</v>
      </c>
      <c r="C335" s="87">
        <v>3.4430000000000002E-4</v>
      </c>
      <c r="D335" s="87">
        <v>4.1130000000000002E-4</v>
      </c>
      <c r="E335" s="232">
        <v>525995</v>
      </c>
      <c r="F335" s="232"/>
      <c r="G335" s="233">
        <v>30302</v>
      </c>
      <c r="H335" s="221">
        <v>127712</v>
      </c>
      <c r="I335" s="233">
        <v>75119</v>
      </c>
      <c r="J335" s="232">
        <v>15432</v>
      </c>
      <c r="K335" s="221">
        <f t="shared" si="10"/>
        <v>248565</v>
      </c>
      <c r="L335" s="232"/>
      <c r="M335" s="233">
        <v>14889</v>
      </c>
      <c r="N335" s="233">
        <v>0</v>
      </c>
      <c r="O335" s="232">
        <v>33069</v>
      </c>
      <c r="P335" s="221">
        <f t="shared" si="11"/>
        <v>47958</v>
      </c>
      <c r="Q335" s="232"/>
      <c r="R335" s="233">
        <v>177261</v>
      </c>
      <c r="S335" s="234">
        <v>5883</v>
      </c>
      <c r="T335" s="234">
        <v>183144</v>
      </c>
    </row>
    <row r="336" spans="1:20">
      <c r="A336" s="227">
        <v>93421</v>
      </c>
      <c r="B336" s="228" t="s">
        <v>1047</v>
      </c>
      <c r="C336" s="87">
        <v>2.1294999999999999E-3</v>
      </c>
      <c r="D336" s="87">
        <v>2.1646E-3</v>
      </c>
      <c r="E336" s="232">
        <v>3253286</v>
      </c>
      <c r="F336" s="232"/>
      <c r="G336" s="233">
        <v>187419</v>
      </c>
      <c r="H336" s="221">
        <v>789902</v>
      </c>
      <c r="I336" s="233">
        <v>464614</v>
      </c>
      <c r="J336" s="232">
        <v>0</v>
      </c>
      <c r="K336" s="221">
        <f t="shared" si="10"/>
        <v>1441935</v>
      </c>
      <c r="L336" s="232"/>
      <c r="M336" s="233">
        <v>92090</v>
      </c>
      <c r="N336" s="233">
        <v>0</v>
      </c>
      <c r="O336" s="232">
        <v>273225</v>
      </c>
      <c r="P336" s="221">
        <f t="shared" si="11"/>
        <v>365315</v>
      </c>
      <c r="Q336" s="232"/>
      <c r="R336" s="233">
        <v>1096360</v>
      </c>
      <c r="S336" s="234">
        <v>-126565</v>
      </c>
      <c r="T336" s="234">
        <v>969795</v>
      </c>
    </row>
    <row r="337" spans="1:20">
      <c r="A337" s="227">
        <v>93431</v>
      </c>
      <c r="B337" s="228" t="s">
        <v>1048</v>
      </c>
      <c r="C337" s="87">
        <v>1.2689999999999999E-4</v>
      </c>
      <c r="D337" s="87">
        <v>1.127E-4</v>
      </c>
      <c r="E337" s="232">
        <v>193868</v>
      </c>
      <c r="F337" s="232"/>
      <c r="G337" s="233">
        <v>11169</v>
      </c>
      <c r="H337" s="221">
        <v>47071</v>
      </c>
      <c r="I337" s="233">
        <v>27687</v>
      </c>
      <c r="J337" s="232">
        <v>12612</v>
      </c>
      <c r="K337" s="221">
        <f t="shared" si="10"/>
        <v>98539</v>
      </c>
      <c r="L337" s="232"/>
      <c r="M337" s="233">
        <v>5488</v>
      </c>
      <c r="N337" s="233">
        <v>0</v>
      </c>
      <c r="O337" s="232">
        <v>5397</v>
      </c>
      <c r="P337" s="221">
        <f t="shared" si="11"/>
        <v>10885</v>
      </c>
      <c r="Q337" s="232"/>
      <c r="R337" s="233">
        <v>65334</v>
      </c>
      <c r="S337" s="234">
        <v>1734</v>
      </c>
      <c r="T337" s="234">
        <v>67068</v>
      </c>
    </row>
    <row r="338" spans="1:20">
      <c r="A338" s="227">
        <v>93441</v>
      </c>
      <c r="B338" s="228" t="s">
        <v>1049</v>
      </c>
      <c r="C338" s="87">
        <v>1.54E-4</v>
      </c>
      <c r="D338" s="87">
        <v>1.4970000000000001E-4</v>
      </c>
      <c r="E338" s="232">
        <v>235269</v>
      </c>
      <c r="F338" s="232"/>
      <c r="G338" s="233">
        <v>13554</v>
      </c>
      <c r="H338" s="221">
        <v>57124</v>
      </c>
      <c r="I338" s="233">
        <v>33600</v>
      </c>
      <c r="J338" s="232">
        <v>30786</v>
      </c>
      <c r="K338" s="221">
        <f t="shared" si="10"/>
        <v>135064</v>
      </c>
      <c r="L338" s="232"/>
      <c r="M338" s="233">
        <v>6660</v>
      </c>
      <c r="N338" s="233">
        <v>0</v>
      </c>
      <c r="O338" s="232">
        <v>0</v>
      </c>
      <c r="P338" s="221">
        <f t="shared" si="11"/>
        <v>6660</v>
      </c>
      <c r="Q338" s="232"/>
      <c r="R338" s="233">
        <v>79286</v>
      </c>
      <c r="S338" s="234">
        <v>14822</v>
      </c>
      <c r="T338" s="234">
        <v>94108</v>
      </c>
    </row>
    <row r="339" spans="1:20">
      <c r="A339" s="227">
        <v>93442</v>
      </c>
      <c r="B339" s="228" t="s">
        <v>1050</v>
      </c>
      <c r="C339" s="87">
        <v>1.505E-4</v>
      </c>
      <c r="D339" s="87">
        <v>1.3540000000000001E-4</v>
      </c>
      <c r="E339" s="232">
        <v>229922</v>
      </c>
      <c r="F339" s="232"/>
      <c r="G339" s="233">
        <v>13246</v>
      </c>
      <c r="H339" s="221">
        <v>55826</v>
      </c>
      <c r="I339" s="233">
        <v>32836</v>
      </c>
      <c r="J339" s="232">
        <v>5191</v>
      </c>
      <c r="K339" s="221">
        <f t="shared" si="10"/>
        <v>107099</v>
      </c>
      <c r="L339" s="232"/>
      <c r="M339" s="233">
        <v>6508</v>
      </c>
      <c r="N339" s="233">
        <v>0</v>
      </c>
      <c r="O339" s="232">
        <v>20988</v>
      </c>
      <c r="P339" s="221">
        <f t="shared" si="11"/>
        <v>27496</v>
      </c>
      <c r="Q339" s="232"/>
      <c r="R339" s="233">
        <v>77484</v>
      </c>
      <c r="S339" s="234">
        <v>-6353</v>
      </c>
      <c r="T339" s="234">
        <v>71131</v>
      </c>
    </row>
    <row r="340" spans="1:20">
      <c r="A340" s="227">
        <v>93451</v>
      </c>
      <c r="B340" s="228" t="s">
        <v>1051</v>
      </c>
      <c r="C340" s="87">
        <v>7.0900000000000002E-5</v>
      </c>
      <c r="D340" s="87">
        <v>7.6899999999999999E-5</v>
      </c>
      <c r="E340" s="232">
        <v>108316</v>
      </c>
      <c r="F340" s="232"/>
      <c r="G340" s="233">
        <v>6240</v>
      </c>
      <c r="H340" s="221">
        <v>26299</v>
      </c>
      <c r="I340" s="233">
        <v>15469</v>
      </c>
      <c r="J340" s="232">
        <v>16242</v>
      </c>
      <c r="K340" s="221">
        <f t="shared" si="10"/>
        <v>64250</v>
      </c>
      <c r="L340" s="232"/>
      <c r="M340" s="233">
        <v>3066</v>
      </c>
      <c r="N340" s="233">
        <v>0</v>
      </c>
      <c r="O340" s="232">
        <v>1492</v>
      </c>
      <c r="P340" s="221">
        <f t="shared" si="11"/>
        <v>4558</v>
      </c>
      <c r="Q340" s="232"/>
      <c r="R340" s="233">
        <v>36502</v>
      </c>
      <c r="S340" s="234">
        <v>5181</v>
      </c>
      <c r="T340" s="234">
        <f>41684-1</f>
        <v>41683</v>
      </c>
    </row>
    <row r="341" spans="1:20">
      <c r="A341" s="227">
        <v>93461</v>
      </c>
      <c r="B341" s="228" t="s">
        <v>1052</v>
      </c>
      <c r="C341" s="87">
        <v>1.66E-5</v>
      </c>
      <c r="D341" s="87">
        <v>1.7200000000000001E-5</v>
      </c>
      <c r="E341" s="232">
        <v>25360</v>
      </c>
      <c r="F341" s="232"/>
      <c r="G341" s="233">
        <v>1461</v>
      </c>
      <c r="H341" s="221">
        <v>6157</v>
      </c>
      <c r="I341" s="233">
        <v>3622</v>
      </c>
      <c r="J341" s="232">
        <v>580</v>
      </c>
      <c r="K341" s="221">
        <f t="shared" si="10"/>
        <v>11820</v>
      </c>
      <c r="L341" s="232"/>
      <c r="M341" s="233">
        <v>718</v>
      </c>
      <c r="N341" s="233">
        <v>0</v>
      </c>
      <c r="O341" s="232">
        <v>0</v>
      </c>
      <c r="P341" s="221">
        <f t="shared" si="11"/>
        <v>718</v>
      </c>
      <c r="Q341" s="232"/>
      <c r="R341" s="233">
        <v>8546</v>
      </c>
      <c r="S341" s="234">
        <v>254</v>
      </c>
      <c r="T341" s="234">
        <f>8801-1</f>
        <v>8800</v>
      </c>
    </row>
    <row r="342" spans="1:20">
      <c r="A342" s="227">
        <v>93471</v>
      </c>
      <c r="B342" s="228" t="s">
        <v>1053</v>
      </c>
      <c r="C342" s="87">
        <v>1.31E-5</v>
      </c>
      <c r="D342" s="87">
        <v>1.1800000000000001E-5</v>
      </c>
      <c r="E342" s="232">
        <v>20013</v>
      </c>
      <c r="F342" s="232"/>
      <c r="G342" s="233">
        <v>1153</v>
      </c>
      <c r="H342" s="221">
        <v>4859</v>
      </c>
      <c r="I342" s="233">
        <v>2858</v>
      </c>
      <c r="J342" s="232">
        <v>4280</v>
      </c>
      <c r="K342" s="221">
        <f t="shared" si="10"/>
        <v>13150</v>
      </c>
      <c r="L342" s="232"/>
      <c r="M342" s="233">
        <v>567</v>
      </c>
      <c r="N342" s="233">
        <v>0</v>
      </c>
      <c r="O342" s="232">
        <v>63</v>
      </c>
      <c r="P342" s="221">
        <f t="shared" si="11"/>
        <v>630</v>
      </c>
      <c r="Q342" s="232"/>
      <c r="R342" s="233">
        <v>6744</v>
      </c>
      <c r="S342" s="234">
        <v>1243</v>
      </c>
      <c r="T342" s="234">
        <v>7987</v>
      </c>
    </row>
    <row r="343" spans="1:20">
      <c r="A343" s="227">
        <v>93501</v>
      </c>
      <c r="B343" s="228" t="s">
        <v>1054</v>
      </c>
      <c r="C343" s="87">
        <v>3.6113999999999999E-3</v>
      </c>
      <c r="D343" s="87">
        <v>3.4039000000000001E-3</v>
      </c>
      <c r="E343" s="232">
        <v>5517219</v>
      </c>
      <c r="F343" s="232"/>
      <c r="G343" s="233">
        <v>317843</v>
      </c>
      <c r="H343" s="221">
        <v>1339587</v>
      </c>
      <c r="I343" s="233">
        <v>787935</v>
      </c>
      <c r="J343" s="232">
        <v>233815</v>
      </c>
      <c r="K343" s="221">
        <f t="shared" si="10"/>
        <v>2679180</v>
      </c>
      <c r="L343" s="232"/>
      <c r="M343" s="233">
        <v>156175</v>
      </c>
      <c r="N343" s="233">
        <v>0</v>
      </c>
      <c r="O343" s="232">
        <v>57589</v>
      </c>
      <c r="P343" s="221">
        <f t="shared" si="11"/>
        <v>213764</v>
      </c>
      <c r="Q343" s="232"/>
      <c r="R343" s="233">
        <v>1859308</v>
      </c>
      <c r="S343" s="234">
        <v>88331</v>
      </c>
      <c r="T343" s="234">
        <v>1947639</v>
      </c>
    </row>
    <row r="344" spans="1:20">
      <c r="A344" s="227">
        <v>93511</v>
      </c>
      <c r="B344" s="228" t="s">
        <v>1055</v>
      </c>
      <c r="C344" s="87">
        <v>8.8300000000000005E-5</v>
      </c>
      <c r="D344" s="87">
        <v>9.8999999999999994E-5</v>
      </c>
      <c r="E344" s="232">
        <v>134898</v>
      </c>
      <c r="F344" s="232"/>
      <c r="G344" s="233">
        <v>7771</v>
      </c>
      <c r="H344" s="221">
        <v>32753</v>
      </c>
      <c r="I344" s="233">
        <v>19265</v>
      </c>
      <c r="J344" s="232">
        <v>2589</v>
      </c>
      <c r="K344" s="221">
        <f t="shared" si="10"/>
        <v>62378</v>
      </c>
      <c r="L344" s="232"/>
      <c r="M344" s="233">
        <v>3819</v>
      </c>
      <c r="N344" s="233">
        <v>0</v>
      </c>
      <c r="O344" s="232">
        <v>13801</v>
      </c>
      <c r="P344" s="221">
        <f t="shared" si="11"/>
        <v>17620</v>
      </c>
      <c r="Q344" s="232"/>
      <c r="R344" s="233">
        <v>45461</v>
      </c>
      <c r="S344" s="234">
        <v>-2683</v>
      </c>
      <c r="T344" s="234">
        <v>42778</v>
      </c>
    </row>
    <row r="345" spans="1:20">
      <c r="A345" s="227">
        <v>93517</v>
      </c>
      <c r="B345" s="228" t="s">
        <v>1056</v>
      </c>
      <c r="C345" s="87">
        <v>6.0000000000000002E-6</v>
      </c>
      <c r="D345" s="87">
        <v>6.4999999999999996E-6</v>
      </c>
      <c r="E345" s="232">
        <v>9166</v>
      </c>
      <c r="F345" s="232"/>
      <c r="G345" s="233">
        <v>528</v>
      </c>
      <c r="H345" s="221">
        <v>2226</v>
      </c>
      <c r="I345" s="233">
        <v>1309</v>
      </c>
      <c r="J345" s="232">
        <v>3133</v>
      </c>
      <c r="K345" s="221">
        <f t="shared" si="10"/>
        <v>7196</v>
      </c>
      <c r="L345" s="232"/>
      <c r="M345" s="233">
        <v>259</v>
      </c>
      <c r="N345" s="233">
        <v>0</v>
      </c>
      <c r="O345" s="232">
        <v>503</v>
      </c>
      <c r="P345" s="221">
        <f t="shared" si="11"/>
        <v>762</v>
      </c>
      <c r="Q345" s="232"/>
      <c r="R345" s="233">
        <v>3089</v>
      </c>
      <c r="S345" s="234">
        <v>771</v>
      </c>
      <c r="T345" s="234">
        <v>3860</v>
      </c>
    </row>
    <row r="346" spans="1:20">
      <c r="A346" s="227">
        <v>93521</v>
      </c>
      <c r="B346" s="228" t="s">
        <v>1057</v>
      </c>
      <c r="C346" s="87">
        <v>4.5649999999999998E-4</v>
      </c>
      <c r="D346" s="87">
        <v>5.6389999999999999E-4</v>
      </c>
      <c r="E346" s="232">
        <v>697406</v>
      </c>
      <c r="F346" s="232"/>
      <c r="G346" s="233">
        <v>40177</v>
      </c>
      <c r="H346" s="221">
        <v>169331</v>
      </c>
      <c r="I346" s="233">
        <v>99599</v>
      </c>
      <c r="J346" s="232">
        <v>7159</v>
      </c>
      <c r="K346" s="221">
        <f t="shared" si="10"/>
        <v>316266</v>
      </c>
      <c r="L346" s="232"/>
      <c r="M346" s="233">
        <v>19741</v>
      </c>
      <c r="N346" s="233">
        <v>0</v>
      </c>
      <c r="O346" s="232">
        <v>74583</v>
      </c>
      <c r="P346" s="221">
        <f t="shared" si="11"/>
        <v>94324</v>
      </c>
      <c r="Q346" s="232"/>
      <c r="R346" s="233">
        <v>235026</v>
      </c>
      <c r="S346" s="234">
        <v>-19847</v>
      </c>
      <c r="T346" s="234">
        <f>215180-1</f>
        <v>215179</v>
      </c>
    </row>
    <row r="347" spans="1:20">
      <c r="A347" s="227">
        <v>93527</v>
      </c>
      <c r="B347" s="228" t="s">
        <v>1058</v>
      </c>
      <c r="C347" s="87">
        <v>1.2099999999999999E-5</v>
      </c>
      <c r="D347" s="87">
        <v>5.4E-6</v>
      </c>
      <c r="E347" s="232">
        <v>18485</v>
      </c>
      <c r="F347" s="232"/>
      <c r="G347" s="233">
        <v>1065</v>
      </c>
      <c r="H347" s="221">
        <v>4488</v>
      </c>
      <c r="I347" s="233">
        <v>2640</v>
      </c>
      <c r="J347" s="232">
        <v>15016</v>
      </c>
      <c r="K347" s="221">
        <f t="shared" si="10"/>
        <v>23209</v>
      </c>
      <c r="L347" s="232"/>
      <c r="M347" s="233">
        <v>523</v>
      </c>
      <c r="N347" s="233">
        <v>0</v>
      </c>
      <c r="O347" s="232">
        <v>0</v>
      </c>
      <c r="P347" s="221">
        <f t="shared" si="11"/>
        <v>523</v>
      </c>
      <c r="Q347" s="232"/>
      <c r="R347" s="233">
        <v>6230</v>
      </c>
      <c r="S347" s="234">
        <v>5872</v>
      </c>
      <c r="T347" s="234">
        <f>12101+1</f>
        <v>12102</v>
      </c>
    </row>
    <row r="348" spans="1:20">
      <c r="A348" s="227">
        <v>93531</v>
      </c>
      <c r="B348" s="228" t="s">
        <v>1059</v>
      </c>
      <c r="C348" s="87">
        <v>1.7E-5</v>
      </c>
      <c r="D348" s="87">
        <v>2.4000000000000001E-5</v>
      </c>
      <c r="E348" s="232">
        <v>25971</v>
      </c>
      <c r="F348" s="232"/>
      <c r="G348" s="233">
        <v>1496</v>
      </c>
      <c r="H348" s="221">
        <v>6306</v>
      </c>
      <c r="I348" s="233">
        <v>3709</v>
      </c>
      <c r="J348" s="232">
        <v>791</v>
      </c>
      <c r="K348" s="221">
        <f t="shared" si="10"/>
        <v>12302</v>
      </c>
      <c r="L348" s="232"/>
      <c r="M348" s="233">
        <v>735</v>
      </c>
      <c r="N348" s="233">
        <v>0</v>
      </c>
      <c r="O348" s="232">
        <v>2743</v>
      </c>
      <c r="P348" s="221">
        <f t="shared" si="11"/>
        <v>3478</v>
      </c>
      <c r="Q348" s="232"/>
      <c r="R348" s="233">
        <v>8752</v>
      </c>
      <c r="S348" s="234">
        <v>-1210</v>
      </c>
      <c r="T348" s="234">
        <v>7542</v>
      </c>
    </row>
    <row r="349" spans="1:20">
      <c r="A349" s="227">
        <v>93537</v>
      </c>
      <c r="B349" s="228" t="s">
        <v>1060</v>
      </c>
      <c r="C349" s="87">
        <v>1.1199999999999999E-5</v>
      </c>
      <c r="D349" s="87">
        <v>1.17E-5</v>
      </c>
      <c r="E349" s="232">
        <v>17110</v>
      </c>
      <c r="F349" s="232"/>
      <c r="G349" s="233">
        <v>986</v>
      </c>
      <c r="H349" s="221">
        <v>4154</v>
      </c>
      <c r="I349" s="233">
        <v>2444</v>
      </c>
      <c r="J349" s="232">
        <v>0</v>
      </c>
      <c r="K349" s="221">
        <f t="shared" si="10"/>
        <v>7584</v>
      </c>
      <c r="L349" s="232"/>
      <c r="M349" s="233">
        <v>484</v>
      </c>
      <c r="N349" s="233">
        <v>0</v>
      </c>
      <c r="O349" s="232">
        <v>1898</v>
      </c>
      <c r="P349" s="221">
        <f t="shared" si="11"/>
        <v>2382</v>
      </c>
      <c r="Q349" s="232"/>
      <c r="R349" s="233">
        <v>5766</v>
      </c>
      <c r="S349" s="234">
        <v>-575</v>
      </c>
      <c r="T349" s="234">
        <v>5191</v>
      </c>
    </row>
    <row r="350" spans="1:20">
      <c r="A350" s="227">
        <v>93541</v>
      </c>
      <c r="B350" s="228" t="s">
        <v>1061</v>
      </c>
      <c r="C350" s="87">
        <v>1.0560000000000001E-4</v>
      </c>
      <c r="D350" s="87">
        <v>1.061E-4</v>
      </c>
      <c r="E350" s="232">
        <v>161328</v>
      </c>
      <c r="F350" s="232"/>
      <c r="G350" s="233">
        <v>9294</v>
      </c>
      <c r="H350" s="221">
        <v>39171</v>
      </c>
      <c r="I350" s="233">
        <v>23040</v>
      </c>
      <c r="J350" s="232">
        <v>4560</v>
      </c>
      <c r="K350" s="221">
        <f t="shared" si="10"/>
        <v>76065</v>
      </c>
      <c r="L350" s="232"/>
      <c r="M350" s="233">
        <v>4567</v>
      </c>
      <c r="N350" s="233">
        <v>0</v>
      </c>
      <c r="O350" s="232">
        <v>781</v>
      </c>
      <c r="P350" s="221">
        <f t="shared" si="11"/>
        <v>5348</v>
      </c>
      <c r="Q350" s="232"/>
      <c r="R350" s="233">
        <v>54368</v>
      </c>
      <c r="S350" s="234">
        <v>4003</v>
      </c>
      <c r="T350" s="234">
        <f>58370+1</f>
        <v>58371</v>
      </c>
    </row>
    <row r="351" spans="1:20">
      <c r="A351" s="227">
        <v>93601</v>
      </c>
      <c r="B351" s="228" t="s">
        <v>1062</v>
      </c>
      <c r="C351" s="87">
        <v>1.0721400000000001E-2</v>
      </c>
      <c r="D351" s="87">
        <v>1.1139899999999999E-2</v>
      </c>
      <c r="E351" s="232">
        <v>16379329</v>
      </c>
      <c r="F351" s="232"/>
      <c r="G351" s="233">
        <v>943601</v>
      </c>
      <c r="H351" s="221">
        <v>3976921</v>
      </c>
      <c r="I351" s="233">
        <v>2339195</v>
      </c>
      <c r="J351" s="232">
        <v>65732</v>
      </c>
      <c r="K351" s="221">
        <f t="shared" si="10"/>
        <v>7325449</v>
      </c>
      <c r="L351" s="232"/>
      <c r="M351" s="233">
        <v>463647</v>
      </c>
      <c r="N351" s="233">
        <v>0</v>
      </c>
      <c r="O351" s="232">
        <v>282932</v>
      </c>
      <c r="P351" s="221">
        <f t="shared" si="11"/>
        <v>746579</v>
      </c>
      <c r="Q351" s="232"/>
      <c r="R351" s="233">
        <v>5519848</v>
      </c>
      <c r="S351" s="234">
        <v>-87424</v>
      </c>
      <c r="T351" s="234">
        <f>5432425-1</f>
        <v>5432424</v>
      </c>
    </row>
    <row r="352" spans="1:20">
      <c r="A352" s="227">
        <v>93602</v>
      </c>
      <c r="B352" s="228" t="s">
        <v>1063</v>
      </c>
      <c r="C352" s="87">
        <v>1.7540000000000001E-4</v>
      </c>
      <c r="D352" s="87">
        <v>1.7200000000000001E-4</v>
      </c>
      <c r="E352" s="232">
        <v>267963</v>
      </c>
      <c r="F352" s="232"/>
      <c r="G352" s="233">
        <v>15437</v>
      </c>
      <c r="H352" s="221">
        <v>65062</v>
      </c>
      <c r="I352" s="233">
        <v>38269</v>
      </c>
      <c r="J352" s="232">
        <v>4381</v>
      </c>
      <c r="K352" s="221">
        <f t="shared" si="10"/>
        <v>123149</v>
      </c>
      <c r="L352" s="232"/>
      <c r="M352" s="233">
        <v>7585</v>
      </c>
      <c r="N352" s="233">
        <v>0</v>
      </c>
      <c r="O352" s="232">
        <v>10262</v>
      </c>
      <c r="P352" s="221">
        <f t="shared" si="11"/>
        <v>17847</v>
      </c>
      <c r="Q352" s="232"/>
      <c r="R352" s="233">
        <v>90304</v>
      </c>
      <c r="S352" s="234">
        <v>-2871</v>
      </c>
      <c r="T352" s="234">
        <v>87433</v>
      </c>
    </row>
    <row r="353" spans="1:20">
      <c r="A353" s="227">
        <v>93609</v>
      </c>
      <c r="B353" s="228" t="s">
        <v>1064</v>
      </c>
      <c r="C353" s="87">
        <v>3.7629999999999999E-3</v>
      </c>
      <c r="D353" s="87">
        <v>3.0569E-3</v>
      </c>
      <c r="E353" s="232">
        <v>5748822</v>
      </c>
      <c r="F353" s="232"/>
      <c r="G353" s="233">
        <v>331185</v>
      </c>
      <c r="H353" s="221">
        <v>1395821</v>
      </c>
      <c r="I353" s="233">
        <v>821011</v>
      </c>
      <c r="J353" s="232">
        <v>823315</v>
      </c>
      <c r="K353" s="221">
        <f t="shared" si="10"/>
        <v>3371332</v>
      </c>
      <c r="L353" s="232"/>
      <c r="M353" s="233">
        <v>162731</v>
      </c>
      <c r="N353" s="233">
        <v>0</v>
      </c>
      <c r="O353" s="232">
        <v>0</v>
      </c>
      <c r="P353" s="221">
        <f t="shared" si="11"/>
        <v>162731</v>
      </c>
      <c r="Q353" s="232"/>
      <c r="R353" s="233">
        <v>1937358</v>
      </c>
      <c r="S353" s="234">
        <v>360052</v>
      </c>
      <c r="T353" s="234">
        <v>2297410</v>
      </c>
    </row>
    <row r="354" spans="1:20">
      <c r="A354" s="227">
        <v>93610</v>
      </c>
      <c r="B354" s="228" t="s">
        <v>1065</v>
      </c>
      <c r="C354" s="87">
        <v>1.33E-5</v>
      </c>
      <c r="D354" s="87">
        <v>6.4999999999999996E-6</v>
      </c>
      <c r="E354" s="232">
        <v>20319</v>
      </c>
      <c r="F354" s="232"/>
      <c r="G354" s="233">
        <v>1171</v>
      </c>
      <c r="H354" s="221">
        <v>4933</v>
      </c>
      <c r="I354" s="233">
        <v>2902</v>
      </c>
      <c r="J354" s="232">
        <v>6303</v>
      </c>
      <c r="K354" s="221">
        <f t="shared" si="10"/>
        <v>15309</v>
      </c>
      <c r="L354" s="232"/>
      <c r="M354" s="233">
        <v>575</v>
      </c>
      <c r="N354" s="233">
        <v>0</v>
      </c>
      <c r="O354" s="232">
        <v>3373</v>
      </c>
      <c r="P354" s="221">
        <f t="shared" si="11"/>
        <v>3948</v>
      </c>
      <c r="Q354" s="232"/>
      <c r="R354" s="233">
        <v>6847</v>
      </c>
      <c r="S354" s="234">
        <v>1242</v>
      </c>
      <c r="T354" s="234">
        <f>8090-1</f>
        <v>8089</v>
      </c>
    </row>
    <row r="355" spans="1:20">
      <c r="A355" s="227">
        <v>93611</v>
      </c>
      <c r="B355" s="228" t="s">
        <v>1066</v>
      </c>
      <c r="C355" s="87">
        <v>6.9544000000000003E-3</v>
      </c>
      <c r="D355" s="87">
        <v>6.9325000000000003E-3</v>
      </c>
      <c r="E355" s="232">
        <v>10624397</v>
      </c>
      <c r="F355" s="232"/>
      <c r="G355" s="233">
        <v>612064</v>
      </c>
      <c r="H355" s="221">
        <v>2579617</v>
      </c>
      <c r="I355" s="233">
        <v>1517311</v>
      </c>
      <c r="J355" s="232">
        <v>61146</v>
      </c>
      <c r="K355" s="221">
        <f t="shared" si="10"/>
        <v>4770138</v>
      </c>
      <c r="L355" s="232"/>
      <c r="M355" s="233">
        <v>300743</v>
      </c>
      <c r="N355" s="233">
        <v>0</v>
      </c>
      <c r="O355" s="232">
        <v>153061</v>
      </c>
      <c r="P355" s="221">
        <f t="shared" si="11"/>
        <v>453804</v>
      </c>
      <c r="Q355" s="232"/>
      <c r="R355" s="233">
        <v>3580431</v>
      </c>
      <c r="S355" s="234">
        <v>-98066</v>
      </c>
      <c r="T355" s="234">
        <v>3482365</v>
      </c>
    </row>
    <row r="356" spans="1:20">
      <c r="A356" s="227">
        <v>93617</v>
      </c>
      <c r="B356" s="228" t="s">
        <v>1067</v>
      </c>
      <c r="C356" s="87">
        <v>8.2799999999999993E-5</v>
      </c>
      <c r="D356" s="87">
        <v>9.5000000000000005E-5</v>
      </c>
      <c r="E356" s="232">
        <v>126495</v>
      </c>
      <c r="F356" s="232"/>
      <c r="G356" s="233">
        <v>7287</v>
      </c>
      <c r="H356" s="221">
        <v>30714</v>
      </c>
      <c r="I356" s="233">
        <v>18065</v>
      </c>
      <c r="J356" s="232">
        <v>19622</v>
      </c>
      <c r="K356" s="221">
        <f t="shared" si="10"/>
        <v>75688</v>
      </c>
      <c r="L356" s="232"/>
      <c r="M356" s="233">
        <v>3581</v>
      </c>
      <c r="N356" s="233">
        <v>0</v>
      </c>
      <c r="O356" s="232">
        <v>0</v>
      </c>
      <c r="P356" s="221">
        <f t="shared" si="11"/>
        <v>3581</v>
      </c>
      <c r="Q356" s="232"/>
      <c r="R356" s="233">
        <v>42629</v>
      </c>
      <c r="S356" s="234">
        <v>10180</v>
      </c>
      <c r="T356" s="234">
        <v>52809</v>
      </c>
    </row>
    <row r="357" spans="1:20">
      <c r="A357" s="227">
        <v>93618</v>
      </c>
      <c r="B357" s="228" t="s">
        <v>1068</v>
      </c>
      <c r="C357" s="87">
        <v>1.11E-5</v>
      </c>
      <c r="D357" s="87">
        <v>1.17E-5</v>
      </c>
      <c r="E357" s="232">
        <v>16958</v>
      </c>
      <c r="F357" s="232"/>
      <c r="G357" s="233">
        <v>977</v>
      </c>
      <c r="H357" s="221">
        <v>4117</v>
      </c>
      <c r="I357" s="233">
        <v>2422</v>
      </c>
      <c r="J357" s="232">
        <v>33625</v>
      </c>
      <c r="K357" s="221">
        <f t="shared" si="10"/>
        <v>41141</v>
      </c>
      <c r="L357" s="232"/>
      <c r="M357" s="233">
        <v>480</v>
      </c>
      <c r="N357" s="233">
        <v>0</v>
      </c>
      <c r="O357" s="232">
        <v>0</v>
      </c>
      <c r="P357" s="221">
        <f t="shared" si="11"/>
        <v>480</v>
      </c>
      <c r="Q357" s="232"/>
      <c r="R357" s="233">
        <v>5715</v>
      </c>
      <c r="S357" s="234">
        <v>12182</v>
      </c>
      <c r="T357" s="234">
        <v>17897</v>
      </c>
    </row>
    <row r="358" spans="1:20">
      <c r="A358" s="227">
        <v>93621</v>
      </c>
      <c r="B358" s="228" t="s">
        <v>1069</v>
      </c>
      <c r="C358" s="87">
        <v>9.5719999999999996E-4</v>
      </c>
      <c r="D358" s="87">
        <v>8.5320000000000003E-4</v>
      </c>
      <c r="E358" s="232">
        <v>1462336</v>
      </c>
      <c r="F358" s="232"/>
      <c r="G358" s="233">
        <v>84244</v>
      </c>
      <c r="H358" s="221">
        <v>355057</v>
      </c>
      <c r="I358" s="233">
        <v>208842</v>
      </c>
      <c r="J358" s="232">
        <v>48292</v>
      </c>
      <c r="K358" s="221">
        <f t="shared" si="10"/>
        <v>696435</v>
      </c>
      <c r="L358" s="232"/>
      <c r="M358" s="233">
        <v>41394</v>
      </c>
      <c r="N358" s="233">
        <v>0</v>
      </c>
      <c r="O358" s="232">
        <v>79767</v>
      </c>
      <c r="P358" s="221">
        <f t="shared" si="11"/>
        <v>121161</v>
      </c>
      <c r="Q358" s="232"/>
      <c r="R358" s="233">
        <v>492809</v>
      </c>
      <c r="S358" s="234">
        <v>-26570</v>
      </c>
      <c r="T358" s="234">
        <f>466238+1</f>
        <v>466239</v>
      </c>
    </row>
    <row r="359" spans="1:20">
      <c r="A359" s="227">
        <v>93623</v>
      </c>
      <c r="B359" s="228" t="s">
        <v>1070</v>
      </c>
      <c r="C359" s="87">
        <v>1.2799999999999999E-5</v>
      </c>
      <c r="D359" s="87">
        <v>1.2500000000000001E-5</v>
      </c>
      <c r="E359" s="232">
        <v>19555</v>
      </c>
      <c r="F359" s="232"/>
      <c r="G359" s="233">
        <v>1127</v>
      </c>
      <c r="H359" s="221">
        <v>4748</v>
      </c>
      <c r="I359" s="233">
        <v>2793</v>
      </c>
      <c r="J359" s="232">
        <v>5501</v>
      </c>
      <c r="K359" s="221">
        <f t="shared" si="10"/>
        <v>14169</v>
      </c>
      <c r="L359" s="232"/>
      <c r="M359" s="233">
        <v>554</v>
      </c>
      <c r="N359" s="233">
        <v>0</v>
      </c>
      <c r="O359" s="232">
        <v>1</v>
      </c>
      <c r="P359" s="221">
        <f t="shared" si="11"/>
        <v>555</v>
      </c>
      <c r="Q359" s="232"/>
      <c r="R359" s="233">
        <v>6590</v>
      </c>
      <c r="S359" s="234">
        <v>1908</v>
      </c>
      <c r="T359" s="234">
        <v>8498</v>
      </c>
    </row>
    <row r="360" spans="1:20">
      <c r="A360" s="227">
        <v>93631</v>
      </c>
      <c r="B360" s="228" t="s">
        <v>1071</v>
      </c>
      <c r="C360" s="87">
        <v>2.252E-4</v>
      </c>
      <c r="D360" s="87">
        <v>2.3440000000000001E-4</v>
      </c>
      <c r="E360" s="232">
        <v>344043</v>
      </c>
      <c r="F360" s="232"/>
      <c r="G360" s="233">
        <v>19820</v>
      </c>
      <c r="H360" s="221">
        <v>83534</v>
      </c>
      <c r="I360" s="233">
        <v>49134</v>
      </c>
      <c r="J360" s="232">
        <v>435</v>
      </c>
      <c r="K360" s="221">
        <f t="shared" si="10"/>
        <v>152923</v>
      </c>
      <c r="L360" s="232"/>
      <c r="M360" s="233">
        <v>9739</v>
      </c>
      <c r="N360" s="233">
        <v>0</v>
      </c>
      <c r="O360" s="232">
        <v>20459</v>
      </c>
      <c r="P360" s="221">
        <f t="shared" si="11"/>
        <v>30198</v>
      </c>
      <c r="Q360" s="232"/>
      <c r="R360" s="233">
        <v>115943</v>
      </c>
      <c r="S360" s="234">
        <v>-7001</v>
      </c>
      <c r="T360" s="234">
        <v>108942</v>
      </c>
    </row>
    <row r="361" spans="1:20">
      <c r="A361" s="227">
        <v>93641</v>
      </c>
      <c r="B361" s="228" t="s">
        <v>1072</v>
      </c>
      <c r="C361" s="87">
        <v>4.0450000000000002E-4</v>
      </c>
      <c r="D361" s="87">
        <v>4.3550000000000001E-4</v>
      </c>
      <c r="E361" s="232">
        <v>617964</v>
      </c>
      <c r="F361" s="232"/>
      <c r="G361" s="233">
        <v>35600</v>
      </c>
      <c r="H361" s="221">
        <v>150042</v>
      </c>
      <c r="I361" s="233">
        <v>88254</v>
      </c>
      <c r="J361" s="232">
        <v>14033</v>
      </c>
      <c r="K361" s="221">
        <f t="shared" si="10"/>
        <v>287929</v>
      </c>
      <c r="L361" s="232"/>
      <c r="M361" s="233">
        <v>17493</v>
      </c>
      <c r="N361" s="233">
        <v>0</v>
      </c>
      <c r="O361" s="232">
        <v>11062</v>
      </c>
      <c r="P361" s="221">
        <f t="shared" si="11"/>
        <v>28555</v>
      </c>
      <c r="Q361" s="232"/>
      <c r="R361" s="233">
        <v>208254</v>
      </c>
      <c r="S361" s="234">
        <v>4772</v>
      </c>
      <c r="T361" s="234">
        <v>213026</v>
      </c>
    </row>
    <row r="362" spans="1:20">
      <c r="A362" s="227">
        <v>93647</v>
      </c>
      <c r="B362" s="228" t="s">
        <v>1073</v>
      </c>
      <c r="C362" s="87">
        <v>6.0000000000000002E-6</v>
      </c>
      <c r="D362" s="87">
        <v>6.1E-6</v>
      </c>
      <c r="E362" s="232">
        <v>9166</v>
      </c>
      <c r="F362" s="232"/>
      <c r="G362" s="233">
        <v>528</v>
      </c>
      <c r="H362" s="221">
        <v>2226</v>
      </c>
      <c r="I362" s="233">
        <v>1309</v>
      </c>
      <c r="J362" s="232">
        <v>12039</v>
      </c>
      <c r="K362" s="221">
        <f t="shared" si="10"/>
        <v>16102</v>
      </c>
      <c r="L362" s="232"/>
      <c r="M362" s="233">
        <v>259</v>
      </c>
      <c r="N362" s="233">
        <v>0</v>
      </c>
      <c r="O362" s="232">
        <v>0</v>
      </c>
      <c r="P362" s="221">
        <f t="shared" si="11"/>
        <v>259</v>
      </c>
      <c r="Q362" s="232"/>
      <c r="R362" s="233">
        <v>3089</v>
      </c>
      <c r="S362" s="234">
        <v>4642</v>
      </c>
      <c r="T362" s="234">
        <v>7731</v>
      </c>
    </row>
    <row r="363" spans="1:20">
      <c r="A363" s="227">
        <v>93651</v>
      </c>
      <c r="B363" s="228" t="s">
        <v>1074</v>
      </c>
      <c r="C363" s="87">
        <v>4.3800000000000002E-4</v>
      </c>
      <c r="D363" s="87">
        <v>4.282E-4</v>
      </c>
      <c r="E363" s="232">
        <v>669143</v>
      </c>
      <c r="F363" s="232"/>
      <c r="G363" s="233">
        <v>38549</v>
      </c>
      <c r="H363" s="221">
        <v>162468</v>
      </c>
      <c r="I363" s="233">
        <v>95563</v>
      </c>
      <c r="J363" s="232">
        <v>5830</v>
      </c>
      <c r="K363" s="221">
        <f t="shared" si="10"/>
        <v>302410</v>
      </c>
      <c r="L363" s="232"/>
      <c r="M363" s="233">
        <v>18941</v>
      </c>
      <c r="N363" s="233">
        <v>0</v>
      </c>
      <c r="O363" s="232">
        <v>13910</v>
      </c>
      <c r="P363" s="221">
        <f t="shared" si="11"/>
        <v>32851</v>
      </c>
      <c r="Q363" s="232"/>
      <c r="R363" s="233">
        <v>225502</v>
      </c>
      <c r="S363" s="234">
        <v>-1521</v>
      </c>
      <c r="T363" s="234">
        <f>223980+1</f>
        <v>223981</v>
      </c>
    </row>
    <row r="364" spans="1:20">
      <c r="A364" s="227">
        <v>93661</v>
      </c>
      <c r="B364" s="228" t="s">
        <v>1075</v>
      </c>
      <c r="C364" s="87">
        <v>1.3410000000000001E-4</v>
      </c>
      <c r="D364" s="87">
        <v>1.3420000000000001E-4</v>
      </c>
      <c r="E364" s="232">
        <v>204868</v>
      </c>
      <c r="F364" s="232"/>
      <c r="G364" s="233">
        <v>11802</v>
      </c>
      <c r="H364" s="221">
        <v>49742</v>
      </c>
      <c r="I364" s="233">
        <v>29258</v>
      </c>
      <c r="J364" s="232">
        <v>11769</v>
      </c>
      <c r="K364" s="221">
        <f t="shared" si="10"/>
        <v>102571</v>
      </c>
      <c r="L364" s="232"/>
      <c r="M364" s="233">
        <v>5799</v>
      </c>
      <c r="N364" s="233">
        <v>0</v>
      </c>
      <c r="O364" s="232">
        <v>0</v>
      </c>
      <c r="P364" s="221">
        <f t="shared" si="11"/>
        <v>5799</v>
      </c>
      <c r="Q364" s="232"/>
      <c r="R364" s="233">
        <v>69041</v>
      </c>
      <c r="S364" s="234">
        <v>4842</v>
      </c>
      <c r="T364" s="234">
        <v>73883</v>
      </c>
    </row>
    <row r="365" spans="1:20">
      <c r="A365" s="227">
        <v>93671</v>
      </c>
      <c r="B365" s="228" t="s">
        <v>1076</v>
      </c>
      <c r="C365" s="87">
        <v>3.5530000000000002E-4</v>
      </c>
      <c r="D365" s="87">
        <v>3.6900000000000002E-4</v>
      </c>
      <c r="E365" s="232">
        <v>542800</v>
      </c>
      <c r="F365" s="232"/>
      <c r="G365" s="233">
        <v>31270</v>
      </c>
      <c r="H365" s="221">
        <v>131793</v>
      </c>
      <c r="I365" s="233">
        <v>77519</v>
      </c>
      <c r="J365" s="232">
        <v>38666</v>
      </c>
      <c r="K365" s="221">
        <f t="shared" si="10"/>
        <v>279248</v>
      </c>
      <c r="L365" s="232"/>
      <c r="M365" s="233">
        <v>15365</v>
      </c>
      <c r="N365" s="233">
        <v>0</v>
      </c>
      <c r="O365" s="232">
        <v>2899</v>
      </c>
      <c r="P365" s="221">
        <f t="shared" si="11"/>
        <v>18264</v>
      </c>
      <c r="Q365" s="232"/>
      <c r="R365" s="233">
        <v>182924</v>
      </c>
      <c r="S365" s="234">
        <v>28467</v>
      </c>
      <c r="T365" s="234">
        <v>211391</v>
      </c>
    </row>
    <row r="366" spans="1:20">
      <c r="A366" s="227">
        <v>93677</v>
      </c>
      <c r="B366" s="228" t="s">
        <v>98</v>
      </c>
      <c r="C366" s="87">
        <v>0</v>
      </c>
      <c r="D366" s="87">
        <v>0</v>
      </c>
      <c r="E366" s="232">
        <v>0</v>
      </c>
      <c r="F366" s="232"/>
      <c r="G366" s="233">
        <v>0</v>
      </c>
      <c r="H366" s="221">
        <v>0</v>
      </c>
      <c r="I366" s="233">
        <v>0</v>
      </c>
      <c r="J366" s="232">
        <v>0</v>
      </c>
      <c r="K366" s="221">
        <f t="shared" si="10"/>
        <v>0</v>
      </c>
      <c r="L366" s="232"/>
      <c r="M366" s="233">
        <v>0</v>
      </c>
      <c r="N366" s="233">
        <v>0</v>
      </c>
      <c r="O366" s="232">
        <v>718</v>
      </c>
      <c r="P366" s="221">
        <f t="shared" si="11"/>
        <v>718</v>
      </c>
      <c r="Q366" s="232"/>
      <c r="R366" s="233">
        <v>0</v>
      </c>
      <c r="S366" s="234">
        <v>-725</v>
      </c>
      <c r="T366" s="234">
        <v>-725</v>
      </c>
    </row>
    <row r="367" spans="1:20">
      <c r="A367" s="227">
        <v>93681</v>
      </c>
      <c r="B367" s="228" t="s">
        <v>1077</v>
      </c>
      <c r="C367" s="87">
        <v>1.1179999999999999E-4</v>
      </c>
      <c r="D367" s="87">
        <v>1.1010000000000001E-4</v>
      </c>
      <c r="E367" s="232">
        <v>170799</v>
      </c>
      <c r="F367" s="232"/>
      <c r="G367" s="233">
        <v>9840</v>
      </c>
      <c r="H367" s="221">
        <v>41470</v>
      </c>
      <c r="I367" s="233">
        <v>24393</v>
      </c>
      <c r="J367" s="232">
        <v>264</v>
      </c>
      <c r="K367" s="221">
        <f t="shared" si="10"/>
        <v>75967</v>
      </c>
      <c r="L367" s="232"/>
      <c r="M367" s="233">
        <v>4835</v>
      </c>
      <c r="N367" s="233">
        <v>0</v>
      </c>
      <c r="O367" s="232">
        <v>12629</v>
      </c>
      <c r="P367" s="221">
        <f t="shared" si="11"/>
        <v>17464</v>
      </c>
      <c r="Q367" s="232"/>
      <c r="R367" s="233">
        <v>57560</v>
      </c>
      <c r="S367" s="234">
        <v>-6498</v>
      </c>
      <c r="T367" s="234">
        <f>51061+1</f>
        <v>51062</v>
      </c>
    </row>
    <row r="368" spans="1:20">
      <c r="A368" s="227">
        <v>93691</v>
      </c>
      <c r="B368" s="228" t="s">
        <v>1078</v>
      </c>
      <c r="C368" s="87">
        <v>1.0858E-3</v>
      </c>
      <c r="D368" s="87">
        <v>1.1251E-3</v>
      </c>
      <c r="E368" s="232">
        <v>1658802</v>
      </c>
      <c r="F368" s="232"/>
      <c r="G368" s="233">
        <v>95562</v>
      </c>
      <c r="H368" s="221">
        <v>402759</v>
      </c>
      <c r="I368" s="233">
        <v>236900</v>
      </c>
      <c r="J368" s="232">
        <v>0</v>
      </c>
      <c r="K368" s="221">
        <f t="shared" si="10"/>
        <v>735221</v>
      </c>
      <c r="L368" s="232"/>
      <c r="M368" s="233">
        <v>46955</v>
      </c>
      <c r="N368" s="233">
        <v>0</v>
      </c>
      <c r="O368" s="232">
        <v>115438</v>
      </c>
      <c r="P368" s="221">
        <f t="shared" si="11"/>
        <v>162393</v>
      </c>
      <c r="Q368" s="232"/>
      <c r="R368" s="233">
        <v>559018</v>
      </c>
      <c r="S368" s="234">
        <v>-42411</v>
      </c>
      <c r="T368" s="234">
        <v>516607</v>
      </c>
    </row>
    <row r="369" spans="1:20">
      <c r="A369" s="227">
        <v>93701</v>
      </c>
      <c r="B369" s="228" t="s">
        <v>1079</v>
      </c>
      <c r="C369" s="87">
        <v>4.5800000000000002E-4</v>
      </c>
      <c r="D369" s="87">
        <v>4.6200000000000001E-4</v>
      </c>
      <c r="E369" s="232">
        <v>699697</v>
      </c>
      <c r="F369" s="232"/>
      <c r="G369" s="233">
        <v>40309</v>
      </c>
      <c r="H369" s="221">
        <v>169888</v>
      </c>
      <c r="I369" s="233">
        <v>99926</v>
      </c>
      <c r="J369" s="232">
        <v>7923</v>
      </c>
      <c r="K369" s="221">
        <f t="shared" si="10"/>
        <v>318046</v>
      </c>
      <c r="L369" s="232"/>
      <c r="M369" s="233">
        <v>19806</v>
      </c>
      <c r="N369" s="233">
        <v>0</v>
      </c>
      <c r="O369" s="232">
        <v>17631</v>
      </c>
      <c r="P369" s="221">
        <f t="shared" si="11"/>
        <v>37437</v>
      </c>
      <c r="Q369" s="232"/>
      <c r="R369" s="233">
        <v>235799</v>
      </c>
      <c r="S369" s="234">
        <v>566</v>
      </c>
      <c r="T369" s="234">
        <v>236365</v>
      </c>
    </row>
    <row r="370" spans="1:20">
      <c r="A370" s="227">
        <v>93704</v>
      </c>
      <c r="B370" s="228" t="s">
        <v>1080</v>
      </c>
      <c r="C370" s="87">
        <v>3.0000000000000001E-6</v>
      </c>
      <c r="D370" s="87">
        <v>3.3000000000000002E-6</v>
      </c>
      <c r="E370" s="232">
        <v>4583</v>
      </c>
      <c r="F370" s="232"/>
      <c r="G370" s="233">
        <v>264</v>
      </c>
      <c r="H370" s="221">
        <v>1113</v>
      </c>
      <c r="I370" s="233">
        <v>655</v>
      </c>
      <c r="J370" s="232">
        <v>578</v>
      </c>
      <c r="K370" s="221">
        <f t="shared" si="10"/>
        <v>2610</v>
      </c>
      <c r="L370" s="232"/>
      <c r="M370" s="233">
        <v>130</v>
      </c>
      <c r="N370" s="233">
        <v>0</v>
      </c>
      <c r="O370" s="232">
        <v>49</v>
      </c>
      <c r="P370" s="221">
        <f t="shared" si="11"/>
        <v>179</v>
      </c>
      <c r="Q370" s="232"/>
      <c r="R370" s="233">
        <v>1545</v>
      </c>
      <c r="S370" s="234">
        <v>136</v>
      </c>
      <c r="T370" s="234">
        <v>1681</v>
      </c>
    </row>
    <row r="371" spans="1:20">
      <c r="A371" s="227">
        <v>93801</v>
      </c>
      <c r="B371" s="228" t="s">
        <v>1081</v>
      </c>
      <c r="C371" s="87">
        <v>4.7889999999999999E-4</v>
      </c>
      <c r="D371" s="87">
        <v>5.4180000000000005E-4</v>
      </c>
      <c r="E371" s="232">
        <v>731627</v>
      </c>
      <c r="F371" s="232"/>
      <c r="G371" s="233">
        <v>42148</v>
      </c>
      <c r="H371" s="221">
        <v>177639</v>
      </c>
      <c r="I371" s="233">
        <v>104486</v>
      </c>
      <c r="J371" s="232">
        <v>113630</v>
      </c>
      <c r="K371" s="221">
        <f t="shared" si="10"/>
        <v>437903</v>
      </c>
      <c r="L371" s="232"/>
      <c r="M371" s="233">
        <v>20710</v>
      </c>
      <c r="N371" s="233">
        <v>0</v>
      </c>
      <c r="O371" s="232">
        <v>54734</v>
      </c>
      <c r="P371" s="221">
        <f t="shared" si="11"/>
        <v>75444</v>
      </c>
      <c r="Q371" s="232"/>
      <c r="R371" s="233">
        <v>246559</v>
      </c>
      <c r="S371" s="234">
        <v>28052</v>
      </c>
      <c r="T371" s="234">
        <v>274611</v>
      </c>
    </row>
    <row r="372" spans="1:20">
      <c r="A372" s="227">
        <v>93803</v>
      </c>
      <c r="B372" s="228" t="s">
        <v>1082</v>
      </c>
      <c r="C372" s="87">
        <v>1.1900000000000001E-4</v>
      </c>
      <c r="D372" s="87">
        <v>1.4469999999999999E-4</v>
      </c>
      <c r="E372" s="232">
        <v>181799</v>
      </c>
      <c r="F372" s="232"/>
      <c r="G372" s="233">
        <v>10473</v>
      </c>
      <c r="H372" s="221">
        <v>44141</v>
      </c>
      <c r="I372" s="233">
        <v>25963</v>
      </c>
      <c r="J372" s="232">
        <v>0</v>
      </c>
      <c r="K372" s="221">
        <f t="shared" si="10"/>
        <v>80577</v>
      </c>
      <c r="L372" s="232"/>
      <c r="M372" s="233">
        <v>5146</v>
      </c>
      <c r="N372" s="233">
        <v>0</v>
      </c>
      <c r="O372" s="232">
        <v>42594</v>
      </c>
      <c r="P372" s="221">
        <f t="shared" si="11"/>
        <v>47740</v>
      </c>
      <c r="Q372" s="232"/>
      <c r="R372" s="233">
        <v>61266</v>
      </c>
      <c r="S372" s="234">
        <v>-17510</v>
      </c>
      <c r="T372" s="234">
        <v>43756</v>
      </c>
    </row>
    <row r="373" spans="1:20">
      <c r="A373" s="227">
        <v>93806</v>
      </c>
      <c r="B373" s="228" t="s">
        <v>1083</v>
      </c>
      <c r="C373" s="87">
        <v>9.3900000000000006E-5</v>
      </c>
      <c r="D373" s="87">
        <v>7.3700000000000002E-5</v>
      </c>
      <c r="E373" s="232">
        <v>143453</v>
      </c>
      <c r="F373" s="232"/>
      <c r="G373" s="233">
        <v>8264</v>
      </c>
      <c r="H373" s="221">
        <v>34831</v>
      </c>
      <c r="I373" s="233">
        <v>20487</v>
      </c>
      <c r="J373" s="232">
        <v>13283</v>
      </c>
      <c r="K373" s="221">
        <f t="shared" si="10"/>
        <v>76865</v>
      </c>
      <c r="L373" s="232"/>
      <c r="M373" s="233">
        <v>4061</v>
      </c>
      <c r="N373" s="233">
        <v>0</v>
      </c>
      <c r="O373" s="232">
        <v>10049</v>
      </c>
      <c r="P373" s="221">
        <f t="shared" si="11"/>
        <v>14110</v>
      </c>
      <c r="Q373" s="232"/>
      <c r="R373" s="233">
        <v>48344</v>
      </c>
      <c r="S373" s="234">
        <v>-6121</v>
      </c>
      <c r="T373" s="234">
        <v>42223</v>
      </c>
    </row>
    <row r="374" spans="1:20">
      <c r="A374" s="227">
        <v>93821</v>
      </c>
      <c r="B374" s="228" t="s">
        <v>1084</v>
      </c>
      <c r="C374" s="87">
        <v>2.9899999999999998E-5</v>
      </c>
      <c r="D374" s="87">
        <v>5.7200000000000001E-5</v>
      </c>
      <c r="E374" s="232">
        <v>45679</v>
      </c>
      <c r="F374" s="232"/>
      <c r="G374" s="233">
        <v>2632</v>
      </c>
      <c r="H374" s="221">
        <v>11090</v>
      </c>
      <c r="I374" s="233">
        <v>6524</v>
      </c>
      <c r="J374" s="232">
        <v>18424</v>
      </c>
      <c r="K374" s="221">
        <f t="shared" si="10"/>
        <v>38670</v>
      </c>
      <c r="L374" s="232"/>
      <c r="M374" s="233">
        <v>1293</v>
      </c>
      <c r="N374" s="233">
        <v>0</v>
      </c>
      <c r="O374" s="232">
        <v>343</v>
      </c>
      <c r="P374" s="221">
        <f t="shared" si="11"/>
        <v>1636</v>
      </c>
      <c r="Q374" s="232"/>
      <c r="R374" s="233">
        <v>15394</v>
      </c>
      <c r="S374" s="234">
        <v>7633</v>
      </c>
      <c r="T374" s="234">
        <f>23026+1</f>
        <v>23027</v>
      </c>
    </row>
    <row r="375" spans="1:20">
      <c r="A375" s="227">
        <v>93901</v>
      </c>
      <c r="B375" s="228" t="s">
        <v>1085</v>
      </c>
      <c r="C375" s="87">
        <v>1.7974E-3</v>
      </c>
      <c r="D375" s="87">
        <v>1.8059E-3</v>
      </c>
      <c r="E375" s="232">
        <v>2745929</v>
      </c>
      <c r="F375" s="232"/>
      <c r="G375" s="233">
        <v>158191</v>
      </c>
      <c r="H375" s="221">
        <v>666715</v>
      </c>
      <c r="I375" s="233">
        <v>392157</v>
      </c>
      <c r="J375" s="232">
        <v>89069</v>
      </c>
      <c r="K375" s="221">
        <f t="shared" si="10"/>
        <v>1306132</v>
      </c>
      <c r="L375" s="232"/>
      <c r="M375" s="233">
        <v>77729</v>
      </c>
      <c r="N375" s="233">
        <v>0</v>
      </c>
      <c r="O375" s="232">
        <v>0</v>
      </c>
      <c r="P375" s="221">
        <f t="shared" si="11"/>
        <v>77729</v>
      </c>
      <c r="Q375" s="232"/>
      <c r="R375" s="233">
        <v>925381</v>
      </c>
      <c r="S375" s="234">
        <v>32657</v>
      </c>
      <c r="T375" s="234">
        <v>958038</v>
      </c>
    </row>
    <row r="376" spans="1:20">
      <c r="A376" s="227">
        <v>93904</v>
      </c>
      <c r="B376" s="228" t="s">
        <v>1086</v>
      </c>
      <c r="C376" s="87">
        <v>3.0000000000000001E-5</v>
      </c>
      <c r="D376" s="87">
        <v>2.4700000000000001E-5</v>
      </c>
      <c r="E376" s="232">
        <v>45832</v>
      </c>
      <c r="F376" s="232"/>
      <c r="G376" s="233">
        <v>2640</v>
      </c>
      <c r="H376" s="221">
        <v>11128</v>
      </c>
      <c r="I376" s="233">
        <v>6545</v>
      </c>
      <c r="J376" s="232">
        <v>9710</v>
      </c>
      <c r="K376" s="221">
        <f t="shared" si="10"/>
        <v>30023</v>
      </c>
      <c r="L376" s="232"/>
      <c r="M376" s="233">
        <v>1297</v>
      </c>
      <c r="N376" s="233">
        <v>0</v>
      </c>
      <c r="O376" s="232">
        <v>28</v>
      </c>
      <c r="P376" s="221">
        <f t="shared" si="11"/>
        <v>1325</v>
      </c>
      <c r="Q376" s="232"/>
      <c r="R376" s="233">
        <v>15445</v>
      </c>
      <c r="S376" s="234">
        <v>3144</v>
      </c>
      <c r="T376" s="234">
        <v>18589</v>
      </c>
    </row>
    <row r="377" spans="1:20">
      <c r="A377" s="227">
        <v>93906</v>
      </c>
      <c r="B377" s="228" t="s">
        <v>1087</v>
      </c>
      <c r="C377" s="87">
        <v>3.3882000000000001E-3</v>
      </c>
      <c r="D377" s="87">
        <v>3.4513E-3</v>
      </c>
      <c r="E377" s="232">
        <v>5176231</v>
      </c>
      <c r="F377" s="232"/>
      <c r="G377" s="233">
        <v>298199</v>
      </c>
      <c r="H377" s="221">
        <v>1256796</v>
      </c>
      <c r="I377" s="233">
        <v>739237</v>
      </c>
      <c r="J377" s="232">
        <v>14983</v>
      </c>
      <c r="K377" s="221">
        <f t="shared" si="10"/>
        <v>2309215</v>
      </c>
      <c r="L377" s="232"/>
      <c r="M377" s="233">
        <v>146523</v>
      </c>
      <c r="N377" s="233">
        <v>0</v>
      </c>
      <c r="O377" s="232">
        <v>222323</v>
      </c>
      <c r="P377" s="221">
        <f t="shared" si="11"/>
        <v>368846</v>
      </c>
      <c r="Q377" s="232"/>
      <c r="R377" s="233">
        <v>1744394</v>
      </c>
      <c r="S377" s="234">
        <v>-70525</v>
      </c>
      <c r="T377" s="234">
        <v>1673869</v>
      </c>
    </row>
    <row r="378" spans="1:20">
      <c r="A378" s="227">
        <v>93908</v>
      </c>
      <c r="B378" s="228" t="s">
        <v>1088</v>
      </c>
      <c r="C378" s="87">
        <v>5.1219999999999998E-4</v>
      </c>
      <c r="D378" s="87">
        <v>5.0239999999999996E-4</v>
      </c>
      <c r="E378" s="232">
        <v>782500</v>
      </c>
      <c r="F378" s="232"/>
      <c r="G378" s="233">
        <v>45079</v>
      </c>
      <c r="H378" s="221">
        <v>189992</v>
      </c>
      <c r="I378" s="233">
        <v>111752</v>
      </c>
      <c r="J378" s="232">
        <v>12340</v>
      </c>
      <c r="K378" s="221">
        <f t="shared" si="10"/>
        <v>359163</v>
      </c>
      <c r="L378" s="232"/>
      <c r="M378" s="233">
        <v>22150</v>
      </c>
      <c r="N378" s="233">
        <v>0</v>
      </c>
      <c r="O378" s="232">
        <v>16479</v>
      </c>
      <c r="P378" s="221">
        <f t="shared" si="11"/>
        <v>38629</v>
      </c>
      <c r="Q378" s="232"/>
      <c r="R378" s="233">
        <v>263703</v>
      </c>
      <c r="S378" s="234">
        <v>-2302</v>
      </c>
      <c r="T378" s="234">
        <v>261401</v>
      </c>
    </row>
    <row r="379" spans="1:20">
      <c r="A379" s="227">
        <v>93910</v>
      </c>
      <c r="B379" s="228" t="s">
        <v>1089</v>
      </c>
      <c r="C379" s="87">
        <v>2.786E-4</v>
      </c>
      <c r="D379" s="87">
        <v>2.9129999999999998E-4</v>
      </c>
      <c r="E379" s="232">
        <v>425624</v>
      </c>
      <c r="F379" s="232"/>
      <c r="G379" s="233">
        <v>24520</v>
      </c>
      <c r="H379" s="221">
        <v>103342</v>
      </c>
      <c r="I379" s="233">
        <v>60785</v>
      </c>
      <c r="J379" s="232">
        <v>0</v>
      </c>
      <c r="K379" s="221">
        <f t="shared" si="10"/>
        <v>188647</v>
      </c>
      <c r="L379" s="232"/>
      <c r="M379" s="233">
        <v>12048</v>
      </c>
      <c r="N379" s="233">
        <v>0</v>
      </c>
      <c r="O379" s="232">
        <v>34002</v>
      </c>
      <c r="P379" s="221">
        <f t="shared" si="11"/>
        <v>46050</v>
      </c>
      <c r="Q379" s="232"/>
      <c r="R379" s="233">
        <v>143436</v>
      </c>
      <c r="S379" s="234">
        <v>-14513</v>
      </c>
      <c r="T379" s="234">
        <v>128923</v>
      </c>
    </row>
    <row r="380" spans="1:20">
      <c r="A380" s="227">
        <v>93911</v>
      </c>
      <c r="B380" s="228" t="s">
        <v>1090</v>
      </c>
      <c r="C380" s="87">
        <v>6.3429999999999997E-4</v>
      </c>
      <c r="D380" s="87">
        <v>6.9890000000000002E-4</v>
      </c>
      <c r="E380" s="232">
        <v>969035</v>
      </c>
      <c r="F380" s="232"/>
      <c r="G380" s="233">
        <v>55825</v>
      </c>
      <c r="H380" s="221">
        <v>235283</v>
      </c>
      <c r="I380" s="233">
        <v>138392</v>
      </c>
      <c r="J380" s="232">
        <v>13175</v>
      </c>
      <c r="K380" s="221">
        <f t="shared" si="10"/>
        <v>442675</v>
      </c>
      <c r="L380" s="232"/>
      <c r="M380" s="233">
        <v>27430</v>
      </c>
      <c r="N380" s="233">
        <v>0</v>
      </c>
      <c r="O380" s="232">
        <v>54353</v>
      </c>
      <c r="P380" s="221">
        <f t="shared" si="11"/>
        <v>81783</v>
      </c>
      <c r="Q380" s="232"/>
      <c r="R380" s="233">
        <v>326566</v>
      </c>
      <c r="S380" s="234">
        <v>-6922</v>
      </c>
      <c r="T380" s="234">
        <v>319644</v>
      </c>
    </row>
    <row r="381" spans="1:20">
      <c r="A381" s="227">
        <v>93913</v>
      </c>
      <c r="B381" s="228" t="s">
        <v>1091</v>
      </c>
      <c r="C381" s="87">
        <v>5.8799999999999999E-5</v>
      </c>
      <c r="D381" s="87">
        <v>6.2600000000000004E-5</v>
      </c>
      <c r="E381" s="232">
        <v>89830</v>
      </c>
      <c r="F381" s="232"/>
      <c r="G381" s="233">
        <v>5175</v>
      </c>
      <c r="H381" s="221">
        <v>21810</v>
      </c>
      <c r="I381" s="233">
        <v>12829</v>
      </c>
      <c r="J381" s="232">
        <v>2902</v>
      </c>
      <c r="K381" s="221">
        <f t="shared" si="10"/>
        <v>42716</v>
      </c>
      <c r="L381" s="232"/>
      <c r="M381" s="233">
        <v>2543</v>
      </c>
      <c r="N381" s="233">
        <v>0</v>
      </c>
      <c r="O381" s="232">
        <v>1064</v>
      </c>
      <c r="P381" s="221">
        <f t="shared" si="11"/>
        <v>3607</v>
      </c>
      <c r="Q381" s="232"/>
      <c r="R381" s="233">
        <v>30273</v>
      </c>
      <c r="S381" s="234">
        <v>476</v>
      </c>
      <c r="T381" s="234">
        <v>30749</v>
      </c>
    </row>
    <row r="382" spans="1:20">
      <c r="A382" s="227">
        <v>93914</v>
      </c>
      <c r="B382" s="228" t="s">
        <v>1092</v>
      </c>
      <c r="C382" s="87">
        <v>8.1000000000000004E-6</v>
      </c>
      <c r="D382" s="87">
        <v>9.0999999999999993E-6</v>
      </c>
      <c r="E382" s="232">
        <v>12375</v>
      </c>
      <c r="F382" s="232"/>
      <c r="G382" s="233">
        <v>713</v>
      </c>
      <c r="H382" s="221">
        <v>3005</v>
      </c>
      <c r="I382" s="233">
        <v>1767</v>
      </c>
      <c r="J382" s="232">
        <v>3568</v>
      </c>
      <c r="K382" s="221">
        <f t="shared" si="10"/>
        <v>9053</v>
      </c>
      <c r="L382" s="232"/>
      <c r="M382" s="233">
        <v>350</v>
      </c>
      <c r="N382" s="233">
        <v>0</v>
      </c>
      <c r="O382" s="232">
        <v>0</v>
      </c>
      <c r="P382" s="221">
        <f t="shared" si="11"/>
        <v>350</v>
      </c>
      <c r="Q382" s="232"/>
      <c r="R382" s="233">
        <v>4170</v>
      </c>
      <c r="S382" s="234">
        <v>1520</v>
      </c>
      <c r="T382" s="234">
        <v>5690</v>
      </c>
    </row>
    <row r="383" spans="1:20">
      <c r="A383" s="227">
        <v>93921</v>
      </c>
      <c r="B383" s="228" t="s">
        <v>1093</v>
      </c>
      <c r="C383" s="87">
        <v>2.9020000000000001E-4</v>
      </c>
      <c r="D383" s="87">
        <v>2.7139999999999998E-4</v>
      </c>
      <c r="E383" s="232">
        <v>443345</v>
      </c>
      <c r="F383" s="232"/>
      <c r="G383" s="233">
        <v>25541</v>
      </c>
      <c r="H383" s="221">
        <v>107645</v>
      </c>
      <c r="I383" s="233">
        <v>63316</v>
      </c>
      <c r="J383" s="232">
        <v>16222</v>
      </c>
      <c r="K383" s="221">
        <f t="shared" si="10"/>
        <v>212724</v>
      </c>
      <c r="L383" s="232"/>
      <c r="M383" s="233">
        <v>12550</v>
      </c>
      <c r="N383" s="233">
        <v>0</v>
      </c>
      <c r="O383" s="232">
        <v>5036</v>
      </c>
      <c r="P383" s="221">
        <f t="shared" si="11"/>
        <v>17586</v>
      </c>
      <c r="Q383" s="232"/>
      <c r="R383" s="233">
        <v>149408</v>
      </c>
      <c r="S383" s="234">
        <v>6326</v>
      </c>
      <c r="T383" s="234">
        <v>155734</v>
      </c>
    </row>
    <row r="384" spans="1:20">
      <c r="A384" s="227">
        <v>93931</v>
      </c>
      <c r="B384" s="228" t="s">
        <v>1094</v>
      </c>
      <c r="C384" s="87">
        <v>5.0029999999999996E-4</v>
      </c>
      <c r="D384" s="87">
        <v>5.2260000000000002E-4</v>
      </c>
      <c r="E384" s="232">
        <v>764320</v>
      </c>
      <c r="F384" s="232"/>
      <c r="G384" s="233">
        <v>44032</v>
      </c>
      <c r="H384" s="221">
        <v>185578</v>
      </c>
      <c r="I384" s="233">
        <v>109155</v>
      </c>
      <c r="J384" s="232">
        <v>107572</v>
      </c>
      <c r="K384" s="221">
        <f t="shared" si="10"/>
        <v>446337</v>
      </c>
      <c r="L384" s="232"/>
      <c r="M384" s="233">
        <v>21635</v>
      </c>
      <c r="N384" s="233">
        <v>0</v>
      </c>
      <c r="O384" s="232">
        <v>39017</v>
      </c>
      <c r="P384" s="221">
        <f t="shared" si="11"/>
        <v>60652</v>
      </c>
      <c r="Q384" s="232"/>
      <c r="R384" s="233">
        <v>257576</v>
      </c>
      <c r="S384" s="234">
        <v>79129</v>
      </c>
      <c r="T384" s="234">
        <v>336705</v>
      </c>
    </row>
    <row r="385" spans="1:20">
      <c r="A385" s="227">
        <v>94001</v>
      </c>
      <c r="B385" s="228" t="s">
        <v>1095</v>
      </c>
      <c r="C385" s="87">
        <v>9.209E-4</v>
      </c>
      <c r="D385" s="87">
        <v>9.0240000000000003E-4</v>
      </c>
      <c r="E385" s="232">
        <v>1406880</v>
      </c>
      <c r="F385" s="232"/>
      <c r="G385" s="233">
        <v>81049</v>
      </c>
      <c r="H385" s="221">
        <v>341592</v>
      </c>
      <c r="I385" s="233">
        <v>200922</v>
      </c>
      <c r="J385" s="232">
        <v>45532</v>
      </c>
      <c r="K385" s="221">
        <f t="shared" si="10"/>
        <v>669095</v>
      </c>
      <c r="L385" s="232"/>
      <c r="M385" s="233">
        <v>39824</v>
      </c>
      <c r="N385" s="233">
        <v>0</v>
      </c>
      <c r="O385" s="232">
        <v>27168</v>
      </c>
      <c r="P385" s="221">
        <f t="shared" si="11"/>
        <v>66992</v>
      </c>
      <c r="Q385" s="232"/>
      <c r="R385" s="233">
        <v>474120</v>
      </c>
      <c r="S385" s="234">
        <v>-12411</v>
      </c>
      <c r="T385" s="234">
        <v>461709</v>
      </c>
    </row>
    <row r="386" spans="1:20">
      <c r="A386" s="227">
        <v>94002</v>
      </c>
      <c r="B386" s="228" t="s">
        <v>1096</v>
      </c>
      <c r="C386" s="87">
        <v>7.0999999999999998E-6</v>
      </c>
      <c r="D386" s="87">
        <v>7.6000000000000001E-6</v>
      </c>
      <c r="E386" s="232">
        <v>10847</v>
      </c>
      <c r="F386" s="232"/>
      <c r="G386" s="233">
        <v>625</v>
      </c>
      <c r="H386" s="221">
        <v>2633</v>
      </c>
      <c r="I386" s="233">
        <v>1549</v>
      </c>
      <c r="J386" s="232">
        <v>1428</v>
      </c>
      <c r="K386" s="221">
        <f t="shared" si="10"/>
        <v>6235</v>
      </c>
      <c r="L386" s="232"/>
      <c r="M386" s="233">
        <v>307</v>
      </c>
      <c r="N386" s="233">
        <v>0</v>
      </c>
      <c r="O386" s="232">
        <v>214</v>
      </c>
      <c r="P386" s="221">
        <f t="shared" si="11"/>
        <v>521</v>
      </c>
      <c r="Q386" s="232"/>
      <c r="R386" s="233">
        <v>3655</v>
      </c>
      <c r="S386" s="234">
        <v>237</v>
      </c>
      <c r="T386" s="234">
        <v>3892</v>
      </c>
    </row>
    <row r="387" spans="1:20">
      <c r="A387" s="227">
        <v>94004</v>
      </c>
      <c r="B387" s="228" t="s">
        <v>1097</v>
      </c>
      <c r="C387" s="87">
        <v>7.3000000000000004E-6</v>
      </c>
      <c r="D387" s="87">
        <v>2.7999999999999999E-6</v>
      </c>
      <c r="E387" s="232">
        <v>11152</v>
      </c>
      <c r="F387" s="232"/>
      <c r="G387" s="233">
        <v>642</v>
      </c>
      <c r="H387" s="221">
        <v>2708</v>
      </c>
      <c r="I387" s="233">
        <v>1593</v>
      </c>
      <c r="J387" s="232">
        <v>4768</v>
      </c>
      <c r="K387" s="221">
        <f t="shared" si="10"/>
        <v>9711</v>
      </c>
      <c r="L387" s="232"/>
      <c r="M387" s="233">
        <v>316</v>
      </c>
      <c r="N387" s="233">
        <v>0</v>
      </c>
      <c r="O387" s="232">
        <v>626</v>
      </c>
      <c r="P387" s="221">
        <f t="shared" si="11"/>
        <v>942</v>
      </c>
      <c r="Q387" s="232"/>
      <c r="R387" s="233">
        <v>3758</v>
      </c>
      <c r="S387" s="234">
        <v>706</v>
      </c>
      <c r="T387" s="234">
        <v>4464</v>
      </c>
    </row>
    <row r="388" spans="1:20">
      <c r="A388" s="227">
        <v>94005</v>
      </c>
      <c r="B388" s="228" t="s">
        <v>1098</v>
      </c>
      <c r="C388" s="87">
        <v>0</v>
      </c>
      <c r="D388" s="87">
        <v>5.4999999999999999E-6</v>
      </c>
      <c r="E388" s="232">
        <v>0</v>
      </c>
      <c r="F388" s="232"/>
      <c r="G388" s="233">
        <v>0</v>
      </c>
      <c r="H388" s="221">
        <v>0</v>
      </c>
      <c r="I388" s="233">
        <v>0</v>
      </c>
      <c r="J388" s="232">
        <v>0</v>
      </c>
      <c r="K388" s="221">
        <f t="shared" si="10"/>
        <v>0</v>
      </c>
      <c r="L388" s="232"/>
      <c r="M388" s="233">
        <v>0</v>
      </c>
      <c r="N388" s="233">
        <v>0</v>
      </c>
      <c r="O388" s="232">
        <v>5864</v>
      </c>
      <c r="P388" s="221">
        <f t="shared" si="11"/>
        <v>5864</v>
      </c>
      <c r="Q388" s="232"/>
      <c r="R388" s="233">
        <v>0</v>
      </c>
      <c r="S388" s="234">
        <v>-1984</v>
      </c>
      <c r="T388" s="234">
        <v>-1984</v>
      </c>
    </row>
    <row r="389" spans="1:20">
      <c r="A389" s="227">
        <v>94011</v>
      </c>
      <c r="B389" s="228" t="s">
        <v>1099</v>
      </c>
      <c r="C389" s="87">
        <v>2.3600000000000001E-5</v>
      </c>
      <c r="D389" s="87">
        <v>2.5599999999999999E-5</v>
      </c>
      <c r="E389" s="232">
        <v>36054</v>
      </c>
      <c r="F389" s="232"/>
      <c r="G389" s="233">
        <v>2077</v>
      </c>
      <c r="H389" s="221">
        <v>8754</v>
      </c>
      <c r="I389" s="233">
        <v>5149</v>
      </c>
      <c r="J389" s="232">
        <v>3216</v>
      </c>
      <c r="K389" s="221">
        <f t="shared" si="10"/>
        <v>19196</v>
      </c>
      <c r="L389" s="232"/>
      <c r="M389" s="233">
        <v>1021</v>
      </c>
      <c r="N389" s="233">
        <v>0</v>
      </c>
      <c r="O389" s="232">
        <v>3156</v>
      </c>
      <c r="P389" s="221">
        <f t="shared" si="11"/>
        <v>4177</v>
      </c>
      <c r="Q389" s="232"/>
      <c r="R389" s="233">
        <v>12150</v>
      </c>
      <c r="S389" s="234">
        <v>-16</v>
      </c>
      <c r="T389" s="234">
        <v>12134</v>
      </c>
    </row>
    <row r="390" spans="1:20">
      <c r="A390" s="227">
        <v>94021</v>
      </c>
      <c r="B390" s="228" t="s">
        <v>1100</v>
      </c>
      <c r="C390" s="87">
        <v>9.3399999999999993E-5</v>
      </c>
      <c r="D390" s="87">
        <v>8.1699999999999994E-5</v>
      </c>
      <c r="E390" s="232">
        <v>142689</v>
      </c>
      <c r="F390" s="232"/>
      <c r="G390" s="233">
        <v>8220</v>
      </c>
      <c r="H390" s="221">
        <v>34645</v>
      </c>
      <c r="I390" s="233">
        <v>20378</v>
      </c>
      <c r="J390" s="232">
        <v>20025</v>
      </c>
      <c r="K390" s="221">
        <f t="shared" si="10"/>
        <v>83268</v>
      </c>
      <c r="L390" s="232"/>
      <c r="M390" s="233">
        <v>4039</v>
      </c>
      <c r="N390" s="233">
        <v>0</v>
      </c>
      <c r="O390" s="232">
        <v>0</v>
      </c>
      <c r="P390" s="221">
        <f t="shared" si="11"/>
        <v>4039</v>
      </c>
      <c r="Q390" s="232"/>
      <c r="R390" s="233">
        <v>48086</v>
      </c>
      <c r="S390" s="234">
        <v>8567</v>
      </c>
      <c r="T390" s="234">
        <v>56653</v>
      </c>
    </row>
    <row r="391" spans="1:20">
      <c r="A391" s="227">
        <v>94031</v>
      </c>
      <c r="B391" s="228" t="s">
        <v>1101</v>
      </c>
      <c r="C391" s="87">
        <v>5.4E-6</v>
      </c>
      <c r="D391" s="87">
        <v>8.1000000000000004E-6</v>
      </c>
      <c r="E391" s="232">
        <v>8250</v>
      </c>
      <c r="F391" s="232"/>
      <c r="G391" s="233">
        <v>475</v>
      </c>
      <c r="H391" s="221">
        <v>2003</v>
      </c>
      <c r="I391" s="233">
        <v>1178</v>
      </c>
      <c r="J391" s="232">
        <v>7232</v>
      </c>
      <c r="K391" s="221">
        <f t="shared" si="10"/>
        <v>10888</v>
      </c>
      <c r="L391" s="232"/>
      <c r="M391" s="233">
        <v>234</v>
      </c>
      <c r="N391" s="233">
        <v>0</v>
      </c>
      <c r="O391" s="232">
        <v>41</v>
      </c>
      <c r="P391" s="221">
        <f t="shared" si="11"/>
        <v>275</v>
      </c>
      <c r="Q391" s="232"/>
      <c r="R391" s="233">
        <v>2780</v>
      </c>
      <c r="S391" s="234">
        <v>2829</v>
      </c>
      <c r="T391" s="234">
        <v>5609</v>
      </c>
    </row>
    <row r="392" spans="1:20">
      <c r="A392" s="227">
        <v>94101</v>
      </c>
      <c r="B392" s="228" t="s">
        <v>1102</v>
      </c>
      <c r="C392" s="87">
        <v>1.8321799999999999E-2</v>
      </c>
      <c r="D392" s="87">
        <v>1.85028E-2</v>
      </c>
      <c r="E392" s="232">
        <v>27990635</v>
      </c>
      <c r="F392" s="232"/>
      <c r="G392" s="233">
        <v>1612520</v>
      </c>
      <c r="H392" s="221">
        <v>6796161</v>
      </c>
      <c r="I392" s="233">
        <v>3997450</v>
      </c>
      <c r="J392" s="232">
        <v>271577</v>
      </c>
      <c r="K392" s="221">
        <f t="shared" si="10"/>
        <v>12677708</v>
      </c>
      <c r="L392" s="232"/>
      <c r="M392" s="233">
        <v>792326</v>
      </c>
      <c r="N392" s="233">
        <v>0</v>
      </c>
      <c r="O392" s="232">
        <v>721969</v>
      </c>
      <c r="P392" s="221">
        <f t="shared" si="11"/>
        <v>1514295</v>
      </c>
      <c r="Q392" s="232"/>
      <c r="R392" s="233">
        <v>9432869</v>
      </c>
      <c r="S392" s="234">
        <v>-270678</v>
      </c>
      <c r="T392" s="234">
        <v>9162191</v>
      </c>
    </row>
    <row r="393" spans="1:20">
      <c r="A393" s="227">
        <v>94102</v>
      </c>
      <c r="B393" s="228" t="s">
        <v>1103</v>
      </c>
      <c r="C393" s="87">
        <v>2.965E-4</v>
      </c>
      <c r="D393" s="87">
        <v>2.7569999999999998E-4</v>
      </c>
      <c r="E393" s="232">
        <v>452970</v>
      </c>
      <c r="F393" s="232"/>
      <c r="G393" s="233">
        <v>26095</v>
      </c>
      <c r="H393" s="221">
        <v>109981</v>
      </c>
      <c r="I393" s="233">
        <v>64690</v>
      </c>
      <c r="J393" s="232">
        <v>2570</v>
      </c>
      <c r="K393" s="221">
        <f t="shared" ref="K393:K456" si="12">G393+H393+I393+J393</f>
        <v>203336</v>
      </c>
      <c r="L393" s="232"/>
      <c r="M393" s="233">
        <v>12822</v>
      </c>
      <c r="N393" s="233">
        <v>0</v>
      </c>
      <c r="O393" s="232">
        <v>36856</v>
      </c>
      <c r="P393" s="221">
        <f t="shared" ref="P393:P456" si="13">M393+N393+O393</f>
        <v>49678</v>
      </c>
      <c r="Q393" s="232"/>
      <c r="R393" s="233">
        <v>152651</v>
      </c>
      <c r="S393" s="234">
        <v>-11311</v>
      </c>
      <c r="T393" s="234">
        <v>141340</v>
      </c>
    </row>
    <row r="394" spans="1:20">
      <c r="A394" s="227">
        <v>94108</v>
      </c>
      <c r="B394" s="228" t="s">
        <v>1104</v>
      </c>
      <c r="C394" s="87">
        <v>3.1389999999999999E-4</v>
      </c>
      <c r="D394" s="87">
        <v>3.1809999999999998E-4</v>
      </c>
      <c r="E394" s="232">
        <v>479552</v>
      </c>
      <c r="F394" s="232"/>
      <c r="G394" s="233">
        <v>27627</v>
      </c>
      <c r="H394" s="221">
        <v>116436</v>
      </c>
      <c r="I394" s="233">
        <v>68487</v>
      </c>
      <c r="J394" s="232">
        <v>0</v>
      </c>
      <c r="K394" s="221">
        <f t="shared" si="12"/>
        <v>212550</v>
      </c>
      <c r="L394" s="232"/>
      <c r="M394" s="233">
        <v>13575</v>
      </c>
      <c r="N394" s="233">
        <v>0</v>
      </c>
      <c r="O394" s="232">
        <v>108607</v>
      </c>
      <c r="P394" s="221">
        <f t="shared" si="13"/>
        <v>122182</v>
      </c>
      <c r="Q394" s="232"/>
      <c r="R394" s="233">
        <v>161610</v>
      </c>
      <c r="S394" s="234">
        <v>-47459</v>
      </c>
      <c r="T394" s="234">
        <v>114151</v>
      </c>
    </row>
    <row r="395" spans="1:20">
      <c r="A395" s="227">
        <v>94109</v>
      </c>
      <c r="B395" s="228" t="s">
        <v>1105</v>
      </c>
      <c r="C395" s="87">
        <v>9.09E-5</v>
      </c>
      <c r="D395" s="87">
        <v>1.0399999999999999E-4</v>
      </c>
      <c r="E395" s="232">
        <v>138870</v>
      </c>
      <c r="F395" s="232"/>
      <c r="G395" s="233">
        <v>8000</v>
      </c>
      <c r="H395" s="221">
        <v>33718</v>
      </c>
      <c r="I395" s="233">
        <v>19833</v>
      </c>
      <c r="J395" s="232">
        <v>796</v>
      </c>
      <c r="K395" s="221">
        <f t="shared" si="12"/>
        <v>62347</v>
      </c>
      <c r="L395" s="232"/>
      <c r="M395" s="233">
        <v>3931</v>
      </c>
      <c r="N395" s="233">
        <v>0</v>
      </c>
      <c r="O395" s="232">
        <v>41294</v>
      </c>
      <c r="P395" s="221">
        <f t="shared" si="13"/>
        <v>45225</v>
      </c>
      <c r="Q395" s="232"/>
      <c r="R395" s="233">
        <v>46799</v>
      </c>
      <c r="S395" s="234">
        <v>-12890</v>
      </c>
      <c r="T395" s="234">
        <v>33909</v>
      </c>
    </row>
    <row r="396" spans="1:20">
      <c r="A396" s="227">
        <v>94111</v>
      </c>
      <c r="B396" s="228" t="s">
        <v>1106</v>
      </c>
      <c r="C396" s="87">
        <v>2.5682300000000002E-2</v>
      </c>
      <c r="D396" s="87">
        <v>2.5623300000000002E-2</v>
      </c>
      <c r="E396" s="232">
        <v>39235440</v>
      </c>
      <c r="F396" s="232"/>
      <c r="G396" s="233">
        <v>2260325</v>
      </c>
      <c r="H396" s="221">
        <v>9526412</v>
      </c>
      <c r="I396" s="233">
        <v>5603364</v>
      </c>
      <c r="J396" s="232">
        <v>7528</v>
      </c>
      <c r="K396" s="221">
        <f t="shared" si="12"/>
        <v>17397629</v>
      </c>
      <c r="L396" s="232"/>
      <c r="M396" s="233">
        <v>1110631</v>
      </c>
      <c r="N396" s="233">
        <v>0</v>
      </c>
      <c r="O396" s="232">
        <v>1491627</v>
      </c>
      <c r="P396" s="221">
        <f t="shared" si="13"/>
        <v>2602258</v>
      </c>
      <c r="Q396" s="232"/>
      <c r="R396" s="233">
        <v>13222378</v>
      </c>
      <c r="S396" s="234">
        <v>-524586</v>
      </c>
      <c r="T396" s="234">
        <v>12697792</v>
      </c>
    </row>
    <row r="397" spans="1:20">
      <c r="A397" s="227">
        <v>94112</v>
      </c>
      <c r="B397" s="228" t="s">
        <v>1107</v>
      </c>
      <c r="C397" s="87">
        <v>1.6699999999999999E-4</v>
      </c>
      <c r="D397" s="87">
        <v>1.6530000000000001E-4</v>
      </c>
      <c r="E397" s="232">
        <v>255130</v>
      </c>
      <c r="F397" s="232"/>
      <c r="G397" s="233">
        <v>14698</v>
      </c>
      <c r="H397" s="221">
        <v>61946</v>
      </c>
      <c r="I397" s="233">
        <v>36436</v>
      </c>
      <c r="J397" s="232">
        <v>0</v>
      </c>
      <c r="K397" s="221">
        <f t="shared" si="12"/>
        <v>113080</v>
      </c>
      <c r="L397" s="232"/>
      <c r="M397" s="233">
        <v>7222</v>
      </c>
      <c r="N397" s="233">
        <v>0</v>
      </c>
      <c r="O397" s="232">
        <v>18973</v>
      </c>
      <c r="P397" s="221">
        <f t="shared" si="13"/>
        <v>26195</v>
      </c>
      <c r="Q397" s="232"/>
      <c r="R397" s="233">
        <v>85979</v>
      </c>
      <c r="S397" s="234">
        <v>-8534</v>
      </c>
      <c r="T397" s="234">
        <v>77445</v>
      </c>
    </row>
    <row r="398" spans="1:20">
      <c r="A398" s="227">
        <v>94117</v>
      </c>
      <c r="B398" s="228" t="s">
        <v>1108</v>
      </c>
      <c r="C398" s="87">
        <v>3.9809999999999997E-4</v>
      </c>
      <c r="D398" s="87">
        <v>4.0709999999999997E-4</v>
      </c>
      <c r="E398" s="232">
        <v>608187</v>
      </c>
      <c r="F398" s="232"/>
      <c r="G398" s="233">
        <v>35037</v>
      </c>
      <c r="H398" s="221">
        <v>147669</v>
      </c>
      <c r="I398" s="233">
        <v>86857</v>
      </c>
      <c r="J398" s="232">
        <v>8133</v>
      </c>
      <c r="K398" s="221">
        <f t="shared" si="12"/>
        <v>277696</v>
      </c>
      <c r="L398" s="232"/>
      <c r="M398" s="233">
        <v>17216</v>
      </c>
      <c r="N398" s="233">
        <v>0</v>
      </c>
      <c r="O398" s="232">
        <v>15587</v>
      </c>
      <c r="P398" s="221">
        <f t="shared" si="13"/>
        <v>32803</v>
      </c>
      <c r="Q398" s="232"/>
      <c r="R398" s="233">
        <v>204959</v>
      </c>
      <c r="S398" s="234">
        <v>-79</v>
      </c>
      <c r="T398" s="234">
        <v>204880</v>
      </c>
    </row>
    <row r="399" spans="1:20">
      <c r="A399" s="227">
        <v>94118</v>
      </c>
      <c r="B399" s="228" t="s">
        <v>1109</v>
      </c>
      <c r="C399" s="87">
        <v>1.494E-4</v>
      </c>
      <c r="D399" s="87">
        <v>1.63E-4</v>
      </c>
      <c r="E399" s="232">
        <v>228242</v>
      </c>
      <c r="F399" s="232"/>
      <c r="G399" s="233">
        <v>13149</v>
      </c>
      <c r="H399" s="221">
        <v>55417</v>
      </c>
      <c r="I399" s="233">
        <v>32596</v>
      </c>
      <c r="J399" s="232">
        <v>0</v>
      </c>
      <c r="K399" s="221">
        <f t="shared" si="12"/>
        <v>101162</v>
      </c>
      <c r="L399" s="232"/>
      <c r="M399" s="233">
        <v>6461</v>
      </c>
      <c r="N399" s="233">
        <v>0</v>
      </c>
      <c r="O399" s="232">
        <v>56599</v>
      </c>
      <c r="P399" s="221">
        <f t="shared" si="13"/>
        <v>63060</v>
      </c>
      <c r="Q399" s="232"/>
      <c r="R399" s="233">
        <v>76918</v>
      </c>
      <c r="S399" s="234">
        <v>-24768</v>
      </c>
      <c r="T399" s="234">
        <v>52150</v>
      </c>
    </row>
    <row r="400" spans="1:20">
      <c r="A400" s="227">
        <v>94121</v>
      </c>
      <c r="B400" s="228" t="s">
        <v>1110</v>
      </c>
      <c r="C400" s="87">
        <v>1.1246000000000001E-2</v>
      </c>
      <c r="D400" s="87">
        <v>1.12823E-2</v>
      </c>
      <c r="E400" s="232">
        <v>17180773</v>
      </c>
      <c r="F400" s="232"/>
      <c r="G400" s="233">
        <v>989772</v>
      </c>
      <c r="H400" s="221">
        <v>4171512</v>
      </c>
      <c r="I400" s="233">
        <v>2453652</v>
      </c>
      <c r="J400" s="232">
        <v>65556</v>
      </c>
      <c r="K400" s="221">
        <f t="shared" si="12"/>
        <v>7680492</v>
      </c>
      <c r="L400" s="232"/>
      <c r="M400" s="233">
        <v>486333</v>
      </c>
      <c r="N400" s="233">
        <v>0</v>
      </c>
      <c r="O400" s="232">
        <v>276825</v>
      </c>
      <c r="P400" s="221">
        <f t="shared" si="13"/>
        <v>763158</v>
      </c>
      <c r="Q400" s="232"/>
      <c r="R400" s="233">
        <v>5789936</v>
      </c>
      <c r="S400" s="234">
        <v>-128084</v>
      </c>
      <c r="T400" s="234">
        <v>5661852</v>
      </c>
    </row>
    <row r="401" spans="1:20">
      <c r="A401" s="227">
        <v>94127</v>
      </c>
      <c r="B401" s="228" t="s">
        <v>1111</v>
      </c>
      <c r="C401" s="87">
        <v>1.7310000000000001E-4</v>
      </c>
      <c r="D401" s="87">
        <v>1.528E-4</v>
      </c>
      <c r="E401" s="232">
        <v>264449</v>
      </c>
      <c r="F401" s="232"/>
      <c r="G401" s="233">
        <v>15235</v>
      </c>
      <c r="H401" s="221">
        <v>64208</v>
      </c>
      <c r="I401" s="233">
        <v>37767</v>
      </c>
      <c r="J401" s="232">
        <v>8697</v>
      </c>
      <c r="K401" s="221">
        <f t="shared" si="12"/>
        <v>125907</v>
      </c>
      <c r="L401" s="232"/>
      <c r="M401" s="233">
        <v>7486</v>
      </c>
      <c r="N401" s="233">
        <v>0</v>
      </c>
      <c r="O401" s="232">
        <v>398</v>
      </c>
      <c r="P401" s="221">
        <f t="shared" si="13"/>
        <v>7884</v>
      </c>
      <c r="Q401" s="232"/>
      <c r="R401" s="233">
        <v>89119</v>
      </c>
      <c r="S401" s="234">
        <v>2605</v>
      </c>
      <c r="T401" s="234">
        <v>91724</v>
      </c>
    </row>
    <row r="402" spans="1:20">
      <c r="A402" s="227">
        <v>94131</v>
      </c>
      <c r="B402" s="228" t="s">
        <v>1112</v>
      </c>
      <c r="C402" s="87">
        <v>1.7479999999999999E-4</v>
      </c>
      <c r="D402" s="87">
        <v>2.0049999999999999E-4</v>
      </c>
      <c r="E402" s="232">
        <v>267046</v>
      </c>
      <c r="F402" s="232"/>
      <c r="G402" s="233">
        <v>15384</v>
      </c>
      <c r="H402" s="221">
        <v>64840</v>
      </c>
      <c r="I402" s="233">
        <v>38138</v>
      </c>
      <c r="J402" s="232">
        <v>3004</v>
      </c>
      <c r="K402" s="221">
        <f t="shared" si="12"/>
        <v>121366</v>
      </c>
      <c r="L402" s="232"/>
      <c r="M402" s="233">
        <v>7559</v>
      </c>
      <c r="N402" s="233">
        <v>0</v>
      </c>
      <c r="O402" s="232">
        <v>9062</v>
      </c>
      <c r="P402" s="221">
        <f t="shared" si="13"/>
        <v>16621</v>
      </c>
      <c r="Q402" s="232"/>
      <c r="R402" s="233">
        <v>89995</v>
      </c>
      <c r="S402" s="234">
        <v>-1148</v>
      </c>
      <c r="T402" s="234">
        <v>88847</v>
      </c>
    </row>
    <row r="403" spans="1:20">
      <c r="A403" s="227">
        <v>94151</v>
      </c>
      <c r="B403" s="228" t="s">
        <v>1113</v>
      </c>
      <c r="C403" s="87">
        <v>4.1590000000000003E-4</v>
      </c>
      <c r="D403" s="87">
        <v>4.2870000000000001E-4</v>
      </c>
      <c r="E403" s="232">
        <v>635380</v>
      </c>
      <c r="F403" s="232"/>
      <c r="G403" s="233">
        <v>36604</v>
      </c>
      <c r="H403" s="221">
        <v>154271</v>
      </c>
      <c r="I403" s="233">
        <v>90741</v>
      </c>
      <c r="J403" s="232">
        <v>0</v>
      </c>
      <c r="K403" s="221">
        <f t="shared" si="12"/>
        <v>281616</v>
      </c>
      <c r="L403" s="232"/>
      <c r="M403" s="233">
        <v>17986</v>
      </c>
      <c r="N403" s="233">
        <v>0</v>
      </c>
      <c r="O403" s="232">
        <v>36672</v>
      </c>
      <c r="P403" s="221">
        <f t="shared" si="13"/>
        <v>54658</v>
      </c>
      <c r="Q403" s="232"/>
      <c r="R403" s="233">
        <v>214124</v>
      </c>
      <c r="S403" s="234">
        <v>-12878</v>
      </c>
      <c r="T403" s="234">
        <v>201246</v>
      </c>
    </row>
    <row r="404" spans="1:20">
      <c r="A404" s="227">
        <v>94157</v>
      </c>
      <c r="B404" s="228" t="s">
        <v>1114</v>
      </c>
      <c r="C404" s="87">
        <v>8.8999999999999995E-6</v>
      </c>
      <c r="D404" s="87">
        <v>9.3999999999999998E-6</v>
      </c>
      <c r="E404" s="232">
        <v>13597</v>
      </c>
      <c r="F404" s="232"/>
      <c r="G404" s="233">
        <v>783</v>
      </c>
      <c r="H404" s="221">
        <v>3302</v>
      </c>
      <c r="I404" s="233">
        <v>1942</v>
      </c>
      <c r="J404" s="232">
        <v>3748</v>
      </c>
      <c r="K404" s="221">
        <f t="shared" si="12"/>
        <v>9775</v>
      </c>
      <c r="L404" s="232"/>
      <c r="M404" s="233">
        <v>385</v>
      </c>
      <c r="N404" s="233">
        <v>0</v>
      </c>
      <c r="O404" s="232">
        <v>0</v>
      </c>
      <c r="P404" s="221">
        <f t="shared" si="13"/>
        <v>385</v>
      </c>
      <c r="Q404" s="232"/>
      <c r="R404" s="233">
        <v>4582</v>
      </c>
      <c r="S404" s="234">
        <v>2084</v>
      </c>
      <c r="T404" s="234">
        <v>6666</v>
      </c>
    </row>
    <row r="405" spans="1:20">
      <c r="A405" s="227">
        <v>94161</v>
      </c>
      <c r="B405" s="228" t="s">
        <v>1115</v>
      </c>
      <c r="C405" s="87">
        <v>5.1900000000000001E-5</v>
      </c>
      <c r="D405" s="87">
        <v>5.7899999999999998E-5</v>
      </c>
      <c r="E405" s="232">
        <v>79289</v>
      </c>
      <c r="F405" s="232"/>
      <c r="G405" s="233">
        <v>4568</v>
      </c>
      <c r="H405" s="221">
        <v>19252</v>
      </c>
      <c r="I405" s="233">
        <v>11324</v>
      </c>
      <c r="J405" s="232">
        <v>5455</v>
      </c>
      <c r="K405" s="221">
        <f t="shared" si="12"/>
        <v>40599</v>
      </c>
      <c r="L405" s="232"/>
      <c r="M405" s="233">
        <v>2244</v>
      </c>
      <c r="N405" s="233">
        <v>0</v>
      </c>
      <c r="O405" s="232">
        <v>3144</v>
      </c>
      <c r="P405" s="221">
        <f t="shared" si="13"/>
        <v>5388</v>
      </c>
      <c r="Q405" s="232"/>
      <c r="R405" s="233">
        <v>26720</v>
      </c>
      <c r="S405" s="234">
        <v>2302</v>
      </c>
      <c r="T405" s="234">
        <v>29022</v>
      </c>
    </row>
    <row r="406" spans="1:20">
      <c r="A406" s="227">
        <v>94168</v>
      </c>
      <c r="B406" s="228" t="s">
        <v>1116</v>
      </c>
      <c r="C406" s="87">
        <v>2.5899999999999999E-5</v>
      </c>
      <c r="D406" s="87">
        <v>3.4E-5</v>
      </c>
      <c r="E406" s="232">
        <v>39568</v>
      </c>
      <c r="F406" s="232"/>
      <c r="G406" s="233">
        <v>2279</v>
      </c>
      <c r="H406" s="221">
        <v>9607</v>
      </c>
      <c r="I406" s="233">
        <v>5651</v>
      </c>
      <c r="J406" s="232">
        <v>0</v>
      </c>
      <c r="K406" s="221">
        <f t="shared" si="12"/>
        <v>17537</v>
      </c>
      <c r="L406" s="232"/>
      <c r="M406" s="233">
        <v>1120</v>
      </c>
      <c r="N406" s="233">
        <v>0</v>
      </c>
      <c r="O406" s="232">
        <v>11664</v>
      </c>
      <c r="P406" s="221">
        <f t="shared" si="13"/>
        <v>12784</v>
      </c>
      <c r="Q406" s="232"/>
      <c r="R406" s="233">
        <v>13334</v>
      </c>
      <c r="S406" s="234">
        <v>-5442</v>
      </c>
      <c r="T406" s="234">
        <v>7892</v>
      </c>
    </row>
    <row r="407" spans="1:20">
      <c r="A407" s="227">
        <v>94171</v>
      </c>
      <c r="B407" s="228" t="s">
        <v>1117</v>
      </c>
      <c r="C407" s="87">
        <v>6.9800000000000003E-5</v>
      </c>
      <c r="D407" s="87">
        <v>5.5000000000000002E-5</v>
      </c>
      <c r="E407" s="232">
        <v>106635</v>
      </c>
      <c r="F407" s="232"/>
      <c r="G407" s="233">
        <v>6143</v>
      </c>
      <c r="H407" s="221">
        <v>25891</v>
      </c>
      <c r="I407" s="233">
        <v>15229</v>
      </c>
      <c r="J407" s="232">
        <v>10026</v>
      </c>
      <c r="K407" s="221">
        <f t="shared" si="12"/>
        <v>57289</v>
      </c>
      <c r="L407" s="232"/>
      <c r="M407" s="233">
        <v>3019</v>
      </c>
      <c r="N407" s="233">
        <v>0</v>
      </c>
      <c r="O407" s="232">
        <v>862</v>
      </c>
      <c r="P407" s="221">
        <f t="shared" si="13"/>
        <v>3881</v>
      </c>
      <c r="Q407" s="232"/>
      <c r="R407" s="233">
        <v>35936</v>
      </c>
      <c r="S407" s="234">
        <v>2780</v>
      </c>
      <c r="T407" s="234">
        <v>38716</v>
      </c>
    </row>
    <row r="408" spans="1:20">
      <c r="A408" s="227">
        <v>94172</v>
      </c>
      <c r="B408" s="228" t="s">
        <v>1118</v>
      </c>
      <c r="C408" s="87">
        <v>2.6289999999999999E-4</v>
      </c>
      <c r="D408" s="87">
        <v>2.6699999999999998E-4</v>
      </c>
      <c r="E408" s="232">
        <v>401638</v>
      </c>
      <c r="F408" s="232"/>
      <c r="G408" s="233">
        <v>23138</v>
      </c>
      <c r="H408" s="221">
        <v>97518</v>
      </c>
      <c r="I408" s="233">
        <v>57360</v>
      </c>
      <c r="J408" s="232">
        <v>0</v>
      </c>
      <c r="K408" s="221">
        <f t="shared" si="12"/>
        <v>178016</v>
      </c>
      <c r="L408" s="232"/>
      <c r="M408" s="233">
        <v>11369</v>
      </c>
      <c r="N408" s="233">
        <v>0</v>
      </c>
      <c r="O408" s="232">
        <v>90059</v>
      </c>
      <c r="P408" s="221">
        <f t="shared" si="13"/>
        <v>101428</v>
      </c>
      <c r="Q408" s="232"/>
      <c r="R408" s="233">
        <v>135352</v>
      </c>
      <c r="S408" s="234">
        <v>-41178</v>
      </c>
      <c r="T408" s="234">
        <v>94174</v>
      </c>
    </row>
    <row r="409" spans="1:20">
      <c r="A409" s="227">
        <v>94201</v>
      </c>
      <c r="B409" s="228" t="s">
        <v>1119</v>
      </c>
      <c r="C409" s="87">
        <v>3.3658999999999998E-3</v>
      </c>
      <c r="D409" s="87">
        <v>3.4813000000000001E-3</v>
      </c>
      <c r="E409" s="232">
        <v>5142163</v>
      </c>
      <c r="F409" s="232"/>
      <c r="G409" s="233">
        <v>296236</v>
      </c>
      <c r="H409" s="221">
        <v>1248524</v>
      </c>
      <c r="I409" s="233">
        <v>734372</v>
      </c>
      <c r="J409" s="232">
        <v>37947</v>
      </c>
      <c r="K409" s="221">
        <f t="shared" si="12"/>
        <v>2317079</v>
      </c>
      <c r="L409" s="232"/>
      <c r="M409" s="233">
        <v>145558</v>
      </c>
      <c r="N409" s="233">
        <v>0</v>
      </c>
      <c r="O409" s="232">
        <v>70514</v>
      </c>
      <c r="P409" s="221">
        <f t="shared" si="13"/>
        <v>216072</v>
      </c>
      <c r="Q409" s="232"/>
      <c r="R409" s="233">
        <v>1732913</v>
      </c>
      <c r="S409" s="234">
        <v>-942</v>
      </c>
      <c r="T409" s="234">
        <v>1731971</v>
      </c>
    </row>
    <row r="410" spans="1:20">
      <c r="A410" s="227">
        <v>94204</v>
      </c>
      <c r="B410" s="228" t="s">
        <v>1120</v>
      </c>
      <c r="C410" s="87">
        <v>2.5899999999999999E-5</v>
      </c>
      <c r="D410" s="87">
        <v>2.4899999999999999E-5</v>
      </c>
      <c r="E410" s="232">
        <v>39568</v>
      </c>
      <c r="F410" s="232"/>
      <c r="G410" s="233">
        <v>2279</v>
      </c>
      <c r="H410" s="221">
        <v>9607</v>
      </c>
      <c r="I410" s="233">
        <v>5651</v>
      </c>
      <c r="J410" s="232">
        <v>12190</v>
      </c>
      <c r="K410" s="221">
        <f t="shared" si="12"/>
        <v>29727</v>
      </c>
      <c r="L410" s="232"/>
      <c r="M410" s="233">
        <v>1120</v>
      </c>
      <c r="N410" s="233">
        <v>0</v>
      </c>
      <c r="O410" s="232">
        <v>0</v>
      </c>
      <c r="P410" s="221">
        <f t="shared" si="13"/>
        <v>1120</v>
      </c>
      <c r="Q410" s="232"/>
      <c r="R410" s="233">
        <v>13334</v>
      </c>
      <c r="S410" s="234">
        <v>4996</v>
      </c>
      <c r="T410" s="234">
        <v>18330</v>
      </c>
    </row>
    <row r="411" spans="1:20">
      <c r="A411" s="227">
        <v>94205</v>
      </c>
      <c r="B411" s="228" t="s">
        <v>1121</v>
      </c>
      <c r="C411" s="87">
        <v>2.0699999999999998E-5</v>
      </c>
      <c r="D411" s="87">
        <v>2.6100000000000001E-5</v>
      </c>
      <c r="E411" s="232">
        <v>31624</v>
      </c>
      <c r="F411" s="232"/>
      <c r="G411" s="233">
        <v>1822</v>
      </c>
      <c r="H411" s="221">
        <v>7678</v>
      </c>
      <c r="I411" s="233">
        <v>4516</v>
      </c>
      <c r="J411" s="232">
        <v>1652</v>
      </c>
      <c r="K411" s="221">
        <f t="shared" si="12"/>
        <v>15668</v>
      </c>
      <c r="L411" s="232"/>
      <c r="M411" s="233">
        <v>895</v>
      </c>
      <c r="N411" s="233">
        <v>0</v>
      </c>
      <c r="O411" s="232">
        <v>5048</v>
      </c>
      <c r="P411" s="221">
        <f t="shared" si="13"/>
        <v>5943</v>
      </c>
      <c r="Q411" s="232"/>
      <c r="R411" s="233">
        <v>10657</v>
      </c>
      <c r="S411" s="234">
        <v>-3026</v>
      </c>
      <c r="T411" s="234">
        <v>7631</v>
      </c>
    </row>
    <row r="412" spans="1:20">
      <c r="A412" s="227">
        <v>94209</v>
      </c>
      <c r="B412" s="228" t="s">
        <v>1122</v>
      </c>
      <c r="C412" s="87">
        <v>3.4190000000000002E-4</v>
      </c>
      <c r="D412" s="87">
        <v>3.2909999999999998E-4</v>
      </c>
      <c r="E412" s="232">
        <v>522328</v>
      </c>
      <c r="F412" s="232"/>
      <c r="G412" s="233">
        <v>30091</v>
      </c>
      <c r="H412" s="221">
        <v>126822</v>
      </c>
      <c r="I412" s="233">
        <v>74596</v>
      </c>
      <c r="J412" s="232">
        <v>23431</v>
      </c>
      <c r="K412" s="221">
        <f t="shared" si="12"/>
        <v>254940</v>
      </c>
      <c r="L412" s="232"/>
      <c r="M412" s="233">
        <v>14785</v>
      </c>
      <c r="N412" s="233">
        <v>0</v>
      </c>
      <c r="O412" s="232">
        <v>7196</v>
      </c>
      <c r="P412" s="221">
        <f t="shared" si="13"/>
        <v>21981</v>
      </c>
      <c r="Q412" s="232"/>
      <c r="R412" s="233">
        <v>176025</v>
      </c>
      <c r="S412" s="234">
        <v>9128</v>
      </c>
      <c r="T412" s="234">
        <v>185153</v>
      </c>
    </row>
    <row r="413" spans="1:20">
      <c r="A413" s="227">
        <v>94211</v>
      </c>
      <c r="B413" s="228" t="s">
        <v>1123</v>
      </c>
      <c r="C413" s="87">
        <v>1.3660000000000001E-4</v>
      </c>
      <c r="D413" s="87">
        <v>1.2400000000000001E-4</v>
      </c>
      <c r="E413" s="232">
        <v>208687</v>
      </c>
      <c r="F413" s="232"/>
      <c r="G413" s="233">
        <v>12022</v>
      </c>
      <c r="H413" s="221">
        <v>50669</v>
      </c>
      <c r="I413" s="233">
        <v>29803</v>
      </c>
      <c r="J413" s="232">
        <v>7857</v>
      </c>
      <c r="K413" s="221">
        <f t="shared" si="12"/>
        <v>100351</v>
      </c>
      <c r="L413" s="232"/>
      <c r="M413" s="233">
        <v>5907</v>
      </c>
      <c r="N413" s="233">
        <v>0</v>
      </c>
      <c r="O413" s="232">
        <v>17326</v>
      </c>
      <c r="P413" s="221">
        <f t="shared" si="13"/>
        <v>23233</v>
      </c>
      <c r="Q413" s="232"/>
      <c r="R413" s="233">
        <v>70328</v>
      </c>
      <c r="S413" s="234">
        <v>-11553</v>
      </c>
      <c r="T413" s="234">
        <v>58775</v>
      </c>
    </row>
    <row r="414" spans="1:20">
      <c r="A414" s="227">
        <v>94221</v>
      </c>
      <c r="B414" s="228" t="s">
        <v>1124</v>
      </c>
      <c r="C414" s="87">
        <v>1.0436E-3</v>
      </c>
      <c r="D414" s="87">
        <v>1.0705999999999999E-3</v>
      </c>
      <c r="E414" s="232">
        <v>1594332</v>
      </c>
      <c r="F414" s="232"/>
      <c r="G414" s="233">
        <v>91848</v>
      </c>
      <c r="H414" s="221">
        <v>387106</v>
      </c>
      <c r="I414" s="233">
        <v>227693</v>
      </c>
      <c r="J414" s="232">
        <v>63725</v>
      </c>
      <c r="K414" s="221">
        <f t="shared" si="12"/>
        <v>770372</v>
      </c>
      <c r="L414" s="232"/>
      <c r="M414" s="233">
        <v>45130</v>
      </c>
      <c r="N414" s="233">
        <v>0</v>
      </c>
      <c r="O414" s="232">
        <v>120971</v>
      </c>
      <c r="P414" s="221">
        <f t="shared" si="13"/>
        <v>166101</v>
      </c>
      <c r="Q414" s="232"/>
      <c r="R414" s="233">
        <v>537291</v>
      </c>
      <c r="S414" s="234">
        <v>-24799</v>
      </c>
      <c r="T414" s="234">
        <v>512492</v>
      </c>
    </row>
    <row r="415" spans="1:20">
      <c r="A415" s="227">
        <v>94231</v>
      </c>
      <c r="B415" s="228" t="s">
        <v>1125</v>
      </c>
      <c r="C415" s="87">
        <v>2.2609999999999999E-4</v>
      </c>
      <c r="D415" s="87">
        <v>2.1269999999999999E-4</v>
      </c>
      <c r="E415" s="232">
        <v>345418</v>
      </c>
      <c r="F415" s="232"/>
      <c r="G415" s="233">
        <v>19899</v>
      </c>
      <c r="H415" s="221">
        <v>83868</v>
      </c>
      <c r="I415" s="233">
        <v>49330</v>
      </c>
      <c r="J415" s="232">
        <v>8354</v>
      </c>
      <c r="K415" s="221">
        <f t="shared" si="12"/>
        <v>161451</v>
      </c>
      <c r="L415" s="232"/>
      <c r="M415" s="233">
        <v>9778</v>
      </c>
      <c r="N415" s="233">
        <v>0</v>
      </c>
      <c r="O415" s="232">
        <v>6714</v>
      </c>
      <c r="P415" s="221">
        <f t="shared" si="13"/>
        <v>16492</v>
      </c>
      <c r="Q415" s="232"/>
      <c r="R415" s="233">
        <v>116406</v>
      </c>
      <c r="S415" s="234">
        <v>-2799</v>
      </c>
      <c r="T415" s="234">
        <v>113607</v>
      </c>
    </row>
    <row r="416" spans="1:20">
      <c r="A416" s="227">
        <v>94241</v>
      </c>
      <c r="B416" s="228" t="s">
        <v>1126</v>
      </c>
      <c r="C416" s="87">
        <v>1.2669999999999999E-4</v>
      </c>
      <c r="D416" s="87">
        <v>8.4099999999999998E-5</v>
      </c>
      <c r="E416" s="232">
        <v>193563</v>
      </c>
      <c r="F416" s="232"/>
      <c r="G416" s="233">
        <v>11151</v>
      </c>
      <c r="H416" s="221">
        <v>46997</v>
      </c>
      <c r="I416" s="233">
        <v>27643</v>
      </c>
      <c r="J416" s="232">
        <v>26711</v>
      </c>
      <c r="K416" s="221">
        <f t="shared" si="12"/>
        <v>112502</v>
      </c>
      <c r="L416" s="232"/>
      <c r="M416" s="233">
        <v>5479</v>
      </c>
      <c r="N416" s="233">
        <v>0</v>
      </c>
      <c r="O416" s="232">
        <v>856</v>
      </c>
      <c r="P416" s="221">
        <f t="shared" si="13"/>
        <v>6335</v>
      </c>
      <c r="Q416" s="232"/>
      <c r="R416" s="233">
        <v>65231</v>
      </c>
      <c r="S416" s="234">
        <v>6835</v>
      </c>
      <c r="T416" s="234">
        <v>72066</v>
      </c>
    </row>
    <row r="417" spans="1:20">
      <c r="A417" s="227">
        <v>94251</v>
      </c>
      <c r="B417" s="228" t="s">
        <v>1127</v>
      </c>
      <c r="C417" s="87">
        <v>1.95E-5</v>
      </c>
      <c r="D417" s="87">
        <v>1.4E-5</v>
      </c>
      <c r="E417" s="232">
        <v>29791</v>
      </c>
      <c r="F417" s="232"/>
      <c r="G417" s="233">
        <v>1716</v>
      </c>
      <c r="H417" s="221">
        <v>7233</v>
      </c>
      <c r="I417" s="233">
        <v>4255</v>
      </c>
      <c r="J417" s="232">
        <v>3290</v>
      </c>
      <c r="K417" s="221">
        <f t="shared" si="12"/>
        <v>16494</v>
      </c>
      <c r="L417" s="232"/>
      <c r="M417" s="233">
        <v>843</v>
      </c>
      <c r="N417" s="233">
        <v>0</v>
      </c>
      <c r="O417" s="232">
        <v>6508</v>
      </c>
      <c r="P417" s="221">
        <f t="shared" si="13"/>
        <v>7351</v>
      </c>
      <c r="Q417" s="232"/>
      <c r="R417" s="233">
        <v>10039</v>
      </c>
      <c r="S417" s="234">
        <v>-2297</v>
      </c>
      <c r="T417" s="234">
        <v>7742</v>
      </c>
    </row>
    <row r="418" spans="1:20">
      <c r="A418" s="227">
        <v>94261</v>
      </c>
      <c r="B418" s="228" t="s">
        <v>1128</v>
      </c>
      <c r="C418" s="87">
        <v>3.9199999999999997E-5</v>
      </c>
      <c r="D418" s="87">
        <v>2.9499999999999999E-5</v>
      </c>
      <c r="E418" s="232">
        <v>59887</v>
      </c>
      <c r="F418" s="232"/>
      <c r="G418" s="233">
        <v>3450</v>
      </c>
      <c r="H418" s="221">
        <v>14541</v>
      </c>
      <c r="I418" s="233">
        <v>8553</v>
      </c>
      <c r="J418" s="232">
        <v>15518</v>
      </c>
      <c r="K418" s="221">
        <f t="shared" si="12"/>
        <v>42062</v>
      </c>
      <c r="L418" s="232"/>
      <c r="M418" s="233">
        <v>1695</v>
      </c>
      <c r="N418" s="233">
        <v>0</v>
      </c>
      <c r="O418" s="232">
        <v>0</v>
      </c>
      <c r="P418" s="221">
        <f t="shared" si="13"/>
        <v>1695</v>
      </c>
      <c r="Q418" s="232"/>
      <c r="R418" s="233">
        <v>20182</v>
      </c>
      <c r="S418" s="234">
        <v>5508</v>
      </c>
      <c r="T418" s="234">
        <v>25690</v>
      </c>
    </row>
    <row r="419" spans="1:20">
      <c r="A419" s="227">
        <v>94301</v>
      </c>
      <c r="B419" s="228" t="s">
        <v>1129</v>
      </c>
      <c r="C419" s="87">
        <v>6.2988999999999996E-3</v>
      </c>
      <c r="D419" s="87">
        <v>6.0746999999999997E-3</v>
      </c>
      <c r="E419" s="232">
        <v>9622974</v>
      </c>
      <c r="F419" s="232"/>
      <c r="G419" s="233">
        <v>554372</v>
      </c>
      <c r="H419" s="221">
        <v>2336470</v>
      </c>
      <c r="I419" s="233">
        <v>1374294</v>
      </c>
      <c r="J419" s="232">
        <v>85982</v>
      </c>
      <c r="K419" s="221">
        <f t="shared" si="12"/>
        <v>4351118</v>
      </c>
      <c r="L419" s="232"/>
      <c r="M419" s="233">
        <v>272396</v>
      </c>
      <c r="N419" s="233">
        <v>0</v>
      </c>
      <c r="O419" s="232">
        <v>117980</v>
      </c>
      <c r="P419" s="221">
        <f t="shared" si="13"/>
        <v>390376</v>
      </c>
      <c r="Q419" s="232"/>
      <c r="R419" s="233">
        <v>3242951</v>
      </c>
      <c r="S419" s="234">
        <v>-22710</v>
      </c>
      <c r="T419" s="234">
        <v>3220241</v>
      </c>
    </row>
    <row r="420" spans="1:20">
      <c r="A420" s="227">
        <v>94311</v>
      </c>
      <c r="B420" s="228" t="s">
        <v>1130</v>
      </c>
      <c r="C420" s="87">
        <v>7.8540000000000001E-4</v>
      </c>
      <c r="D420" s="87">
        <v>7.4399999999999998E-4</v>
      </c>
      <c r="E420" s="232">
        <v>1199874</v>
      </c>
      <c r="F420" s="232"/>
      <c r="G420" s="233">
        <v>69124</v>
      </c>
      <c r="H420" s="221">
        <v>291331</v>
      </c>
      <c r="I420" s="233">
        <v>171359</v>
      </c>
      <c r="J420" s="232">
        <v>26150</v>
      </c>
      <c r="K420" s="221">
        <f t="shared" si="12"/>
        <v>557964</v>
      </c>
      <c r="L420" s="232"/>
      <c r="M420" s="233">
        <v>33965</v>
      </c>
      <c r="N420" s="233">
        <v>0</v>
      </c>
      <c r="O420" s="232">
        <v>52115</v>
      </c>
      <c r="P420" s="221">
        <f t="shared" si="13"/>
        <v>86080</v>
      </c>
      <c r="Q420" s="232"/>
      <c r="R420" s="233">
        <v>404358</v>
      </c>
      <c r="S420" s="234">
        <v>-13365</v>
      </c>
      <c r="T420" s="234">
        <v>390993</v>
      </c>
    </row>
    <row r="421" spans="1:20">
      <c r="A421" s="227">
        <v>94313</v>
      </c>
      <c r="B421" s="228" t="s">
        <v>1131</v>
      </c>
      <c r="C421" s="87">
        <v>1.8700000000000001E-5</v>
      </c>
      <c r="D421" s="87">
        <v>2.0299999999999999E-5</v>
      </c>
      <c r="E421" s="232">
        <v>28568</v>
      </c>
      <c r="F421" s="232"/>
      <c r="G421" s="233">
        <v>1646</v>
      </c>
      <c r="H421" s="221">
        <v>6936</v>
      </c>
      <c r="I421" s="233">
        <v>4080</v>
      </c>
      <c r="J421" s="232">
        <v>7421</v>
      </c>
      <c r="K421" s="221">
        <f t="shared" si="12"/>
        <v>20083</v>
      </c>
      <c r="L421" s="232"/>
      <c r="M421" s="233">
        <v>809</v>
      </c>
      <c r="N421" s="233">
        <v>0</v>
      </c>
      <c r="O421" s="232">
        <v>0</v>
      </c>
      <c r="P421" s="221">
        <f t="shared" si="13"/>
        <v>809</v>
      </c>
      <c r="Q421" s="232"/>
      <c r="R421" s="233">
        <v>9628</v>
      </c>
      <c r="S421" s="234">
        <v>3124</v>
      </c>
      <c r="T421" s="234">
        <v>12752</v>
      </c>
    </row>
    <row r="422" spans="1:20">
      <c r="A422" s="227">
        <v>94317</v>
      </c>
      <c r="B422" s="228" t="s">
        <v>1132</v>
      </c>
      <c r="C422" s="87">
        <v>1.2E-5</v>
      </c>
      <c r="D422" s="87">
        <v>1.2099999999999999E-5</v>
      </c>
      <c r="E422" s="232">
        <v>18333</v>
      </c>
      <c r="F422" s="232"/>
      <c r="G422" s="233">
        <v>1056</v>
      </c>
      <c r="H422" s="221">
        <v>4451</v>
      </c>
      <c r="I422" s="233">
        <v>2618</v>
      </c>
      <c r="J422" s="232">
        <v>7663</v>
      </c>
      <c r="K422" s="221">
        <f t="shared" si="12"/>
        <v>15788</v>
      </c>
      <c r="L422" s="232"/>
      <c r="M422" s="233">
        <v>519</v>
      </c>
      <c r="N422" s="233">
        <v>0</v>
      </c>
      <c r="O422" s="232">
        <v>0</v>
      </c>
      <c r="P422" s="221">
        <f t="shared" si="13"/>
        <v>519</v>
      </c>
      <c r="Q422" s="232"/>
      <c r="R422" s="233">
        <v>6178</v>
      </c>
      <c r="S422" s="234">
        <v>3130</v>
      </c>
      <c r="T422" s="234">
        <v>9308</v>
      </c>
    </row>
    <row r="423" spans="1:20">
      <c r="A423" s="227">
        <v>94321</v>
      </c>
      <c r="B423" s="228" t="s">
        <v>1133</v>
      </c>
      <c r="C423" s="87">
        <v>2.7760000000000003E-4</v>
      </c>
      <c r="D423" s="87">
        <v>2.7070000000000002E-4</v>
      </c>
      <c r="E423" s="232">
        <v>424096</v>
      </c>
      <c r="F423" s="232"/>
      <c r="G423" s="233">
        <v>24432</v>
      </c>
      <c r="H423" s="221">
        <v>102971</v>
      </c>
      <c r="I423" s="233">
        <v>60567</v>
      </c>
      <c r="J423" s="232">
        <v>1692</v>
      </c>
      <c r="K423" s="221">
        <f t="shared" si="12"/>
        <v>189662</v>
      </c>
      <c r="L423" s="232"/>
      <c r="M423" s="233">
        <v>12005</v>
      </c>
      <c r="N423" s="233">
        <v>0</v>
      </c>
      <c r="O423" s="232">
        <v>19924</v>
      </c>
      <c r="P423" s="221">
        <f t="shared" si="13"/>
        <v>31929</v>
      </c>
      <c r="Q423" s="232"/>
      <c r="R423" s="233">
        <v>142921</v>
      </c>
      <c r="S423" s="234">
        <v>-5646</v>
      </c>
      <c r="T423" s="234">
        <v>137275</v>
      </c>
    </row>
    <row r="424" spans="1:20">
      <c r="A424" s="227">
        <v>94331</v>
      </c>
      <c r="B424" s="228" t="s">
        <v>1134</v>
      </c>
      <c r="C424" s="87">
        <v>1.3569999999999999E-4</v>
      </c>
      <c r="D424" s="87">
        <v>1.517E-4</v>
      </c>
      <c r="E424" s="232">
        <v>207312</v>
      </c>
      <c r="F424" s="232"/>
      <c r="G424" s="233">
        <v>11943</v>
      </c>
      <c r="H424" s="221">
        <v>50336</v>
      </c>
      <c r="I424" s="233">
        <v>29607</v>
      </c>
      <c r="J424" s="232">
        <v>7715</v>
      </c>
      <c r="K424" s="221">
        <f t="shared" si="12"/>
        <v>99601</v>
      </c>
      <c r="L424" s="232"/>
      <c r="M424" s="233">
        <v>5868</v>
      </c>
      <c r="N424" s="233">
        <v>0</v>
      </c>
      <c r="O424" s="232">
        <v>10557</v>
      </c>
      <c r="P424" s="221">
        <f t="shared" si="13"/>
        <v>16425</v>
      </c>
      <c r="Q424" s="232"/>
      <c r="R424" s="233">
        <v>69864</v>
      </c>
      <c r="S424" s="234">
        <v>2981</v>
      </c>
      <c r="T424" s="234">
        <v>72845</v>
      </c>
    </row>
    <row r="425" spans="1:20">
      <c r="A425" s="227">
        <v>94341</v>
      </c>
      <c r="B425" s="228" t="s">
        <v>1135</v>
      </c>
      <c r="C425" s="87">
        <v>9.4699999999999998E-5</v>
      </c>
      <c r="D425" s="87">
        <v>8.1000000000000004E-5</v>
      </c>
      <c r="E425" s="232">
        <v>144675</v>
      </c>
      <c r="F425" s="232"/>
      <c r="G425" s="233">
        <v>8335</v>
      </c>
      <c r="H425" s="221">
        <v>35127</v>
      </c>
      <c r="I425" s="233">
        <v>20662</v>
      </c>
      <c r="J425" s="232">
        <v>5564</v>
      </c>
      <c r="K425" s="221">
        <f t="shared" si="12"/>
        <v>69688</v>
      </c>
      <c r="L425" s="232"/>
      <c r="M425" s="233">
        <v>4095</v>
      </c>
      <c r="N425" s="233">
        <v>0</v>
      </c>
      <c r="O425" s="232">
        <v>5713</v>
      </c>
      <c r="P425" s="221">
        <f t="shared" si="13"/>
        <v>9808</v>
      </c>
      <c r="Q425" s="232"/>
      <c r="R425" s="233">
        <v>48756</v>
      </c>
      <c r="S425" s="234">
        <v>-1783</v>
      </c>
      <c r="T425" s="234">
        <v>46973</v>
      </c>
    </row>
    <row r="426" spans="1:20">
      <c r="A426" s="227">
        <v>94347</v>
      </c>
      <c r="B426" s="228" t="s">
        <v>1136</v>
      </c>
      <c r="C426" s="87">
        <v>1.22E-5</v>
      </c>
      <c r="D426" s="87">
        <v>1.2300000000000001E-5</v>
      </c>
      <c r="E426" s="232">
        <v>18638</v>
      </c>
      <c r="F426" s="232"/>
      <c r="G426" s="233">
        <v>1074</v>
      </c>
      <c r="H426" s="221">
        <v>4526</v>
      </c>
      <c r="I426" s="233">
        <v>2662</v>
      </c>
      <c r="J426" s="232">
        <v>4271</v>
      </c>
      <c r="K426" s="221">
        <f t="shared" si="12"/>
        <v>12533</v>
      </c>
      <c r="L426" s="232"/>
      <c r="M426" s="233">
        <v>528</v>
      </c>
      <c r="N426" s="233">
        <v>0</v>
      </c>
      <c r="O426" s="232">
        <v>0</v>
      </c>
      <c r="P426" s="221">
        <f t="shared" si="13"/>
        <v>528</v>
      </c>
      <c r="Q426" s="232"/>
      <c r="R426" s="233">
        <v>6281</v>
      </c>
      <c r="S426" s="234">
        <v>1892</v>
      </c>
      <c r="T426" s="234">
        <v>8173</v>
      </c>
    </row>
    <row r="427" spans="1:20">
      <c r="A427" s="227">
        <v>94351</v>
      </c>
      <c r="B427" s="228" t="s">
        <v>1137</v>
      </c>
      <c r="C427" s="87">
        <v>2.433E-4</v>
      </c>
      <c r="D427" s="87">
        <v>2.377E-4</v>
      </c>
      <c r="E427" s="232">
        <v>371695</v>
      </c>
      <c r="F427" s="232"/>
      <c r="G427" s="233">
        <v>21413</v>
      </c>
      <c r="H427" s="221">
        <v>90248</v>
      </c>
      <c r="I427" s="233">
        <v>53083</v>
      </c>
      <c r="J427" s="232">
        <v>1592</v>
      </c>
      <c r="K427" s="221">
        <f t="shared" si="12"/>
        <v>166336</v>
      </c>
      <c r="L427" s="232"/>
      <c r="M427" s="233">
        <v>10522</v>
      </c>
      <c r="N427" s="233">
        <v>0</v>
      </c>
      <c r="O427" s="232">
        <v>4723</v>
      </c>
      <c r="P427" s="221">
        <f t="shared" si="13"/>
        <v>15245</v>
      </c>
      <c r="Q427" s="232"/>
      <c r="R427" s="233">
        <v>125262</v>
      </c>
      <c r="S427" s="234">
        <v>-1683</v>
      </c>
      <c r="T427" s="234">
        <v>123579</v>
      </c>
    </row>
    <row r="428" spans="1:20">
      <c r="A428" s="227">
        <v>94401</v>
      </c>
      <c r="B428" s="228" t="s">
        <v>1138</v>
      </c>
      <c r="C428" s="87">
        <v>3.2718000000000001E-3</v>
      </c>
      <c r="D428" s="87">
        <v>3.4548999999999999E-3</v>
      </c>
      <c r="E428" s="232">
        <v>4998404</v>
      </c>
      <c r="F428" s="232"/>
      <c r="G428" s="233">
        <v>287954</v>
      </c>
      <c r="H428" s="221">
        <v>1213619</v>
      </c>
      <c r="I428" s="233">
        <v>713841</v>
      </c>
      <c r="J428" s="232">
        <v>20795</v>
      </c>
      <c r="K428" s="221">
        <f t="shared" si="12"/>
        <v>2236209</v>
      </c>
      <c r="L428" s="232"/>
      <c r="M428" s="233">
        <v>141489</v>
      </c>
      <c r="N428" s="233">
        <v>0</v>
      </c>
      <c r="O428" s="232">
        <v>83776</v>
      </c>
      <c r="P428" s="221">
        <f t="shared" si="13"/>
        <v>225265</v>
      </c>
      <c r="Q428" s="232"/>
      <c r="R428" s="233">
        <v>1684467</v>
      </c>
      <c r="S428" s="234">
        <v>-11283</v>
      </c>
      <c r="T428" s="234">
        <v>1673184</v>
      </c>
    </row>
    <row r="429" spans="1:20">
      <c r="A429" s="227">
        <v>94402</v>
      </c>
      <c r="B429" s="228" t="s">
        <v>1139</v>
      </c>
      <c r="C429" s="87">
        <v>0</v>
      </c>
      <c r="D429" s="87">
        <v>0</v>
      </c>
      <c r="E429" s="232">
        <v>0</v>
      </c>
      <c r="F429" s="232"/>
      <c r="G429" s="233">
        <v>0</v>
      </c>
      <c r="H429" s="221">
        <v>0</v>
      </c>
      <c r="I429" s="233">
        <v>0</v>
      </c>
      <c r="J429" s="232">
        <v>0</v>
      </c>
      <c r="K429" s="221">
        <f t="shared" si="12"/>
        <v>0</v>
      </c>
      <c r="L429" s="232"/>
      <c r="M429" s="233">
        <v>0</v>
      </c>
      <c r="N429" s="233">
        <v>0</v>
      </c>
      <c r="O429" s="232">
        <v>1774367</v>
      </c>
      <c r="P429" s="221">
        <f t="shared" si="13"/>
        <v>1774367</v>
      </c>
      <c r="Q429" s="232"/>
      <c r="R429" s="233">
        <v>0</v>
      </c>
      <c r="S429" s="234">
        <v>-1007431</v>
      </c>
      <c r="T429" s="234">
        <v>-1007431</v>
      </c>
    </row>
    <row r="430" spans="1:20">
      <c r="A430" s="227">
        <v>94403</v>
      </c>
      <c r="B430" s="228" t="s">
        <v>1140</v>
      </c>
      <c r="C430" s="87">
        <v>2.2099999999999998E-5</v>
      </c>
      <c r="D430" s="87">
        <v>0</v>
      </c>
      <c r="E430" s="232">
        <v>33763</v>
      </c>
      <c r="F430" s="232"/>
      <c r="G430" s="233">
        <v>1945</v>
      </c>
      <c r="H430" s="221">
        <v>8198</v>
      </c>
      <c r="I430" s="233">
        <v>4822</v>
      </c>
      <c r="J430" s="232">
        <v>14624</v>
      </c>
      <c r="K430" s="221">
        <f t="shared" si="12"/>
        <v>29589</v>
      </c>
      <c r="L430" s="232"/>
      <c r="M430" s="233">
        <v>956</v>
      </c>
      <c r="N430" s="233">
        <v>0</v>
      </c>
      <c r="O430" s="232">
        <v>0</v>
      </c>
      <c r="P430" s="221">
        <f t="shared" si="13"/>
        <v>956</v>
      </c>
      <c r="Q430" s="232"/>
      <c r="R430" s="233">
        <v>11378</v>
      </c>
      <c r="S430" s="234">
        <v>3656</v>
      </c>
      <c r="T430" s="234">
        <v>15034</v>
      </c>
    </row>
    <row r="431" spans="1:20">
      <c r="A431" s="227">
        <v>94408</v>
      </c>
      <c r="B431" s="228" t="s">
        <v>1141</v>
      </c>
      <c r="C431" s="87">
        <v>4.2400000000000001E-5</v>
      </c>
      <c r="D431" s="87">
        <v>4.0099999999999999E-5</v>
      </c>
      <c r="E431" s="232">
        <v>64775</v>
      </c>
      <c r="F431" s="232"/>
      <c r="G431" s="233">
        <v>3732</v>
      </c>
      <c r="H431" s="221">
        <v>15728</v>
      </c>
      <c r="I431" s="233">
        <v>9251</v>
      </c>
      <c r="J431" s="232">
        <v>7577</v>
      </c>
      <c r="K431" s="221">
        <f t="shared" si="12"/>
        <v>36288</v>
      </c>
      <c r="L431" s="232"/>
      <c r="M431" s="233">
        <v>1834</v>
      </c>
      <c r="N431" s="233">
        <v>0</v>
      </c>
      <c r="O431" s="232">
        <v>4064</v>
      </c>
      <c r="P431" s="221">
        <f t="shared" si="13"/>
        <v>5898</v>
      </c>
      <c r="Q431" s="232"/>
      <c r="R431" s="233">
        <v>21829</v>
      </c>
      <c r="S431" s="234">
        <v>382</v>
      </c>
      <c r="T431" s="234">
        <v>22211</v>
      </c>
    </row>
    <row r="432" spans="1:20">
      <c r="A432" s="227">
        <v>94411</v>
      </c>
      <c r="B432" s="228" t="s">
        <v>1142</v>
      </c>
      <c r="C432" s="87">
        <v>1.2672E-3</v>
      </c>
      <c r="D432" s="87">
        <v>1.1592E-3</v>
      </c>
      <c r="E432" s="232">
        <v>1935931</v>
      </c>
      <c r="F432" s="232"/>
      <c r="G432" s="233">
        <v>111528</v>
      </c>
      <c r="H432" s="221">
        <v>470046</v>
      </c>
      <c r="I432" s="233">
        <v>276478</v>
      </c>
      <c r="J432" s="232">
        <v>63511</v>
      </c>
      <c r="K432" s="221">
        <f t="shared" si="12"/>
        <v>921563</v>
      </c>
      <c r="L432" s="232"/>
      <c r="M432" s="233">
        <v>54800</v>
      </c>
      <c r="N432" s="233">
        <v>0</v>
      </c>
      <c r="O432" s="232">
        <v>4125</v>
      </c>
      <c r="P432" s="221">
        <f t="shared" si="13"/>
        <v>58925</v>
      </c>
      <c r="Q432" s="232"/>
      <c r="R432" s="233">
        <v>652410</v>
      </c>
      <c r="S432" s="234">
        <v>18114</v>
      </c>
      <c r="T432" s="234">
        <v>670524</v>
      </c>
    </row>
    <row r="433" spans="1:20">
      <c r="A433" s="227">
        <v>94412</v>
      </c>
      <c r="B433" s="228" t="s">
        <v>1143</v>
      </c>
      <c r="C433" s="87">
        <v>1.5099999999999999E-5</v>
      </c>
      <c r="D433" s="87">
        <v>1.63E-5</v>
      </c>
      <c r="E433" s="232">
        <v>23069</v>
      </c>
      <c r="F433" s="232"/>
      <c r="G433" s="233">
        <v>1329</v>
      </c>
      <c r="H433" s="221">
        <v>5602</v>
      </c>
      <c r="I433" s="233">
        <v>3295</v>
      </c>
      <c r="J433" s="232">
        <v>12533</v>
      </c>
      <c r="K433" s="221">
        <f t="shared" si="12"/>
        <v>22759</v>
      </c>
      <c r="L433" s="232"/>
      <c r="M433" s="233">
        <v>653</v>
      </c>
      <c r="N433" s="233">
        <v>0</v>
      </c>
      <c r="O433" s="232">
        <v>0</v>
      </c>
      <c r="P433" s="221">
        <f t="shared" si="13"/>
        <v>653</v>
      </c>
      <c r="Q433" s="232"/>
      <c r="R433" s="233">
        <v>7774</v>
      </c>
      <c r="S433" s="234">
        <v>5893</v>
      </c>
      <c r="T433" s="234">
        <v>13667</v>
      </c>
    </row>
    <row r="434" spans="1:20">
      <c r="A434" s="227">
        <v>94421</v>
      </c>
      <c r="B434" s="228" t="s">
        <v>1144</v>
      </c>
      <c r="C434" s="87">
        <v>1.6679999999999999E-4</v>
      </c>
      <c r="D434" s="87">
        <v>1.6899999999999999E-4</v>
      </c>
      <c r="E434" s="232">
        <v>254824</v>
      </c>
      <c r="F434" s="232"/>
      <c r="G434" s="233">
        <v>14680</v>
      </c>
      <c r="H434" s="221">
        <v>61871</v>
      </c>
      <c r="I434" s="233">
        <v>36392</v>
      </c>
      <c r="J434" s="232">
        <v>4157</v>
      </c>
      <c r="K434" s="221">
        <f t="shared" si="12"/>
        <v>117100</v>
      </c>
      <c r="L434" s="232"/>
      <c r="M434" s="233">
        <v>7213</v>
      </c>
      <c r="N434" s="233">
        <v>0</v>
      </c>
      <c r="O434" s="232">
        <v>6763</v>
      </c>
      <c r="P434" s="221">
        <f t="shared" si="13"/>
        <v>13976</v>
      </c>
      <c r="Q434" s="232"/>
      <c r="R434" s="233">
        <v>85876</v>
      </c>
      <c r="S434" s="234">
        <v>-3870</v>
      </c>
      <c r="T434" s="234">
        <v>82006</v>
      </c>
    </row>
    <row r="435" spans="1:20">
      <c r="A435" s="227">
        <v>94427</v>
      </c>
      <c r="B435" s="228" t="s">
        <v>1145</v>
      </c>
      <c r="C435" s="87">
        <v>1.5699999999999999E-5</v>
      </c>
      <c r="D435" s="87">
        <v>1.29E-5</v>
      </c>
      <c r="E435" s="232">
        <v>23985</v>
      </c>
      <c r="F435" s="232"/>
      <c r="G435" s="233">
        <v>1382</v>
      </c>
      <c r="H435" s="221">
        <v>5824</v>
      </c>
      <c r="I435" s="233">
        <v>3425</v>
      </c>
      <c r="J435" s="232">
        <v>4090</v>
      </c>
      <c r="K435" s="221">
        <f t="shared" si="12"/>
        <v>14721</v>
      </c>
      <c r="L435" s="232"/>
      <c r="M435" s="233">
        <v>679</v>
      </c>
      <c r="N435" s="233">
        <v>0</v>
      </c>
      <c r="O435" s="232">
        <v>478</v>
      </c>
      <c r="P435" s="221">
        <f t="shared" si="13"/>
        <v>1157</v>
      </c>
      <c r="Q435" s="232"/>
      <c r="R435" s="233">
        <v>8083</v>
      </c>
      <c r="S435" s="234">
        <v>943</v>
      </c>
      <c r="T435" s="234">
        <v>9026</v>
      </c>
    </row>
    <row r="436" spans="1:20">
      <c r="A436" s="227">
        <v>94428</v>
      </c>
      <c r="B436" s="228" t="s">
        <v>1146</v>
      </c>
      <c r="C436" s="87">
        <v>6.5199999999999999E-5</v>
      </c>
      <c r="D436" s="87">
        <v>7.4400000000000006E-5</v>
      </c>
      <c r="E436" s="232">
        <v>99608</v>
      </c>
      <c r="F436" s="232"/>
      <c r="G436" s="233">
        <v>5738</v>
      </c>
      <c r="H436" s="221">
        <v>24185</v>
      </c>
      <c r="I436" s="233">
        <v>14225</v>
      </c>
      <c r="J436" s="232">
        <v>2315</v>
      </c>
      <c r="K436" s="221">
        <f t="shared" si="12"/>
        <v>46463</v>
      </c>
      <c r="L436" s="232"/>
      <c r="M436" s="233">
        <v>2820</v>
      </c>
      <c r="N436" s="233">
        <v>0</v>
      </c>
      <c r="O436" s="232">
        <v>3346</v>
      </c>
      <c r="P436" s="221">
        <f t="shared" si="13"/>
        <v>6166</v>
      </c>
      <c r="Q436" s="232"/>
      <c r="R436" s="233">
        <v>33568</v>
      </c>
      <c r="S436" s="234">
        <v>366</v>
      </c>
      <c r="T436" s="234">
        <v>33934</v>
      </c>
    </row>
    <row r="437" spans="1:20">
      <c r="A437" s="227">
        <v>94431</v>
      </c>
      <c r="B437" s="228" t="s">
        <v>1147</v>
      </c>
      <c r="C437" s="87">
        <v>4.2440000000000002E-4</v>
      </c>
      <c r="D437" s="87">
        <v>3.7589999999999998E-4</v>
      </c>
      <c r="E437" s="232">
        <v>648366</v>
      </c>
      <c r="F437" s="232"/>
      <c r="G437" s="233">
        <v>37352</v>
      </c>
      <c r="H437" s="221">
        <v>157424</v>
      </c>
      <c r="I437" s="233">
        <v>92596</v>
      </c>
      <c r="J437" s="232">
        <v>210809</v>
      </c>
      <c r="K437" s="221">
        <f t="shared" si="12"/>
        <v>498181</v>
      </c>
      <c r="L437" s="232"/>
      <c r="M437" s="233">
        <v>18353</v>
      </c>
      <c r="N437" s="233">
        <v>0</v>
      </c>
      <c r="O437" s="232">
        <v>611</v>
      </c>
      <c r="P437" s="221">
        <f t="shared" si="13"/>
        <v>18964</v>
      </c>
      <c r="Q437" s="232"/>
      <c r="R437" s="233">
        <v>218500</v>
      </c>
      <c r="S437" s="234">
        <v>68328</v>
      </c>
      <c r="T437" s="234">
        <v>286828</v>
      </c>
    </row>
    <row r="438" spans="1:20">
      <c r="A438" s="227">
        <v>94437</v>
      </c>
      <c r="B438" s="228" t="s">
        <v>1148</v>
      </c>
      <c r="C438" s="87">
        <v>1.5299999999999999E-5</v>
      </c>
      <c r="D438" s="87">
        <v>1.34E-5</v>
      </c>
      <c r="E438" s="232">
        <v>23374</v>
      </c>
      <c r="F438" s="232"/>
      <c r="G438" s="233">
        <v>1347</v>
      </c>
      <c r="H438" s="221">
        <v>5675</v>
      </c>
      <c r="I438" s="233">
        <v>3338</v>
      </c>
      <c r="J438" s="232">
        <v>13868</v>
      </c>
      <c r="K438" s="221">
        <f t="shared" si="12"/>
        <v>24228</v>
      </c>
      <c r="L438" s="232"/>
      <c r="M438" s="233">
        <v>662</v>
      </c>
      <c r="N438" s="233">
        <v>0</v>
      </c>
      <c r="O438" s="232">
        <v>0</v>
      </c>
      <c r="P438" s="221">
        <f t="shared" si="13"/>
        <v>662</v>
      </c>
      <c r="Q438" s="232"/>
      <c r="R438" s="233">
        <v>7877</v>
      </c>
      <c r="S438" s="234">
        <v>5640</v>
      </c>
      <c r="T438" s="234">
        <v>13517</v>
      </c>
    </row>
    <row r="439" spans="1:20">
      <c r="A439" s="227">
        <v>94501</v>
      </c>
      <c r="B439" s="228" t="s">
        <v>1149</v>
      </c>
      <c r="C439" s="87">
        <v>5.6991000000000003E-3</v>
      </c>
      <c r="D439" s="87">
        <v>5.8474E-3</v>
      </c>
      <c r="E439" s="232">
        <v>8706646</v>
      </c>
      <c r="F439" s="232"/>
      <c r="G439" s="233">
        <v>501583</v>
      </c>
      <c r="H439" s="221">
        <v>2113984</v>
      </c>
      <c r="I439" s="233">
        <v>1243430</v>
      </c>
      <c r="J439" s="232">
        <v>145440</v>
      </c>
      <c r="K439" s="221">
        <f t="shared" si="12"/>
        <v>4004437</v>
      </c>
      <c r="L439" s="232"/>
      <c r="M439" s="233">
        <v>246458</v>
      </c>
      <c r="N439" s="233">
        <v>0</v>
      </c>
      <c r="O439" s="232">
        <v>11569</v>
      </c>
      <c r="P439" s="221">
        <f t="shared" si="13"/>
        <v>258027</v>
      </c>
      <c r="Q439" s="232"/>
      <c r="R439" s="233">
        <v>2934147</v>
      </c>
      <c r="S439" s="234">
        <v>99795</v>
      </c>
      <c r="T439" s="234">
        <v>3033942</v>
      </c>
    </row>
    <row r="440" spans="1:20">
      <c r="A440" s="227">
        <v>94511</v>
      </c>
      <c r="B440" s="228" t="s">
        <v>1150</v>
      </c>
      <c r="C440" s="87">
        <v>1.8538999999999999E-3</v>
      </c>
      <c r="D440" s="87">
        <v>1.7432000000000001E-3</v>
      </c>
      <c r="E440" s="232">
        <v>2832246</v>
      </c>
      <c r="F440" s="232"/>
      <c r="G440" s="233">
        <v>163164</v>
      </c>
      <c r="H440" s="221">
        <v>687673</v>
      </c>
      <c r="I440" s="233">
        <v>404484</v>
      </c>
      <c r="J440" s="232">
        <v>155537</v>
      </c>
      <c r="K440" s="221">
        <f t="shared" si="12"/>
        <v>1410858</v>
      </c>
      <c r="L440" s="232"/>
      <c r="M440" s="233">
        <v>80172</v>
      </c>
      <c r="N440" s="233">
        <v>0</v>
      </c>
      <c r="O440" s="232">
        <v>31633</v>
      </c>
      <c r="P440" s="221">
        <f t="shared" si="13"/>
        <v>111805</v>
      </c>
      <c r="Q440" s="232"/>
      <c r="R440" s="233">
        <v>954469</v>
      </c>
      <c r="S440" s="234">
        <v>72914</v>
      </c>
      <c r="T440" s="234">
        <v>1027383</v>
      </c>
    </row>
    <row r="441" spans="1:20">
      <c r="A441" s="227">
        <v>94512</v>
      </c>
      <c r="B441" s="228" t="s">
        <v>1151</v>
      </c>
      <c r="C441" s="87">
        <v>0</v>
      </c>
      <c r="D441" s="87">
        <v>0</v>
      </c>
      <c r="E441" s="232">
        <v>0</v>
      </c>
      <c r="F441" s="232"/>
      <c r="G441" s="233">
        <v>0</v>
      </c>
      <c r="H441" s="221">
        <v>0</v>
      </c>
      <c r="I441" s="233">
        <v>0</v>
      </c>
      <c r="J441" s="232">
        <v>0</v>
      </c>
      <c r="K441" s="221">
        <f t="shared" si="12"/>
        <v>0</v>
      </c>
      <c r="L441" s="232"/>
      <c r="M441" s="233">
        <v>0</v>
      </c>
      <c r="N441" s="233">
        <v>0</v>
      </c>
      <c r="O441" s="232">
        <v>138579</v>
      </c>
      <c r="P441" s="221">
        <f t="shared" si="13"/>
        <v>138579</v>
      </c>
      <c r="Q441" s="232"/>
      <c r="R441" s="233">
        <v>0</v>
      </c>
      <c r="S441" s="234">
        <v>-78713</v>
      </c>
      <c r="T441" s="234">
        <v>-78713</v>
      </c>
    </row>
    <row r="442" spans="1:20">
      <c r="A442" s="227">
        <v>94517</v>
      </c>
      <c r="B442" s="228" t="s">
        <v>1152</v>
      </c>
      <c r="C442" s="87">
        <v>4.7599999999999998E-5</v>
      </c>
      <c r="D442" s="87">
        <v>4.9599999999999999E-5</v>
      </c>
      <c r="E442" s="232">
        <v>72720</v>
      </c>
      <c r="F442" s="232"/>
      <c r="G442" s="233">
        <v>4189</v>
      </c>
      <c r="H442" s="221">
        <v>17656</v>
      </c>
      <c r="I442" s="233">
        <v>10385</v>
      </c>
      <c r="J442" s="232">
        <v>18702</v>
      </c>
      <c r="K442" s="221">
        <f t="shared" si="12"/>
        <v>50932</v>
      </c>
      <c r="L442" s="232"/>
      <c r="M442" s="233">
        <v>2058</v>
      </c>
      <c r="N442" s="233">
        <v>0</v>
      </c>
      <c r="O442" s="232">
        <v>0</v>
      </c>
      <c r="P442" s="221">
        <f t="shared" si="13"/>
        <v>2058</v>
      </c>
      <c r="Q442" s="232"/>
      <c r="R442" s="233">
        <v>24507</v>
      </c>
      <c r="S442" s="234">
        <v>9021</v>
      </c>
      <c r="T442" s="234">
        <v>33528</v>
      </c>
    </row>
    <row r="443" spans="1:20">
      <c r="A443" s="227">
        <v>94521</v>
      </c>
      <c r="B443" s="228" t="s">
        <v>1153</v>
      </c>
      <c r="C443" s="87">
        <v>1.517E-4</v>
      </c>
      <c r="D443" s="87">
        <v>1.2410000000000001E-4</v>
      </c>
      <c r="E443" s="232">
        <v>231756</v>
      </c>
      <c r="F443" s="232"/>
      <c r="G443" s="233">
        <v>13351</v>
      </c>
      <c r="H443" s="221">
        <v>56271</v>
      </c>
      <c r="I443" s="233">
        <v>33098</v>
      </c>
      <c r="J443" s="232">
        <v>15354</v>
      </c>
      <c r="K443" s="221">
        <f t="shared" si="12"/>
        <v>118074</v>
      </c>
      <c r="L443" s="232"/>
      <c r="M443" s="233">
        <v>6560</v>
      </c>
      <c r="N443" s="233">
        <v>0</v>
      </c>
      <c r="O443" s="232">
        <v>13856</v>
      </c>
      <c r="P443" s="221">
        <f t="shared" si="13"/>
        <v>20416</v>
      </c>
      <c r="Q443" s="232"/>
      <c r="R443" s="233">
        <v>78102</v>
      </c>
      <c r="S443" s="234">
        <v>429</v>
      </c>
      <c r="T443" s="234">
        <v>78531</v>
      </c>
    </row>
    <row r="444" spans="1:20">
      <c r="A444" s="227">
        <v>94527</v>
      </c>
      <c r="B444" s="228" t="s">
        <v>1154</v>
      </c>
      <c r="C444" s="87">
        <v>5.4E-6</v>
      </c>
      <c r="D444" s="87">
        <v>6.3999999999999997E-6</v>
      </c>
      <c r="E444" s="232">
        <v>8250</v>
      </c>
      <c r="F444" s="232"/>
      <c r="G444" s="233">
        <v>475</v>
      </c>
      <c r="H444" s="221">
        <v>2003</v>
      </c>
      <c r="I444" s="233">
        <v>1178</v>
      </c>
      <c r="J444" s="232">
        <v>308</v>
      </c>
      <c r="K444" s="221">
        <f t="shared" si="12"/>
        <v>3964</v>
      </c>
      <c r="L444" s="232"/>
      <c r="M444" s="233">
        <v>234</v>
      </c>
      <c r="N444" s="233">
        <v>0</v>
      </c>
      <c r="O444" s="232">
        <v>3369</v>
      </c>
      <c r="P444" s="221">
        <f t="shared" si="13"/>
        <v>3603</v>
      </c>
      <c r="Q444" s="232"/>
      <c r="R444" s="233">
        <v>2780</v>
      </c>
      <c r="S444" s="234">
        <v>-953</v>
      </c>
      <c r="T444" s="234">
        <v>1827</v>
      </c>
    </row>
    <row r="445" spans="1:20">
      <c r="A445" s="227">
        <v>94531</v>
      </c>
      <c r="B445" s="228" t="s">
        <v>1155</v>
      </c>
      <c r="C445" s="87">
        <v>1.5E-5</v>
      </c>
      <c r="D445" s="87">
        <v>1.5500000000000001E-5</v>
      </c>
      <c r="E445" s="232">
        <v>22916</v>
      </c>
      <c r="F445" s="232"/>
      <c r="G445" s="233">
        <v>1320</v>
      </c>
      <c r="H445" s="221">
        <v>5564</v>
      </c>
      <c r="I445" s="233">
        <v>3273</v>
      </c>
      <c r="J445" s="232">
        <v>6665</v>
      </c>
      <c r="K445" s="221">
        <f t="shared" si="12"/>
        <v>16822</v>
      </c>
      <c r="L445" s="232"/>
      <c r="M445" s="233">
        <v>649</v>
      </c>
      <c r="N445" s="233">
        <v>0</v>
      </c>
      <c r="O445" s="232">
        <v>0</v>
      </c>
      <c r="P445" s="221">
        <f t="shared" si="13"/>
        <v>649</v>
      </c>
      <c r="Q445" s="232"/>
      <c r="R445" s="233">
        <v>7723</v>
      </c>
      <c r="S445" s="234">
        <v>2681</v>
      </c>
      <c r="T445" s="234">
        <v>10404</v>
      </c>
    </row>
    <row r="446" spans="1:20">
      <c r="A446" s="227">
        <v>94532</v>
      </c>
      <c r="B446" s="228" t="s">
        <v>1156</v>
      </c>
      <c r="C446" s="87">
        <v>8.7800000000000006E-5</v>
      </c>
      <c r="D446" s="87">
        <v>9.4099999999999997E-5</v>
      </c>
      <c r="E446" s="232">
        <v>134134</v>
      </c>
      <c r="F446" s="232"/>
      <c r="G446" s="233">
        <v>7727</v>
      </c>
      <c r="H446" s="221">
        <v>32568</v>
      </c>
      <c r="I446" s="233">
        <v>19156</v>
      </c>
      <c r="J446" s="232">
        <v>0</v>
      </c>
      <c r="K446" s="221">
        <f t="shared" si="12"/>
        <v>59451</v>
      </c>
      <c r="L446" s="232"/>
      <c r="M446" s="233">
        <v>3797</v>
      </c>
      <c r="N446" s="233">
        <v>0</v>
      </c>
      <c r="O446" s="232">
        <v>10367</v>
      </c>
      <c r="P446" s="221">
        <f t="shared" si="13"/>
        <v>14164</v>
      </c>
      <c r="Q446" s="232"/>
      <c r="R446" s="233">
        <v>45203</v>
      </c>
      <c r="S446" s="234">
        <v>-5525</v>
      </c>
      <c r="T446" s="234">
        <v>39678</v>
      </c>
    </row>
    <row r="447" spans="1:20">
      <c r="A447" s="227">
        <v>94541</v>
      </c>
      <c r="B447" s="228" t="s">
        <v>1157</v>
      </c>
      <c r="C447" s="87">
        <v>2.9300000000000002E-4</v>
      </c>
      <c r="D447" s="87">
        <v>2.9839999999999999E-4</v>
      </c>
      <c r="E447" s="232">
        <v>447623</v>
      </c>
      <c r="F447" s="232"/>
      <c r="G447" s="233">
        <v>25787</v>
      </c>
      <c r="H447" s="221">
        <v>108683</v>
      </c>
      <c r="I447" s="233">
        <v>63927</v>
      </c>
      <c r="J447" s="232">
        <v>0</v>
      </c>
      <c r="K447" s="221">
        <f t="shared" si="12"/>
        <v>198397</v>
      </c>
      <c r="L447" s="232"/>
      <c r="M447" s="233">
        <v>12671</v>
      </c>
      <c r="N447" s="233">
        <v>0</v>
      </c>
      <c r="O447" s="232">
        <v>27614</v>
      </c>
      <c r="P447" s="221">
        <f t="shared" si="13"/>
        <v>40285</v>
      </c>
      <c r="Q447" s="232"/>
      <c r="R447" s="233">
        <v>150849</v>
      </c>
      <c r="S447" s="234">
        <v>-10625</v>
      </c>
      <c r="T447" s="234">
        <v>140224</v>
      </c>
    </row>
    <row r="448" spans="1:20">
      <c r="A448" s="227">
        <v>94547</v>
      </c>
      <c r="B448" s="228" t="s">
        <v>1158</v>
      </c>
      <c r="C448" s="87">
        <v>1.08E-5</v>
      </c>
      <c r="D448" s="87">
        <v>1.24E-5</v>
      </c>
      <c r="E448" s="232">
        <v>16499</v>
      </c>
      <c r="F448" s="232"/>
      <c r="G448" s="233">
        <v>951</v>
      </c>
      <c r="H448" s="221">
        <v>4006</v>
      </c>
      <c r="I448" s="233">
        <v>2356</v>
      </c>
      <c r="J448" s="232">
        <v>2853</v>
      </c>
      <c r="K448" s="221">
        <f t="shared" si="12"/>
        <v>10166</v>
      </c>
      <c r="L448" s="232"/>
      <c r="M448" s="233">
        <v>467</v>
      </c>
      <c r="N448" s="233">
        <v>0</v>
      </c>
      <c r="O448" s="232">
        <v>0</v>
      </c>
      <c r="P448" s="221">
        <f t="shared" si="13"/>
        <v>467</v>
      </c>
      <c r="Q448" s="232"/>
      <c r="R448" s="233">
        <v>5560</v>
      </c>
      <c r="S448" s="234">
        <v>1000</v>
      </c>
      <c r="T448" s="234">
        <v>6560</v>
      </c>
    </row>
    <row r="449" spans="1:20">
      <c r="A449" s="227">
        <v>94551</v>
      </c>
      <c r="B449" s="228" t="s">
        <v>1159</v>
      </c>
      <c r="C449" s="87">
        <v>4.1900000000000002E-5</v>
      </c>
      <c r="D449" s="87">
        <v>4.5899999999999998E-5</v>
      </c>
      <c r="E449" s="232">
        <v>64012</v>
      </c>
      <c r="F449" s="232"/>
      <c r="G449" s="233">
        <v>3688</v>
      </c>
      <c r="H449" s="221">
        <v>15543</v>
      </c>
      <c r="I449" s="233">
        <v>9142</v>
      </c>
      <c r="J449" s="232">
        <v>11600</v>
      </c>
      <c r="K449" s="221">
        <f t="shared" si="12"/>
        <v>39973</v>
      </c>
      <c r="L449" s="232"/>
      <c r="M449" s="233">
        <v>1812</v>
      </c>
      <c r="N449" s="233">
        <v>0</v>
      </c>
      <c r="O449" s="232">
        <v>1576</v>
      </c>
      <c r="P449" s="221">
        <f t="shared" si="13"/>
        <v>3388</v>
      </c>
      <c r="Q449" s="232"/>
      <c r="R449" s="233">
        <v>21572</v>
      </c>
      <c r="S449" s="234">
        <v>4116</v>
      </c>
      <c r="T449" s="234">
        <v>25688</v>
      </c>
    </row>
    <row r="450" spans="1:20">
      <c r="A450" s="227">
        <v>94601</v>
      </c>
      <c r="B450" s="228" t="s">
        <v>1160</v>
      </c>
      <c r="C450" s="87">
        <v>1.0602999999999999E-3</v>
      </c>
      <c r="D450" s="87">
        <v>1.0011E-3</v>
      </c>
      <c r="E450" s="232">
        <v>1619845</v>
      </c>
      <c r="F450" s="232"/>
      <c r="G450" s="233">
        <v>93318</v>
      </c>
      <c r="H450" s="221">
        <v>393300</v>
      </c>
      <c r="I450" s="233">
        <v>231336</v>
      </c>
      <c r="J450" s="232">
        <v>77480</v>
      </c>
      <c r="K450" s="221">
        <f t="shared" si="12"/>
        <v>795434</v>
      </c>
      <c r="L450" s="232"/>
      <c r="M450" s="233">
        <v>45853</v>
      </c>
      <c r="N450" s="233">
        <v>0</v>
      </c>
      <c r="O450" s="232">
        <v>2182</v>
      </c>
      <c r="P450" s="221">
        <f t="shared" si="13"/>
        <v>48035</v>
      </c>
      <c r="Q450" s="232"/>
      <c r="R450" s="233">
        <v>545889</v>
      </c>
      <c r="S450" s="234">
        <v>21640</v>
      </c>
      <c r="T450" s="234">
        <v>567529</v>
      </c>
    </row>
    <row r="451" spans="1:20">
      <c r="A451" s="227">
        <v>94604</v>
      </c>
      <c r="B451" s="228" t="s">
        <v>1161</v>
      </c>
      <c r="C451" s="87">
        <v>2.62E-5</v>
      </c>
      <c r="D451" s="87">
        <v>2.65E-5</v>
      </c>
      <c r="E451" s="232">
        <v>40026</v>
      </c>
      <c r="F451" s="232"/>
      <c r="G451" s="233">
        <v>2306</v>
      </c>
      <c r="H451" s="221">
        <v>9718</v>
      </c>
      <c r="I451" s="233">
        <v>5716</v>
      </c>
      <c r="J451" s="232">
        <v>2471</v>
      </c>
      <c r="K451" s="221">
        <f t="shared" si="12"/>
        <v>20211</v>
      </c>
      <c r="L451" s="232"/>
      <c r="M451" s="233">
        <v>1133</v>
      </c>
      <c r="N451" s="233">
        <v>0</v>
      </c>
      <c r="O451" s="232">
        <v>26</v>
      </c>
      <c r="P451" s="221">
        <f t="shared" si="13"/>
        <v>1159</v>
      </c>
      <c r="Q451" s="232"/>
      <c r="R451" s="233">
        <v>13489</v>
      </c>
      <c r="S451" s="234">
        <v>697</v>
      </c>
      <c r="T451" s="234">
        <v>14186</v>
      </c>
    </row>
    <row r="452" spans="1:20">
      <c r="A452" s="227">
        <v>94606</v>
      </c>
      <c r="B452" s="228" t="s">
        <v>1162</v>
      </c>
      <c r="C452" s="87">
        <v>2.3550000000000001E-4</v>
      </c>
      <c r="D452" s="87">
        <v>2.6229999999999998E-4</v>
      </c>
      <c r="E452" s="232">
        <v>359779</v>
      </c>
      <c r="F452" s="232"/>
      <c r="G452" s="233">
        <v>20727</v>
      </c>
      <c r="H452" s="221">
        <v>87355</v>
      </c>
      <c r="I452" s="233">
        <v>51381</v>
      </c>
      <c r="J452" s="232">
        <v>0</v>
      </c>
      <c r="K452" s="221">
        <f t="shared" si="12"/>
        <v>159463</v>
      </c>
      <c r="L452" s="232"/>
      <c r="M452" s="233">
        <v>10184</v>
      </c>
      <c r="N452" s="233">
        <v>0</v>
      </c>
      <c r="O452" s="232">
        <v>51703</v>
      </c>
      <c r="P452" s="221">
        <f t="shared" si="13"/>
        <v>61887</v>
      </c>
      <c r="Q452" s="232"/>
      <c r="R452" s="233">
        <v>121246</v>
      </c>
      <c r="S452" s="234">
        <v>-24169</v>
      </c>
      <c r="T452" s="234">
        <v>97077</v>
      </c>
    </row>
    <row r="453" spans="1:20">
      <c r="A453" s="227">
        <v>94611</v>
      </c>
      <c r="B453" s="228" t="s">
        <v>1163</v>
      </c>
      <c r="C453" s="87">
        <v>3.6850000000000001E-4</v>
      </c>
      <c r="D453" s="87">
        <v>4.4450000000000002E-4</v>
      </c>
      <c r="E453" s="232">
        <v>562966</v>
      </c>
      <c r="F453" s="232"/>
      <c r="G453" s="233">
        <v>32432</v>
      </c>
      <c r="H453" s="221">
        <v>136689</v>
      </c>
      <c r="I453" s="233">
        <v>80399</v>
      </c>
      <c r="J453" s="232">
        <v>2567</v>
      </c>
      <c r="K453" s="221">
        <f t="shared" si="12"/>
        <v>252087</v>
      </c>
      <c r="L453" s="232"/>
      <c r="M453" s="233">
        <v>15936</v>
      </c>
      <c r="N453" s="233">
        <v>0</v>
      </c>
      <c r="O453" s="232">
        <v>35426</v>
      </c>
      <c r="P453" s="221">
        <f t="shared" si="13"/>
        <v>51362</v>
      </c>
      <c r="Q453" s="232"/>
      <c r="R453" s="233">
        <v>189720</v>
      </c>
      <c r="S453" s="234">
        <v>-9323</v>
      </c>
      <c r="T453" s="234">
        <v>180397</v>
      </c>
    </row>
    <row r="454" spans="1:20">
      <c r="A454" s="227">
        <v>94621</v>
      </c>
      <c r="B454" s="228" t="s">
        <v>1164</v>
      </c>
      <c r="C454" s="87">
        <v>9.7600000000000001E-5</v>
      </c>
      <c r="D454" s="87">
        <v>1.3119999999999999E-4</v>
      </c>
      <c r="E454" s="232">
        <v>149106</v>
      </c>
      <c r="F454" s="232"/>
      <c r="G454" s="233">
        <v>8590</v>
      </c>
      <c r="H454" s="221">
        <v>36203</v>
      </c>
      <c r="I454" s="233">
        <v>21294</v>
      </c>
      <c r="J454" s="232">
        <v>6585</v>
      </c>
      <c r="K454" s="221">
        <f t="shared" si="12"/>
        <v>72672</v>
      </c>
      <c r="L454" s="232"/>
      <c r="M454" s="233">
        <v>4221</v>
      </c>
      <c r="N454" s="233">
        <v>0</v>
      </c>
      <c r="O454" s="232">
        <v>18055</v>
      </c>
      <c r="P454" s="221">
        <f t="shared" si="13"/>
        <v>22276</v>
      </c>
      <c r="Q454" s="232"/>
      <c r="R454" s="233">
        <v>50249</v>
      </c>
      <c r="S454" s="234">
        <v>-1288</v>
      </c>
      <c r="T454" s="234">
        <v>48961</v>
      </c>
    </row>
    <row r="455" spans="1:20">
      <c r="A455" s="227">
        <v>94631</v>
      </c>
      <c r="B455" s="228" t="s">
        <v>1165</v>
      </c>
      <c r="C455" s="87">
        <v>3.9100000000000002E-5</v>
      </c>
      <c r="D455" s="87">
        <v>3.9799999999999998E-5</v>
      </c>
      <c r="E455" s="232">
        <v>59734</v>
      </c>
      <c r="F455" s="232"/>
      <c r="G455" s="233">
        <v>3441</v>
      </c>
      <c r="H455" s="221">
        <v>14504</v>
      </c>
      <c r="I455" s="233">
        <v>8531</v>
      </c>
      <c r="J455" s="232">
        <v>6569</v>
      </c>
      <c r="K455" s="221">
        <f t="shared" si="12"/>
        <v>33045</v>
      </c>
      <c r="L455" s="232"/>
      <c r="M455" s="233">
        <v>1691</v>
      </c>
      <c r="N455" s="233">
        <v>0</v>
      </c>
      <c r="O455" s="232">
        <v>0</v>
      </c>
      <c r="P455" s="221">
        <f t="shared" si="13"/>
        <v>1691</v>
      </c>
      <c r="Q455" s="232"/>
      <c r="R455" s="233">
        <v>20130</v>
      </c>
      <c r="S455" s="234">
        <v>2517</v>
      </c>
      <c r="T455" s="234">
        <v>22647</v>
      </c>
    </row>
    <row r="456" spans="1:20">
      <c r="A456" s="227">
        <v>94641</v>
      </c>
      <c r="B456" s="228" t="s">
        <v>1166</v>
      </c>
      <c r="C456" s="87">
        <v>3.8999999999999999E-6</v>
      </c>
      <c r="D456" s="87">
        <v>4.6999999999999999E-6</v>
      </c>
      <c r="E456" s="232">
        <v>5958</v>
      </c>
      <c r="F456" s="232"/>
      <c r="G456" s="233">
        <v>343</v>
      </c>
      <c r="H456" s="221">
        <v>1446</v>
      </c>
      <c r="I456" s="233">
        <v>851</v>
      </c>
      <c r="J456" s="232">
        <v>5156</v>
      </c>
      <c r="K456" s="221">
        <f t="shared" si="12"/>
        <v>7796</v>
      </c>
      <c r="L456" s="232"/>
      <c r="M456" s="233">
        <v>169</v>
      </c>
      <c r="N456" s="233">
        <v>0</v>
      </c>
      <c r="O456" s="232">
        <v>0</v>
      </c>
      <c r="P456" s="221">
        <f t="shared" si="13"/>
        <v>169</v>
      </c>
      <c r="Q456" s="232"/>
      <c r="R456" s="233">
        <v>2008</v>
      </c>
      <c r="S456" s="234">
        <v>2187</v>
      </c>
      <c r="T456" s="234">
        <v>4195</v>
      </c>
    </row>
    <row r="457" spans="1:20">
      <c r="A457" s="227">
        <v>94701</v>
      </c>
      <c r="B457" s="228" t="s">
        <v>1167</v>
      </c>
      <c r="C457" s="87">
        <v>2.5446000000000002E-3</v>
      </c>
      <c r="D457" s="87">
        <v>2.5636000000000001E-3</v>
      </c>
      <c r="E457" s="232">
        <v>3887444</v>
      </c>
      <c r="F457" s="232"/>
      <c r="G457" s="233">
        <v>223953</v>
      </c>
      <c r="H457" s="221">
        <v>943877</v>
      </c>
      <c r="I457" s="233">
        <v>555181</v>
      </c>
      <c r="J457" s="232">
        <v>45251</v>
      </c>
      <c r="K457" s="221">
        <f t="shared" ref="K457:K520" si="14">G457+H457+I457+J457</f>
        <v>1768262</v>
      </c>
      <c r="L457" s="232"/>
      <c r="M457" s="233">
        <v>110041</v>
      </c>
      <c r="N457" s="233">
        <v>0</v>
      </c>
      <c r="O457" s="232">
        <v>103182</v>
      </c>
      <c r="P457" s="221">
        <f t="shared" ref="P457:P520" si="15">M457+N457+O457</f>
        <v>213223</v>
      </c>
      <c r="Q457" s="232"/>
      <c r="R457" s="233">
        <v>1310072</v>
      </c>
      <c r="S457" s="234">
        <v>-2731</v>
      </c>
      <c r="T457" s="234">
        <v>1307341</v>
      </c>
    </row>
    <row r="458" spans="1:20">
      <c r="A458" s="227">
        <v>94704</v>
      </c>
      <c r="B458" s="228" t="s">
        <v>1168</v>
      </c>
      <c r="C458" s="87">
        <v>9.5000000000000005E-6</v>
      </c>
      <c r="D458" s="87">
        <v>1.04E-5</v>
      </c>
      <c r="E458" s="232">
        <v>14513</v>
      </c>
      <c r="F458" s="232"/>
      <c r="G458" s="233">
        <v>836</v>
      </c>
      <c r="H458" s="221">
        <v>3524</v>
      </c>
      <c r="I458" s="233">
        <v>2073</v>
      </c>
      <c r="J458" s="232">
        <v>77</v>
      </c>
      <c r="K458" s="221">
        <f t="shared" si="14"/>
        <v>6510</v>
      </c>
      <c r="L458" s="232"/>
      <c r="M458" s="233">
        <v>411</v>
      </c>
      <c r="N458" s="233">
        <v>0</v>
      </c>
      <c r="O458" s="232">
        <v>100</v>
      </c>
      <c r="P458" s="221">
        <f t="shared" si="15"/>
        <v>511</v>
      </c>
      <c r="Q458" s="232"/>
      <c r="R458" s="233">
        <v>4891</v>
      </c>
      <c r="S458" s="234">
        <v>38</v>
      </c>
      <c r="T458" s="234">
        <v>4929</v>
      </c>
    </row>
    <row r="459" spans="1:20">
      <c r="A459" s="227">
        <v>94711</v>
      </c>
      <c r="B459" s="228" t="s">
        <v>1169</v>
      </c>
      <c r="C459" s="87">
        <v>3.3599999999999998E-4</v>
      </c>
      <c r="D459" s="87">
        <v>3.5110000000000002E-4</v>
      </c>
      <c r="E459" s="232">
        <v>513315</v>
      </c>
      <c r="F459" s="232"/>
      <c r="G459" s="233">
        <v>29572</v>
      </c>
      <c r="H459" s="221">
        <v>124633</v>
      </c>
      <c r="I459" s="233">
        <v>73308</v>
      </c>
      <c r="J459" s="232">
        <v>9113</v>
      </c>
      <c r="K459" s="221">
        <f t="shared" si="14"/>
        <v>236626</v>
      </c>
      <c r="L459" s="232"/>
      <c r="M459" s="233">
        <v>14530</v>
      </c>
      <c r="N459" s="233">
        <v>0</v>
      </c>
      <c r="O459" s="232">
        <v>6693</v>
      </c>
      <c r="P459" s="221">
        <f t="shared" si="15"/>
        <v>21223</v>
      </c>
      <c r="Q459" s="232"/>
      <c r="R459" s="233">
        <v>172988</v>
      </c>
      <c r="S459" s="234">
        <v>1163</v>
      </c>
      <c r="T459" s="234">
        <v>174151</v>
      </c>
    </row>
    <row r="460" spans="1:20">
      <c r="A460" s="227">
        <v>94801</v>
      </c>
      <c r="B460" s="228" t="s">
        <v>1170</v>
      </c>
      <c r="C460" s="87">
        <v>7.2440000000000004E-4</v>
      </c>
      <c r="D460" s="87">
        <v>7.6539999999999996E-4</v>
      </c>
      <c r="E460" s="232">
        <v>1106683</v>
      </c>
      <c r="F460" s="232"/>
      <c r="G460" s="233">
        <v>63755</v>
      </c>
      <c r="H460" s="221">
        <v>268704</v>
      </c>
      <c r="I460" s="233">
        <v>158050</v>
      </c>
      <c r="J460" s="232">
        <v>40380</v>
      </c>
      <c r="K460" s="221">
        <f t="shared" si="14"/>
        <v>530889</v>
      </c>
      <c r="L460" s="232"/>
      <c r="M460" s="233">
        <v>31327</v>
      </c>
      <c r="N460" s="233">
        <v>0</v>
      </c>
      <c r="O460" s="232">
        <v>19605</v>
      </c>
      <c r="P460" s="221">
        <f t="shared" si="15"/>
        <v>50932</v>
      </c>
      <c r="Q460" s="232"/>
      <c r="R460" s="233">
        <v>372953</v>
      </c>
      <c r="S460" s="234">
        <v>17711</v>
      </c>
      <c r="T460" s="234">
        <v>390664</v>
      </c>
    </row>
    <row r="461" spans="1:20">
      <c r="A461" s="227">
        <v>94804</v>
      </c>
      <c r="B461" s="228" t="s">
        <v>1171</v>
      </c>
      <c r="C461" s="87">
        <v>3.8E-6</v>
      </c>
      <c r="D461" s="87">
        <v>3.8E-6</v>
      </c>
      <c r="E461" s="232">
        <v>5805</v>
      </c>
      <c r="F461" s="232"/>
      <c r="G461" s="233">
        <v>334</v>
      </c>
      <c r="H461" s="221">
        <v>1409</v>
      </c>
      <c r="I461" s="233">
        <v>829</v>
      </c>
      <c r="J461" s="232">
        <v>2556</v>
      </c>
      <c r="K461" s="221">
        <f t="shared" si="14"/>
        <v>5128</v>
      </c>
      <c r="L461" s="232"/>
      <c r="M461" s="233">
        <v>164</v>
      </c>
      <c r="N461" s="233">
        <v>0</v>
      </c>
      <c r="O461" s="232">
        <v>218</v>
      </c>
      <c r="P461" s="221">
        <f t="shared" si="15"/>
        <v>382</v>
      </c>
      <c r="Q461" s="232"/>
      <c r="R461" s="233">
        <v>1956</v>
      </c>
      <c r="S461" s="234">
        <v>1879</v>
      </c>
      <c r="T461" s="234">
        <v>3835</v>
      </c>
    </row>
    <row r="462" spans="1:20">
      <c r="A462" s="227">
        <v>94812</v>
      </c>
      <c r="B462" s="228" t="s">
        <v>1172</v>
      </c>
      <c r="C462" s="87">
        <v>3.3000000000000003E-5</v>
      </c>
      <c r="D462" s="87">
        <v>3.3500000000000001E-5</v>
      </c>
      <c r="E462" s="232">
        <v>50415</v>
      </c>
      <c r="F462" s="232"/>
      <c r="G462" s="233">
        <v>2904</v>
      </c>
      <c r="H462" s="221">
        <v>12241</v>
      </c>
      <c r="I462" s="233">
        <v>7200</v>
      </c>
      <c r="J462" s="232">
        <v>10442</v>
      </c>
      <c r="K462" s="221">
        <f t="shared" si="14"/>
        <v>32787</v>
      </c>
      <c r="L462" s="232"/>
      <c r="M462" s="233">
        <v>1427</v>
      </c>
      <c r="N462" s="233">
        <v>0</v>
      </c>
      <c r="O462" s="232">
        <v>0</v>
      </c>
      <c r="P462" s="221">
        <f t="shared" si="15"/>
        <v>1427</v>
      </c>
      <c r="Q462" s="232"/>
      <c r="R462" s="233">
        <v>16990</v>
      </c>
      <c r="S462" s="234">
        <v>4040</v>
      </c>
      <c r="T462" s="234">
        <v>21030</v>
      </c>
    </row>
    <row r="463" spans="1:20">
      <c r="A463" s="227">
        <v>94901</v>
      </c>
      <c r="B463" s="228" t="s">
        <v>1173</v>
      </c>
      <c r="C463" s="87">
        <v>6.7841999999999998E-3</v>
      </c>
      <c r="D463" s="87">
        <v>7.0014999999999999E-3</v>
      </c>
      <c r="E463" s="232">
        <v>10364378</v>
      </c>
      <c r="F463" s="232"/>
      <c r="G463" s="233">
        <v>597084</v>
      </c>
      <c r="H463" s="221">
        <v>2516484</v>
      </c>
      <c r="I463" s="233">
        <v>1480177</v>
      </c>
      <c r="J463" s="232">
        <v>16760</v>
      </c>
      <c r="K463" s="221">
        <f t="shared" si="14"/>
        <v>4610505</v>
      </c>
      <c r="L463" s="232"/>
      <c r="M463" s="233">
        <v>293383</v>
      </c>
      <c r="N463" s="233">
        <v>0</v>
      </c>
      <c r="O463" s="232">
        <v>129476</v>
      </c>
      <c r="P463" s="221">
        <f t="shared" si="15"/>
        <v>422859</v>
      </c>
      <c r="Q463" s="232"/>
      <c r="R463" s="233">
        <v>3492805</v>
      </c>
      <c r="S463" s="234">
        <v>-36324</v>
      </c>
      <c r="T463" s="234">
        <v>3456481</v>
      </c>
    </row>
    <row r="464" spans="1:20">
      <c r="A464" s="227">
        <v>94908</v>
      </c>
      <c r="B464" s="228" t="s">
        <v>1174</v>
      </c>
      <c r="C464" s="87">
        <v>7.7000000000000008E-6</v>
      </c>
      <c r="D464" s="87">
        <v>3.9799999999999998E-5</v>
      </c>
      <c r="E464" s="232">
        <v>11763</v>
      </c>
      <c r="F464" s="232"/>
      <c r="G464" s="233">
        <v>678</v>
      </c>
      <c r="H464" s="221">
        <v>2857</v>
      </c>
      <c r="I464" s="233">
        <v>1680</v>
      </c>
      <c r="J464" s="232">
        <v>0</v>
      </c>
      <c r="K464" s="221">
        <f t="shared" si="14"/>
        <v>5215</v>
      </c>
      <c r="L464" s="232"/>
      <c r="M464" s="233">
        <v>333</v>
      </c>
      <c r="N464" s="233">
        <v>0</v>
      </c>
      <c r="O464" s="232">
        <v>21664</v>
      </c>
      <c r="P464" s="221">
        <f t="shared" si="15"/>
        <v>21997</v>
      </c>
      <c r="Q464" s="232"/>
      <c r="R464" s="233">
        <v>3964</v>
      </c>
      <c r="S464" s="234">
        <v>-6783</v>
      </c>
      <c r="T464" s="234">
        <v>-2819</v>
      </c>
    </row>
    <row r="465" spans="1:20">
      <c r="A465" s="227">
        <v>94911</v>
      </c>
      <c r="B465" s="228" t="s">
        <v>1175</v>
      </c>
      <c r="C465" s="87">
        <v>2.8311E-3</v>
      </c>
      <c r="D465" s="87">
        <v>2.7745999999999999E-3</v>
      </c>
      <c r="E465" s="232">
        <v>4325137</v>
      </c>
      <c r="F465" s="232"/>
      <c r="G465" s="233">
        <v>249168</v>
      </c>
      <c r="H465" s="221">
        <v>1050149</v>
      </c>
      <c r="I465" s="233">
        <v>617689</v>
      </c>
      <c r="J465" s="232">
        <v>39747</v>
      </c>
      <c r="K465" s="221">
        <f t="shared" si="14"/>
        <v>1956753</v>
      </c>
      <c r="L465" s="232"/>
      <c r="M465" s="233">
        <v>122431</v>
      </c>
      <c r="N465" s="233">
        <v>0</v>
      </c>
      <c r="O465" s="232">
        <v>40147</v>
      </c>
      <c r="P465" s="221">
        <f t="shared" si="15"/>
        <v>162578</v>
      </c>
      <c r="Q465" s="232"/>
      <c r="R465" s="233">
        <v>1457575</v>
      </c>
      <c r="S465" s="234">
        <v>-7457</v>
      </c>
      <c r="T465" s="234">
        <v>1450118</v>
      </c>
    </row>
    <row r="466" spans="1:20">
      <c r="A466" s="227">
        <v>94917</v>
      </c>
      <c r="B466" s="228" t="s">
        <v>1176</v>
      </c>
      <c r="C466" s="87">
        <v>3.5099999999999999E-5</v>
      </c>
      <c r="D466" s="87">
        <v>3.7400000000000001E-5</v>
      </c>
      <c r="E466" s="232">
        <v>53623</v>
      </c>
      <c r="F466" s="232"/>
      <c r="G466" s="233">
        <v>3089</v>
      </c>
      <c r="H466" s="221">
        <v>13020</v>
      </c>
      <c r="I466" s="233">
        <v>7658</v>
      </c>
      <c r="J466" s="232">
        <v>16574</v>
      </c>
      <c r="K466" s="221">
        <f t="shared" si="14"/>
        <v>40341</v>
      </c>
      <c r="L466" s="232"/>
      <c r="M466" s="233">
        <v>1518</v>
      </c>
      <c r="N466" s="233">
        <v>0</v>
      </c>
      <c r="O466" s="232">
        <v>0</v>
      </c>
      <c r="P466" s="221">
        <f t="shared" si="15"/>
        <v>1518</v>
      </c>
      <c r="Q466" s="232"/>
      <c r="R466" s="233">
        <v>18071</v>
      </c>
      <c r="S466" s="234">
        <v>7114</v>
      </c>
      <c r="T466" s="234">
        <v>25185</v>
      </c>
    </row>
    <row r="467" spans="1:20">
      <c r="A467" s="227">
        <v>94921</v>
      </c>
      <c r="B467" s="228" t="s">
        <v>1177</v>
      </c>
      <c r="C467" s="87">
        <v>3.9515000000000002E-3</v>
      </c>
      <c r="D467" s="87">
        <v>3.7063E-3</v>
      </c>
      <c r="E467" s="232">
        <v>6036797</v>
      </c>
      <c r="F467" s="232"/>
      <c r="G467" s="233">
        <v>347775</v>
      </c>
      <c r="H467" s="221">
        <v>1465741</v>
      </c>
      <c r="I467" s="233">
        <v>862138</v>
      </c>
      <c r="J467" s="232">
        <v>19200</v>
      </c>
      <c r="K467" s="221">
        <f t="shared" si="14"/>
        <v>2694854</v>
      </c>
      <c r="L467" s="232"/>
      <c r="M467" s="233">
        <v>170883</v>
      </c>
      <c r="N467" s="233">
        <v>0</v>
      </c>
      <c r="O467" s="232">
        <v>350239</v>
      </c>
      <c r="P467" s="221">
        <f t="shared" si="15"/>
        <v>521122</v>
      </c>
      <c r="Q467" s="232"/>
      <c r="R467" s="233">
        <v>2034406</v>
      </c>
      <c r="S467" s="234">
        <v>-150626</v>
      </c>
      <c r="T467" s="234">
        <v>1883780</v>
      </c>
    </row>
    <row r="468" spans="1:20">
      <c r="A468" s="227">
        <v>94923</v>
      </c>
      <c r="B468" s="228" t="s">
        <v>1178</v>
      </c>
      <c r="C468" s="87">
        <v>3.0700000000000001E-5</v>
      </c>
      <c r="D468" s="87">
        <v>2.4499999999999999E-5</v>
      </c>
      <c r="E468" s="232">
        <v>46901</v>
      </c>
      <c r="F468" s="232"/>
      <c r="G468" s="233">
        <v>2702</v>
      </c>
      <c r="H468" s="221">
        <v>11387</v>
      </c>
      <c r="I468" s="233">
        <v>6698</v>
      </c>
      <c r="J468" s="232">
        <v>5727</v>
      </c>
      <c r="K468" s="221">
        <f t="shared" si="14"/>
        <v>26514</v>
      </c>
      <c r="L468" s="232"/>
      <c r="M468" s="233">
        <v>1328</v>
      </c>
      <c r="N468" s="233">
        <v>0</v>
      </c>
      <c r="O468" s="232">
        <v>86</v>
      </c>
      <c r="P468" s="221">
        <f t="shared" si="15"/>
        <v>1414</v>
      </c>
      <c r="Q468" s="232"/>
      <c r="R468" s="233">
        <v>15806</v>
      </c>
      <c r="S468" s="234">
        <v>1556</v>
      </c>
      <c r="T468" s="234">
        <v>17362</v>
      </c>
    </row>
    <row r="469" spans="1:20">
      <c r="A469" s="227">
        <v>94927</v>
      </c>
      <c r="B469" s="228" t="s">
        <v>1179</v>
      </c>
      <c r="C469" s="87">
        <v>3.0599999999999998E-5</v>
      </c>
      <c r="D469" s="87">
        <v>3.3899999999999997E-5</v>
      </c>
      <c r="E469" s="232">
        <v>46748</v>
      </c>
      <c r="F469" s="232"/>
      <c r="G469" s="233">
        <v>2693</v>
      </c>
      <c r="H469" s="221">
        <v>11350</v>
      </c>
      <c r="I469" s="233">
        <v>6676</v>
      </c>
      <c r="J469" s="232">
        <v>2683</v>
      </c>
      <c r="K469" s="221">
        <f t="shared" si="14"/>
        <v>23402</v>
      </c>
      <c r="L469" s="232"/>
      <c r="M469" s="233">
        <v>1323</v>
      </c>
      <c r="N469" s="233">
        <v>0</v>
      </c>
      <c r="O469" s="232">
        <v>26</v>
      </c>
      <c r="P469" s="221">
        <f t="shared" si="15"/>
        <v>1349</v>
      </c>
      <c r="Q469" s="232"/>
      <c r="R469" s="233">
        <v>15754</v>
      </c>
      <c r="S469" s="234">
        <v>911</v>
      </c>
      <c r="T469" s="234">
        <v>16665</v>
      </c>
    </row>
    <row r="470" spans="1:20">
      <c r="A470" s="227">
        <v>94931</v>
      </c>
      <c r="B470" s="228" t="s">
        <v>1180</v>
      </c>
      <c r="C470" s="87">
        <v>2.163E-4</v>
      </c>
      <c r="D470" s="87">
        <v>2.1130000000000001E-4</v>
      </c>
      <c r="E470" s="232">
        <v>330446</v>
      </c>
      <c r="F470" s="232"/>
      <c r="G470" s="233">
        <v>19037</v>
      </c>
      <c r="H470" s="221">
        <v>80233</v>
      </c>
      <c r="I470" s="233">
        <v>47192</v>
      </c>
      <c r="J470" s="232">
        <v>954</v>
      </c>
      <c r="K470" s="221">
        <f t="shared" si="14"/>
        <v>147416</v>
      </c>
      <c r="L470" s="232"/>
      <c r="M470" s="233">
        <v>9354</v>
      </c>
      <c r="N470" s="233">
        <v>0</v>
      </c>
      <c r="O470" s="232">
        <v>15740</v>
      </c>
      <c r="P470" s="221">
        <f t="shared" si="15"/>
        <v>25094</v>
      </c>
      <c r="Q470" s="232"/>
      <c r="R470" s="233">
        <v>111361</v>
      </c>
      <c r="S470" s="234">
        <v>-7901</v>
      </c>
      <c r="T470" s="234">
        <v>103460</v>
      </c>
    </row>
    <row r="471" spans="1:20">
      <c r="A471" s="227">
        <v>94941</v>
      </c>
      <c r="B471" s="228" t="s">
        <v>1181</v>
      </c>
      <c r="C471" s="87">
        <v>5.7879999999999997E-4</v>
      </c>
      <c r="D471" s="87">
        <v>5.2959999999999997E-4</v>
      </c>
      <c r="E471" s="232">
        <v>884246</v>
      </c>
      <c r="F471" s="232"/>
      <c r="G471" s="233">
        <v>50941</v>
      </c>
      <c r="H471" s="221">
        <v>214696</v>
      </c>
      <c r="I471" s="233">
        <v>126283</v>
      </c>
      <c r="J471" s="232">
        <v>68775</v>
      </c>
      <c r="K471" s="221">
        <f t="shared" si="14"/>
        <v>460695</v>
      </c>
      <c r="L471" s="232"/>
      <c r="M471" s="233">
        <v>25030</v>
      </c>
      <c r="N471" s="233">
        <v>0</v>
      </c>
      <c r="O471" s="232">
        <v>0</v>
      </c>
      <c r="P471" s="221">
        <f t="shared" si="15"/>
        <v>25030</v>
      </c>
      <c r="Q471" s="232"/>
      <c r="R471" s="233">
        <v>297992</v>
      </c>
      <c r="S471" s="234">
        <v>46151</v>
      </c>
      <c r="T471" s="234">
        <v>344143</v>
      </c>
    </row>
    <row r="472" spans="1:20">
      <c r="A472" s="227">
        <v>95001</v>
      </c>
      <c r="B472" s="228" t="s">
        <v>1182</v>
      </c>
      <c r="C472" s="87">
        <v>2.4867000000000001E-3</v>
      </c>
      <c r="D472" s="87">
        <v>2.3779000000000001E-3</v>
      </c>
      <c r="E472" s="232">
        <v>3798989</v>
      </c>
      <c r="F472" s="232"/>
      <c r="G472" s="233">
        <v>218857</v>
      </c>
      <c r="H472" s="221">
        <v>922399</v>
      </c>
      <c r="I472" s="233">
        <v>542548</v>
      </c>
      <c r="J472" s="232">
        <v>176888</v>
      </c>
      <c r="K472" s="221">
        <f t="shared" si="14"/>
        <v>1860692</v>
      </c>
      <c r="L472" s="232"/>
      <c r="M472" s="233">
        <v>107537</v>
      </c>
      <c r="N472" s="233">
        <v>0</v>
      </c>
      <c r="O472" s="232">
        <v>3991</v>
      </c>
      <c r="P472" s="221">
        <f t="shared" si="15"/>
        <v>111528</v>
      </c>
      <c r="Q472" s="232"/>
      <c r="R472" s="233">
        <v>1280263</v>
      </c>
      <c r="S472" s="234">
        <v>51652</v>
      </c>
      <c r="T472" s="234">
        <v>1331915</v>
      </c>
    </row>
    <row r="473" spans="1:20">
      <c r="A473" s="227">
        <v>95002</v>
      </c>
      <c r="B473" s="228" t="s">
        <v>1183</v>
      </c>
      <c r="C473" s="87">
        <v>1.907E-4</v>
      </c>
      <c r="D473" s="87">
        <v>2.0120000000000001E-4</v>
      </c>
      <c r="E473" s="232">
        <v>291337</v>
      </c>
      <c r="F473" s="232"/>
      <c r="G473" s="233">
        <v>16784</v>
      </c>
      <c r="H473" s="221">
        <v>70737</v>
      </c>
      <c r="I473" s="233">
        <v>41607</v>
      </c>
      <c r="J473" s="232">
        <v>15647</v>
      </c>
      <c r="K473" s="221">
        <f t="shared" si="14"/>
        <v>144775</v>
      </c>
      <c r="L473" s="232"/>
      <c r="M473" s="233">
        <v>8247</v>
      </c>
      <c r="N473" s="233">
        <v>0</v>
      </c>
      <c r="O473" s="232">
        <v>0</v>
      </c>
      <c r="P473" s="221">
        <f t="shared" si="15"/>
        <v>8247</v>
      </c>
      <c r="Q473" s="232"/>
      <c r="R473" s="233">
        <v>98181</v>
      </c>
      <c r="S473" s="234">
        <v>6293</v>
      </c>
      <c r="T473" s="234">
        <v>104474</v>
      </c>
    </row>
    <row r="474" spans="1:20">
      <c r="A474" s="227">
        <v>95005</v>
      </c>
      <c r="B474" s="228" t="s">
        <v>1184</v>
      </c>
      <c r="C474" s="87">
        <v>2.2949999999999999E-4</v>
      </c>
      <c r="D474" s="87">
        <v>2.3829999999999999E-4</v>
      </c>
      <c r="E474" s="232">
        <v>350612</v>
      </c>
      <c r="F474" s="232"/>
      <c r="G474" s="233">
        <v>20199</v>
      </c>
      <c r="H474" s="221">
        <v>85129</v>
      </c>
      <c r="I474" s="233">
        <v>50072</v>
      </c>
      <c r="J474" s="232">
        <v>13727</v>
      </c>
      <c r="K474" s="221">
        <f t="shared" si="14"/>
        <v>169127</v>
      </c>
      <c r="L474" s="232"/>
      <c r="M474" s="233">
        <v>9925</v>
      </c>
      <c r="N474" s="233">
        <v>0</v>
      </c>
      <c r="O474" s="232">
        <v>1630</v>
      </c>
      <c r="P474" s="221">
        <f t="shared" si="15"/>
        <v>11555</v>
      </c>
      <c r="Q474" s="232"/>
      <c r="R474" s="233">
        <v>118157</v>
      </c>
      <c r="S474" s="234">
        <v>9042</v>
      </c>
      <c r="T474" s="234">
        <v>127199</v>
      </c>
    </row>
    <row r="475" spans="1:20">
      <c r="A475" s="227">
        <v>95008</v>
      </c>
      <c r="B475" s="228" t="s">
        <v>1185</v>
      </c>
      <c r="C475" s="87">
        <v>1.1519999999999999E-4</v>
      </c>
      <c r="D475" s="87">
        <v>1.169E-4</v>
      </c>
      <c r="E475" s="232">
        <v>175994</v>
      </c>
      <c r="F475" s="232"/>
      <c r="G475" s="233">
        <v>10139</v>
      </c>
      <c r="H475" s="221">
        <v>42731</v>
      </c>
      <c r="I475" s="233">
        <v>25134</v>
      </c>
      <c r="J475" s="232">
        <v>19189</v>
      </c>
      <c r="K475" s="221">
        <f t="shared" si="14"/>
        <v>97193</v>
      </c>
      <c r="L475" s="232"/>
      <c r="M475" s="233">
        <v>4982</v>
      </c>
      <c r="N475" s="233">
        <v>0</v>
      </c>
      <c r="O475" s="232">
        <v>6239</v>
      </c>
      <c r="P475" s="221">
        <f t="shared" si="15"/>
        <v>11221</v>
      </c>
      <c r="Q475" s="232"/>
      <c r="R475" s="233">
        <v>59310</v>
      </c>
      <c r="S475" s="234">
        <v>9098</v>
      </c>
      <c r="T475" s="234">
        <v>68408</v>
      </c>
    </row>
    <row r="476" spans="1:20">
      <c r="A476" s="227">
        <v>95009</v>
      </c>
      <c r="B476" s="228" t="s">
        <v>1186</v>
      </c>
      <c r="C476" s="87">
        <v>4.2208999999999997E-3</v>
      </c>
      <c r="D476" s="87">
        <v>3.9902000000000002E-3</v>
      </c>
      <c r="E476" s="232">
        <v>6448366</v>
      </c>
      <c r="F476" s="232"/>
      <c r="G476" s="233">
        <v>371486</v>
      </c>
      <c r="H476" s="221">
        <v>1565671</v>
      </c>
      <c r="I476" s="233">
        <v>920916</v>
      </c>
      <c r="J476" s="232">
        <v>897451</v>
      </c>
      <c r="K476" s="221">
        <f t="shared" si="14"/>
        <v>3755524</v>
      </c>
      <c r="L476" s="232"/>
      <c r="M476" s="233">
        <v>182533</v>
      </c>
      <c r="N476" s="233">
        <v>0</v>
      </c>
      <c r="O476" s="232">
        <v>0</v>
      </c>
      <c r="P476" s="221">
        <f t="shared" si="15"/>
        <v>182533</v>
      </c>
      <c r="Q476" s="232"/>
      <c r="R476" s="233">
        <v>2173105</v>
      </c>
      <c r="S476" s="234">
        <v>582135</v>
      </c>
      <c r="T476" s="234">
        <v>2755240</v>
      </c>
    </row>
    <row r="477" spans="1:20">
      <c r="A477" s="227">
        <v>95011</v>
      </c>
      <c r="B477" s="228" t="s">
        <v>1187</v>
      </c>
      <c r="C477" s="87">
        <v>1.8000000000000001E-4</v>
      </c>
      <c r="D477" s="87">
        <v>1.707E-4</v>
      </c>
      <c r="E477" s="232">
        <v>274990</v>
      </c>
      <c r="F477" s="232"/>
      <c r="G477" s="233">
        <v>15842</v>
      </c>
      <c r="H477" s="221">
        <v>66768</v>
      </c>
      <c r="I477" s="233">
        <v>39272</v>
      </c>
      <c r="J477" s="232">
        <v>3275</v>
      </c>
      <c r="K477" s="221">
        <f t="shared" si="14"/>
        <v>125157</v>
      </c>
      <c r="L477" s="232"/>
      <c r="M477" s="233">
        <v>7784</v>
      </c>
      <c r="N477" s="233">
        <v>0</v>
      </c>
      <c r="O477" s="232">
        <v>8909</v>
      </c>
      <c r="P477" s="221">
        <f t="shared" si="15"/>
        <v>16693</v>
      </c>
      <c r="Q477" s="232"/>
      <c r="R477" s="233">
        <v>92672</v>
      </c>
      <c r="S477" s="234">
        <v>-3840</v>
      </c>
      <c r="T477" s="234">
        <v>88832</v>
      </c>
    </row>
    <row r="478" spans="1:20">
      <c r="A478" s="227">
        <v>95017</v>
      </c>
      <c r="B478" s="228" t="s">
        <v>1188</v>
      </c>
      <c r="C478" s="87">
        <v>3.8800000000000001E-5</v>
      </c>
      <c r="D478" s="87">
        <v>3.5800000000000003E-5</v>
      </c>
      <c r="E478" s="232">
        <v>59276</v>
      </c>
      <c r="F478" s="232"/>
      <c r="G478" s="233">
        <v>3415</v>
      </c>
      <c r="H478" s="221">
        <v>14392</v>
      </c>
      <c r="I478" s="233">
        <v>8465</v>
      </c>
      <c r="J478" s="232">
        <v>13339</v>
      </c>
      <c r="K478" s="221">
        <f t="shared" si="14"/>
        <v>39611</v>
      </c>
      <c r="L478" s="232"/>
      <c r="M478" s="233">
        <v>1678</v>
      </c>
      <c r="N478" s="233">
        <v>0</v>
      </c>
      <c r="O478" s="232">
        <v>0</v>
      </c>
      <c r="P478" s="221">
        <f t="shared" si="15"/>
        <v>1678</v>
      </c>
      <c r="Q478" s="232"/>
      <c r="R478" s="233">
        <v>19976</v>
      </c>
      <c r="S478" s="234">
        <v>7635</v>
      </c>
      <c r="T478" s="234">
        <v>27611</v>
      </c>
    </row>
    <row r="479" spans="1:20">
      <c r="A479" s="227">
        <v>95101</v>
      </c>
      <c r="B479" s="228" t="s">
        <v>1189</v>
      </c>
      <c r="C479" s="87">
        <v>8.3750999999999999E-3</v>
      </c>
      <c r="D479" s="87">
        <v>8.0955999999999997E-3</v>
      </c>
      <c r="E479" s="232">
        <v>12794833</v>
      </c>
      <c r="F479" s="232"/>
      <c r="G479" s="233">
        <v>737101</v>
      </c>
      <c r="H479" s="221">
        <v>3106601</v>
      </c>
      <c r="I479" s="233">
        <v>1827279</v>
      </c>
      <c r="J479" s="232">
        <v>39562</v>
      </c>
      <c r="K479" s="221">
        <f t="shared" si="14"/>
        <v>5710543</v>
      </c>
      <c r="L479" s="232"/>
      <c r="M479" s="233">
        <v>362181</v>
      </c>
      <c r="N479" s="233">
        <v>0</v>
      </c>
      <c r="O479" s="232">
        <v>114122</v>
      </c>
      <c r="P479" s="221">
        <f t="shared" si="15"/>
        <v>476303</v>
      </c>
      <c r="Q479" s="232"/>
      <c r="R479" s="233">
        <v>4311870</v>
      </c>
      <c r="S479" s="234">
        <v>1978</v>
      </c>
      <c r="T479" s="234">
        <v>4313848</v>
      </c>
    </row>
    <row r="480" spans="1:20">
      <c r="A480" s="227">
        <v>95103</v>
      </c>
      <c r="B480" s="228" t="s">
        <v>1190</v>
      </c>
      <c r="C480" s="87">
        <v>4.9100000000000001E-5</v>
      </c>
      <c r="D480" s="87">
        <v>6.02E-5</v>
      </c>
      <c r="E480" s="232">
        <v>75011</v>
      </c>
      <c r="F480" s="232"/>
      <c r="G480" s="233">
        <v>4321</v>
      </c>
      <c r="H480" s="221">
        <v>18213</v>
      </c>
      <c r="I480" s="233">
        <v>10713</v>
      </c>
      <c r="J480" s="232">
        <v>24203</v>
      </c>
      <c r="K480" s="221">
        <f t="shared" si="14"/>
        <v>57450</v>
      </c>
      <c r="L480" s="232"/>
      <c r="M480" s="233">
        <v>2123</v>
      </c>
      <c r="N480" s="233">
        <v>0</v>
      </c>
      <c r="O480" s="232">
        <v>0</v>
      </c>
      <c r="P480" s="221">
        <f t="shared" si="15"/>
        <v>2123</v>
      </c>
      <c r="Q480" s="232"/>
      <c r="R480" s="233">
        <v>25279</v>
      </c>
      <c r="S480" s="234">
        <v>18053</v>
      </c>
      <c r="T480" s="234">
        <v>43332</v>
      </c>
    </row>
    <row r="481" spans="1:20">
      <c r="A481" s="227">
        <v>95104</v>
      </c>
      <c r="B481" s="228" t="s">
        <v>1191</v>
      </c>
      <c r="C481" s="87">
        <v>1.02E-4</v>
      </c>
      <c r="D481" s="87">
        <v>1.011E-4</v>
      </c>
      <c r="E481" s="232">
        <v>155828</v>
      </c>
      <c r="F481" s="232"/>
      <c r="G481" s="233">
        <v>8977</v>
      </c>
      <c r="H481" s="221">
        <v>37835</v>
      </c>
      <c r="I481" s="233">
        <v>22254</v>
      </c>
      <c r="J481" s="232">
        <v>19729</v>
      </c>
      <c r="K481" s="221">
        <f t="shared" si="14"/>
        <v>88795</v>
      </c>
      <c r="L481" s="232"/>
      <c r="M481" s="233">
        <v>4411</v>
      </c>
      <c r="N481" s="233">
        <v>0</v>
      </c>
      <c r="O481" s="232">
        <v>0</v>
      </c>
      <c r="P481" s="221">
        <f t="shared" si="15"/>
        <v>4411</v>
      </c>
      <c r="Q481" s="232"/>
      <c r="R481" s="233">
        <v>52514</v>
      </c>
      <c r="S481" s="234">
        <v>8399</v>
      </c>
      <c r="T481" s="234">
        <v>60913</v>
      </c>
    </row>
    <row r="482" spans="1:20">
      <c r="A482" s="227">
        <v>95105</v>
      </c>
      <c r="B482" s="228" t="s">
        <v>1192</v>
      </c>
      <c r="C482" s="87">
        <v>6.1099999999999994E-5</v>
      </c>
      <c r="D482" s="87">
        <v>6.3700000000000003E-5</v>
      </c>
      <c r="E482" s="232">
        <v>93344</v>
      </c>
      <c r="F482" s="232"/>
      <c r="G482" s="233">
        <v>5377</v>
      </c>
      <c r="H482" s="221">
        <v>22664</v>
      </c>
      <c r="I482" s="233">
        <v>13331</v>
      </c>
      <c r="J482" s="232">
        <v>8129</v>
      </c>
      <c r="K482" s="221">
        <f t="shared" si="14"/>
        <v>49501</v>
      </c>
      <c r="L482" s="232"/>
      <c r="M482" s="233">
        <v>2642</v>
      </c>
      <c r="N482" s="233">
        <v>0</v>
      </c>
      <c r="O482" s="232">
        <v>0</v>
      </c>
      <c r="P482" s="221">
        <f t="shared" si="15"/>
        <v>2642</v>
      </c>
      <c r="Q482" s="232"/>
      <c r="R482" s="233">
        <v>31457</v>
      </c>
      <c r="S482" s="234">
        <v>4018</v>
      </c>
      <c r="T482" s="234">
        <v>35475</v>
      </c>
    </row>
    <row r="483" spans="1:20">
      <c r="A483" s="227">
        <v>95106</v>
      </c>
      <c r="B483" s="228" t="s">
        <v>1193</v>
      </c>
      <c r="C483" s="87">
        <v>1.2099999999999999E-5</v>
      </c>
      <c r="D483" s="87">
        <v>1.3900000000000001E-5</v>
      </c>
      <c r="E483" s="232">
        <v>18485</v>
      </c>
      <c r="F483" s="232"/>
      <c r="G483" s="233">
        <v>1065</v>
      </c>
      <c r="H483" s="221">
        <v>4488</v>
      </c>
      <c r="I483" s="233">
        <v>2640</v>
      </c>
      <c r="J483" s="232">
        <v>4918</v>
      </c>
      <c r="K483" s="221">
        <f t="shared" si="14"/>
        <v>13111</v>
      </c>
      <c r="L483" s="232"/>
      <c r="M483" s="233">
        <v>523</v>
      </c>
      <c r="N483" s="233">
        <v>0</v>
      </c>
      <c r="O483" s="232">
        <v>1433</v>
      </c>
      <c r="P483" s="221">
        <f t="shared" si="15"/>
        <v>1956</v>
      </c>
      <c r="Q483" s="232"/>
      <c r="R483" s="233">
        <v>6230</v>
      </c>
      <c r="S483" s="234">
        <v>2234</v>
      </c>
      <c r="T483" s="234">
        <v>8464</v>
      </c>
    </row>
    <row r="484" spans="1:20">
      <c r="A484" s="227">
        <v>95110</v>
      </c>
      <c r="B484" s="228" t="s">
        <v>1194</v>
      </c>
      <c r="C484" s="87">
        <v>4.2902000000000001E-3</v>
      </c>
      <c r="D484" s="87">
        <v>4.4609000000000003E-3</v>
      </c>
      <c r="E484" s="232">
        <v>6554237</v>
      </c>
      <c r="F484" s="232"/>
      <c r="G484" s="233">
        <v>377585</v>
      </c>
      <c r="H484" s="221">
        <v>1591377</v>
      </c>
      <c r="I484" s="233">
        <v>936036</v>
      </c>
      <c r="J484" s="232">
        <v>0</v>
      </c>
      <c r="K484" s="221">
        <f t="shared" si="14"/>
        <v>2904998</v>
      </c>
      <c r="L484" s="232"/>
      <c r="M484" s="233">
        <v>185530</v>
      </c>
      <c r="N484" s="233">
        <v>0</v>
      </c>
      <c r="O484" s="232">
        <v>1097124</v>
      </c>
      <c r="P484" s="221">
        <f t="shared" si="15"/>
        <v>1282654</v>
      </c>
      <c r="Q484" s="232"/>
      <c r="R484" s="233">
        <v>2208784</v>
      </c>
      <c r="S484" s="234">
        <v>-636198</v>
      </c>
      <c r="T484" s="234">
        <v>1572586</v>
      </c>
    </row>
    <row r="485" spans="1:20">
      <c r="A485" s="227">
        <v>95111</v>
      </c>
      <c r="B485" s="228" t="s">
        <v>1195</v>
      </c>
      <c r="C485" s="87">
        <v>1.0778999999999999E-3</v>
      </c>
      <c r="D485" s="87">
        <v>1.0709000000000001E-3</v>
      </c>
      <c r="E485" s="232">
        <v>1646733</v>
      </c>
      <c r="F485" s="232"/>
      <c r="G485" s="233">
        <v>94867</v>
      </c>
      <c r="H485" s="221">
        <v>399829</v>
      </c>
      <c r="I485" s="233">
        <v>235176</v>
      </c>
      <c r="J485" s="232">
        <v>0</v>
      </c>
      <c r="K485" s="221">
        <f t="shared" si="14"/>
        <v>729872</v>
      </c>
      <c r="L485" s="232"/>
      <c r="M485" s="233">
        <v>46614</v>
      </c>
      <c r="N485" s="233">
        <v>0</v>
      </c>
      <c r="O485" s="232">
        <v>120462</v>
      </c>
      <c r="P485" s="221">
        <f t="shared" si="15"/>
        <v>167076</v>
      </c>
      <c r="Q485" s="232"/>
      <c r="R485" s="233">
        <v>554950</v>
      </c>
      <c r="S485" s="234">
        <v>-59518</v>
      </c>
      <c r="T485" s="234">
        <v>495432</v>
      </c>
    </row>
    <row r="486" spans="1:20">
      <c r="A486" s="227">
        <v>95113</v>
      </c>
      <c r="B486" s="228" t="s">
        <v>1196</v>
      </c>
      <c r="C486" s="87">
        <v>4.6699999999999997E-5</v>
      </c>
      <c r="D486" s="87">
        <v>4.7500000000000003E-5</v>
      </c>
      <c r="E486" s="232">
        <v>71345</v>
      </c>
      <c r="F486" s="232"/>
      <c r="G486" s="233">
        <v>4110</v>
      </c>
      <c r="H486" s="221">
        <v>17322</v>
      </c>
      <c r="I486" s="233">
        <v>10189</v>
      </c>
      <c r="J486" s="232">
        <v>82563</v>
      </c>
      <c r="K486" s="221">
        <f t="shared" si="14"/>
        <v>114184</v>
      </c>
      <c r="L486" s="232"/>
      <c r="M486" s="233">
        <v>2020</v>
      </c>
      <c r="N486" s="233">
        <v>0</v>
      </c>
      <c r="O486" s="232">
        <v>0</v>
      </c>
      <c r="P486" s="221">
        <f t="shared" si="15"/>
        <v>2020</v>
      </c>
      <c r="Q486" s="232"/>
      <c r="R486" s="233">
        <v>24043</v>
      </c>
      <c r="S486" s="234">
        <v>31359</v>
      </c>
      <c r="T486" s="234">
        <v>55402</v>
      </c>
    </row>
    <row r="487" spans="1:20">
      <c r="A487" s="227">
        <v>95121</v>
      </c>
      <c r="B487" s="228" t="s">
        <v>1197</v>
      </c>
      <c r="C487" s="87">
        <v>4.9770000000000001E-4</v>
      </c>
      <c r="D487" s="87">
        <v>4.9580000000000002E-4</v>
      </c>
      <c r="E487" s="232">
        <v>760348</v>
      </c>
      <c r="F487" s="232"/>
      <c r="G487" s="233">
        <v>43803</v>
      </c>
      <c r="H487" s="221">
        <v>184613</v>
      </c>
      <c r="I487" s="233">
        <v>108588</v>
      </c>
      <c r="J487" s="232">
        <v>12640</v>
      </c>
      <c r="K487" s="221">
        <f t="shared" si="14"/>
        <v>349644</v>
      </c>
      <c r="L487" s="232"/>
      <c r="M487" s="233">
        <v>21523</v>
      </c>
      <c r="N487" s="233">
        <v>0</v>
      </c>
      <c r="O487" s="232">
        <v>14371</v>
      </c>
      <c r="P487" s="221">
        <f t="shared" si="15"/>
        <v>35894</v>
      </c>
      <c r="Q487" s="232"/>
      <c r="R487" s="233">
        <v>256238</v>
      </c>
      <c r="S487" s="234">
        <v>-7628</v>
      </c>
      <c r="T487" s="234">
        <v>248610</v>
      </c>
    </row>
    <row r="488" spans="1:20">
      <c r="A488" s="227">
        <v>95122</v>
      </c>
      <c r="B488" s="228" t="s">
        <v>1198</v>
      </c>
      <c r="C488" s="87">
        <v>6.4999999999999996E-6</v>
      </c>
      <c r="D488" s="87">
        <v>2.7999999999999999E-6</v>
      </c>
      <c r="E488" s="232">
        <v>9930</v>
      </c>
      <c r="F488" s="232"/>
      <c r="G488" s="233">
        <v>572</v>
      </c>
      <c r="H488" s="221">
        <v>2411</v>
      </c>
      <c r="I488" s="233">
        <v>1418</v>
      </c>
      <c r="J488" s="232">
        <v>3675</v>
      </c>
      <c r="K488" s="221">
        <f t="shared" si="14"/>
        <v>8076</v>
      </c>
      <c r="L488" s="232"/>
      <c r="M488" s="233">
        <v>281</v>
      </c>
      <c r="N488" s="233">
        <v>0</v>
      </c>
      <c r="O488" s="232">
        <v>0</v>
      </c>
      <c r="P488" s="221">
        <f t="shared" si="15"/>
        <v>281</v>
      </c>
      <c r="Q488" s="232"/>
      <c r="R488" s="233">
        <v>3346</v>
      </c>
      <c r="S488" s="234">
        <v>1103</v>
      </c>
      <c r="T488" s="234">
        <v>4449</v>
      </c>
    </row>
    <row r="489" spans="1:20">
      <c r="A489" s="227">
        <v>95123</v>
      </c>
      <c r="B489" s="228" t="s">
        <v>1199</v>
      </c>
      <c r="C489" s="87">
        <v>5.7399999999999999E-5</v>
      </c>
      <c r="D489" s="87">
        <v>5.6700000000000003E-5</v>
      </c>
      <c r="E489" s="232">
        <v>87691</v>
      </c>
      <c r="F489" s="232"/>
      <c r="G489" s="233">
        <v>5052</v>
      </c>
      <c r="H489" s="221">
        <v>21291</v>
      </c>
      <c r="I489" s="233">
        <v>12524</v>
      </c>
      <c r="J489" s="232">
        <v>8811</v>
      </c>
      <c r="K489" s="221">
        <f t="shared" si="14"/>
        <v>47678</v>
      </c>
      <c r="L489" s="232"/>
      <c r="M489" s="233">
        <v>2482</v>
      </c>
      <c r="N489" s="233">
        <v>0</v>
      </c>
      <c r="O489" s="232">
        <v>1459</v>
      </c>
      <c r="P489" s="221">
        <f t="shared" si="15"/>
        <v>3941</v>
      </c>
      <c r="Q489" s="232"/>
      <c r="R489" s="233">
        <v>29552</v>
      </c>
      <c r="S489" s="234">
        <v>1830</v>
      </c>
      <c r="T489" s="234">
        <v>31382</v>
      </c>
    </row>
    <row r="490" spans="1:20">
      <c r="A490" s="227">
        <v>95131</v>
      </c>
      <c r="B490" s="228" t="s">
        <v>1200</v>
      </c>
      <c r="C490" s="87">
        <v>1.6682999999999999E-3</v>
      </c>
      <c r="D490" s="87">
        <v>1.5451E-3</v>
      </c>
      <c r="E490" s="232">
        <v>2548700</v>
      </c>
      <c r="F490" s="232"/>
      <c r="G490" s="233">
        <v>146829</v>
      </c>
      <c r="H490" s="221">
        <v>618827</v>
      </c>
      <c r="I490" s="233">
        <v>363990</v>
      </c>
      <c r="J490" s="232">
        <v>105945</v>
      </c>
      <c r="K490" s="221">
        <f t="shared" si="14"/>
        <v>1235591</v>
      </c>
      <c r="L490" s="232"/>
      <c r="M490" s="233">
        <v>72146</v>
      </c>
      <c r="N490" s="233">
        <v>0</v>
      </c>
      <c r="O490" s="232">
        <v>846</v>
      </c>
      <c r="P490" s="221">
        <f t="shared" si="15"/>
        <v>72992</v>
      </c>
      <c r="Q490" s="232"/>
      <c r="R490" s="233">
        <v>858914</v>
      </c>
      <c r="S490" s="234">
        <v>33842</v>
      </c>
      <c r="T490" s="234">
        <v>892756</v>
      </c>
    </row>
    <row r="491" spans="1:20">
      <c r="A491" s="227">
        <v>95141</v>
      </c>
      <c r="B491" s="228" t="s">
        <v>1201</v>
      </c>
      <c r="C491" s="87">
        <v>3.2220000000000003E-4</v>
      </c>
      <c r="D491" s="87">
        <v>3.1819999999999998E-4</v>
      </c>
      <c r="E491" s="232">
        <v>492232</v>
      </c>
      <c r="F491" s="232"/>
      <c r="G491" s="233">
        <v>28357</v>
      </c>
      <c r="H491" s="221">
        <v>119515</v>
      </c>
      <c r="I491" s="233">
        <v>70298</v>
      </c>
      <c r="J491" s="232">
        <v>1251</v>
      </c>
      <c r="K491" s="221">
        <f t="shared" si="14"/>
        <v>219421</v>
      </c>
      <c r="L491" s="232"/>
      <c r="M491" s="233">
        <v>13934</v>
      </c>
      <c r="N491" s="233">
        <v>0</v>
      </c>
      <c r="O491" s="232">
        <v>29129</v>
      </c>
      <c r="P491" s="221">
        <f t="shared" si="15"/>
        <v>43063</v>
      </c>
      <c r="Q491" s="232"/>
      <c r="R491" s="233">
        <v>165883</v>
      </c>
      <c r="S491" s="234">
        <v>-11233</v>
      </c>
      <c r="T491" s="234">
        <v>154650</v>
      </c>
    </row>
    <row r="492" spans="1:20">
      <c r="A492" s="227">
        <v>95151</v>
      </c>
      <c r="B492" s="228" t="s">
        <v>1202</v>
      </c>
      <c r="C492" s="87">
        <v>1.092E-4</v>
      </c>
      <c r="D492" s="87">
        <v>1.158E-4</v>
      </c>
      <c r="E492" s="232">
        <v>166827</v>
      </c>
      <c r="F492" s="232"/>
      <c r="G492" s="233">
        <v>9611</v>
      </c>
      <c r="H492" s="221">
        <v>40506</v>
      </c>
      <c r="I492" s="233">
        <v>23825</v>
      </c>
      <c r="J492" s="232">
        <v>364</v>
      </c>
      <c r="K492" s="221">
        <f t="shared" si="14"/>
        <v>74306</v>
      </c>
      <c r="L492" s="232"/>
      <c r="M492" s="233">
        <v>4722</v>
      </c>
      <c r="N492" s="233">
        <v>0</v>
      </c>
      <c r="O492" s="232">
        <v>10802</v>
      </c>
      <c r="P492" s="221">
        <f t="shared" si="15"/>
        <v>15524</v>
      </c>
      <c r="Q492" s="232"/>
      <c r="R492" s="233">
        <v>56221</v>
      </c>
      <c r="S492" s="234">
        <v>-3332</v>
      </c>
      <c r="T492" s="234">
        <v>52889</v>
      </c>
    </row>
    <row r="493" spans="1:20">
      <c r="A493" s="227">
        <v>95161</v>
      </c>
      <c r="B493" s="228" t="s">
        <v>1203</v>
      </c>
      <c r="C493" s="87">
        <v>6.8100000000000002E-5</v>
      </c>
      <c r="D493" s="87">
        <v>7.4800000000000002E-5</v>
      </c>
      <c r="E493" s="232">
        <v>104038</v>
      </c>
      <c r="F493" s="232"/>
      <c r="G493" s="233">
        <v>5994</v>
      </c>
      <c r="H493" s="221">
        <v>25261</v>
      </c>
      <c r="I493" s="233">
        <v>14858</v>
      </c>
      <c r="J493" s="232">
        <v>5468</v>
      </c>
      <c r="K493" s="221">
        <f t="shared" si="14"/>
        <v>51581</v>
      </c>
      <c r="L493" s="232"/>
      <c r="M493" s="233">
        <v>2945</v>
      </c>
      <c r="N493" s="233">
        <v>0</v>
      </c>
      <c r="O493" s="232">
        <v>1353</v>
      </c>
      <c r="P493" s="221">
        <f t="shared" si="15"/>
        <v>4298</v>
      </c>
      <c r="Q493" s="232"/>
      <c r="R493" s="233">
        <v>35061</v>
      </c>
      <c r="S493" s="234">
        <v>1287</v>
      </c>
      <c r="T493" s="234">
        <v>36348</v>
      </c>
    </row>
    <row r="494" spans="1:20">
      <c r="A494" s="227">
        <v>95171</v>
      </c>
      <c r="B494" s="228" t="s">
        <v>1204</v>
      </c>
      <c r="C494" s="87">
        <v>1.0459999999999999E-4</v>
      </c>
      <c r="D494" s="87">
        <v>1.2300000000000001E-4</v>
      </c>
      <c r="E494" s="232">
        <v>159800</v>
      </c>
      <c r="F494" s="232"/>
      <c r="G494" s="233">
        <v>9206</v>
      </c>
      <c r="H494" s="221">
        <v>38799</v>
      </c>
      <c r="I494" s="233">
        <v>22822</v>
      </c>
      <c r="J494" s="232">
        <v>6705</v>
      </c>
      <c r="K494" s="221">
        <f t="shared" si="14"/>
        <v>77532</v>
      </c>
      <c r="L494" s="232"/>
      <c r="M494" s="233">
        <v>4523</v>
      </c>
      <c r="N494" s="233">
        <v>0</v>
      </c>
      <c r="O494" s="232">
        <v>14987</v>
      </c>
      <c r="P494" s="221">
        <f t="shared" si="15"/>
        <v>19510</v>
      </c>
      <c r="Q494" s="232"/>
      <c r="R494" s="233">
        <v>53853</v>
      </c>
      <c r="S494" s="234">
        <v>-3646</v>
      </c>
      <c r="T494" s="234">
        <v>50207</v>
      </c>
    </row>
    <row r="495" spans="1:20">
      <c r="A495" s="227">
        <v>95181</v>
      </c>
      <c r="B495" s="228" t="s">
        <v>1205</v>
      </c>
      <c r="C495" s="87">
        <v>7.7100000000000004E-5</v>
      </c>
      <c r="D495" s="87">
        <v>7.7899999999999996E-5</v>
      </c>
      <c r="E495" s="232">
        <v>117787</v>
      </c>
      <c r="F495" s="232"/>
      <c r="G495" s="233">
        <v>6786</v>
      </c>
      <c r="H495" s="221">
        <v>28599</v>
      </c>
      <c r="I495" s="233">
        <v>16822</v>
      </c>
      <c r="J495" s="232">
        <v>1069</v>
      </c>
      <c r="K495" s="221">
        <f t="shared" si="14"/>
        <v>53276</v>
      </c>
      <c r="L495" s="232"/>
      <c r="M495" s="233">
        <v>3334</v>
      </c>
      <c r="N495" s="233">
        <v>0</v>
      </c>
      <c r="O495" s="232">
        <v>9474</v>
      </c>
      <c r="P495" s="221">
        <f t="shared" si="15"/>
        <v>12808</v>
      </c>
      <c r="Q495" s="232"/>
      <c r="R495" s="233">
        <v>39694</v>
      </c>
      <c r="S495" s="234">
        <v>-2444</v>
      </c>
      <c r="T495" s="234">
        <v>37250</v>
      </c>
    </row>
    <row r="496" spans="1:20">
      <c r="A496" s="227">
        <v>95191</v>
      </c>
      <c r="B496" s="228" t="s">
        <v>1206</v>
      </c>
      <c r="C496" s="87">
        <v>5.3999999999999998E-5</v>
      </c>
      <c r="D496" s="87">
        <v>5.3999999999999998E-5</v>
      </c>
      <c r="E496" s="232">
        <v>82497</v>
      </c>
      <c r="F496" s="232"/>
      <c r="G496" s="233">
        <v>4753</v>
      </c>
      <c r="H496" s="221">
        <v>20031</v>
      </c>
      <c r="I496" s="233">
        <v>11782</v>
      </c>
      <c r="J496" s="232">
        <v>12522</v>
      </c>
      <c r="K496" s="221">
        <f t="shared" si="14"/>
        <v>49088</v>
      </c>
      <c r="L496" s="232"/>
      <c r="M496" s="233">
        <v>2335</v>
      </c>
      <c r="N496" s="233">
        <v>0</v>
      </c>
      <c r="O496" s="232">
        <v>5293</v>
      </c>
      <c r="P496" s="221">
        <f t="shared" si="15"/>
        <v>7628</v>
      </c>
      <c r="Q496" s="232"/>
      <c r="R496" s="233">
        <v>27802</v>
      </c>
      <c r="S496" s="234">
        <v>4438</v>
      </c>
      <c r="T496" s="234">
        <v>32240</v>
      </c>
    </row>
    <row r="497" spans="1:20">
      <c r="A497" s="227">
        <v>95201</v>
      </c>
      <c r="B497" s="228" t="s">
        <v>1207</v>
      </c>
      <c r="C497" s="87">
        <v>7.0969999999999996E-4</v>
      </c>
      <c r="D497" s="87">
        <v>6.8329999999999997E-4</v>
      </c>
      <c r="E497" s="232">
        <v>1084225</v>
      </c>
      <c r="F497" s="232"/>
      <c r="G497" s="233">
        <v>62461</v>
      </c>
      <c r="H497" s="221">
        <v>263252</v>
      </c>
      <c r="I497" s="233">
        <v>154842</v>
      </c>
      <c r="J497" s="232">
        <v>6474</v>
      </c>
      <c r="K497" s="221">
        <f t="shared" si="14"/>
        <v>487029</v>
      </c>
      <c r="L497" s="232"/>
      <c r="M497" s="233">
        <v>30691</v>
      </c>
      <c r="N497" s="233">
        <v>0</v>
      </c>
      <c r="O497" s="232">
        <v>21158</v>
      </c>
      <c r="P497" s="221">
        <f t="shared" si="15"/>
        <v>51849</v>
      </c>
      <c r="Q497" s="232"/>
      <c r="R497" s="233">
        <v>365385</v>
      </c>
      <c r="S497" s="234">
        <v>-9663</v>
      </c>
      <c r="T497" s="234">
        <v>355722</v>
      </c>
    </row>
    <row r="498" spans="1:20">
      <c r="A498" s="227">
        <v>95204</v>
      </c>
      <c r="B498" s="228" t="s">
        <v>1208</v>
      </c>
      <c r="C498" s="87">
        <v>1.26E-5</v>
      </c>
      <c r="D498" s="87">
        <v>1.1600000000000001E-5</v>
      </c>
      <c r="E498" s="232">
        <v>19249</v>
      </c>
      <c r="F498" s="232"/>
      <c r="G498" s="233">
        <v>1109</v>
      </c>
      <c r="H498" s="221">
        <v>4674</v>
      </c>
      <c r="I498" s="233">
        <v>2749</v>
      </c>
      <c r="J498" s="232">
        <v>1824</v>
      </c>
      <c r="K498" s="221">
        <f t="shared" si="14"/>
        <v>10356</v>
      </c>
      <c r="L498" s="232"/>
      <c r="M498" s="233">
        <v>545</v>
      </c>
      <c r="N498" s="233">
        <v>0</v>
      </c>
      <c r="O498" s="232">
        <v>1143</v>
      </c>
      <c r="P498" s="221">
        <f t="shared" si="15"/>
        <v>1688</v>
      </c>
      <c r="Q498" s="232"/>
      <c r="R498" s="233">
        <v>6487</v>
      </c>
      <c r="S498" s="234">
        <v>-195</v>
      </c>
      <c r="T498" s="234">
        <v>6292</v>
      </c>
    </row>
    <row r="499" spans="1:20">
      <c r="A499" s="227">
        <v>95205</v>
      </c>
      <c r="B499" s="228" t="s">
        <v>1209</v>
      </c>
      <c r="C499" s="87">
        <v>4.5000000000000001E-6</v>
      </c>
      <c r="D499" s="87">
        <v>4.7999999999999998E-6</v>
      </c>
      <c r="E499" s="232">
        <v>6875</v>
      </c>
      <c r="F499" s="232"/>
      <c r="G499" s="233">
        <v>396</v>
      </c>
      <c r="H499" s="221">
        <v>1669</v>
      </c>
      <c r="I499" s="233">
        <v>982</v>
      </c>
      <c r="J499" s="232">
        <v>605</v>
      </c>
      <c r="K499" s="221">
        <f t="shared" si="14"/>
        <v>3652</v>
      </c>
      <c r="L499" s="232"/>
      <c r="M499" s="233">
        <v>195</v>
      </c>
      <c r="N499" s="233">
        <v>0</v>
      </c>
      <c r="O499" s="232">
        <v>0</v>
      </c>
      <c r="P499" s="221">
        <f t="shared" si="15"/>
        <v>195</v>
      </c>
      <c r="Q499" s="232"/>
      <c r="R499" s="233">
        <v>2317</v>
      </c>
      <c r="S499" s="234">
        <v>311</v>
      </c>
      <c r="T499" s="234">
        <v>2628</v>
      </c>
    </row>
    <row r="500" spans="1:20">
      <c r="A500" s="227">
        <v>95211</v>
      </c>
      <c r="B500" s="228" t="s">
        <v>1210</v>
      </c>
      <c r="C500" s="87">
        <v>8.3999999999999992E-6</v>
      </c>
      <c r="D500" s="87">
        <v>9.2E-6</v>
      </c>
      <c r="E500" s="232">
        <v>12833</v>
      </c>
      <c r="F500" s="232"/>
      <c r="G500" s="233">
        <v>739</v>
      </c>
      <c r="H500" s="221">
        <v>3115</v>
      </c>
      <c r="I500" s="233">
        <v>1833</v>
      </c>
      <c r="J500" s="232">
        <v>1455</v>
      </c>
      <c r="K500" s="221">
        <f t="shared" si="14"/>
        <v>7142</v>
      </c>
      <c r="L500" s="232"/>
      <c r="M500" s="233">
        <v>363</v>
      </c>
      <c r="N500" s="233">
        <v>0</v>
      </c>
      <c r="O500" s="232">
        <v>1231</v>
      </c>
      <c r="P500" s="221">
        <f t="shared" si="15"/>
        <v>1594</v>
      </c>
      <c r="Q500" s="232"/>
      <c r="R500" s="233">
        <v>4325</v>
      </c>
      <c r="S500" s="234">
        <v>-523</v>
      </c>
      <c r="T500" s="234">
        <v>3802</v>
      </c>
    </row>
    <row r="501" spans="1:20">
      <c r="A501" s="227">
        <v>95221</v>
      </c>
      <c r="B501" s="228" t="s">
        <v>1211</v>
      </c>
      <c r="C501" s="87">
        <v>4.4100000000000001E-5</v>
      </c>
      <c r="D501" s="87">
        <v>1.6900000000000001E-5</v>
      </c>
      <c r="E501" s="232">
        <v>67373</v>
      </c>
      <c r="F501" s="232"/>
      <c r="G501" s="233">
        <v>3881</v>
      </c>
      <c r="H501" s="221">
        <v>16358</v>
      </c>
      <c r="I501" s="233">
        <v>9622</v>
      </c>
      <c r="J501" s="232">
        <v>21037</v>
      </c>
      <c r="K501" s="221">
        <f t="shared" si="14"/>
        <v>50898</v>
      </c>
      <c r="L501" s="232"/>
      <c r="M501" s="233">
        <v>1907</v>
      </c>
      <c r="N501" s="233">
        <v>0</v>
      </c>
      <c r="O501" s="232">
        <v>11299</v>
      </c>
      <c r="P501" s="221">
        <f t="shared" si="15"/>
        <v>13206</v>
      </c>
      <c r="Q501" s="232"/>
      <c r="R501" s="233">
        <v>22705</v>
      </c>
      <c r="S501" s="234">
        <v>2535</v>
      </c>
      <c r="T501" s="234">
        <v>25240</v>
      </c>
    </row>
    <row r="502" spans="1:20">
      <c r="A502" s="227">
        <v>95301</v>
      </c>
      <c r="B502" s="228" t="s">
        <v>1212</v>
      </c>
      <c r="C502" s="87">
        <v>2.3917999999999999E-3</v>
      </c>
      <c r="D502" s="87">
        <v>2.4063999999999999E-3</v>
      </c>
      <c r="E502" s="232">
        <v>3654008</v>
      </c>
      <c r="F502" s="232"/>
      <c r="G502" s="233">
        <v>210505</v>
      </c>
      <c r="H502" s="221">
        <v>887197</v>
      </c>
      <c r="I502" s="233">
        <v>521843</v>
      </c>
      <c r="J502" s="232">
        <v>73478</v>
      </c>
      <c r="K502" s="221">
        <f t="shared" si="14"/>
        <v>1693023</v>
      </c>
      <c r="L502" s="232"/>
      <c r="M502" s="233">
        <v>103433</v>
      </c>
      <c r="N502" s="233">
        <v>0</v>
      </c>
      <c r="O502" s="232">
        <v>11228</v>
      </c>
      <c r="P502" s="221">
        <f t="shared" si="15"/>
        <v>114661</v>
      </c>
      <c r="Q502" s="232"/>
      <c r="R502" s="233">
        <v>1231404</v>
      </c>
      <c r="S502" s="234">
        <v>19362</v>
      </c>
      <c r="T502" s="234">
        <f>1250765+1</f>
        <v>1250766</v>
      </c>
    </row>
    <row r="503" spans="1:20">
      <c r="A503" s="227">
        <v>95311</v>
      </c>
      <c r="B503" s="228" t="s">
        <v>1213</v>
      </c>
      <c r="C503" s="87">
        <v>2.6873999999999999E-3</v>
      </c>
      <c r="D503" s="87">
        <v>2.6841999999999999E-3</v>
      </c>
      <c r="E503" s="232">
        <v>4105603</v>
      </c>
      <c r="F503" s="232"/>
      <c r="G503" s="233">
        <v>236521</v>
      </c>
      <c r="H503" s="221">
        <v>996846</v>
      </c>
      <c r="I503" s="233">
        <v>586337</v>
      </c>
      <c r="J503" s="232">
        <v>41083</v>
      </c>
      <c r="K503" s="221">
        <f t="shared" si="14"/>
        <v>1860787</v>
      </c>
      <c r="L503" s="232"/>
      <c r="M503" s="233">
        <v>116217</v>
      </c>
      <c r="N503" s="233">
        <v>0</v>
      </c>
      <c r="O503" s="232">
        <v>117171</v>
      </c>
      <c r="P503" s="221">
        <f t="shared" si="15"/>
        <v>233388</v>
      </c>
      <c r="Q503" s="232"/>
      <c r="R503" s="233">
        <v>1383592</v>
      </c>
      <c r="S503" s="234">
        <v>-46704</v>
      </c>
      <c r="T503" s="234">
        <v>1336888</v>
      </c>
    </row>
    <row r="504" spans="1:20">
      <c r="A504" s="227">
        <v>95317</v>
      </c>
      <c r="B504" s="228" t="s">
        <v>1214</v>
      </c>
      <c r="C504" s="87">
        <v>4.8900000000000003E-5</v>
      </c>
      <c r="D504" s="87">
        <v>5.1400000000000003E-5</v>
      </c>
      <c r="E504" s="232">
        <v>74706</v>
      </c>
      <c r="F504" s="232"/>
      <c r="G504" s="233">
        <v>4304</v>
      </c>
      <c r="H504" s="221">
        <v>18138</v>
      </c>
      <c r="I504" s="233">
        <v>10669</v>
      </c>
      <c r="J504" s="232">
        <v>6328</v>
      </c>
      <c r="K504" s="221">
        <f t="shared" si="14"/>
        <v>39439</v>
      </c>
      <c r="L504" s="232"/>
      <c r="M504" s="233">
        <v>2115</v>
      </c>
      <c r="N504" s="233">
        <v>0</v>
      </c>
      <c r="O504" s="232">
        <v>38</v>
      </c>
      <c r="P504" s="221">
        <f t="shared" si="15"/>
        <v>2153</v>
      </c>
      <c r="Q504" s="232"/>
      <c r="R504" s="233">
        <v>25176</v>
      </c>
      <c r="S504" s="234">
        <v>2474</v>
      </c>
      <c r="T504" s="234">
        <v>27650</v>
      </c>
    </row>
    <row r="505" spans="1:20">
      <c r="A505" s="227">
        <v>95321</v>
      </c>
      <c r="B505" s="228" t="s">
        <v>1215</v>
      </c>
      <c r="C505" s="87">
        <v>4.71E-5</v>
      </c>
      <c r="D505" s="87">
        <v>5.7000000000000003E-5</v>
      </c>
      <c r="E505" s="232">
        <v>71956</v>
      </c>
      <c r="F505" s="232"/>
      <c r="G505" s="233">
        <v>4145</v>
      </c>
      <c r="H505" s="221">
        <v>17471</v>
      </c>
      <c r="I505" s="233">
        <v>10276</v>
      </c>
      <c r="J505" s="232">
        <v>3087</v>
      </c>
      <c r="K505" s="221">
        <f t="shared" si="14"/>
        <v>34979</v>
      </c>
      <c r="L505" s="232"/>
      <c r="M505" s="233">
        <v>2037</v>
      </c>
      <c r="N505" s="233">
        <v>0</v>
      </c>
      <c r="O505" s="232">
        <v>2158</v>
      </c>
      <c r="P505" s="221">
        <f t="shared" si="15"/>
        <v>4195</v>
      </c>
      <c r="Q505" s="232"/>
      <c r="R505" s="233">
        <v>24249</v>
      </c>
      <c r="S505" s="234">
        <v>1089</v>
      </c>
      <c r="T505" s="234">
        <v>25338</v>
      </c>
    </row>
    <row r="506" spans="1:20">
      <c r="A506" s="227">
        <v>95401</v>
      </c>
      <c r="B506" s="228" t="s">
        <v>1216</v>
      </c>
      <c r="C506" s="87">
        <v>2.9992E-3</v>
      </c>
      <c r="D506" s="87">
        <v>2.9979999999999998E-3</v>
      </c>
      <c r="E506" s="232">
        <v>4581947</v>
      </c>
      <c r="F506" s="232"/>
      <c r="G506" s="233">
        <v>263963</v>
      </c>
      <c r="H506" s="221">
        <v>1112502</v>
      </c>
      <c r="I506" s="233">
        <v>654365</v>
      </c>
      <c r="J506" s="232">
        <v>27695</v>
      </c>
      <c r="K506" s="221">
        <f t="shared" si="14"/>
        <v>2058525</v>
      </c>
      <c r="L506" s="232"/>
      <c r="M506" s="233">
        <v>129700</v>
      </c>
      <c r="N506" s="233">
        <v>0</v>
      </c>
      <c r="O506" s="232">
        <v>19902</v>
      </c>
      <c r="P506" s="221">
        <f t="shared" si="15"/>
        <v>149602</v>
      </c>
      <c r="Q506" s="232"/>
      <c r="R506" s="233">
        <v>1544120</v>
      </c>
      <c r="S506" s="234">
        <v>10089</v>
      </c>
      <c r="T506" s="234">
        <v>1554209</v>
      </c>
    </row>
    <row r="507" spans="1:20">
      <c r="A507" s="227">
        <v>95404</v>
      </c>
      <c r="B507" s="228" t="s">
        <v>1217</v>
      </c>
      <c r="C507" s="87">
        <v>5.3100000000000003E-5</v>
      </c>
      <c r="D507" s="87">
        <v>4.9799999999999998E-5</v>
      </c>
      <c r="E507" s="232">
        <v>81122</v>
      </c>
      <c r="F507" s="232"/>
      <c r="G507" s="233">
        <v>4673</v>
      </c>
      <c r="H507" s="221">
        <v>19697</v>
      </c>
      <c r="I507" s="233">
        <v>11585</v>
      </c>
      <c r="J507" s="232">
        <v>5158</v>
      </c>
      <c r="K507" s="221">
        <f t="shared" si="14"/>
        <v>41113</v>
      </c>
      <c r="L507" s="232"/>
      <c r="M507" s="233">
        <v>2296</v>
      </c>
      <c r="N507" s="233">
        <v>0</v>
      </c>
      <c r="O507" s="232">
        <v>0</v>
      </c>
      <c r="P507" s="221">
        <f t="shared" si="15"/>
        <v>2296</v>
      </c>
      <c r="Q507" s="232"/>
      <c r="R507" s="233">
        <v>27338</v>
      </c>
      <c r="S507" s="234">
        <v>1949</v>
      </c>
      <c r="T507" s="234">
        <v>29287</v>
      </c>
    </row>
    <row r="508" spans="1:20">
      <c r="A508" s="227">
        <v>95405</v>
      </c>
      <c r="B508" s="228" t="s">
        <v>1218</v>
      </c>
      <c r="C508" s="87">
        <v>1.84E-5</v>
      </c>
      <c r="D508" s="87">
        <v>1.84E-5</v>
      </c>
      <c r="E508" s="232">
        <v>28110</v>
      </c>
      <c r="F508" s="232"/>
      <c r="G508" s="233">
        <v>1619</v>
      </c>
      <c r="H508" s="221">
        <v>6826</v>
      </c>
      <c r="I508" s="233">
        <v>4015</v>
      </c>
      <c r="J508" s="232">
        <v>15544</v>
      </c>
      <c r="K508" s="221">
        <f t="shared" si="14"/>
        <v>28004</v>
      </c>
      <c r="L508" s="232"/>
      <c r="M508" s="233">
        <v>796</v>
      </c>
      <c r="N508" s="233">
        <v>0</v>
      </c>
      <c r="O508" s="232">
        <v>0</v>
      </c>
      <c r="P508" s="221">
        <f t="shared" si="15"/>
        <v>796</v>
      </c>
      <c r="Q508" s="232"/>
      <c r="R508" s="233">
        <v>9473</v>
      </c>
      <c r="S508" s="234">
        <v>5475</v>
      </c>
      <c r="T508" s="234">
        <v>14948</v>
      </c>
    </row>
    <row r="509" spans="1:20">
      <c r="A509" s="227">
        <v>95411</v>
      </c>
      <c r="B509" s="228" t="s">
        <v>1219</v>
      </c>
      <c r="C509" s="87">
        <v>2.2173000000000002E-3</v>
      </c>
      <c r="D509" s="87">
        <v>2.3272000000000002E-3</v>
      </c>
      <c r="E509" s="232">
        <v>3387420</v>
      </c>
      <c r="F509" s="232"/>
      <c r="G509" s="233">
        <v>195147</v>
      </c>
      <c r="H509" s="221">
        <v>822470</v>
      </c>
      <c r="I509" s="233">
        <v>483771</v>
      </c>
      <c r="J509" s="232">
        <v>14015</v>
      </c>
      <c r="K509" s="221">
        <f t="shared" si="14"/>
        <v>1515403</v>
      </c>
      <c r="L509" s="232"/>
      <c r="M509" s="233">
        <v>95887</v>
      </c>
      <c r="N509" s="233">
        <v>0</v>
      </c>
      <c r="O509" s="232">
        <v>60237</v>
      </c>
      <c r="P509" s="221">
        <f t="shared" si="15"/>
        <v>156124</v>
      </c>
      <c r="Q509" s="232"/>
      <c r="R509" s="233">
        <v>1141564</v>
      </c>
      <c r="S509" s="234">
        <v>-23907</v>
      </c>
      <c r="T509" s="234">
        <f>1117656+1</f>
        <v>1117657</v>
      </c>
    </row>
    <row r="510" spans="1:20">
      <c r="A510" s="227">
        <v>95412</v>
      </c>
      <c r="B510" s="228" t="s">
        <v>1220</v>
      </c>
      <c r="C510" s="87">
        <v>0</v>
      </c>
      <c r="D510" s="87">
        <v>0</v>
      </c>
      <c r="E510" s="232">
        <v>0</v>
      </c>
      <c r="F510" s="232"/>
      <c r="G510" s="233">
        <v>0</v>
      </c>
      <c r="H510" s="221">
        <v>0</v>
      </c>
      <c r="I510" s="233">
        <v>0</v>
      </c>
      <c r="J510" s="232">
        <v>0</v>
      </c>
      <c r="K510" s="221">
        <f t="shared" si="14"/>
        <v>0</v>
      </c>
      <c r="L510" s="232"/>
      <c r="M510" s="233">
        <v>0</v>
      </c>
      <c r="N510" s="233">
        <v>0</v>
      </c>
      <c r="O510" s="232">
        <v>27831</v>
      </c>
      <c r="P510" s="221">
        <f t="shared" si="15"/>
        <v>27831</v>
      </c>
      <c r="Q510" s="232"/>
      <c r="R510" s="233">
        <v>0</v>
      </c>
      <c r="S510" s="234">
        <v>-18518</v>
      </c>
      <c r="T510" s="234">
        <v>-18518</v>
      </c>
    </row>
    <row r="511" spans="1:20">
      <c r="A511" s="227">
        <v>95413</v>
      </c>
      <c r="B511" s="228" t="s">
        <v>1221</v>
      </c>
      <c r="C511" s="87">
        <v>2.5809999999999999E-4</v>
      </c>
      <c r="D511" s="87">
        <v>2.945E-4</v>
      </c>
      <c r="E511" s="232">
        <v>394305</v>
      </c>
      <c r="F511" s="232"/>
      <c r="G511" s="233">
        <v>22716</v>
      </c>
      <c r="H511" s="221">
        <v>95737</v>
      </c>
      <c r="I511" s="233">
        <v>56312</v>
      </c>
      <c r="J511" s="232">
        <v>247679</v>
      </c>
      <c r="K511" s="221">
        <f t="shared" si="14"/>
        <v>422444</v>
      </c>
      <c r="L511" s="232"/>
      <c r="M511" s="233">
        <v>11162</v>
      </c>
      <c r="N511" s="233">
        <v>0</v>
      </c>
      <c r="O511" s="232">
        <v>9401</v>
      </c>
      <c r="P511" s="221">
        <f t="shared" si="15"/>
        <v>20563</v>
      </c>
      <c r="Q511" s="232"/>
      <c r="R511" s="233">
        <v>132881</v>
      </c>
      <c r="S511" s="234">
        <v>77340</v>
      </c>
      <c r="T511" s="234">
        <v>210221</v>
      </c>
    </row>
    <row r="512" spans="1:20">
      <c r="A512" s="227">
        <v>95415</v>
      </c>
      <c r="B512" s="228" t="s">
        <v>1222</v>
      </c>
      <c r="C512" s="87">
        <v>6.2899999999999997E-5</v>
      </c>
      <c r="D512" s="87">
        <v>7.9499999999999994E-5</v>
      </c>
      <c r="E512" s="232">
        <v>96094</v>
      </c>
      <c r="F512" s="232"/>
      <c r="G512" s="233">
        <v>5536</v>
      </c>
      <c r="H512" s="221">
        <v>23331</v>
      </c>
      <c r="I512" s="233">
        <v>13724</v>
      </c>
      <c r="J512" s="232">
        <v>5301</v>
      </c>
      <c r="K512" s="221">
        <f t="shared" si="14"/>
        <v>47892</v>
      </c>
      <c r="L512" s="232"/>
      <c r="M512" s="233">
        <v>2720</v>
      </c>
      <c r="N512" s="233">
        <v>0</v>
      </c>
      <c r="O512" s="232">
        <v>16874</v>
      </c>
      <c r="P512" s="221">
        <f t="shared" si="15"/>
        <v>19594</v>
      </c>
      <c r="Q512" s="232"/>
      <c r="R512" s="233">
        <v>32384</v>
      </c>
      <c r="S512" s="234">
        <v>-165</v>
      </c>
      <c r="T512" s="234">
        <v>32219</v>
      </c>
    </row>
    <row r="513" spans="1:20">
      <c r="A513" s="227">
        <v>95421</v>
      </c>
      <c r="B513" s="228" t="s">
        <v>1223</v>
      </c>
      <c r="C513" s="87">
        <v>3.8699999999999999E-5</v>
      </c>
      <c r="D513" s="87">
        <v>3.9100000000000002E-5</v>
      </c>
      <c r="E513" s="232">
        <v>59123</v>
      </c>
      <c r="F513" s="232"/>
      <c r="G513" s="233">
        <v>3406</v>
      </c>
      <c r="H513" s="221">
        <v>14355</v>
      </c>
      <c r="I513" s="233">
        <v>8444</v>
      </c>
      <c r="J513" s="232">
        <v>226</v>
      </c>
      <c r="K513" s="221">
        <f t="shared" si="14"/>
        <v>26431</v>
      </c>
      <c r="L513" s="232"/>
      <c r="M513" s="233">
        <v>1674</v>
      </c>
      <c r="N513" s="233">
        <v>0</v>
      </c>
      <c r="O513" s="232">
        <v>9353</v>
      </c>
      <c r="P513" s="221">
        <f t="shared" si="15"/>
        <v>11027</v>
      </c>
      <c r="Q513" s="232"/>
      <c r="R513" s="233">
        <v>19924</v>
      </c>
      <c r="S513" s="234">
        <v>-4913</v>
      </c>
      <c r="T513" s="234">
        <f>15012-1</f>
        <v>15011</v>
      </c>
    </row>
    <row r="514" spans="1:20">
      <c r="A514" s="227">
        <v>95431</v>
      </c>
      <c r="B514" s="228" t="s">
        <v>1224</v>
      </c>
      <c r="C514" s="87">
        <v>1.5300000000000001E-4</v>
      </c>
      <c r="D514" s="87">
        <v>1.8009999999999999E-4</v>
      </c>
      <c r="E514" s="232">
        <v>233742</v>
      </c>
      <c r="F514" s="232"/>
      <c r="G514" s="233">
        <v>13466</v>
      </c>
      <c r="H514" s="221">
        <v>56753</v>
      </c>
      <c r="I514" s="233">
        <v>33382</v>
      </c>
      <c r="J514" s="232">
        <v>224</v>
      </c>
      <c r="K514" s="221">
        <f t="shared" si="14"/>
        <v>103825</v>
      </c>
      <c r="L514" s="232"/>
      <c r="M514" s="233">
        <v>6616</v>
      </c>
      <c r="N514" s="233">
        <v>0</v>
      </c>
      <c r="O514" s="232">
        <v>34003</v>
      </c>
      <c r="P514" s="221">
        <f t="shared" si="15"/>
        <v>40619</v>
      </c>
      <c r="Q514" s="232"/>
      <c r="R514" s="233">
        <v>78771</v>
      </c>
      <c r="S514" s="234">
        <v>-9919</v>
      </c>
      <c r="T514" s="234">
        <v>68852</v>
      </c>
    </row>
    <row r="515" spans="1:20">
      <c r="A515" s="227">
        <v>95501</v>
      </c>
      <c r="B515" s="228" t="s">
        <v>1225</v>
      </c>
      <c r="C515" s="87">
        <v>4.8764999999999998E-3</v>
      </c>
      <c r="D515" s="87">
        <v>4.7917999999999997E-3</v>
      </c>
      <c r="E515" s="232">
        <v>7449941</v>
      </c>
      <c r="F515" s="232"/>
      <c r="G515" s="233">
        <v>429186</v>
      </c>
      <c r="H515" s="221">
        <v>1808855</v>
      </c>
      <c r="I515" s="233">
        <v>1063955</v>
      </c>
      <c r="J515" s="232">
        <v>31695</v>
      </c>
      <c r="K515" s="221">
        <f t="shared" si="14"/>
        <v>3333691</v>
      </c>
      <c r="L515" s="232"/>
      <c r="M515" s="233">
        <v>210884</v>
      </c>
      <c r="N515" s="233">
        <v>0</v>
      </c>
      <c r="O515" s="232">
        <v>124610</v>
      </c>
      <c r="P515" s="221">
        <f t="shared" si="15"/>
        <v>335494</v>
      </c>
      <c r="Q515" s="232"/>
      <c r="R515" s="233">
        <v>2510637</v>
      </c>
      <c r="S515" s="234">
        <v>-8646</v>
      </c>
      <c r="T515" s="234">
        <v>2501991</v>
      </c>
    </row>
    <row r="516" spans="1:20">
      <c r="A516" s="227">
        <v>95504</v>
      </c>
      <c r="B516" s="228" t="s">
        <v>1226</v>
      </c>
      <c r="C516" s="87">
        <v>9.3999999999999998E-6</v>
      </c>
      <c r="D516" s="87">
        <v>8.8999999999999995E-6</v>
      </c>
      <c r="E516" s="232">
        <v>14361</v>
      </c>
      <c r="F516" s="232"/>
      <c r="G516" s="233">
        <v>827</v>
      </c>
      <c r="H516" s="221">
        <v>3487</v>
      </c>
      <c r="I516" s="233">
        <v>2051</v>
      </c>
      <c r="J516" s="232">
        <v>7912</v>
      </c>
      <c r="K516" s="221">
        <f t="shared" si="14"/>
        <v>14277</v>
      </c>
      <c r="L516" s="232"/>
      <c r="M516" s="233">
        <v>407</v>
      </c>
      <c r="N516" s="233">
        <v>0</v>
      </c>
      <c r="O516" s="232">
        <v>0</v>
      </c>
      <c r="P516" s="221">
        <f t="shared" si="15"/>
        <v>407</v>
      </c>
      <c r="Q516" s="232"/>
      <c r="R516" s="233">
        <v>4840</v>
      </c>
      <c r="S516" s="234">
        <v>2952</v>
      </c>
      <c r="T516" s="234">
        <f>7791+1</f>
        <v>7792</v>
      </c>
    </row>
    <row r="517" spans="1:20">
      <c r="A517" s="227">
        <v>95511</v>
      </c>
      <c r="B517" s="228" t="s">
        <v>1227</v>
      </c>
      <c r="C517" s="87">
        <v>9.7460000000000005E-4</v>
      </c>
      <c r="D517" s="87">
        <v>9.6049999999999998E-4</v>
      </c>
      <c r="E517" s="232">
        <v>1488919</v>
      </c>
      <c r="F517" s="232"/>
      <c r="G517" s="233">
        <v>85776</v>
      </c>
      <c r="H517" s="221">
        <v>361511</v>
      </c>
      <c r="I517" s="233">
        <v>212638</v>
      </c>
      <c r="J517" s="232">
        <v>44242</v>
      </c>
      <c r="K517" s="221">
        <f t="shared" si="14"/>
        <v>704167</v>
      </c>
      <c r="L517" s="232"/>
      <c r="M517" s="233">
        <v>42147</v>
      </c>
      <c r="N517" s="233">
        <v>0</v>
      </c>
      <c r="O517" s="232">
        <v>52155</v>
      </c>
      <c r="P517" s="221">
        <f t="shared" si="15"/>
        <v>94302</v>
      </c>
      <c r="Q517" s="232"/>
      <c r="R517" s="233">
        <v>501767</v>
      </c>
      <c r="S517" s="234">
        <v>-4607</v>
      </c>
      <c r="T517" s="234">
        <v>497160</v>
      </c>
    </row>
    <row r="518" spans="1:20">
      <c r="A518" s="227">
        <v>95513</v>
      </c>
      <c r="B518" s="228" t="s">
        <v>1228</v>
      </c>
      <c r="C518" s="87">
        <v>4.6699999999999997E-5</v>
      </c>
      <c r="D518" s="87">
        <v>4.5500000000000001E-5</v>
      </c>
      <c r="E518" s="232">
        <v>71345</v>
      </c>
      <c r="F518" s="232"/>
      <c r="G518" s="233">
        <v>4110</v>
      </c>
      <c r="H518" s="221">
        <v>17322</v>
      </c>
      <c r="I518" s="233">
        <v>10189</v>
      </c>
      <c r="J518" s="232">
        <v>21773</v>
      </c>
      <c r="K518" s="221">
        <f t="shared" si="14"/>
        <v>53394</v>
      </c>
      <c r="L518" s="232"/>
      <c r="M518" s="233">
        <v>2020</v>
      </c>
      <c r="N518" s="233">
        <v>0</v>
      </c>
      <c r="O518" s="232">
        <v>0</v>
      </c>
      <c r="P518" s="221">
        <f t="shared" si="15"/>
        <v>2020</v>
      </c>
      <c r="Q518" s="232"/>
      <c r="R518" s="233">
        <v>24043</v>
      </c>
      <c r="S518" s="234">
        <v>9103</v>
      </c>
      <c r="T518" s="234">
        <v>33146</v>
      </c>
    </row>
    <row r="519" spans="1:20">
      <c r="A519" s="227">
        <v>95517</v>
      </c>
      <c r="B519" s="228" t="s">
        <v>1229</v>
      </c>
      <c r="C519" s="87">
        <v>2.4499999999999999E-5</v>
      </c>
      <c r="D519" s="87">
        <v>1.66E-5</v>
      </c>
      <c r="E519" s="232">
        <v>37429</v>
      </c>
      <c r="F519" s="232"/>
      <c r="G519" s="233">
        <v>2156</v>
      </c>
      <c r="H519" s="221">
        <v>9087</v>
      </c>
      <c r="I519" s="233">
        <v>5345</v>
      </c>
      <c r="J519" s="232">
        <v>17989</v>
      </c>
      <c r="K519" s="221">
        <f t="shared" si="14"/>
        <v>34577</v>
      </c>
      <c r="L519" s="232"/>
      <c r="M519" s="233">
        <v>1060</v>
      </c>
      <c r="N519" s="233">
        <v>0</v>
      </c>
      <c r="O519" s="232">
        <v>0</v>
      </c>
      <c r="P519" s="221">
        <f t="shared" si="15"/>
        <v>1060</v>
      </c>
      <c r="Q519" s="232"/>
      <c r="R519" s="233">
        <v>12614</v>
      </c>
      <c r="S519" s="234">
        <v>6544</v>
      </c>
      <c r="T519" s="234">
        <v>19158</v>
      </c>
    </row>
    <row r="520" spans="1:20">
      <c r="A520" s="227">
        <v>95601</v>
      </c>
      <c r="B520" s="228" t="s">
        <v>1230</v>
      </c>
      <c r="C520" s="87">
        <v>2.6280000000000001E-3</v>
      </c>
      <c r="D520" s="87">
        <v>2.6592999999999999E-3</v>
      </c>
      <c r="E520" s="232">
        <v>4014856</v>
      </c>
      <c r="F520" s="232"/>
      <c r="G520" s="233">
        <v>231293</v>
      </c>
      <c r="H520" s="221">
        <v>974812</v>
      </c>
      <c r="I520" s="233">
        <v>573377</v>
      </c>
      <c r="J520" s="232">
        <v>85590</v>
      </c>
      <c r="K520" s="221">
        <f t="shared" si="14"/>
        <v>1865072</v>
      </c>
      <c r="L520" s="232"/>
      <c r="M520" s="233">
        <v>113648</v>
      </c>
      <c r="N520" s="233">
        <v>0</v>
      </c>
      <c r="O520" s="232">
        <v>19082</v>
      </c>
      <c r="P520" s="221">
        <f t="shared" si="15"/>
        <v>132730</v>
      </c>
      <c r="Q520" s="232"/>
      <c r="R520" s="233">
        <v>1353010</v>
      </c>
      <c r="S520" s="234">
        <v>47697</v>
      </c>
      <c r="T520" s="234">
        <v>1400707</v>
      </c>
    </row>
    <row r="521" spans="1:20">
      <c r="A521" s="227">
        <v>95611</v>
      </c>
      <c r="B521" s="228" t="s">
        <v>1231</v>
      </c>
      <c r="C521" s="87">
        <v>4.0660000000000002E-4</v>
      </c>
      <c r="D521" s="87">
        <v>3.9540000000000002E-4</v>
      </c>
      <c r="E521" s="232">
        <v>621172</v>
      </c>
      <c r="F521" s="232"/>
      <c r="G521" s="233">
        <v>35785</v>
      </c>
      <c r="H521" s="221">
        <v>150821</v>
      </c>
      <c r="I521" s="233">
        <v>88712</v>
      </c>
      <c r="J521" s="232">
        <v>8653</v>
      </c>
      <c r="K521" s="221">
        <f t="shared" ref="K521:K584" si="16">G521+H521+I521+J521</f>
        <v>283971</v>
      </c>
      <c r="L521" s="232"/>
      <c r="M521" s="233">
        <v>17583</v>
      </c>
      <c r="N521" s="233">
        <v>0</v>
      </c>
      <c r="O521" s="232">
        <v>3649</v>
      </c>
      <c r="P521" s="221">
        <f t="shared" ref="P521:P584" si="17">M521+N521+O521</f>
        <v>21232</v>
      </c>
      <c r="Q521" s="232"/>
      <c r="R521" s="233">
        <v>209336</v>
      </c>
      <c r="S521" s="234">
        <v>1212</v>
      </c>
      <c r="T521" s="234">
        <f>210547+1</f>
        <v>210548</v>
      </c>
    </row>
    <row r="522" spans="1:20">
      <c r="A522" s="227">
        <v>95617</v>
      </c>
      <c r="B522" s="228" t="s">
        <v>1232</v>
      </c>
      <c r="C522" s="87">
        <v>1.6399999999999999E-5</v>
      </c>
      <c r="D522" s="87">
        <v>1.6500000000000001E-5</v>
      </c>
      <c r="E522" s="232">
        <v>25055</v>
      </c>
      <c r="F522" s="232"/>
      <c r="G522" s="233">
        <v>1443</v>
      </c>
      <c r="H522" s="221">
        <v>6084</v>
      </c>
      <c r="I522" s="233">
        <v>3578</v>
      </c>
      <c r="J522" s="232">
        <v>722</v>
      </c>
      <c r="K522" s="221">
        <f t="shared" si="16"/>
        <v>11827</v>
      </c>
      <c r="L522" s="232"/>
      <c r="M522" s="233">
        <v>709</v>
      </c>
      <c r="N522" s="233">
        <v>0</v>
      </c>
      <c r="O522" s="232">
        <v>1277</v>
      </c>
      <c r="P522" s="221">
        <f t="shared" si="17"/>
        <v>1986</v>
      </c>
      <c r="Q522" s="232"/>
      <c r="R522" s="233">
        <v>8443</v>
      </c>
      <c r="S522" s="234">
        <v>-659</v>
      </c>
      <c r="T522" s="234">
        <v>7784</v>
      </c>
    </row>
    <row r="523" spans="1:20">
      <c r="A523" s="227">
        <v>95621</v>
      </c>
      <c r="B523" s="228" t="s">
        <v>1233</v>
      </c>
      <c r="C523" s="87">
        <v>4.5360000000000002E-4</v>
      </c>
      <c r="D523" s="87">
        <v>4.8020000000000002E-4</v>
      </c>
      <c r="E523" s="232">
        <v>692975</v>
      </c>
      <c r="F523" s="232"/>
      <c r="G523" s="233">
        <v>39922</v>
      </c>
      <c r="H523" s="221">
        <v>168255</v>
      </c>
      <c r="I523" s="233">
        <v>98966</v>
      </c>
      <c r="J523" s="232">
        <v>3166</v>
      </c>
      <c r="K523" s="221">
        <f t="shared" si="16"/>
        <v>310309</v>
      </c>
      <c r="L523" s="232"/>
      <c r="M523" s="233">
        <v>19616</v>
      </c>
      <c r="N523" s="233">
        <v>0</v>
      </c>
      <c r="O523" s="232">
        <v>4423</v>
      </c>
      <c r="P523" s="221">
        <f t="shared" si="17"/>
        <v>24039</v>
      </c>
      <c r="Q523" s="232"/>
      <c r="R523" s="233">
        <v>233533</v>
      </c>
      <c r="S523" s="234">
        <v>1481</v>
      </c>
      <c r="T523" s="234">
        <f>235015-1</f>
        <v>235014</v>
      </c>
    </row>
    <row r="524" spans="1:20">
      <c r="A524" s="227">
        <v>95701</v>
      </c>
      <c r="B524" s="228" t="s">
        <v>1234</v>
      </c>
      <c r="C524" s="87">
        <v>1.3747E-3</v>
      </c>
      <c r="D524" s="87">
        <v>1.291E-3</v>
      </c>
      <c r="E524" s="232">
        <v>2100161</v>
      </c>
      <c r="F524" s="232"/>
      <c r="G524" s="233">
        <v>120989</v>
      </c>
      <c r="H524" s="221">
        <v>509922</v>
      </c>
      <c r="I524" s="233">
        <v>299932</v>
      </c>
      <c r="J524" s="232">
        <v>62898</v>
      </c>
      <c r="K524" s="221">
        <f t="shared" si="16"/>
        <v>993741</v>
      </c>
      <c r="L524" s="232"/>
      <c r="M524" s="233">
        <v>59449</v>
      </c>
      <c r="N524" s="233">
        <v>0</v>
      </c>
      <c r="O524" s="232">
        <v>0</v>
      </c>
      <c r="P524" s="221">
        <f t="shared" si="17"/>
        <v>59449</v>
      </c>
      <c r="Q524" s="232"/>
      <c r="R524" s="233">
        <v>707756</v>
      </c>
      <c r="S524" s="234">
        <v>28646</v>
      </c>
      <c r="T524" s="234">
        <v>736402</v>
      </c>
    </row>
    <row r="525" spans="1:20">
      <c r="A525" s="227">
        <v>95711</v>
      </c>
      <c r="B525" s="228" t="s">
        <v>1235</v>
      </c>
      <c r="C525" s="87">
        <v>1.394E-4</v>
      </c>
      <c r="D525" s="87">
        <v>1.382E-4</v>
      </c>
      <c r="E525" s="232">
        <v>212965</v>
      </c>
      <c r="F525" s="232"/>
      <c r="G525" s="233">
        <v>12269</v>
      </c>
      <c r="H525" s="221">
        <v>51708</v>
      </c>
      <c r="I525" s="233">
        <v>30414</v>
      </c>
      <c r="J525" s="232">
        <v>6056</v>
      </c>
      <c r="K525" s="221">
        <f t="shared" si="16"/>
        <v>100447</v>
      </c>
      <c r="L525" s="232"/>
      <c r="M525" s="233">
        <v>6028</v>
      </c>
      <c r="N525" s="233">
        <v>0</v>
      </c>
      <c r="O525" s="232">
        <v>5836</v>
      </c>
      <c r="P525" s="221">
        <f t="shared" si="17"/>
        <v>11864</v>
      </c>
      <c r="Q525" s="232"/>
      <c r="R525" s="233">
        <v>71769</v>
      </c>
      <c r="S525" s="234">
        <v>1663</v>
      </c>
      <c r="T525" s="234">
        <v>73432</v>
      </c>
    </row>
    <row r="526" spans="1:20">
      <c r="A526" s="227">
        <v>95721</v>
      </c>
      <c r="B526" s="228" t="s">
        <v>1236</v>
      </c>
      <c r="C526" s="87">
        <v>6.7600000000000003E-5</v>
      </c>
      <c r="D526" s="87">
        <v>6.6199999999999996E-5</v>
      </c>
      <c r="E526" s="232">
        <v>103274</v>
      </c>
      <c r="F526" s="232"/>
      <c r="G526" s="233">
        <v>5950</v>
      </c>
      <c r="H526" s="221">
        <v>25075</v>
      </c>
      <c r="I526" s="233">
        <v>14749</v>
      </c>
      <c r="J526" s="232">
        <v>0</v>
      </c>
      <c r="K526" s="221">
        <f t="shared" si="16"/>
        <v>45774</v>
      </c>
      <c r="L526" s="232"/>
      <c r="M526" s="233">
        <v>2923</v>
      </c>
      <c r="N526" s="233">
        <v>0</v>
      </c>
      <c r="O526" s="232">
        <v>9622</v>
      </c>
      <c r="P526" s="221">
        <f t="shared" si="17"/>
        <v>12545</v>
      </c>
      <c r="Q526" s="232"/>
      <c r="R526" s="233">
        <v>34803</v>
      </c>
      <c r="S526" s="234">
        <v>-4619</v>
      </c>
      <c r="T526" s="234">
        <f>30185-1</f>
        <v>30184</v>
      </c>
    </row>
    <row r="527" spans="1:20">
      <c r="A527" s="227">
        <v>95733</v>
      </c>
      <c r="B527" s="228" t="s">
        <v>1237</v>
      </c>
      <c r="C527" s="87">
        <v>1.5400000000000002E-5</v>
      </c>
      <c r="D527" s="87">
        <v>1.56E-5</v>
      </c>
      <c r="E527" s="232">
        <v>23527</v>
      </c>
      <c r="F527" s="232"/>
      <c r="G527" s="233">
        <v>1355</v>
      </c>
      <c r="H527" s="221">
        <v>5712</v>
      </c>
      <c r="I527" s="233">
        <v>3360</v>
      </c>
      <c r="J527" s="232">
        <v>581</v>
      </c>
      <c r="K527" s="221">
        <f t="shared" si="16"/>
        <v>11008</v>
      </c>
      <c r="L527" s="232"/>
      <c r="M527" s="233">
        <v>666</v>
      </c>
      <c r="N527" s="233">
        <v>0</v>
      </c>
      <c r="O527" s="232">
        <v>464</v>
      </c>
      <c r="P527" s="221">
        <f t="shared" si="17"/>
        <v>1130</v>
      </c>
      <c r="Q527" s="232"/>
      <c r="R527" s="233">
        <v>7929</v>
      </c>
      <c r="S527" s="234">
        <v>209</v>
      </c>
      <c r="T527" s="234">
        <v>8138</v>
      </c>
    </row>
    <row r="528" spans="1:20">
      <c r="A528" s="227">
        <v>95801</v>
      </c>
      <c r="B528" s="228" t="s">
        <v>1238</v>
      </c>
      <c r="C528" s="87">
        <v>9.6310000000000005E-4</v>
      </c>
      <c r="D528" s="87">
        <v>8.9349999999999998E-4</v>
      </c>
      <c r="E528" s="232">
        <v>1471350</v>
      </c>
      <c r="F528" s="232"/>
      <c r="G528" s="233">
        <v>84763</v>
      </c>
      <c r="H528" s="221">
        <v>357246</v>
      </c>
      <c r="I528" s="233">
        <v>210129</v>
      </c>
      <c r="J528" s="232">
        <v>62205</v>
      </c>
      <c r="K528" s="221">
        <f t="shared" si="16"/>
        <v>714343</v>
      </c>
      <c r="L528" s="232"/>
      <c r="M528" s="233">
        <v>41649</v>
      </c>
      <c r="N528" s="233">
        <v>0</v>
      </c>
      <c r="O528" s="232">
        <v>4103</v>
      </c>
      <c r="P528" s="221">
        <f t="shared" si="17"/>
        <v>45752</v>
      </c>
      <c r="Q528" s="232"/>
      <c r="R528" s="233">
        <v>495846</v>
      </c>
      <c r="S528" s="234">
        <v>14399</v>
      </c>
      <c r="T528" s="234">
        <v>510245</v>
      </c>
    </row>
    <row r="529" spans="1:20">
      <c r="A529" s="227">
        <v>95802</v>
      </c>
      <c r="B529" s="228" t="s">
        <v>1239</v>
      </c>
      <c r="C529" s="87">
        <v>6.1E-6</v>
      </c>
      <c r="D529" s="87">
        <v>6.8000000000000001E-6</v>
      </c>
      <c r="E529" s="232">
        <v>9319</v>
      </c>
      <c r="F529" s="232"/>
      <c r="G529" s="233">
        <v>537</v>
      </c>
      <c r="H529" s="221">
        <v>2263</v>
      </c>
      <c r="I529" s="233">
        <v>1331</v>
      </c>
      <c r="J529" s="232">
        <v>3297</v>
      </c>
      <c r="K529" s="221">
        <f t="shared" si="16"/>
        <v>7428</v>
      </c>
      <c r="L529" s="232"/>
      <c r="M529" s="233">
        <v>264</v>
      </c>
      <c r="N529" s="233">
        <v>0</v>
      </c>
      <c r="O529" s="232">
        <v>1248</v>
      </c>
      <c r="P529" s="221">
        <f t="shared" si="17"/>
        <v>1512</v>
      </c>
      <c r="Q529" s="232"/>
      <c r="R529" s="233">
        <v>3141</v>
      </c>
      <c r="S529" s="234">
        <v>-81</v>
      </c>
      <c r="T529" s="234">
        <v>3060</v>
      </c>
    </row>
    <row r="530" spans="1:20">
      <c r="A530" s="227">
        <v>95804</v>
      </c>
      <c r="B530" s="228" t="s">
        <v>1240</v>
      </c>
      <c r="C530" s="87">
        <v>2.19E-5</v>
      </c>
      <c r="D530" s="87">
        <v>1.63E-5</v>
      </c>
      <c r="E530" s="232">
        <v>33457</v>
      </c>
      <c r="F530" s="232"/>
      <c r="G530" s="233">
        <v>1927</v>
      </c>
      <c r="H530" s="221">
        <v>8123</v>
      </c>
      <c r="I530" s="233">
        <v>4778</v>
      </c>
      <c r="J530" s="232">
        <v>3631</v>
      </c>
      <c r="K530" s="221">
        <f t="shared" si="16"/>
        <v>18459</v>
      </c>
      <c r="L530" s="232"/>
      <c r="M530" s="233">
        <v>947</v>
      </c>
      <c r="N530" s="233">
        <v>0</v>
      </c>
      <c r="O530" s="232">
        <v>0</v>
      </c>
      <c r="P530" s="221">
        <f t="shared" si="17"/>
        <v>947</v>
      </c>
      <c r="Q530" s="232"/>
      <c r="R530" s="233">
        <v>11275</v>
      </c>
      <c r="S530" s="234">
        <v>1628</v>
      </c>
      <c r="T530" s="234">
        <f>12904-1</f>
        <v>12903</v>
      </c>
    </row>
    <row r="531" spans="1:20">
      <c r="A531" s="227">
        <v>95811</v>
      </c>
      <c r="B531" s="228" t="s">
        <v>1241</v>
      </c>
      <c r="C531" s="87">
        <v>5.3129999999999996E-4</v>
      </c>
      <c r="D531" s="87">
        <v>5.3410000000000003E-4</v>
      </c>
      <c r="E531" s="232">
        <v>811679</v>
      </c>
      <c r="F531" s="232"/>
      <c r="G531" s="233">
        <v>46760</v>
      </c>
      <c r="H531" s="221">
        <v>197076</v>
      </c>
      <c r="I531" s="233">
        <v>115919</v>
      </c>
      <c r="J531" s="232">
        <v>1678</v>
      </c>
      <c r="K531" s="221">
        <f t="shared" si="16"/>
        <v>361433</v>
      </c>
      <c r="L531" s="232"/>
      <c r="M531" s="233">
        <v>22976</v>
      </c>
      <c r="N531" s="233">
        <v>0</v>
      </c>
      <c r="O531" s="232">
        <v>5329</v>
      </c>
      <c r="P531" s="221">
        <f t="shared" si="17"/>
        <v>28305</v>
      </c>
      <c r="Q531" s="232"/>
      <c r="R531" s="233">
        <v>273537</v>
      </c>
      <c r="S531" s="234">
        <v>-1501</v>
      </c>
      <c r="T531" s="234">
        <f>272035+1</f>
        <v>272036</v>
      </c>
    </row>
    <row r="532" spans="1:20">
      <c r="A532" s="227">
        <v>95813</v>
      </c>
      <c r="B532" s="228" t="s">
        <v>1242</v>
      </c>
      <c r="C532" s="87">
        <v>4.88E-5</v>
      </c>
      <c r="D532" s="87">
        <v>4.4400000000000002E-5</v>
      </c>
      <c r="E532" s="232">
        <v>74553</v>
      </c>
      <c r="F532" s="232"/>
      <c r="G532" s="233">
        <v>4295</v>
      </c>
      <c r="H532" s="221">
        <v>18101</v>
      </c>
      <c r="I532" s="233">
        <v>10647</v>
      </c>
      <c r="J532" s="232">
        <v>72000</v>
      </c>
      <c r="K532" s="221">
        <f t="shared" si="16"/>
        <v>105043</v>
      </c>
      <c r="L532" s="232"/>
      <c r="M532" s="233">
        <v>2110</v>
      </c>
      <c r="N532" s="233">
        <v>0</v>
      </c>
      <c r="O532" s="232">
        <v>0</v>
      </c>
      <c r="P532" s="221">
        <f t="shared" si="17"/>
        <v>2110</v>
      </c>
      <c r="Q532" s="232"/>
      <c r="R532" s="233">
        <v>25124</v>
      </c>
      <c r="S532" s="234">
        <v>24457</v>
      </c>
      <c r="T532" s="234">
        <v>49581</v>
      </c>
    </row>
    <row r="533" spans="1:20">
      <c r="A533" s="227">
        <v>95821</v>
      </c>
      <c r="B533" s="228" t="s">
        <v>1243</v>
      </c>
      <c r="C533" s="87">
        <v>0</v>
      </c>
      <c r="D533" s="87">
        <v>1.7E-6</v>
      </c>
      <c r="E533" s="232">
        <v>0</v>
      </c>
      <c r="F533" s="232"/>
      <c r="G533" s="233">
        <v>0</v>
      </c>
      <c r="H533" s="221">
        <v>0</v>
      </c>
      <c r="I533" s="233">
        <v>0</v>
      </c>
      <c r="J533" s="232">
        <v>1293</v>
      </c>
      <c r="K533" s="221">
        <f t="shared" si="16"/>
        <v>1293</v>
      </c>
      <c r="L533" s="232"/>
      <c r="M533" s="233">
        <v>0</v>
      </c>
      <c r="N533" s="233">
        <v>0</v>
      </c>
      <c r="O533" s="232">
        <v>652</v>
      </c>
      <c r="P533" s="221">
        <f t="shared" si="17"/>
        <v>652</v>
      </c>
      <c r="Q533" s="232"/>
      <c r="R533" s="233">
        <v>0</v>
      </c>
      <c r="S533" s="234">
        <v>460</v>
      </c>
      <c r="T533" s="234">
        <v>460</v>
      </c>
    </row>
    <row r="534" spans="1:20">
      <c r="A534" s="227">
        <v>95831</v>
      </c>
      <c r="B534" s="228" t="s">
        <v>1244</v>
      </c>
      <c r="C534" s="87">
        <v>1.6799999999999998E-5</v>
      </c>
      <c r="D534" s="87">
        <v>1.36E-5</v>
      </c>
      <c r="E534" s="232">
        <v>25666</v>
      </c>
      <c r="F534" s="232"/>
      <c r="G534" s="233">
        <v>1479</v>
      </c>
      <c r="H534" s="221">
        <v>6232</v>
      </c>
      <c r="I534" s="233">
        <v>3665</v>
      </c>
      <c r="J534" s="232">
        <v>23962</v>
      </c>
      <c r="K534" s="221">
        <f t="shared" si="16"/>
        <v>35338</v>
      </c>
      <c r="L534" s="232"/>
      <c r="M534" s="233">
        <v>727</v>
      </c>
      <c r="N534" s="233">
        <v>0</v>
      </c>
      <c r="O534" s="232">
        <v>0</v>
      </c>
      <c r="P534" s="221">
        <f t="shared" si="17"/>
        <v>727</v>
      </c>
      <c r="Q534" s="232"/>
      <c r="R534" s="233">
        <v>8649</v>
      </c>
      <c r="S534" s="234">
        <v>8068</v>
      </c>
      <c r="T534" s="234">
        <v>16717</v>
      </c>
    </row>
    <row r="535" spans="1:20">
      <c r="A535" s="227">
        <v>95841</v>
      </c>
      <c r="B535" s="228" t="s">
        <v>1245</v>
      </c>
      <c r="C535" s="87">
        <v>2.0999999999999999E-5</v>
      </c>
      <c r="D535" s="87">
        <v>2.1100000000000001E-5</v>
      </c>
      <c r="E535" s="232">
        <v>32082</v>
      </c>
      <c r="F535" s="232"/>
      <c r="G535" s="233">
        <v>1848</v>
      </c>
      <c r="H535" s="221">
        <v>7790</v>
      </c>
      <c r="I535" s="233">
        <v>4582</v>
      </c>
      <c r="J535" s="232">
        <v>2103</v>
      </c>
      <c r="K535" s="221">
        <f t="shared" si="16"/>
        <v>16323</v>
      </c>
      <c r="L535" s="232"/>
      <c r="M535" s="233">
        <v>908</v>
      </c>
      <c r="N535" s="233">
        <v>0</v>
      </c>
      <c r="O535" s="232">
        <v>0</v>
      </c>
      <c r="P535" s="221">
        <f t="shared" si="17"/>
        <v>908</v>
      </c>
      <c r="Q535" s="232"/>
      <c r="R535" s="233">
        <v>10812</v>
      </c>
      <c r="S535" s="234">
        <v>817</v>
      </c>
      <c r="T535" s="234">
        <v>11629</v>
      </c>
    </row>
    <row r="536" spans="1:20">
      <c r="A536" s="227">
        <v>95851</v>
      </c>
      <c r="B536" s="228" t="s">
        <v>1246</v>
      </c>
      <c r="C536" s="87">
        <v>1.327E-4</v>
      </c>
      <c r="D536" s="87">
        <v>1.3009999999999999E-4</v>
      </c>
      <c r="E536" s="232">
        <v>202729</v>
      </c>
      <c r="F536" s="232"/>
      <c r="G536" s="233">
        <v>11679</v>
      </c>
      <c r="H536" s="221">
        <v>49223</v>
      </c>
      <c r="I536" s="233">
        <v>28952</v>
      </c>
      <c r="J536" s="232">
        <v>130637</v>
      </c>
      <c r="K536" s="221">
        <f t="shared" si="16"/>
        <v>220491</v>
      </c>
      <c r="L536" s="232"/>
      <c r="M536" s="233">
        <v>5739</v>
      </c>
      <c r="N536" s="233">
        <v>0</v>
      </c>
      <c r="O536" s="232">
        <v>4180</v>
      </c>
      <c r="P536" s="221">
        <f t="shared" si="17"/>
        <v>9919</v>
      </c>
      <c r="Q536" s="232"/>
      <c r="R536" s="233">
        <v>68320</v>
      </c>
      <c r="S536" s="234">
        <v>39831</v>
      </c>
      <c r="T536" s="234">
        <v>108151</v>
      </c>
    </row>
    <row r="537" spans="1:20">
      <c r="A537" s="227">
        <v>95853</v>
      </c>
      <c r="B537" s="228" t="s">
        <v>1247</v>
      </c>
      <c r="C537" s="87">
        <v>2.69E-5</v>
      </c>
      <c r="D537" s="87">
        <v>2.4000000000000001E-5</v>
      </c>
      <c r="E537" s="232">
        <v>41096</v>
      </c>
      <c r="F537" s="232"/>
      <c r="G537" s="233">
        <v>2367</v>
      </c>
      <c r="H537" s="221">
        <v>9978</v>
      </c>
      <c r="I537" s="233">
        <v>5869</v>
      </c>
      <c r="J537" s="232">
        <v>8793</v>
      </c>
      <c r="K537" s="221">
        <f t="shared" si="16"/>
        <v>27007</v>
      </c>
      <c r="L537" s="232"/>
      <c r="M537" s="233">
        <v>1163</v>
      </c>
      <c r="N537" s="233">
        <v>0</v>
      </c>
      <c r="O537" s="232">
        <v>0</v>
      </c>
      <c r="P537" s="221">
        <f t="shared" si="17"/>
        <v>1163</v>
      </c>
      <c r="Q537" s="232"/>
      <c r="R537" s="233">
        <v>13849</v>
      </c>
      <c r="S537" s="234">
        <v>3675</v>
      </c>
      <c r="T537" s="234">
        <f>17525-1</f>
        <v>17524</v>
      </c>
    </row>
    <row r="538" spans="1:20">
      <c r="A538" s="227">
        <v>95901</v>
      </c>
      <c r="B538" s="228" t="s">
        <v>1248</v>
      </c>
      <c r="C538" s="87">
        <v>1.8714999999999999E-3</v>
      </c>
      <c r="D538" s="87">
        <v>1.8266999999999999E-3</v>
      </c>
      <c r="E538" s="232">
        <v>2859134</v>
      </c>
      <c r="F538" s="232"/>
      <c r="G538" s="233">
        <v>164713</v>
      </c>
      <c r="H538" s="221">
        <v>694201</v>
      </c>
      <c r="I538" s="233">
        <v>408324</v>
      </c>
      <c r="J538" s="232">
        <v>36652</v>
      </c>
      <c r="K538" s="221">
        <f t="shared" si="16"/>
        <v>1303890</v>
      </c>
      <c r="L538" s="232"/>
      <c r="M538" s="233">
        <v>80933</v>
      </c>
      <c r="N538" s="233">
        <v>0</v>
      </c>
      <c r="O538" s="232">
        <v>13191</v>
      </c>
      <c r="P538" s="221">
        <f t="shared" si="17"/>
        <v>94124</v>
      </c>
      <c r="Q538" s="232"/>
      <c r="R538" s="233">
        <v>963531</v>
      </c>
      <c r="S538" s="234">
        <v>28466</v>
      </c>
      <c r="T538" s="234">
        <v>991997</v>
      </c>
    </row>
    <row r="539" spans="1:20">
      <c r="A539" s="227">
        <v>95908</v>
      </c>
      <c r="B539" s="228" t="s">
        <v>1249</v>
      </c>
      <c r="C539" s="87">
        <v>7.2200000000000007E-5</v>
      </c>
      <c r="D539" s="87">
        <v>7.2000000000000002E-5</v>
      </c>
      <c r="E539" s="232">
        <v>110302</v>
      </c>
      <c r="F539" s="232"/>
      <c r="G539" s="233">
        <v>6354</v>
      </c>
      <c r="H539" s="221">
        <v>26781</v>
      </c>
      <c r="I539" s="233">
        <v>15753</v>
      </c>
      <c r="J539" s="232">
        <v>0</v>
      </c>
      <c r="K539" s="221">
        <f t="shared" si="16"/>
        <v>48888</v>
      </c>
      <c r="L539" s="232"/>
      <c r="M539" s="233">
        <v>3122</v>
      </c>
      <c r="N539" s="233">
        <v>0</v>
      </c>
      <c r="O539" s="232">
        <v>22164</v>
      </c>
      <c r="P539" s="221">
        <f t="shared" si="17"/>
        <v>25286</v>
      </c>
      <c r="Q539" s="232"/>
      <c r="R539" s="233">
        <v>37172</v>
      </c>
      <c r="S539" s="234">
        <v>-10736</v>
      </c>
      <c r="T539" s="234">
        <v>26436</v>
      </c>
    </row>
    <row r="540" spans="1:20">
      <c r="A540" s="227">
        <v>95911</v>
      </c>
      <c r="B540" s="228" t="s">
        <v>1250</v>
      </c>
      <c r="C540" s="87">
        <v>5.7450000000000003E-4</v>
      </c>
      <c r="D540" s="87">
        <v>5.6979999999999997E-4</v>
      </c>
      <c r="E540" s="232">
        <v>877677</v>
      </c>
      <c r="F540" s="232"/>
      <c r="G540" s="233">
        <v>50562</v>
      </c>
      <c r="H540" s="221">
        <v>213101</v>
      </c>
      <c r="I540" s="233">
        <v>125344</v>
      </c>
      <c r="J540" s="232">
        <v>2898</v>
      </c>
      <c r="K540" s="221">
        <f t="shared" si="16"/>
        <v>391905</v>
      </c>
      <c r="L540" s="232"/>
      <c r="M540" s="233">
        <v>24844</v>
      </c>
      <c r="N540" s="233">
        <v>0</v>
      </c>
      <c r="O540" s="232">
        <v>40952</v>
      </c>
      <c r="P540" s="221">
        <f t="shared" si="17"/>
        <v>65796</v>
      </c>
      <c r="Q540" s="232"/>
      <c r="R540" s="233">
        <v>295778</v>
      </c>
      <c r="S540" s="234">
        <v>-14076</v>
      </c>
      <c r="T540" s="234">
        <v>281702</v>
      </c>
    </row>
    <row r="541" spans="1:20">
      <c r="A541" s="227">
        <v>95917</v>
      </c>
      <c r="B541" s="228" t="s">
        <v>1251</v>
      </c>
      <c r="C541" s="87">
        <v>2.6699999999999998E-5</v>
      </c>
      <c r="D541" s="87">
        <v>2.2399999999999999E-5</v>
      </c>
      <c r="E541" s="232">
        <v>40790</v>
      </c>
      <c r="F541" s="232"/>
      <c r="G541" s="233">
        <v>2350</v>
      </c>
      <c r="H541" s="221">
        <v>9904</v>
      </c>
      <c r="I541" s="233">
        <v>5825</v>
      </c>
      <c r="J541" s="232">
        <v>4378</v>
      </c>
      <c r="K541" s="221">
        <f t="shared" si="16"/>
        <v>22457</v>
      </c>
      <c r="L541" s="232"/>
      <c r="M541" s="233">
        <v>1155</v>
      </c>
      <c r="N541" s="233">
        <v>0</v>
      </c>
      <c r="O541" s="232">
        <v>501</v>
      </c>
      <c r="P541" s="221">
        <f t="shared" si="17"/>
        <v>1656</v>
      </c>
      <c r="Q541" s="232"/>
      <c r="R541" s="233">
        <v>13746</v>
      </c>
      <c r="S541" s="234">
        <v>2216</v>
      </c>
      <c r="T541" s="234">
        <v>15962</v>
      </c>
    </row>
    <row r="542" spans="1:20">
      <c r="A542" s="227">
        <v>95921</v>
      </c>
      <c r="B542" s="228" t="s">
        <v>1252</v>
      </c>
      <c r="C542" s="87">
        <v>4.7500000000000003E-5</v>
      </c>
      <c r="D542" s="87">
        <v>4.4700000000000002E-5</v>
      </c>
      <c r="E542" s="232">
        <v>72567</v>
      </c>
      <c r="F542" s="232"/>
      <c r="G542" s="233">
        <v>4181</v>
      </c>
      <c r="H542" s="221">
        <v>17619</v>
      </c>
      <c r="I542" s="233">
        <v>10364</v>
      </c>
      <c r="J542" s="232">
        <v>3925</v>
      </c>
      <c r="K542" s="221">
        <f t="shared" si="16"/>
        <v>36089</v>
      </c>
      <c r="L542" s="232"/>
      <c r="M542" s="233">
        <v>2054</v>
      </c>
      <c r="N542" s="233">
        <v>0</v>
      </c>
      <c r="O542" s="232">
        <v>948</v>
      </c>
      <c r="P542" s="221">
        <f t="shared" si="17"/>
        <v>3002</v>
      </c>
      <c r="Q542" s="232"/>
      <c r="R542" s="233">
        <v>24455</v>
      </c>
      <c r="S542" s="234">
        <v>526</v>
      </c>
      <c r="T542" s="234">
        <v>24981</v>
      </c>
    </row>
    <row r="543" spans="1:20">
      <c r="A543" s="227">
        <v>96001</v>
      </c>
      <c r="B543" s="228" t="s">
        <v>1253</v>
      </c>
      <c r="C543" s="87">
        <v>4.4386399999999999E-2</v>
      </c>
      <c r="D543" s="87">
        <v>4.43519E-2</v>
      </c>
      <c r="E543" s="232">
        <v>67810124</v>
      </c>
      <c r="F543" s="232"/>
      <c r="G543" s="233">
        <v>3906491</v>
      </c>
      <c r="H543" s="221">
        <v>16464380</v>
      </c>
      <c r="I543" s="233">
        <v>9684225</v>
      </c>
      <c r="J543" s="232">
        <v>1457342</v>
      </c>
      <c r="K543" s="221">
        <f t="shared" si="16"/>
        <v>31512438</v>
      </c>
      <c r="L543" s="232"/>
      <c r="M543" s="233">
        <v>1919490</v>
      </c>
      <c r="N543" s="233">
        <v>0</v>
      </c>
      <c r="O543" s="232">
        <v>477903</v>
      </c>
      <c r="P543" s="221">
        <f t="shared" si="17"/>
        <v>2397393</v>
      </c>
      <c r="Q543" s="232"/>
      <c r="R543" s="233">
        <v>22852072</v>
      </c>
      <c r="S543" s="234">
        <v>1208760</v>
      </c>
      <c r="T543" s="234">
        <v>24060832</v>
      </c>
    </row>
    <row r="544" spans="1:20">
      <c r="A544" s="227">
        <v>96003</v>
      </c>
      <c r="B544" s="228" t="s">
        <v>1254</v>
      </c>
      <c r="C544" s="87">
        <v>1.6523E-3</v>
      </c>
      <c r="D544" s="87">
        <v>1.7309000000000001E-3</v>
      </c>
      <c r="E544" s="232">
        <v>2524257</v>
      </c>
      <c r="F544" s="232"/>
      <c r="G544" s="233">
        <v>145421</v>
      </c>
      <c r="H544" s="221">
        <v>612893</v>
      </c>
      <c r="I544" s="233">
        <v>360499</v>
      </c>
      <c r="J544" s="232">
        <v>3089</v>
      </c>
      <c r="K544" s="221">
        <f t="shared" si="16"/>
        <v>1121902</v>
      </c>
      <c r="L544" s="232"/>
      <c r="M544" s="233">
        <v>71454</v>
      </c>
      <c r="N544" s="233">
        <v>0</v>
      </c>
      <c r="O544" s="232">
        <v>135978</v>
      </c>
      <c r="P544" s="221">
        <f t="shared" si="17"/>
        <v>207432</v>
      </c>
      <c r="Q544" s="232"/>
      <c r="R544" s="233">
        <v>850677</v>
      </c>
      <c r="S544" s="234">
        <v>-56030</v>
      </c>
      <c r="T544" s="234">
        <v>794647</v>
      </c>
    </row>
    <row r="545" spans="1:20">
      <c r="A545" s="227">
        <v>96004</v>
      </c>
      <c r="B545" s="228" t="s">
        <v>1255</v>
      </c>
      <c r="C545" s="87">
        <v>8.9439999999999995E-4</v>
      </c>
      <c r="D545" s="87">
        <v>8.7699999999999996E-4</v>
      </c>
      <c r="E545" s="232">
        <v>1366395</v>
      </c>
      <c r="F545" s="232"/>
      <c r="G545" s="233">
        <v>78717</v>
      </c>
      <c r="H545" s="221">
        <v>331762</v>
      </c>
      <c r="I545" s="233">
        <v>195140</v>
      </c>
      <c r="J545" s="232">
        <v>149546</v>
      </c>
      <c r="K545" s="221">
        <f t="shared" si="16"/>
        <v>755165</v>
      </c>
      <c r="L545" s="232"/>
      <c r="M545" s="233">
        <v>38678</v>
      </c>
      <c r="N545" s="233">
        <v>0</v>
      </c>
      <c r="O545" s="232">
        <v>0</v>
      </c>
      <c r="P545" s="221">
        <f t="shared" si="17"/>
        <v>38678</v>
      </c>
      <c r="Q545" s="232"/>
      <c r="R545" s="233">
        <v>460476</v>
      </c>
      <c r="S545" s="234">
        <v>65505</v>
      </c>
      <c r="T545" s="234">
        <f>525982-1</f>
        <v>525981</v>
      </c>
    </row>
    <row r="546" spans="1:20">
      <c r="A546" s="227">
        <v>96005</v>
      </c>
      <c r="B546" s="228" t="s">
        <v>1256</v>
      </c>
      <c r="C546" s="87">
        <v>2.6733999999999998E-3</v>
      </c>
      <c r="D546" s="87">
        <v>2.6457E-3</v>
      </c>
      <c r="E546" s="232">
        <v>4084215</v>
      </c>
      <c r="F546" s="232"/>
      <c r="G546" s="233">
        <v>235289</v>
      </c>
      <c r="H546" s="221">
        <v>991653</v>
      </c>
      <c r="I546" s="233">
        <v>583282</v>
      </c>
      <c r="J546" s="232">
        <v>222285</v>
      </c>
      <c r="K546" s="221">
        <f t="shared" si="16"/>
        <v>2032509</v>
      </c>
      <c r="L546" s="232"/>
      <c r="M546" s="233">
        <v>115611</v>
      </c>
      <c r="N546" s="233">
        <v>0</v>
      </c>
      <c r="O546" s="232">
        <v>0</v>
      </c>
      <c r="P546" s="221">
        <f t="shared" si="17"/>
        <v>115611</v>
      </c>
      <c r="Q546" s="232"/>
      <c r="R546" s="233">
        <v>1376384</v>
      </c>
      <c r="S546" s="234">
        <v>159087</v>
      </c>
      <c r="T546" s="234">
        <v>1535471</v>
      </c>
    </row>
    <row r="547" spans="1:20">
      <c r="A547" s="227">
        <v>96008</v>
      </c>
      <c r="B547" s="228" t="s">
        <v>1257</v>
      </c>
      <c r="C547" s="87">
        <v>5.9955E-3</v>
      </c>
      <c r="D547" s="87">
        <v>5.9388000000000002E-3</v>
      </c>
      <c r="E547" s="232">
        <v>9159463</v>
      </c>
      <c r="F547" s="232"/>
      <c r="G547" s="233">
        <v>527670</v>
      </c>
      <c r="H547" s="221">
        <v>2223929</v>
      </c>
      <c r="I547" s="233">
        <v>1308098</v>
      </c>
      <c r="J547" s="232">
        <v>0</v>
      </c>
      <c r="K547" s="221">
        <f t="shared" si="16"/>
        <v>4059697</v>
      </c>
      <c r="L547" s="232"/>
      <c r="M547" s="233">
        <v>259275</v>
      </c>
      <c r="N547" s="233">
        <v>0</v>
      </c>
      <c r="O547" s="232">
        <v>767021</v>
      </c>
      <c r="P547" s="221">
        <f t="shared" si="17"/>
        <v>1026296</v>
      </c>
      <c r="Q547" s="232"/>
      <c r="R547" s="233">
        <v>3086747</v>
      </c>
      <c r="S547" s="234">
        <v>-274630</v>
      </c>
      <c r="T547" s="234">
        <v>2812117</v>
      </c>
    </row>
    <row r="548" spans="1:20">
      <c r="A548" s="227">
        <v>96009</v>
      </c>
      <c r="B548" s="228" t="s">
        <v>1258</v>
      </c>
      <c r="C548" s="87">
        <v>3.7609999999999998E-4</v>
      </c>
      <c r="D548" s="87">
        <v>3.5980000000000002E-4</v>
      </c>
      <c r="E548" s="232">
        <v>574577</v>
      </c>
      <c r="F548" s="232"/>
      <c r="G548" s="233">
        <v>33101</v>
      </c>
      <c r="H548" s="221">
        <v>139508</v>
      </c>
      <c r="I548" s="233">
        <v>82057</v>
      </c>
      <c r="J548" s="232">
        <v>33181</v>
      </c>
      <c r="K548" s="221">
        <f t="shared" si="16"/>
        <v>287847</v>
      </c>
      <c r="L548" s="232"/>
      <c r="M548" s="233">
        <v>16264</v>
      </c>
      <c r="N548" s="233">
        <v>0</v>
      </c>
      <c r="O548" s="232">
        <v>2595</v>
      </c>
      <c r="P548" s="221">
        <f t="shared" si="17"/>
        <v>18859</v>
      </c>
      <c r="Q548" s="232"/>
      <c r="R548" s="233">
        <v>193633</v>
      </c>
      <c r="S548" s="234">
        <v>11508</v>
      </c>
      <c r="T548" s="234">
        <v>205141</v>
      </c>
    </row>
    <row r="549" spans="1:20">
      <c r="A549" s="227">
        <v>96011</v>
      </c>
      <c r="B549" s="228" t="s">
        <v>1259</v>
      </c>
      <c r="C549" s="87">
        <v>6.1150400000000001E-2</v>
      </c>
      <c r="D549" s="87">
        <v>6.0489000000000001E-2</v>
      </c>
      <c r="E549" s="232">
        <v>93420873</v>
      </c>
      <c r="F549" s="232"/>
      <c r="G549" s="233">
        <v>5381908</v>
      </c>
      <c r="H549" s="221">
        <v>22682701</v>
      </c>
      <c r="I549" s="233">
        <v>13341794</v>
      </c>
      <c r="J549" s="232">
        <v>796221</v>
      </c>
      <c r="K549" s="221">
        <f t="shared" si="16"/>
        <v>42202624</v>
      </c>
      <c r="L549" s="232"/>
      <c r="M549" s="233">
        <v>2644449</v>
      </c>
      <c r="N549" s="233">
        <v>0</v>
      </c>
      <c r="O549" s="232">
        <v>51460</v>
      </c>
      <c r="P549" s="221">
        <f t="shared" si="17"/>
        <v>2695909</v>
      </c>
      <c r="Q549" s="232"/>
      <c r="R549" s="233">
        <v>31482917</v>
      </c>
      <c r="S549" s="234">
        <v>212508</v>
      </c>
      <c r="T549" s="234">
        <v>31695425</v>
      </c>
    </row>
    <row r="550" spans="1:20">
      <c r="A550" s="227">
        <v>96012</v>
      </c>
      <c r="B550" s="228" t="s">
        <v>1260</v>
      </c>
      <c r="C550" s="87">
        <v>2.4417000000000002E-3</v>
      </c>
      <c r="D550" s="87">
        <v>2.4095000000000002E-3</v>
      </c>
      <c r="E550" s="232">
        <v>3730241</v>
      </c>
      <c r="F550" s="232"/>
      <c r="G550" s="233">
        <v>214896</v>
      </c>
      <c r="H550" s="221">
        <v>905707</v>
      </c>
      <c r="I550" s="233">
        <v>532730</v>
      </c>
      <c r="J550" s="232">
        <v>77080</v>
      </c>
      <c r="K550" s="221">
        <f t="shared" si="16"/>
        <v>1730413</v>
      </c>
      <c r="L550" s="232"/>
      <c r="M550" s="233">
        <v>105591</v>
      </c>
      <c r="N550" s="233">
        <v>0</v>
      </c>
      <c r="O550" s="232">
        <v>937</v>
      </c>
      <c r="P550" s="221">
        <f t="shared" si="17"/>
        <v>106528</v>
      </c>
      <c r="Q550" s="232"/>
      <c r="R550" s="233">
        <v>1257095</v>
      </c>
      <c r="S550" s="234">
        <v>35595</v>
      </c>
      <c r="T550" s="234">
        <v>1292690</v>
      </c>
    </row>
    <row r="551" spans="1:20">
      <c r="A551" s="227">
        <v>96018</v>
      </c>
      <c r="B551" s="228" t="s">
        <v>1261</v>
      </c>
      <c r="C551" s="87">
        <v>4.3600000000000003E-5</v>
      </c>
      <c r="D551" s="87">
        <v>3.6199999999999999E-5</v>
      </c>
      <c r="E551" s="232">
        <v>66609</v>
      </c>
      <c r="F551" s="232"/>
      <c r="G551" s="233">
        <v>3837</v>
      </c>
      <c r="H551" s="221">
        <v>16173</v>
      </c>
      <c r="I551" s="233">
        <v>9513</v>
      </c>
      <c r="J551" s="232">
        <v>9704</v>
      </c>
      <c r="K551" s="221">
        <f t="shared" si="16"/>
        <v>39227</v>
      </c>
      <c r="L551" s="232"/>
      <c r="M551" s="233">
        <v>1885</v>
      </c>
      <c r="N551" s="233">
        <v>0</v>
      </c>
      <c r="O551" s="232">
        <v>0</v>
      </c>
      <c r="P551" s="221">
        <f t="shared" si="17"/>
        <v>1885</v>
      </c>
      <c r="Q551" s="232"/>
      <c r="R551" s="233">
        <v>22447</v>
      </c>
      <c r="S551" s="234">
        <v>5913</v>
      </c>
      <c r="T551" s="234">
        <v>28360</v>
      </c>
    </row>
    <row r="552" spans="1:20">
      <c r="A552" s="227">
        <v>96021</v>
      </c>
      <c r="B552" s="228" t="s">
        <v>1262</v>
      </c>
      <c r="C552" s="87">
        <v>7.2090000000000001E-4</v>
      </c>
      <c r="D552" s="87">
        <v>8.5829999999999999E-4</v>
      </c>
      <c r="E552" s="232">
        <v>1101336</v>
      </c>
      <c r="F552" s="232"/>
      <c r="G552" s="233">
        <v>63447</v>
      </c>
      <c r="H552" s="221">
        <v>267406</v>
      </c>
      <c r="I552" s="233">
        <v>157286</v>
      </c>
      <c r="J552" s="232">
        <v>31959</v>
      </c>
      <c r="K552" s="221">
        <f t="shared" si="16"/>
        <v>520098</v>
      </c>
      <c r="L552" s="232"/>
      <c r="M552" s="233">
        <v>31175</v>
      </c>
      <c r="N552" s="233">
        <v>0</v>
      </c>
      <c r="O552" s="232">
        <v>119309</v>
      </c>
      <c r="P552" s="221">
        <f t="shared" si="17"/>
        <v>150484</v>
      </c>
      <c r="Q552" s="232"/>
      <c r="R552" s="233">
        <v>371151</v>
      </c>
      <c r="S552" s="234">
        <v>-13869</v>
      </c>
      <c r="T552" s="234">
        <v>357282</v>
      </c>
    </row>
    <row r="553" spans="1:20">
      <c r="A553" s="227">
        <v>96031</v>
      </c>
      <c r="B553" s="228" t="s">
        <v>1263</v>
      </c>
      <c r="C553" s="87">
        <v>8.2580000000000001E-4</v>
      </c>
      <c r="D553" s="87">
        <v>9.0189999999999997E-4</v>
      </c>
      <c r="E553" s="232">
        <v>1261594</v>
      </c>
      <c r="F553" s="232"/>
      <c r="G553" s="233">
        <v>72679</v>
      </c>
      <c r="H553" s="221">
        <v>306317</v>
      </c>
      <c r="I553" s="233">
        <v>180173</v>
      </c>
      <c r="J553" s="232">
        <v>0</v>
      </c>
      <c r="K553" s="221">
        <f t="shared" si="16"/>
        <v>559169</v>
      </c>
      <c r="L553" s="232"/>
      <c r="M553" s="233">
        <v>35712</v>
      </c>
      <c r="N553" s="233">
        <v>0</v>
      </c>
      <c r="O553" s="232">
        <v>179263</v>
      </c>
      <c r="P553" s="221">
        <f t="shared" si="17"/>
        <v>214975</v>
      </c>
      <c r="Q553" s="232"/>
      <c r="R553" s="233">
        <v>425158</v>
      </c>
      <c r="S553" s="234">
        <v>-74461</v>
      </c>
      <c r="T553" s="234">
        <v>350697</v>
      </c>
    </row>
    <row r="554" spans="1:20">
      <c r="A554" s="227">
        <v>96041</v>
      </c>
      <c r="B554" s="228" t="s">
        <v>1264</v>
      </c>
      <c r="C554" s="87">
        <v>1.7361E-3</v>
      </c>
      <c r="D554" s="87">
        <v>1.7323E-3</v>
      </c>
      <c r="E554" s="232">
        <v>2652280</v>
      </c>
      <c r="F554" s="232"/>
      <c r="G554" s="233">
        <v>152796</v>
      </c>
      <c r="H554" s="221">
        <v>643977</v>
      </c>
      <c r="I554" s="233">
        <v>378782</v>
      </c>
      <c r="J554" s="232">
        <v>0</v>
      </c>
      <c r="K554" s="221">
        <f t="shared" si="16"/>
        <v>1175555</v>
      </c>
      <c r="L554" s="232"/>
      <c r="M554" s="233">
        <v>75078</v>
      </c>
      <c r="N554" s="233">
        <v>0</v>
      </c>
      <c r="O554" s="232">
        <v>139404</v>
      </c>
      <c r="P554" s="221">
        <f t="shared" si="17"/>
        <v>214482</v>
      </c>
      <c r="Q554" s="232"/>
      <c r="R554" s="233">
        <v>893821</v>
      </c>
      <c r="S554" s="234">
        <v>-60075</v>
      </c>
      <c r="T554" s="234">
        <v>833746</v>
      </c>
    </row>
    <row r="555" spans="1:20">
      <c r="A555" s="227">
        <v>96051</v>
      </c>
      <c r="B555" s="228" t="s">
        <v>1265</v>
      </c>
      <c r="C555" s="87">
        <v>1.0062000000000001E-3</v>
      </c>
      <c r="D555" s="87">
        <v>1.0258000000000001E-3</v>
      </c>
      <c r="E555" s="232">
        <v>1537195</v>
      </c>
      <c r="F555" s="232"/>
      <c r="G555" s="233">
        <v>88557</v>
      </c>
      <c r="H555" s="221">
        <v>373233</v>
      </c>
      <c r="I555" s="233">
        <v>219533</v>
      </c>
      <c r="J555" s="232">
        <v>0</v>
      </c>
      <c r="K555" s="221">
        <f t="shared" si="16"/>
        <v>681323</v>
      </c>
      <c r="L555" s="232"/>
      <c r="M555" s="233">
        <v>43513</v>
      </c>
      <c r="N555" s="233">
        <v>0</v>
      </c>
      <c r="O555" s="232">
        <v>109605</v>
      </c>
      <c r="P555" s="221">
        <f t="shared" si="17"/>
        <v>153118</v>
      </c>
      <c r="Q555" s="232"/>
      <c r="R555" s="233">
        <v>518036</v>
      </c>
      <c r="S555" s="234">
        <v>-44751</v>
      </c>
      <c r="T555" s="234">
        <v>473285</v>
      </c>
    </row>
    <row r="556" spans="1:20">
      <c r="A556" s="227">
        <v>96061</v>
      </c>
      <c r="B556" s="228" t="s">
        <v>1266</v>
      </c>
      <c r="C556" s="87">
        <v>3.3950000000000001E-4</v>
      </c>
      <c r="D556" s="87">
        <v>3.0800000000000001E-4</v>
      </c>
      <c r="E556" s="232">
        <v>518662</v>
      </c>
      <c r="F556" s="232"/>
      <c r="G556" s="233">
        <v>29880</v>
      </c>
      <c r="H556" s="221">
        <v>125932</v>
      </c>
      <c r="I556" s="233">
        <v>74072</v>
      </c>
      <c r="J556" s="232">
        <v>21868</v>
      </c>
      <c r="K556" s="221">
        <f t="shared" si="16"/>
        <v>251752</v>
      </c>
      <c r="L556" s="232"/>
      <c r="M556" s="233">
        <v>14682</v>
      </c>
      <c r="N556" s="233">
        <v>0</v>
      </c>
      <c r="O556" s="232">
        <v>7447</v>
      </c>
      <c r="P556" s="221">
        <f t="shared" si="17"/>
        <v>22129</v>
      </c>
      <c r="Q556" s="232"/>
      <c r="R556" s="233">
        <v>174790</v>
      </c>
      <c r="S556" s="234">
        <v>2241</v>
      </c>
      <c r="T556" s="234">
        <v>177031</v>
      </c>
    </row>
    <row r="557" spans="1:20">
      <c r="A557" s="227">
        <v>96071</v>
      </c>
      <c r="B557" s="228" t="s">
        <v>1267</v>
      </c>
      <c r="C557" s="87">
        <v>1.1367E-3</v>
      </c>
      <c r="D557" s="87">
        <v>1.1280999999999999E-3</v>
      </c>
      <c r="E557" s="232">
        <v>1736563</v>
      </c>
      <c r="F557" s="232"/>
      <c r="G557" s="233">
        <v>100042</v>
      </c>
      <c r="H557" s="221">
        <v>421639</v>
      </c>
      <c r="I557" s="233">
        <v>248005</v>
      </c>
      <c r="J557" s="232">
        <v>72999</v>
      </c>
      <c r="K557" s="221">
        <f t="shared" si="16"/>
        <v>842685</v>
      </c>
      <c r="L557" s="232"/>
      <c r="M557" s="233">
        <v>49157</v>
      </c>
      <c r="N557" s="233">
        <v>0</v>
      </c>
      <c r="O557" s="232">
        <v>71715</v>
      </c>
      <c r="P557" s="221">
        <f t="shared" si="17"/>
        <v>120872</v>
      </c>
      <c r="Q557" s="232"/>
      <c r="R557" s="233">
        <v>585223</v>
      </c>
      <c r="S557" s="234">
        <v>-1282</v>
      </c>
      <c r="T557" s="234">
        <v>583941</v>
      </c>
    </row>
    <row r="558" spans="1:20">
      <c r="A558" s="227">
        <v>96081</v>
      </c>
      <c r="B558" s="228" t="s">
        <v>1268</v>
      </c>
      <c r="C558" s="87">
        <v>5.0900000000000001E-4</v>
      </c>
      <c r="D558" s="87">
        <v>4.7820000000000002E-4</v>
      </c>
      <c r="E558" s="232">
        <v>777611</v>
      </c>
      <c r="F558" s="232"/>
      <c r="G558" s="233">
        <v>44798</v>
      </c>
      <c r="H558" s="221">
        <v>188805</v>
      </c>
      <c r="I558" s="233">
        <v>111054</v>
      </c>
      <c r="J558" s="232">
        <v>10640</v>
      </c>
      <c r="K558" s="221">
        <f t="shared" si="16"/>
        <v>355297</v>
      </c>
      <c r="L558" s="232"/>
      <c r="M558" s="233">
        <v>22012</v>
      </c>
      <c r="N558" s="233">
        <v>0</v>
      </c>
      <c r="O558" s="232">
        <v>4115</v>
      </c>
      <c r="P558" s="221">
        <f t="shared" si="17"/>
        <v>26127</v>
      </c>
      <c r="Q558" s="232"/>
      <c r="R558" s="233">
        <v>262056</v>
      </c>
      <c r="S558" s="234">
        <v>5137</v>
      </c>
      <c r="T558" s="234">
        <v>267193</v>
      </c>
    </row>
    <row r="559" spans="1:20">
      <c r="A559" s="227">
        <v>96101</v>
      </c>
      <c r="B559" s="228" t="s">
        <v>1269</v>
      </c>
      <c r="C559" s="87">
        <v>7.6749999999999995E-4</v>
      </c>
      <c r="D559" s="87">
        <v>7.5860000000000001E-4</v>
      </c>
      <c r="E559" s="232">
        <v>1172527</v>
      </c>
      <c r="F559" s="232"/>
      <c r="G559" s="233">
        <v>67548</v>
      </c>
      <c r="H559" s="221">
        <v>284691</v>
      </c>
      <c r="I559" s="233">
        <v>167453</v>
      </c>
      <c r="J559" s="232">
        <v>39221</v>
      </c>
      <c r="K559" s="221">
        <f t="shared" si="16"/>
        <v>558913</v>
      </c>
      <c r="L559" s="232"/>
      <c r="M559" s="233">
        <v>33191</v>
      </c>
      <c r="N559" s="233">
        <v>0</v>
      </c>
      <c r="O559" s="232">
        <v>3498</v>
      </c>
      <c r="P559" s="221">
        <f t="shared" si="17"/>
        <v>36689</v>
      </c>
      <c r="Q559" s="232"/>
      <c r="R559" s="233">
        <v>395143</v>
      </c>
      <c r="S559" s="234">
        <v>17230</v>
      </c>
      <c r="T559" s="234">
        <v>412373</v>
      </c>
    </row>
    <row r="560" spans="1:20">
      <c r="A560" s="227">
        <v>96102</v>
      </c>
      <c r="B560" s="228" t="s">
        <v>1270</v>
      </c>
      <c r="C560" s="87">
        <v>1.36E-5</v>
      </c>
      <c r="D560" s="87">
        <v>1.42E-5</v>
      </c>
      <c r="E560" s="232">
        <v>20777</v>
      </c>
      <c r="F560" s="232"/>
      <c r="G560" s="233">
        <v>1197</v>
      </c>
      <c r="H560" s="221">
        <v>5045</v>
      </c>
      <c r="I560" s="233">
        <v>2967</v>
      </c>
      <c r="J560" s="232">
        <v>0</v>
      </c>
      <c r="K560" s="221">
        <f t="shared" si="16"/>
        <v>9209</v>
      </c>
      <c r="L560" s="232"/>
      <c r="M560" s="233">
        <v>588</v>
      </c>
      <c r="N560" s="233">
        <v>0</v>
      </c>
      <c r="O560" s="232">
        <v>3137</v>
      </c>
      <c r="P560" s="221">
        <f t="shared" si="17"/>
        <v>3725</v>
      </c>
      <c r="Q560" s="232"/>
      <c r="R560" s="233">
        <v>7002</v>
      </c>
      <c r="S560" s="234">
        <v>-1435</v>
      </c>
      <c r="T560" s="234">
        <v>5567</v>
      </c>
    </row>
    <row r="561" spans="1:20">
      <c r="A561" s="227">
        <v>96111</v>
      </c>
      <c r="B561" s="228" t="s">
        <v>1271</v>
      </c>
      <c r="C561" s="87">
        <v>1.5349999999999999E-4</v>
      </c>
      <c r="D561" s="87">
        <v>1.6119999999999999E-4</v>
      </c>
      <c r="E561" s="232">
        <v>234505</v>
      </c>
      <c r="F561" s="232"/>
      <c r="G561" s="233">
        <v>13510</v>
      </c>
      <c r="H561" s="221">
        <v>56938</v>
      </c>
      <c r="I561" s="233">
        <v>33491</v>
      </c>
      <c r="J561" s="232">
        <v>9403</v>
      </c>
      <c r="K561" s="221">
        <f t="shared" si="16"/>
        <v>113342</v>
      </c>
      <c r="L561" s="232"/>
      <c r="M561" s="233">
        <v>6638</v>
      </c>
      <c r="N561" s="233">
        <v>0</v>
      </c>
      <c r="O561" s="232">
        <v>1683</v>
      </c>
      <c r="P561" s="221">
        <f t="shared" si="17"/>
        <v>8321</v>
      </c>
      <c r="Q561" s="232"/>
      <c r="R561" s="233">
        <v>79029</v>
      </c>
      <c r="S561" s="234">
        <v>6754</v>
      </c>
      <c r="T561" s="234">
        <v>85783</v>
      </c>
    </row>
    <row r="562" spans="1:20">
      <c r="A562" s="227">
        <v>96121</v>
      </c>
      <c r="B562" s="228" t="s">
        <v>1272</v>
      </c>
      <c r="C562" s="87">
        <v>2.2500000000000001E-5</v>
      </c>
      <c r="D562" s="87">
        <v>2.2099999999999998E-5</v>
      </c>
      <c r="E562" s="232">
        <v>34374</v>
      </c>
      <c r="F562" s="232"/>
      <c r="G562" s="233">
        <v>1980</v>
      </c>
      <c r="H562" s="221">
        <v>8346</v>
      </c>
      <c r="I562" s="233">
        <v>4909</v>
      </c>
      <c r="J562" s="232">
        <v>397</v>
      </c>
      <c r="K562" s="221">
        <f t="shared" si="16"/>
        <v>15632</v>
      </c>
      <c r="L562" s="232"/>
      <c r="M562" s="233">
        <v>973</v>
      </c>
      <c r="N562" s="233">
        <v>0</v>
      </c>
      <c r="O562" s="232">
        <v>1764</v>
      </c>
      <c r="P562" s="221">
        <f t="shared" si="17"/>
        <v>2737</v>
      </c>
      <c r="Q562" s="232"/>
      <c r="R562" s="233">
        <v>11584</v>
      </c>
      <c r="S562" s="234">
        <v>-946</v>
      </c>
      <c r="T562" s="234">
        <v>10638</v>
      </c>
    </row>
    <row r="563" spans="1:20">
      <c r="A563" s="227">
        <v>96201</v>
      </c>
      <c r="B563" s="228" t="s">
        <v>1273</v>
      </c>
      <c r="C563" s="87">
        <v>1.1788E-3</v>
      </c>
      <c r="D563" s="87">
        <v>1.2302999999999999E-3</v>
      </c>
      <c r="E563" s="232">
        <v>1800880</v>
      </c>
      <c r="F563" s="232"/>
      <c r="G563" s="233">
        <v>103747</v>
      </c>
      <c r="H563" s="221">
        <v>437256</v>
      </c>
      <c r="I563" s="233">
        <v>257191</v>
      </c>
      <c r="J563" s="232">
        <v>0</v>
      </c>
      <c r="K563" s="221">
        <f t="shared" si="16"/>
        <v>798194</v>
      </c>
      <c r="L563" s="232"/>
      <c r="M563" s="233">
        <v>50977</v>
      </c>
      <c r="N563" s="233">
        <v>0</v>
      </c>
      <c r="O563" s="232">
        <v>73119</v>
      </c>
      <c r="P563" s="221">
        <f t="shared" si="17"/>
        <v>124096</v>
      </c>
      <c r="Q563" s="232"/>
      <c r="R563" s="233">
        <v>606898</v>
      </c>
      <c r="S563" s="234">
        <v>-23257</v>
      </c>
      <c r="T563" s="234">
        <v>583641</v>
      </c>
    </row>
    <row r="564" spans="1:20">
      <c r="A564" s="227">
        <v>96204</v>
      </c>
      <c r="B564" s="228" t="s">
        <v>1274</v>
      </c>
      <c r="C564" s="87">
        <v>1.5099999999999999E-5</v>
      </c>
      <c r="D564" s="87">
        <v>1.5400000000000002E-5</v>
      </c>
      <c r="E564" s="232">
        <v>23069</v>
      </c>
      <c r="F564" s="232"/>
      <c r="G564" s="233">
        <v>1329</v>
      </c>
      <c r="H564" s="221">
        <v>5602</v>
      </c>
      <c r="I564" s="233">
        <v>3295</v>
      </c>
      <c r="J564" s="232">
        <v>3517</v>
      </c>
      <c r="K564" s="221">
        <f t="shared" si="16"/>
        <v>13743</v>
      </c>
      <c r="L564" s="232"/>
      <c r="M564" s="233">
        <v>653</v>
      </c>
      <c r="N564" s="233">
        <v>0</v>
      </c>
      <c r="O564" s="232">
        <v>0</v>
      </c>
      <c r="P564" s="221">
        <f t="shared" si="17"/>
        <v>653</v>
      </c>
      <c r="Q564" s="232"/>
      <c r="R564" s="233">
        <v>7774</v>
      </c>
      <c r="S564" s="234">
        <v>1655</v>
      </c>
      <c r="T564" s="234">
        <f>9430-1</f>
        <v>9429</v>
      </c>
    </row>
    <row r="565" spans="1:20">
      <c r="A565" s="227">
        <v>96211</v>
      </c>
      <c r="B565" s="228" t="s">
        <v>1275</v>
      </c>
      <c r="C565" s="87">
        <v>2.62E-5</v>
      </c>
      <c r="D565" s="87">
        <v>3.0700000000000001E-5</v>
      </c>
      <c r="E565" s="232">
        <v>40026</v>
      </c>
      <c r="F565" s="232"/>
      <c r="G565" s="233">
        <v>2306</v>
      </c>
      <c r="H565" s="221">
        <v>9718</v>
      </c>
      <c r="I565" s="233">
        <v>5716</v>
      </c>
      <c r="J565" s="232">
        <v>4494</v>
      </c>
      <c r="K565" s="221">
        <f t="shared" si="16"/>
        <v>22234</v>
      </c>
      <c r="L565" s="232"/>
      <c r="M565" s="233">
        <v>1133</v>
      </c>
      <c r="N565" s="233">
        <v>0</v>
      </c>
      <c r="O565" s="232">
        <v>4462</v>
      </c>
      <c r="P565" s="221">
        <f t="shared" si="17"/>
        <v>5595</v>
      </c>
      <c r="Q565" s="232"/>
      <c r="R565" s="233">
        <v>13489</v>
      </c>
      <c r="S565" s="234">
        <v>-2681</v>
      </c>
      <c r="T565" s="234">
        <v>10808</v>
      </c>
    </row>
    <row r="566" spans="1:20">
      <c r="A566" s="227">
        <v>96221</v>
      </c>
      <c r="B566" s="228" t="s">
        <v>1276</v>
      </c>
      <c r="C566" s="87">
        <v>2.3350000000000001E-4</v>
      </c>
      <c r="D566" s="87">
        <v>2.287E-4</v>
      </c>
      <c r="E566" s="232">
        <v>356723</v>
      </c>
      <c r="F566" s="232"/>
      <c r="G566" s="233">
        <v>20551</v>
      </c>
      <c r="H566" s="221">
        <v>86613</v>
      </c>
      <c r="I566" s="233">
        <v>50945</v>
      </c>
      <c r="J566" s="232">
        <v>2439</v>
      </c>
      <c r="K566" s="221">
        <f t="shared" si="16"/>
        <v>160548</v>
      </c>
      <c r="L566" s="232"/>
      <c r="M566" s="233">
        <v>10098</v>
      </c>
      <c r="N566" s="233">
        <v>0</v>
      </c>
      <c r="O566" s="232">
        <v>15042</v>
      </c>
      <c r="P566" s="221">
        <f t="shared" si="17"/>
        <v>25140</v>
      </c>
      <c r="Q566" s="232"/>
      <c r="R566" s="233">
        <v>120216</v>
      </c>
      <c r="S566" s="234">
        <v>-3357</v>
      </c>
      <c r="T566" s="234">
        <f>116860-1</f>
        <v>116859</v>
      </c>
    </row>
    <row r="567" spans="1:20">
      <c r="A567" s="227">
        <v>96231</v>
      </c>
      <c r="B567" s="228" t="s">
        <v>1277</v>
      </c>
      <c r="C567" s="87">
        <v>1.3339999999999999E-4</v>
      </c>
      <c r="D567" s="87">
        <v>1.145E-4</v>
      </c>
      <c r="E567" s="232">
        <v>203798</v>
      </c>
      <c r="F567" s="232"/>
      <c r="G567" s="233">
        <v>11741</v>
      </c>
      <c r="H567" s="221">
        <v>49482</v>
      </c>
      <c r="I567" s="233">
        <v>29105</v>
      </c>
      <c r="J567" s="232">
        <v>2554</v>
      </c>
      <c r="K567" s="221">
        <f t="shared" si="16"/>
        <v>92882</v>
      </c>
      <c r="L567" s="232"/>
      <c r="M567" s="233">
        <v>5769</v>
      </c>
      <c r="N567" s="233">
        <v>0</v>
      </c>
      <c r="O567" s="232">
        <v>14959</v>
      </c>
      <c r="P567" s="221">
        <f t="shared" si="17"/>
        <v>20728</v>
      </c>
      <c r="Q567" s="232"/>
      <c r="R567" s="233">
        <v>68680</v>
      </c>
      <c r="S567" s="234">
        <v>-7094</v>
      </c>
      <c r="T567" s="234">
        <v>61586</v>
      </c>
    </row>
    <row r="568" spans="1:20">
      <c r="A568" s="227">
        <v>96241</v>
      </c>
      <c r="B568" s="228" t="s">
        <v>1278</v>
      </c>
      <c r="C568" s="87">
        <v>4.4700000000000002E-5</v>
      </c>
      <c r="D568" s="87">
        <v>4.6100000000000002E-5</v>
      </c>
      <c r="E568" s="232">
        <v>68289</v>
      </c>
      <c r="F568" s="232"/>
      <c r="G568" s="233">
        <v>3934</v>
      </c>
      <c r="H568" s="221">
        <v>16580</v>
      </c>
      <c r="I568" s="233">
        <v>9753</v>
      </c>
      <c r="J568" s="232">
        <v>5027</v>
      </c>
      <c r="K568" s="221">
        <f t="shared" si="16"/>
        <v>35294</v>
      </c>
      <c r="L568" s="232"/>
      <c r="M568" s="233">
        <v>1933</v>
      </c>
      <c r="N568" s="233">
        <v>0</v>
      </c>
      <c r="O568" s="232">
        <v>4371</v>
      </c>
      <c r="P568" s="221">
        <f t="shared" si="17"/>
        <v>6304</v>
      </c>
      <c r="Q568" s="232"/>
      <c r="R568" s="233">
        <v>23014</v>
      </c>
      <c r="S568" s="234">
        <v>2407</v>
      </c>
      <c r="T568" s="234">
        <f>25420+1</f>
        <v>25421</v>
      </c>
    </row>
    <row r="569" spans="1:20">
      <c r="A569" s="227">
        <v>96251</v>
      </c>
      <c r="B569" s="228" t="s">
        <v>1279</v>
      </c>
      <c r="C569" s="87">
        <v>9.3999999999999994E-5</v>
      </c>
      <c r="D569" s="87">
        <v>7.7100000000000004E-5</v>
      </c>
      <c r="E569" s="232">
        <v>143606</v>
      </c>
      <c r="F569" s="232"/>
      <c r="G569" s="233">
        <v>8273</v>
      </c>
      <c r="H569" s="221">
        <v>34868</v>
      </c>
      <c r="I569" s="233">
        <v>20509</v>
      </c>
      <c r="J569" s="232">
        <v>6198</v>
      </c>
      <c r="K569" s="221">
        <f t="shared" si="16"/>
        <v>69848</v>
      </c>
      <c r="L569" s="232"/>
      <c r="M569" s="233">
        <v>4065</v>
      </c>
      <c r="N569" s="233">
        <v>0</v>
      </c>
      <c r="O569" s="232">
        <v>16886</v>
      </c>
      <c r="P569" s="221">
        <f t="shared" si="17"/>
        <v>20951</v>
      </c>
      <c r="Q569" s="232"/>
      <c r="R569" s="233">
        <v>48395</v>
      </c>
      <c r="S569" s="234">
        <v>-7102</v>
      </c>
      <c r="T569" s="234">
        <v>41293</v>
      </c>
    </row>
    <row r="570" spans="1:20">
      <c r="A570" s="227">
        <v>96301</v>
      </c>
      <c r="B570" s="228" t="s">
        <v>1280</v>
      </c>
      <c r="C570" s="87">
        <v>4.3712999999999998E-3</v>
      </c>
      <c r="D570" s="87">
        <v>4.3785999999999999E-3</v>
      </c>
      <c r="E570" s="232">
        <v>6678136</v>
      </c>
      <c r="F570" s="232"/>
      <c r="G570" s="233">
        <v>384722</v>
      </c>
      <c r="H570" s="221">
        <v>1621460</v>
      </c>
      <c r="I570" s="233">
        <v>953730</v>
      </c>
      <c r="J570" s="232">
        <v>60786</v>
      </c>
      <c r="K570" s="221">
        <f t="shared" si="16"/>
        <v>3020698</v>
      </c>
      <c r="L570" s="232"/>
      <c r="M570" s="233">
        <v>189037</v>
      </c>
      <c r="N570" s="233">
        <v>0</v>
      </c>
      <c r="O570" s="232">
        <v>160488</v>
      </c>
      <c r="P570" s="221">
        <f t="shared" si="17"/>
        <v>349525</v>
      </c>
      <c r="Q570" s="232"/>
      <c r="R570" s="233">
        <v>2250538</v>
      </c>
      <c r="S570" s="234">
        <v>-27776</v>
      </c>
      <c r="T570" s="234">
        <v>2222762</v>
      </c>
    </row>
    <row r="571" spans="1:20">
      <c r="A571" s="227">
        <v>96302</v>
      </c>
      <c r="B571" s="228" t="s">
        <v>1281</v>
      </c>
      <c r="C571" s="87">
        <v>2.5199999999999999E-5</v>
      </c>
      <c r="D571" s="87">
        <v>1.9199999999999999E-5</v>
      </c>
      <c r="E571" s="232">
        <v>38499</v>
      </c>
      <c r="F571" s="232"/>
      <c r="G571" s="233">
        <v>2218</v>
      </c>
      <c r="H571" s="221">
        <v>9347</v>
      </c>
      <c r="I571" s="233">
        <v>5498</v>
      </c>
      <c r="J571" s="232">
        <v>7399</v>
      </c>
      <c r="K571" s="221">
        <f t="shared" si="16"/>
        <v>24462</v>
      </c>
      <c r="L571" s="232"/>
      <c r="M571" s="233">
        <v>1090</v>
      </c>
      <c r="N571" s="233">
        <v>0</v>
      </c>
      <c r="O571" s="232">
        <v>0</v>
      </c>
      <c r="P571" s="221">
        <f t="shared" si="17"/>
        <v>1090</v>
      </c>
      <c r="Q571" s="232"/>
      <c r="R571" s="233">
        <v>12974</v>
      </c>
      <c r="S571" s="234">
        <v>2631</v>
      </c>
      <c r="T571" s="234">
        <v>15605</v>
      </c>
    </row>
    <row r="572" spans="1:20">
      <c r="A572" s="227">
        <v>96304</v>
      </c>
      <c r="B572" s="228" t="s">
        <v>1282</v>
      </c>
      <c r="C572" s="87">
        <v>4.5500000000000001E-5</v>
      </c>
      <c r="D572" s="87">
        <v>5.4599999999999999E-5</v>
      </c>
      <c r="E572" s="232">
        <v>69511</v>
      </c>
      <c r="F572" s="232"/>
      <c r="G572" s="233">
        <v>4005</v>
      </c>
      <c r="H572" s="221">
        <v>16877</v>
      </c>
      <c r="I572" s="233">
        <v>9927</v>
      </c>
      <c r="J572" s="232">
        <v>5469</v>
      </c>
      <c r="K572" s="221">
        <f t="shared" si="16"/>
        <v>36278</v>
      </c>
      <c r="L572" s="232"/>
      <c r="M572" s="233">
        <v>1968</v>
      </c>
      <c r="N572" s="233">
        <v>0</v>
      </c>
      <c r="O572" s="232">
        <v>1092</v>
      </c>
      <c r="P572" s="221">
        <f t="shared" si="17"/>
        <v>3060</v>
      </c>
      <c r="Q572" s="232"/>
      <c r="R572" s="233">
        <v>23425</v>
      </c>
      <c r="S572" s="234">
        <v>2085</v>
      </c>
      <c r="T572" s="234">
        <v>25510</v>
      </c>
    </row>
    <row r="573" spans="1:20">
      <c r="A573" s="227">
        <v>96305</v>
      </c>
      <c r="B573" s="228" t="s">
        <v>1283</v>
      </c>
      <c r="C573" s="87">
        <v>4.5500000000000001E-5</v>
      </c>
      <c r="D573" s="87">
        <v>4.8199999999999999E-5</v>
      </c>
      <c r="E573" s="232">
        <v>69511</v>
      </c>
      <c r="F573" s="232"/>
      <c r="G573" s="233">
        <v>4005</v>
      </c>
      <c r="H573" s="221">
        <v>16877</v>
      </c>
      <c r="I573" s="233">
        <v>9927</v>
      </c>
      <c r="J573" s="232">
        <v>13328</v>
      </c>
      <c r="K573" s="221">
        <f t="shared" si="16"/>
        <v>44137</v>
      </c>
      <c r="L573" s="232"/>
      <c r="M573" s="233">
        <v>1968</v>
      </c>
      <c r="N573" s="233">
        <v>0</v>
      </c>
      <c r="O573" s="232">
        <v>0</v>
      </c>
      <c r="P573" s="221">
        <f t="shared" si="17"/>
        <v>1968</v>
      </c>
      <c r="Q573" s="232"/>
      <c r="R573" s="233">
        <v>23425</v>
      </c>
      <c r="S573" s="234">
        <v>4752</v>
      </c>
      <c r="T573" s="234">
        <v>28177</v>
      </c>
    </row>
    <row r="574" spans="1:20">
      <c r="A574" s="227">
        <v>96310</v>
      </c>
      <c r="B574" s="228" t="s">
        <v>1284</v>
      </c>
      <c r="C574" s="87">
        <v>6.1099999999999994E-5</v>
      </c>
      <c r="D574" s="87">
        <v>4.88E-5</v>
      </c>
      <c r="E574" s="232">
        <v>93344</v>
      </c>
      <c r="F574" s="232"/>
      <c r="G574" s="233">
        <v>5377</v>
      </c>
      <c r="H574" s="221">
        <v>22664</v>
      </c>
      <c r="I574" s="233">
        <v>13331</v>
      </c>
      <c r="J574" s="232">
        <v>10507</v>
      </c>
      <c r="K574" s="221">
        <f t="shared" si="16"/>
        <v>51879</v>
      </c>
      <c r="L574" s="232"/>
      <c r="M574" s="233">
        <v>2642</v>
      </c>
      <c r="N574" s="233">
        <v>0</v>
      </c>
      <c r="O574" s="232">
        <v>3055</v>
      </c>
      <c r="P574" s="221">
        <f t="shared" si="17"/>
        <v>5697</v>
      </c>
      <c r="Q574" s="232"/>
      <c r="R574" s="233">
        <v>31457</v>
      </c>
      <c r="S574" s="234">
        <v>3506</v>
      </c>
      <c r="T574" s="234">
        <v>34963</v>
      </c>
    </row>
    <row r="575" spans="1:20">
      <c r="A575" s="227">
        <v>96311</v>
      </c>
      <c r="B575" s="228" t="s">
        <v>1285</v>
      </c>
      <c r="C575" s="87">
        <v>1.3113000000000001E-3</v>
      </c>
      <c r="D575" s="87">
        <v>1.4082999999999999E-3</v>
      </c>
      <c r="E575" s="232">
        <v>2003303</v>
      </c>
      <c r="F575" s="232"/>
      <c r="G575" s="233">
        <v>115409</v>
      </c>
      <c r="H575" s="221">
        <v>486404</v>
      </c>
      <c r="I575" s="233">
        <v>286099</v>
      </c>
      <c r="J575" s="232">
        <v>11041</v>
      </c>
      <c r="K575" s="221">
        <f t="shared" si="16"/>
        <v>898953</v>
      </c>
      <c r="L575" s="232"/>
      <c r="M575" s="233">
        <v>56707</v>
      </c>
      <c r="N575" s="233">
        <v>0</v>
      </c>
      <c r="O575" s="232">
        <v>139297</v>
      </c>
      <c r="P575" s="221">
        <f t="shared" si="17"/>
        <v>196004</v>
      </c>
      <c r="Q575" s="232"/>
      <c r="R575" s="233">
        <v>675115</v>
      </c>
      <c r="S575" s="234">
        <v>-33999</v>
      </c>
      <c r="T575" s="234">
        <v>641116</v>
      </c>
    </row>
    <row r="576" spans="1:20">
      <c r="A576" s="227">
        <v>96312</v>
      </c>
      <c r="B576" s="228" t="s">
        <v>1286</v>
      </c>
      <c r="C576" s="87">
        <v>1.5999999999999999E-5</v>
      </c>
      <c r="D576" s="87">
        <v>1.5999999999999999E-6</v>
      </c>
      <c r="E576" s="232">
        <v>24444</v>
      </c>
      <c r="F576" s="232"/>
      <c r="G576" s="233">
        <v>1408</v>
      </c>
      <c r="H576" s="221">
        <v>5935</v>
      </c>
      <c r="I576" s="233">
        <v>3491</v>
      </c>
      <c r="J576" s="232">
        <v>7668</v>
      </c>
      <c r="K576" s="221">
        <f t="shared" si="16"/>
        <v>18502</v>
      </c>
      <c r="L576" s="232"/>
      <c r="M576" s="233">
        <v>692</v>
      </c>
      <c r="N576" s="233">
        <v>0</v>
      </c>
      <c r="O576" s="232">
        <v>1864</v>
      </c>
      <c r="P576" s="221">
        <f t="shared" si="17"/>
        <v>2556</v>
      </c>
      <c r="Q576" s="232"/>
      <c r="R576" s="233">
        <v>8238</v>
      </c>
      <c r="S576" s="234">
        <v>374</v>
      </c>
      <c r="T576" s="234">
        <v>8612</v>
      </c>
    </row>
    <row r="577" spans="1:20">
      <c r="A577" s="227">
        <v>96318</v>
      </c>
      <c r="B577" s="228" t="s">
        <v>1287</v>
      </c>
      <c r="C577" s="87">
        <v>2.1684999999999999E-3</v>
      </c>
      <c r="D577" s="87">
        <v>1.7782E-3</v>
      </c>
      <c r="E577" s="232">
        <v>3312867</v>
      </c>
      <c r="F577" s="232"/>
      <c r="G577" s="233">
        <v>190852</v>
      </c>
      <c r="H577" s="221">
        <v>804368</v>
      </c>
      <c r="I577" s="233">
        <v>473123</v>
      </c>
      <c r="J577" s="232">
        <v>7711758</v>
      </c>
      <c r="K577" s="221">
        <f t="shared" si="16"/>
        <v>9180101</v>
      </c>
      <c r="L577" s="232"/>
      <c r="M577" s="233">
        <v>93777</v>
      </c>
      <c r="N577" s="233">
        <v>0</v>
      </c>
      <c r="O577" s="232">
        <v>0</v>
      </c>
      <c r="P577" s="221">
        <f t="shared" si="17"/>
        <v>93777</v>
      </c>
      <c r="Q577" s="232"/>
      <c r="R577" s="233">
        <v>1116439</v>
      </c>
      <c r="S577" s="234">
        <v>2665103</v>
      </c>
      <c r="T577" s="234">
        <v>3781542</v>
      </c>
    </row>
    <row r="578" spans="1:20">
      <c r="A578" s="227">
        <v>96321</v>
      </c>
      <c r="B578" s="228" t="s">
        <v>1288</v>
      </c>
      <c r="C578" s="87">
        <v>3.6900000000000002E-5</v>
      </c>
      <c r="D578" s="87">
        <v>3.7400000000000001E-5</v>
      </c>
      <c r="E578" s="232">
        <v>56373</v>
      </c>
      <c r="F578" s="232"/>
      <c r="G578" s="233">
        <v>3248</v>
      </c>
      <c r="H578" s="221">
        <v>13687</v>
      </c>
      <c r="I578" s="233">
        <v>8051</v>
      </c>
      <c r="J578" s="232">
        <v>1642</v>
      </c>
      <c r="K578" s="221">
        <f t="shared" si="16"/>
        <v>26628</v>
      </c>
      <c r="L578" s="232"/>
      <c r="M578" s="233">
        <v>1596</v>
      </c>
      <c r="N578" s="233">
        <v>0</v>
      </c>
      <c r="O578" s="232">
        <v>2449</v>
      </c>
      <c r="P578" s="221">
        <f t="shared" si="17"/>
        <v>4045</v>
      </c>
      <c r="Q578" s="232"/>
      <c r="R578" s="233">
        <v>18998</v>
      </c>
      <c r="S578" s="234">
        <v>-489</v>
      </c>
      <c r="T578" s="234">
        <v>18509</v>
      </c>
    </row>
    <row r="579" spans="1:20" s="270" customFormat="1">
      <c r="A579" s="264">
        <v>96331</v>
      </c>
      <c r="B579" s="265" t="s">
        <v>1289</v>
      </c>
      <c r="C579" s="266">
        <v>7.0850000000000004E-4</v>
      </c>
      <c r="D579" s="266">
        <v>7.1699999999999997E-4</v>
      </c>
      <c r="E579" s="267">
        <v>1082392</v>
      </c>
      <c r="F579" s="267"/>
      <c r="G579" s="268">
        <v>62356</v>
      </c>
      <c r="H579" s="268">
        <v>262806</v>
      </c>
      <c r="I579" s="268">
        <v>154581</v>
      </c>
      <c r="J579" s="267">
        <v>3107</v>
      </c>
      <c r="K579" s="268">
        <f t="shared" si="16"/>
        <v>482850</v>
      </c>
      <c r="L579" s="267"/>
      <c r="M579" s="268">
        <v>30639</v>
      </c>
      <c r="N579" s="268">
        <v>0</v>
      </c>
      <c r="O579" s="267">
        <v>53524</v>
      </c>
      <c r="P579" s="268">
        <f t="shared" si="17"/>
        <v>84163</v>
      </c>
      <c r="Q579" s="267"/>
      <c r="R579" s="268">
        <v>364767</v>
      </c>
      <c r="S579" s="269">
        <v>-22322</v>
      </c>
      <c r="T579" s="269">
        <v>342445</v>
      </c>
    </row>
    <row r="580" spans="1:20">
      <c r="A580" s="227">
        <v>96341</v>
      </c>
      <c r="B580" s="228" t="s">
        <v>1290</v>
      </c>
      <c r="C580" s="87">
        <v>8.3800000000000004E-5</v>
      </c>
      <c r="D580" s="87">
        <v>9.1600000000000004E-5</v>
      </c>
      <c r="E580" s="232">
        <v>128023</v>
      </c>
      <c r="F580" s="232"/>
      <c r="G580" s="233">
        <v>7375</v>
      </c>
      <c r="H580" s="221">
        <v>31084</v>
      </c>
      <c r="I580" s="233">
        <v>18283</v>
      </c>
      <c r="J580" s="232">
        <v>8694</v>
      </c>
      <c r="K580" s="221">
        <f t="shared" si="16"/>
        <v>65436</v>
      </c>
      <c r="L580" s="232"/>
      <c r="M580" s="233">
        <v>3624</v>
      </c>
      <c r="N580" s="233">
        <v>0</v>
      </c>
      <c r="O580" s="232">
        <v>13544</v>
      </c>
      <c r="P580" s="221">
        <f t="shared" si="17"/>
        <v>17168</v>
      </c>
      <c r="Q580" s="232"/>
      <c r="R580" s="233">
        <v>43144</v>
      </c>
      <c r="S580" s="234">
        <v>-3090</v>
      </c>
      <c r="T580" s="234">
        <v>40054</v>
      </c>
    </row>
    <row r="581" spans="1:20">
      <c r="A581" s="227">
        <v>96351</v>
      </c>
      <c r="B581" s="228" t="s">
        <v>1291</v>
      </c>
      <c r="C581" s="87">
        <v>1.0616E-3</v>
      </c>
      <c r="D581" s="87">
        <v>1.0736000000000001E-3</v>
      </c>
      <c r="E581" s="232">
        <v>1621831</v>
      </c>
      <c r="F581" s="232"/>
      <c r="G581" s="233">
        <v>93432</v>
      </c>
      <c r="H581" s="221">
        <v>393782</v>
      </c>
      <c r="I581" s="233">
        <v>231620</v>
      </c>
      <c r="J581" s="232">
        <v>5421</v>
      </c>
      <c r="K581" s="221">
        <f t="shared" si="16"/>
        <v>724255</v>
      </c>
      <c r="L581" s="232"/>
      <c r="M581" s="233">
        <v>45909</v>
      </c>
      <c r="N581" s="233">
        <v>0</v>
      </c>
      <c r="O581" s="232">
        <v>28542</v>
      </c>
      <c r="P581" s="221">
        <f t="shared" si="17"/>
        <v>74451</v>
      </c>
      <c r="Q581" s="232"/>
      <c r="R581" s="233">
        <v>546558</v>
      </c>
      <c r="S581" s="234">
        <v>-5218</v>
      </c>
      <c r="T581" s="234">
        <v>541340</v>
      </c>
    </row>
    <row r="582" spans="1:20">
      <c r="A582" s="227">
        <v>96361</v>
      </c>
      <c r="B582" s="228" t="s">
        <v>1292</v>
      </c>
      <c r="C582" s="87">
        <v>5.5699999999999999E-5</v>
      </c>
      <c r="D582" s="87">
        <v>5.8900000000000002E-5</v>
      </c>
      <c r="E582" s="232">
        <v>85094</v>
      </c>
      <c r="F582" s="232"/>
      <c r="G582" s="233">
        <v>4902</v>
      </c>
      <c r="H582" s="221">
        <v>20661</v>
      </c>
      <c r="I582" s="233">
        <v>12153</v>
      </c>
      <c r="J582" s="232">
        <v>3403</v>
      </c>
      <c r="K582" s="221">
        <f t="shared" si="16"/>
        <v>41119</v>
      </c>
      <c r="L582" s="232"/>
      <c r="M582" s="233">
        <v>2409</v>
      </c>
      <c r="N582" s="233">
        <v>0</v>
      </c>
      <c r="O582" s="232">
        <v>3423</v>
      </c>
      <c r="P582" s="221">
        <f t="shared" si="17"/>
        <v>5832</v>
      </c>
      <c r="Q582" s="232"/>
      <c r="R582" s="233">
        <v>28677</v>
      </c>
      <c r="S582" s="234">
        <v>936</v>
      </c>
      <c r="T582" s="234">
        <f>29612+1</f>
        <v>29613</v>
      </c>
    </row>
    <row r="583" spans="1:20">
      <c r="A583" s="227">
        <v>96371</v>
      </c>
      <c r="B583" s="228" t="s">
        <v>1293</v>
      </c>
      <c r="C583" s="87">
        <v>1.5249999999999999E-4</v>
      </c>
      <c r="D583" s="87">
        <v>1.6359999999999999E-4</v>
      </c>
      <c r="E583" s="232">
        <v>232978</v>
      </c>
      <c r="F583" s="232"/>
      <c r="G583" s="233">
        <v>13422</v>
      </c>
      <c r="H583" s="221">
        <v>56568</v>
      </c>
      <c r="I583" s="233">
        <v>33272</v>
      </c>
      <c r="J583" s="232">
        <v>1335</v>
      </c>
      <c r="K583" s="221">
        <f t="shared" si="16"/>
        <v>104597</v>
      </c>
      <c r="L583" s="232"/>
      <c r="M583" s="233">
        <v>6595</v>
      </c>
      <c r="N583" s="233">
        <v>0</v>
      </c>
      <c r="O583" s="232">
        <v>14966</v>
      </c>
      <c r="P583" s="221">
        <f t="shared" si="17"/>
        <v>21561</v>
      </c>
      <c r="Q583" s="232"/>
      <c r="R583" s="233">
        <v>78514</v>
      </c>
      <c r="S583" s="234">
        <v>-3158</v>
      </c>
      <c r="T583" s="234">
        <v>75356</v>
      </c>
    </row>
    <row r="584" spans="1:20">
      <c r="A584" s="227">
        <v>96381</v>
      </c>
      <c r="B584" s="228" t="s">
        <v>1294</v>
      </c>
      <c r="C584" s="87">
        <v>3.2100000000000001E-5</v>
      </c>
      <c r="D584" s="87">
        <v>3.26E-5</v>
      </c>
      <c r="E584" s="232">
        <v>49040</v>
      </c>
      <c r="F584" s="232"/>
      <c r="G584" s="233">
        <v>2825</v>
      </c>
      <c r="H584" s="221">
        <v>11907</v>
      </c>
      <c r="I584" s="233">
        <v>7004</v>
      </c>
      <c r="J584" s="232">
        <v>235</v>
      </c>
      <c r="K584" s="221">
        <f t="shared" si="16"/>
        <v>21971</v>
      </c>
      <c r="L584" s="232"/>
      <c r="M584" s="233">
        <v>1388</v>
      </c>
      <c r="N584" s="233">
        <v>0</v>
      </c>
      <c r="O584" s="232">
        <v>1858</v>
      </c>
      <c r="P584" s="221">
        <f t="shared" si="17"/>
        <v>3246</v>
      </c>
      <c r="Q584" s="232"/>
      <c r="R584" s="233">
        <v>16526</v>
      </c>
      <c r="S584" s="234">
        <v>-1164</v>
      </c>
      <c r="T584" s="234">
        <v>15362</v>
      </c>
    </row>
    <row r="585" spans="1:20">
      <c r="A585" s="227">
        <v>96391</v>
      </c>
      <c r="B585" s="228" t="s">
        <v>1295</v>
      </c>
      <c r="C585" s="87">
        <v>2.029E-4</v>
      </c>
      <c r="D585" s="87">
        <v>1.807E-4</v>
      </c>
      <c r="E585" s="232">
        <v>309975</v>
      </c>
      <c r="F585" s="232"/>
      <c r="G585" s="233">
        <v>17857</v>
      </c>
      <c r="H585" s="221">
        <v>75263</v>
      </c>
      <c r="I585" s="233">
        <v>44269</v>
      </c>
      <c r="J585" s="232">
        <v>9831</v>
      </c>
      <c r="K585" s="221">
        <f t="shared" ref="K585:K648" si="18">G585+H585+I585+J585</f>
        <v>147220</v>
      </c>
      <c r="L585" s="232"/>
      <c r="M585" s="233">
        <v>8774</v>
      </c>
      <c r="N585" s="233">
        <v>0</v>
      </c>
      <c r="O585" s="232">
        <v>18208</v>
      </c>
      <c r="P585" s="221">
        <f t="shared" ref="P585:P648" si="19">M585+N585+O585</f>
        <v>26982</v>
      </c>
      <c r="Q585" s="232"/>
      <c r="R585" s="233">
        <v>104462</v>
      </c>
      <c r="S585" s="234">
        <v>2008</v>
      </c>
      <c r="T585" s="234">
        <v>106470</v>
      </c>
    </row>
    <row r="586" spans="1:20">
      <c r="A586" s="227">
        <v>96401</v>
      </c>
      <c r="B586" s="228" t="s">
        <v>1296</v>
      </c>
      <c r="C586" s="87">
        <v>4.5672000000000004E-3</v>
      </c>
      <c r="D586" s="87">
        <v>4.5900000000000003E-3</v>
      </c>
      <c r="E586" s="232">
        <v>6977416</v>
      </c>
      <c r="F586" s="232"/>
      <c r="G586" s="233">
        <v>401964</v>
      </c>
      <c r="H586" s="221">
        <v>1694125</v>
      </c>
      <c r="I586" s="233">
        <v>996472</v>
      </c>
      <c r="J586" s="232">
        <v>15869</v>
      </c>
      <c r="K586" s="221">
        <f t="shared" si="18"/>
        <v>3108430</v>
      </c>
      <c r="L586" s="232"/>
      <c r="M586" s="233">
        <v>197509</v>
      </c>
      <c r="N586" s="233">
        <v>0</v>
      </c>
      <c r="O586" s="232">
        <v>86285</v>
      </c>
      <c r="P586" s="221">
        <f t="shared" si="19"/>
        <v>283794</v>
      </c>
      <c r="Q586" s="232"/>
      <c r="R586" s="233">
        <v>2351396</v>
      </c>
      <c r="S586" s="234">
        <v>-10848</v>
      </c>
      <c r="T586" s="234">
        <v>2340548</v>
      </c>
    </row>
    <row r="587" spans="1:20">
      <c r="A587" s="227">
        <v>96404</v>
      </c>
      <c r="B587" s="228" t="s">
        <v>1297</v>
      </c>
      <c r="C587" s="87">
        <v>1.026E-4</v>
      </c>
      <c r="D587" s="87">
        <v>9.8800000000000003E-5</v>
      </c>
      <c r="E587" s="232">
        <v>156744</v>
      </c>
      <c r="F587" s="232"/>
      <c r="G587" s="233">
        <v>9030</v>
      </c>
      <c r="H587" s="221">
        <v>38058</v>
      </c>
      <c r="I587" s="233">
        <v>22385</v>
      </c>
      <c r="J587" s="232">
        <v>26983</v>
      </c>
      <c r="K587" s="221">
        <f t="shared" si="18"/>
        <v>96456</v>
      </c>
      <c r="L587" s="232"/>
      <c r="M587" s="233">
        <v>4437</v>
      </c>
      <c r="N587" s="233">
        <v>0</v>
      </c>
      <c r="O587" s="232">
        <v>0</v>
      </c>
      <c r="P587" s="221">
        <f t="shared" si="19"/>
        <v>4437</v>
      </c>
      <c r="Q587" s="232"/>
      <c r="R587" s="233">
        <v>52823</v>
      </c>
      <c r="S587" s="234">
        <v>10540</v>
      </c>
      <c r="T587" s="234">
        <v>63363</v>
      </c>
    </row>
    <row r="588" spans="1:20">
      <c r="A588" s="227">
        <v>96405</v>
      </c>
      <c r="B588" s="228" t="s">
        <v>1298</v>
      </c>
      <c r="C588" s="87">
        <v>1.6139999999999999E-4</v>
      </c>
      <c r="D588" s="87">
        <v>1.7760000000000001E-4</v>
      </c>
      <c r="E588" s="232">
        <v>246574</v>
      </c>
      <c r="F588" s="232"/>
      <c r="G588" s="233">
        <v>14205</v>
      </c>
      <c r="H588" s="221">
        <v>59869</v>
      </c>
      <c r="I588" s="233">
        <v>35214</v>
      </c>
      <c r="J588" s="232">
        <v>10221</v>
      </c>
      <c r="K588" s="221">
        <f t="shared" si="18"/>
        <v>119509</v>
      </c>
      <c r="L588" s="232"/>
      <c r="M588" s="233">
        <v>6980</v>
      </c>
      <c r="N588" s="233">
        <v>0</v>
      </c>
      <c r="O588" s="232">
        <v>2204</v>
      </c>
      <c r="P588" s="221">
        <f t="shared" si="19"/>
        <v>9184</v>
      </c>
      <c r="Q588" s="232"/>
      <c r="R588" s="233">
        <v>83096</v>
      </c>
      <c r="S588" s="234">
        <v>4354</v>
      </c>
      <c r="T588" s="234">
        <v>87450</v>
      </c>
    </row>
    <row r="589" spans="1:20">
      <c r="A589" s="227">
        <v>96411</v>
      </c>
      <c r="B589" s="228" t="s">
        <v>1299</v>
      </c>
      <c r="C589" s="87">
        <v>7.2299999999999996E-5</v>
      </c>
      <c r="D589" s="87">
        <v>5.66E-5</v>
      </c>
      <c r="E589" s="232">
        <v>110454</v>
      </c>
      <c r="F589" s="232"/>
      <c r="G589" s="233">
        <v>6363</v>
      </c>
      <c r="H589" s="221">
        <v>26818</v>
      </c>
      <c r="I589" s="233">
        <v>15774</v>
      </c>
      <c r="J589" s="232">
        <v>12280</v>
      </c>
      <c r="K589" s="221">
        <f t="shared" si="18"/>
        <v>61235</v>
      </c>
      <c r="L589" s="232"/>
      <c r="M589" s="233">
        <v>3127</v>
      </c>
      <c r="N589" s="233">
        <v>0</v>
      </c>
      <c r="O589" s="232">
        <v>4004</v>
      </c>
      <c r="P589" s="221">
        <f t="shared" si="19"/>
        <v>7131</v>
      </c>
      <c r="Q589" s="232"/>
      <c r="R589" s="233">
        <v>37223</v>
      </c>
      <c r="S589" s="234">
        <v>2528</v>
      </c>
      <c r="T589" s="234">
        <v>39751</v>
      </c>
    </row>
    <row r="590" spans="1:20">
      <c r="A590" s="227">
        <v>96421</v>
      </c>
      <c r="B590" s="228" t="s">
        <v>1300</v>
      </c>
      <c r="C590" s="87">
        <v>4.2529999999999998E-4</v>
      </c>
      <c r="D590" s="87">
        <v>4.2860000000000001E-4</v>
      </c>
      <c r="E590" s="232">
        <v>649741</v>
      </c>
      <c r="F590" s="232"/>
      <c r="G590" s="233">
        <v>37431</v>
      </c>
      <c r="H590" s="221">
        <v>157758</v>
      </c>
      <c r="I590" s="233">
        <v>92792</v>
      </c>
      <c r="J590" s="232">
        <v>0</v>
      </c>
      <c r="K590" s="221">
        <f t="shared" si="18"/>
        <v>287981</v>
      </c>
      <c r="L590" s="232"/>
      <c r="M590" s="233">
        <v>18392</v>
      </c>
      <c r="N590" s="233">
        <v>0</v>
      </c>
      <c r="O590" s="232">
        <v>78762</v>
      </c>
      <c r="P590" s="221">
        <f t="shared" si="19"/>
        <v>97154</v>
      </c>
      <c r="Q590" s="232"/>
      <c r="R590" s="233">
        <v>218963</v>
      </c>
      <c r="S590" s="234">
        <v>-35149</v>
      </c>
      <c r="T590" s="234">
        <v>183814</v>
      </c>
    </row>
    <row r="591" spans="1:20">
      <c r="A591" s="227">
        <v>96431</v>
      </c>
      <c r="B591" s="228" t="s">
        <v>1301</v>
      </c>
      <c r="C591" s="87">
        <v>4.2799999999999997E-5</v>
      </c>
      <c r="D591" s="87">
        <v>5.6100000000000002E-5</v>
      </c>
      <c r="E591" s="232">
        <v>65387</v>
      </c>
      <c r="F591" s="232"/>
      <c r="G591" s="233">
        <v>3767</v>
      </c>
      <c r="H591" s="221">
        <v>15876</v>
      </c>
      <c r="I591" s="233">
        <v>9338</v>
      </c>
      <c r="J591" s="232">
        <v>6277</v>
      </c>
      <c r="K591" s="221">
        <f t="shared" si="18"/>
        <v>35258</v>
      </c>
      <c r="L591" s="232"/>
      <c r="M591" s="233">
        <v>1851</v>
      </c>
      <c r="N591" s="233">
        <v>0</v>
      </c>
      <c r="O591" s="232">
        <v>10135</v>
      </c>
      <c r="P591" s="221">
        <f t="shared" si="19"/>
        <v>11986</v>
      </c>
      <c r="Q591" s="232"/>
      <c r="R591" s="233">
        <v>22035</v>
      </c>
      <c r="S591" s="234">
        <v>-1596</v>
      </c>
      <c r="T591" s="234">
        <v>20439</v>
      </c>
    </row>
    <row r="592" spans="1:20">
      <c r="A592" s="227">
        <v>96441</v>
      </c>
      <c r="B592" s="228" t="s">
        <v>1302</v>
      </c>
      <c r="C592" s="87">
        <v>2.97E-5</v>
      </c>
      <c r="D592" s="87">
        <v>3.1199999999999999E-5</v>
      </c>
      <c r="E592" s="232">
        <v>45373</v>
      </c>
      <c r="F592" s="232"/>
      <c r="G592" s="233">
        <v>2614</v>
      </c>
      <c r="H592" s="221">
        <v>11017</v>
      </c>
      <c r="I592" s="233">
        <v>6480</v>
      </c>
      <c r="J592" s="232">
        <v>7489</v>
      </c>
      <c r="K592" s="221">
        <f t="shared" si="18"/>
        <v>27600</v>
      </c>
      <c r="L592" s="232"/>
      <c r="M592" s="233">
        <v>1284</v>
      </c>
      <c r="N592" s="233">
        <v>0</v>
      </c>
      <c r="O592" s="232">
        <v>440</v>
      </c>
      <c r="P592" s="221">
        <f t="shared" si="19"/>
        <v>1724</v>
      </c>
      <c r="Q592" s="232"/>
      <c r="R592" s="233">
        <v>15291</v>
      </c>
      <c r="S592" s="234">
        <v>2815</v>
      </c>
      <c r="T592" s="234">
        <v>18106</v>
      </c>
    </row>
    <row r="593" spans="1:20">
      <c r="A593" s="227">
        <v>96451</v>
      </c>
      <c r="B593" s="228" t="s">
        <v>1303</v>
      </c>
      <c r="C593" s="87">
        <v>2.0299999999999999E-5</v>
      </c>
      <c r="D593" s="87">
        <v>1.38E-5</v>
      </c>
      <c r="E593" s="232">
        <v>31013</v>
      </c>
      <c r="F593" s="232"/>
      <c r="G593" s="233">
        <v>1787</v>
      </c>
      <c r="H593" s="221">
        <v>7530</v>
      </c>
      <c r="I593" s="233">
        <v>4429</v>
      </c>
      <c r="J593" s="232">
        <v>6431</v>
      </c>
      <c r="K593" s="221">
        <f t="shared" si="18"/>
        <v>20177</v>
      </c>
      <c r="L593" s="232"/>
      <c r="M593" s="233">
        <v>878</v>
      </c>
      <c r="N593" s="233">
        <v>0</v>
      </c>
      <c r="O593" s="232">
        <v>1319</v>
      </c>
      <c r="P593" s="221">
        <f t="shared" si="19"/>
        <v>2197</v>
      </c>
      <c r="Q593" s="232"/>
      <c r="R593" s="233">
        <v>10451</v>
      </c>
      <c r="S593" s="234">
        <v>994</v>
      </c>
      <c r="T593" s="234">
        <v>11445</v>
      </c>
    </row>
    <row r="594" spans="1:20">
      <c r="A594" s="227">
        <v>96461</v>
      </c>
      <c r="B594" s="228" t="s">
        <v>1304</v>
      </c>
      <c r="C594" s="87">
        <v>1.361E-4</v>
      </c>
      <c r="D594" s="87">
        <v>1.3410000000000001E-4</v>
      </c>
      <c r="E594" s="232">
        <v>207923</v>
      </c>
      <c r="F594" s="232"/>
      <c r="G594" s="233">
        <v>11978</v>
      </c>
      <c r="H594" s="221">
        <v>50484</v>
      </c>
      <c r="I594" s="233">
        <v>29694</v>
      </c>
      <c r="J594" s="232">
        <v>6504</v>
      </c>
      <c r="K594" s="221">
        <f t="shared" si="18"/>
        <v>98660</v>
      </c>
      <c r="L594" s="232"/>
      <c r="M594" s="233">
        <v>5886</v>
      </c>
      <c r="N594" s="233">
        <v>0</v>
      </c>
      <c r="O594" s="232">
        <v>18452</v>
      </c>
      <c r="P594" s="221">
        <f t="shared" si="19"/>
        <v>24338</v>
      </c>
      <c r="Q594" s="232"/>
      <c r="R594" s="233">
        <v>70070</v>
      </c>
      <c r="S594" s="234">
        <v>-3923</v>
      </c>
      <c r="T594" s="234">
        <f>66148-1</f>
        <v>66147</v>
      </c>
    </row>
    <row r="595" spans="1:20">
      <c r="A595" s="227">
        <v>96501</v>
      </c>
      <c r="B595" s="228" t="s">
        <v>1305</v>
      </c>
      <c r="C595" s="87">
        <v>1.44739E-2</v>
      </c>
      <c r="D595" s="87">
        <v>1.4156999999999999E-2</v>
      </c>
      <c r="E595" s="232">
        <v>22112110</v>
      </c>
      <c r="F595" s="232"/>
      <c r="G595" s="233">
        <v>1273862</v>
      </c>
      <c r="H595" s="221">
        <v>5368847</v>
      </c>
      <c r="I595" s="233">
        <v>3157916</v>
      </c>
      <c r="J595" s="232">
        <v>365065</v>
      </c>
      <c r="K595" s="221">
        <f t="shared" si="18"/>
        <v>10165690</v>
      </c>
      <c r="L595" s="232"/>
      <c r="M595" s="233">
        <v>625924</v>
      </c>
      <c r="N595" s="233">
        <v>0</v>
      </c>
      <c r="O595" s="232">
        <v>292930</v>
      </c>
      <c r="P595" s="221">
        <f t="shared" si="19"/>
        <v>918854</v>
      </c>
      <c r="Q595" s="232"/>
      <c r="R595" s="233">
        <v>7451801</v>
      </c>
      <c r="S595" s="234">
        <v>150498</v>
      </c>
      <c r="T595" s="234">
        <f>7602298+1</f>
        <v>7602299</v>
      </c>
    </row>
    <row r="596" spans="1:20">
      <c r="A596" s="227">
        <v>96502</v>
      </c>
      <c r="B596" s="228" t="s">
        <v>1306</v>
      </c>
      <c r="C596" s="87">
        <v>4.2440000000000002E-4</v>
      </c>
      <c r="D596" s="87">
        <v>4.2309999999999998E-4</v>
      </c>
      <c r="E596" s="232">
        <v>648366</v>
      </c>
      <c r="F596" s="232"/>
      <c r="G596" s="233">
        <v>37352</v>
      </c>
      <c r="H596" s="221">
        <v>157424</v>
      </c>
      <c r="I596" s="233">
        <v>92596</v>
      </c>
      <c r="J596" s="232">
        <v>39317</v>
      </c>
      <c r="K596" s="221">
        <f t="shared" si="18"/>
        <v>326689</v>
      </c>
      <c r="L596" s="232"/>
      <c r="M596" s="233">
        <v>18353</v>
      </c>
      <c r="N596" s="233">
        <v>0</v>
      </c>
      <c r="O596" s="232">
        <v>0</v>
      </c>
      <c r="P596" s="221">
        <f t="shared" si="19"/>
        <v>18353</v>
      </c>
      <c r="Q596" s="232"/>
      <c r="R596" s="233">
        <v>218500</v>
      </c>
      <c r="S596" s="234">
        <v>23185</v>
      </c>
      <c r="T596" s="234">
        <v>241685</v>
      </c>
    </row>
    <row r="597" spans="1:20">
      <c r="A597" s="227">
        <v>96503</v>
      </c>
      <c r="B597" s="228" t="s">
        <v>1307</v>
      </c>
      <c r="C597" s="87">
        <v>3.0039999999999998E-4</v>
      </c>
      <c r="D597" s="87">
        <v>3.3700000000000001E-4</v>
      </c>
      <c r="E597" s="232">
        <v>458928</v>
      </c>
      <c r="F597" s="232"/>
      <c r="G597" s="233">
        <v>26439</v>
      </c>
      <c r="H597" s="221">
        <v>111428</v>
      </c>
      <c r="I597" s="233">
        <v>65541</v>
      </c>
      <c r="J597" s="232">
        <v>240013</v>
      </c>
      <c r="K597" s="221">
        <f t="shared" si="18"/>
        <v>443421</v>
      </c>
      <c r="L597" s="232"/>
      <c r="M597" s="233">
        <v>12991</v>
      </c>
      <c r="N597" s="233">
        <v>0</v>
      </c>
      <c r="O597" s="232">
        <v>14874</v>
      </c>
      <c r="P597" s="221">
        <f t="shared" si="19"/>
        <v>27865</v>
      </c>
      <c r="Q597" s="232"/>
      <c r="R597" s="233">
        <v>154659</v>
      </c>
      <c r="S597" s="234">
        <v>71167</v>
      </c>
      <c r="T597" s="234">
        <v>225826</v>
      </c>
    </row>
    <row r="598" spans="1:20">
      <c r="A598" s="227">
        <v>96504</v>
      </c>
      <c r="B598" s="228" t="s">
        <v>1308</v>
      </c>
      <c r="C598" s="87">
        <v>4.1760000000000001E-4</v>
      </c>
      <c r="D598" s="87">
        <v>3.6039999999999998E-4</v>
      </c>
      <c r="E598" s="232">
        <v>637977</v>
      </c>
      <c r="F598" s="232"/>
      <c r="G598" s="233">
        <v>36753</v>
      </c>
      <c r="H598" s="221">
        <v>154902</v>
      </c>
      <c r="I598" s="233">
        <v>91112</v>
      </c>
      <c r="J598" s="232">
        <v>44166</v>
      </c>
      <c r="K598" s="221">
        <f t="shared" si="18"/>
        <v>326933</v>
      </c>
      <c r="L598" s="232"/>
      <c r="M598" s="233">
        <v>18059</v>
      </c>
      <c r="N598" s="233">
        <v>0</v>
      </c>
      <c r="O598" s="232">
        <v>4428</v>
      </c>
      <c r="P598" s="221">
        <f t="shared" si="19"/>
        <v>22487</v>
      </c>
      <c r="Q598" s="232"/>
      <c r="R598" s="233">
        <v>214999</v>
      </c>
      <c r="S598" s="234">
        <v>11523</v>
      </c>
      <c r="T598" s="234">
        <f>226521+1</f>
        <v>226522</v>
      </c>
    </row>
    <row r="599" spans="1:20">
      <c r="A599" s="227">
        <v>96507</v>
      </c>
      <c r="B599" s="228" t="s">
        <v>1309</v>
      </c>
      <c r="C599" s="87">
        <v>2.2147E-3</v>
      </c>
      <c r="D599" s="87">
        <v>2.2604999999999999E-3</v>
      </c>
      <c r="E599" s="232">
        <v>3383448</v>
      </c>
      <c r="F599" s="232"/>
      <c r="G599" s="233">
        <v>194918</v>
      </c>
      <c r="H599" s="221">
        <v>821505</v>
      </c>
      <c r="I599" s="233">
        <v>483203</v>
      </c>
      <c r="J599" s="232">
        <v>115759</v>
      </c>
      <c r="K599" s="221">
        <f t="shared" si="18"/>
        <v>1615385</v>
      </c>
      <c r="L599" s="232"/>
      <c r="M599" s="233">
        <v>95775</v>
      </c>
      <c r="N599" s="233">
        <v>0</v>
      </c>
      <c r="O599" s="232">
        <v>22795</v>
      </c>
      <c r="P599" s="221">
        <f t="shared" si="19"/>
        <v>118570</v>
      </c>
      <c r="Q599" s="232"/>
      <c r="R599" s="233">
        <v>1140225</v>
      </c>
      <c r="S599" s="234">
        <v>58867</v>
      </c>
      <c r="T599" s="234">
        <v>1199092</v>
      </c>
    </row>
    <row r="600" spans="1:20">
      <c r="A600" s="227">
        <v>96508</v>
      </c>
      <c r="B600" s="228" t="s">
        <v>1310</v>
      </c>
      <c r="C600" s="87">
        <v>8.6000000000000007E-6</v>
      </c>
      <c r="D600" s="87">
        <v>9.7999999999999993E-6</v>
      </c>
      <c r="E600" s="232">
        <v>13138</v>
      </c>
      <c r="F600" s="232"/>
      <c r="G600" s="233">
        <v>757</v>
      </c>
      <c r="H600" s="221">
        <v>3190</v>
      </c>
      <c r="I600" s="233">
        <v>1876</v>
      </c>
      <c r="J600" s="232">
        <v>11113</v>
      </c>
      <c r="K600" s="221">
        <f t="shared" si="18"/>
        <v>16936</v>
      </c>
      <c r="L600" s="232"/>
      <c r="M600" s="233">
        <v>372</v>
      </c>
      <c r="N600" s="233">
        <v>0</v>
      </c>
      <c r="O600" s="232">
        <v>0</v>
      </c>
      <c r="P600" s="221">
        <f t="shared" si="19"/>
        <v>372</v>
      </c>
      <c r="Q600" s="232"/>
      <c r="R600" s="233">
        <v>4428</v>
      </c>
      <c r="S600" s="234">
        <v>4402</v>
      </c>
      <c r="T600" s="234">
        <v>8830</v>
      </c>
    </row>
    <row r="601" spans="1:20">
      <c r="A601" s="227">
        <v>96511</v>
      </c>
      <c r="B601" s="228" t="s">
        <v>1311</v>
      </c>
      <c r="C601" s="87">
        <v>6.2069999999999996E-4</v>
      </c>
      <c r="D601" s="87">
        <v>6.221E-4</v>
      </c>
      <c r="E601" s="232">
        <v>948258</v>
      </c>
      <c r="F601" s="232"/>
      <c r="G601" s="233">
        <v>54628</v>
      </c>
      <c r="H601" s="221">
        <v>230238</v>
      </c>
      <c r="I601" s="233">
        <v>135424</v>
      </c>
      <c r="J601" s="232">
        <v>0</v>
      </c>
      <c r="K601" s="221">
        <f t="shared" si="18"/>
        <v>420290</v>
      </c>
      <c r="L601" s="232"/>
      <c r="M601" s="233">
        <v>26842</v>
      </c>
      <c r="N601" s="233">
        <v>0</v>
      </c>
      <c r="O601" s="232">
        <v>95843</v>
      </c>
      <c r="P601" s="221">
        <f t="shared" si="19"/>
        <v>122685</v>
      </c>
      <c r="Q601" s="232"/>
      <c r="R601" s="233">
        <v>319564</v>
      </c>
      <c r="S601" s="234">
        <v>-49396</v>
      </c>
      <c r="T601" s="234">
        <v>270168</v>
      </c>
    </row>
    <row r="602" spans="1:20">
      <c r="A602" s="227">
        <v>96512</v>
      </c>
      <c r="B602" s="228" t="s">
        <v>1312</v>
      </c>
      <c r="C602" s="87">
        <v>1.5119999999999999E-4</v>
      </c>
      <c r="D602" s="87">
        <v>1.7000000000000001E-4</v>
      </c>
      <c r="E602" s="232">
        <v>230992</v>
      </c>
      <c r="F602" s="232"/>
      <c r="G602" s="233">
        <v>13307</v>
      </c>
      <c r="H602" s="221">
        <v>56085</v>
      </c>
      <c r="I602" s="233">
        <v>32989</v>
      </c>
      <c r="J602" s="232">
        <v>5578</v>
      </c>
      <c r="K602" s="221">
        <f t="shared" si="18"/>
        <v>107959</v>
      </c>
      <c r="L602" s="232"/>
      <c r="M602" s="233">
        <v>6539</v>
      </c>
      <c r="N602" s="233">
        <v>0</v>
      </c>
      <c r="O602" s="232">
        <v>9964</v>
      </c>
      <c r="P602" s="221">
        <f t="shared" si="19"/>
        <v>16503</v>
      </c>
      <c r="Q602" s="232"/>
      <c r="R602" s="233">
        <v>77844</v>
      </c>
      <c r="S602" s="234">
        <v>198</v>
      </c>
      <c r="T602" s="234">
        <v>78042</v>
      </c>
    </row>
    <row r="603" spans="1:20">
      <c r="A603" s="227">
        <v>96521</v>
      </c>
      <c r="B603" s="228" t="s">
        <v>1313</v>
      </c>
      <c r="C603" s="87">
        <v>9.881E-4</v>
      </c>
      <c r="D603" s="87">
        <v>9.4240000000000003E-4</v>
      </c>
      <c r="E603" s="232">
        <v>1509543</v>
      </c>
      <c r="F603" s="232"/>
      <c r="G603" s="233">
        <v>86964</v>
      </c>
      <c r="H603" s="221">
        <v>366519</v>
      </c>
      <c r="I603" s="233">
        <v>215584</v>
      </c>
      <c r="J603" s="232">
        <v>30024</v>
      </c>
      <c r="K603" s="221">
        <f t="shared" si="18"/>
        <v>699091</v>
      </c>
      <c r="L603" s="232"/>
      <c r="M603" s="233">
        <v>42730</v>
      </c>
      <c r="N603" s="233">
        <v>0</v>
      </c>
      <c r="O603" s="232">
        <v>25241</v>
      </c>
      <c r="P603" s="221">
        <f t="shared" si="19"/>
        <v>67971</v>
      </c>
      <c r="Q603" s="232"/>
      <c r="R603" s="233">
        <v>508717</v>
      </c>
      <c r="S603" s="234">
        <v>6710</v>
      </c>
      <c r="T603" s="234">
        <f>515428-1</f>
        <v>515427</v>
      </c>
    </row>
    <row r="604" spans="1:20">
      <c r="A604" s="227">
        <v>96531</v>
      </c>
      <c r="B604" s="228" t="s">
        <v>1314</v>
      </c>
      <c r="C604" s="87">
        <v>8.5845000000000001E-3</v>
      </c>
      <c r="D604" s="87">
        <v>8.6088999999999992E-3</v>
      </c>
      <c r="E604" s="232">
        <v>13114738</v>
      </c>
      <c r="F604" s="232"/>
      <c r="G604" s="233">
        <v>755530</v>
      </c>
      <c r="H604" s="221">
        <v>3184274</v>
      </c>
      <c r="I604" s="233">
        <v>1872966</v>
      </c>
      <c r="J604" s="232">
        <v>48765</v>
      </c>
      <c r="K604" s="221">
        <f t="shared" si="18"/>
        <v>5861535</v>
      </c>
      <c r="L604" s="232"/>
      <c r="M604" s="233">
        <v>371237</v>
      </c>
      <c r="N604" s="233">
        <v>0</v>
      </c>
      <c r="O604" s="232">
        <v>418860</v>
      </c>
      <c r="P604" s="221">
        <f t="shared" si="19"/>
        <v>790097</v>
      </c>
      <c r="Q604" s="232"/>
      <c r="R604" s="233">
        <v>4419678</v>
      </c>
      <c r="S604" s="234">
        <v>-117601</v>
      </c>
      <c r="T604" s="234">
        <v>4302077</v>
      </c>
    </row>
    <row r="605" spans="1:20">
      <c r="A605" s="227">
        <v>96541</v>
      </c>
      <c r="B605" s="228" t="s">
        <v>1315</v>
      </c>
      <c r="C605" s="87">
        <v>3.5950000000000001E-4</v>
      </c>
      <c r="D605" s="87">
        <v>3.3169999999999999E-4</v>
      </c>
      <c r="E605" s="232">
        <v>549216</v>
      </c>
      <c r="F605" s="232"/>
      <c r="G605" s="233">
        <v>31640</v>
      </c>
      <c r="H605" s="221">
        <v>133350</v>
      </c>
      <c r="I605" s="233">
        <v>78436</v>
      </c>
      <c r="J605" s="232">
        <v>24801</v>
      </c>
      <c r="K605" s="221">
        <f t="shared" si="18"/>
        <v>268227</v>
      </c>
      <c r="L605" s="232"/>
      <c r="M605" s="233">
        <v>15547</v>
      </c>
      <c r="N605" s="233">
        <v>0</v>
      </c>
      <c r="O605" s="232">
        <v>0</v>
      </c>
      <c r="P605" s="221">
        <f t="shared" si="19"/>
        <v>15547</v>
      </c>
      <c r="Q605" s="232"/>
      <c r="R605" s="233">
        <v>185086</v>
      </c>
      <c r="S605" s="234">
        <v>13028</v>
      </c>
      <c r="T605" s="234">
        <f>198115-1</f>
        <v>198114</v>
      </c>
    </row>
    <row r="606" spans="1:20">
      <c r="A606" s="227">
        <v>96601</v>
      </c>
      <c r="B606" s="228" t="s">
        <v>1316</v>
      </c>
      <c r="C606" s="87">
        <v>1.8169E-3</v>
      </c>
      <c r="D606" s="87">
        <v>1.8416000000000001E-3</v>
      </c>
      <c r="E606" s="232">
        <v>2775720</v>
      </c>
      <c r="F606" s="232"/>
      <c r="G606" s="233">
        <v>159907</v>
      </c>
      <c r="H606" s="221">
        <v>673948</v>
      </c>
      <c r="I606" s="233">
        <v>396411</v>
      </c>
      <c r="J606" s="232">
        <v>50154</v>
      </c>
      <c r="K606" s="221">
        <f t="shared" si="18"/>
        <v>1280420</v>
      </c>
      <c r="L606" s="232"/>
      <c r="M606" s="233">
        <v>78572</v>
      </c>
      <c r="N606" s="233">
        <v>0</v>
      </c>
      <c r="O606" s="232">
        <v>4139</v>
      </c>
      <c r="P606" s="221">
        <f t="shared" si="19"/>
        <v>82711</v>
      </c>
      <c r="Q606" s="232"/>
      <c r="R606" s="233">
        <v>935420</v>
      </c>
      <c r="S606" s="234">
        <v>30132</v>
      </c>
      <c r="T606" s="234">
        <v>965552</v>
      </c>
    </row>
    <row r="607" spans="1:20">
      <c r="A607" s="227">
        <v>96604</v>
      </c>
      <c r="B607" s="228" t="s">
        <v>1317</v>
      </c>
      <c r="C607" s="87">
        <v>7.6000000000000001E-6</v>
      </c>
      <c r="D607" s="87">
        <v>7.9000000000000006E-6</v>
      </c>
      <c r="E607" s="232">
        <v>11611</v>
      </c>
      <c r="F607" s="232"/>
      <c r="G607" s="233">
        <v>669</v>
      </c>
      <c r="H607" s="221">
        <v>2819</v>
      </c>
      <c r="I607" s="233">
        <v>1658</v>
      </c>
      <c r="J607" s="232">
        <v>2027</v>
      </c>
      <c r="K607" s="221">
        <f t="shared" si="18"/>
        <v>7173</v>
      </c>
      <c r="L607" s="232"/>
      <c r="M607" s="233">
        <v>329</v>
      </c>
      <c r="N607" s="233">
        <v>0</v>
      </c>
      <c r="O607" s="232">
        <v>70</v>
      </c>
      <c r="P607" s="221">
        <f t="shared" si="19"/>
        <v>399</v>
      </c>
      <c r="Q607" s="232"/>
      <c r="R607" s="233">
        <v>3913</v>
      </c>
      <c r="S607" s="234">
        <v>799</v>
      </c>
      <c r="T607" s="234">
        <v>4712</v>
      </c>
    </row>
    <row r="608" spans="1:20">
      <c r="A608" s="227">
        <v>96611</v>
      </c>
      <c r="B608" s="228" t="s">
        <v>1318</v>
      </c>
      <c r="C608" s="87">
        <v>2.83E-5</v>
      </c>
      <c r="D608" s="87">
        <v>3.29E-5</v>
      </c>
      <c r="E608" s="232">
        <v>43235</v>
      </c>
      <c r="F608" s="232"/>
      <c r="G608" s="233">
        <v>2491</v>
      </c>
      <c r="H608" s="221">
        <v>10498</v>
      </c>
      <c r="I608" s="233">
        <v>6174</v>
      </c>
      <c r="J608" s="232">
        <v>1561</v>
      </c>
      <c r="K608" s="221">
        <f t="shared" si="18"/>
        <v>20724</v>
      </c>
      <c r="L608" s="232"/>
      <c r="M608" s="233">
        <v>1224</v>
      </c>
      <c r="N608" s="233">
        <v>0</v>
      </c>
      <c r="O608" s="232">
        <v>4284</v>
      </c>
      <c r="P608" s="221">
        <f t="shared" si="19"/>
        <v>5508</v>
      </c>
      <c r="Q608" s="232"/>
      <c r="R608" s="233">
        <v>14570</v>
      </c>
      <c r="S608" s="234">
        <v>112</v>
      </c>
      <c r="T608" s="234">
        <f>14683-1</f>
        <v>14682</v>
      </c>
    </row>
    <row r="609" spans="1:20">
      <c r="A609" s="227">
        <v>96612</v>
      </c>
      <c r="B609" s="228" t="s">
        <v>1319</v>
      </c>
      <c r="C609" s="87">
        <v>6.3299999999999994E-5</v>
      </c>
      <c r="D609" s="87">
        <v>6.3899999999999995E-5</v>
      </c>
      <c r="E609" s="232">
        <v>96705</v>
      </c>
      <c r="F609" s="232"/>
      <c r="G609" s="233">
        <v>5571</v>
      </c>
      <c r="H609" s="221">
        <v>23480</v>
      </c>
      <c r="I609" s="233">
        <v>13811</v>
      </c>
      <c r="J609" s="232">
        <v>7699</v>
      </c>
      <c r="K609" s="221">
        <f t="shared" si="18"/>
        <v>50561</v>
      </c>
      <c r="L609" s="232"/>
      <c r="M609" s="233">
        <v>2737</v>
      </c>
      <c r="N609" s="233">
        <v>0</v>
      </c>
      <c r="O609" s="232">
        <v>658</v>
      </c>
      <c r="P609" s="221">
        <f t="shared" si="19"/>
        <v>3395</v>
      </c>
      <c r="Q609" s="232"/>
      <c r="R609" s="233">
        <v>32590</v>
      </c>
      <c r="S609" s="234">
        <v>2270</v>
      </c>
      <c r="T609" s="234">
        <f>34859+1</f>
        <v>34860</v>
      </c>
    </row>
    <row r="610" spans="1:20">
      <c r="A610" s="227">
        <v>96621</v>
      </c>
      <c r="B610" s="228" t="s">
        <v>1320</v>
      </c>
      <c r="C610" s="87">
        <v>2.5999999999999998E-5</v>
      </c>
      <c r="D610" s="87">
        <v>2.65E-5</v>
      </c>
      <c r="E610" s="232">
        <v>39721</v>
      </c>
      <c r="F610" s="232"/>
      <c r="G610" s="233">
        <v>2288</v>
      </c>
      <c r="H610" s="221">
        <v>9644</v>
      </c>
      <c r="I610" s="233">
        <v>5673</v>
      </c>
      <c r="J610" s="232">
        <v>1435</v>
      </c>
      <c r="K610" s="221">
        <f t="shared" si="18"/>
        <v>19040</v>
      </c>
      <c r="L610" s="232"/>
      <c r="M610" s="233">
        <v>1124</v>
      </c>
      <c r="N610" s="233">
        <v>0</v>
      </c>
      <c r="O610" s="232">
        <v>4828</v>
      </c>
      <c r="P610" s="221">
        <f t="shared" si="19"/>
        <v>5952</v>
      </c>
      <c r="Q610" s="232"/>
      <c r="R610" s="233">
        <v>13386</v>
      </c>
      <c r="S610" s="234">
        <v>-2281</v>
      </c>
      <c r="T610" s="234">
        <v>11105</v>
      </c>
    </row>
    <row r="611" spans="1:20">
      <c r="A611" s="227">
        <v>96631</v>
      </c>
      <c r="B611" s="228" t="s">
        <v>1321</v>
      </c>
      <c r="C611" s="87">
        <v>2.51E-5</v>
      </c>
      <c r="D611" s="87">
        <v>2.5899999999999999E-5</v>
      </c>
      <c r="E611" s="232">
        <v>38346</v>
      </c>
      <c r="F611" s="232"/>
      <c r="G611" s="233">
        <v>2209</v>
      </c>
      <c r="H611" s="221">
        <v>9311</v>
      </c>
      <c r="I611" s="233">
        <v>5476</v>
      </c>
      <c r="J611" s="232">
        <v>3375</v>
      </c>
      <c r="K611" s="221">
        <f t="shared" si="18"/>
        <v>20371</v>
      </c>
      <c r="L611" s="232"/>
      <c r="M611" s="233">
        <v>1085</v>
      </c>
      <c r="N611" s="233">
        <v>0</v>
      </c>
      <c r="O611" s="232">
        <v>345</v>
      </c>
      <c r="P611" s="221">
        <f t="shared" si="19"/>
        <v>1430</v>
      </c>
      <c r="Q611" s="232"/>
      <c r="R611" s="233">
        <v>12923</v>
      </c>
      <c r="S611" s="234">
        <v>2192</v>
      </c>
      <c r="T611" s="234">
        <f>15114+1</f>
        <v>15115</v>
      </c>
    </row>
    <row r="612" spans="1:20">
      <c r="A612" s="227">
        <v>96641</v>
      </c>
      <c r="B612" s="228" t="s">
        <v>1322</v>
      </c>
      <c r="C612" s="87">
        <v>3.2199999999999997E-5</v>
      </c>
      <c r="D612" s="87">
        <v>2.6999999999999999E-5</v>
      </c>
      <c r="E612" s="232">
        <v>49193</v>
      </c>
      <c r="F612" s="232"/>
      <c r="G612" s="233">
        <v>2834</v>
      </c>
      <c r="H612" s="221">
        <v>11944</v>
      </c>
      <c r="I612" s="233">
        <v>7025</v>
      </c>
      <c r="J612" s="232">
        <v>15380</v>
      </c>
      <c r="K612" s="221">
        <f t="shared" si="18"/>
        <v>37183</v>
      </c>
      <c r="L612" s="232"/>
      <c r="M612" s="233">
        <v>1392</v>
      </c>
      <c r="N612" s="233">
        <v>0</v>
      </c>
      <c r="O612" s="232">
        <v>0</v>
      </c>
      <c r="P612" s="221">
        <f t="shared" si="19"/>
        <v>1392</v>
      </c>
      <c r="Q612" s="232"/>
      <c r="R612" s="233">
        <v>16578</v>
      </c>
      <c r="S612" s="234">
        <v>5934</v>
      </c>
      <c r="T612" s="234">
        <v>22512</v>
      </c>
    </row>
    <row r="613" spans="1:20">
      <c r="A613" s="227">
        <v>96651</v>
      </c>
      <c r="B613" s="228" t="s">
        <v>1323</v>
      </c>
      <c r="C613" s="87">
        <v>1.7399999999999999E-5</v>
      </c>
      <c r="D613" s="87">
        <v>1.9400000000000001E-5</v>
      </c>
      <c r="E613" s="232">
        <v>26582</v>
      </c>
      <c r="F613" s="232"/>
      <c r="G613" s="233">
        <v>1531</v>
      </c>
      <c r="H613" s="221">
        <v>6454</v>
      </c>
      <c r="I613" s="233">
        <v>3796</v>
      </c>
      <c r="J613" s="232">
        <v>1983</v>
      </c>
      <c r="K613" s="221">
        <f t="shared" si="18"/>
        <v>13764</v>
      </c>
      <c r="L613" s="232"/>
      <c r="M613" s="233">
        <v>752</v>
      </c>
      <c r="N613" s="233">
        <v>0</v>
      </c>
      <c r="O613" s="232">
        <v>1305</v>
      </c>
      <c r="P613" s="221">
        <f t="shared" si="19"/>
        <v>2057</v>
      </c>
      <c r="Q613" s="232"/>
      <c r="R613" s="233">
        <v>8958</v>
      </c>
      <c r="S613" s="234">
        <v>-364</v>
      </c>
      <c r="T613" s="234">
        <f>8595-1</f>
        <v>8594</v>
      </c>
    </row>
    <row r="614" spans="1:20">
      <c r="A614" s="227">
        <v>96661</v>
      </c>
      <c r="B614" s="228" t="s">
        <v>1324</v>
      </c>
      <c r="C614" s="87">
        <v>1.9700000000000001E-5</v>
      </c>
      <c r="D614" s="87">
        <v>1.9000000000000001E-5</v>
      </c>
      <c r="E614" s="232">
        <v>30096</v>
      </c>
      <c r="F614" s="232"/>
      <c r="G614" s="233">
        <v>1734</v>
      </c>
      <c r="H614" s="221">
        <v>7308</v>
      </c>
      <c r="I614" s="233">
        <v>4298</v>
      </c>
      <c r="J614" s="232">
        <v>5449</v>
      </c>
      <c r="K614" s="221">
        <f t="shared" si="18"/>
        <v>18789</v>
      </c>
      <c r="L614" s="232"/>
      <c r="M614" s="233">
        <v>852</v>
      </c>
      <c r="N614" s="233">
        <v>0</v>
      </c>
      <c r="O614" s="232">
        <v>0</v>
      </c>
      <c r="P614" s="221">
        <f t="shared" si="19"/>
        <v>852</v>
      </c>
      <c r="Q614" s="232"/>
      <c r="R614" s="233">
        <v>10142</v>
      </c>
      <c r="S614" s="234">
        <v>2525</v>
      </c>
      <c r="T614" s="234">
        <f>12668-1</f>
        <v>12667</v>
      </c>
    </row>
    <row r="615" spans="1:20">
      <c r="A615" s="227">
        <v>96671</v>
      </c>
      <c r="B615" s="228" t="s">
        <v>1325</v>
      </c>
      <c r="C615" s="87">
        <v>1.49E-5</v>
      </c>
      <c r="D615" s="87">
        <v>1.5500000000000001E-5</v>
      </c>
      <c r="E615" s="232">
        <v>22763</v>
      </c>
      <c r="F615" s="232"/>
      <c r="G615" s="233">
        <v>1311</v>
      </c>
      <c r="H615" s="221">
        <v>5527</v>
      </c>
      <c r="I615" s="233">
        <v>3251</v>
      </c>
      <c r="J615" s="232">
        <v>8612</v>
      </c>
      <c r="K615" s="221">
        <f t="shared" si="18"/>
        <v>18701</v>
      </c>
      <c r="L615" s="232"/>
      <c r="M615" s="233">
        <v>644</v>
      </c>
      <c r="N615" s="233">
        <v>0</v>
      </c>
      <c r="O615" s="232">
        <v>208</v>
      </c>
      <c r="P615" s="221">
        <f t="shared" si="19"/>
        <v>852</v>
      </c>
      <c r="Q615" s="232"/>
      <c r="R615" s="233">
        <v>7671</v>
      </c>
      <c r="S615" s="234">
        <v>3620</v>
      </c>
      <c r="T615" s="234">
        <v>11291</v>
      </c>
    </row>
    <row r="616" spans="1:20">
      <c r="A616" s="227">
        <v>96681</v>
      </c>
      <c r="B616" s="228" t="s">
        <v>1326</v>
      </c>
      <c r="C616" s="87">
        <v>1.7499999999999998E-5</v>
      </c>
      <c r="D616" s="87">
        <v>3.4799999999999999E-5</v>
      </c>
      <c r="E616" s="232">
        <v>26735</v>
      </c>
      <c r="F616" s="232"/>
      <c r="G616" s="233">
        <v>1540</v>
      </c>
      <c r="H616" s="221">
        <v>6491</v>
      </c>
      <c r="I616" s="233">
        <v>3818</v>
      </c>
      <c r="J616" s="232">
        <v>12682</v>
      </c>
      <c r="K616" s="221">
        <f t="shared" si="18"/>
        <v>24531</v>
      </c>
      <c r="L616" s="232"/>
      <c r="M616" s="233">
        <v>757</v>
      </c>
      <c r="N616" s="233">
        <v>0</v>
      </c>
      <c r="O616" s="232">
        <v>9027</v>
      </c>
      <c r="P616" s="221">
        <f t="shared" si="19"/>
        <v>9784</v>
      </c>
      <c r="Q616" s="232"/>
      <c r="R616" s="233">
        <v>9010</v>
      </c>
      <c r="S616" s="234">
        <v>3129</v>
      </c>
      <c r="T616" s="234">
        <v>12139</v>
      </c>
    </row>
    <row r="617" spans="1:20">
      <c r="A617" s="227">
        <v>96701</v>
      </c>
      <c r="B617" s="228" t="s">
        <v>1327</v>
      </c>
      <c r="C617" s="87">
        <v>8.4206000000000003E-3</v>
      </c>
      <c r="D617" s="87">
        <v>7.7850000000000003E-3</v>
      </c>
      <c r="E617" s="232">
        <v>12864344</v>
      </c>
      <c r="F617" s="232"/>
      <c r="G617" s="233">
        <v>741105</v>
      </c>
      <c r="H617" s="221">
        <v>3123478</v>
      </c>
      <c r="I617" s="233">
        <v>1837207</v>
      </c>
      <c r="J617" s="232">
        <v>445953</v>
      </c>
      <c r="K617" s="221">
        <f t="shared" si="18"/>
        <v>6147743</v>
      </c>
      <c r="L617" s="232"/>
      <c r="M617" s="233">
        <v>364149</v>
      </c>
      <c r="N617" s="233">
        <v>0</v>
      </c>
      <c r="O617" s="232">
        <v>51464</v>
      </c>
      <c r="P617" s="221">
        <f t="shared" si="19"/>
        <v>415613</v>
      </c>
      <c r="Q617" s="232"/>
      <c r="R617" s="233">
        <v>4335295</v>
      </c>
      <c r="S617" s="234">
        <v>139565</v>
      </c>
      <c r="T617" s="234">
        <f>4474861-1</f>
        <v>4474860</v>
      </c>
    </row>
    <row r="618" spans="1:20">
      <c r="A618" s="227">
        <v>96704</v>
      </c>
      <c r="B618" s="228" t="s">
        <v>1328</v>
      </c>
      <c r="C618" s="87">
        <v>1.7259999999999999E-4</v>
      </c>
      <c r="D618" s="87">
        <v>1.5330000000000001E-4</v>
      </c>
      <c r="E618" s="232">
        <v>263685</v>
      </c>
      <c r="F618" s="232"/>
      <c r="G618" s="233">
        <v>15191</v>
      </c>
      <c r="H618" s="221">
        <v>64023</v>
      </c>
      <c r="I618" s="233">
        <v>37658</v>
      </c>
      <c r="J618" s="232">
        <v>28813</v>
      </c>
      <c r="K618" s="221">
        <f t="shared" si="18"/>
        <v>145685</v>
      </c>
      <c r="L618" s="232"/>
      <c r="M618" s="233">
        <v>7464</v>
      </c>
      <c r="N618" s="233">
        <v>0</v>
      </c>
      <c r="O618" s="232">
        <v>0</v>
      </c>
      <c r="P618" s="221">
        <f t="shared" si="19"/>
        <v>7464</v>
      </c>
      <c r="Q618" s="232"/>
      <c r="R618" s="233">
        <v>88862</v>
      </c>
      <c r="S618" s="234">
        <v>9625</v>
      </c>
      <c r="T618" s="234">
        <v>98487</v>
      </c>
    </row>
    <row r="619" spans="1:20">
      <c r="A619" s="227">
        <v>96708</v>
      </c>
      <c r="B619" s="228" t="s">
        <v>1329</v>
      </c>
      <c r="C619" s="87">
        <v>9.031E-4</v>
      </c>
      <c r="D619" s="87">
        <v>8.4590000000000002E-4</v>
      </c>
      <c r="E619" s="232">
        <v>1379687</v>
      </c>
      <c r="F619" s="232"/>
      <c r="G619" s="233">
        <v>79483</v>
      </c>
      <c r="H619" s="221">
        <v>334989</v>
      </c>
      <c r="I619" s="233">
        <v>197038</v>
      </c>
      <c r="J619" s="232">
        <v>93931</v>
      </c>
      <c r="K619" s="221">
        <f t="shared" si="18"/>
        <v>705441</v>
      </c>
      <c r="L619" s="232"/>
      <c r="M619" s="233">
        <v>39055</v>
      </c>
      <c r="N619" s="233">
        <v>0</v>
      </c>
      <c r="O619" s="232">
        <v>19895</v>
      </c>
      <c r="P619" s="221">
        <f t="shared" si="19"/>
        <v>58950</v>
      </c>
      <c r="Q619" s="232"/>
      <c r="R619" s="233">
        <v>464956</v>
      </c>
      <c r="S619" s="234">
        <v>29117</v>
      </c>
      <c r="T619" s="234">
        <v>494073</v>
      </c>
    </row>
    <row r="620" spans="1:20">
      <c r="A620" s="227">
        <v>96711</v>
      </c>
      <c r="B620" s="228" t="s">
        <v>1330</v>
      </c>
      <c r="C620" s="87">
        <v>4.0464000000000003E-3</v>
      </c>
      <c r="D620" s="87">
        <v>4.4140000000000004E-3</v>
      </c>
      <c r="E620" s="232">
        <v>6181778</v>
      </c>
      <c r="F620" s="232"/>
      <c r="G620" s="233">
        <v>356128</v>
      </c>
      <c r="H620" s="221">
        <v>1500943</v>
      </c>
      <c r="I620" s="233">
        <v>882844</v>
      </c>
      <c r="J620" s="232">
        <v>10323</v>
      </c>
      <c r="K620" s="221">
        <f t="shared" si="18"/>
        <v>2750238</v>
      </c>
      <c r="L620" s="232"/>
      <c r="M620" s="233">
        <v>174987</v>
      </c>
      <c r="N620" s="233">
        <v>0</v>
      </c>
      <c r="O620" s="232">
        <v>468550</v>
      </c>
      <c r="P620" s="221">
        <f t="shared" si="19"/>
        <v>643537</v>
      </c>
      <c r="Q620" s="232"/>
      <c r="R620" s="233">
        <v>2083265</v>
      </c>
      <c r="S620" s="234">
        <v>-165088</v>
      </c>
      <c r="T620" s="234">
        <v>1918177</v>
      </c>
    </row>
    <row r="621" spans="1:20">
      <c r="A621" s="227">
        <v>96721</v>
      </c>
      <c r="B621" s="228" t="s">
        <v>1331</v>
      </c>
      <c r="C621" s="87">
        <v>2.1379999999999999E-4</v>
      </c>
      <c r="D621" s="87">
        <v>1.9780000000000001E-4</v>
      </c>
      <c r="E621" s="232">
        <v>326627</v>
      </c>
      <c r="F621" s="232"/>
      <c r="G621" s="233">
        <v>18817</v>
      </c>
      <c r="H621" s="221">
        <v>79305</v>
      </c>
      <c r="I621" s="233">
        <v>46647</v>
      </c>
      <c r="J621" s="232">
        <v>14615</v>
      </c>
      <c r="K621" s="221">
        <f t="shared" si="18"/>
        <v>159384</v>
      </c>
      <c r="L621" s="232"/>
      <c r="M621" s="233">
        <v>9246</v>
      </c>
      <c r="N621" s="233">
        <v>0</v>
      </c>
      <c r="O621" s="232">
        <v>25539</v>
      </c>
      <c r="P621" s="221">
        <f t="shared" si="19"/>
        <v>34785</v>
      </c>
      <c r="Q621" s="232"/>
      <c r="R621" s="233">
        <v>110074</v>
      </c>
      <c r="S621" s="234">
        <v>-1269</v>
      </c>
      <c r="T621" s="234">
        <v>108805</v>
      </c>
    </row>
    <row r="622" spans="1:20">
      <c r="A622" s="227">
        <v>96731</v>
      </c>
      <c r="B622" s="228" t="s">
        <v>1332</v>
      </c>
      <c r="C622" s="87">
        <v>1.697E-4</v>
      </c>
      <c r="D622" s="87">
        <v>1.5090000000000001E-4</v>
      </c>
      <c r="E622" s="232">
        <v>259255</v>
      </c>
      <c r="F622" s="232"/>
      <c r="G622" s="233">
        <v>14935</v>
      </c>
      <c r="H622" s="221">
        <v>62947</v>
      </c>
      <c r="I622" s="233">
        <v>37025</v>
      </c>
      <c r="J622" s="232">
        <v>20951</v>
      </c>
      <c r="K622" s="221">
        <f t="shared" si="18"/>
        <v>135858</v>
      </c>
      <c r="L622" s="232"/>
      <c r="M622" s="233">
        <v>7339</v>
      </c>
      <c r="N622" s="233">
        <v>0</v>
      </c>
      <c r="O622" s="232">
        <v>6</v>
      </c>
      <c r="P622" s="221">
        <f t="shared" si="19"/>
        <v>7345</v>
      </c>
      <c r="Q622" s="232"/>
      <c r="R622" s="233">
        <v>87369</v>
      </c>
      <c r="S622" s="234">
        <v>7300</v>
      </c>
      <c r="T622" s="234">
        <v>94669</v>
      </c>
    </row>
    <row r="623" spans="1:20">
      <c r="A623" s="227">
        <v>96733</v>
      </c>
      <c r="B623" s="228" t="s">
        <v>1333</v>
      </c>
      <c r="C623" s="87">
        <v>7.3000000000000004E-6</v>
      </c>
      <c r="D623" s="87">
        <v>9.2E-6</v>
      </c>
      <c r="E623" s="232">
        <v>11152</v>
      </c>
      <c r="F623" s="232"/>
      <c r="G623" s="233">
        <v>642</v>
      </c>
      <c r="H623" s="221">
        <v>2708</v>
      </c>
      <c r="I623" s="233">
        <v>1593</v>
      </c>
      <c r="J623" s="232">
        <v>3988</v>
      </c>
      <c r="K623" s="221">
        <f t="shared" si="18"/>
        <v>8931</v>
      </c>
      <c r="L623" s="232"/>
      <c r="M623" s="233">
        <v>316</v>
      </c>
      <c r="N623" s="233">
        <v>0</v>
      </c>
      <c r="O623" s="232">
        <v>1209</v>
      </c>
      <c r="P623" s="221">
        <f t="shared" si="19"/>
        <v>1525</v>
      </c>
      <c r="Q623" s="232"/>
      <c r="R623" s="233">
        <v>3758</v>
      </c>
      <c r="S623" s="234">
        <v>1574</v>
      </c>
      <c r="T623" s="234">
        <v>5332</v>
      </c>
    </row>
    <row r="624" spans="1:20">
      <c r="A624" s="227">
        <v>96741</v>
      </c>
      <c r="B624" s="228" t="s">
        <v>1334</v>
      </c>
      <c r="C624" s="87">
        <v>9.0799999999999998E-5</v>
      </c>
      <c r="D624" s="87">
        <v>9.2399999999999996E-5</v>
      </c>
      <c r="E624" s="232">
        <v>138717</v>
      </c>
      <c r="F624" s="232"/>
      <c r="G624" s="233">
        <v>7991</v>
      </c>
      <c r="H624" s="221">
        <v>33681</v>
      </c>
      <c r="I624" s="233">
        <v>19811</v>
      </c>
      <c r="J624" s="232">
        <v>4204</v>
      </c>
      <c r="K624" s="221">
        <f t="shared" si="18"/>
        <v>65687</v>
      </c>
      <c r="L624" s="232"/>
      <c r="M624" s="233">
        <v>3927</v>
      </c>
      <c r="N624" s="233">
        <v>0</v>
      </c>
      <c r="O624" s="232">
        <v>2410</v>
      </c>
      <c r="P624" s="221">
        <f t="shared" si="19"/>
        <v>6337</v>
      </c>
      <c r="Q624" s="232"/>
      <c r="R624" s="233">
        <v>46748</v>
      </c>
      <c r="S624" s="234">
        <v>2215</v>
      </c>
      <c r="T624" s="234">
        <v>48963</v>
      </c>
    </row>
    <row r="625" spans="1:20">
      <c r="A625" s="227">
        <v>96751</v>
      </c>
      <c r="B625" s="228" t="s">
        <v>1335</v>
      </c>
      <c r="C625" s="87">
        <v>2.5809999999999999E-4</v>
      </c>
      <c r="D625" s="87">
        <v>2.6120000000000001E-4</v>
      </c>
      <c r="E625" s="232">
        <v>394305</v>
      </c>
      <c r="F625" s="232"/>
      <c r="G625" s="233">
        <v>22716</v>
      </c>
      <c r="H625" s="221">
        <v>95737</v>
      </c>
      <c r="I625" s="233">
        <v>56312</v>
      </c>
      <c r="J625" s="232">
        <v>10810</v>
      </c>
      <c r="K625" s="221">
        <f t="shared" si="18"/>
        <v>185575</v>
      </c>
      <c r="L625" s="232"/>
      <c r="M625" s="233">
        <v>11162</v>
      </c>
      <c r="N625" s="233">
        <v>0</v>
      </c>
      <c r="O625" s="232">
        <v>31380</v>
      </c>
      <c r="P625" s="221">
        <f t="shared" si="19"/>
        <v>42542</v>
      </c>
      <c r="Q625" s="232"/>
      <c r="R625" s="233">
        <v>132881</v>
      </c>
      <c r="S625" s="234">
        <v>-737</v>
      </c>
      <c r="T625" s="234">
        <v>132144</v>
      </c>
    </row>
    <row r="626" spans="1:20">
      <c r="A626" s="227">
        <v>96801</v>
      </c>
      <c r="B626" s="228" t="s">
        <v>1336</v>
      </c>
      <c r="C626" s="87">
        <v>7.5814000000000003E-3</v>
      </c>
      <c r="D626" s="87">
        <v>7.8463999999999999E-3</v>
      </c>
      <c r="E626" s="232">
        <v>11582279</v>
      </c>
      <c r="F626" s="232"/>
      <c r="G626" s="233">
        <v>667247</v>
      </c>
      <c r="H626" s="221">
        <v>2812192</v>
      </c>
      <c r="I626" s="233">
        <v>1654110</v>
      </c>
      <c r="J626" s="232">
        <v>406857</v>
      </c>
      <c r="K626" s="221">
        <f t="shared" si="18"/>
        <v>5540406</v>
      </c>
      <c r="L626" s="232"/>
      <c r="M626" s="233">
        <v>327858</v>
      </c>
      <c r="N626" s="233">
        <v>0</v>
      </c>
      <c r="O626" s="232">
        <v>73178</v>
      </c>
      <c r="P626" s="221">
        <f t="shared" si="19"/>
        <v>401036</v>
      </c>
      <c r="Q626" s="232"/>
      <c r="R626" s="233">
        <v>3903238</v>
      </c>
      <c r="S626" s="234">
        <v>217480</v>
      </c>
      <c r="T626" s="234">
        <v>4120718</v>
      </c>
    </row>
    <row r="627" spans="1:20">
      <c r="A627" s="227">
        <v>96804</v>
      </c>
      <c r="B627" s="228" t="s">
        <v>1337</v>
      </c>
      <c r="C627" s="87">
        <v>2.654E-4</v>
      </c>
      <c r="D627" s="87">
        <v>2.4230000000000001E-4</v>
      </c>
      <c r="E627" s="232">
        <v>405458</v>
      </c>
      <c r="F627" s="232"/>
      <c r="G627" s="233">
        <v>23358</v>
      </c>
      <c r="H627" s="221">
        <v>98446</v>
      </c>
      <c r="I627" s="233">
        <v>57905</v>
      </c>
      <c r="J627" s="232">
        <v>7601</v>
      </c>
      <c r="K627" s="221">
        <f t="shared" si="18"/>
        <v>187310</v>
      </c>
      <c r="L627" s="232"/>
      <c r="M627" s="233">
        <v>11477</v>
      </c>
      <c r="N627" s="233">
        <v>0</v>
      </c>
      <c r="O627" s="232">
        <v>2044</v>
      </c>
      <c r="P627" s="221">
        <f t="shared" si="19"/>
        <v>13521</v>
      </c>
      <c r="Q627" s="232"/>
      <c r="R627" s="233">
        <v>136640</v>
      </c>
      <c r="S627" s="234">
        <v>2424</v>
      </c>
      <c r="T627" s="234">
        <v>139064</v>
      </c>
    </row>
    <row r="628" spans="1:20">
      <c r="A628" s="227">
        <v>96808</v>
      </c>
      <c r="B628" s="228" t="s">
        <v>1338</v>
      </c>
      <c r="C628" s="87">
        <v>1.2711000000000001E-3</v>
      </c>
      <c r="D628" s="87">
        <v>1.2882E-3</v>
      </c>
      <c r="E628" s="232">
        <v>1941889</v>
      </c>
      <c r="F628" s="232"/>
      <c r="G628" s="233">
        <v>111871</v>
      </c>
      <c r="H628" s="221">
        <v>471493</v>
      </c>
      <c r="I628" s="233">
        <v>277329</v>
      </c>
      <c r="J628" s="232">
        <v>42529</v>
      </c>
      <c r="K628" s="221">
        <f t="shared" si="18"/>
        <v>903222</v>
      </c>
      <c r="L628" s="232"/>
      <c r="M628" s="233">
        <v>54969</v>
      </c>
      <c r="N628" s="233">
        <v>0</v>
      </c>
      <c r="O628" s="232">
        <v>3699</v>
      </c>
      <c r="P628" s="221">
        <f t="shared" si="19"/>
        <v>58668</v>
      </c>
      <c r="Q628" s="232"/>
      <c r="R628" s="233">
        <v>654418</v>
      </c>
      <c r="S628" s="234">
        <v>23633</v>
      </c>
      <c r="T628" s="234">
        <v>678051</v>
      </c>
    </row>
    <row r="629" spans="1:20">
      <c r="A629" s="227">
        <v>96811</v>
      </c>
      <c r="B629" s="228" t="s">
        <v>1339</v>
      </c>
      <c r="C629" s="87">
        <v>6.0096999999999998E-3</v>
      </c>
      <c r="D629" s="87">
        <v>5.9861999999999997E-3</v>
      </c>
      <c r="E629" s="232">
        <v>9181157</v>
      </c>
      <c r="F629" s="232"/>
      <c r="G629" s="233">
        <v>528920</v>
      </c>
      <c r="H629" s="221">
        <v>2229197</v>
      </c>
      <c r="I629" s="233">
        <v>1311196</v>
      </c>
      <c r="J629" s="232">
        <v>37410</v>
      </c>
      <c r="K629" s="221">
        <f t="shared" si="18"/>
        <v>4106723</v>
      </c>
      <c r="L629" s="232"/>
      <c r="M629" s="233">
        <v>259889</v>
      </c>
      <c r="N629" s="233">
        <v>0</v>
      </c>
      <c r="O629" s="232">
        <v>53500</v>
      </c>
      <c r="P629" s="221">
        <f t="shared" si="19"/>
        <v>313389</v>
      </c>
      <c r="Q629" s="232"/>
      <c r="R629" s="233">
        <v>3094058</v>
      </c>
      <c r="S629" s="234">
        <v>-23369</v>
      </c>
      <c r="T629" s="234">
        <v>3070689</v>
      </c>
    </row>
    <row r="630" spans="1:20">
      <c r="A630" s="227">
        <v>96821</v>
      </c>
      <c r="B630" s="228" t="s">
        <v>1340</v>
      </c>
      <c r="C630" s="87">
        <v>1.3247000000000001E-3</v>
      </c>
      <c r="D630" s="87">
        <v>1.3630999999999999E-3</v>
      </c>
      <c r="E630" s="232">
        <v>2023775</v>
      </c>
      <c r="F630" s="232"/>
      <c r="G630" s="233">
        <v>116588</v>
      </c>
      <c r="H630" s="221">
        <v>491375</v>
      </c>
      <c r="I630" s="233">
        <v>289023</v>
      </c>
      <c r="J630" s="232">
        <v>0</v>
      </c>
      <c r="K630" s="221">
        <f t="shared" si="18"/>
        <v>896986</v>
      </c>
      <c r="L630" s="232"/>
      <c r="M630" s="233">
        <v>57287</v>
      </c>
      <c r="N630" s="233">
        <v>0</v>
      </c>
      <c r="O630" s="232">
        <v>134629</v>
      </c>
      <c r="P630" s="221">
        <f t="shared" si="19"/>
        <v>191916</v>
      </c>
      <c r="Q630" s="232"/>
      <c r="R630" s="233">
        <v>682014</v>
      </c>
      <c r="S630" s="234">
        <v>-54878</v>
      </c>
      <c r="T630" s="234">
        <v>627136</v>
      </c>
    </row>
    <row r="631" spans="1:20">
      <c r="A631" s="227">
        <v>96831</v>
      </c>
      <c r="B631" s="228" t="s">
        <v>1341</v>
      </c>
      <c r="C631" s="87">
        <v>9.1929999999999996E-4</v>
      </c>
      <c r="D631" s="87">
        <v>9.2400000000000002E-4</v>
      </c>
      <c r="E631" s="232">
        <v>1404436</v>
      </c>
      <c r="F631" s="232"/>
      <c r="G631" s="233">
        <v>80909</v>
      </c>
      <c r="H631" s="221">
        <v>340998</v>
      </c>
      <c r="I631" s="233">
        <v>200573</v>
      </c>
      <c r="J631" s="232">
        <v>37726</v>
      </c>
      <c r="K631" s="221">
        <f t="shared" si="18"/>
        <v>660206</v>
      </c>
      <c r="L631" s="232"/>
      <c r="M631" s="233">
        <v>39755</v>
      </c>
      <c r="N631" s="233">
        <v>0</v>
      </c>
      <c r="O631" s="232">
        <v>0</v>
      </c>
      <c r="P631" s="221">
        <f t="shared" si="19"/>
        <v>39755</v>
      </c>
      <c r="Q631" s="232"/>
      <c r="R631" s="233">
        <v>473296</v>
      </c>
      <c r="S631" s="234">
        <v>19380</v>
      </c>
      <c r="T631" s="234">
        <v>492676</v>
      </c>
    </row>
    <row r="632" spans="1:20">
      <c r="A632" s="227">
        <v>96901</v>
      </c>
      <c r="B632" s="228" t="s">
        <v>1342</v>
      </c>
      <c r="C632" s="87">
        <v>8.9820000000000004E-4</v>
      </c>
      <c r="D632" s="87">
        <v>8.1610000000000005E-4</v>
      </c>
      <c r="E632" s="232">
        <v>1372201</v>
      </c>
      <c r="F632" s="232"/>
      <c r="G632" s="233">
        <v>79051</v>
      </c>
      <c r="H632" s="221">
        <v>333172</v>
      </c>
      <c r="I632" s="233">
        <v>195969</v>
      </c>
      <c r="J632" s="232">
        <v>85745</v>
      </c>
      <c r="K632" s="221">
        <f t="shared" si="18"/>
        <v>693937</v>
      </c>
      <c r="L632" s="232"/>
      <c r="M632" s="233">
        <v>38843</v>
      </c>
      <c r="N632" s="233">
        <v>0</v>
      </c>
      <c r="O632" s="232">
        <v>0</v>
      </c>
      <c r="P632" s="221">
        <f t="shared" si="19"/>
        <v>38843</v>
      </c>
      <c r="Q632" s="232"/>
      <c r="R632" s="233">
        <v>462433</v>
      </c>
      <c r="S632" s="234">
        <v>28927</v>
      </c>
      <c r="T632" s="234">
        <v>491360</v>
      </c>
    </row>
    <row r="633" spans="1:20">
      <c r="A633" s="227">
        <v>96911</v>
      </c>
      <c r="B633" s="228" t="s">
        <v>1343</v>
      </c>
      <c r="C633" s="87">
        <v>2.3999999999999999E-6</v>
      </c>
      <c r="D633" s="87">
        <v>3.7000000000000002E-6</v>
      </c>
      <c r="E633" s="232">
        <v>3667</v>
      </c>
      <c r="F633" s="232"/>
      <c r="G633" s="233">
        <v>211</v>
      </c>
      <c r="H633" s="221">
        <v>890</v>
      </c>
      <c r="I633" s="233">
        <v>524</v>
      </c>
      <c r="J633" s="232">
        <v>2464</v>
      </c>
      <c r="K633" s="221">
        <f t="shared" si="18"/>
        <v>4089</v>
      </c>
      <c r="L633" s="232"/>
      <c r="M633" s="233">
        <v>104</v>
      </c>
      <c r="N633" s="233">
        <v>0</v>
      </c>
      <c r="O633" s="232">
        <v>2953</v>
      </c>
      <c r="P633" s="221">
        <f t="shared" si="19"/>
        <v>3057</v>
      </c>
      <c r="Q633" s="232"/>
      <c r="R633" s="233">
        <v>1236</v>
      </c>
      <c r="S633" s="234">
        <v>521</v>
      </c>
      <c r="T633" s="234">
        <f>1756+1</f>
        <v>1757</v>
      </c>
    </row>
    <row r="634" spans="1:20">
      <c r="A634" s="227">
        <v>96912</v>
      </c>
      <c r="B634" s="228" t="s">
        <v>1344</v>
      </c>
      <c r="C634" s="87">
        <v>6.0099999999999997E-5</v>
      </c>
      <c r="D634" s="87">
        <v>6.0999999999999999E-5</v>
      </c>
      <c r="E634" s="232">
        <v>91816</v>
      </c>
      <c r="F634" s="232"/>
      <c r="G634" s="233">
        <v>5289</v>
      </c>
      <c r="H634" s="221">
        <v>22293</v>
      </c>
      <c r="I634" s="233">
        <v>13113</v>
      </c>
      <c r="J634" s="232">
        <v>4325</v>
      </c>
      <c r="K634" s="221">
        <f t="shared" si="18"/>
        <v>45020</v>
      </c>
      <c r="L634" s="232"/>
      <c r="M634" s="233">
        <v>2599</v>
      </c>
      <c r="N634" s="233">
        <v>0</v>
      </c>
      <c r="O634" s="232">
        <v>3739</v>
      </c>
      <c r="P634" s="221">
        <f t="shared" si="19"/>
        <v>6338</v>
      </c>
      <c r="Q634" s="232"/>
      <c r="R634" s="233">
        <v>30942</v>
      </c>
      <c r="S634" s="234">
        <v>2307</v>
      </c>
      <c r="T634" s="234">
        <v>33249</v>
      </c>
    </row>
    <row r="635" spans="1:20">
      <c r="A635" s="227">
        <v>96918</v>
      </c>
      <c r="B635" s="228" t="s">
        <v>1345</v>
      </c>
      <c r="C635" s="87">
        <v>3.8000000000000002E-5</v>
      </c>
      <c r="D635" s="87">
        <v>4.0500000000000002E-5</v>
      </c>
      <c r="E635" s="232">
        <v>58053</v>
      </c>
      <c r="F635" s="232"/>
      <c r="G635" s="233">
        <v>3344</v>
      </c>
      <c r="H635" s="221">
        <v>14095</v>
      </c>
      <c r="I635" s="233">
        <v>8291</v>
      </c>
      <c r="J635" s="232">
        <v>7713</v>
      </c>
      <c r="K635" s="221">
        <f t="shared" si="18"/>
        <v>33443</v>
      </c>
      <c r="L635" s="232"/>
      <c r="M635" s="233">
        <v>1643</v>
      </c>
      <c r="N635" s="233">
        <v>0</v>
      </c>
      <c r="O635" s="232">
        <v>884</v>
      </c>
      <c r="P635" s="221">
        <f t="shared" si="19"/>
        <v>2527</v>
      </c>
      <c r="Q635" s="232"/>
      <c r="R635" s="233">
        <v>19564</v>
      </c>
      <c r="S635" s="234">
        <v>5648</v>
      </c>
      <c r="T635" s="234">
        <v>25212</v>
      </c>
    </row>
    <row r="636" spans="1:20">
      <c r="A636" s="227">
        <v>97001</v>
      </c>
      <c r="B636" s="228" t="s">
        <v>1346</v>
      </c>
      <c r="C636" s="87">
        <v>1.3778E-3</v>
      </c>
      <c r="D636" s="87">
        <v>1.3641E-3</v>
      </c>
      <c r="E636" s="232">
        <v>2104897</v>
      </c>
      <c r="F636" s="232"/>
      <c r="G636" s="233">
        <v>121262</v>
      </c>
      <c r="H636" s="221">
        <v>511071</v>
      </c>
      <c r="I636" s="233">
        <v>300608</v>
      </c>
      <c r="J636" s="232">
        <v>148744</v>
      </c>
      <c r="K636" s="221">
        <f t="shared" si="18"/>
        <v>1081685</v>
      </c>
      <c r="L636" s="232"/>
      <c r="M636" s="233">
        <v>59583</v>
      </c>
      <c r="N636" s="233">
        <v>0</v>
      </c>
      <c r="O636" s="232">
        <v>11523</v>
      </c>
      <c r="P636" s="221">
        <f t="shared" si="19"/>
        <v>71106</v>
      </c>
      <c r="Q636" s="232"/>
      <c r="R636" s="233">
        <v>709352</v>
      </c>
      <c r="S636" s="234">
        <v>36360</v>
      </c>
      <c r="T636" s="234">
        <v>745712</v>
      </c>
    </row>
    <row r="637" spans="1:20">
      <c r="A637" s="227">
        <v>97002</v>
      </c>
      <c r="B637" s="228" t="s">
        <v>1347</v>
      </c>
      <c r="C637" s="87">
        <v>5.2610000000000005E-4</v>
      </c>
      <c r="D637" s="87">
        <v>4.6589999999999999E-4</v>
      </c>
      <c r="E637" s="232">
        <v>803735</v>
      </c>
      <c r="F637" s="232"/>
      <c r="G637" s="233">
        <v>46303</v>
      </c>
      <c r="H637" s="221">
        <v>195148</v>
      </c>
      <c r="I637" s="233">
        <v>114784</v>
      </c>
      <c r="J637" s="232">
        <v>16832</v>
      </c>
      <c r="K637" s="221">
        <f t="shared" si="18"/>
        <v>373067</v>
      </c>
      <c r="L637" s="232"/>
      <c r="M637" s="233">
        <v>22751</v>
      </c>
      <c r="N637" s="233">
        <v>0</v>
      </c>
      <c r="O637" s="232">
        <v>7002</v>
      </c>
      <c r="P637" s="221">
        <f t="shared" si="19"/>
        <v>29753</v>
      </c>
      <c r="Q637" s="232"/>
      <c r="R637" s="233">
        <v>270859</v>
      </c>
      <c r="S637" s="234">
        <v>10025</v>
      </c>
      <c r="T637" s="234">
        <f>280885-1</f>
        <v>280884</v>
      </c>
    </row>
    <row r="638" spans="1:20">
      <c r="A638" s="227">
        <v>97004</v>
      </c>
      <c r="B638" s="228" t="s">
        <v>1348</v>
      </c>
      <c r="C638" s="87">
        <v>9.7999999999999993E-6</v>
      </c>
      <c r="D638" s="87">
        <v>1.0900000000000001E-5</v>
      </c>
      <c r="E638" s="232">
        <v>14972</v>
      </c>
      <c r="F638" s="232"/>
      <c r="G638" s="233">
        <v>863</v>
      </c>
      <c r="H638" s="221">
        <v>3635</v>
      </c>
      <c r="I638" s="233">
        <v>2138</v>
      </c>
      <c r="J638" s="232">
        <v>4225</v>
      </c>
      <c r="K638" s="221">
        <f t="shared" si="18"/>
        <v>10861</v>
      </c>
      <c r="L638" s="232"/>
      <c r="M638" s="233">
        <v>424</v>
      </c>
      <c r="N638" s="233">
        <v>0</v>
      </c>
      <c r="O638" s="232">
        <v>0</v>
      </c>
      <c r="P638" s="221">
        <f t="shared" si="19"/>
        <v>424</v>
      </c>
      <c r="Q638" s="232"/>
      <c r="R638" s="233">
        <v>5045</v>
      </c>
      <c r="S638" s="234">
        <v>1862</v>
      </c>
      <c r="T638" s="234">
        <f>6908-1</f>
        <v>6907</v>
      </c>
    </row>
    <row r="639" spans="1:20">
      <c r="A639" s="227">
        <v>97005</v>
      </c>
      <c r="B639" s="228" t="s">
        <v>1349</v>
      </c>
      <c r="C639" s="87">
        <v>2.83E-5</v>
      </c>
      <c r="D639" s="87">
        <v>1.42E-5</v>
      </c>
      <c r="E639" s="232">
        <v>43235</v>
      </c>
      <c r="F639" s="232"/>
      <c r="G639" s="233">
        <v>2491</v>
      </c>
      <c r="H639" s="221">
        <v>10498</v>
      </c>
      <c r="I639" s="233">
        <v>6174</v>
      </c>
      <c r="J639" s="232">
        <v>13129</v>
      </c>
      <c r="K639" s="221">
        <f t="shared" si="18"/>
        <v>32292</v>
      </c>
      <c r="L639" s="232"/>
      <c r="M639" s="233">
        <v>1224</v>
      </c>
      <c r="N639" s="233">
        <v>0</v>
      </c>
      <c r="O639" s="232">
        <v>1368</v>
      </c>
      <c r="P639" s="221">
        <f t="shared" si="19"/>
        <v>2592</v>
      </c>
      <c r="Q639" s="232"/>
      <c r="R639" s="233">
        <v>14570</v>
      </c>
      <c r="S639" s="234">
        <v>3211</v>
      </c>
      <c r="T639" s="234">
        <v>17781</v>
      </c>
    </row>
    <row r="640" spans="1:20">
      <c r="A640" s="227">
        <v>97008</v>
      </c>
      <c r="B640" s="228" t="s">
        <v>1350</v>
      </c>
      <c r="C640" s="87">
        <v>2.8659999999999997E-4</v>
      </c>
      <c r="D640" s="87">
        <v>2.7530000000000002E-4</v>
      </c>
      <c r="E640" s="232">
        <v>437845</v>
      </c>
      <c r="F640" s="232"/>
      <c r="G640" s="233">
        <v>25224</v>
      </c>
      <c r="H640" s="221">
        <v>106309</v>
      </c>
      <c r="I640" s="233">
        <v>62530</v>
      </c>
      <c r="J640" s="232">
        <v>12387</v>
      </c>
      <c r="K640" s="221">
        <f t="shared" si="18"/>
        <v>206450</v>
      </c>
      <c r="L640" s="232"/>
      <c r="M640" s="233">
        <v>12394</v>
      </c>
      <c r="N640" s="233">
        <v>0</v>
      </c>
      <c r="O640" s="232">
        <v>3127</v>
      </c>
      <c r="P640" s="221">
        <f t="shared" si="19"/>
        <v>15521</v>
      </c>
      <c r="Q640" s="232"/>
      <c r="R640" s="233">
        <v>147554</v>
      </c>
      <c r="S640" s="234">
        <v>7175</v>
      </c>
      <c r="T640" s="234">
        <v>154729</v>
      </c>
    </row>
    <row r="641" spans="1:20">
      <c r="A641" s="227">
        <v>97010</v>
      </c>
      <c r="B641" s="228" t="s">
        <v>1351</v>
      </c>
      <c r="C641" s="87">
        <v>0</v>
      </c>
      <c r="D641" s="87">
        <v>0</v>
      </c>
      <c r="E641" s="232">
        <v>0</v>
      </c>
      <c r="F641" s="232"/>
      <c r="G641" s="233">
        <v>0</v>
      </c>
      <c r="H641" s="221">
        <v>0</v>
      </c>
      <c r="I641" s="233">
        <v>0</v>
      </c>
      <c r="J641" s="232">
        <v>0</v>
      </c>
      <c r="K641" s="221">
        <f t="shared" si="18"/>
        <v>0</v>
      </c>
      <c r="L641" s="232"/>
      <c r="M641" s="233">
        <v>0</v>
      </c>
      <c r="N641" s="233">
        <v>0</v>
      </c>
      <c r="O641" s="232">
        <v>2056902</v>
      </c>
      <c r="P641" s="221">
        <f t="shared" si="19"/>
        <v>2056902</v>
      </c>
      <c r="Q641" s="232"/>
      <c r="R641" s="233">
        <v>0</v>
      </c>
      <c r="S641" s="234">
        <v>-1282454</v>
      </c>
      <c r="T641" s="234">
        <v>-1282454</v>
      </c>
    </row>
    <row r="642" spans="1:20">
      <c r="A642" s="227">
        <v>97011</v>
      </c>
      <c r="B642" s="228" t="s">
        <v>1352</v>
      </c>
      <c r="C642" s="87">
        <v>1.9166999999999999E-3</v>
      </c>
      <c r="D642" s="87">
        <v>1.9522999999999999E-3</v>
      </c>
      <c r="E642" s="232">
        <v>2928187</v>
      </c>
      <c r="F642" s="232"/>
      <c r="G642" s="233">
        <v>168691</v>
      </c>
      <c r="H642" s="221">
        <v>710967</v>
      </c>
      <c r="I642" s="233">
        <v>418186</v>
      </c>
      <c r="J642" s="232">
        <v>0</v>
      </c>
      <c r="K642" s="221">
        <f t="shared" si="18"/>
        <v>1297844</v>
      </c>
      <c r="L642" s="232"/>
      <c r="M642" s="233">
        <v>82888</v>
      </c>
      <c r="N642" s="233">
        <v>0</v>
      </c>
      <c r="O642" s="232">
        <v>92552</v>
      </c>
      <c r="P642" s="221">
        <f t="shared" si="19"/>
        <v>175440</v>
      </c>
      <c r="Q642" s="232"/>
      <c r="R642" s="233">
        <v>986801</v>
      </c>
      <c r="S642" s="234">
        <v>-38711</v>
      </c>
      <c r="T642" s="234">
        <v>948090</v>
      </c>
    </row>
    <row r="643" spans="1:20">
      <c r="A643" s="227">
        <v>97012</v>
      </c>
      <c r="B643" s="228" t="s">
        <v>1353</v>
      </c>
      <c r="C643" s="87">
        <v>2.9499999999999999E-5</v>
      </c>
      <c r="D643" s="87">
        <v>2.4499999999999999E-5</v>
      </c>
      <c r="E643" s="232">
        <v>45068</v>
      </c>
      <c r="F643" s="232"/>
      <c r="G643" s="233">
        <v>2596</v>
      </c>
      <c r="H643" s="221">
        <v>10942</v>
      </c>
      <c r="I643" s="233">
        <v>6436</v>
      </c>
      <c r="J643" s="232">
        <v>4949</v>
      </c>
      <c r="K643" s="221">
        <f t="shared" si="18"/>
        <v>24923</v>
      </c>
      <c r="L643" s="232"/>
      <c r="M643" s="233">
        <v>1276</v>
      </c>
      <c r="N643" s="233">
        <v>0</v>
      </c>
      <c r="O643" s="232">
        <v>1149</v>
      </c>
      <c r="P643" s="221">
        <f t="shared" si="19"/>
        <v>2425</v>
      </c>
      <c r="Q643" s="232"/>
      <c r="R643" s="233">
        <v>15188</v>
      </c>
      <c r="S643" s="234">
        <v>752</v>
      </c>
      <c r="T643" s="234">
        <v>15940</v>
      </c>
    </row>
    <row r="644" spans="1:20">
      <c r="A644" s="227">
        <v>97013</v>
      </c>
      <c r="B644" s="228" t="s">
        <v>1354</v>
      </c>
      <c r="C644" s="87">
        <v>1.8199999999999999E-5</v>
      </c>
      <c r="D644" s="87">
        <v>2.0699999999999998E-5</v>
      </c>
      <c r="E644" s="232">
        <v>27805</v>
      </c>
      <c r="F644" s="232"/>
      <c r="G644" s="233">
        <v>1602</v>
      </c>
      <c r="H644" s="221">
        <v>6751</v>
      </c>
      <c r="I644" s="233">
        <v>3971</v>
      </c>
      <c r="J644" s="232">
        <v>6233</v>
      </c>
      <c r="K644" s="221">
        <f t="shared" si="18"/>
        <v>18557</v>
      </c>
      <c r="L644" s="232"/>
      <c r="M644" s="233">
        <v>787</v>
      </c>
      <c r="N644" s="233">
        <v>0</v>
      </c>
      <c r="O644" s="232">
        <v>431</v>
      </c>
      <c r="P644" s="221">
        <f t="shared" si="19"/>
        <v>1218</v>
      </c>
      <c r="Q644" s="232"/>
      <c r="R644" s="233">
        <v>9370</v>
      </c>
      <c r="S644" s="234">
        <v>2046</v>
      </c>
      <c r="T644" s="234">
        <v>11416</v>
      </c>
    </row>
    <row r="645" spans="1:20">
      <c r="A645" s="227">
        <v>97015</v>
      </c>
      <c r="B645" s="228" t="s">
        <v>1355</v>
      </c>
      <c r="C645" s="87">
        <v>4.1499999999999999E-5</v>
      </c>
      <c r="D645" s="87">
        <v>5.3699999999999997E-5</v>
      </c>
      <c r="E645" s="232">
        <v>63401</v>
      </c>
      <c r="F645" s="232"/>
      <c r="G645" s="233">
        <v>3652</v>
      </c>
      <c r="H645" s="221">
        <v>15394</v>
      </c>
      <c r="I645" s="233">
        <v>9054</v>
      </c>
      <c r="J645" s="232">
        <v>4608</v>
      </c>
      <c r="K645" s="221">
        <f t="shared" si="18"/>
        <v>32708</v>
      </c>
      <c r="L645" s="232"/>
      <c r="M645" s="233">
        <v>1795</v>
      </c>
      <c r="N645" s="233">
        <v>0</v>
      </c>
      <c r="O645" s="232">
        <v>5783</v>
      </c>
      <c r="P645" s="221">
        <f t="shared" si="19"/>
        <v>7578</v>
      </c>
      <c r="Q645" s="232"/>
      <c r="R645" s="233">
        <v>21366</v>
      </c>
      <c r="S645" s="234">
        <v>26</v>
      </c>
      <c r="T645" s="234">
        <v>21392</v>
      </c>
    </row>
    <row r="646" spans="1:20">
      <c r="A646" s="227">
        <v>97018</v>
      </c>
      <c r="B646" s="228" t="s">
        <v>1356</v>
      </c>
      <c r="C646" s="87">
        <v>8.6000000000000007E-6</v>
      </c>
      <c r="D646" s="87">
        <v>9.3999999999999998E-6</v>
      </c>
      <c r="E646" s="232">
        <v>13138</v>
      </c>
      <c r="F646" s="232"/>
      <c r="G646" s="233">
        <v>757</v>
      </c>
      <c r="H646" s="221">
        <v>3190</v>
      </c>
      <c r="I646" s="233">
        <v>1876</v>
      </c>
      <c r="J646" s="232">
        <v>6833</v>
      </c>
      <c r="K646" s="221">
        <f t="shared" si="18"/>
        <v>12656</v>
      </c>
      <c r="L646" s="232"/>
      <c r="M646" s="233">
        <v>372</v>
      </c>
      <c r="N646" s="233">
        <v>0</v>
      </c>
      <c r="O646" s="232">
        <v>0</v>
      </c>
      <c r="P646" s="221">
        <f t="shared" si="19"/>
        <v>372</v>
      </c>
      <c r="Q646" s="232"/>
      <c r="R646" s="233">
        <v>4428</v>
      </c>
      <c r="S646" s="234">
        <v>2806</v>
      </c>
      <c r="T646" s="234">
        <v>7234</v>
      </c>
    </row>
    <row r="647" spans="1:20">
      <c r="A647" s="227">
        <v>97101</v>
      </c>
      <c r="B647" s="228" t="s">
        <v>1357</v>
      </c>
      <c r="C647" s="87">
        <v>2.5790000000000001E-3</v>
      </c>
      <c r="D647" s="87">
        <v>2.6029E-3</v>
      </c>
      <c r="E647" s="232">
        <v>3939998</v>
      </c>
      <c r="F647" s="232"/>
      <c r="G647" s="233">
        <v>226980</v>
      </c>
      <c r="H647" s="221">
        <v>956636</v>
      </c>
      <c r="I647" s="233">
        <v>562686</v>
      </c>
      <c r="J647" s="232">
        <v>22549</v>
      </c>
      <c r="K647" s="221">
        <f t="shared" si="18"/>
        <v>1768851</v>
      </c>
      <c r="L647" s="232"/>
      <c r="M647" s="233">
        <v>111529</v>
      </c>
      <c r="N647" s="233">
        <v>0</v>
      </c>
      <c r="O647" s="232">
        <v>6937</v>
      </c>
      <c r="P647" s="221">
        <f t="shared" si="19"/>
        <v>118466</v>
      </c>
      <c r="Q647" s="232"/>
      <c r="R647" s="233">
        <v>1327783</v>
      </c>
      <c r="S647" s="234">
        <v>3541</v>
      </c>
      <c r="T647" s="234">
        <v>1331324</v>
      </c>
    </row>
    <row r="648" spans="1:20">
      <c r="A648" s="227">
        <v>97104</v>
      </c>
      <c r="B648" s="228" t="s">
        <v>1358</v>
      </c>
      <c r="C648" s="87">
        <v>5.4299999999999998E-5</v>
      </c>
      <c r="D648" s="87">
        <v>5.6799999999999998E-5</v>
      </c>
      <c r="E648" s="232">
        <v>82955</v>
      </c>
      <c r="F648" s="232"/>
      <c r="G648" s="233">
        <v>4779</v>
      </c>
      <c r="H648" s="221">
        <v>20142</v>
      </c>
      <c r="I648" s="233">
        <v>11847</v>
      </c>
      <c r="J648" s="232">
        <v>11700</v>
      </c>
      <c r="K648" s="221">
        <f t="shared" si="18"/>
        <v>48468</v>
      </c>
      <c r="L648" s="232"/>
      <c r="M648" s="233">
        <v>2348</v>
      </c>
      <c r="N648" s="233">
        <v>0</v>
      </c>
      <c r="O648" s="232">
        <v>0</v>
      </c>
      <c r="P648" s="221">
        <f t="shared" si="19"/>
        <v>2348</v>
      </c>
      <c r="Q648" s="232"/>
      <c r="R648" s="233">
        <v>27956</v>
      </c>
      <c r="S648" s="234">
        <v>6133</v>
      </c>
      <c r="T648" s="234">
        <v>34089</v>
      </c>
    </row>
    <row r="649" spans="1:20">
      <c r="A649" s="227">
        <v>97111</v>
      </c>
      <c r="B649" s="228" t="s">
        <v>1359</v>
      </c>
      <c r="C649" s="87">
        <v>2.8200000000000002E-4</v>
      </c>
      <c r="D649" s="87">
        <v>2.7099999999999997E-4</v>
      </c>
      <c r="E649" s="232">
        <v>430818</v>
      </c>
      <c r="F649" s="232"/>
      <c r="G649" s="233">
        <v>24819</v>
      </c>
      <c r="H649" s="221">
        <v>104603</v>
      </c>
      <c r="I649" s="233">
        <v>61527</v>
      </c>
      <c r="J649" s="232">
        <v>7621</v>
      </c>
      <c r="K649" s="221">
        <f t="shared" ref="K649:K713" si="20">G649+H649+I649+J649</f>
        <v>198570</v>
      </c>
      <c r="L649" s="232"/>
      <c r="M649" s="233">
        <v>12195</v>
      </c>
      <c r="N649" s="233">
        <v>0</v>
      </c>
      <c r="O649" s="232">
        <v>20335</v>
      </c>
      <c r="P649" s="221">
        <f t="shared" ref="P649:P713" si="21">M649+N649+O649</f>
        <v>32530</v>
      </c>
      <c r="Q649" s="232"/>
      <c r="R649" s="233">
        <v>145186</v>
      </c>
      <c r="S649" s="234">
        <v>-1416</v>
      </c>
      <c r="T649" s="234">
        <v>143770</v>
      </c>
    </row>
    <row r="650" spans="1:20">
      <c r="A650" s="227">
        <v>97121</v>
      </c>
      <c r="B650" s="228" t="s">
        <v>1360</v>
      </c>
      <c r="C650" s="87">
        <v>1.3640000000000001E-4</v>
      </c>
      <c r="D650" s="87">
        <v>1.2070000000000001E-4</v>
      </c>
      <c r="E650" s="232">
        <v>208381</v>
      </c>
      <c r="F650" s="232"/>
      <c r="G650" s="233">
        <v>12005</v>
      </c>
      <c r="H650" s="221">
        <v>50595</v>
      </c>
      <c r="I650" s="233">
        <v>29760</v>
      </c>
      <c r="J650" s="232">
        <v>13649</v>
      </c>
      <c r="K650" s="221">
        <f t="shared" si="20"/>
        <v>106009</v>
      </c>
      <c r="L650" s="232"/>
      <c r="M650" s="233">
        <v>5899</v>
      </c>
      <c r="N650" s="233">
        <v>0</v>
      </c>
      <c r="O650" s="232">
        <v>10026</v>
      </c>
      <c r="P650" s="221">
        <f t="shared" si="21"/>
        <v>15925</v>
      </c>
      <c r="Q650" s="232"/>
      <c r="R650" s="233">
        <v>70225</v>
      </c>
      <c r="S650" s="234">
        <v>-1103</v>
      </c>
      <c r="T650" s="234">
        <v>69122</v>
      </c>
    </row>
    <row r="651" spans="1:20">
      <c r="A651" s="227">
        <v>97131</v>
      </c>
      <c r="B651" s="228" t="s">
        <v>1361</v>
      </c>
      <c r="C651" s="87">
        <v>7.358E-4</v>
      </c>
      <c r="D651" s="87">
        <v>6.2969999999999996E-4</v>
      </c>
      <c r="E651" s="232">
        <v>1124099</v>
      </c>
      <c r="F651" s="232"/>
      <c r="G651" s="233">
        <v>64758</v>
      </c>
      <c r="H651" s="221">
        <v>272933</v>
      </c>
      <c r="I651" s="233">
        <v>160537</v>
      </c>
      <c r="J651" s="232">
        <v>29703</v>
      </c>
      <c r="K651" s="221">
        <f t="shared" si="20"/>
        <v>527931</v>
      </c>
      <c r="L651" s="232"/>
      <c r="M651" s="233">
        <v>31820</v>
      </c>
      <c r="N651" s="233">
        <v>0</v>
      </c>
      <c r="O651" s="232">
        <v>2383</v>
      </c>
      <c r="P651" s="221">
        <f t="shared" si="21"/>
        <v>34203</v>
      </c>
      <c r="Q651" s="232"/>
      <c r="R651" s="233">
        <v>378822</v>
      </c>
      <c r="S651" s="234">
        <v>7857</v>
      </c>
      <c r="T651" s="234">
        <v>386679</v>
      </c>
    </row>
    <row r="652" spans="1:20">
      <c r="A652" s="227">
        <v>97201</v>
      </c>
      <c r="B652" s="228" t="s">
        <v>1362</v>
      </c>
      <c r="C652" s="87">
        <v>5.2689999999999996E-4</v>
      </c>
      <c r="D652" s="87">
        <v>4.9439999999999998E-4</v>
      </c>
      <c r="E652" s="232">
        <v>804957</v>
      </c>
      <c r="F652" s="232"/>
      <c r="G652" s="233">
        <v>46373</v>
      </c>
      <c r="H652" s="221">
        <v>195445</v>
      </c>
      <c r="I652" s="233">
        <v>114959</v>
      </c>
      <c r="J652" s="232">
        <v>43529</v>
      </c>
      <c r="K652" s="221">
        <f t="shared" si="20"/>
        <v>400306</v>
      </c>
      <c r="L652" s="232"/>
      <c r="M652" s="233">
        <v>22786</v>
      </c>
      <c r="N652" s="233">
        <v>0</v>
      </c>
      <c r="O652" s="232">
        <v>1877</v>
      </c>
      <c r="P652" s="221">
        <f t="shared" si="21"/>
        <v>24663</v>
      </c>
      <c r="Q652" s="232"/>
      <c r="R652" s="233">
        <v>271271</v>
      </c>
      <c r="S652" s="234">
        <v>10950</v>
      </c>
      <c r="T652" s="234">
        <f>282222-1</f>
        <v>282221</v>
      </c>
    </row>
    <row r="653" spans="1:20">
      <c r="A653" s="227">
        <v>97211</v>
      </c>
      <c r="B653" s="228" t="s">
        <v>1363</v>
      </c>
      <c r="C653" s="87">
        <v>1.5980000000000001E-4</v>
      </c>
      <c r="D653" s="87">
        <v>1.4119999999999999E-4</v>
      </c>
      <c r="E653" s="232">
        <v>244130</v>
      </c>
      <c r="F653" s="232"/>
      <c r="G653" s="233">
        <v>14064</v>
      </c>
      <c r="H653" s="221">
        <v>59275</v>
      </c>
      <c r="I653" s="233">
        <v>34865</v>
      </c>
      <c r="J653" s="232">
        <v>16009</v>
      </c>
      <c r="K653" s="221">
        <f t="shared" si="20"/>
        <v>124213</v>
      </c>
      <c r="L653" s="232"/>
      <c r="M653" s="233">
        <v>6911</v>
      </c>
      <c r="N653" s="233">
        <v>0</v>
      </c>
      <c r="O653" s="232">
        <v>12120</v>
      </c>
      <c r="P653" s="221">
        <f t="shared" si="21"/>
        <v>19031</v>
      </c>
      <c r="Q653" s="232"/>
      <c r="R653" s="233">
        <v>82272</v>
      </c>
      <c r="S653" s="234">
        <v>347</v>
      </c>
      <c r="T653" s="234">
        <v>82619</v>
      </c>
    </row>
    <row r="654" spans="1:20">
      <c r="A654" s="227">
        <v>97213</v>
      </c>
      <c r="B654" s="228" t="s">
        <v>1364</v>
      </c>
      <c r="C654" s="87">
        <v>3.9100000000000002E-5</v>
      </c>
      <c r="D654" s="87">
        <v>3.8300000000000003E-5</v>
      </c>
      <c r="E654" s="232">
        <v>59734</v>
      </c>
      <c r="F654" s="232"/>
      <c r="G654" s="233">
        <v>3441</v>
      </c>
      <c r="H654" s="221">
        <v>14504</v>
      </c>
      <c r="I654" s="233">
        <v>8531</v>
      </c>
      <c r="J654" s="232">
        <v>6715</v>
      </c>
      <c r="K654" s="221">
        <f t="shared" si="20"/>
        <v>33191</v>
      </c>
      <c r="L654" s="232"/>
      <c r="M654" s="233">
        <v>1691</v>
      </c>
      <c r="N654" s="233">
        <v>0</v>
      </c>
      <c r="O654" s="232">
        <v>495</v>
      </c>
      <c r="P654" s="221">
        <f t="shared" si="21"/>
        <v>2186</v>
      </c>
      <c r="Q654" s="232"/>
      <c r="R654" s="233">
        <v>20130</v>
      </c>
      <c r="S654" s="234">
        <v>2057</v>
      </c>
      <c r="T654" s="234">
        <v>22187</v>
      </c>
    </row>
    <row r="655" spans="1:20">
      <c r="A655" s="227">
        <v>97217</v>
      </c>
      <c r="B655" s="228" t="s">
        <v>1365</v>
      </c>
      <c r="C655" s="87">
        <v>4.6E-6</v>
      </c>
      <c r="D655" s="87">
        <v>4.8999999999999997E-6</v>
      </c>
      <c r="E655" s="232">
        <v>7028</v>
      </c>
      <c r="F655" s="232"/>
      <c r="G655" s="233">
        <v>405</v>
      </c>
      <c r="H655" s="221">
        <v>1706</v>
      </c>
      <c r="I655" s="233">
        <v>1004</v>
      </c>
      <c r="J655" s="232">
        <v>8215</v>
      </c>
      <c r="K655" s="221">
        <f t="shared" si="20"/>
        <v>11330</v>
      </c>
      <c r="L655" s="232"/>
      <c r="M655" s="233">
        <v>199</v>
      </c>
      <c r="N655" s="233">
        <v>0</v>
      </c>
      <c r="O655" s="232">
        <v>0</v>
      </c>
      <c r="P655" s="221">
        <f t="shared" si="21"/>
        <v>199</v>
      </c>
      <c r="Q655" s="232"/>
      <c r="R655" s="233">
        <v>2368</v>
      </c>
      <c r="S655" s="234">
        <v>3286</v>
      </c>
      <c r="T655" s="234">
        <v>5654</v>
      </c>
    </row>
    <row r="656" spans="1:20">
      <c r="A656" s="227">
        <v>97221</v>
      </c>
      <c r="B656" s="228" t="s">
        <v>1366</v>
      </c>
      <c r="C656" s="87">
        <v>7.1999999999999997E-6</v>
      </c>
      <c r="D656" s="87">
        <v>6.1999999999999999E-6</v>
      </c>
      <c r="E656" s="232">
        <v>11000</v>
      </c>
      <c r="F656" s="232"/>
      <c r="G656" s="233">
        <v>634</v>
      </c>
      <c r="H656" s="221">
        <v>2670</v>
      </c>
      <c r="I656" s="233">
        <v>1571</v>
      </c>
      <c r="J656" s="232">
        <v>8086</v>
      </c>
      <c r="K656" s="221">
        <f t="shared" si="20"/>
        <v>12961</v>
      </c>
      <c r="L656" s="232"/>
      <c r="M656" s="233">
        <v>311</v>
      </c>
      <c r="N656" s="233">
        <v>0</v>
      </c>
      <c r="O656" s="232">
        <v>0</v>
      </c>
      <c r="P656" s="221">
        <f t="shared" si="21"/>
        <v>311</v>
      </c>
      <c r="Q656" s="232"/>
      <c r="R656" s="233">
        <v>3707</v>
      </c>
      <c r="S656" s="234">
        <v>3119</v>
      </c>
      <c r="T656" s="234">
        <v>6826</v>
      </c>
    </row>
    <row r="657" spans="1:20">
      <c r="A657" s="227">
        <v>97301</v>
      </c>
      <c r="B657" s="228" t="s">
        <v>1367</v>
      </c>
      <c r="C657" s="87">
        <v>2.5135999999999999E-3</v>
      </c>
      <c r="D657" s="87">
        <v>2.5742E-3</v>
      </c>
      <c r="E657" s="232">
        <v>3840085</v>
      </c>
      <c r="F657" s="232"/>
      <c r="G657" s="233">
        <v>221224</v>
      </c>
      <c r="H657" s="221">
        <v>932377</v>
      </c>
      <c r="I657" s="233">
        <v>548417</v>
      </c>
      <c r="J657" s="232">
        <v>23710</v>
      </c>
      <c r="K657" s="221">
        <f t="shared" si="20"/>
        <v>1725728</v>
      </c>
      <c r="L657" s="232"/>
      <c r="M657" s="233">
        <v>108701</v>
      </c>
      <c r="N657" s="233">
        <v>0</v>
      </c>
      <c r="O657" s="232">
        <v>56463</v>
      </c>
      <c r="P657" s="221">
        <f t="shared" si="21"/>
        <v>165164</v>
      </c>
      <c r="Q657" s="232"/>
      <c r="R657" s="233">
        <v>1294112</v>
      </c>
      <c r="S657" s="234">
        <v>-10667</v>
      </c>
      <c r="T657" s="234">
        <v>1283445</v>
      </c>
    </row>
    <row r="658" spans="1:20">
      <c r="A658" s="227">
        <v>97304</v>
      </c>
      <c r="B658" s="228" t="s">
        <v>1368</v>
      </c>
      <c r="C658" s="87">
        <v>1.6799999999999998E-5</v>
      </c>
      <c r="D658" s="87">
        <v>1.7600000000000001E-5</v>
      </c>
      <c r="E658" s="232">
        <v>25666</v>
      </c>
      <c r="F658" s="232"/>
      <c r="G658" s="233">
        <v>1479</v>
      </c>
      <c r="H658" s="221">
        <v>6232</v>
      </c>
      <c r="I658" s="233">
        <v>3665</v>
      </c>
      <c r="J658" s="232">
        <v>8739</v>
      </c>
      <c r="K658" s="221">
        <f t="shared" si="20"/>
        <v>20115</v>
      </c>
      <c r="L658" s="232"/>
      <c r="M658" s="233">
        <v>727</v>
      </c>
      <c r="N658" s="233">
        <v>0</v>
      </c>
      <c r="O658" s="232">
        <v>0</v>
      </c>
      <c r="P658" s="221">
        <f t="shared" si="21"/>
        <v>727</v>
      </c>
      <c r="Q658" s="232"/>
      <c r="R658" s="233">
        <v>8649</v>
      </c>
      <c r="S658" s="234">
        <v>3503</v>
      </c>
      <c r="T658" s="234">
        <f>12153-1</f>
        <v>12152</v>
      </c>
    </row>
    <row r="659" spans="1:20">
      <c r="A659" s="227">
        <v>97311</v>
      </c>
      <c r="B659" s="228" t="s">
        <v>1369</v>
      </c>
      <c r="C659" s="87">
        <v>9.1799999999999998E-4</v>
      </c>
      <c r="D659" s="87">
        <v>9.5E-4</v>
      </c>
      <c r="E659" s="232">
        <v>1402450</v>
      </c>
      <c r="F659" s="232"/>
      <c r="G659" s="233">
        <v>80794</v>
      </c>
      <c r="H659" s="221">
        <v>340516</v>
      </c>
      <c r="I659" s="233">
        <v>200289</v>
      </c>
      <c r="J659" s="232">
        <v>0</v>
      </c>
      <c r="K659" s="221">
        <f t="shared" si="20"/>
        <v>621599</v>
      </c>
      <c r="L659" s="232"/>
      <c r="M659" s="233">
        <v>39699</v>
      </c>
      <c r="N659" s="233">
        <v>0</v>
      </c>
      <c r="O659" s="232">
        <v>96844</v>
      </c>
      <c r="P659" s="221">
        <f t="shared" si="21"/>
        <v>136543</v>
      </c>
      <c r="Q659" s="232"/>
      <c r="R659" s="233">
        <v>472627</v>
      </c>
      <c r="S659" s="234">
        <v>-42048</v>
      </c>
      <c r="T659" s="234">
        <v>430579</v>
      </c>
    </row>
    <row r="660" spans="1:20">
      <c r="A660" s="227">
        <v>97401</v>
      </c>
      <c r="B660" s="228" t="s">
        <v>1370</v>
      </c>
      <c r="C660" s="87">
        <v>7.1303E-3</v>
      </c>
      <c r="D660" s="87">
        <v>6.9633000000000004E-3</v>
      </c>
      <c r="E660" s="232">
        <v>10893123</v>
      </c>
      <c r="F660" s="232"/>
      <c r="G660" s="233">
        <v>627545</v>
      </c>
      <c r="H660" s="221">
        <v>2644864</v>
      </c>
      <c r="I660" s="233">
        <v>1555689</v>
      </c>
      <c r="J660" s="232">
        <v>151378</v>
      </c>
      <c r="K660" s="221">
        <f t="shared" si="20"/>
        <v>4979476</v>
      </c>
      <c r="L660" s="232"/>
      <c r="M660" s="233">
        <v>308350</v>
      </c>
      <c r="N660" s="233">
        <v>0</v>
      </c>
      <c r="O660" s="232">
        <v>83194</v>
      </c>
      <c r="P660" s="221">
        <f t="shared" si="21"/>
        <v>391544</v>
      </c>
      <c r="Q660" s="232"/>
      <c r="R660" s="233">
        <v>3670992</v>
      </c>
      <c r="S660" s="234">
        <v>-21617</v>
      </c>
      <c r="T660" s="234">
        <v>3649375</v>
      </c>
    </row>
    <row r="661" spans="1:20">
      <c r="A661" s="227">
        <v>97402</v>
      </c>
      <c r="B661" s="228" t="s">
        <v>1371</v>
      </c>
      <c r="C661" s="87">
        <v>4.8000000000000001E-5</v>
      </c>
      <c r="D661" s="87">
        <v>4.4700000000000002E-5</v>
      </c>
      <c r="E661" s="232">
        <v>73331</v>
      </c>
      <c r="F661" s="232"/>
      <c r="G661" s="233">
        <v>4225</v>
      </c>
      <c r="H661" s="221">
        <v>17804</v>
      </c>
      <c r="I661" s="233">
        <v>10473</v>
      </c>
      <c r="J661" s="232">
        <v>15704</v>
      </c>
      <c r="K661" s="221">
        <f t="shared" si="20"/>
        <v>48206</v>
      </c>
      <c r="L661" s="232"/>
      <c r="M661" s="233">
        <v>2076</v>
      </c>
      <c r="N661" s="233">
        <v>0</v>
      </c>
      <c r="O661" s="232">
        <v>0</v>
      </c>
      <c r="P661" s="221">
        <f t="shared" si="21"/>
        <v>2076</v>
      </c>
      <c r="Q661" s="232"/>
      <c r="R661" s="233">
        <v>24713</v>
      </c>
      <c r="S661" s="234">
        <v>5283</v>
      </c>
      <c r="T661" s="234">
        <f>29995+1</f>
        <v>29996</v>
      </c>
    </row>
    <row r="662" spans="1:20">
      <c r="A662" s="227">
        <v>97404</v>
      </c>
      <c r="B662" s="228" t="s">
        <v>1372</v>
      </c>
      <c r="C662" s="87">
        <v>2.1010000000000001E-4</v>
      </c>
      <c r="D662" s="87">
        <v>2.1049999999999999E-4</v>
      </c>
      <c r="E662" s="232">
        <v>320975</v>
      </c>
      <c r="F662" s="232"/>
      <c r="G662" s="233">
        <v>18491</v>
      </c>
      <c r="H662" s="221">
        <v>77933</v>
      </c>
      <c r="I662" s="233">
        <v>45840</v>
      </c>
      <c r="J662" s="232">
        <v>983</v>
      </c>
      <c r="K662" s="221">
        <f t="shared" si="20"/>
        <v>143247</v>
      </c>
      <c r="L662" s="232"/>
      <c r="M662" s="233">
        <v>9086</v>
      </c>
      <c r="N662" s="233">
        <v>0</v>
      </c>
      <c r="O662" s="232">
        <v>21173</v>
      </c>
      <c r="P662" s="221">
        <f t="shared" si="21"/>
        <v>30259</v>
      </c>
      <c r="Q662" s="232"/>
      <c r="R662" s="233">
        <v>108169</v>
      </c>
      <c r="S662" s="234">
        <v>-6084</v>
      </c>
      <c r="T662" s="234">
        <f>102084+1</f>
        <v>102085</v>
      </c>
    </row>
    <row r="663" spans="1:20">
      <c r="A663" s="227">
        <v>97405</v>
      </c>
      <c r="B663" s="228" t="s">
        <v>1373</v>
      </c>
      <c r="C663" s="87">
        <v>1.091E-4</v>
      </c>
      <c r="D663" s="87">
        <v>1.087E-4</v>
      </c>
      <c r="E663" s="232">
        <v>166675</v>
      </c>
      <c r="F663" s="232"/>
      <c r="G663" s="233">
        <v>9602</v>
      </c>
      <c r="H663" s="221">
        <v>40468</v>
      </c>
      <c r="I663" s="233">
        <v>23803</v>
      </c>
      <c r="J663" s="232">
        <v>26973</v>
      </c>
      <c r="K663" s="221">
        <f t="shared" si="20"/>
        <v>100846</v>
      </c>
      <c r="L663" s="232"/>
      <c r="M663" s="233">
        <v>4718</v>
      </c>
      <c r="N663" s="233">
        <v>0</v>
      </c>
      <c r="O663" s="232">
        <v>4890</v>
      </c>
      <c r="P663" s="221">
        <f t="shared" si="21"/>
        <v>9608</v>
      </c>
      <c r="Q663" s="232"/>
      <c r="R663" s="233">
        <v>56169</v>
      </c>
      <c r="S663" s="234">
        <v>4747</v>
      </c>
      <c r="T663" s="234">
        <v>60916</v>
      </c>
    </row>
    <row r="664" spans="1:20">
      <c r="A664" s="227">
        <v>97408</v>
      </c>
      <c r="B664" s="228" t="s">
        <v>1374</v>
      </c>
      <c r="C664" s="87">
        <v>4.4499999999999997E-5</v>
      </c>
      <c r="D664" s="87">
        <v>4.9299999999999999E-5</v>
      </c>
      <c r="E664" s="232">
        <v>67984</v>
      </c>
      <c r="F664" s="232"/>
      <c r="G664" s="233">
        <v>3916</v>
      </c>
      <c r="H664" s="221">
        <v>16507</v>
      </c>
      <c r="I664" s="233">
        <v>9709</v>
      </c>
      <c r="J664" s="232">
        <v>7648</v>
      </c>
      <c r="K664" s="221">
        <f t="shared" si="20"/>
        <v>37780</v>
      </c>
      <c r="L664" s="232"/>
      <c r="M664" s="233">
        <v>1924</v>
      </c>
      <c r="N664" s="233">
        <v>0</v>
      </c>
      <c r="O664" s="232">
        <v>0</v>
      </c>
      <c r="P664" s="221">
        <f t="shared" si="21"/>
        <v>1924</v>
      </c>
      <c r="Q664" s="232"/>
      <c r="R664" s="233">
        <v>22911</v>
      </c>
      <c r="S664" s="234">
        <v>2984</v>
      </c>
      <c r="T664" s="234">
        <v>25895</v>
      </c>
    </row>
    <row r="665" spans="1:20">
      <c r="A665" s="227">
        <v>97411</v>
      </c>
      <c r="B665" s="228" t="s">
        <v>1375</v>
      </c>
      <c r="C665" s="87">
        <v>6.6379000000000004E-3</v>
      </c>
      <c r="D665" s="87">
        <v>6.7269000000000001E-3</v>
      </c>
      <c r="E665" s="232">
        <v>10140873</v>
      </c>
      <c r="F665" s="232"/>
      <c r="G665" s="233">
        <v>584208</v>
      </c>
      <c r="H665" s="221">
        <v>2462217</v>
      </c>
      <c r="I665" s="233">
        <v>1448257</v>
      </c>
      <c r="J665" s="232">
        <v>0</v>
      </c>
      <c r="K665" s="221">
        <f t="shared" si="20"/>
        <v>4494682</v>
      </c>
      <c r="L665" s="232"/>
      <c r="M665" s="233">
        <v>287056</v>
      </c>
      <c r="N665" s="233">
        <v>0</v>
      </c>
      <c r="O665" s="232">
        <v>679489</v>
      </c>
      <c r="P665" s="221">
        <f t="shared" si="21"/>
        <v>966545</v>
      </c>
      <c r="Q665" s="232"/>
      <c r="R665" s="233">
        <v>3417483</v>
      </c>
      <c r="S665" s="234">
        <v>-317873</v>
      </c>
      <c r="T665" s="234">
        <v>3099610</v>
      </c>
    </row>
    <row r="666" spans="1:20">
      <c r="A666" s="227">
        <v>97412</v>
      </c>
      <c r="B666" s="228" t="s">
        <v>1376</v>
      </c>
      <c r="C666" s="87">
        <v>4.5082000000000004E-3</v>
      </c>
      <c r="D666" s="87">
        <v>4.424E-3</v>
      </c>
      <c r="E666" s="232">
        <v>6887281</v>
      </c>
      <c r="F666" s="232"/>
      <c r="G666" s="233">
        <v>396771</v>
      </c>
      <c r="H666" s="221">
        <v>1672240</v>
      </c>
      <c r="I666" s="233">
        <v>983599</v>
      </c>
      <c r="J666" s="232">
        <v>229685</v>
      </c>
      <c r="K666" s="221">
        <f t="shared" si="20"/>
        <v>3282295</v>
      </c>
      <c r="L666" s="232"/>
      <c r="M666" s="233">
        <v>194957</v>
      </c>
      <c r="N666" s="233">
        <v>0</v>
      </c>
      <c r="O666" s="232">
        <v>0</v>
      </c>
      <c r="P666" s="221">
        <f t="shared" si="21"/>
        <v>194957</v>
      </c>
      <c r="Q666" s="232"/>
      <c r="R666" s="233">
        <v>2321020</v>
      </c>
      <c r="S666" s="234">
        <v>85525</v>
      </c>
      <c r="T666" s="234">
        <v>2406545</v>
      </c>
    </row>
    <row r="667" spans="1:20">
      <c r="A667" s="227">
        <v>97413</v>
      </c>
      <c r="B667" s="228" t="s">
        <v>1377</v>
      </c>
      <c r="C667" s="87">
        <v>2.6570000000000001E-4</v>
      </c>
      <c r="D667" s="87">
        <v>2.7910000000000001E-4</v>
      </c>
      <c r="E667" s="232">
        <v>405916</v>
      </c>
      <c r="F667" s="232"/>
      <c r="G667" s="233">
        <v>23385</v>
      </c>
      <c r="H667" s="221">
        <v>98557</v>
      </c>
      <c r="I667" s="233">
        <v>57970</v>
      </c>
      <c r="J667" s="232">
        <v>7437</v>
      </c>
      <c r="K667" s="221">
        <f t="shared" si="20"/>
        <v>187349</v>
      </c>
      <c r="L667" s="232"/>
      <c r="M667" s="233">
        <v>11490</v>
      </c>
      <c r="N667" s="233">
        <v>0</v>
      </c>
      <c r="O667" s="232">
        <v>5304</v>
      </c>
      <c r="P667" s="221">
        <f t="shared" si="21"/>
        <v>16794</v>
      </c>
      <c r="Q667" s="232"/>
      <c r="R667" s="233">
        <v>136794</v>
      </c>
      <c r="S667" s="234">
        <v>-2913</v>
      </c>
      <c r="T667" s="234">
        <v>133881</v>
      </c>
    </row>
    <row r="668" spans="1:20">
      <c r="A668" s="227">
        <v>97421</v>
      </c>
      <c r="B668" s="228" t="s">
        <v>1378</v>
      </c>
      <c r="C668" s="87">
        <v>4.2890000000000002E-4</v>
      </c>
      <c r="D668" s="87">
        <v>4.1120000000000002E-4</v>
      </c>
      <c r="E668" s="232">
        <v>655240</v>
      </c>
      <c r="F668" s="232"/>
      <c r="G668" s="233">
        <v>37748</v>
      </c>
      <c r="H668" s="221">
        <v>159093</v>
      </c>
      <c r="I668" s="233">
        <v>93577</v>
      </c>
      <c r="J668" s="232">
        <v>8155</v>
      </c>
      <c r="K668" s="221">
        <f t="shared" si="20"/>
        <v>298573</v>
      </c>
      <c r="L668" s="232"/>
      <c r="M668" s="233">
        <v>18548</v>
      </c>
      <c r="N668" s="233">
        <v>0</v>
      </c>
      <c r="O668" s="232">
        <v>24127</v>
      </c>
      <c r="P668" s="221">
        <f t="shared" si="21"/>
        <v>42675</v>
      </c>
      <c r="Q668" s="232"/>
      <c r="R668" s="233">
        <v>220817</v>
      </c>
      <c r="S668" s="234">
        <v>-14066</v>
      </c>
      <c r="T668" s="234">
        <v>206751</v>
      </c>
    </row>
    <row r="669" spans="1:20">
      <c r="A669" s="227">
        <v>97423</v>
      </c>
      <c r="B669" s="228" t="s">
        <v>1379</v>
      </c>
      <c r="C669" s="87">
        <v>4.3600000000000003E-5</v>
      </c>
      <c r="D669" s="87">
        <v>4.5800000000000002E-5</v>
      </c>
      <c r="E669" s="232">
        <v>66609</v>
      </c>
      <c r="F669" s="232"/>
      <c r="G669" s="233">
        <v>3837</v>
      </c>
      <c r="H669" s="221">
        <v>16173</v>
      </c>
      <c r="I669" s="233">
        <v>9513</v>
      </c>
      <c r="J669" s="232">
        <v>35421</v>
      </c>
      <c r="K669" s="221">
        <f t="shared" si="20"/>
        <v>64944</v>
      </c>
      <c r="L669" s="232"/>
      <c r="M669" s="233">
        <v>1885</v>
      </c>
      <c r="N669" s="233">
        <v>0</v>
      </c>
      <c r="O669" s="232">
        <v>0</v>
      </c>
      <c r="P669" s="221">
        <f t="shared" si="21"/>
        <v>1885</v>
      </c>
      <c r="Q669" s="232"/>
      <c r="R669" s="233">
        <v>22447</v>
      </c>
      <c r="S669" s="234">
        <v>12225</v>
      </c>
      <c r="T669" s="234">
        <v>34672</v>
      </c>
    </row>
    <row r="670" spans="1:20">
      <c r="A670" s="227">
        <v>97431</v>
      </c>
      <c r="B670" s="228" t="s">
        <v>1380</v>
      </c>
      <c r="C670" s="87">
        <v>8.5599999999999994E-5</v>
      </c>
      <c r="D670" s="87">
        <v>8.5199999999999997E-5</v>
      </c>
      <c r="E670" s="232">
        <v>130773</v>
      </c>
      <c r="F670" s="232"/>
      <c r="G670" s="233">
        <v>7534</v>
      </c>
      <c r="H670" s="221">
        <v>31751</v>
      </c>
      <c r="I670" s="233">
        <v>18676</v>
      </c>
      <c r="J670" s="232">
        <v>6440</v>
      </c>
      <c r="K670" s="221">
        <f t="shared" si="20"/>
        <v>64401</v>
      </c>
      <c r="L670" s="232"/>
      <c r="M670" s="233">
        <v>3702</v>
      </c>
      <c r="N670" s="233">
        <v>0</v>
      </c>
      <c r="O670" s="232">
        <v>0</v>
      </c>
      <c r="P670" s="221">
        <f t="shared" si="21"/>
        <v>3702</v>
      </c>
      <c r="Q670" s="232"/>
      <c r="R670" s="233">
        <v>44071</v>
      </c>
      <c r="S670" s="234">
        <v>2026</v>
      </c>
      <c r="T670" s="234">
        <v>46097</v>
      </c>
    </row>
    <row r="671" spans="1:20">
      <c r="A671" s="227">
        <v>97441</v>
      </c>
      <c r="B671" s="228" t="s">
        <v>1381</v>
      </c>
      <c r="C671" s="87">
        <v>7.5799999999999999E-5</v>
      </c>
      <c r="D671" s="87">
        <v>7.0500000000000006E-5</v>
      </c>
      <c r="E671" s="232">
        <v>115801</v>
      </c>
      <c r="F671" s="232"/>
      <c r="G671" s="233">
        <v>6671</v>
      </c>
      <c r="H671" s="221">
        <v>28117</v>
      </c>
      <c r="I671" s="233">
        <v>16538</v>
      </c>
      <c r="J671" s="232">
        <v>202</v>
      </c>
      <c r="K671" s="221">
        <f t="shared" si="20"/>
        <v>51528</v>
      </c>
      <c r="L671" s="232"/>
      <c r="M671" s="233">
        <v>3278</v>
      </c>
      <c r="N671" s="233">
        <v>0</v>
      </c>
      <c r="O671" s="232">
        <v>7671</v>
      </c>
      <c r="P671" s="221">
        <f t="shared" si="21"/>
        <v>10949</v>
      </c>
      <c r="Q671" s="232"/>
      <c r="R671" s="233">
        <v>39025</v>
      </c>
      <c r="S671" s="234">
        <v>-2235</v>
      </c>
      <c r="T671" s="234">
        <v>36790</v>
      </c>
    </row>
    <row r="672" spans="1:20">
      <c r="A672" s="227">
        <v>97451</v>
      </c>
      <c r="B672" s="228" t="s">
        <v>1382</v>
      </c>
      <c r="C672" s="87">
        <v>5.5820000000000002E-4</v>
      </c>
      <c r="D672" s="87">
        <v>6.1039999999999998E-4</v>
      </c>
      <c r="E672" s="232">
        <v>852775</v>
      </c>
      <c r="F672" s="232"/>
      <c r="G672" s="233">
        <v>49128</v>
      </c>
      <c r="H672" s="221">
        <v>207055</v>
      </c>
      <c r="I672" s="233">
        <v>121788</v>
      </c>
      <c r="J672" s="232">
        <v>19770</v>
      </c>
      <c r="K672" s="221">
        <f t="shared" si="20"/>
        <v>397741</v>
      </c>
      <c r="L672" s="232"/>
      <c r="M672" s="233">
        <v>24139</v>
      </c>
      <c r="N672" s="233">
        <v>0</v>
      </c>
      <c r="O672" s="232">
        <v>47630</v>
      </c>
      <c r="P672" s="221">
        <f t="shared" si="21"/>
        <v>71769</v>
      </c>
      <c r="Q672" s="232"/>
      <c r="R672" s="233">
        <v>287386</v>
      </c>
      <c r="S672" s="234">
        <v>-2772</v>
      </c>
      <c r="T672" s="234">
        <v>284614</v>
      </c>
    </row>
    <row r="673" spans="1:20">
      <c r="A673" s="227" t="s">
        <v>3513</v>
      </c>
      <c r="B673" s="228" t="s">
        <v>1383</v>
      </c>
      <c r="C673" s="87">
        <v>5.5650000000000003E-4</v>
      </c>
      <c r="D673" s="87">
        <v>5.1869999999999998E-4</v>
      </c>
      <c r="E673" s="232">
        <v>850178</v>
      </c>
      <c r="F673" s="232"/>
      <c r="G673" s="233">
        <v>48978</v>
      </c>
      <c r="H673" s="221">
        <v>206424</v>
      </c>
      <c r="I673" s="233">
        <v>121417</v>
      </c>
      <c r="J673" s="232">
        <v>5855</v>
      </c>
      <c r="K673" s="221">
        <f t="shared" si="20"/>
        <v>382674</v>
      </c>
      <c r="L673" s="232"/>
      <c r="M673" s="233">
        <v>24066</v>
      </c>
      <c r="N673" s="233">
        <v>0</v>
      </c>
      <c r="O673" s="232">
        <v>31609</v>
      </c>
      <c r="P673" s="221">
        <f t="shared" si="21"/>
        <v>55675</v>
      </c>
      <c r="Q673" s="232"/>
      <c r="R673" s="233">
        <v>286511</v>
      </c>
      <c r="S673" s="234">
        <v>-11321</v>
      </c>
      <c r="T673" s="234">
        <v>275190</v>
      </c>
    </row>
    <row r="674" spans="1:20">
      <c r="A674" s="227" t="s">
        <v>3514</v>
      </c>
      <c r="B674" s="228" t="s">
        <v>1384</v>
      </c>
      <c r="C674" s="87">
        <v>4.1100000000000003E-5</v>
      </c>
      <c r="D674" s="87">
        <v>5.0099999999999998E-5</v>
      </c>
      <c r="E674" s="232">
        <v>62789</v>
      </c>
      <c r="F674" s="232"/>
      <c r="G674" s="233">
        <v>3617</v>
      </c>
      <c r="H674" s="221">
        <v>15246</v>
      </c>
      <c r="I674" s="233">
        <v>8967</v>
      </c>
      <c r="J674" s="232">
        <v>1420</v>
      </c>
      <c r="K674" s="221">
        <f t="shared" si="20"/>
        <v>29250</v>
      </c>
      <c r="L674" s="232"/>
      <c r="M674" s="233">
        <v>1777</v>
      </c>
      <c r="N674" s="233">
        <v>0</v>
      </c>
      <c r="O674" s="232">
        <v>12499</v>
      </c>
      <c r="P674" s="221">
        <f t="shared" si="21"/>
        <v>14276</v>
      </c>
      <c r="Q674" s="232"/>
      <c r="R674" s="233">
        <v>21160</v>
      </c>
      <c r="S674" s="234">
        <v>-2447</v>
      </c>
      <c r="T674" s="234">
        <v>18713</v>
      </c>
    </row>
    <row r="675" spans="1:20">
      <c r="A675" s="227">
        <v>97461</v>
      </c>
      <c r="B675" s="228" t="s">
        <v>1383</v>
      </c>
      <c r="C675" s="87">
        <f>SUM(C673:C674)</f>
        <v>5.976E-4</v>
      </c>
      <c r="D675" s="87">
        <f t="shared" ref="D675:T675" si="22">SUM(D673:D674)</f>
        <v>5.6879999999999995E-4</v>
      </c>
      <c r="E675" s="232">
        <f t="shared" si="22"/>
        <v>912967</v>
      </c>
      <c r="F675" s="232"/>
      <c r="G675" s="233">
        <f t="shared" si="22"/>
        <v>52595</v>
      </c>
      <c r="H675" s="221">
        <f t="shared" si="22"/>
        <v>221670</v>
      </c>
      <c r="I675" s="233">
        <f t="shared" si="22"/>
        <v>130384</v>
      </c>
      <c r="J675" s="232">
        <f t="shared" si="22"/>
        <v>7275</v>
      </c>
      <c r="K675" s="221">
        <f t="shared" si="22"/>
        <v>411924</v>
      </c>
      <c r="L675" s="232"/>
      <c r="M675" s="233">
        <f t="shared" si="22"/>
        <v>25843</v>
      </c>
      <c r="N675" s="233">
        <f t="shared" si="22"/>
        <v>0</v>
      </c>
      <c r="O675" s="232">
        <f t="shared" si="22"/>
        <v>44108</v>
      </c>
      <c r="P675" s="221">
        <f t="shared" si="22"/>
        <v>69951</v>
      </c>
      <c r="Q675" s="232"/>
      <c r="R675" s="233">
        <f t="shared" si="22"/>
        <v>307671</v>
      </c>
      <c r="S675" s="234">
        <f t="shared" si="22"/>
        <v>-13768</v>
      </c>
      <c r="T675" s="234">
        <f t="shared" si="22"/>
        <v>293903</v>
      </c>
    </row>
    <row r="676" spans="1:20">
      <c r="A676" s="227">
        <v>97471</v>
      </c>
      <c r="B676" s="228" t="s">
        <v>1385</v>
      </c>
      <c r="C676" s="87">
        <v>1.22E-5</v>
      </c>
      <c r="D676" s="87">
        <v>1.27E-5</v>
      </c>
      <c r="E676" s="232">
        <v>18638</v>
      </c>
      <c r="F676" s="232"/>
      <c r="G676" s="233">
        <v>1074</v>
      </c>
      <c r="H676" s="221">
        <v>4526</v>
      </c>
      <c r="I676" s="233">
        <v>2662</v>
      </c>
      <c r="J676" s="232">
        <v>6770</v>
      </c>
      <c r="K676" s="221">
        <f t="shared" si="20"/>
        <v>15032</v>
      </c>
      <c r="L676" s="232"/>
      <c r="M676" s="233">
        <v>528</v>
      </c>
      <c r="N676" s="233">
        <v>0</v>
      </c>
      <c r="O676" s="232">
        <v>0</v>
      </c>
      <c r="P676" s="221">
        <f t="shared" si="21"/>
        <v>528</v>
      </c>
      <c r="Q676" s="232"/>
      <c r="R676" s="233">
        <v>6281</v>
      </c>
      <c r="S676" s="234">
        <v>2621</v>
      </c>
      <c r="T676" s="234">
        <v>8902</v>
      </c>
    </row>
    <row r="677" spans="1:20">
      <c r="A677" s="227">
        <v>97481</v>
      </c>
      <c r="B677" s="228" t="s">
        <v>1386</v>
      </c>
      <c r="C677" s="87">
        <v>9.9000000000000001E-6</v>
      </c>
      <c r="D677" s="87">
        <v>1.63E-5</v>
      </c>
      <c r="E677" s="232">
        <v>15124</v>
      </c>
      <c r="F677" s="232"/>
      <c r="G677" s="233">
        <v>871</v>
      </c>
      <c r="H677" s="221">
        <v>3672</v>
      </c>
      <c r="I677" s="233">
        <v>2160</v>
      </c>
      <c r="J677" s="232">
        <v>3592</v>
      </c>
      <c r="K677" s="221">
        <f t="shared" si="20"/>
        <v>10295</v>
      </c>
      <c r="L677" s="232"/>
      <c r="M677" s="233">
        <v>428</v>
      </c>
      <c r="N677" s="233">
        <v>0</v>
      </c>
      <c r="O677" s="232">
        <v>3115</v>
      </c>
      <c r="P677" s="221">
        <f t="shared" si="21"/>
        <v>3543</v>
      </c>
      <c r="Q677" s="232"/>
      <c r="R677" s="233">
        <v>5097</v>
      </c>
      <c r="S677" s="234">
        <v>1594</v>
      </c>
      <c r="T677" s="234">
        <v>6691</v>
      </c>
    </row>
    <row r="678" spans="1:20">
      <c r="A678" s="227">
        <v>97491</v>
      </c>
      <c r="B678" s="228" t="s">
        <v>1387</v>
      </c>
      <c r="C678" s="87">
        <v>0</v>
      </c>
      <c r="D678" s="87">
        <v>0</v>
      </c>
      <c r="E678" s="232">
        <v>0</v>
      </c>
      <c r="F678" s="232"/>
      <c r="G678" s="233">
        <v>0</v>
      </c>
      <c r="H678" s="221">
        <v>0</v>
      </c>
      <c r="I678" s="233">
        <v>0</v>
      </c>
      <c r="J678" s="232">
        <v>0</v>
      </c>
      <c r="K678" s="221">
        <f t="shared" si="20"/>
        <v>0</v>
      </c>
      <c r="L678" s="232"/>
      <c r="M678" s="233">
        <v>0</v>
      </c>
      <c r="N678" s="233">
        <v>0</v>
      </c>
      <c r="O678" s="232">
        <v>7849</v>
      </c>
      <c r="P678" s="221">
        <f t="shared" si="21"/>
        <v>7849</v>
      </c>
      <c r="Q678" s="232"/>
      <c r="R678" s="233">
        <v>0</v>
      </c>
      <c r="S678" s="234">
        <v>-4941</v>
      </c>
      <c r="T678" s="234">
        <v>-4941</v>
      </c>
    </row>
    <row r="679" spans="1:20">
      <c r="A679" s="227">
        <v>97501</v>
      </c>
      <c r="B679" s="228" t="s">
        <v>1388</v>
      </c>
      <c r="C679" s="87">
        <v>1.1000999999999999E-3</v>
      </c>
      <c r="D679" s="87">
        <v>9.6730000000000004E-4</v>
      </c>
      <c r="E679" s="232">
        <v>1680648</v>
      </c>
      <c r="F679" s="232"/>
      <c r="G679" s="233">
        <v>96821</v>
      </c>
      <c r="H679" s="221">
        <v>408064</v>
      </c>
      <c r="I679" s="233">
        <v>240020</v>
      </c>
      <c r="J679" s="232">
        <v>125050</v>
      </c>
      <c r="K679" s="221">
        <f t="shared" si="20"/>
        <v>869955</v>
      </c>
      <c r="L679" s="232"/>
      <c r="M679" s="233">
        <v>47574</v>
      </c>
      <c r="N679" s="233">
        <v>0</v>
      </c>
      <c r="O679" s="232">
        <v>0</v>
      </c>
      <c r="P679" s="221">
        <f t="shared" si="21"/>
        <v>47574</v>
      </c>
      <c r="Q679" s="232"/>
      <c r="R679" s="233">
        <v>566380</v>
      </c>
      <c r="S679" s="234">
        <v>44629</v>
      </c>
      <c r="T679" s="234">
        <v>611009</v>
      </c>
    </row>
    <row r="680" spans="1:20">
      <c r="A680" s="227">
        <v>97511</v>
      </c>
      <c r="B680" s="228" t="s">
        <v>1389</v>
      </c>
      <c r="C680" s="87">
        <v>2.3450000000000001E-4</v>
      </c>
      <c r="D680" s="87">
        <v>2.3220000000000001E-4</v>
      </c>
      <c r="E680" s="232">
        <v>358251</v>
      </c>
      <c r="F680" s="232"/>
      <c r="G680" s="233">
        <v>20639</v>
      </c>
      <c r="H680" s="221">
        <v>86984</v>
      </c>
      <c r="I680" s="233">
        <v>51163</v>
      </c>
      <c r="J680" s="232">
        <v>12835</v>
      </c>
      <c r="K680" s="221">
        <f t="shared" si="20"/>
        <v>171621</v>
      </c>
      <c r="L680" s="232"/>
      <c r="M680" s="233">
        <v>10141</v>
      </c>
      <c r="N680" s="233">
        <v>0</v>
      </c>
      <c r="O680" s="232">
        <v>844</v>
      </c>
      <c r="P680" s="221">
        <f t="shared" si="21"/>
        <v>10985</v>
      </c>
      <c r="Q680" s="232"/>
      <c r="R680" s="233">
        <v>120731</v>
      </c>
      <c r="S680" s="234">
        <v>3795</v>
      </c>
      <c r="T680" s="234">
        <v>124526</v>
      </c>
    </row>
    <row r="681" spans="1:20">
      <c r="A681" s="227">
        <v>97521</v>
      </c>
      <c r="B681" s="228" t="s">
        <v>1390</v>
      </c>
      <c r="C681" s="87">
        <v>1.2870000000000001E-4</v>
      </c>
      <c r="D681" s="87">
        <v>1.293E-4</v>
      </c>
      <c r="E681" s="232">
        <v>196618</v>
      </c>
      <c r="F681" s="232"/>
      <c r="G681" s="233">
        <v>11327</v>
      </c>
      <c r="H681" s="221">
        <v>47739</v>
      </c>
      <c r="I681" s="233">
        <v>28080</v>
      </c>
      <c r="J681" s="232">
        <v>2190</v>
      </c>
      <c r="K681" s="221">
        <f t="shared" si="20"/>
        <v>89336</v>
      </c>
      <c r="L681" s="232"/>
      <c r="M681" s="233">
        <v>5566</v>
      </c>
      <c r="N681" s="233">
        <v>0</v>
      </c>
      <c r="O681" s="232">
        <v>14589</v>
      </c>
      <c r="P681" s="221">
        <f t="shared" si="21"/>
        <v>20155</v>
      </c>
      <c r="Q681" s="232"/>
      <c r="R681" s="233">
        <v>66260</v>
      </c>
      <c r="S681" s="234">
        <v>-3628</v>
      </c>
      <c r="T681" s="234">
        <v>62632</v>
      </c>
    </row>
    <row r="682" spans="1:20">
      <c r="A682" s="227">
        <v>97531</v>
      </c>
      <c r="B682" s="228" t="s">
        <v>1391</v>
      </c>
      <c r="C682" s="87">
        <v>4.32E-5</v>
      </c>
      <c r="D682" s="87">
        <v>3.6300000000000001E-5</v>
      </c>
      <c r="E682" s="232">
        <v>65998</v>
      </c>
      <c r="F682" s="232"/>
      <c r="G682" s="233">
        <v>3802</v>
      </c>
      <c r="H682" s="221">
        <v>16025</v>
      </c>
      <c r="I682" s="233">
        <v>9425</v>
      </c>
      <c r="J682" s="232">
        <v>11185</v>
      </c>
      <c r="K682" s="221">
        <f t="shared" si="20"/>
        <v>40437</v>
      </c>
      <c r="L682" s="232"/>
      <c r="M682" s="233">
        <v>1868</v>
      </c>
      <c r="N682" s="233">
        <v>0</v>
      </c>
      <c r="O682" s="232">
        <v>9052</v>
      </c>
      <c r="P682" s="221">
        <f t="shared" si="21"/>
        <v>10920</v>
      </c>
      <c r="Q682" s="232"/>
      <c r="R682" s="233">
        <v>22241</v>
      </c>
      <c r="S682" s="234">
        <v>-2508</v>
      </c>
      <c r="T682" s="234">
        <f>19734-1</f>
        <v>19733</v>
      </c>
    </row>
    <row r="683" spans="1:20">
      <c r="A683" s="227">
        <v>97601</v>
      </c>
      <c r="B683" s="228" t="s">
        <v>1392</v>
      </c>
      <c r="C683" s="87">
        <v>5.1672000000000003E-3</v>
      </c>
      <c r="D683" s="87">
        <v>4.7808E-3</v>
      </c>
      <c r="E683" s="232">
        <v>7894050</v>
      </c>
      <c r="F683" s="232"/>
      <c r="G683" s="233">
        <v>454770</v>
      </c>
      <c r="H683" s="221">
        <v>1916685</v>
      </c>
      <c r="I683" s="233">
        <v>1127380</v>
      </c>
      <c r="J683" s="232">
        <v>190925</v>
      </c>
      <c r="K683" s="221">
        <f t="shared" si="20"/>
        <v>3689760</v>
      </c>
      <c r="L683" s="232"/>
      <c r="M683" s="233">
        <v>223456</v>
      </c>
      <c r="N683" s="233">
        <v>0</v>
      </c>
      <c r="O683" s="232">
        <v>91443</v>
      </c>
      <c r="P683" s="221">
        <f t="shared" si="21"/>
        <v>314899</v>
      </c>
      <c r="Q683" s="232"/>
      <c r="R683" s="233">
        <v>2660302</v>
      </c>
      <c r="S683" s="234">
        <v>1665</v>
      </c>
      <c r="T683" s="234">
        <v>2661967</v>
      </c>
    </row>
    <row r="684" spans="1:20">
      <c r="A684" s="227">
        <v>97607</v>
      </c>
      <c r="B684" s="228" t="s">
        <v>1393</v>
      </c>
      <c r="C684" s="87">
        <v>2.3200000000000001E-5</v>
      </c>
      <c r="D684" s="87">
        <v>1.9199999999999999E-5</v>
      </c>
      <c r="E684" s="232">
        <v>35443</v>
      </c>
      <c r="F684" s="232"/>
      <c r="G684" s="233">
        <v>2042</v>
      </c>
      <c r="H684" s="221">
        <v>8605</v>
      </c>
      <c r="I684" s="233">
        <v>5062</v>
      </c>
      <c r="J684" s="232">
        <v>13349</v>
      </c>
      <c r="K684" s="221">
        <f t="shared" si="20"/>
        <v>29058</v>
      </c>
      <c r="L684" s="232"/>
      <c r="M684" s="233">
        <v>1003</v>
      </c>
      <c r="N684" s="233">
        <v>0</v>
      </c>
      <c r="O684" s="232">
        <v>0</v>
      </c>
      <c r="P684" s="221">
        <f t="shared" si="21"/>
        <v>1003</v>
      </c>
      <c r="Q684" s="232"/>
      <c r="R684" s="233">
        <v>11944</v>
      </c>
      <c r="S684" s="234">
        <v>5427</v>
      </c>
      <c r="T684" s="234">
        <v>17371</v>
      </c>
    </row>
    <row r="685" spans="1:20">
      <c r="A685" s="227">
        <v>97611</v>
      </c>
      <c r="B685" s="228" t="s">
        <v>1394</v>
      </c>
      <c r="C685" s="87">
        <v>2.4767999999999999E-3</v>
      </c>
      <c r="D685" s="87">
        <v>2.5750999999999999E-3</v>
      </c>
      <c r="E685" s="232">
        <v>3783864</v>
      </c>
      <c r="F685" s="232"/>
      <c r="G685" s="233">
        <v>217986</v>
      </c>
      <c r="H685" s="221">
        <v>918727</v>
      </c>
      <c r="I685" s="233">
        <v>540388</v>
      </c>
      <c r="J685" s="232">
        <v>0</v>
      </c>
      <c r="K685" s="221">
        <f t="shared" si="20"/>
        <v>1677101</v>
      </c>
      <c r="L685" s="232"/>
      <c r="M685" s="233">
        <v>107109</v>
      </c>
      <c r="N685" s="233">
        <v>0</v>
      </c>
      <c r="O685" s="232">
        <v>276084</v>
      </c>
      <c r="P685" s="221">
        <f t="shared" si="21"/>
        <v>383193</v>
      </c>
      <c r="Q685" s="232"/>
      <c r="R685" s="233">
        <v>1275166</v>
      </c>
      <c r="S685" s="234">
        <v>-116051</v>
      </c>
      <c r="T685" s="234">
        <v>1159115</v>
      </c>
    </row>
    <row r="686" spans="1:20">
      <c r="A686" s="227">
        <v>97613</v>
      </c>
      <c r="B686" s="228" t="s">
        <v>1395</v>
      </c>
      <c r="C686" s="87">
        <v>1.1629999999999999E-4</v>
      </c>
      <c r="D686" s="87">
        <v>1.2459999999999999E-4</v>
      </c>
      <c r="E686" s="232">
        <v>177674</v>
      </c>
      <c r="F686" s="232"/>
      <c r="G686" s="233">
        <v>10236</v>
      </c>
      <c r="H686" s="221">
        <v>43140</v>
      </c>
      <c r="I686" s="233">
        <v>25374</v>
      </c>
      <c r="J686" s="232">
        <v>3969</v>
      </c>
      <c r="K686" s="221">
        <f t="shared" si="20"/>
        <v>82719</v>
      </c>
      <c r="L686" s="232"/>
      <c r="M686" s="233">
        <v>5029</v>
      </c>
      <c r="N686" s="233">
        <v>0</v>
      </c>
      <c r="O686" s="232">
        <v>3579</v>
      </c>
      <c r="P686" s="221">
        <f t="shared" si="21"/>
        <v>8608</v>
      </c>
      <c r="Q686" s="232"/>
      <c r="R686" s="233">
        <v>59876</v>
      </c>
      <c r="S686" s="234">
        <v>-543</v>
      </c>
      <c r="T686" s="234">
        <f>59334-1</f>
        <v>59333</v>
      </c>
    </row>
    <row r="687" spans="1:20">
      <c r="A687" s="227">
        <v>97621</v>
      </c>
      <c r="B687" s="228" t="s">
        <v>1396</v>
      </c>
      <c r="C687" s="87">
        <v>4.5179999999999998E-4</v>
      </c>
      <c r="D687" s="87">
        <v>4.7429999999999998E-4</v>
      </c>
      <c r="E687" s="232">
        <v>690225</v>
      </c>
      <c r="F687" s="232"/>
      <c r="G687" s="233">
        <v>39763</v>
      </c>
      <c r="H687" s="221">
        <v>167588</v>
      </c>
      <c r="I687" s="233">
        <v>98574</v>
      </c>
      <c r="J687" s="232">
        <v>15836</v>
      </c>
      <c r="K687" s="221">
        <f t="shared" si="20"/>
        <v>321761</v>
      </c>
      <c r="L687" s="232"/>
      <c r="M687" s="233">
        <v>19538</v>
      </c>
      <c r="N687" s="233">
        <v>0</v>
      </c>
      <c r="O687" s="232">
        <v>70017</v>
      </c>
      <c r="P687" s="221">
        <f t="shared" si="21"/>
        <v>89555</v>
      </c>
      <c r="Q687" s="232"/>
      <c r="R687" s="233">
        <v>232607</v>
      </c>
      <c r="S687" s="234">
        <v>-11992</v>
      </c>
      <c r="T687" s="234">
        <v>220615</v>
      </c>
    </row>
    <row r="688" spans="1:20">
      <c r="A688" s="227">
        <v>97623</v>
      </c>
      <c r="B688" s="228" t="s">
        <v>1397</v>
      </c>
      <c r="C688" s="87">
        <v>2.9499999999999999E-5</v>
      </c>
      <c r="D688" s="87">
        <v>2.9200000000000002E-5</v>
      </c>
      <c r="E688" s="232">
        <v>45068</v>
      </c>
      <c r="F688" s="232"/>
      <c r="G688" s="233">
        <v>2596</v>
      </c>
      <c r="H688" s="221">
        <v>10942</v>
      </c>
      <c r="I688" s="233">
        <v>6436</v>
      </c>
      <c r="J688" s="232">
        <v>6505</v>
      </c>
      <c r="K688" s="221">
        <f t="shared" si="20"/>
        <v>26479</v>
      </c>
      <c r="L688" s="232"/>
      <c r="M688" s="233">
        <v>1276</v>
      </c>
      <c r="N688" s="233">
        <v>0</v>
      </c>
      <c r="O688" s="232">
        <v>1742</v>
      </c>
      <c r="P688" s="221">
        <f t="shared" si="21"/>
        <v>3018</v>
      </c>
      <c r="Q688" s="232"/>
      <c r="R688" s="233">
        <v>15188</v>
      </c>
      <c r="S688" s="234">
        <v>3252</v>
      </c>
      <c r="T688" s="234">
        <v>18440</v>
      </c>
    </row>
    <row r="689" spans="1:20">
      <c r="A689" s="227">
        <v>97627</v>
      </c>
      <c r="B689" s="228" t="s">
        <v>1398</v>
      </c>
      <c r="C689" s="87">
        <v>9.7000000000000003E-6</v>
      </c>
      <c r="D689" s="87">
        <v>1.0200000000000001E-5</v>
      </c>
      <c r="E689" s="232">
        <v>14819</v>
      </c>
      <c r="F689" s="232"/>
      <c r="G689" s="233">
        <v>854</v>
      </c>
      <c r="H689" s="221">
        <v>3599</v>
      </c>
      <c r="I689" s="233">
        <v>2116</v>
      </c>
      <c r="J689" s="232">
        <v>714</v>
      </c>
      <c r="K689" s="221">
        <f t="shared" si="20"/>
        <v>7283</v>
      </c>
      <c r="L689" s="232"/>
      <c r="M689" s="233">
        <v>419</v>
      </c>
      <c r="N689" s="233">
        <v>0</v>
      </c>
      <c r="O689" s="232">
        <v>1008</v>
      </c>
      <c r="P689" s="221">
        <f t="shared" si="21"/>
        <v>1427</v>
      </c>
      <c r="Q689" s="232"/>
      <c r="R689" s="233">
        <v>4994</v>
      </c>
      <c r="S689" s="234">
        <v>-190</v>
      </c>
      <c r="T689" s="234">
        <v>4804</v>
      </c>
    </row>
    <row r="690" spans="1:20">
      <c r="A690" s="227">
        <v>97631</v>
      </c>
      <c r="B690" s="228" t="s">
        <v>1399</v>
      </c>
      <c r="C690" s="87">
        <v>2.051E-4</v>
      </c>
      <c r="D690" s="87">
        <v>2.009E-4</v>
      </c>
      <c r="E690" s="232">
        <v>313336</v>
      </c>
      <c r="F690" s="232"/>
      <c r="G690" s="233">
        <v>18051</v>
      </c>
      <c r="H690" s="221">
        <v>76078</v>
      </c>
      <c r="I690" s="233">
        <v>44749</v>
      </c>
      <c r="J690" s="232">
        <v>9311</v>
      </c>
      <c r="K690" s="221">
        <f t="shared" si="20"/>
        <v>148189</v>
      </c>
      <c r="L690" s="232"/>
      <c r="M690" s="233">
        <v>8870</v>
      </c>
      <c r="N690" s="233">
        <v>0</v>
      </c>
      <c r="O690" s="232">
        <v>3711</v>
      </c>
      <c r="P690" s="221">
        <f t="shared" si="21"/>
        <v>12581</v>
      </c>
      <c r="Q690" s="232"/>
      <c r="R690" s="233">
        <v>105595</v>
      </c>
      <c r="S690" s="234">
        <v>4564</v>
      </c>
      <c r="T690" s="234">
        <f>110158+1</f>
        <v>110159</v>
      </c>
    </row>
    <row r="691" spans="1:20">
      <c r="A691" s="227">
        <v>97637</v>
      </c>
      <c r="B691" s="228" t="s">
        <v>1400</v>
      </c>
      <c r="C691" s="87">
        <v>4.3000000000000003E-6</v>
      </c>
      <c r="D691" s="87">
        <v>4.7999999999999998E-6</v>
      </c>
      <c r="E691" s="232">
        <v>6569</v>
      </c>
      <c r="F691" s="232"/>
      <c r="G691" s="233">
        <v>378</v>
      </c>
      <c r="H691" s="221">
        <v>1595</v>
      </c>
      <c r="I691" s="233">
        <v>938</v>
      </c>
      <c r="J691" s="232">
        <v>944</v>
      </c>
      <c r="K691" s="221">
        <f t="shared" si="20"/>
        <v>3855</v>
      </c>
      <c r="L691" s="232"/>
      <c r="M691" s="233">
        <v>186</v>
      </c>
      <c r="N691" s="233">
        <v>0</v>
      </c>
      <c r="O691" s="232">
        <v>30</v>
      </c>
      <c r="P691" s="221">
        <f t="shared" si="21"/>
        <v>216</v>
      </c>
      <c r="Q691" s="232"/>
      <c r="R691" s="233">
        <v>2214</v>
      </c>
      <c r="S691" s="234">
        <v>380</v>
      </c>
      <c r="T691" s="234">
        <v>2594</v>
      </c>
    </row>
    <row r="692" spans="1:20">
      <c r="A692" s="227">
        <v>97641</v>
      </c>
      <c r="B692" s="228" t="s">
        <v>1401</v>
      </c>
      <c r="C692" s="87">
        <v>6.8899999999999994E-5</v>
      </c>
      <c r="D692" s="87">
        <v>6.9999999999999994E-5</v>
      </c>
      <c r="E692" s="232">
        <v>105260</v>
      </c>
      <c r="F692" s="232"/>
      <c r="G692" s="233">
        <v>6064</v>
      </c>
      <c r="H692" s="221">
        <v>25557</v>
      </c>
      <c r="I692" s="233">
        <v>15033</v>
      </c>
      <c r="J692" s="232">
        <v>13063</v>
      </c>
      <c r="K692" s="221">
        <f t="shared" si="20"/>
        <v>59717</v>
      </c>
      <c r="L692" s="232"/>
      <c r="M692" s="233">
        <v>2980</v>
      </c>
      <c r="N692" s="233">
        <v>0</v>
      </c>
      <c r="O692" s="232">
        <v>2889</v>
      </c>
      <c r="P692" s="221">
        <f t="shared" si="21"/>
        <v>5869</v>
      </c>
      <c r="Q692" s="232"/>
      <c r="R692" s="233">
        <v>35473</v>
      </c>
      <c r="S692" s="234">
        <v>2041</v>
      </c>
      <c r="T692" s="234">
        <v>37514</v>
      </c>
    </row>
    <row r="693" spans="1:20">
      <c r="A693" s="227">
        <v>97651</v>
      </c>
      <c r="B693" s="228" t="s">
        <v>1402</v>
      </c>
      <c r="C693" s="87">
        <v>5.1979999999999995E-4</v>
      </c>
      <c r="D693" s="87">
        <v>5.1579999999999996E-4</v>
      </c>
      <c r="E693" s="232">
        <v>794110</v>
      </c>
      <c r="F693" s="232"/>
      <c r="G693" s="233">
        <v>45748</v>
      </c>
      <c r="H693" s="221">
        <v>192810</v>
      </c>
      <c r="I693" s="233">
        <v>113410</v>
      </c>
      <c r="J693" s="232">
        <v>2621</v>
      </c>
      <c r="K693" s="221">
        <f t="shared" si="20"/>
        <v>354589</v>
      </c>
      <c r="L693" s="232"/>
      <c r="M693" s="233">
        <v>22479</v>
      </c>
      <c r="N693" s="233">
        <v>0</v>
      </c>
      <c r="O693" s="232">
        <v>43572</v>
      </c>
      <c r="P693" s="221">
        <f t="shared" si="21"/>
        <v>66051</v>
      </c>
      <c r="Q693" s="232"/>
      <c r="R693" s="233">
        <v>267616</v>
      </c>
      <c r="S693" s="234">
        <v>-19628</v>
      </c>
      <c r="T693" s="234">
        <v>247988</v>
      </c>
    </row>
    <row r="694" spans="1:20">
      <c r="A694" s="227">
        <v>97661</v>
      </c>
      <c r="B694" s="228" t="s">
        <v>1403</v>
      </c>
      <c r="C694" s="87">
        <v>5.1600000000000001E-5</v>
      </c>
      <c r="D694" s="87">
        <v>4.3900000000000003E-5</v>
      </c>
      <c r="E694" s="232">
        <v>78831</v>
      </c>
      <c r="F694" s="232"/>
      <c r="G694" s="233">
        <v>4541</v>
      </c>
      <c r="H694" s="221">
        <v>19140</v>
      </c>
      <c r="I694" s="233">
        <v>11258</v>
      </c>
      <c r="J694" s="232">
        <v>13582</v>
      </c>
      <c r="K694" s="221">
        <f t="shared" si="20"/>
        <v>48521</v>
      </c>
      <c r="L694" s="232"/>
      <c r="M694" s="233">
        <v>2231</v>
      </c>
      <c r="N694" s="233">
        <v>0</v>
      </c>
      <c r="O694" s="232">
        <v>1913</v>
      </c>
      <c r="P694" s="221">
        <f t="shared" si="21"/>
        <v>4144</v>
      </c>
      <c r="Q694" s="232"/>
      <c r="R694" s="233">
        <v>26566</v>
      </c>
      <c r="S694" s="234">
        <v>4861</v>
      </c>
      <c r="T694" s="234">
        <v>31427</v>
      </c>
    </row>
    <row r="695" spans="1:20">
      <c r="A695" s="227">
        <v>97701</v>
      </c>
      <c r="B695" s="228" t="s">
        <v>1404</v>
      </c>
      <c r="C695" s="87">
        <v>2.4975000000000002E-3</v>
      </c>
      <c r="D695" s="87">
        <v>2.5081000000000001E-3</v>
      </c>
      <c r="E695" s="232">
        <v>3815488</v>
      </c>
      <c r="F695" s="232"/>
      <c r="G695" s="233">
        <v>219807</v>
      </c>
      <c r="H695" s="221">
        <v>926405</v>
      </c>
      <c r="I695" s="233">
        <v>544905</v>
      </c>
      <c r="J695" s="232">
        <v>22724</v>
      </c>
      <c r="K695" s="221">
        <f t="shared" si="20"/>
        <v>1713841</v>
      </c>
      <c r="L695" s="232"/>
      <c r="M695" s="233">
        <v>108004</v>
      </c>
      <c r="N695" s="233">
        <v>0</v>
      </c>
      <c r="O695" s="232">
        <v>8673</v>
      </c>
      <c r="P695" s="221">
        <f t="shared" si="21"/>
        <v>116677</v>
      </c>
      <c r="Q695" s="232"/>
      <c r="R695" s="233">
        <v>1285823</v>
      </c>
      <c r="S695" s="234">
        <v>670</v>
      </c>
      <c r="T695" s="234">
        <v>1286493</v>
      </c>
    </row>
    <row r="696" spans="1:20">
      <c r="A696" s="227">
        <v>97705</v>
      </c>
      <c r="B696" s="228" t="s">
        <v>1405</v>
      </c>
      <c r="C696" s="87">
        <v>4.7700000000000001E-5</v>
      </c>
      <c r="D696" s="87">
        <v>6.41E-5</v>
      </c>
      <c r="E696" s="232">
        <v>72872</v>
      </c>
      <c r="F696" s="232"/>
      <c r="G696" s="233">
        <v>4198</v>
      </c>
      <c r="H696" s="221">
        <v>17694</v>
      </c>
      <c r="I696" s="233">
        <v>10407</v>
      </c>
      <c r="J696" s="232">
        <v>5558</v>
      </c>
      <c r="K696" s="221">
        <f t="shared" si="20"/>
        <v>37857</v>
      </c>
      <c r="L696" s="232"/>
      <c r="M696" s="233">
        <v>2063</v>
      </c>
      <c r="N696" s="233">
        <v>0</v>
      </c>
      <c r="O696" s="232">
        <v>13023</v>
      </c>
      <c r="P696" s="221">
        <f t="shared" si="21"/>
        <v>15086</v>
      </c>
      <c r="Q696" s="232"/>
      <c r="R696" s="233">
        <v>24558</v>
      </c>
      <c r="S696" s="234">
        <v>105</v>
      </c>
      <c r="T696" s="234">
        <v>24663</v>
      </c>
    </row>
    <row r="697" spans="1:20">
      <c r="A697" s="227">
        <v>97711</v>
      </c>
      <c r="B697" s="228" t="s">
        <v>1406</v>
      </c>
      <c r="C697" s="87">
        <v>9.0879999999999997E-4</v>
      </c>
      <c r="D697" s="87">
        <v>9.3789999999999998E-4</v>
      </c>
      <c r="E697" s="232">
        <v>1388395</v>
      </c>
      <c r="F697" s="232"/>
      <c r="G697" s="233">
        <v>79984</v>
      </c>
      <c r="H697" s="221">
        <v>337104</v>
      </c>
      <c r="I697" s="233">
        <v>198282</v>
      </c>
      <c r="J697" s="232">
        <v>9966</v>
      </c>
      <c r="K697" s="221">
        <f t="shared" si="20"/>
        <v>625336</v>
      </c>
      <c r="L697" s="232"/>
      <c r="M697" s="233">
        <v>39301</v>
      </c>
      <c r="N697" s="233">
        <v>0</v>
      </c>
      <c r="O697" s="232">
        <v>31902</v>
      </c>
      <c r="P697" s="221">
        <f t="shared" si="21"/>
        <v>71203</v>
      </c>
      <c r="Q697" s="232"/>
      <c r="R697" s="233">
        <v>467890</v>
      </c>
      <c r="S697" s="234">
        <v>-1258</v>
      </c>
      <c r="T697" s="234">
        <v>466632</v>
      </c>
    </row>
    <row r="698" spans="1:20">
      <c r="A698" s="227">
        <v>97713</v>
      </c>
      <c r="B698" s="228" t="s">
        <v>1407</v>
      </c>
      <c r="C698" s="87">
        <v>4.1199999999999999E-5</v>
      </c>
      <c r="D698" s="87">
        <v>5.3699999999999997E-5</v>
      </c>
      <c r="E698" s="232">
        <v>62942</v>
      </c>
      <c r="F698" s="232"/>
      <c r="G698" s="233">
        <v>3626</v>
      </c>
      <c r="H698" s="221">
        <v>15283</v>
      </c>
      <c r="I698" s="233">
        <v>8989</v>
      </c>
      <c r="J698" s="232">
        <v>927</v>
      </c>
      <c r="K698" s="221">
        <f t="shared" si="20"/>
        <v>28825</v>
      </c>
      <c r="L698" s="232"/>
      <c r="M698" s="233">
        <v>1782</v>
      </c>
      <c r="N698" s="233">
        <v>0</v>
      </c>
      <c r="O698" s="232">
        <v>16932</v>
      </c>
      <c r="P698" s="221">
        <f t="shared" si="21"/>
        <v>18714</v>
      </c>
      <c r="Q698" s="232"/>
      <c r="R698" s="233">
        <v>21212</v>
      </c>
      <c r="S698" s="234">
        <v>-4802</v>
      </c>
      <c r="T698" s="234">
        <v>16410</v>
      </c>
    </row>
    <row r="699" spans="1:20">
      <c r="A699" s="227">
        <v>97717</v>
      </c>
      <c r="B699" s="228" t="s">
        <v>1408</v>
      </c>
      <c r="C699" s="87">
        <v>4.6999999999999999E-6</v>
      </c>
      <c r="D699" s="87">
        <v>7.5000000000000002E-6</v>
      </c>
      <c r="E699" s="232">
        <v>7180</v>
      </c>
      <c r="F699" s="232"/>
      <c r="G699" s="233">
        <v>414</v>
      </c>
      <c r="H699" s="221">
        <v>1743</v>
      </c>
      <c r="I699" s="233">
        <v>1025</v>
      </c>
      <c r="J699" s="232">
        <v>1078</v>
      </c>
      <c r="K699" s="221">
        <f t="shared" si="20"/>
        <v>4260</v>
      </c>
      <c r="L699" s="232"/>
      <c r="M699" s="233">
        <v>203</v>
      </c>
      <c r="N699" s="233">
        <v>0</v>
      </c>
      <c r="O699" s="232">
        <v>3394</v>
      </c>
      <c r="P699" s="221">
        <f t="shared" si="21"/>
        <v>3597</v>
      </c>
      <c r="Q699" s="232"/>
      <c r="R699" s="233">
        <v>2420</v>
      </c>
      <c r="S699" s="234">
        <v>-1550</v>
      </c>
      <c r="T699" s="234">
        <f>869+1</f>
        <v>870</v>
      </c>
    </row>
    <row r="700" spans="1:20">
      <c r="A700" s="227">
        <v>97721</v>
      </c>
      <c r="B700" s="228" t="s">
        <v>1409</v>
      </c>
      <c r="C700" s="87">
        <v>5.6599999999999999E-4</v>
      </c>
      <c r="D700" s="87">
        <v>5.7249999999999998E-4</v>
      </c>
      <c r="E700" s="232">
        <v>864691</v>
      </c>
      <c r="F700" s="232"/>
      <c r="G700" s="233">
        <v>49814</v>
      </c>
      <c r="H700" s="221">
        <v>209948</v>
      </c>
      <c r="I700" s="233">
        <v>123490</v>
      </c>
      <c r="J700" s="232">
        <v>13608</v>
      </c>
      <c r="K700" s="221">
        <f t="shared" si="20"/>
        <v>396860</v>
      </c>
      <c r="L700" s="232"/>
      <c r="M700" s="233">
        <v>24477</v>
      </c>
      <c r="N700" s="233">
        <v>0</v>
      </c>
      <c r="O700" s="232">
        <v>31303</v>
      </c>
      <c r="P700" s="221">
        <f t="shared" si="21"/>
        <v>55780</v>
      </c>
      <c r="Q700" s="232"/>
      <c r="R700" s="233">
        <v>291402</v>
      </c>
      <c r="S700" s="234">
        <v>-9026</v>
      </c>
      <c r="T700" s="234">
        <v>282376</v>
      </c>
    </row>
    <row r="701" spans="1:20">
      <c r="A701" s="227">
        <v>97727</v>
      </c>
      <c r="B701" s="228" t="s">
        <v>1410</v>
      </c>
      <c r="C701" s="87">
        <v>2.27E-5</v>
      </c>
      <c r="D701" s="87">
        <v>2.37E-5</v>
      </c>
      <c r="E701" s="232">
        <v>34679</v>
      </c>
      <c r="F701" s="232"/>
      <c r="G701" s="233">
        <v>1998</v>
      </c>
      <c r="H701" s="221">
        <v>8420</v>
      </c>
      <c r="I701" s="233">
        <v>4953</v>
      </c>
      <c r="J701" s="232">
        <v>0</v>
      </c>
      <c r="K701" s="221">
        <f t="shared" si="20"/>
        <v>15371</v>
      </c>
      <c r="L701" s="232"/>
      <c r="M701" s="233">
        <v>982</v>
      </c>
      <c r="N701" s="233">
        <v>0</v>
      </c>
      <c r="O701" s="232">
        <v>2260</v>
      </c>
      <c r="P701" s="221">
        <f t="shared" si="21"/>
        <v>3242</v>
      </c>
      <c r="Q701" s="232"/>
      <c r="R701" s="233">
        <v>11687</v>
      </c>
      <c r="S701" s="234">
        <v>-1260</v>
      </c>
      <c r="T701" s="234">
        <v>10427</v>
      </c>
    </row>
    <row r="702" spans="1:20">
      <c r="A702" s="227">
        <v>97731</v>
      </c>
      <c r="B702" s="228" t="s">
        <v>1411</v>
      </c>
      <c r="C702" s="87">
        <v>3.5500000000000002E-5</v>
      </c>
      <c r="D702" s="87">
        <v>3.7100000000000001E-5</v>
      </c>
      <c r="E702" s="232">
        <v>54234</v>
      </c>
      <c r="F702" s="232"/>
      <c r="G702" s="233">
        <v>3124</v>
      </c>
      <c r="H702" s="221">
        <v>13168</v>
      </c>
      <c r="I702" s="233">
        <v>7745</v>
      </c>
      <c r="J702" s="232">
        <v>6361</v>
      </c>
      <c r="K702" s="221">
        <f t="shared" si="20"/>
        <v>30398</v>
      </c>
      <c r="L702" s="232"/>
      <c r="M702" s="233">
        <v>1535</v>
      </c>
      <c r="N702" s="233">
        <v>0</v>
      </c>
      <c r="O702" s="232">
        <v>0</v>
      </c>
      <c r="P702" s="221">
        <f t="shared" si="21"/>
        <v>1535</v>
      </c>
      <c r="Q702" s="232"/>
      <c r="R702" s="233">
        <v>18277</v>
      </c>
      <c r="S702" s="234">
        <v>2961</v>
      </c>
      <c r="T702" s="234">
        <v>21238</v>
      </c>
    </row>
    <row r="703" spans="1:20">
      <c r="A703" s="227">
        <v>97801</v>
      </c>
      <c r="B703" s="228" t="s">
        <v>1412</v>
      </c>
      <c r="C703" s="87">
        <v>6.9303000000000003E-3</v>
      </c>
      <c r="D703" s="87">
        <v>7.3343000000000002E-3</v>
      </c>
      <c r="E703" s="232">
        <v>10587579</v>
      </c>
      <c r="F703" s="232"/>
      <c r="G703" s="233">
        <v>609943</v>
      </c>
      <c r="H703" s="221">
        <v>2570677</v>
      </c>
      <c r="I703" s="233">
        <v>1512053</v>
      </c>
      <c r="J703" s="232">
        <v>27764</v>
      </c>
      <c r="K703" s="221">
        <f t="shared" si="20"/>
        <v>4720437</v>
      </c>
      <c r="L703" s="232"/>
      <c r="M703" s="233">
        <v>299701</v>
      </c>
      <c r="N703" s="233">
        <v>0</v>
      </c>
      <c r="O703" s="232">
        <v>406805</v>
      </c>
      <c r="P703" s="221">
        <f t="shared" si="21"/>
        <v>706506</v>
      </c>
      <c r="Q703" s="232"/>
      <c r="R703" s="233">
        <v>3568023</v>
      </c>
      <c r="S703" s="234">
        <v>-97576</v>
      </c>
      <c r="T703" s="234">
        <v>3470447</v>
      </c>
    </row>
    <row r="704" spans="1:20">
      <c r="A704" s="227">
        <v>97802</v>
      </c>
      <c r="B704" s="228" t="s">
        <v>1413</v>
      </c>
      <c r="C704" s="87">
        <v>1.5300000000000001E-4</v>
      </c>
      <c r="D704" s="87">
        <v>1.8120000000000001E-4</v>
      </c>
      <c r="E704" s="232">
        <v>233742</v>
      </c>
      <c r="F704" s="232"/>
      <c r="G704" s="233">
        <v>13466</v>
      </c>
      <c r="H704" s="221">
        <v>56753</v>
      </c>
      <c r="I704" s="233">
        <v>33382</v>
      </c>
      <c r="J704" s="232">
        <v>9696</v>
      </c>
      <c r="K704" s="221">
        <f t="shared" si="20"/>
        <v>113297</v>
      </c>
      <c r="L704" s="232"/>
      <c r="M704" s="233">
        <v>6616</v>
      </c>
      <c r="N704" s="233">
        <v>0</v>
      </c>
      <c r="O704" s="232">
        <v>28235</v>
      </c>
      <c r="P704" s="221">
        <f t="shared" si="21"/>
        <v>34851</v>
      </c>
      <c r="Q704" s="232"/>
      <c r="R704" s="233">
        <v>78771</v>
      </c>
      <c r="S704" s="234">
        <v>-1176</v>
      </c>
      <c r="T704" s="234">
        <v>77595</v>
      </c>
    </row>
    <row r="705" spans="1:20">
      <c r="A705" s="227">
        <v>97803</v>
      </c>
      <c r="B705" s="228" t="s">
        <v>1414</v>
      </c>
      <c r="C705" s="87">
        <v>7.5300000000000001E-5</v>
      </c>
      <c r="D705" s="87">
        <v>7.9099999999999998E-5</v>
      </c>
      <c r="E705" s="232">
        <v>115038</v>
      </c>
      <c r="F705" s="232"/>
      <c r="G705" s="233">
        <v>6627</v>
      </c>
      <c r="H705" s="221">
        <v>27931</v>
      </c>
      <c r="I705" s="233">
        <v>16429</v>
      </c>
      <c r="J705" s="232">
        <v>5581</v>
      </c>
      <c r="K705" s="221">
        <f t="shared" si="20"/>
        <v>56568</v>
      </c>
      <c r="L705" s="232"/>
      <c r="M705" s="233">
        <v>3256</v>
      </c>
      <c r="N705" s="233">
        <v>0</v>
      </c>
      <c r="O705" s="232">
        <v>1522</v>
      </c>
      <c r="P705" s="221">
        <f t="shared" si="21"/>
        <v>4778</v>
      </c>
      <c r="Q705" s="232"/>
      <c r="R705" s="233">
        <v>38768</v>
      </c>
      <c r="S705" s="234">
        <v>3424</v>
      </c>
      <c r="T705" s="234">
        <v>42192</v>
      </c>
    </row>
    <row r="706" spans="1:20">
      <c r="A706" s="227">
        <v>97805</v>
      </c>
      <c r="B706" s="228" t="s">
        <v>1415</v>
      </c>
      <c r="C706" s="87">
        <v>7.9400000000000006E-5</v>
      </c>
      <c r="D706" s="87">
        <v>8.2600000000000002E-5</v>
      </c>
      <c r="E706" s="232">
        <v>121301</v>
      </c>
      <c r="F706" s="232"/>
      <c r="G706" s="233">
        <v>6988</v>
      </c>
      <c r="H706" s="221">
        <v>29452</v>
      </c>
      <c r="I706" s="233">
        <v>17323</v>
      </c>
      <c r="J706" s="232">
        <v>9711</v>
      </c>
      <c r="K706" s="221">
        <f t="shared" si="20"/>
        <v>63474</v>
      </c>
      <c r="L706" s="232"/>
      <c r="M706" s="233">
        <v>3434</v>
      </c>
      <c r="N706" s="233">
        <v>0</v>
      </c>
      <c r="O706" s="232">
        <v>226</v>
      </c>
      <c r="P706" s="221">
        <f t="shared" si="21"/>
        <v>3660</v>
      </c>
      <c r="Q706" s="232"/>
      <c r="R706" s="233">
        <v>40879</v>
      </c>
      <c r="S706" s="234">
        <v>3824</v>
      </c>
      <c r="T706" s="234">
        <v>44703</v>
      </c>
    </row>
    <row r="707" spans="1:20">
      <c r="A707" s="227">
        <v>97811</v>
      </c>
      <c r="B707" s="228" t="s">
        <v>1416</v>
      </c>
      <c r="C707" s="87">
        <v>2.4172E-3</v>
      </c>
      <c r="D707" s="87">
        <v>2.4088E-3</v>
      </c>
      <c r="E707" s="232">
        <v>3692812</v>
      </c>
      <c r="F707" s="232"/>
      <c r="G707" s="233">
        <v>212740</v>
      </c>
      <c r="H707" s="221">
        <v>896619</v>
      </c>
      <c r="I707" s="233">
        <v>527385</v>
      </c>
      <c r="J707" s="232">
        <v>0</v>
      </c>
      <c r="K707" s="221">
        <f t="shared" si="20"/>
        <v>1636744</v>
      </c>
      <c r="L707" s="232"/>
      <c r="M707" s="233">
        <v>104532</v>
      </c>
      <c r="N707" s="233">
        <v>0</v>
      </c>
      <c r="O707" s="232">
        <v>164062</v>
      </c>
      <c r="P707" s="221">
        <f t="shared" si="21"/>
        <v>268594</v>
      </c>
      <c r="Q707" s="232"/>
      <c r="R707" s="233">
        <v>1244481</v>
      </c>
      <c r="S707" s="234">
        <v>-73272</v>
      </c>
      <c r="T707" s="234">
        <v>1171209</v>
      </c>
    </row>
    <row r="708" spans="1:20">
      <c r="A708" s="227">
        <v>97817</v>
      </c>
      <c r="B708" s="228" t="s">
        <v>1417</v>
      </c>
      <c r="C708" s="87">
        <v>2.2200000000000001E-5</v>
      </c>
      <c r="D708" s="87">
        <v>3.9999999999999998E-6</v>
      </c>
      <c r="E708" s="232">
        <v>33915</v>
      </c>
      <c r="F708" s="232"/>
      <c r="G708" s="233">
        <v>1954</v>
      </c>
      <c r="H708" s="221">
        <v>8235</v>
      </c>
      <c r="I708" s="233">
        <v>4844</v>
      </c>
      <c r="J708" s="232">
        <v>18101</v>
      </c>
      <c r="K708" s="221">
        <f t="shared" si="20"/>
        <v>33134</v>
      </c>
      <c r="L708" s="232"/>
      <c r="M708" s="233">
        <v>960</v>
      </c>
      <c r="N708" s="233">
        <v>0</v>
      </c>
      <c r="O708" s="232">
        <v>2418</v>
      </c>
      <c r="P708" s="221">
        <f t="shared" si="21"/>
        <v>3378</v>
      </c>
      <c r="Q708" s="232"/>
      <c r="R708" s="233">
        <v>11430</v>
      </c>
      <c r="S708" s="234">
        <v>3916</v>
      </c>
      <c r="T708" s="234">
        <f>15345+1</f>
        <v>15346</v>
      </c>
    </row>
    <row r="709" spans="1:20">
      <c r="A709" s="227">
        <v>97818</v>
      </c>
      <c r="B709" s="228" t="s">
        <v>1418</v>
      </c>
      <c r="C709" s="87">
        <v>2.1999999999999999E-5</v>
      </c>
      <c r="D709" s="87">
        <v>2.12E-5</v>
      </c>
      <c r="E709" s="232">
        <v>33610</v>
      </c>
      <c r="F709" s="232"/>
      <c r="G709" s="233">
        <v>1936</v>
      </c>
      <c r="H709" s="221">
        <v>8160</v>
      </c>
      <c r="I709" s="233">
        <v>4800</v>
      </c>
      <c r="J709" s="232">
        <v>6200</v>
      </c>
      <c r="K709" s="221">
        <f t="shared" si="20"/>
        <v>21096</v>
      </c>
      <c r="L709" s="232"/>
      <c r="M709" s="233">
        <v>951</v>
      </c>
      <c r="N709" s="233">
        <v>0</v>
      </c>
      <c r="O709" s="232">
        <v>2136</v>
      </c>
      <c r="P709" s="221">
        <f t="shared" si="21"/>
        <v>3087</v>
      </c>
      <c r="Q709" s="232"/>
      <c r="R709" s="233">
        <v>11327</v>
      </c>
      <c r="S709" s="234">
        <v>134</v>
      </c>
      <c r="T709" s="234">
        <v>11461</v>
      </c>
    </row>
    <row r="710" spans="1:20">
      <c r="A710" s="227">
        <v>97821</v>
      </c>
      <c r="B710" s="228" t="s">
        <v>1419</v>
      </c>
      <c r="C710" s="87">
        <v>1.126E-4</v>
      </c>
      <c r="D710" s="87">
        <v>1.1620000000000001E-4</v>
      </c>
      <c r="E710" s="232">
        <v>172022</v>
      </c>
      <c r="F710" s="232"/>
      <c r="G710" s="233">
        <v>9910</v>
      </c>
      <c r="H710" s="221">
        <v>41767</v>
      </c>
      <c r="I710" s="233">
        <v>24567</v>
      </c>
      <c r="J710" s="232">
        <v>5355</v>
      </c>
      <c r="K710" s="221">
        <f t="shared" si="20"/>
        <v>81599</v>
      </c>
      <c r="L710" s="232"/>
      <c r="M710" s="233">
        <v>4869</v>
      </c>
      <c r="N710" s="233">
        <v>0</v>
      </c>
      <c r="O710" s="232">
        <v>16228</v>
      </c>
      <c r="P710" s="221">
        <f t="shared" si="21"/>
        <v>21097</v>
      </c>
      <c r="Q710" s="232"/>
      <c r="R710" s="233">
        <v>57971</v>
      </c>
      <c r="S710" s="234">
        <v>-9342</v>
      </c>
      <c r="T710" s="234">
        <f>48630-1</f>
        <v>48629</v>
      </c>
    </row>
    <row r="711" spans="1:20">
      <c r="A711" s="227">
        <v>97823</v>
      </c>
      <c r="B711" s="228" t="s">
        <v>1420</v>
      </c>
      <c r="C711" s="87">
        <v>2.3300000000000001E-5</v>
      </c>
      <c r="D711" s="87">
        <v>2.4600000000000002E-5</v>
      </c>
      <c r="E711" s="232">
        <v>35596</v>
      </c>
      <c r="F711" s="232"/>
      <c r="G711" s="233">
        <v>2051</v>
      </c>
      <c r="H711" s="221">
        <v>8642</v>
      </c>
      <c r="I711" s="233">
        <v>5084</v>
      </c>
      <c r="J711" s="232">
        <v>1711</v>
      </c>
      <c r="K711" s="221">
        <f t="shared" si="20"/>
        <v>17488</v>
      </c>
      <c r="L711" s="232"/>
      <c r="M711" s="233">
        <v>1008</v>
      </c>
      <c r="N711" s="233">
        <v>0</v>
      </c>
      <c r="O711" s="232">
        <v>591</v>
      </c>
      <c r="P711" s="221">
        <f t="shared" si="21"/>
        <v>1599</v>
      </c>
      <c r="Q711" s="232"/>
      <c r="R711" s="233">
        <v>11996</v>
      </c>
      <c r="S711" s="234">
        <v>-77</v>
      </c>
      <c r="T711" s="234">
        <v>11919</v>
      </c>
    </row>
    <row r="712" spans="1:20">
      <c r="A712" s="227">
        <v>97831</v>
      </c>
      <c r="B712" s="228" t="s">
        <v>1421</v>
      </c>
      <c r="C712" s="87">
        <v>1.7009999999999999E-4</v>
      </c>
      <c r="D712" s="87">
        <v>1.482E-4</v>
      </c>
      <c r="E712" s="232">
        <v>259866</v>
      </c>
      <c r="F712" s="232"/>
      <c r="G712" s="233">
        <v>14971</v>
      </c>
      <c r="H712" s="221">
        <v>63096</v>
      </c>
      <c r="I712" s="233">
        <v>37112</v>
      </c>
      <c r="J712" s="232">
        <v>15261</v>
      </c>
      <c r="K712" s="221">
        <f t="shared" si="20"/>
        <v>130440</v>
      </c>
      <c r="L712" s="232"/>
      <c r="M712" s="233">
        <v>7356</v>
      </c>
      <c r="N712" s="233">
        <v>0</v>
      </c>
      <c r="O712" s="232">
        <v>8418</v>
      </c>
      <c r="P712" s="221">
        <f t="shared" si="21"/>
        <v>15774</v>
      </c>
      <c r="Q712" s="232"/>
      <c r="R712" s="233">
        <v>87575</v>
      </c>
      <c r="S712" s="234">
        <v>-2075</v>
      </c>
      <c r="T712" s="234">
        <v>85500</v>
      </c>
    </row>
    <row r="713" spans="1:20">
      <c r="A713" s="227">
        <v>97837</v>
      </c>
      <c r="B713" s="228" t="s">
        <v>1422</v>
      </c>
      <c r="C713" s="87">
        <v>1.0200000000000001E-5</v>
      </c>
      <c r="D713" s="87">
        <v>8.8000000000000004E-6</v>
      </c>
      <c r="E713" s="232">
        <v>15583</v>
      </c>
      <c r="F713" s="232"/>
      <c r="G713" s="233">
        <v>898</v>
      </c>
      <c r="H713" s="221">
        <v>3784</v>
      </c>
      <c r="I713" s="233">
        <v>2225</v>
      </c>
      <c r="J713" s="232">
        <v>3302</v>
      </c>
      <c r="K713" s="221">
        <f t="shared" si="20"/>
        <v>10209</v>
      </c>
      <c r="L713" s="232"/>
      <c r="M713" s="233">
        <v>441</v>
      </c>
      <c r="N713" s="233">
        <v>0</v>
      </c>
      <c r="O713" s="232">
        <v>214</v>
      </c>
      <c r="P713" s="221">
        <f t="shared" si="21"/>
        <v>655</v>
      </c>
      <c r="Q713" s="232"/>
      <c r="R713" s="233">
        <v>5251</v>
      </c>
      <c r="S713" s="234">
        <v>1260</v>
      </c>
      <c r="T713" s="234">
        <v>6511</v>
      </c>
    </row>
    <row r="714" spans="1:20">
      <c r="A714" s="227">
        <v>97840</v>
      </c>
      <c r="B714" s="228" t="s">
        <v>1423</v>
      </c>
      <c r="C714" s="87">
        <v>1.3190000000000001E-4</v>
      </c>
      <c r="D714" s="87">
        <v>1.403E-4</v>
      </c>
      <c r="E714" s="232">
        <v>201507</v>
      </c>
      <c r="F714" s="232"/>
      <c r="G714" s="233">
        <v>11609</v>
      </c>
      <c r="H714" s="221">
        <v>48926</v>
      </c>
      <c r="I714" s="233">
        <v>28778</v>
      </c>
      <c r="J714" s="232">
        <v>76227</v>
      </c>
      <c r="K714" s="221">
        <f t="shared" ref="K714:K777" si="23">G714+H714+I714+J714</f>
        <v>165540</v>
      </c>
      <c r="L714" s="232"/>
      <c r="M714" s="233">
        <v>5704</v>
      </c>
      <c r="N714" s="233">
        <v>0</v>
      </c>
      <c r="O714" s="232">
        <v>964</v>
      </c>
      <c r="P714" s="221">
        <f t="shared" ref="P714:P777" si="24">M714+N714+O714</f>
        <v>6668</v>
      </c>
      <c r="Q714" s="232"/>
      <c r="R714" s="233">
        <v>67908</v>
      </c>
      <c r="S714" s="234">
        <v>27073</v>
      </c>
      <c r="T714" s="234">
        <v>94981</v>
      </c>
    </row>
    <row r="715" spans="1:20">
      <c r="A715" s="227">
        <v>97841</v>
      </c>
      <c r="B715" s="228" t="s">
        <v>1424</v>
      </c>
      <c r="C715" s="87">
        <v>1.31E-5</v>
      </c>
      <c r="D715" s="87">
        <v>1.45E-5</v>
      </c>
      <c r="E715" s="232">
        <v>20013</v>
      </c>
      <c r="F715" s="232"/>
      <c r="G715" s="233">
        <v>1153</v>
      </c>
      <c r="H715" s="221">
        <v>4859</v>
      </c>
      <c r="I715" s="233">
        <v>2858</v>
      </c>
      <c r="J715" s="232">
        <v>410</v>
      </c>
      <c r="K715" s="221">
        <f t="shared" si="23"/>
        <v>9280</v>
      </c>
      <c r="L715" s="232"/>
      <c r="M715" s="233">
        <v>567</v>
      </c>
      <c r="N715" s="233">
        <v>0</v>
      </c>
      <c r="O715" s="232">
        <v>4768</v>
      </c>
      <c r="P715" s="221">
        <f t="shared" si="24"/>
        <v>5335</v>
      </c>
      <c r="Q715" s="232"/>
      <c r="R715" s="233">
        <v>6744</v>
      </c>
      <c r="S715" s="234">
        <v>-3859</v>
      </c>
      <c r="T715" s="234">
        <v>2885</v>
      </c>
    </row>
    <row r="716" spans="1:20">
      <c r="A716" s="227">
        <v>97847</v>
      </c>
      <c r="B716" s="228" t="s">
        <v>1425</v>
      </c>
      <c r="C716" s="87">
        <v>2.0999999999999998E-6</v>
      </c>
      <c r="D716" s="87">
        <v>2.2000000000000001E-6</v>
      </c>
      <c r="E716" s="232">
        <v>3208</v>
      </c>
      <c r="F716" s="232"/>
      <c r="G716" s="233">
        <v>185</v>
      </c>
      <c r="H716" s="221">
        <v>779</v>
      </c>
      <c r="I716" s="233">
        <v>458</v>
      </c>
      <c r="J716" s="232">
        <v>1433</v>
      </c>
      <c r="K716" s="221">
        <f t="shared" si="23"/>
        <v>2855</v>
      </c>
      <c r="L716" s="232"/>
      <c r="M716" s="233">
        <v>91</v>
      </c>
      <c r="N716" s="233">
        <v>0</v>
      </c>
      <c r="O716" s="232">
        <v>72</v>
      </c>
      <c r="P716" s="221">
        <f t="shared" si="24"/>
        <v>163</v>
      </c>
      <c r="Q716" s="232"/>
      <c r="R716" s="233">
        <v>1081</v>
      </c>
      <c r="S716" s="234">
        <v>355</v>
      </c>
      <c r="T716" s="234">
        <v>1436</v>
      </c>
    </row>
    <row r="717" spans="1:20">
      <c r="A717" s="227">
        <v>97851</v>
      </c>
      <c r="B717" s="228" t="s">
        <v>1426</v>
      </c>
      <c r="C717" s="87">
        <v>2.7799999999999998E-4</v>
      </c>
      <c r="D717" s="87">
        <v>2.7460000000000001E-4</v>
      </c>
      <c r="E717" s="232">
        <v>424707</v>
      </c>
      <c r="F717" s="232"/>
      <c r="G717" s="233">
        <v>24467</v>
      </c>
      <c r="H717" s="221">
        <v>103120</v>
      </c>
      <c r="I717" s="233">
        <v>60654</v>
      </c>
      <c r="J717" s="232">
        <v>1448</v>
      </c>
      <c r="K717" s="221">
        <f t="shared" si="23"/>
        <v>189689</v>
      </c>
      <c r="L717" s="232"/>
      <c r="M717" s="233">
        <v>12022</v>
      </c>
      <c r="N717" s="233">
        <v>0</v>
      </c>
      <c r="O717" s="232">
        <v>12710</v>
      </c>
      <c r="P717" s="221">
        <f t="shared" si="24"/>
        <v>24732</v>
      </c>
      <c r="Q717" s="232"/>
      <c r="R717" s="233">
        <v>143127</v>
      </c>
      <c r="S717" s="234">
        <v>-2512</v>
      </c>
      <c r="T717" s="234">
        <v>140615</v>
      </c>
    </row>
    <row r="718" spans="1:20">
      <c r="A718" s="227">
        <v>97853</v>
      </c>
      <c r="B718" s="228" t="s">
        <v>1427</v>
      </c>
      <c r="C718" s="87">
        <v>1.0289999999999999E-4</v>
      </c>
      <c r="D718" s="87">
        <v>9.1600000000000004E-5</v>
      </c>
      <c r="E718" s="232">
        <v>157203</v>
      </c>
      <c r="F718" s="232"/>
      <c r="G718" s="233">
        <v>9056</v>
      </c>
      <c r="H718" s="221">
        <v>38169</v>
      </c>
      <c r="I718" s="233">
        <v>22451</v>
      </c>
      <c r="J718" s="232">
        <v>8759</v>
      </c>
      <c r="K718" s="221">
        <f t="shared" si="23"/>
        <v>78435</v>
      </c>
      <c r="L718" s="232"/>
      <c r="M718" s="233">
        <v>4450</v>
      </c>
      <c r="N718" s="233">
        <v>0</v>
      </c>
      <c r="O718" s="232">
        <v>9750</v>
      </c>
      <c r="P718" s="221">
        <f t="shared" si="24"/>
        <v>14200</v>
      </c>
      <c r="Q718" s="232"/>
      <c r="R718" s="233">
        <v>52977</v>
      </c>
      <c r="S718" s="234">
        <v>429</v>
      </c>
      <c r="T718" s="234">
        <f>53407-1</f>
        <v>53406</v>
      </c>
    </row>
    <row r="719" spans="1:20">
      <c r="A719" s="227">
        <v>97861</v>
      </c>
      <c r="B719" s="228" t="s">
        <v>1428</v>
      </c>
      <c r="C719" s="87">
        <v>6.7000000000000002E-5</v>
      </c>
      <c r="D719" s="87">
        <v>6.8499999999999998E-5</v>
      </c>
      <c r="E719" s="232">
        <v>102357</v>
      </c>
      <c r="F719" s="232"/>
      <c r="G719" s="233">
        <v>5897</v>
      </c>
      <c r="H719" s="221">
        <v>24852</v>
      </c>
      <c r="I719" s="233">
        <v>14618</v>
      </c>
      <c r="J719" s="232">
        <v>1771</v>
      </c>
      <c r="K719" s="221">
        <f t="shared" si="23"/>
        <v>47138</v>
      </c>
      <c r="L719" s="232"/>
      <c r="M719" s="233">
        <v>2897</v>
      </c>
      <c r="N719" s="233">
        <v>0</v>
      </c>
      <c r="O719" s="232">
        <v>7954</v>
      </c>
      <c r="P719" s="221">
        <f t="shared" si="24"/>
        <v>10851</v>
      </c>
      <c r="Q719" s="232"/>
      <c r="R719" s="233">
        <v>34495</v>
      </c>
      <c r="S719" s="234">
        <v>-3725</v>
      </c>
      <c r="T719" s="234">
        <f>30769+1</f>
        <v>30770</v>
      </c>
    </row>
    <row r="720" spans="1:20">
      <c r="A720" s="227">
        <v>97871</v>
      </c>
      <c r="B720" s="228" t="s">
        <v>1429</v>
      </c>
      <c r="C720" s="87">
        <v>2.9930000000000001E-4</v>
      </c>
      <c r="D720" s="87">
        <v>3.1500000000000001E-4</v>
      </c>
      <c r="E720" s="232">
        <v>457247</v>
      </c>
      <c r="F720" s="232"/>
      <c r="G720" s="233">
        <v>26342</v>
      </c>
      <c r="H720" s="221">
        <v>111020</v>
      </c>
      <c r="I720" s="233">
        <v>65301</v>
      </c>
      <c r="J720" s="232">
        <v>217143</v>
      </c>
      <c r="K720" s="221">
        <f t="shared" si="23"/>
        <v>419806</v>
      </c>
      <c r="L720" s="232"/>
      <c r="M720" s="233">
        <v>12943</v>
      </c>
      <c r="N720" s="233">
        <v>0</v>
      </c>
      <c r="O720" s="232">
        <v>0</v>
      </c>
      <c r="P720" s="221">
        <f t="shared" si="24"/>
        <v>12943</v>
      </c>
      <c r="Q720" s="232"/>
      <c r="R720" s="233">
        <v>154093</v>
      </c>
      <c r="S720" s="234">
        <v>79417</v>
      </c>
      <c r="T720" s="234">
        <f>233509+1</f>
        <v>233510</v>
      </c>
    </row>
    <row r="721" spans="1:20">
      <c r="A721" s="227">
        <v>97877</v>
      </c>
      <c r="B721" s="228" t="s">
        <v>1430</v>
      </c>
      <c r="C721" s="87">
        <v>1.9E-6</v>
      </c>
      <c r="D721" s="87">
        <v>2.2000000000000001E-6</v>
      </c>
      <c r="E721" s="232">
        <v>2903</v>
      </c>
      <c r="F721" s="232"/>
      <c r="G721" s="233">
        <v>167</v>
      </c>
      <c r="H721" s="221">
        <v>705</v>
      </c>
      <c r="I721" s="233">
        <v>415</v>
      </c>
      <c r="J721" s="232">
        <v>1638</v>
      </c>
      <c r="K721" s="221">
        <f t="shared" si="23"/>
        <v>2925</v>
      </c>
      <c r="L721" s="232"/>
      <c r="M721" s="233">
        <v>82</v>
      </c>
      <c r="N721" s="233">
        <v>0</v>
      </c>
      <c r="O721" s="232">
        <v>0</v>
      </c>
      <c r="P721" s="221">
        <f t="shared" si="24"/>
        <v>82</v>
      </c>
      <c r="Q721" s="232"/>
      <c r="R721" s="233">
        <v>978</v>
      </c>
      <c r="S721" s="234">
        <v>648</v>
      </c>
      <c r="T721" s="234">
        <f>1627-1</f>
        <v>1626</v>
      </c>
    </row>
    <row r="722" spans="1:20">
      <c r="A722" s="227">
        <v>97901</v>
      </c>
      <c r="B722" s="228" t="s">
        <v>1431</v>
      </c>
      <c r="C722" s="87">
        <v>4.2658000000000001E-3</v>
      </c>
      <c r="D722" s="87">
        <v>4.3616999999999996E-3</v>
      </c>
      <c r="E722" s="232">
        <v>6516961</v>
      </c>
      <c r="F722" s="232"/>
      <c r="G722" s="233">
        <v>375437</v>
      </c>
      <c r="H722" s="221">
        <v>1582326</v>
      </c>
      <c r="I722" s="233">
        <v>930712</v>
      </c>
      <c r="J722" s="232">
        <v>88360</v>
      </c>
      <c r="K722" s="221">
        <f t="shared" si="23"/>
        <v>2976835</v>
      </c>
      <c r="L722" s="232"/>
      <c r="M722" s="233">
        <v>184475</v>
      </c>
      <c r="N722" s="233">
        <v>0</v>
      </c>
      <c r="O722" s="232">
        <v>14865</v>
      </c>
      <c r="P722" s="221">
        <f t="shared" si="24"/>
        <v>199340</v>
      </c>
      <c r="Q722" s="232"/>
      <c r="R722" s="233">
        <v>2196222</v>
      </c>
      <c r="S722" s="234">
        <v>35112</v>
      </c>
      <c r="T722" s="234">
        <v>2231334</v>
      </c>
    </row>
    <row r="723" spans="1:20">
      <c r="A723" s="227">
        <v>97911</v>
      </c>
      <c r="B723" s="228" t="s">
        <v>1432</v>
      </c>
      <c r="C723" s="87">
        <v>1.3005E-3</v>
      </c>
      <c r="D723" s="87">
        <v>1.3190000000000001E-3</v>
      </c>
      <c r="E723" s="232">
        <v>1986804</v>
      </c>
      <c r="F723" s="232"/>
      <c r="G723" s="233">
        <v>114458</v>
      </c>
      <c r="H723" s="221">
        <v>482398</v>
      </c>
      <c r="I723" s="233">
        <v>283743</v>
      </c>
      <c r="J723" s="232">
        <v>31167</v>
      </c>
      <c r="K723" s="221">
        <f t="shared" si="23"/>
        <v>911766</v>
      </c>
      <c r="L723" s="232"/>
      <c r="M723" s="233">
        <v>56240</v>
      </c>
      <c r="N723" s="233">
        <v>0</v>
      </c>
      <c r="O723" s="232">
        <v>28435</v>
      </c>
      <c r="P723" s="221">
        <f t="shared" si="24"/>
        <v>84675</v>
      </c>
      <c r="Q723" s="232"/>
      <c r="R723" s="233">
        <v>669555</v>
      </c>
      <c r="S723" s="234">
        <v>10548</v>
      </c>
      <c r="T723" s="234">
        <v>680103</v>
      </c>
    </row>
    <row r="724" spans="1:20">
      <c r="A724" s="227">
        <v>97913</v>
      </c>
      <c r="B724" s="228" t="s">
        <v>1433</v>
      </c>
      <c r="C724" s="87">
        <v>3.5899999999999998E-5</v>
      </c>
      <c r="D724" s="87">
        <v>3.7400000000000001E-5</v>
      </c>
      <c r="E724" s="232">
        <v>54845</v>
      </c>
      <c r="F724" s="232"/>
      <c r="G724" s="233">
        <v>3160</v>
      </c>
      <c r="H724" s="221">
        <v>13317</v>
      </c>
      <c r="I724" s="233">
        <v>7833</v>
      </c>
      <c r="J724" s="232">
        <v>15616</v>
      </c>
      <c r="K724" s="221">
        <f t="shared" si="23"/>
        <v>39926</v>
      </c>
      <c r="L724" s="232"/>
      <c r="M724" s="233">
        <v>1552</v>
      </c>
      <c r="N724" s="233">
        <v>0</v>
      </c>
      <c r="O724" s="232">
        <v>0</v>
      </c>
      <c r="P724" s="221">
        <f t="shared" si="24"/>
        <v>1552</v>
      </c>
      <c r="Q724" s="232"/>
      <c r="R724" s="233">
        <v>18483</v>
      </c>
      <c r="S724" s="234">
        <v>5369</v>
      </c>
      <c r="T724" s="234">
        <f>23851+1</f>
        <v>23852</v>
      </c>
    </row>
    <row r="725" spans="1:20">
      <c r="A725" s="227">
        <v>97917</v>
      </c>
      <c r="B725" s="228" t="s">
        <v>1434</v>
      </c>
      <c r="C725" s="87">
        <v>2.0999999999999999E-5</v>
      </c>
      <c r="D725" s="87">
        <v>1.98E-5</v>
      </c>
      <c r="E725" s="232">
        <v>32082</v>
      </c>
      <c r="F725" s="232"/>
      <c r="G725" s="233">
        <v>1848</v>
      </c>
      <c r="H725" s="221">
        <v>7790</v>
      </c>
      <c r="I725" s="233">
        <v>4582</v>
      </c>
      <c r="J725" s="232">
        <v>7811</v>
      </c>
      <c r="K725" s="221">
        <f t="shared" si="23"/>
        <v>22031</v>
      </c>
      <c r="L725" s="232"/>
      <c r="M725" s="233">
        <v>908</v>
      </c>
      <c r="N725" s="233">
        <v>0</v>
      </c>
      <c r="O725" s="232">
        <v>0</v>
      </c>
      <c r="P725" s="221">
        <f t="shared" si="24"/>
        <v>908</v>
      </c>
      <c r="Q725" s="232"/>
      <c r="R725" s="233">
        <v>10812</v>
      </c>
      <c r="S725" s="234">
        <v>3168</v>
      </c>
      <c r="T725" s="234">
        <f>13979+1</f>
        <v>13980</v>
      </c>
    </row>
    <row r="726" spans="1:20">
      <c r="A726" s="227">
        <v>97921</v>
      </c>
      <c r="B726" s="228" t="s">
        <v>1435</v>
      </c>
      <c r="C726" s="87">
        <v>2.1699999999999999E-4</v>
      </c>
      <c r="D726" s="87">
        <v>2.2169999999999999E-4</v>
      </c>
      <c r="E726" s="232">
        <v>331516</v>
      </c>
      <c r="F726" s="232"/>
      <c r="G726" s="233">
        <v>19098</v>
      </c>
      <c r="H726" s="221">
        <v>80493</v>
      </c>
      <c r="I726" s="233">
        <v>47345</v>
      </c>
      <c r="J726" s="232">
        <v>11562</v>
      </c>
      <c r="K726" s="221">
        <f t="shared" si="23"/>
        <v>158498</v>
      </c>
      <c r="L726" s="232"/>
      <c r="M726" s="233">
        <v>9384</v>
      </c>
      <c r="N726" s="233">
        <v>0</v>
      </c>
      <c r="O726" s="232">
        <v>5992</v>
      </c>
      <c r="P726" s="221">
        <f t="shared" si="24"/>
        <v>15376</v>
      </c>
      <c r="Q726" s="232"/>
      <c r="R726" s="233">
        <v>111721</v>
      </c>
      <c r="S726" s="234">
        <v>3241</v>
      </c>
      <c r="T726" s="234">
        <v>114962</v>
      </c>
    </row>
    <row r="727" spans="1:20">
      <c r="A727" s="227">
        <v>97931</v>
      </c>
      <c r="B727" s="228" t="s">
        <v>1436</v>
      </c>
      <c r="C727" s="87">
        <v>7.0199999999999999E-5</v>
      </c>
      <c r="D727" s="87">
        <v>6.1600000000000007E-5</v>
      </c>
      <c r="E727" s="232">
        <v>107246</v>
      </c>
      <c r="F727" s="232"/>
      <c r="G727" s="233">
        <v>6178</v>
      </c>
      <c r="H727" s="221">
        <v>26039</v>
      </c>
      <c r="I727" s="233">
        <v>15316</v>
      </c>
      <c r="J727" s="232">
        <v>18162</v>
      </c>
      <c r="K727" s="221">
        <f t="shared" si="23"/>
        <v>65695</v>
      </c>
      <c r="L727" s="232"/>
      <c r="M727" s="233">
        <v>3036</v>
      </c>
      <c r="N727" s="233">
        <v>0</v>
      </c>
      <c r="O727" s="232">
        <v>7492</v>
      </c>
      <c r="P727" s="221">
        <f t="shared" si="24"/>
        <v>10528</v>
      </c>
      <c r="Q727" s="232"/>
      <c r="R727" s="233">
        <v>36142</v>
      </c>
      <c r="S727" s="234">
        <v>2117</v>
      </c>
      <c r="T727" s="234">
        <v>38259</v>
      </c>
    </row>
    <row r="728" spans="1:20">
      <c r="A728" s="227">
        <v>97941</v>
      </c>
      <c r="B728" s="228" t="s">
        <v>1437</v>
      </c>
      <c r="C728" s="87">
        <v>2.0479999999999999E-4</v>
      </c>
      <c r="D728" s="87">
        <v>2.3330000000000001E-4</v>
      </c>
      <c r="E728" s="232">
        <v>312878</v>
      </c>
      <c r="F728" s="232"/>
      <c r="G728" s="233">
        <v>18025</v>
      </c>
      <c r="H728" s="221">
        <v>75967</v>
      </c>
      <c r="I728" s="233">
        <v>44683</v>
      </c>
      <c r="J728" s="232">
        <v>17999</v>
      </c>
      <c r="K728" s="221">
        <f t="shared" si="23"/>
        <v>156674</v>
      </c>
      <c r="L728" s="232"/>
      <c r="M728" s="233">
        <v>8857</v>
      </c>
      <c r="N728" s="233">
        <v>0</v>
      </c>
      <c r="O728" s="232">
        <v>8897</v>
      </c>
      <c r="P728" s="221">
        <f t="shared" si="24"/>
        <v>17754</v>
      </c>
      <c r="Q728" s="232"/>
      <c r="R728" s="233">
        <v>105440</v>
      </c>
      <c r="S728" s="234">
        <v>7001</v>
      </c>
      <c r="T728" s="234">
        <v>112441</v>
      </c>
    </row>
    <row r="729" spans="1:20">
      <c r="A729" s="227">
        <v>97947</v>
      </c>
      <c r="B729" s="228" t="s">
        <v>1438</v>
      </c>
      <c r="C729" s="87">
        <v>1.3900000000000001E-5</v>
      </c>
      <c r="D729" s="87">
        <v>1.5500000000000001E-5</v>
      </c>
      <c r="E729" s="232">
        <v>21235</v>
      </c>
      <c r="F729" s="232"/>
      <c r="G729" s="233">
        <v>1223</v>
      </c>
      <c r="H729" s="221">
        <v>5156</v>
      </c>
      <c r="I729" s="233">
        <v>3033</v>
      </c>
      <c r="J729" s="232">
        <v>9518</v>
      </c>
      <c r="K729" s="221">
        <f t="shared" si="23"/>
        <v>18930</v>
      </c>
      <c r="L729" s="232"/>
      <c r="M729" s="233">
        <v>601</v>
      </c>
      <c r="N729" s="233">
        <v>0</v>
      </c>
      <c r="O729" s="232">
        <v>306</v>
      </c>
      <c r="P729" s="221">
        <f t="shared" si="24"/>
        <v>907</v>
      </c>
      <c r="Q729" s="232"/>
      <c r="R729" s="233">
        <v>7156</v>
      </c>
      <c r="S729" s="234">
        <v>3116</v>
      </c>
      <c r="T729" s="234">
        <v>10272</v>
      </c>
    </row>
    <row r="730" spans="1:20">
      <c r="A730" s="227">
        <v>97948</v>
      </c>
      <c r="B730" s="228" t="s">
        <v>1439</v>
      </c>
      <c r="C730" s="87">
        <v>2.2099999999999998E-5</v>
      </c>
      <c r="D730" s="87">
        <v>3.5200000000000002E-5</v>
      </c>
      <c r="E730" s="232">
        <v>33763</v>
      </c>
      <c r="F730" s="232"/>
      <c r="G730" s="233">
        <v>1945</v>
      </c>
      <c r="H730" s="221">
        <v>8198</v>
      </c>
      <c r="I730" s="233">
        <v>4822</v>
      </c>
      <c r="J730" s="232">
        <v>1909</v>
      </c>
      <c r="K730" s="221">
        <f t="shared" si="23"/>
        <v>16874</v>
      </c>
      <c r="L730" s="232"/>
      <c r="M730" s="233">
        <v>956</v>
      </c>
      <c r="N730" s="233">
        <v>0</v>
      </c>
      <c r="O730" s="232">
        <v>8330</v>
      </c>
      <c r="P730" s="221">
        <f t="shared" si="24"/>
        <v>9286</v>
      </c>
      <c r="Q730" s="232"/>
      <c r="R730" s="233">
        <v>11378</v>
      </c>
      <c r="S730" s="234">
        <v>-972</v>
      </c>
      <c r="T730" s="234">
        <v>10406</v>
      </c>
    </row>
    <row r="731" spans="1:20">
      <c r="A731" s="227">
        <v>97951</v>
      </c>
      <c r="B731" s="228" t="s">
        <v>1440</v>
      </c>
      <c r="C731" s="87">
        <v>1.2440999999999999E-3</v>
      </c>
      <c r="D731" s="87">
        <v>1.2497000000000001E-3</v>
      </c>
      <c r="E731" s="232">
        <v>1900640</v>
      </c>
      <c r="F731" s="232"/>
      <c r="G731" s="233">
        <v>109494</v>
      </c>
      <c r="H731" s="221">
        <v>461477</v>
      </c>
      <c r="I731" s="233">
        <v>271438</v>
      </c>
      <c r="J731" s="232">
        <v>31864</v>
      </c>
      <c r="K731" s="221">
        <f t="shared" si="23"/>
        <v>874273</v>
      </c>
      <c r="L731" s="232"/>
      <c r="M731" s="233">
        <v>53801</v>
      </c>
      <c r="N731" s="233">
        <v>0</v>
      </c>
      <c r="O731" s="232">
        <v>7067</v>
      </c>
      <c r="P731" s="221">
        <f t="shared" si="24"/>
        <v>60868</v>
      </c>
      <c r="Q731" s="232"/>
      <c r="R731" s="233">
        <v>640517</v>
      </c>
      <c r="S731" s="234">
        <v>4295</v>
      </c>
      <c r="T731" s="234">
        <f>644813-1</f>
        <v>644812</v>
      </c>
    </row>
    <row r="732" spans="1:20">
      <c r="A732" s="227">
        <v>97957</v>
      </c>
      <c r="B732" s="228" t="s">
        <v>1441</v>
      </c>
      <c r="C732" s="87">
        <v>1.8700000000000001E-5</v>
      </c>
      <c r="D732" s="87">
        <v>1.9599999999999999E-5</v>
      </c>
      <c r="E732" s="232">
        <v>28568</v>
      </c>
      <c r="F732" s="232"/>
      <c r="G732" s="233">
        <v>1646</v>
      </c>
      <c r="H732" s="221">
        <v>6936</v>
      </c>
      <c r="I732" s="233">
        <v>4080</v>
      </c>
      <c r="J732" s="232">
        <v>4456</v>
      </c>
      <c r="K732" s="221">
        <f t="shared" si="23"/>
        <v>17118</v>
      </c>
      <c r="L732" s="232"/>
      <c r="M732" s="233">
        <v>809</v>
      </c>
      <c r="N732" s="233">
        <v>0</v>
      </c>
      <c r="O732" s="232">
        <v>1123</v>
      </c>
      <c r="P732" s="221">
        <f t="shared" si="24"/>
        <v>1932</v>
      </c>
      <c r="Q732" s="232"/>
      <c r="R732" s="233">
        <v>9628</v>
      </c>
      <c r="S732" s="234">
        <v>620</v>
      </c>
      <c r="T732" s="234">
        <f>10247+1</f>
        <v>10248</v>
      </c>
    </row>
    <row r="733" spans="1:20">
      <c r="A733" s="227">
        <v>98001</v>
      </c>
      <c r="B733" s="228" t="s">
        <v>1442</v>
      </c>
      <c r="C733" s="87">
        <v>5.1148000000000001E-3</v>
      </c>
      <c r="D733" s="87">
        <v>4.9659999999999999E-3</v>
      </c>
      <c r="E733" s="232">
        <v>7813998</v>
      </c>
      <c r="F733" s="232"/>
      <c r="G733" s="233">
        <v>450159</v>
      </c>
      <c r="H733" s="221">
        <v>1897248</v>
      </c>
      <c r="I733" s="233">
        <v>1115947</v>
      </c>
      <c r="J733" s="232">
        <v>181889</v>
      </c>
      <c r="K733" s="221">
        <f t="shared" si="23"/>
        <v>3645243</v>
      </c>
      <c r="L733" s="232"/>
      <c r="M733" s="233">
        <v>221190</v>
      </c>
      <c r="N733" s="233">
        <v>0</v>
      </c>
      <c r="O733" s="232">
        <v>0</v>
      </c>
      <c r="P733" s="221">
        <f t="shared" si="24"/>
        <v>221190</v>
      </c>
      <c r="Q733" s="232"/>
      <c r="R733" s="233">
        <v>2633324</v>
      </c>
      <c r="S733" s="234">
        <v>81305</v>
      </c>
      <c r="T733" s="234">
        <v>2714629</v>
      </c>
    </row>
    <row r="734" spans="1:20">
      <c r="A734" s="227">
        <v>98002</v>
      </c>
      <c r="B734" s="228" t="s">
        <v>1443</v>
      </c>
      <c r="C734" s="87">
        <v>6.7000000000000002E-6</v>
      </c>
      <c r="D734" s="87">
        <v>7.3000000000000004E-6</v>
      </c>
      <c r="E734" s="232">
        <v>10236</v>
      </c>
      <c r="F734" s="232"/>
      <c r="G734" s="233">
        <v>590</v>
      </c>
      <c r="H734" s="221">
        <v>2485</v>
      </c>
      <c r="I734" s="233">
        <v>1462</v>
      </c>
      <c r="J734" s="232">
        <v>1007</v>
      </c>
      <c r="K734" s="221">
        <f t="shared" si="23"/>
        <v>5544</v>
      </c>
      <c r="L734" s="232"/>
      <c r="M734" s="233">
        <v>290</v>
      </c>
      <c r="N734" s="233">
        <v>0</v>
      </c>
      <c r="O734" s="232">
        <v>6492</v>
      </c>
      <c r="P734" s="221">
        <f t="shared" si="24"/>
        <v>6782</v>
      </c>
      <c r="Q734" s="232"/>
      <c r="R734" s="233">
        <v>3449</v>
      </c>
      <c r="S734" s="234">
        <v>-6219</v>
      </c>
      <c r="T734" s="234">
        <v>-2770</v>
      </c>
    </row>
    <row r="735" spans="1:20">
      <c r="A735" s="227">
        <v>98003</v>
      </c>
      <c r="B735" s="228" t="s">
        <v>1444</v>
      </c>
      <c r="C735" s="87">
        <v>7.9599999999999997E-5</v>
      </c>
      <c r="D735" s="87">
        <v>8.1600000000000005E-5</v>
      </c>
      <c r="E735" s="232">
        <v>121607</v>
      </c>
      <c r="F735" s="232"/>
      <c r="G735" s="233">
        <v>7006</v>
      </c>
      <c r="H735" s="221">
        <v>29526</v>
      </c>
      <c r="I735" s="233">
        <v>17367</v>
      </c>
      <c r="J735" s="232">
        <v>54986</v>
      </c>
      <c r="K735" s="221">
        <f t="shared" si="23"/>
        <v>108885</v>
      </c>
      <c r="L735" s="232"/>
      <c r="M735" s="233">
        <v>3442</v>
      </c>
      <c r="N735" s="233">
        <v>0</v>
      </c>
      <c r="O735" s="232">
        <v>0</v>
      </c>
      <c r="P735" s="221">
        <f t="shared" si="24"/>
        <v>3442</v>
      </c>
      <c r="Q735" s="232"/>
      <c r="R735" s="233">
        <v>40982</v>
      </c>
      <c r="S735" s="234">
        <v>18634</v>
      </c>
      <c r="T735" s="234">
        <v>59616</v>
      </c>
    </row>
    <row r="736" spans="1:20">
      <c r="A736" s="227">
        <v>98004</v>
      </c>
      <c r="B736" s="228" t="s">
        <v>1445</v>
      </c>
      <c r="C736" s="87">
        <v>1.182E-4</v>
      </c>
      <c r="D736" s="87">
        <v>1.209E-4</v>
      </c>
      <c r="E736" s="232">
        <v>180577</v>
      </c>
      <c r="F736" s="232"/>
      <c r="G736" s="233">
        <v>10403</v>
      </c>
      <c r="H736" s="221">
        <v>43844</v>
      </c>
      <c r="I736" s="233">
        <v>25789</v>
      </c>
      <c r="J736" s="232">
        <v>36575</v>
      </c>
      <c r="K736" s="221">
        <f t="shared" si="23"/>
        <v>116611</v>
      </c>
      <c r="L736" s="232"/>
      <c r="M736" s="233">
        <v>5112</v>
      </c>
      <c r="N736" s="233">
        <v>0</v>
      </c>
      <c r="O736" s="232">
        <v>0</v>
      </c>
      <c r="P736" s="221">
        <f t="shared" si="24"/>
        <v>5112</v>
      </c>
      <c r="Q736" s="232"/>
      <c r="R736" s="233">
        <v>60855</v>
      </c>
      <c r="S736" s="234">
        <v>14190</v>
      </c>
      <c r="T736" s="234">
        <f>75044+1</f>
        <v>75045</v>
      </c>
    </row>
    <row r="737" spans="1:20">
      <c r="A737" s="227">
        <v>98008</v>
      </c>
      <c r="B737" s="228" t="s">
        <v>1446</v>
      </c>
      <c r="C737" s="87">
        <v>7.9999999999999996E-6</v>
      </c>
      <c r="D737" s="87">
        <v>7.7999999999999999E-6</v>
      </c>
      <c r="E737" s="232">
        <v>12222</v>
      </c>
      <c r="F737" s="232"/>
      <c r="G737" s="233">
        <v>704</v>
      </c>
      <c r="H737" s="221">
        <v>2967</v>
      </c>
      <c r="I737" s="233">
        <v>1745</v>
      </c>
      <c r="J737" s="232">
        <v>25</v>
      </c>
      <c r="K737" s="221">
        <f t="shared" si="23"/>
        <v>5441</v>
      </c>
      <c r="L737" s="232"/>
      <c r="M737" s="233">
        <v>346</v>
      </c>
      <c r="N737" s="233">
        <v>0</v>
      </c>
      <c r="O737" s="232">
        <v>804</v>
      </c>
      <c r="P737" s="221">
        <f t="shared" si="24"/>
        <v>1150</v>
      </c>
      <c r="Q737" s="232"/>
      <c r="R737" s="233">
        <v>4119</v>
      </c>
      <c r="S737" s="234">
        <v>-490</v>
      </c>
      <c r="T737" s="234">
        <v>3629</v>
      </c>
    </row>
    <row r="738" spans="1:20">
      <c r="A738" s="227">
        <v>98011</v>
      </c>
      <c r="B738" s="228" t="s">
        <v>1447</v>
      </c>
      <c r="C738" s="87">
        <v>3.1578999999999999E-3</v>
      </c>
      <c r="D738" s="87">
        <v>3.1795E-3</v>
      </c>
      <c r="E738" s="232">
        <v>4824396</v>
      </c>
      <c r="F738" s="232"/>
      <c r="G738" s="233">
        <v>277930</v>
      </c>
      <c r="H738" s="221">
        <v>1171370</v>
      </c>
      <c r="I738" s="233">
        <v>688991</v>
      </c>
      <c r="J738" s="232">
        <v>0</v>
      </c>
      <c r="K738" s="221">
        <f t="shared" si="23"/>
        <v>2138291</v>
      </c>
      <c r="L738" s="232"/>
      <c r="M738" s="233">
        <v>136563</v>
      </c>
      <c r="N738" s="233">
        <v>0</v>
      </c>
      <c r="O738" s="232">
        <v>315025</v>
      </c>
      <c r="P738" s="221">
        <f t="shared" si="24"/>
        <v>451588</v>
      </c>
      <c r="Q738" s="232"/>
      <c r="R738" s="233">
        <v>1625826</v>
      </c>
      <c r="S738" s="234">
        <v>-146862</v>
      </c>
      <c r="T738" s="234">
        <v>1478964</v>
      </c>
    </row>
    <row r="739" spans="1:20">
      <c r="A739" s="227">
        <v>98013</v>
      </c>
      <c r="B739" s="228" t="s">
        <v>1448</v>
      </c>
      <c r="C739" s="87">
        <v>1.415E-4</v>
      </c>
      <c r="D739" s="87">
        <v>1.426E-4</v>
      </c>
      <c r="E739" s="232">
        <v>216173</v>
      </c>
      <c r="F739" s="232"/>
      <c r="G739" s="233">
        <v>12454</v>
      </c>
      <c r="H739" s="221">
        <v>52487</v>
      </c>
      <c r="I739" s="233">
        <v>30872</v>
      </c>
      <c r="J739" s="232">
        <v>126104</v>
      </c>
      <c r="K739" s="221">
        <f t="shared" si="23"/>
        <v>221917</v>
      </c>
      <c r="L739" s="232"/>
      <c r="M739" s="233">
        <v>6119</v>
      </c>
      <c r="N739" s="233">
        <v>0</v>
      </c>
      <c r="O739" s="232">
        <v>2073</v>
      </c>
      <c r="P739" s="221">
        <f t="shared" si="24"/>
        <v>8192</v>
      </c>
      <c r="Q739" s="232"/>
      <c r="R739" s="233">
        <v>72850</v>
      </c>
      <c r="S739" s="234">
        <v>41784</v>
      </c>
      <c r="T739" s="234">
        <f>114635-1</f>
        <v>114634</v>
      </c>
    </row>
    <row r="740" spans="1:20">
      <c r="A740" s="227">
        <v>98021</v>
      </c>
      <c r="B740" s="228" t="s">
        <v>1449</v>
      </c>
      <c r="C740" s="87">
        <v>8.6199999999999995E-5</v>
      </c>
      <c r="D740" s="87">
        <v>7.5099999999999996E-5</v>
      </c>
      <c r="E740" s="232">
        <v>131690</v>
      </c>
      <c r="F740" s="232"/>
      <c r="G740" s="233">
        <v>7587</v>
      </c>
      <c r="H740" s="221">
        <v>31975</v>
      </c>
      <c r="I740" s="233">
        <v>18807</v>
      </c>
      <c r="J740" s="232">
        <v>13468</v>
      </c>
      <c r="K740" s="221">
        <f t="shared" si="23"/>
        <v>71837</v>
      </c>
      <c r="L740" s="232"/>
      <c r="M740" s="233">
        <v>3728</v>
      </c>
      <c r="N740" s="233">
        <v>0</v>
      </c>
      <c r="O740" s="232">
        <v>2708</v>
      </c>
      <c r="P740" s="221">
        <f t="shared" si="24"/>
        <v>6436</v>
      </c>
      <c r="Q740" s="232"/>
      <c r="R740" s="233">
        <v>44380</v>
      </c>
      <c r="S740" s="234">
        <v>6479</v>
      </c>
      <c r="T740" s="234">
        <v>50859</v>
      </c>
    </row>
    <row r="741" spans="1:20">
      <c r="A741" s="227">
        <v>98023</v>
      </c>
      <c r="B741" s="228" t="s">
        <v>1450</v>
      </c>
      <c r="C741" s="87">
        <v>1.43E-5</v>
      </c>
      <c r="D741" s="87">
        <v>1.45E-5</v>
      </c>
      <c r="E741" s="232">
        <v>21846</v>
      </c>
      <c r="F741" s="232"/>
      <c r="G741" s="233">
        <v>1259</v>
      </c>
      <c r="H741" s="221">
        <v>5305</v>
      </c>
      <c r="I741" s="233">
        <v>3120</v>
      </c>
      <c r="J741" s="232">
        <v>109</v>
      </c>
      <c r="K741" s="221">
        <f t="shared" si="23"/>
        <v>9793</v>
      </c>
      <c r="L741" s="232"/>
      <c r="M741" s="233">
        <v>618</v>
      </c>
      <c r="N741" s="233">
        <v>0</v>
      </c>
      <c r="O741" s="232">
        <v>5220</v>
      </c>
      <c r="P741" s="221">
        <f t="shared" si="24"/>
        <v>5838</v>
      </c>
      <c r="Q741" s="232"/>
      <c r="R741" s="233">
        <v>7362</v>
      </c>
      <c r="S741" s="234">
        <v>-2611</v>
      </c>
      <c r="T741" s="234">
        <v>4751</v>
      </c>
    </row>
    <row r="742" spans="1:20">
      <c r="A742" s="227">
        <v>98031</v>
      </c>
      <c r="B742" s="228" t="s">
        <v>1451</v>
      </c>
      <c r="C742" s="87">
        <v>1.537E-4</v>
      </c>
      <c r="D742" s="87">
        <v>1.5530000000000001E-4</v>
      </c>
      <c r="E742" s="232">
        <v>234811</v>
      </c>
      <c r="F742" s="232"/>
      <c r="G742" s="233">
        <v>13527</v>
      </c>
      <c r="H742" s="221">
        <v>57012</v>
      </c>
      <c r="I742" s="233">
        <v>33534</v>
      </c>
      <c r="J742" s="232">
        <v>4651</v>
      </c>
      <c r="K742" s="221">
        <f t="shared" si="23"/>
        <v>108724</v>
      </c>
      <c r="L742" s="232"/>
      <c r="M742" s="233">
        <v>6647</v>
      </c>
      <c r="N742" s="233">
        <v>0</v>
      </c>
      <c r="O742" s="232">
        <v>9184</v>
      </c>
      <c r="P742" s="221">
        <f t="shared" si="24"/>
        <v>15831</v>
      </c>
      <c r="Q742" s="232"/>
      <c r="R742" s="233">
        <v>79132</v>
      </c>
      <c r="S742" s="234">
        <v>-1401</v>
      </c>
      <c r="T742" s="234">
        <f>77730+1</f>
        <v>77731</v>
      </c>
    </row>
    <row r="743" spans="1:20">
      <c r="A743" s="227">
        <v>98041</v>
      </c>
      <c r="B743" s="228" t="s">
        <v>1452</v>
      </c>
      <c r="C743" s="87">
        <v>1.9230000000000001E-4</v>
      </c>
      <c r="D743" s="87">
        <v>1.6559999999999999E-4</v>
      </c>
      <c r="E743" s="232">
        <v>293781</v>
      </c>
      <c r="F743" s="232"/>
      <c r="G743" s="233">
        <v>16925</v>
      </c>
      <c r="H743" s="221">
        <v>71330</v>
      </c>
      <c r="I743" s="233">
        <v>41956</v>
      </c>
      <c r="J743" s="232">
        <v>17154</v>
      </c>
      <c r="K743" s="221">
        <f t="shared" si="23"/>
        <v>147365</v>
      </c>
      <c r="L743" s="232"/>
      <c r="M743" s="233">
        <v>8316</v>
      </c>
      <c r="N743" s="233">
        <v>0</v>
      </c>
      <c r="O743" s="232">
        <v>5779</v>
      </c>
      <c r="P743" s="221">
        <f t="shared" si="24"/>
        <v>14095</v>
      </c>
      <c r="Q743" s="232"/>
      <c r="R743" s="233">
        <v>99005</v>
      </c>
      <c r="S743" s="234">
        <v>943</v>
      </c>
      <c r="T743" s="234">
        <v>99948</v>
      </c>
    </row>
    <row r="744" spans="1:20">
      <c r="A744" s="227">
        <v>98051</v>
      </c>
      <c r="B744" s="228" t="s">
        <v>1453</v>
      </c>
      <c r="C744" s="87">
        <v>2.8019999999999998E-4</v>
      </c>
      <c r="D744" s="87">
        <v>3.0019999999999998E-4</v>
      </c>
      <c r="E744" s="232">
        <v>428068</v>
      </c>
      <c r="F744" s="232"/>
      <c r="G744" s="233">
        <v>24661</v>
      </c>
      <c r="H744" s="221">
        <v>103936</v>
      </c>
      <c r="I744" s="233">
        <v>61134</v>
      </c>
      <c r="J744" s="232">
        <v>21691</v>
      </c>
      <c r="K744" s="221">
        <f t="shared" si="23"/>
        <v>211422</v>
      </c>
      <c r="L744" s="232"/>
      <c r="M744" s="233">
        <v>12117</v>
      </c>
      <c r="N744" s="233">
        <v>0</v>
      </c>
      <c r="O744" s="232">
        <v>7516</v>
      </c>
      <c r="P744" s="221">
        <f t="shared" si="24"/>
        <v>19633</v>
      </c>
      <c r="Q744" s="232"/>
      <c r="R744" s="233">
        <v>144259</v>
      </c>
      <c r="S744" s="234">
        <v>7566</v>
      </c>
      <c r="T744" s="234">
        <v>151825</v>
      </c>
    </row>
    <row r="745" spans="1:20">
      <c r="A745" s="227">
        <v>98061</v>
      </c>
      <c r="B745" s="228" t="s">
        <v>1454</v>
      </c>
      <c r="C745" s="87">
        <v>1.0670000000000001E-4</v>
      </c>
      <c r="D745" s="87">
        <v>9.9099999999999996E-5</v>
      </c>
      <c r="E745" s="232">
        <v>163008</v>
      </c>
      <c r="F745" s="232"/>
      <c r="G745" s="233">
        <v>9391</v>
      </c>
      <c r="H745" s="221">
        <v>39579</v>
      </c>
      <c r="I745" s="233">
        <v>23280</v>
      </c>
      <c r="J745" s="232">
        <v>3820</v>
      </c>
      <c r="K745" s="221">
        <f t="shared" si="23"/>
        <v>76070</v>
      </c>
      <c r="L745" s="232"/>
      <c r="M745" s="233">
        <v>4614</v>
      </c>
      <c r="N745" s="233">
        <v>0</v>
      </c>
      <c r="O745" s="232">
        <v>17433</v>
      </c>
      <c r="P745" s="221">
        <f t="shared" si="24"/>
        <v>22047</v>
      </c>
      <c r="Q745" s="232"/>
      <c r="R745" s="233">
        <v>54934</v>
      </c>
      <c r="S745" s="234">
        <v>-6260</v>
      </c>
      <c r="T745" s="234">
        <v>48674</v>
      </c>
    </row>
    <row r="746" spans="1:20">
      <c r="A746" s="227">
        <v>98071</v>
      </c>
      <c r="B746" s="228" t="s">
        <v>1455</v>
      </c>
      <c r="C746" s="87">
        <v>4.0099999999999999E-5</v>
      </c>
      <c r="D746" s="87">
        <v>3.4400000000000003E-5</v>
      </c>
      <c r="E746" s="232">
        <v>61262</v>
      </c>
      <c r="F746" s="232"/>
      <c r="G746" s="233">
        <v>3529</v>
      </c>
      <c r="H746" s="221">
        <v>14874</v>
      </c>
      <c r="I746" s="233">
        <v>8749</v>
      </c>
      <c r="J746" s="232">
        <v>18505</v>
      </c>
      <c r="K746" s="221">
        <f t="shared" si="23"/>
        <v>45657</v>
      </c>
      <c r="L746" s="232"/>
      <c r="M746" s="233">
        <v>1734</v>
      </c>
      <c r="N746" s="233">
        <v>0</v>
      </c>
      <c r="O746" s="232">
        <v>1200</v>
      </c>
      <c r="P746" s="221">
        <f t="shared" si="24"/>
        <v>2934</v>
      </c>
      <c r="Q746" s="232"/>
      <c r="R746" s="233">
        <v>20645</v>
      </c>
      <c r="S746" s="234">
        <v>4654</v>
      </c>
      <c r="T746" s="234">
        <v>25299</v>
      </c>
    </row>
    <row r="747" spans="1:20">
      <c r="A747" s="227">
        <v>98081</v>
      </c>
      <c r="B747" s="228" t="s">
        <v>1456</v>
      </c>
      <c r="C747" s="87">
        <v>1.8300000000000001E-5</v>
      </c>
      <c r="D747" s="87">
        <v>1.9400000000000001E-5</v>
      </c>
      <c r="E747" s="232">
        <v>27957</v>
      </c>
      <c r="F747" s="232"/>
      <c r="G747" s="233">
        <v>1611</v>
      </c>
      <c r="H747" s="221">
        <v>6788</v>
      </c>
      <c r="I747" s="233">
        <v>3993</v>
      </c>
      <c r="J747" s="232">
        <v>0</v>
      </c>
      <c r="K747" s="221">
        <f t="shared" si="23"/>
        <v>12392</v>
      </c>
      <c r="L747" s="232"/>
      <c r="M747" s="233">
        <v>791</v>
      </c>
      <c r="N747" s="233">
        <v>0</v>
      </c>
      <c r="O747" s="232">
        <v>4207</v>
      </c>
      <c r="P747" s="221">
        <f t="shared" si="24"/>
        <v>4998</v>
      </c>
      <c r="Q747" s="232"/>
      <c r="R747" s="233">
        <v>9422</v>
      </c>
      <c r="S747" s="234">
        <v>-1896</v>
      </c>
      <c r="T747" s="234">
        <v>7526</v>
      </c>
    </row>
    <row r="748" spans="1:20">
      <c r="A748" s="227">
        <v>98091</v>
      </c>
      <c r="B748" s="228" t="s">
        <v>1457</v>
      </c>
      <c r="C748" s="87">
        <v>4.7500000000000003E-5</v>
      </c>
      <c r="D748" s="87">
        <v>5.0899999999999997E-5</v>
      </c>
      <c r="E748" s="232">
        <v>72567</v>
      </c>
      <c r="F748" s="232"/>
      <c r="G748" s="233">
        <v>4181</v>
      </c>
      <c r="H748" s="221">
        <v>17619</v>
      </c>
      <c r="I748" s="233">
        <v>10364</v>
      </c>
      <c r="J748" s="232">
        <v>1261</v>
      </c>
      <c r="K748" s="221">
        <f t="shared" si="23"/>
        <v>33425</v>
      </c>
      <c r="L748" s="232"/>
      <c r="M748" s="233">
        <v>2054</v>
      </c>
      <c r="N748" s="233">
        <v>0</v>
      </c>
      <c r="O748" s="232">
        <v>807</v>
      </c>
      <c r="P748" s="221">
        <f t="shared" si="24"/>
        <v>2861</v>
      </c>
      <c r="Q748" s="232"/>
      <c r="R748" s="233">
        <v>24455</v>
      </c>
      <c r="S748" s="234">
        <v>-295</v>
      </c>
      <c r="T748" s="234">
        <v>24160</v>
      </c>
    </row>
    <row r="749" spans="1:20">
      <c r="A749" s="227">
        <v>98101</v>
      </c>
      <c r="B749" s="228" t="s">
        <v>1458</v>
      </c>
      <c r="C749" s="87">
        <v>2.8706999999999999E-3</v>
      </c>
      <c r="D749" s="87">
        <v>2.7642999999999999E-3</v>
      </c>
      <c r="E749" s="232">
        <v>4385634</v>
      </c>
      <c r="F749" s="232"/>
      <c r="G749" s="233">
        <v>252653</v>
      </c>
      <c r="H749" s="221">
        <v>1064838</v>
      </c>
      <c r="I749" s="233">
        <v>626329</v>
      </c>
      <c r="J749" s="232">
        <v>37308</v>
      </c>
      <c r="K749" s="221">
        <f t="shared" si="23"/>
        <v>1981128</v>
      </c>
      <c r="L749" s="232"/>
      <c r="M749" s="233">
        <v>124143</v>
      </c>
      <c r="N749" s="233">
        <v>0</v>
      </c>
      <c r="O749" s="232">
        <v>32438</v>
      </c>
      <c r="P749" s="221">
        <f t="shared" si="24"/>
        <v>156581</v>
      </c>
      <c r="Q749" s="232"/>
      <c r="R749" s="233">
        <v>1477963</v>
      </c>
      <c r="S749" s="234">
        <v>14286</v>
      </c>
      <c r="T749" s="234">
        <f>1492248+1</f>
        <v>1492249</v>
      </c>
    </row>
    <row r="750" spans="1:20">
      <c r="A750" s="227">
        <v>98102</v>
      </c>
      <c r="B750" s="228" t="s">
        <v>1459</v>
      </c>
      <c r="C750" s="87">
        <v>1.5809999999999999E-4</v>
      </c>
      <c r="D750" s="87">
        <v>1.683E-4</v>
      </c>
      <c r="E750" s="232">
        <v>241533</v>
      </c>
      <c r="F750" s="232"/>
      <c r="G750" s="233">
        <v>13915</v>
      </c>
      <c r="H750" s="221">
        <v>58644</v>
      </c>
      <c r="I750" s="233">
        <v>34494</v>
      </c>
      <c r="J750" s="232">
        <v>0</v>
      </c>
      <c r="K750" s="221">
        <f t="shared" si="23"/>
        <v>107053</v>
      </c>
      <c r="L750" s="232"/>
      <c r="M750" s="233">
        <v>6837</v>
      </c>
      <c r="N750" s="233">
        <v>0</v>
      </c>
      <c r="O750" s="232">
        <v>14329</v>
      </c>
      <c r="P750" s="221">
        <f t="shared" si="24"/>
        <v>21166</v>
      </c>
      <c r="Q750" s="232"/>
      <c r="R750" s="233">
        <v>81397</v>
      </c>
      <c r="S750" s="234">
        <v>-5584</v>
      </c>
      <c r="T750" s="234">
        <v>75813</v>
      </c>
    </row>
    <row r="751" spans="1:20">
      <c r="A751" s="227">
        <v>98103</v>
      </c>
      <c r="B751" s="228" t="s">
        <v>1460</v>
      </c>
      <c r="C751" s="87">
        <v>5.4410000000000005E-4</v>
      </c>
      <c r="D751" s="87">
        <v>5.3600000000000002E-4</v>
      </c>
      <c r="E751" s="232">
        <v>831234</v>
      </c>
      <c r="F751" s="232"/>
      <c r="G751" s="233">
        <v>47887</v>
      </c>
      <c r="H751" s="221">
        <v>201824</v>
      </c>
      <c r="I751" s="233">
        <v>118712</v>
      </c>
      <c r="J751" s="232">
        <v>9730</v>
      </c>
      <c r="K751" s="221">
        <f t="shared" si="23"/>
        <v>378153</v>
      </c>
      <c r="L751" s="232"/>
      <c r="M751" s="233">
        <v>23530</v>
      </c>
      <c r="N751" s="233">
        <v>0</v>
      </c>
      <c r="O751" s="232">
        <v>27055</v>
      </c>
      <c r="P751" s="221">
        <f t="shared" si="24"/>
        <v>50585</v>
      </c>
      <c r="Q751" s="232"/>
      <c r="R751" s="233">
        <v>280127</v>
      </c>
      <c r="S751" s="234">
        <v>-17051</v>
      </c>
      <c r="T751" s="234">
        <v>263076</v>
      </c>
    </row>
    <row r="752" spans="1:20">
      <c r="A752" s="227">
        <v>98107</v>
      </c>
      <c r="B752" s="228" t="s">
        <v>1461</v>
      </c>
      <c r="C752" s="87">
        <v>1.08E-5</v>
      </c>
      <c r="D752" s="87">
        <v>1.08E-5</v>
      </c>
      <c r="E752" s="232">
        <v>16499</v>
      </c>
      <c r="F752" s="232"/>
      <c r="G752" s="233">
        <v>951</v>
      </c>
      <c r="H752" s="221">
        <v>4006</v>
      </c>
      <c r="I752" s="233">
        <v>2356</v>
      </c>
      <c r="J752" s="232">
        <v>8237</v>
      </c>
      <c r="K752" s="221">
        <f t="shared" si="23"/>
        <v>15550</v>
      </c>
      <c r="L752" s="232"/>
      <c r="M752" s="233">
        <v>467</v>
      </c>
      <c r="N752" s="233">
        <v>0</v>
      </c>
      <c r="O752" s="232">
        <v>0</v>
      </c>
      <c r="P752" s="221">
        <f t="shared" si="24"/>
        <v>467</v>
      </c>
      <c r="Q752" s="232"/>
      <c r="R752" s="233">
        <v>5560</v>
      </c>
      <c r="S752" s="234">
        <v>3467</v>
      </c>
      <c r="T752" s="234">
        <v>9027</v>
      </c>
    </row>
    <row r="753" spans="1:20">
      <c r="A753" s="227">
        <v>98109</v>
      </c>
      <c r="B753" s="228" t="s">
        <v>1462</v>
      </c>
      <c r="C753" s="87">
        <v>1.573E-4</v>
      </c>
      <c r="D753" s="87">
        <v>1.4660000000000001E-4</v>
      </c>
      <c r="E753" s="232">
        <v>240311</v>
      </c>
      <c r="F753" s="232"/>
      <c r="G753" s="233">
        <v>13844</v>
      </c>
      <c r="H753" s="221">
        <v>58348</v>
      </c>
      <c r="I753" s="233">
        <v>34320</v>
      </c>
      <c r="J753" s="232">
        <v>12163</v>
      </c>
      <c r="K753" s="221">
        <f t="shared" si="23"/>
        <v>118675</v>
      </c>
      <c r="L753" s="232"/>
      <c r="M753" s="233">
        <v>6802</v>
      </c>
      <c r="N753" s="233">
        <v>0</v>
      </c>
      <c r="O753" s="232">
        <v>24551</v>
      </c>
      <c r="P753" s="221">
        <f t="shared" si="24"/>
        <v>31353</v>
      </c>
      <c r="Q753" s="232"/>
      <c r="R753" s="233">
        <v>80985</v>
      </c>
      <c r="S753" s="234">
        <v>-7590</v>
      </c>
      <c r="T753" s="234">
        <v>73395</v>
      </c>
    </row>
    <row r="754" spans="1:20">
      <c r="A754" s="227">
        <v>98111</v>
      </c>
      <c r="B754" s="228" t="s">
        <v>1463</v>
      </c>
      <c r="C754" s="87">
        <v>1.0143000000000001E-3</v>
      </c>
      <c r="D754" s="87">
        <v>1.0191E-3</v>
      </c>
      <c r="E754" s="232">
        <v>1549569</v>
      </c>
      <c r="F754" s="232"/>
      <c r="G754" s="233">
        <v>89270</v>
      </c>
      <c r="H754" s="221">
        <v>376238</v>
      </c>
      <c r="I754" s="233">
        <v>221300</v>
      </c>
      <c r="J754" s="232">
        <v>0</v>
      </c>
      <c r="K754" s="221">
        <f t="shared" si="23"/>
        <v>686808</v>
      </c>
      <c r="L754" s="232"/>
      <c r="M754" s="233">
        <v>43863</v>
      </c>
      <c r="N754" s="233">
        <v>0</v>
      </c>
      <c r="O754" s="232">
        <v>66610</v>
      </c>
      <c r="P754" s="221">
        <f t="shared" si="24"/>
        <v>110473</v>
      </c>
      <c r="Q754" s="232"/>
      <c r="R754" s="233">
        <v>522206</v>
      </c>
      <c r="S754" s="234">
        <v>-21506</v>
      </c>
      <c r="T754" s="234">
        <v>500700</v>
      </c>
    </row>
    <row r="755" spans="1:20">
      <c r="A755" s="227">
        <v>98113</v>
      </c>
      <c r="B755" s="228" t="s">
        <v>1464</v>
      </c>
      <c r="C755" s="87">
        <v>4.6199999999999998E-5</v>
      </c>
      <c r="D755" s="87">
        <v>3.8999999999999999E-5</v>
      </c>
      <c r="E755" s="232">
        <v>70581</v>
      </c>
      <c r="F755" s="232"/>
      <c r="G755" s="233">
        <v>4066</v>
      </c>
      <c r="H755" s="221">
        <v>17137</v>
      </c>
      <c r="I755" s="233">
        <v>10080</v>
      </c>
      <c r="J755" s="232">
        <v>11739</v>
      </c>
      <c r="K755" s="221">
        <f t="shared" si="23"/>
        <v>43022</v>
      </c>
      <c r="L755" s="232"/>
      <c r="M755" s="233">
        <v>1998</v>
      </c>
      <c r="N755" s="233">
        <v>0</v>
      </c>
      <c r="O755" s="232">
        <v>0</v>
      </c>
      <c r="P755" s="221">
        <f t="shared" si="24"/>
        <v>1998</v>
      </c>
      <c r="Q755" s="232"/>
      <c r="R755" s="233">
        <v>23786</v>
      </c>
      <c r="S755" s="234">
        <v>4647</v>
      </c>
      <c r="T755" s="234">
        <f>28432+1</f>
        <v>28433</v>
      </c>
    </row>
    <row r="756" spans="1:20">
      <c r="A756" s="227">
        <v>98121</v>
      </c>
      <c r="B756" s="228" t="s">
        <v>1465</v>
      </c>
      <c r="C756" s="87">
        <v>2.0100000000000001E-4</v>
      </c>
      <c r="D756" s="87">
        <v>2.2910000000000001E-4</v>
      </c>
      <c r="E756" s="232">
        <v>307072</v>
      </c>
      <c r="F756" s="232"/>
      <c r="G756" s="233">
        <v>17690</v>
      </c>
      <c r="H756" s="221">
        <v>74558</v>
      </c>
      <c r="I756" s="233">
        <v>43854</v>
      </c>
      <c r="J756" s="232">
        <v>2134</v>
      </c>
      <c r="K756" s="221">
        <f t="shared" si="23"/>
        <v>138236</v>
      </c>
      <c r="L756" s="232"/>
      <c r="M756" s="233">
        <v>8692</v>
      </c>
      <c r="N756" s="233">
        <v>0</v>
      </c>
      <c r="O756" s="232">
        <v>25239</v>
      </c>
      <c r="P756" s="221">
        <f t="shared" si="24"/>
        <v>33931</v>
      </c>
      <c r="Q756" s="232"/>
      <c r="R756" s="233">
        <v>103484</v>
      </c>
      <c r="S756" s="234">
        <v>-5712</v>
      </c>
      <c r="T756" s="234">
        <f>97771+1</f>
        <v>97772</v>
      </c>
    </row>
    <row r="757" spans="1:20">
      <c r="A757" s="227">
        <v>98131</v>
      </c>
      <c r="B757" s="228" t="s">
        <v>1466</v>
      </c>
      <c r="C757" s="87">
        <v>2.5230000000000001E-4</v>
      </c>
      <c r="D757" s="87">
        <v>2.9569999999999998E-4</v>
      </c>
      <c r="E757" s="232">
        <v>385445</v>
      </c>
      <c r="F757" s="232"/>
      <c r="G757" s="233">
        <v>22205</v>
      </c>
      <c r="H757" s="221">
        <v>93586</v>
      </c>
      <c r="I757" s="233">
        <v>55047</v>
      </c>
      <c r="J757" s="232">
        <v>0</v>
      </c>
      <c r="K757" s="221">
        <f t="shared" si="23"/>
        <v>170838</v>
      </c>
      <c r="L757" s="232"/>
      <c r="M757" s="233">
        <v>10911</v>
      </c>
      <c r="N757" s="233">
        <v>0</v>
      </c>
      <c r="O757" s="232">
        <v>53749</v>
      </c>
      <c r="P757" s="221">
        <f t="shared" si="24"/>
        <v>64660</v>
      </c>
      <c r="Q757" s="232"/>
      <c r="R757" s="233">
        <v>129895</v>
      </c>
      <c r="S757" s="234">
        <v>-23653</v>
      </c>
      <c r="T757" s="234">
        <v>106242</v>
      </c>
    </row>
    <row r="758" spans="1:20">
      <c r="A758" s="227">
        <v>98141</v>
      </c>
      <c r="B758" s="228" t="s">
        <v>1467</v>
      </c>
      <c r="C758" s="87">
        <v>3.0360000000000001E-4</v>
      </c>
      <c r="D758" s="87">
        <v>2.9030000000000001E-4</v>
      </c>
      <c r="E758" s="232">
        <v>463817</v>
      </c>
      <c r="F758" s="232"/>
      <c r="G758" s="233">
        <v>26720</v>
      </c>
      <c r="H758" s="221">
        <v>112616</v>
      </c>
      <c r="I758" s="233">
        <v>66239</v>
      </c>
      <c r="J758" s="232">
        <v>5226</v>
      </c>
      <c r="K758" s="221">
        <f t="shared" si="23"/>
        <v>210801</v>
      </c>
      <c r="L758" s="232"/>
      <c r="M758" s="233">
        <v>13129</v>
      </c>
      <c r="N758" s="233">
        <v>0</v>
      </c>
      <c r="O758" s="232">
        <v>22375</v>
      </c>
      <c r="P758" s="221">
        <f t="shared" si="24"/>
        <v>35504</v>
      </c>
      <c r="Q758" s="232"/>
      <c r="R758" s="233">
        <v>156307</v>
      </c>
      <c r="S758" s="234">
        <v>-11630</v>
      </c>
      <c r="T758" s="234">
        <v>144677</v>
      </c>
    </row>
    <row r="759" spans="1:20">
      <c r="A759" s="227">
        <v>98147</v>
      </c>
      <c r="B759" s="228" t="s">
        <v>1468</v>
      </c>
      <c r="C759" s="87">
        <v>1.29E-5</v>
      </c>
      <c r="D759" s="87">
        <v>1.29E-5</v>
      </c>
      <c r="E759" s="232">
        <v>19708</v>
      </c>
      <c r="F759" s="232"/>
      <c r="G759" s="233">
        <v>1135</v>
      </c>
      <c r="H759" s="221">
        <v>4785</v>
      </c>
      <c r="I759" s="233">
        <v>2815</v>
      </c>
      <c r="J759" s="232">
        <v>8231</v>
      </c>
      <c r="K759" s="221">
        <f t="shared" si="23"/>
        <v>16966</v>
      </c>
      <c r="L759" s="232"/>
      <c r="M759" s="233">
        <v>558</v>
      </c>
      <c r="N759" s="233">
        <v>0</v>
      </c>
      <c r="O759" s="232">
        <v>0</v>
      </c>
      <c r="P759" s="221">
        <f t="shared" si="24"/>
        <v>558</v>
      </c>
      <c r="Q759" s="232"/>
      <c r="R759" s="233">
        <v>6641</v>
      </c>
      <c r="S759" s="234">
        <v>3295</v>
      </c>
      <c r="T759" s="234">
        <f>9937-1</f>
        <v>9936</v>
      </c>
    </row>
    <row r="760" spans="1:20">
      <c r="A760" s="227">
        <v>98161</v>
      </c>
      <c r="B760" s="228" t="s">
        <v>1469</v>
      </c>
      <c r="C760" s="87">
        <v>7.3000000000000004E-6</v>
      </c>
      <c r="D760" s="87">
        <v>7.4000000000000003E-6</v>
      </c>
      <c r="E760" s="232">
        <v>11152</v>
      </c>
      <c r="F760" s="232"/>
      <c r="G760" s="233">
        <v>642</v>
      </c>
      <c r="H760" s="221">
        <v>2708</v>
      </c>
      <c r="I760" s="233">
        <v>1593</v>
      </c>
      <c r="J760" s="232">
        <v>2689</v>
      </c>
      <c r="K760" s="221">
        <f t="shared" si="23"/>
        <v>7632</v>
      </c>
      <c r="L760" s="232"/>
      <c r="M760" s="233">
        <v>316</v>
      </c>
      <c r="N760" s="233">
        <v>0</v>
      </c>
      <c r="O760" s="232">
        <v>0</v>
      </c>
      <c r="P760" s="221">
        <f t="shared" si="24"/>
        <v>316</v>
      </c>
      <c r="Q760" s="232"/>
      <c r="R760" s="233">
        <v>3758</v>
      </c>
      <c r="S760" s="234">
        <v>1075</v>
      </c>
      <c r="T760" s="234">
        <v>4833</v>
      </c>
    </row>
    <row r="761" spans="1:20">
      <c r="A761" s="227">
        <v>98201</v>
      </c>
      <c r="B761" s="228" t="s">
        <v>1470</v>
      </c>
      <c r="C761" s="87">
        <v>3.1664000000000002E-3</v>
      </c>
      <c r="D761" s="87">
        <v>3.0368999999999999E-3</v>
      </c>
      <c r="E761" s="232">
        <v>4837382</v>
      </c>
      <c r="F761" s="232"/>
      <c r="G761" s="233">
        <v>278678</v>
      </c>
      <c r="H761" s="221">
        <v>1174522</v>
      </c>
      <c r="I761" s="233">
        <v>690845</v>
      </c>
      <c r="J761" s="232">
        <v>63594</v>
      </c>
      <c r="K761" s="221">
        <f t="shared" si="23"/>
        <v>2207639</v>
      </c>
      <c r="L761" s="232"/>
      <c r="M761" s="233">
        <v>136931</v>
      </c>
      <c r="N761" s="233">
        <v>0</v>
      </c>
      <c r="O761" s="232">
        <v>39608</v>
      </c>
      <c r="P761" s="221">
        <f t="shared" si="24"/>
        <v>176539</v>
      </c>
      <c r="Q761" s="232"/>
      <c r="R761" s="233">
        <v>1630202</v>
      </c>
      <c r="S761" s="234">
        <v>-5370</v>
      </c>
      <c r="T761" s="234">
        <v>1624832</v>
      </c>
    </row>
    <row r="762" spans="1:20">
      <c r="A762" s="227">
        <v>98205</v>
      </c>
      <c r="B762" s="228" t="s">
        <v>1471</v>
      </c>
      <c r="C762" s="87">
        <v>4.6799999999999999E-5</v>
      </c>
      <c r="D762" s="87">
        <v>5.13E-5</v>
      </c>
      <c r="E762" s="232">
        <v>71497</v>
      </c>
      <c r="F762" s="232"/>
      <c r="G762" s="233">
        <v>4119</v>
      </c>
      <c r="H762" s="221">
        <v>17359</v>
      </c>
      <c r="I762" s="233">
        <v>10211</v>
      </c>
      <c r="J762" s="232">
        <v>1985</v>
      </c>
      <c r="K762" s="221">
        <f t="shared" si="23"/>
        <v>33674</v>
      </c>
      <c r="L762" s="232"/>
      <c r="M762" s="233">
        <v>2024</v>
      </c>
      <c r="N762" s="233">
        <v>0</v>
      </c>
      <c r="O762" s="232">
        <v>2510</v>
      </c>
      <c r="P762" s="221">
        <f t="shared" si="24"/>
        <v>4534</v>
      </c>
      <c r="Q762" s="232"/>
      <c r="R762" s="233">
        <v>24095</v>
      </c>
      <c r="S762" s="234">
        <v>-141</v>
      </c>
      <c r="T762" s="234">
        <f>23953+1</f>
        <v>23954</v>
      </c>
    </row>
    <row r="763" spans="1:20">
      <c r="A763" s="227">
        <v>98211</v>
      </c>
      <c r="B763" s="228" t="s">
        <v>1472</v>
      </c>
      <c r="C763" s="87">
        <v>8.6689999999999998E-4</v>
      </c>
      <c r="D763" s="87">
        <v>9.1609999999999999E-4</v>
      </c>
      <c r="E763" s="232">
        <v>1324383</v>
      </c>
      <c r="F763" s="232"/>
      <c r="G763" s="233">
        <v>76297</v>
      </c>
      <c r="H763" s="221">
        <v>321561</v>
      </c>
      <c r="I763" s="233">
        <v>189140</v>
      </c>
      <c r="J763" s="232">
        <v>0</v>
      </c>
      <c r="K763" s="221">
        <f t="shared" si="23"/>
        <v>586998</v>
      </c>
      <c r="L763" s="232"/>
      <c r="M763" s="233">
        <v>37489</v>
      </c>
      <c r="N763" s="233">
        <v>0</v>
      </c>
      <c r="O763" s="232">
        <v>136830</v>
      </c>
      <c r="P763" s="221">
        <f t="shared" si="24"/>
        <v>174319</v>
      </c>
      <c r="Q763" s="232"/>
      <c r="R763" s="233">
        <v>446318</v>
      </c>
      <c r="S763" s="234">
        <v>-50136</v>
      </c>
      <c r="T763" s="234">
        <v>396182</v>
      </c>
    </row>
    <row r="764" spans="1:20">
      <c r="A764" s="227">
        <v>98218</v>
      </c>
      <c r="B764" s="228" t="s">
        <v>1473</v>
      </c>
      <c r="C764" s="87">
        <v>1.3200000000000001E-5</v>
      </c>
      <c r="D764" s="87">
        <v>1.0200000000000001E-5</v>
      </c>
      <c r="E764" s="232">
        <v>20166</v>
      </c>
      <c r="F764" s="232"/>
      <c r="G764" s="233">
        <v>1162</v>
      </c>
      <c r="H764" s="221">
        <v>4896</v>
      </c>
      <c r="I764" s="233">
        <v>2880</v>
      </c>
      <c r="J764" s="232">
        <v>1827</v>
      </c>
      <c r="K764" s="221">
        <f t="shared" si="23"/>
        <v>10765</v>
      </c>
      <c r="L764" s="232"/>
      <c r="M764" s="233">
        <v>571</v>
      </c>
      <c r="N764" s="233">
        <v>0</v>
      </c>
      <c r="O764" s="232">
        <v>1072</v>
      </c>
      <c r="P764" s="221">
        <f t="shared" si="24"/>
        <v>1643</v>
      </c>
      <c r="Q764" s="232"/>
      <c r="R764" s="233">
        <v>6796</v>
      </c>
      <c r="S764" s="234">
        <v>-336</v>
      </c>
      <c r="T764" s="234">
        <v>6460</v>
      </c>
    </row>
    <row r="765" spans="1:20">
      <c r="A765" s="227">
        <v>98221</v>
      </c>
      <c r="B765" s="228" t="s">
        <v>1474</v>
      </c>
      <c r="C765" s="87">
        <v>1.8899999999999999E-5</v>
      </c>
      <c r="D765" s="87">
        <v>1.6799999999999998E-5</v>
      </c>
      <c r="E765" s="232">
        <v>28874</v>
      </c>
      <c r="F765" s="232"/>
      <c r="G765" s="233">
        <v>1663</v>
      </c>
      <c r="H765" s="221">
        <v>7011</v>
      </c>
      <c r="I765" s="233">
        <v>4124</v>
      </c>
      <c r="J765" s="232">
        <v>4593</v>
      </c>
      <c r="K765" s="221">
        <f t="shared" si="23"/>
        <v>17391</v>
      </c>
      <c r="L765" s="232"/>
      <c r="M765" s="233">
        <v>817</v>
      </c>
      <c r="N765" s="233">
        <v>0</v>
      </c>
      <c r="O765" s="232">
        <v>0</v>
      </c>
      <c r="P765" s="221">
        <f t="shared" si="24"/>
        <v>817</v>
      </c>
      <c r="Q765" s="232"/>
      <c r="R765" s="233">
        <v>9731</v>
      </c>
      <c r="S765" s="234">
        <v>1469</v>
      </c>
      <c r="T765" s="234">
        <v>11200</v>
      </c>
    </row>
    <row r="766" spans="1:20">
      <c r="A766" s="227">
        <v>98231</v>
      </c>
      <c r="B766" s="228" t="s">
        <v>1475</v>
      </c>
      <c r="C766" s="87">
        <v>2.2799999999999999E-5</v>
      </c>
      <c r="D766" s="87">
        <v>3.1999999999999999E-5</v>
      </c>
      <c r="E766" s="232">
        <v>34832</v>
      </c>
      <c r="F766" s="232"/>
      <c r="G766" s="233">
        <v>2007</v>
      </c>
      <c r="H766" s="221">
        <v>8457</v>
      </c>
      <c r="I766" s="233">
        <v>4975</v>
      </c>
      <c r="J766" s="232">
        <v>1705</v>
      </c>
      <c r="K766" s="221">
        <f t="shared" si="23"/>
        <v>17144</v>
      </c>
      <c r="L766" s="232"/>
      <c r="M766" s="233">
        <v>986</v>
      </c>
      <c r="N766" s="233">
        <v>0</v>
      </c>
      <c r="O766" s="232">
        <v>9632</v>
      </c>
      <c r="P766" s="221">
        <f t="shared" si="24"/>
        <v>10618</v>
      </c>
      <c r="Q766" s="232"/>
      <c r="R766" s="233">
        <v>11738</v>
      </c>
      <c r="S766" s="234">
        <v>-3592</v>
      </c>
      <c r="T766" s="234">
        <v>8146</v>
      </c>
    </row>
    <row r="767" spans="1:20">
      <c r="A767" s="227">
        <v>98237</v>
      </c>
      <c r="B767" s="228" t="s">
        <v>1476</v>
      </c>
      <c r="C767" s="87">
        <v>5.9000000000000003E-6</v>
      </c>
      <c r="D767" s="87">
        <v>2.7E-6</v>
      </c>
      <c r="E767" s="232">
        <v>9014</v>
      </c>
      <c r="F767" s="232"/>
      <c r="G767" s="233">
        <v>519</v>
      </c>
      <c r="H767" s="221">
        <v>2188</v>
      </c>
      <c r="I767" s="233">
        <v>1287</v>
      </c>
      <c r="J767" s="232">
        <v>5034</v>
      </c>
      <c r="K767" s="221">
        <f t="shared" si="23"/>
        <v>9028</v>
      </c>
      <c r="L767" s="232"/>
      <c r="M767" s="233">
        <v>255</v>
      </c>
      <c r="N767" s="233">
        <v>0</v>
      </c>
      <c r="O767" s="232">
        <v>0</v>
      </c>
      <c r="P767" s="221">
        <f t="shared" si="24"/>
        <v>255</v>
      </c>
      <c r="Q767" s="232"/>
      <c r="R767" s="233">
        <v>3038</v>
      </c>
      <c r="S767" s="234">
        <v>1666</v>
      </c>
      <c r="T767" s="234">
        <v>4704</v>
      </c>
    </row>
    <row r="768" spans="1:20">
      <c r="A768" s="227">
        <v>98241</v>
      </c>
      <c r="B768" s="228" t="s">
        <v>1477</v>
      </c>
      <c r="C768" s="87">
        <v>1.5099999999999999E-5</v>
      </c>
      <c r="D768" s="87">
        <v>1.98E-5</v>
      </c>
      <c r="E768" s="232">
        <v>23069</v>
      </c>
      <c r="F768" s="232"/>
      <c r="G768" s="233">
        <v>1329</v>
      </c>
      <c r="H768" s="221">
        <v>5602</v>
      </c>
      <c r="I768" s="233">
        <v>3295</v>
      </c>
      <c r="J768" s="232">
        <v>5512</v>
      </c>
      <c r="K768" s="221">
        <f t="shared" si="23"/>
        <v>15738</v>
      </c>
      <c r="L768" s="232"/>
      <c r="M768" s="233">
        <v>653</v>
      </c>
      <c r="N768" s="233">
        <v>0</v>
      </c>
      <c r="O768" s="232">
        <v>2200</v>
      </c>
      <c r="P768" s="221">
        <f t="shared" si="24"/>
        <v>2853</v>
      </c>
      <c r="Q768" s="232"/>
      <c r="R768" s="233">
        <v>7774</v>
      </c>
      <c r="S768" s="234">
        <v>2564</v>
      </c>
      <c r="T768" s="234">
        <f>10339-1</f>
        <v>10338</v>
      </c>
    </row>
    <row r="769" spans="1:20">
      <c r="A769" s="227">
        <v>98251</v>
      </c>
      <c r="B769" s="228" t="s">
        <v>1478</v>
      </c>
      <c r="C769" s="87">
        <v>3.0000000000000001E-6</v>
      </c>
      <c r="D769" s="87">
        <v>3.1E-6</v>
      </c>
      <c r="E769" s="232">
        <v>4583</v>
      </c>
      <c r="F769" s="232"/>
      <c r="G769" s="233">
        <v>264</v>
      </c>
      <c r="H769" s="221">
        <v>1113</v>
      </c>
      <c r="I769" s="233">
        <v>655</v>
      </c>
      <c r="J769" s="232">
        <v>1375</v>
      </c>
      <c r="K769" s="221">
        <f t="shared" si="23"/>
        <v>3407</v>
      </c>
      <c r="L769" s="232"/>
      <c r="M769" s="233">
        <v>130</v>
      </c>
      <c r="N769" s="233">
        <v>0</v>
      </c>
      <c r="O769" s="232">
        <v>0</v>
      </c>
      <c r="P769" s="221">
        <f t="shared" si="24"/>
        <v>130</v>
      </c>
      <c r="Q769" s="232"/>
      <c r="R769" s="233">
        <v>1545</v>
      </c>
      <c r="S769" s="234">
        <v>561</v>
      </c>
      <c r="T769" s="234">
        <v>2106</v>
      </c>
    </row>
    <row r="770" spans="1:20">
      <c r="A770" s="227">
        <v>98261</v>
      </c>
      <c r="B770" s="228" t="s">
        <v>1479</v>
      </c>
      <c r="C770" s="87">
        <v>3.3200000000000001E-5</v>
      </c>
      <c r="D770" s="87">
        <v>2.97E-5</v>
      </c>
      <c r="E770" s="232">
        <v>50720</v>
      </c>
      <c r="F770" s="232"/>
      <c r="G770" s="233">
        <v>2922</v>
      </c>
      <c r="H770" s="221">
        <v>12315</v>
      </c>
      <c r="I770" s="233">
        <v>7244</v>
      </c>
      <c r="J770" s="232">
        <v>6546</v>
      </c>
      <c r="K770" s="221">
        <f t="shared" si="23"/>
        <v>29027</v>
      </c>
      <c r="L770" s="232"/>
      <c r="M770" s="233">
        <v>1436</v>
      </c>
      <c r="N770" s="233">
        <v>0</v>
      </c>
      <c r="O770" s="232">
        <v>4922</v>
      </c>
      <c r="P770" s="221">
        <f t="shared" si="24"/>
        <v>6358</v>
      </c>
      <c r="Q770" s="232"/>
      <c r="R770" s="233">
        <v>17093</v>
      </c>
      <c r="S770" s="234">
        <v>793</v>
      </c>
      <c r="T770" s="234">
        <v>17886</v>
      </c>
    </row>
    <row r="771" spans="1:20">
      <c r="A771" s="227">
        <v>98271</v>
      </c>
      <c r="B771" s="228" t="s">
        <v>1480</v>
      </c>
      <c r="C771" s="87">
        <v>5.1000000000000003E-6</v>
      </c>
      <c r="D771" s="87">
        <v>4.5000000000000001E-6</v>
      </c>
      <c r="E771" s="232">
        <v>7791</v>
      </c>
      <c r="F771" s="232"/>
      <c r="G771" s="233">
        <v>449</v>
      </c>
      <c r="H771" s="221">
        <v>1891</v>
      </c>
      <c r="I771" s="233">
        <v>1113</v>
      </c>
      <c r="J771" s="232">
        <v>3229</v>
      </c>
      <c r="K771" s="221">
        <f t="shared" si="23"/>
        <v>6682</v>
      </c>
      <c r="L771" s="232"/>
      <c r="M771" s="233">
        <v>221</v>
      </c>
      <c r="N771" s="233">
        <v>0</v>
      </c>
      <c r="O771" s="232">
        <v>0</v>
      </c>
      <c r="P771" s="221">
        <f t="shared" si="24"/>
        <v>221</v>
      </c>
      <c r="Q771" s="232"/>
      <c r="R771" s="233">
        <v>2626</v>
      </c>
      <c r="S771" s="234">
        <v>1560</v>
      </c>
      <c r="T771" s="234">
        <f>4185+1</f>
        <v>4186</v>
      </c>
    </row>
    <row r="772" spans="1:20">
      <c r="A772" s="227">
        <v>98301</v>
      </c>
      <c r="B772" s="228" t="s">
        <v>1481</v>
      </c>
      <c r="C772" s="87">
        <v>1.7542E-3</v>
      </c>
      <c r="D772" s="87">
        <v>1.7776999999999999E-3</v>
      </c>
      <c r="E772" s="232">
        <v>2679932</v>
      </c>
      <c r="F772" s="232"/>
      <c r="G772" s="233">
        <v>154389</v>
      </c>
      <c r="H772" s="221">
        <v>650690</v>
      </c>
      <c r="I772" s="233">
        <v>382731</v>
      </c>
      <c r="J772" s="232">
        <v>51704</v>
      </c>
      <c r="K772" s="221">
        <f t="shared" si="23"/>
        <v>1239514</v>
      </c>
      <c r="L772" s="232"/>
      <c r="M772" s="233">
        <v>75860</v>
      </c>
      <c r="N772" s="233">
        <v>0</v>
      </c>
      <c r="O772" s="232">
        <v>7816</v>
      </c>
      <c r="P772" s="221">
        <f t="shared" si="24"/>
        <v>83676</v>
      </c>
      <c r="Q772" s="232"/>
      <c r="R772" s="233">
        <v>903139</v>
      </c>
      <c r="S772" s="234">
        <v>17344</v>
      </c>
      <c r="T772" s="234">
        <v>920483</v>
      </c>
    </row>
    <row r="773" spans="1:20">
      <c r="A773" s="227">
        <v>98304</v>
      </c>
      <c r="B773" s="228" t="s">
        <v>1482</v>
      </c>
      <c r="C773" s="87">
        <v>2.0999999999999999E-5</v>
      </c>
      <c r="D773" s="87">
        <v>2.2900000000000001E-5</v>
      </c>
      <c r="E773" s="232">
        <v>32082</v>
      </c>
      <c r="F773" s="232"/>
      <c r="G773" s="233">
        <v>1848</v>
      </c>
      <c r="H773" s="221">
        <v>7790</v>
      </c>
      <c r="I773" s="233">
        <v>4582</v>
      </c>
      <c r="J773" s="232">
        <v>2290</v>
      </c>
      <c r="K773" s="221">
        <f t="shared" si="23"/>
        <v>16510</v>
      </c>
      <c r="L773" s="232"/>
      <c r="M773" s="233">
        <v>908</v>
      </c>
      <c r="N773" s="233">
        <v>0</v>
      </c>
      <c r="O773" s="232">
        <v>0</v>
      </c>
      <c r="P773" s="221">
        <f t="shared" si="24"/>
        <v>908</v>
      </c>
      <c r="Q773" s="232"/>
      <c r="R773" s="233">
        <v>10812</v>
      </c>
      <c r="S773" s="234">
        <v>818</v>
      </c>
      <c r="T773" s="234">
        <f>11629+1</f>
        <v>11630</v>
      </c>
    </row>
    <row r="774" spans="1:20">
      <c r="A774" s="227">
        <v>98308</v>
      </c>
      <c r="B774" s="228" t="s">
        <v>1483</v>
      </c>
      <c r="C774" s="87">
        <v>2.37E-5</v>
      </c>
      <c r="D774" s="87">
        <v>2.55E-5</v>
      </c>
      <c r="E774" s="232">
        <v>36207</v>
      </c>
      <c r="F774" s="232"/>
      <c r="G774" s="233">
        <v>2086</v>
      </c>
      <c r="H774" s="221">
        <v>8791</v>
      </c>
      <c r="I774" s="233">
        <v>5171</v>
      </c>
      <c r="J774" s="232">
        <v>7272</v>
      </c>
      <c r="K774" s="221">
        <f t="shared" si="23"/>
        <v>23320</v>
      </c>
      <c r="L774" s="232"/>
      <c r="M774" s="233">
        <v>1025</v>
      </c>
      <c r="N774" s="233">
        <v>0</v>
      </c>
      <c r="O774" s="232">
        <v>0</v>
      </c>
      <c r="P774" s="221">
        <f t="shared" si="24"/>
        <v>1025</v>
      </c>
      <c r="Q774" s="232"/>
      <c r="R774" s="233">
        <v>12202</v>
      </c>
      <c r="S774" s="234">
        <v>3390</v>
      </c>
      <c r="T774" s="234">
        <v>15592</v>
      </c>
    </row>
    <row r="775" spans="1:20">
      <c r="A775" s="227">
        <v>98311</v>
      </c>
      <c r="B775" s="228" t="s">
        <v>1484</v>
      </c>
      <c r="C775" s="87">
        <v>1.1536000000000001E-3</v>
      </c>
      <c r="D775" s="87">
        <v>1.1441999999999999E-3</v>
      </c>
      <c r="E775" s="232">
        <v>1762381</v>
      </c>
      <c r="F775" s="232"/>
      <c r="G775" s="233">
        <v>101529</v>
      </c>
      <c r="H775" s="221">
        <v>427908</v>
      </c>
      <c r="I775" s="233">
        <v>251692</v>
      </c>
      <c r="J775" s="232">
        <v>12653</v>
      </c>
      <c r="K775" s="221">
        <f t="shared" si="23"/>
        <v>793782</v>
      </c>
      <c r="L775" s="232"/>
      <c r="M775" s="233">
        <v>49887</v>
      </c>
      <c r="N775" s="233">
        <v>0</v>
      </c>
      <c r="O775" s="232">
        <v>98661</v>
      </c>
      <c r="P775" s="221">
        <f t="shared" si="24"/>
        <v>148548</v>
      </c>
      <c r="Q775" s="232"/>
      <c r="R775" s="233">
        <v>593924</v>
      </c>
      <c r="S775" s="234">
        <v>-18424</v>
      </c>
      <c r="T775" s="234">
        <f>575501-1</f>
        <v>575500</v>
      </c>
    </row>
    <row r="776" spans="1:20">
      <c r="A776" s="227">
        <v>98313</v>
      </c>
      <c r="B776" s="228" t="s">
        <v>1485</v>
      </c>
      <c r="C776" s="87">
        <v>2.3560000000000001E-4</v>
      </c>
      <c r="D776" s="87">
        <v>2.4240000000000001E-4</v>
      </c>
      <c r="E776" s="232">
        <v>359932</v>
      </c>
      <c r="F776" s="232"/>
      <c r="G776" s="233">
        <v>20735</v>
      </c>
      <c r="H776" s="221">
        <v>87392</v>
      </c>
      <c r="I776" s="233">
        <v>51403</v>
      </c>
      <c r="J776" s="232">
        <v>233571</v>
      </c>
      <c r="K776" s="221">
        <f t="shared" si="23"/>
        <v>393101</v>
      </c>
      <c r="L776" s="232"/>
      <c r="M776" s="233">
        <v>10189</v>
      </c>
      <c r="N776" s="233">
        <v>0</v>
      </c>
      <c r="O776" s="232">
        <v>59</v>
      </c>
      <c r="P776" s="221">
        <f t="shared" si="24"/>
        <v>10248</v>
      </c>
      <c r="Q776" s="232"/>
      <c r="R776" s="233">
        <v>121297</v>
      </c>
      <c r="S776" s="234">
        <v>77966</v>
      </c>
      <c r="T776" s="234">
        <v>199263</v>
      </c>
    </row>
    <row r="777" spans="1:20">
      <c r="A777" s="227">
        <v>98321</v>
      </c>
      <c r="B777" s="228" t="s">
        <v>1486</v>
      </c>
      <c r="C777" s="87">
        <v>2.05E-5</v>
      </c>
      <c r="D777" s="87">
        <v>2.1399999999999998E-5</v>
      </c>
      <c r="E777" s="232">
        <v>31318</v>
      </c>
      <c r="F777" s="232"/>
      <c r="G777" s="233">
        <v>1804</v>
      </c>
      <c r="H777" s="221">
        <v>7604</v>
      </c>
      <c r="I777" s="233">
        <v>4473</v>
      </c>
      <c r="J777" s="232">
        <v>1639</v>
      </c>
      <c r="K777" s="221">
        <f t="shared" si="23"/>
        <v>15520</v>
      </c>
      <c r="L777" s="232"/>
      <c r="M777" s="233">
        <v>887</v>
      </c>
      <c r="N777" s="233">
        <v>0</v>
      </c>
      <c r="O777" s="232">
        <v>3066</v>
      </c>
      <c r="P777" s="221">
        <f t="shared" si="24"/>
        <v>3953</v>
      </c>
      <c r="Q777" s="232"/>
      <c r="R777" s="233">
        <v>10554</v>
      </c>
      <c r="S777" s="234">
        <v>472</v>
      </c>
      <c r="T777" s="234">
        <v>11026</v>
      </c>
    </row>
    <row r="778" spans="1:20">
      <c r="A778" s="227">
        <v>98331</v>
      </c>
      <c r="B778" s="228" t="s">
        <v>1487</v>
      </c>
      <c r="C778" s="87">
        <v>9.7999999999999993E-6</v>
      </c>
      <c r="D778" s="87">
        <v>1.03E-5</v>
      </c>
      <c r="E778" s="232">
        <v>14972</v>
      </c>
      <c r="F778" s="232"/>
      <c r="G778" s="233">
        <v>863</v>
      </c>
      <c r="H778" s="221">
        <v>3635</v>
      </c>
      <c r="I778" s="233">
        <v>2138</v>
      </c>
      <c r="J778" s="232">
        <v>3035</v>
      </c>
      <c r="K778" s="221">
        <f t="shared" ref="K778:K841" si="25">G778+H778+I778+J778</f>
        <v>9671</v>
      </c>
      <c r="L778" s="232"/>
      <c r="M778" s="233">
        <v>424</v>
      </c>
      <c r="N778" s="233">
        <v>0</v>
      </c>
      <c r="O778" s="232">
        <v>132</v>
      </c>
      <c r="P778" s="221">
        <f t="shared" ref="P778:P841" si="26">M778+N778+O778</f>
        <v>556</v>
      </c>
      <c r="Q778" s="232"/>
      <c r="R778" s="233">
        <v>5045</v>
      </c>
      <c r="S778" s="234">
        <v>972</v>
      </c>
      <c r="T778" s="234">
        <f>6018-1</f>
        <v>6017</v>
      </c>
    </row>
    <row r="779" spans="1:20">
      <c r="A779" s="227">
        <v>98401</v>
      </c>
      <c r="B779" s="228" t="s">
        <v>1488</v>
      </c>
      <c r="C779" s="87">
        <v>2.7655000000000002E-3</v>
      </c>
      <c r="D779" s="87">
        <v>2.7567999999999998E-3</v>
      </c>
      <c r="E779" s="232">
        <v>4224918</v>
      </c>
      <c r="F779" s="232"/>
      <c r="G779" s="233">
        <v>243394</v>
      </c>
      <c r="H779" s="221">
        <v>1025815</v>
      </c>
      <c r="I779" s="233">
        <v>603377</v>
      </c>
      <c r="J779" s="232">
        <v>168129</v>
      </c>
      <c r="K779" s="221">
        <f t="shared" si="25"/>
        <v>2040715</v>
      </c>
      <c r="L779" s="232"/>
      <c r="M779" s="233">
        <v>119594</v>
      </c>
      <c r="N779" s="233">
        <v>0</v>
      </c>
      <c r="O779" s="232">
        <v>6292</v>
      </c>
      <c r="P779" s="221">
        <f t="shared" si="26"/>
        <v>125886</v>
      </c>
      <c r="Q779" s="232"/>
      <c r="R779" s="233">
        <v>1423801</v>
      </c>
      <c r="S779" s="234">
        <v>58759</v>
      </c>
      <c r="T779" s="234">
        <v>1482560</v>
      </c>
    </row>
    <row r="780" spans="1:20">
      <c r="A780" s="227">
        <v>98404</v>
      </c>
      <c r="B780" s="228" t="s">
        <v>1489</v>
      </c>
      <c r="C780" s="87">
        <v>1.52E-5</v>
      </c>
      <c r="D780" s="87">
        <v>0</v>
      </c>
      <c r="E780" s="232">
        <v>23221</v>
      </c>
      <c r="F780" s="232"/>
      <c r="G780" s="233">
        <v>1338</v>
      </c>
      <c r="H780" s="221">
        <v>5638</v>
      </c>
      <c r="I780" s="233">
        <v>3316</v>
      </c>
      <c r="J780" s="232">
        <v>9290</v>
      </c>
      <c r="K780" s="221">
        <f t="shared" si="25"/>
        <v>19582</v>
      </c>
      <c r="L780" s="232"/>
      <c r="M780" s="233">
        <v>657</v>
      </c>
      <c r="N780" s="233">
        <v>0</v>
      </c>
      <c r="O780" s="232">
        <v>0</v>
      </c>
      <c r="P780" s="221">
        <f t="shared" si="26"/>
        <v>657</v>
      </c>
      <c r="Q780" s="232"/>
      <c r="R780" s="233">
        <v>7826</v>
      </c>
      <c r="S780" s="234">
        <v>2323</v>
      </c>
      <c r="T780" s="234">
        <f>10148+1</f>
        <v>10149</v>
      </c>
    </row>
    <row r="781" spans="1:20">
      <c r="A781" s="227">
        <v>98411</v>
      </c>
      <c r="B781" s="228" t="s">
        <v>1490</v>
      </c>
      <c r="C781" s="87">
        <v>1.9816E-3</v>
      </c>
      <c r="D781" s="87">
        <v>2.0076999999999998E-3</v>
      </c>
      <c r="E781" s="232">
        <v>3027336</v>
      </c>
      <c r="F781" s="232"/>
      <c r="G781" s="233">
        <v>174403</v>
      </c>
      <c r="H781" s="221">
        <v>735040</v>
      </c>
      <c r="I781" s="233">
        <v>432345</v>
      </c>
      <c r="J781" s="232">
        <v>3986</v>
      </c>
      <c r="K781" s="221">
        <f t="shared" si="25"/>
        <v>1345774</v>
      </c>
      <c r="L781" s="232"/>
      <c r="M781" s="233">
        <v>85694</v>
      </c>
      <c r="N781" s="233">
        <v>0</v>
      </c>
      <c r="O781" s="232">
        <v>73699</v>
      </c>
      <c r="P781" s="221">
        <f t="shared" si="26"/>
        <v>159393</v>
      </c>
      <c r="Q781" s="232"/>
      <c r="R781" s="233">
        <v>1020215</v>
      </c>
      <c r="S781" s="234">
        <v>-19116</v>
      </c>
      <c r="T781" s="234">
        <v>1001099</v>
      </c>
    </row>
    <row r="782" spans="1:20">
      <c r="A782" s="227">
        <v>98414</v>
      </c>
      <c r="B782" s="228" t="s">
        <v>1491</v>
      </c>
      <c r="C782" s="239">
        <f>0.00283%+0.00102%</f>
        <v>3.8500000000000001E-5</v>
      </c>
      <c r="D782" s="87">
        <v>4.3600000000000003E-5</v>
      </c>
      <c r="E782" s="232">
        <f>43235+15583</f>
        <v>58818</v>
      </c>
      <c r="F782" s="232"/>
      <c r="G782" s="233">
        <f>2491+898</f>
        <v>3389</v>
      </c>
      <c r="H782" s="221">
        <v>14282</v>
      </c>
      <c r="I782" s="233">
        <f>6174+2225</f>
        <v>8399</v>
      </c>
      <c r="J782" s="232">
        <v>14474</v>
      </c>
      <c r="K782" s="221">
        <f t="shared" si="25"/>
        <v>40544</v>
      </c>
      <c r="L782" s="232"/>
      <c r="M782" s="233">
        <f>1224+441</f>
        <v>1665</v>
      </c>
      <c r="N782" s="233">
        <v>0</v>
      </c>
      <c r="O782" s="232">
        <f>0+24505</f>
        <v>24505</v>
      </c>
      <c r="P782" s="221">
        <f t="shared" si="26"/>
        <v>26170</v>
      </c>
      <c r="Q782" s="232"/>
      <c r="R782" s="233">
        <f>14570+5251</f>
        <v>19821</v>
      </c>
      <c r="S782" s="234">
        <f>3619-7460</f>
        <v>-3841</v>
      </c>
      <c r="T782" s="234">
        <f>18189-2209</f>
        <v>15980</v>
      </c>
    </row>
    <row r="783" spans="1:20">
      <c r="A783" s="227">
        <v>98417</v>
      </c>
      <c r="B783" s="228" t="s">
        <v>1492</v>
      </c>
      <c r="C783" s="87">
        <v>2.2900000000000001E-5</v>
      </c>
      <c r="D783" s="87">
        <v>2.4899999999999999E-5</v>
      </c>
      <c r="E783" s="232">
        <v>34985</v>
      </c>
      <c r="F783" s="232"/>
      <c r="G783" s="233">
        <v>2015</v>
      </c>
      <c r="H783" s="221">
        <v>8494</v>
      </c>
      <c r="I783" s="233">
        <v>4996</v>
      </c>
      <c r="J783" s="232">
        <v>2511</v>
      </c>
      <c r="K783" s="221">
        <f t="shared" si="25"/>
        <v>18016</v>
      </c>
      <c r="L783" s="232"/>
      <c r="M783" s="233">
        <v>990</v>
      </c>
      <c r="N783" s="233">
        <v>0</v>
      </c>
      <c r="O783" s="232">
        <v>424</v>
      </c>
      <c r="P783" s="221">
        <f t="shared" si="26"/>
        <v>1414</v>
      </c>
      <c r="Q783" s="232"/>
      <c r="R783" s="233">
        <v>11790</v>
      </c>
      <c r="S783" s="234">
        <v>315</v>
      </c>
      <c r="T783" s="234">
        <v>12105</v>
      </c>
    </row>
    <row r="784" spans="1:20">
      <c r="A784" s="227">
        <v>98421</v>
      </c>
      <c r="B784" s="228" t="s">
        <v>1493</v>
      </c>
      <c r="C784" s="87">
        <v>8.2700000000000004E-5</v>
      </c>
      <c r="D784" s="87">
        <v>1.0840000000000001E-4</v>
      </c>
      <c r="E784" s="232">
        <v>126343</v>
      </c>
      <c r="F784" s="232"/>
      <c r="G784" s="233">
        <v>7279</v>
      </c>
      <c r="H784" s="221">
        <v>30676</v>
      </c>
      <c r="I784" s="233">
        <v>18043</v>
      </c>
      <c r="J784" s="232">
        <v>5132</v>
      </c>
      <c r="K784" s="221">
        <f t="shared" si="25"/>
        <v>61130</v>
      </c>
      <c r="L784" s="232"/>
      <c r="M784" s="233">
        <v>3576</v>
      </c>
      <c r="N784" s="233">
        <v>0</v>
      </c>
      <c r="O784" s="232">
        <v>12725</v>
      </c>
      <c r="P784" s="221">
        <f t="shared" si="26"/>
        <v>16301</v>
      </c>
      <c r="Q784" s="232"/>
      <c r="R784" s="233">
        <v>42578</v>
      </c>
      <c r="S784" s="234">
        <v>-911</v>
      </c>
      <c r="T784" s="234">
        <v>41667</v>
      </c>
    </row>
    <row r="785" spans="1:20">
      <c r="A785" s="227">
        <v>98427</v>
      </c>
      <c r="B785" s="228" t="s">
        <v>1494</v>
      </c>
      <c r="C785" s="87">
        <v>3.9999999999999998E-6</v>
      </c>
      <c r="D785" s="87">
        <v>4.6E-6</v>
      </c>
      <c r="E785" s="232">
        <v>6111</v>
      </c>
      <c r="F785" s="232"/>
      <c r="G785" s="233">
        <v>352</v>
      </c>
      <c r="H785" s="221">
        <v>1484</v>
      </c>
      <c r="I785" s="233">
        <v>873</v>
      </c>
      <c r="J785" s="232">
        <v>1351</v>
      </c>
      <c r="K785" s="221">
        <f t="shared" si="25"/>
        <v>4060</v>
      </c>
      <c r="L785" s="232"/>
      <c r="M785" s="233">
        <v>173</v>
      </c>
      <c r="N785" s="233">
        <v>0</v>
      </c>
      <c r="O785" s="232">
        <v>0</v>
      </c>
      <c r="P785" s="221">
        <f t="shared" si="26"/>
        <v>173</v>
      </c>
      <c r="Q785" s="232"/>
      <c r="R785" s="233">
        <v>2059</v>
      </c>
      <c r="S785" s="234">
        <v>487</v>
      </c>
      <c r="T785" s="234">
        <f>2547-1</f>
        <v>2546</v>
      </c>
    </row>
    <row r="786" spans="1:20">
      <c r="A786" s="227">
        <v>98431</v>
      </c>
      <c r="B786" s="228" t="s">
        <v>1495</v>
      </c>
      <c r="C786" s="87">
        <v>2.0589999999999999E-4</v>
      </c>
      <c r="D786" s="87">
        <v>2.0010000000000001E-4</v>
      </c>
      <c r="E786" s="232">
        <v>314558</v>
      </c>
      <c r="F786" s="232"/>
      <c r="G786" s="233">
        <v>18121</v>
      </c>
      <c r="H786" s="221">
        <v>76375</v>
      </c>
      <c r="I786" s="233">
        <v>44923</v>
      </c>
      <c r="J786" s="232">
        <v>1246</v>
      </c>
      <c r="K786" s="221">
        <f t="shared" si="25"/>
        <v>140665</v>
      </c>
      <c r="L786" s="232"/>
      <c r="M786" s="233">
        <v>8904</v>
      </c>
      <c r="N786" s="233">
        <v>0</v>
      </c>
      <c r="O786" s="232">
        <v>24844</v>
      </c>
      <c r="P786" s="221">
        <f t="shared" si="26"/>
        <v>33748</v>
      </c>
      <c r="Q786" s="232"/>
      <c r="R786" s="233">
        <v>106006</v>
      </c>
      <c r="S786" s="234">
        <v>-7635</v>
      </c>
      <c r="T786" s="234">
        <f>98372-1</f>
        <v>98371</v>
      </c>
    </row>
    <row r="787" spans="1:20">
      <c r="A787" s="227">
        <v>98441</v>
      </c>
      <c r="B787" s="228" t="s">
        <v>1496</v>
      </c>
      <c r="C787" s="87">
        <v>8.2700000000000004E-5</v>
      </c>
      <c r="D787" s="87">
        <v>9.1000000000000003E-5</v>
      </c>
      <c r="E787" s="232">
        <v>126343</v>
      </c>
      <c r="F787" s="232"/>
      <c r="G787" s="233">
        <v>7279</v>
      </c>
      <c r="H787" s="221">
        <v>30676</v>
      </c>
      <c r="I787" s="233">
        <v>18043</v>
      </c>
      <c r="J787" s="232">
        <v>570</v>
      </c>
      <c r="K787" s="221">
        <f t="shared" si="25"/>
        <v>56568</v>
      </c>
      <c r="L787" s="232"/>
      <c r="M787" s="233">
        <v>3576</v>
      </c>
      <c r="N787" s="233">
        <v>0</v>
      </c>
      <c r="O787" s="232">
        <v>22406</v>
      </c>
      <c r="P787" s="221">
        <f t="shared" si="26"/>
        <v>25982</v>
      </c>
      <c r="Q787" s="232"/>
      <c r="R787" s="233">
        <v>42578</v>
      </c>
      <c r="S787" s="234">
        <v>-8026</v>
      </c>
      <c r="T787" s="234">
        <v>34552</v>
      </c>
    </row>
    <row r="788" spans="1:20">
      <c r="A788" s="227">
        <v>98451</v>
      </c>
      <c r="B788" s="228" t="s">
        <v>1497</v>
      </c>
      <c r="C788" s="87">
        <v>5.7000000000000003E-5</v>
      </c>
      <c r="D788" s="87">
        <v>5.6199999999999997E-5</v>
      </c>
      <c r="E788" s="232">
        <v>87080</v>
      </c>
      <c r="F788" s="232"/>
      <c r="G788" s="233">
        <v>5017</v>
      </c>
      <c r="H788" s="221">
        <v>21143</v>
      </c>
      <c r="I788" s="233">
        <v>12436</v>
      </c>
      <c r="J788" s="232">
        <v>508</v>
      </c>
      <c r="K788" s="221">
        <f t="shared" si="25"/>
        <v>39104</v>
      </c>
      <c r="L788" s="232"/>
      <c r="M788" s="233">
        <v>2465</v>
      </c>
      <c r="N788" s="233">
        <v>0</v>
      </c>
      <c r="O788" s="232">
        <v>1478</v>
      </c>
      <c r="P788" s="221">
        <f t="shared" si="26"/>
        <v>3943</v>
      </c>
      <c r="Q788" s="232"/>
      <c r="R788" s="233">
        <v>29346</v>
      </c>
      <c r="S788" s="234">
        <v>-530</v>
      </c>
      <c r="T788" s="234">
        <v>28816</v>
      </c>
    </row>
    <row r="789" spans="1:20">
      <c r="A789" s="227">
        <v>98481</v>
      </c>
      <c r="B789" s="228" t="s">
        <v>1498</v>
      </c>
      <c r="C789" s="87">
        <v>6.3899999999999995E-5</v>
      </c>
      <c r="D789" s="87">
        <v>6.7700000000000006E-5</v>
      </c>
      <c r="E789" s="232">
        <v>97621</v>
      </c>
      <c r="F789" s="232"/>
      <c r="G789" s="233">
        <v>5624</v>
      </c>
      <c r="H789" s="221">
        <v>23703</v>
      </c>
      <c r="I789" s="233">
        <v>13942</v>
      </c>
      <c r="J789" s="232">
        <v>1545</v>
      </c>
      <c r="K789" s="221">
        <f t="shared" si="25"/>
        <v>44814</v>
      </c>
      <c r="L789" s="232"/>
      <c r="M789" s="233">
        <v>2763</v>
      </c>
      <c r="N789" s="233">
        <v>0</v>
      </c>
      <c r="O789" s="232">
        <v>5772</v>
      </c>
      <c r="P789" s="221">
        <f t="shared" si="26"/>
        <v>8535</v>
      </c>
      <c r="Q789" s="232"/>
      <c r="R789" s="233">
        <v>32899</v>
      </c>
      <c r="S789" s="234">
        <v>-35</v>
      </c>
      <c r="T789" s="234">
        <f>32863+1</f>
        <v>32864</v>
      </c>
    </row>
    <row r="790" spans="1:20">
      <c r="A790" s="227">
        <v>98501</v>
      </c>
      <c r="B790" s="228" t="s">
        <v>1499</v>
      </c>
      <c r="C790" s="87">
        <v>1.6022E-3</v>
      </c>
      <c r="D790" s="87">
        <v>1.5690999999999999E-3</v>
      </c>
      <c r="E790" s="232">
        <v>2447718</v>
      </c>
      <c r="F790" s="232"/>
      <c r="G790" s="233">
        <v>141011</v>
      </c>
      <c r="H790" s="221">
        <v>594309</v>
      </c>
      <c r="I790" s="233">
        <v>349568</v>
      </c>
      <c r="J790" s="232">
        <v>75098</v>
      </c>
      <c r="K790" s="221">
        <f t="shared" si="25"/>
        <v>1159986</v>
      </c>
      <c r="L790" s="232"/>
      <c r="M790" s="233">
        <v>69287</v>
      </c>
      <c r="N790" s="233">
        <v>0</v>
      </c>
      <c r="O790" s="232">
        <v>2932</v>
      </c>
      <c r="P790" s="221">
        <f t="shared" si="26"/>
        <v>72219</v>
      </c>
      <c r="Q790" s="232"/>
      <c r="R790" s="233">
        <v>824883</v>
      </c>
      <c r="S790" s="234">
        <v>19182</v>
      </c>
      <c r="T790" s="234">
        <v>844065</v>
      </c>
    </row>
    <row r="791" spans="1:20">
      <c r="A791" s="227">
        <v>98511</v>
      </c>
      <c r="B791" s="228" t="s">
        <v>1500</v>
      </c>
      <c r="C791" s="87">
        <v>4.8000000000000001E-5</v>
      </c>
      <c r="D791" s="87">
        <v>4.5800000000000002E-5</v>
      </c>
      <c r="E791" s="232">
        <v>73331</v>
      </c>
      <c r="F791" s="232"/>
      <c r="G791" s="233">
        <v>4225</v>
      </c>
      <c r="H791" s="221">
        <v>17804</v>
      </c>
      <c r="I791" s="233">
        <v>10473</v>
      </c>
      <c r="J791" s="232">
        <v>5918</v>
      </c>
      <c r="K791" s="221">
        <f t="shared" si="25"/>
        <v>38420</v>
      </c>
      <c r="L791" s="232"/>
      <c r="M791" s="233">
        <v>2076</v>
      </c>
      <c r="N791" s="233">
        <v>0</v>
      </c>
      <c r="O791" s="232">
        <v>11919</v>
      </c>
      <c r="P791" s="221">
        <f t="shared" si="26"/>
        <v>13995</v>
      </c>
      <c r="Q791" s="232"/>
      <c r="R791" s="233">
        <v>24713</v>
      </c>
      <c r="S791" s="234">
        <v>-9378</v>
      </c>
      <c r="T791" s="234">
        <f>15334+1</f>
        <v>15335</v>
      </c>
    </row>
    <row r="792" spans="1:20">
      <c r="A792" s="227">
        <v>98517</v>
      </c>
      <c r="B792" s="228" t="s">
        <v>1501</v>
      </c>
      <c r="C792" s="87">
        <v>2.3E-6</v>
      </c>
      <c r="D792" s="87">
        <v>2.6000000000000001E-6</v>
      </c>
      <c r="E792" s="232">
        <v>3514</v>
      </c>
      <c r="F792" s="232"/>
      <c r="G792" s="233">
        <v>202</v>
      </c>
      <c r="H792" s="221">
        <v>854</v>
      </c>
      <c r="I792" s="233">
        <v>502</v>
      </c>
      <c r="J792" s="232">
        <v>1623</v>
      </c>
      <c r="K792" s="221">
        <f t="shared" si="25"/>
        <v>3181</v>
      </c>
      <c r="L792" s="232"/>
      <c r="M792" s="233">
        <v>99</v>
      </c>
      <c r="N792" s="233">
        <v>0</v>
      </c>
      <c r="O792" s="232">
        <v>0</v>
      </c>
      <c r="P792" s="221">
        <f t="shared" si="26"/>
        <v>99</v>
      </c>
      <c r="Q792" s="232"/>
      <c r="R792" s="233">
        <v>1184</v>
      </c>
      <c r="S792" s="234">
        <v>589</v>
      </c>
      <c r="T792" s="234">
        <v>1773</v>
      </c>
    </row>
    <row r="793" spans="1:20">
      <c r="A793" s="227">
        <v>98521</v>
      </c>
      <c r="B793" s="228" t="s">
        <v>1502</v>
      </c>
      <c r="C793" s="87">
        <v>6.6180000000000004E-4</v>
      </c>
      <c r="D793" s="87">
        <v>5.7059999999999999E-4</v>
      </c>
      <c r="E793" s="232">
        <v>1011047</v>
      </c>
      <c r="F793" s="232"/>
      <c r="G793" s="233">
        <v>58246</v>
      </c>
      <c r="H793" s="221">
        <v>245484</v>
      </c>
      <c r="I793" s="233">
        <v>144392</v>
      </c>
      <c r="J793" s="232">
        <v>34795</v>
      </c>
      <c r="K793" s="221">
        <f t="shared" si="25"/>
        <v>482917</v>
      </c>
      <c r="L793" s="232"/>
      <c r="M793" s="233">
        <v>28620</v>
      </c>
      <c r="N793" s="233">
        <v>0</v>
      </c>
      <c r="O793" s="232">
        <v>43967</v>
      </c>
      <c r="P793" s="221">
        <f t="shared" si="26"/>
        <v>72587</v>
      </c>
      <c r="Q793" s="232"/>
      <c r="R793" s="233">
        <v>340724</v>
      </c>
      <c r="S793" s="234">
        <v>-10201</v>
      </c>
      <c r="T793" s="234">
        <v>330523</v>
      </c>
    </row>
    <row r="794" spans="1:20">
      <c r="A794" s="227">
        <v>98601</v>
      </c>
      <c r="B794" s="228" t="s">
        <v>1503</v>
      </c>
      <c r="C794" s="87">
        <v>3.4148E-3</v>
      </c>
      <c r="D794" s="87">
        <v>3.5065999999999999E-3</v>
      </c>
      <c r="E794" s="232">
        <v>5216869</v>
      </c>
      <c r="F794" s="232"/>
      <c r="G794" s="233">
        <v>300540</v>
      </c>
      <c r="H794" s="221">
        <v>1266662</v>
      </c>
      <c r="I794" s="233">
        <v>745041</v>
      </c>
      <c r="J794" s="232">
        <v>0</v>
      </c>
      <c r="K794" s="221">
        <f t="shared" si="25"/>
        <v>2312243</v>
      </c>
      <c r="L794" s="232"/>
      <c r="M794" s="233">
        <v>147673</v>
      </c>
      <c r="N794" s="233">
        <v>0</v>
      </c>
      <c r="O794" s="232">
        <v>216693</v>
      </c>
      <c r="P794" s="221">
        <f t="shared" si="26"/>
        <v>364366</v>
      </c>
      <c r="Q794" s="232"/>
      <c r="R794" s="233">
        <v>1758089</v>
      </c>
      <c r="S794" s="234">
        <v>-93549</v>
      </c>
      <c r="T794" s="234">
        <v>1664540</v>
      </c>
    </row>
    <row r="795" spans="1:20">
      <c r="A795" s="227">
        <v>98604</v>
      </c>
      <c r="B795" s="228" t="s">
        <v>1504</v>
      </c>
      <c r="C795" s="87">
        <v>1.34E-5</v>
      </c>
      <c r="D795" s="87">
        <v>1.59E-5</v>
      </c>
      <c r="E795" s="232">
        <v>20471</v>
      </c>
      <c r="F795" s="232"/>
      <c r="G795" s="233">
        <v>1179</v>
      </c>
      <c r="H795" s="221">
        <v>4970</v>
      </c>
      <c r="I795" s="233">
        <v>2924</v>
      </c>
      <c r="J795" s="232">
        <f>5979+2967</f>
        <v>8946</v>
      </c>
      <c r="K795" s="221">
        <f t="shared" si="25"/>
        <v>18019</v>
      </c>
      <c r="L795" s="232"/>
      <c r="M795" s="233">
        <v>579</v>
      </c>
      <c r="N795" s="233">
        <v>0</v>
      </c>
      <c r="O795" s="232">
        <f>527+4977</f>
        <v>5504</v>
      </c>
      <c r="P795" s="221">
        <f t="shared" si="26"/>
        <v>6083</v>
      </c>
      <c r="Q795" s="232"/>
      <c r="R795" s="233">
        <v>6899</v>
      </c>
      <c r="S795" s="234">
        <f>1959+178</f>
        <v>2137</v>
      </c>
      <c r="T795" s="234">
        <f>8857+1+178</f>
        <v>9036</v>
      </c>
    </row>
    <row r="796" spans="1:20">
      <c r="A796" s="227">
        <v>98607</v>
      </c>
      <c r="B796" s="228" t="s">
        <v>1505</v>
      </c>
      <c r="C796" s="87">
        <v>5.9000000000000003E-6</v>
      </c>
      <c r="D796" s="87">
        <v>5.9000000000000003E-6</v>
      </c>
      <c r="E796" s="232">
        <v>9014</v>
      </c>
      <c r="F796" s="232"/>
      <c r="G796" s="233">
        <v>519</v>
      </c>
      <c r="H796" s="221">
        <v>2188</v>
      </c>
      <c r="I796" s="233">
        <v>1287</v>
      </c>
      <c r="J796" s="232">
        <v>52</v>
      </c>
      <c r="K796" s="221">
        <f t="shared" si="25"/>
        <v>4046</v>
      </c>
      <c r="L796" s="232"/>
      <c r="M796" s="233">
        <v>255</v>
      </c>
      <c r="N796" s="233">
        <v>0</v>
      </c>
      <c r="O796" s="232">
        <v>1474</v>
      </c>
      <c r="P796" s="221">
        <f t="shared" si="26"/>
        <v>1729</v>
      </c>
      <c r="Q796" s="232"/>
      <c r="R796" s="233">
        <v>3038</v>
      </c>
      <c r="S796" s="234">
        <v>-861</v>
      </c>
      <c r="T796" s="234">
        <v>2177</v>
      </c>
    </row>
    <row r="797" spans="1:20">
      <c r="A797" s="227">
        <v>98608</v>
      </c>
      <c r="B797" s="228" t="s">
        <v>1506</v>
      </c>
      <c r="C797" s="87">
        <v>4.9200000000000003E-5</v>
      </c>
      <c r="D797" s="87">
        <v>4.2299999999999998E-5</v>
      </c>
      <c r="E797" s="232">
        <v>75164</v>
      </c>
      <c r="F797" s="232"/>
      <c r="G797" s="233">
        <v>4330</v>
      </c>
      <c r="H797" s="221">
        <v>18250</v>
      </c>
      <c r="I797" s="233">
        <v>10734</v>
      </c>
      <c r="J797" s="232">
        <v>6529</v>
      </c>
      <c r="K797" s="221">
        <f t="shared" si="25"/>
        <v>39843</v>
      </c>
      <c r="L797" s="232"/>
      <c r="M797" s="233">
        <v>2128</v>
      </c>
      <c r="N797" s="233">
        <v>0</v>
      </c>
      <c r="O797" s="232">
        <v>5369</v>
      </c>
      <c r="P797" s="221">
        <f t="shared" si="26"/>
        <v>7497</v>
      </c>
      <c r="Q797" s="232"/>
      <c r="R797" s="233">
        <v>25330</v>
      </c>
      <c r="S797" s="234">
        <v>1217</v>
      </c>
      <c r="T797" s="234">
        <v>26547</v>
      </c>
    </row>
    <row r="798" spans="1:20">
      <c r="A798" s="227">
        <v>98611</v>
      </c>
      <c r="B798" s="228" t="s">
        <v>1507</v>
      </c>
      <c r="C798" s="87">
        <v>8.6899999999999998E-5</v>
      </c>
      <c r="D798" s="87">
        <v>8.6700000000000007E-5</v>
      </c>
      <c r="E798" s="232">
        <v>132759</v>
      </c>
      <c r="F798" s="232"/>
      <c r="G798" s="233">
        <v>7648</v>
      </c>
      <c r="H798" s="221">
        <v>32235</v>
      </c>
      <c r="I798" s="233">
        <v>18960</v>
      </c>
      <c r="J798" s="232">
        <v>10690</v>
      </c>
      <c r="K798" s="221">
        <f t="shared" si="25"/>
        <v>69533</v>
      </c>
      <c r="L798" s="232"/>
      <c r="M798" s="233">
        <v>3758</v>
      </c>
      <c r="N798" s="233">
        <v>0</v>
      </c>
      <c r="O798" s="232">
        <v>9519</v>
      </c>
      <c r="P798" s="221">
        <f t="shared" si="26"/>
        <v>13277</v>
      </c>
      <c r="Q798" s="232"/>
      <c r="R798" s="233">
        <v>44740</v>
      </c>
      <c r="S798" s="234">
        <v>910</v>
      </c>
      <c r="T798" s="234">
        <f>45649+1</f>
        <v>45650</v>
      </c>
    </row>
    <row r="799" spans="1:20">
      <c r="A799" s="227">
        <v>98621</v>
      </c>
      <c r="B799" s="228" t="s">
        <v>1508</v>
      </c>
      <c r="C799" s="87">
        <v>1.314E-4</v>
      </c>
      <c r="D799" s="87">
        <v>1.3239999999999999E-4</v>
      </c>
      <c r="E799" s="232">
        <v>200743</v>
      </c>
      <c r="F799" s="232"/>
      <c r="G799" s="233">
        <v>11565</v>
      </c>
      <c r="H799" s="221">
        <v>48740</v>
      </c>
      <c r="I799" s="233">
        <v>28669</v>
      </c>
      <c r="J799" s="232">
        <v>473</v>
      </c>
      <c r="K799" s="221">
        <f t="shared" si="25"/>
        <v>89447</v>
      </c>
      <c r="L799" s="232"/>
      <c r="M799" s="233">
        <v>5682</v>
      </c>
      <c r="N799" s="233">
        <v>0</v>
      </c>
      <c r="O799" s="232">
        <v>10727</v>
      </c>
      <c r="P799" s="221">
        <f t="shared" si="26"/>
        <v>16409</v>
      </c>
      <c r="Q799" s="232"/>
      <c r="R799" s="233">
        <v>67651</v>
      </c>
      <c r="S799" s="234">
        <v>-3535</v>
      </c>
      <c r="T799" s="234">
        <f>64115+1</f>
        <v>64116</v>
      </c>
    </row>
    <row r="800" spans="1:20">
      <c r="A800" s="227">
        <v>98627</v>
      </c>
      <c r="B800" s="228" t="s">
        <v>1509</v>
      </c>
      <c r="C800" s="87">
        <v>8.6999999999999997E-6</v>
      </c>
      <c r="D800" s="87">
        <v>9.3999999999999998E-6</v>
      </c>
      <c r="E800" s="232">
        <v>13291</v>
      </c>
      <c r="F800" s="232"/>
      <c r="G800" s="233">
        <v>766</v>
      </c>
      <c r="H800" s="221">
        <v>3227</v>
      </c>
      <c r="I800" s="233">
        <v>1898</v>
      </c>
      <c r="J800" s="232">
        <v>316</v>
      </c>
      <c r="K800" s="221">
        <f t="shared" si="25"/>
        <v>6207</v>
      </c>
      <c r="L800" s="232"/>
      <c r="M800" s="233">
        <v>376</v>
      </c>
      <c r="N800" s="233">
        <v>0</v>
      </c>
      <c r="O800" s="232">
        <v>1098</v>
      </c>
      <c r="P800" s="221">
        <f t="shared" si="26"/>
        <v>1474</v>
      </c>
      <c r="Q800" s="232"/>
      <c r="R800" s="233">
        <v>4479</v>
      </c>
      <c r="S800" s="234">
        <v>-220</v>
      </c>
      <c r="T800" s="234">
        <v>4259</v>
      </c>
    </row>
    <row r="801" spans="1:20">
      <c r="A801" s="227">
        <v>98631</v>
      </c>
      <c r="B801" s="228" t="s">
        <v>1510</v>
      </c>
      <c r="C801" s="87">
        <v>1.0051999999999999E-3</v>
      </c>
      <c r="D801" s="87">
        <v>1.0415000000000001E-3</v>
      </c>
      <c r="E801" s="232">
        <v>1535667</v>
      </c>
      <c r="F801" s="232"/>
      <c r="G801" s="233">
        <v>88469</v>
      </c>
      <c r="H801" s="221">
        <v>372862</v>
      </c>
      <c r="I801" s="233">
        <v>219315</v>
      </c>
      <c r="J801" s="232">
        <v>0</v>
      </c>
      <c r="K801" s="221">
        <f t="shared" si="25"/>
        <v>680646</v>
      </c>
      <c r="L801" s="232"/>
      <c r="M801" s="233">
        <v>43470</v>
      </c>
      <c r="N801" s="233">
        <v>0</v>
      </c>
      <c r="O801" s="232">
        <v>102113</v>
      </c>
      <c r="P801" s="221">
        <f t="shared" si="26"/>
        <v>145583</v>
      </c>
      <c r="Q801" s="232"/>
      <c r="R801" s="233">
        <v>517521</v>
      </c>
      <c r="S801" s="234">
        <v>-41744</v>
      </c>
      <c r="T801" s="234">
        <v>475777</v>
      </c>
    </row>
    <row r="802" spans="1:20">
      <c r="A802" s="227">
        <v>98637</v>
      </c>
      <c r="B802" s="228" t="s">
        <v>1511</v>
      </c>
      <c r="C802" s="87">
        <v>2.0800000000000001E-5</v>
      </c>
      <c r="D802" s="87">
        <v>2.2200000000000001E-5</v>
      </c>
      <c r="E802" s="232">
        <v>31777</v>
      </c>
      <c r="F802" s="232"/>
      <c r="G802" s="233">
        <v>1831</v>
      </c>
      <c r="H802" s="221">
        <v>7715</v>
      </c>
      <c r="I802" s="233">
        <v>4538</v>
      </c>
      <c r="J802" s="232">
        <v>8386</v>
      </c>
      <c r="K802" s="221">
        <f t="shared" si="25"/>
        <v>22470</v>
      </c>
      <c r="L802" s="232"/>
      <c r="M802" s="233">
        <v>899</v>
      </c>
      <c r="N802" s="233">
        <v>0</v>
      </c>
      <c r="O802" s="232">
        <v>0</v>
      </c>
      <c r="P802" s="221">
        <f t="shared" si="26"/>
        <v>899</v>
      </c>
      <c r="Q802" s="232"/>
      <c r="R802" s="233">
        <v>10709</v>
      </c>
      <c r="S802" s="234">
        <v>3206</v>
      </c>
      <c r="T802" s="234">
        <f>13914+1</f>
        <v>13915</v>
      </c>
    </row>
    <row r="803" spans="1:20">
      <c r="A803" s="227">
        <v>98641</v>
      </c>
      <c r="B803" s="228" t="s">
        <v>1512</v>
      </c>
      <c r="C803" s="87">
        <v>2.965E-4</v>
      </c>
      <c r="D803" s="87">
        <v>3.0019999999999998E-4</v>
      </c>
      <c r="E803" s="232">
        <v>452970</v>
      </c>
      <c r="F803" s="232"/>
      <c r="G803" s="233">
        <v>26095</v>
      </c>
      <c r="H803" s="221">
        <v>109981</v>
      </c>
      <c r="I803" s="233">
        <v>64690</v>
      </c>
      <c r="J803" s="232">
        <v>3407</v>
      </c>
      <c r="K803" s="221">
        <f t="shared" si="25"/>
        <v>204173</v>
      </c>
      <c r="L803" s="232"/>
      <c r="M803" s="233">
        <v>12822</v>
      </c>
      <c r="N803" s="233">
        <v>0</v>
      </c>
      <c r="O803" s="232">
        <v>7840</v>
      </c>
      <c r="P803" s="221">
        <f t="shared" si="26"/>
        <v>20662</v>
      </c>
      <c r="Q803" s="232"/>
      <c r="R803" s="233">
        <v>152651</v>
      </c>
      <c r="S803" s="234">
        <v>-183</v>
      </c>
      <c r="T803" s="234">
        <v>152468</v>
      </c>
    </row>
    <row r="804" spans="1:20">
      <c r="A804" s="227">
        <v>98701</v>
      </c>
      <c r="B804" s="228" t="s">
        <v>1513</v>
      </c>
      <c r="C804" s="87">
        <v>1.1333999999999999E-3</v>
      </c>
      <c r="D804" s="87">
        <v>1.1793000000000001E-3</v>
      </c>
      <c r="E804" s="232">
        <v>1731521</v>
      </c>
      <c r="F804" s="232"/>
      <c r="G804" s="233">
        <v>99752</v>
      </c>
      <c r="H804" s="221">
        <v>420415</v>
      </c>
      <c r="I804" s="233">
        <v>247285</v>
      </c>
      <c r="J804" s="232">
        <v>3431</v>
      </c>
      <c r="K804" s="221">
        <f t="shared" si="25"/>
        <v>770883</v>
      </c>
      <c r="L804" s="232"/>
      <c r="M804" s="233">
        <v>49014</v>
      </c>
      <c r="N804" s="233">
        <v>0</v>
      </c>
      <c r="O804" s="232">
        <v>66380</v>
      </c>
      <c r="P804" s="221">
        <f t="shared" si="26"/>
        <v>115394</v>
      </c>
      <c r="Q804" s="232"/>
      <c r="R804" s="233">
        <v>583524</v>
      </c>
      <c r="S804" s="234">
        <v>-25976</v>
      </c>
      <c r="T804" s="234">
        <v>557548</v>
      </c>
    </row>
    <row r="805" spans="1:20">
      <c r="A805" s="227">
        <v>98711</v>
      </c>
      <c r="B805" s="228" t="s">
        <v>1514</v>
      </c>
      <c r="C805" s="87">
        <v>1.8369999999999999E-4</v>
      </c>
      <c r="D805" s="87">
        <v>1.8039999999999999E-4</v>
      </c>
      <c r="E805" s="232">
        <v>280643</v>
      </c>
      <c r="F805" s="232"/>
      <c r="G805" s="233">
        <v>16168</v>
      </c>
      <c r="H805" s="221">
        <v>68140</v>
      </c>
      <c r="I805" s="233">
        <v>40080</v>
      </c>
      <c r="J805" s="232">
        <v>1238</v>
      </c>
      <c r="K805" s="221">
        <f t="shared" si="25"/>
        <v>125626</v>
      </c>
      <c r="L805" s="232"/>
      <c r="M805" s="233">
        <v>7944</v>
      </c>
      <c r="N805" s="233">
        <v>0</v>
      </c>
      <c r="O805" s="232">
        <v>16374</v>
      </c>
      <c r="P805" s="221">
        <f t="shared" si="26"/>
        <v>24318</v>
      </c>
      <c r="Q805" s="232"/>
      <c r="R805" s="233">
        <v>94577</v>
      </c>
      <c r="S805" s="234">
        <v>-4053</v>
      </c>
      <c r="T805" s="234">
        <v>90524</v>
      </c>
    </row>
    <row r="806" spans="1:20">
      <c r="A806" s="227">
        <v>98717</v>
      </c>
      <c r="B806" s="228" t="s">
        <v>1515</v>
      </c>
      <c r="C806" s="87">
        <v>2.1100000000000001E-5</v>
      </c>
      <c r="D806" s="87">
        <v>1.8600000000000001E-5</v>
      </c>
      <c r="E806" s="232">
        <v>32235</v>
      </c>
      <c r="F806" s="232"/>
      <c r="G806" s="233">
        <v>1857</v>
      </c>
      <c r="H806" s="221">
        <v>7827</v>
      </c>
      <c r="I806" s="233">
        <v>4604</v>
      </c>
      <c r="J806" s="232">
        <v>1439</v>
      </c>
      <c r="K806" s="221">
        <f t="shared" si="25"/>
        <v>15727</v>
      </c>
      <c r="L806" s="232"/>
      <c r="M806" s="233">
        <v>912</v>
      </c>
      <c r="N806" s="233">
        <v>0</v>
      </c>
      <c r="O806" s="232">
        <v>534</v>
      </c>
      <c r="P806" s="221">
        <f t="shared" si="26"/>
        <v>1446</v>
      </c>
      <c r="Q806" s="232"/>
      <c r="R806" s="233">
        <v>10863</v>
      </c>
      <c r="S806" s="234">
        <v>247</v>
      </c>
      <c r="T806" s="234">
        <v>11110</v>
      </c>
    </row>
    <row r="807" spans="1:20">
      <c r="A807" s="227">
        <v>98801</v>
      </c>
      <c r="B807" s="228" t="s">
        <v>1516</v>
      </c>
      <c r="C807" s="87">
        <v>2.2859E-3</v>
      </c>
      <c r="D807" s="87">
        <v>2.1771999999999998E-3</v>
      </c>
      <c r="E807" s="232">
        <v>3492222</v>
      </c>
      <c r="F807" s="232"/>
      <c r="G807" s="233">
        <v>201184</v>
      </c>
      <c r="H807" s="221">
        <v>847916</v>
      </c>
      <c r="I807" s="233">
        <v>498738</v>
      </c>
      <c r="J807" s="232">
        <v>146068</v>
      </c>
      <c r="K807" s="221">
        <f t="shared" si="25"/>
        <v>1693906</v>
      </c>
      <c r="L807" s="232"/>
      <c r="M807" s="233">
        <v>98854</v>
      </c>
      <c r="N807" s="233">
        <v>0</v>
      </c>
      <c r="O807" s="232">
        <v>0</v>
      </c>
      <c r="P807" s="221">
        <f t="shared" si="26"/>
        <v>98854</v>
      </c>
      <c r="Q807" s="232"/>
      <c r="R807" s="233">
        <v>1176882</v>
      </c>
      <c r="S807" s="234">
        <v>55567</v>
      </c>
      <c r="T807" s="234">
        <v>1232449</v>
      </c>
    </row>
    <row r="808" spans="1:20">
      <c r="A808" s="227">
        <v>98811</v>
      </c>
      <c r="B808" s="228" t="s">
        <v>1517</v>
      </c>
      <c r="C808" s="87">
        <v>6.5160000000000001E-4</v>
      </c>
      <c r="D808" s="87">
        <v>7.1120000000000005E-4</v>
      </c>
      <c r="E808" s="232">
        <v>995464</v>
      </c>
      <c r="F808" s="232"/>
      <c r="G808" s="233">
        <v>57348</v>
      </c>
      <c r="H808" s="221">
        <v>241700</v>
      </c>
      <c r="I808" s="233">
        <v>142166</v>
      </c>
      <c r="J808" s="232">
        <v>16975</v>
      </c>
      <c r="K808" s="221">
        <f t="shared" si="25"/>
        <v>458189</v>
      </c>
      <c r="L808" s="232"/>
      <c r="M808" s="233">
        <v>28178</v>
      </c>
      <c r="N808" s="233">
        <v>0</v>
      </c>
      <c r="O808" s="232">
        <v>46894</v>
      </c>
      <c r="P808" s="221">
        <f t="shared" si="26"/>
        <v>75072</v>
      </c>
      <c r="Q808" s="232"/>
      <c r="R808" s="233">
        <v>335472</v>
      </c>
      <c r="S808" s="234">
        <v>-312</v>
      </c>
      <c r="T808" s="234">
        <f>335161-1</f>
        <v>335160</v>
      </c>
    </row>
    <row r="809" spans="1:20">
      <c r="A809" s="227">
        <v>98817</v>
      </c>
      <c r="B809" s="228" t="s">
        <v>1518</v>
      </c>
      <c r="C809" s="87">
        <v>2.5199999999999999E-5</v>
      </c>
      <c r="D809" s="87">
        <v>2.34E-5</v>
      </c>
      <c r="E809" s="232">
        <v>38499</v>
      </c>
      <c r="F809" s="232"/>
      <c r="G809" s="233">
        <v>2218</v>
      </c>
      <c r="H809" s="221">
        <v>9347</v>
      </c>
      <c r="I809" s="233">
        <v>5498</v>
      </c>
      <c r="J809" s="232">
        <v>3862</v>
      </c>
      <c r="K809" s="221">
        <f t="shared" si="25"/>
        <v>20925</v>
      </c>
      <c r="L809" s="232"/>
      <c r="M809" s="233">
        <v>1090</v>
      </c>
      <c r="N809" s="233">
        <v>0</v>
      </c>
      <c r="O809" s="232">
        <v>2179</v>
      </c>
      <c r="P809" s="221">
        <f t="shared" si="26"/>
        <v>3269</v>
      </c>
      <c r="Q809" s="232"/>
      <c r="R809" s="233">
        <v>12974</v>
      </c>
      <c r="S809" s="234">
        <v>-1216</v>
      </c>
      <c r="T809" s="234">
        <v>11758</v>
      </c>
    </row>
    <row r="810" spans="1:20">
      <c r="A810" s="227">
        <v>98901</v>
      </c>
      <c r="B810" s="228" t="s">
        <v>1519</v>
      </c>
      <c r="C810" s="87">
        <v>3.5050000000000001E-4</v>
      </c>
      <c r="D810" s="87">
        <v>3.392E-4</v>
      </c>
      <c r="E810" s="232">
        <v>535467</v>
      </c>
      <c r="F810" s="232"/>
      <c r="G810" s="233">
        <v>30848</v>
      </c>
      <c r="H810" s="221">
        <v>130012</v>
      </c>
      <c r="I810" s="233">
        <v>76472</v>
      </c>
      <c r="J810" s="232">
        <v>7505</v>
      </c>
      <c r="K810" s="221">
        <f t="shared" si="25"/>
        <v>244837</v>
      </c>
      <c r="L810" s="232"/>
      <c r="M810" s="233">
        <v>15157</v>
      </c>
      <c r="N810" s="233">
        <v>0</v>
      </c>
      <c r="O810" s="232">
        <v>2530</v>
      </c>
      <c r="P810" s="221">
        <f t="shared" si="26"/>
        <v>17687</v>
      </c>
      <c r="Q810" s="232"/>
      <c r="R810" s="233">
        <v>180453</v>
      </c>
      <c r="S810" s="234">
        <v>975</v>
      </c>
      <c r="T810" s="234">
        <v>181428</v>
      </c>
    </row>
    <row r="811" spans="1:20">
      <c r="A811" s="227">
        <v>98904</v>
      </c>
      <c r="B811" s="228" t="s">
        <v>1520</v>
      </c>
      <c r="C811" s="87">
        <v>2.7999999999999999E-6</v>
      </c>
      <c r="D811" s="87">
        <v>5.2000000000000002E-6</v>
      </c>
      <c r="E811" s="232">
        <v>4278</v>
      </c>
      <c r="F811" s="232"/>
      <c r="G811" s="233">
        <v>246</v>
      </c>
      <c r="H811" s="221">
        <v>1039</v>
      </c>
      <c r="I811" s="233">
        <v>611</v>
      </c>
      <c r="J811" s="232">
        <v>365</v>
      </c>
      <c r="K811" s="221">
        <f t="shared" si="25"/>
        <v>2261</v>
      </c>
      <c r="L811" s="232"/>
      <c r="M811" s="233">
        <v>121</v>
      </c>
      <c r="N811" s="233">
        <v>0</v>
      </c>
      <c r="O811" s="232">
        <v>1887</v>
      </c>
      <c r="P811" s="221">
        <f t="shared" si="26"/>
        <v>2008</v>
      </c>
      <c r="Q811" s="232"/>
      <c r="R811" s="233">
        <v>1442</v>
      </c>
      <c r="S811" s="234">
        <v>-315</v>
      </c>
      <c r="T811" s="234">
        <f>1126+1</f>
        <v>1127</v>
      </c>
    </row>
    <row r="812" spans="1:20">
      <c r="A812" s="227">
        <v>98911</v>
      </c>
      <c r="B812" s="228" t="s">
        <v>1521</v>
      </c>
      <c r="C812" s="87">
        <v>2.7900000000000001E-5</v>
      </c>
      <c r="D812" s="87">
        <v>2.8600000000000001E-5</v>
      </c>
      <c r="E812" s="232">
        <v>42623</v>
      </c>
      <c r="F812" s="232"/>
      <c r="G812" s="233">
        <v>2456</v>
      </c>
      <c r="H812" s="221">
        <v>10349</v>
      </c>
      <c r="I812" s="233">
        <v>6087</v>
      </c>
      <c r="J812" s="232">
        <v>12780</v>
      </c>
      <c r="K812" s="221">
        <f t="shared" si="25"/>
        <v>31672</v>
      </c>
      <c r="L812" s="232"/>
      <c r="M812" s="233">
        <v>1207</v>
      </c>
      <c r="N812" s="233">
        <v>0</v>
      </c>
      <c r="O812" s="232">
        <v>0</v>
      </c>
      <c r="P812" s="221">
        <f t="shared" si="26"/>
        <v>1207</v>
      </c>
      <c r="Q812" s="232"/>
      <c r="R812" s="233">
        <v>14364</v>
      </c>
      <c r="S812" s="234">
        <v>5565</v>
      </c>
      <c r="T812" s="234">
        <v>19929</v>
      </c>
    </row>
    <row r="813" spans="1:20">
      <c r="A813" s="227">
        <v>99001</v>
      </c>
      <c r="B813" s="228" t="s">
        <v>1522</v>
      </c>
      <c r="C813" s="87">
        <v>8.0949000000000004E-3</v>
      </c>
      <c r="D813" s="87">
        <v>7.8098999999999998E-3</v>
      </c>
      <c r="E813" s="232">
        <v>12366765</v>
      </c>
      <c r="F813" s="232"/>
      <c r="G813" s="233">
        <v>712440</v>
      </c>
      <c r="H813" s="221">
        <v>3002666</v>
      </c>
      <c r="I813" s="233">
        <v>1766145</v>
      </c>
      <c r="J813" s="232">
        <v>355732</v>
      </c>
      <c r="K813" s="221">
        <f t="shared" si="25"/>
        <v>5836983</v>
      </c>
      <c r="L813" s="232"/>
      <c r="M813" s="233">
        <v>350064</v>
      </c>
      <c r="N813" s="233">
        <v>0</v>
      </c>
      <c r="O813" s="232">
        <v>0</v>
      </c>
      <c r="P813" s="221">
        <f t="shared" si="26"/>
        <v>350064</v>
      </c>
      <c r="Q813" s="232"/>
      <c r="R813" s="233">
        <v>4167611</v>
      </c>
      <c r="S813" s="234">
        <v>186049</v>
      </c>
      <c r="T813" s="234">
        <v>4353660</v>
      </c>
    </row>
    <row r="814" spans="1:20">
      <c r="A814" s="227">
        <v>99011</v>
      </c>
      <c r="B814" s="228" t="s">
        <v>1523</v>
      </c>
      <c r="C814" s="87">
        <v>3.8736999999999999E-3</v>
      </c>
      <c r="D814" s="87">
        <v>3.9039000000000001E-3</v>
      </c>
      <c r="E814" s="232">
        <v>5917941</v>
      </c>
      <c r="F814" s="232"/>
      <c r="G814" s="233">
        <v>340928</v>
      </c>
      <c r="H814" s="221">
        <v>1436883</v>
      </c>
      <c r="I814" s="233">
        <v>845164</v>
      </c>
      <c r="J814" s="232">
        <v>0</v>
      </c>
      <c r="K814" s="221">
        <f t="shared" si="25"/>
        <v>2622975</v>
      </c>
      <c r="L814" s="232"/>
      <c r="M814" s="233">
        <v>167518</v>
      </c>
      <c r="N814" s="233">
        <v>0</v>
      </c>
      <c r="O814" s="232">
        <v>396289</v>
      </c>
      <c r="P814" s="221">
        <f t="shared" si="26"/>
        <v>563807</v>
      </c>
      <c r="Q814" s="232"/>
      <c r="R814" s="233">
        <v>1994351</v>
      </c>
      <c r="S814" s="234">
        <v>-212974</v>
      </c>
      <c r="T814" s="234">
        <v>1781377</v>
      </c>
    </row>
    <row r="815" spans="1:20">
      <c r="A815" s="227">
        <v>99013</v>
      </c>
      <c r="B815" s="228" t="s">
        <v>1524</v>
      </c>
      <c r="C815" s="87">
        <v>5.5999999999999999E-5</v>
      </c>
      <c r="D815" s="87">
        <v>6.02E-5</v>
      </c>
      <c r="E815" s="232">
        <v>85552</v>
      </c>
      <c r="F815" s="232"/>
      <c r="G815" s="233">
        <v>4929</v>
      </c>
      <c r="H815" s="221">
        <v>20773</v>
      </c>
      <c r="I815" s="233">
        <v>12218</v>
      </c>
      <c r="J815" s="232">
        <v>10</v>
      </c>
      <c r="K815" s="221">
        <f t="shared" si="25"/>
        <v>37930</v>
      </c>
      <c r="L815" s="232"/>
      <c r="M815" s="233">
        <v>2422</v>
      </c>
      <c r="N815" s="233">
        <v>0</v>
      </c>
      <c r="O815" s="232">
        <v>8046</v>
      </c>
      <c r="P815" s="221">
        <f t="shared" si="26"/>
        <v>10468</v>
      </c>
      <c r="Q815" s="232"/>
      <c r="R815" s="233">
        <v>28831</v>
      </c>
      <c r="S815" s="234">
        <v>-2790</v>
      </c>
      <c r="T815" s="234">
        <f>26042-1</f>
        <v>26041</v>
      </c>
    </row>
    <row r="816" spans="1:20">
      <c r="A816" s="227">
        <v>99014</v>
      </c>
      <c r="B816" s="228" t="s">
        <v>1525</v>
      </c>
      <c r="C816" s="87">
        <v>2.0100000000000001E-5</v>
      </c>
      <c r="D816" s="87">
        <v>2.4199999999999999E-5</v>
      </c>
      <c r="E816" s="232">
        <v>30707</v>
      </c>
      <c r="F816" s="232"/>
      <c r="G816" s="233">
        <v>1769</v>
      </c>
      <c r="H816" s="221">
        <v>7456</v>
      </c>
      <c r="I816" s="233">
        <v>4385</v>
      </c>
      <c r="J816" s="232">
        <v>12703</v>
      </c>
      <c r="K816" s="221">
        <f t="shared" si="25"/>
        <v>26313</v>
      </c>
      <c r="L816" s="232"/>
      <c r="M816" s="233">
        <v>869</v>
      </c>
      <c r="N816" s="233">
        <v>0</v>
      </c>
      <c r="O816" s="232">
        <v>0</v>
      </c>
      <c r="P816" s="221">
        <f t="shared" si="26"/>
        <v>869</v>
      </c>
      <c r="Q816" s="232"/>
      <c r="R816" s="233">
        <v>10348</v>
      </c>
      <c r="S816" s="234">
        <v>4335</v>
      </c>
      <c r="T816" s="234">
        <v>14683</v>
      </c>
    </row>
    <row r="817" spans="1:20">
      <c r="A817" s="227">
        <v>99017</v>
      </c>
      <c r="B817" s="228" t="s">
        <v>1526</v>
      </c>
      <c r="C817" s="87">
        <v>5.13E-5</v>
      </c>
      <c r="D817" s="87">
        <v>4.6999999999999997E-5</v>
      </c>
      <c r="E817" s="232">
        <v>78372</v>
      </c>
      <c r="F817" s="232"/>
      <c r="G817" s="233">
        <v>4515</v>
      </c>
      <c r="H817" s="221">
        <v>19029</v>
      </c>
      <c r="I817" s="233">
        <v>11193</v>
      </c>
      <c r="J817" s="232">
        <v>8072</v>
      </c>
      <c r="K817" s="221">
        <f t="shared" si="25"/>
        <v>42809</v>
      </c>
      <c r="L817" s="232"/>
      <c r="M817" s="233">
        <v>2218</v>
      </c>
      <c r="N817" s="233">
        <v>0</v>
      </c>
      <c r="O817" s="232">
        <v>3306</v>
      </c>
      <c r="P817" s="221">
        <f t="shared" si="26"/>
        <v>5524</v>
      </c>
      <c r="Q817" s="232"/>
      <c r="R817" s="233">
        <v>26411</v>
      </c>
      <c r="S817" s="234">
        <v>-629</v>
      </c>
      <c r="T817" s="234">
        <v>25782</v>
      </c>
    </row>
    <row r="818" spans="1:20">
      <c r="A818" s="227">
        <v>99021</v>
      </c>
      <c r="B818" s="228" t="s">
        <v>1527</v>
      </c>
      <c r="C818" s="87">
        <v>1.5249999999999999E-4</v>
      </c>
      <c r="D818" s="87">
        <v>1.3420000000000001E-4</v>
      </c>
      <c r="E818" s="232">
        <v>232978</v>
      </c>
      <c r="F818" s="232"/>
      <c r="G818" s="233">
        <v>13422</v>
      </c>
      <c r="H818" s="221">
        <v>56568</v>
      </c>
      <c r="I818" s="233">
        <v>33272</v>
      </c>
      <c r="J818" s="232">
        <v>11565</v>
      </c>
      <c r="K818" s="221">
        <f t="shared" si="25"/>
        <v>114827</v>
      </c>
      <c r="L818" s="232"/>
      <c r="M818" s="233">
        <v>6595</v>
      </c>
      <c r="N818" s="233">
        <v>0</v>
      </c>
      <c r="O818" s="232">
        <v>728</v>
      </c>
      <c r="P818" s="221">
        <f t="shared" si="26"/>
        <v>7323</v>
      </c>
      <c r="Q818" s="232"/>
      <c r="R818" s="233">
        <v>78514</v>
      </c>
      <c r="S818" s="234">
        <v>3978</v>
      </c>
      <c r="T818" s="234">
        <f>82491+1</f>
        <v>82492</v>
      </c>
    </row>
    <row r="819" spans="1:20">
      <c r="A819" s="227">
        <v>99022</v>
      </c>
      <c r="B819" s="228" t="s">
        <v>211</v>
      </c>
      <c r="C819" s="87">
        <v>1.08E-5</v>
      </c>
      <c r="D819" s="87">
        <v>1.1800000000000001E-5</v>
      </c>
      <c r="E819" s="232">
        <v>16499</v>
      </c>
      <c r="F819" s="232"/>
      <c r="G819" s="233">
        <v>951</v>
      </c>
      <c r="H819" s="221">
        <v>4006</v>
      </c>
      <c r="I819" s="233">
        <v>2356</v>
      </c>
      <c r="J819" s="232">
        <v>8944</v>
      </c>
      <c r="K819" s="221">
        <f t="shared" si="25"/>
        <v>16257</v>
      </c>
      <c r="L819" s="232"/>
      <c r="M819" s="233">
        <v>467</v>
      </c>
      <c r="N819" s="233">
        <v>0</v>
      </c>
      <c r="O819" s="232">
        <v>132</v>
      </c>
      <c r="P819" s="221">
        <f t="shared" si="26"/>
        <v>599</v>
      </c>
      <c r="Q819" s="232"/>
      <c r="R819" s="233">
        <v>5560</v>
      </c>
      <c r="S819" s="234">
        <v>2896</v>
      </c>
      <c r="T819" s="234">
        <v>8456</v>
      </c>
    </row>
    <row r="820" spans="1:20">
      <c r="A820" s="227">
        <v>99031</v>
      </c>
      <c r="B820" s="228" t="s">
        <v>1528</v>
      </c>
      <c r="C820" s="87">
        <v>1.518E-4</v>
      </c>
      <c r="D820" s="87">
        <v>1.5970000000000001E-4</v>
      </c>
      <c r="E820" s="232">
        <v>231908</v>
      </c>
      <c r="F820" s="232"/>
      <c r="G820" s="233">
        <v>13360</v>
      </c>
      <c r="H820" s="221">
        <v>56308</v>
      </c>
      <c r="I820" s="233">
        <v>33120</v>
      </c>
      <c r="J820" s="232">
        <v>2845</v>
      </c>
      <c r="K820" s="221">
        <f t="shared" si="25"/>
        <v>105633</v>
      </c>
      <c r="L820" s="232"/>
      <c r="M820" s="233">
        <v>6565</v>
      </c>
      <c r="N820" s="233">
        <v>0</v>
      </c>
      <c r="O820" s="232">
        <v>23907</v>
      </c>
      <c r="P820" s="221">
        <f t="shared" si="26"/>
        <v>30472</v>
      </c>
      <c r="Q820" s="232"/>
      <c r="R820" s="233">
        <v>78153</v>
      </c>
      <c r="S820" s="234">
        <v>-11727</v>
      </c>
      <c r="T820" s="234">
        <v>66426</v>
      </c>
    </row>
    <row r="821" spans="1:20">
      <c r="A821" s="227">
        <v>99041</v>
      </c>
      <c r="B821" s="228" t="s">
        <v>1529</v>
      </c>
      <c r="C821" s="87">
        <v>6.3500000000000004E-4</v>
      </c>
      <c r="D821" s="87">
        <v>5.6289999999999997E-4</v>
      </c>
      <c r="E821" s="232">
        <v>970104</v>
      </c>
      <c r="F821" s="232"/>
      <c r="G821" s="233">
        <v>55887</v>
      </c>
      <c r="H821" s="221">
        <v>235543</v>
      </c>
      <c r="I821" s="233">
        <v>138544</v>
      </c>
      <c r="J821" s="232">
        <v>52920</v>
      </c>
      <c r="K821" s="221">
        <f t="shared" si="25"/>
        <v>482894</v>
      </c>
      <c r="L821" s="232"/>
      <c r="M821" s="233">
        <v>27461</v>
      </c>
      <c r="N821" s="233">
        <v>0</v>
      </c>
      <c r="O821" s="232">
        <v>0</v>
      </c>
      <c r="P821" s="221">
        <f t="shared" si="26"/>
        <v>27461</v>
      </c>
      <c r="Q821" s="232"/>
      <c r="R821" s="233">
        <v>326926</v>
      </c>
      <c r="S821" s="234">
        <v>28997</v>
      </c>
      <c r="T821" s="234">
        <v>355923</v>
      </c>
    </row>
    <row r="822" spans="1:20">
      <c r="A822" s="227">
        <v>99047</v>
      </c>
      <c r="B822" s="228" t="s">
        <v>1530</v>
      </c>
      <c r="C822" s="87">
        <v>1.42E-5</v>
      </c>
      <c r="D822" s="87">
        <v>9.2E-6</v>
      </c>
      <c r="E822" s="232">
        <v>21694</v>
      </c>
      <c r="F822" s="232"/>
      <c r="G822" s="233">
        <v>1250</v>
      </c>
      <c r="H822" s="221">
        <v>5267</v>
      </c>
      <c r="I822" s="233">
        <v>3098</v>
      </c>
      <c r="J822" s="232">
        <v>6410</v>
      </c>
      <c r="K822" s="221">
        <f t="shared" si="25"/>
        <v>16025</v>
      </c>
      <c r="L822" s="232"/>
      <c r="M822" s="233">
        <v>614</v>
      </c>
      <c r="N822" s="233">
        <v>0</v>
      </c>
      <c r="O822" s="232">
        <v>0</v>
      </c>
      <c r="P822" s="221">
        <f t="shared" si="26"/>
        <v>614</v>
      </c>
      <c r="Q822" s="232"/>
      <c r="R822" s="233">
        <v>7311</v>
      </c>
      <c r="S822" s="234">
        <v>2345</v>
      </c>
      <c r="T822" s="234">
        <f>9655+1</f>
        <v>9656</v>
      </c>
    </row>
    <row r="823" spans="1:20">
      <c r="A823" s="227">
        <v>99051</v>
      </c>
      <c r="B823" s="228" t="s">
        <v>1531</v>
      </c>
      <c r="C823" s="87">
        <v>3.5359999999999998E-4</v>
      </c>
      <c r="D823" s="87">
        <v>3.3349999999999997E-4</v>
      </c>
      <c r="E823" s="232">
        <v>540203</v>
      </c>
      <c r="F823" s="232"/>
      <c r="G823" s="233">
        <v>31121</v>
      </c>
      <c r="H823" s="221">
        <v>131162</v>
      </c>
      <c r="I823" s="233">
        <v>77148</v>
      </c>
      <c r="J823" s="232">
        <v>11433</v>
      </c>
      <c r="K823" s="221">
        <f t="shared" si="25"/>
        <v>250864</v>
      </c>
      <c r="L823" s="232"/>
      <c r="M823" s="233">
        <v>15291</v>
      </c>
      <c r="N823" s="233">
        <v>0</v>
      </c>
      <c r="O823" s="232">
        <v>2536</v>
      </c>
      <c r="P823" s="221">
        <f t="shared" si="26"/>
        <v>17827</v>
      </c>
      <c r="Q823" s="232"/>
      <c r="R823" s="233">
        <v>182049</v>
      </c>
      <c r="S823" s="234">
        <v>4776</v>
      </c>
      <c r="T823" s="234">
        <f>186824+1</f>
        <v>186825</v>
      </c>
    </row>
    <row r="824" spans="1:20">
      <c r="A824" s="227">
        <v>99061</v>
      </c>
      <c r="B824" s="228" t="s">
        <v>1532</v>
      </c>
      <c r="C824" s="87">
        <v>8.1000000000000004E-6</v>
      </c>
      <c r="D824" s="87">
        <v>8.3999999999999992E-6</v>
      </c>
      <c r="E824" s="232">
        <v>12375</v>
      </c>
      <c r="F824" s="232"/>
      <c r="G824" s="233">
        <v>713</v>
      </c>
      <c r="H824" s="221">
        <v>3005</v>
      </c>
      <c r="I824" s="233">
        <v>1767</v>
      </c>
      <c r="J824" s="232">
        <v>7276</v>
      </c>
      <c r="K824" s="221">
        <f t="shared" si="25"/>
        <v>12761</v>
      </c>
      <c r="L824" s="232"/>
      <c r="M824" s="233">
        <v>350</v>
      </c>
      <c r="N824" s="233">
        <v>0</v>
      </c>
      <c r="O824" s="232">
        <v>0</v>
      </c>
      <c r="P824" s="221">
        <f t="shared" si="26"/>
        <v>350</v>
      </c>
      <c r="Q824" s="232"/>
      <c r="R824" s="233">
        <v>4170</v>
      </c>
      <c r="S824" s="234">
        <v>2674</v>
      </c>
      <c r="T824" s="234">
        <v>6844</v>
      </c>
    </row>
    <row r="825" spans="1:20">
      <c r="A825" s="227">
        <v>99071</v>
      </c>
      <c r="B825" s="228" t="s">
        <v>1533</v>
      </c>
      <c r="C825" s="87">
        <v>3.04E-5</v>
      </c>
      <c r="D825" s="87">
        <v>3.0499999999999999E-5</v>
      </c>
      <c r="E825" s="232">
        <v>46443</v>
      </c>
      <c r="F825" s="232"/>
      <c r="G825" s="233">
        <v>2676</v>
      </c>
      <c r="H825" s="221">
        <v>11277</v>
      </c>
      <c r="I825" s="233">
        <v>6633</v>
      </c>
      <c r="J825" s="232">
        <v>818</v>
      </c>
      <c r="K825" s="221">
        <f t="shared" si="25"/>
        <v>21404</v>
      </c>
      <c r="L825" s="232"/>
      <c r="M825" s="233">
        <v>1315</v>
      </c>
      <c r="N825" s="233">
        <v>0</v>
      </c>
      <c r="O825" s="232">
        <v>2093</v>
      </c>
      <c r="P825" s="221">
        <f t="shared" si="26"/>
        <v>3408</v>
      </c>
      <c r="Q825" s="232"/>
      <c r="R825" s="233">
        <v>15651</v>
      </c>
      <c r="S825" s="234">
        <v>-1107</v>
      </c>
      <c r="T825" s="234">
        <v>14544</v>
      </c>
    </row>
    <row r="826" spans="1:20">
      <c r="A826" s="227">
        <v>99081</v>
      </c>
      <c r="B826" s="228" t="s">
        <v>1534</v>
      </c>
      <c r="C826" s="87">
        <v>1.1E-5</v>
      </c>
      <c r="D826" s="87">
        <v>2.9600000000000001E-5</v>
      </c>
      <c r="E826" s="232">
        <v>16805</v>
      </c>
      <c r="F826" s="232"/>
      <c r="G826" s="233">
        <v>968</v>
      </c>
      <c r="H826" s="221">
        <v>4081</v>
      </c>
      <c r="I826" s="233">
        <v>2400</v>
      </c>
      <c r="J826" s="232">
        <v>3587</v>
      </c>
      <c r="K826" s="221">
        <f t="shared" si="25"/>
        <v>11036</v>
      </c>
      <c r="L826" s="232"/>
      <c r="M826" s="233">
        <v>476</v>
      </c>
      <c r="N826" s="233">
        <v>0</v>
      </c>
      <c r="O826" s="232">
        <v>13215</v>
      </c>
      <c r="P826" s="221">
        <f t="shared" si="26"/>
        <v>13691</v>
      </c>
      <c r="Q826" s="232"/>
      <c r="R826" s="233">
        <v>5663</v>
      </c>
      <c r="S826" s="234">
        <v>-2898</v>
      </c>
      <c r="T826" s="234">
        <f>2766-1</f>
        <v>2765</v>
      </c>
    </row>
    <row r="827" spans="1:20">
      <c r="A827" s="227">
        <v>99091</v>
      </c>
      <c r="B827" s="228" t="s">
        <v>1535</v>
      </c>
      <c r="C827" s="87">
        <v>3.9999999999999998E-6</v>
      </c>
      <c r="D827" s="87">
        <v>4.1999999999999996E-6</v>
      </c>
      <c r="E827" s="232">
        <v>6111</v>
      </c>
      <c r="F827" s="232"/>
      <c r="G827" s="233">
        <v>352</v>
      </c>
      <c r="H827" s="221">
        <v>1484</v>
      </c>
      <c r="I827" s="233">
        <v>873</v>
      </c>
      <c r="J827" s="232">
        <v>4105</v>
      </c>
      <c r="K827" s="221">
        <f t="shared" si="25"/>
        <v>6814</v>
      </c>
      <c r="L827" s="232"/>
      <c r="M827" s="233">
        <v>173</v>
      </c>
      <c r="N827" s="233">
        <v>0</v>
      </c>
      <c r="O827" s="232">
        <v>3232</v>
      </c>
      <c r="P827" s="221">
        <f t="shared" si="26"/>
        <v>3405</v>
      </c>
      <c r="Q827" s="232"/>
      <c r="R827" s="233">
        <v>2059</v>
      </c>
      <c r="S827" s="234">
        <v>-1926</v>
      </c>
      <c r="T827" s="234">
        <f>134-1</f>
        <v>133</v>
      </c>
    </row>
    <row r="828" spans="1:20">
      <c r="A828" s="227">
        <v>99101</v>
      </c>
      <c r="B828" s="228" t="s">
        <v>1536</v>
      </c>
      <c r="C828" s="87">
        <v>2.1724000000000001E-3</v>
      </c>
      <c r="D828" s="87">
        <v>2.0087999999999998E-3</v>
      </c>
      <c r="E828" s="232">
        <v>3318825</v>
      </c>
      <c r="F828" s="232"/>
      <c r="G828" s="233">
        <v>191195</v>
      </c>
      <c r="H828" s="221">
        <v>805815</v>
      </c>
      <c r="I828" s="233">
        <v>473974</v>
      </c>
      <c r="J828" s="232">
        <v>48335</v>
      </c>
      <c r="K828" s="221">
        <f t="shared" si="25"/>
        <v>1519319</v>
      </c>
      <c r="L828" s="232"/>
      <c r="M828" s="233">
        <v>93945</v>
      </c>
      <c r="N828" s="233">
        <v>0</v>
      </c>
      <c r="O828" s="232">
        <v>44900</v>
      </c>
      <c r="P828" s="221">
        <f t="shared" si="26"/>
        <v>138845</v>
      </c>
      <c r="Q828" s="232"/>
      <c r="R828" s="233">
        <v>1118447</v>
      </c>
      <c r="S828" s="234">
        <v>-14151</v>
      </c>
      <c r="T828" s="234">
        <v>1104296</v>
      </c>
    </row>
    <row r="829" spans="1:20">
      <c r="A829" s="227">
        <v>99104</v>
      </c>
      <c r="B829" s="228" t="s">
        <v>1537</v>
      </c>
      <c r="C829" s="87">
        <v>3.3500000000000001E-5</v>
      </c>
      <c r="D829" s="87">
        <v>3.4799999999999999E-5</v>
      </c>
      <c r="E829" s="232">
        <v>51179</v>
      </c>
      <c r="F829" s="232"/>
      <c r="G829" s="233">
        <v>2948</v>
      </c>
      <c r="H829" s="221">
        <v>12426</v>
      </c>
      <c r="I829" s="233">
        <v>7309</v>
      </c>
      <c r="J829" s="232">
        <v>15217</v>
      </c>
      <c r="K829" s="221">
        <f t="shared" si="25"/>
        <v>37900</v>
      </c>
      <c r="L829" s="232"/>
      <c r="M829" s="233">
        <v>1449</v>
      </c>
      <c r="N829" s="233">
        <v>0</v>
      </c>
      <c r="O829" s="232">
        <v>0</v>
      </c>
      <c r="P829" s="221">
        <f t="shared" si="26"/>
        <v>1449</v>
      </c>
      <c r="Q829" s="232"/>
      <c r="R829" s="233">
        <v>17247</v>
      </c>
      <c r="S829" s="234">
        <v>6167</v>
      </c>
      <c r="T829" s="234">
        <f>23415-1</f>
        <v>23414</v>
      </c>
    </row>
    <row r="830" spans="1:20">
      <c r="A830" s="227">
        <v>99109</v>
      </c>
      <c r="B830" s="228" t="s">
        <v>1538</v>
      </c>
      <c r="C830" s="87">
        <v>1.2339999999999999E-4</v>
      </c>
      <c r="D830" s="87">
        <v>1.1849999999999999E-4</v>
      </c>
      <c r="E830" s="232">
        <v>188521</v>
      </c>
      <c r="F830" s="232"/>
      <c r="G830" s="233">
        <v>10861</v>
      </c>
      <c r="H830" s="221">
        <v>45773</v>
      </c>
      <c r="I830" s="233">
        <v>26923</v>
      </c>
      <c r="J830" s="232">
        <v>6454</v>
      </c>
      <c r="K830" s="221">
        <f t="shared" si="25"/>
        <v>90011</v>
      </c>
      <c r="L830" s="232"/>
      <c r="M830" s="233">
        <v>5336</v>
      </c>
      <c r="N830" s="233">
        <v>0</v>
      </c>
      <c r="O830" s="232">
        <v>14208</v>
      </c>
      <c r="P830" s="221">
        <f t="shared" si="26"/>
        <v>19544</v>
      </c>
      <c r="Q830" s="232"/>
      <c r="R830" s="233">
        <v>63532</v>
      </c>
      <c r="S830" s="234">
        <v>-5391</v>
      </c>
      <c r="T830" s="234">
        <f>58140+1</f>
        <v>58141</v>
      </c>
    </row>
    <row r="831" spans="1:20">
      <c r="A831" s="227">
        <v>99110</v>
      </c>
      <c r="B831" s="228" t="s">
        <v>1539</v>
      </c>
      <c r="C831" s="87">
        <v>1.7670000000000001E-4</v>
      </c>
      <c r="D831" s="87">
        <v>1.8369999999999999E-4</v>
      </c>
      <c r="E831" s="232">
        <v>269949</v>
      </c>
      <c r="F831" s="232"/>
      <c r="G831" s="233">
        <v>15552</v>
      </c>
      <c r="H831" s="221">
        <v>65544</v>
      </c>
      <c r="I831" s="233">
        <v>38552</v>
      </c>
      <c r="J831" s="232">
        <v>69046</v>
      </c>
      <c r="K831" s="221">
        <f t="shared" si="25"/>
        <v>188694</v>
      </c>
      <c r="L831" s="232"/>
      <c r="M831" s="233">
        <v>7641</v>
      </c>
      <c r="N831" s="233">
        <v>0</v>
      </c>
      <c r="O831" s="232">
        <v>0</v>
      </c>
      <c r="P831" s="221">
        <f t="shared" si="26"/>
        <v>7641</v>
      </c>
      <c r="Q831" s="232"/>
      <c r="R831" s="233">
        <v>90973</v>
      </c>
      <c r="S831" s="234">
        <v>27602</v>
      </c>
      <c r="T831" s="234">
        <v>118575</v>
      </c>
    </row>
    <row r="832" spans="1:20">
      <c r="A832" s="227">
        <v>99111</v>
      </c>
      <c r="B832" s="228" t="s">
        <v>1540</v>
      </c>
      <c r="C832" s="87">
        <v>1.2618E-3</v>
      </c>
      <c r="D832" s="87">
        <v>1.2757000000000001E-3</v>
      </c>
      <c r="E832" s="232">
        <v>1927681</v>
      </c>
      <c r="F832" s="232"/>
      <c r="G832" s="233">
        <v>111052</v>
      </c>
      <c r="H832" s="221">
        <v>468043</v>
      </c>
      <c r="I832" s="233">
        <v>275300</v>
      </c>
      <c r="J832" s="232">
        <v>0</v>
      </c>
      <c r="K832" s="221">
        <f t="shared" si="25"/>
        <v>854395</v>
      </c>
      <c r="L832" s="232"/>
      <c r="M832" s="233">
        <v>54567</v>
      </c>
      <c r="N832" s="233">
        <v>0</v>
      </c>
      <c r="O832" s="232">
        <v>143900</v>
      </c>
      <c r="P832" s="221">
        <f t="shared" si="26"/>
        <v>198467</v>
      </c>
      <c r="Q832" s="232"/>
      <c r="R832" s="233">
        <v>649630</v>
      </c>
      <c r="S832" s="234">
        <v>-68554</v>
      </c>
      <c r="T832" s="234">
        <v>581076</v>
      </c>
    </row>
    <row r="833" spans="1:20">
      <c r="A833" s="227">
        <v>99201</v>
      </c>
      <c r="B833" s="228" t="s">
        <v>1541</v>
      </c>
      <c r="C833" s="87">
        <v>3.3297199999999999E-2</v>
      </c>
      <c r="D833" s="87">
        <v>3.22145E-2</v>
      </c>
      <c r="E833" s="232">
        <v>50868898</v>
      </c>
      <c r="F833" s="232"/>
      <c r="G833" s="233">
        <v>2930520</v>
      </c>
      <c r="H833" s="221">
        <v>12351030</v>
      </c>
      <c r="I833" s="233">
        <v>7264783</v>
      </c>
      <c r="J833" s="232">
        <v>1320745</v>
      </c>
      <c r="K833" s="221">
        <f t="shared" si="25"/>
        <v>23867078</v>
      </c>
      <c r="L833" s="232"/>
      <c r="M833" s="233">
        <v>1439937</v>
      </c>
      <c r="N833" s="233">
        <v>0</v>
      </c>
      <c r="O833" s="232">
        <v>241517</v>
      </c>
      <c r="P833" s="221">
        <f t="shared" si="26"/>
        <v>1681454</v>
      </c>
      <c r="Q833" s="232"/>
      <c r="R833" s="233">
        <v>17142864</v>
      </c>
      <c r="S833" s="234">
        <v>242815</v>
      </c>
      <c r="T833" s="234">
        <v>17385679</v>
      </c>
    </row>
    <row r="834" spans="1:20">
      <c r="A834" s="227">
        <v>99202</v>
      </c>
      <c r="B834" s="228" t="s">
        <v>1542</v>
      </c>
      <c r="C834" s="87">
        <v>2.5855000000000001E-3</v>
      </c>
      <c r="D834" s="87">
        <v>2.5138000000000001E-3</v>
      </c>
      <c r="E834" s="232">
        <v>3949928</v>
      </c>
      <c r="F834" s="232"/>
      <c r="G834" s="233">
        <v>227552</v>
      </c>
      <c r="H834" s="221">
        <v>959048</v>
      </c>
      <c r="I834" s="233">
        <v>564104</v>
      </c>
      <c r="J834" s="232">
        <v>0</v>
      </c>
      <c r="K834" s="221">
        <f t="shared" si="25"/>
        <v>1750704</v>
      </c>
      <c r="L834" s="232"/>
      <c r="M834" s="233">
        <v>111810</v>
      </c>
      <c r="N834" s="233">
        <v>0</v>
      </c>
      <c r="O834" s="232">
        <v>184130</v>
      </c>
      <c r="P834" s="221">
        <f t="shared" si="26"/>
        <v>295940</v>
      </c>
      <c r="Q834" s="232"/>
      <c r="R834" s="233">
        <v>1331129</v>
      </c>
      <c r="S834" s="234">
        <v>-73084</v>
      </c>
      <c r="T834" s="234">
        <v>1258045</v>
      </c>
    </row>
    <row r="835" spans="1:20">
      <c r="A835" s="227">
        <v>99203</v>
      </c>
      <c r="B835" s="228" t="s">
        <v>1543</v>
      </c>
      <c r="C835" s="87">
        <v>3.0410000000000002E-4</v>
      </c>
      <c r="D835" s="87">
        <v>3.1990000000000002E-4</v>
      </c>
      <c r="E835" s="232">
        <v>464581</v>
      </c>
      <c r="F835" s="232"/>
      <c r="G835" s="233">
        <v>26764</v>
      </c>
      <c r="H835" s="221">
        <v>112801</v>
      </c>
      <c r="I835" s="233">
        <v>66349</v>
      </c>
      <c r="J835" s="232">
        <v>24433</v>
      </c>
      <c r="K835" s="221">
        <f t="shared" si="25"/>
        <v>230347</v>
      </c>
      <c r="L835" s="232"/>
      <c r="M835" s="233">
        <v>13151</v>
      </c>
      <c r="N835" s="233">
        <v>0</v>
      </c>
      <c r="O835" s="232">
        <v>20730</v>
      </c>
      <c r="P835" s="221">
        <f t="shared" si="26"/>
        <v>33881</v>
      </c>
      <c r="Q835" s="232"/>
      <c r="R835" s="233">
        <v>156564</v>
      </c>
      <c r="S835" s="234">
        <v>11213</v>
      </c>
      <c r="T835" s="234">
        <v>167777</v>
      </c>
    </row>
    <row r="836" spans="1:20">
      <c r="A836" s="227">
        <v>99204</v>
      </c>
      <c r="B836" s="228" t="s">
        <v>1544</v>
      </c>
      <c r="C836" s="87">
        <v>8.3549999999999998E-4</v>
      </c>
      <c r="D836" s="87">
        <v>7.4910000000000005E-4</v>
      </c>
      <c r="E836" s="232">
        <v>1276413</v>
      </c>
      <c r="F836" s="232"/>
      <c r="G836" s="233">
        <v>73533</v>
      </c>
      <c r="H836" s="221">
        <v>309914</v>
      </c>
      <c r="I836" s="233">
        <v>182289</v>
      </c>
      <c r="J836" s="232">
        <v>108607</v>
      </c>
      <c r="K836" s="221">
        <f t="shared" si="25"/>
        <v>674343</v>
      </c>
      <c r="L836" s="232"/>
      <c r="M836" s="233">
        <v>36131</v>
      </c>
      <c r="N836" s="233">
        <v>0</v>
      </c>
      <c r="O836" s="232">
        <v>0</v>
      </c>
      <c r="P836" s="221">
        <f t="shared" si="26"/>
        <v>36131</v>
      </c>
      <c r="Q836" s="232"/>
      <c r="R836" s="233">
        <v>430152</v>
      </c>
      <c r="S836" s="234">
        <v>37657</v>
      </c>
      <c r="T836" s="234">
        <v>467809</v>
      </c>
    </row>
    <row r="837" spans="1:20">
      <c r="A837" s="227">
        <v>99206</v>
      </c>
      <c r="B837" s="228" t="s">
        <v>1545</v>
      </c>
      <c r="C837" s="87">
        <v>1.6957999999999999E-3</v>
      </c>
      <c r="D837" s="87">
        <v>1.6665E-3</v>
      </c>
      <c r="E837" s="232">
        <v>2590713</v>
      </c>
      <c r="F837" s="232"/>
      <c r="G837" s="233">
        <v>149249</v>
      </c>
      <c r="H837" s="221">
        <v>629028</v>
      </c>
      <c r="I837" s="233">
        <v>369990</v>
      </c>
      <c r="J837" s="232">
        <v>641271</v>
      </c>
      <c r="K837" s="221">
        <f t="shared" si="25"/>
        <v>1789538</v>
      </c>
      <c r="L837" s="232"/>
      <c r="M837" s="233">
        <v>73335</v>
      </c>
      <c r="N837" s="233">
        <v>0</v>
      </c>
      <c r="O837" s="232">
        <v>6741</v>
      </c>
      <c r="P837" s="221">
        <f t="shared" si="26"/>
        <v>80076</v>
      </c>
      <c r="Q837" s="232"/>
      <c r="R837" s="233">
        <v>873072</v>
      </c>
      <c r="S837" s="234">
        <v>209066</v>
      </c>
      <c r="T837" s="234">
        <f>1082139-1</f>
        <v>1082138</v>
      </c>
    </row>
    <row r="838" spans="1:20">
      <c r="A838" s="227">
        <v>99207</v>
      </c>
      <c r="B838" s="228" t="s">
        <v>1546</v>
      </c>
      <c r="C838" s="87">
        <v>1.3329999999999999E-4</v>
      </c>
      <c r="D838" s="87">
        <v>1.3430000000000001E-4</v>
      </c>
      <c r="E838" s="232">
        <v>203645</v>
      </c>
      <c r="F838" s="232"/>
      <c r="G838" s="233">
        <v>11732</v>
      </c>
      <c r="H838" s="221">
        <v>49445</v>
      </c>
      <c r="I838" s="233">
        <v>29083</v>
      </c>
      <c r="J838" s="232">
        <v>145724</v>
      </c>
      <c r="K838" s="221">
        <f t="shared" si="25"/>
        <v>235984</v>
      </c>
      <c r="L838" s="232"/>
      <c r="M838" s="233">
        <v>5765</v>
      </c>
      <c r="N838" s="233">
        <v>0</v>
      </c>
      <c r="O838" s="232">
        <v>0</v>
      </c>
      <c r="P838" s="221">
        <f t="shared" si="26"/>
        <v>5765</v>
      </c>
      <c r="Q838" s="232"/>
      <c r="R838" s="233">
        <v>68629</v>
      </c>
      <c r="S838" s="234">
        <v>46901</v>
      </c>
      <c r="T838" s="234">
        <v>115530</v>
      </c>
    </row>
    <row r="839" spans="1:20">
      <c r="A839" s="227">
        <v>99208</v>
      </c>
      <c r="B839" s="228" t="s">
        <v>1547</v>
      </c>
      <c r="C839" s="87">
        <v>1.4569999999999999E-4</v>
      </c>
      <c r="D839" s="87">
        <v>1.3669999999999999E-4</v>
      </c>
      <c r="E839" s="232">
        <v>222589</v>
      </c>
      <c r="F839" s="232"/>
      <c r="G839" s="233">
        <v>12823</v>
      </c>
      <c r="H839" s="221">
        <v>54045</v>
      </c>
      <c r="I839" s="233">
        <v>31789</v>
      </c>
      <c r="J839" s="232">
        <v>0</v>
      </c>
      <c r="K839" s="221">
        <f t="shared" si="25"/>
        <v>98657</v>
      </c>
      <c r="L839" s="232"/>
      <c r="M839" s="233">
        <v>6301</v>
      </c>
      <c r="N839" s="233">
        <v>0</v>
      </c>
      <c r="O839" s="232">
        <v>38521</v>
      </c>
      <c r="P839" s="221">
        <f t="shared" si="26"/>
        <v>44822</v>
      </c>
      <c r="Q839" s="232"/>
      <c r="R839" s="233">
        <v>75013</v>
      </c>
      <c r="S839" s="234">
        <v>-20543</v>
      </c>
      <c r="T839" s="234">
        <v>54470</v>
      </c>
    </row>
    <row r="840" spans="1:20">
      <c r="A840" s="227">
        <v>99210</v>
      </c>
      <c r="B840" s="228" t="s">
        <v>1548</v>
      </c>
      <c r="C840" s="87">
        <v>1.5943999999999999E-3</v>
      </c>
      <c r="D840" s="87">
        <v>1.5945E-3</v>
      </c>
      <c r="E840" s="232">
        <v>2435802</v>
      </c>
      <c r="F840" s="232"/>
      <c r="G840" s="233">
        <v>140325</v>
      </c>
      <c r="H840" s="221">
        <v>591415</v>
      </c>
      <c r="I840" s="233">
        <v>347866</v>
      </c>
      <c r="J840" s="232">
        <v>99237</v>
      </c>
      <c r="K840" s="221">
        <f t="shared" si="25"/>
        <v>1178843</v>
      </c>
      <c r="L840" s="232"/>
      <c r="M840" s="233">
        <v>68950</v>
      </c>
      <c r="N840" s="233">
        <v>0</v>
      </c>
      <c r="O840" s="232">
        <v>0</v>
      </c>
      <c r="P840" s="221">
        <f t="shared" si="26"/>
        <v>68950</v>
      </c>
      <c r="Q840" s="232"/>
      <c r="R840" s="233">
        <v>820867</v>
      </c>
      <c r="S840" s="234">
        <v>39106</v>
      </c>
      <c r="T840" s="234">
        <f>859974-1</f>
        <v>859973</v>
      </c>
    </row>
    <row r="841" spans="1:20">
      <c r="A841" s="227">
        <v>99211</v>
      </c>
      <c r="B841" s="228" t="s">
        <v>1549</v>
      </c>
      <c r="C841" s="87">
        <v>3.7100599999999997E-2</v>
      </c>
      <c r="D841" s="87">
        <v>3.8233999999999997E-2</v>
      </c>
      <c r="E841" s="232">
        <v>56679440</v>
      </c>
      <c r="F841" s="232"/>
      <c r="G841" s="233">
        <v>3265261</v>
      </c>
      <c r="H841" s="221">
        <v>13761837</v>
      </c>
      <c r="I841" s="233">
        <v>8094609</v>
      </c>
      <c r="J841" s="232">
        <v>0</v>
      </c>
      <c r="K841" s="221">
        <f t="shared" si="25"/>
        <v>25121707</v>
      </c>
      <c r="L841" s="232"/>
      <c r="M841" s="233">
        <v>1604415</v>
      </c>
      <c r="N841" s="233">
        <v>0</v>
      </c>
      <c r="O841" s="232">
        <v>1838947</v>
      </c>
      <c r="P841" s="221">
        <f t="shared" si="26"/>
        <v>3443362</v>
      </c>
      <c r="Q841" s="232"/>
      <c r="R841" s="233">
        <v>19101021</v>
      </c>
      <c r="S841" s="234">
        <v>-724653</v>
      </c>
      <c r="T841" s="234">
        <f>18376369-1</f>
        <v>18376368</v>
      </c>
    </row>
    <row r="842" spans="1:20">
      <c r="A842" s="227">
        <v>99212</v>
      </c>
      <c r="B842" s="228" t="s">
        <v>1550</v>
      </c>
      <c r="C842" s="87">
        <v>8.14E-5</v>
      </c>
      <c r="D842" s="87">
        <v>7.4400000000000006E-5</v>
      </c>
      <c r="E842" s="232">
        <v>124357</v>
      </c>
      <c r="F842" s="232"/>
      <c r="G842" s="233">
        <v>7164</v>
      </c>
      <c r="H842" s="221">
        <v>30194</v>
      </c>
      <c r="I842" s="233">
        <v>17760</v>
      </c>
      <c r="J842" s="232">
        <v>242</v>
      </c>
      <c r="K842" s="221">
        <f t="shared" ref="K842:K905" si="27">G842+H842+I842+J842</f>
        <v>55360</v>
      </c>
      <c r="L842" s="232"/>
      <c r="M842" s="233">
        <v>3520</v>
      </c>
      <c r="N842" s="233">
        <v>0</v>
      </c>
      <c r="O842" s="232">
        <v>34044</v>
      </c>
      <c r="P842" s="221">
        <f t="shared" ref="P842:P905" si="28">M842+N842+O842</f>
        <v>37564</v>
      </c>
      <c r="Q842" s="232"/>
      <c r="R842" s="233">
        <v>41908</v>
      </c>
      <c r="S842" s="234">
        <v>-15261</v>
      </c>
      <c r="T842" s="234">
        <v>26647</v>
      </c>
    </row>
    <row r="843" spans="1:20">
      <c r="A843" s="227">
        <v>99213</v>
      </c>
      <c r="B843" s="228" t="s">
        <v>1551</v>
      </c>
      <c r="C843" s="87">
        <v>7.5159999999999995E-4</v>
      </c>
      <c r="D843" s="87">
        <v>8.0730000000000005E-4</v>
      </c>
      <c r="E843" s="232">
        <v>1148237</v>
      </c>
      <c r="F843" s="232"/>
      <c r="G843" s="233">
        <v>66149</v>
      </c>
      <c r="H843" s="221">
        <v>278793</v>
      </c>
      <c r="I843" s="233">
        <v>163984</v>
      </c>
      <c r="J843" s="232">
        <v>6057</v>
      </c>
      <c r="K843" s="221">
        <f t="shared" si="27"/>
        <v>514983</v>
      </c>
      <c r="L843" s="232"/>
      <c r="M843" s="233">
        <v>32503</v>
      </c>
      <c r="N843" s="233">
        <v>0</v>
      </c>
      <c r="O843" s="232">
        <v>45468</v>
      </c>
      <c r="P843" s="221">
        <f t="shared" si="28"/>
        <v>77971</v>
      </c>
      <c r="Q843" s="232"/>
      <c r="R843" s="233">
        <v>386957</v>
      </c>
      <c r="S843" s="234">
        <v>-10310</v>
      </c>
      <c r="T843" s="234">
        <f>376646+1</f>
        <v>376647</v>
      </c>
    </row>
    <row r="844" spans="1:20">
      <c r="A844" s="227">
        <v>99218</v>
      </c>
      <c r="B844" s="228" t="s">
        <v>1552</v>
      </c>
      <c r="C844" s="87">
        <v>3.1162E-3</v>
      </c>
      <c r="D844" s="87">
        <v>3.1227999999999998E-3</v>
      </c>
      <c r="E844" s="232">
        <v>4760690</v>
      </c>
      <c r="F844" s="232"/>
      <c r="G844" s="233">
        <v>274260</v>
      </c>
      <c r="H844" s="221">
        <v>1155902</v>
      </c>
      <c r="I844" s="233">
        <v>679893</v>
      </c>
      <c r="J844" s="232">
        <v>179789</v>
      </c>
      <c r="K844" s="221">
        <f t="shared" si="27"/>
        <v>2289844</v>
      </c>
      <c r="L844" s="232"/>
      <c r="M844" s="233">
        <v>134760</v>
      </c>
      <c r="N844" s="233">
        <v>0</v>
      </c>
      <c r="O844" s="232">
        <v>0</v>
      </c>
      <c r="P844" s="221">
        <f t="shared" si="28"/>
        <v>134760</v>
      </c>
      <c r="Q844" s="232"/>
      <c r="R844" s="233">
        <v>1604357</v>
      </c>
      <c r="S844" s="234">
        <v>66860</v>
      </c>
      <c r="T844" s="234">
        <v>1671217</v>
      </c>
    </row>
    <row r="845" spans="1:20">
      <c r="A845" s="227">
        <v>99221</v>
      </c>
      <c r="B845" s="228" t="s">
        <v>1553</v>
      </c>
      <c r="C845" s="87">
        <v>1.27709E-2</v>
      </c>
      <c r="D845" s="87">
        <v>1.3092700000000001E-2</v>
      </c>
      <c r="E845" s="232">
        <v>19510398</v>
      </c>
      <c r="F845" s="232"/>
      <c r="G845" s="233">
        <v>1123980</v>
      </c>
      <c r="H845" s="221">
        <v>4737148</v>
      </c>
      <c r="I845" s="233">
        <v>2786355</v>
      </c>
      <c r="J845" s="232">
        <v>0</v>
      </c>
      <c r="K845" s="221">
        <f t="shared" si="27"/>
        <v>8647483</v>
      </c>
      <c r="L845" s="232"/>
      <c r="M845" s="233">
        <v>552278</v>
      </c>
      <c r="N845" s="233">
        <v>0</v>
      </c>
      <c r="O845" s="232">
        <v>687802</v>
      </c>
      <c r="P845" s="221">
        <f t="shared" si="28"/>
        <v>1240080</v>
      </c>
      <c r="Q845" s="232"/>
      <c r="R845" s="233">
        <v>6575021</v>
      </c>
      <c r="S845" s="234">
        <v>-271922</v>
      </c>
      <c r="T845" s="234">
        <v>6303099</v>
      </c>
    </row>
    <row r="846" spans="1:20">
      <c r="A846" s="227">
        <v>99222</v>
      </c>
      <c r="B846" s="228" t="s">
        <v>1554</v>
      </c>
      <c r="C846" s="87">
        <v>3.9100000000000002E-5</v>
      </c>
      <c r="D846" s="87">
        <v>4.0099999999999999E-5</v>
      </c>
      <c r="E846" s="232">
        <v>59734</v>
      </c>
      <c r="F846" s="232"/>
      <c r="G846" s="233">
        <v>3441</v>
      </c>
      <c r="H846" s="221">
        <v>14504</v>
      </c>
      <c r="I846" s="233">
        <v>8531</v>
      </c>
      <c r="J846" s="232">
        <v>2307</v>
      </c>
      <c r="K846" s="221">
        <f t="shared" si="27"/>
        <v>28783</v>
      </c>
      <c r="L846" s="232"/>
      <c r="M846" s="233">
        <v>1691</v>
      </c>
      <c r="N846" s="233">
        <v>0</v>
      </c>
      <c r="O846" s="232">
        <v>3585</v>
      </c>
      <c r="P846" s="221">
        <f t="shared" si="28"/>
        <v>5276</v>
      </c>
      <c r="Q846" s="232"/>
      <c r="R846" s="233">
        <v>20130</v>
      </c>
      <c r="S846" s="234">
        <v>281</v>
      </c>
      <c r="T846" s="234">
        <v>20411</v>
      </c>
    </row>
    <row r="847" spans="1:20">
      <c r="A847" s="227">
        <v>99231</v>
      </c>
      <c r="B847" s="228" t="s">
        <v>1555</v>
      </c>
      <c r="C847" s="87">
        <v>3.7179999999999998E-4</v>
      </c>
      <c r="D847" s="87">
        <v>3.7869999999999999E-4</v>
      </c>
      <c r="E847" s="232">
        <v>568007</v>
      </c>
      <c r="F847" s="232"/>
      <c r="G847" s="233">
        <v>32722</v>
      </c>
      <c r="H847" s="221">
        <v>137913</v>
      </c>
      <c r="I847" s="233">
        <v>81119</v>
      </c>
      <c r="J847" s="232">
        <v>0</v>
      </c>
      <c r="K847" s="221">
        <f t="shared" si="27"/>
        <v>251754</v>
      </c>
      <c r="L847" s="232"/>
      <c r="M847" s="233">
        <v>16078</v>
      </c>
      <c r="N847" s="233">
        <v>0</v>
      </c>
      <c r="O847" s="232">
        <v>31773</v>
      </c>
      <c r="P847" s="221">
        <f t="shared" si="28"/>
        <v>47851</v>
      </c>
      <c r="Q847" s="232"/>
      <c r="R847" s="233">
        <v>191419</v>
      </c>
      <c r="S847" s="234">
        <v>-14995</v>
      </c>
      <c r="T847" s="234">
        <v>176424</v>
      </c>
    </row>
    <row r="848" spans="1:20">
      <c r="A848" s="227">
        <v>99241</v>
      </c>
      <c r="B848" s="228" t="s">
        <v>1556</v>
      </c>
      <c r="C848" s="87">
        <v>5.5329999999999995E-4</v>
      </c>
      <c r="D848" s="87">
        <v>5.6039999999999996E-4</v>
      </c>
      <c r="E848" s="232">
        <v>845289</v>
      </c>
      <c r="F848" s="232"/>
      <c r="G848" s="233">
        <v>48696</v>
      </c>
      <c r="H848" s="221">
        <v>205238</v>
      </c>
      <c r="I848" s="233">
        <v>120719</v>
      </c>
      <c r="J848" s="232">
        <v>0</v>
      </c>
      <c r="K848" s="221">
        <f t="shared" si="27"/>
        <v>374653</v>
      </c>
      <c r="L848" s="232"/>
      <c r="M848" s="233">
        <v>23927</v>
      </c>
      <c r="N848" s="233">
        <v>0</v>
      </c>
      <c r="O848" s="232">
        <v>103885</v>
      </c>
      <c r="P848" s="221">
        <f t="shared" si="28"/>
        <v>127812</v>
      </c>
      <c r="Q848" s="232"/>
      <c r="R848" s="233">
        <v>284863</v>
      </c>
      <c r="S848" s="234">
        <v>-52289</v>
      </c>
      <c r="T848" s="234">
        <f>232575-1</f>
        <v>232574</v>
      </c>
    </row>
    <row r="849" spans="1:20">
      <c r="A849" s="227">
        <v>99251</v>
      </c>
      <c r="B849" s="228" t="s">
        <v>1557</v>
      </c>
      <c r="C849" s="87">
        <v>1.6069000000000001E-3</v>
      </c>
      <c r="D849" s="87">
        <v>1.6521000000000001E-3</v>
      </c>
      <c r="E849" s="232">
        <v>2454898</v>
      </c>
      <c r="F849" s="232"/>
      <c r="G849" s="233">
        <v>141425</v>
      </c>
      <c r="H849" s="221">
        <v>596053</v>
      </c>
      <c r="I849" s="233">
        <v>350593</v>
      </c>
      <c r="J849" s="232">
        <v>2758</v>
      </c>
      <c r="K849" s="221">
        <f t="shared" si="27"/>
        <v>1090829</v>
      </c>
      <c r="L849" s="232"/>
      <c r="M849" s="233">
        <v>69490</v>
      </c>
      <c r="N849" s="233">
        <v>0</v>
      </c>
      <c r="O849" s="232">
        <v>31200</v>
      </c>
      <c r="P849" s="221">
        <f t="shared" si="28"/>
        <v>100690</v>
      </c>
      <c r="Q849" s="232"/>
      <c r="R849" s="233">
        <v>827303</v>
      </c>
      <c r="S849" s="234">
        <v>-11932</v>
      </c>
      <c r="T849" s="234">
        <v>815371</v>
      </c>
    </row>
    <row r="850" spans="1:20">
      <c r="A850" s="227">
        <v>99252</v>
      </c>
      <c r="B850" s="228" t="s">
        <v>1558</v>
      </c>
      <c r="C850" s="87">
        <v>6.1269999999999999E-4</v>
      </c>
      <c r="D850" s="87">
        <v>5.8279999999999996E-4</v>
      </c>
      <c r="E850" s="232">
        <v>936036</v>
      </c>
      <c r="F850" s="232"/>
      <c r="G850" s="233">
        <v>53924</v>
      </c>
      <c r="H850" s="221">
        <v>227271</v>
      </c>
      <c r="I850" s="233">
        <v>133679</v>
      </c>
      <c r="J850" s="232">
        <v>0</v>
      </c>
      <c r="K850" s="221">
        <f t="shared" si="27"/>
        <v>414874</v>
      </c>
      <c r="L850" s="232"/>
      <c r="M850" s="233">
        <v>26496</v>
      </c>
      <c r="N850" s="233">
        <v>0</v>
      </c>
      <c r="O850" s="232">
        <v>202059</v>
      </c>
      <c r="P850" s="221">
        <f t="shared" si="28"/>
        <v>228555</v>
      </c>
      <c r="Q850" s="232"/>
      <c r="R850" s="233">
        <v>315445</v>
      </c>
      <c r="S850" s="234">
        <v>-85968</v>
      </c>
      <c r="T850" s="234">
        <v>229477</v>
      </c>
    </row>
    <row r="851" spans="1:20">
      <c r="A851" s="227">
        <v>99261</v>
      </c>
      <c r="B851" s="228" t="s">
        <v>1559</v>
      </c>
      <c r="C851" s="87">
        <v>1.9938E-3</v>
      </c>
      <c r="D851" s="87">
        <v>1.9145E-3</v>
      </c>
      <c r="E851" s="232">
        <v>3045974</v>
      </c>
      <c r="F851" s="232"/>
      <c r="G851" s="233">
        <v>175476</v>
      </c>
      <c r="H851" s="221">
        <v>739566</v>
      </c>
      <c r="I851" s="233">
        <v>435007</v>
      </c>
      <c r="J851" s="232">
        <v>0</v>
      </c>
      <c r="K851" s="221">
        <f t="shared" si="27"/>
        <v>1350049</v>
      </c>
      <c r="L851" s="232"/>
      <c r="M851" s="233">
        <v>86222</v>
      </c>
      <c r="N851" s="233">
        <v>0</v>
      </c>
      <c r="O851" s="232">
        <v>148472</v>
      </c>
      <c r="P851" s="221">
        <f t="shared" si="28"/>
        <v>234694</v>
      </c>
      <c r="Q851" s="232"/>
      <c r="R851" s="233">
        <v>1026496</v>
      </c>
      <c r="S851" s="234">
        <v>-69364</v>
      </c>
      <c r="T851" s="234">
        <v>957132</v>
      </c>
    </row>
    <row r="852" spans="1:20">
      <c r="A852" s="227">
        <v>99271</v>
      </c>
      <c r="B852" s="228" t="s">
        <v>1560</v>
      </c>
      <c r="C852" s="87">
        <v>4.0137000000000003E-3</v>
      </c>
      <c r="D852" s="87">
        <v>3.9248E-3</v>
      </c>
      <c r="E852" s="232">
        <v>6131822</v>
      </c>
      <c r="F852" s="232"/>
      <c r="G852" s="233">
        <v>353250</v>
      </c>
      <c r="H852" s="221">
        <v>1488814</v>
      </c>
      <c r="I852" s="233">
        <v>875709</v>
      </c>
      <c r="J852" s="232">
        <v>0</v>
      </c>
      <c r="K852" s="221">
        <f t="shared" si="27"/>
        <v>2717773</v>
      </c>
      <c r="L852" s="232"/>
      <c r="M852" s="233">
        <v>173572</v>
      </c>
      <c r="N852" s="233">
        <v>0</v>
      </c>
      <c r="O852" s="232">
        <v>122792</v>
      </c>
      <c r="P852" s="221">
        <f t="shared" si="28"/>
        <v>296364</v>
      </c>
      <c r="Q852" s="232"/>
      <c r="R852" s="233">
        <v>2066429</v>
      </c>
      <c r="S852" s="234">
        <v>-45302</v>
      </c>
      <c r="T852" s="234">
        <v>2021127</v>
      </c>
    </row>
    <row r="853" spans="1:20">
      <c r="A853" s="227">
        <v>99281</v>
      </c>
      <c r="B853" s="228" t="s">
        <v>1561</v>
      </c>
      <c r="C853" s="87">
        <v>2.2918999999999999E-3</v>
      </c>
      <c r="D853" s="87">
        <v>2.2824E-3</v>
      </c>
      <c r="E853" s="232">
        <v>3501388</v>
      </c>
      <c r="F853" s="232"/>
      <c r="G853" s="233">
        <v>201712</v>
      </c>
      <c r="H853" s="221">
        <v>850141</v>
      </c>
      <c r="I853" s="233">
        <v>500047</v>
      </c>
      <c r="J853" s="232">
        <v>6743</v>
      </c>
      <c r="K853" s="221">
        <f t="shared" si="27"/>
        <v>1558643</v>
      </c>
      <c r="L853" s="232"/>
      <c r="M853" s="233">
        <v>99113</v>
      </c>
      <c r="N853" s="233">
        <v>0</v>
      </c>
      <c r="O853" s="232">
        <v>128585</v>
      </c>
      <c r="P853" s="221">
        <f t="shared" si="28"/>
        <v>227698</v>
      </c>
      <c r="Q853" s="232"/>
      <c r="R853" s="233">
        <v>1179971</v>
      </c>
      <c r="S853" s="234">
        <v>-37280</v>
      </c>
      <c r="T853" s="234">
        <v>1142691</v>
      </c>
    </row>
    <row r="854" spans="1:20">
      <c r="A854" s="227">
        <v>99291</v>
      </c>
      <c r="B854" s="228" t="s">
        <v>1562</v>
      </c>
      <c r="C854" s="87">
        <v>7.3499999999999998E-4</v>
      </c>
      <c r="D854" s="87">
        <v>7.7260000000000002E-4</v>
      </c>
      <c r="E854" s="232">
        <v>1122876</v>
      </c>
      <c r="F854" s="232"/>
      <c r="G854" s="233">
        <v>64688</v>
      </c>
      <c r="H854" s="221">
        <v>272636</v>
      </c>
      <c r="I854" s="233">
        <v>160362</v>
      </c>
      <c r="J854" s="232">
        <v>0</v>
      </c>
      <c r="K854" s="221">
        <f t="shared" si="27"/>
        <v>497686</v>
      </c>
      <c r="L854" s="232"/>
      <c r="M854" s="233">
        <v>31785</v>
      </c>
      <c r="N854" s="233">
        <v>0</v>
      </c>
      <c r="O854" s="232">
        <v>137813</v>
      </c>
      <c r="P854" s="221">
        <f t="shared" si="28"/>
        <v>169598</v>
      </c>
      <c r="Q854" s="232"/>
      <c r="R854" s="233">
        <v>378410</v>
      </c>
      <c r="S854" s="234">
        <v>-55575</v>
      </c>
      <c r="T854" s="234">
        <v>322835</v>
      </c>
    </row>
    <row r="855" spans="1:20">
      <c r="A855" s="227">
        <v>99301</v>
      </c>
      <c r="B855" s="228" t="s">
        <v>1563</v>
      </c>
      <c r="C855" s="87">
        <v>1.7879E-3</v>
      </c>
      <c r="D855" s="87">
        <v>1.8458000000000001E-3</v>
      </c>
      <c r="E855" s="232">
        <v>2731416</v>
      </c>
      <c r="F855" s="232"/>
      <c r="G855" s="233">
        <v>157355</v>
      </c>
      <c r="H855" s="221">
        <v>663191</v>
      </c>
      <c r="I855" s="233">
        <v>390084</v>
      </c>
      <c r="J855" s="232">
        <v>67408</v>
      </c>
      <c r="K855" s="221">
        <f t="shared" si="27"/>
        <v>1278038</v>
      </c>
      <c r="L855" s="232"/>
      <c r="M855" s="233">
        <v>77318</v>
      </c>
      <c r="N855" s="233">
        <v>0</v>
      </c>
      <c r="O855" s="232">
        <v>65062</v>
      </c>
      <c r="P855" s="221">
        <f t="shared" si="28"/>
        <v>142380</v>
      </c>
      <c r="Q855" s="232"/>
      <c r="R855" s="233">
        <v>920490</v>
      </c>
      <c r="S855" s="234">
        <v>38686</v>
      </c>
      <c r="T855" s="234">
        <f>959175+1</f>
        <v>959176</v>
      </c>
    </row>
    <row r="856" spans="1:20">
      <c r="A856" s="227">
        <v>99304</v>
      </c>
      <c r="B856" s="228" t="s">
        <v>1564</v>
      </c>
      <c r="C856" s="87">
        <v>9.2E-6</v>
      </c>
      <c r="D856" s="87">
        <v>9.9000000000000001E-6</v>
      </c>
      <c r="E856" s="232">
        <v>14055</v>
      </c>
      <c r="F856" s="232"/>
      <c r="G856" s="233">
        <v>810</v>
      </c>
      <c r="H856" s="221">
        <v>3412</v>
      </c>
      <c r="I856" s="233">
        <v>2007</v>
      </c>
      <c r="J856" s="232">
        <v>4659</v>
      </c>
      <c r="K856" s="221">
        <f t="shared" si="27"/>
        <v>10888</v>
      </c>
      <c r="L856" s="232"/>
      <c r="M856" s="233">
        <v>398</v>
      </c>
      <c r="N856" s="233">
        <v>0</v>
      </c>
      <c r="O856" s="232">
        <v>248</v>
      </c>
      <c r="P856" s="221">
        <f t="shared" si="28"/>
        <v>646</v>
      </c>
      <c r="Q856" s="232"/>
      <c r="R856" s="233">
        <v>4737</v>
      </c>
      <c r="S856" s="234">
        <v>1371</v>
      </c>
      <c r="T856" s="234">
        <f>6107+1</f>
        <v>6108</v>
      </c>
    </row>
    <row r="857" spans="1:20">
      <c r="A857" s="227">
        <v>99311</v>
      </c>
      <c r="B857" s="228" t="s">
        <v>1565</v>
      </c>
      <c r="C857" s="87">
        <v>5.4299999999999998E-5</v>
      </c>
      <c r="D857" s="87">
        <v>5.7599999999999997E-5</v>
      </c>
      <c r="E857" s="232">
        <v>82955</v>
      </c>
      <c r="F857" s="232"/>
      <c r="G857" s="233">
        <v>4779</v>
      </c>
      <c r="H857" s="221">
        <v>20142</v>
      </c>
      <c r="I857" s="233">
        <v>11847</v>
      </c>
      <c r="J857" s="232">
        <v>0</v>
      </c>
      <c r="K857" s="221">
        <f t="shared" si="27"/>
        <v>36768</v>
      </c>
      <c r="L857" s="232"/>
      <c r="M857" s="233">
        <v>2348</v>
      </c>
      <c r="N857" s="233">
        <v>0</v>
      </c>
      <c r="O857" s="232">
        <v>6758</v>
      </c>
      <c r="P857" s="221">
        <f t="shared" si="28"/>
        <v>9106</v>
      </c>
      <c r="Q857" s="232"/>
      <c r="R857" s="233">
        <v>27956</v>
      </c>
      <c r="S857" s="234">
        <v>-3216</v>
      </c>
      <c r="T857" s="234">
        <v>24740</v>
      </c>
    </row>
    <row r="858" spans="1:20">
      <c r="A858" s="227">
        <v>99321</v>
      </c>
      <c r="B858" s="228" t="s">
        <v>1566</v>
      </c>
      <c r="C858" s="87">
        <v>1.1E-4</v>
      </c>
      <c r="D858" s="87">
        <v>1.1909999999999999E-4</v>
      </c>
      <c r="E858" s="232">
        <v>168050</v>
      </c>
      <c r="F858" s="232"/>
      <c r="G858" s="233">
        <v>9681</v>
      </c>
      <c r="H858" s="221">
        <v>40803</v>
      </c>
      <c r="I858" s="233">
        <v>24000</v>
      </c>
      <c r="J858" s="232">
        <v>96146</v>
      </c>
      <c r="K858" s="221">
        <f t="shared" si="27"/>
        <v>170630</v>
      </c>
      <c r="L858" s="232"/>
      <c r="M858" s="233">
        <v>4757</v>
      </c>
      <c r="N858" s="233">
        <v>0</v>
      </c>
      <c r="O858" s="232">
        <v>0</v>
      </c>
      <c r="P858" s="221">
        <f t="shared" si="28"/>
        <v>4757</v>
      </c>
      <c r="Q858" s="232"/>
      <c r="R858" s="233">
        <v>56633</v>
      </c>
      <c r="S858" s="234">
        <v>41980</v>
      </c>
      <c r="T858" s="234">
        <v>98613</v>
      </c>
    </row>
    <row r="859" spans="1:20">
      <c r="A859" s="227">
        <v>99401</v>
      </c>
      <c r="B859" s="228" t="s">
        <v>1567</v>
      </c>
      <c r="C859" s="87">
        <v>9.2389999999999996E-4</v>
      </c>
      <c r="D859" s="87">
        <v>9.3869999999999999E-4</v>
      </c>
      <c r="E859" s="232">
        <v>1411463</v>
      </c>
      <c r="F859" s="232"/>
      <c r="G859" s="233">
        <v>81313</v>
      </c>
      <c r="H859" s="221">
        <v>342705</v>
      </c>
      <c r="I859" s="233">
        <v>201577</v>
      </c>
      <c r="J859" s="232">
        <v>34240</v>
      </c>
      <c r="K859" s="221">
        <f t="shared" si="27"/>
        <v>659835</v>
      </c>
      <c r="L859" s="232"/>
      <c r="M859" s="233">
        <v>39954</v>
      </c>
      <c r="N859" s="233">
        <v>0</v>
      </c>
      <c r="O859" s="232">
        <v>17589</v>
      </c>
      <c r="P859" s="221">
        <f t="shared" si="28"/>
        <v>57543</v>
      </c>
      <c r="Q859" s="232"/>
      <c r="R859" s="233">
        <v>475664</v>
      </c>
      <c r="S859" s="234">
        <v>22297</v>
      </c>
      <c r="T859" s="234">
        <v>497961</v>
      </c>
    </row>
    <row r="860" spans="1:20">
      <c r="A860" s="227">
        <v>99404</v>
      </c>
      <c r="B860" s="228" t="s">
        <v>1568</v>
      </c>
      <c r="C860" s="87">
        <v>9.3999999999999998E-6</v>
      </c>
      <c r="D860" s="87">
        <v>9.5999999999999996E-6</v>
      </c>
      <c r="E860" s="232">
        <v>14361</v>
      </c>
      <c r="F860" s="232"/>
      <c r="G860" s="233">
        <v>827</v>
      </c>
      <c r="H860" s="221">
        <v>3487</v>
      </c>
      <c r="I860" s="233">
        <v>2051</v>
      </c>
      <c r="J860" s="232">
        <v>1334</v>
      </c>
      <c r="K860" s="221">
        <f t="shared" si="27"/>
        <v>7699</v>
      </c>
      <c r="L860" s="232"/>
      <c r="M860" s="233">
        <v>407</v>
      </c>
      <c r="N860" s="233">
        <v>0</v>
      </c>
      <c r="O860" s="232">
        <v>0</v>
      </c>
      <c r="P860" s="221">
        <f t="shared" si="28"/>
        <v>407</v>
      </c>
      <c r="Q860" s="232"/>
      <c r="R860" s="233">
        <v>4840</v>
      </c>
      <c r="S860" s="234">
        <v>466</v>
      </c>
      <c r="T860" s="234">
        <v>5306</v>
      </c>
    </row>
    <row r="861" spans="1:20">
      <c r="A861" s="227">
        <v>99405</v>
      </c>
      <c r="B861" s="228" t="s">
        <v>1569</v>
      </c>
      <c r="C861" s="87">
        <v>6.2700000000000006E-5</v>
      </c>
      <c r="D861" s="87">
        <v>5.8100000000000003E-5</v>
      </c>
      <c r="E861" s="232">
        <v>95788</v>
      </c>
      <c r="F861" s="232"/>
      <c r="G861" s="233">
        <v>5518</v>
      </c>
      <c r="H861" s="221">
        <v>23258</v>
      </c>
      <c r="I861" s="233">
        <v>13680</v>
      </c>
      <c r="J861" s="232">
        <v>18380</v>
      </c>
      <c r="K861" s="221">
        <f t="shared" si="27"/>
        <v>60836</v>
      </c>
      <c r="L861" s="232"/>
      <c r="M861" s="233">
        <v>2711</v>
      </c>
      <c r="N861" s="233">
        <v>0</v>
      </c>
      <c r="O861" s="232">
        <v>336</v>
      </c>
      <c r="P861" s="221">
        <f t="shared" si="28"/>
        <v>3047</v>
      </c>
      <c r="Q861" s="232"/>
      <c r="R861" s="233">
        <v>32281</v>
      </c>
      <c r="S861" s="234">
        <v>6084</v>
      </c>
      <c r="T861" s="234">
        <f>38364+1</f>
        <v>38365</v>
      </c>
    </row>
    <row r="862" spans="1:20">
      <c r="A862" s="227">
        <v>99411</v>
      </c>
      <c r="B862" s="228" t="s">
        <v>1570</v>
      </c>
      <c r="C862" s="87">
        <v>1.583E-4</v>
      </c>
      <c r="D862" s="87">
        <v>1.2510000000000001E-4</v>
      </c>
      <c r="E862" s="232">
        <v>241839</v>
      </c>
      <c r="F862" s="232"/>
      <c r="G862" s="233">
        <v>13932</v>
      </c>
      <c r="H862" s="221">
        <v>58719</v>
      </c>
      <c r="I862" s="233">
        <v>34538</v>
      </c>
      <c r="J862" s="232">
        <v>41924</v>
      </c>
      <c r="K862" s="221">
        <f t="shared" si="27"/>
        <v>149113</v>
      </c>
      <c r="L862" s="232"/>
      <c r="M862" s="233">
        <v>6846</v>
      </c>
      <c r="N862" s="233">
        <v>0</v>
      </c>
      <c r="O862" s="232">
        <v>4400</v>
      </c>
      <c r="P862" s="221">
        <f t="shared" si="28"/>
        <v>11246</v>
      </c>
      <c r="Q862" s="232"/>
      <c r="R862" s="233">
        <v>81500</v>
      </c>
      <c r="S862" s="234">
        <v>8626</v>
      </c>
      <c r="T862" s="234">
        <v>90126</v>
      </c>
    </row>
    <row r="863" spans="1:20">
      <c r="A863" s="227">
        <v>99413</v>
      </c>
      <c r="B863" s="228" t="s">
        <v>1571</v>
      </c>
      <c r="C863" s="87">
        <v>3.1099999999999997E-5</v>
      </c>
      <c r="D863" s="87">
        <v>2.76E-5</v>
      </c>
      <c r="E863" s="232">
        <v>47512</v>
      </c>
      <c r="F863" s="232"/>
      <c r="G863" s="233">
        <v>2737</v>
      </c>
      <c r="H863" s="221">
        <v>11536</v>
      </c>
      <c r="I863" s="233">
        <v>6785</v>
      </c>
      <c r="J863" s="232">
        <v>5754</v>
      </c>
      <c r="K863" s="221">
        <f t="shared" si="27"/>
        <v>26812</v>
      </c>
      <c r="L863" s="232"/>
      <c r="M863" s="233">
        <v>1345</v>
      </c>
      <c r="N863" s="233">
        <v>0</v>
      </c>
      <c r="O863" s="232">
        <v>3024</v>
      </c>
      <c r="P863" s="221">
        <f t="shared" si="28"/>
        <v>4369</v>
      </c>
      <c r="Q863" s="232"/>
      <c r="R863" s="233">
        <v>16012</v>
      </c>
      <c r="S863" s="234">
        <v>202</v>
      </c>
      <c r="T863" s="234">
        <v>16214</v>
      </c>
    </row>
    <row r="864" spans="1:20">
      <c r="A864" s="227">
        <v>99421</v>
      </c>
      <c r="B864" s="228" t="s">
        <v>1572</v>
      </c>
      <c r="C864" s="87">
        <v>1.04E-5</v>
      </c>
      <c r="D864" s="87">
        <v>1.5E-5</v>
      </c>
      <c r="E864" s="232">
        <v>15888</v>
      </c>
      <c r="F864" s="232"/>
      <c r="G864" s="233">
        <v>915</v>
      </c>
      <c r="H864" s="221">
        <v>3858</v>
      </c>
      <c r="I864" s="233">
        <v>2269</v>
      </c>
      <c r="J864" s="232">
        <v>764</v>
      </c>
      <c r="K864" s="221">
        <f t="shared" si="27"/>
        <v>7806</v>
      </c>
      <c r="L864" s="232"/>
      <c r="M864" s="233">
        <v>450</v>
      </c>
      <c r="N864" s="233">
        <v>0</v>
      </c>
      <c r="O864" s="232">
        <v>5440</v>
      </c>
      <c r="P864" s="221">
        <f t="shared" si="28"/>
        <v>5890</v>
      </c>
      <c r="Q864" s="232"/>
      <c r="R864" s="233">
        <v>5354</v>
      </c>
      <c r="S864" s="234">
        <v>-1116</v>
      </c>
      <c r="T864" s="234">
        <v>4238</v>
      </c>
    </row>
    <row r="865" spans="1:20">
      <c r="A865" s="227">
        <v>99431</v>
      </c>
      <c r="B865" s="228" t="s">
        <v>1573</v>
      </c>
      <c r="C865" s="87">
        <v>2.2200000000000001E-5</v>
      </c>
      <c r="D865" s="87">
        <v>2.16E-5</v>
      </c>
      <c r="E865" s="232">
        <v>33915</v>
      </c>
      <c r="F865" s="232"/>
      <c r="G865" s="233">
        <v>1954</v>
      </c>
      <c r="H865" s="221">
        <v>8235</v>
      </c>
      <c r="I865" s="233">
        <v>4844</v>
      </c>
      <c r="J865" s="232">
        <v>1071</v>
      </c>
      <c r="K865" s="221">
        <f t="shared" si="27"/>
        <v>16104</v>
      </c>
      <c r="L865" s="232"/>
      <c r="M865" s="233">
        <v>960</v>
      </c>
      <c r="N865" s="233">
        <v>0</v>
      </c>
      <c r="O865" s="232">
        <v>3001</v>
      </c>
      <c r="P865" s="221">
        <f t="shared" si="28"/>
        <v>3961</v>
      </c>
      <c r="Q865" s="232"/>
      <c r="R865" s="233">
        <v>11430</v>
      </c>
      <c r="S865" s="234">
        <v>119</v>
      </c>
      <c r="T865" s="234">
        <v>11549</v>
      </c>
    </row>
    <row r="866" spans="1:20">
      <c r="A866" s="227">
        <v>99501</v>
      </c>
      <c r="B866" s="228" t="s">
        <v>1574</v>
      </c>
      <c r="C866" s="87">
        <v>1.6785000000000001E-3</v>
      </c>
      <c r="D866" s="87">
        <v>1.7390000000000001E-3</v>
      </c>
      <c r="E866" s="232">
        <v>2564283</v>
      </c>
      <c r="F866" s="232"/>
      <c r="G866" s="233">
        <v>147726</v>
      </c>
      <c r="H866" s="221">
        <v>622611</v>
      </c>
      <c r="I866" s="233">
        <v>366215</v>
      </c>
      <c r="J866" s="232">
        <v>3764</v>
      </c>
      <c r="K866" s="221">
        <f t="shared" si="27"/>
        <v>1140316</v>
      </c>
      <c r="L866" s="232"/>
      <c r="M866" s="233">
        <v>72587</v>
      </c>
      <c r="N866" s="233">
        <v>0</v>
      </c>
      <c r="O866" s="232">
        <v>21505</v>
      </c>
      <c r="P866" s="221">
        <f t="shared" si="28"/>
        <v>94092</v>
      </c>
      <c r="Q866" s="232"/>
      <c r="R866" s="233">
        <v>864166</v>
      </c>
      <c r="S866" s="234">
        <v>-3415</v>
      </c>
      <c r="T866" s="234">
        <f>860750+1</f>
        <v>860751</v>
      </c>
    </row>
    <row r="867" spans="1:20">
      <c r="A867" s="227">
        <v>99502</v>
      </c>
      <c r="B867" s="228" t="s">
        <v>1575</v>
      </c>
      <c r="C867" s="87">
        <v>1.373E-4</v>
      </c>
      <c r="D867" s="87">
        <v>1.3779999999999999E-4</v>
      </c>
      <c r="E867" s="232">
        <v>209756</v>
      </c>
      <c r="F867" s="232"/>
      <c r="G867" s="233">
        <v>12084</v>
      </c>
      <c r="H867" s="221">
        <v>50929</v>
      </c>
      <c r="I867" s="233">
        <v>29956</v>
      </c>
      <c r="J867" s="232">
        <v>21393</v>
      </c>
      <c r="K867" s="221">
        <f t="shared" si="27"/>
        <v>114362</v>
      </c>
      <c r="L867" s="232"/>
      <c r="M867" s="233">
        <v>5938</v>
      </c>
      <c r="N867" s="233">
        <v>0</v>
      </c>
      <c r="O867" s="232">
        <v>71</v>
      </c>
      <c r="P867" s="221">
        <f t="shared" si="28"/>
        <v>6009</v>
      </c>
      <c r="Q867" s="232"/>
      <c r="R867" s="233">
        <v>70688</v>
      </c>
      <c r="S867" s="234">
        <v>9456</v>
      </c>
      <c r="T867" s="234">
        <v>80144</v>
      </c>
    </row>
    <row r="868" spans="1:20">
      <c r="A868" s="227">
        <v>99508</v>
      </c>
      <c r="B868" s="228" t="s">
        <v>1576</v>
      </c>
      <c r="C868" s="87">
        <v>2.2099999999999998E-5</v>
      </c>
      <c r="D868" s="87">
        <v>2.1699999999999999E-5</v>
      </c>
      <c r="E868" s="232">
        <v>33763</v>
      </c>
      <c r="F868" s="232"/>
      <c r="G868" s="233">
        <v>1945</v>
      </c>
      <c r="H868" s="221">
        <v>8198</v>
      </c>
      <c r="I868" s="233">
        <v>4822</v>
      </c>
      <c r="J868" s="232">
        <v>37</v>
      </c>
      <c r="K868" s="221">
        <f t="shared" si="27"/>
        <v>15002</v>
      </c>
      <c r="L868" s="232"/>
      <c r="M868" s="233">
        <v>956</v>
      </c>
      <c r="N868" s="233">
        <v>0</v>
      </c>
      <c r="O868" s="232">
        <v>1571</v>
      </c>
      <c r="P868" s="221">
        <f t="shared" si="28"/>
        <v>2527</v>
      </c>
      <c r="Q868" s="232"/>
      <c r="R868" s="233">
        <v>11378</v>
      </c>
      <c r="S868" s="234">
        <v>-984</v>
      </c>
      <c r="T868" s="234">
        <v>10394</v>
      </c>
    </row>
    <row r="869" spans="1:20">
      <c r="A869" s="227">
        <v>99509</v>
      </c>
      <c r="B869" s="228" t="s">
        <v>1577</v>
      </c>
      <c r="C869" s="87">
        <v>2.76E-5</v>
      </c>
      <c r="D869" s="87">
        <v>2.8900000000000001E-5</v>
      </c>
      <c r="E869" s="232">
        <v>42165</v>
      </c>
      <c r="F869" s="232"/>
      <c r="G869" s="233">
        <v>2429</v>
      </c>
      <c r="H869" s="221">
        <v>10238</v>
      </c>
      <c r="I869" s="233">
        <v>6022</v>
      </c>
      <c r="J869" s="232">
        <v>0</v>
      </c>
      <c r="K869" s="221">
        <f t="shared" si="27"/>
        <v>18689</v>
      </c>
      <c r="L869" s="232"/>
      <c r="M869" s="233">
        <v>1194</v>
      </c>
      <c r="N869" s="233">
        <v>0</v>
      </c>
      <c r="O869" s="232">
        <v>6512</v>
      </c>
      <c r="P869" s="221">
        <f t="shared" si="28"/>
        <v>7706</v>
      </c>
      <c r="Q869" s="232"/>
      <c r="R869" s="233">
        <v>14210</v>
      </c>
      <c r="S869" s="234">
        <v>-4301</v>
      </c>
      <c r="T869" s="234">
        <v>9909</v>
      </c>
    </row>
    <row r="870" spans="1:20">
      <c r="A870" s="227">
        <v>99511</v>
      </c>
      <c r="B870" s="228" t="s">
        <v>1578</v>
      </c>
      <c r="C870" s="87">
        <v>1.4048999999999999E-3</v>
      </c>
      <c r="D870" s="87">
        <v>1.3638000000000001E-3</v>
      </c>
      <c r="E870" s="232">
        <v>2146298</v>
      </c>
      <c r="F870" s="232"/>
      <c r="G870" s="233">
        <v>123647</v>
      </c>
      <c r="H870" s="221">
        <v>521124</v>
      </c>
      <c r="I870" s="233">
        <v>306521</v>
      </c>
      <c r="J870" s="232">
        <v>4500</v>
      </c>
      <c r="K870" s="221">
        <f t="shared" si="27"/>
        <v>955792</v>
      </c>
      <c r="L870" s="232"/>
      <c r="M870" s="233">
        <v>60755</v>
      </c>
      <c r="N870" s="233">
        <v>0</v>
      </c>
      <c r="O870" s="232">
        <v>85381</v>
      </c>
      <c r="P870" s="221">
        <f t="shared" si="28"/>
        <v>146136</v>
      </c>
      <c r="Q870" s="232"/>
      <c r="R870" s="233">
        <v>723304</v>
      </c>
      <c r="S870" s="234">
        <v>-30654</v>
      </c>
      <c r="T870" s="234">
        <v>692650</v>
      </c>
    </row>
    <row r="871" spans="1:20">
      <c r="A871" s="227">
        <v>99521</v>
      </c>
      <c r="B871" s="228" t="s">
        <v>1579</v>
      </c>
      <c r="C871" s="87">
        <v>4.2700000000000002E-4</v>
      </c>
      <c r="D871" s="87">
        <v>4.0180000000000001E-4</v>
      </c>
      <c r="E871" s="232">
        <v>652338</v>
      </c>
      <c r="F871" s="232"/>
      <c r="G871" s="233">
        <v>37581</v>
      </c>
      <c r="H871" s="221">
        <v>158389</v>
      </c>
      <c r="I871" s="233">
        <v>93163</v>
      </c>
      <c r="J871" s="232">
        <v>2015</v>
      </c>
      <c r="K871" s="221">
        <f t="shared" si="27"/>
        <v>291148</v>
      </c>
      <c r="L871" s="232"/>
      <c r="M871" s="233">
        <v>18466</v>
      </c>
      <c r="N871" s="233">
        <v>0</v>
      </c>
      <c r="O871" s="232">
        <v>15563</v>
      </c>
      <c r="P871" s="221">
        <f t="shared" si="28"/>
        <v>34029</v>
      </c>
      <c r="Q871" s="232"/>
      <c r="R871" s="233">
        <v>219838</v>
      </c>
      <c r="S871" s="234">
        <v>-5081</v>
      </c>
      <c r="T871" s="234">
        <v>214757</v>
      </c>
    </row>
    <row r="872" spans="1:20">
      <c r="A872" s="227">
        <v>99527</v>
      </c>
      <c r="B872" s="228" t="s">
        <v>1580</v>
      </c>
      <c r="C872" s="87">
        <v>1.19E-5</v>
      </c>
      <c r="D872" s="87">
        <v>1.2099999999999999E-5</v>
      </c>
      <c r="E872" s="232">
        <v>18180</v>
      </c>
      <c r="F872" s="232"/>
      <c r="G872" s="233">
        <v>1047</v>
      </c>
      <c r="H872" s="221">
        <v>4414</v>
      </c>
      <c r="I872" s="233">
        <v>2596</v>
      </c>
      <c r="J872" s="232">
        <v>1124</v>
      </c>
      <c r="K872" s="221">
        <f t="shared" si="27"/>
        <v>9181</v>
      </c>
      <c r="L872" s="232"/>
      <c r="M872" s="233">
        <v>515</v>
      </c>
      <c r="N872" s="233">
        <v>0</v>
      </c>
      <c r="O872" s="232">
        <v>0</v>
      </c>
      <c r="P872" s="221">
        <f t="shared" si="28"/>
        <v>515</v>
      </c>
      <c r="Q872" s="232"/>
      <c r="R872" s="233">
        <v>6127</v>
      </c>
      <c r="S872" s="234">
        <v>591</v>
      </c>
      <c r="T872" s="234">
        <v>6718</v>
      </c>
    </row>
    <row r="873" spans="1:20">
      <c r="A873" s="227">
        <v>99531</v>
      </c>
      <c r="B873" s="228" t="s">
        <v>1581</v>
      </c>
      <c r="C873" s="87">
        <v>9.3499999999999996E-5</v>
      </c>
      <c r="D873" s="87">
        <v>8.7600000000000002E-5</v>
      </c>
      <c r="E873" s="232">
        <v>142842</v>
      </c>
      <c r="F873" s="232"/>
      <c r="G873" s="233">
        <v>8229</v>
      </c>
      <c r="H873" s="221">
        <v>34683</v>
      </c>
      <c r="I873" s="233">
        <v>20400</v>
      </c>
      <c r="J873" s="232">
        <v>55453</v>
      </c>
      <c r="K873" s="221">
        <f t="shared" si="27"/>
        <v>118765</v>
      </c>
      <c r="L873" s="232"/>
      <c r="M873" s="233">
        <v>4043</v>
      </c>
      <c r="N873" s="233">
        <v>0</v>
      </c>
      <c r="O873" s="232">
        <v>0</v>
      </c>
      <c r="P873" s="221">
        <f t="shared" si="28"/>
        <v>4043</v>
      </c>
      <c r="Q873" s="232"/>
      <c r="R873" s="233">
        <v>48138</v>
      </c>
      <c r="S873" s="234">
        <v>18721</v>
      </c>
      <c r="T873" s="234">
        <v>66859</v>
      </c>
    </row>
    <row r="874" spans="1:20">
      <c r="A874" s="227">
        <v>99601</v>
      </c>
      <c r="B874" s="228" t="s">
        <v>1582</v>
      </c>
      <c r="C874" s="87">
        <v>5.7812000000000002E-3</v>
      </c>
      <c r="D874" s="87">
        <v>5.2824999999999999E-3</v>
      </c>
      <c r="E874" s="232">
        <v>8832072</v>
      </c>
      <c r="F874" s="232"/>
      <c r="G874" s="233">
        <v>508809</v>
      </c>
      <c r="H874" s="221">
        <v>2144438</v>
      </c>
      <c r="I874" s="233">
        <v>1261342</v>
      </c>
      <c r="J874" s="232">
        <v>289372</v>
      </c>
      <c r="K874" s="221">
        <f t="shared" si="27"/>
        <v>4203961</v>
      </c>
      <c r="L874" s="232"/>
      <c r="M874" s="233">
        <v>250008</v>
      </c>
      <c r="N874" s="233">
        <v>0</v>
      </c>
      <c r="O874" s="232">
        <v>73071</v>
      </c>
      <c r="P874" s="221">
        <f t="shared" si="28"/>
        <v>323079</v>
      </c>
      <c r="Q874" s="232"/>
      <c r="R874" s="233">
        <v>2976416</v>
      </c>
      <c r="S874" s="234">
        <v>55175</v>
      </c>
      <c r="T874" s="234">
        <f>3031592-1</f>
        <v>3031591</v>
      </c>
    </row>
    <row r="875" spans="1:20">
      <c r="A875" s="227">
        <v>99602</v>
      </c>
      <c r="B875" s="228" t="s">
        <v>1583</v>
      </c>
      <c r="C875" s="87">
        <v>6.19E-5</v>
      </c>
      <c r="D875" s="87">
        <v>5.1700000000000003E-5</v>
      </c>
      <c r="E875" s="232">
        <v>94566</v>
      </c>
      <c r="F875" s="232"/>
      <c r="G875" s="233">
        <v>5448</v>
      </c>
      <c r="H875" s="221">
        <v>22961</v>
      </c>
      <c r="I875" s="233">
        <v>13505</v>
      </c>
      <c r="J875" s="232">
        <v>10306</v>
      </c>
      <c r="K875" s="221">
        <f t="shared" si="27"/>
        <v>52220</v>
      </c>
      <c r="L875" s="232"/>
      <c r="M875" s="233">
        <v>2677</v>
      </c>
      <c r="N875" s="233">
        <v>0</v>
      </c>
      <c r="O875" s="232">
        <v>2067</v>
      </c>
      <c r="P875" s="221">
        <f t="shared" si="28"/>
        <v>4744</v>
      </c>
      <c r="Q875" s="232"/>
      <c r="R875" s="233">
        <v>31869</v>
      </c>
      <c r="S875" s="234">
        <v>1298</v>
      </c>
      <c r="T875" s="234">
        <v>33167</v>
      </c>
    </row>
    <row r="876" spans="1:20">
      <c r="A876" s="227">
        <v>99603</v>
      </c>
      <c r="B876" s="228" t="s">
        <v>1584</v>
      </c>
      <c r="C876" s="87">
        <v>1.615E-4</v>
      </c>
      <c r="D876" s="87">
        <v>1.4219999999999999E-4</v>
      </c>
      <c r="E876" s="232">
        <v>246727</v>
      </c>
      <c r="F876" s="232"/>
      <c r="G876" s="233">
        <v>14214</v>
      </c>
      <c r="H876" s="221">
        <v>59905</v>
      </c>
      <c r="I876" s="233">
        <v>35236</v>
      </c>
      <c r="J876" s="232">
        <v>95435</v>
      </c>
      <c r="K876" s="221">
        <f t="shared" si="27"/>
        <v>204790</v>
      </c>
      <c r="L876" s="232"/>
      <c r="M876" s="233">
        <v>6984</v>
      </c>
      <c r="N876" s="233">
        <v>0</v>
      </c>
      <c r="O876" s="232">
        <v>0</v>
      </c>
      <c r="P876" s="221">
        <f t="shared" si="28"/>
        <v>6984</v>
      </c>
      <c r="Q876" s="232"/>
      <c r="R876" s="233">
        <v>83147</v>
      </c>
      <c r="S876" s="234">
        <v>37380</v>
      </c>
      <c r="T876" s="234">
        <v>120527</v>
      </c>
    </row>
    <row r="877" spans="1:20">
      <c r="A877" s="227">
        <v>99604</v>
      </c>
      <c r="B877" s="228" t="s">
        <v>1585</v>
      </c>
      <c r="C877" s="87">
        <v>1.009E-4</v>
      </c>
      <c r="D877" s="87">
        <v>9.6899999999999997E-5</v>
      </c>
      <c r="E877" s="232">
        <v>154147</v>
      </c>
      <c r="F877" s="232"/>
      <c r="G877" s="233">
        <v>8880</v>
      </c>
      <c r="H877" s="221">
        <v>37427</v>
      </c>
      <c r="I877" s="233">
        <v>22014</v>
      </c>
      <c r="J877" s="232">
        <v>20530</v>
      </c>
      <c r="K877" s="221">
        <f t="shared" si="27"/>
        <v>88851</v>
      </c>
      <c r="L877" s="232"/>
      <c r="M877" s="233">
        <v>4363</v>
      </c>
      <c r="N877" s="233">
        <v>0</v>
      </c>
      <c r="O877" s="232">
        <v>0</v>
      </c>
      <c r="P877" s="221">
        <f t="shared" si="28"/>
        <v>4363</v>
      </c>
      <c r="Q877" s="232"/>
      <c r="R877" s="233">
        <v>51948</v>
      </c>
      <c r="S877" s="234">
        <v>9479</v>
      </c>
      <c r="T877" s="234">
        <v>61427</v>
      </c>
    </row>
    <row r="878" spans="1:20">
      <c r="A878" s="227">
        <v>99609</v>
      </c>
      <c r="B878" s="228" t="s">
        <v>1586</v>
      </c>
      <c r="C878" s="87">
        <v>1.52E-5</v>
      </c>
      <c r="D878" s="87">
        <v>2.0999999999999999E-5</v>
      </c>
      <c r="E878" s="232">
        <v>23221</v>
      </c>
      <c r="F878" s="232"/>
      <c r="G878" s="233">
        <v>1338</v>
      </c>
      <c r="H878" s="221">
        <v>5638</v>
      </c>
      <c r="I878" s="233">
        <v>3316</v>
      </c>
      <c r="J878" s="232">
        <v>3555</v>
      </c>
      <c r="K878" s="221">
        <f t="shared" si="27"/>
        <v>13847</v>
      </c>
      <c r="L878" s="232"/>
      <c r="M878" s="233">
        <v>657</v>
      </c>
      <c r="N878" s="233">
        <v>0</v>
      </c>
      <c r="O878" s="232">
        <v>1523</v>
      </c>
      <c r="P878" s="221">
        <f t="shared" si="28"/>
        <v>2180</v>
      </c>
      <c r="Q878" s="232"/>
      <c r="R878" s="233">
        <v>7826</v>
      </c>
      <c r="S878" s="234">
        <v>1693</v>
      </c>
      <c r="T878" s="234">
        <v>9519</v>
      </c>
    </row>
    <row r="879" spans="1:20">
      <c r="A879" s="227">
        <v>99610</v>
      </c>
      <c r="B879" s="228" t="s">
        <v>1587</v>
      </c>
      <c r="C879" s="87">
        <v>1.9440000000000001E-4</v>
      </c>
      <c r="D879" s="87">
        <v>1.9440000000000001E-4</v>
      </c>
      <c r="E879" s="232">
        <v>296989</v>
      </c>
      <c r="F879" s="232"/>
      <c r="G879" s="233">
        <v>17109</v>
      </c>
      <c r="H879" s="221">
        <v>72109</v>
      </c>
      <c r="I879" s="233">
        <v>42414</v>
      </c>
      <c r="J879" s="232">
        <v>2712</v>
      </c>
      <c r="K879" s="221">
        <f t="shared" si="27"/>
        <v>134344</v>
      </c>
      <c r="L879" s="232"/>
      <c r="M879" s="233">
        <v>8407</v>
      </c>
      <c r="N879" s="233">
        <v>0</v>
      </c>
      <c r="O879" s="232">
        <v>4164</v>
      </c>
      <c r="P879" s="221">
        <f t="shared" si="28"/>
        <v>12571</v>
      </c>
      <c r="Q879" s="232"/>
      <c r="R879" s="233">
        <v>100086</v>
      </c>
      <c r="S879" s="234">
        <v>576</v>
      </c>
      <c r="T879" s="234">
        <v>100662</v>
      </c>
    </row>
    <row r="880" spans="1:20">
      <c r="A880" s="227">
        <v>99611</v>
      </c>
      <c r="B880" s="228" t="s">
        <v>1588</v>
      </c>
      <c r="C880" s="87">
        <v>3.1959000000000002E-3</v>
      </c>
      <c r="D880" s="87">
        <v>3.1495999999999998E-3</v>
      </c>
      <c r="E880" s="232">
        <v>4882450</v>
      </c>
      <c r="F880" s="232"/>
      <c r="G880" s="233">
        <v>281274</v>
      </c>
      <c r="H880" s="221">
        <v>1185465</v>
      </c>
      <c r="I880" s="233">
        <v>697281</v>
      </c>
      <c r="J880" s="232">
        <v>36523</v>
      </c>
      <c r="K880" s="221">
        <f t="shared" si="27"/>
        <v>2200543</v>
      </c>
      <c r="L880" s="232"/>
      <c r="M880" s="233">
        <v>138207</v>
      </c>
      <c r="N880" s="233">
        <v>0</v>
      </c>
      <c r="O880" s="232">
        <v>197702</v>
      </c>
      <c r="P880" s="221">
        <f t="shared" si="28"/>
        <v>335909</v>
      </c>
      <c r="Q880" s="232"/>
      <c r="R880" s="233">
        <v>1645390</v>
      </c>
      <c r="S880" s="234">
        <v>-88518</v>
      </c>
      <c r="T880" s="234">
        <v>1556872</v>
      </c>
    </row>
    <row r="881" spans="1:20">
      <c r="A881" s="227">
        <v>99613</v>
      </c>
      <c r="B881" s="228" t="s">
        <v>1589</v>
      </c>
      <c r="C881" s="87">
        <v>3.2909999999999998E-4</v>
      </c>
      <c r="D881" s="87">
        <v>3.369E-4</v>
      </c>
      <c r="E881" s="232">
        <v>502774</v>
      </c>
      <c r="F881" s="232"/>
      <c r="G881" s="233">
        <v>28964</v>
      </c>
      <c r="H881" s="221">
        <v>122074</v>
      </c>
      <c r="I881" s="233">
        <v>71803</v>
      </c>
      <c r="J881" s="232">
        <v>283917</v>
      </c>
      <c r="K881" s="221">
        <f t="shared" si="27"/>
        <v>506758</v>
      </c>
      <c r="L881" s="232"/>
      <c r="M881" s="233">
        <v>14232</v>
      </c>
      <c r="N881" s="233">
        <v>0</v>
      </c>
      <c r="O881" s="232">
        <v>0</v>
      </c>
      <c r="P881" s="221">
        <f t="shared" si="28"/>
        <v>14232</v>
      </c>
      <c r="Q881" s="232"/>
      <c r="R881" s="233">
        <v>169435</v>
      </c>
      <c r="S881" s="234">
        <v>96572</v>
      </c>
      <c r="T881" s="234">
        <v>266007</v>
      </c>
    </row>
    <row r="882" spans="1:20">
      <c r="A882" s="227">
        <v>99621</v>
      </c>
      <c r="B882" s="228" t="s">
        <v>1590</v>
      </c>
      <c r="C882" s="87">
        <v>3.7060000000000001E-4</v>
      </c>
      <c r="D882" s="87">
        <v>3.2850000000000002E-4</v>
      </c>
      <c r="E882" s="232">
        <v>566174</v>
      </c>
      <c r="F882" s="232"/>
      <c r="G882" s="233">
        <v>32617</v>
      </c>
      <c r="H882" s="221">
        <v>137468</v>
      </c>
      <c r="I882" s="233">
        <v>80858</v>
      </c>
      <c r="J882" s="232">
        <v>42182</v>
      </c>
      <c r="K882" s="221">
        <f t="shared" si="27"/>
        <v>293125</v>
      </c>
      <c r="L882" s="232"/>
      <c r="M882" s="233">
        <v>16027</v>
      </c>
      <c r="N882" s="233">
        <v>0</v>
      </c>
      <c r="O882" s="232">
        <v>4670</v>
      </c>
      <c r="P882" s="221">
        <f t="shared" si="28"/>
        <v>20697</v>
      </c>
      <c r="Q882" s="232"/>
      <c r="R882" s="233">
        <v>190801</v>
      </c>
      <c r="S882" s="234">
        <v>12829</v>
      </c>
      <c r="T882" s="234">
        <v>203630</v>
      </c>
    </row>
    <row r="883" spans="1:20">
      <c r="A883" s="227">
        <v>99623</v>
      </c>
      <c r="B883" s="228" t="s">
        <v>1591</v>
      </c>
      <c r="C883" s="87">
        <v>2.6400000000000001E-5</v>
      </c>
      <c r="D883" s="87">
        <v>2.9200000000000002E-5</v>
      </c>
      <c r="E883" s="232">
        <v>40332</v>
      </c>
      <c r="F883" s="232"/>
      <c r="G883" s="233">
        <v>2323</v>
      </c>
      <c r="H883" s="221">
        <v>9793</v>
      </c>
      <c r="I883" s="233">
        <v>5760</v>
      </c>
      <c r="J883" s="232">
        <v>2450</v>
      </c>
      <c r="K883" s="221">
        <f t="shared" si="27"/>
        <v>20326</v>
      </c>
      <c r="L883" s="232"/>
      <c r="M883" s="233">
        <v>1142</v>
      </c>
      <c r="N883" s="233">
        <v>0</v>
      </c>
      <c r="O883" s="232">
        <v>2848</v>
      </c>
      <c r="P883" s="221">
        <f t="shared" si="28"/>
        <v>3990</v>
      </c>
      <c r="Q883" s="232"/>
      <c r="R883" s="233">
        <v>13592</v>
      </c>
      <c r="S883" s="234">
        <v>317</v>
      </c>
      <c r="T883" s="234">
        <f>13908+1</f>
        <v>13909</v>
      </c>
    </row>
    <row r="884" spans="1:20">
      <c r="A884" s="227">
        <v>99631</v>
      </c>
      <c r="B884" s="228" t="s">
        <v>1592</v>
      </c>
      <c r="C884" s="87">
        <v>1.102E-4</v>
      </c>
      <c r="D884" s="87">
        <v>1.0340000000000001E-4</v>
      </c>
      <c r="E884" s="232">
        <v>168355</v>
      </c>
      <c r="F884" s="232"/>
      <c r="G884" s="233">
        <v>9699</v>
      </c>
      <c r="H884" s="221">
        <v>40877</v>
      </c>
      <c r="I884" s="233">
        <v>24043</v>
      </c>
      <c r="J884" s="232">
        <v>1071</v>
      </c>
      <c r="K884" s="221">
        <f t="shared" si="27"/>
        <v>75690</v>
      </c>
      <c r="L884" s="232"/>
      <c r="M884" s="233">
        <v>4766</v>
      </c>
      <c r="N884" s="233">
        <v>0</v>
      </c>
      <c r="O884" s="232">
        <v>5159</v>
      </c>
      <c r="P884" s="221">
        <f t="shared" si="28"/>
        <v>9925</v>
      </c>
      <c r="Q884" s="232"/>
      <c r="R884" s="233">
        <v>56736</v>
      </c>
      <c r="S884" s="234">
        <v>-3954</v>
      </c>
      <c r="T884" s="234">
        <f>52781+1</f>
        <v>52782</v>
      </c>
    </row>
    <row r="885" spans="1:20">
      <c r="A885" s="227">
        <v>99651</v>
      </c>
      <c r="B885" s="228" t="s">
        <v>1593</v>
      </c>
      <c r="C885" s="87">
        <v>6.7199999999999994E-5</v>
      </c>
      <c r="D885" s="87">
        <v>6.7100000000000005E-5</v>
      </c>
      <c r="E885" s="232">
        <v>102663</v>
      </c>
      <c r="F885" s="232"/>
      <c r="G885" s="233">
        <v>5914</v>
      </c>
      <c r="H885" s="221">
        <v>24927</v>
      </c>
      <c r="I885" s="233">
        <v>14662</v>
      </c>
      <c r="J885" s="232">
        <v>5944</v>
      </c>
      <c r="K885" s="221">
        <f t="shared" si="27"/>
        <v>51447</v>
      </c>
      <c r="L885" s="232"/>
      <c r="M885" s="233">
        <v>2906</v>
      </c>
      <c r="N885" s="233">
        <v>0</v>
      </c>
      <c r="O885" s="232">
        <v>1841</v>
      </c>
      <c r="P885" s="221">
        <f t="shared" si="28"/>
        <v>4747</v>
      </c>
      <c r="Q885" s="232"/>
      <c r="R885" s="233">
        <v>34598</v>
      </c>
      <c r="S885" s="234">
        <v>1312</v>
      </c>
      <c r="T885" s="234">
        <v>35910</v>
      </c>
    </row>
    <row r="886" spans="1:20">
      <c r="A886" s="227">
        <v>99661</v>
      </c>
      <c r="B886" s="228" t="s">
        <v>1594</v>
      </c>
      <c r="C886" s="87">
        <v>3.26E-5</v>
      </c>
      <c r="D886" s="87">
        <v>3.5500000000000002E-5</v>
      </c>
      <c r="E886" s="232">
        <v>49804</v>
      </c>
      <c r="F886" s="232"/>
      <c r="G886" s="233">
        <v>2869</v>
      </c>
      <c r="H886" s="221">
        <v>12092</v>
      </c>
      <c r="I886" s="233">
        <v>7113</v>
      </c>
      <c r="J886" s="232">
        <v>34726</v>
      </c>
      <c r="K886" s="221">
        <f t="shared" si="27"/>
        <v>56800</v>
      </c>
      <c r="L886" s="232"/>
      <c r="M886" s="233">
        <v>1410</v>
      </c>
      <c r="N886" s="233">
        <v>0</v>
      </c>
      <c r="O886" s="232">
        <v>0</v>
      </c>
      <c r="P886" s="221">
        <f t="shared" si="28"/>
        <v>1410</v>
      </c>
      <c r="Q886" s="232"/>
      <c r="R886" s="233">
        <v>16784</v>
      </c>
      <c r="S886" s="234">
        <v>12838</v>
      </c>
      <c r="T886" s="234">
        <v>29622</v>
      </c>
    </row>
    <row r="887" spans="1:20">
      <c r="A887" s="227">
        <v>99701</v>
      </c>
      <c r="B887" s="228" t="s">
        <v>1595</v>
      </c>
      <c r="C887" s="87">
        <v>2.9190000000000002E-3</v>
      </c>
      <c r="D887" s="87">
        <v>2.8774E-3</v>
      </c>
      <c r="E887" s="232">
        <v>4459423</v>
      </c>
      <c r="F887" s="232"/>
      <c r="G887" s="233">
        <v>256904</v>
      </c>
      <c r="H887" s="221">
        <v>1082754</v>
      </c>
      <c r="I887" s="233">
        <v>636867</v>
      </c>
      <c r="J887" s="232">
        <v>21162</v>
      </c>
      <c r="K887" s="221">
        <f t="shared" si="27"/>
        <v>1997687</v>
      </c>
      <c r="L887" s="232"/>
      <c r="M887" s="233">
        <v>126232</v>
      </c>
      <c r="N887" s="233">
        <v>0</v>
      </c>
      <c r="O887" s="232">
        <v>17651</v>
      </c>
      <c r="P887" s="221">
        <f t="shared" si="28"/>
        <v>143883</v>
      </c>
      <c r="Q887" s="232"/>
      <c r="R887" s="233">
        <v>1502830</v>
      </c>
      <c r="S887" s="234">
        <v>-1976</v>
      </c>
      <c r="T887" s="234">
        <f>1500853+1</f>
        <v>1500854</v>
      </c>
    </row>
    <row r="888" spans="1:20">
      <c r="A888" s="227">
        <v>99705</v>
      </c>
      <c r="B888" s="228" t="s">
        <v>1596</v>
      </c>
      <c r="C888" s="87">
        <v>1.7229999999999999E-4</v>
      </c>
      <c r="D888" s="87">
        <v>1.7259999999999999E-4</v>
      </c>
      <c r="E888" s="232">
        <v>263227</v>
      </c>
      <c r="F888" s="232"/>
      <c r="G888" s="233">
        <v>15164</v>
      </c>
      <c r="H888" s="221">
        <v>63911</v>
      </c>
      <c r="I888" s="233">
        <v>37592</v>
      </c>
      <c r="J888" s="232">
        <v>10978</v>
      </c>
      <c r="K888" s="221">
        <f t="shared" si="27"/>
        <v>127645</v>
      </c>
      <c r="L888" s="232"/>
      <c r="M888" s="233">
        <v>7451</v>
      </c>
      <c r="N888" s="233">
        <v>0</v>
      </c>
      <c r="O888" s="232">
        <v>544</v>
      </c>
      <c r="P888" s="221">
        <f t="shared" si="28"/>
        <v>7995</v>
      </c>
      <c r="Q888" s="232"/>
      <c r="R888" s="233">
        <v>88708</v>
      </c>
      <c r="S888" s="234">
        <v>5913</v>
      </c>
      <c r="T888" s="234">
        <v>94621</v>
      </c>
    </row>
    <row r="889" spans="1:20">
      <c r="A889" s="227">
        <v>99711</v>
      </c>
      <c r="B889" s="228" t="s">
        <v>1597</v>
      </c>
      <c r="C889" s="87">
        <v>4.5459999999999999E-4</v>
      </c>
      <c r="D889" s="87">
        <v>4.3540000000000001E-4</v>
      </c>
      <c r="E889" s="232">
        <v>694503</v>
      </c>
      <c r="F889" s="232"/>
      <c r="G889" s="233">
        <v>40010</v>
      </c>
      <c r="H889" s="221">
        <v>168626</v>
      </c>
      <c r="I889" s="233">
        <v>99185</v>
      </c>
      <c r="J889" s="232">
        <v>14449</v>
      </c>
      <c r="K889" s="221">
        <f t="shared" si="27"/>
        <v>322270</v>
      </c>
      <c r="L889" s="232"/>
      <c r="M889" s="233">
        <v>19659</v>
      </c>
      <c r="N889" s="233">
        <v>0</v>
      </c>
      <c r="O889" s="232">
        <v>10625</v>
      </c>
      <c r="P889" s="221">
        <f t="shared" si="28"/>
        <v>30284</v>
      </c>
      <c r="Q889" s="232"/>
      <c r="R889" s="233">
        <v>234048</v>
      </c>
      <c r="S889" s="234">
        <v>-1042</v>
      </c>
      <c r="T889" s="234">
        <v>233006</v>
      </c>
    </row>
    <row r="890" spans="1:20">
      <c r="A890" s="227">
        <v>99717</v>
      </c>
      <c r="B890" s="228" t="s">
        <v>1598</v>
      </c>
      <c r="C890" s="87">
        <v>2.19E-5</v>
      </c>
      <c r="D890" s="87">
        <v>2.3200000000000001E-5</v>
      </c>
      <c r="E890" s="232">
        <v>33457</v>
      </c>
      <c r="F890" s="232"/>
      <c r="G890" s="233">
        <v>1927</v>
      </c>
      <c r="H890" s="221">
        <v>8123</v>
      </c>
      <c r="I890" s="233">
        <v>4778</v>
      </c>
      <c r="J890" s="232">
        <v>0</v>
      </c>
      <c r="K890" s="221">
        <f t="shared" si="27"/>
        <v>14828</v>
      </c>
      <c r="L890" s="232"/>
      <c r="M890" s="233">
        <v>947</v>
      </c>
      <c r="N890" s="233">
        <v>0</v>
      </c>
      <c r="O890" s="232">
        <v>3936</v>
      </c>
      <c r="P890" s="221">
        <f t="shared" si="28"/>
        <v>4883</v>
      </c>
      <c r="Q890" s="232"/>
      <c r="R890" s="233">
        <v>11275</v>
      </c>
      <c r="S890" s="234">
        <v>-1270</v>
      </c>
      <c r="T890" s="234">
        <v>10005</v>
      </c>
    </row>
    <row r="891" spans="1:20">
      <c r="A891" s="227">
        <v>99721</v>
      </c>
      <c r="B891" s="228" t="s">
        <v>1599</v>
      </c>
      <c r="C891" s="87">
        <v>5.7779999999999995E-4</v>
      </c>
      <c r="D891" s="87">
        <v>6.2449999999999995E-4</v>
      </c>
      <c r="E891" s="232">
        <v>882718</v>
      </c>
      <c r="F891" s="232"/>
      <c r="G891" s="233">
        <v>50853</v>
      </c>
      <c r="H891" s="221">
        <v>214325</v>
      </c>
      <c r="I891" s="233">
        <v>126064</v>
      </c>
      <c r="J891" s="232">
        <v>0</v>
      </c>
      <c r="K891" s="221">
        <f t="shared" si="27"/>
        <v>391242</v>
      </c>
      <c r="L891" s="232"/>
      <c r="M891" s="233">
        <v>24987</v>
      </c>
      <c r="N891" s="233">
        <v>0</v>
      </c>
      <c r="O891" s="232">
        <v>48789</v>
      </c>
      <c r="P891" s="221">
        <f t="shared" si="28"/>
        <v>73776</v>
      </c>
      <c r="Q891" s="232"/>
      <c r="R891" s="233">
        <v>297477</v>
      </c>
      <c r="S891" s="234">
        <v>-14223</v>
      </c>
      <c r="T891" s="234">
        <v>283254</v>
      </c>
    </row>
    <row r="892" spans="1:20">
      <c r="A892" s="227">
        <v>99727</v>
      </c>
      <c r="B892" s="228" t="s">
        <v>1600</v>
      </c>
      <c r="C892" s="87">
        <v>2.3900000000000002E-5</v>
      </c>
      <c r="D892" s="87">
        <v>2.5299999999999998E-5</v>
      </c>
      <c r="E892" s="232">
        <v>36513</v>
      </c>
      <c r="F892" s="232"/>
      <c r="G892" s="233">
        <v>2103</v>
      </c>
      <c r="H892" s="221">
        <v>8865</v>
      </c>
      <c r="I892" s="233">
        <v>5215</v>
      </c>
      <c r="J892" s="232">
        <v>59484</v>
      </c>
      <c r="K892" s="221">
        <f t="shared" si="27"/>
        <v>75667</v>
      </c>
      <c r="L892" s="232"/>
      <c r="M892" s="233">
        <v>1034</v>
      </c>
      <c r="N892" s="233">
        <v>0</v>
      </c>
      <c r="O892" s="232">
        <v>0</v>
      </c>
      <c r="P892" s="221">
        <f t="shared" si="28"/>
        <v>1034</v>
      </c>
      <c r="Q892" s="232"/>
      <c r="R892" s="233">
        <v>12305</v>
      </c>
      <c r="S892" s="234">
        <v>20983</v>
      </c>
      <c r="T892" s="234">
        <v>33288</v>
      </c>
    </row>
    <row r="893" spans="1:20">
      <c r="A893" s="227">
        <v>99801</v>
      </c>
      <c r="B893" s="228" t="s">
        <v>1601</v>
      </c>
      <c r="C893" s="87">
        <v>5.1866000000000004E-3</v>
      </c>
      <c r="D893" s="87">
        <v>5.1954999999999996E-3</v>
      </c>
      <c r="E893" s="232">
        <v>7923688</v>
      </c>
      <c r="F893" s="232"/>
      <c r="G893" s="233">
        <v>456478</v>
      </c>
      <c r="H893" s="221">
        <v>1923881</v>
      </c>
      <c r="I893" s="233">
        <v>1131612</v>
      </c>
      <c r="J893" s="232">
        <v>17042</v>
      </c>
      <c r="K893" s="221">
        <f t="shared" si="27"/>
        <v>3529013</v>
      </c>
      <c r="L893" s="232"/>
      <c r="M893" s="233">
        <v>224295</v>
      </c>
      <c r="N893" s="233">
        <v>0</v>
      </c>
      <c r="O893" s="232">
        <v>150042</v>
      </c>
      <c r="P893" s="221">
        <f t="shared" si="28"/>
        <v>374337</v>
      </c>
      <c r="Q893" s="232"/>
      <c r="R893" s="233">
        <v>2670290</v>
      </c>
      <c r="S893" s="234">
        <v>-29556</v>
      </c>
      <c r="T893" s="234">
        <f>2640733+1</f>
        <v>2640734</v>
      </c>
    </row>
    <row r="894" spans="1:20">
      <c r="A894" s="227">
        <v>99802</v>
      </c>
      <c r="B894" s="228" t="s">
        <v>1602</v>
      </c>
      <c r="C894" s="87">
        <v>6.0000000000000002E-6</v>
      </c>
      <c r="D894" s="87">
        <v>6.4999999999999996E-6</v>
      </c>
      <c r="E894" s="232">
        <v>9166</v>
      </c>
      <c r="F894" s="232"/>
      <c r="G894" s="233">
        <v>528</v>
      </c>
      <c r="H894" s="221">
        <v>2226</v>
      </c>
      <c r="I894" s="233">
        <v>1309</v>
      </c>
      <c r="J894" s="232">
        <v>1378</v>
      </c>
      <c r="K894" s="221">
        <f t="shared" si="27"/>
        <v>5441</v>
      </c>
      <c r="L894" s="232"/>
      <c r="M894" s="233">
        <v>259</v>
      </c>
      <c r="N894" s="233">
        <v>0</v>
      </c>
      <c r="O894" s="232">
        <v>53</v>
      </c>
      <c r="P894" s="221">
        <f t="shared" si="28"/>
        <v>312</v>
      </c>
      <c r="Q894" s="232"/>
      <c r="R894" s="233">
        <v>3089</v>
      </c>
      <c r="S894" s="234">
        <v>334</v>
      </c>
      <c r="T894" s="234">
        <v>3423</v>
      </c>
    </row>
    <row r="895" spans="1:20">
      <c r="A895" s="227">
        <v>99804</v>
      </c>
      <c r="B895" s="228" t="s">
        <v>1603</v>
      </c>
      <c r="C895" s="87">
        <v>9.0500000000000004E-5</v>
      </c>
      <c r="D895" s="87">
        <v>8.6600000000000004E-5</v>
      </c>
      <c r="E895" s="232">
        <v>138259</v>
      </c>
      <c r="F895" s="232"/>
      <c r="G895" s="233">
        <v>7965</v>
      </c>
      <c r="H895" s="221">
        <v>33569</v>
      </c>
      <c r="I895" s="233">
        <v>19745</v>
      </c>
      <c r="J895" s="232">
        <v>13689</v>
      </c>
      <c r="K895" s="221">
        <f t="shared" si="27"/>
        <v>74968</v>
      </c>
      <c r="L895" s="232"/>
      <c r="M895" s="233">
        <v>3914</v>
      </c>
      <c r="N895" s="233">
        <v>0</v>
      </c>
      <c r="O895" s="232">
        <v>0</v>
      </c>
      <c r="P895" s="221">
        <f t="shared" si="28"/>
        <v>3914</v>
      </c>
      <c r="Q895" s="232"/>
      <c r="R895" s="233">
        <v>46593</v>
      </c>
      <c r="S895" s="234">
        <v>4917</v>
      </c>
      <c r="T895" s="234">
        <v>51510</v>
      </c>
    </row>
    <row r="896" spans="1:20">
      <c r="A896" s="227">
        <v>99811</v>
      </c>
      <c r="B896" s="228" t="s">
        <v>1604</v>
      </c>
      <c r="C896" s="87">
        <v>6.7026999999999998E-3</v>
      </c>
      <c r="D896" s="87">
        <v>6.8415000000000004E-3</v>
      </c>
      <c r="E896" s="232">
        <v>10239869</v>
      </c>
      <c r="F896" s="232"/>
      <c r="G896" s="233">
        <v>589911</v>
      </c>
      <c r="H896" s="221">
        <v>2486253</v>
      </c>
      <c r="I896" s="233">
        <v>1462395</v>
      </c>
      <c r="J896" s="232">
        <v>0</v>
      </c>
      <c r="K896" s="221">
        <f t="shared" si="27"/>
        <v>4538559</v>
      </c>
      <c r="L896" s="232"/>
      <c r="M896" s="233">
        <v>289858</v>
      </c>
      <c r="N896" s="233">
        <v>0</v>
      </c>
      <c r="O896" s="232">
        <v>598680</v>
      </c>
      <c r="P896" s="221">
        <f t="shared" si="28"/>
        <v>888538</v>
      </c>
      <c r="Q896" s="232"/>
      <c r="R896" s="233">
        <v>3450845</v>
      </c>
      <c r="S896" s="234">
        <v>-236953</v>
      </c>
      <c r="T896" s="234">
        <f>3213891+1</f>
        <v>3213892</v>
      </c>
    </row>
    <row r="897" spans="1:20">
      <c r="A897" s="227">
        <v>99812</v>
      </c>
      <c r="B897" s="228" t="s">
        <v>1605</v>
      </c>
      <c r="C897" s="87">
        <v>2.2099999999999998E-5</v>
      </c>
      <c r="D897" s="87">
        <v>2.5599999999999999E-5</v>
      </c>
      <c r="E897" s="232">
        <v>33763</v>
      </c>
      <c r="F897" s="232"/>
      <c r="G897" s="233">
        <v>1945</v>
      </c>
      <c r="H897" s="221">
        <v>8198</v>
      </c>
      <c r="I897" s="233">
        <v>4822</v>
      </c>
      <c r="J897" s="232">
        <v>11652</v>
      </c>
      <c r="K897" s="221">
        <f t="shared" si="27"/>
        <v>26617</v>
      </c>
      <c r="L897" s="232"/>
      <c r="M897" s="233">
        <v>956</v>
      </c>
      <c r="N897" s="233">
        <v>0</v>
      </c>
      <c r="O897" s="232">
        <v>0</v>
      </c>
      <c r="P897" s="221">
        <f t="shared" si="28"/>
        <v>956</v>
      </c>
      <c r="Q897" s="232"/>
      <c r="R897" s="233">
        <v>11378</v>
      </c>
      <c r="S897" s="234">
        <v>4237</v>
      </c>
      <c r="T897" s="234">
        <v>15615</v>
      </c>
    </row>
    <row r="898" spans="1:20">
      <c r="A898" s="227">
        <v>99818</v>
      </c>
      <c r="B898" s="228" t="s">
        <v>1606</v>
      </c>
      <c r="C898" s="87">
        <v>3.1600000000000002E-5</v>
      </c>
      <c r="D898" s="87">
        <v>3.7700000000000002E-5</v>
      </c>
      <c r="E898" s="232">
        <v>48276</v>
      </c>
      <c r="F898" s="232"/>
      <c r="G898" s="233">
        <v>2781</v>
      </c>
      <c r="H898" s="221">
        <v>11722</v>
      </c>
      <c r="I898" s="233">
        <v>6894</v>
      </c>
      <c r="J898" s="232">
        <v>3054</v>
      </c>
      <c r="K898" s="221">
        <f t="shared" si="27"/>
        <v>24451</v>
      </c>
      <c r="L898" s="232"/>
      <c r="M898" s="233">
        <v>1367</v>
      </c>
      <c r="N898" s="233">
        <v>0</v>
      </c>
      <c r="O898" s="232">
        <v>6414</v>
      </c>
      <c r="P898" s="221">
        <f t="shared" si="28"/>
        <v>7781</v>
      </c>
      <c r="Q898" s="232"/>
      <c r="R898" s="233">
        <v>16269</v>
      </c>
      <c r="S898" s="234">
        <v>695</v>
      </c>
      <c r="T898" s="234">
        <v>16964</v>
      </c>
    </row>
    <row r="899" spans="1:20">
      <c r="A899" s="227">
        <v>99821</v>
      </c>
      <c r="B899" s="228" t="s">
        <v>1607</v>
      </c>
      <c r="C899" s="87">
        <v>9.1100000000000005E-5</v>
      </c>
      <c r="D899" s="87">
        <v>8.2899999999999996E-5</v>
      </c>
      <c r="E899" s="232">
        <v>139176</v>
      </c>
      <c r="F899" s="232"/>
      <c r="G899" s="233">
        <v>8018</v>
      </c>
      <c r="H899" s="221">
        <v>33792</v>
      </c>
      <c r="I899" s="233">
        <v>19876</v>
      </c>
      <c r="J899" s="232">
        <v>21459</v>
      </c>
      <c r="K899" s="221">
        <f t="shared" si="27"/>
        <v>83145</v>
      </c>
      <c r="L899" s="232"/>
      <c r="M899" s="233">
        <v>3940</v>
      </c>
      <c r="N899" s="233">
        <v>0</v>
      </c>
      <c r="O899" s="232">
        <v>555</v>
      </c>
      <c r="P899" s="221">
        <f t="shared" si="28"/>
        <v>4495</v>
      </c>
      <c r="Q899" s="232"/>
      <c r="R899" s="233">
        <v>46902</v>
      </c>
      <c r="S899" s="234">
        <v>9955</v>
      </c>
      <c r="T899" s="234">
        <v>56857</v>
      </c>
    </row>
    <row r="900" spans="1:20">
      <c r="A900" s="227">
        <v>99831</v>
      </c>
      <c r="B900" s="228" t="s">
        <v>1608</v>
      </c>
      <c r="C900" s="87">
        <v>6.3299999999999994E-5</v>
      </c>
      <c r="D900" s="87">
        <v>5.5899999999999997E-5</v>
      </c>
      <c r="E900" s="232">
        <v>96705</v>
      </c>
      <c r="F900" s="232"/>
      <c r="G900" s="233">
        <v>5571</v>
      </c>
      <c r="H900" s="221">
        <v>23480</v>
      </c>
      <c r="I900" s="233">
        <v>13811</v>
      </c>
      <c r="J900" s="232">
        <v>7030</v>
      </c>
      <c r="K900" s="221">
        <f t="shared" si="27"/>
        <v>49892</v>
      </c>
      <c r="L900" s="232"/>
      <c r="M900" s="233">
        <v>2737</v>
      </c>
      <c r="N900" s="233">
        <v>0</v>
      </c>
      <c r="O900" s="232">
        <v>564</v>
      </c>
      <c r="P900" s="221">
        <f t="shared" si="28"/>
        <v>3301</v>
      </c>
      <c r="Q900" s="232"/>
      <c r="R900" s="233">
        <v>32590</v>
      </c>
      <c r="S900" s="234">
        <v>1906</v>
      </c>
      <c r="T900" s="234">
        <f>34495+1</f>
        <v>34496</v>
      </c>
    </row>
    <row r="901" spans="1:20">
      <c r="A901" s="227">
        <v>99841</v>
      </c>
      <c r="B901" s="228" t="s">
        <v>1609</v>
      </c>
      <c r="C901" s="87">
        <v>4.3399999999999998E-5</v>
      </c>
      <c r="D901" s="87">
        <v>4.6E-5</v>
      </c>
      <c r="E901" s="232">
        <v>66303</v>
      </c>
      <c r="F901" s="232"/>
      <c r="G901" s="233">
        <v>3820</v>
      </c>
      <c r="H901" s="221">
        <v>16098</v>
      </c>
      <c r="I901" s="233">
        <v>9469</v>
      </c>
      <c r="J901" s="232">
        <v>1271</v>
      </c>
      <c r="K901" s="221">
        <f t="shared" si="27"/>
        <v>30658</v>
      </c>
      <c r="L901" s="232"/>
      <c r="M901" s="233">
        <v>1877</v>
      </c>
      <c r="N901" s="233">
        <v>0</v>
      </c>
      <c r="O901" s="232">
        <v>4060</v>
      </c>
      <c r="P901" s="221">
        <f t="shared" si="28"/>
        <v>5937</v>
      </c>
      <c r="Q901" s="232"/>
      <c r="R901" s="233">
        <v>22344</v>
      </c>
      <c r="S901" s="234">
        <v>-1214</v>
      </c>
      <c r="T901" s="234">
        <v>21130</v>
      </c>
    </row>
    <row r="902" spans="1:20">
      <c r="A902" s="227">
        <v>99851</v>
      </c>
      <c r="B902" s="228" t="s">
        <v>1610</v>
      </c>
      <c r="C902" s="87">
        <v>2.23E-5</v>
      </c>
      <c r="D902" s="87">
        <v>2.1999999999999999E-5</v>
      </c>
      <c r="E902" s="232">
        <v>34068</v>
      </c>
      <c r="F902" s="232"/>
      <c r="G902" s="233">
        <v>1963</v>
      </c>
      <c r="H902" s="221">
        <v>8272</v>
      </c>
      <c r="I902" s="233">
        <v>4865</v>
      </c>
      <c r="J902" s="232">
        <v>142</v>
      </c>
      <c r="K902" s="221">
        <f t="shared" si="27"/>
        <v>15242</v>
      </c>
      <c r="L902" s="232"/>
      <c r="M902" s="233">
        <v>964</v>
      </c>
      <c r="N902" s="233">
        <v>0</v>
      </c>
      <c r="O902" s="232">
        <v>3191</v>
      </c>
      <c r="P902" s="221">
        <f t="shared" si="28"/>
        <v>4155</v>
      </c>
      <c r="Q902" s="232"/>
      <c r="R902" s="233">
        <v>11481</v>
      </c>
      <c r="S902" s="234">
        <v>-847</v>
      </c>
      <c r="T902" s="234">
        <v>10634</v>
      </c>
    </row>
    <row r="903" spans="1:20">
      <c r="A903" s="227">
        <v>99901</v>
      </c>
      <c r="B903" s="228" t="s">
        <v>1611</v>
      </c>
      <c r="C903" s="87">
        <v>1.6707E-3</v>
      </c>
      <c r="D903" s="87">
        <v>1.6371999999999999E-3</v>
      </c>
      <c r="E903" s="232">
        <v>2552367</v>
      </c>
      <c r="F903" s="232"/>
      <c r="G903" s="233">
        <v>147040</v>
      </c>
      <c r="H903" s="221">
        <v>619718</v>
      </c>
      <c r="I903" s="233">
        <v>364513</v>
      </c>
      <c r="J903" s="232">
        <v>63407</v>
      </c>
      <c r="K903" s="221">
        <f t="shared" si="27"/>
        <v>1194678</v>
      </c>
      <c r="L903" s="232"/>
      <c r="M903" s="233">
        <v>72249</v>
      </c>
      <c r="N903" s="233">
        <v>0</v>
      </c>
      <c r="O903" s="232">
        <v>12021</v>
      </c>
      <c r="P903" s="221">
        <f t="shared" si="28"/>
        <v>84270</v>
      </c>
      <c r="Q903" s="232"/>
      <c r="R903" s="233">
        <v>860150</v>
      </c>
      <c r="S903" s="234">
        <v>13114</v>
      </c>
      <c r="T903" s="234">
        <v>873264</v>
      </c>
    </row>
    <row r="904" spans="1:20">
      <c r="A904" s="227">
        <v>99911</v>
      </c>
      <c r="B904" s="228" t="s">
        <v>1612</v>
      </c>
      <c r="C904" s="87">
        <v>2.5980000000000003E-4</v>
      </c>
      <c r="D904" s="87">
        <v>2.5520000000000002E-4</v>
      </c>
      <c r="E904" s="232">
        <v>396902</v>
      </c>
      <c r="F904" s="232"/>
      <c r="G904" s="233">
        <v>22865</v>
      </c>
      <c r="H904" s="221">
        <v>96368</v>
      </c>
      <c r="I904" s="233">
        <v>56683</v>
      </c>
      <c r="J904" s="232">
        <v>7168</v>
      </c>
      <c r="K904" s="221">
        <f t="shared" si="27"/>
        <v>183084</v>
      </c>
      <c r="L904" s="232"/>
      <c r="M904" s="233">
        <v>11235</v>
      </c>
      <c r="N904" s="233">
        <v>0</v>
      </c>
      <c r="O904" s="232">
        <v>12661</v>
      </c>
      <c r="P904" s="221">
        <f t="shared" si="28"/>
        <v>23896</v>
      </c>
      <c r="Q904" s="232"/>
      <c r="R904" s="233">
        <v>133756</v>
      </c>
      <c r="S904" s="234">
        <v>-5521</v>
      </c>
      <c r="T904" s="234">
        <v>128235</v>
      </c>
    </row>
    <row r="905" spans="1:20">
      <c r="A905" s="227">
        <v>99921</v>
      </c>
      <c r="B905" s="228" t="s">
        <v>1613</v>
      </c>
      <c r="C905" s="87">
        <v>1.506E-4</v>
      </c>
      <c r="D905" s="87">
        <v>1.5129999999999999E-4</v>
      </c>
      <c r="E905" s="232">
        <v>230075</v>
      </c>
      <c r="F905" s="232"/>
      <c r="G905" s="233">
        <v>13254</v>
      </c>
      <c r="H905" s="221">
        <v>55863</v>
      </c>
      <c r="I905" s="233">
        <v>32858</v>
      </c>
      <c r="J905" s="232">
        <v>3258</v>
      </c>
      <c r="K905" s="221">
        <f t="shared" si="27"/>
        <v>105233</v>
      </c>
      <c r="L905" s="232"/>
      <c r="M905" s="233">
        <v>6513</v>
      </c>
      <c r="N905" s="233">
        <v>0</v>
      </c>
      <c r="O905" s="232">
        <v>7306</v>
      </c>
      <c r="P905" s="221">
        <f t="shared" si="28"/>
        <v>13819</v>
      </c>
      <c r="Q905" s="232"/>
      <c r="R905" s="233">
        <v>77536</v>
      </c>
      <c r="S905" s="234">
        <v>-3057</v>
      </c>
      <c r="T905" s="234">
        <v>74479</v>
      </c>
    </row>
    <row r="906" spans="1:20">
      <c r="A906" s="227">
        <v>99931</v>
      </c>
      <c r="B906" s="228" t="s">
        <v>1614</v>
      </c>
      <c r="C906" s="87">
        <v>1.5800000000000001E-5</v>
      </c>
      <c r="D906" s="87">
        <v>2.51E-5</v>
      </c>
      <c r="E906" s="232">
        <v>24138</v>
      </c>
      <c r="F906" s="232"/>
      <c r="G906" s="233">
        <v>1391</v>
      </c>
      <c r="H906" s="221">
        <v>5860</v>
      </c>
      <c r="I906" s="233">
        <v>3447</v>
      </c>
      <c r="J906" s="232">
        <v>0</v>
      </c>
      <c r="K906" s="221">
        <f t="shared" ref="K906:K911" si="29">G906+H906+I906+J906</f>
        <v>10698</v>
      </c>
      <c r="L906" s="232"/>
      <c r="M906" s="233">
        <v>683</v>
      </c>
      <c r="N906" s="233">
        <v>0</v>
      </c>
      <c r="O906" s="232">
        <v>8477</v>
      </c>
      <c r="P906" s="221">
        <f t="shared" ref="P906:P911" si="30">M906+N906+O906</f>
        <v>9160</v>
      </c>
      <c r="Q906" s="232"/>
      <c r="R906" s="233">
        <v>8135</v>
      </c>
      <c r="S906" s="234">
        <v>-3271</v>
      </c>
      <c r="T906" s="234">
        <v>4864</v>
      </c>
    </row>
    <row r="907" spans="1:20">
      <c r="A907" s="227">
        <v>99941</v>
      </c>
      <c r="B907" s="228" t="s">
        <v>1615</v>
      </c>
      <c r="C907" s="87">
        <v>7.5400000000000003E-5</v>
      </c>
      <c r="D907" s="87">
        <v>7.8200000000000003E-5</v>
      </c>
      <c r="E907" s="232">
        <v>115190</v>
      </c>
      <c r="F907" s="232"/>
      <c r="G907" s="233">
        <v>6636</v>
      </c>
      <c r="H907" s="221">
        <v>27969</v>
      </c>
      <c r="I907" s="233">
        <v>16451</v>
      </c>
      <c r="J907" s="232">
        <v>0</v>
      </c>
      <c r="K907" s="221">
        <f t="shared" si="29"/>
        <v>51056</v>
      </c>
      <c r="L907" s="232"/>
      <c r="M907" s="233">
        <v>3261</v>
      </c>
      <c r="N907" s="233">
        <v>0</v>
      </c>
      <c r="O907" s="232">
        <v>11647</v>
      </c>
      <c r="P907" s="221">
        <f t="shared" si="30"/>
        <v>14908</v>
      </c>
      <c r="Q907" s="232"/>
      <c r="R907" s="233">
        <v>38819</v>
      </c>
      <c r="S907" s="234">
        <v>-4535</v>
      </c>
      <c r="T907" s="234">
        <f>34285-1</f>
        <v>34284</v>
      </c>
    </row>
    <row r="908" spans="1:20">
      <c r="A908" s="227">
        <v>99991</v>
      </c>
      <c r="B908" s="228" t="s">
        <v>1616</v>
      </c>
      <c r="C908" s="87">
        <v>5.3450000000000004E-4</v>
      </c>
      <c r="D908" s="87">
        <v>5.6990000000000003E-4</v>
      </c>
      <c r="E908" s="232">
        <v>816568</v>
      </c>
      <c r="F908" s="232"/>
      <c r="G908" s="233">
        <v>47042</v>
      </c>
      <c r="H908" s="221">
        <v>198264</v>
      </c>
      <c r="I908" s="233">
        <v>116617</v>
      </c>
      <c r="J908" s="232">
        <v>28891</v>
      </c>
      <c r="K908" s="221">
        <f t="shared" si="29"/>
        <v>390814</v>
      </c>
      <c r="L908" s="232"/>
      <c r="M908" s="233">
        <v>23114</v>
      </c>
      <c r="N908" s="233">
        <v>0</v>
      </c>
      <c r="O908" s="232">
        <v>28214</v>
      </c>
      <c r="P908" s="221">
        <f t="shared" si="30"/>
        <v>51328</v>
      </c>
      <c r="Q908" s="232"/>
      <c r="R908" s="233">
        <v>275184</v>
      </c>
      <c r="S908" s="234">
        <v>12361</v>
      </c>
      <c r="T908" s="234">
        <v>287545</v>
      </c>
    </row>
    <row r="909" spans="1:20">
      <c r="A909" s="227">
        <v>99999</v>
      </c>
      <c r="B909" s="228" t="s">
        <v>1617</v>
      </c>
      <c r="C909" s="87">
        <v>8.7509999999999997E-4</v>
      </c>
      <c r="D909" s="87">
        <v>1.0101000000000001E-3</v>
      </c>
      <c r="E909" s="232">
        <v>1336910</v>
      </c>
      <c r="F909" s="232"/>
      <c r="G909" s="233">
        <v>77018</v>
      </c>
      <c r="H909" s="221">
        <v>324603</v>
      </c>
      <c r="I909" s="233">
        <v>190929</v>
      </c>
      <c r="J909" s="232">
        <v>77711</v>
      </c>
      <c r="K909" s="221">
        <f t="shared" si="29"/>
        <v>670261</v>
      </c>
      <c r="L909" s="232"/>
      <c r="M909" s="233">
        <v>37844</v>
      </c>
      <c r="N909" s="233">
        <v>0</v>
      </c>
      <c r="O909" s="232">
        <v>26259</v>
      </c>
      <c r="P909" s="221">
        <f t="shared" si="30"/>
        <v>64103</v>
      </c>
      <c r="Q909" s="232"/>
      <c r="R909" s="233">
        <v>450540</v>
      </c>
      <c r="S909" s="234">
        <v>10651</v>
      </c>
      <c r="T909" s="234">
        <v>461191</v>
      </c>
    </row>
    <row r="910" spans="1:20">
      <c r="A910" s="227">
        <v>94937</v>
      </c>
      <c r="B910" s="228" t="s">
        <v>2711</v>
      </c>
      <c r="C910" s="87">
        <v>0</v>
      </c>
      <c r="D910" s="87">
        <v>0</v>
      </c>
      <c r="E910" s="232">
        <v>0</v>
      </c>
      <c r="F910" s="232"/>
      <c r="G910" s="232">
        <v>0</v>
      </c>
      <c r="H910" s="232">
        <v>0</v>
      </c>
      <c r="I910" s="232">
        <v>0</v>
      </c>
      <c r="J910" s="232">
        <v>0</v>
      </c>
      <c r="K910" s="221">
        <f t="shared" si="29"/>
        <v>0</v>
      </c>
      <c r="L910" s="232"/>
      <c r="M910" s="233">
        <v>0</v>
      </c>
      <c r="N910" s="233">
        <v>0</v>
      </c>
      <c r="O910" s="232">
        <v>0</v>
      </c>
      <c r="P910" s="221">
        <f t="shared" si="30"/>
        <v>0</v>
      </c>
      <c r="Q910" s="232"/>
      <c r="R910" s="233">
        <v>0</v>
      </c>
      <c r="S910" s="234">
        <v>0</v>
      </c>
      <c r="T910" s="234">
        <v>0</v>
      </c>
    </row>
    <row r="911" spans="1:20">
      <c r="A911" s="227">
        <v>94947</v>
      </c>
      <c r="B911" s="228" t="s">
        <v>1934</v>
      </c>
      <c r="C911" s="87">
        <v>0</v>
      </c>
      <c r="D911" s="87">
        <v>0</v>
      </c>
      <c r="E911" s="232">
        <v>0</v>
      </c>
      <c r="F911" s="232"/>
      <c r="G911" s="233">
        <v>0</v>
      </c>
      <c r="H911" s="221">
        <v>0</v>
      </c>
      <c r="I911" s="233">
        <v>0</v>
      </c>
      <c r="J911" s="232">
        <v>0</v>
      </c>
      <c r="K911" s="221">
        <f t="shared" si="29"/>
        <v>0</v>
      </c>
      <c r="L911" s="232"/>
      <c r="M911" s="233">
        <v>0</v>
      </c>
      <c r="N911" s="233">
        <v>0</v>
      </c>
      <c r="O911" s="232">
        <v>0</v>
      </c>
      <c r="P911" s="221">
        <f t="shared" si="30"/>
        <v>0</v>
      </c>
      <c r="Q911" s="232"/>
      <c r="R911" s="233">
        <v>0</v>
      </c>
      <c r="S911" s="234">
        <v>0</v>
      </c>
      <c r="T911" s="234">
        <v>0</v>
      </c>
    </row>
    <row r="912" spans="1:20">
      <c r="A912" s="227"/>
      <c r="B912" s="228"/>
      <c r="C912" s="87"/>
      <c r="D912" s="87"/>
    </row>
    <row r="913" spans="1:20" s="95" customFormat="1">
      <c r="A913" s="90"/>
      <c r="B913" s="54"/>
      <c r="C913" s="91"/>
      <c r="D913" s="91"/>
      <c r="E913" s="92"/>
      <c r="F913" s="92"/>
      <c r="G913" s="93"/>
      <c r="H913" s="94"/>
      <c r="I913" s="93"/>
      <c r="J913" s="93"/>
      <c r="K913" s="94"/>
      <c r="L913" s="93"/>
      <c r="M913" s="93"/>
      <c r="N913" s="93"/>
      <c r="O913" s="93"/>
      <c r="P913" s="94"/>
      <c r="Q913" s="93"/>
      <c r="R913" s="93"/>
      <c r="S913" s="93"/>
      <c r="T913" s="93"/>
    </row>
    <row r="914" spans="1:20">
      <c r="B914" s="210" t="s">
        <v>691</v>
      </c>
      <c r="C914" s="7" t="s">
        <v>692</v>
      </c>
    </row>
    <row r="915" spans="1:20">
      <c r="B915" s="131" t="s">
        <v>497</v>
      </c>
      <c r="C915" s="227">
        <v>96331</v>
      </c>
    </row>
    <row r="916" spans="1:20">
      <c r="B916" s="131" t="s">
        <v>447</v>
      </c>
      <c r="C916" s="227">
        <v>94611</v>
      </c>
    </row>
    <row r="917" spans="1:20">
      <c r="B917" s="131" t="s">
        <v>91</v>
      </c>
      <c r="C917" s="227">
        <v>93402</v>
      </c>
    </row>
    <row r="918" spans="1:20">
      <c r="B918" s="131" t="s">
        <v>278</v>
      </c>
      <c r="C918" s="227">
        <v>90151</v>
      </c>
    </row>
    <row r="919" spans="1:20">
      <c r="B919" s="131" t="s">
        <v>1643</v>
      </c>
      <c r="C919" s="227">
        <v>94109</v>
      </c>
    </row>
    <row r="920" spans="1:20">
      <c r="B920" s="131" t="s">
        <v>27</v>
      </c>
      <c r="C920" s="227">
        <v>90101</v>
      </c>
    </row>
    <row r="921" spans="1:20">
      <c r="B921" s="131" t="s">
        <v>1621</v>
      </c>
      <c r="C921" s="227">
        <v>90117</v>
      </c>
    </row>
    <row r="922" spans="1:20">
      <c r="B922" s="131" t="s">
        <v>669</v>
      </c>
      <c r="C922" s="227">
        <v>98411</v>
      </c>
    </row>
    <row r="923" spans="1:20">
      <c r="B923" s="131" t="s">
        <v>1774</v>
      </c>
      <c r="C923" s="227">
        <v>98417</v>
      </c>
    </row>
    <row r="924" spans="1:20">
      <c r="B924" s="131" t="s">
        <v>167</v>
      </c>
      <c r="C924" s="227">
        <v>97008</v>
      </c>
    </row>
    <row r="925" spans="1:20">
      <c r="B925" s="131" t="s">
        <v>168</v>
      </c>
      <c r="C925" s="227">
        <v>97010</v>
      </c>
    </row>
    <row r="926" spans="1:20">
      <c r="B926" s="131" t="s">
        <v>1622</v>
      </c>
      <c r="C926" s="227">
        <v>90096</v>
      </c>
    </row>
    <row r="927" spans="1:20">
      <c r="B927" s="131" t="s">
        <v>38</v>
      </c>
      <c r="C927" s="227">
        <v>90805</v>
      </c>
    </row>
    <row r="928" spans="1:20">
      <c r="B928" s="131" t="s">
        <v>1644</v>
      </c>
      <c r="C928" s="227">
        <v>92109</v>
      </c>
    </row>
    <row r="929" spans="2:3">
      <c r="B929" s="131" t="s">
        <v>28</v>
      </c>
      <c r="C929" s="227">
        <v>90201</v>
      </c>
    </row>
    <row r="930" spans="2:3">
      <c r="B930" s="131" t="s">
        <v>1645</v>
      </c>
      <c r="C930" s="227">
        <v>90206</v>
      </c>
    </row>
    <row r="931" spans="2:3">
      <c r="B931" s="131" t="s">
        <v>1646</v>
      </c>
      <c r="C931" s="227">
        <v>90203</v>
      </c>
    </row>
    <row r="932" spans="2:3">
      <c r="B932" s="131" t="s">
        <v>1647</v>
      </c>
      <c r="C932" s="227">
        <v>90205</v>
      </c>
    </row>
    <row r="933" spans="2:3">
      <c r="B933" s="131" t="s">
        <v>29</v>
      </c>
      <c r="C933" s="227">
        <v>90301</v>
      </c>
    </row>
    <row r="934" spans="2:3">
      <c r="B934" s="131" t="s">
        <v>1648</v>
      </c>
      <c r="C934" s="227">
        <v>93209</v>
      </c>
    </row>
    <row r="935" spans="2:3">
      <c r="B935" s="131" t="s">
        <v>363</v>
      </c>
      <c r="C935" s="227">
        <v>92021</v>
      </c>
    </row>
    <row r="936" spans="2:3">
      <c r="B936" s="131" t="s">
        <v>440</v>
      </c>
      <c r="C936" s="227">
        <v>94351</v>
      </c>
    </row>
    <row r="937" spans="2:3">
      <c r="B937" s="131" t="s">
        <v>1875</v>
      </c>
      <c r="C937" s="227">
        <v>94347</v>
      </c>
    </row>
    <row r="938" spans="2:3">
      <c r="B938" s="131" t="s">
        <v>31</v>
      </c>
      <c r="C938" s="227">
        <v>90401</v>
      </c>
    </row>
    <row r="939" spans="2:3">
      <c r="B939" s="131" t="s">
        <v>297</v>
      </c>
      <c r="C939" s="227">
        <v>90451</v>
      </c>
    </row>
    <row r="940" spans="2:3">
      <c r="B940" s="131" t="s">
        <v>596</v>
      </c>
      <c r="C940" s="227">
        <v>99271</v>
      </c>
    </row>
    <row r="941" spans="2:3">
      <c r="B941" s="131" t="s">
        <v>1649</v>
      </c>
      <c r="C941" s="227">
        <v>90099</v>
      </c>
    </row>
    <row r="942" spans="2:3">
      <c r="B942" s="131" t="s">
        <v>227</v>
      </c>
      <c r="C942" s="227">
        <v>99705</v>
      </c>
    </row>
    <row r="943" spans="2:3">
      <c r="B943" s="131" t="s">
        <v>660</v>
      </c>
      <c r="C943" s="227">
        <v>97651</v>
      </c>
    </row>
    <row r="944" spans="2:3">
      <c r="B944" s="131" t="s">
        <v>454</v>
      </c>
      <c r="C944" s="227">
        <v>95106</v>
      </c>
    </row>
    <row r="945" spans="2:3">
      <c r="B945" s="131" t="s">
        <v>33</v>
      </c>
      <c r="C945" s="227">
        <v>90501</v>
      </c>
    </row>
    <row r="946" spans="2:3">
      <c r="B946" s="131" t="s">
        <v>658</v>
      </c>
      <c r="C946" s="227">
        <v>97611</v>
      </c>
    </row>
    <row r="947" spans="2:3">
      <c r="B947" s="131" t="s">
        <v>1775</v>
      </c>
      <c r="C947" s="227">
        <v>97607</v>
      </c>
    </row>
    <row r="948" spans="2:3">
      <c r="B948" s="131" t="s">
        <v>1650</v>
      </c>
      <c r="C948" s="227">
        <v>97613</v>
      </c>
    </row>
    <row r="949" spans="2:3">
      <c r="B949" s="131" t="s">
        <v>625</v>
      </c>
      <c r="C949" s="227">
        <v>91121</v>
      </c>
    </row>
    <row r="950" spans="2:3">
      <c r="B950" s="131" t="s">
        <v>1776</v>
      </c>
      <c r="C950" s="227">
        <v>91127</v>
      </c>
    </row>
    <row r="951" spans="2:3">
      <c r="B951" s="131" t="s">
        <v>49</v>
      </c>
      <c r="C951" s="227">
        <v>91128</v>
      </c>
    </row>
    <row r="952" spans="2:3">
      <c r="B952" s="131" t="s">
        <v>351</v>
      </c>
      <c r="C952" s="227">
        <v>91681</v>
      </c>
    </row>
    <row r="953" spans="2:3">
      <c r="B953" s="131" t="s">
        <v>310</v>
      </c>
      <c r="C953" s="227">
        <v>90811</v>
      </c>
    </row>
    <row r="954" spans="2:3">
      <c r="B954" s="131" t="s">
        <v>306</v>
      </c>
      <c r="C954" s="227">
        <v>90721</v>
      </c>
    </row>
    <row r="955" spans="2:3">
      <c r="B955" s="131" t="s">
        <v>568</v>
      </c>
      <c r="C955" s="227">
        <v>98271</v>
      </c>
    </row>
    <row r="956" spans="2:3">
      <c r="B956" s="131" t="s">
        <v>35</v>
      </c>
      <c r="C956" s="227">
        <v>90601</v>
      </c>
    </row>
    <row r="957" spans="2:3">
      <c r="B957" s="131" t="s">
        <v>1651</v>
      </c>
      <c r="C957" s="227">
        <v>90602</v>
      </c>
    </row>
    <row r="958" spans="2:3">
      <c r="B958" s="131" t="s">
        <v>1652</v>
      </c>
      <c r="C958" s="227">
        <v>90605</v>
      </c>
    </row>
    <row r="959" spans="2:3">
      <c r="B959" s="131" t="s">
        <v>534</v>
      </c>
      <c r="C959" s="227">
        <v>97461</v>
      </c>
    </row>
    <row r="960" spans="2:3">
      <c r="B960" s="131" t="s">
        <v>180</v>
      </c>
      <c r="C960" s="227">
        <v>97463</v>
      </c>
    </row>
    <row r="961" spans="2:3">
      <c r="B961" s="131" t="s">
        <v>1653</v>
      </c>
      <c r="C961" s="227">
        <v>90705</v>
      </c>
    </row>
    <row r="962" spans="2:3">
      <c r="B962" s="131" t="s">
        <v>573</v>
      </c>
      <c r="C962" s="227">
        <v>98451</v>
      </c>
    </row>
    <row r="963" spans="2:3">
      <c r="B963" s="131" t="s">
        <v>505</v>
      </c>
      <c r="C963" s="227">
        <v>96451</v>
      </c>
    </row>
    <row r="964" spans="2:3">
      <c r="B964" s="131" t="s">
        <v>487</v>
      </c>
      <c r="C964" s="227">
        <v>96121</v>
      </c>
    </row>
    <row r="965" spans="2:3">
      <c r="B965" s="131" t="s">
        <v>279</v>
      </c>
      <c r="C965" s="227">
        <v>91091</v>
      </c>
    </row>
    <row r="966" spans="2:3">
      <c r="B966" s="131" t="s">
        <v>301</v>
      </c>
      <c r="C966" s="227">
        <v>90611</v>
      </c>
    </row>
    <row r="967" spans="2:3">
      <c r="B967" s="131" t="s">
        <v>163</v>
      </c>
      <c r="C967" s="227">
        <v>96918</v>
      </c>
    </row>
    <row r="968" spans="2:3">
      <c r="B968" s="131" t="s">
        <v>525</v>
      </c>
      <c r="C968" s="227">
        <v>96911</v>
      </c>
    </row>
    <row r="969" spans="2:3">
      <c r="B969" s="131" t="s">
        <v>215</v>
      </c>
      <c r="C969" s="227">
        <v>99208</v>
      </c>
    </row>
    <row r="970" spans="2:3">
      <c r="B970" s="131" t="s">
        <v>346</v>
      </c>
      <c r="C970" s="227">
        <v>91631</v>
      </c>
    </row>
    <row r="971" spans="2:3">
      <c r="B971" s="131" t="s">
        <v>36</v>
      </c>
      <c r="C971" s="227">
        <v>90701</v>
      </c>
    </row>
    <row r="972" spans="2:3">
      <c r="B972" s="131" t="s">
        <v>1777</v>
      </c>
      <c r="C972" s="227">
        <v>90704</v>
      </c>
    </row>
    <row r="973" spans="2:3">
      <c r="B973" s="131" t="s">
        <v>1654</v>
      </c>
      <c r="C973" s="227">
        <v>91633</v>
      </c>
    </row>
    <row r="974" spans="2:3">
      <c r="B974" s="131" t="s">
        <v>303</v>
      </c>
      <c r="C974" s="227">
        <v>90631</v>
      </c>
    </row>
    <row r="975" spans="2:3">
      <c r="B975" s="131" t="s">
        <v>307</v>
      </c>
      <c r="C975" s="227">
        <v>90731</v>
      </c>
    </row>
    <row r="976" spans="2:3">
      <c r="B976" s="131" t="s">
        <v>639</v>
      </c>
      <c r="C976" s="227">
        <v>93621</v>
      </c>
    </row>
    <row r="977" spans="2:3">
      <c r="B977" s="131" t="s">
        <v>97</v>
      </c>
      <c r="C977" s="227">
        <v>93623</v>
      </c>
    </row>
    <row r="978" spans="2:3">
      <c r="B978" s="131" t="s">
        <v>320</v>
      </c>
      <c r="C978" s="227">
        <v>91020</v>
      </c>
    </row>
    <row r="979" spans="2:3">
      <c r="B979" s="131" t="s">
        <v>459</v>
      </c>
      <c r="C979" s="227">
        <v>95141</v>
      </c>
    </row>
    <row r="980" spans="2:3">
      <c r="B980" s="131" t="s">
        <v>128</v>
      </c>
      <c r="C980" s="227">
        <v>95103</v>
      </c>
    </row>
    <row r="981" spans="2:3">
      <c r="B981" s="131" t="s">
        <v>392</v>
      </c>
      <c r="C981" s="227">
        <v>93021</v>
      </c>
    </row>
    <row r="982" spans="2:3">
      <c r="B982" s="131" t="s">
        <v>37</v>
      </c>
      <c r="C982" s="227">
        <v>90801</v>
      </c>
    </row>
    <row r="983" spans="2:3">
      <c r="B983" s="131" t="s">
        <v>1778</v>
      </c>
      <c r="C983" s="227">
        <v>90804</v>
      </c>
    </row>
    <row r="984" spans="2:3">
      <c r="B984" s="131" t="s">
        <v>39</v>
      </c>
      <c r="C984" s="227">
        <v>90808</v>
      </c>
    </row>
    <row r="985" spans="2:3">
      <c r="B985" s="131" t="s">
        <v>641</v>
      </c>
      <c r="C985" s="227">
        <v>93671</v>
      </c>
    </row>
    <row r="986" spans="2:3">
      <c r="B986" s="131" t="s">
        <v>684</v>
      </c>
      <c r="C986" s="227">
        <v>93677</v>
      </c>
    </row>
    <row r="987" spans="2:3">
      <c r="B987" s="131" t="s">
        <v>532</v>
      </c>
      <c r="C987" s="227">
        <v>97441</v>
      </c>
    </row>
    <row r="988" spans="2:3">
      <c r="B988" s="131" t="s">
        <v>394</v>
      </c>
      <c r="C988" s="227">
        <v>93111</v>
      </c>
    </row>
    <row r="989" spans="2:3">
      <c r="B989" s="131" t="s">
        <v>327</v>
      </c>
      <c r="C989" s="227">
        <v>91111</v>
      </c>
    </row>
    <row r="990" spans="2:3">
      <c r="B990" s="131" t="s">
        <v>490</v>
      </c>
      <c r="C990" s="227">
        <v>96231</v>
      </c>
    </row>
    <row r="991" spans="2:3">
      <c r="B991" s="131" t="s">
        <v>613</v>
      </c>
      <c r="C991" s="227">
        <v>99831</v>
      </c>
    </row>
    <row r="992" spans="2:3">
      <c r="B992" s="131" t="s">
        <v>329</v>
      </c>
      <c r="C992" s="227">
        <v>91151</v>
      </c>
    </row>
    <row r="993" spans="2:3">
      <c r="B993" s="131" t="s">
        <v>1779</v>
      </c>
      <c r="C993" s="227">
        <v>91154</v>
      </c>
    </row>
    <row r="994" spans="2:3">
      <c r="B994" s="131" t="s">
        <v>40</v>
      </c>
      <c r="C994" s="227">
        <v>90901</v>
      </c>
    </row>
    <row r="995" spans="2:3">
      <c r="B995" s="131" t="s">
        <v>316</v>
      </c>
      <c r="C995" s="227">
        <v>90941</v>
      </c>
    </row>
    <row r="996" spans="2:3">
      <c r="B996" s="131" t="s">
        <v>605</v>
      </c>
      <c r="C996" s="227">
        <v>99521</v>
      </c>
    </row>
    <row r="997" spans="2:3">
      <c r="B997" s="131" t="s">
        <v>1780</v>
      </c>
      <c r="C997" s="227">
        <v>99527</v>
      </c>
    </row>
    <row r="998" spans="2:3">
      <c r="B998" s="131" t="s">
        <v>223</v>
      </c>
      <c r="C998" s="227">
        <v>99508</v>
      </c>
    </row>
    <row r="999" spans="2:3">
      <c r="B999" s="131" t="s">
        <v>118</v>
      </c>
      <c r="C999" s="227">
        <v>94532</v>
      </c>
    </row>
    <row r="1000" spans="2:3">
      <c r="B1000" s="131" t="s">
        <v>1903</v>
      </c>
      <c r="C1000" s="227">
        <v>91071</v>
      </c>
    </row>
    <row r="1001" spans="2:3">
      <c r="B1001" s="131" t="s">
        <v>1782</v>
      </c>
      <c r="C1001" s="227">
        <v>91077</v>
      </c>
    </row>
    <row r="1002" spans="2:3">
      <c r="B1002" s="131" t="s">
        <v>365</v>
      </c>
      <c r="C1002" s="227">
        <v>92331</v>
      </c>
    </row>
    <row r="1003" spans="2:3">
      <c r="B1003" s="131" t="s">
        <v>679</v>
      </c>
      <c r="C1003" s="227">
        <v>92414</v>
      </c>
    </row>
    <row r="1004" spans="2:3">
      <c r="B1004" s="131" t="s">
        <v>604</v>
      </c>
      <c r="C1004" s="227">
        <v>99511</v>
      </c>
    </row>
    <row r="1005" spans="2:3">
      <c r="B1005" s="131" t="s">
        <v>619</v>
      </c>
      <c r="C1005" s="227">
        <v>99941</v>
      </c>
    </row>
    <row r="1006" spans="2:3">
      <c r="B1006" s="131" t="s">
        <v>152</v>
      </c>
      <c r="C1006" s="227">
        <v>96405</v>
      </c>
    </row>
    <row r="1007" spans="2:3">
      <c r="B1007" s="131" t="s">
        <v>671</v>
      </c>
      <c r="C1007" s="227">
        <v>98811</v>
      </c>
    </row>
    <row r="1008" spans="2:3">
      <c r="B1008" s="131" t="s">
        <v>1781</v>
      </c>
      <c r="C1008" s="227">
        <v>98817</v>
      </c>
    </row>
    <row r="1009" spans="2:3">
      <c r="B1009" s="131" t="s">
        <v>375</v>
      </c>
      <c r="C1009" s="227">
        <v>92561</v>
      </c>
    </row>
    <row r="1010" spans="2:3">
      <c r="B1010" s="131" t="s">
        <v>197</v>
      </c>
      <c r="C1010" s="227">
        <v>98102</v>
      </c>
    </row>
    <row r="1011" spans="2:3">
      <c r="B1011" s="131" t="s">
        <v>466</v>
      </c>
      <c r="C1011" s="227">
        <v>95321</v>
      </c>
    </row>
    <row r="1012" spans="2:3">
      <c r="B1012" s="131" t="s">
        <v>357</v>
      </c>
      <c r="C1012" s="227">
        <v>91861</v>
      </c>
    </row>
    <row r="1013" spans="2:3">
      <c r="B1013" s="131" t="s">
        <v>368</v>
      </c>
      <c r="C1013" s="227">
        <v>92421</v>
      </c>
    </row>
    <row r="1014" spans="2:3">
      <c r="B1014" s="131" t="s">
        <v>1655</v>
      </c>
      <c r="C1014" s="227">
        <v>91006</v>
      </c>
    </row>
    <row r="1015" spans="2:3">
      <c r="B1015" s="131" t="s">
        <v>1656</v>
      </c>
      <c r="C1015" s="227">
        <v>91003</v>
      </c>
    </row>
    <row r="1016" spans="2:3">
      <c r="B1016" s="131" t="s">
        <v>41</v>
      </c>
      <c r="C1016" s="227">
        <v>91001</v>
      </c>
    </row>
    <row r="1017" spans="2:3">
      <c r="B1017" s="131" t="s">
        <v>1783</v>
      </c>
      <c r="C1017" s="227">
        <v>91004</v>
      </c>
    </row>
    <row r="1018" spans="2:3">
      <c r="B1018" s="131" t="s">
        <v>1657</v>
      </c>
      <c r="C1018" s="227">
        <v>91009</v>
      </c>
    </row>
    <row r="1019" spans="2:3">
      <c r="B1019" s="131" t="s">
        <v>1658</v>
      </c>
      <c r="C1019" s="227">
        <v>91042</v>
      </c>
    </row>
    <row r="1020" spans="2:3">
      <c r="B1020" s="131" t="s">
        <v>580</v>
      </c>
      <c r="C1020" s="227">
        <v>98711</v>
      </c>
    </row>
    <row r="1021" spans="2:3">
      <c r="B1021" s="131" t="s">
        <v>1784</v>
      </c>
      <c r="C1021" s="227">
        <v>98717</v>
      </c>
    </row>
    <row r="1022" spans="2:3">
      <c r="B1022" s="131" t="s">
        <v>44</v>
      </c>
      <c r="C1022" s="227">
        <v>91101</v>
      </c>
    </row>
    <row r="1023" spans="2:3">
      <c r="B1023" s="131" t="s">
        <v>413</v>
      </c>
      <c r="C1023" s="227">
        <v>93531</v>
      </c>
    </row>
    <row r="1024" spans="2:3">
      <c r="B1024" s="131" t="s">
        <v>1773</v>
      </c>
      <c r="C1024" s="227">
        <v>93537</v>
      </c>
    </row>
    <row r="1025" spans="2:3">
      <c r="B1025" s="131" t="s">
        <v>527</v>
      </c>
      <c r="C1025" s="227">
        <v>97111</v>
      </c>
    </row>
    <row r="1026" spans="2:3">
      <c r="B1026" s="131" t="s">
        <v>1659</v>
      </c>
      <c r="C1026" s="227">
        <v>91206</v>
      </c>
    </row>
    <row r="1027" spans="2:3">
      <c r="B1027" s="131" t="s">
        <v>1660</v>
      </c>
      <c r="C1027" s="227">
        <v>91203</v>
      </c>
    </row>
    <row r="1028" spans="2:3">
      <c r="B1028" s="131" t="s">
        <v>50</v>
      </c>
      <c r="C1028" s="227">
        <v>91201</v>
      </c>
    </row>
    <row r="1029" spans="2:3">
      <c r="B1029" s="131" t="s">
        <v>1661</v>
      </c>
      <c r="C1029" s="227">
        <v>91208</v>
      </c>
    </row>
    <row r="1030" spans="2:3">
      <c r="B1030" s="131" t="s">
        <v>1662</v>
      </c>
      <c r="C1030" s="227">
        <v>91202</v>
      </c>
    </row>
    <row r="1031" spans="2:3">
      <c r="B1031" s="131" t="s">
        <v>620</v>
      </c>
      <c r="C1031" s="227">
        <v>90111</v>
      </c>
    </row>
    <row r="1032" spans="2:3">
      <c r="B1032" s="131" t="s">
        <v>288</v>
      </c>
      <c r="C1032" s="227">
        <v>90011</v>
      </c>
    </row>
    <row r="1033" spans="2:3">
      <c r="B1033" s="131" t="s">
        <v>423</v>
      </c>
      <c r="C1033" s="227">
        <v>93931</v>
      </c>
    </row>
    <row r="1034" spans="2:3">
      <c r="B1034" s="131" t="s">
        <v>1663</v>
      </c>
      <c r="C1034" s="51">
        <v>91306</v>
      </c>
    </row>
    <row r="1035" spans="2:3">
      <c r="B1035" s="131" t="s">
        <v>53</v>
      </c>
      <c r="C1035" s="227">
        <v>91301</v>
      </c>
    </row>
    <row r="1036" spans="2:3">
      <c r="B1036" s="131" t="s">
        <v>1664</v>
      </c>
      <c r="C1036" s="51">
        <v>91308</v>
      </c>
    </row>
    <row r="1037" spans="2:3">
      <c r="B1037" s="131" t="s">
        <v>1749</v>
      </c>
      <c r="C1037" s="227">
        <v>91461</v>
      </c>
    </row>
    <row r="1038" spans="2:3">
      <c r="B1038" s="131" t="s">
        <v>318</v>
      </c>
      <c r="C1038" s="227">
        <v>91010</v>
      </c>
    </row>
    <row r="1039" spans="2:3">
      <c r="B1039" s="131" t="s">
        <v>1785</v>
      </c>
      <c r="C1039" s="227">
        <v>91007</v>
      </c>
    </row>
    <row r="1040" spans="2:3">
      <c r="B1040" s="131" t="s">
        <v>54</v>
      </c>
      <c r="C1040" s="227">
        <v>91401</v>
      </c>
    </row>
    <row r="1041" spans="2:3">
      <c r="B1041" s="131" t="s">
        <v>400</v>
      </c>
      <c r="C1041" s="227">
        <v>93171</v>
      </c>
    </row>
    <row r="1042" spans="2:3">
      <c r="B1042" s="131" t="s">
        <v>56</v>
      </c>
      <c r="C1042" s="227">
        <v>91501</v>
      </c>
    </row>
    <row r="1043" spans="2:3">
      <c r="B1043" s="131" t="s">
        <v>1786</v>
      </c>
      <c r="C1043" s="227">
        <v>91504</v>
      </c>
    </row>
    <row r="1044" spans="2:3">
      <c r="B1044" s="131" t="s">
        <v>495</v>
      </c>
      <c r="C1044" s="227">
        <v>96312</v>
      </c>
    </row>
    <row r="1045" spans="2:3">
      <c r="B1045" s="131" t="s">
        <v>491</v>
      </c>
      <c r="C1045" s="227">
        <v>96241</v>
      </c>
    </row>
    <row r="1046" spans="2:3">
      <c r="B1046" s="131" t="s">
        <v>443</v>
      </c>
      <c r="C1046" s="227">
        <v>94431</v>
      </c>
    </row>
    <row r="1047" spans="2:3">
      <c r="B1047" s="131" t="s">
        <v>1787</v>
      </c>
      <c r="C1047" s="227">
        <v>94437</v>
      </c>
    </row>
    <row r="1048" spans="2:3">
      <c r="B1048" s="131" t="s">
        <v>350</v>
      </c>
      <c r="C1048" s="227">
        <v>91671</v>
      </c>
    </row>
    <row r="1049" spans="2:3">
      <c r="B1049" s="131" t="s">
        <v>42</v>
      </c>
      <c r="C1049" s="227">
        <v>91008</v>
      </c>
    </row>
    <row r="1050" spans="2:3">
      <c r="B1050" s="131" t="s">
        <v>157</v>
      </c>
      <c r="C1050" s="227">
        <v>96512</v>
      </c>
    </row>
    <row r="1051" spans="2:3">
      <c r="B1051" s="131" t="s">
        <v>155</v>
      </c>
      <c r="C1051" s="227">
        <v>96507</v>
      </c>
    </row>
    <row r="1052" spans="2:3">
      <c r="B1052" s="131" t="s">
        <v>508</v>
      </c>
      <c r="C1052" s="227">
        <v>96521</v>
      </c>
    </row>
    <row r="1053" spans="2:3">
      <c r="B1053" s="131" t="s">
        <v>322</v>
      </c>
      <c r="C1053" s="227">
        <v>91024</v>
      </c>
    </row>
    <row r="1054" spans="2:3">
      <c r="B1054" s="131" t="s">
        <v>523</v>
      </c>
      <c r="C1054" s="227">
        <v>96821</v>
      </c>
    </row>
    <row r="1055" spans="2:3">
      <c r="B1055" s="131" t="s">
        <v>57</v>
      </c>
      <c r="C1055" s="227">
        <v>91601</v>
      </c>
    </row>
    <row r="1056" spans="2:3">
      <c r="B1056" s="131" t="s">
        <v>1788</v>
      </c>
      <c r="C1056" s="227">
        <v>91604</v>
      </c>
    </row>
    <row r="1057" spans="2:3">
      <c r="B1057" s="131" t="s">
        <v>500</v>
      </c>
      <c r="C1057" s="227">
        <v>96391</v>
      </c>
    </row>
    <row r="1058" spans="2:3">
      <c r="B1058" s="131" t="s">
        <v>591</v>
      </c>
      <c r="C1058" s="227">
        <v>99221</v>
      </c>
    </row>
    <row r="1059" spans="2:3">
      <c r="B1059" s="131" t="s">
        <v>324</v>
      </c>
      <c r="C1059" s="227">
        <v>91051</v>
      </c>
    </row>
    <row r="1060" spans="2:3">
      <c r="B1060" s="131" t="s">
        <v>1665</v>
      </c>
      <c r="C1060" s="227">
        <v>91706</v>
      </c>
    </row>
    <row r="1061" spans="2:3">
      <c r="B1061" s="131" t="s">
        <v>58</v>
      </c>
      <c r="C1061" s="227">
        <v>91701</v>
      </c>
    </row>
    <row r="1062" spans="2:3">
      <c r="B1062" s="131" t="s">
        <v>1789</v>
      </c>
      <c r="C1062" s="227">
        <v>91704</v>
      </c>
    </row>
    <row r="1063" spans="2:3">
      <c r="B1063" s="131" t="s">
        <v>359</v>
      </c>
      <c r="C1063" s="227">
        <v>91881</v>
      </c>
    </row>
    <row r="1064" spans="2:3">
      <c r="B1064" s="131" t="s">
        <v>59</v>
      </c>
      <c r="C1064" s="227">
        <v>91801</v>
      </c>
    </row>
    <row r="1065" spans="2:3">
      <c r="B1065" s="131" t="s">
        <v>1790</v>
      </c>
      <c r="C1065" s="227">
        <v>91804</v>
      </c>
    </row>
    <row r="1066" spans="2:3">
      <c r="B1066" s="131" t="s">
        <v>352</v>
      </c>
      <c r="C1066" s="227">
        <v>91691</v>
      </c>
    </row>
    <row r="1067" spans="2:3">
      <c r="B1067" s="131" t="s">
        <v>1666</v>
      </c>
      <c r="C1067" s="227">
        <v>99222</v>
      </c>
    </row>
    <row r="1068" spans="2:3">
      <c r="B1068" s="131" t="s">
        <v>1623</v>
      </c>
      <c r="C1068" s="227">
        <v>93408</v>
      </c>
    </row>
    <row r="1069" spans="2:3">
      <c r="B1069" s="131" t="s">
        <v>145</v>
      </c>
      <c r="C1069" s="227">
        <v>96009</v>
      </c>
    </row>
    <row r="1070" spans="2:3">
      <c r="B1070" s="131" t="s">
        <v>370</v>
      </c>
      <c r="C1070" s="227">
        <v>92441</v>
      </c>
    </row>
    <row r="1071" spans="2:3">
      <c r="B1071" s="131" t="s">
        <v>522</v>
      </c>
      <c r="C1071" s="227">
        <v>96811</v>
      </c>
    </row>
    <row r="1072" spans="2:3">
      <c r="B1072" s="131" t="s">
        <v>652</v>
      </c>
      <c r="C1072" s="227">
        <v>96011</v>
      </c>
    </row>
    <row r="1073" spans="2:3">
      <c r="B1073" s="131" t="s">
        <v>1667</v>
      </c>
      <c r="C1073" s="227">
        <v>96018</v>
      </c>
    </row>
    <row r="1074" spans="2:3">
      <c r="B1074" s="131" t="s">
        <v>1668</v>
      </c>
      <c r="C1074" s="227">
        <v>96003</v>
      </c>
    </row>
    <row r="1075" spans="2:3">
      <c r="B1075" s="131" t="s">
        <v>1669</v>
      </c>
      <c r="C1075" s="227">
        <v>96005</v>
      </c>
    </row>
    <row r="1076" spans="2:3">
      <c r="B1076" s="131" t="s">
        <v>1624</v>
      </c>
      <c r="C1076" s="227">
        <v>96012</v>
      </c>
    </row>
    <row r="1077" spans="2:3">
      <c r="B1077" s="131" t="s">
        <v>1670</v>
      </c>
      <c r="C1077" s="227">
        <v>91903</v>
      </c>
    </row>
    <row r="1078" spans="2:3">
      <c r="B1078" s="131" t="s">
        <v>61</v>
      </c>
      <c r="C1078" s="227">
        <v>91901</v>
      </c>
    </row>
    <row r="1079" spans="2:3">
      <c r="B1079" s="131" t="s">
        <v>1791</v>
      </c>
      <c r="C1079" s="227">
        <v>91904</v>
      </c>
    </row>
    <row r="1080" spans="2:3">
      <c r="B1080" s="131" t="s">
        <v>63</v>
      </c>
      <c r="C1080" s="227">
        <v>92001</v>
      </c>
    </row>
    <row r="1081" spans="2:3">
      <c r="B1081" s="131" t="s">
        <v>640</v>
      </c>
      <c r="C1081" s="227">
        <v>93641</v>
      </c>
    </row>
    <row r="1082" spans="2:3">
      <c r="B1082" s="131" t="s">
        <v>1792</v>
      </c>
      <c r="C1082" s="227">
        <v>93647</v>
      </c>
    </row>
    <row r="1083" spans="2:3">
      <c r="B1083" s="131" t="s">
        <v>553</v>
      </c>
      <c r="C1083" s="227">
        <v>98041</v>
      </c>
    </row>
    <row r="1084" spans="2:3">
      <c r="B1084" s="131" t="s">
        <v>1671</v>
      </c>
      <c r="C1084" s="227">
        <v>96612</v>
      </c>
    </row>
    <row r="1085" spans="2:3">
      <c r="B1085" s="131" t="s">
        <v>309</v>
      </c>
      <c r="C1085" s="227">
        <v>90751</v>
      </c>
    </row>
    <row r="1086" spans="2:3">
      <c r="B1086" s="131" t="s">
        <v>65</v>
      </c>
      <c r="C1086" s="227">
        <v>92101</v>
      </c>
    </row>
    <row r="1087" spans="2:3">
      <c r="B1087" s="131" t="s">
        <v>1672</v>
      </c>
      <c r="C1087" s="227">
        <v>92104</v>
      </c>
    </row>
    <row r="1088" spans="2:3">
      <c r="B1088" s="131" t="s">
        <v>354</v>
      </c>
      <c r="C1088" s="227">
        <v>91821</v>
      </c>
    </row>
    <row r="1089" spans="2:3">
      <c r="B1089" s="131" t="s">
        <v>315</v>
      </c>
      <c r="C1089" s="227">
        <v>90931</v>
      </c>
    </row>
    <row r="1090" spans="2:3">
      <c r="B1090" s="131" t="s">
        <v>66</v>
      </c>
      <c r="C1090" s="227">
        <v>92201</v>
      </c>
    </row>
    <row r="1091" spans="2:3">
      <c r="B1091" s="131" t="s">
        <v>458</v>
      </c>
      <c r="C1091" s="227">
        <v>95131</v>
      </c>
    </row>
    <row r="1092" spans="2:3">
      <c r="B1092" s="131" t="s">
        <v>682</v>
      </c>
      <c r="C1092" s="227">
        <v>93441</v>
      </c>
    </row>
    <row r="1093" spans="2:3">
      <c r="B1093" s="131" t="s">
        <v>94</v>
      </c>
      <c r="C1093" s="227">
        <v>93442</v>
      </c>
    </row>
    <row r="1094" spans="2:3">
      <c r="B1094" s="131" t="s">
        <v>558</v>
      </c>
      <c r="C1094" s="227">
        <v>98091</v>
      </c>
    </row>
    <row r="1095" spans="2:3">
      <c r="B1095" s="131" t="s">
        <v>67</v>
      </c>
      <c r="C1095" s="227">
        <v>92301</v>
      </c>
    </row>
    <row r="1096" spans="2:3">
      <c r="B1096" s="131" t="s">
        <v>1673</v>
      </c>
      <c r="C1096" s="227">
        <v>92302</v>
      </c>
    </row>
    <row r="1097" spans="2:3">
      <c r="B1097" s="131" t="s">
        <v>667</v>
      </c>
      <c r="C1097" s="227">
        <v>98211</v>
      </c>
    </row>
    <row r="1098" spans="2:3">
      <c r="B1098" s="131" t="s">
        <v>1793</v>
      </c>
      <c r="C1098" s="227">
        <v>98218</v>
      </c>
    </row>
    <row r="1099" spans="2:3">
      <c r="B1099" s="131" t="s">
        <v>1674</v>
      </c>
      <c r="C1099" s="227">
        <v>92506</v>
      </c>
    </row>
    <row r="1100" spans="2:3">
      <c r="B1100" s="131" t="s">
        <v>1675</v>
      </c>
      <c r="C1100" s="227">
        <v>92508</v>
      </c>
    </row>
    <row r="1101" spans="2:3">
      <c r="B1101" s="131" t="s">
        <v>439</v>
      </c>
      <c r="C1101" s="227">
        <v>94341</v>
      </c>
    </row>
    <row r="1102" spans="2:3">
      <c r="B1102" s="131" t="s">
        <v>450</v>
      </c>
      <c r="C1102" s="227">
        <v>94641</v>
      </c>
    </row>
    <row r="1103" spans="2:3">
      <c r="B1103" s="131" t="s">
        <v>312</v>
      </c>
      <c r="C1103" s="227">
        <v>90813</v>
      </c>
    </row>
    <row r="1104" spans="2:3">
      <c r="B1104" s="131" t="s">
        <v>107</v>
      </c>
      <c r="C1104" s="227">
        <v>94168</v>
      </c>
    </row>
    <row r="1105" spans="2:3">
      <c r="B1105" s="131" t="s">
        <v>581</v>
      </c>
      <c r="C1105" s="227">
        <v>98911</v>
      </c>
    </row>
    <row r="1106" spans="2:3">
      <c r="B1106" s="131" t="s">
        <v>537</v>
      </c>
      <c r="C1106" s="227">
        <v>97521</v>
      </c>
    </row>
    <row r="1107" spans="2:3">
      <c r="B1107" s="131" t="s">
        <v>68</v>
      </c>
      <c r="C1107" s="227">
        <v>92401</v>
      </c>
    </row>
    <row r="1108" spans="2:3">
      <c r="B1108" s="131" t="s">
        <v>627</v>
      </c>
      <c r="C1108" s="227">
        <v>91311</v>
      </c>
    </row>
    <row r="1109" spans="2:3">
      <c r="B1109" s="131" t="s">
        <v>1794</v>
      </c>
      <c r="C1109" s="227">
        <v>91317</v>
      </c>
    </row>
    <row r="1110" spans="2:3">
      <c r="B1110" s="131" t="s">
        <v>336</v>
      </c>
      <c r="C1110" s="227">
        <v>91261</v>
      </c>
    </row>
    <row r="1111" spans="2:3">
      <c r="B1111" s="131" t="s">
        <v>356</v>
      </c>
      <c r="C1111" s="227">
        <v>91851</v>
      </c>
    </row>
    <row r="1112" spans="2:3">
      <c r="B1112" s="131" t="s">
        <v>1676</v>
      </c>
      <c r="C1112" s="227">
        <v>97408</v>
      </c>
    </row>
    <row r="1113" spans="2:3">
      <c r="B1113" s="131" t="s">
        <v>513</v>
      </c>
      <c r="C1113" s="227">
        <v>96641</v>
      </c>
    </row>
    <row r="1114" spans="2:3">
      <c r="B1114" s="131" t="s">
        <v>393</v>
      </c>
      <c r="C1114" s="227">
        <v>93031</v>
      </c>
    </row>
    <row r="1115" spans="2:3">
      <c r="B1115" s="131" t="s">
        <v>1795</v>
      </c>
      <c r="C1115" s="227">
        <v>93027</v>
      </c>
    </row>
    <row r="1116" spans="2:3">
      <c r="B1116" s="131" t="s">
        <v>482</v>
      </c>
      <c r="C1116" s="227">
        <v>96051</v>
      </c>
    </row>
    <row r="1117" spans="2:3">
      <c r="B1117" s="131" t="s">
        <v>1677</v>
      </c>
      <c r="C1117" s="227">
        <v>94501</v>
      </c>
    </row>
    <row r="1118" spans="2:3">
      <c r="B1118" s="131" t="s">
        <v>376</v>
      </c>
      <c r="C1118" s="227">
        <v>92571</v>
      </c>
    </row>
    <row r="1119" spans="2:3">
      <c r="B1119" s="131" t="s">
        <v>417</v>
      </c>
      <c r="C1119" s="227">
        <v>93631</v>
      </c>
    </row>
    <row r="1120" spans="2:3">
      <c r="B1120" s="131" t="s">
        <v>1796</v>
      </c>
      <c r="C1120" s="227">
        <v>92504</v>
      </c>
    </row>
    <row r="1121" spans="2:3">
      <c r="B1121" s="131" t="s">
        <v>71</v>
      </c>
      <c r="C1121" s="227">
        <v>92501</v>
      </c>
    </row>
    <row r="1122" spans="2:3">
      <c r="B1122" s="131" t="s">
        <v>72</v>
      </c>
      <c r="C1122" s="227">
        <v>92505</v>
      </c>
    </row>
    <row r="1123" spans="2:3">
      <c r="B1123" s="131" t="s">
        <v>643</v>
      </c>
      <c r="C1123" s="227">
        <v>93921</v>
      </c>
    </row>
    <row r="1124" spans="2:3">
      <c r="B1124" s="131" t="s">
        <v>603</v>
      </c>
      <c r="C1124" s="227">
        <v>99431</v>
      </c>
    </row>
    <row r="1125" spans="2:3">
      <c r="B1125" s="131" t="s">
        <v>1797</v>
      </c>
      <c r="C1125" s="227">
        <v>92604</v>
      </c>
    </row>
    <row r="1126" spans="2:3">
      <c r="B1126" s="131" t="s">
        <v>74</v>
      </c>
      <c r="C1126" s="227">
        <v>92601</v>
      </c>
    </row>
    <row r="1127" spans="2:3">
      <c r="B1127" s="131" t="s">
        <v>75</v>
      </c>
      <c r="C1127" s="227">
        <v>92608</v>
      </c>
    </row>
    <row r="1128" spans="2:3">
      <c r="B1128" s="131" t="s">
        <v>1798</v>
      </c>
      <c r="C1128" s="227">
        <v>92704</v>
      </c>
    </row>
    <row r="1129" spans="2:3">
      <c r="B1129" s="131" t="s">
        <v>76</v>
      </c>
      <c r="C1129" s="227">
        <v>92701</v>
      </c>
    </row>
    <row r="1130" spans="2:3">
      <c r="B1130" s="131" t="s">
        <v>418</v>
      </c>
      <c r="C1130" s="227">
        <v>93651</v>
      </c>
    </row>
    <row r="1131" spans="2:3">
      <c r="B1131" s="131" t="s">
        <v>77</v>
      </c>
      <c r="C1131" s="227">
        <v>92801</v>
      </c>
    </row>
    <row r="1132" spans="2:3">
      <c r="B1132" s="131" t="s">
        <v>1799</v>
      </c>
      <c r="C1132" s="227">
        <v>92804</v>
      </c>
    </row>
    <row r="1133" spans="2:3">
      <c r="B1133" s="131" t="s">
        <v>78</v>
      </c>
      <c r="C1133" s="227">
        <v>92802</v>
      </c>
    </row>
    <row r="1134" spans="2:3">
      <c r="B1134" s="131" t="s">
        <v>485</v>
      </c>
      <c r="C1134" s="227">
        <v>96081</v>
      </c>
    </row>
    <row r="1135" spans="2:3">
      <c r="B1135" s="131" t="s">
        <v>79</v>
      </c>
      <c r="C1135" s="227">
        <v>92901</v>
      </c>
    </row>
    <row r="1136" spans="2:3">
      <c r="B1136" s="131" t="s">
        <v>82</v>
      </c>
      <c r="C1136" s="227">
        <v>93001</v>
      </c>
    </row>
    <row r="1137" spans="2:3">
      <c r="B1137" s="131" t="s">
        <v>1678</v>
      </c>
      <c r="C1137" s="227">
        <v>93009</v>
      </c>
    </row>
    <row r="1138" spans="2:3">
      <c r="B1138" s="131" t="s">
        <v>390</v>
      </c>
      <c r="C1138" s="227">
        <v>92921</v>
      </c>
    </row>
    <row r="1139" spans="2:3">
      <c r="B1139" s="131" t="s">
        <v>578</v>
      </c>
      <c r="C1139" s="227">
        <v>98621</v>
      </c>
    </row>
    <row r="1140" spans="2:3">
      <c r="B1140" s="131" t="s">
        <v>1800</v>
      </c>
      <c r="C1140" s="227">
        <v>98627</v>
      </c>
    </row>
    <row r="1141" spans="2:3">
      <c r="B1141" s="131" t="s">
        <v>334</v>
      </c>
      <c r="C1141" s="227">
        <v>91221</v>
      </c>
    </row>
    <row r="1142" spans="2:3">
      <c r="B1142" s="131" t="s">
        <v>389</v>
      </c>
      <c r="C1142" s="227">
        <v>92861</v>
      </c>
    </row>
    <row r="1143" spans="2:3">
      <c r="B1143" s="131" t="s">
        <v>436</v>
      </c>
      <c r="C1143" s="227">
        <v>94311</v>
      </c>
    </row>
    <row r="1144" spans="2:3">
      <c r="B1144" s="131" t="s">
        <v>1801</v>
      </c>
      <c r="C1144" s="227">
        <v>94317</v>
      </c>
    </row>
    <row r="1145" spans="2:3">
      <c r="B1145" s="131" t="s">
        <v>113</v>
      </c>
      <c r="C1145" s="227">
        <v>94313</v>
      </c>
    </row>
    <row r="1146" spans="2:3">
      <c r="B1146" s="131" t="s">
        <v>83</v>
      </c>
      <c r="C1146" s="227">
        <v>93101</v>
      </c>
    </row>
    <row r="1147" spans="2:3">
      <c r="B1147" s="131" t="s">
        <v>681</v>
      </c>
      <c r="C1147" s="227">
        <v>93103</v>
      </c>
    </row>
    <row r="1148" spans="2:3">
      <c r="B1148" s="131" t="s">
        <v>636</v>
      </c>
      <c r="C1148" s="227">
        <v>93211</v>
      </c>
    </row>
    <row r="1149" spans="2:3">
      <c r="B1149" s="131" t="s">
        <v>1679</v>
      </c>
      <c r="C1149" s="227">
        <v>93212</v>
      </c>
    </row>
    <row r="1150" spans="2:3">
      <c r="B1150" s="131" t="s">
        <v>84</v>
      </c>
      <c r="C1150" s="227">
        <v>93201</v>
      </c>
    </row>
    <row r="1151" spans="2:3">
      <c r="B1151" s="131" t="s">
        <v>1802</v>
      </c>
      <c r="C1151" s="227">
        <v>93204</v>
      </c>
    </row>
    <row r="1152" spans="2:3">
      <c r="B1152" s="131" t="s">
        <v>1680</v>
      </c>
      <c r="C1152" s="227">
        <v>99212</v>
      </c>
    </row>
    <row r="1153" spans="2:3">
      <c r="B1153" s="131" t="s">
        <v>166</v>
      </c>
      <c r="C1153" s="227">
        <v>97005</v>
      </c>
    </row>
    <row r="1154" spans="2:3">
      <c r="B1154" s="131" t="s">
        <v>618</v>
      </c>
      <c r="C1154" s="227">
        <v>99931</v>
      </c>
    </row>
    <row r="1155" spans="2:3">
      <c r="B1155" s="131" t="s">
        <v>551</v>
      </c>
      <c r="C1155" s="227">
        <v>98021</v>
      </c>
    </row>
    <row r="1156" spans="2:3">
      <c r="B1156" s="131" t="s">
        <v>195</v>
      </c>
      <c r="C1156" s="227">
        <v>98023</v>
      </c>
    </row>
    <row r="1157" spans="2:3">
      <c r="B1157" s="131" t="s">
        <v>24</v>
      </c>
      <c r="C1157" s="227">
        <v>70505</v>
      </c>
    </row>
    <row r="1158" spans="2:3">
      <c r="B1158" s="131" t="s">
        <v>1681</v>
      </c>
      <c r="C1158" s="227">
        <v>99603</v>
      </c>
    </row>
    <row r="1159" spans="2:3">
      <c r="B1159" s="131" t="s">
        <v>1682</v>
      </c>
      <c r="C1159" s="227">
        <v>99610</v>
      </c>
    </row>
    <row r="1160" spans="2:3">
      <c r="B1160" s="131" t="s">
        <v>383</v>
      </c>
      <c r="C1160" s="227">
        <v>92681</v>
      </c>
    </row>
    <row r="1161" spans="2:3">
      <c r="B1161" s="131" t="s">
        <v>1625</v>
      </c>
      <c r="C1161" s="227">
        <v>93108</v>
      </c>
    </row>
    <row r="1162" spans="2:3">
      <c r="B1162" s="131" t="s">
        <v>665</v>
      </c>
      <c r="C1162" s="227">
        <v>97951</v>
      </c>
    </row>
    <row r="1163" spans="2:3">
      <c r="B1163" s="131" t="s">
        <v>1803</v>
      </c>
      <c r="C1163" s="227">
        <v>97957</v>
      </c>
    </row>
    <row r="1164" spans="2:3">
      <c r="B1164" s="131" t="s">
        <v>364</v>
      </c>
      <c r="C1164" s="227">
        <v>92111</v>
      </c>
    </row>
    <row r="1165" spans="2:3">
      <c r="B1165" s="131" t="s">
        <v>87</v>
      </c>
      <c r="C1165" s="227">
        <v>93301</v>
      </c>
    </row>
    <row r="1166" spans="2:3">
      <c r="B1166" s="131" t="s">
        <v>1804</v>
      </c>
      <c r="C1166" s="227">
        <v>93304</v>
      </c>
    </row>
    <row r="1167" spans="2:3">
      <c r="B1167" s="131" t="s">
        <v>1683</v>
      </c>
      <c r="C1167" s="227">
        <v>93305</v>
      </c>
    </row>
    <row r="1168" spans="2:3">
      <c r="B1168" s="131" t="s">
        <v>1684</v>
      </c>
      <c r="C1168" s="227">
        <v>99210</v>
      </c>
    </row>
    <row r="1169" spans="2:3">
      <c r="B1169" s="131" t="s">
        <v>169</v>
      </c>
      <c r="C1169" s="227">
        <v>97011</v>
      </c>
    </row>
    <row r="1170" spans="2:3">
      <c r="B1170" s="131" t="s">
        <v>1685</v>
      </c>
      <c r="C1170" s="227">
        <v>97013</v>
      </c>
    </row>
    <row r="1171" spans="2:3">
      <c r="B1171" s="131" t="s">
        <v>1686</v>
      </c>
      <c r="C1171" s="227">
        <v>97012</v>
      </c>
    </row>
    <row r="1172" spans="2:3">
      <c r="B1172" s="131" t="s">
        <v>1687</v>
      </c>
      <c r="C1172" s="227">
        <v>97018</v>
      </c>
    </row>
    <row r="1173" spans="2:3">
      <c r="B1173" s="131" t="s">
        <v>313</v>
      </c>
      <c r="C1173" s="227">
        <v>90911</v>
      </c>
    </row>
    <row r="1174" spans="2:3">
      <c r="B1174" s="131" t="s">
        <v>1805</v>
      </c>
      <c r="C1174" s="227">
        <v>90917</v>
      </c>
    </row>
    <row r="1175" spans="2:3">
      <c r="B1175" s="131" t="s">
        <v>304</v>
      </c>
      <c r="C1175" s="227">
        <v>90641</v>
      </c>
    </row>
    <row r="1176" spans="2:3">
      <c r="B1176" s="131" t="s">
        <v>579</v>
      </c>
      <c r="C1176" s="227">
        <v>98641</v>
      </c>
    </row>
    <row r="1177" spans="2:3">
      <c r="B1177" s="131" t="s">
        <v>562</v>
      </c>
      <c r="C1177" s="227">
        <v>98161</v>
      </c>
    </row>
    <row r="1178" spans="2:3">
      <c r="B1178" s="131" t="s">
        <v>541</v>
      </c>
      <c r="C1178" s="227">
        <v>97731</v>
      </c>
    </row>
    <row r="1179" spans="2:3">
      <c r="B1179" s="131" t="s">
        <v>615</v>
      </c>
      <c r="C1179" s="227">
        <v>99851</v>
      </c>
    </row>
    <row r="1180" spans="2:3">
      <c r="B1180" s="131" t="s">
        <v>1750</v>
      </c>
      <c r="C1180" s="227">
        <v>90131</v>
      </c>
    </row>
    <row r="1181" spans="2:3">
      <c r="B1181" s="131" t="s">
        <v>348</v>
      </c>
      <c r="C1181" s="227">
        <v>91651</v>
      </c>
    </row>
    <row r="1182" spans="2:3">
      <c r="B1182" s="131" t="s">
        <v>431</v>
      </c>
      <c r="C1182" s="227">
        <v>94211</v>
      </c>
    </row>
    <row r="1183" spans="2:3">
      <c r="B1183" s="131" t="s">
        <v>438</v>
      </c>
      <c r="C1183" s="227">
        <v>94331</v>
      </c>
    </row>
    <row r="1184" spans="2:3">
      <c r="B1184" s="131" t="s">
        <v>369</v>
      </c>
      <c r="C1184" s="227">
        <v>92431</v>
      </c>
    </row>
    <row r="1185" spans="2:3">
      <c r="B1185" s="131" t="s">
        <v>542</v>
      </c>
      <c r="C1185" s="227">
        <v>97821</v>
      </c>
    </row>
    <row r="1186" spans="2:3">
      <c r="B1186" s="131" t="s">
        <v>190</v>
      </c>
      <c r="C1186" s="227">
        <v>97823</v>
      </c>
    </row>
    <row r="1187" spans="2:3">
      <c r="B1187" s="131" t="s">
        <v>397</v>
      </c>
      <c r="C1187" s="227">
        <v>93141</v>
      </c>
    </row>
    <row r="1188" spans="2:3">
      <c r="B1188" s="131" t="s">
        <v>557</v>
      </c>
      <c r="C1188" s="227">
        <v>98081</v>
      </c>
    </row>
    <row r="1189" spans="2:3">
      <c r="B1189" s="131" t="s">
        <v>382</v>
      </c>
      <c r="C1189" s="227">
        <v>92671</v>
      </c>
    </row>
    <row r="1190" spans="2:3">
      <c r="B1190" s="131" t="s">
        <v>657</v>
      </c>
      <c r="C1190" s="227">
        <v>97421</v>
      </c>
    </row>
    <row r="1191" spans="2:3">
      <c r="B1191" s="131" t="s">
        <v>179</v>
      </c>
      <c r="C1191" s="227">
        <v>97423</v>
      </c>
    </row>
    <row r="1192" spans="2:3">
      <c r="B1192" s="131" t="s">
        <v>633</v>
      </c>
      <c r="C1192" s="227">
        <v>92611</v>
      </c>
    </row>
    <row r="1193" spans="2:3">
      <c r="B1193" s="131" t="s">
        <v>1688</v>
      </c>
      <c r="C1193" s="227">
        <v>92613</v>
      </c>
    </row>
    <row r="1194" spans="2:3">
      <c r="B1194" s="131" t="s">
        <v>1689</v>
      </c>
      <c r="C1194" s="227">
        <v>92502</v>
      </c>
    </row>
    <row r="1195" spans="2:3">
      <c r="B1195" s="131" t="s">
        <v>280</v>
      </c>
      <c r="C1195" s="227">
        <v>94531</v>
      </c>
    </row>
    <row r="1196" spans="2:3">
      <c r="B1196" s="131" t="s">
        <v>445</v>
      </c>
      <c r="C1196" s="227">
        <v>94541</v>
      </c>
    </row>
    <row r="1197" spans="2:3">
      <c r="B1197" s="131" t="s">
        <v>1806</v>
      </c>
      <c r="C1197" s="227">
        <v>94547</v>
      </c>
    </row>
    <row r="1198" spans="2:3">
      <c r="B1198" s="131" t="s">
        <v>126</v>
      </c>
      <c r="C1198" s="227">
        <v>95005</v>
      </c>
    </row>
    <row r="1199" spans="2:3">
      <c r="B1199" s="131" t="s">
        <v>198</v>
      </c>
      <c r="C1199" s="227">
        <v>98111</v>
      </c>
    </row>
    <row r="1200" spans="2:3">
      <c r="B1200" s="131" t="s">
        <v>1807</v>
      </c>
      <c r="C1200" s="227">
        <v>98107</v>
      </c>
    </row>
    <row r="1201" spans="2:3">
      <c r="B1201" s="131" t="s">
        <v>199</v>
      </c>
      <c r="C1201" s="227">
        <v>98113</v>
      </c>
    </row>
    <row r="1202" spans="2:3">
      <c r="B1202" s="131" t="s">
        <v>1690</v>
      </c>
      <c r="C1202" s="227">
        <v>99602</v>
      </c>
    </row>
    <row r="1203" spans="2:3">
      <c r="B1203" s="131" t="s">
        <v>90</v>
      </c>
      <c r="C1203" s="227">
        <v>93401</v>
      </c>
    </row>
    <row r="1204" spans="2:3">
      <c r="B1204" s="131" t="s">
        <v>1691</v>
      </c>
      <c r="C1204" s="227">
        <v>97491</v>
      </c>
    </row>
    <row r="1205" spans="2:3">
      <c r="B1205" s="131" t="s">
        <v>460</v>
      </c>
      <c r="C1205" s="227">
        <v>95151</v>
      </c>
    </row>
    <row r="1206" spans="2:3">
      <c r="B1206" s="131" t="s">
        <v>150</v>
      </c>
      <c r="C1206" s="227">
        <v>96381</v>
      </c>
    </row>
    <row r="1207" spans="2:3">
      <c r="B1207" s="131" t="s">
        <v>469</v>
      </c>
      <c r="C1207" s="227">
        <v>95611</v>
      </c>
    </row>
    <row r="1208" spans="2:3">
      <c r="B1208" s="131" t="s">
        <v>95</v>
      </c>
      <c r="C1208" s="227">
        <v>93501</v>
      </c>
    </row>
    <row r="1209" spans="2:3">
      <c r="B1209" s="131" t="s">
        <v>411</v>
      </c>
      <c r="C1209" s="227">
        <v>93511</v>
      </c>
    </row>
    <row r="1210" spans="2:3">
      <c r="B1210" s="131" t="s">
        <v>1808</v>
      </c>
      <c r="C1210" s="227">
        <v>93517</v>
      </c>
    </row>
    <row r="1211" spans="2:3">
      <c r="B1211" s="131" t="s">
        <v>608</v>
      </c>
      <c r="C1211" s="227">
        <v>99631</v>
      </c>
    </row>
    <row r="1212" spans="2:3">
      <c r="B1212" s="131" t="s">
        <v>595</v>
      </c>
      <c r="C1212" s="227">
        <v>99261</v>
      </c>
    </row>
    <row r="1213" spans="2:3">
      <c r="B1213" s="131" t="s">
        <v>565</v>
      </c>
      <c r="C1213" s="227">
        <v>98241</v>
      </c>
    </row>
    <row r="1214" spans="2:3">
      <c r="B1214" s="131" t="s">
        <v>594</v>
      </c>
      <c r="C1214" s="227">
        <v>99251</v>
      </c>
    </row>
    <row r="1215" spans="2:3">
      <c r="B1215" s="131" t="s">
        <v>1692</v>
      </c>
      <c r="C1215" s="227">
        <v>99252</v>
      </c>
    </row>
    <row r="1216" spans="2:3">
      <c r="B1216" s="131" t="s">
        <v>512</v>
      </c>
      <c r="C1216" s="227">
        <v>96631</v>
      </c>
    </row>
    <row r="1217" spans="2:3">
      <c r="B1217" s="131" t="s">
        <v>514</v>
      </c>
      <c r="C1217" s="227">
        <v>96651</v>
      </c>
    </row>
    <row r="1218" spans="2:3">
      <c r="B1218" s="131" t="s">
        <v>96</v>
      </c>
      <c r="C1218" s="227">
        <v>93601</v>
      </c>
    </row>
    <row r="1219" spans="2:3">
      <c r="B1219" s="131" t="s">
        <v>1693</v>
      </c>
      <c r="C1219" s="227">
        <v>93618</v>
      </c>
    </row>
    <row r="1220" spans="2:3">
      <c r="B1220" s="131" t="s">
        <v>638</v>
      </c>
      <c r="C1220" s="227">
        <v>93611</v>
      </c>
    </row>
    <row r="1221" spans="2:3">
      <c r="B1221" s="131" t="s">
        <v>1809</v>
      </c>
      <c r="C1221" s="227">
        <v>93617</v>
      </c>
    </row>
    <row r="1222" spans="2:3">
      <c r="B1222" s="131" t="s">
        <v>99</v>
      </c>
      <c r="C1222" s="227">
        <v>93701</v>
      </c>
    </row>
    <row r="1223" spans="2:3">
      <c r="B1223" s="131" t="s">
        <v>1810</v>
      </c>
      <c r="C1223" s="227">
        <v>93704</v>
      </c>
    </row>
    <row r="1224" spans="2:3">
      <c r="B1224" s="131" t="s">
        <v>570</v>
      </c>
      <c r="C1224" s="227">
        <v>98331</v>
      </c>
    </row>
    <row r="1225" spans="2:3">
      <c r="B1225" s="131" t="s">
        <v>428</v>
      </c>
      <c r="C1225" s="227">
        <v>94151</v>
      </c>
    </row>
    <row r="1226" spans="2:3">
      <c r="B1226" s="131" t="s">
        <v>1811</v>
      </c>
      <c r="C1226" s="227">
        <v>94157</v>
      </c>
    </row>
    <row r="1227" spans="2:3">
      <c r="B1227" s="131" t="s">
        <v>335</v>
      </c>
      <c r="C1227" s="227">
        <v>91241</v>
      </c>
    </row>
    <row r="1228" spans="2:3">
      <c r="B1228" s="131" t="s">
        <v>135</v>
      </c>
      <c r="C1228" s="227">
        <v>95412</v>
      </c>
    </row>
    <row r="1229" spans="2:3">
      <c r="B1229" s="131" t="s">
        <v>675</v>
      </c>
      <c r="C1229" s="227">
        <v>99611</v>
      </c>
    </row>
    <row r="1230" spans="2:3">
      <c r="B1230" s="131" t="s">
        <v>62</v>
      </c>
      <c r="C1230" s="227">
        <v>91908</v>
      </c>
    </row>
    <row r="1231" spans="2:3">
      <c r="B1231" s="131" t="s">
        <v>621</v>
      </c>
      <c r="C1231" s="227">
        <v>90121</v>
      </c>
    </row>
    <row r="1232" spans="2:3">
      <c r="B1232" s="131" t="s">
        <v>1694</v>
      </c>
      <c r="C1232" s="227">
        <v>93803</v>
      </c>
    </row>
    <row r="1233" spans="2:3">
      <c r="B1233" s="131" t="s">
        <v>100</v>
      </c>
      <c r="C1233" s="227">
        <v>93801</v>
      </c>
    </row>
    <row r="1234" spans="2:3">
      <c r="B1234" s="131" t="s">
        <v>1695</v>
      </c>
      <c r="C1234" s="227">
        <v>93806</v>
      </c>
    </row>
    <row r="1235" spans="2:3">
      <c r="B1235" s="131" t="s">
        <v>340</v>
      </c>
      <c r="C1235" s="227">
        <v>91411</v>
      </c>
    </row>
    <row r="1236" spans="2:3">
      <c r="B1236" s="131" t="s">
        <v>1812</v>
      </c>
      <c r="C1236" s="227">
        <v>91417</v>
      </c>
    </row>
    <row r="1237" spans="2:3">
      <c r="B1237" s="131" t="s">
        <v>555</v>
      </c>
      <c r="C1237" s="227">
        <v>98061</v>
      </c>
    </row>
    <row r="1238" spans="2:3">
      <c r="B1238" s="131" t="s">
        <v>1813</v>
      </c>
      <c r="C1238" s="227">
        <v>93904</v>
      </c>
    </row>
    <row r="1239" spans="2:3">
      <c r="B1239" s="131" t="s">
        <v>101</v>
      </c>
      <c r="C1239" s="227">
        <v>93901</v>
      </c>
    </row>
    <row r="1240" spans="2:3">
      <c r="B1240" s="131" t="s">
        <v>102</v>
      </c>
      <c r="C1240" s="227">
        <v>93906</v>
      </c>
    </row>
    <row r="1241" spans="2:3">
      <c r="B1241" s="131" t="s">
        <v>1696</v>
      </c>
      <c r="C1241" s="227">
        <v>93908</v>
      </c>
    </row>
    <row r="1242" spans="2:3">
      <c r="B1242" s="131" t="s">
        <v>1697</v>
      </c>
      <c r="C1242" s="227">
        <v>94908</v>
      </c>
    </row>
    <row r="1243" spans="2:3">
      <c r="B1243" s="131" t="s">
        <v>291</v>
      </c>
      <c r="C1243" s="227">
        <v>90161</v>
      </c>
    </row>
    <row r="1244" spans="2:3">
      <c r="B1244" s="131" t="s">
        <v>104</v>
      </c>
      <c r="C1244" s="227">
        <v>94001</v>
      </c>
    </row>
    <row r="1245" spans="2:3">
      <c r="B1245" s="131" t="s">
        <v>1814</v>
      </c>
      <c r="C1245" s="227">
        <v>94004</v>
      </c>
    </row>
    <row r="1246" spans="2:3">
      <c r="B1246" s="131" t="s">
        <v>644</v>
      </c>
      <c r="C1246" s="227">
        <v>94111</v>
      </c>
    </row>
    <row r="1247" spans="2:3">
      <c r="B1247" s="131" t="s">
        <v>1815</v>
      </c>
      <c r="C1247" s="227">
        <v>94117</v>
      </c>
    </row>
    <row r="1248" spans="2:3">
      <c r="B1248" s="131" t="s">
        <v>656</v>
      </c>
      <c r="C1248" s="227">
        <v>97411</v>
      </c>
    </row>
    <row r="1249" spans="2:3">
      <c r="B1249" s="131" t="s">
        <v>178</v>
      </c>
      <c r="C1249" s="227">
        <v>97413</v>
      </c>
    </row>
    <row r="1250" spans="2:3">
      <c r="B1250" s="131" t="s">
        <v>177</v>
      </c>
      <c r="C1250" s="227">
        <v>97412</v>
      </c>
    </row>
    <row r="1251" spans="2:3">
      <c r="B1251" s="131" t="s">
        <v>531</v>
      </c>
      <c r="C1251" s="227">
        <v>97431</v>
      </c>
    </row>
    <row r="1252" spans="2:3">
      <c r="B1252" s="131" t="s">
        <v>535</v>
      </c>
      <c r="C1252" s="227">
        <v>97471</v>
      </c>
    </row>
    <row r="1253" spans="2:3">
      <c r="B1253" s="131" t="s">
        <v>367</v>
      </c>
      <c r="C1253" s="227">
        <v>92351</v>
      </c>
    </row>
    <row r="1254" spans="2:3">
      <c r="B1254" s="131" t="s">
        <v>685</v>
      </c>
      <c r="C1254" s="227">
        <v>94101</v>
      </c>
    </row>
    <row r="1255" spans="2:3">
      <c r="B1255" s="131" t="s">
        <v>1698</v>
      </c>
      <c r="C1255" s="227">
        <v>94118</v>
      </c>
    </row>
    <row r="1256" spans="2:3">
      <c r="B1256" s="131" t="s">
        <v>106</v>
      </c>
      <c r="C1256" s="227">
        <v>94102</v>
      </c>
    </row>
    <row r="1257" spans="2:3">
      <c r="B1257" s="131" t="s">
        <v>109</v>
      </c>
      <c r="C1257" s="227">
        <v>94201</v>
      </c>
    </row>
    <row r="1258" spans="2:3">
      <c r="B1258" s="131" t="s">
        <v>1816</v>
      </c>
      <c r="C1258" s="227">
        <v>94204</v>
      </c>
    </row>
    <row r="1259" spans="2:3">
      <c r="B1259" s="131" t="s">
        <v>110</v>
      </c>
      <c r="C1259" s="227">
        <v>94205</v>
      </c>
    </row>
    <row r="1260" spans="2:3">
      <c r="B1260" s="131" t="s">
        <v>474</v>
      </c>
      <c r="C1260" s="227">
        <v>95831</v>
      </c>
    </row>
    <row r="1261" spans="2:3">
      <c r="B1261" s="131" t="s">
        <v>663</v>
      </c>
      <c r="C1261" s="227">
        <v>97721</v>
      </c>
    </row>
    <row r="1262" spans="2:3">
      <c r="B1262" s="131" t="s">
        <v>1817</v>
      </c>
      <c r="C1262" s="227">
        <v>97717</v>
      </c>
    </row>
    <row r="1263" spans="2:3">
      <c r="B1263" s="131" t="s">
        <v>112</v>
      </c>
      <c r="C1263" s="227">
        <v>94301</v>
      </c>
    </row>
    <row r="1264" spans="2:3">
      <c r="B1264" s="131" t="s">
        <v>343</v>
      </c>
      <c r="C1264" s="227">
        <v>91441</v>
      </c>
    </row>
    <row r="1265" spans="2:3">
      <c r="B1265" s="131" t="s">
        <v>632</v>
      </c>
      <c r="C1265" s="227">
        <v>92531</v>
      </c>
    </row>
    <row r="1266" spans="2:3">
      <c r="B1266" s="131" t="s">
        <v>290</v>
      </c>
      <c r="C1266" s="227">
        <v>90141</v>
      </c>
    </row>
    <row r="1267" spans="2:3">
      <c r="B1267" s="131" t="s">
        <v>114</v>
      </c>
      <c r="C1267" s="227">
        <v>94401</v>
      </c>
    </row>
    <row r="1268" spans="2:3">
      <c r="B1268" s="131" t="s">
        <v>1699</v>
      </c>
      <c r="C1268" s="227">
        <v>94403</v>
      </c>
    </row>
    <row r="1269" spans="2:3">
      <c r="B1269" s="131" t="s">
        <v>115</v>
      </c>
      <c r="C1269" s="227">
        <v>94402</v>
      </c>
    </row>
    <row r="1270" spans="2:3">
      <c r="B1270" s="131" t="s">
        <v>673</v>
      </c>
      <c r="C1270" s="227">
        <v>99111</v>
      </c>
    </row>
    <row r="1271" spans="2:3">
      <c r="B1271" s="131" t="s">
        <v>645</v>
      </c>
      <c r="C1271" s="227">
        <v>94511</v>
      </c>
    </row>
    <row r="1272" spans="2:3">
      <c r="B1272" s="131" t="s">
        <v>1818</v>
      </c>
      <c r="C1272" s="227">
        <v>94517</v>
      </c>
    </row>
    <row r="1273" spans="2:3">
      <c r="B1273" s="131" t="s">
        <v>117</v>
      </c>
      <c r="C1273" s="227">
        <v>94512</v>
      </c>
    </row>
    <row r="1274" spans="2:3">
      <c r="B1274" s="131" t="s">
        <v>529</v>
      </c>
      <c r="C1274" s="227">
        <v>97211</v>
      </c>
    </row>
    <row r="1275" spans="2:3">
      <c r="B1275" s="131" t="s">
        <v>1876</v>
      </c>
      <c r="C1275" s="227">
        <v>97217</v>
      </c>
    </row>
    <row r="1276" spans="2:3">
      <c r="B1276" s="131" t="s">
        <v>119</v>
      </c>
      <c r="C1276" s="227">
        <v>94601</v>
      </c>
    </row>
    <row r="1277" spans="2:3">
      <c r="B1277" s="131" t="s">
        <v>1819</v>
      </c>
      <c r="C1277" s="227">
        <v>94604</v>
      </c>
    </row>
    <row r="1278" spans="2:3">
      <c r="B1278" s="131" t="s">
        <v>120</v>
      </c>
      <c r="C1278" s="227">
        <v>94606</v>
      </c>
    </row>
    <row r="1279" spans="2:3">
      <c r="B1279" s="131" t="s">
        <v>1700</v>
      </c>
      <c r="C1279" s="227">
        <v>97213</v>
      </c>
    </row>
    <row r="1280" spans="2:3">
      <c r="B1280" s="131" t="s">
        <v>629</v>
      </c>
      <c r="C1280" s="227">
        <v>91811</v>
      </c>
    </row>
    <row r="1281" spans="2:3">
      <c r="B1281" s="131" t="s">
        <v>1701</v>
      </c>
      <c r="C1281" s="227">
        <v>91812</v>
      </c>
    </row>
    <row r="1282" spans="2:3">
      <c r="B1282" s="131" t="s">
        <v>1702</v>
      </c>
      <c r="C1282" s="227">
        <v>91813</v>
      </c>
    </row>
    <row r="1283" spans="2:3">
      <c r="B1283" s="131" t="s">
        <v>1820</v>
      </c>
      <c r="C1283" s="227">
        <v>90617</v>
      </c>
    </row>
    <row r="1284" spans="2:3">
      <c r="B1284" s="131" t="s">
        <v>1821</v>
      </c>
      <c r="C1284" s="227">
        <v>94127</v>
      </c>
    </row>
    <row r="1285" spans="2:3">
      <c r="B1285" s="131" t="s">
        <v>470</v>
      </c>
      <c r="C1285" s="227">
        <v>95621</v>
      </c>
    </row>
    <row r="1286" spans="2:3">
      <c r="B1286" s="131" t="s">
        <v>1822</v>
      </c>
      <c r="C1286" s="227">
        <v>95617</v>
      </c>
    </row>
    <row r="1287" spans="2:3">
      <c r="B1287" s="131" t="s">
        <v>1904</v>
      </c>
      <c r="C1287" s="227">
        <v>94121</v>
      </c>
    </row>
    <row r="1288" spans="2:3">
      <c r="B1288" s="131" t="s">
        <v>1751</v>
      </c>
      <c r="C1288" s="227">
        <v>91251</v>
      </c>
    </row>
    <row r="1289" spans="2:3">
      <c r="B1289" s="131" t="s">
        <v>524</v>
      </c>
      <c r="C1289" s="227">
        <v>96831</v>
      </c>
    </row>
    <row r="1290" spans="2:3">
      <c r="B1290" s="131" t="s">
        <v>434</v>
      </c>
      <c r="C1290" s="227">
        <v>94251</v>
      </c>
    </row>
    <row r="1291" spans="2:3">
      <c r="B1291" s="131" t="s">
        <v>121</v>
      </c>
      <c r="C1291" s="227">
        <v>94701</v>
      </c>
    </row>
    <row r="1292" spans="2:3">
      <c r="B1292" s="131" t="s">
        <v>1823</v>
      </c>
      <c r="C1292" s="227">
        <v>94704</v>
      </c>
    </row>
    <row r="1293" spans="2:3">
      <c r="B1293" s="131" t="s">
        <v>319</v>
      </c>
      <c r="C1293" s="227">
        <v>91014</v>
      </c>
    </row>
    <row r="1294" spans="2:3">
      <c r="B1294" s="131" t="s">
        <v>519</v>
      </c>
      <c r="C1294" s="227">
        <v>96731</v>
      </c>
    </row>
    <row r="1295" spans="2:3">
      <c r="B1295" s="131" t="s">
        <v>160</v>
      </c>
      <c r="C1295" s="227">
        <v>96733</v>
      </c>
    </row>
    <row r="1296" spans="2:3">
      <c r="B1296" s="131" t="s">
        <v>588</v>
      </c>
      <c r="C1296" s="227">
        <v>99202</v>
      </c>
    </row>
    <row r="1297" spans="2:3">
      <c r="B1297" s="131" t="s">
        <v>424</v>
      </c>
      <c r="C1297" s="227">
        <v>94011</v>
      </c>
    </row>
    <row r="1298" spans="2:3">
      <c r="B1298" s="131" t="s">
        <v>378</v>
      </c>
      <c r="C1298" s="227">
        <v>92631</v>
      </c>
    </row>
    <row r="1299" spans="2:3">
      <c r="B1299" s="131" t="s">
        <v>140</v>
      </c>
      <c r="C1299" s="227">
        <v>95733</v>
      </c>
    </row>
    <row r="1300" spans="2:3">
      <c r="B1300" s="131" t="s">
        <v>1703</v>
      </c>
      <c r="C1300" s="227">
        <v>95413</v>
      </c>
    </row>
    <row r="1301" spans="2:3">
      <c r="B1301" s="131" t="s">
        <v>1704</v>
      </c>
      <c r="C1301" s="227">
        <v>98013</v>
      </c>
    </row>
    <row r="1302" spans="2:3">
      <c r="B1302" s="131" t="s">
        <v>1705</v>
      </c>
      <c r="C1302" s="227">
        <v>99613</v>
      </c>
    </row>
    <row r="1303" spans="2:3">
      <c r="B1303" s="131" t="s">
        <v>342</v>
      </c>
      <c r="C1303" s="227">
        <v>91431</v>
      </c>
    </row>
    <row r="1304" spans="2:3">
      <c r="B1304" s="131" t="s">
        <v>481</v>
      </c>
      <c r="C1304" s="227">
        <v>96041</v>
      </c>
    </row>
    <row r="1305" spans="2:3">
      <c r="B1305" s="131" t="s">
        <v>122</v>
      </c>
      <c r="C1305" s="227">
        <v>94801</v>
      </c>
    </row>
    <row r="1306" spans="2:3">
      <c r="B1306" s="131" t="s">
        <v>1824</v>
      </c>
      <c r="C1306" s="227">
        <v>94804</v>
      </c>
    </row>
    <row r="1307" spans="2:3">
      <c r="B1307" s="131" t="s">
        <v>349</v>
      </c>
      <c r="C1307" s="227">
        <v>91661</v>
      </c>
    </row>
    <row r="1308" spans="2:3">
      <c r="B1308" s="131" t="s">
        <v>585</v>
      </c>
      <c r="C1308" s="227">
        <v>99051</v>
      </c>
    </row>
    <row r="1309" spans="2:3">
      <c r="B1309" s="131" t="s">
        <v>1626</v>
      </c>
      <c r="C1309" s="227">
        <v>99014</v>
      </c>
    </row>
    <row r="1310" spans="2:3">
      <c r="B1310" s="131" t="s">
        <v>123</v>
      </c>
      <c r="C1310" s="227">
        <v>94901</v>
      </c>
    </row>
    <row r="1311" spans="2:3">
      <c r="B1311" s="131" t="s">
        <v>1706</v>
      </c>
      <c r="C1311" s="227">
        <v>98109</v>
      </c>
    </row>
    <row r="1312" spans="2:3">
      <c r="B1312" s="131" t="s">
        <v>1707</v>
      </c>
      <c r="C1312" s="227">
        <v>98205</v>
      </c>
    </row>
    <row r="1313" spans="2:3">
      <c r="B1313" s="131" t="s">
        <v>515</v>
      </c>
      <c r="C1313" s="227">
        <v>96661</v>
      </c>
    </row>
    <row r="1314" spans="2:3">
      <c r="B1314" s="131" t="s">
        <v>125</v>
      </c>
      <c r="C1314" s="227">
        <v>95001</v>
      </c>
    </row>
    <row r="1315" spans="2:3">
      <c r="B1315" s="131" t="s">
        <v>1627</v>
      </c>
      <c r="C1315" s="227">
        <v>95017</v>
      </c>
    </row>
    <row r="1316" spans="2:3">
      <c r="B1316" s="131" t="s">
        <v>654</v>
      </c>
      <c r="C1316" s="227">
        <v>96711</v>
      </c>
    </row>
    <row r="1317" spans="2:3">
      <c r="B1317" s="131" t="s">
        <v>427</v>
      </c>
      <c r="C1317" s="227">
        <v>94131</v>
      </c>
    </row>
    <row r="1318" spans="2:3">
      <c r="B1318" s="131" t="s">
        <v>475</v>
      </c>
      <c r="C1318" s="227">
        <v>95841</v>
      </c>
    </row>
    <row r="1319" spans="2:3">
      <c r="B1319" s="131" t="s">
        <v>299</v>
      </c>
      <c r="C1319" s="227">
        <v>90511</v>
      </c>
    </row>
    <row r="1320" spans="2:3">
      <c r="B1320" s="131" t="s">
        <v>127</v>
      </c>
      <c r="C1320" s="227">
        <v>95101</v>
      </c>
    </row>
    <row r="1321" spans="2:3">
      <c r="B1321" s="131" t="s">
        <v>1825</v>
      </c>
      <c r="C1321" s="227">
        <v>95104</v>
      </c>
    </row>
    <row r="1322" spans="2:3">
      <c r="B1322" s="131" t="s">
        <v>1628</v>
      </c>
      <c r="C1322" s="227">
        <v>95110</v>
      </c>
    </row>
    <row r="1323" spans="2:3">
      <c r="B1323" s="131" t="s">
        <v>131</v>
      </c>
      <c r="C1323" s="227">
        <v>95201</v>
      </c>
    </row>
    <row r="1324" spans="2:3">
      <c r="B1324" s="131" t="s">
        <v>1826</v>
      </c>
      <c r="C1324" s="227">
        <v>95204</v>
      </c>
    </row>
    <row r="1325" spans="2:3">
      <c r="B1325" s="131" t="s">
        <v>617</v>
      </c>
      <c r="C1325" s="227">
        <v>99921</v>
      </c>
    </row>
    <row r="1326" spans="2:3">
      <c r="B1326" s="131" t="s">
        <v>116</v>
      </c>
      <c r="C1326" s="227">
        <v>94408</v>
      </c>
    </row>
    <row r="1327" spans="2:3">
      <c r="B1327" s="131" t="s">
        <v>338</v>
      </c>
      <c r="C1327" s="227">
        <v>91331</v>
      </c>
    </row>
    <row r="1328" spans="2:3">
      <c r="B1328" s="131" t="s">
        <v>395</v>
      </c>
      <c r="C1328" s="227">
        <v>93121</v>
      </c>
    </row>
    <row r="1329" spans="2:3">
      <c r="B1329" s="131" t="s">
        <v>1827</v>
      </c>
      <c r="C1329" s="227">
        <v>93127</v>
      </c>
    </row>
    <row r="1330" spans="2:3">
      <c r="B1330" s="131" t="s">
        <v>462</v>
      </c>
      <c r="C1330" s="227">
        <v>95171</v>
      </c>
    </row>
    <row r="1331" spans="2:3">
      <c r="B1331" s="131" t="s">
        <v>407</v>
      </c>
      <c r="C1331" s="227">
        <v>93421</v>
      </c>
    </row>
    <row r="1332" spans="2:3">
      <c r="B1332" s="131" t="s">
        <v>1708</v>
      </c>
      <c r="C1332" s="227">
        <v>99110</v>
      </c>
    </row>
    <row r="1333" spans="2:3">
      <c r="B1333" s="131" t="s">
        <v>1709</v>
      </c>
      <c r="C1333" s="227">
        <v>99109</v>
      </c>
    </row>
    <row r="1334" spans="2:3">
      <c r="B1334" s="131" t="s">
        <v>385</v>
      </c>
      <c r="C1334" s="227">
        <v>92821</v>
      </c>
    </row>
    <row r="1335" spans="2:3">
      <c r="B1335" s="131" t="s">
        <v>576</v>
      </c>
      <c r="C1335" s="227">
        <v>98521</v>
      </c>
    </row>
    <row r="1336" spans="2:3">
      <c r="B1336" s="131" t="s">
        <v>1828</v>
      </c>
      <c r="C1336" s="227">
        <v>92327</v>
      </c>
    </row>
    <row r="1337" spans="2:3">
      <c r="B1337" s="131" t="s">
        <v>1905</v>
      </c>
      <c r="C1337" s="227">
        <v>92321</v>
      </c>
    </row>
    <row r="1338" spans="2:3">
      <c r="B1338" s="131" t="s">
        <v>649</v>
      </c>
      <c r="C1338" s="227">
        <v>95411</v>
      </c>
    </row>
    <row r="1339" spans="2:3">
      <c r="B1339" s="131" t="s">
        <v>1710</v>
      </c>
      <c r="C1339" s="227">
        <v>95415</v>
      </c>
    </row>
    <row r="1340" spans="2:3">
      <c r="B1340" s="131" t="s">
        <v>388</v>
      </c>
      <c r="C1340" s="227">
        <v>92851</v>
      </c>
    </row>
    <row r="1341" spans="2:3">
      <c r="B1341" s="131" t="s">
        <v>598</v>
      </c>
      <c r="C1341" s="227">
        <v>99291</v>
      </c>
    </row>
    <row r="1342" spans="2:3">
      <c r="B1342" s="131" t="s">
        <v>509</v>
      </c>
      <c r="C1342" s="227">
        <v>96541</v>
      </c>
    </row>
    <row r="1343" spans="2:3">
      <c r="B1343" s="131" t="s">
        <v>468</v>
      </c>
      <c r="C1343" s="227">
        <v>95431</v>
      </c>
    </row>
    <row r="1344" spans="2:3">
      <c r="B1344" s="131" t="s">
        <v>560</v>
      </c>
      <c r="C1344" s="227">
        <v>98131</v>
      </c>
    </row>
    <row r="1345" spans="2:3">
      <c r="B1345" s="131" t="s">
        <v>1752</v>
      </c>
      <c r="C1345" s="227">
        <v>92461</v>
      </c>
    </row>
    <row r="1346" spans="2:3">
      <c r="B1346" s="131" t="s">
        <v>1829</v>
      </c>
      <c r="C1346" s="227">
        <v>92427</v>
      </c>
    </row>
    <row r="1347" spans="2:3">
      <c r="B1347" s="131" t="s">
        <v>554</v>
      </c>
      <c r="C1347" s="227">
        <v>98051</v>
      </c>
    </row>
    <row r="1348" spans="2:3">
      <c r="B1348" s="131" t="s">
        <v>45</v>
      </c>
      <c r="C1348" s="227">
        <v>91102</v>
      </c>
    </row>
    <row r="1349" spans="2:3">
      <c r="B1349" s="131" t="s">
        <v>444</v>
      </c>
      <c r="C1349" s="227">
        <v>94521</v>
      </c>
    </row>
    <row r="1350" spans="2:3">
      <c r="B1350" s="131" t="s">
        <v>1830</v>
      </c>
      <c r="C1350" s="227">
        <v>94527</v>
      </c>
    </row>
    <row r="1351" spans="2:3">
      <c r="B1351" s="131" t="s">
        <v>668</v>
      </c>
      <c r="C1351" s="227">
        <v>98311</v>
      </c>
    </row>
    <row r="1352" spans="2:3">
      <c r="B1352" s="131" t="s">
        <v>1711</v>
      </c>
      <c r="C1352" s="227">
        <v>98313</v>
      </c>
    </row>
    <row r="1353" spans="2:3">
      <c r="B1353" s="131" t="s">
        <v>202</v>
      </c>
      <c r="C1353" s="227">
        <v>98308</v>
      </c>
    </row>
    <row r="1354" spans="2:3">
      <c r="B1354" s="131" t="s">
        <v>366</v>
      </c>
      <c r="C1354" s="227">
        <v>92341</v>
      </c>
    </row>
    <row r="1355" spans="2:3">
      <c r="B1355" s="131" t="s">
        <v>132</v>
      </c>
      <c r="C1355" s="227">
        <v>95301</v>
      </c>
    </row>
    <row r="1356" spans="2:3">
      <c r="B1356" s="131" t="s">
        <v>317</v>
      </c>
      <c r="C1356" s="227">
        <v>91002</v>
      </c>
    </row>
    <row r="1357" spans="2:3">
      <c r="B1357" s="131" t="s">
        <v>628</v>
      </c>
      <c r="C1357" s="227">
        <v>91451</v>
      </c>
    </row>
    <row r="1358" spans="2:3">
      <c r="B1358" s="131" t="s">
        <v>133</v>
      </c>
      <c r="C1358" s="227">
        <v>95401</v>
      </c>
    </row>
    <row r="1359" spans="2:3">
      <c r="B1359" s="131" t="s">
        <v>1831</v>
      </c>
      <c r="C1359" s="227">
        <v>95404</v>
      </c>
    </row>
    <row r="1360" spans="2:3">
      <c r="B1360" s="131" t="s">
        <v>55</v>
      </c>
      <c r="C1360" s="227">
        <v>91423</v>
      </c>
    </row>
    <row r="1361" spans="2:3">
      <c r="B1361" s="131" t="s">
        <v>1906</v>
      </c>
      <c r="C1361" s="227">
        <v>91457</v>
      </c>
    </row>
    <row r="1362" spans="2:3">
      <c r="B1362" s="131" t="s">
        <v>1753</v>
      </c>
      <c r="C1362" s="227">
        <v>90861</v>
      </c>
    </row>
    <row r="1363" spans="2:3">
      <c r="B1363" s="131" t="s">
        <v>409</v>
      </c>
      <c r="C1363" s="227">
        <v>93451</v>
      </c>
    </row>
    <row r="1364" spans="2:3">
      <c r="B1364" s="131" t="s">
        <v>635</v>
      </c>
      <c r="C1364" s="227">
        <v>92931</v>
      </c>
    </row>
    <row r="1365" spans="2:3">
      <c r="B1365" s="131" t="s">
        <v>1832</v>
      </c>
      <c r="C1365" s="227">
        <v>92917</v>
      </c>
    </row>
    <row r="1366" spans="2:3">
      <c r="B1366" s="131" t="s">
        <v>539</v>
      </c>
      <c r="C1366" s="227">
        <v>97631</v>
      </c>
    </row>
    <row r="1367" spans="2:3">
      <c r="B1367" s="131" t="s">
        <v>1833</v>
      </c>
      <c r="C1367" s="227">
        <v>97637</v>
      </c>
    </row>
    <row r="1368" spans="2:3">
      <c r="B1368" s="131" t="s">
        <v>294</v>
      </c>
      <c r="C1368" s="227">
        <v>90421</v>
      </c>
    </row>
    <row r="1369" spans="2:3">
      <c r="B1369" s="131" t="s">
        <v>437</v>
      </c>
      <c r="C1369" s="227">
        <v>94321</v>
      </c>
    </row>
    <row r="1370" spans="2:3">
      <c r="B1370" s="131" t="s">
        <v>136</v>
      </c>
      <c r="C1370" s="227">
        <v>95501</v>
      </c>
    </row>
    <row r="1371" spans="2:3">
      <c r="B1371" s="131" t="s">
        <v>1834</v>
      </c>
      <c r="C1371" s="227">
        <v>95504</v>
      </c>
    </row>
    <row r="1372" spans="2:3">
      <c r="B1372" s="131" t="s">
        <v>650</v>
      </c>
      <c r="C1372" s="227">
        <v>95511</v>
      </c>
    </row>
    <row r="1373" spans="2:3">
      <c r="B1373" s="131" t="s">
        <v>1877</v>
      </c>
      <c r="C1373" s="227">
        <v>95517</v>
      </c>
    </row>
    <row r="1374" spans="2:3">
      <c r="B1374" s="131" t="s">
        <v>137</v>
      </c>
      <c r="C1374" s="227">
        <v>95513</v>
      </c>
    </row>
    <row r="1375" spans="2:3">
      <c r="B1375" s="131" t="s">
        <v>380</v>
      </c>
      <c r="C1375" s="227">
        <v>92651</v>
      </c>
    </row>
    <row r="1376" spans="2:3">
      <c r="B1376" s="131" t="s">
        <v>435</v>
      </c>
      <c r="C1376" s="227">
        <v>94261</v>
      </c>
    </row>
    <row r="1377" spans="2:3">
      <c r="B1377" s="131" t="s">
        <v>670</v>
      </c>
      <c r="C1377" s="227">
        <v>98431</v>
      </c>
    </row>
    <row r="1378" spans="2:3">
      <c r="B1378" s="131" t="s">
        <v>1835</v>
      </c>
      <c r="C1378" s="227">
        <v>98404</v>
      </c>
    </row>
    <row r="1379" spans="2:3">
      <c r="B1379" s="131" t="s">
        <v>1901</v>
      </c>
      <c r="C1379" s="227">
        <v>91841</v>
      </c>
    </row>
    <row r="1380" spans="2:3">
      <c r="B1380" s="131" t="s">
        <v>412</v>
      </c>
      <c r="C1380" s="227">
        <v>93521</v>
      </c>
    </row>
    <row r="1381" spans="2:3">
      <c r="B1381" s="131" t="s">
        <v>1836</v>
      </c>
      <c r="C1381" s="227">
        <v>93527</v>
      </c>
    </row>
    <row r="1382" spans="2:3">
      <c r="B1382" s="131" t="s">
        <v>419</v>
      </c>
      <c r="C1382" s="227">
        <v>93661</v>
      </c>
    </row>
    <row r="1383" spans="2:3">
      <c r="B1383" s="131" t="s">
        <v>156</v>
      </c>
      <c r="C1383" s="227">
        <v>96508</v>
      </c>
    </row>
    <row r="1384" spans="2:3">
      <c r="B1384" s="131" t="s">
        <v>614</v>
      </c>
      <c r="C1384" s="227">
        <v>99841</v>
      </c>
    </row>
    <row r="1385" spans="2:3">
      <c r="B1385" s="131" t="s">
        <v>187</v>
      </c>
      <c r="C1385" s="227">
        <v>97802</v>
      </c>
    </row>
    <row r="1386" spans="2:3">
      <c r="B1386" s="131" t="s">
        <v>664</v>
      </c>
      <c r="C1386" s="227">
        <v>97811</v>
      </c>
    </row>
    <row r="1387" spans="2:3">
      <c r="B1387" s="131" t="s">
        <v>1837</v>
      </c>
      <c r="C1387" s="227">
        <v>97817</v>
      </c>
    </row>
    <row r="1388" spans="2:3">
      <c r="B1388" s="131" t="s">
        <v>1712</v>
      </c>
      <c r="C1388" s="227">
        <v>97818</v>
      </c>
    </row>
    <row r="1389" spans="2:3">
      <c r="B1389" s="131" t="s">
        <v>405</v>
      </c>
      <c r="C1389" s="227">
        <v>93341</v>
      </c>
    </row>
    <row r="1390" spans="2:3">
      <c r="B1390" s="131" t="s">
        <v>138</v>
      </c>
      <c r="C1390" s="227">
        <v>95601</v>
      </c>
    </row>
    <row r="1391" spans="2:3">
      <c r="B1391" s="131" t="s">
        <v>550</v>
      </c>
      <c r="C1391" s="227">
        <v>97941</v>
      </c>
    </row>
    <row r="1392" spans="2:3">
      <c r="B1392" s="131" t="s">
        <v>1838</v>
      </c>
      <c r="C1392" s="227">
        <v>97947</v>
      </c>
    </row>
    <row r="1393" spans="2:3">
      <c r="B1393" s="131" t="s">
        <v>139</v>
      </c>
      <c r="C1393" s="227">
        <v>95701</v>
      </c>
    </row>
    <row r="1394" spans="2:3">
      <c r="B1394" s="131" t="s">
        <v>193</v>
      </c>
      <c r="C1394" s="227">
        <v>97948</v>
      </c>
    </row>
    <row r="1395" spans="2:3">
      <c r="B1395" s="131" t="s">
        <v>442</v>
      </c>
      <c r="C1395" s="227">
        <v>94421</v>
      </c>
    </row>
    <row r="1396" spans="2:3">
      <c r="B1396" s="131" t="s">
        <v>1839</v>
      </c>
      <c r="C1396" s="227">
        <v>94427</v>
      </c>
    </row>
    <row r="1397" spans="2:3">
      <c r="B1397" s="131" t="s">
        <v>1713</v>
      </c>
      <c r="C1397" s="227">
        <v>94428</v>
      </c>
    </row>
    <row r="1398" spans="2:3">
      <c r="B1398" s="131" t="s">
        <v>402</v>
      </c>
      <c r="C1398" s="227">
        <v>93191</v>
      </c>
    </row>
    <row r="1399" spans="2:3">
      <c r="B1399" s="131" t="s">
        <v>355</v>
      </c>
      <c r="C1399" s="227">
        <v>91831</v>
      </c>
    </row>
    <row r="1400" spans="2:3">
      <c r="B1400" s="131" t="s">
        <v>386</v>
      </c>
      <c r="C1400" s="227">
        <v>92831</v>
      </c>
    </row>
    <row r="1401" spans="2:3">
      <c r="B1401" s="131" t="s">
        <v>477</v>
      </c>
      <c r="C1401" s="227">
        <v>95911</v>
      </c>
    </row>
    <row r="1402" spans="2:3">
      <c r="B1402" s="131" t="s">
        <v>1840</v>
      </c>
      <c r="C1402" s="227">
        <v>95917</v>
      </c>
    </row>
    <row r="1403" spans="2:3">
      <c r="B1403" s="131" t="s">
        <v>471</v>
      </c>
      <c r="C1403" s="227">
        <v>95711</v>
      </c>
    </row>
    <row r="1404" spans="2:3">
      <c r="B1404" s="131" t="s">
        <v>472</v>
      </c>
      <c r="C1404" s="227">
        <v>95721</v>
      </c>
    </row>
    <row r="1405" spans="2:3">
      <c r="B1405" s="131" t="s">
        <v>582</v>
      </c>
      <c r="C1405" s="227">
        <v>99021</v>
      </c>
    </row>
    <row r="1406" spans="2:3">
      <c r="B1406" s="131" t="s">
        <v>1714</v>
      </c>
      <c r="C1406" s="227">
        <v>95802</v>
      </c>
    </row>
    <row r="1407" spans="2:3">
      <c r="B1407" s="131" t="s">
        <v>141</v>
      </c>
      <c r="C1407" s="227">
        <v>95801</v>
      </c>
    </row>
    <row r="1408" spans="2:3">
      <c r="B1408" s="131" t="s">
        <v>1841</v>
      </c>
      <c r="C1408" s="227">
        <v>95804</v>
      </c>
    </row>
    <row r="1409" spans="2:3">
      <c r="B1409" s="131" t="s">
        <v>1715</v>
      </c>
      <c r="C1409" s="227">
        <v>90092</v>
      </c>
    </row>
    <row r="1410" spans="2:3">
      <c r="B1410" s="131" t="s">
        <v>284</v>
      </c>
      <c r="C1410" s="227">
        <v>99081</v>
      </c>
    </row>
    <row r="1411" spans="2:3">
      <c r="B1411" s="131" t="s">
        <v>484</v>
      </c>
      <c r="C1411" s="227">
        <v>96071</v>
      </c>
    </row>
    <row r="1412" spans="2:3">
      <c r="B1412" s="131" t="s">
        <v>105</v>
      </c>
      <c r="C1412" s="227">
        <v>94002</v>
      </c>
    </row>
    <row r="1413" spans="2:3">
      <c r="B1413" s="131" t="s">
        <v>543</v>
      </c>
      <c r="C1413" s="227">
        <v>97840</v>
      </c>
    </row>
    <row r="1414" spans="2:3">
      <c r="B1414" s="131" t="s">
        <v>1842</v>
      </c>
      <c r="C1414" s="227">
        <v>97847</v>
      </c>
    </row>
    <row r="1415" spans="2:3">
      <c r="B1415" s="131" t="s">
        <v>548</v>
      </c>
      <c r="C1415" s="227">
        <v>97921</v>
      </c>
    </row>
    <row r="1416" spans="2:3">
      <c r="B1416" s="131" t="s">
        <v>465</v>
      </c>
      <c r="C1416" s="227">
        <v>95221</v>
      </c>
    </row>
    <row r="1417" spans="2:3">
      <c r="B1417" s="131" t="s">
        <v>416</v>
      </c>
      <c r="C1417" s="227">
        <v>93610</v>
      </c>
    </row>
    <row r="1418" spans="2:3">
      <c r="B1418" s="131" t="s">
        <v>1716</v>
      </c>
      <c r="C1418" s="227">
        <v>95901</v>
      </c>
    </row>
    <row r="1419" spans="2:3">
      <c r="B1419" s="131" t="s">
        <v>289</v>
      </c>
      <c r="C1419" s="227">
        <v>90114</v>
      </c>
    </row>
    <row r="1420" spans="2:3">
      <c r="B1420" s="131" t="s">
        <v>144</v>
      </c>
      <c r="C1420" s="227">
        <v>96001</v>
      </c>
    </row>
    <row r="1421" spans="2:3">
      <c r="B1421" s="131" t="s">
        <v>1843</v>
      </c>
      <c r="C1421" s="227">
        <v>96004</v>
      </c>
    </row>
    <row r="1422" spans="2:3">
      <c r="B1422" s="131" t="s">
        <v>1717</v>
      </c>
      <c r="C1422" s="227">
        <v>96008</v>
      </c>
    </row>
    <row r="1423" spans="2:3">
      <c r="B1423" s="131" t="s">
        <v>47</v>
      </c>
      <c r="C1423" s="227">
        <v>91108</v>
      </c>
    </row>
    <row r="1424" spans="2:3">
      <c r="B1424" s="131" t="s">
        <v>1718</v>
      </c>
      <c r="C1424" s="227">
        <v>94941</v>
      </c>
    </row>
    <row r="1425" spans="2:3">
      <c r="B1425" s="131" t="s">
        <v>457</v>
      </c>
      <c r="C1425" s="227">
        <v>95122</v>
      </c>
    </row>
    <row r="1426" spans="2:3">
      <c r="B1426" s="131" t="s">
        <v>1719</v>
      </c>
      <c r="C1426" s="227">
        <v>92607</v>
      </c>
    </row>
    <row r="1427" spans="2:3">
      <c r="B1427" s="131" t="s">
        <v>503</v>
      </c>
      <c r="C1427" s="227">
        <v>96431</v>
      </c>
    </row>
    <row r="1428" spans="2:3">
      <c r="B1428" s="131" t="s">
        <v>1629</v>
      </c>
      <c r="C1428" s="227">
        <v>90709</v>
      </c>
    </row>
    <row r="1429" spans="2:3">
      <c r="B1429" s="131" t="s">
        <v>339</v>
      </c>
      <c r="C1429" s="227">
        <v>91341</v>
      </c>
    </row>
    <row r="1430" spans="2:3">
      <c r="B1430" s="131" t="s">
        <v>680</v>
      </c>
      <c r="C1430" s="227">
        <v>92941</v>
      </c>
    </row>
    <row r="1431" spans="2:3">
      <c r="B1431" s="131" t="s">
        <v>446</v>
      </c>
      <c r="C1431" s="227">
        <v>94551</v>
      </c>
    </row>
    <row r="1432" spans="2:3">
      <c r="B1432" s="131" t="s">
        <v>686</v>
      </c>
      <c r="C1432" s="227">
        <v>99022</v>
      </c>
    </row>
    <row r="1433" spans="2:3">
      <c r="B1433" s="131" t="s">
        <v>480</v>
      </c>
      <c r="C1433" s="227">
        <v>96031</v>
      </c>
    </row>
    <row r="1434" spans="2:3">
      <c r="B1434" s="131" t="s">
        <v>277</v>
      </c>
      <c r="C1434" s="227">
        <v>98414</v>
      </c>
    </row>
    <row r="1435" spans="2:3">
      <c r="B1435" s="131" t="s">
        <v>146</v>
      </c>
      <c r="C1435" s="227">
        <v>96101</v>
      </c>
    </row>
    <row r="1436" spans="2:3">
      <c r="B1436" s="131" t="s">
        <v>1720</v>
      </c>
      <c r="C1436" s="227">
        <v>96102</v>
      </c>
    </row>
    <row r="1437" spans="2:3">
      <c r="B1437" s="131" t="s">
        <v>391</v>
      </c>
      <c r="C1437" s="227">
        <v>93011</v>
      </c>
    </row>
    <row r="1438" spans="2:3">
      <c r="B1438" s="131" t="s">
        <v>672</v>
      </c>
      <c r="C1438" s="227">
        <v>99011</v>
      </c>
    </row>
    <row r="1439" spans="2:3">
      <c r="B1439" s="131" t="s">
        <v>1844</v>
      </c>
      <c r="C1439" s="227">
        <v>99017</v>
      </c>
    </row>
    <row r="1440" spans="2:3">
      <c r="B1440" s="131" t="s">
        <v>1907</v>
      </c>
      <c r="C1440" s="227">
        <v>99013</v>
      </c>
    </row>
    <row r="1441" spans="2:3">
      <c r="B1441" s="131" t="s">
        <v>147</v>
      </c>
      <c r="C1441" s="227">
        <v>96201</v>
      </c>
    </row>
    <row r="1442" spans="2:3">
      <c r="B1442" s="131" t="s">
        <v>1845</v>
      </c>
      <c r="C1442" s="227">
        <v>96204</v>
      </c>
    </row>
    <row r="1443" spans="2:3">
      <c r="B1443" s="131" t="s">
        <v>330</v>
      </c>
      <c r="C1443" s="227">
        <v>91161</v>
      </c>
    </row>
    <row r="1444" spans="2:3">
      <c r="B1444" s="131" t="s">
        <v>148</v>
      </c>
      <c r="C1444" s="227">
        <v>96301</v>
      </c>
    </row>
    <row r="1445" spans="2:3">
      <c r="B1445" s="131" t="s">
        <v>1846</v>
      </c>
      <c r="C1445" s="227">
        <v>96304</v>
      </c>
    </row>
    <row r="1446" spans="2:3">
      <c r="B1446" s="131" t="s">
        <v>149</v>
      </c>
      <c r="C1446" s="227">
        <v>96310</v>
      </c>
    </row>
    <row r="1447" spans="2:3">
      <c r="B1447" s="131" t="s">
        <v>1721</v>
      </c>
      <c r="C1447" s="227">
        <v>96305</v>
      </c>
    </row>
    <row r="1448" spans="2:3">
      <c r="B1448" s="131" t="s">
        <v>647</v>
      </c>
      <c r="C1448" s="227">
        <v>94921</v>
      </c>
    </row>
    <row r="1449" spans="2:3">
      <c r="B1449" s="131" t="s">
        <v>1847</v>
      </c>
      <c r="C1449" s="227">
        <v>94927</v>
      </c>
    </row>
    <row r="1450" spans="2:3">
      <c r="B1450" s="131" t="s">
        <v>124</v>
      </c>
      <c r="C1450" s="227">
        <v>94923</v>
      </c>
    </row>
    <row r="1451" spans="2:3">
      <c r="B1451" s="131" t="s">
        <v>344</v>
      </c>
      <c r="C1451" s="227">
        <v>91611</v>
      </c>
    </row>
    <row r="1452" spans="2:3">
      <c r="B1452" s="131" t="s">
        <v>626</v>
      </c>
      <c r="C1452" s="227">
        <v>91231</v>
      </c>
    </row>
    <row r="1453" spans="2:3">
      <c r="B1453" s="131" t="s">
        <v>1848</v>
      </c>
      <c r="C1453" s="227">
        <v>91217</v>
      </c>
    </row>
    <row r="1454" spans="2:3">
      <c r="B1454" s="131" t="s">
        <v>52</v>
      </c>
      <c r="C1454" s="227">
        <v>91233</v>
      </c>
    </row>
    <row r="1455" spans="2:3">
      <c r="B1455" s="131" t="s">
        <v>590</v>
      </c>
      <c r="C1455" s="227">
        <v>99206</v>
      </c>
    </row>
    <row r="1456" spans="2:3">
      <c r="B1456" s="131" t="s">
        <v>298</v>
      </c>
      <c r="C1456" s="227">
        <v>90461</v>
      </c>
    </row>
    <row r="1457" spans="2:3">
      <c r="B1457" s="131" t="s">
        <v>1722</v>
      </c>
      <c r="C1457" s="227">
        <v>98637</v>
      </c>
    </row>
    <row r="1458" spans="2:3">
      <c r="B1458" s="131" t="s">
        <v>492</v>
      </c>
      <c r="C1458" s="227">
        <v>96251</v>
      </c>
    </row>
    <row r="1459" spans="2:3">
      <c r="B1459" s="131" t="s">
        <v>607</v>
      </c>
      <c r="C1459" s="227">
        <v>99621</v>
      </c>
    </row>
    <row r="1460" spans="2:3">
      <c r="B1460" s="131" t="s">
        <v>337</v>
      </c>
      <c r="C1460" s="227">
        <v>91321</v>
      </c>
    </row>
    <row r="1461" spans="2:3">
      <c r="B1461" s="131" t="s">
        <v>1908</v>
      </c>
      <c r="C1461" s="227">
        <v>98631</v>
      </c>
    </row>
    <row r="1462" spans="2:3">
      <c r="B1462" s="131" t="s">
        <v>1909</v>
      </c>
      <c r="C1462" s="227">
        <v>93691</v>
      </c>
    </row>
    <row r="1463" spans="2:3">
      <c r="B1463" s="131" t="s">
        <v>1723</v>
      </c>
      <c r="C1463" s="227">
        <v>99623</v>
      </c>
    </row>
    <row r="1464" spans="2:3">
      <c r="B1464" s="131" t="s">
        <v>1849</v>
      </c>
      <c r="C1464" s="227">
        <v>91327</v>
      </c>
    </row>
    <row r="1465" spans="2:3">
      <c r="B1465" s="131" t="s">
        <v>448</v>
      </c>
      <c r="C1465" s="227">
        <v>94621</v>
      </c>
    </row>
    <row r="1466" spans="2:3">
      <c r="B1466" s="131" t="s">
        <v>362</v>
      </c>
      <c r="C1466" s="227">
        <v>92011</v>
      </c>
    </row>
    <row r="1467" spans="2:3">
      <c r="B1467" s="131" t="s">
        <v>1850</v>
      </c>
      <c r="C1467" s="227">
        <v>92017</v>
      </c>
    </row>
    <row r="1468" spans="2:3">
      <c r="B1468" s="131" t="s">
        <v>1724</v>
      </c>
      <c r="C1468" s="227">
        <v>99991</v>
      </c>
    </row>
    <row r="1469" spans="2:3">
      <c r="B1469" s="131" t="s">
        <v>1725</v>
      </c>
      <c r="C1469" s="227">
        <v>99999</v>
      </c>
    </row>
    <row r="1470" spans="2:3">
      <c r="B1470" s="131" t="s">
        <v>384</v>
      </c>
      <c r="C1470" s="227">
        <v>92811</v>
      </c>
    </row>
    <row r="1471" spans="2:3">
      <c r="B1471" s="131" t="s">
        <v>64</v>
      </c>
      <c r="C1471" s="227">
        <v>92005</v>
      </c>
    </row>
    <row r="1472" spans="2:3">
      <c r="B1472" s="131" t="s">
        <v>151</v>
      </c>
      <c r="C1472" s="227">
        <v>96401</v>
      </c>
    </row>
    <row r="1473" spans="2:3">
      <c r="B1473" s="131" t="s">
        <v>1851</v>
      </c>
      <c r="C1473" s="227">
        <v>96404</v>
      </c>
    </row>
    <row r="1474" spans="2:3">
      <c r="B1474" s="131" t="s">
        <v>502</v>
      </c>
      <c r="C1474" s="227">
        <v>96421</v>
      </c>
    </row>
    <row r="1475" spans="2:3">
      <c r="B1475" s="131" t="s">
        <v>677</v>
      </c>
      <c r="C1475" s="227">
        <v>91026</v>
      </c>
    </row>
    <row r="1476" spans="2:3">
      <c r="B1476" s="131" t="s">
        <v>134</v>
      </c>
      <c r="C1476" s="227">
        <v>95405</v>
      </c>
    </row>
    <row r="1477" spans="2:3">
      <c r="B1477" s="131" t="s">
        <v>1726</v>
      </c>
      <c r="C1477" s="227">
        <v>94005</v>
      </c>
    </row>
    <row r="1478" spans="2:3">
      <c r="B1478" s="131" t="s">
        <v>1727</v>
      </c>
      <c r="C1478" s="227">
        <v>95205</v>
      </c>
    </row>
    <row r="1479" spans="2:3">
      <c r="B1479" s="131" t="s">
        <v>73</v>
      </c>
      <c r="C1479" s="227">
        <v>92507</v>
      </c>
    </row>
    <row r="1480" spans="2:3">
      <c r="B1480" s="131" t="s">
        <v>1899</v>
      </c>
      <c r="C1480" s="227">
        <v>92113</v>
      </c>
    </row>
    <row r="1481" spans="2:3">
      <c r="B1481" s="131" t="s">
        <v>1728</v>
      </c>
      <c r="C1481" s="227">
        <v>96502</v>
      </c>
    </row>
    <row r="1482" spans="2:3">
      <c r="B1482" s="131" t="s">
        <v>153</v>
      </c>
      <c r="C1482" s="227">
        <v>96501</v>
      </c>
    </row>
    <row r="1483" spans="2:3">
      <c r="B1483" s="131" t="s">
        <v>1852</v>
      </c>
      <c r="C1483" s="227">
        <v>96504</v>
      </c>
    </row>
    <row r="1484" spans="2:3">
      <c r="B1484" s="131" t="s">
        <v>1900</v>
      </c>
      <c r="C1484" s="227">
        <v>97913</v>
      </c>
    </row>
    <row r="1485" spans="2:3">
      <c r="B1485" s="131" t="s">
        <v>1910</v>
      </c>
      <c r="C1485" s="227">
        <v>92511</v>
      </c>
    </row>
    <row r="1486" spans="2:3">
      <c r="B1486" s="131" t="s">
        <v>302</v>
      </c>
      <c r="C1486" s="227">
        <v>90621</v>
      </c>
    </row>
    <row r="1487" spans="2:3">
      <c r="B1487" s="131" t="s">
        <v>345</v>
      </c>
      <c r="C1487" s="227">
        <v>91621</v>
      </c>
    </row>
    <row r="1488" spans="2:3">
      <c r="B1488" s="131" t="s">
        <v>358</v>
      </c>
      <c r="C1488" s="227">
        <v>91871</v>
      </c>
    </row>
    <row r="1489" spans="2:3">
      <c r="B1489" s="131" t="s">
        <v>564</v>
      </c>
      <c r="C1489" s="227">
        <v>98231</v>
      </c>
    </row>
    <row r="1490" spans="2:3">
      <c r="B1490" s="131" t="s">
        <v>599</v>
      </c>
      <c r="C1490" s="227">
        <v>99311</v>
      </c>
    </row>
    <row r="1491" spans="2:3">
      <c r="B1491" s="131" t="s">
        <v>521</v>
      </c>
      <c r="C1491" s="227">
        <v>96751</v>
      </c>
    </row>
    <row r="1492" spans="2:3">
      <c r="B1492" s="131" t="s">
        <v>610</v>
      </c>
      <c r="C1492" s="227">
        <v>99711</v>
      </c>
    </row>
    <row r="1493" spans="2:3">
      <c r="B1493" s="131" t="s">
        <v>1878</v>
      </c>
      <c r="C1493" s="227">
        <v>99717</v>
      </c>
    </row>
    <row r="1494" spans="2:3">
      <c r="B1494" s="131" t="s">
        <v>158</v>
      </c>
      <c r="C1494" s="227">
        <v>96601</v>
      </c>
    </row>
    <row r="1495" spans="2:3">
      <c r="B1495" s="131" t="s">
        <v>1853</v>
      </c>
      <c r="C1495" s="227">
        <v>96604</v>
      </c>
    </row>
    <row r="1496" spans="2:3">
      <c r="B1496" s="131" t="s">
        <v>624</v>
      </c>
      <c r="C1496" s="227">
        <v>91012</v>
      </c>
    </row>
    <row r="1497" spans="2:3">
      <c r="B1497" s="131" t="s">
        <v>30</v>
      </c>
      <c r="C1497" s="227">
        <v>90305</v>
      </c>
    </row>
    <row r="1498" spans="2:3">
      <c r="B1498" s="131" t="s">
        <v>571</v>
      </c>
      <c r="C1498" s="227">
        <v>98421</v>
      </c>
    </row>
    <row r="1499" spans="2:3">
      <c r="B1499" s="131" t="s">
        <v>1854</v>
      </c>
      <c r="C1499" s="227">
        <v>98427</v>
      </c>
    </row>
    <row r="1500" spans="2:3">
      <c r="B1500" s="131" t="s">
        <v>473</v>
      </c>
      <c r="C1500" s="227">
        <v>95821</v>
      </c>
    </row>
    <row r="1501" spans="2:3">
      <c r="B1501" s="131" t="s">
        <v>321</v>
      </c>
      <c r="C1501" s="227">
        <v>91021</v>
      </c>
    </row>
    <row r="1502" spans="2:3">
      <c r="B1502" s="131" t="s">
        <v>1855</v>
      </c>
      <c r="C1502" s="227">
        <v>91027</v>
      </c>
    </row>
    <row r="1503" spans="2:3">
      <c r="B1503" s="131" t="s">
        <v>429</v>
      </c>
      <c r="C1503" s="227">
        <v>94161</v>
      </c>
    </row>
    <row r="1504" spans="2:3">
      <c r="B1504" s="131" t="s">
        <v>572</v>
      </c>
      <c r="C1504" s="227">
        <v>98441</v>
      </c>
    </row>
    <row r="1505" spans="2:3">
      <c r="B1505" s="131" t="s">
        <v>325</v>
      </c>
      <c r="C1505" s="227">
        <v>91061</v>
      </c>
    </row>
    <row r="1506" spans="2:3">
      <c r="B1506" s="131" t="s">
        <v>1856</v>
      </c>
      <c r="C1506" s="227">
        <v>91067</v>
      </c>
    </row>
    <row r="1507" spans="2:3">
      <c r="B1507" s="131" t="s">
        <v>1729</v>
      </c>
      <c r="C1507" s="227">
        <v>94812</v>
      </c>
    </row>
    <row r="1508" spans="2:3">
      <c r="B1508" s="131" t="s">
        <v>478</v>
      </c>
      <c r="C1508" s="227">
        <v>95921</v>
      </c>
    </row>
    <row r="1509" spans="2:3">
      <c r="B1509" s="131" t="s">
        <v>159</v>
      </c>
      <c r="C1509" s="227">
        <v>96701</v>
      </c>
    </row>
    <row r="1510" spans="2:3">
      <c r="B1510" s="131" t="s">
        <v>1857</v>
      </c>
      <c r="C1510" s="227">
        <v>96704</v>
      </c>
    </row>
    <row r="1511" spans="2:3">
      <c r="B1511" s="131" t="s">
        <v>1730</v>
      </c>
      <c r="C1511" s="227">
        <v>96708</v>
      </c>
    </row>
    <row r="1512" spans="2:3">
      <c r="B1512" s="131" t="s">
        <v>161</v>
      </c>
      <c r="C1512" s="227">
        <v>96801</v>
      </c>
    </row>
    <row r="1513" spans="2:3">
      <c r="B1513" s="131" t="s">
        <v>1858</v>
      </c>
      <c r="C1513" s="227">
        <v>96804</v>
      </c>
    </row>
    <row r="1514" spans="2:3">
      <c r="B1514" s="131" t="s">
        <v>1731</v>
      </c>
      <c r="C1514" s="227">
        <v>96808</v>
      </c>
    </row>
    <row r="1515" spans="2:3">
      <c r="B1515" s="131" t="s">
        <v>526</v>
      </c>
      <c r="C1515" s="227">
        <v>96912</v>
      </c>
    </row>
    <row r="1516" spans="2:3">
      <c r="B1516" s="131" t="s">
        <v>642</v>
      </c>
      <c r="C1516" s="227">
        <v>93911</v>
      </c>
    </row>
    <row r="1517" spans="2:3">
      <c r="B1517" s="131" t="s">
        <v>103</v>
      </c>
      <c r="C1517" s="227">
        <v>93913</v>
      </c>
    </row>
    <row r="1518" spans="2:3">
      <c r="B1518" s="131" t="s">
        <v>162</v>
      </c>
      <c r="C1518" s="227">
        <v>96901</v>
      </c>
    </row>
    <row r="1519" spans="2:3">
      <c r="B1519" s="131" t="s">
        <v>1754</v>
      </c>
      <c r="C1519" s="227">
        <v>97841</v>
      </c>
    </row>
    <row r="1520" spans="2:3">
      <c r="B1520" s="131" t="s">
        <v>85</v>
      </c>
      <c r="C1520" s="227">
        <v>93202</v>
      </c>
    </row>
    <row r="1521" spans="2:3">
      <c r="B1521" s="131" t="s">
        <v>1630</v>
      </c>
      <c r="C1521" s="227">
        <v>93609</v>
      </c>
    </row>
    <row r="1522" spans="2:3">
      <c r="B1522" s="131" t="s">
        <v>1859</v>
      </c>
      <c r="C1522" s="227">
        <v>97004</v>
      </c>
    </row>
    <row r="1523" spans="2:3">
      <c r="B1523" s="131" t="s">
        <v>164</v>
      </c>
      <c r="C1523" s="227">
        <v>97001</v>
      </c>
    </row>
    <row r="1524" spans="2:3">
      <c r="B1524" s="131" t="s">
        <v>165</v>
      </c>
      <c r="C1524" s="227">
        <v>97002</v>
      </c>
    </row>
    <row r="1525" spans="2:3">
      <c r="B1525" s="131" t="s">
        <v>170</v>
      </c>
      <c r="C1525" s="227">
        <v>97015</v>
      </c>
    </row>
    <row r="1526" spans="2:3">
      <c r="B1526" s="131" t="s">
        <v>296</v>
      </c>
      <c r="C1526" s="227">
        <v>90441</v>
      </c>
    </row>
    <row r="1527" spans="2:3">
      <c r="B1527" s="131" t="s">
        <v>544</v>
      </c>
      <c r="C1527" s="227">
        <v>97851</v>
      </c>
    </row>
    <row r="1528" spans="2:3">
      <c r="B1528" s="131" t="s">
        <v>191</v>
      </c>
      <c r="C1528" s="227">
        <v>97853</v>
      </c>
    </row>
    <row r="1529" spans="2:3">
      <c r="B1529" s="131" t="s">
        <v>171</v>
      </c>
      <c r="C1529" s="227">
        <v>97101</v>
      </c>
    </row>
    <row r="1530" spans="2:3">
      <c r="B1530" s="131" t="s">
        <v>1860</v>
      </c>
      <c r="C1530" s="227">
        <v>97104</v>
      </c>
    </row>
    <row r="1531" spans="2:3">
      <c r="B1531" s="131" t="s">
        <v>173</v>
      </c>
      <c r="C1531" s="227">
        <v>97201</v>
      </c>
    </row>
    <row r="1532" spans="2:3">
      <c r="B1532" s="131" t="s">
        <v>1861</v>
      </c>
      <c r="C1532" s="227">
        <v>97304</v>
      </c>
    </row>
    <row r="1533" spans="2:3">
      <c r="B1533" s="131" t="s">
        <v>174</v>
      </c>
      <c r="C1533" s="227">
        <v>97301</v>
      </c>
    </row>
    <row r="1534" spans="2:3">
      <c r="B1534" s="131" t="s">
        <v>219</v>
      </c>
      <c r="C1534" s="227">
        <v>99405</v>
      </c>
    </row>
    <row r="1535" spans="2:3">
      <c r="B1535" s="131" t="s">
        <v>25</v>
      </c>
      <c r="C1535" s="227">
        <v>72265</v>
      </c>
    </row>
    <row r="1536" spans="2:3">
      <c r="B1536" s="131" t="s">
        <v>1732</v>
      </c>
      <c r="C1536" s="227">
        <v>94112</v>
      </c>
    </row>
    <row r="1537" spans="2:3">
      <c r="B1537" s="131" t="s">
        <v>92</v>
      </c>
      <c r="C1537" s="227">
        <v>93406</v>
      </c>
    </row>
    <row r="1538" spans="2:3">
      <c r="B1538" s="131" t="s">
        <v>609</v>
      </c>
      <c r="C1538" s="227">
        <v>99651</v>
      </c>
    </row>
    <row r="1539" spans="2:3">
      <c r="B1539" s="131" t="s">
        <v>577</v>
      </c>
      <c r="C1539" s="227">
        <v>98611</v>
      </c>
    </row>
    <row r="1540" spans="2:3">
      <c r="B1540" s="131" t="s">
        <v>1862</v>
      </c>
      <c r="C1540" s="227">
        <v>98607</v>
      </c>
    </row>
    <row r="1541" spans="2:3">
      <c r="B1541" s="131" t="s">
        <v>347</v>
      </c>
      <c r="C1541" s="227">
        <v>91641</v>
      </c>
    </row>
    <row r="1542" spans="2:3">
      <c r="B1542" s="131" t="s">
        <v>461</v>
      </c>
      <c r="C1542" s="227">
        <v>95161</v>
      </c>
    </row>
    <row r="1543" spans="2:3">
      <c r="B1543" s="131" t="s">
        <v>499</v>
      </c>
      <c r="C1543" s="227">
        <v>96361</v>
      </c>
    </row>
    <row r="1544" spans="2:3">
      <c r="B1544" s="131" t="s">
        <v>1733</v>
      </c>
      <c r="C1544" s="227">
        <v>94108</v>
      </c>
    </row>
    <row r="1545" spans="2:3">
      <c r="B1545" s="131" t="s">
        <v>281</v>
      </c>
      <c r="C1545" s="227">
        <v>96351</v>
      </c>
    </row>
    <row r="1546" spans="2:3">
      <c r="B1546" s="131" t="s">
        <v>404</v>
      </c>
      <c r="C1546" s="227">
        <v>93331</v>
      </c>
    </row>
    <row r="1547" spans="2:3">
      <c r="B1547" s="131" t="s">
        <v>479</v>
      </c>
      <c r="C1547" s="227">
        <v>96021</v>
      </c>
    </row>
    <row r="1548" spans="2:3">
      <c r="B1548" s="131" t="s">
        <v>467</v>
      </c>
      <c r="C1548" s="227">
        <v>95421</v>
      </c>
    </row>
    <row r="1549" spans="2:3">
      <c r="B1549" s="131" t="s">
        <v>175</v>
      </c>
      <c r="C1549" s="227">
        <v>97401</v>
      </c>
    </row>
    <row r="1550" spans="2:3">
      <c r="B1550" s="131" t="s">
        <v>1863</v>
      </c>
      <c r="C1550" s="227">
        <v>97404</v>
      </c>
    </row>
    <row r="1551" spans="2:3">
      <c r="B1551" s="131" t="s">
        <v>1734</v>
      </c>
      <c r="C1551" s="227">
        <v>97402</v>
      </c>
    </row>
    <row r="1552" spans="2:3">
      <c r="B1552" s="131" t="s">
        <v>361</v>
      </c>
      <c r="C1552" s="227">
        <v>91921</v>
      </c>
    </row>
    <row r="1553" spans="2:3">
      <c r="B1553" s="131" t="s">
        <v>1735</v>
      </c>
      <c r="C1553" s="227">
        <v>95908</v>
      </c>
    </row>
    <row r="1554" spans="2:3">
      <c r="B1554" s="131" t="s">
        <v>601</v>
      </c>
      <c r="C1554" s="227">
        <v>99411</v>
      </c>
    </row>
    <row r="1555" spans="2:3">
      <c r="B1555" s="131" t="s">
        <v>220</v>
      </c>
      <c r="C1555" s="227">
        <v>99413</v>
      </c>
    </row>
    <row r="1556" spans="2:3">
      <c r="B1556" s="131" t="s">
        <v>181</v>
      </c>
      <c r="C1556" s="227">
        <v>97501</v>
      </c>
    </row>
    <row r="1557" spans="2:3">
      <c r="B1557" s="131" t="s">
        <v>295</v>
      </c>
      <c r="C1557" s="227">
        <v>90431</v>
      </c>
    </row>
    <row r="1558" spans="2:3">
      <c r="B1558" s="131" t="s">
        <v>464</v>
      </c>
      <c r="C1558" s="227">
        <v>95211</v>
      </c>
    </row>
    <row r="1559" spans="2:3">
      <c r="B1559" s="131" t="s">
        <v>463</v>
      </c>
      <c r="C1559" s="227">
        <v>95181</v>
      </c>
    </row>
    <row r="1560" spans="2:3">
      <c r="B1560" s="131" t="s">
        <v>406</v>
      </c>
      <c r="C1560" s="227">
        <v>93351</v>
      </c>
    </row>
    <row r="1561" spans="2:3">
      <c r="B1561" s="131" t="s">
        <v>1736</v>
      </c>
      <c r="C1561" s="227">
        <v>95105</v>
      </c>
    </row>
    <row r="1562" spans="2:3">
      <c r="B1562" s="131" t="s">
        <v>1737</v>
      </c>
      <c r="C1562" s="227">
        <v>92614</v>
      </c>
    </row>
    <row r="1563" spans="2:3">
      <c r="B1563" s="131" t="s">
        <v>451</v>
      </c>
      <c r="C1563" s="227">
        <v>94711</v>
      </c>
    </row>
    <row r="1564" spans="2:3">
      <c r="B1564" s="131" t="s">
        <v>674</v>
      </c>
      <c r="C1564" s="227">
        <v>99211</v>
      </c>
    </row>
    <row r="1565" spans="2:3">
      <c r="B1565" s="131" t="s">
        <v>216</v>
      </c>
      <c r="C1565" s="227">
        <v>99218</v>
      </c>
    </row>
    <row r="1566" spans="2:3">
      <c r="B1566" s="131" t="s">
        <v>1911</v>
      </c>
      <c r="C1566" s="227">
        <v>99213</v>
      </c>
    </row>
    <row r="1567" spans="2:3">
      <c r="B1567" s="131" t="s">
        <v>540</v>
      </c>
      <c r="C1567" s="227">
        <v>97641</v>
      </c>
    </row>
    <row r="1568" spans="2:3">
      <c r="B1568" s="131" t="s">
        <v>659</v>
      </c>
      <c r="C1568" s="227">
        <v>97621</v>
      </c>
    </row>
    <row r="1569" spans="2:3">
      <c r="B1569" s="131" t="s">
        <v>1912</v>
      </c>
      <c r="C1569" s="227">
        <v>97627</v>
      </c>
    </row>
    <row r="1570" spans="2:3">
      <c r="B1570" s="131" t="s">
        <v>1913</v>
      </c>
      <c r="C1570" s="227">
        <v>97623</v>
      </c>
    </row>
    <row r="1571" spans="2:3">
      <c r="B1571" s="131" t="s">
        <v>182</v>
      </c>
      <c r="C1571" s="227">
        <v>97601</v>
      </c>
    </row>
    <row r="1572" spans="2:3">
      <c r="B1572" s="131" t="s">
        <v>420</v>
      </c>
      <c r="C1572" s="227">
        <v>93681</v>
      </c>
    </row>
    <row r="1573" spans="2:3">
      <c r="B1573" s="131" t="s">
        <v>546</v>
      </c>
      <c r="C1573" s="227">
        <v>97871</v>
      </c>
    </row>
    <row r="1574" spans="2:3">
      <c r="B1574" s="131" t="s">
        <v>1864</v>
      </c>
      <c r="C1574" s="227">
        <v>97877</v>
      </c>
    </row>
    <row r="1575" spans="2:3">
      <c r="B1575" s="131" t="s">
        <v>222</v>
      </c>
      <c r="C1575" s="227">
        <v>99502</v>
      </c>
    </row>
    <row r="1576" spans="2:3">
      <c r="B1576" s="131" t="s">
        <v>547</v>
      </c>
      <c r="C1576" s="227">
        <v>97911</v>
      </c>
    </row>
    <row r="1577" spans="2:3">
      <c r="B1577" s="131" t="s">
        <v>1865</v>
      </c>
      <c r="C1577" s="227">
        <v>97917</v>
      </c>
    </row>
    <row r="1578" spans="2:3">
      <c r="B1578" s="131" t="s">
        <v>510</v>
      </c>
      <c r="C1578" s="227">
        <v>96611</v>
      </c>
    </row>
    <row r="1579" spans="2:3">
      <c r="B1579" s="131" t="s">
        <v>520</v>
      </c>
      <c r="C1579" s="227">
        <v>96741</v>
      </c>
    </row>
    <row r="1580" spans="2:3">
      <c r="B1580" s="131" t="s">
        <v>183</v>
      </c>
      <c r="C1580" s="227">
        <v>97701</v>
      </c>
    </row>
    <row r="1581" spans="2:3">
      <c r="B1581" s="131" t="s">
        <v>373</v>
      </c>
      <c r="C1581" s="227">
        <v>92541</v>
      </c>
    </row>
    <row r="1582" spans="2:3">
      <c r="B1582" s="131" t="s">
        <v>111</v>
      </c>
      <c r="C1582" s="227">
        <v>94209</v>
      </c>
    </row>
    <row r="1583" spans="2:3">
      <c r="B1583" s="131" t="s">
        <v>1914</v>
      </c>
      <c r="C1583" s="227">
        <v>94221</v>
      </c>
    </row>
    <row r="1584" spans="2:3">
      <c r="B1584" s="131" t="s">
        <v>498</v>
      </c>
      <c r="C1584" s="227">
        <v>96341</v>
      </c>
    </row>
    <row r="1585" spans="2:3">
      <c r="B1585" s="131" t="s">
        <v>421</v>
      </c>
      <c r="C1585" s="227">
        <v>93821</v>
      </c>
    </row>
    <row r="1586" spans="2:3">
      <c r="B1586" s="131" t="s">
        <v>476</v>
      </c>
      <c r="C1586" s="227">
        <v>95851</v>
      </c>
    </row>
    <row r="1587" spans="2:3">
      <c r="B1587" s="131" t="s">
        <v>143</v>
      </c>
      <c r="C1587" s="227">
        <v>95853</v>
      </c>
    </row>
    <row r="1588" spans="2:3">
      <c r="B1588" s="131" t="s">
        <v>186</v>
      </c>
      <c r="C1588" s="227">
        <v>97801</v>
      </c>
    </row>
    <row r="1589" spans="2:3">
      <c r="B1589" s="131" t="s">
        <v>188</v>
      </c>
      <c r="C1589" s="227">
        <v>97803</v>
      </c>
    </row>
    <row r="1590" spans="2:3">
      <c r="B1590" s="131" t="s">
        <v>189</v>
      </c>
      <c r="C1590" s="227">
        <v>97805</v>
      </c>
    </row>
    <row r="1591" spans="2:3">
      <c r="B1591" s="131" t="s">
        <v>662</v>
      </c>
      <c r="C1591" s="227">
        <v>97711</v>
      </c>
    </row>
    <row r="1592" spans="2:3">
      <c r="B1592" s="131" t="s">
        <v>192</v>
      </c>
      <c r="C1592" s="227">
        <v>97901</v>
      </c>
    </row>
    <row r="1593" spans="2:3">
      <c r="B1593" s="131" t="s">
        <v>185</v>
      </c>
      <c r="C1593" s="227">
        <v>97713</v>
      </c>
    </row>
    <row r="1594" spans="2:3">
      <c r="B1594" s="131" t="s">
        <v>1915</v>
      </c>
      <c r="C1594" s="227">
        <v>97727</v>
      </c>
    </row>
    <row r="1595" spans="2:3">
      <c r="B1595" s="131" t="s">
        <v>556</v>
      </c>
      <c r="C1595" s="227">
        <v>98071</v>
      </c>
    </row>
    <row r="1596" spans="2:3">
      <c r="B1596" s="131" t="s">
        <v>89</v>
      </c>
      <c r="C1596" s="227">
        <v>93323</v>
      </c>
    </row>
    <row r="1597" spans="2:3">
      <c r="B1597" s="131" t="s">
        <v>1738</v>
      </c>
      <c r="C1597" s="227">
        <v>93333</v>
      </c>
    </row>
    <row r="1598" spans="2:3">
      <c r="B1598" s="131" t="s">
        <v>1916</v>
      </c>
      <c r="C1598" s="227">
        <v>93321</v>
      </c>
    </row>
    <row r="1599" spans="2:3">
      <c r="B1599" s="131" t="s">
        <v>589</v>
      </c>
      <c r="C1599" s="227">
        <v>99203</v>
      </c>
    </row>
    <row r="1600" spans="2:3">
      <c r="B1600" s="131" t="s">
        <v>602</v>
      </c>
      <c r="C1600" s="227">
        <v>99421</v>
      </c>
    </row>
    <row r="1601" spans="2:3">
      <c r="B1601" s="131" t="s">
        <v>399</v>
      </c>
      <c r="C1601" s="227">
        <v>93161</v>
      </c>
    </row>
    <row r="1602" spans="2:3">
      <c r="B1602" s="131" t="s">
        <v>567</v>
      </c>
      <c r="C1602" s="227">
        <v>98261</v>
      </c>
    </row>
    <row r="1603" spans="2:3">
      <c r="B1603" s="131" t="s">
        <v>1866</v>
      </c>
      <c r="C1603" s="227">
        <v>98237</v>
      </c>
    </row>
    <row r="1604" spans="2:3">
      <c r="B1604" s="131" t="s">
        <v>1739</v>
      </c>
      <c r="C1604" s="227">
        <v>98003</v>
      </c>
    </row>
    <row r="1605" spans="2:3">
      <c r="B1605" s="131" t="s">
        <v>1740</v>
      </c>
      <c r="C1605" s="227">
        <v>98008</v>
      </c>
    </row>
    <row r="1606" spans="2:3">
      <c r="B1606" s="131" t="s">
        <v>1741</v>
      </c>
      <c r="C1606" s="227">
        <v>98002</v>
      </c>
    </row>
    <row r="1607" spans="2:3">
      <c r="B1607" s="131" t="s">
        <v>194</v>
      </c>
      <c r="C1607" s="227">
        <v>98001</v>
      </c>
    </row>
    <row r="1608" spans="2:3">
      <c r="B1608" s="131" t="s">
        <v>1867</v>
      </c>
      <c r="C1608" s="227">
        <v>98004</v>
      </c>
    </row>
    <row r="1609" spans="2:3">
      <c r="B1609" s="131" t="s">
        <v>545</v>
      </c>
      <c r="C1609" s="227">
        <v>97861</v>
      </c>
    </row>
    <row r="1610" spans="2:3">
      <c r="B1610" s="131" t="s">
        <v>655</v>
      </c>
      <c r="C1610" s="227">
        <v>97311</v>
      </c>
    </row>
    <row r="1611" spans="2:3">
      <c r="B1611" s="131" t="s">
        <v>408</v>
      </c>
      <c r="C1611" s="227">
        <v>93431</v>
      </c>
    </row>
    <row r="1612" spans="2:3">
      <c r="B1612" s="131" t="s">
        <v>333</v>
      </c>
      <c r="C1612" s="227">
        <v>91214</v>
      </c>
    </row>
    <row r="1613" spans="2:3">
      <c r="B1613" s="131" t="s">
        <v>196</v>
      </c>
      <c r="C1613" s="227">
        <v>98101</v>
      </c>
    </row>
    <row r="1614" spans="2:3">
      <c r="B1614" s="131" t="s">
        <v>1742</v>
      </c>
      <c r="C1614" s="227">
        <v>98103</v>
      </c>
    </row>
    <row r="1615" spans="2:3">
      <c r="B1615" s="131" t="s">
        <v>561</v>
      </c>
      <c r="C1615" s="227">
        <v>98141</v>
      </c>
    </row>
    <row r="1616" spans="2:3">
      <c r="B1616" s="131" t="s">
        <v>1879</v>
      </c>
      <c r="C1616" s="227">
        <v>98147</v>
      </c>
    </row>
    <row r="1617" spans="2:3">
      <c r="B1617" s="131" t="s">
        <v>563</v>
      </c>
      <c r="C1617" s="227">
        <v>98221</v>
      </c>
    </row>
    <row r="1618" spans="2:3">
      <c r="B1618" s="131" t="s">
        <v>666</v>
      </c>
      <c r="C1618" s="227">
        <v>98011</v>
      </c>
    </row>
    <row r="1619" spans="2:3">
      <c r="B1619" s="131" t="s">
        <v>538</v>
      </c>
      <c r="C1619" s="227">
        <v>97531</v>
      </c>
    </row>
    <row r="1620" spans="2:3">
      <c r="B1620" s="131" t="s">
        <v>200</v>
      </c>
      <c r="C1620" s="227">
        <v>98201</v>
      </c>
    </row>
    <row r="1621" spans="2:3">
      <c r="B1621" s="131" t="s">
        <v>184</v>
      </c>
      <c r="C1621" s="227">
        <v>97705</v>
      </c>
    </row>
    <row r="1622" spans="2:3">
      <c r="B1622" s="131" t="s">
        <v>1631</v>
      </c>
      <c r="C1622" s="227">
        <v>96318</v>
      </c>
    </row>
    <row r="1623" spans="2:3">
      <c r="B1623" s="131" t="s">
        <v>648</v>
      </c>
      <c r="C1623" s="227">
        <v>95311</v>
      </c>
    </row>
    <row r="1624" spans="2:3">
      <c r="B1624" s="131" t="s">
        <v>1868</v>
      </c>
      <c r="C1624" s="227">
        <v>95317</v>
      </c>
    </row>
    <row r="1625" spans="2:3">
      <c r="B1625" s="131" t="s">
        <v>341</v>
      </c>
      <c r="C1625" s="227">
        <v>91421</v>
      </c>
    </row>
    <row r="1626" spans="2:3">
      <c r="B1626" s="131" t="s">
        <v>201</v>
      </c>
      <c r="C1626" s="227">
        <v>98301</v>
      </c>
    </row>
    <row r="1627" spans="2:3">
      <c r="B1627" s="131" t="s">
        <v>1869</v>
      </c>
      <c r="C1627" s="227">
        <v>98304</v>
      </c>
    </row>
    <row r="1628" spans="2:3">
      <c r="B1628" s="131" t="s">
        <v>433</v>
      </c>
      <c r="C1628" s="227">
        <v>94241</v>
      </c>
    </row>
    <row r="1629" spans="2:3">
      <c r="B1629" s="131" t="s">
        <v>517</v>
      </c>
      <c r="C1629" s="227">
        <v>96681</v>
      </c>
    </row>
    <row r="1630" spans="2:3">
      <c r="B1630" s="131" t="s">
        <v>1755</v>
      </c>
      <c r="C1630" s="227">
        <v>72593</v>
      </c>
    </row>
    <row r="1631" spans="2:3">
      <c r="B1631" s="131" t="s">
        <v>456</v>
      </c>
      <c r="C1631" s="227">
        <v>95121</v>
      </c>
    </row>
    <row r="1632" spans="2:3">
      <c r="B1632" s="131" t="s">
        <v>130</v>
      </c>
      <c r="C1632" s="227">
        <v>95123</v>
      </c>
    </row>
    <row r="1633" spans="2:3">
      <c r="B1633" s="131" t="s">
        <v>606</v>
      </c>
      <c r="C1633" s="227">
        <v>99531</v>
      </c>
    </row>
    <row r="1634" spans="2:3">
      <c r="B1634" s="131" t="s">
        <v>516</v>
      </c>
      <c r="C1634" s="227">
        <v>96671</v>
      </c>
    </row>
    <row r="1635" spans="2:3">
      <c r="B1635" s="131" t="s">
        <v>326</v>
      </c>
      <c r="C1635" s="227">
        <v>91081</v>
      </c>
    </row>
    <row r="1636" spans="2:3">
      <c r="B1636" s="131" t="s">
        <v>1870</v>
      </c>
      <c r="C1636" s="227">
        <v>91057</v>
      </c>
    </row>
    <row r="1637" spans="2:3">
      <c r="B1637" s="131" t="s">
        <v>506</v>
      </c>
      <c r="C1637" s="227">
        <v>96461</v>
      </c>
    </row>
    <row r="1638" spans="2:3">
      <c r="B1638" s="131" t="s">
        <v>630</v>
      </c>
      <c r="C1638" s="227">
        <v>92311</v>
      </c>
    </row>
    <row r="1639" spans="2:3">
      <c r="B1639" s="131" t="s">
        <v>1871</v>
      </c>
      <c r="C1639" s="227">
        <v>92317</v>
      </c>
    </row>
    <row r="1640" spans="2:3">
      <c r="B1640" s="131" t="s">
        <v>176</v>
      </c>
      <c r="C1640" s="227">
        <v>97405</v>
      </c>
    </row>
    <row r="1641" spans="2:3">
      <c r="B1641" s="131" t="s">
        <v>360</v>
      </c>
      <c r="C1641" s="227">
        <v>91911</v>
      </c>
    </row>
    <row r="1642" spans="2:3">
      <c r="B1642" s="131" t="s">
        <v>1872</v>
      </c>
      <c r="C1642" s="227">
        <v>91917</v>
      </c>
    </row>
    <row r="1643" spans="2:3">
      <c r="B1643" s="131" t="s">
        <v>283</v>
      </c>
      <c r="C1643" s="227">
        <v>97481</v>
      </c>
    </row>
    <row r="1644" spans="2:3">
      <c r="B1644" s="131" t="s">
        <v>1743</v>
      </c>
      <c r="C1644" s="227">
        <v>91138</v>
      </c>
    </row>
    <row r="1645" spans="2:3">
      <c r="B1645" s="131" t="s">
        <v>455</v>
      </c>
      <c r="C1645" s="227">
        <v>95111</v>
      </c>
    </row>
    <row r="1646" spans="2:3">
      <c r="B1646" s="131" t="s">
        <v>129</v>
      </c>
      <c r="C1646" s="227">
        <v>95113</v>
      </c>
    </row>
    <row r="1647" spans="2:3">
      <c r="B1647" s="131" t="s">
        <v>425</v>
      </c>
      <c r="C1647" s="227">
        <v>94021</v>
      </c>
    </row>
    <row r="1648" spans="2:3">
      <c r="B1648" s="131" t="s">
        <v>1744</v>
      </c>
      <c r="C1648" s="227">
        <v>90918</v>
      </c>
    </row>
    <row r="1649" spans="2:3">
      <c r="B1649" s="131" t="s">
        <v>1745</v>
      </c>
      <c r="C1649" s="227">
        <v>93910</v>
      </c>
    </row>
    <row r="1650" spans="2:3">
      <c r="B1650" s="131" t="s">
        <v>1632</v>
      </c>
      <c r="C1650" s="227">
        <v>91013</v>
      </c>
    </row>
    <row r="1651" spans="2:3">
      <c r="B1651" s="131" t="s">
        <v>494</v>
      </c>
      <c r="C1651" s="227">
        <v>96311</v>
      </c>
    </row>
    <row r="1652" spans="2:3">
      <c r="B1652" s="131" t="s">
        <v>387</v>
      </c>
      <c r="C1652" s="227">
        <v>92841</v>
      </c>
    </row>
    <row r="1653" spans="2:3">
      <c r="B1653" s="131" t="s">
        <v>225</v>
      </c>
      <c r="C1653" s="227">
        <v>99609</v>
      </c>
    </row>
    <row r="1654" spans="2:3">
      <c r="B1654" s="131" t="s">
        <v>623</v>
      </c>
      <c r="C1654" s="227">
        <v>91011</v>
      </c>
    </row>
    <row r="1655" spans="2:3">
      <c r="B1655" s="131" t="s">
        <v>1917</v>
      </c>
      <c r="C1655" s="227">
        <v>91017</v>
      </c>
    </row>
    <row r="1656" spans="2:3">
      <c r="B1656" s="131" t="s">
        <v>1746</v>
      </c>
      <c r="C1656" s="227">
        <v>95008</v>
      </c>
    </row>
    <row r="1657" spans="2:3">
      <c r="B1657" s="131" t="s">
        <v>287</v>
      </c>
      <c r="C1657" s="227">
        <v>72657</v>
      </c>
    </row>
    <row r="1658" spans="2:3">
      <c r="B1658" s="131" t="s">
        <v>1880</v>
      </c>
      <c r="C1658" s="227">
        <v>90307</v>
      </c>
    </row>
    <row r="1659" spans="2:3">
      <c r="B1659" s="131" t="s">
        <v>552</v>
      </c>
      <c r="C1659" s="227">
        <v>98031</v>
      </c>
    </row>
    <row r="1660" spans="2:3">
      <c r="B1660" s="131" t="s">
        <v>559</v>
      </c>
      <c r="C1660" s="227">
        <v>98121</v>
      </c>
    </row>
    <row r="1661" spans="2:3">
      <c r="B1661" s="131" t="s">
        <v>501</v>
      </c>
      <c r="C1661" s="227">
        <v>96411</v>
      </c>
    </row>
    <row r="1662" spans="2:3">
      <c r="B1662" s="131" t="s">
        <v>381</v>
      </c>
      <c r="C1662" s="227">
        <v>92661</v>
      </c>
    </row>
    <row r="1663" spans="2:3">
      <c r="B1663" s="131" t="s">
        <v>486</v>
      </c>
      <c r="C1663" s="227">
        <v>96111</v>
      </c>
    </row>
    <row r="1664" spans="2:3">
      <c r="B1664" s="131" t="s">
        <v>1756</v>
      </c>
      <c r="C1664" s="227">
        <v>91032</v>
      </c>
    </row>
    <row r="1665" spans="2:3">
      <c r="B1665" s="131" t="s">
        <v>1757</v>
      </c>
      <c r="C1665" s="227">
        <v>97831</v>
      </c>
    </row>
    <row r="1666" spans="2:3">
      <c r="B1666" s="131" t="s">
        <v>1747</v>
      </c>
      <c r="C1666" s="227">
        <v>97837</v>
      </c>
    </row>
    <row r="1667" spans="2:3">
      <c r="B1667" s="131" t="s">
        <v>483</v>
      </c>
      <c r="C1667" s="227">
        <v>96061</v>
      </c>
    </row>
    <row r="1668" spans="2:3">
      <c r="B1668" s="131" t="s">
        <v>574</v>
      </c>
      <c r="C1668" s="227">
        <v>98481</v>
      </c>
    </row>
    <row r="1669" spans="2:3">
      <c r="B1669" s="131" t="s">
        <v>415</v>
      </c>
      <c r="C1669" s="227">
        <v>93602</v>
      </c>
    </row>
    <row r="1670" spans="2:3">
      <c r="B1670" s="131" t="s">
        <v>203</v>
      </c>
      <c r="C1670" s="227">
        <v>98401</v>
      </c>
    </row>
    <row r="1671" spans="2:3">
      <c r="B1671" s="131" t="s">
        <v>612</v>
      </c>
      <c r="C1671" s="227">
        <v>99821</v>
      </c>
    </row>
    <row r="1672" spans="2:3">
      <c r="B1672" s="131" t="s">
        <v>488</v>
      </c>
      <c r="C1672" s="227">
        <v>96211</v>
      </c>
    </row>
    <row r="1673" spans="2:3">
      <c r="B1673" s="131" t="s">
        <v>646</v>
      </c>
      <c r="C1673" s="227">
        <v>94911</v>
      </c>
    </row>
    <row r="1674" spans="2:3">
      <c r="B1674" s="131" t="s">
        <v>1873</v>
      </c>
      <c r="C1674" s="227">
        <v>94917</v>
      </c>
    </row>
    <row r="1675" spans="2:3">
      <c r="B1675" s="131" t="s">
        <v>377</v>
      </c>
      <c r="C1675" s="227">
        <v>92621</v>
      </c>
    </row>
    <row r="1676" spans="2:3">
      <c r="B1676" s="131" t="s">
        <v>204</v>
      </c>
      <c r="C1676" s="227">
        <v>98501</v>
      </c>
    </row>
    <row r="1677" spans="2:3">
      <c r="B1677" s="131" t="s">
        <v>549</v>
      </c>
      <c r="C1677" s="227">
        <v>97931</v>
      </c>
    </row>
    <row r="1678" spans="2:3">
      <c r="B1678" s="131" t="s">
        <v>422</v>
      </c>
      <c r="C1678" s="227">
        <v>93914</v>
      </c>
    </row>
    <row r="1679" spans="2:3">
      <c r="B1679" s="131" t="s">
        <v>305</v>
      </c>
      <c r="C1679" s="227">
        <v>90651</v>
      </c>
    </row>
    <row r="1680" spans="2:3">
      <c r="B1680" s="131" t="s">
        <v>430</v>
      </c>
      <c r="C1680" s="227">
        <v>94171</v>
      </c>
    </row>
    <row r="1681" spans="2:3">
      <c r="B1681" s="131" t="s">
        <v>108</v>
      </c>
      <c r="C1681" s="227">
        <v>94172</v>
      </c>
    </row>
    <row r="1682" spans="2:3">
      <c r="B1682" s="131" t="s">
        <v>323</v>
      </c>
      <c r="C1682" s="227">
        <v>91041</v>
      </c>
    </row>
    <row r="1683" spans="2:3">
      <c r="B1683" s="131" t="s">
        <v>1881</v>
      </c>
      <c r="C1683" s="227">
        <v>91047</v>
      </c>
    </row>
    <row r="1684" spans="2:3">
      <c r="B1684" s="131" t="s">
        <v>172</v>
      </c>
      <c r="C1684" s="227">
        <v>97131</v>
      </c>
    </row>
    <row r="1685" spans="2:3">
      <c r="B1685" s="131" t="s">
        <v>205</v>
      </c>
      <c r="C1685" s="227">
        <v>98601</v>
      </c>
    </row>
    <row r="1686" spans="2:3">
      <c r="B1686" s="131" t="s">
        <v>207</v>
      </c>
      <c r="C1686" s="227">
        <v>98701</v>
      </c>
    </row>
    <row r="1687" spans="2:3">
      <c r="B1687" s="131" t="s">
        <v>518</v>
      </c>
      <c r="C1687" s="227">
        <v>96721</v>
      </c>
    </row>
    <row r="1688" spans="2:3">
      <c r="B1688" s="131" t="s">
        <v>453</v>
      </c>
      <c r="C1688" s="227">
        <v>95011</v>
      </c>
    </row>
    <row r="1689" spans="2:3">
      <c r="B1689" s="131" t="s">
        <v>371</v>
      </c>
      <c r="C1689" s="227">
        <v>92451</v>
      </c>
    </row>
    <row r="1690" spans="2:3">
      <c r="B1690" s="131" t="s">
        <v>403</v>
      </c>
      <c r="C1690" s="227">
        <v>93311</v>
      </c>
    </row>
    <row r="1691" spans="2:3">
      <c r="B1691" s="131" t="s">
        <v>88</v>
      </c>
      <c r="C1691" s="227">
        <v>93317</v>
      </c>
    </row>
    <row r="1692" spans="2:3">
      <c r="B1692" s="131" t="s">
        <v>292</v>
      </c>
      <c r="C1692" s="227">
        <v>90211</v>
      </c>
    </row>
    <row r="1693" spans="2:3">
      <c r="B1693" s="131" t="s">
        <v>493</v>
      </c>
      <c r="C1693" s="227">
        <v>96302</v>
      </c>
    </row>
    <row r="1694" spans="2:3">
      <c r="B1694" s="131" t="s">
        <v>401</v>
      </c>
      <c r="C1694" s="227">
        <v>93181</v>
      </c>
    </row>
    <row r="1695" spans="2:3">
      <c r="B1695" s="131" t="s">
        <v>634</v>
      </c>
      <c r="C1695" s="227">
        <v>92911</v>
      </c>
    </row>
    <row r="1696" spans="2:3">
      <c r="B1696" s="131" t="s">
        <v>1874</v>
      </c>
      <c r="C1696" s="227">
        <v>92914</v>
      </c>
    </row>
    <row r="1697" spans="2:3">
      <c r="B1697" s="131" t="s">
        <v>80</v>
      </c>
      <c r="C1697" s="227">
        <v>92913</v>
      </c>
    </row>
    <row r="1698" spans="2:3">
      <c r="B1698" s="131" t="s">
        <v>683</v>
      </c>
      <c r="C1698" s="227">
        <v>93471</v>
      </c>
    </row>
    <row r="1699" spans="2:3">
      <c r="B1699" s="131" t="s">
        <v>1748</v>
      </c>
      <c r="C1699" s="227">
        <v>90098</v>
      </c>
    </row>
    <row r="1700" spans="2:3">
      <c r="B1700" s="131" t="s">
        <v>528</v>
      </c>
      <c r="C1700" s="227">
        <v>97121</v>
      </c>
    </row>
    <row r="1701" spans="2:3">
      <c r="B1701" s="131" t="s">
        <v>208</v>
      </c>
      <c r="C1701" s="227">
        <v>98801</v>
      </c>
    </row>
    <row r="1702" spans="2:3">
      <c r="B1702" s="131" t="s">
        <v>372</v>
      </c>
      <c r="C1702" s="227">
        <v>92521</v>
      </c>
    </row>
    <row r="1703" spans="2:3">
      <c r="B1703" s="131" t="s">
        <v>1633</v>
      </c>
      <c r="C1703" s="227">
        <v>93417</v>
      </c>
    </row>
    <row r="1704" spans="2:3">
      <c r="B1704" s="131" t="s">
        <v>86</v>
      </c>
      <c r="C1704" s="227">
        <v>93219</v>
      </c>
    </row>
    <row r="1705" spans="2:3">
      <c r="B1705" s="131" t="s">
        <v>1634</v>
      </c>
      <c r="C1705" s="227">
        <v>92513</v>
      </c>
    </row>
    <row r="1706" spans="2:3">
      <c r="B1706" s="131" t="s">
        <v>661</v>
      </c>
      <c r="C1706" s="227">
        <v>97661</v>
      </c>
    </row>
    <row r="1707" spans="2:3">
      <c r="B1707" s="131" t="s">
        <v>452</v>
      </c>
      <c r="C1707" s="227">
        <v>94931</v>
      </c>
    </row>
    <row r="1708" spans="2:3">
      <c r="B1708" s="131" t="s">
        <v>489</v>
      </c>
      <c r="C1708" s="227">
        <v>96221</v>
      </c>
    </row>
    <row r="1709" spans="2:3">
      <c r="B1709" s="131" t="s">
        <v>536</v>
      </c>
      <c r="C1709" s="227">
        <v>97511</v>
      </c>
    </row>
    <row r="1710" spans="2:3">
      <c r="B1710" s="131" t="s">
        <v>1759</v>
      </c>
      <c r="C1710" s="227">
        <v>95002</v>
      </c>
    </row>
    <row r="1711" spans="2:3">
      <c r="B1711" s="131" t="s">
        <v>566</v>
      </c>
      <c r="C1711" s="227">
        <v>98251</v>
      </c>
    </row>
    <row r="1712" spans="2:3">
      <c r="B1712" s="131" t="s">
        <v>1882</v>
      </c>
      <c r="C1712" s="227">
        <v>98904</v>
      </c>
    </row>
    <row r="1713" spans="2:3">
      <c r="B1713" s="131" t="s">
        <v>209</v>
      </c>
      <c r="C1713" s="227">
        <v>98901</v>
      </c>
    </row>
    <row r="1714" spans="2:3">
      <c r="B1714" s="131" t="s">
        <v>210</v>
      </c>
      <c r="C1714" s="227">
        <v>99001</v>
      </c>
    </row>
    <row r="1715" spans="2:3">
      <c r="B1715" s="131" t="s">
        <v>586</v>
      </c>
      <c r="C1715" s="227">
        <v>99061</v>
      </c>
    </row>
    <row r="1716" spans="2:3">
      <c r="B1716" s="131" t="s">
        <v>1760</v>
      </c>
      <c r="C1716" s="227">
        <v>93309</v>
      </c>
    </row>
    <row r="1717" spans="2:3">
      <c r="B1717" s="131" t="s">
        <v>332</v>
      </c>
      <c r="C1717" s="227">
        <v>91211</v>
      </c>
    </row>
    <row r="1718" spans="2:3">
      <c r="B1718" s="131" t="s">
        <v>51</v>
      </c>
      <c r="C1718" s="227">
        <v>91213</v>
      </c>
    </row>
    <row r="1719" spans="2:3">
      <c r="B1719" s="131" t="s">
        <v>212</v>
      </c>
      <c r="C1719" s="227">
        <v>99101</v>
      </c>
    </row>
    <row r="1720" spans="2:3">
      <c r="B1720" s="131" t="s">
        <v>1883</v>
      </c>
      <c r="C1720" s="227">
        <v>99104</v>
      </c>
    </row>
    <row r="1721" spans="2:3">
      <c r="B1721" s="131" t="s">
        <v>374</v>
      </c>
      <c r="C1721" s="227">
        <v>92551</v>
      </c>
    </row>
    <row r="1722" spans="2:3">
      <c r="B1722" s="131" t="s">
        <v>496</v>
      </c>
      <c r="C1722" s="227">
        <v>96321</v>
      </c>
    </row>
    <row r="1723" spans="2:3">
      <c r="B1723" s="131" t="s">
        <v>1761</v>
      </c>
      <c r="C1723" s="227">
        <v>95009</v>
      </c>
    </row>
    <row r="1724" spans="2:3">
      <c r="B1724" s="131" t="s">
        <v>379</v>
      </c>
      <c r="C1724" s="227">
        <v>92641</v>
      </c>
    </row>
    <row r="1725" spans="2:3">
      <c r="B1725" s="131" t="s">
        <v>293</v>
      </c>
      <c r="C1725" s="227">
        <v>90411</v>
      </c>
    </row>
    <row r="1726" spans="2:3">
      <c r="B1726" s="131" t="s">
        <v>1884</v>
      </c>
      <c r="C1726" s="227">
        <v>90417</v>
      </c>
    </row>
    <row r="1727" spans="2:3">
      <c r="B1727" s="131" t="s">
        <v>32</v>
      </c>
      <c r="C1727" s="227">
        <v>90413</v>
      </c>
    </row>
    <row r="1728" spans="2:3">
      <c r="B1728" s="131" t="s">
        <v>569</v>
      </c>
      <c r="C1728" s="227">
        <v>98321</v>
      </c>
    </row>
    <row r="1729" spans="2:3">
      <c r="B1729" s="131" t="s">
        <v>213</v>
      </c>
      <c r="C1729" s="227">
        <v>99201</v>
      </c>
    </row>
    <row r="1730" spans="2:3">
      <c r="B1730" s="131" t="s">
        <v>1885</v>
      </c>
      <c r="C1730" s="227">
        <v>99204</v>
      </c>
    </row>
    <row r="1731" spans="2:3">
      <c r="B1731" s="131" t="s">
        <v>214</v>
      </c>
      <c r="C1731" s="227">
        <v>99207</v>
      </c>
    </row>
    <row r="1732" spans="2:3">
      <c r="B1732" s="131" t="s">
        <v>597</v>
      </c>
      <c r="C1732" s="227">
        <v>99281</v>
      </c>
    </row>
    <row r="1733" spans="2:3">
      <c r="B1733" s="131" t="s">
        <v>410</v>
      </c>
      <c r="C1733" s="227">
        <v>93461</v>
      </c>
    </row>
    <row r="1734" spans="2:3">
      <c r="B1734" s="131" t="s">
        <v>398</v>
      </c>
      <c r="C1734" s="227">
        <v>93151</v>
      </c>
    </row>
    <row r="1735" spans="2:3">
      <c r="B1735" s="131" t="s">
        <v>1886</v>
      </c>
      <c r="C1735" s="227">
        <v>93157</v>
      </c>
    </row>
    <row r="1736" spans="2:3">
      <c r="B1736" s="131" t="s">
        <v>575</v>
      </c>
      <c r="C1736" s="227">
        <v>98511</v>
      </c>
    </row>
    <row r="1737" spans="2:3">
      <c r="B1737" s="131" t="s">
        <v>1887</v>
      </c>
      <c r="C1737" s="227">
        <v>98517</v>
      </c>
    </row>
    <row r="1738" spans="2:3">
      <c r="B1738" s="131" t="s">
        <v>286</v>
      </c>
      <c r="C1738" s="227">
        <v>99661</v>
      </c>
    </row>
    <row r="1739" spans="2:3">
      <c r="B1739" s="131" t="s">
        <v>426</v>
      </c>
      <c r="C1739" s="227">
        <v>94031</v>
      </c>
    </row>
    <row r="1740" spans="2:3">
      <c r="B1740" s="131" t="s">
        <v>217</v>
      </c>
      <c r="C1740" s="227">
        <v>99301</v>
      </c>
    </row>
    <row r="1741" spans="2:3">
      <c r="B1741" s="131" t="s">
        <v>1888</v>
      </c>
      <c r="C1741" s="227">
        <v>99304</v>
      </c>
    </row>
    <row r="1742" spans="2:3">
      <c r="B1742" s="131" t="s">
        <v>600</v>
      </c>
      <c r="C1742" s="227">
        <v>99321</v>
      </c>
    </row>
    <row r="1743" spans="2:3">
      <c r="B1743" s="131" t="s">
        <v>396</v>
      </c>
      <c r="C1743" s="227">
        <v>93131</v>
      </c>
    </row>
    <row r="1744" spans="2:3">
      <c r="B1744" s="131" t="s">
        <v>1889</v>
      </c>
      <c r="C1744" s="227">
        <v>93137</v>
      </c>
    </row>
    <row r="1745" spans="2:3">
      <c r="B1745" s="131" t="s">
        <v>622</v>
      </c>
      <c r="C1745" s="227">
        <v>90711</v>
      </c>
    </row>
    <row r="1746" spans="2:3">
      <c r="B1746" s="131" t="s">
        <v>218</v>
      </c>
      <c r="C1746" s="227">
        <v>99401</v>
      </c>
    </row>
    <row r="1747" spans="2:3">
      <c r="B1747" s="131" t="s">
        <v>1890</v>
      </c>
      <c r="C1747" s="227">
        <v>99404</v>
      </c>
    </row>
    <row r="1748" spans="2:3">
      <c r="B1748" s="131" t="s">
        <v>308</v>
      </c>
      <c r="C1748" s="227">
        <v>90741</v>
      </c>
    </row>
    <row r="1749" spans="2:3">
      <c r="B1749" s="131" t="s">
        <v>221</v>
      </c>
      <c r="C1749" s="227">
        <v>99501</v>
      </c>
    </row>
    <row r="1750" spans="2:3">
      <c r="B1750" s="131" t="s">
        <v>1762</v>
      </c>
      <c r="C1750" s="227">
        <v>99509</v>
      </c>
    </row>
    <row r="1751" spans="2:3">
      <c r="B1751" s="131" t="s">
        <v>1763</v>
      </c>
      <c r="C1751" s="51">
        <v>91302</v>
      </c>
    </row>
    <row r="1752" spans="2:3">
      <c r="B1752" s="131" t="s">
        <v>584</v>
      </c>
      <c r="C1752" s="227">
        <v>99041</v>
      </c>
    </row>
    <row r="1753" spans="2:3">
      <c r="B1753" s="131" t="s">
        <v>1891</v>
      </c>
      <c r="C1753" s="227">
        <v>99047</v>
      </c>
    </row>
    <row r="1754" spans="2:3">
      <c r="B1754" s="131" t="s">
        <v>224</v>
      </c>
      <c r="C1754" s="227">
        <v>99601</v>
      </c>
    </row>
    <row r="1755" spans="2:3">
      <c r="B1755" s="131" t="s">
        <v>1892</v>
      </c>
      <c r="C1755" s="227">
        <v>99604</v>
      </c>
    </row>
    <row r="1756" spans="2:3">
      <c r="B1756" s="131" t="s">
        <v>441</v>
      </c>
      <c r="C1756" s="227">
        <v>94411</v>
      </c>
    </row>
    <row r="1757" spans="2:3">
      <c r="B1757" s="131" t="s">
        <v>1893</v>
      </c>
      <c r="C1757" s="227">
        <v>94412</v>
      </c>
    </row>
    <row r="1758" spans="2:3">
      <c r="B1758" s="131" t="s">
        <v>328</v>
      </c>
      <c r="C1758" s="227">
        <v>91141</v>
      </c>
    </row>
    <row r="1759" spans="2:3">
      <c r="B1759" s="131" t="s">
        <v>1894</v>
      </c>
      <c r="C1759" s="227">
        <v>91147</v>
      </c>
    </row>
    <row r="1760" spans="2:3">
      <c r="B1760" s="131" t="s">
        <v>587</v>
      </c>
      <c r="C1760" s="227">
        <v>99071</v>
      </c>
    </row>
    <row r="1761" spans="2:3">
      <c r="B1761" s="131" t="s">
        <v>432</v>
      </c>
      <c r="C1761" s="227">
        <v>94231</v>
      </c>
    </row>
    <row r="1762" spans="2:3">
      <c r="B1762" s="131" t="s">
        <v>592</v>
      </c>
      <c r="C1762" s="227">
        <v>99231</v>
      </c>
    </row>
    <row r="1763" spans="2:3">
      <c r="B1763" s="131" t="s">
        <v>285</v>
      </c>
      <c r="C1763" s="227">
        <v>99091</v>
      </c>
    </row>
    <row r="1764" spans="2:3">
      <c r="B1764" s="131" t="s">
        <v>1764</v>
      </c>
      <c r="C1764" s="227">
        <v>91120</v>
      </c>
    </row>
    <row r="1765" spans="2:3">
      <c r="B1765" s="131" t="s">
        <v>1635</v>
      </c>
      <c r="C1765" s="227">
        <v>92444</v>
      </c>
    </row>
    <row r="1766" spans="2:3">
      <c r="B1766" s="131" t="s">
        <v>300</v>
      </c>
      <c r="C1766" s="227">
        <v>90521</v>
      </c>
    </row>
    <row r="1767" spans="2:3">
      <c r="B1767" s="131" t="s">
        <v>1895</v>
      </c>
      <c r="C1767" s="227">
        <v>90507</v>
      </c>
    </row>
    <row r="1768" spans="2:3">
      <c r="B1768" s="131" t="s">
        <v>1765</v>
      </c>
      <c r="C1768" s="227">
        <v>92602</v>
      </c>
    </row>
    <row r="1769" spans="2:3">
      <c r="B1769" s="131" t="s">
        <v>1766</v>
      </c>
      <c r="C1769" s="227">
        <v>91608</v>
      </c>
    </row>
    <row r="1770" spans="2:3">
      <c r="B1770" s="131" t="s">
        <v>678</v>
      </c>
      <c r="C1770" s="227">
        <v>91119</v>
      </c>
    </row>
    <row r="1771" spans="2:3">
      <c r="B1771" s="131" t="s">
        <v>1767</v>
      </c>
      <c r="C1771" s="227">
        <v>91107</v>
      </c>
    </row>
    <row r="1772" spans="2:3">
      <c r="B1772" s="131" t="s">
        <v>1768</v>
      </c>
      <c r="C1772" s="227">
        <v>91818</v>
      </c>
    </row>
    <row r="1773" spans="2:3">
      <c r="B1773" s="131" t="s">
        <v>60</v>
      </c>
      <c r="C1773" s="227">
        <v>91819</v>
      </c>
    </row>
    <row r="1774" spans="2:3">
      <c r="B1774" s="131" t="s">
        <v>282</v>
      </c>
      <c r="C1774" s="227">
        <v>96371</v>
      </c>
    </row>
    <row r="1775" spans="2:3">
      <c r="B1775" s="131" t="s">
        <v>504</v>
      </c>
      <c r="C1775" s="227">
        <v>96441</v>
      </c>
    </row>
    <row r="1776" spans="2:3">
      <c r="B1776" s="131" t="s">
        <v>314</v>
      </c>
      <c r="C1776" s="227">
        <v>90921</v>
      </c>
    </row>
    <row r="1777" spans="2:3">
      <c r="B1777" s="131" t="s">
        <v>631</v>
      </c>
      <c r="C1777" s="227">
        <v>92411</v>
      </c>
    </row>
    <row r="1778" spans="2:3">
      <c r="B1778" s="131" t="s">
        <v>1896</v>
      </c>
      <c r="C1778" s="227">
        <v>92417</v>
      </c>
    </row>
    <row r="1779" spans="2:3">
      <c r="B1779" s="131" t="s">
        <v>69</v>
      </c>
      <c r="C1779" s="227">
        <v>92403</v>
      </c>
    </row>
    <row r="1780" spans="2:3">
      <c r="B1780" s="131" t="s">
        <v>226</v>
      </c>
      <c r="C1780" s="227">
        <v>99701</v>
      </c>
    </row>
    <row r="1781" spans="2:3">
      <c r="B1781" s="131" t="s">
        <v>611</v>
      </c>
      <c r="C1781" s="227">
        <v>99721</v>
      </c>
    </row>
    <row r="1782" spans="2:3">
      <c r="B1782" s="131" t="s">
        <v>1897</v>
      </c>
      <c r="C1782" s="227">
        <v>99727</v>
      </c>
    </row>
    <row r="1783" spans="2:3">
      <c r="B1783" s="131" t="s">
        <v>651</v>
      </c>
      <c r="C1783" s="227">
        <v>95811</v>
      </c>
    </row>
    <row r="1784" spans="2:3">
      <c r="B1784" s="131" t="s">
        <v>142</v>
      </c>
      <c r="C1784" s="227">
        <v>95813</v>
      </c>
    </row>
    <row r="1785" spans="2:3">
      <c r="B1785" s="131" t="s">
        <v>653</v>
      </c>
      <c r="C1785" s="227">
        <v>96531</v>
      </c>
    </row>
    <row r="1786" spans="2:3">
      <c r="B1786" s="131" t="s">
        <v>154</v>
      </c>
      <c r="C1786" s="227">
        <v>96503</v>
      </c>
    </row>
    <row r="1787" spans="2:3">
      <c r="B1787" s="131" t="s">
        <v>676</v>
      </c>
      <c r="C1787" s="227">
        <v>99811</v>
      </c>
    </row>
    <row r="1788" spans="2:3">
      <c r="B1788" s="131" t="s">
        <v>1902</v>
      </c>
      <c r="C1788" s="227">
        <v>99818</v>
      </c>
    </row>
    <row r="1789" spans="2:3">
      <c r="B1789" s="131" t="s">
        <v>228</v>
      </c>
      <c r="C1789" s="227">
        <v>99801</v>
      </c>
    </row>
    <row r="1790" spans="2:3">
      <c r="B1790" s="131" t="s">
        <v>1898</v>
      </c>
      <c r="C1790" s="227">
        <v>99804</v>
      </c>
    </row>
    <row r="1791" spans="2:3">
      <c r="B1791" s="131" t="s">
        <v>1769</v>
      </c>
      <c r="C1791" s="227">
        <v>99802</v>
      </c>
    </row>
    <row r="1792" spans="2:3">
      <c r="B1792" s="131" t="s">
        <v>1770</v>
      </c>
      <c r="C1792" s="227">
        <v>99812</v>
      </c>
    </row>
    <row r="1793" spans="2:3">
      <c r="B1793" s="131" t="s">
        <v>1758</v>
      </c>
      <c r="C1793" s="227">
        <v>95191</v>
      </c>
    </row>
    <row r="1794" spans="2:3">
      <c r="B1794" s="131" t="s">
        <v>311</v>
      </c>
      <c r="C1794" s="227">
        <v>90812</v>
      </c>
    </row>
    <row r="1795" spans="2:3">
      <c r="B1795" s="131" t="s">
        <v>530</v>
      </c>
      <c r="C1795" s="227">
        <v>97221</v>
      </c>
    </row>
    <row r="1796" spans="2:3">
      <c r="B1796" s="131" t="s">
        <v>583</v>
      </c>
      <c r="C1796" s="227">
        <v>99031</v>
      </c>
    </row>
    <row r="1797" spans="2:3">
      <c r="B1797" s="131" t="s">
        <v>637</v>
      </c>
      <c r="C1797" s="227">
        <v>93411</v>
      </c>
    </row>
    <row r="1798" spans="2:3">
      <c r="B1798" s="131" t="s">
        <v>93</v>
      </c>
      <c r="C1798" s="227">
        <v>93413</v>
      </c>
    </row>
    <row r="1799" spans="2:3">
      <c r="B1799" s="131" t="s">
        <v>533</v>
      </c>
      <c r="C1799" s="227">
        <v>97451</v>
      </c>
    </row>
    <row r="1800" spans="2:3">
      <c r="B1800" s="131" t="s">
        <v>449</v>
      </c>
      <c r="C1800" s="227">
        <v>94631</v>
      </c>
    </row>
    <row r="1801" spans="2:3">
      <c r="B1801" s="131" t="s">
        <v>331</v>
      </c>
      <c r="C1801" s="227">
        <v>91171</v>
      </c>
    </row>
    <row r="1802" spans="2:3">
      <c r="B1802" s="131" t="s">
        <v>46</v>
      </c>
      <c r="C1802" s="227">
        <v>91104</v>
      </c>
    </row>
    <row r="1803" spans="2:3">
      <c r="B1803" s="131" t="s">
        <v>1771</v>
      </c>
      <c r="C1803" s="227">
        <v>91109</v>
      </c>
    </row>
    <row r="1804" spans="2:3">
      <c r="B1804" s="131" t="s">
        <v>511</v>
      </c>
      <c r="C1804" s="227">
        <v>96621</v>
      </c>
    </row>
    <row r="1805" spans="2:3">
      <c r="B1805" s="131" t="s">
        <v>507</v>
      </c>
      <c r="C1805" s="227">
        <v>96511</v>
      </c>
    </row>
    <row r="1806" spans="2:3">
      <c r="B1806" s="131" t="s">
        <v>229</v>
      </c>
      <c r="C1806" s="227">
        <v>99901</v>
      </c>
    </row>
    <row r="1807" spans="2:3">
      <c r="B1807" s="131" t="s">
        <v>1636</v>
      </c>
      <c r="C1807" s="227">
        <v>98604</v>
      </c>
    </row>
    <row r="1808" spans="2:3">
      <c r="B1808" s="131" t="s">
        <v>206</v>
      </c>
      <c r="C1808" s="227">
        <v>98608</v>
      </c>
    </row>
    <row r="1809" spans="2:3">
      <c r="B1809" s="131" t="s">
        <v>616</v>
      </c>
      <c r="C1809" s="227">
        <v>99911</v>
      </c>
    </row>
    <row r="1810" spans="2:3">
      <c r="B1810" s="131" t="s">
        <v>26</v>
      </c>
      <c r="C1810" s="227">
        <v>90001</v>
      </c>
    </row>
    <row r="1811" spans="2:3">
      <c r="B1811" s="131" t="s">
        <v>1772</v>
      </c>
      <c r="C1811" s="227">
        <v>90002</v>
      </c>
    </row>
    <row r="1812" spans="2:3">
      <c r="B1812" s="131" t="s">
        <v>353</v>
      </c>
      <c r="C1812" s="227">
        <v>91719</v>
      </c>
    </row>
    <row r="1813" spans="2:3">
      <c r="B1813" s="131" t="s">
        <v>414</v>
      </c>
      <c r="C1813" s="227">
        <v>93541</v>
      </c>
    </row>
    <row r="1814" spans="2:3">
      <c r="B1814" s="131" t="s">
        <v>593</v>
      </c>
      <c r="C1814" s="227">
        <v>99241</v>
      </c>
    </row>
  </sheetData>
  <pageMargins left="0" right="0" top="0.75" bottom="0.75" header="0.3" footer="0.3"/>
  <pageSetup scale="46"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5E9B-6A0F-46FD-B5B4-0CD177A65ACB}">
  <sheetPr>
    <pageSetUpPr fitToPage="1"/>
  </sheetPr>
  <dimension ref="A1:V1811"/>
  <sheetViews>
    <sheetView zoomScaleNormal="100" workbookViewId="0">
      <pane ySplit="7" topLeftCell="A8" activePane="bottomLeft" state="frozen"/>
      <selection pane="bottomLeft"/>
    </sheetView>
  </sheetViews>
  <sheetFormatPr defaultColWidth="9.140625" defaultRowHeight="15"/>
  <cols>
    <col min="1" max="1" width="15.28515625" style="210" customWidth="1"/>
    <col min="2" max="2" width="39.5703125" style="210" customWidth="1"/>
    <col min="3" max="5" width="13.85546875" style="210" customWidth="1"/>
    <col min="6" max="6" width="13.42578125" style="210" customWidth="1"/>
    <col min="7" max="7" width="18.28515625" style="210" customWidth="1"/>
    <col min="8" max="8" width="1.5703125" style="210" customWidth="1"/>
    <col min="9" max="9" width="18.28515625" style="210" customWidth="1"/>
    <col min="10" max="10" width="20" style="210" customWidth="1"/>
    <col min="11" max="11" width="14.42578125" style="210" customWidth="1"/>
    <col min="12" max="12" width="19.42578125" style="210" customWidth="1"/>
    <col min="13" max="13" width="3" style="210" customWidth="1"/>
    <col min="14" max="14" width="18.28515625" style="210" customWidth="1"/>
    <col min="15" max="15" width="20" style="210" customWidth="1"/>
    <col min="16" max="16" width="9.140625" style="210" customWidth="1"/>
    <col min="17" max="17" width="19.42578125" style="210" customWidth="1"/>
    <col min="18" max="18" width="14" style="210" customWidth="1"/>
    <col min="19" max="19" width="2.42578125" style="210" customWidth="1"/>
    <col min="20" max="20" width="13.85546875" style="210" customWidth="1"/>
    <col min="21" max="21" width="22.42578125" style="210" customWidth="1"/>
    <col min="22" max="22" width="14.28515625" style="210" customWidth="1"/>
    <col min="23" max="16384" width="9.140625" style="210"/>
  </cols>
  <sheetData>
    <row r="1" spans="1:22">
      <c r="A1" s="210" t="s">
        <v>2816</v>
      </c>
    </row>
    <row r="2" spans="1:22">
      <c r="A2" s="210" t="s">
        <v>2817</v>
      </c>
    </row>
    <row r="3" spans="1:22">
      <c r="B3" s="54" t="s">
        <v>2824</v>
      </c>
      <c r="C3" s="261">
        <f>SUM(C9:C907)</f>
        <v>1</v>
      </c>
      <c r="D3" s="261">
        <f>SUM(D9:D907)</f>
        <v>1</v>
      </c>
      <c r="E3" s="247">
        <f>SUM(E9:E907)</f>
        <v>411243352.90999979</v>
      </c>
      <c r="F3" s="247">
        <f>SUM(F9:F907)</f>
        <v>448793978.815</v>
      </c>
      <c r="G3" s="247">
        <f>SUM(G9:G907)</f>
        <v>2122335001.9649999</v>
      </c>
      <c r="H3" s="247"/>
      <c r="I3" s="247">
        <f>SUM(I9:I907)</f>
        <v>39875005.324999996</v>
      </c>
      <c r="J3" s="247">
        <f>SUM(J9:J907)</f>
        <v>1859842000.4500003</v>
      </c>
      <c r="K3" s="247">
        <f>SUM(K9:K907)</f>
        <v>145360990.26999998</v>
      </c>
      <c r="L3" s="247">
        <f>SUM(L9:L907)</f>
        <v>47059866.95000001</v>
      </c>
      <c r="M3" s="247"/>
      <c r="N3" s="247">
        <f>SUM(N9:N907)</f>
        <v>74369002.819999993</v>
      </c>
      <c r="O3" s="247">
        <f>SUM(O9:O907)</f>
        <v>686457998.14499998</v>
      </c>
      <c r="P3" s="247">
        <f>SUM(P9:P907)</f>
        <v>0</v>
      </c>
      <c r="Q3" s="247">
        <f>SUM(Q9:Q907)</f>
        <v>47059539.410000004</v>
      </c>
      <c r="R3" s="247"/>
      <c r="S3" s="247"/>
      <c r="T3" s="247">
        <f>SUM(T9:T907)</f>
        <v>567268992.93000007</v>
      </c>
      <c r="U3" s="247">
        <f>SUM(U9:U907)</f>
        <v>95</v>
      </c>
      <c r="V3" s="247">
        <f>SUM(V9:V907)</f>
        <v>567269105</v>
      </c>
    </row>
    <row r="4" spans="1:22">
      <c r="C4" s="261">
        <v>1</v>
      </c>
      <c r="D4" s="261">
        <v>1</v>
      </c>
      <c r="E4" s="247">
        <v>411243352.90999979</v>
      </c>
      <c r="F4" s="247">
        <v>448793978.815</v>
      </c>
      <c r="G4" s="247">
        <v>2122335001.9649999</v>
      </c>
      <c r="H4" s="247"/>
      <c r="I4" s="247">
        <v>39875005.324999996</v>
      </c>
      <c r="J4" s="247">
        <v>1859842000.4500003</v>
      </c>
      <c r="K4" s="247">
        <v>145360990.26999998</v>
      </c>
      <c r="L4" s="247">
        <v>47059866.95000001</v>
      </c>
      <c r="M4" s="247"/>
      <c r="N4" s="247">
        <v>74369002.819999993</v>
      </c>
      <c r="O4" s="247">
        <v>686457998.14499998</v>
      </c>
      <c r="P4" s="247">
        <v>0</v>
      </c>
      <c r="Q4" s="247">
        <v>47059539.410000004</v>
      </c>
      <c r="R4" s="247"/>
      <c r="S4" s="247"/>
      <c r="T4" s="247">
        <v>567268992.93000007</v>
      </c>
      <c r="U4" s="247">
        <v>95</v>
      </c>
      <c r="V4" s="247">
        <v>567269105</v>
      </c>
    </row>
    <row r="6" spans="1:22">
      <c r="A6" s="47" t="s">
        <v>2818</v>
      </c>
      <c r="I6" s="257" t="s">
        <v>2</v>
      </c>
      <c r="J6" s="257"/>
      <c r="K6" s="257"/>
      <c r="L6" s="257"/>
      <c r="N6" s="257" t="s">
        <v>3</v>
      </c>
      <c r="O6" s="257"/>
      <c r="P6" s="257"/>
      <c r="Q6" s="257"/>
      <c r="T6" s="257" t="s">
        <v>4</v>
      </c>
      <c r="U6" s="257"/>
      <c r="V6" s="257"/>
    </row>
    <row r="7" spans="1:22" ht="165">
      <c r="A7" s="7" t="s">
        <v>2819</v>
      </c>
      <c r="B7" s="7" t="s">
        <v>1</v>
      </c>
      <c r="C7" s="7" t="s">
        <v>263</v>
      </c>
      <c r="D7" s="7" t="s">
        <v>264</v>
      </c>
      <c r="E7" s="7" t="s">
        <v>2820</v>
      </c>
      <c r="F7" s="7" t="s">
        <v>2821</v>
      </c>
      <c r="G7" s="7" t="s">
        <v>2822</v>
      </c>
      <c r="H7" s="7"/>
      <c r="I7" s="7" t="s">
        <v>5</v>
      </c>
      <c r="J7" s="7" t="s">
        <v>6</v>
      </c>
      <c r="K7" s="7" t="s">
        <v>7</v>
      </c>
      <c r="L7" s="7" t="s">
        <v>8</v>
      </c>
      <c r="M7" s="7"/>
      <c r="N7" s="7" t="s">
        <v>5</v>
      </c>
      <c r="O7" s="7" t="s">
        <v>6</v>
      </c>
      <c r="P7" s="7" t="s">
        <v>7</v>
      </c>
      <c r="Q7" s="7" t="s">
        <v>8</v>
      </c>
      <c r="R7" s="7" t="s">
        <v>2823</v>
      </c>
      <c r="S7" s="7"/>
      <c r="T7" s="7" t="s">
        <v>9</v>
      </c>
      <c r="U7" s="7" t="s">
        <v>10</v>
      </c>
      <c r="V7" s="7" t="s">
        <v>11</v>
      </c>
    </row>
    <row r="8" spans="1:22">
      <c r="A8" s="7" t="s">
        <v>692</v>
      </c>
      <c r="B8" s="60" t="s">
        <v>691</v>
      </c>
      <c r="C8" s="233"/>
      <c r="D8" s="233"/>
      <c r="E8" s="233"/>
      <c r="F8" s="233"/>
      <c r="G8" s="233"/>
      <c r="H8" s="7"/>
      <c r="I8" s="233"/>
      <c r="J8" s="233"/>
      <c r="K8" s="233"/>
      <c r="L8" s="233"/>
      <c r="M8" s="258"/>
      <c r="N8" s="233"/>
      <c r="O8" s="233"/>
      <c r="P8" s="233"/>
      <c r="Q8" s="233"/>
      <c r="R8" s="233">
        <f>IF(J8&gt;O8,J8-O8,O8-J8)</f>
        <v>0</v>
      </c>
      <c r="S8" s="233"/>
      <c r="T8" s="233"/>
      <c r="U8" s="233"/>
      <c r="V8" s="233"/>
    </row>
    <row r="9" spans="1:22">
      <c r="A9" s="227">
        <v>70505</v>
      </c>
      <c r="B9" s="228" t="s">
        <v>727</v>
      </c>
      <c r="C9" s="87">
        <v>4.6880000000000001E-4</v>
      </c>
      <c r="D9" s="87">
        <v>5.0319999999999998E-4</v>
      </c>
      <c r="E9" s="232">
        <v>186822.36000000002</v>
      </c>
      <c r="F9" s="232">
        <v>225833</v>
      </c>
      <c r="G9" s="232">
        <v>994951</v>
      </c>
      <c r="H9" s="232"/>
      <c r="I9" s="233">
        <v>18693</v>
      </c>
      <c r="J9" s="233">
        <v>871894</v>
      </c>
      <c r="K9" s="233">
        <v>68145</v>
      </c>
      <c r="L9" s="232">
        <v>0</v>
      </c>
      <c r="M9" s="232"/>
      <c r="N9" s="233">
        <v>34864</v>
      </c>
      <c r="O9" s="233">
        <v>321812</v>
      </c>
      <c r="P9" s="233">
        <v>0</v>
      </c>
      <c r="Q9" s="232">
        <v>31773</v>
      </c>
      <c r="R9" s="233">
        <f t="shared" ref="R9:R72" si="0">IF(J9&gt;O9,J9-O9,O9-J9)</f>
        <v>550082</v>
      </c>
      <c r="S9" s="232"/>
      <c r="T9" s="233">
        <v>265936</v>
      </c>
      <c r="U9" s="234">
        <v>-10267</v>
      </c>
      <c r="V9" s="234">
        <v>255668</v>
      </c>
    </row>
    <row r="10" spans="1:22">
      <c r="A10" s="227">
        <v>98414</v>
      </c>
      <c r="B10" s="228" t="s">
        <v>1491</v>
      </c>
      <c r="C10" s="87">
        <v>4.3600000000000003E-5</v>
      </c>
      <c r="D10" s="87">
        <v>4.3699999999999998E-5</v>
      </c>
      <c r="E10" s="232">
        <v>14646.29</v>
      </c>
      <c r="F10" s="232">
        <v>19612</v>
      </c>
      <c r="G10" s="232">
        <v>92534</v>
      </c>
      <c r="H10" s="232"/>
      <c r="I10" s="233">
        <v>1739</v>
      </c>
      <c r="J10" s="233">
        <v>81089</v>
      </c>
      <c r="K10" s="233">
        <v>6338</v>
      </c>
      <c r="L10" s="232">
        <v>0</v>
      </c>
      <c r="M10" s="232"/>
      <c r="N10" s="233">
        <v>3242</v>
      </c>
      <c r="O10" s="233">
        <v>29930</v>
      </c>
      <c r="P10" s="233">
        <v>0</v>
      </c>
      <c r="Q10" s="232">
        <v>6350</v>
      </c>
      <c r="R10" s="233">
        <f t="shared" si="0"/>
        <v>51159</v>
      </c>
      <c r="S10" s="232"/>
      <c r="T10" s="233">
        <v>24733</v>
      </c>
      <c r="U10" s="234">
        <v>-2337</v>
      </c>
      <c r="V10" s="234">
        <v>22396</v>
      </c>
    </row>
    <row r="11" spans="1:22">
      <c r="A11" s="227">
        <v>72265</v>
      </c>
      <c r="B11" s="228" t="s">
        <v>728</v>
      </c>
      <c r="C11" s="87">
        <v>1.327E-4</v>
      </c>
      <c r="D11" s="87">
        <v>1.3329999999999999E-4</v>
      </c>
      <c r="E11" s="232">
        <v>48904.860000000008</v>
      </c>
      <c r="F11" s="232">
        <v>59824</v>
      </c>
      <c r="G11" s="232">
        <v>281634</v>
      </c>
      <c r="H11" s="232"/>
      <c r="I11" s="233">
        <v>5291</v>
      </c>
      <c r="J11" s="233">
        <v>246801</v>
      </c>
      <c r="K11" s="233">
        <v>19289</v>
      </c>
      <c r="L11" s="232">
        <v>7214</v>
      </c>
      <c r="M11" s="232"/>
      <c r="N11" s="233">
        <v>9869</v>
      </c>
      <c r="O11" s="233">
        <v>91093</v>
      </c>
      <c r="P11" s="233">
        <v>0</v>
      </c>
      <c r="Q11" s="232">
        <v>5063</v>
      </c>
      <c r="R11" s="233">
        <f t="shared" si="0"/>
        <v>155708</v>
      </c>
      <c r="S11" s="232"/>
      <c r="T11" s="233">
        <v>75277</v>
      </c>
      <c r="U11" s="234">
        <v>2291</v>
      </c>
      <c r="V11" s="234">
        <v>77567</v>
      </c>
    </row>
    <row r="12" spans="1:22">
      <c r="A12" s="227">
        <v>72657</v>
      </c>
      <c r="B12" s="228" t="s">
        <v>730</v>
      </c>
      <c r="C12" s="87">
        <v>4.2799999999999997E-5</v>
      </c>
      <c r="D12" s="87">
        <v>4.0800000000000002E-5</v>
      </c>
      <c r="E12" s="232">
        <v>15356.17</v>
      </c>
      <c r="F12" s="232">
        <v>18311</v>
      </c>
      <c r="G12" s="232">
        <v>90836</v>
      </c>
      <c r="H12" s="232"/>
      <c r="I12" s="233">
        <v>1707</v>
      </c>
      <c r="J12" s="233">
        <v>79601</v>
      </c>
      <c r="K12" s="233">
        <v>6221</v>
      </c>
      <c r="L12" s="232">
        <v>6577</v>
      </c>
      <c r="M12" s="232"/>
      <c r="N12" s="233">
        <v>3183</v>
      </c>
      <c r="O12" s="233">
        <v>29380</v>
      </c>
      <c r="P12" s="233">
        <v>0</v>
      </c>
      <c r="Q12" s="232">
        <v>4643</v>
      </c>
      <c r="R12" s="233">
        <f t="shared" si="0"/>
        <v>50221</v>
      </c>
      <c r="S12" s="232"/>
      <c r="T12" s="233">
        <v>24279</v>
      </c>
      <c r="U12" s="234">
        <v>1725</v>
      </c>
      <c r="V12" s="234">
        <v>26005</v>
      </c>
    </row>
    <row r="13" spans="1:22">
      <c r="A13" s="227">
        <v>90001</v>
      </c>
      <c r="B13" s="228" t="s">
        <v>731</v>
      </c>
      <c r="C13" s="87">
        <v>8.6910000000000004E-4</v>
      </c>
      <c r="D13" s="87">
        <v>8.2339999999999996E-4</v>
      </c>
      <c r="E13" s="232">
        <v>342847.56999999995</v>
      </c>
      <c r="F13" s="232">
        <v>369537</v>
      </c>
      <c r="G13" s="232">
        <v>1844521</v>
      </c>
      <c r="H13" s="232"/>
      <c r="I13" s="233">
        <v>34655</v>
      </c>
      <c r="J13" s="233">
        <v>1616389</v>
      </c>
      <c r="K13" s="233">
        <v>126333</v>
      </c>
      <c r="L13" s="232">
        <v>17611</v>
      </c>
      <c r="M13" s="232"/>
      <c r="N13" s="233">
        <v>64634</v>
      </c>
      <c r="O13" s="233">
        <v>596601</v>
      </c>
      <c r="P13" s="233">
        <v>0</v>
      </c>
      <c r="Q13" s="232">
        <v>4549</v>
      </c>
      <c r="R13" s="233">
        <f t="shared" si="0"/>
        <v>1019788</v>
      </c>
      <c r="S13" s="232"/>
      <c r="T13" s="233">
        <v>493013</v>
      </c>
      <c r="U13" s="234">
        <v>4026</v>
      </c>
      <c r="V13" s="234">
        <v>497039</v>
      </c>
    </row>
    <row r="14" spans="1:22">
      <c r="A14" s="227">
        <v>90002</v>
      </c>
      <c r="B14" s="228" t="s">
        <v>732</v>
      </c>
      <c r="C14" s="87">
        <v>1.15E-5</v>
      </c>
      <c r="D14" s="87">
        <v>1.15E-5</v>
      </c>
      <c r="E14" s="232">
        <v>5944.7300000000005</v>
      </c>
      <c r="F14" s="232">
        <v>5161</v>
      </c>
      <c r="G14" s="232">
        <v>24407</v>
      </c>
      <c r="H14" s="232"/>
      <c r="I14" s="233">
        <v>458.5625</v>
      </c>
      <c r="J14" s="233">
        <v>21388</v>
      </c>
      <c r="K14" s="233">
        <v>1672</v>
      </c>
      <c r="L14" s="232">
        <v>1428</v>
      </c>
      <c r="M14" s="232"/>
      <c r="N14" s="233">
        <v>855</v>
      </c>
      <c r="O14" s="233">
        <v>7894</v>
      </c>
      <c r="P14" s="233">
        <v>0</v>
      </c>
      <c r="Q14" s="232">
        <v>0</v>
      </c>
      <c r="R14" s="233">
        <f t="shared" si="0"/>
        <v>13494</v>
      </c>
      <c r="S14" s="232"/>
      <c r="T14" s="233">
        <v>6524</v>
      </c>
      <c r="U14" s="234">
        <v>436</v>
      </c>
      <c r="V14" s="234">
        <v>6960</v>
      </c>
    </row>
    <row r="15" spans="1:22">
      <c r="A15" s="227">
        <v>90011</v>
      </c>
      <c r="B15" s="228" t="s">
        <v>733</v>
      </c>
      <c r="C15" s="87">
        <v>2.0819999999999999E-4</v>
      </c>
      <c r="D15" s="87">
        <v>2.2800000000000001E-4</v>
      </c>
      <c r="E15" s="232">
        <v>74533.509999999995</v>
      </c>
      <c r="F15" s="232">
        <v>102325</v>
      </c>
      <c r="G15" s="232">
        <v>441870</v>
      </c>
      <c r="H15" s="232"/>
      <c r="I15" s="233">
        <v>8302</v>
      </c>
      <c r="J15" s="233">
        <v>387219</v>
      </c>
      <c r="K15" s="233">
        <v>30264</v>
      </c>
      <c r="L15" s="232">
        <v>4623</v>
      </c>
      <c r="M15" s="232"/>
      <c r="N15" s="233">
        <v>15484</v>
      </c>
      <c r="O15" s="233">
        <v>142921</v>
      </c>
      <c r="P15" s="233">
        <v>0</v>
      </c>
      <c r="Q15" s="232">
        <v>24562</v>
      </c>
      <c r="R15" s="233">
        <f t="shared" si="0"/>
        <v>244298</v>
      </c>
      <c r="S15" s="232"/>
      <c r="T15" s="233">
        <v>118105</v>
      </c>
      <c r="U15" s="234">
        <v>-4521</v>
      </c>
      <c r="V15" s="234">
        <v>113585</v>
      </c>
    </row>
    <row r="16" spans="1:22">
      <c r="A16" s="227">
        <v>90092</v>
      </c>
      <c r="B16" s="228" t="s">
        <v>734</v>
      </c>
      <c r="C16" s="87">
        <v>3.946E-4</v>
      </c>
      <c r="D16" s="87">
        <v>4.8670000000000001E-4</v>
      </c>
      <c r="E16" s="232">
        <v>169426.22</v>
      </c>
      <c r="F16" s="232">
        <v>218428</v>
      </c>
      <c r="G16" s="232">
        <v>837473</v>
      </c>
      <c r="H16" s="232"/>
      <c r="I16" s="233">
        <v>15735</v>
      </c>
      <c r="J16" s="233">
        <v>733894</v>
      </c>
      <c r="K16" s="233">
        <v>57359</v>
      </c>
      <c r="L16" s="232">
        <v>0</v>
      </c>
      <c r="M16" s="232"/>
      <c r="N16" s="233">
        <v>29346</v>
      </c>
      <c r="O16" s="233">
        <v>270876</v>
      </c>
      <c r="P16" s="233">
        <v>0</v>
      </c>
      <c r="Q16" s="232">
        <v>115870</v>
      </c>
      <c r="R16" s="233">
        <f t="shared" si="0"/>
        <v>463018</v>
      </c>
      <c r="S16" s="232"/>
      <c r="T16" s="233">
        <v>223844</v>
      </c>
      <c r="U16" s="234">
        <v>-40775</v>
      </c>
      <c r="V16" s="234">
        <v>183070</v>
      </c>
    </row>
    <row r="17" spans="1:22">
      <c r="A17" s="227">
        <v>90096</v>
      </c>
      <c r="B17" s="228" t="s">
        <v>735</v>
      </c>
      <c r="C17" s="87">
        <v>1.3860999999999999E-3</v>
      </c>
      <c r="D17" s="87">
        <v>1.4866E-3</v>
      </c>
      <c r="E17" s="232">
        <v>582268.12000000011</v>
      </c>
      <c r="F17" s="232">
        <v>667177</v>
      </c>
      <c r="G17" s="232">
        <v>2941769</v>
      </c>
      <c r="H17" s="232"/>
      <c r="I17" s="233">
        <v>55271</v>
      </c>
      <c r="J17" s="233">
        <v>2577927</v>
      </c>
      <c r="K17" s="233">
        <v>201485</v>
      </c>
      <c r="L17" s="232">
        <v>79002</v>
      </c>
      <c r="M17" s="232"/>
      <c r="N17" s="233">
        <v>103083</v>
      </c>
      <c r="O17" s="233">
        <v>951499</v>
      </c>
      <c r="P17" s="233">
        <v>0</v>
      </c>
      <c r="Q17" s="232">
        <v>44718</v>
      </c>
      <c r="R17" s="233">
        <f t="shared" si="0"/>
        <v>1626428</v>
      </c>
      <c r="S17" s="232"/>
      <c r="T17" s="233">
        <v>786292</v>
      </c>
      <c r="U17" s="234">
        <v>23820</v>
      </c>
      <c r="V17" s="234">
        <v>810111</v>
      </c>
    </row>
    <row r="18" spans="1:22">
      <c r="A18" s="227">
        <v>90098</v>
      </c>
      <c r="B18" s="228" t="s">
        <v>736</v>
      </c>
      <c r="C18" s="87">
        <v>2.9280000000000002E-4</v>
      </c>
      <c r="D18" s="87">
        <v>5.0869999999999995E-4</v>
      </c>
      <c r="E18" s="232">
        <v>129330.10999999997</v>
      </c>
      <c r="F18" s="232">
        <v>228302</v>
      </c>
      <c r="G18" s="232">
        <v>621420</v>
      </c>
      <c r="H18" s="232"/>
      <c r="I18" s="233">
        <v>11675</v>
      </c>
      <c r="J18" s="233">
        <v>544562</v>
      </c>
      <c r="K18" s="233">
        <v>42562</v>
      </c>
      <c r="L18" s="232">
        <v>0</v>
      </c>
      <c r="M18" s="232"/>
      <c r="N18" s="233">
        <v>21775</v>
      </c>
      <c r="O18" s="233">
        <v>200995</v>
      </c>
      <c r="P18" s="233">
        <v>0</v>
      </c>
      <c r="Q18" s="232">
        <v>163662</v>
      </c>
      <c r="R18" s="233">
        <f t="shared" si="0"/>
        <v>343567</v>
      </c>
      <c r="S18" s="232"/>
      <c r="T18" s="233">
        <v>166096</v>
      </c>
      <c r="U18" s="234">
        <v>-52769</v>
      </c>
      <c r="V18" s="234">
        <v>113327</v>
      </c>
    </row>
    <row r="19" spans="1:22">
      <c r="A19" s="227">
        <v>90099</v>
      </c>
      <c r="B19" s="228" t="s">
        <v>737</v>
      </c>
      <c r="C19" s="87">
        <v>4.9330000000000001E-4</v>
      </c>
      <c r="D19" s="87">
        <v>5.9599999999999996E-4</v>
      </c>
      <c r="E19" s="232">
        <v>207476.25</v>
      </c>
      <c r="F19" s="232">
        <v>267481</v>
      </c>
      <c r="G19" s="232">
        <v>1046948</v>
      </c>
      <c r="H19" s="232"/>
      <c r="I19" s="233">
        <v>19670</v>
      </c>
      <c r="J19" s="233">
        <v>917460</v>
      </c>
      <c r="K19" s="233">
        <v>71707</v>
      </c>
      <c r="L19" s="232">
        <v>4838</v>
      </c>
      <c r="M19" s="232"/>
      <c r="N19" s="233">
        <v>36686</v>
      </c>
      <c r="O19" s="233">
        <v>338630</v>
      </c>
      <c r="P19" s="233">
        <v>0</v>
      </c>
      <c r="Q19" s="232">
        <v>60491</v>
      </c>
      <c r="R19" s="233">
        <f t="shared" si="0"/>
        <v>578830</v>
      </c>
      <c r="S19" s="232"/>
      <c r="T19" s="233">
        <v>279834</v>
      </c>
      <c r="U19" s="234">
        <v>-14054</v>
      </c>
      <c r="V19" s="234">
        <v>265780</v>
      </c>
    </row>
    <row r="20" spans="1:22">
      <c r="A20" s="227">
        <v>90101</v>
      </c>
      <c r="B20" s="228" t="s">
        <v>738</v>
      </c>
      <c r="C20" s="87">
        <v>6.3996000000000001E-3</v>
      </c>
      <c r="D20" s="87">
        <v>6.1599000000000003E-3</v>
      </c>
      <c r="E20" s="232">
        <v>2594375.06</v>
      </c>
      <c r="F20" s="232">
        <v>2764526</v>
      </c>
      <c r="G20" s="232">
        <v>13582095</v>
      </c>
      <c r="H20" s="232"/>
      <c r="I20" s="233">
        <v>255184</v>
      </c>
      <c r="J20" s="233">
        <v>11902245</v>
      </c>
      <c r="K20" s="233">
        <v>930252</v>
      </c>
      <c r="L20" s="232">
        <v>229062</v>
      </c>
      <c r="M20" s="232"/>
      <c r="N20" s="233">
        <v>475932</v>
      </c>
      <c r="O20" s="233">
        <v>4393057</v>
      </c>
      <c r="P20" s="233">
        <v>0</v>
      </c>
      <c r="Q20" s="232">
        <v>51491</v>
      </c>
      <c r="R20" s="233">
        <f t="shared" si="0"/>
        <v>7509188</v>
      </c>
      <c r="S20" s="232"/>
      <c r="T20" s="233">
        <v>3630295</v>
      </c>
      <c r="U20" s="234">
        <v>45786</v>
      </c>
      <c r="V20" s="234">
        <v>3676081</v>
      </c>
    </row>
    <row r="21" spans="1:22">
      <c r="A21" s="227">
        <v>90111</v>
      </c>
      <c r="B21" s="228" t="s">
        <v>739</v>
      </c>
      <c r="C21" s="87">
        <v>4.8874000000000001E-3</v>
      </c>
      <c r="D21" s="87">
        <v>4.9893000000000003E-3</v>
      </c>
      <c r="E21" s="232">
        <v>1973481.4</v>
      </c>
      <c r="F21" s="232">
        <v>2239168</v>
      </c>
      <c r="G21" s="232">
        <v>10372700</v>
      </c>
      <c r="H21" s="232"/>
      <c r="I21" s="233">
        <v>194885</v>
      </c>
      <c r="J21" s="233">
        <v>9089792</v>
      </c>
      <c r="K21" s="233">
        <v>710437</v>
      </c>
      <c r="L21" s="232">
        <v>0</v>
      </c>
      <c r="M21" s="232"/>
      <c r="N21" s="233">
        <v>363471</v>
      </c>
      <c r="O21" s="233">
        <v>3354995</v>
      </c>
      <c r="P21" s="233">
        <v>0</v>
      </c>
      <c r="Q21" s="232">
        <v>163983</v>
      </c>
      <c r="R21" s="233">
        <f t="shared" si="0"/>
        <v>5734797</v>
      </c>
      <c r="S21" s="232"/>
      <c r="T21" s="233">
        <v>2772471</v>
      </c>
      <c r="U21" s="234">
        <v>-57381</v>
      </c>
      <c r="V21" s="234">
        <v>2715090</v>
      </c>
    </row>
    <row r="22" spans="1:22">
      <c r="A22" s="227">
        <v>90114</v>
      </c>
      <c r="B22" s="228" t="s">
        <v>740</v>
      </c>
      <c r="C22" s="87">
        <v>1.0681E-3</v>
      </c>
      <c r="D22" s="87">
        <v>1.0043000000000001E-3</v>
      </c>
      <c r="E22" s="232">
        <v>1022991.7599999999</v>
      </c>
      <c r="F22" s="232">
        <v>450724</v>
      </c>
      <c r="G22" s="232">
        <v>2266866</v>
      </c>
      <c r="H22" s="232"/>
      <c r="I22" s="233">
        <v>42590</v>
      </c>
      <c r="J22" s="233">
        <v>1986497</v>
      </c>
      <c r="K22" s="233">
        <v>155260</v>
      </c>
      <c r="L22" s="232">
        <v>821100</v>
      </c>
      <c r="M22" s="232"/>
      <c r="N22" s="233">
        <v>79434</v>
      </c>
      <c r="O22" s="233">
        <v>733206</v>
      </c>
      <c r="P22" s="233">
        <v>0</v>
      </c>
      <c r="Q22" s="232">
        <v>0</v>
      </c>
      <c r="R22" s="233">
        <f t="shared" si="0"/>
        <v>1253291</v>
      </c>
      <c r="S22" s="232"/>
      <c r="T22" s="233">
        <v>605900</v>
      </c>
      <c r="U22" s="234">
        <v>245765</v>
      </c>
      <c r="V22" s="234">
        <v>851665</v>
      </c>
    </row>
    <row r="23" spans="1:22">
      <c r="A23" s="227">
        <v>90117</v>
      </c>
      <c r="B23" s="228" t="s">
        <v>741</v>
      </c>
      <c r="C23" s="87">
        <v>1.35E-4</v>
      </c>
      <c r="D23" s="87">
        <v>1.3019999999999999E-4</v>
      </c>
      <c r="E23" s="232">
        <v>78954.289999999994</v>
      </c>
      <c r="F23" s="232">
        <v>58433</v>
      </c>
      <c r="G23" s="232">
        <v>286515</v>
      </c>
      <c r="H23" s="232"/>
      <c r="I23" s="233">
        <v>5383.125</v>
      </c>
      <c r="J23" s="233">
        <v>251078.67</v>
      </c>
      <c r="K23" s="233">
        <v>19624</v>
      </c>
      <c r="L23" s="232">
        <v>42554</v>
      </c>
      <c r="M23" s="232"/>
      <c r="N23" s="233">
        <v>10040</v>
      </c>
      <c r="O23" s="233">
        <v>92671.83</v>
      </c>
      <c r="P23" s="233">
        <v>0</v>
      </c>
      <c r="Q23" s="232">
        <v>0</v>
      </c>
      <c r="R23" s="233">
        <f t="shared" si="0"/>
        <v>158406.84000000003</v>
      </c>
      <c r="S23" s="232"/>
      <c r="T23" s="233">
        <v>76581</v>
      </c>
      <c r="U23" s="234">
        <v>14293</v>
      </c>
      <c r="V23" s="234">
        <v>90874</v>
      </c>
    </row>
    <row r="24" spans="1:22">
      <c r="A24" s="227">
        <v>90121</v>
      </c>
      <c r="B24" s="228" t="s">
        <v>742</v>
      </c>
      <c r="C24" s="87">
        <v>1.0789E-3</v>
      </c>
      <c r="D24" s="87">
        <v>1.1057E-3</v>
      </c>
      <c r="E24" s="232">
        <v>394125.90000000008</v>
      </c>
      <c r="F24" s="232">
        <v>496232</v>
      </c>
      <c r="G24" s="232">
        <v>2289787</v>
      </c>
      <c r="H24" s="232"/>
      <c r="I24" s="233">
        <v>43021</v>
      </c>
      <c r="J24" s="233">
        <v>2006584</v>
      </c>
      <c r="K24" s="233">
        <v>156830</v>
      </c>
      <c r="L24" s="232">
        <v>6521</v>
      </c>
      <c r="M24" s="232"/>
      <c r="N24" s="233">
        <v>80237</v>
      </c>
      <c r="O24" s="233">
        <v>740620</v>
      </c>
      <c r="P24" s="233">
        <v>0</v>
      </c>
      <c r="Q24" s="232">
        <v>74370</v>
      </c>
      <c r="R24" s="233">
        <f t="shared" si="0"/>
        <v>1265964</v>
      </c>
      <c r="S24" s="232"/>
      <c r="T24" s="233">
        <v>612027</v>
      </c>
      <c r="U24" s="234">
        <v>-17947</v>
      </c>
      <c r="V24" s="234">
        <v>594079</v>
      </c>
    </row>
    <row r="25" spans="1:22">
      <c r="A25" s="227">
        <v>90131</v>
      </c>
      <c r="B25" s="228" t="s">
        <v>743</v>
      </c>
      <c r="C25" s="87">
        <v>5.0440000000000001E-4</v>
      </c>
      <c r="D25" s="87">
        <v>4.727E-4</v>
      </c>
      <c r="E25" s="232">
        <v>173703.08999999997</v>
      </c>
      <c r="F25" s="232">
        <v>212145</v>
      </c>
      <c r="G25" s="232">
        <v>1070506</v>
      </c>
      <c r="H25" s="232"/>
      <c r="I25" s="233">
        <v>20112.95</v>
      </c>
      <c r="J25" s="233">
        <v>938104</v>
      </c>
      <c r="K25" s="233">
        <v>73320</v>
      </c>
      <c r="L25" s="232">
        <v>0</v>
      </c>
      <c r="M25" s="232"/>
      <c r="N25" s="233">
        <v>37512</v>
      </c>
      <c r="O25" s="233">
        <v>346249</v>
      </c>
      <c r="P25" s="233">
        <v>0</v>
      </c>
      <c r="Q25" s="232">
        <v>23072</v>
      </c>
      <c r="R25" s="233">
        <f t="shared" si="0"/>
        <v>591855</v>
      </c>
      <c r="S25" s="232"/>
      <c r="T25" s="233">
        <v>286130</v>
      </c>
      <c r="U25" s="234">
        <v>-8951</v>
      </c>
      <c r="V25" s="234">
        <v>277180</v>
      </c>
    </row>
    <row r="26" spans="1:22">
      <c r="A26" s="227">
        <v>90141</v>
      </c>
      <c r="B26" s="228" t="s">
        <v>744</v>
      </c>
      <c r="C26" s="87">
        <v>1.306E-4</v>
      </c>
      <c r="D26" s="87">
        <v>1.5919999999999999E-4</v>
      </c>
      <c r="E26" s="232">
        <v>55925.87</v>
      </c>
      <c r="F26" s="232">
        <v>71448</v>
      </c>
      <c r="G26" s="232">
        <v>277177</v>
      </c>
      <c r="H26" s="232"/>
      <c r="I26" s="233">
        <v>5208</v>
      </c>
      <c r="J26" s="233">
        <v>242895</v>
      </c>
      <c r="K26" s="233">
        <v>18984</v>
      </c>
      <c r="L26" s="232">
        <v>2143</v>
      </c>
      <c r="M26" s="232"/>
      <c r="N26" s="233">
        <v>9713</v>
      </c>
      <c r="O26" s="233">
        <v>89651</v>
      </c>
      <c r="P26" s="233">
        <v>0</v>
      </c>
      <c r="Q26" s="232">
        <v>13732</v>
      </c>
      <c r="R26" s="233">
        <f t="shared" si="0"/>
        <v>153244</v>
      </c>
      <c r="S26" s="232"/>
      <c r="T26" s="233">
        <v>74085</v>
      </c>
      <c r="U26" s="234">
        <v>-2701</v>
      </c>
      <c r="V26" s="234">
        <v>71385</v>
      </c>
    </row>
    <row r="27" spans="1:22">
      <c r="A27" s="227">
        <v>90151</v>
      </c>
      <c r="B27" s="228" t="s">
        <v>745</v>
      </c>
      <c r="C27" s="87">
        <v>1.0000000000000001E-5</v>
      </c>
      <c r="D27" s="87">
        <v>9.7999999999999993E-6</v>
      </c>
      <c r="E27" s="232">
        <v>2703</v>
      </c>
      <c r="F27" s="232">
        <v>4398</v>
      </c>
      <c r="G27" s="232">
        <v>21223</v>
      </c>
      <c r="H27" s="232"/>
      <c r="I27" s="233">
        <v>399</v>
      </c>
      <c r="J27" s="233">
        <v>18598</v>
      </c>
      <c r="K27" s="233">
        <v>1454</v>
      </c>
      <c r="L27" s="232">
        <v>0</v>
      </c>
      <c r="M27" s="232"/>
      <c r="N27" s="233">
        <v>743.69</v>
      </c>
      <c r="O27" s="233">
        <v>6865</v>
      </c>
      <c r="P27" s="233">
        <v>0</v>
      </c>
      <c r="Q27" s="232">
        <v>2266</v>
      </c>
      <c r="R27" s="233">
        <f t="shared" si="0"/>
        <v>11733</v>
      </c>
      <c r="S27" s="232"/>
      <c r="T27" s="233">
        <v>5673</v>
      </c>
      <c r="U27" s="234">
        <v>-782</v>
      </c>
      <c r="V27" s="234">
        <v>4891</v>
      </c>
    </row>
    <row r="28" spans="1:22">
      <c r="A28" s="227">
        <v>90161</v>
      </c>
      <c r="B28" s="228" t="s">
        <v>746</v>
      </c>
      <c r="C28" s="87">
        <v>3.4799999999999999E-5</v>
      </c>
      <c r="D28" s="87">
        <v>2.6299999999999999E-5</v>
      </c>
      <c r="E28" s="232">
        <v>13115.62</v>
      </c>
      <c r="F28" s="232">
        <v>11803</v>
      </c>
      <c r="G28" s="232">
        <v>73857</v>
      </c>
      <c r="H28" s="232"/>
      <c r="I28" s="233">
        <v>1388</v>
      </c>
      <c r="J28" s="233">
        <v>64723</v>
      </c>
      <c r="K28" s="233">
        <v>5059</v>
      </c>
      <c r="L28" s="232">
        <v>5728</v>
      </c>
      <c r="M28" s="232"/>
      <c r="N28" s="233">
        <v>2588</v>
      </c>
      <c r="O28" s="233">
        <v>23889</v>
      </c>
      <c r="P28" s="233">
        <v>0</v>
      </c>
      <c r="Q28" s="232">
        <v>0</v>
      </c>
      <c r="R28" s="233">
        <f t="shared" si="0"/>
        <v>40834</v>
      </c>
      <c r="S28" s="232"/>
      <c r="T28" s="233">
        <v>19741</v>
      </c>
      <c r="U28" s="234">
        <v>1706</v>
      </c>
      <c r="V28" s="234">
        <v>21447</v>
      </c>
    </row>
    <row r="29" spans="1:22">
      <c r="A29" s="227">
        <v>90201</v>
      </c>
      <c r="B29" s="228" t="s">
        <v>747</v>
      </c>
      <c r="C29" s="87">
        <v>1.2419E-3</v>
      </c>
      <c r="D29" s="87">
        <v>1.1842999999999999E-3</v>
      </c>
      <c r="E29" s="232">
        <v>470870.10999999993</v>
      </c>
      <c r="F29" s="232">
        <v>531507</v>
      </c>
      <c r="G29" s="232">
        <v>2635728</v>
      </c>
      <c r="H29" s="232"/>
      <c r="I29" s="233">
        <v>49521</v>
      </c>
      <c r="J29" s="233">
        <v>2309738</v>
      </c>
      <c r="K29" s="233">
        <v>180524</v>
      </c>
      <c r="L29" s="232">
        <v>70694</v>
      </c>
      <c r="M29" s="232"/>
      <c r="N29" s="233">
        <v>92359</v>
      </c>
      <c r="O29" s="233">
        <v>852512</v>
      </c>
      <c r="P29" s="233">
        <v>0</v>
      </c>
      <c r="Q29" s="232">
        <v>450</v>
      </c>
      <c r="R29" s="233">
        <f t="shared" si="0"/>
        <v>1457226</v>
      </c>
      <c r="S29" s="232"/>
      <c r="T29" s="233">
        <v>704491</v>
      </c>
      <c r="U29" s="234">
        <v>33957</v>
      </c>
      <c r="V29" s="234">
        <v>738448</v>
      </c>
    </row>
    <row r="30" spans="1:22">
      <c r="A30" s="227">
        <v>90203</v>
      </c>
      <c r="B30" s="228" t="s">
        <v>748</v>
      </c>
      <c r="C30" s="87">
        <v>2.3680000000000001E-4</v>
      </c>
      <c r="D30" s="87">
        <v>2.7530000000000002E-4</v>
      </c>
      <c r="E30" s="232">
        <v>95317.989999999991</v>
      </c>
      <c r="F30" s="232">
        <v>123553</v>
      </c>
      <c r="G30" s="232">
        <v>502569</v>
      </c>
      <c r="H30" s="232"/>
      <c r="I30" s="233">
        <v>9442.4</v>
      </c>
      <c r="J30" s="233">
        <v>440411</v>
      </c>
      <c r="K30" s="233">
        <v>34421</v>
      </c>
      <c r="L30" s="232">
        <v>3338</v>
      </c>
      <c r="M30" s="232"/>
      <c r="N30" s="233">
        <v>17611</v>
      </c>
      <c r="O30" s="233">
        <v>162553</v>
      </c>
      <c r="P30" s="233">
        <v>0</v>
      </c>
      <c r="Q30" s="232">
        <v>36458</v>
      </c>
      <c r="R30" s="233">
        <f t="shared" si="0"/>
        <v>277858</v>
      </c>
      <c r="S30" s="232"/>
      <c r="T30" s="233">
        <v>134329</v>
      </c>
      <c r="U30" s="234">
        <v>-11660</v>
      </c>
      <c r="V30" s="234">
        <v>122669</v>
      </c>
    </row>
    <row r="31" spans="1:22">
      <c r="A31" s="227">
        <v>90205</v>
      </c>
      <c r="B31" s="228" t="s">
        <v>749</v>
      </c>
      <c r="C31" s="87">
        <v>3.3599999999999997E-5</v>
      </c>
      <c r="D31" s="87">
        <v>3.5299999999999997E-5</v>
      </c>
      <c r="E31" s="232">
        <v>13992.72</v>
      </c>
      <c r="F31" s="232">
        <v>15842</v>
      </c>
      <c r="G31" s="232">
        <v>71310</v>
      </c>
      <c r="H31" s="232"/>
      <c r="I31" s="233">
        <v>1339.8</v>
      </c>
      <c r="J31" s="233">
        <v>62491</v>
      </c>
      <c r="K31" s="233">
        <v>4884</v>
      </c>
      <c r="L31" s="232">
        <v>1378</v>
      </c>
      <c r="M31" s="232"/>
      <c r="N31" s="233">
        <v>2499</v>
      </c>
      <c r="O31" s="233">
        <v>23065</v>
      </c>
      <c r="P31" s="233">
        <v>0</v>
      </c>
      <c r="Q31" s="232">
        <v>782</v>
      </c>
      <c r="R31" s="233">
        <f t="shared" si="0"/>
        <v>39426</v>
      </c>
      <c r="S31" s="232"/>
      <c r="T31" s="233">
        <v>19060</v>
      </c>
      <c r="U31" s="234">
        <v>406</v>
      </c>
      <c r="V31" s="234">
        <v>19467</v>
      </c>
    </row>
    <row r="32" spans="1:22">
      <c r="A32" s="227">
        <v>90206</v>
      </c>
      <c r="B32" s="228" t="s">
        <v>750</v>
      </c>
      <c r="C32" s="87">
        <v>4.347E-4</v>
      </c>
      <c r="D32" s="87">
        <v>4.3810000000000002E-4</v>
      </c>
      <c r="E32" s="232">
        <v>170440.57</v>
      </c>
      <c r="F32" s="232">
        <v>196617</v>
      </c>
      <c r="G32" s="232">
        <v>922579</v>
      </c>
      <c r="H32" s="232"/>
      <c r="I32" s="233">
        <v>17334</v>
      </c>
      <c r="J32" s="233">
        <v>808473</v>
      </c>
      <c r="K32" s="233">
        <v>63188</v>
      </c>
      <c r="L32" s="232">
        <v>18047</v>
      </c>
      <c r="M32" s="232"/>
      <c r="N32" s="233">
        <v>32328</v>
      </c>
      <c r="O32" s="233">
        <v>298403</v>
      </c>
      <c r="P32" s="233">
        <v>0</v>
      </c>
      <c r="Q32" s="232">
        <v>12515</v>
      </c>
      <c r="R32" s="233">
        <f t="shared" si="0"/>
        <v>510070</v>
      </c>
      <c r="S32" s="232"/>
      <c r="T32" s="233">
        <v>246592</v>
      </c>
      <c r="U32" s="234">
        <v>5439</v>
      </c>
      <c r="V32" s="234">
        <v>252031</v>
      </c>
    </row>
    <row r="33" spans="1:22">
      <c r="A33" s="227">
        <v>90211</v>
      </c>
      <c r="B33" s="228" t="s">
        <v>751</v>
      </c>
      <c r="C33" s="87">
        <v>1.5689999999999999E-4</v>
      </c>
      <c r="D33" s="87">
        <v>1.708E-4</v>
      </c>
      <c r="E33" s="232">
        <v>58969.799999999996</v>
      </c>
      <c r="F33" s="232">
        <v>76654</v>
      </c>
      <c r="G33" s="232">
        <v>332994</v>
      </c>
      <c r="H33" s="232"/>
      <c r="I33" s="233">
        <v>6256</v>
      </c>
      <c r="J33" s="233">
        <v>291809</v>
      </c>
      <c r="K33" s="233">
        <v>22807</v>
      </c>
      <c r="L33" s="232">
        <v>0</v>
      </c>
      <c r="M33" s="232"/>
      <c r="N33" s="233">
        <v>11668</v>
      </c>
      <c r="O33" s="233">
        <v>107705</v>
      </c>
      <c r="P33" s="233">
        <v>0</v>
      </c>
      <c r="Q33" s="232">
        <v>17335</v>
      </c>
      <c r="R33" s="233">
        <f t="shared" si="0"/>
        <v>184104</v>
      </c>
      <c r="S33" s="232"/>
      <c r="T33" s="233">
        <v>89005</v>
      </c>
      <c r="U33" s="234">
        <v>-5305</v>
      </c>
      <c r="V33" s="234">
        <v>83699</v>
      </c>
    </row>
    <row r="34" spans="1:22">
      <c r="A34" s="227">
        <v>90301</v>
      </c>
      <c r="B34" s="228" t="s">
        <v>752</v>
      </c>
      <c r="C34" s="87">
        <v>6.4000000000000005E-4</v>
      </c>
      <c r="D34" s="87">
        <v>6.2489999999999996E-4</v>
      </c>
      <c r="E34" s="232">
        <v>241334.31</v>
      </c>
      <c r="F34" s="232">
        <v>280451</v>
      </c>
      <c r="G34" s="232">
        <v>1358294</v>
      </c>
      <c r="H34" s="232"/>
      <c r="I34" s="233">
        <v>25520</v>
      </c>
      <c r="J34" s="233">
        <v>1190299</v>
      </c>
      <c r="K34" s="233">
        <v>93031</v>
      </c>
      <c r="L34" s="232">
        <v>6684</v>
      </c>
      <c r="M34" s="232"/>
      <c r="N34" s="233">
        <v>47596.160000000003</v>
      </c>
      <c r="O34" s="233">
        <v>439333</v>
      </c>
      <c r="P34" s="233">
        <v>0</v>
      </c>
      <c r="Q34" s="232">
        <v>19561</v>
      </c>
      <c r="R34" s="233">
        <f t="shared" si="0"/>
        <v>750966</v>
      </c>
      <c r="S34" s="232"/>
      <c r="T34" s="233">
        <v>363052</v>
      </c>
      <c r="U34" s="234">
        <v>-5224</v>
      </c>
      <c r="V34" s="234">
        <v>357828</v>
      </c>
    </row>
    <row r="35" spans="1:22">
      <c r="A35" s="227">
        <v>90305</v>
      </c>
      <c r="B35" s="228" t="s">
        <v>753</v>
      </c>
      <c r="C35" s="87">
        <v>1.7009999999999999E-4</v>
      </c>
      <c r="D35" s="87">
        <v>1.773E-4</v>
      </c>
      <c r="E35" s="232">
        <v>84901.17</v>
      </c>
      <c r="F35" s="232">
        <v>79571</v>
      </c>
      <c r="G35" s="232">
        <v>361009</v>
      </c>
      <c r="H35" s="232"/>
      <c r="I35" s="233">
        <v>6783</v>
      </c>
      <c r="J35" s="233">
        <v>316359</v>
      </c>
      <c r="K35" s="233">
        <v>24726</v>
      </c>
      <c r="L35" s="232">
        <v>26122</v>
      </c>
      <c r="M35" s="232"/>
      <c r="N35" s="233">
        <v>12650</v>
      </c>
      <c r="O35" s="233">
        <v>116767</v>
      </c>
      <c r="P35" s="233">
        <v>0</v>
      </c>
      <c r="Q35" s="232">
        <v>0</v>
      </c>
      <c r="R35" s="233">
        <f t="shared" si="0"/>
        <v>199592</v>
      </c>
      <c r="S35" s="232"/>
      <c r="T35" s="233">
        <v>96492</v>
      </c>
      <c r="U35" s="234">
        <v>9101</v>
      </c>
      <c r="V35" s="234">
        <v>105594</v>
      </c>
    </row>
    <row r="36" spans="1:22">
      <c r="A36" s="227">
        <v>90307</v>
      </c>
      <c r="B36" s="228" t="s">
        <v>754</v>
      </c>
      <c r="C36" s="87">
        <v>7.7000000000000008E-6</v>
      </c>
      <c r="D36" s="87">
        <v>8.4999999999999999E-6</v>
      </c>
      <c r="E36" s="232">
        <v>3744.0999999999995</v>
      </c>
      <c r="F36" s="232">
        <v>3815</v>
      </c>
      <c r="G36" s="232">
        <v>16342</v>
      </c>
      <c r="H36" s="232"/>
      <c r="I36" s="233">
        <v>307</v>
      </c>
      <c r="J36" s="233">
        <v>14321</v>
      </c>
      <c r="K36" s="233">
        <v>1119</v>
      </c>
      <c r="L36" s="232">
        <v>213</v>
      </c>
      <c r="M36" s="232"/>
      <c r="N36" s="233">
        <v>573</v>
      </c>
      <c r="O36" s="233">
        <v>5286</v>
      </c>
      <c r="P36" s="233">
        <v>0</v>
      </c>
      <c r="Q36" s="232">
        <v>80</v>
      </c>
      <c r="R36" s="233">
        <f t="shared" si="0"/>
        <v>9035</v>
      </c>
      <c r="S36" s="232"/>
      <c r="T36" s="233">
        <v>4368</v>
      </c>
      <c r="U36" s="234">
        <v>33</v>
      </c>
      <c r="V36" s="234">
        <v>4401</v>
      </c>
    </row>
    <row r="37" spans="1:22">
      <c r="A37" s="227">
        <v>90401</v>
      </c>
      <c r="B37" s="228" t="s">
        <v>755</v>
      </c>
      <c r="C37" s="87">
        <v>1.3626999999999999E-3</v>
      </c>
      <c r="D37" s="87">
        <v>1.359E-3</v>
      </c>
      <c r="E37" s="232">
        <v>569788.09</v>
      </c>
      <c r="F37" s="232">
        <v>609911</v>
      </c>
      <c r="G37" s="232">
        <v>2892106</v>
      </c>
      <c r="H37" s="232"/>
      <c r="I37" s="233">
        <v>54338</v>
      </c>
      <c r="J37" s="233">
        <v>2534407</v>
      </c>
      <c r="K37" s="233">
        <v>198083</v>
      </c>
      <c r="L37" s="232">
        <v>70826</v>
      </c>
      <c r="M37" s="232"/>
      <c r="N37" s="233">
        <v>101343</v>
      </c>
      <c r="O37" s="233">
        <v>935436</v>
      </c>
      <c r="P37" s="233">
        <v>0</v>
      </c>
      <c r="Q37" s="232">
        <v>0</v>
      </c>
      <c r="R37" s="233">
        <f t="shared" si="0"/>
        <v>1598971</v>
      </c>
      <c r="S37" s="232"/>
      <c r="T37" s="233">
        <v>773017</v>
      </c>
      <c r="U37" s="234">
        <v>26807</v>
      </c>
      <c r="V37" s="234">
        <v>799824</v>
      </c>
    </row>
    <row r="38" spans="1:22">
      <c r="A38" s="227">
        <v>90411</v>
      </c>
      <c r="B38" s="228" t="s">
        <v>756</v>
      </c>
      <c r="C38" s="87">
        <v>3.5490000000000001E-4</v>
      </c>
      <c r="D38" s="87">
        <v>4.0069999999999998E-4</v>
      </c>
      <c r="E38" s="232">
        <v>139271.16</v>
      </c>
      <c r="F38" s="232">
        <v>179832</v>
      </c>
      <c r="G38" s="232">
        <v>753217</v>
      </c>
      <c r="H38" s="232"/>
      <c r="I38" s="233">
        <v>14152</v>
      </c>
      <c r="J38" s="233">
        <v>660058</v>
      </c>
      <c r="K38" s="233">
        <v>51589</v>
      </c>
      <c r="L38" s="232">
        <v>0</v>
      </c>
      <c r="M38" s="232"/>
      <c r="N38" s="233">
        <v>26394</v>
      </c>
      <c r="O38" s="233">
        <v>243624</v>
      </c>
      <c r="P38" s="233">
        <v>0</v>
      </c>
      <c r="Q38" s="232">
        <v>45866</v>
      </c>
      <c r="R38" s="233">
        <f t="shared" si="0"/>
        <v>416434</v>
      </c>
      <c r="S38" s="232"/>
      <c r="T38" s="233">
        <v>201324</v>
      </c>
      <c r="U38" s="234">
        <v>-13553</v>
      </c>
      <c r="V38" s="234">
        <v>187770</v>
      </c>
    </row>
    <row r="39" spans="1:22">
      <c r="A39" s="227">
        <v>90413</v>
      </c>
      <c r="B39" s="228" t="s">
        <v>757</v>
      </c>
      <c r="C39" s="87">
        <v>3.7299999999999999E-5</v>
      </c>
      <c r="D39" s="87">
        <v>3.6399999999999997E-5</v>
      </c>
      <c r="E39" s="232">
        <v>16559.900000000001</v>
      </c>
      <c r="F39" s="232">
        <v>16336</v>
      </c>
      <c r="G39" s="232">
        <v>79163</v>
      </c>
      <c r="H39" s="232"/>
      <c r="I39" s="233">
        <v>1487</v>
      </c>
      <c r="J39" s="233">
        <v>69372</v>
      </c>
      <c r="K39" s="233">
        <v>5422</v>
      </c>
      <c r="L39" s="232">
        <v>9568</v>
      </c>
      <c r="M39" s="232"/>
      <c r="N39" s="233">
        <v>2774</v>
      </c>
      <c r="O39" s="233">
        <v>25605</v>
      </c>
      <c r="P39" s="233">
        <v>0</v>
      </c>
      <c r="Q39" s="232">
        <v>0</v>
      </c>
      <c r="R39" s="233">
        <f t="shared" si="0"/>
        <v>43767</v>
      </c>
      <c r="S39" s="232"/>
      <c r="T39" s="233">
        <v>21159</v>
      </c>
      <c r="U39" s="234">
        <v>3645</v>
      </c>
      <c r="V39" s="234">
        <v>24804</v>
      </c>
    </row>
    <row r="40" spans="1:22">
      <c r="A40" s="227">
        <v>90417</v>
      </c>
      <c r="B40" s="228" t="s">
        <v>758</v>
      </c>
      <c r="C40" s="87">
        <v>1.2099999999999999E-5</v>
      </c>
      <c r="D40" s="87">
        <v>1.38E-5</v>
      </c>
      <c r="E40" s="232">
        <v>7491.5899999999983</v>
      </c>
      <c r="F40" s="232">
        <v>6193</v>
      </c>
      <c r="G40" s="232">
        <v>25680</v>
      </c>
      <c r="H40" s="232"/>
      <c r="I40" s="233">
        <v>482</v>
      </c>
      <c r="J40" s="233">
        <v>22504</v>
      </c>
      <c r="K40" s="233">
        <v>1759</v>
      </c>
      <c r="L40" s="232">
        <v>2032</v>
      </c>
      <c r="M40" s="232"/>
      <c r="N40" s="233">
        <v>900</v>
      </c>
      <c r="O40" s="233">
        <v>8306</v>
      </c>
      <c r="P40" s="233">
        <v>0</v>
      </c>
      <c r="Q40" s="232">
        <v>0</v>
      </c>
      <c r="R40" s="233">
        <f t="shared" si="0"/>
        <v>14198</v>
      </c>
      <c r="S40" s="232"/>
      <c r="T40" s="233">
        <v>6864</v>
      </c>
      <c r="U40" s="234">
        <v>687</v>
      </c>
      <c r="V40" s="234">
        <v>7551</v>
      </c>
    </row>
    <row r="41" spans="1:22">
      <c r="A41" s="227">
        <v>90421</v>
      </c>
      <c r="B41" s="228" t="s">
        <v>759</v>
      </c>
      <c r="C41" s="87">
        <v>2.3600000000000001E-5</v>
      </c>
      <c r="D41" s="87">
        <v>2.4700000000000001E-5</v>
      </c>
      <c r="E41" s="232">
        <v>7745.31</v>
      </c>
      <c r="F41" s="232">
        <v>11085</v>
      </c>
      <c r="G41" s="232">
        <v>50087</v>
      </c>
      <c r="H41" s="232"/>
      <c r="I41" s="233">
        <v>941</v>
      </c>
      <c r="J41" s="233">
        <v>43892</v>
      </c>
      <c r="K41" s="233">
        <v>3431</v>
      </c>
      <c r="L41" s="232">
        <v>0</v>
      </c>
      <c r="M41" s="232"/>
      <c r="N41" s="233">
        <v>1755</v>
      </c>
      <c r="O41" s="233">
        <v>16200</v>
      </c>
      <c r="P41" s="233">
        <v>0</v>
      </c>
      <c r="Q41" s="232">
        <v>3590</v>
      </c>
      <c r="R41" s="233">
        <f t="shared" si="0"/>
        <v>27692</v>
      </c>
      <c r="S41" s="232"/>
      <c r="T41" s="233">
        <v>13388</v>
      </c>
      <c r="U41" s="234">
        <v>-1226</v>
      </c>
      <c r="V41" s="234">
        <v>12162</v>
      </c>
    </row>
    <row r="42" spans="1:22">
      <c r="A42" s="227">
        <v>90431</v>
      </c>
      <c r="B42" s="228" t="s">
        <v>760</v>
      </c>
      <c r="C42" s="87">
        <v>4.2799999999999997E-5</v>
      </c>
      <c r="D42" s="87">
        <v>4.7599999999999998E-5</v>
      </c>
      <c r="E42" s="232">
        <v>18711.07</v>
      </c>
      <c r="F42" s="232">
        <v>21363</v>
      </c>
      <c r="G42" s="232">
        <v>90836</v>
      </c>
      <c r="H42" s="232"/>
      <c r="I42" s="233">
        <v>1707</v>
      </c>
      <c r="J42" s="233">
        <v>79601</v>
      </c>
      <c r="K42" s="233">
        <v>6221</v>
      </c>
      <c r="L42" s="232">
        <v>8478</v>
      </c>
      <c r="M42" s="232"/>
      <c r="N42" s="233">
        <v>3183</v>
      </c>
      <c r="O42" s="233">
        <v>29380</v>
      </c>
      <c r="P42" s="233">
        <v>0</v>
      </c>
      <c r="Q42" s="232">
        <v>1719</v>
      </c>
      <c r="R42" s="233">
        <f t="shared" si="0"/>
        <v>50221</v>
      </c>
      <c r="S42" s="232"/>
      <c r="T42" s="233">
        <v>24279</v>
      </c>
      <c r="U42" s="234">
        <v>2793</v>
      </c>
      <c r="V42" s="234">
        <v>27072</v>
      </c>
    </row>
    <row r="43" spans="1:22">
      <c r="A43" s="227">
        <v>90441</v>
      </c>
      <c r="B43" s="228" t="s">
        <v>761</v>
      </c>
      <c r="C43" s="87">
        <v>9.3999999999999998E-6</v>
      </c>
      <c r="D43" s="87">
        <v>1.03E-5</v>
      </c>
      <c r="E43" s="232">
        <v>4675.0599999999995</v>
      </c>
      <c r="F43" s="232">
        <v>4623</v>
      </c>
      <c r="G43" s="232">
        <v>19950</v>
      </c>
      <c r="H43" s="232"/>
      <c r="I43" s="233">
        <v>374.82499999999999</v>
      </c>
      <c r="J43" s="233">
        <v>17483</v>
      </c>
      <c r="K43" s="233">
        <v>1366</v>
      </c>
      <c r="L43" s="232">
        <v>1367</v>
      </c>
      <c r="M43" s="232"/>
      <c r="N43" s="233">
        <v>699</v>
      </c>
      <c r="O43" s="233">
        <v>6453</v>
      </c>
      <c r="P43" s="233">
        <v>0</v>
      </c>
      <c r="Q43" s="232">
        <v>200</v>
      </c>
      <c r="R43" s="233">
        <f t="shared" si="0"/>
        <v>11030</v>
      </c>
      <c r="S43" s="232"/>
      <c r="T43" s="233">
        <v>5332</v>
      </c>
      <c r="U43" s="234">
        <v>578</v>
      </c>
      <c r="V43" s="234">
        <v>5911</v>
      </c>
    </row>
    <row r="44" spans="1:22">
      <c r="A44" s="227">
        <v>90451</v>
      </c>
      <c r="B44" s="228" t="s">
        <v>762</v>
      </c>
      <c r="C44" s="87">
        <v>1.7900000000000001E-5</v>
      </c>
      <c r="D44" s="87">
        <v>1.2099999999999999E-5</v>
      </c>
      <c r="E44" s="232">
        <v>6772.25</v>
      </c>
      <c r="F44" s="232">
        <v>5430</v>
      </c>
      <c r="G44" s="232">
        <v>37990</v>
      </c>
      <c r="H44" s="232"/>
      <c r="I44" s="233">
        <v>713.76250000000005</v>
      </c>
      <c r="J44" s="233">
        <v>33291</v>
      </c>
      <c r="K44" s="233">
        <v>2602</v>
      </c>
      <c r="L44" s="232">
        <v>3118</v>
      </c>
      <c r="M44" s="232"/>
      <c r="N44" s="233">
        <v>1331</v>
      </c>
      <c r="O44" s="233">
        <v>12288</v>
      </c>
      <c r="P44" s="233">
        <v>0</v>
      </c>
      <c r="Q44" s="232">
        <v>288</v>
      </c>
      <c r="R44" s="233">
        <f t="shared" si="0"/>
        <v>21003</v>
      </c>
      <c r="S44" s="232"/>
      <c r="T44" s="233">
        <v>10154</v>
      </c>
      <c r="U44" s="234">
        <v>814</v>
      </c>
      <c r="V44" s="234">
        <v>10968</v>
      </c>
    </row>
    <row r="45" spans="1:22">
      <c r="A45" s="227">
        <v>90461</v>
      </c>
      <c r="B45" s="228" t="s">
        <v>763</v>
      </c>
      <c r="C45" s="87">
        <v>1.7200000000000001E-5</v>
      </c>
      <c r="D45" s="87">
        <v>1.7200000000000001E-5</v>
      </c>
      <c r="E45" s="232">
        <v>6466.34</v>
      </c>
      <c r="F45" s="232">
        <v>7719</v>
      </c>
      <c r="G45" s="232">
        <v>36504</v>
      </c>
      <c r="H45" s="232"/>
      <c r="I45" s="233">
        <v>685.85</v>
      </c>
      <c r="J45" s="233">
        <v>31989</v>
      </c>
      <c r="K45" s="233">
        <v>2500</v>
      </c>
      <c r="L45" s="232">
        <v>4750</v>
      </c>
      <c r="M45" s="232"/>
      <c r="N45" s="233">
        <v>1279</v>
      </c>
      <c r="O45" s="233">
        <v>11807</v>
      </c>
      <c r="P45" s="233">
        <v>0</v>
      </c>
      <c r="Q45" s="232">
        <v>2426</v>
      </c>
      <c r="R45" s="233">
        <f t="shared" si="0"/>
        <v>20182</v>
      </c>
      <c r="S45" s="232"/>
      <c r="T45" s="233">
        <v>9757</v>
      </c>
      <c r="U45" s="234">
        <v>583</v>
      </c>
      <c r="V45" s="234">
        <v>10340</v>
      </c>
    </row>
    <row r="46" spans="1:22">
      <c r="A46" s="227">
        <v>90501</v>
      </c>
      <c r="B46" s="228" t="s">
        <v>764</v>
      </c>
      <c r="C46" s="87">
        <v>1.4001E-3</v>
      </c>
      <c r="D46" s="87">
        <v>1.4352E-3</v>
      </c>
      <c r="E46" s="232">
        <v>603983.42999999993</v>
      </c>
      <c r="F46" s="232">
        <v>644109</v>
      </c>
      <c r="G46" s="232">
        <v>2971481</v>
      </c>
      <c r="H46" s="232"/>
      <c r="I46" s="233">
        <v>55829</v>
      </c>
      <c r="J46" s="233">
        <v>2603965</v>
      </c>
      <c r="K46" s="233">
        <v>203520</v>
      </c>
      <c r="L46" s="232">
        <v>46994</v>
      </c>
      <c r="M46" s="232"/>
      <c r="N46" s="233">
        <v>104124</v>
      </c>
      <c r="O46" s="233">
        <v>961110</v>
      </c>
      <c r="P46" s="233">
        <v>0</v>
      </c>
      <c r="Q46" s="232">
        <v>0</v>
      </c>
      <c r="R46" s="233">
        <f t="shared" si="0"/>
        <v>1642855</v>
      </c>
      <c r="S46" s="232"/>
      <c r="T46" s="233">
        <v>794233</v>
      </c>
      <c r="U46" s="234">
        <v>20332</v>
      </c>
      <c r="V46" s="234">
        <v>814566</v>
      </c>
    </row>
    <row r="47" spans="1:22">
      <c r="A47" s="227">
        <v>90507</v>
      </c>
      <c r="B47" s="228" t="s">
        <v>34</v>
      </c>
      <c r="C47" s="87">
        <v>7.3000000000000004E-6</v>
      </c>
      <c r="D47" s="87">
        <v>7.7000000000000008E-6</v>
      </c>
      <c r="E47" s="232">
        <v>9534.18</v>
      </c>
      <c r="F47" s="232">
        <v>3456</v>
      </c>
      <c r="G47" s="232">
        <v>15493</v>
      </c>
      <c r="H47" s="232"/>
      <c r="I47" s="233">
        <v>291</v>
      </c>
      <c r="J47" s="233">
        <v>13577</v>
      </c>
      <c r="K47" s="233">
        <v>1061</v>
      </c>
      <c r="L47" s="232">
        <v>8871</v>
      </c>
      <c r="M47" s="232"/>
      <c r="N47" s="233">
        <v>543</v>
      </c>
      <c r="O47" s="233">
        <v>5011</v>
      </c>
      <c r="P47" s="233">
        <v>0</v>
      </c>
      <c r="Q47" s="232">
        <v>0</v>
      </c>
      <c r="R47" s="233">
        <f t="shared" si="0"/>
        <v>8566</v>
      </c>
      <c r="S47" s="232"/>
      <c r="T47" s="233">
        <v>4141</v>
      </c>
      <c r="U47" s="234">
        <v>2759</v>
      </c>
      <c r="V47" s="234">
        <v>6900</v>
      </c>
    </row>
    <row r="48" spans="1:22">
      <c r="A48" s="227">
        <v>90511</v>
      </c>
      <c r="B48" s="228" t="s">
        <v>765</v>
      </c>
      <c r="C48" s="87">
        <v>9.5500000000000004E-5</v>
      </c>
      <c r="D48" s="87">
        <v>9.0699999999999996E-5</v>
      </c>
      <c r="E48" s="232">
        <v>45634.76</v>
      </c>
      <c r="F48" s="232">
        <v>40706</v>
      </c>
      <c r="G48" s="232">
        <v>202683</v>
      </c>
      <c r="H48" s="232"/>
      <c r="I48" s="233">
        <v>3808.0625</v>
      </c>
      <c r="J48" s="233">
        <v>177615</v>
      </c>
      <c r="K48" s="233">
        <v>13882</v>
      </c>
      <c r="L48" s="232">
        <v>15579</v>
      </c>
      <c r="M48" s="232"/>
      <c r="N48" s="233">
        <v>7102</v>
      </c>
      <c r="O48" s="233">
        <v>65557</v>
      </c>
      <c r="P48" s="233">
        <v>0</v>
      </c>
      <c r="Q48" s="232">
        <v>0</v>
      </c>
      <c r="R48" s="233">
        <f t="shared" si="0"/>
        <v>112058</v>
      </c>
      <c r="S48" s="232"/>
      <c r="T48" s="233">
        <v>54174</v>
      </c>
      <c r="U48" s="234">
        <v>5418</v>
      </c>
      <c r="V48" s="234">
        <v>59592</v>
      </c>
    </row>
    <row r="49" spans="1:22">
      <c r="A49" s="227">
        <v>90521</v>
      </c>
      <c r="B49" s="228" t="s">
        <v>766</v>
      </c>
      <c r="C49" s="87">
        <v>1.395E-4</v>
      </c>
      <c r="D49" s="87">
        <v>1.451E-4</v>
      </c>
      <c r="E49" s="232">
        <v>47723.41</v>
      </c>
      <c r="F49" s="232">
        <v>65120</v>
      </c>
      <c r="G49" s="232">
        <v>296066</v>
      </c>
      <c r="H49" s="232"/>
      <c r="I49" s="233">
        <v>5562.5625</v>
      </c>
      <c r="J49" s="233">
        <v>259448</v>
      </c>
      <c r="K49" s="233">
        <v>20278</v>
      </c>
      <c r="L49" s="232">
        <v>0</v>
      </c>
      <c r="M49" s="232"/>
      <c r="N49" s="233">
        <v>10374</v>
      </c>
      <c r="O49" s="233">
        <v>95761</v>
      </c>
      <c r="P49" s="233">
        <v>0</v>
      </c>
      <c r="Q49" s="232">
        <v>17468</v>
      </c>
      <c r="R49" s="233">
        <f t="shared" si="0"/>
        <v>163687</v>
      </c>
      <c r="S49" s="232"/>
      <c r="T49" s="233">
        <v>79134</v>
      </c>
      <c r="U49" s="234">
        <v>-5509</v>
      </c>
      <c r="V49" s="234">
        <v>73625</v>
      </c>
    </row>
    <row r="50" spans="1:22">
      <c r="A50" s="227">
        <v>90601</v>
      </c>
      <c r="B50" s="228" t="s">
        <v>767</v>
      </c>
      <c r="C50" s="87">
        <v>1.1785999999999999E-3</v>
      </c>
      <c r="D50" s="87">
        <v>1.2051E-3</v>
      </c>
      <c r="E50" s="232">
        <v>469146.06</v>
      </c>
      <c r="F50" s="232">
        <v>540842</v>
      </c>
      <c r="G50" s="232">
        <v>2501384</v>
      </c>
      <c r="H50" s="232"/>
      <c r="I50" s="233">
        <v>46997</v>
      </c>
      <c r="J50" s="233">
        <v>2192010</v>
      </c>
      <c r="K50" s="233">
        <v>171322</v>
      </c>
      <c r="L50" s="232">
        <v>32298</v>
      </c>
      <c r="M50" s="232"/>
      <c r="N50" s="233">
        <v>87651</v>
      </c>
      <c r="O50" s="233">
        <v>809059</v>
      </c>
      <c r="P50" s="233">
        <v>0</v>
      </c>
      <c r="Q50" s="232">
        <v>26702</v>
      </c>
      <c r="R50" s="233">
        <f t="shared" si="0"/>
        <v>1382951</v>
      </c>
      <c r="S50" s="232"/>
      <c r="T50" s="233">
        <v>668583</v>
      </c>
      <c r="U50" s="234">
        <v>7604</v>
      </c>
      <c r="V50" s="234">
        <v>676188</v>
      </c>
    </row>
    <row r="51" spans="1:22">
      <c r="A51" s="227">
        <v>90602</v>
      </c>
      <c r="B51" s="228" t="s">
        <v>259</v>
      </c>
      <c r="C51" s="87">
        <v>6.3299999999999994E-5</v>
      </c>
      <c r="D51" s="87">
        <v>0</v>
      </c>
      <c r="E51" s="232">
        <v>31566.720000000001</v>
      </c>
      <c r="F51" s="232">
        <v>0</v>
      </c>
      <c r="G51" s="232">
        <v>134344</v>
      </c>
      <c r="H51" s="232"/>
      <c r="I51" s="233">
        <v>2524</v>
      </c>
      <c r="J51" s="233">
        <v>117728</v>
      </c>
      <c r="K51" s="233">
        <v>9201</v>
      </c>
      <c r="L51" s="232">
        <v>46975</v>
      </c>
      <c r="M51" s="232"/>
      <c r="N51" s="233">
        <v>4708</v>
      </c>
      <c r="O51" s="233">
        <v>43453</v>
      </c>
      <c r="P51" s="233">
        <v>0</v>
      </c>
      <c r="Q51" s="232">
        <v>0</v>
      </c>
      <c r="R51" s="233">
        <f t="shared" si="0"/>
        <v>74275</v>
      </c>
      <c r="S51" s="232"/>
      <c r="T51" s="233">
        <v>35908</v>
      </c>
      <c r="U51" s="234">
        <v>12962</v>
      </c>
      <c r="V51" s="234">
        <v>48870</v>
      </c>
    </row>
    <row r="52" spans="1:22">
      <c r="A52" s="227">
        <v>90605</v>
      </c>
      <c r="B52" s="228" t="s">
        <v>768</v>
      </c>
      <c r="C52" s="87">
        <v>3.8399999999999998E-5</v>
      </c>
      <c r="D52" s="87">
        <v>3.6399999999999997E-5</v>
      </c>
      <c r="E52" s="232">
        <v>22332.880000000001</v>
      </c>
      <c r="F52" s="232">
        <v>16336</v>
      </c>
      <c r="G52" s="232">
        <v>81498</v>
      </c>
      <c r="H52" s="232"/>
      <c r="I52" s="233">
        <v>1531</v>
      </c>
      <c r="J52" s="233">
        <v>71418</v>
      </c>
      <c r="K52" s="233">
        <v>5582</v>
      </c>
      <c r="L52" s="232">
        <v>11852</v>
      </c>
      <c r="M52" s="232"/>
      <c r="N52" s="233">
        <v>2856</v>
      </c>
      <c r="O52" s="233">
        <v>26360</v>
      </c>
      <c r="P52" s="233">
        <v>0</v>
      </c>
      <c r="Q52" s="232">
        <v>0</v>
      </c>
      <c r="R52" s="233">
        <f t="shared" si="0"/>
        <v>45058</v>
      </c>
      <c r="S52" s="232"/>
      <c r="T52" s="233">
        <v>21783</v>
      </c>
      <c r="U52" s="234">
        <v>3784</v>
      </c>
      <c r="V52" s="234">
        <v>25567</v>
      </c>
    </row>
    <row r="53" spans="1:22">
      <c r="A53" s="227">
        <v>90611</v>
      </c>
      <c r="B53" s="228" t="s">
        <v>769</v>
      </c>
      <c r="C53" s="87">
        <v>1.5669999999999999E-4</v>
      </c>
      <c r="D53" s="87">
        <v>1.663E-4</v>
      </c>
      <c r="E53" s="232">
        <v>56254.44000000001</v>
      </c>
      <c r="F53" s="232">
        <v>74634</v>
      </c>
      <c r="G53" s="232">
        <v>332570</v>
      </c>
      <c r="H53" s="232"/>
      <c r="I53" s="233">
        <v>6248</v>
      </c>
      <c r="J53" s="233">
        <v>291437</v>
      </c>
      <c r="K53" s="233">
        <v>22778</v>
      </c>
      <c r="L53" s="232">
        <v>5072.51</v>
      </c>
      <c r="M53" s="232"/>
      <c r="N53" s="233">
        <v>11654</v>
      </c>
      <c r="O53" s="233">
        <v>107568</v>
      </c>
      <c r="P53" s="233">
        <v>0</v>
      </c>
      <c r="Q53" s="232">
        <v>13074</v>
      </c>
      <c r="R53" s="233">
        <f t="shared" si="0"/>
        <v>183869</v>
      </c>
      <c r="S53" s="232"/>
      <c r="T53" s="233">
        <v>88891</v>
      </c>
      <c r="U53" s="234">
        <v>-969</v>
      </c>
      <c r="V53" s="234">
        <v>87922</v>
      </c>
    </row>
    <row r="54" spans="1:22">
      <c r="A54" s="227">
        <v>90617</v>
      </c>
      <c r="B54" s="228" t="s">
        <v>770</v>
      </c>
      <c r="C54" s="87">
        <v>2.6800000000000001E-5</v>
      </c>
      <c r="D54" s="87">
        <v>2.6599999999999999E-5</v>
      </c>
      <c r="E54" s="232">
        <v>14103.199999999999</v>
      </c>
      <c r="F54" s="232">
        <v>11938</v>
      </c>
      <c r="G54" s="232">
        <v>56879</v>
      </c>
      <c r="H54" s="232"/>
      <c r="I54" s="233">
        <v>1069</v>
      </c>
      <c r="J54" s="233">
        <v>49844</v>
      </c>
      <c r="K54" s="233">
        <v>3896</v>
      </c>
      <c r="L54" s="232">
        <v>8505</v>
      </c>
      <c r="M54" s="232"/>
      <c r="N54" s="233">
        <v>1993</v>
      </c>
      <c r="O54" s="233">
        <v>18397</v>
      </c>
      <c r="P54" s="233">
        <v>0</v>
      </c>
      <c r="Q54" s="232">
        <v>0</v>
      </c>
      <c r="R54" s="233">
        <f t="shared" si="0"/>
        <v>31447</v>
      </c>
      <c r="S54" s="232"/>
      <c r="T54" s="233">
        <v>15203</v>
      </c>
      <c r="U54" s="234">
        <v>3445</v>
      </c>
      <c r="V54" s="234">
        <v>18647</v>
      </c>
    </row>
    <row r="55" spans="1:22">
      <c r="A55" s="227">
        <v>90621</v>
      </c>
      <c r="B55" s="228" t="s">
        <v>771</v>
      </c>
      <c r="C55" s="87">
        <v>8.2100000000000003E-5</v>
      </c>
      <c r="D55" s="87">
        <v>7.9400000000000006E-5</v>
      </c>
      <c r="E55" s="232">
        <v>28251.890000000003</v>
      </c>
      <c r="F55" s="232">
        <v>35634</v>
      </c>
      <c r="G55" s="232">
        <v>174244</v>
      </c>
      <c r="H55" s="232"/>
      <c r="I55" s="233">
        <v>3274</v>
      </c>
      <c r="J55" s="233">
        <v>152693</v>
      </c>
      <c r="K55" s="233">
        <v>11934</v>
      </c>
      <c r="L55" s="232">
        <v>1182</v>
      </c>
      <c r="M55" s="232"/>
      <c r="N55" s="233">
        <v>6106</v>
      </c>
      <c r="O55" s="233">
        <v>56358</v>
      </c>
      <c r="P55" s="233">
        <v>0</v>
      </c>
      <c r="Q55" s="232">
        <v>7913</v>
      </c>
      <c r="R55" s="233">
        <f t="shared" si="0"/>
        <v>96335</v>
      </c>
      <c r="S55" s="232"/>
      <c r="T55" s="233">
        <v>46573</v>
      </c>
      <c r="U55" s="234">
        <v>-1933</v>
      </c>
      <c r="V55" s="234">
        <v>44639</v>
      </c>
    </row>
    <row r="56" spans="1:22">
      <c r="A56" s="227">
        <v>90631</v>
      </c>
      <c r="B56" s="228" t="s">
        <v>772</v>
      </c>
      <c r="C56" s="87">
        <v>3.8000000000000002E-4</v>
      </c>
      <c r="D56" s="87">
        <v>3.4539999999999999E-4</v>
      </c>
      <c r="E56" s="232">
        <v>153531.72</v>
      </c>
      <c r="F56" s="232">
        <v>155013</v>
      </c>
      <c r="G56" s="232">
        <v>806487.3</v>
      </c>
      <c r="H56" s="232"/>
      <c r="I56" s="233">
        <v>15152.5</v>
      </c>
      <c r="J56" s="233">
        <v>706740</v>
      </c>
      <c r="K56" s="233">
        <v>55237.18</v>
      </c>
      <c r="L56" s="232">
        <v>16567</v>
      </c>
      <c r="M56" s="232"/>
      <c r="N56" s="233">
        <v>28260.22</v>
      </c>
      <c r="O56" s="233">
        <v>260854.04</v>
      </c>
      <c r="P56" s="233">
        <v>0</v>
      </c>
      <c r="Q56" s="232">
        <v>14381</v>
      </c>
      <c r="R56" s="233">
        <f t="shared" si="0"/>
        <v>445885.95999999996</v>
      </c>
      <c r="S56" s="232"/>
      <c r="T56" s="233">
        <v>215562.22</v>
      </c>
      <c r="U56" s="234">
        <v>-1856</v>
      </c>
      <c r="V56" s="234">
        <v>213706</v>
      </c>
    </row>
    <row r="57" spans="1:22">
      <c r="A57" s="227">
        <v>90641</v>
      </c>
      <c r="B57" s="228" t="s">
        <v>773</v>
      </c>
      <c r="C57" s="87">
        <v>1.4399999999999999E-5</v>
      </c>
      <c r="D57" s="87">
        <v>1.5400000000000002E-5</v>
      </c>
      <c r="E57" s="232">
        <v>5940.04</v>
      </c>
      <c r="F57" s="232">
        <v>6911</v>
      </c>
      <c r="G57" s="232">
        <v>30562</v>
      </c>
      <c r="H57" s="232"/>
      <c r="I57" s="233">
        <v>574</v>
      </c>
      <c r="J57" s="233">
        <v>26782</v>
      </c>
      <c r="K57" s="233">
        <v>2093</v>
      </c>
      <c r="L57" s="232">
        <v>340</v>
      </c>
      <c r="M57" s="232"/>
      <c r="N57" s="233">
        <v>1071</v>
      </c>
      <c r="O57" s="233">
        <v>9885</v>
      </c>
      <c r="P57" s="233">
        <v>0</v>
      </c>
      <c r="Q57" s="232">
        <v>782</v>
      </c>
      <c r="R57" s="233">
        <f t="shared" si="0"/>
        <v>16897</v>
      </c>
      <c r="S57" s="232"/>
      <c r="T57" s="233">
        <v>8169</v>
      </c>
      <c r="U57" s="234">
        <v>-144</v>
      </c>
      <c r="V57" s="234">
        <v>8025</v>
      </c>
    </row>
    <row r="58" spans="1:22">
      <c r="A58" s="227">
        <v>90651</v>
      </c>
      <c r="B58" s="228" t="s">
        <v>774</v>
      </c>
      <c r="C58" s="87">
        <v>1.108E-4</v>
      </c>
      <c r="D58" s="87">
        <v>1.042E-4</v>
      </c>
      <c r="E58" s="232">
        <v>96248</v>
      </c>
      <c r="F58" s="232">
        <v>46764</v>
      </c>
      <c r="G58" s="232">
        <v>235155</v>
      </c>
      <c r="H58" s="232"/>
      <c r="I58" s="233">
        <v>4418</v>
      </c>
      <c r="J58" s="233">
        <v>206070</v>
      </c>
      <c r="K58" s="233">
        <v>16106</v>
      </c>
      <c r="L58" s="232">
        <v>73167</v>
      </c>
      <c r="M58" s="232"/>
      <c r="N58" s="233">
        <v>8240</v>
      </c>
      <c r="O58" s="233">
        <v>76060</v>
      </c>
      <c r="P58" s="233">
        <v>0</v>
      </c>
      <c r="Q58" s="232">
        <v>9364.94</v>
      </c>
      <c r="R58" s="233">
        <f t="shared" si="0"/>
        <v>130010</v>
      </c>
      <c r="S58" s="232"/>
      <c r="T58" s="233">
        <v>62853</v>
      </c>
      <c r="U58" s="234">
        <v>17052</v>
      </c>
      <c r="V58" s="234">
        <v>79906</v>
      </c>
    </row>
    <row r="59" spans="1:22">
      <c r="A59" s="227">
        <v>90701</v>
      </c>
      <c r="B59" s="228" t="s">
        <v>1937</v>
      </c>
      <c r="C59" s="87">
        <v>2.3587E-3</v>
      </c>
      <c r="D59" s="87">
        <v>2.3326000000000002E-3</v>
      </c>
      <c r="E59" s="232">
        <v>908617.53</v>
      </c>
      <c r="F59" s="232">
        <v>1046857</v>
      </c>
      <c r="G59" s="232">
        <v>5005952</v>
      </c>
      <c r="H59" s="232"/>
      <c r="I59" s="233">
        <v>94053</v>
      </c>
      <c r="J59" s="233">
        <v>4386809</v>
      </c>
      <c r="K59" s="233">
        <v>342863</v>
      </c>
      <c r="L59" s="232">
        <v>35812.04</v>
      </c>
      <c r="M59" s="232"/>
      <c r="N59" s="233">
        <v>175414</v>
      </c>
      <c r="O59" s="233">
        <v>1619148</v>
      </c>
      <c r="P59" s="233">
        <v>0</v>
      </c>
      <c r="Q59" s="232">
        <v>44222</v>
      </c>
      <c r="R59" s="233">
        <f t="shared" si="0"/>
        <v>2767661</v>
      </c>
      <c r="S59" s="232"/>
      <c r="T59" s="233">
        <v>1338017</v>
      </c>
      <c r="U59" s="234">
        <v>5621</v>
      </c>
      <c r="V59" s="234">
        <v>1343639</v>
      </c>
    </row>
    <row r="60" spans="1:22">
      <c r="A60" s="227">
        <v>90704</v>
      </c>
      <c r="B60" s="228" t="s">
        <v>776</v>
      </c>
      <c r="C60" s="87">
        <v>3.4900000000000001E-5</v>
      </c>
      <c r="D60" s="87">
        <v>3.3300000000000003E-5</v>
      </c>
      <c r="E60" s="232">
        <v>22787.940000000006</v>
      </c>
      <c r="F60" s="232">
        <v>14945</v>
      </c>
      <c r="G60" s="232">
        <v>74069</v>
      </c>
      <c r="H60" s="232"/>
      <c r="I60" s="233">
        <v>1392</v>
      </c>
      <c r="J60" s="233">
        <v>64908</v>
      </c>
      <c r="K60" s="233">
        <v>5073</v>
      </c>
      <c r="L60" s="232">
        <v>13042</v>
      </c>
      <c r="M60" s="232"/>
      <c r="N60" s="233">
        <v>2595</v>
      </c>
      <c r="O60" s="233">
        <v>23957</v>
      </c>
      <c r="P60" s="233">
        <v>0</v>
      </c>
      <c r="Q60" s="232">
        <v>0</v>
      </c>
      <c r="R60" s="233">
        <f t="shared" si="0"/>
        <v>40951</v>
      </c>
      <c r="S60" s="232"/>
      <c r="T60" s="233">
        <v>19798</v>
      </c>
      <c r="U60" s="234">
        <v>4197</v>
      </c>
      <c r="V60" s="234">
        <v>23995</v>
      </c>
    </row>
    <row r="61" spans="1:22">
      <c r="A61" s="227">
        <v>90705</v>
      </c>
      <c r="B61" s="228" t="s">
        <v>777</v>
      </c>
      <c r="C61" s="87">
        <v>3.3899999999999997E-5</v>
      </c>
      <c r="D61" s="87">
        <v>3.0599999999999998E-5</v>
      </c>
      <c r="E61" s="232">
        <v>17670.240000000002</v>
      </c>
      <c r="F61" s="232">
        <v>13733</v>
      </c>
      <c r="G61" s="232">
        <v>71947</v>
      </c>
      <c r="H61" s="232"/>
      <c r="I61" s="233">
        <v>1352</v>
      </c>
      <c r="J61" s="233">
        <v>63049</v>
      </c>
      <c r="K61" s="233">
        <v>4928</v>
      </c>
      <c r="L61" s="232">
        <v>9785</v>
      </c>
      <c r="M61" s="232"/>
      <c r="N61" s="233">
        <v>2521</v>
      </c>
      <c r="O61" s="233">
        <v>23271</v>
      </c>
      <c r="P61" s="233">
        <v>0</v>
      </c>
      <c r="Q61" s="232">
        <v>0</v>
      </c>
      <c r="R61" s="233">
        <f t="shared" si="0"/>
        <v>39778</v>
      </c>
      <c r="S61" s="232"/>
      <c r="T61" s="233">
        <v>19230</v>
      </c>
      <c r="U61" s="234">
        <v>3239</v>
      </c>
      <c r="V61" s="234">
        <v>22470</v>
      </c>
    </row>
    <row r="62" spans="1:22">
      <c r="A62" s="227">
        <v>90709</v>
      </c>
      <c r="B62" s="228" t="s">
        <v>778</v>
      </c>
      <c r="C62" s="87">
        <v>1.4569999999999999E-4</v>
      </c>
      <c r="D62" s="87">
        <v>2.1790000000000001E-4</v>
      </c>
      <c r="E62" s="232">
        <v>59289.13</v>
      </c>
      <c r="F62" s="232">
        <v>97792</v>
      </c>
      <c r="G62" s="232">
        <v>309224</v>
      </c>
      <c r="H62" s="232"/>
      <c r="I62" s="233">
        <v>5810</v>
      </c>
      <c r="J62" s="233">
        <v>270979</v>
      </c>
      <c r="K62" s="233">
        <v>21179</v>
      </c>
      <c r="L62" s="232">
        <v>10221</v>
      </c>
      <c r="M62" s="232"/>
      <c r="N62" s="233">
        <v>10836</v>
      </c>
      <c r="O62" s="233">
        <v>100017</v>
      </c>
      <c r="P62" s="233">
        <v>0</v>
      </c>
      <c r="Q62" s="232">
        <v>44565</v>
      </c>
      <c r="R62" s="233">
        <f t="shared" si="0"/>
        <v>170962</v>
      </c>
      <c r="S62" s="232"/>
      <c r="T62" s="233">
        <v>82651</v>
      </c>
      <c r="U62" s="234">
        <v>-6883</v>
      </c>
      <c r="V62" s="234">
        <v>75769</v>
      </c>
    </row>
    <row r="63" spans="1:22">
      <c r="A63" s="227">
        <v>90711</v>
      </c>
      <c r="B63" s="228" t="s">
        <v>779</v>
      </c>
      <c r="C63" s="87">
        <v>1.7302000000000001E-3</v>
      </c>
      <c r="D63" s="87">
        <v>1.8802000000000001E-3</v>
      </c>
      <c r="E63" s="232">
        <v>667293.38</v>
      </c>
      <c r="F63" s="232">
        <v>843822</v>
      </c>
      <c r="G63" s="232">
        <v>3672064</v>
      </c>
      <c r="H63" s="232"/>
      <c r="I63" s="233">
        <v>68992</v>
      </c>
      <c r="J63" s="233">
        <v>3217899</v>
      </c>
      <c r="K63" s="233">
        <v>251504</v>
      </c>
      <c r="L63" s="232">
        <v>0</v>
      </c>
      <c r="M63" s="232"/>
      <c r="N63" s="233">
        <v>128673</v>
      </c>
      <c r="O63" s="233">
        <v>1187710</v>
      </c>
      <c r="P63" s="233">
        <v>0</v>
      </c>
      <c r="Q63" s="232">
        <v>193488</v>
      </c>
      <c r="R63" s="233">
        <f t="shared" si="0"/>
        <v>2030189</v>
      </c>
      <c r="S63" s="232"/>
      <c r="T63" s="233">
        <v>981489</v>
      </c>
      <c r="U63" s="234">
        <v>-61566</v>
      </c>
      <c r="V63" s="234">
        <v>919922</v>
      </c>
    </row>
    <row r="64" spans="1:22">
      <c r="A64" s="227">
        <v>90721</v>
      </c>
      <c r="B64" s="228" t="s">
        <v>780</v>
      </c>
      <c r="C64" s="87">
        <v>3.7299999999999999E-5</v>
      </c>
      <c r="D64" s="87">
        <v>3.82E-5</v>
      </c>
      <c r="E64" s="232">
        <v>14531.46</v>
      </c>
      <c r="F64" s="232">
        <v>17144</v>
      </c>
      <c r="G64" s="232">
        <v>79163</v>
      </c>
      <c r="H64" s="232"/>
      <c r="I64" s="233">
        <v>1487</v>
      </c>
      <c r="J64" s="233">
        <v>69372</v>
      </c>
      <c r="K64" s="233">
        <v>5422</v>
      </c>
      <c r="L64" s="232">
        <v>5347</v>
      </c>
      <c r="M64" s="232"/>
      <c r="N64" s="233">
        <v>2774</v>
      </c>
      <c r="O64" s="233">
        <v>25605</v>
      </c>
      <c r="P64" s="233">
        <v>0</v>
      </c>
      <c r="Q64" s="232">
        <v>1129</v>
      </c>
      <c r="R64" s="233">
        <f t="shared" si="0"/>
        <v>43767</v>
      </c>
      <c r="S64" s="232"/>
      <c r="T64" s="233">
        <v>21159</v>
      </c>
      <c r="U64" s="234">
        <v>2098</v>
      </c>
      <c r="V64" s="234">
        <v>23258</v>
      </c>
    </row>
    <row r="65" spans="1:22">
      <c r="A65" s="227">
        <v>90731</v>
      </c>
      <c r="B65" s="228" t="s">
        <v>781</v>
      </c>
      <c r="C65" s="87">
        <v>1.917E-4</v>
      </c>
      <c r="D65" s="87">
        <v>1.9459999999999999E-4</v>
      </c>
      <c r="E65" s="232">
        <v>77065.560000000012</v>
      </c>
      <c r="F65" s="232">
        <v>87335</v>
      </c>
      <c r="G65" s="232">
        <v>406852</v>
      </c>
      <c r="H65" s="232"/>
      <c r="I65" s="233">
        <v>7644</v>
      </c>
      <c r="J65" s="233">
        <v>356532</v>
      </c>
      <c r="K65" s="233">
        <v>27866</v>
      </c>
      <c r="L65" s="232">
        <v>0</v>
      </c>
      <c r="M65" s="232"/>
      <c r="N65" s="233">
        <v>14257</v>
      </c>
      <c r="O65" s="233">
        <v>131594</v>
      </c>
      <c r="P65" s="233">
        <v>0</v>
      </c>
      <c r="Q65" s="232">
        <v>10037</v>
      </c>
      <c r="R65" s="233">
        <f t="shared" si="0"/>
        <v>224938</v>
      </c>
      <c r="S65" s="232"/>
      <c r="T65" s="233">
        <v>108745</v>
      </c>
      <c r="U65" s="234">
        <v>-3998</v>
      </c>
      <c r="V65" s="234">
        <v>104747</v>
      </c>
    </row>
    <row r="66" spans="1:22">
      <c r="A66" s="227">
        <v>90741</v>
      </c>
      <c r="B66" s="228" t="s">
        <v>782</v>
      </c>
      <c r="C66" s="87">
        <v>1.2099999999999999E-5</v>
      </c>
      <c r="D66" s="87">
        <v>1.2799999999999999E-5</v>
      </c>
      <c r="E66" s="232">
        <v>6754.4100000000008</v>
      </c>
      <c r="F66" s="232">
        <v>5745</v>
      </c>
      <c r="G66" s="232">
        <v>25680</v>
      </c>
      <c r="H66" s="232"/>
      <c r="I66" s="233">
        <v>482</v>
      </c>
      <c r="J66" s="233">
        <v>22504</v>
      </c>
      <c r="K66" s="233">
        <v>1759</v>
      </c>
      <c r="L66" s="232">
        <v>3208</v>
      </c>
      <c r="M66" s="232"/>
      <c r="N66" s="233">
        <v>900</v>
      </c>
      <c r="O66" s="233">
        <v>8306</v>
      </c>
      <c r="P66" s="233">
        <v>0</v>
      </c>
      <c r="Q66" s="232">
        <v>1496</v>
      </c>
      <c r="R66" s="233">
        <f t="shared" si="0"/>
        <v>14198</v>
      </c>
      <c r="S66" s="232"/>
      <c r="T66" s="233">
        <v>6864</v>
      </c>
      <c r="U66" s="234">
        <v>287</v>
      </c>
      <c r="V66" s="234">
        <v>7151</v>
      </c>
    </row>
    <row r="67" spans="1:22">
      <c r="A67" s="227">
        <v>90751</v>
      </c>
      <c r="B67" s="228" t="s">
        <v>783</v>
      </c>
      <c r="C67" s="87">
        <v>6.5599999999999995E-5</v>
      </c>
      <c r="D67" s="87">
        <v>6.2000000000000003E-5</v>
      </c>
      <c r="E67" s="232">
        <v>24796.57</v>
      </c>
      <c r="F67" s="232">
        <v>27825</v>
      </c>
      <c r="G67" s="232">
        <v>139225</v>
      </c>
      <c r="H67" s="232"/>
      <c r="I67" s="233">
        <v>2616</v>
      </c>
      <c r="J67" s="233">
        <v>122006</v>
      </c>
      <c r="K67" s="233">
        <v>9536</v>
      </c>
      <c r="L67" s="232">
        <v>8610</v>
      </c>
      <c r="M67" s="232"/>
      <c r="N67" s="233">
        <v>4879</v>
      </c>
      <c r="O67" s="233">
        <v>45032</v>
      </c>
      <c r="P67" s="233">
        <v>0</v>
      </c>
      <c r="Q67" s="232">
        <v>0</v>
      </c>
      <c r="R67" s="233">
        <f t="shared" si="0"/>
        <v>76974</v>
      </c>
      <c r="S67" s="232"/>
      <c r="T67" s="233">
        <v>37213</v>
      </c>
      <c r="U67" s="234">
        <v>3670</v>
      </c>
      <c r="V67" s="234">
        <v>40883</v>
      </c>
    </row>
    <row r="68" spans="1:22">
      <c r="A68" s="227">
        <v>90801</v>
      </c>
      <c r="B68" s="228" t="s">
        <v>784</v>
      </c>
      <c r="C68" s="87">
        <v>1.1404E-3</v>
      </c>
      <c r="D68" s="87">
        <v>1.0472000000000001E-3</v>
      </c>
      <c r="E68" s="232">
        <v>442982.95</v>
      </c>
      <c r="F68" s="232">
        <v>469977</v>
      </c>
      <c r="G68" s="232">
        <v>2420311</v>
      </c>
      <c r="H68" s="232"/>
      <c r="I68" s="233">
        <v>45473.45</v>
      </c>
      <c r="J68" s="233">
        <v>2120964</v>
      </c>
      <c r="K68" s="233">
        <v>165770</v>
      </c>
      <c r="L68" s="232">
        <v>156481</v>
      </c>
      <c r="M68" s="232"/>
      <c r="N68" s="233">
        <v>84810</v>
      </c>
      <c r="O68" s="233">
        <v>782837</v>
      </c>
      <c r="P68" s="233">
        <v>0</v>
      </c>
      <c r="Q68" s="232">
        <v>0</v>
      </c>
      <c r="R68" s="233">
        <f t="shared" si="0"/>
        <v>1338127</v>
      </c>
      <c r="S68" s="232"/>
      <c r="T68" s="233">
        <v>646914</v>
      </c>
      <c r="U68" s="234">
        <v>53264</v>
      </c>
      <c r="V68" s="234">
        <v>700177</v>
      </c>
    </row>
    <row r="69" spans="1:22">
      <c r="A69" s="227">
        <v>90804</v>
      </c>
      <c r="B69" s="228" t="s">
        <v>785</v>
      </c>
      <c r="C69" s="87">
        <v>6.0000000000000002E-6</v>
      </c>
      <c r="D69" s="87">
        <v>4.6999999999999999E-6</v>
      </c>
      <c r="E69" s="232">
        <v>2490.12</v>
      </c>
      <c r="F69" s="232">
        <v>2109</v>
      </c>
      <c r="G69" s="232">
        <v>12734.01</v>
      </c>
      <c r="H69" s="232"/>
      <c r="I69" s="233">
        <v>239.25</v>
      </c>
      <c r="J69" s="233">
        <v>11159</v>
      </c>
      <c r="K69" s="233">
        <v>872</v>
      </c>
      <c r="L69" s="232">
        <v>2282</v>
      </c>
      <c r="M69" s="232"/>
      <c r="N69" s="233">
        <v>446</v>
      </c>
      <c r="O69" s="233">
        <v>4119</v>
      </c>
      <c r="P69" s="233">
        <v>0</v>
      </c>
      <c r="Q69" s="232">
        <v>0</v>
      </c>
      <c r="R69" s="233">
        <f t="shared" si="0"/>
        <v>7040</v>
      </c>
      <c r="S69" s="232"/>
      <c r="T69" s="233">
        <v>3404</v>
      </c>
      <c r="U69" s="234">
        <v>878</v>
      </c>
      <c r="V69" s="234">
        <v>4282</v>
      </c>
    </row>
    <row r="70" spans="1:22">
      <c r="A70" s="227">
        <v>90805</v>
      </c>
      <c r="B70" s="228" t="s">
        <v>786</v>
      </c>
      <c r="C70" s="87">
        <v>5.5099999999999998E-5</v>
      </c>
      <c r="D70" s="87">
        <v>5.2800000000000003E-5</v>
      </c>
      <c r="E70" s="232">
        <v>34302.799999999996</v>
      </c>
      <c r="F70" s="232">
        <v>23696</v>
      </c>
      <c r="G70" s="232">
        <v>116941</v>
      </c>
      <c r="H70" s="232"/>
      <c r="I70" s="233">
        <v>2197</v>
      </c>
      <c r="J70" s="233">
        <v>102477</v>
      </c>
      <c r="K70" s="233">
        <v>8009</v>
      </c>
      <c r="L70" s="232">
        <v>22372</v>
      </c>
      <c r="M70" s="232"/>
      <c r="N70" s="233">
        <v>4098</v>
      </c>
      <c r="O70" s="233">
        <v>37824</v>
      </c>
      <c r="P70" s="233">
        <v>0</v>
      </c>
      <c r="Q70" s="232">
        <v>0</v>
      </c>
      <c r="R70" s="233">
        <f t="shared" si="0"/>
        <v>64653</v>
      </c>
      <c r="S70" s="232"/>
      <c r="T70" s="233">
        <v>31257</v>
      </c>
      <c r="U70" s="234">
        <v>7625</v>
      </c>
      <c r="V70" s="234">
        <v>38881</v>
      </c>
    </row>
    <row r="71" spans="1:22">
      <c r="A71" s="227">
        <v>90808</v>
      </c>
      <c r="B71" s="228" t="s">
        <v>787</v>
      </c>
      <c r="C71" s="87">
        <v>1.109E-4</v>
      </c>
      <c r="D71" s="87">
        <v>1.176E-4</v>
      </c>
      <c r="E71" s="232">
        <v>47437.34</v>
      </c>
      <c r="F71" s="232">
        <v>52778</v>
      </c>
      <c r="G71" s="232">
        <v>235367</v>
      </c>
      <c r="H71" s="232"/>
      <c r="I71" s="233">
        <v>4422</v>
      </c>
      <c r="J71" s="233">
        <v>206256</v>
      </c>
      <c r="K71" s="233">
        <v>16121</v>
      </c>
      <c r="L71" s="232">
        <v>1422</v>
      </c>
      <c r="M71" s="232"/>
      <c r="N71" s="233">
        <v>8248</v>
      </c>
      <c r="O71" s="233">
        <v>76128</v>
      </c>
      <c r="P71" s="233">
        <v>0</v>
      </c>
      <c r="Q71" s="232">
        <v>2972</v>
      </c>
      <c r="R71" s="233">
        <f t="shared" si="0"/>
        <v>130128</v>
      </c>
      <c r="S71" s="232"/>
      <c r="T71" s="233">
        <v>62910</v>
      </c>
      <c r="U71" s="234">
        <v>-460</v>
      </c>
      <c r="V71" s="234">
        <v>62451</v>
      </c>
    </row>
    <row r="72" spans="1:22">
      <c r="A72" s="227">
        <v>90811</v>
      </c>
      <c r="B72" s="228" t="s">
        <v>788</v>
      </c>
      <c r="C72" s="87">
        <v>4.0000000000000003E-5</v>
      </c>
      <c r="D72" s="87">
        <v>3.6199999999999999E-5</v>
      </c>
      <c r="E72" s="232">
        <v>12069.34</v>
      </c>
      <c r="F72" s="232">
        <v>16246</v>
      </c>
      <c r="G72" s="232">
        <v>84893</v>
      </c>
      <c r="H72" s="232"/>
      <c r="I72" s="233">
        <v>1595</v>
      </c>
      <c r="J72" s="233">
        <v>74394</v>
      </c>
      <c r="K72" s="233">
        <v>5814</v>
      </c>
      <c r="L72" s="232">
        <v>947</v>
      </c>
      <c r="M72" s="232"/>
      <c r="N72" s="233">
        <v>2974.76</v>
      </c>
      <c r="O72" s="233">
        <v>27458</v>
      </c>
      <c r="P72" s="233">
        <v>0</v>
      </c>
      <c r="Q72" s="232">
        <v>2175</v>
      </c>
      <c r="R72" s="233">
        <f t="shared" si="0"/>
        <v>46936</v>
      </c>
      <c r="S72" s="232"/>
      <c r="T72" s="233">
        <v>22691</v>
      </c>
      <c r="U72" s="234">
        <v>-159</v>
      </c>
      <c r="V72" s="234">
        <v>22531</v>
      </c>
    </row>
    <row r="73" spans="1:22">
      <c r="A73" s="227">
        <v>90812</v>
      </c>
      <c r="B73" s="228" t="s">
        <v>789</v>
      </c>
      <c r="C73" s="87">
        <v>2.13E-4</v>
      </c>
      <c r="D73" s="87">
        <v>2.409E-4</v>
      </c>
      <c r="E73" s="232">
        <v>88699.09</v>
      </c>
      <c r="F73" s="232">
        <v>108114</v>
      </c>
      <c r="G73" s="232">
        <v>452057</v>
      </c>
      <c r="H73" s="232"/>
      <c r="I73" s="233">
        <v>8493.375</v>
      </c>
      <c r="J73" s="233">
        <v>396146</v>
      </c>
      <c r="K73" s="233">
        <v>30962</v>
      </c>
      <c r="L73" s="232">
        <v>8573</v>
      </c>
      <c r="M73" s="232"/>
      <c r="N73" s="233">
        <v>15841</v>
      </c>
      <c r="O73" s="233">
        <v>146216</v>
      </c>
      <c r="P73" s="233">
        <v>0</v>
      </c>
      <c r="Q73" s="232">
        <v>14237</v>
      </c>
      <c r="R73" s="233">
        <f t="shared" ref="R73:R136" si="1">IF(J73&gt;O73,J73-O73,O73-J73)</f>
        <v>249930</v>
      </c>
      <c r="S73" s="232"/>
      <c r="T73" s="233">
        <v>120828</v>
      </c>
      <c r="U73" s="234">
        <v>453</v>
      </c>
      <c r="V73" s="234">
        <v>121281</v>
      </c>
    </row>
    <row r="74" spans="1:22">
      <c r="A74" s="227">
        <v>90813</v>
      </c>
      <c r="B74" s="228" t="s">
        <v>790</v>
      </c>
      <c r="C74" s="87">
        <v>5.4999999999999999E-6</v>
      </c>
      <c r="D74" s="87">
        <v>5.4E-6</v>
      </c>
      <c r="E74" s="232">
        <v>1840.5500000000002</v>
      </c>
      <c r="F74" s="232">
        <v>2423</v>
      </c>
      <c r="G74" s="232">
        <v>11673</v>
      </c>
      <c r="H74" s="232"/>
      <c r="I74" s="233">
        <v>219.3125</v>
      </c>
      <c r="J74" s="233">
        <v>10229</v>
      </c>
      <c r="K74" s="233">
        <v>799</v>
      </c>
      <c r="L74" s="232">
        <v>0</v>
      </c>
      <c r="M74" s="232"/>
      <c r="N74" s="233">
        <v>409</v>
      </c>
      <c r="O74" s="233">
        <v>3776</v>
      </c>
      <c r="P74" s="233">
        <v>0</v>
      </c>
      <c r="Q74" s="232">
        <v>1089</v>
      </c>
      <c r="R74" s="233">
        <f t="shared" si="1"/>
        <v>6453</v>
      </c>
      <c r="S74" s="232"/>
      <c r="T74" s="233">
        <v>3120</v>
      </c>
      <c r="U74" s="234">
        <v>-397</v>
      </c>
      <c r="V74" s="234">
        <v>2723</v>
      </c>
    </row>
    <row r="75" spans="1:22">
      <c r="A75" s="227">
        <v>90861</v>
      </c>
      <c r="B75" s="228" t="s">
        <v>791</v>
      </c>
      <c r="C75" s="87">
        <v>4.7999999999999998E-6</v>
      </c>
      <c r="D75" s="87">
        <v>5.3000000000000001E-6</v>
      </c>
      <c r="E75" s="232">
        <v>3509.6600000000008</v>
      </c>
      <c r="F75" s="232">
        <v>2379</v>
      </c>
      <c r="G75" s="232">
        <v>10187</v>
      </c>
      <c r="H75" s="232"/>
      <c r="I75" s="233">
        <v>191</v>
      </c>
      <c r="J75" s="233">
        <v>8927</v>
      </c>
      <c r="K75" s="233">
        <v>698</v>
      </c>
      <c r="L75" s="232">
        <v>3258</v>
      </c>
      <c r="M75" s="232"/>
      <c r="N75" s="233">
        <v>357</v>
      </c>
      <c r="O75" s="233">
        <v>3295</v>
      </c>
      <c r="P75" s="233">
        <v>0</v>
      </c>
      <c r="Q75" s="232">
        <v>2245</v>
      </c>
      <c r="R75" s="233">
        <f t="shared" si="1"/>
        <v>5632</v>
      </c>
      <c r="S75" s="232"/>
      <c r="T75" s="233">
        <v>2723</v>
      </c>
      <c r="U75" s="234">
        <v>-63</v>
      </c>
      <c r="V75" s="234">
        <v>2659</v>
      </c>
    </row>
    <row r="76" spans="1:22">
      <c r="A76" s="227">
        <v>90901</v>
      </c>
      <c r="B76" s="228" t="s">
        <v>792</v>
      </c>
      <c r="C76" s="87">
        <v>2.1302999999999999E-3</v>
      </c>
      <c r="D76" s="87">
        <v>2.2187000000000001E-3</v>
      </c>
      <c r="E76" s="232">
        <v>886462.80000000016</v>
      </c>
      <c r="F76" s="232">
        <v>995739</v>
      </c>
      <c r="G76" s="232">
        <v>4521210</v>
      </c>
      <c r="H76" s="232"/>
      <c r="I76" s="233">
        <v>84946</v>
      </c>
      <c r="J76" s="233">
        <v>3962021</v>
      </c>
      <c r="K76" s="233">
        <v>309663</v>
      </c>
      <c r="L76" s="232">
        <v>9118.18</v>
      </c>
      <c r="M76" s="232"/>
      <c r="N76" s="233">
        <v>158428</v>
      </c>
      <c r="O76" s="233">
        <v>1462361</v>
      </c>
      <c r="P76" s="233">
        <v>0</v>
      </c>
      <c r="Q76" s="232">
        <v>53019</v>
      </c>
      <c r="R76" s="233">
        <f t="shared" si="1"/>
        <v>2499660</v>
      </c>
      <c r="S76" s="232"/>
      <c r="T76" s="233">
        <v>1208453</v>
      </c>
      <c r="U76" s="234">
        <v>-10432</v>
      </c>
      <c r="V76" s="234">
        <v>1198021</v>
      </c>
    </row>
    <row r="77" spans="1:22">
      <c r="A77" s="227">
        <v>90911</v>
      </c>
      <c r="B77" s="228" t="s">
        <v>793</v>
      </c>
      <c r="C77" s="87">
        <v>3.6010000000000003E-4</v>
      </c>
      <c r="D77" s="87">
        <v>3.6860000000000001E-4</v>
      </c>
      <c r="E77" s="232">
        <v>130625.3</v>
      </c>
      <c r="F77" s="232">
        <v>165425</v>
      </c>
      <c r="G77" s="232">
        <v>764253</v>
      </c>
      <c r="H77" s="232"/>
      <c r="I77" s="233">
        <v>14359</v>
      </c>
      <c r="J77" s="233">
        <v>669729</v>
      </c>
      <c r="K77" s="233">
        <v>52344</v>
      </c>
      <c r="L77" s="232">
        <v>0</v>
      </c>
      <c r="M77" s="232"/>
      <c r="N77" s="233">
        <v>26780</v>
      </c>
      <c r="O77" s="233">
        <v>247194</v>
      </c>
      <c r="P77" s="233">
        <v>0</v>
      </c>
      <c r="Q77" s="232">
        <v>51509</v>
      </c>
      <c r="R77" s="233">
        <f t="shared" si="1"/>
        <v>422535</v>
      </c>
      <c r="S77" s="232"/>
      <c r="T77" s="233">
        <v>204274</v>
      </c>
      <c r="U77" s="234">
        <v>-20027</v>
      </c>
      <c r="V77" s="234">
        <v>184246</v>
      </c>
    </row>
    <row r="78" spans="1:22">
      <c r="A78" s="227">
        <v>90917</v>
      </c>
      <c r="B78" s="228" t="s">
        <v>794</v>
      </c>
      <c r="C78" s="87">
        <v>1.42E-5</v>
      </c>
      <c r="D78" s="87">
        <v>1.01E-5</v>
      </c>
      <c r="E78" s="232">
        <v>5168.6200000000008</v>
      </c>
      <c r="F78" s="232">
        <v>4533</v>
      </c>
      <c r="G78" s="232">
        <v>30137</v>
      </c>
      <c r="H78" s="232"/>
      <c r="I78" s="233">
        <v>566.22500000000002</v>
      </c>
      <c r="J78" s="233">
        <v>26410</v>
      </c>
      <c r="K78" s="233">
        <v>2064</v>
      </c>
      <c r="L78" s="232">
        <v>2014</v>
      </c>
      <c r="M78" s="232"/>
      <c r="N78" s="233">
        <v>1056</v>
      </c>
      <c r="O78" s="233">
        <v>9748</v>
      </c>
      <c r="P78" s="233">
        <v>0</v>
      </c>
      <c r="Q78" s="232">
        <v>881.57</v>
      </c>
      <c r="R78" s="233">
        <f t="shared" si="1"/>
        <v>16662</v>
      </c>
      <c r="S78" s="232"/>
      <c r="T78" s="233">
        <v>8055</v>
      </c>
      <c r="U78" s="234">
        <v>110</v>
      </c>
      <c r="V78" s="234">
        <v>8165</v>
      </c>
    </row>
    <row r="79" spans="1:22">
      <c r="A79" s="227">
        <v>90918</v>
      </c>
      <c r="B79" s="228" t="s">
        <v>795</v>
      </c>
      <c r="C79" s="87">
        <v>1.24E-5</v>
      </c>
      <c r="D79" s="87">
        <v>1.3499999999999999E-5</v>
      </c>
      <c r="E79" s="232">
        <v>4291.66</v>
      </c>
      <c r="F79" s="232">
        <v>6059</v>
      </c>
      <c r="G79" s="232">
        <v>26317</v>
      </c>
      <c r="H79" s="232"/>
      <c r="I79" s="233">
        <v>494.45</v>
      </c>
      <c r="J79" s="233">
        <v>23062</v>
      </c>
      <c r="K79" s="233">
        <v>1802</v>
      </c>
      <c r="L79" s="232">
        <v>0</v>
      </c>
      <c r="M79" s="232"/>
      <c r="N79" s="233">
        <v>922</v>
      </c>
      <c r="O79" s="233">
        <v>8512</v>
      </c>
      <c r="P79" s="233">
        <v>0</v>
      </c>
      <c r="Q79" s="232">
        <v>2531</v>
      </c>
      <c r="R79" s="233">
        <f t="shared" si="1"/>
        <v>14550</v>
      </c>
      <c r="S79" s="232"/>
      <c r="T79" s="233">
        <v>7034</v>
      </c>
      <c r="U79" s="234">
        <v>-865</v>
      </c>
      <c r="V79" s="234">
        <v>6169</v>
      </c>
    </row>
    <row r="80" spans="1:22">
      <c r="A80" s="227">
        <v>90921</v>
      </c>
      <c r="B80" s="228" t="s">
        <v>796</v>
      </c>
      <c r="C80" s="87">
        <v>8.7399999999999997E-5</v>
      </c>
      <c r="D80" s="87">
        <v>1.149E-4</v>
      </c>
      <c r="E80" s="232">
        <v>45670.59</v>
      </c>
      <c r="F80" s="232">
        <v>51566</v>
      </c>
      <c r="G80" s="232">
        <v>185492</v>
      </c>
      <c r="H80" s="232"/>
      <c r="I80" s="233">
        <v>3485</v>
      </c>
      <c r="J80" s="233">
        <v>162550</v>
      </c>
      <c r="K80" s="233">
        <v>12705</v>
      </c>
      <c r="L80" s="232">
        <v>4488</v>
      </c>
      <c r="M80" s="232"/>
      <c r="N80" s="233">
        <v>6500</v>
      </c>
      <c r="O80" s="233">
        <v>59996</v>
      </c>
      <c r="P80" s="233">
        <v>0</v>
      </c>
      <c r="Q80" s="232">
        <v>10576</v>
      </c>
      <c r="R80" s="233">
        <f t="shared" si="1"/>
        <v>102554</v>
      </c>
      <c r="S80" s="232"/>
      <c r="T80" s="233">
        <v>49579</v>
      </c>
      <c r="U80" s="234">
        <v>-1977</v>
      </c>
      <c r="V80" s="234">
        <v>47602</v>
      </c>
    </row>
    <row r="81" spans="1:22">
      <c r="A81" s="227">
        <v>90931</v>
      </c>
      <c r="B81" s="228" t="s">
        <v>797</v>
      </c>
      <c r="C81" s="87">
        <v>5.1900000000000001E-5</v>
      </c>
      <c r="D81" s="87">
        <v>6.2700000000000006E-5</v>
      </c>
      <c r="E81" s="232">
        <v>20869.29</v>
      </c>
      <c r="F81" s="232">
        <v>28139</v>
      </c>
      <c r="G81" s="232">
        <v>110149</v>
      </c>
      <c r="H81" s="232"/>
      <c r="I81" s="233">
        <v>2070</v>
      </c>
      <c r="J81" s="233">
        <v>96526</v>
      </c>
      <c r="K81" s="233">
        <v>7544</v>
      </c>
      <c r="L81" s="232">
        <v>6439</v>
      </c>
      <c r="M81" s="232"/>
      <c r="N81" s="233">
        <v>3860</v>
      </c>
      <c r="O81" s="233">
        <v>35627</v>
      </c>
      <c r="P81" s="233">
        <v>0</v>
      </c>
      <c r="Q81" s="232">
        <v>6227</v>
      </c>
      <c r="R81" s="233">
        <f t="shared" si="1"/>
        <v>60899</v>
      </c>
      <c r="S81" s="232"/>
      <c r="T81" s="233">
        <v>29441</v>
      </c>
      <c r="U81" s="234">
        <v>1082</v>
      </c>
      <c r="V81" s="234">
        <v>30524</v>
      </c>
    </row>
    <row r="82" spans="1:22">
      <c r="A82" s="227">
        <v>90941</v>
      </c>
      <c r="B82" s="228" t="s">
        <v>798</v>
      </c>
      <c r="C82" s="87">
        <v>9.0799999999999998E-5</v>
      </c>
      <c r="D82" s="87">
        <v>8.1199999999999995E-5</v>
      </c>
      <c r="E82" s="232">
        <v>33657.32</v>
      </c>
      <c r="F82" s="232">
        <v>36442</v>
      </c>
      <c r="G82" s="232">
        <v>192708</v>
      </c>
      <c r="H82" s="232"/>
      <c r="I82" s="233">
        <v>3620.65</v>
      </c>
      <c r="J82" s="233">
        <v>168874</v>
      </c>
      <c r="K82" s="233">
        <v>13199</v>
      </c>
      <c r="L82" s="232">
        <v>2275</v>
      </c>
      <c r="M82" s="232"/>
      <c r="N82" s="233">
        <v>6753</v>
      </c>
      <c r="O82" s="233">
        <v>62330</v>
      </c>
      <c r="P82" s="233">
        <v>0</v>
      </c>
      <c r="Q82" s="232">
        <v>7609</v>
      </c>
      <c r="R82" s="233">
        <f t="shared" si="1"/>
        <v>106544</v>
      </c>
      <c r="S82" s="232"/>
      <c r="T82" s="233">
        <v>51508</v>
      </c>
      <c r="U82" s="234">
        <v>-2188</v>
      </c>
      <c r="V82" s="234">
        <v>49320</v>
      </c>
    </row>
    <row r="83" spans="1:22">
      <c r="A83" s="227">
        <v>91001</v>
      </c>
      <c r="B83" s="228" t="s">
        <v>799</v>
      </c>
      <c r="C83" s="87">
        <v>6.6189999999999999E-3</v>
      </c>
      <c r="D83" s="87">
        <v>6.5719999999999997E-3</v>
      </c>
      <c r="E83" s="232">
        <v>2476167.31</v>
      </c>
      <c r="F83" s="232">
        <v>2949474</v>
      </c>
      <c r="G83" s="232">
        <v>14047735</v>
      </c>
      <c r="H83" s="232"/>
      <c r="I83" s="233">
        <v>263933</v>
      </c>
      <c r="J83" s="233">
        <v>12310294</v>
      </c>
      <c r="K83" s="233">
        <v>962144</v>
      </c>
      <c r="L83" s="232">
        <v>72024</v>
      </c>
      <c r="M83" s="232"/>
      <c r="N83" s="233">
        <v>492248</v>
      </c>
      <c r="O83" s="233">
        <v>4543666</v>
      </c>
      <c r="P83" s="233">
        <v>0</v>
      </c>
      <c r="Q83" s="232">
        <v>203248</v>
      </c>
      <c r="R83" s="233">
        <f t="shared" si="1"/>
        <v>7766628</v>
      </c>
      <c r="S83" s="232"/>
      <c r="T83" s="233">
        <v>3754754</v>
      </c>
      <c r="U83" s="234">
        <v>-19657</v>
      </c>
      <c r="V83" s="234">
        <v>3735096</v>
      </c>
    </row>
    <row r="84" spans="1:22">
      <c r="A84" s="227">
        <v>91002</v>
      </c>
      <c r="B84" s="228" t="s">
        <v>800</v>
      </c>
      <c r="C84" s="87">
        <v>5.6360000000000004E-4</v>
      </c>
      <c r="D84" s="87">
        <v>5.8929999999999996E-4</v>
      </c>
      <c r="E84" s="232">
        <v>198213.95</v>
      </c>
      <c r="F84" s="232">
        <v>264474</v>
      </c>
      <c r="G84" s="232">
        <v>1196148</v>
      </c>
      <c r="H84" s="232"/>
      <c r="I84" s="233">
        <v>22474</v>
      </c>
      <c r="J84" s="233">
        <v>1048207</v>
      </c>
      <c r="K84" s="233">
        <v>81925</v>
      </c>
      <c r="L84" s="232">
        <v>5287.43</v>
      </c>
      <c r="M84" s="232"/>
      <c r="N84" s="233">
        <v>41914</v>
      </c>
      <c r="O84" s="233">
        <v>386888</v>
      </c>
      <c r="P84" s="233">
        <v>0</v>
      </c>
      <c r="Q84" s="232">
        <v>69296</v>
      </c>
      <c r="R84" s="233">
        <f t="shared" si="1"/>
        <v>661319</v>
      </c>
      <c r="S84" s="232"/>
      <c r="T84" s="233">
        <v>319713</v>
      </c>
      <c r="U84" s="234">
        <v>-18039</v>
      </c>
      <c r="V84" s="234">
        <v>301674</v>
      </c>
    </row>
    <row r="85" spans="1:22">
      <c r="A85" s="227">
        <v>91003</v>
      </c>
      <c r="B85" s="228" t="s">
        <v>801</v>
      </c>
      <c r="C85" s="87">
        <v>5.6550000000000003E-4</v>
      </c>
      <c r="D85" s="87">
        <v>6.4320000000000002E-4</v>
      </c>
      <c r="E85" s="232">
        <v>237082.57000000004</v>
      </c>
      <c r="F85" s="232">
        <v>288664</v>
      </c>
      <c r="G85" s="232">
        <v>1200180</v>
      </c>
      <c r="H85" s="232"/>
      <c r="I85" s="233">
        <v>22549.3125</v>
      </c>
      <c r="J85" s="233">
        <v>1051741</v>
      </c>
      <c r="K85" s="233">
        <v>82202</v>
      </c>
      <c r="L85" s="232">
        <v>33107</v>
      </c>
      <c r="M85" s="232"/>
      <c r="N85" s="233">
        <v>42056</v>
      </c>
      <c r="O85" s="233">
        <v>388192</v>
      </c>
      <c r="P85" s="233">
        <v>0</v>
      </c>
      <c r="Q85" s="232">
        <v>38498</v>
      </c>
      <c r="R85" s="233">
        <f t="shared" si="1"/>
        <v>663549</v>
      </c>
      <c r="S85" s="232"/>
      <c r="T85" s="233">
        <v>320791</v>
      </c>
      <c r="U85" s="234">
        <v>4893</v>
      </c>
      <c r="V85" s="234">
        <v>325683</v>
      </c>
    </row>
    <row r="86" spans="1:22">
      <c r="A86" s="227">
        <v>91004</v>
      </c>
      <c r="B86" s="228" t="s">
        <v>802</v>
      </c>
      <c r="C86" s="87">
        <v>1.7499999999999998E-5</v>
      </c>
      <c r="D86" s="87">
        <v>1.8199999999999999E-5</v>
      </c>
      <c r="E86" s="232">
        <v>9479.5499999999993</v>
      </c>
      <c r="F86" s="232">
        <v>8168</v>
      </c>
      <c r="G86" s="232">
        <v>37141</v>
      </c>
      <c r="H86" s="232"/>
      <c r="I86" s="233">
        <v>698</v>
      </c>
      <c r="J86" s="233">
        <v>32547</v>
      </c>
      <c r="K86" s="233">
        <v>2544</v>
      </c>
      <c r="L86" s="232">
        <v>7859</v>
      </c>
      <c r="M86" s="232"/>
      <c r="N86" s="233">
        <v>1301.4575</v>
      </c>
      <c r="O86" s="233">
        <v>12013</v>
      </c>
      <c r="P86" s="233">
        <v>0</v>
      </c>
      <c r="Q86" s="232">
        <v>217</v>
      </c>
      <c r="R86" s="233">
        <f t="shared" si="1"/>
        <v>20534</v>
      </c>
      <c r="S86" s="232"/>
      <c r="T86" s="233">
        <v>9927</v>
      </c>
      <c r="U86" s="234">
        <v>2541</v>
      </c>
      <c r="V86" s="234">
        <v>12468</v>
      </c>
    </row>
    <row r="87" spans="1:22">
      <c r="A87" s="227">
        <v>91006</v>
      </c>
      <c r="B87" s="228" t="s">
        <v>803</v>
      </c>
      <c r="C87" s="87">
        <v>1.0096E-3</v>
      </c>
      <c r="D87" s="87">
        <v>1.0097000000000001E-3</v>
      </c>
      <c r="E87" s="232">
        <v>387783.48000000004</v>
      </c>
      <c r="F87" s="232">
        <v>453147</v>
      </c>
      <c r="G87" s="232">
        <v>2142709</v>
      </c>
      <c r="H87" s="232"/>
      <c r="I87" s="233">
        <v>40258</v>
      </c>
      <c r="J87" s="233">
        <v>1877696</v>
      </c>
      <c r="K87" s="233">
        <v>146756</v>
      </c>
      <c r="L87" s="232">
        <v>28780</v>
      </c>
      <c r="M87" s="232"/>
      <c r="N87" s="233">
        <v>75083</v>
      </c>
      <c r="O87" s="233">
        <v>693048</v>
      </c>
      <c r="P87" s="233">
        <v>0</v>
      </c>
      <c r="Q87" s="232">
        <v>21822</v>
      </c>
      <c r="R87" s="233">
        <f t="shared" si="1"/>
        <v>1184648</v>
      </c>
      <c r="S87" s="232"/>
      <c r="T87" s="233">
        <v>572715</v>
      </c>
      <c r="U87" s="234">
        <v>4927</v>
      </c>
      <c r="V87" s="234">
        <v>577642</v>
      </c>
    </row>
    <row r="88" spans="1:22">
      <c r="A88" s="227">
        <v>91007</v>
      </c>
      <c r="B88" s="228" t="s">
        <v>804</v>
      </c>
      <c r="C88" s="87">
        <v>1.2500000000000001E-5</v>
      </c>
      <c r="D88" s="87">
        <v>9.5999999999999996E-6</v>
      </c>
      <c r="E88" s="232">
        <v>10106.58</v>
      </c>
      <c r="F88" s="232">
        <v>4308</v>
      </c>
      <c r="G88" s="232">
        <v>26529.1875</v>
      </c>
      <c r="H88" s="232"/>
      <c r="I88" s="233">
        <v>498.4375</v>
      </c>
      <c r="J88" s="233">
        <v>23248</v>
      </c>
      <c r="K88" s="233">
        <v>1817</v>
      </c>
      <c r="L88" s="232">
        <v>7512</v>
      </c>
      <c r="M88" s="232"/>
      <c r="N88" s="233">
        <v>930</v>
      </c>
      <c r="O88" s="233">
        <v>8581</v>
      </c>
      <c r="P88" s="233">
        <v>0</v>
      </c>
      <c r="Q88" s="232">
        <v>1019</v>
      </c>
      <c r="R88" s="233">
        <f t="shared" si="1"/>
        <v>14667</v>
      </c>
      <c r="S88" s="232"/>
      <c r="T88" s="233">
        <v>7091</v>
      </c>
      <c r="U88" s="234">
        <v>1625</v>
      </c>
      <c r="V88" s="234">
        <v>8716</v>
      </c>
    </row>
    <row r="89" spans="1:22">
      <c r="A89" s="227">
        <v>91008</v>
      </c>
      <c r="B89" s="228" t="s">
        <v>805</v>
      </c>
      <c r="C89" s="87">
        <v>1.273E-4</v>
      </c>
      <c r="D89" s="87">
        <v>1.1629999999999999E-4</v>
      </c>
      <c r="E89" s="232">
        <v>64142.909999999996</v>
      </c>
      <c r="F89" s="232">
        <v>52195</v>
      </c>
      <c r="G89" s="232">
        <v>270173</v>
      </c>
      <c r="H89" s="232"/>
      <c r="I89" s="233">
        <v>5076</v>
      </c>
      <c r="J89" s="233">
        <v>236758</v>
      </c>
      <c r="K89" s="233">
        <v>18504</v>
      </c>
      <c r="L89" s="232">
        <v>45460</v>
      </c>
      <c r="M89" s="232"/>
      <c r="N89" s="233">
        <v>9467</v>
      </c>
      <c r="O89" s="233">
        <v>87386</v>
      </c>
      <c r="P89" s="233">
        <v>0</v>
      </c>
      <c r="Q89" s="232">
        <v>0</v>
      </c>
      <c r="R89" s="233">
        <f t="shared" si="1"/>
        <v>149372</v>
      </c>
      <c r="S89" s="232"/>
      <c r="T89" s="233">
        <v>72213</v>
      </c>
      <c r="U89" s="234">
        <v>15722</v>
      </c>
      <c r="V89" s="234">
        <v>87935</v>
      </c>
    </row>
    <row r="90" spans="1:22">
      <c r="A90" s="227">
        <v>91009</v>
      </c>
      <c r="B90" s="228" t="s">
        <v>806</v>
      </c>
      <c r="C90" s="87">
        <v>1.8700000000000001E-5</v>
      </c>
      <c r="D90" s="87">
        <v>1.5099999999999999E-5</v>
      </c>
      <c r="E90" s="232">
        <v>10450.36</v>
      </c>
      <c r="F90" s="232">
        <v>6777</v>
      </c>
      <c r="G90" s="232">
        <v>39688</v>
      </c>
      <c r="H90" s="232"/>
      <c r="I90" s="233">
        <v>745.66250000000002</v>
      </c>
      <c r="J90" s="233">
        <v>34779</v>
      </c>
      <c r="K90" s="233">
        <v>2718</v>
      </c>
      <c r="L90" s="232">
        <v>4142</v>
      </c>
      <c r="M90" s="232"/>
      <c r="N90" s="233">
        <v>1391</v>
      </c>
      <c r="O90" s="233">
        <v>12837</v>
      </c>
      <c r="P90" s="233">
        <v>0</v>
      </c>
      <c r="Q90" s="232">
        <v>3815</v>
      </c>
      <c r="R90" s="233">
        <f t="shared" si="1"/>
        <v>21942</v>
      </c>
      <c r="S90" s="232"/>
      <c r="T90" s="233">
        <v>10608</v>
      </c>
      <c r="U90" s="234">
        <v>-284</v>
      </c>
      <c r="V90" s="234">
        <v>10324</v>
      </c>
    </row>
    <row r="91" spans="1:22">
      <c r="A91" s="227">
        <v>91010</v>
      </c>
      <c r="B91" s="228" t="s">
        <v>807</v>
      </c>
      <c r="C91" s="87">
        <v>6.8399999999999996E-5</v>
      </c>
      <c r="D91" s="87">
        <v>7.08E-5</v>
      </c>
      <c r="E91" s="232">
        <v>29262.219999999998</v>
      </c>
      <c r="F91" s="232">
        <v>31775</v>
      </c>
      <c r="G91" s="232">
        <v>145168</v>
      </c>
      <c r="H91" s="232"/>
      <c r="I91" s="233">
        <v>2727.45</v>
      </c>
      <c r="J91" s="233">
        <v>127213</v>
      </c>
      <c r="K91" s="233">
        <v>9943</v>
      </c>
      <c r="L91" s="232">
        <v>10683</v>
      </c>
      <c r="M91" s="232"/>
      <c r="N91" s="233">
        <v>5087</v>
      </c>
      <c r="O91" s="233">
        <v>46954</v>
      </c>
      <c r="P91" s="233">
        <v>0</v>
      </c>
      <c r="Q91" s="232">
        <v>400</v>
      </c>
      <c r="R91" s="233">
        <f t="shared" si="1"/>
        <v>80259</v>
      </c>
      <c r="S91" s="232"/>
      <c r="T91" s="233">
        <v>38801</v>
      </c>
      <c r="U91" s="234">
        <v>4384</v>
      </c>
      <c r="V91" s="234">
        <v>43185</v>
      </c>
    </row>
    <row r="92" spans="1:22">
      <c r="A92" s="227">
        <v>91011</v>
      </c>
      <c r="B92" s="228" t="s">
        <v>808</v>
      </c>
      <c r="C92" s="87">
        <v>3.1789999999999998E-4</v>
      </c>
      <c r="D92" s="87">
        <v>3.0249999999999998E-4</v>
      </c>
      <c r="E92" s="232">
        <v>134881.49</v>
      </c>
      <c r="F92" s="232">
        <v>135760</v>
      </c>
      <c r="G92" s="232">
        <v>674690</v>
      </c>
      <c r="H92" s="232"/>
      <c r="I92" s="233">
        <v>12676</v>
      </c>
      <c r="J92" s="233">
        <v>591244</v>
      </c>
      <c r="K92" s="233">
        <v>46210</v>
      </c>
      <c r="L92" s="232">
        <v>30818</v>
      </c>
      <c r="M92" s="232"/>
      <c r="N92" s="233">
        <v>23642</v>
      </c>
      <c r="O92" s="233">
        <v>218225</v>
      </c>
      <c r="P92" s="233">
        <v>0</v>
      </c>
      <c r="Q92" s="232">
        <v>0</v>
      </c>
      <c r="R92" s="233">
        <f t="shared" si="1"/>
        <v>373019</v>
      </c>
      <c r="S92" s="232"/>
      <c r="T92" s="233">
        <v>180335</v>
      </c>
      <c r="U92" s="234">
        <v>10335</v>
      </c>
      <c r="V92" s="234">
        <v>190670</v>
      </c>
    </row>
    <row r="93" spans="1:22">
      <c r="A93" s="227">
        <v>91012</v>
      </c>
      <c r="B93" s="228" t="s">
        <v>809</v>
      </c>
      <c r="C93" s="87">
        <v>1.49E-5</v>
      </c>
      <c r="D93" s="87">
        <v>1.08E-5</v>
      </c>
      <c r="E93" s="232">
        <v>7817.43</v>
      </c>
      <c r="F93" s="232">
        <v>4847</v>
      </c>
      <c r="G93" s="232">
        <v>31623</v>
      </c>
      <c r="H93" s="232"/>
      <c r="I93" s="233">
        <v>594</v>
      </c>
      <c r="J93" s="233">
        <v>27712</v>
      </c>
      <c r="K93" s="233">
        <v>2166</v>
      </c>
      <c r="L93" s="232">
        <v>3563</v>
      </c>
      <c r="M93" s="232"/>
      <c r="N93" s="233">
        <v>1108</v>
      </c>
      <c r="O93" s="233">
        <v>10228</v>
      </c>
      <c r="P93" s="233">
        <v>0</v>
      </c>
      <c r="Q93" s="232">
        <v>4733</v>
      </c>
      <c r="R93" s="233">
        <f t="shared" si="1"/>
        <v>17484</v>
      </c>
      <c r="S93" s="232"/>
      <c r="T93" s="233">
        <v>8452</v>
      </c>
      <c r="U93" s="234">
        <v>-1352</v>
      </c>
      <c r="V93" s="234">
        <v>7100</v>
      </c>
    </row>
    <row r="94" spans="1:22">
      <c r="A94" s="227">
        <v>91013</v>
      </c>
      <c r="B94" s="228" t="s">
        <v>810</v>
      </c>
      <c r="C94" s="87">
        <v>2.1800000000000001E-5</v>
      </c>
      <c r="D94" s="87">
        <v>0</v>
      </c>
      <c r="E94" s="232">
        <v>20992.21</v>
      </c>
      <c r="F94" s="232">
        <v>0</v>
      </c>
      <c r="G94" s="232">
        <v>46267</v>
      </c>
      <c r="H94" s="232"/>
      <c r="I94" s="233">
        <v>869</v>
      </c>
      <c r="J94" s="233">
        <v>40545</v>
      </c>
      <c r="K94" s="233">
        <v>3169</v>
      </c>
      <c r="L94" s="232">
        <v>21362</v>
      </c>
      <c r="M94" s="232"/>
      <c r="N94" s="233">
        <v>1621</v>
      </c>
      <c r="O94" s="233">
        <v>14965</v>
      </c>
      <c r="P94" s="233">
        <v>0</v>
      </c>
      <c r="Q94" s="232">
        <v>0</v>
      </c>
      <c r="R94" s="233">
        <f t="shared" si="1"/>
        <v>25580</v>
      </c>
      <c r="S94" s="232"/>
      <c r="T94" s="233">
        <v>12366</v>
      </c>
      <c r="U94" s="234">
        <v>5534</v>
      </c>
      <c r="V94" s="234">
        <v>17901</v>
      </c>
    </row>
    <row r="95" spans="1:22">
      <c r="A95" s="227">
        <v>91014</v>
      </c>
      <c r="B95" s="228" t="s">
        <v>811</v>
      </c>
      <c r="C95" s="87">
        <v>2.1499999999999999E-4</v>
      </c>
      <c r="D95" s="87">
        <v>2.241E-4</v>
      </c>
      <c r="E95" s="232">
        <v>84391.47</v>
      </c>
      <c r="F95" s="232">
        <v>100575</v>
      </c>
      <c r="G95" s="232">
        <v>456302</v>
      </c>
      <c r="H95" s="232"/>
      <c r="I95" s="233">
        <v>8573.125</v>
      </c>
      <c r="J95" s="233">
        <v>399866</v>
      </c>
      <c r="K95" s="233">
        <v>31253</v>
      </c>
      <c r="L95" s="232">
        <v>0</v>
      </c>
      <c r="M95" s="232"/>
      <c r="N95" s="233">
        <v>15989</v>
      </c>
      <c r="O95" s="233">
        <v>147588.47</v>
      </c>
      <c r="P95" s="233">
        <v>0</v>
      </c>
      <c r="Q95" s="232">
        <v>17744</v>
      </c>
      <c r="R95" s="233">
        <f t="shared" si="1"/>
        <v>252277.53</v>
      </c>
      <c r="S95" s="232"/>
      <c r="T95" s="233">
        <v>121963</v>
      </c>
      <c r="U95" s="234">
        <v>-6457</v>
      </c>
      <c r="V95" s="234">
        <v>115506</v>
      </c>
    </row>
    <row r="96" spans="1:22">
      <c r="A96" s="227">
        <v>91017</v>
      </c>
      <c r="B96" s="228" t="s">
        <v>812</v>
      </c>
      <c r="C96" s="87">
        <v>2.3E-5</v>
      </c>
      <c r="D96" s="87">
        <v>1.01E-5</v>
      </c>
      <c r="E96" s="232">
        <v>10837.78</v>
      </c>
      <c r="F96" s="232">
        <v>4533</v>
      </c>
      <c r="G96" s="232">
        <v>48814</v>
      </c>
      <c r="H96" s="232"/>
      <c r="I96" s="233">
        <v>917.125</v>
      </c>
      <c r="J96" s="233">
        <v>42776</v>
      </c>
      <c r="K96" s="233">
        <v>3343</v>
      </c>
      <c r="L96" s="232">
        <v>11872</v>
      </c>
      <c r="M96" s="232"/>
      <c r="N96" s="233">
        <v>1710</v>
      </c>
      <c r="O96" s="233">
        <v>15789</v>
      </c>
      <c r="P96" s="233">
        <v>0</v>
      </c>
      <c r="Q96" s="232">
        <v>0</v>
      </c>
      <c r="R96" s="233">
        <f t="shared" si="1"/>
        <v>26987</v>
      </c>
      <c r="S96" s="232"/>
      <c r="T96" s="233">
        <v>13047</v>
      </c>
      <c r="U96" s="234">
        <v>3546</v>
      </c>
      <c r="V96" s="234">
        <v>16593</v>
      </c>
    </row>
    <row r="97" spans="1:22">
      <c r="A97" s="227">
        <v>91020</v>
      </c>
      <c r="B97" s="228" t="s">
        <v>813</v>
      </c>
      <c r="C97" s="87">
        <v>1.9899999999999999E-5</v>
      </c>
      <c r="D97" s="87">
        <v>1.7E-5</v>
      </c>
      <c r="E97" s="232">
        <v>8500.07</v>
      </c>
      <c r="F97" s="232">
        <v>7629</v>
      </c>
      <c r="G97" s="232">
        <v>42234</v>
      </c>
      <c r="H97" s="232"/>
      <c r="I97" s="233">
        <v>794</v>
      </c>
      <c r="J97" s="233">
        <v>37011</v>
      </c>
      <c r="K97" s="233">
        <v>2893</v>
      </c>
      <c r="L97" s="232">
        <v>2656</v>
      </c>
      <c r="M97" s="232"/>
      <c r="N97" s="233">
        <v>1480</v>
      </c>
      <c r="O97" s="233">
        <v>13661</v>
      </c>
      <c r="P97" s="233">
        <v>0</v>
      </c>
      <c r="Q97" s="232">
        <v>582</v>
      </c>
      <c r="R97" s="233">
        <f t="shared" si="1"/>
        <v>23350</v>
      </c>
      <c r="S97" s="232"/>
      <c r="T97" s="233">
        <v>11289</v>
      </c>
      <c r="U97" s="234">
        <v>685</v>
      </c>
      <c r="V97" s="234">
        <v>11973</v>
      </c>
    </row>
    <row r="98" spans="1:22">
      <c r="A98" s="227">
        <v>91021</v>
      </c>
      <c r="B98" s="228" t="s">
        <v>814</v>
      </c>
      <c r="C98" s="87">
        <v>8.6989999999999995E-4</v>
      </c>
      <c r="D98" s="87">
        <v>9.4979999999999999E-4</v>
      </c>
      <c r="E98" s="232">
        <v>366474.75</v>
      </c>
      <c r="F98" s="232">
        <v>426265</v>
      </c>
      <c r="G98" s="232">
        <v>1846219</v>
      </c>
      <c r="H98" s="232"/>
      <c r="I98" s="233">
        <v>34687</v>
      </c>
      <c r="J98" s="233">
        <v>1617877</v>
      </c>
      <c r="K98" s="233">
        <v>126450</v>
      </c>
      <c r="L98" s="232">
        <v>0</v>
      </c>
      <c r="M98" s="232"/>
      <c r="N98" s="233">
        <v>64694</v>
      </c>
      <c r="O98" s="233">
        <v>597150</v>
      </c>
      <c r="P98" s="233">
        <v>0</v>
      </c>
      <c r="Q98" s="232">
        <v>117733</v>
      </c>
      <c r="R98" s="233">
        <f t="shared" si="1"/>
        <v>1020727</v>
      </c>
      <c r="S98" s="232"/>
      <c r="T98" s="233">
        <v>493467</v>
      </c>
      <c r="U98" s="234">
        <v>-45954</v>
      </c>
      <c r="V98" s="234">
        <v>447513</v>
      </c>
    </row>
    <row r="99" spans="1:22">
      <c r="A99" s="227">
        <v>91024</v>
      </c>
      <c r="B99" s="228" t="s">
        <v>815</v>
      </c>
      <c r="C99" s="87">
        <v>6.6299999999999999E-5</v>
      </c>
      <c r="D99" s="87">
        <v>4.3800000000000001E-5</v>
      </c>
      <c r="E99" s="232">
        <v>26295.57</v>
      </c>
      <c r="F99" s="232">
        <v>19657</v>
      </c>
      <c r="G99" s="232">
        <v>140711</v>
      </c>
      <c r="H99" s="232"/>
      <c r="I99" s="233">
        <v>2644</v>
      </c>
      <c r="J99" s="233">
        <v>123308</v>
      </c>
      <c r="K99" s="233">
        <v>9637</v>
      </c>
      <c r="L99" s="232">
        <v>28363</v>
      </c>
      <c r="M99" s="232"/>
      <c r="N99" s="233">
        <v>4931</v>
      </c>
      <c r="O99" s="233">
        <v>45512</v>
      </c>
      <c r="P99" s="233">
        <v>0</v>
      </c>
      <c r="Q99" s="232">
        <v>0</v>
      </c>
      <c r="R99" s="233">
        <f t="shared" si="1"/>
        <v>77796</v>
      </c>
      <c r="S99" s="232"/>
      <c r="T99" s="233">
        <v>37610</v>
      </c>
      <c r="U99" s="234">
        <v>9531</v>
      </c>
      <c r="V99" s="234">
        <v>47141</v>
      </c>
    </row>
    <row r="100" spans="1:22">
      <c r="A100" s="227">
        <v>91026</v>
      </c>
      <c r="B100" s="228" t="s">
        <v>43</v>
      </c>
      <c r="C100" s="87">
        <v>6.0900000000000003E-5</v>
      </c>
      <c r="D100" s="87">
        <v>5.4700000000000001E-5</v>
      </c>
      <c r="E100" s="232">
        <v>45660.320000000007</v>
      </c>
      <c r="F100" s="232">
        <v>24549</v>
      </c>
      <c r="G100" s="232">
        <v>129250</v>
      </c>
      <c r="H100" s="232"/>
      <c r="I100" s="233">
        <v>2428</v>
      </c>
      <c r="J100" s="233">
        <v>113264</v>
      </c>
      <c r="K100" s="233">
        <v>8852</v>
      </c>
      <c r="L100" s="232">
        <v>43564</v>
      </c>
      <c r="M100" s="232"/>
      <c r="N100" s="233">
        <v>4529</v>
      </c>
      <c r="O100" s="233">
        <v>41805</v>
      </c>
      <c r="P100" s="233">
        <v>0</v>
      </c>
      <c r="Q100" s="232">
        <v>6237</v>
      </c>
      <c r="R100" s="233">
        <f t="shared" si="1"/>
        <v>71459</v>
      </c>
      <c r="S100" s="232"/>
      <c r="T100" s="233">
        <v>34547</v>
      </c>
      <c r="U100" s="234">
        <v>10429</v>
      </c>
      <c r="V100" s="234">
        <v>44976</v>
      </c>
    </row>
    <row r="101" spans="1:22">
      <c r="A101" s="227">
        <v>91027</v>
      </c>
      <c r="B101" s="228" t="s">
        <v>816</v>
      </c>
      <c r="C101" s="87">
        <v>1.6099999999999998E-5</v>
      </c>
      <c r="D101" s="87">
        <v>1.6099999999999998E-5</v>
      </c>
      <c r="E101" s="232">
        <v>15581.259999999998</v>
      </c>
      <c r="F101" s="232">
        <v>7226</v>
      </c>
      <c r="G101" s="232">
        <v>34170</v>
      </c>
      <c r="H101" s="232"/>
      <c r="I101" s="233">
        <v>642</v>
      </c>
      <c r="J101" s="233">
        <v>29943</v>
      </c>
      <c r="K101" s="233">
        <v>2340</v>
      </c>
      <c r="L101" s="232">
        <v>15162</v>
      </c>
      <c r="M101" s="232"/>
      <c r="N101" s="233">
        <v>1197</v>
      </c>
      <c r="O101" s="233">
        <v>11052</v>
      </c>
      <c r="P101" s="233">
        <v>0</v>
      </c>
      <c r="Q101" s="232">
        <v>0</v>
      </c>
      <c r="R101" s="233">
        <f t="shared" si="1"/>
        <v>18891</v>
      </c>
      <c r="S101" s="232"/>
      <c r="T101" s="233">
        <v>9133</v>
      </c>
      <c r="U101" s="234">
        <v>5044</v>
      </c>
      <c r="V101" s="234">
        <v>14177</v>
      </c>
    </row>
    <row r="102" spans="1:22">
      <c r="A102" s="227">
        <v>91032</v>
      </c>
      <c r="B102" s="228" t="s">
        <v>817</v>
      </c>
      <c r="C102" s="87">
        <v>1.8600000000000001E-5</v>
      </c>
      <c r="D102" s="87">
        <v>2.12E-5</v>
      </c>
      <c r="E102" s="232">
        <v>14204.55</v>
      </c>
      <c r="F102" s="232">
        <v>9514</v>
      </c>
      <c r="G102" s="232">
        <v>39475</v>
      </c>
      <c r="H102" s="232"/>
      <c r="I102" s="233">
        <v>742</v>
      </c>
      <c r="J102" s="233">
        <v>34593</v>
      </c>
      <c r="K102" s="233">
        <v>2704</v>
      </c>
      <c r="L102" s="232">
        <v>14052</v>
      </c>
      <c r="M102" s="232"/>
      <c r="N102" s="233">
        <v>1383</v>
      </c>
      <c r="O102" s="233">
        <v>12768</v>
      </c>
      <c r="P102" s="233">
        <v>0</v>
      </c>
      <c r="Q102" s="232">
        <v>0</v>
      </c>
      <c r="R102" s="233">
        <f t="shared" si="1"/>
        <v>21825</v>
      </c>
      <c r="S102" s="232"/>
      <c r="T102" s="233">
        <v>10551</v>
      </c>
      <c r="U102" s="234">
        <v>4978</v>
      </c>
      <c r="V102" s="234">
        <v>15529</v>
      </c>
    </row>
    <row r="103" spans="1:22">
      <c r="A103" s="227">
        <v>91041</v>
      </c>
      <c r="B103" s="228" t="s">
        <v>818</v>
      </c>
      <c r="C103" s="87">
        <v>4.3609999999999998E-4</v>
      </c>
      <c r="D103" s="87">
        <v>4.8910000000000002E-4</v>
      </c>
      <c r="E103" s="232">
        <v>143841.5</v>
      </c>
      <c r="F103" s="232">
        <v>219505</v>
      </c>
      <c r="G103" s="232">
        <v>925550</v>
      </c>
      <c r="H103" s="232"/>
      <c r="I103" s="233">
        <v>17389</v>
      </c>
      <c r="J103" s="233">
        <v>811077</v>
      </c>
      <c r="K103" s="233">
        <v>63392</v>
      </c>
      <c r="L103" s="232">
        <v>0</v>
      </c>
      <c r="M103" s="232"/>
      <c r="N103" s="233">
        <v>32432</v>
      </c>
      <c r="O103" s="233">
        <v>299364</v>
      </c>
      <c r="P103" s="233">
        <v>0</v>
      </c>
      <c r="Q103" s="232">
        <v>93669</v>
      </c>
      <c r="R103" s="233">
        <f t="shared" si="1"/>
        <v>511713</v>
      </c>
      <c r="S103" s="232"/>
      <c r="T103" s="233">
        <v>247386</v>
      </c>
      <c r="U103" s="234">
        <v>-28115</v>
      </c>
      <c r="V103" s="234">
        <v>219271</v>
      </c>
    </row>
    <row r="104" spans="1:22">
      <c r="A104" s="227">
        <v>91042</v>
      </c>
      <c r="B104" s="228" t="s">
        <v>819</v>
      </c>
      <c r="C104" s="87">
        <v>2.062E-4</v>
      </c>
      <c r="D104" s="87">
        <v>2.1579999999999999E-4</v>
      </c>
      <c r="E104" s="232">
        <v>79476.37000000001</v>
      </c>
      <c r="F104" s="232">
        <v>96850</v>
      </c>
      <c r="G104" s="232">
        <v>437625</v>
      </c>
      <c r="H104" s="232"/>
      <c r="I104" s="233">
        <v>8222</v>
      </c>
      <c r="J104" s="233">
        <v>383499</v>
      </c>
      <c r="K104" s="233">
        <v>29973</v>
      </c>
      <c r="L104" s="232">
        <v>241</v>
      </c>
      <c r="M104" s="232"/>
      <c r="N104" s="233">
        <v>15335</v>
      </c>
      <c r="O104" s="233">
        <v>141548</v>
      </c>
      <c r="P104" s="233">
        <v>0</v>
      </c>
      <c r="Q104" s="232">
        <v>9427</v>
      </c>
      <c r="R104" s="233">
        <f t="shared" si="1"/>
        <v>241951</v>
      </c>
      <c r="S104" s="232"/>
      <c r="T104" s="233">
        <v>116971</v>
      </c>
      <c r="U104" s="234">
        <v>-2338</v>
      </c>
      <c r="V104" s="234">
        <v>114633</v>
      </c>
    </row>
    <row r="105" spans="1:22">
      <c r="A105" s="227">
        <v>91047</v>
      </c>
      <c r="B105" s="228" t="s">
        <v>820</v>
      </c>
      <c r="C105" s="87">
        <v>1.3200000000000001E-5</v>
      </c>
      <c r="D105" s="87">
        <v>1.29E-5</v>
      </c>
      <c r="E105" s="232">
        <v>17711.78</v>
      </c>
      <c r="F105" s="232">
        <v>5789</v>
      </c>
      <c r="G105" s="232">
        <v>28015</v>
      </c>
      <c r="H105" s="232"/>
      <c r="I105" s="233">
        <v>526.35</v>
      </c>
      <c r="J105" s="233">
        <v>24550</v>
      </c>
      <c r="K105" s="233">
        <v>1919</v>
      </c>
      <c r="L105" s="232">
        <v>17767</v>
      </c>
      <c r="M105" s="232"/>
      <c r="N105" s="233">
        <v>982</v>
      </c>
      <c r="O105" s="233">
        <v>9061</v>
      </c>
      <c r="P105" s="233">
        <v>0</v>
      </c>
      <c r="Q105" s="232">
        <v>0</v>
      </c>
      <c r="R105" s="233">
        <f t="shared" si="1"/>
        <v>15489</v>
      </c>
      <c r="S105" s="232"/>
      <c r="T105" s="233">
        <v>7488</v>
      </c>
      <c r="U105" s="234">
        <v>5499</v>
      </c>
      <c r="V105" s="234">
        <v>12987</v>
      </c>
    </row>
    <row r="106" spans="1:22">
      <c r="A106" s="227">
        <v>91051</v>
      </c>
      <c r="B106" s="228" t="s">
        <v>821</v>
      </c>
      <c r="C106" s="87">
        <v>7.6600000000000005E-5</v>
      </c>
      <c r="D106" s="87">
        <v>8.14E-5</v>
      </c>
      <c r="E106" s="232">
        <v>31832.510000000002</v>
      </c>
      <c r="F106" s="232">
        <v>36532</v>
      </c>
      <c r="G106" s="232">
        <v>162571</v>
      </c>
      <c r="H106" s="232"/>
      <c r="I106" s="233">
        <v>3054</v>
      </c>
      <c r="J106" s="233">
        <v>142464</v>
      </c>
      <c r="K106" s="233">
        <v>11135</v>
      </c>
      <c r="L106" s="232">
        <v>2509</v>
      </c>
      <c r="M106" s="232"/>
      <c r="N106" s="233">
        <v>5697</v>
      </c>
      <c r="O106" s="233">
        <v>52583</v>
      </c>
      <c r="P106" s="233">
        <v>0</v>
      </c>
      <c r="Q106" s="232">
        <v>2829</v>
      </c>
      <c r="R106" s="233">
        <f t="shared" si="1"/>
        <v>89881</v>
      </c>
      <c r="S106" s="232"/>
      <c r="T106" s="233">
        <v>43453</v>
      </c>
      <c r="U106" s="234">
        <v>37</v>
      </c>
      <c r="V106" s="234">
        <v>43490</v>
      </c>
    </row>
    <row r="107" spans="1:22">
      <c r="A107" s="227">
        <v>91057</v>
      </c>
      <c r="B107" s="228" t="s">
        <v>822</v>
      </c>
      <c r="C107" s="87">
        <v>1.5E-5</v>
      </c>
      <c r="D107" s="87">
        <v>1.49E-5</v>
      </c>
      <c r="E107" s="232">
        <v>9524.76</v>
      </c>
      <c r="F107" s="232">
        <v>6687</v>
      </c>
      <c r="G107" s="232">
        <v>31835</v>
      </c>
      <c r="H107" s="232"/>
      <c r="I107" s="233">
        <v>598.125</v>
      </c>
      <c r="J107" s="233">
        <v>27897.63</v>
      </c>
      <c r="K107" s="233">
        <v>2180.415</v>
      </c>
      <c r="L107" s="232">
        <v>5494</v>
      </c>
      <c r="M107" s="232"/>
      <c r="N107" s="233">
        <v>1116</v>
      </c>
      <c r="O107" s="233">
        <v>10297</v>
      </c>
      <c r="P107" s="233">
        <v>0</v>
      </c>
      <c r="Q107" s="232">
        <v>0</v>
      </c>
      <c r="R107" s="233">
        <f t="shared" si="1"/>
        <v>17600.63</v>
      </c>
      <c r="S107" s="232"/>
      <c r="T107" s="233">
        <v>8509</v>
      </c>
      <c r="U107" s="234">
        <v>1691</v>
      </c>
      <c r="V107" s="234">
        <v>10200</v>
      </c>
    </row>
    <row r="108" spans="1:22">
      <c r="A108" s="227">
        <v>91061</v>
      </c>
      <c r="B108" s="228" t="s">
        <v>823</v>
      </c>
      <c r="C108" s="87">
        <v>3.7730000000000001E-4</v>
      </c>
      <c r="D108" s="87">
        <v>3.322E-4</v>
      </c>
      <c r="E108" s="232">
        <v>141049.84</v>
      </c>
      <c r="F108" s="232">
        <v>149089</v>
      </c>
      <c r="G108" s="232">
        <v>800757</v>
      </c>
      <c r="H108" s="232"/>
      <c r="I108" s="233">
        <v>15045</v>
      </c>
      <c r="J108" s="233">
        <v>701718</v>
      </c>
      <c r="K108" s="233">
        <v>54845</v>
      </c>
      <c r="L108" s="232">
        <v>13223</v>
      </c>
      <c r="M108" s="232"/>
      <c r="N108" s="233">
        <v>28059</v>
      </c>
      <c r="O108" s="233">
        <v>259001</v>
      </c>
      <c r="P108" s="233">
        <v>0</v>
      </c>
      <c r="Q108" s="232">
        <v>46977</v>
      </c>
      <c r="R108" s="233">
        <f t="shared" si="1"/>
        <v>442717</v>
      </c>
      <c r="S108" s="232"/>
      <c r="T108" s="233">
        <v>214031</v>
      </c>
      <c r="U108" s="234">
        <v>-15751</v>
      </c>
      <c r="V108" s="234">
        <v>198279</v>
      </c>
    </row>
    <row r="109" spans="1:22">
      <c r="A109" s="227">
        <v>91067</v>
      </c>
      <c r="B109" s="228" t="s">
        <v>824</v>
      </c>
      <c r="C109" s="87">
        <v>1.8499999999999999E-5</v>
      </c>
      <c r="D109" s="87">
        <v>1.7099999999999999E-5</v>
      </c>
      <c r="E109" s="232">
        <v>8476.0800000000017</v>
      </c>
      <c r="F109" s="232">
        <v>7674</v>
      </c>
      <c r="G109" s="232">
        <v>39263</v>
      </c>
      <c r="H109" s="232"/>
      <c r="I109" s="233">
        <v>737.6875</v>
      </c>
      <c r="J109" s="233">
        <v>34407</v>
      </c>
      <c r="K109" s="233">
        <v>2689</v>
      </c>
      <c r="L109" s="232">
        <v>3670</v>
      </c>
      <c r="M109" s="232"/>
      <c r="N109" s="233">
        <v>1376</v>
      </c>
      <c r="O109" s="233">
        <v>12699</v>
      </c>
      <c r="P109" s="233">
        <v>0</v>
      </c>
      <c r="Q109" s="232">
        <v>0</v>
      </c>
      <c r="R109" s="233">
        <f t="shared" si="1"/>
        <v>21708</v>
      </c>
      <c r="S109" s="232"/>
      <c r="T109" s="233">
        <v>10494</v>
      </c>
      <c r="U109" s="234">
        <v>1258</v>
      </c>
      <c r="V109" s="234">
        <v>11752</v>
      </c>
    </row>
    <row r="110" spans="1:22">
      <c r="A110" s="227">
        <v>91071</v>
      </c>
      <c r="B110" s="228" t="s">
        <v>825</v>
      </c>
      <c r="C110" s="87">
        <v>2.4379999999999999E-4</v>
      </c>
      <c r="D110" s="87">
        <v>2.321E-4</v>
      </c>
      <c r="E110" s="232">
        <v>89647.999999999985</v>
      </c>
      <c r="F110" s="232">
        <v>104165</v>
      </c>
      <c r="G110" s="232">
        <v>517425</v>
      </c>
      <c r="H110" s="232"/>
      <c r="I110" s="233">
        <v>9722</v>
      </c>
      <c r="J110" s="233">
        <v>453429</v>
      </c>
      <c r="K110" s="233">
        <v>35439</v>
      </c>
      <c r="L110" s="232">
        <v>16829.43</v>
      </c>
      <c r="M110" s="232"/>
      <c r="N110" s="233">
        <v>18131</v>
      </c>
      <c r="O110" s="233">
        <v>167358</v>
      </c>
      <c r="P110" s="233">
        <v>0</v>
      </c>
      <c r="Q110" s="232">
        <v>3799</v>
      </c>
      <c r="R110" s="233">
        <f t="shared" si="1"/>
        <v>286071</v>
      </c>
      <c r="S110" s="232"/>
      <c r="T110" s="233">
        <v>138300</v>
      </c>
      <c r="U110" s="234">
        <v>7310</v>
      </c>
      <c r="V110" s="234">
        <v>145610</v>
      </c>
    </row>
    <row r="111" spans="1:22">
      <c r="A111" s="227">
        <v>91077</v>
      </c>
      <c r="B111" s="228" t="s">
        <v>826</v>
      </c>
      <c r="C111" s="87">
        <v>3.9999999999999998E-6</v>
      </c>
      <c r="D111" s="87">
        <v>4.7999999999999998E-6</v>
      </c>
      <c r="E111" s="232">
        <v>2964.42</v>
      </c>
      <c r="F111" s="232">
        <v>2154</v>
      </c>
      <c r="G111" s="232">
        <v>8489.34</v>
      </c>
      <c r="H111" s="232"/>
      <c r="I111" s="233">
        <v>159.5</v>
      </c>
      <c r="J111" s="233">
        <v>7439</v>
      </c>
      <c r="K111" s="233">
        <v>581</v>
      </c>
      <c r="L111" s="232">
        <v>1140</v>
      </c>
      <c r="M111" s="232"/>
      <c r="N111" s="233">
        <v>297</v>
      </c>
      <c r="O111" s="233">
        <v>2746</v>
      </c>
      <c r="P111" s="233">
        <v>0</v>
      </c>
      <c r="Q111" s="232">
        <v>103</v>
      </c>
      <c r="R111" s="233">
        <f t="shared" si="1"/>
        <v>4693</v>
      </c>
      <c r="S111" s="232"/>
      <c r="T111" s="233">
        <v>2269</v>
      </c>
      <c r="U111" s="234">
        <v>294</v>
      </c>
      <c r="V111" s="234">
        <v>2563</v>
      </c>
    </row>
    <row r="112" spans="1:22">
      <c r="A112" s="227">
        <v>91081</v>
      </c>
      <c r="B112" s="228" t="s">
        <v>827</v>
      </c>
      <c r="C112" s="87">
        <v>3.6499999999999998E-4</v>
      </c>
      <c r="D112" s="87">
        <v>3.5750000000000002E-4</v>
      </c>
      <c r="E112" s="232">
        <v>146435.68000000002</v>
      </c>
      <c r="F112" s="232">
        <v>160444</v>
      </c>
      <c r="G112" s="232">
        <v>774652</v>
      </c>
      <c r="H112" s="232"/>
      <c r="I112" s="233">
        <v>14554.375</v>
      </c>
      <c r="J112" s="233">
        <v>678842.33</v>
      </c>
      <c r="K112" s="233">
        <v>53057</v>
      </c>
      <c r="L112" s="232">
        <v>1642</v>
      </c>
      <c r="M112" s="232"/>
      <c r="N112" s="233">
        <v>27145</v>
      </c>
      <c r="O112" s="233">
        <v>250557</v>
      </c>
      <c r="P112" s="233">
        <v>0</v>
      </c>
      <c r="Q112" s="232">
        <v>27235</v>
      </c>
      <c r="R112" s="233">
        <f t="shared" si="1"/>
        <v>428285.32999999996</v>
      </c>
      <c r="S112" s="232"/>
      <c r="T112" s="233">
        <v>207053</v>
      </c>
      <c r="U112" s="234">
        <v>-13214</v>
      </c>
      <c r="V112" s="234">
        <v>193840</v>
      </c>
    </row>
    <row r="113" spans="1:22">
      <c r="A113" s="227">
        <v>91091</v>
      </c>
      <c r="B113" s="228" t="s">
        <v>828</v>
      </c>
      <c r="C113" s="87">
        <v>5.6380000000000004E-4</v>
      </c>
      <c r="D113" s="87">
        <v>5.3359999999999996E-4</v>
      </c>
      <c r="E113" s="232">
        <v>203382.8</v>
      </c>
      <c r="F113" s="232">
        <v>239476</v>
      </c>
      <c r="G113" s="232">
        <v>1196572</v>
      </c>
      <c r="H113" s="232"/>
      <c r="I113" s="233">
        <v>22482</v>
      </c>
      <c r="J113" s="233">
        <v>1048579</v>
      </c>
      <c r="K113" s="233">
        <v>81955</v>
      </c>
      <c r="L113" s="232">
        <v>0</v>
      </c>
      <c r="M113" s="232"/>
      <c r="N113" s="233">
        <v>41929</v>
      </c>
      <c r="O113" s="233">
        <v>387025</v>
      </c>
      <c r="P113" s="233">
        <v>0</v>
      </c>
      <c r="Q113" s="232">
        <v>54149</v>
      </c>
      <c r="R113" s="233">
        <f t="shared" si="1"/>
        <v>661554</v>
      </c>
      <c r="S113" s="232"/>
      <c r="T113" s="233">
        <v>319826</v>
      </c>
      <c r="U113" s="234">
        <v>-22256</v>
      </c>
      <c r="V113" s="234">
        <v>297571</v>
      </c>
    </row>
    <row r="114" spans="1:22">
      <c r="A114" s="227">
        <v>91101</v>
      </c>
      <c r="B114" s="228" t="s">
        <v>829</v>
      </c>
      <c r="C114" s="87">
        <v>1.36685E-2</v>
      </c>
      <c r="D114" s="87">
        <v>1.3700499999999999E-2</v>
      </c>
      <c r="E114" s="232">
        <v>5218348.8699999992</v>
      </c>
      <c r="F114" s="232">
        <v>6148702</v>
      </c>
      <c r="G114" s="232">
        <v>29009136</v>
      </c>
      <c r="H114" s="232"/>
      <c r="I114" s="233">
        <v>545031</v>
      </c>
      <c r="J114" s="233">
        <v>25421250</v>
      </c>
      <c r="K114" s="233">
        <v>1986867</v>
      </c>
      <c r="L114" s="232">
        <v>791280</v>
      </c>
      <c r="M114" s="232"/>
      <c r="N114" s="233">
        <v>1016513</v>
      </c>
      <c r="O114" s="233">
        <v>9382851</v>
      </c>
      <c r="P114" s="233">
        <v>0</v>
      </c>
      <c r="Q114" s="232">
        <v>337196</v>
      </c>
      <c r="R114" s="233">
        <f t="shared" si="1"/>
        <v>16038399</v>
      </c>
      <c r="S114" s="232"/>
      <c r="T114" s="233">
        <v>7753716</v>
      </c>
      <c r="U114" s="234">
        <v>232315</v>
      </c>
      <c r="V114" s="234">
        <v>7986031</v>
      </c>
    </row>
    <row r="115" spans="1:22">
      <c r="A115" s="227">
        <v>91102</v>
      </c>
      <c r="B115" s="228" t="s">
        <v>830</v>
      </c>
      <c r="C115" s="87">
        <v>3.034E-4</v>
      </c>
      <c r="D115" s="87">
        <v>2.834E-4</v>
      </c>
      <c r="E115" s="232">
        <v>133771.11000000002</v>
      </c>
      <c r="F115" s="232">
        <v>127188</v>
      </c>
      <c r="G115" s="232">
        <v>643916</v>
      </c>
      <c r="H115" s="232"/>
      <c r="I115" s="233">
        <v>12098</v>
      </c>
      <c r="J115" s="233">
        <v>564276</v>
      </c>
      <c r="K115" s="233">
        <v>44103</v>
      </c>
      <c r="L115" s="232">
        <v>18534</v>
      </c>
      <c r="M115" s="232"/>
      <c r="N115" s="233">
        <v>22564</v>
      </c>
      <c r="O115" s="233">
        <v>208271</v>
      </c>
      <c r="P115" s="233">
        <v>0</v>
      </c>
      <c r="Q115" s="232">
        <v>52648</v>
      </c>
      <c r="R115" s="233">
        <f t="shared" si="1"/>
        <v>356005</v>
      </c>
      <c r="S115" s="232"/>
      <c r="T115" s="233">
        <v>172109</v>
      </c>
      <c r="U115" s="234">
        <v>-13734</v>
      </c>
      <c r="V115" s="234">
        <v>158376</v>
      </c>
    </row>
    <row r="116" spans="1:22">
      <c r="A116" s="227">
        <v>91104</v>
      </c>
      <c r="B116" s="228" t="s">
        <v>831</v>
      </c>
      <c r="C116" s="87">
        <v>8.1999999999999994E-6</v>
      </c>
      <c r="D116" s="87">
        <v>9.2E-6</v>
      </c>
      <c r="E116" s="232">
        <v>5034.29</v>
      </c>
      <c r="F116" s="232">
        <v>4129</v>
      </c>
      <c r="G116" s="232">
        <v>17403</v>
      </c>
      <c r="H116" s="232"/>
      <c r="I116" s="233">
        <v>327</v>
      </c>
      <c r="J116" s="233">
        <v>15251</v>
      </c>
      <c r="K116" s="233">
        <v>1192</v>
      </c>
      <c r="L116" s="232">
        <v>993</v>
      </c>
      <c r="M116" s="232"/>
      <c r="N116" s="233">
        <v>610</v>
      </c>
      <c r="O116" s="233">
        <v>5629</v>
      </c>
      <c r="P116" s="233">
        <v>0</v>
      </c>
      <c r="Q116" s="232">
        <v>78</v>
      </c>
      <c r="R116" s="233">
        <f t="shared" si="1"/>
        <v>9622</v>
      </c>
      <c r="S116" s="232"/>
      <c r="T116" s="233">
        <v>4652</v>
      </c>
      <c r="U116" s="234">
        <v>239</v>
      </c>
      <c r="V116" s="234">
        <v>4890</v>
      </c>
    </row>
    <row r="117" spans="1:22">
      <c r="A117" s="227">
        <v>91107</v>
      </c>
      <c r="B117" s="228" t="s">
        <v>1938</v>
      </c>
      <c r="C117" s="87">
        <v>6.7899999999999997E-5</v>
      </c>
      <c r="D117" s="87">
        <v>6.3999999999999997E-5</v>
      </c>
      <c r="E117" s="232">
        <v>34872.559999999998</v>
      </c>
      <c r="F117" s="232">
        <v>28723</v>
      </c>
      <c r="G117" s="232">
        <v>144107</v>
      </c>
      <c r="H117" s="232"/>
      <c r="I117" s="233">
        <v>2708</v>
      </c>
      <c r="J117" s="233">
        <v>126283</v>
      </c>
      <c r="K117" s="233">
        <v>9870</v>
      </c>
      <c r="L117" s="232">
        <v>11761</v>
      </c>
      <c r="M117" s="232"/>
      <c r="N117" s="233">
        <v>5050</v>
      </c>
      <c r="O117" s="233">
        <v>46610</v>
      </c>
      <c r="P117" s="233">
        <v>0</v>
      </c>
      <c r="Q117" s="232">
        <v>0</v>
      </c>
      <c r="R117" s="233">
        <f t="shared" si="1"/>
        <v>79673</v>
      </c>
      <c r="S117" s="232"/>
      <c r="T117" s="233">
        <v>38518</v>
      </c>
      <c r="U117" s="234">
        <v>3853</v>
      </c>
      <c r="V117" s="234">
        <v>42371</v>
      </c>
    </row>
    <row r="118" spans="1:22">
      <c r="A118" s="227">
        <v>91108</v>
      </c>
      <c r="B118" s="228" t="s">
        <v>833</v>
      </c>
      <c r="C118" s="87">
        <v>1.2622E-3</v>
      </c>
      <c r="D118" s="87">
        <v>1.2565E-3</v>
      </c>
      <c r="E118" s="232">
        <v>552346.72</v>
      </c>
      <c r="F118" s="232">
        <v>563910</v>
      </c>
      <c r="G118" s="232">
        <v>2678811</v>
      </c>
      <c r="H118" s="232"/>
      <c r="I118" s="233">
        <v>50330</v>
      </c>
      <c r="J118" s="233">
        <v>2347493</v>
      </c>
      <c r="K118" s="233">
        <v>183475</v>
      </c>
      <c r="L118" s="232">
        <v>83626</v>
      </c>
      <c r="M118" s="232"/>
      <c r="N118" s="233">
        <v>93869</v>
      </c>
      <c r="O118" s="233">
        <v>866447</v>
      </c>
      <c r="P118" s="233">
        <v>0</v>
      </c>
      <c r="Q118" s="232">
        <v>0</v>
      </c>
      <c r="R118" s="233">
        <f t="shared" si="1"/>
        <v>1481046</v>
      </c>
      <c r="S118" s="232"/>
      <c r="T118" s="233">
        <v>716007</v>
      </c>
      <c r="U118" s="234">
        <v>29649</v>
      </c>
      <c r="V118" s="234">
        <v>745656</v>
      </c>
    </row>
    <row r="119" spans="1:22">
      <c r="A119" s="227">
        <v>91109</v>
      </c>
      <c r="B119" s="228" t="s">
        <v>834</v>
      </c>
      <c r="C119" s="87">
        <v>9.2100000000000003E-5</v>
      </c>
      <c r="D119" s="87">
        <v>9.6600000000000003E-5</v>
      </c>
      <c r="E119" s="232">
        <v>40329.650000000009</v>
      </c>
      <c r="F119" s="232">
        <v>43354</v>
      </c>
      <c r="G119" s="232">
        <v>195467</v>
      </c>
      <c r="H119" s="232"/>
      <c r="I119" s="233">
        <v>3672</v>
      </c>
      <c r="J119" s="233">
        <v>171291</v>
      </c>
      <c r="K119" s="233">
        <v>13388</v>
      </c>
      <c r="L119" s="232">
        <v>2200</v>
      </c>
      <c r="M119" s="232"/>
      <c r="N119" s="233">
        <v>6849</v>
      </c>
      <c r="O119" s="233">
        <v>63223</v>
      </c>
      <c r="P119" s="233">
        <v>0</v>
      </c>
      <c r="Q119" s="232">
        <v>1611</v>
      </c>
      <c r="R119" s="233">
        <f t="shared" si="1"/>
        <v>108068</v>
      </c>
      <c r="S119" s="232"/>
      <c r="T119" s="233">
        <v>52245</v>
      </c>
      <c r="U119" s="234">
        <v>89</v>
      </c>
      <c r="V119" s="234">
        <v>52335</v>
      </c>
    </row>
    <row r="120" spans="1:22">
      <c r="A120" s="227">
        <v>91111</v>
      </c>
      <c r="B120" s="228" t="s">
        <v>835</v>
      </c>
      <c r="C120" s="87">
        <v>2.2359999999999999E-4</v>
      </c>
      <c r="D120" s="87">
        <v>2.2049999999999999E-4</v>
      </c>
      <c r="E120" s="232">
        <v>98685.249999999985</v>
      </c>
      <c r="F120" s="232">
        <v>98959</v>
      </c>
      <c r="G120" s="232">
        <v>474554</v>
      </c>
      <c r="H120" s="232"/>
      <c r="I120" s="233">
        <v>8916</v>
      </c>
      <c r="J120" s="233">
        <v>415861</v>
      </c>
      <c r="K120" s="233">
        <v>32503</v>
      </c>
      <c r="L120" s="232">
        <v>26669</v>
      </c>
      <c r="M120" s="232"/>
      <c r="N120" s="233">
        <v>16629</v>
      </c>
      <c r="O120" s="233">
        <v>153492</v>
      </c>
      <c r="P120" s="233">
        <v>0</v>
      </c>
      <c r="Q120" s="232">
        <v>0</v>
      </c>
      <c r="R120" s="233">
        <f t="shared" si="1"/>
        <v>262369</v>
      </c>
      <c r="S120" s="232"/>
      <c r="T120" s="233">
        <v>126841</v>
      </c>
      <c r="U120" s="234">
        <v>8870</v>
      </c>
      <c r="V120" s="234">
        <v>135711</v>
      </c>
    </row>
    <row r="121" spans="1:22">
      <c r="A121" s="227">
        <v>91119</v>
      </c>
      <c r="B121" s="228" t="s">
        <v>48</v>
      </c>
      <c r="C121" s="87">
        <v>0</v>
      </c>
      <c r="D121" s="87">
        <v>0</v>
      </c>
      <c r="E121" s="232">
        <v>0</v>
      </c>
      <c r="F121" s="232">
        <v>0</v>
      </c>
      <c r="G121" s="232">
        <v>0</v>
      </c>
      <c r="H121" s="232"/>
      <c r="I121" s="233">
        <v>0</v>
      </c>
      <c r="J121" s="233">
        <v>0</v>
      </c>
      <c r="K121" s="233">
        <v>0</v>
      </c>
      <c r="L121" s="232">
        <v>0</v>
      </c>
      <c r="M121" s="232"/>
      <c r="N121" s="233">
        <v>0</v>
      </c>
      <c r="O121" s="233">
        <v>0</v>
      </c>
      <c r="P121" s="233">
        <v>0</v>
      </c>
      <c r="Q121" s="232">
        <v>645424.66</v>
      </c>
      <c r="R121" s="233">
        <f t="shared" si="1"/>
        <v>0</v>
      </c>
      <c r="S121" s="232"/>
      <c r="T121" s="233">
        <v>0</v>
      </c>
      <c r="U121" s="234">
        <v>-324334</v>
      </c>
      <c r="V121" s="234">
        <v>-324334</v>
      </c>
    </row>
    <row r="122" spans="1:22">
      <c r="A122" s="227">
        <v>91120</v>
      </c>
      <c r="B122" s="228" t="s">
        <v>836</v>
      </c>
      <c r="C122" s="87">
        <v>1.184E-4</v>
      </c>
      <c r="D122" s="87">
        <v>1.161E-4</v>
      </c>
      <c r="E122" s="232">
        <v>42592.1</v>
      </c>
      <c r="F122" s="232">
        <v>52105</v>
      </c>
      <c r="G122" s="232">
        <v>251284</v>
      </c>
      <c r="H122" s="232"/>
      <c r="I122" s="233">
        <v>4721.2</v>
      </c>
      <c r="J122" s="233">
        <v>220205</v>
      </c>
      <c r="K122" s="233">
        <v>17211</v>
      </c>
      <c r="L122" s="232">
        <v>0</v>
      </c>
      <c r="M122" s="232"/>
      <c r="N122" s="233">
        <v>8805</v>
      </c>
      <c r="O122" s="233">
        <v>81277</v>
      </c>
      <c r="P122" s="233">
        <v>0</v>
      </c>
      <c r="Q122" s="232">
        <v>29635</v>
      </c>
      <c r="R122" s="233">
        <f t="shared" si="1"/>
        <v>138928</v>
      </c>
      <c r="S122" s="232"/>
      <c r="T122" s="233">
        <v>67165</v>
      </c>
      <c r="U122" s="234">
        <v>-11244</v>
      </c>
      <c r="V122" s="234">
        <v>55921</v>
      </c>
    </row>
    <row r="123" spans="1:22">
      <c r="A123" s="227">
        <v>91121</v>
      </c>
      <c r="B123" s="228" t="s">
        <v>837</v>
      </c>
      <c r="C123" s="87">
        <v>9.7842999999999992E-3</v>
      </c>
      <c r="D123" s="87">
        <v>1.0167600000000001E-2</v>
      </c>
      <c r="E123" s="232">
        <v>3705845.4499999997</v>
      </c>
      <c r="F123" s="232">
        <v>4563158</v>
      </c>
      <c r="G123" s="232">
        <v>20765562</v>
      </c>
      <c r="H123" s="232"/>
      <c r="I123" s="233">
        <v>390149</v>
      </c>
      <c r="J123" s="233">
        <v>18197252</v>
      </c>
      <c r="K123" s="233">
        <v>1422256</v>
      </c>
      <c r="L123" s="232">
        <v>0</v>
      </c>
      <c r="M123" s="232"/>
      <c r="N123" s="233">
        <v>727649</v>
      </c>
      <c r="O123" s="233">
        <v>6716511</v>
      </c>
      <c r="P123" s="233">
        <v>0</v>
      </c>
      <c r="Q123" s="232">
        <v>834506</v>
      </c>
      <c r="R123" s="233">
        <f t="shared" si="1"/>
        <v>11480741</v>
      </c>
      <c r="S123" s="232"/>
      <c r="T123" s="233">
        <v>5550330</v>
      </c>
      <c r="U123" s="234">
        <v>-296106</v>
      </c>
      <c r="V123" s="234">
        <v>5254224</v>
      </c>
    </row>
    <row r="124" spans="1:22">
      <c r="A124" s="227">
        <v>91127</v>
      </c>
      <c r="B124" s="228" t="s">
        <v>838</v>
      </c>
      <c r="C124" s="87">
        <v>2.8229999999999998E-4</v>
      </c>
      <c r="D124" s="87">
        <v>2.7680000000000001E-4</v>
      </c>
      <c r="E124" s="232">
        <v>136472.58999999997</v>
      </c>
      <c r="F124" s="232">
        <v>124226</v>
      </c>
      <c r="G124" s="232">
        <v>599135</v>
      </c>
      <c r="H124" s="232"/>
      <c r="I124" s="233">
        <v>11257</v>
      </c>
      <c r="J124" s="233">
        <v>525033</v>
      </c>
      <c r="K124" s="233">
        <v>41035</v>
      </c>
      <c r="L124" s="232">
        <v>59704</v>
      </c>
      <c r="M124" s="232"/>
      <c r="N124" s="233">
        <v>20994</v>
      </c>
      <c r="O124" s="233">
        <v>193787</v>
      </c>
      <c r="P124" s="233">
        <v>0</v>
      </c>
      <c r="Q124" s="232">
        <v>0</v>
      </c>
      <c r="R124" s="233">
        <f t="shared" si="1"/>
        <v>331246</v>
      </c>
      <c r="S124" s="232"/>
      <c r="T124" s="233">
        <v>160140</v>
      </c>
      <c r="U124" s="234">
        <v>22617</v>
      </c>
      <c r="V124" s="234">
        <v>182757</v>
      </c>
    </row>
    <row r="125" spans="1:22">
      <c r="A125" s="227">
        <v>91128</v>
      </c>
      <c r="B125" s="228" t="s">
        <v>839</v>
      </c>
      <c r="C125" s="87">
        <v>5.0929999999999997E-4</v>
      </c>
      <c r="D125" s="87">
        <v>5.042E-4</v>
      </c>
      <c r="E125" s="232">
        <v>208473.93999999997</v>
      </c>
      <c r="F125" s="232">
        <v>226282</v>
      </c>
      <c r="G125" s="232">
        <v>1080905</v>
      </c>
      <c r="H125" s="232"/>
      <c r="I125" s="233">
        <v>20308</v>
      </c>
      <c r="J125" s="233">
        <v>947218</v>
      </c>
      <c r="K125" s="233">
        <v>74032</v>
      </c>
      <c r="L125" s="232">
        <v>10827</v>
      </c>
      <c r="M125" s="232"/>
      <c r="N125" s="233">
        <v>37876</v>
      </c>
      <c r="O125" s="233">
        <v>349613</v>
      </c>
      <c r="P125" s="233">
        <v>0</v>
      </c>
      <c r="Q125" s="232">
        <v>12589</v>
      </c>
      <c r="R125" s="233">
        <f t="shared" si="1"/>
        <v>597605</v>
      </c>
      <c r="S125" s="232"/>
      <c r="T125" s="233">
        <v>288910</v>
      </c>
      <c r="U125" s="234">
        <v>-2677</v>
      </c>
      <c r="V125" s="234">
        <v>286233</v>
      </c>
    </row>
    <row r="126" spans="1:22">
      <c r="A126" s="227">
        <v>91138</v>
      </c>
      <c r="B126" s="228" t="s">
        <v>840</v>
      </c>
      <c r="C126" s="87">
        <v>6.2350000000000003E-4</v>
      </c>
      <c r="D126" s="87">
        <v>6.6279999999999996E-4</v>
      </c>
      <c r="E126" s="232">
        <v>190650.29999999996</v>
      </c>
      <c r="F126" s="232">
        <v>297461</v>
      </c>
      <c r="G126" s="232">
        <v>1323276</v>
      </c>
      <c r="H126" s="232"/>
      <c r="I126" s="233">
        <v>24862.0625</v>
      </c>
      <c r="J126" s="233">
        <v>1159611</v>
      </c>
      <c r="K126" s="233">
        <v>90633</v>
      </c>
      <c r="L126" s="232">
        <v>0</v>
      </c>
      <c r="M126" s="232"/>
      <c r="N126" s="233">
        <v>46369</v>
      </c>
      <c r="O126" s="233">
        <v>428007</v>
      </c>
      <c r="P126" s="233">
        <v>0</v>
      </c>
      <c r="Q126" s="232">
        <v>111983</v>
      </c>
      <c r="R126" s="233">
        <f t="shared" si="1"/>
        <v>731604</v>
      </c>
      <c r="S126" s="232"/>
      <c r="T126" s="233">
        <v>353692</v>
      </c>
      <c r="U126" s="234">
        <v>-35624</v>
      </c>
      <c r="V126" s="234">
        <v>318068</v>
      </c>
    </row>
    <row r="127" spans="1:22">
      <c r="A127" s="227">
        <v>91141</v>
      </c>
      <c r="B127" s="228" t="s">
        <v>841</v>
      </c>
      <c r="C127" s="87">
        <v>5.5679999999999998E-4</v>
      </c>
      <c r="D127" s="87">
        <v>6.2560000000000003E-4</v>
      </c>
      <c r="E127" s="232">
        <v>214309.96</v>
      </c>
      <c r="F127" s="232">
        <v>280766</v>
      </c>
      <c r="G127" s="232">
        <v>1181716</v>
      </c>
      <c r="H127" s="232"/>
      <c r="I127" s="233">
        <v>22202</v>
      </c>
      <c r="J127" s="233">
        <v>1035560</v>
      </c>
      <c r="K127" s="233">
        <v>80937</v>
      </c>
      <c r="L127" s="232">
        <v>0</v>
      </c>
      <c r="M127" s="232"/>
      <c r="N127" s="233">
        <v>41409</v>
      </c>
      <c r="O127" s="233">
        <v>382220</v>
      </c>
      <c r="P127" s="233">
        <v>0</v>
      </c>
      <c r="Q127" s="232">
        <v>106380</v>
      </c>
      <c r="R127" s="233">
        <f t="shared" si="1"/>
        <v>653340</v>
      </c>
      <c r="S127" s="232"/>
      <c r="T127" s="233">
        <v>315855</v>
      </c>
      <c r="U127" s="234">
        <v>-35698</v>
      </c>
      <c r="V127" s="234">
        <v>280157</v>
      </c>
    </row>
    <row r="128" spans="1:22">
      <c r="A128" s="227">
        <v>91147</v>
      </c>
      <c r="B128" s="228" t="s">
        <v>842</v>
      </c>
      <c r="C128" s="87">
        <v>2.4199999999999999E-5</v>
      </c>
      <c r="D128" s="87">
        <v>2.1399999999999998E-5</v>
      </c>
      <c r="E128" s="232">
        <v>10370.969999999999</v>
      </c>
      <c r="F128" s="232">
        <v>9604</v>
      </c>
      <c r="G128" s="232">
        <v>51361</v>
      </c>
      <c r="H128" s="232"/>
      <c r="I128" s="233">
        <v>965</v>
      </c>
      <c r="J128" s="233">
        <v>45008</v>
      </c>
      <c r="K128" s="233">
        <v>3518</v>
      </c>
      <c r="L128" s="232">
        <v>10859</v>
      </c>
      <c r="M128" s="232"/>
      <c r="N128" s="233">
        <v>1800</v>
      </c>
      <c r="O128" s="233">
        <v>16612</v>
      </c>
      <c r="P128" s="233">
        <v>0</v>
      </c>
      <c r="Q128" s="232">
        <v>0</v>
      </c>
      <c r="R128" s="233">
        <f t="shared" si="1"/>
        <v>28396</v>
      </c>
      <c r="S128" s="232"/>
      <c r="T128" s="233">
        <v>13728</v>
      </c>
      <c r="U128" s="234">
        <v>3941</v>
      </c>
      <c r="V128" s="234">
        <v>17669</v>
      </c>
    </row>
    <row r="129" spans="1:22">
      <c r="A129" s="227">
        <v>91151</v>
      </c>
      <c r="B129" s="228" t="s">
        <v>843</v>
      </c>
      <c r="C129" s="87">
        <v>6.1180000000000002E-4</v>
      </c>
      <c r="D129" s="87">
        <v>6.4479999999999995E-4</v>
      </c>
      <c r="E129" s="232">
        <v>222681.43</v>
      </c>
      <c r="F129" s="232">
        <v>289382</v>
      </c>
      <c r="G129" s="232">
        <v>1298445</v>
      </c>
      <c r="H129" s="232"/>
      <c r="I129" s="233">
        <v>24396</v>
      </c>
      <c r="J129" s="233">
        <v>1137851</v>
      </c>
      <c r="K129" s="233">
        <v>88932</v>
      </c>
      <c r="L129" s="232">
        <v>10702</v>
      </c>
      <c r="M129" s="232"/>
      <c r="N129" s="233">
        <v>45499</v>
      </c>
      <c r="O129" s="233">
        <v>419975</v>
      </c>
      <c r="P129" s="233">
        <v>0</v>
      </c>
      <c r="Q129" s="232">
        <v>50740</v>
      </c>
      <c r="R129" s="233">
        <f t="shared" si="1"/>
        <v>717876</v>
      </c>
      <c r="S129" s="232"/>
      <c r="T129" s="233">
        <v>347055</v>
      </c>
      <c r="U129" s="234">
        <v>-11759</v>
      </c>
      <c r="V129" s="234">
        <v>335296</v>
      </c>
    </row>
    <row r="130" spans="1:22">
      <c r="A130" s="227">
        <v>91154</v>
      </c>
      <c r="B130" s="228" t="s">
        <v>844</v>
      </c>
      <c r="C130" s="87">
        <v>1.9599999999999999E-5</v>
      </c>
      <c r="D130" s="87">
        <v>1.59E-5</v>
      </c>
      <c r="E130" s="232">
        <v>8048.64</v>
      </c>
      <c r="F130" s="232">
        <v>7136</v>
      </c>
      <c r="G130" s="232">
        <v>41598</v>
      </c>
      <c r="H130" s="232"/>
      <c r="I130" s="233">
        <v>781.55</v>
      </c>
      <c r="J130" s="233">
        <v>36453</v>
      </c>
      <c r="K130" s="233">
        <v>2849</v>
      </c>
      <c r="L130" s="232">
        <v>5846</v>
      </c>
      <c r="M130" s="232"/>
      <c r="N130" s="233">
        <v>1458</v>
      </c>
      <c r="O130" s="233">
        <v>13455</v>
      </c>
      <c r="P130" s="233">
        <v>0</v>
      </c>
      <c r="Q130" s="232">
        <v>0</v>
      </c>
      <c r="R130" s="233">
        <f t="shared" si="1"/>
        <v>22998</v>
      </c>
      <c r="S130" s="232"/>
      <c r="T130" s="233">
        <v>11118</v>
      </c>
      <c r="U130" s="234">
        <v>2074</v>
      </c>
      <c r="V130" s="234">
        <v>13192</v>
      </c>
    </row>
    <row r="131" spans="1:22">
      <c r="A131" s="227">
        <v>91161</v>
      </c>
      <c r="B131" s="228" t="s">
        <v>845</v>
      </c>
      <c r="C131" s="87">
        <v>9.4599999999999996E-5</v>
      </c>
      <c r="D131" s="87">
        <v>1.0670000000000001E-4</v>
      </c>
      <c r="E131" s="232">
        <v>44113.630000000005</v>
      </c>
      <c r="F131" s="232">
        <v>47886</v>
      </c>
      <c r="G131" s="232">
        <v>200773</v>
      </c>
      <c r="H131" s="232"/>
      <c r="I131" s="233">
        <v>3772</v>
      </c>
      <c r="J131" s="233">
        <v>175941</v>
      </c>
      <c r="K131" s="233">
        <v>13751</v>
      </c>
      <c r="L131" s="232">
        <v>7920</v>
      </c>
      <c r="M131" s="232"/>
      <c r="N131" s="233">
        <v>7035</v>
      </c>
      <c r="O131" s="233">
        <v>64939</v>
      </c>
      <c r="P131" s="233">
        <v>0</v>
      </c>
      <c r="Q131" s="232">
        <v>5006</v>
      </c>
      <c r="R131" s="233">
        <f t="shared" si="1"/>
        <v>111002</v>
      </c>
      <c r="S131" s="232"/>
      <c r="T131" s="233">
        <v>53664</v>
      </c>
      <c r="U131" s="234">
        <v>881</v>
      </c>
      <c r="V131" s="234">
        <v>54545</v>
      </c>
    </row>
    <row r="132" spans="1:22">
      <c r="A132" s="227">
        <v>91171</v>
      </c>
      <c r="B132" s="228" t="s">
        <v>846</v>
      </c>
      <c r="C132" s="87">
        <v>2.5589999999999999E-4</v>
      </c>
      <c r="D132" s="87">
        <v>2.5240000000000001E-4</v>
      </c>
      <c r="E132" s="232">
        <v>90093.88</v>
      </c>
      <c r="F132" s="232">
        <v>113276</v>
      </c>
      <c r="G132" s="232">
        <v>543106</v>
      </c>
      <c r="H132" s="232"/>
      <c r="I132" s="233">
        <v>10204</v>
      </c>
      <c r="J132" s="233">
        <v>475934</v>
      </c>
      <c r="K132" s="233">
        <v>37198</v>
      </c>
      <c r="L132" s="232">
        <v>0</v>
      </c>
      <c r="M132" s="232"/>
      <c r="N132" s="233">
        <v>19031</v>
      </c>
      <c r="O132" s="233">
        <v>175665</v>
      </c>
      <c r="P132" s="233">
        <v>0</v>
      </c>
      <c r="Q132" s="232">
        <v>32510</v>
      </c>
      <c r="R132" s="233">
        <f t="shared" si="1"/>
        <v>300269</v>
      </c>
      <c r="S132" s="232"/>
      <c r="T132" s="233">
        <v>145164</v>
      </c>
      <c r="U132" s="234">
        <v>-12018</v>
      </c>
      <c r="V132" s="234">
        <v>133146</v>
      </c>
    </row>
    <row r="133" spans="1:22">
      <c r="A133" s="227">
        <v>91201</v>
      </c>
      <c r="B133" s="228" t="s">
        <v>847</v>
      </c>
      <c r="C133" s="87">
        <v>2.3127999999999998E-3</v>
      </c>
      <c r="D133" s="87">
        <v>2.2309000000000001E-3</v>
      </c>
      <c r="E133" s="232">
        <v>868643.54000000015</v>
      </c>
      <c r="F133" s="232">
        <v>1001215</v>
      </c>
      <c r="G133" s="232">
        <v>4908536</v>
      </c>
      <c r="H133" s="232"/>
      <c r="I133" s="233">
        <v>92222.9</v>
      </c>
      <c r="J133" s="233">
        <v>4301443</v>
      </c>
      <c r="K133" s="233">
        <v>336191</v>
      </c>
      <c r="L133" s="232">
        <v>65448</v>
      </c>
      <c r="M133" s="232"/>
      <c r="N133" s="233">
        <v>172001</v>
      </c>
      <c r="O133" s="233">
        <v>1587640</v>
      </c>
      <c r="P133" s="233">
        <v>0</v>
      </c>
      <c r="Q133" s="232">
        <v>21142</v>
      </c>
      <c r="R133" s="233">
        <f t="shared" si="1"/>
        <v>2713803</v>
      </c>
      <c r="S133" s="232"/>
      <c r="T133" s="233">
        <v>1311980</v>
      </c>
      <c r="U133" s="234">
        <v>19623</v>
      </c>
      <c r="V133" s="234">
        <v>1331603</v>
      </c>
    </row>
    <row r="134" spans="1:22">
      <c r="A134" s="227">
        <v>91202</v>
      </c>
      <c r="B134" s="228" t="s">
        <v>848</v>
      </c>
      <c r="C134" s="87">
        <v>1.897E-4</v>
      </c>
      <c r="D134" s="87">
        <v>1.7560000000000001E-4</v>
      </c>
      <c r="E134" s="232">
        <v>85259.9</v>
      </c>
      <c r="F134" s="232">
        <v>78808</v>
      </c>
      <c r="G134" s="232">
        <v>402607</v>
      </c>
      <c r="H134" s="232"/>
      <c r="I134" s="233">
        <v>7564</v>
      </c>
      <c r="J134" s="233">
        <v>352812</v>
      </c>
      <c r="K134" s="233">
        <v>27575</v>
      </c>
      <c r="L134" s="232">
        <v>29505</v>
      </c>
      <c r="M134" s="232"/>
      <c r="N134" s="233">
        <v>14108</v>
      </c>
      <c r="O134" s="233">
        <v>130221</v>
      </c>
      <c r="P134" s="233">
        <v>0</v>
      </c>
      <c r="Q134" s="232">
        <v>0</v>
      </c>
      <c r="R134" s="233">
        <f t="shared" si="1"/>
        <v>222591</v>
      </c>
      <c r="S134" s="232"/>
      <c r="T134" s="233">
        <v>107611</v>
      </c>
      <c r="U134" s="234">
        <v>10216</v>
      </c>
      <c r="V134" s="234">
        <v>117827</v>
      </c>
    </row>
    <row r="135" spans="1:22">
      <c r="A135" s="227">
        <v>91203</v>
      </c>
      <c r="B135" s="228" t="s">
        <v>849</v>
      </c>
      <c r="C135" s="87">
        <v>2.4479999999999999E-4</v>
      </c>
      <c r="D135" s="87">
        <v>2.4909999999999998E-4</v>
      </c>
      <c r="E135" s="232">
        <v>123805.24999999999</v>
      </c>
      <c r="F135" s="232">
        <v>111795</v>
      </c>
      <c r="G135" s="232">
        <v>519548</v>
      </c>
      <c r="H135" s="232"/>
      <c r="I135" s="233">
        <v>9761.4</v>
      </c>
      <c r="J135" s="233">
        <v>455289</v>
      </c>
      <c r="K135" s="233">
        <v>35584</v>
      </c>
      <c r="L135" s="232">
        <v>32505</v>
      </c>
      <c r="M135" s="232"/>
      <c r="N135" s="233">
        <v>18206</v>
      </c>
      <c r="O135" s="233">
        <v>168045</v>
      </c>
      <c r="P135" s="233">
        <v>0</v>
      </c>
      <c r="Q135" s="232">
        <v>0</v>
      </c>
      <c r="R135" s="233">
        <f t="shared" si="1"/>
        <v>287244</v>
      </c>
      <c r="S135" s="232"/>
      <c r="T135" s="233">
        <v>138867</v>
      </c>
      <c r="U135" s="234">
        <v>11460</v>
      </c>
      <c r="V135" s="234">
        <v>150327</v>
      </c>
    </row>
    <row r="136" spans="1:22">
      <c r="A136" s="227">
        <v>91206</v>
      </c>
      <c r="B136" s="228" t="s">
        <v>850</v>
      </c>
      <c r="C136" s="87">
        <v>8.2129999999999996E-4</v>
      </c>
      <c r="D136" s="87">
        <v>8.1959999999999997E-4</v>
      </c>
      <c r="E136" s="232">
        <v>334673.01</v>
      </c>
      <c r="F136" s="232">
        <v>367832</v>
      </c>
      <c r="G136" s="232">
        <v>1743074</v>
      </c>
      <c r="H136" s="232"/>
      <c r="I136" s="233">
        <v>32749</v>
      </c>
      <c r="J136" s="233">
        <v>1527488</v>
      </c>
      <c r="K136" s="233">
        <v>119385</v>
      </c>
      <c r="L136" s="232">
        <v>21519</v>
      </c>
      <c r="M136" s="232"/>
      <c r="N136" s="233">
        <v>61079</v>
      </c>
      <c r="O136" s="233">
        <v>563788</v>
      </c>
      <c r="P136" s="233">
        <v>0</v>
      </c>
      <c r="Q136" s="232">
        <v>1526</v>
      </c>
      <c r="R136" s="233">
        <f t="shared" si="1"/>
        <v>963700</v>
      </c>
      <c r="S136" s="232"/>
      <c r="T136" s="233">
        <v>465898</v>
      </c>
      <c r="U136" s="234">
        <v>10203</v>
      </c>
      <c r="V136" s="234">
        <v>476101</v>
      </c>
    </row>
    <row r="137" spans="1:22">
      <c r="A137" s="227">
        <v>91208</v>
      </c>
      <c r="B137" s="228" t="s">
        <v>851</v>
      </c>
      <c r="C137" s="87">
        <v>1.3699999999999999E-5</v>
      </c>
      <c r="D137" s="87">
        <v>1.2999999999999999E-5</v>
      </c>
      <c r="E137" s="232">
        <v>5593.1099999999988</v>
      </c>
      <c r="F137" s="232">
        <v>5834</v>
      </c>
      <c r="G137" s="232">
        <v>29076</v>
      </c>
      <c r="H137" s="232"/>
      <c r="I137" s="233">
        <v>546.28750000000002</v>
      </c>
      <c r="J137" s="233">
        <v>25480</v>
      </c>
      <c r="K137" s="233">
        <v>1991</v>
      </c>
      <c r="L137" s="232">
        <v>7123</v>
      </c>
      <c r="M137" s="232"/>
      <c r="N137" s="233">
        <v>1019</v>
      </c>
      <c r="O137" s="233">
        <v>9404</v>
      </c>
      <c r="P137" s="233">
        <v>0</v>
      </c>
      <c r="Q137" s="232">
        <v>0</v>
      </c>
      <c r="R137" s="233">
        <f t="shared" ref="R137:R200" si="2">IF(J137&gt;O137,J137-O137,O137-J137)</f>
        <v>16076</v>
      </c>
      <c r="S137" s="232"/>
      <c r="T137" s="233">
        <v>7772</v>
      </c>
      <c r="U137" s="234">
        <v>3401</v>
      </c>
      <c r="V137" s="234">
        <v>11172</v>
      </c>
    </row>
    <row r="138" spans="1:22">
      <c r="A138" s="227">
        <v>91211</v>
      </c>
      <c r="B138" s="228" t="s">
        <v>852</v>
      </c>
      <c r="C138" s="87">
        <v>4.6789999999999999E-4</v>
      </c>
      <c r="D138" s="87">
        <v>4.6260000000000002E-4</v>
      </c>
      <c r="E138" s="232">
        <v>192012.00000000003</v>
      </c>
      <c r="F138" s="232">
        <v>207612</v>
      </c>
      <c r="G138" s="232">
        <v>993041</v>
      </c>
      <c r="H138" s="232"/>
      <c r="I138" s="233">
        <v>18658</v>
      </c>
      <c r="J138" s="233">
        <v>870220</v>
      </c>
      <c r="K138" s="233">
        <v>68014</v>
      </c>
      <c r="L138" s="232">
        <v>5989</v>
      </c>
      <c r="M138" s="232"/>
      <c r="N138" s="233">
        <v>34797</v>
      </c>
      <c r="O138" s="233">
        <v>321194</v>
      </c>
      <c r="P138" s="233">
        <v>0</v>
      </c>
      <c r="Q138" s="232">
        <v>5137</v>
      </c>
      <c r="R138" s="233">
        <f t="shared" si="2"/>
        <v>549026</v>
      </c>
      <c r="S138" s="232"/>
      <c r="T138" s="233">
        <v>265425</v>
      </c>
      <c r="U138" s="234">
        <v>568</v>
      </c>
      <c r="V138" s="234">
        <v>265993</v>
      </c>
    </row>
    <row r="139" spans="1:22">
      <c r="A139" s="227">
        <v>91213</v>
      </c>
      <c r="B139" s="228" t="s">
        <v>853</v>
      </c>
      <c r="C139" s="87">
        <v>3.57E-5</v>
      </c>
      <c r="D139" s="87">
        <v>3.5500000000000002E-5</v>
      </c>
      <c r="E139" s="232">
        <v>11312.460000000003</v>
      </c>
      <c r="F139" s="232">
        <v>15932</v>
      </c>
      <c r="G139" s="232">
        <v>75767</v>
      </c>
      <c r="H139" s="232"/>
      <c r="I139" s="233">
        <v>1424</v>
      </c>
      <c r="J139" s="233">
        <v>66396</v>
      </c>
      <c r="K139" s="233">
        <v>5189</v>
      </c>
      <c r="L139" s="232">
        <v>0</v>
      </c>
      <c r="M139" s="232"/>
      <c r="N139" s="233">
        <v>2655</v>
      </c>
      <c r="O139" s="233">
        <v>24507</v>
      </c>
      <c r="P139" s="233">
        <v>0</v>
      </c>
      <c r="Q139" s="232">
        <v>4828</v>
      </c>
      <c r="R139" s="233">
        <f t="shared" si="2"/>
        <v>41889</v>
      </c>
      <c r="S139" s="232"/>
      <c r="T139" s="233">
        <v>20252</v>
      </c>
      <c r="U139" s="234">
        <v>-1558</v>
      </c>
      <c r="V139" s="234">
        <v>18694</v>
      </c>
    </row>
    <row r="140" spans="1:22">
      <c r="A140" s="227">
        <v>91214</v>
      </c>
      <c r="B140" s="228" t="s">
        <v>854</v>
      </c>
      <c r="C140" s="87">
        <v>2.8200000000000001E-5</v>
      </c>
      <c r="D140" s="87">
        <v>2.6800000000000001E-5</v>
      </c>
      <c r="E140" s="232">
        <v>8296.9500000000007</v>
      </c>
      <c r="F140" s="232">
        <v>12028</v>
      </c>
      <c r="G140" s="232">
        <v>59850</v>
      </c>
      <c r="H140" s="232"/>
      <c r="I140" s="233">
        <v>1124</v>
      </c>
      <c r="J140" s="233">
        <v>52448</v>
      </c>
      <c r="K140" s="233">
        <v>4099</v>
      </c>
      <c r="L140" s="232">
        <v>2071</v>
      </c>
      <c r="M140" s="232"/>
      <c r="N140" s="233">
        <v>2097</v>
      </c>
      <c r="O140" s="233">
        <v>19358</v>
      </c>
      <c r="P140" s="233">
        <v>0</v>
      </c>
      <c r="Q140" s="232">
        <v>1863</v>
      </c>
      <c r="R140" s="233">
        <f t="shared" si="2"/>
        <v>33090</v>
      </c>
      <c r="S140" s="232"/>
      <c r="T140" s="233">
        <v>15997</v>
      </c>
      <c r="U140" s="234">
        <v>289</v>
      </c>
      <c r="V140" s="234">
        <v>16286</v>
      </c>
    </row>
    <row r="141" spans="1:22">
      <c r="A141" s="227">
        <v>91217</v>
      </c>
      <c r="B141" s="228" t="s">
        <v>855</v>
      </c>
      <c r="C141" s="87">
        <v>2.6699999999999998E-5</v>
      </c>
      <c r="D141" s="87">
        <v>1.8700000000000001E-5</v>
      </c>
      <c r="E141" s="232">
        <v>15053.92</v>
      </c>
      <c r="F141" s="232">
        <v>8392</v>
      </c>
      <c r="G141" s="232">
        <v>56666</v>
      </c>
      <c r="H141" s="232"/>
      <c r="I141" s="233">
        <v>1065</v>
      </c>
      <c r="J141" s="233">
        <v>49658</v>
      </c>
      <c r="K141" s="233">
        <v>3881</v>
      </c>
      <c r="L141" s="232">
        <v>11622</v>
      </c>
      <c r="M141" s="232"/>
      <c r="N141" s="233">
        <v>1986</v>
      </c>
      <c r="O141" s="233">
        <v>18328</v>
      </c>
      <c r="P141" s="233">
        <v>0</v>
      </c>
      <c r="Q141" s="232">
        <v>0</v>
      </c>
      <c r="R141" s="233">
        <f t="shared" si="2"/>
        <v>31330</v>
      </c>
      <c r="S141" s="232"/>
      <c r="T141" s="233">
        <v>15146</v>
      </c>
      <c r="U141" s="234">
        <v>3617</v>
      </c>
      <c r="V141" s="234">
        <v>18763</v>
      </c>
    </row>
    <row r="142" spans="1:22">
      <c r="A142" s="227">
        <v>91221</v>
      </c>
      <c r="B142" s="228" t="s">
        <v>856</v>
      </c>
      <c r="C142" s="87">
        <v>1.294E-4</v>
      </c>
      <c r="D142" s="87">
        <v>1.404E-4</v>
      </c>
      <c r="E142" s="232">
        <v>50416</v>
      </c>
      <c r="F142" s="232">
        <v>63011</v>
      </c>
      <c r="G142" s="232">
        <v>274630</v>
      </c>
      <c r="H142" s="232"/>
      <c r="I142" s="233">
        <v>5160</v>
      </c>
      <c r="J142" s="233">
        <v>240664</v>
      </c>
      <c r="K142" s="233">
        <v>18810</v>
      </c>
      <c r="L142" s="232">
        <v>7496</v>
      </c>
      <c r="M142" s="232"/>
      <c r="N142" s="233">
        <v>9623</v>
      </c>
      <c r="O142" s="233">
        <v>88828</v>
      </c>
      <c r="P142" s="233">
        <v>0</v>
      </c>
      <c r="Q142" s="232">
        <v>9810</v>
      </c>
      <c r="R142" s="233">
        <f t="shared" si="2"/>
        <v>151836</v>
      </c>
      <c r="S142" s="232"/>
      <c r="T142" s="233">
        <v>73405</v>
      </c>
      <c r="U142" s="234">
        <v>1070</v>
      </c>
      <c r="V142" s="234">
        <v>74475</v>
      </c>
    </row>
    <row r="143" spans="1:22">
      <c r="A143" s="227">
        <v>91231</v>
      </c>
      <c r="B143" s="228" t="s">
        <v>857</v>
      </c>
      <c r="C143" s="87">
        <v>1.9957E-3</v>
      </c>
      <c r="D143" s="87">
        <v>2.0203999999999999E-3</v>
      </c>
      <c r="E143" s="232">
        <v>763104.33</v>
      </c>
      <c r="F143" s="232">
        <v>906743</v>
      </c>
      <c r="G143" s="232">
        <v>4235544</v>
      </c>
      <c r="H143" s="232"/>
      <c r="I143" s="233">
        <v>79579</v>
      </c>
      <c r="J143" s="233">
        <v>3711687</v>
      </c>
      <c r="K143" s="233">
        <v>290097</v>
      </c>
      <c r="L143" s="232">
        <v>21281.06</v>
      </c>
      <c r="M143" s="232"/>
      <c r="N143" s="233">
        <v>148418</v>
      </c>
      <c r="O143" s="233">
        <v>1369964</v>
      </c>
      <c r="P143" s="233">
        <v>0</v>
      </c>
      <c r="Q143" s="232">
        <v>85796</v>
      </c>
      <c r="R143" s="233">
        <f t="shared" si="2"/>
        <v>2341723</v>
      </c>
      <c r="S143" s="232"/>
      <c r="T143" s="233">
        <v>1132099</v>
      </c>
      <c r="U143" s="234">
        <v>-14080</v>
      </c>
      <c r="V143" s="234">
        <v>1118019</v>
      </c>
    </row>
    <row r="144" spans="1:22">
      <c r="A144" s="227">
        <v>91233</v>
      </c>
      <c r="B144" s="228" t="s">
        <v>858</v>
      </c>
      <c r="C144" s="87">
        <v>4.5599999999999997E-5</v>
      </c>
      <c r="D144" s="87">
        <v>4.3399999999999998E-5</v>
      </c>
      <c r="E144" s="232">
        <v>17052.530000000002</v>
      </c>
      <c r="F144" s="232">
        <v>19478</v>
      </c>
      <c r="G144" s="232">
        <v>96778</v>
      </c>
      <c r="H144" s="232"/>
      <c r="I144" s="233">
        <v>1818.3</v>
      </c>
      <c r="J144" s="233">
        <v>84809</v>
      </c>
      <c r="K144" s="233">
        <v>6628</v>
      </c>
      <c r="L144" s="232">
        <v>8243</v>
      </c>
      <c r="M144" s="232"/>
      <c r="N144" s="233">
        <v>3391</v>
      </c>
      <c r="O144" s="233">
        <v>31302</v>
      </c>
      <c r="P144" s="233">
        <v>0</v>
      </c>
      <c r="Q144" s="232">
        <v>159</v>
      </c>
      <c r="R144" s="233">
        <f t="shared" si="2"/>
        <v>53507</v>
      </c>
      <c r="S144" s="232"/>
      <c r="T144" s="233">
        <v>25867</v>
      </c>
      <c r="U144" s="234">
        <v>3163</v>
      </c>
      <c r="V144" s="234">
        <v>29031</v>
      </c>
    </row>
    <row r="145" spans="1:22">
      <c r="A145" s="227">
        <v>91241</v>
      </c>
      <c r="B145" s="228" t="s">
        <v>859</v>
      </c>
      <c r="C145" s="87">
        <v>3.68E-5</v>
      </c>
      <c r="D145" s="87">
        <v>4.0800000000000002E-5</v>
      </c>
      <c r="E145" s="232">
        <v>13967.480000000001</v>
      </c>
      <c r="F145" s="232">
        <v>18311</v>
      </c>
      <c r="G145" s="232">
        <v>78102</v>
      </c>
      <c r="H145" s="232"/>
      <c r="I145" s="233">
        <v>1467.4</v>
      </c>
      <c r="J145" s="233">
        <v>68442</v>
      </c>
      <c r="K145" s="233">
        <v>5349</v>
      </c>
      <c r="L145" s="232">
        <v>0</v>
      </c>
      <c r="M145" s="232"/>
      <c r="N145" s="233">
        <v>2737</v>
      </c>
      <c r="O145" s="233">
        <v>25262</v>
      </c>
      <c r="P145" s="233">
        <v>0</v>
      </c>
      <c r="Q145" s="232">
        <v>6784</v>
      </c>
      <c r="R145" s="233">
        <f t="shared" si="2"/>
        <v>43180</v>
      </c>
      <c r="S145" s="232"/>
      <c r="T145" s="233">
        <v>20875</v>
      </c>
      <c r="U145" s="234">
        <v>-2529</v>
      </c>
      <c r="V145" s="234">
        <v>18346</v>
      </c>
    </row>
    <row r="146" spans="1:22">
      <c r="A146" s="227">
        <v>91251</v>
      </c>
      <c r="B146" s="228" t="s">
        <v>860</v>
      </c>
      <c r="C146" s="87">
        <v>2.65E-5</v>
      </c>
      <c r="D146" s="87">
        <v>2.6699999999999998E-5</v>
      </c>
      <c r="E146" s="232">
        <v>9988.5700000000015</v>
      </c>
      <c r="F146" s="232">
        <v>11983</v>
      </c>
      <c r="G146" s="232">
        <v>56242</v>
      </c>
      <c r="H146" s="232"/>
      <c r="I146" s="233">
        <v>1056.6875</v>
      </c>
      <c r="J146" s="233">
        <v>49286</v>
      </c>
      <c r="K146" s="233">
        <v>3852</v>
      </c>
      <c r="L146" s="232">
        <v>4706</v>
      </c>
      <c r="M146" s="232"/>
      <c r="N146" s="233">
        <v>1971</v>
      </c>
      <c r="O146" s="233">
        <v>18191</v>
      </c>
      <c r="P146" s="233">
        <v>0</v>
      </c>
      <c r="Q146" s="232">
        <v>1236</v>
      </c>
      <c r="R146" s="233">
        <f t="shared" si="2"/>
        <v>31095</v>
      </c>
      <c r="S146" s="232"/>
      <c r="T146" s="233">
        <v>15033</v>
      </c>
      <c r="U146" s="234">
        <v>2006</v>
      </c>
      <c r="V146" s="234">
        <v>17039</v>
      </c>
    </row>
    <row r="147" spans="1:22">
      <c r="A147" s="227">
        <v>91261</v>
      </c>
      <c r="B147" s="228" t="s">
        <v>861</v>
      </c>
      <c r="C147" s="87">
        <v>9.5000000000000005E-6</v>
      </c>
      <c r="D147" s="87">
        <v>8.8000000000000004E-6</v>
      </c>
      <c r="E147" s="232">
        <v>4130.1899999999996</v>
      </c>
      <c r="F147" s="232">
        <v>3949</v>
      </c>
      <c r="G147" s="232">
        <v>20162</v>
      </c>
      <c r="H147" s="232"/>
      <c r="I147" s="233">
        <v>378.8125</v>
      </c>
      <c r="J147" s="233">
        <v>17668</v>
      </c>
      <c r="K147" s="233">
        <v>1381</v>
      </c>
      <c r="L147" s="232">
        <v>2027</v>
      </c>
      <c r="M147" s="232"/>
      <c r="N147" s="233">
        <v>707</v>
      </c>
      <c r="O147" s="233">
        <v>6521</v>
      </c>
      <c r="P147" s="233">
        <v>0</v>
      </c>
      <c r="Q147" s="232">
        <v>0</v>
      </c>
      <c r="R147" s="233">
        <f t="shared" si="2"/>
        <v>11147</v>
      </c>
      <c r="S147" s="232"/>
      <c r="T147" s="233">
        <v>5389</v>
      </c>
      <c r="U147" s="234">
        <v>729</v>
      </c>
      <c r="V147" s="234">
        <v>6118</v>
      </c>
    </row>
    <row r="148" spans="1:22">
      <c r="A148" s="51">
        <v>91301</v>
      </c>
      <c r="B148" s="228" t="s">
        <v>862</v>
      </c>
      <c r="C148" s="87">
        <v>7.7765000000000004E-3</v>
      </c>
      <c r="D148" s="87">
        <v>7.2360999999999997E-3</v>
      </c>
      <c r="E148" s="232">
        <v>2863288.1999999997</v>
      </c>
      <c r="F148" s="232">
        <v>3247518</v>
      </c>
      <c r="G148" s="232">
        <v>16504338</v>
      </c>
      <c r="H148" s="232"/>
      <c r="I148" s="233">
        <v>310088</v>
      </c>
      <c r="J148" s="233">
        <v>14463061</v>
      </c>
      <c r="K148" s="233">
        <v>1130400</v>
      </c>
      <c r="L148" s="232">
        <v>26878</v>
      </c>
      <c r="M148" s="232"/>
      <c r="N148" s="233">
        <v>578331</v>
      </c>
      <c r="O148" s="233">
        <v>5338241</v>
      </c>
      <c r="P148" s="233">
        <v>0</v>
      </c>
      <c r="Q148" s="232">
        <v>184573</v>
      </c>
      <c r="R148" s="233">
        <f t="shared" si="2"/>
        <v>9124820</v>
      </c>
      <c r="S148" s="232"/>
      <c r="T148" s="233">
        <v>4411367</v>
      </c>
      <c r="U148" s="234">
        <v>-64544</v>
      </c>
      <c r="V148" s="234">
        <v>4346824</v>
      </c>
    </row>
    <row r="149" spans="1:22">
      <c r="A149" s="51">
        <v>91302</v>
      </c>
      <c r="B149" s="228" t="s">
        <v>1939</v>
      </c>
      <c r="C149" s="87">
        <v>5.9190000000000002E-4</v>
      </c>
      <c r="D149" s="87">
        <v>5.8169999999999999E-4</v>
      </c>
      <c r="E149" s="232">
        <v>242052.32</v>
      </c>
      <c r="F149" s="232">
        <v>261063</v>
      </c>
      <c r="G149" s="232">
        <v>1256210</v>
      </c>
      <c r="H149" s="232"/>
      <c r="I149" s="233">
        <v>23602</v>
      </c>
      <c r="J149" s="233">
        <v>1100840</v>
      </c>
      <c r="K149" s="233">
        <v>86039</v>
      </c>
      <c r="L149" s="232">
        <v>53000</v>
      </c>
      <c r="M149" s="232"/>
      <c r="N149" s="233">
        <v>44019</v>
      </c>
      <c r="O149" s="233">
        <v>406314</v>
      </c>
      <c r="P149" s="233">
        <v>0</v>
      </c>
      <c r="Q149" s="232">
        <v>0</v>
      </c>
      <c r="R149" s="233">
        <f t="shared" si="2"/>
        <v>694526</v>
      </c>
      <c r="S149" s="232"/>
      <c r="T149" s="233">
        <v>335767</v>
      </c>
      <c r="U149" s="234">
        <v>20102</v>
      </c>
      <c r="V149" s="234">
        <v>355869</v>
      </c>
    </row>
    <row r="150" spans="1:22">
      <c r="A150" s="51">
        <v>91306</v>
      </c>
      <c r="B150" s="228" t="s">
        <v>864</v>
      </c>
      <c r="C150" s="87">
        <v>1.6676E-3</v>
      </c>
      <c r="D150" s="87">
        <v>1.5539E-3</v>
      </c>
      <c r="E150" s="232">
        <v>693270.79999999993</v>
      </c>
      <c r="F150" s="232">
        <v>697381</v>
      </c>
      <c r="G150" s="232">
        <v>3539206</v>
      </c>
      <c r="H150" s="232"/>
      <c r="I150" s="233">
        <v>66495.55</v>
      </c>
      <c r="J150" s="233">
        <v>3101473</v>
      </c>
      <c r="K150" s="233">
        <v>242404</v>
      </c>
      <c r="L150" s="232">
        <v>174697</v>
      </c>
      <c r="M150" s="232"/>
      <c r="N150" s="233">
        <v>124018</v>
      </c>
      <c r="O150" s="233">
        <v>1144737</v>
      </c>
      <c r="P150" s="233">
        <v>0</v>
      </c>
      <c r="Q150" s="232">
        <v>0</v>
      </c>
      <c r="R150" s="233">
        <f t="shared" si="2"/>
        <v>1956736</v>
      </c>
      <c r="S150" s="232"/>
      <c r="T150" s="233">
        <v>945978</v>
      </c>
      <c r="U150" s="234">
        <v>60990</v>
      </c>
      <c r="V150" s="234">
        <v>1006968</v>
      </c>
    </row>
    <row r="151" spans="1:22">
      <c r="A151" s="227">
        <v>91308</v>
      </c>
      <c r="B151" s="228" t="s">
        <v>865</v>
      </c>
      <c r="C151" s="87">
        <v>2.05E-4</v>
      </c>
      <c r="D151" s="87">
        <v>1.8650000000000001E-4</v>
      </c>
      <c r="E151" s="232">
        <v>71992.33</v>
      </c>
      <c r="F151" s="232">
        <v>83700</v>
      </c>
      <c r="G151" s="232">
        <v>435079</v>
      </c>
      <c r="H151" s="232"/>
      <c r="I151" s="233">
        <v>8174.375</v>
      </c>
      <c r="J151" s="233">
        <v>381267.61</v>
      </c>
      <c r="K151" s="233">
        <v>29799</v>
      </c>
      <c r="L151" s="232">
        <v>4790</v>
      </c>
      <c r="M151" s="232"/>
      <c r="N151" s="233">
        <v>15246</v>
      </c>
      <c r="O151" s="233">
        <v>140724</v>
      </c>
      <c r="P151" s="233">
        <v>0</v>
      </c>
      <c r="Q151" s="232">
        <v>3858</v>
      </c>
      <c r="R151" s="233">
        <f t="shared" si="2"/>
        <v>240543.61</v>
      </c>
      <c r="S151" s="232"/>
      <c r="T151" s="233">
        <v>116290</v>
      </c>
      <c r="U151" s="234">
        <v>980</v>
      </c>
      <c r="V151" s="234">
        <v>117270</v>
      </c>
    </row>
    <row r="152" spans="1:22">
      <c r="A152" s="227">
        <v>91311</v>
      </c>
      <c r="B152" s="228" t="s">
        <v>866</v>
      </c>
      <c r="C152" s="87">
        <v>7.6649999999999999E-3</v>
      </c>
      <c r="D152" s="87">
        <v>7.9313999999999999E-3</v>
      </c>
      <c r="E152" s="232">
        <v>2915494.2899999996</v>
      </c>
      <c r="F152" s="232">
        <v>3559565</v>
      </c>
      <c r="G152" s="232">
        <v>16267698</v>
      </c>
      <c r="H152" s="232"/>
      <c r="I152" s="233">
        <v>305642</v>
      </c>
      <c r="J152" s="233">
        <v>14255689</v>
      </c>
      <c r="K152" s="233">
        <v>1114192</v>
      </c>
      <c r="L152" s="232">
        <v>121391</v>
      </c>
      <c r="M152" s="232"/>
      <c r="N152" s="233">
        <v>570038</v>
      </c>
      <c r="O152" s="233">
        <v>5261700.57</v>
      </c>
      <c r="P152" s="233">
        <v>0</v>
      </c>
      <c r="Q152" s="232">
        <v>535505</v>
      </c>
      <c r="R152" s="233">
        <f t="shared" si="2"/>
        <v>8993988.4299999997</v>
      </c>
      <c r="S152" s="232"/>
      <c r="T152" s="233">
        <v>4348117</v>
      </c>
      <c r="U152" s="234">
        <v>-145156</v>
      </c>
      <c r="V152" s="234">
        <v>4202961</v>
      </c>
    </row>
    <row r="153" spans="1:22">
      <c r="A153" s="227">
        <v>91317</v>
      </c>
      <c r="B153" s="228" t="s">
        <v>867</v>
      </c>
      <c r="C153" s="87">
        <v>9.0500000000000004E-5</v>
      </c>
      <c r="D153" s="87">
        <v>9.59E-5</v>
      </c>
      <c r="E153" s="232">
        <v>39328.85</v>
      </c>
      <c r="F153" s="232">
        <v>43039</v>
      </c>
      <c r="G153" s="232">
        <v>192071</v>
      </c>
      <c r="H153" s="232"/>
      <c r="I153" s="233">
        <v>3608.6875</v>
      </c>
      <c r="J153" s="233">
        <v>168316</v>
      </c>
      <c r="K153" s="233">
        <v>13155</v>
      </c>
      <c r="L153" s="232">
        <v>3623</v>
      </c>
      <c r="M153" s="232"/>
      <c r="N153" s="233">
        <v>6730</v>
      </c>
      <c r="O153" s="233">
        <v>62124</v>
      </c>
      <c r="P153" s="233">
        <v>0</v>
      </c>
      <c r="Q153" s="232">
        <v>2926</v>
      </c>
      <c r="R153" s="233">
        <f t="shared" si="2"/>
        <v>106192</v>
      </c>
      <c r="S153" s="232"/>
      <c r="T153" s="233">
        <v>51338</v>
      </c>
      <c r="U153" s="234">
        <v>118</v>
      </c>
      <c r="V153" s="234">
        <v>51456</v>
      </c>
    </row>
    <row r="154" spans="1:22">
      <c r="A154" s="227">
        <v>91321</v>
      </c>
      <c r="B154" s="228" t="s">
        <v>868</v>
      </c>
      <c r="C154" s="87">
        <v>4.1999999999999998E-5</v>
      </c>
      <c r="D154" s="87">
        <v>3.1999999999999999E-5</v>
      </c>
      <c r="E154" s="232">
        <v>17122.889999999996</v>
      </c>
      <c r="F154" s="232">
        <v>14361</v>
      </c>
      <c r="G154" s="232">
        <v>89138</v>
      </c>
      <c r="H154" s="232"/>
      <c r="I154" s="233">
        <v>1674.75</v>
      </c>
      <c r="J154" s="233">
        <v>78113</v>
      </c>
      <c r="K154" s="233">
        <v>6105</v>
      </c>
      <c r="L154" s="232">
        <v>6260</v>
      </c>
      <c r="M154" s="232"/>
      <c r="N154" s="233">
        <v>3123</v>
      </c>
      <c r="O154" s="233">
        <v>28831</v>
      </c>
      <c r="P154" s="233">
        <v>0</v>
      </c>
      <c r="Q154" s="232">
        <v>5826</v>
      </c>
      <c r="R154" s="233">
        <f t="shared" si="2"/>
        <v>49282</v>
      </c>
      <c r="S154" s="232"/>
      <c r="T154" s="233">
        <v>23825</v>
      </c>
      <c r="U154" s="234">
        <v>-210</v>
      </c>
      <c r="V154" s="234">
        <v>23615</v>
      </c>
    </row>
    <row r="155" spans="1:22">
      <c r="A155" s="227">
        <v>91327</v>
      </c>
      <c r="B155" s="228" t="s">
        <v>869</v>
      </c>
      <c r="C155" s="87">
        <v>1.03E-5</v>
      </c>
      <c r="D155" s="87">
        <v>1.13E-5</v>
      </c>
      <c r="E155" s="232">
        <v>4111.5200000000004</v>
      </c>
      <c r="F155" s="232">
        <v>5071</v>
      </c>
      <c r="G155" s="232">
        <v>21860</v>
      </c>
      <c r="H155" s="232"/>
      <c r="I155" s="233">
        <v>410.71249999999998</v>
      </c>
      <c r="J155" s="233">
        <v>19156</v>
      </c>
      <c r="K155" s="233">
        <v>1497</v>
      </c>
      <c r="L155" s="232">
        <v>72</v>
      </c>
      <c r="M155" s="232"/>
      <c r="N155" s="233">
        <v>766</v>
      </c>
      <c r="O155" s="233">
        <v>7071</v>
      </c>
      <c r="P155" s="233">
        <v>0</v>
      </c>
      <c r="Q155" s="232">
        <v>1050</v>
      </c>
      <c r="R155" s="233">
        <f t="shared" si="2"/>
        <v>12085</v>
      </c>
      <c r="S155" s="232"/>
      <c r="T155" s="233">
        <v>5843</v>
      </c>
      <c r="U155" s="234">
        <v>-275</v>
      </c>
      <c r="V155" s="234">
        <v>5568</v>
      </c>
    </row>
    <row r="156" spans="1:22">
      <c r="A156" s="227">
        <v>91331</v>
      </c>
      <c r="B156" s="228" t="s">
        <v>870</v>
      </c>
      <c r="C156" s="87">
        <v>2.8509999999999998E-3</v>
      </c>
      <c r="D156" s="87">
        <v>3.0317E-3</v>
      </c>
      <c r="E156" s="232">
        <v>1040695.76</v>
      </c>
      <c r="F156" s="232">
        <v>1360609</v>
      </c>
      <c r="G156" s="232">
        <v>6050777</v>
      </c>
      <c r="H156" s="232"/>
      <c r="I156" s="233">
        <v>113684</v>
      </c>
      <c r="J156" s="233">
        <v>5302410</v>
      </c>
      <c r="K156" s="233">
        <v>414424</v>
      </c>
      <c r="L156" s="232">
        <v>0</v>
      </c>
      <c r="M156" s="232"/>
      <c r="N156" s="233">
        <v>212026</v>
      </c>
      <c r="O156" s="233">
        <v>1957092</v>
      </c>
      <c r="P156" s="233">
        <v>0</v>
      </c>
      <c r="Q156" s="232">
        <v>459221</v>
      </c>
      <c r="R156" s="233">
        <f t="shared" si="2"/>
        <v>3345318</v>
      </c>
      <c r="S156" s="232"/>
      <c r="T156" s="233">
        <v>1617284</v>
      </c>
      <c r="U156" s="234">
        <v>-164462</v>
      </c>
      <c r="V156" s="234">
        <v>1452822</v>
      </c>
    </row>
    <row r="157" spans="1:22">
      <c r="A157" s="227">
        <v>91341</v>
      </c>
      <c r="B157" s="228" t="s">
        <v>871</v>
      </c>
      <c r="C157" s="87">
        <v>1.4399999999999999E-5</v>
      </c>
      <c r="D157" s="87">
        <v>2.1299999999999999E-5</v>
      </c>
      <c r="E157" s="232">
        <v>7639.09</v>
      </c>
      <c r="F157" s="232">
        <v>9559</v>
      </c>
      <c r="G157" s="232">
        <v>30562</v>
      </c>
      <c r="H157" s="232"/>
      <c r="I157" s="233">
        <v>574</v>
      </c>
      <c r="J157" s="233">
        <v>26782</v>
      </c>
      <c r="K157" s="233">
        <v>2093</v>
      </c>
      <c r="L157" s="232">
        <v>514</v>
      </c>
      <c r="M157" s="232"/>
      <c r="N157" s="233">
        <v>1071</v>
      </c>
      <c r="O157" s="233">
        <v>9885</v>
      </c>
      <c r="P157" s="233">
        <v>0</v>
      </c>
      <c r="Q157" s="232">
        <v>2374</v>
      </c>
      <c r="R157" s="233">
        <f t="shared" si="2"/>
        <v>16897</v>
      </c>
      <c r="S157" s="232"/>
      <c r="T157" s="233">
        <v>8169</v>
      </c>
      <c r="U157" s="234">
        <v>-382</v>
      </c>
      <c r="V157" s="234">
        <v>7786</v>
      </c>
    </row>
    <row r="158" spans="1:22">
      <c r="A158" s="227">
        <v>91401</v>
      </c>
      <c r="B158" s="228" t="s">
        <v>872</v>
      </c>
      <c r="C158" s="87">
        <v>3.6841E-3</v>
      </c>
      <c r="D158" s="87">
        <v>3.5414999999999999E-3</v>
      </c>
      <c r="E158" s="232">
        <v>1403464.74</v>
      </c>
      <c r="F158" s="232">
        <v>1589404</v>
      </c>
      <c r="G158" s="232">
        <v>7818894</v>
      </c>
      <c r="H158" s="232"/>
      <c r="I158" s="233">
        <v>146903</v>
      </c>
      <c r="J158" s="233">
        <v>6851844</v>
      </c>
      <c r="K158" s="233">
        <v>535524</v>
      </c>
      <c r="L158" s="232">
        <v>30858</v>
      </c>
      <c r="M158" s="232"/>
      <c r="N158" s="233">
        <v>273983</v>
      </c>
      <c r="O158" s="233">
        <v>2528980</v>
      </c>
      <c r="P158" s="233">
        <v>0</v>
      </c>
      <c r="Q158" s="232">
        <v>11385</v>
      </c>
      <c r="R158" s="233">
        <f t="shared" si="2"/>
        <v>4322864</v>
      </c>
      <c r="S158" s="232"/>
      <c r="T158" s="233">
        <v>2089876</v>
      </c>
      <c r="U158" s="234">
        <v>10463</v>
      </c>
      <c r="V158" s="234">
        <v>2100338</v>
      </c>
    </row>
    <row r="159" spans="1:22">
      <c r="A159" s="227">
        <v>91411</v>
      </c>
      <c r="B159" s="228" t="s">
        <v>873</v>
      </c>
      <c r="C159" s="87">
        <v>3.5379999999999998E-4</v>
      </c>
      <c r="D159" s="87">
        <v>3.1189999999999999E-4</v>
      </c>
      <c r="E159" s="232">
        <v>141435.49</v>
      </c>
      <c r="F159" s="232">
        <v>139979</v>
      </c>
      <c r="G159" s="232">
        <v>750882</v>
      </c>
      <c r="H159" s="232"/>
      <c r="I159" s="233">
        <v>14108</v>
      </c>
      <c r="J159" s="233">
        <v>658012</v>
      </c>
      <c r="K159" s="233">
        <v>51429</v>
      </c>
      <c r="L159" s="232">
        <v>22528</v>
      </c>
      <c r="M159" s="232"/>
      <c r="N159" s="233">
        <v>26312</v>
      </c>
      <c r="O159" s="233">
        <v>242869</v>
      </c>
      <c r="P159" s="233">
        <v>0</v>
      </c>
      <c r="Q159" s="232">
        <v>2801.92</v>
      </c>
      <c r="R159" s="233">
        <f t="shared" si="2"/>
        <v>415143</v>
      </c>
      <c r="S159" s="232"/>
      <c r="T159" s="233">
        <v>200700</v>
      </c>
      <c r="U159" s="234">
        <v>4720</v>
      </c>
      <c r="V159" s="234">
        <v>205420</v>
      </c>
    </row>
    <row r="160" spans="1:22">
      <c r="A160" s="227">
        <v>91417</v>
      </c>
      <c r="B160" s="228" t="s">
        <v>874</v>
      </c>
      <c r="C160" s="87">
        <v>9.9000000000000001E-6</v>
      </c>
      <c r="D160" s="87">
        <v>1.04E-5</v>
      </c>
      <c r="E160" s="232">
        <v>4800.1900000000005</v>
      </c>
      <c r="F160" s="232">
        <v>4667</v>
      </c>
      <c r="G160" s="232">
        <v>21011</v>
      </c>
      <c r="H160" s="232"/>
      <c r="I160" s="233">
        <v>394.76249999999999</v>
      </c>
      <c r="J160" s="233">
        <v>18412</v>
      </c>
      <c r="K160" s="233">
        <v>1439</v>
      </c>
      <c r="L160" s="232">
        <v>3686</v>
      </c>
      <c r="M160" s="232"/>
      <c r="N160" s="233">
        <v>736</v>
      </c>
      <c r="O160" s="233">
        <v>6796</v>
      </c>
      <c r="P160" s="233">
        <v>0</v>
      </c>
      <c r="Q160" s="232">
        <v>0</v>
      </c>
      <c r="R160" s="233">
        <f t="shared" si="2"/>
        <v>11616</v>
      </c>
      <c r="S160" s="232"/>
      <c r="T160" s="233">
        <v>5616</v>
      </c>
      <c r="U160" s="234">
        <v>1711</v>
      </c>
      <c r="V160" s="234">
        <v>7327</v>
      </c>
    </row>
    <row r="161" spans="1:22">
      <c r="A161" s="227">
        <v>91421</v>
      </c>
      <c r="B161" s="228" t="s">
        <v>875</v>
      </c>
      <c r="C161" s="87">
        <v>7.0400000000000004E-5</v>
      </c>
      <c r="D161" s="87">
        <v>7.3399999999999995E-5</v>
      </c>
      <c r="E161" s="232">
        <v>30682.670000000006</v>
      </c>
      <c r="F161" s="232">
        <v>32941</v>
      </c>
      <c r="G161" s="232">
        <v>149412</v>
      </c>
      <c r="H161" s="232"/>
      <c r="I161" s="233">
        <v>2807</v>
      </c>
      <c r="J161" s="233">
        <v>130933</v>
      </c>
      <c r="K161" s="233">
        <v>10233</v>
      </c>
      <c r="L161" s="232">
        <v>2567</v>
      </c>
      <c r="M161" s="232"/>
      <c r="N161" s="233">
        <v>5236</v>
      </c>
      <c r="O161" s="233">
        <v>48327</v>
      </c>
      <c r="P161" s="233">
        <v>0</v>
      </c>
      <c r="Q161" s="232">
        <v>4833</v>
      </c>
      <c r="R161" s="233">
        <f t="shared" si="2"/>
        <v>82606</v>
      </c>
      <c r="S161" s="232"/>
      <c r="T161" s="233">
        <v>39936</v>
      </c>
      <c r="U161" s="234">
        <v>-400</v>
      </c>
      <c r="V161" s="234">
        <v>39536</v>
      </c>
    </row>
    <row r="162" spans="1:22">
      <c r="A162" s="227">
        <v>91423</v>
      </c>
      <c r="B162" s="228" t="s">
        <v>876</v>
      </c>
      <c r="C162" s="87">
        <v>3.8699999999999999E-5</v>
      </c>
      <c r="D162" s="87">
        <v>3.9499999999999998E-5</v>
      </c>
      <c r="E162" s="232">
        <v>17177.96</v>
      </c>
      <c r="F162" s="232">
        <v>17727</v>
      </c>
      <c r="G162" s="232">
        <v>82134</v>
      </c>
      <c r="H162" s="232"/>
      <c r="I162" s="233">
        <v>1543</v>
      </c>
      <c r="J162" s="233">
        <v>71976</v>
      </c>
      <c r="K162" s="233">
        <v>5625</v>
      </c>
      <c r="L162" s="232">
        <v>10132</v>
      </c>
      <c r="M162" s="232"/>
      <c r="N162" s="233">
        <v>2878</v>
      </c>
      <c r="O162" s="233">
        <v>26566</v>
      </c>
      <c r="P162" s="233">
        <v>0</v>
      </c>
      <c r="Q162" s="232">
        <v>4072</v>
      </c>
      <c r="R162" s="233">
        <f t="shared" si="2"/>
        <v>45410</v>
      </c>
      <c r="S162" s="232"/>
      <c r="T162" s="233">
        <v>21953</v>
      </c>
      <c r="U162" s="234">
        <v>1493</v>
      </c>
      <c r="V162" s="234">
        <v>23446</v>
      </c>
    </row>
    <row r="163" spans="1:22">
      <c r="A163" s="227">
        <v>91431</v>
      </c>
      <c r="B163" s="228" t="s">
        <v>877</v>
      </c>
      <c r="C163" s="87">
        <v>1.417E-4</v>
      </c>
      <c r="D163" s="87">
        <v>1.606E-4</v>
      </c>
      <c r="E163" s="232">
        <v>68459.420000000013</v>
      </c>
      <c r="F163" s="232">
        <v>72076</v>
      </c>
      <c r="G163" s="232">
        <v>300735</v>
      </c>
      <c r="H163" s="232"/>
      <c r="I163" s="233">
        <v>5650</v>
      </c>
      <c r="J163" s="233">
        <v>263540</v>
      </c>
      <c r="K163" s="233">
        <v>20598</v>
      </c>
      <c r="L163" s="232">
        <v>1741</v>
      </c>
      <c r="M163" s="232"/>
      <c r="N163" s="233">
        <v>10538</v>
      </c>
      <c r="O163" s="233">
        <v>97271</v>
      </c>
      <c r="P163" s="233">
        <v>0</v>
      </c>
      <c r="Q163" s="232">
        <v>2500</v>
      </c>
      <c r="R163" s="233">
        <f t="shared" si="2"/>
        <v>166269</v>
      </c>
      <c r="S163" s="232"/>
      <c r="T163" s="233">
        <v>80382</v>
      </c>
      <c r="U163" s="234">
        <v>-116</v>
      </c>
      <c r="V163" s="234">
        <v>80266</v>
      </c>
    </row>
    <row r="164" spans="1:22">
      <c r="A164" s="227">
        <v>91441</v>
      </c>
      <c r="B164" s="228" t="s">
        <v>878</v>
      </c>
      <c r="C164" s="87">
        <v>7.3800000000000005E-4</v>
      </c>
      <c r="D164" s="87">
        <v>8.0199999999999998E-4</v>
      </c>
      <c r="E164" s="232">
        <v>243177.92</v>
      </c>
      <c r="F164" s="232">
        <v>359933</v>
      </c>
      <c r="G164" s="232">
        <v>1566283</v>
      </c>
      <c r="H164" s="232"/>
      <c r="I164" s="233">
        <v>29428</v>
      </c>
      <c r="J164" s="233">
        <v>1372563</v>
      </c>
      <c r="K164" s="233">
        <v>107276</v>
      </c>
      <c r="L164" s="232">
        <v>0</v>
      </c>
      <c r="M164" s="232"/>
      <c r="N164" s="233">
        <v>54884</v>
      </c>
      <c r="O164" s="233">
        <v>506606</v>
      </c>
      <c r="P164" s="233">
        <v>0</v>
      </c>
      <c r="Q164" s="232">
        <v>154968</v>
      </c>
      <c r="R164" s="233">
        <f t="shared" si="2"/>
        <v>865957</v>
      </c>
      <c r="S164" s="232"/>
      <c r="T164" s="233">
        <v>418645</v>
      </c>
      <c r="U164" s="234">
        <v>-51667</v>
      </c>
      <c r="V164" s="234">
        <v>366977</v>
      </c>
    </row>
    <row r="165" spans="1:22">
      <c r="A165" s="227">
        <v>91451</v>
      </c>
      <c r="B165" s="228" t="s">
        <v>879</v>
      </c>
      <c r="C165" s="87">
        <v>1.5629000000000001E-3</v>
      </c>
      <c r="D165" s="87">
        <v>1.7028E-3</v>
      </c>
      <c r="E165" s="232">
        <v>596684.65999999992</v>
      </c>
      <c r="F165" s="232">
        <v>764206</v>
      </c>
      <c r="G165" s="232">
        <v>3316997</v>
      </c>
      <c r="H165" s="232"/>
      <c r="I165" s="233">
        <v>62321</v>
      </c>
      <c r="J165" s="233">
        <v>2906747</v>
      </c>
      <c r="K165" s="233">
        <v>227185</v>
      </c>
      <c r="L165" s="232">
        <v>0</v>
      </c>
      <c r="M165" s="232"/>
      <c r="N165" s="233">
        <v>116231</v>
      </c>
      <c r="O165" s="233">
        <v>1072865</v>
      </c>
      <c r="P165" s="233">
        <v>0</v>
      </c>
      <c r="Q165" s="232">
        <v>204791</v>
      </c>
      <c r="R165" s="233">
        <f t="shared" si="2"/>
        <v>1833882</v>
      </c>
      <c r="S165" s="232"/>
      <c r="T165" s="233">
        <v>886585</v>
      </c>
      <c r="U165" s="234">
        <v>-69029</v>
      </c>
      <c r="V165" s="234">
        <v>817556</v>
      </c>
    </row>
    <row r="166" spans="1:22">
      <c r="A166" s="227">
        <v>91457</v>
      </c>
      <c r="B166" s="228" t="s">
        <v>880</v>
      </c>
      <c r="C166" s="87">
        <v>2.58E-5</v>
      </c>
      <c r="D166" s="87">
        <v>2.7500000000000001E-5</v>
      </c>
      <c r="E166" s="232">
        <v>28420.840000000004</v>
      </c>
      <c r="F166" s="232">
        <v>12342</v>
      </c>
      <c r="G166" s="232">
        <v>54756</v>
      </c>
      <c r="H166" s="232"/>
      <c r="I166" s="233">
        <v>1029</v>
      </c>
      <c r="J166" s="233">
        <v>47984</v>
      </c>
      <c r="K166" s="233">
        <v>3750</v>
      </c>
      <c r="L166" s="232">
        <v>24288</v>
      </c>
      <c r="M166" s="232"/>
      <c r="N166" s="233">
        <v>1919</v>
      </c>
      <c r="O166" s="233">
        <v>17711</v>
      </c>
      <c r="P166" s="233">
        <v>0</v>
      </c>
      <c r="Q166" s="232">
        <v>0</v>
      </c>
      <c r="R166" s="233">
        <f t="shared" si="2"/>
        <v>30273</v>
      </c>
      <c r="S166" s="232"/>
      <c r="T166" s="233">
        <v>14636</v>
      </c>
      <c r="U166" s="234">
        <v>7429</v>
      </c>
      <c r="V166" s="234">
        <v>22065</v>
      </c>
    </row>
    <row r="167" spans="1:22">
      <c r="A167" s="227">
        <v>91461</v>
      </c>
      <c r="B167" s="228" t="s">
        <v>881</v>
      </c>
      <c r="C167" s="87">
        <v>8.6999999999999997E-6</v>
      </c>
      <c r="D167" s="87">
        <v>6.3999999999999997E-6</v>
      </c>
      <c r="E167" s="232">
        <v>2697.2400000000002</v>
      </c>
      <c r="F167" s="232">
        <v>2872</v>
      </c>
      <c r="G167" s="232">
        <v>18464</v>
      </c>
      <c r="H167" s="232"/>
      <c r="I167" s="233">
        <v>347</v>
      </c>
      <c r="J167" s="233">
        <v>16181</v>
      </c>
      <c r="K167" s="233">
        <v>1265</v>
      </c>
      <c r="L167" s="232">
        <v>3156</v>
      </c>
      <c r="M167" s="232"/>
      <c r="N167" s="233">
        <v>647</v>
      </c>
      <c r="O167" s="233">
        <v>5972</v>
      </c>
      <c r="P167" s="233">
        <v>0</v>
      </c>
      <c r="Q167" s="232">
        <v>0</v>
      </c>
      <c r="R167" s="233">
        <f t="shared" si="2"/>
        <v>10209</v>
      </c>
      <c r="S167" s="232"/>
      <c r="T167" s="233">
        <v>4935</v>
      </c>
      <c r="U167" s="234">
        <v>1104</v>
      </c>
      <c r="V167" s="234">
        <v>6039</v>
      </c>
    </row>
    <row r="168" spans="1:22">
      <c r="A168" s="227">
        <v>91501</v>
      </c>
      <c r="B168" s="228" t="s">
        <v>882</v>
      </c>
      <c r="C168" s="87">
        <v>5.1099999999999995E-4</v>
      </c>
      <c r="D168" s="87">
        <v>4.8660000000000001E-4</v>
      </c>
      <c r="E168" s="232">
        <v>207395.53999999998</v>
      </c>
      <c r="F168" s="232">
        <v>218383</v>
      </c>
      <c r="G168" s="232">
        <v>1084513</v>
      </c>
      <c r="H168" s="232"/>
      <c r="I168" s="233">
        <v>20376</v>
      </c>
      <c r="J168" s="233">
        <v>950379</v>
      </c>
      <c r="K168" s="233">
        <v>74279</v>
      </c>
      <c r="L168" s="232">
        <v>41752</v>
      </c>
      <c r="M168" s="232"/>
      <c r="N168" s="233">
        <v>38003</v>
      </c>
      <c r="O168" s="233">
        <v>350780</v>
      </c>
      <c r="P168" s="233">
        <v>0</v>
      </c>
      <c r="Q168" s="232">
        <v>0</v>
      </c>
      <c r="R168" s="233">
        <f t="shared" si="2"/>
        <v>599599</v>
      </c>
      <c r="S168" s="232"/>
      <c r="T168" s="233">
        <v>289874</v>
      </c>
      <c r="U168" s="234">
        <v>17322</v>
      </c>
      <c r="V168" s="234">
        <v>307197</v>
      </c>
    </row>
    <row r="169" spans="1:22">
      <c r="A169" s="227">
        <v>91504</v>
      </c>
      <c r="B169" s="228" t="s">
        <v>883</v>
      </c>
      <c r="C169" s="87">
        <v>1.0200000000000001E-5</v>
      </c>
      <c r="D169" s="87">
        <v>9.7999999999999993E-6</v>
      </c>
      <c r="E169" s="232">
        <v>5951.380000000001</v>
      </c>
      <c r="F169" s="232">
        <v>4398</v>
      </c>
      <c r="G169" s="232">
        <v>21648</v>
      </c>
      <c r="H169" s="232"/>
      <c r="I169" s="233">
        <v>406.72500000000002</v>
      </c>
      <c r="J169" s="233">
        <v>18970</v>
      </c>
      <c r="K169" s="233">
        <v>1483</v>
      </c>
      <c r="L169" s="232">
        <v>6563</v>
      </c>
      <c r="M169" s="232"/>
      <c r="N169" s="233">
        <v>759</v>
      </c>
      <c r="O169" s="233">
        <v>7002</v>
      </c>
      <c r="P169" s="233">
        <v>0</v>
      </c>
      <c r="Q169" s="232">
        <v>0</v>
      </c>
      <c r="R169" s="233">
        <f t="shared" si="2"/>
        <v>11968</v>
      </c>
      <c r="S169" s="232"/>
      <c r="T169" s="233">
        <v>5786</v>
      </c>
      <c r="U169" s="234">
        <v>2270</v>
      </c>
      <c r="V169" s="234">
        <v>8056</v>
      </c>
    </row>
    <row r="170" spans="1:22">
      <c r="A170" s="227">
        <v>91601</v>
      </c>
      <c r="B170" s="228" t="s">
        <v>884</v>
      </c>
      <c r="C170" s="87">
        <v>2.9077999999999999E-3</v>
      </c>
      <c r="D170" s="87">
        <v>2.5893000000000001E-3</v>
      </c>
      <c r="E170" s="232">
        <v>1153048.76</v>
      </c>
      <c r="F170" s="232">
        <v>1162062</v>
      </c>
      <c r="G170" s="232">
        <v>6171326</v>
      </c>
      <c r="H170" s="232"/>
      <c r="I170" s="233">
        <v>115949</v>
      </c>
      <c r="J170" s="233">
        <v>5408049</v>
      </c>
      <c r="K170" s="233">
        <v>422681</v>
      </c>
      <c r="L170" s="232">
        <v>254754</v>
      </c>
      <c r="M170" s="232"/>
      <c r="N170" s="233">
        <v>216250</v>
      </c>
      <c r="O170" s="233">
        <v>1996083</v>
      </c>
      <c r="P170" s="233">
        <v>0</v>
      </c>
      <c r="Q170" s="232">
        <v>0</v>
      </c>
      <c r="R170" s="233">
        <f t="shared" si="2"/>
        <v>3411966</v>
      </c>
      <c r="S170" s="232"/>
      <c r="T170" s="233">
        <v>1649505</v>
      </c>
      <c r="U170" s="234">
        <v>86224</v>
      </c>
      <c r="V170" s="234">
        <v>1735729</v>
      </c>
    </row>
    <row r="171" spans="1:22">
      <c r="A171" s="227">
        <v>91604</v>
      </c>
      <c r="B171" s="228" t="s">
        <v>885</v>
      </c>
      <c r="C171" s="87">
        <v>8.6799999999999996E-5</v>
      </c>
      <c r="D171" s="87">
        <v>8.5000000000000006E-5</v>
      </c>
      <c r="E171" s="232">
        <v>47160.30999999999</v>
      </c>
      <c r="F171" s="232">
        <v>38147</v>
      </c>
      <c r="G171" s="232">
        <v>184219</v>
      </c>
      <c r="H171" s="232"/>
      <c r="I171" s="233">
        <v>3461</v>
      </c>
      <c r="J171" s="233">
        <v>161434</v>
      </c>
      <c r="K171" s="233">
        <v>12617</v>
      </c>
      <c r="L171" s="232">
        <v>17354</v>
      </c>
      <c r="M171" s="232"/>
      <c r="N171" s="233">
        <v>6455</v>
      </c>
      <c r="O171" s="233">
        <v>59585</v>
      </c>
      <c r="P171" s="233">
        <v>0</v>
      </c>
      <c r="Q171" s="232">
        <v>0</v>
      </c>
      <c r="R171" s="233">
        <f t="shared" si="2"/>
        <v>101849</v>
      </c>
      <c r="S171" s="232"/>
      <c r="T171" s="233">
        <v>49239</v>
      </c>
      <c r="U171" s="234">
        <v>5419</v>
      </c>
      <c r="V171" s="234">
        <v>54658</v>
      </c>
    </row>
    <row r="172" spans="1:22">
      <c r="A172" s="227">
        <v>91608</v>
      </c>
      <c r="B172" s="228" t="s">
        <v>886</v>
      </c>
      <c r="C172" s="87">
        <v>1.208E-4</v>
      </c>
      <c r="D172" s="87">
        <v>1.178E-4</v>
      </c>
      <c r="E172" s="232">
        <v>33633.730000000003</v>
      </c>
      <c r="F172" s="232">
        <v>52868</v>
      </c>
      <c r="G172" s="232">
        <v>256378</v>
      </c>
      <c r="H172" s="232"/>
      <c r="I172" s="233">
        <v>4817</v>
      </c>
      <c r="J172" s="233">
        <v>224669</v>
      </c>
      <c r="K172" s="233">
        <v>17560</v>
      </c>
      <c r="L172" s="232">
        <v>1751</v>
      </c>
      <c r="M172" s="232"/>
      <c r="N172" s="233">
        <v>8984</v>
      </c>
      <c r="O172" s="233">
        <v>82924</v>
      </c>
      <c r="P172" s="233">
        <v>0</v>
      </c>
      <c r="Q172" s="232">
        <v>42921</v>
      </c>
      <c r="R172" s="233">
        <f t="shared" si="2"/>
        <v>141745</v>
      </c>
      <c r="S172" s="232"/>
      <c r="T172" s="233">
        <v>68526</v>
      </c>
      <c r="U172" s="234">
        <v>-13278</v>
      </c>
      <c r="V172" s="234">
        <v>55248</v>
      </c>
    </row>
    <row r="173" spans="1:22">
      <c r="A173" s="227">
        <v>91611</v>
      </c>
      <c r="B173" s="228" t="s">
        <v>887</v>
      </c>
      <c r="C173" s="87">
        <v>1.4345E-3</v>
      </c>
      <c r="D173" s="87">
        <v>1.3361E-3</v>
      </c>
      <c r="E173" s="232">
        <v>495191.63999999996</v>
      </c>
      <c r="F173" s="232">
        <v>599634</v>
      </c>
      <c r="G173" s="232">
        <v>3044490</v>
      </c>
      <c r="H173" s="232"/>
      <c r="I173" s="233">
        <v>57201</v>
      </c>
      <c r="J173" s="233">
        <v>2667943</v>
      </c>
      <c r="K173" s="233">
        <v>208520</v>
      </c>
      <c r="L173" s="232">
        <v>36769</v>
      </c>
      <c r="M173" s="232"/>
      <c r="N173" s="233">
        <v>106682</v>
      </c>
      <c r="O173" s="233">
        <v>984724</v>
      </c>
      <c r="P173" s="233">
        <v>0</v>
      </c>
      <c r="Q173" s="232">
        <v>21938</v>
      </c>
      <c r="R173" s="233">
        <f t="shared" si="2"/>
        <v>1683219</v>
      </c>
      <c r="S173" s="232"/>
      <c r="T173" s="233">
        <v>813747</v>
      </c>
      <c r="U173" s="234">
        <v>11752</v>
      </c>
      <c r="V173" s="234">
        <v>825500</v>
      </c>
    </row>
    <row r="174" spans="1:22">
      <c r="A174" s="227">
        <v>91621</v>
      </c>
      <c r="B174" s="228" t="s">
        <v>888</v>
      </c>
      <c r="C174" s="87">
        <v>2.5240000000000001E-4</v>
      </c>
      <c r="D174" s="87">
        <v>2.6200000000000003E-4</v>
      </c>
      <c r="E174" s="232">
        <v>102643.69999999998</v>
      </c>
      <c r="F174" s="232">
        <v>117584</v>
      </c>
      <c r="G174" s="232">
        <v>535677</v>
      </c>
      <c r="H174" s="232"/>
      <c r="I174" s="233">
        <v>10064</v>
      </c>
      <c r="J174" s="233">
        <v>469424</v>
      </c>
      <c r="K174" s="233">
        <v>36689</v>
      </c>
      <c r="L174" s="232">
        <v>20545</v>
      </c>
      <c r="M174" s="232"/>
      <c r="N174" s="233">
        <v>18771</v>
      </c>
      <c r="O174" s="233">
        <v>173262</v>
      </c>
      <c r="P174" s="233">
        <v>0</v>
      </c>
      <c r="Q174" s="232">
        <v>25591</v>
      </c>
      <c r="R174" s="233">
        <f t="shared" si="2"/>
        <v>296162</v>
      </c>
      <c r="S174" s="232"/>
      <c r="T174" s="233">
        <v>143179</v>
      </c>
      <c r="U174" s="234">
        <v>-4085</v>
      </c>
      <c r="V174" s="234">
        <v>139094</v>
      </c>
    </row>
    <row r="175" spans="1:22">
      <c r="A175" s="227">
        <v>91631</v>
      </c>
      <c r="B175" s="228" t="s">
        <v>889</v>
      </c>
      <c r="C175" s="87">
        <v>5.3870000000000003E-4</v>
      </c>
      <c r="D175" s="87">
        <v>5.4830000000000005E-4</v>
      </c>
      <c r="E175" s="232">
        <v>189554.94</v>
      </c>
      <c r="F175" s="232">
        <v>246074</v>
      </c>
      <c r="G175" s="232">
        <v>1143302</v>
      </c>
      <c r="H175" s="232"/>
      <c r="I175" s="233">
        <v>21481</v>
      </c>
      <c r="J175" s="233">
        <v>1001897</v>
      </c>
      <c r="K175" s="233">
        <v>78306</v>
      </c>
      <c r="L175" s="232">
        <v>0</v>
      </c>
      <c r="M175" s="232"/>
      <c r="N175" s="233">
        <v>40063</v>
      </c>
      <c r="O175" s="233">
        <v>369795</v>
      </c>
      <c r="P175" s="233">
        <v>0</v>
      </c>
      <c r="Q175" s="232">
        <v>35292</v>
      </c>
      <c r="R175" s="233">
        <f t="shared" si="2"/>
        <v>632102</v>
      </c>
      <c r="S175" s="232"/>
      <c r="T175" s="233">
        <v>305588</v>
      </c>
      <c r="U175" s="234">
        <v>-10001</v>
      </c>
      <c r="V175" s="234">
        <v>295587</v>
      </c>
    </row>
    <row r="176" spans="1:22">
      <c r="A176" s="227">
        <v>91633</v>
      </c>
      <c r="B176" s="228" t="s">
        <v>890</v>
      </c>
      <c r="C176" s="87">
        <v>2.3799999999999999E-5</v>
      </c>
      <c r="D176" s="87">
        <v>2.3200000000000001E-5</v>
      </c>
      <c r="E176" s="232">
        <v>11149.369999999999</v>
      </c>
      <c r="F176" s="232">
        <v>10412</v>
      </c>
      <c r="G176" s="232">
        <v>50512</v>
      </c>
      <c r="H176" s="232"/>
      <c r="I176" s="233">
        <v>949.02499999999998</v>
      </c>
      <c r="J176" s="233">
        <v>44264</v>
      </c>
      <c r="K176" s="233">
        <v>3460</v>
      </c>
      <c r="L176" s="232">
        <v>1407</v>
      </c>
      <c r="M176" s="232"/>
      <c r="N176" s="233">
        <v>1770</v>
      </c>
      <c r="O176" s="233">
        <v>16338</v>
      </c>
      <c r="P176" s="233">
        <v>0</v>
      </c>
      <c r="Q176" s="232">
        <v>5064</v>
      </c>
      <c r="R176" s="233">
        <f t="shared" si="2"/>
        <v>27926</v>
      </c>
      <c r="S176" s="232"/>
      <c r="T176" s="233">
        <v>13501</v>
      </c>
      <c r="U176" s="234">
        <v>-1485</v>
      </c>
      <c r="V176" s="234">
        <v>12016</v>
      </c>
    </row>
    <row r="177" spans="1:22">
      <c r="A177" s="227">
        <v>91641</v>
      </c>
      <c r="B177" s="228" t="s">
        <v>891</v>
      </c>
      <c r="C177" s="87">
        <v>2.742E-4</v>
      </c>
      <c r="D177" s="87">
        <v>3.1080000000000002E-4</v>
      </c>
      <c r="E177" s="232">
        <v>90324.84</v>
      </c>
      <c r="F177" s="232">
        <v>139485</v>
      </c>
      <c r="G177" s="232">
        <v>581944</v>
      </c>
      <c r="H177" s="232"/>
      <c r="I177" s="233">
        <v>10934</v>
      </c>
      <c r="J177" s="233">
        <v>509969</v>
      </c>
      <c r="K177" s="233">
        <v>39858</v>
      </c>
      <c r="L177" s="232">
        <v>0</v>
      </c>
      <c r="M177" s="232"/>
      <c r="N177" s="233">
        <v>20392</v>
      </c>
      <c r="O177" s="233">
        <v>188227</v>
      </c>
      <c r="P177" s="233">
        <v>0</v>
      </c>
      <c r="Q177" s="232">
        <v>73613</v>
      </c>
      <c r="R177" s="233">
        <f t="shared" si="2"/>
        <v>321742</v>
      </c>
      <c r="S177" s="232"/>
      <c r="T177" s="233">
        <v>155545</v>
      </c>
      <c r="U177" s="234">
        <v>-24397</v>
      </c>
      <c r="V177" s="234">
        <v>131148</v>
      </c>
    </row>
    <row r="178" spans="1:22">
      <c r="A178" s="227">
        <v>91651</v>
      </c>
      <c r="B178" s="228" t="s">
        <v>892</v>
      </c>
      <c r="C178" s="87">
        <v>4.6099999999999998E-4</v>
      </c>
      <c r="D178" s="87">
        <v>4.797E-4</v>
      </c>
      <c r="E178" s="232">
        <v>182169.7</v>
      </c>
      <c r="F178" s="232">
        <v>215286</v>
      </c>
      <c r="G178" s="232">
        <v>978396</v>
      </c>
      <c r="H178" s="232"/>
      <c r="I178" s="233">
        <v>18382.375</v>
      </c>
      <c r="J178" s="233">
        <v>857387</v>
      </c>
      <c r="K178" s="233">
        <v>67011</v>
      </c>
      <c r="L178" s="232">
        <v>0</v>
      </c>
      <c r="M178" s="232"/>
      <c r="N178" s="233">
        <v>34284</v>
      </c>
      <c r="O178" s="233">
        <v>316457</v>
      </c>
      <c r="P178" s="233">
        <v>0</v>
      </c>
      <c r="Q178" s="232">
        <v>30276</v>
      </c>
      <c r="R178" s="233">
        <f t="shared" si="2"/>
        <v>540930</v>
      </c>
      <c r="S178" s="232"/>
      <c r="T178" s="233">
        <v>261511</v>
      </c>
      <c r="U178" s="234">
        <v>-9842</v>
      </c>
      <c r="V178" s="234">
        <v>251669</v>
      </c>
    </row>
    <row r="179" spans="1:22">
      <c r="A179" s="227">
        <v>91661</v>
      </c>
      <c r="B179" s="228" t="s">
        <v>893</v>
      </c>
      <c r="C179" s="87">
        <v>1.6750000000000001E-4</v>
      </c>
      <c r="D179" s="87">
        <v>1.9149999999999999E-4</v>
      </c>
      <c r="E179" s="232">
        <v>50933.13</v>
      </c>
      <c r="F179" s="232">
        <v>85944</v>
      </c>
      <c r="G179" s="232">
        <v>355491</v>
      </c>
      <c r="H179" s="232"/>
      <c r="I179" s="233">
        <v>6679.0625</v>
      </c>
      <c r="J179" s="233">
        <v>311524</v>
      </c>
      <c r="K179" s="233">
        <v>24348</v>
      </c>
      <c r="L179" s="232">
        <v>0</v>
      </c>
      <c r="M179" s="232"/>
      <c r="N179" s="233">
        <v>12457</v>
      </c>
      <c r="O179" s="233">
        <v>114982</v>
      </c>
      <c r="P179" s="233">
        <v>0</v>
      </c>
      <c r="Q179" s="232">
        <v>40976</v>
      </c>
      <c r="R179" s="233">
        <f t="shared" si="2"/>
        <v>196542</v>
      </c>
      <c r="S179" s="232"/>
      <c r="T179" s="233">
        <v>95018</v>
      </c>
      <c r="U179" s="234">
        <v>-12042</v>
      </c>
      <c r="V179" s="234">
        <v>82975</v>
      </c>
    </row>
    <row r="180" spans="1:22">
      <c r="A180" s="227">
        <v>91671</v>
      </c>
      <c r="B180" s="228" t="s">
        <v>894</v>
      </c>
      <c r="C180" s="87">
        <v>9.7600000000000001E-5</v>
      </c>
      <c r="D180" s="87">
        <v>9.0000000000000006E-5</v>
      </c>
      <c r="E180" s="232">
        <v>40599.14</v>
      </c>
      <c r="F180" s="232">
        <v>40391.46</v>
      </c>
      <c r="G180" s="232">
        <v>207140</v>
      </c>
      <c r="H180" s="232"/>
      <c r="I180" s="233">
        <v>3891.8</v>
      </c>
      <c r="J180" s="233">
        <v>181521</v>
      </c>
      <c r="K180" s="233">
        <v>14187</v>
      </c>
      <c r="L180" s="232">
        <v>17521</v>
      </c>
      <c r="M180" s="232"/>
      <c r="N180" s="233">
        <v>7258</v>
      </c>
      <c r="O180" s="233">
        <v>66998</v>
      </c>
      <c r="P180" s="233">
        <v>0</v>
      </c>
      <c r="Q180" s="232">
        <v>0</v>
      </c>
      <c r="R180" s="233">
        <f t="shared" si="2"/>
        <v>114523</v>
      </c>
      <c r="S180" s="232"/>
      <c r="T180" s="233">
        <v>55365</v>
      </c>
      <c r="U180" s="234">
        <v>6024</v>
      </c>
      <c r="V180" s="234">
        <v>61390</v>
      </c>
    </row>
    <row r="181" spans="1:22">
      <c r="A181" s="227">
        <v>91681</v>
      </c>
      <c r="B181" s="228" t="s">
        <v>895</v>
      </c>
      <c r="C181" s="87">
        <v>4.7130000000000002E-4</v>
      </c>
      <c r="D181" s="87">
        <v>5.2590000000000004E-4</v>
      </c>
      <c r="E181" s="232">
        <v>361073.65</v>
      </c>
      <c r="F181" s="232">
        <v>236021</v>
      </c>
      <c r="G181" s="232">
        <v>1000256</v>
      </c>
      <c r="H181" s="232"/>
      <c r="I181" s="233">
        <v>18793</v>
      </c>
      <c r="J181" s="233">
        <v>876544</v>
      </c>
      <c r="K181" s="233">
        <v>68509</v>
      </c>
      <c r="L181" s="232">
        <v>196447</v>
      </c>
      <c r="M181" s="232"/>
      <c r="N181" s="233">
        <v>35050</v>
      </c>
      <c r="O181" s="233">
        <v>323528</v>
      </c>
      <c r="P181" s="233">
        <v>0</v>
      </c>
      <c r="Q181" s="232">
        <v>9078</v>
      </c>
      <c r="R181" s="233">
        <f t="shared" si="2"/>
        <v>553016</v>
      </c>
      <c r="S181" s="232"/>
      <c r="T181" s="233">
        <v>267354</v>
      </c>
      <c r="U181" s="234">
        <v>55234</v>
      </c>
      <c r="V181" s="234">
        <v>322588</v>
      </c>
    </row>
    <row r="182" spans="1:22">
      <c r="A182" s="227">
        <v>91691</v>
      </c>
      <c r="B182" s="228" t="s">
        <v>896</v>
      </c>
      <c r="C182" s="87">
        <v>2.4199999999999999E-5</v>
      </c>
      <c r="D182" s="87">
        <v>1.8700000000000001E-5</v>
      </c>
      <c r="E182" s="232">
        <v>9113.6699999999983</v>
      </c>
      <c r="F182" s="232">
        <v>8392</v>
      </c>
      <c r="G182" s="232">
        <v>51361</v>
      </c>
      <c r="H182" s="232"/>
      <c r="I182" s="233">
        <v>965</v>
      </c>
      <c r="J182" s="233">
        <v>45008</v>
      </c>
      <c r="K182" s="233">
        <v>3518</v>
      </c>
      <c r="L182" s="232">
        <v>2449</v>
      </c>
      <c r="M182" s="232"/>
      <c r="N182" s="233">
        <v>1800</v>
      </c>
      <c r="O182" s="233">
        <v>16612</v>
      </c>
      <c r="P182" s="233">
        <v>0</v>
      </c>
      <c r="Q182" s="232">
        <v>801</v>
      </c>
      <c r="R182" s="233">
        <f t="shared" si="2"/>
        <v>28396</v>
      </c>
      <c r="S182" s="232"/>
      <c r="T182" s="233">
        <v>13728</v>
      </c>
      <c r="U182" s="234">
        <v>383</v>
      </c>
      <c r="V182" s="234">
        <v>14111</v>
      </c>
    </row>
    <row r="183" spans="1:22">
      <c r="A183" s="227">
        <v>91701</v>
      </c>
      <c r="B183" s="228" t="s">
        <v>897</v>
      </c>
      <c r="C183" s="87">
        <v>1.0897000000000001E-3</v>
      </c>
      <c r="D183" s="87">
        <v>1.0575999999999999E-3</v>
      </c>
      <c r="E183" s="232">
        <v>448773.31999999995</v>
      </c>
      <c r="F183" s="232">
        <v>474645</v>
      </c>
      <c r="G183" s="232">
        <v>2312708</v>
      </c>
      <c r="H183" s="232"/>
      <c r="I183" s="233">
        <v>43452</v>
      </c>
      <c r="J183" s="233">
        <v>2026670</v>
      </c>
      <c r="K183" s="233">
        <v>158400</v>
      </c>
      <c r="L183" s="232">
        <v>20132</v>
      </c>
      <c r="M183" s="232"/>
      <c r="N183" s="233">
        <v>81040</v>
      </c>
      <c r="O183" s="233">
        <v>748033</v>
      </c>
      <c r="P183" s="233">
        <v>0</v>
      </c>
      <c r="Q183" s="232">
        <v>13968</v>
      </c>
      <c r="R183" s="233">
        <f t="shared" si="2"/>
        <v>1278637</v>
      </c>
      <c r="S183" s="232"/>
      <c r="T183" s="233">
        <v>618153</v>
      </c>
      <c r="U183" s="234">
        <v>-1590</v>
      </c>
      <c r="V183" s="234">
        <v>616563</v>
      </c>
    </row>
    <row r="184" spans="1:22">
      <c r="A184" s="227">
        <v>91704</v>
      </c>
      <c r="B184" s="228" t="s">
        <v>898</v>
      </c>
      <c r="C184" s="87">
        <v>1.6699999999999999E-5</v>
      </c>
      <c r="D184" s="87">
        <v>1.66E-5</v>
      </c>
      <c r="E184" s="232">
        <v>6924.2000000000016</v>
      </c>
      <c r="F184" s="232">
        <v>7450</v>
      </c>
      <c r="G184" s="232">
        <v>35443</v>
      </c>
      <c r="H184" s="232"/>
      <c r="I184" s="233">
        <v>665.91250000000002</v>
      </c>
      <c r="J184" s="233">
        <v>31059</v>
      </c>
      <c r="K184" s="233">
        <v>2428</v>
      </c>
      <c r="L184" s="232">
        <v>1658</v>
      </c>
      <c r="M184" s="232"/>
      <c r="N184" s="233">
        <v>1242</v>
      </c>
      <c r="O184" s="233">
        <v>11464</v>
      </c>
      <c r="P184" s="233">
        <v>0</v>
      </c>
      <c r="Q184" s="232">
        <v>0</v>
      </c>
      <c r="R184" s="233">
        <f t="shared" si="2"/>
        <v>19595</v>
      </c>
      <c r="S184" s="232"/>
      <c r="T184" s="233">
        <v>9473</v>
      </c>
      <c r="U184" s="234">
        <v>628</v>
      </c>
      <c r="V184" s="234">
        <v>10101</v>
      </c>
    </row>
    <row r="185" spans="1:22">
      <c r="A185" s="227">
        <v>91706</v>
      </c>
      <c r="B185" s="228" t="s">
        <v>899</v>
      </c>
      <c r="C185" s="87">
        <v>2.4279999999999999E-4</v>
      </c>
      <c r="D185" s="87">
        <v>2.565E-4</v>
      </c>
      <c r="E185" s="232">
        <v>104554.31999999999</v>
      </c>
      <c r="F185" s="232">
        <v>115116</v>
      </c>
      <c r="G185" s="232">
        <v>515303</v>
      </c>
      <c r="H185" s="232"/>
      <c r="I185" s="233">
        <v>9681.65</v>
      </c>
      <c r="J185" s="233">
        <v>451570</v>
      </c>
      <c r="K185" s="233">
        <v>35294</v>
      </c>
      <c r="L185" s="232">
        <v>807</v>
      </c>
      <c r="M185" s="232"/>
      <c r="N185" s="233">
        <v>18057</v>
      </c>
      <c r="O185" s="233">
        <v>166672</v>
      </c>
      <c r="P185" s="233">
        <v>0</v>
      </c>
      <c r="Q185" s="232">
        <v>14823</v>
      </c>
      <c r="R185" s="233">
        <f t="shared" si="2"/>
        <v>284898</v>
      </c>
      <c r="S185" s="232"/>
      <c r="T185" s="233">
        <v>137733</v>
      </c>
      <c r="U185" s="234">
        <v>-6265</v>
      </c>
      <c r="V185" s="234">
        <v>131468</v>
      </c>
    </row>
    <row r="186" spans="1:22">
      <c r="A186" s="227">
        <v>91719</v>
      </c>
      <c r="B186" s="228" t="s">
        <v>900</v>
      </c>
      <c r="C186" s="87">
        <v>4.9299999999999999E-5</v>
      </c>
      <c r="D186" s="87">
        <v>4.4199999999999997E-5</v>
      </c>
      <c r="E186" s="232">
        <v>15848.369999999997</v>
      </c>
      <c r="F186" s="232">
        <v>19837</v>
      </c>
      <c r="G186" s="232">
        <v>104631</v>
      </c>
      <c r="H186" s="232"/>
      <c r="I186" s="233">
        <v>1966</v>
      </c>
      <c r="J186" s="233">
        <v>91690</v>
      </c>
      <c r="K186" s="233">
        <v>7166</v>
      </c>
      <c r="L186" s="232">
        <v>6810</v>
      </c>
      <c r="M186" s="232"/>
      <c r="N186" s="233">
        <v>3666</v>
      </c>
      <c r="O186" s="233">
        <v>33842</v>
      </c>
      <c r="P186" s="233">
        <v>0</v>
      </c>
      <c r="Q186" s="232">
        <v>3972</v>
      </c>
      <c r="R186" s="233">
        <f t="shared" si="2"/>
        <v>57848</v>
      </c>
      <c r="S186" s="232"/>
      <c r="T186" s="233">
        <v>27966</v>
      </c>
      <c r="U186" s="234">
        <v>602</v>
      </c>
      <c r="V186" s="234">
        <v>28568</v>
      </c>
    </row>
    <row r="187" spans="1:22">
      <c r="A187" s="227">
        <v>91801</v>
      </c>
      <c r="B187" s="228" t="s">
        <v>901</v>
      </c>
      <c r="C187" s="87">
        <v>8.3853999999999995E-3</v>
      </c>
      <c r="D187" s="87">
        <v>8.1784000000000006E-3</v>
      </c>
      <c r="E187" s="232">
        <v>3229080.93</v>
      </c>
      <c r="F187" s="232">
        <v>3670417</v>
      </c>
      <c r="G187" s="232">
        <v>17796628</v>
      </c>
      <c r="H187" s="232"/>
      <c r="I187" s="233">
        <v>334368</v>
      </c>
      <c r="J187" s="233">
        <v>15595519</v>
      </c>
      <c r="K187" s="233">
        <v>1218910</v>
      </c>
      <c r="L187" s="232">
        <v>0</v>
      </c>
      <c r="M187" s="232"/>
      <c r="N187" s="233">
        <v>623614</v>
      </c>
      <c r="O187" s="233">
        <v>5756225</v>
      </c>
      <c r="P187" s="233">
        <v>0</v>
      </c>
      <c r="Q187" s="232">
        <v>122778</v>
      </c>
      <c r="R187" s="233">
        <f t="shared" si="2"/>
        <v>9839294</v>
      </c>
      <c r="S187" s="232"/>
      <c r="T187" s="233">
        <v>4756777</v>
      </c>
      <c r="U187" s="234">
        <v>-45736</v>
      </c>
      <c r="V187" s="234">
        <v>4711042</v>
      </c>
    </row>
    <row r="188" spans="1:22">
      <c r="A188" s="227">
        <v>91804</v>
      </c>
      <c r="B188" s="228" t="s">
        <v>902</v>
      </c>
      <c r="C188" s="87">
        <v>1.462E-4</v>
      </c>
      <c r="D188" s="87">
        <v>1.4349999999999999E-4</v>
      </c>
      <c r="E188" s="232">
        <v>90420.56</v>
      </c>
      <c r="F188" s="232">
        <v>64402</v>
      </c>
      <c r="G188" s="232">
        <v>310285</v>
      </c>
      <c r="H188" s="232"/>
      <c r="I188" s="233">
        <v>5830</v>
      </c>
      <c r="J188" s="233">
        <v>271909</v>
      </c>
      <c r="K188" s="233">
        <v>21252</v>
      </c>
      <c r="L188" s="232">
        <v>55024</v>
      </c>
      <c r="M188" s="232"/>
      <c r="N188" s="233">
        <v>10873</v>
      </c>
      <c r="O188" s="233">
        <v>100360</v>
      </c>
      <c r="P188" s="233">
        <v>0</v>
      </c>
      <c r="Q188" s="232">
        <v>0</v>
      </c>
      <c r="R188" s="233">
        <f t="shared" si="2"/>
        <v>171549</v>
      </c>
      <c r="S188" s="232"/>
      <c r="T188" s="233">
        <v>82935</v>
      </c>
      <c r="U188" s="234">
        <v>18762</v>
      </c>
      <c r="V188" s="234">
        <v>101697</v>
      </c>
    </row>
    <row r="189" spans="1:22">
      <c r="A189" s="227">
        <v>91811</v>
      </c>
      <c r="B189" s="228" t="s">
        <v>903</v>
      </c>
      <c r="C189" s="87">
        <v>4.6454000000000001E-3</v>
      </c>
      <c r="D189" s="87">
        <v>5.0266E-3</v>
      </c>
      <c r="E189" s="232">
        <v>1763087.8699999999</v>
      </c>
      <c r="F189" s="232">
        <v>2255908</v>
      </c>
      <c r="G189" s="232">
        <v>9859095</v>
      </c>
      <c r="H189" s="232"/>
      <c r="I189" s="233">
        <v>185235</v>
      </c>
      <c r="J189" s="233">
        <v>8639710</v>
      </c>
      <c r="K189" s="233">
        <v>675260</v>
      </c>
      <c r="L189" s="232">
        <v>0</v>
      </c>
      <c r="M189" s="232"/>
      <c r="N189" s="233">
        <v>345474</v>
      </c>
      <c r="O189" s="233">
        <v>3188872</v>
      </c>
      <c r="P189" s="233">
        <v>0</v>
      </c>
      <c r="Q189" s="232">
        <v>514506</v>
      </c>
      <c r="R189" s="233">
        <f t="shared" si="2"/>
        <v>5450838</v>
      </c>
      <c r="S189" s="232"/>
      <c r="T189" s="233">
        <v>2635191</v>
      </c>
      <c r="U189" s="234">
        <v>-157089</v>
      </c>
      <c r="V189" s="234">
        <v>2478102</v>
      </c>
    </row>
    <row r="190" spans="1:22">
      <c r="A190" s="227">
        <v>91812</v>
      </c>
      <c r="B190" s="228" t="s">
        <v>904</v>
      </c>
      <c r="C190" s="87">
        <v>5.8199999999999998E-5</v>
      </c>
      <c r="D190" s="87">
        <v>4.1499999999999999E-5</v>
      </c>
      <c r="E190" s="232">
        <v>24707.129999999997</v>
      </c>
      <c r="F190" s="232">
        <v>18625</v>
      </c>
      <c r="G190" s="232">
        <v>123520</v>
      </c>
      <c r="H190" s="232"/>
      <c r="I190" s="233">
        <v>2320.7249999999999</v>
      </c>
      <c r="J190" s="233">
        <v>108243</v>
      </c>
      <c r="K190" s="233">
        <v>8460</v>
      </c>
      <c r="L190" s="232">
        <v>16587</v>
      </c>
      <c r="M190" s="232"/>
      <c r="N190" s="233">
        <v>4328</v>
      </c>
      <c r="O190" s="233">
        <v>39952</v>
      </c>
      <c r="P190" s="233">
        <v>0</v>
      </c>
      <c r="Q190" s="232">
        <v>0</v>
      </c>
      <c r="R190" s="233">
        <f t="shared" si="2"/>
        <v>68291</v>
      </c>
      <c r="S190" s="232"/>
      <c r="T190" s="233">
        <v>33015</v>
      </c>
      <c r="U190" s="234">
        <v>5261</v>
      </c>
      <c r="V190" s="234">
        <v>38276</v>
      </c>
    </row>
    <row r="191" spans="1:22">
      <c r="A191" s="227">
        <v>91813</v>
      </c>
      <c r="B191" s="228" t="s">
        <v>905</v>
      </c>
      <c r="C191" s="87">
        <v>1.083E-4</v>
      </c>
      <c r="D191" s="87">
        <v>9.6100000000000005E-5</v>
      </c>
      <c r="E191" s="232">
        <v>43088.72</v>
      </c>
      <c r="F191" s="232">
        <v>43129</v>
      </c>
      <c r="G191" s="232">
        <v>229849</v>
      </c>
      <c r="H191" s="232"/>
      <c r="I191" s="233">
        <v>4318</v>
      </c>
      <c r="J191" s="233">
        <v>201421</v>
      </c>
      <c r="K191" s="233">
        <v>15743</v>
      </c>
      <c r="L191" s="232">
        <v>16214</v>
      </c>
      <c r="M191" s="232"/>
      <c r="N191" s="233">
        <v>8054</v>
      </c>
      <c r="O191" s="233">
        <v>74343</v>
      </c>
      <c r="P191" s="233">
        <v>0</v>
      </c>
      <c r="Q191" s="232">
        <v>5268</v>
      </c>
      <c r="R191" s="233">
        <f t="shared" si="2"/>
        <v>127078</v>
      </c>
      <c r="S191" s="232"/>
      <c r="T191" s="233">
        <v>61435</v>
      </c>
      <c r="U191" s="234">
        <v>2581</v>
      </c>
      <c r="V191" s="234">
        <v>64016</v>
      </c>
    </row>
    <row r="192" spans="1:22">
      <c r="A192" s="227">
        <v>91818</v>
      </c>
      <c r="B192" s="228" t="s">
        <v>906</v>
      </c>
      <c r="C192" s="87">
        <v>3.8559999999999999E-4</v>
      </c>
      <c r="D192" s="87">
        <v>3.8890000000000002E-4</v>
      </c>
      <c r="E192" s="232">
        <v>416376.07000000007</v>
      </c>
      <c r="F192" s="232">
        <v>174536</v>
      </c>
      <c r="G192" s="232">
        <v>818372</v>
      </c>
      <c r="H192" s="232"/>
      <c r="I192" s="233">
        <v>15375.8</v>
      </c>
      <c r="J192" s="233">
        <v>717155</v>
      </c>
      <c r="K192" s="233">
        <v>56051</v>
      </c>
      <c r="L192" s="232">
        <v>347266</v>
      </c>
      <c r="M192" s="232"/>
      <c r="N192" s="233">
        <v>28677</v>
      </c>
      <c r="O192" s="233">
        <v>264698</v>
      </c>
      <c r="P192" s="233">
        <v>0</v>
      </c>
      <c r="Q192" s="232">
        <v>10099</v>
      </c>
      <c r="R192" s="233">
        <f t="shared" si="2"/>
        <v>452457</v>
      </c>
      <c r="S192" s="232"/>
      <c r="T192" s="233">
        <v>218739</v>
      </c>
      <c r="U192" s="234">
        <v>98677</v>
      </c>
      <c r="V192" s="234">
        <v>317416</v>
      </c>
    </row>
    <row r="193" spans="1:22">
      <c r="A193" s="227">
        <v>91819</v>
      </c>
      <c r="B193" s="228" t="s">
        <v>907</v>
      </c>
      <c r="C193" s="87">
        <v>2.8200000000000002E-4</v>
      </c>
      <c r="D193" s="87">
        <v>2.9609999999999999E-4</v>
      </c>
      <c r="E193" s="232">
        <v>118267.02</v>
      </c>
      <c r="F193" s="232">
        <v>132888</v>
      </c>
      <c r="G193" s="232">
        <v>598498</v>
      </c>
      <c r="H193" s="232"/>
      <c r="I193" s="233">
        <v>11245</v>
      </c>
      <c r="J193" s="233">
        <v>524475</v>
      </c>
      <c r="K193" s="233">
        <v>40992</v>
      </c>
      <c r="L193" s="232">
        <v>13743</v>
      </c>
      <c r="M193" s="232"/>
      <c r="N193" s="233">
        <v>20972</v>
      </c>
      <c r="O193" s="233">
        <v>193581</v>
      </c>
      <c r="P193" s="233">
        <v>0</v>
      </c>
      <c r="Q193" s="232">
        <v>11963</v>
      </c>
      <c r="R193" s="233">
        <f t="shared" si="2"/>
        <v>330894</v>
      </c>
      <c r="S193" s="232"/>
      <c r="T193" s="233">
        <v>159970</v>
      </c>
      <c r="U193" s="234">
        <v>3219</v>
      </c>
      <c r="V193" s="234">
        <v>163189</v>
      </c>
    </row>
    <row r="194" spans="1:22">
      <c r="A194" s="227">
        <v>91821</v>
      </c>
      <c r="B194" s="228" t="s">
        <v>908</v>
      </c>
      <c r="C194" s="87">
        <v>1.63E-4</v>
      </c>
      <c r="D194" s="87">
        <v>1.5799999999999999E-4</v>
      </c>
      <c r="E194" s="232">
        <v>61732.91</v>
      </c>
      <c r="F194" s="232">
        <v>70909</v>
      </c>
      <c r="G194" s="232">
        <v>345941</v>
      </c>
      <c r="H194" s="232"/>
      <c r="I194" s="233">
        <v>6499.625</v>
      </c>
      <c r="J194" s="233">
        <v>303154</v>
      </c>
      <c r="K194" s="233">
        <v>23694</v>
      </c>
      <c r="L194" s="232">
        <v>4196</v>
      </c>
      <c r="M194" s="232"/>
      <c r="N194" s="233">
        <v>12122</v>
      </c>
      <c r="O194" s="233">
        <v>111893</v>
      </c>
      <c r="P194" s="233">
        <v>0</v>
      </c>
      <c r="Q194" s="232">
        <v>1501</v>
      </c>
      <c r="R194" s="233">
        <f t="shared" si="2"/>
        <v>191261</v>
      </c>
      <c r="S194" s="232"/>
      <c r="T194" s="233">
        <v>92465</v>
      </c>
      <c r="U194" s="234">
        <v>1532</v>
      </c>
      <c r="V194" s="234">
        <v>93997</v>
      </c>
    </row>
    <row r="195" spans="1:22">
      <c r="A195" s="227">
        <v>91831</v>
      </c>
      <c r="B195" s="228" t="s">
        <v>909</v>
      </c>
      <c r="C195" s="87">
        <v>3.414E-4</v>
      </c>
      <c r="D195" s="87">
        <v>3.344E-4</v>
      </c>
      <c r="E195" s="232">
        <v>124107.91</v>
      </c>
      <c r="F195" s="232">
        <v>150077</v>
      </c>
      <c r="G195" s="232">
        <v>724565</v>
      </c>
      <c r="H195" s="232"/>
      <c r="I195" s="233">
        <v>13613</v>
      </c>
      <c r="J195" s="233">
        <v>634950</v>
      </c>
      <c r="K195" s="233">
        <v>49626</v>
      </c>
      <c r="L195" s="232">
        <v>12411</v>
      </c>
      <c r="M195" s="232"/>
      <c r="N195" s="233">
        <v>25390</v>
      </c>
      <c r="O195" s="233">
        <v>234357</v>
      </c>
      <c r="P195" s="233">
        <v>0</v>
      </c>
      <c r="Q195" s="232">
        <v>9146</v>
      </c>
      <c r="R195" s="233">
        <f t="shared" si="2"/>
        <v>400593</v>
      </c>
      <c r="S195" s="232"/>
      <c r="T195" s="233">
        <v>193666</v>
      </c>
      <c r="U195" s="234">
        <v>2194</v>
      </c>
      <c r="V195" s="234">
        <v>195860</v>
      </c>
    </row>
    <row r="196" spans="1:22">
      <c r="A196" s="227">
        <v>91841</v>
      </c>
      <c r="B196" s="228" t="s">
        <v>910</v>
      </c>
      <c r="C196" s="87">
        <v>2.63E-4</v>
      </c>
      <c r="D196" s="87">
        <v>2.7290000000000002E-4</v>
      </c>
      <c r="E196" s="232">
        <v>112188.05</v>
      </c>
      <c r="F196" s="232">
        <v>122476</v>
      </c>
      <c r="G196" s="232">
        <v>558174</v>
      </c>
      <c r="H196" s="232"/>
      <c r="I196" s="233">
        <v>10487.125</v>
      </c>
      <c r="J196" s="233">
        <v>489138</v>
      </c>
      <c r="K196" s="233">
        <v>38230</v>
      </c>
      <c r="L196" s="232">
        <v>0</v>
      </c>
      <c r="M196" s="232"/>
      <c r="N196" s="233">
        <v>19559</v>
      </c>
      <c r="O196" s="233">
        <v>180538</v>
      </c>
      <c r="P196" s="233">
        <v>0</v>
      </c>
      <c r="Q196" s="232">
        <v>24859</v>
      </c>
      <c r="R196" s="233">
        <f t="shared" si="2"/>
        <v>308600</v>
      </c>
      <c r="S196" s="232"/>
      <c r="T196" s="233">
        <v>149192</v>
      </c>
      <c r="U196" s="234">
        <v>-10148</v>
      </c>
      <c r="V196" s="234">
        <v>139044</v>
      </c>
    </row>
    <row r="197" spans="1:22">
      <c r="A197" s="227">
        <v>91851</v>
      </c>
      <c r="B197" s="228" t="s">
        <v>911</v>
      </c>
      <c r="C197" s="87">
        <v>7.2059999999999995E-4</v>
      </c>
      <c r="D197" s="87">
        <v>7.8410000000000003E-4</v>
      </c>
      <c r="E197" s="232">
        <v>289167.15999999997</v>
      </c>
      <c r="F197" s="232">
        <v>351899</v>
      </c>
      <c r="G197" s="232">
        <v>1529355</v>
      </c>
      <c r="H197" s="232"/>
      <c r="I197" s="233">
        <v>28734</v>
      </c>
      <c r="J197" s="233">
        <v>1340202</v>
      </c>
      <c r="K197" s="233">
        <v>104747</v>
      </c>
      <c r="L197" s="232">
        <v>7182</v>
      </c>
      <c r="M197" s="232"/>
      <c r="N197" s="233">
        <v>53590</v>
      </c>
      <c r="O197" s="233">
        <v>494662</v>
      </c>
      <c r="P197" s="233">
        <v>0</v>
      </c>
      <c r="Q197" s="232">
        <v>62684</v>
      </c>
      <c r="R197" s="233">
        <f t="shared" si="2"/>
        <v>845540</v>
      </c>
      <c r="S197" s="232"/>
      <c r="T197" s="233">
        <v>408774</v>
      </c>
      <c r="U197" s="234">
        <v>-14788</v>
      </c>
      <c r="V197" s="234">
        <v>393986</v>
      </c>
    </row>
    <row r="198" spans="1:22">
      <c r="A198" s="227">
        <v>91861</v>
      </c>
      <c r="B198" s="228" t="s">
        <v>912</v>
      </c>
      <c r="C198" s="87">
        <v>1.9899999999999999E-5</v>
      </c>
      <c r="D198" s="87">
        <v>1.8499999999999999E-5</v>
      </c>
      <c r="E198" s="232">
        <v>7957.7099999999991</v>
      </c>
      <c r="F198" s="232">
        <v>8303</v>
      </c>
      <c r="G198" s="232">
        <v>42234</v>
      </c>
      <c r="H198" s="232"/>
      <c r="I198" s="233">
        <v>794</v>
      </c>
      <c r="J198" s="233">
        <v>37011</v>
      </c>
      <c r="K198" s="233">
        <v>2893</v>
      </c>
      <c r="L198" s="232">
        <v>3091</v>
      </c>
      <c r="M198" s="232"/>
      <c r="N198" s="233">
        <v>1480</v>
      </c>
      <c r="O198" s="233">
        <v>13661</v>
      </c>
      <c r="P198" s="233">
        <v>0</v>
      </c>
      <c r="Q198" s="232">
        <v>221</v>
      </c>
      <c r="R198" s="233">
        <f t="shared" si="2"/>
        <v>23350</v>
      </c>
      <c r="S198" s="232"/>
      <c r="T198" s="233">
        <v>11289</v>
      </c>
      <c r="U198" s="234">
        <v>930</v>
      </c>
      <c r="V198" s="234">
        <v>12219</v>
      </c>
    </row>
    <row r="199" spans="1:22">
      <c r="A199" s="227">
        <v>91871</v>
      </c>
      <c r="B199" s="228" t="s">
        <v>913</v>
      </c>
      <c r="C199" s="87">
        <v>1.2712000000000001E-3</v>
      </c>
      <c r="D199" s="87">
        <v>1.3523000000000001E-3</v>
      </c>
      <c r="E199" s="232">
        <v>508749.63</v>
      </c>
      <c r="F199" s="232">
        <v>606904</v>
      </c>
      <c r="G199" s="232">
        <v>2697912</v>
      </c>
      <c r="H199" s="232"/>
      <c r="I199" s="233">
        <v>50689</v>
      </c>
      <c r="J199" s="233">
        <v>2364231</v>
      </c>
      <c r="K199" s="233">
        <v>184783</v>
      </c>
      <c r="L199" s="232">
        <v>0</v>
      </c>
      <c r="M199" s="232"/>
      <c r="N199" s="233">
        <v>94538</v>
      </c>
      <c r="O199" s="233">
        <v>872625</v>
      </c>
      <c r="P199" s="233">
        <v>0</v>
      </c>
      <c r="Q199" s="232">
        <v>108234</v>
      </c>
      <c r="R199" s="233">
        <f t="shared" si="2"/>
        <v>1491606</v>
      </c>
      <c r="S199" s="232"/>
      <c r="T199" s="233">
        <v>721112</v>
      </c>
      <c r="U199" s="234">
        <v>-34437</v>
      </c>
      <c r="V199" s="234">
        <v>686676</v>
      </c>
    </row>
    <row r="200" spans="1:22">
      <c r="A200" s="227">
        <v>91881</v>
      </c>
      <c r="B200" s="228" t="s">
        <v>914</v>
      </c>
      <c r="C200" s="87">
        <v>1.01E-5</v>
      </c>
      <c r="D200" s="87">
        <v>2.1399999999999998E-5</v>
      </c>
      <c r="E200" s="232">
        <v>5881.13</v>
      </c>
      <c r="F200" s="232">
        <v>9604</v>
      </c>
      <c r="G200" s="232">
        <v>21436</v>
      </c>
      <c r="H200" s="232"/>
      <c r="I200" s="233">
        <v>402.73750000000001</v>
      </c>
      <c r="J200" s="233">
        <v>18784</v>
      </c>
      <c r="K200" s="233">
        <v>1468</v>
      </c>
      <c r="L200" s="232">
        <v>0</v>
      </c>
      <c r="M200" s="232"/>
      <c r="N200" s="233">
        <v>751</v>
      </c>
      <c r="O200" s="233">
        <v>6933</v>
      </c>
      <c r="P200" s="233">
        <v>0</v>
      </c>
      <c r="Q200" s="232">
        <v>14714</v>
      </c>
      <c r="R200" s="233">
        <f t="shared" si="2"/>
        <v>11851</v>
      </c>
      <c r="S200" s="232"/>
      <c r="T200" s="233">
        <v>5729</v>
      </c>
      <c r="U200" s="234">
        <v>-5904</v>
      </c>
      <c r="V200" s="234">
        <v>-175</v>
      </c>
    </row>
    <row r="201" spans="1:22">
      <c r="A201" s="227">
        <v>91901</v>
      </c>
      <c r="B201" s="228" t="s">
        <v>915</v>
      </c>
      <c r="C201" s="87">
        <v>3.6564000000000002E-3</v>
      </c>
      <c r="D201" s="87">
        <v>3.4198000000000002E-3</v>
      </c>
      <c r="E201" s="232">
        <v>1388384.1</v>
      </c>
      <c r="F201" s="232">
        <v>1534786</v>
      </c>
      <c r="G201" s="232">
        <v>7760106</v>
      </c>
      <c r="H201" s="232"/>
      <c r="I201" s="233">
        <v>145799</v>
      </c>
      <c r="J201" s="233">
        <v>6800326</v>
      </c>
      <c r="K201" s="233">
        <v>531498</v>
      </c>
      <c r="L201" s="232">
        <v>147570</v>
      </c>
      <c r="M201" s="232"/>
      <c r="N201" s="233">
        <v>271923</v>
      </c>
      <c r="O201" s="233">
        <v>2509965</v>
      </c>
      <c r="P201" s="233">
        <v>0</v>
      </c>
      <c r="Q201" s="232">
        <v>0</v>
      </c>
      <c r="R201" s="233">
        <f t="shared" ref="R201:R264" si="3">IF(J201&gt;O201,J201-O201,O201-J201)</f>
        <v>4290361</v>
      </c>
      <c r="S201" s="232"/>
      <c r="T201" s="233">
        <v>2074162</v>
      </c>
      <c r="U201" s="234">
        <v>57850</v>
      </c>
      <c r="V201" s="234">
        <v>2132013</v>
      </c>
    </row>
    <row r="202" spans="1:22">
      <c r="A202" s="227">
        <v>91903</v>
      </c>
      <c r="B202" s="228" t="s">
        <v>916</v>
      </c>
      <c r="C202" s="87">
        <v>8.3999999999999992E-6</v>
      </c>
      <c r="D202" s="87">
        <v>9.5000000000000005E-6</v>
      </c>
      <c r="E202" s="232">
        <v>4422.4000000000005</v>
      </c>
      <c r="F202" s="232">
        <v>4264</v>
      </c>
      <c r="G202" s="232">
        <v>17828</v>
      </c>
      <c r="H202" s="232"/>
      <c r="I202" s="233">
        <v>334.95</v>
      </c>
      <c r="J202" s="233">
        <v>15623</v>
      </c>
      <c r="K202" s="233">
        <v>1221</v>
      </c>
      <c r="L202" s="232">
        <v>656</v>
      </c>
      <c r="M202" s="232"/>
      <c r="N202" s="233">
        <v>625</v>
      </c>
      <c r="O202" s="233">
        <v>5766</v>
      </c>
      <c r="P202" s="233">
        <v>0</v>
      </c>
      <c r="Q202" s="232">
        <v>6052</v>
      </c>
      <c r="R202" s="233">
        <f t="shared" si="3"/>
        <v>9857</v>
      </c>
      <c r="S202" s="232"/>
      <c r="T202" s="233">
        <v>4765</v>
      </c>
      <c r="U202" s="234">
        <v>-2825</v>
      </c>
      <c r="V202" s="234">
        <v>1940</v>
      </c>
    </row>
    <row r="203" spans="1:22">
      <c r="A203" s="227">
        <v>91904</v>
      </c>
      <c r="B203" s="228" t="s">
        <v>917</v>
      </c>
      <c r="C203" s="87">
        <v>2.3300000000000001E-5</v>
      </c>
      <c r="D203" s="87">
        <v>1.1600000000000001E-5</v>
      </c>
      <c r="E203" s="232">
        <v>9195.409999999998</v>
      </c>
      <c r="F203" s="232">
        <v>5206</v>
      </c>
      <c r="G203" s="232">
        <v>49450</v>
      </c>
      <c r="H203" s="232"/>
      <c r="I203" s="233">
        <v>929.08749999999998</v>
      </c>
      <c r="J203" s="233">
        <v>43334</v>
      </c>
      <c r="K203" s="233">
        <v>3387</v>
      </c>
      <c r="L203" s="232">
        <v>9161</v>
      </c>
      <c r="M203" s="232"/>
      <c r="N203" s="233">
        <v>1733</v>
      </c>
      <c r="O203" s="233">
        <v>15994</v>
      </c>
      <c r="P203" s="233">
        <v>0</v>
      </c>
      <c r="Q203" s="232">
        <v>0</v>
      </c>
      <c r="R203" s="233">
        <f t="shared" si="3"/>
        <v>27340</v>
      </c>
      <c r="S203" s="232"/>
      <c r="T203" s="233">
        <v>13217</v>
      </c>
      <c r="U203" s="234">
        <v>3062</v>
      </c>
      <c r="V203" s="234">
        <v>16279</v>
      </c>
    </row>
    <row r="204" spans="1:22">
      <c r="A204" s="227">
        <v>91908</v>
      </c>
      <c r="B204" s="228" t="s">
        <v>918</v>
      </c>
      <c r="C204" s="87">
        <v>1.3699999999999999E-5</v>
      </c>
      <c r="D204" s="87">
        <v>1.73E-5</v>
      </c>
      <c r="E204" s="232">
        <v>3751.2</v>
      </c>
      <c r="F204" s="232">
        <v>7764</v>
      </c>
      <c r="G204" s="232">
        <v>29076</v>
      </c>
      <c r="H204" s="232"/>
      <c r="I204" s="233">
        <v>546.28750000000002</v>
      </c>
      <c r="J204" s="233">
        <v>25480</v>
      </c>
      <c r="K204" s="233">
        <v>1991</v>
      </c>
      <c r="L204" s="232">
        <v>1638</v>
      </c>
      <c r="M204" s="232"/>
      <c r="N204" s="233">
        <v>1019</v>
      </c>
      <c r="O204" s="233">
        <v>9404</v>
      </c>
      <c r="P204" s="233">
        <v>0</v>
      </c>
      <c r="Q204" s="232">
        <v>3446</v>
      </c>
      <c r="R204" s="233">
        <f t="shared" si="3"/>
        <v>16076</v>
      </c>
      <c r="S204" s="232"/>
      <c r="T204" s="233">
        <v>7772</v>
      </c>
      <c r="U204" s="234">
        <v>-83</v>
      </c>
      <c r="V204" s="234">
        <v>7689</v>
      </c>
    </row>
    <row r="205" spans="1:22">
      <c r="A205" s="227">
        <v>91911</v>
      </c>
      <c r="B205" s="228" t="s">
        <v>919</v>
      </c>
      <c r="C205" s="87">
        <v>4.639E-4</v>
      </c>
      <c r="D205" s="87">
        <v>4.4079999999999998E-4</v>
      </c>
      <c r="E205" s="232">
        <v>186806.7</v>
      </c>
      <c r="F205" s="232">
        <v>197828</v>
      </c>
      <c r="G205" s="232">
        <v>984551</v>
      </c>
      <c r="H205" s="232"/>
      <c r="I205" s="233">
        <v>18498</v>
      </c>
      <c r="J205" s="233">
        <v>862781</v>
      </c>
      <c r="K205" s="233">
        <v>67433</v>
      </c>
      <c r="L205" s="232">
        <v>9361</v>
      </c>
      <c r="M205" s="232"/>
      <c r="N205" s="233">
        <v>34500</v>
      </c>
      <c r="O205" s="233">
        <v>318448</v>
      </c>
      <c r="P205" s="233">
        <v>0</v>
      </c>
      <c r="Q205" s="232">
        <v>8482</v>
      </c>
      <c r="R205" s="233">
        <f t="shared" si="3"/>
        <v>544333</v>
      </c>
      <c r="S205" s="232"/>
      <c r="T205" s="233">
        <v>263156</v>
      </c>
      <c r="U205" s="234">
        <v>-1046</v>
      </c>
      <c r="V205" s="234">
        <v>262110</v>
      </c>
    </row>
    <row r="206" spans="1:22">
      <c r="A206" s="227">
        <v>91917</v>
      </c>
      <c r="B206" s="228" t="s">
        <v>920</v>
      </c>
      <c r="C206" s="87">
        <v>1.36E-5</v>
      </c>
      <c r="D206" s="87">
        <v>1.42E-5</v>
      </c>
      <c r="E206" s="232">
        <v>6743.42</v>
      </c>
      <c r="F206" s="232">
        <v>6373</v>
      </c>
      <c r="G206" s="232">
        <v>28864</v>
      </c>
      <c r="H206" s="232"/>
      <c r="I206" s="233">
        <v>542</v>
      </c>
      <c r="J206" s="233">
        <v>25294</v>
      </c>
      <c r="K206" s="233">
        <v>1977</v>
      </c>
      <c r="L206" s="232">
        <v>731</v>
      </c>
      <c r="M206" s="232"/>
      <c r="N206" s="233">
        <v>1011</v>
      </c>
      <c r="O206" s="233">
        <v>9336</v>
      </c>
      <c r="P206" s="233">
        <v>0</v>
      </c>
      <c r="Q206" s="232">
        <v>0</v>
      </c>
      <c r="R206" s="233">
        <f t="shared" si="3"/>
        <v>15958</v>
      </c>
      <c r="S206" s="232"/>
      <c r="T206" s="233">
        <v>7715</v>
      </c>
      <c r="U206" s="234">
        <v>203</v>
      </c>
      <c r="V206" s="234">
        <v>7918</v>
      </c>
    </row>
    <row r="207" spans="1:22">
      <c r="A207" s="227">
        <v>91921</v>
      </c>
      <c r="B207" s="228" t="s">
        <v>921</v>
      </c>
      <c r="C207" s="87">
        <v>3.6600000000000001E-4</v>
      </c>
      <c r="D207" s="87">
        <v>3.4840000000000001E-4</v>
      </c>
      <c r="E207" s="232">
        <v>136994.49</v>
      </c>
      <c r="F207" s="232">
        <v>156360</v>
      </c>
      <c r="G207" s="232">
        <v>776774.61</v>
      </c>
      <c r="H207" s="232"/>
      <c r="I207" s="233">
        <v>14594.25</v>
      </c>
      <c r="J207" s="233">
        <v>680702</v>
      </c>
      <c r="K207" s="233">
        <v>53202</v>
      </c>
      <c r="L207" s="232">
        <v>0</v>
      </c>
      <c r="M207" s="232"/>
      <c r="N207" s="233">
        <v>27219</v>
      </c>
      <c r="O207" s="233">
        <v>251244</v>
      </c>
      <c r="P207" s="233">
        <v>0</v>
      </c>
      <c r="Q207" s="232">
        <v>12578</v>
      </c>
      <c r="R207" s="233">
        <f t="shared" si="3"/>
        <v>429458</v>
      </c>
      <c r="S207" s="232"/>
      <c r="T207" s="233">
        <v>207620</v>
      </c>
      <c r="U207" s="234">
        <v>-4638</v>
      </c>
      <c r="V207" s="234">
        <v>202982</v>
      </c>
    </row>
    <row r="208" spans="1:22">
      <c r="A208" s="227">
        <v>92001</v>
      </c>
      <c r="B208" s="228" t="s">
        <v>922</v>
      </c>
      <c r="C208" s="87">
        <v>1.9604000000000002E-3</v>
      </c>
      <c r="D208" s="87">
        <v>1.7531000000000001E-3</v>
      </c>
      <c r="E208" s="232">
        <v>743048.49</v>
      </c>
      <c r="F208" s="232">
        <v>786781</v>
      </c>
      <c r="G208" s="232">
        <v>4160626</v>
      </c>
      <c r="H208" s="232"/>
      <c r="I208" s="233">
        <v>78171</v>
      </c>
      <c r="J208" s="233">
        <v>3646034</v>
      </c>
      <c r="K208" s="233">
        <v>284966</v>
      </c>
      <c r="L208" s="232">
        <v>65513</v>
      </c>
      <c r="M208" s="232"/>
      <c r="N208" s="233">
        <v>145793</v>
      </c>
      <c r="O208" s="233">
        <v>1345732</v>
      </c>
      <c r="P208" s="233">
        <v>0</v>
      </c>
      <c r="Q208" s="232">
        <v>52440.480000000003</v>
      </c>
      <c r="R208" s="233">
        <f t="shared" si="3"/>
        <v>2300302</v>
      </c>
      <c r="S208" s="232"/>
      <c r="T208" s="233">
        <v>1112074</v>
      </c>
      <c r="U208" s="234">
        <v>-9057</v>
      </c>
      <c r="V208" s="234">
        <v>1103017</v>
      </c>
    </row>
    <row r="209" spans="1:22">
      <c r="A209" s="227">
        <v>92005</v>
      </c>
      <c r="B209" s="228" t="s">
        <v>923</v>
      </c>
      <c r="C209" s="87">
        <v>4.6499999999999999E-5</v>
      </c>
      <c r="D209" s="87">
        <v>4.5800000000000002E-5</v>
      </c>
      <c r="E209" s="232">
        <v>20891.13</v>
      </c>
      <c r="F209" s="232">
        <v>20555</v>
      </c>
      <c r="G209" s="232">
        <v>98689</v>
      </c>
      <c r="H209" s="232"/>
      <c r="I209" s="233">
        <v>1854.1875</v>
      </c>
      <c r="J209" s="233">
        <v>86483</v>
      </c>
      <c r="K209" s="233">
        <v>6759</v>
      </c>
      <c r="L209" s="232">
        <v>2627</v>
      </c>
      <c r="M209" s="232"/>
      <c r="N209" s="233">
        <v>3458</v>
      </c>
      <c r="O209" s="233">
        <v>31920</v>
      </c>
      <c r="P209" s="233">
        <v>0</v>
      </c>
      <c r="Q209" s="232">
        <v>597</v>
      </c>
      <c r="R209" s="233">
        <f t="shared" si="3"/>
        <v>54563</v>
      </c>
      <c r="S209" s="232"/>
      <c r="T209" s="233">
        <v>26378</v>
      </c>
      <c r="U209" s="234">
        <v>674</v>
      </c>
      <c r="V209" s="234">
        <v>27053</v>
      </c>
    </row>
    <row r="210" spans="1:22">
      <c r="A210" s="227">
        <v>92011</v>
      </c>
      <c r="B210" s="228" t="s">
        <v>924</v>
      </c>
      <c r="C210" s="87">
        <v>1.8660000000000001E-4</v>
      </c>
      <c r="D210" s="87">
        <v>1.8230000000000001E-4</v>
      </c>
      <c r="E210" s="232">
        <v>77715.649999999994</v>
      </c>
      <c r="F210" s="232">
        <v>81815</v>
      </c>
      <c r="G210" s="232">
        <v>396028</v>
      </c>
      <c r="H210" s="232"/>
      <c r="I210" s="233">
        <v>7441</v>
      </c>
      <c r="J210" s="233">
        <v>347047</v>
      </c>
      <c r="K210" s="233">
        <v>27124</v>
      </c>
      <c r="L210" s="232">
        <v>17408</v>
      </c>
      <c r="M210" s="232"/>
      <c r="N210" s="233">
        <v>13877</v>
      </c>
      <c r="O210" s="233">
        <v>128093</v>
      </c>
      <c r="P210" s="233">
        <v>0</v>
      </c>
      <c r="Q210" s="232">
        <v>0</v>
      </c>
      <c r="R210" s="233">
        <f t="shared" si="3"/>
        <v>218954</v>
      </c>
      <c r="S210" s="232"/>
      <c r="T210" s="233">
        <v>105852</v>
      </c>
      <c r="U210" s="234">
        <v>7783</v>
      </c>
      <c r="V210" s="234">
        <v>113635</v>
      </c>
    </row>
    <row r="211" spans="1:22">
      <c r="A211" s="227">
        <v>92017</v>
      </c>
      <c r="B211" s="228" t="s">
        <v>925</v>
      </c>
      <c r="C211" s="87">
        <v>3.5099999999999999E-5</v>
      </c>
      <c r="D211" s="87">
        <v>3.7100000000000001E-5</v>
      </c>
      <c r="E211" s="232">
        <v>14855.15</v>
      </c>
      <c r="F211" s="232">
        <v>16650</v>
      </c>
      <c r="G211" s="232">
        <v>74494</v>
      </c>
      <c r="H211" s="232"/>
      <c r="I211" s="233">
        <v>1400</v>
      </c>
      <c r="J211" s="233">
        <v>65280</v>
      </c>
      <c r="K211" s="233">
        <v>5102</v>
      </c>
      <c r="L211" s="232">
        <v>388</v>
      </c>
      <c r="M211" s="232"/>
      <c r="N211" s="233">
        <v>2610</v>
      </c>
      <c r="O211" s="233">
        <v>24095</v>
      </c>
      <c r="P211" s="233">
        <v>0</v>
      </c>
      <c r="Q211" s="232">
        <v>2160</v>
      </c>
      <c r="R211" s="233">
        <f t="shared" si="3"/>
        <v>41185</v>
      </c>
      <c r="S211" s="232"/>
      <c r="T211" s="233">
        <v>19911</v>
      </c>
      <c r="U211" s="234">
        <v>-766</v>
      </c>
      <c r="V211" s="234">
        <v>19146</v>
      </c>
    </row>
    <row r="212" spans="1:22">
      <c r="A212" s="227">
        <v>92021</v>
      </c>
      <c r="B212" s="228" t="s">
        <v>926</v>
      </c>
      <c r="C212" s="87">
        <v>1.4249999999999999E-4</v>
      </c>
      <c r="D212" s="87">
        <v>9.8999999999999994E-5</v>
      </c>
      <c r="E212" s="232">
        <v>63076.850000000006</v>
      </c>
      <c r="F212" s="232">
        <v>44431</v>
      </c>
      <c r="G212" s="232">
        <v>302433</v>
      </c>
      <c r="H212" s="232"/>
      <c r="I212" s="233">
        <v>5682.1875</v>
      </c>
      <c r="J212" s="233">
        <v>265027</v>
      </c>
      <c r="K212" s="233">
        <v>20714</v>
      </c>
      <c r="L212" s="232">
        <v>27119</v>
      </c>
      <c r="M212" s="232"/>
      <c r="N212" s="233">
        <v>10598</v>
      </c>
      <c r="O212" s="233">
        <v>97820</v>
      </c>
      <c r="P212" s="233">
        <v>0</v>
      </c>
      <c r="Q212" s="232">
        <v>18999</v>
      </c>
      <c r="R212" s="233">
        <f t="shared" si="3"/>
        <v>167207</v>
      </c>
      <c r="S212" s="232"/>
      <c r="T212" s="233">
        <v>80836</v>
      </c>
      <c r="U212" s="234">
        <v>-831</v>
      </c>
      <c r="V212" s="234">
        <v>80004</v>
      </c>
    </row>
    <row r="213" spans="1:22">
      <c r="A213" s="227">
        <v>92101</v>
      </c>
      <c r="B213" s="228" t="s">
        <v>927</v>
      </c>
      <c r="C213" s="87">
        <v>8.6870000000000003E-4</v>
      </c>
      <c r="D213" s="87">
        <v>9.1750000000000002E-4</v>
      </c>
      <c r="E213" s="232">
        <v>332881.28999999998</v>
      </c>
      <c r="F213" s="232">
        <v>411768</v>
      </c>
      <c r="G213" s="232">
        <v>1843672</v>
      </c>
      <c r="H213" s="232"/>
      <c r="I213" s="233">
        <v>34639</v>
      </c>
      <c r="J213" s="233">
        <v>1615645</v>
      </c>
      <c r="K213" s="233">
        <v>126275</v>
      </c>
      <c r="L213" s="232">
        <v>18519</v>
      </c>
      <c r="M213" s="232"/>
      <c r="N213" s="233">
        <v>64604</v>
      </c>
      <c r="O213" s="233">
        <v>596326</v>
      </c>
      <c r="P213" s="233">
        <v>0</v>
      </c>
      <c r="Q213" s="232">
        <v>45788</v>
      </c>
      <c r="R213" s="233">
        <f t="shared" si="3"/>
        <v>1019319</v>
      </c>
      <c r="S213" s="232"/>
      <c r="T213" s="233">
        <v>492787</v>
      </c>
      <c r="U213" s="234">
        <v>-2848</v>
      </c>
      <c r="V213" s="234">
        <v>489939</v>
      </c>
    </row>
    <row r="214" spans="1:22">
      <c r="A214" s="227">
        <v>92104</v>
      </c>
      <c r="B214" s="228" t="s">
        <v>928</v>
      </c>
      <c r="C214" s="87">
        <v>8.8000000000000004E-6</v>
      </c>
      <c r="D214" s="87">
        <v>8.1000000000000004E-6</v>
      </c>
      <c r="E214" s="232">
        <v>4595.5199999999995</v>
      </c>
      <c r="F214" s="232">
        <v>3635</v>
      </c>
      <c r="G214" s="232">
        <v>18677</v>
      </c>
      <c r="H214" s="232"/>
      <c r="I214" s="233">
        <v>351</v>
      </c>
      <c r="J214" s="233">
        <v>16367</v>
      </c>
      <c r="K214" s="233">
        <v>1279</v>
      </c>
      <c r="L214" s="232">
        <v>4163</v>
      </c>
      <c r="M214" s="232"/>
      <c r="N214" s="233">
        <v>654</v>
      </c>
      <c r="O214" s="233">
        <v>6041</v>
      </c>
      <c r="P214" s="233">
        <v>0</v>
      </c>
      <c r="Q214" s="232">
        <v>0</v>
      </c>
      <c r="R214" s="233">
        <f t="shared" si="3"/>
        <v>10326</v>
      </c>
      <c r="S214" s="232"/>
      <c r="T214" s="233">
        <v>4992</v>
      </c>
      <c r="U214" s="234">
        <v>1637</v>
      </c>
      <c r="V214" s="234">
        <v>6629</v>
      </c>
    </row>
    <row r="215" spans="1:22">
      <c r="A215" s="227">
        <v>92109</v>
      </c>
      <c r="B215" s="228" t="s">
        <v>929</v>
      </c>
      <c r="C215" s="87">
        <v>1.7909999999999999E-4</v>
      </c>
      <c r="D215" s="87">
        <v>1.7310000000000001E-4</v>
      </c>
      <c r="E215" s="232">
        <v>70342.320000000007</v>
      </c>
      <c r="F215" s="232">
        <v>77686</v>
      </c>
      <c r="G215" s="232">
        <v>380110</v>
      </c>
      <c r="H215" s="232"/>
      <c r="I215" s="233">
        <v>7142</v>
      </c>
      <c r="J215" s="233">
        <v>333098</v>
      </c>
      <c r="K215" s="233">
        <v>26034</v>
      </c>
      <c r="L215" s="232">
        <v>3189</v>
      </c>
      <c r="M215" s="232"/>
      <c r="N215" s="233">
        <v>13319</v>
      </c>
      <c r="O215" s="233">
        <v>122945</v>
      </c>
      <c r="P215" s="233">
        <v>0</v>
      </c>
      <c r="Q215" s="232">
        <v>19542</v>
      </c>
      <c r="R215" s="233">
        <f t="shared" si="3"/>
        <v>210153</v>
      </c>
      <c r="S215" s="232"/>
      <c r="T215" s="233">
        <v>101598</v>
      </c>
      <c r="U215" s="234">
        <v>-5478</v>
      </c>
      <c r="V215" s="234">
        <v>96120</v>
      </c>
    </row>
    <row r="216" spans="1:22">
      <c r="A216" s="227">
        <v>92111</v>
      </c>
      <c r="B216" s="228" t="s">
        <v>930</v>
      </c>
      <c r="C216" s="87">
        <v>5.0009999999999996E-4</v>
      </c>
      <c r="D216" s="87">
        <v>5.3319999999999995E-4</v>
      </c>
      <c r="E216" s="232">
        <v>205690.42</v>
      </c>
      <c r="F216" s="232">
        <v>239297</v>
      </c>
      <c r="G216" s="232">
        <v>1061380</v>
      </c>
      <c r="H216" s="232"/>
      <c r="I216" s="233">
        <v>19941</v>
      </c>
      <c r="J216" s="233">
        <v>930107</v>
      </c>
      <c r="K216" s="233">
        <v>72695</v>
      </c>
      <c r="L216" s="232">
        <v>14524</v>
      </c>
      <c r="M216" s="232"/>
      <c r="N216" s="233">
        <v>37192</v>
      </c>
      <c r="O216" s="233">
        <v>343298</v>
      </c>
      <c r="P216" s="233">
        <v>0</v>
      </c>
      <c r="Q216" s="232">
        <v>17909</v>
      </c>
      <c r="R216" s="233">
        <f t="shared" si="3"/>
        <v>586809</v>
      </c>
      <c r="S216" s="232"/>
      <c r="T216" s="233">
        <v>283691</v>
      </c>
      <c r="U216" s="234">
        <v>1816</v>
      </c>
      <c r="V216" s="234">
        <v>285507</v>
      </c>
    </row>
    <row r="217" spans="1:22">
      <c r="A217" s="227">
        <v>92113</v>
      </c>
      <c r="B217" s="228" t="s">
        <v>931</v>
      </c>
      <c r="C217" s="87">
        <v>2.2099999999999998E-5</v>
      </c>
      <c r="D217" s="87">
        <v>2.2900000000000001E-5</v>
      </c>
      <c r="E217" s="232">
        <v>27799.939999999995</v>
      </c>
      <c r="F217" s="232">
        <v>10277</v>
      </c>
      <c r="G217" s="232">
        <v>46904</v>
      </c>
      <c r="H217" s="232"/>
      <c r="I217" s="233">
        <v>881.23749999999995</v>
      </c>
      <c r="J217" s="233">
        <v>41103</v>
      </c>
      <c r="K217" s="233">
        <v>3212</v>
      </c>
      <c r="L217" s="232">
        <v>25322</v>
      </c>
      <c r="M217" s="232"/>
      <c r="N217" s="233">
        <v>1644</v>
      </c>
      <c r="O217" s="233">
        <v>15171</v>
      </c>
      <c r="P217" s="233">
        <v>0</v>
      </c>
      <c r="Q217" s="232">
        <v>0</v>
      </c>
      <c r="R217" s="233">
        <f t="shared" si="3"/>
        <v>25932</v>
      </c>
      <c r="S217" s="232"/>
      <c r="T217" s="233">
        <v>12537</v>
      </c>
      <c r="U217" s="234">
        <v>7718</v>
      </c>
      <c r="V217" s="234">
        <v>20255</v>
      </c>
    </row>
    <row r="218" spans="1:22">
      <c r="A218" s="227">
        <v>92201</v>
      </c>
      <c r="B218" s="228" t="s">
        <v>932</v>
      </c>
      <c r="C218" s="87">
        <v>1.0267E-3</v>
      </c>
      <c r="D218" s="87">
        <v>9.8930000000000003E-4</v>
      </c>
      <c r="E218" s="232">
        <v>411544.93999999994</v>
      </c>
      <c r="F218" s="232">
        <v>443992</v>
      </c>
      <c r="G218" s="232">
        <v>2179001</v>
      </c>
      <c r="H218" s="232"/>
      <c r="I218" s="233">
        <v>40940</v>
      </c>
      <c r="J218" s="233">
        <v>1909500</v>
      </c>
      <c r="K218" s="233">
        <v>149242</v>
      </c>
      <c r="L218" s="232">
        <v>60698</v>
      </c>
      <c r="M218" s="232"/>
      <c r="N218" s="233">
        <v>76355</v>
      </c>
      <c r="O218" s="233">
        <v>704786</v>
      </c>
      <c r="P218" s="233">
        <v>0</v>
      </c>
      <c r="Q218" s="232">
        <v>0</v>
      </c>
      <c r="R218" s="233">
        <f t="shared" si="3"/>
        <v>1204714</v>
      </c>
      <c r="S218" s="232"/>
      <c r="T218" s="233">
        <v>582415</v>
      </c>
      <c r="U218" s="234">
        <v>23895</v>
      </c>
      <c r="V218" s="234">
        <v>606310</v>
      </c>
    </row>
    <row r="219" spans="1:22">
      <c r="A219" s="227">
        <v>92301</v>
      </c>
      <c r="B219" s="228" t="s">
        <v>933</v>
      </c>
      <c r="C219" s="87">
        <v>5.2411000000000003E-3</v>
      </c>
      <c r="D219" s="87">
        <v>5.0804999999999999E-3</v>
      </c>
      <c r="E219" s="232">
        <v>2094643.33</v>
      </c>
      <c r="F219" s="232">
        <v>2280098</v>
      </c>
      <c r="G219" s="232">
        <v>11123370</v>
      </c>
      <c r="H219" s="232"/>
      <c r="I219" s="233">
        <v>208989</v>
      </c>
      <c r="J219" s="233">
        <v>9747618</v>
      </c>
      <c r="K219" s="233">
        <v>761852</v>
      </c>
      <c r="L219" s="232">
        <v>77417</v>
      </c>
      <c r="M219" s="232"/>
      <c r="N219" s="233">
        <v>389775</v>
      </c>
      <c r="O219" s="233">
        <v>3597795</v>
      </c>
      <c r="P219" s="233">
        <v>0</v>
      </c>
      <c r="Q219" s="232">
        <v>16658.29</v>
      </c>
      <c r="R219" s="233">
        <f t="shared" si="3"/>
        <v>6149823</v>
      </c>
      <c r="S219" s="232"/>
      <c r="T219" s="233">
        <v>2973114</v>
      </c>
      <c r="U219" s="234">
        <v>15378</v>
      </c>
      <c r="V219" s="234">
        <v>2988491</v>
      </c>
    </row>
    <row r="220" spans="1:22">
      <c r="A220" s="227">
        <v>92302</v>
      </c>
      <c r="B220" s="228" t="s">
        <v>1940</v>
      </c>
      <c r="C220" s="87">
        <v>3.168E-4</v>
      </c>
      <c r="D220" s="87">
        <v>2.9910000000000001E-4</v>
      </c>
      <c r="E220" s="232">
        <v>116637.46000000002</v>
      </c>
      <c r="F220" s="232">
        <v>134234</v>
      </c>
      <c r="G220" s="232">
        <v>672356</v>
      </c>
      <c r="H220" s="232"/>
      <c r="I220" s="233">
        <v>12632.4</v>
      </c>
      <c r="J220" s="233">
        <v>589198</v>
      </c>
      <c r="K220" s="233">
        <v>46050</v>
      </c>
      <c r="L220" s="232">
        <v>0</v>
      </c>
      <c r="M220" s="232"/>
      <c r="N220" s="233">
        <v>23560</v>
      </c>
      <c r="O220" s="233">
        <v>217470</v>
      </c>
      <c r="P220" s="233">
        <v>0</v>
      </c>
      <c r="Q220" s="232">
        <v>9658</v>
      </c>
      <c r="R220" s="233">
        <f t="shared" si="3"/>
        <v>371728</v>
      </c>
      <c r="S220" s="232"/>
      <c r="T220" s="233">
        <v>179711</v>
      </c>
      <c r="U220" s="234">
        <v>-3995</v>
      </c>
      <c r="V220" s="234">
        <v>175716</v>
      </c>
    </row>
    <row r="221" spans="1:22">
      <c r="A221" s="227">
        <v>92311</v>
      </c>
      <c r="B221" s="228" t="s">
        <v>935</v>
      </c>
      <c r="C221" s="87">
        <v>2.1857000000000001E-3</v>
      </c>
      <c r="D221" s="87">
        <v>2.1316E-3</v>
      </c>
      <c r="E221" s="232">
        <v>841005.71</v>
      </c>
      <c r="F221" s="232">
        <v>956649</v>
      </c>
      <c r="G221" s="232">
        <v>4638788</v>
      </c>
      <c r="H221" s="232"/>
      <c r="I221" s="233">
        <v>87155</v>
      </c>
      <c r="J221" s="233">
        <v>4065057</v>
      </c>
      <c r="K221" s="233">
        <v>317716</v>
      </c>
      <c r="L221" s="232">
        <v>0</v>
      </c>
      <c r="M221" s="232"/>
      <c r="N221" s="233">
        <v>162548</v>
      </c>
      <c r="O221" s="233">
        <v>1500391</v>
      </c>
      <c r="P221" s="233">
        <v>0</v>
      </c>
      <c r="Q221" s="232">
        <v>92864</v>
      </c>
      <c r="R221" s="233">
        <f t="shared" si="3"/>
        <v>2564666</v>
      </c>
      <c r="S221" s="232"/>
      <c r="T221" s="233">
        <v>1239880</v>
      </c>
      <c r="U221" s="234">
        <v>-38618</v>
      </c>
      <c r="V221" s="234">
        <v>1201261</v>
      </c>
    </row>
    <row r="222" spans="1:22">
      <c r="A222" s="227">
        <v>92317</v>
      </c>
      <c r="B222" s="228" t="s">
        <v>936</v>
      </c>
      <c r="C222" s="87">
        <v>2.9600000000000001E-5</v>
      </c>
      <c r="D222" s="87">
        <v>3.3300000000000003E-5</v>
      </c>
      <c r="E222" s="232">
        <v>20481.990000000002</v>
      </c>
      <c r="F222" s="232">
        <v>14945</v>
      </c>
      <c r="G222" s="232">
        <v>62821</v>
      </c>
      <c r="H222" s="232"/>
      <c r="I222" s="233">
        <v>1180.3</v>
      </c>
      <c r="J222" s="233">
        <v>55051</v>
      </c>
      <c r="K222" s="233">
        <v>4303</v>
      </c>
      <c r="L222" s="232">
        <v>12749</v>
      </c>
      <c r="M222" s="232"/>
      <c r="N222" s="233">
        <v>2201</v>
      </c>
      <c r="O222" s="233">
        <v>20319</v>
      </c>
      <c r="P222" s="233">
        <v>0</v>
      </c>
      <c r="Q222" s="232">
        <v>0</v>
      </c>
      <c r="R222" s="233">
        <f t="shared" si="3"/>
        <v>34732</v>
      </c>
      <c r="S222" s="232"/>
      <c r="T222" s="233">
        <v>16791</v>
      </c>
      <c r="U222" s="234">
        <v>4401</v>
      </c>
      <c r="V222" s="234">
        <v>21192</v>
      </c>
    </row>
    <row r="223" spans="1:22">
      <c r="A223" s="227">
        <v>92321</v>
      </c>
      <c r="B223" s="228" t="s">
        <v>937</v>
      </c>
      <c r="C223" s="87">
        <v>1.2218999999999999E-3</v>
      </c>
      <c r="D223" s="87">
        <v>1.1936E-3</v>
      </c>
      <c r="E223" s="232">
        <v>481504.52</v>
      </c>
      <c r="F223" s="232">
        <v>535681</v>
      </c>
      <c r="G223" s="232">
        <v>2593281</v>
      </c>
      <c r="H223" s="232"/>
      <c r="I223" s="233">
        <v>48723</v>
      </c>
      <c r="J223" s="233">
        <v>2272541</v>
      </c>
      <c r="K223" s="233">
        <v>177617</v>
      </c>
      <c r="L223" s="232">
        <v>61228</v>
      </c>
      <c r="M223" s="232"/>
      <c r="N223" s="233">
        <v>90871</v>
      </c>
      <c r="O223" s="233">
        <v>838783</v>
      </c>
      <c r="P223" s="233">
        <v>0</v>
      </c>
      <c r="Q223" s="232">
        <v>1343</v>
      </c>
      <c r="R223" s="233">
        <f t="shared" si="3"/>
        <v>1433758</v>
      </c>
      <c r="S223" s="232"/>
      <c r="T223" s="233">
        <v>693146</v>
      </c>
      <c r="U223" s="234">
        <v>25416</v>
      </c>
      <c r="V223" s="234">
        <v>718562</v>
      </c>
    </row>
    <row r="224" spans="1:22">
      <c r="A224" s="227">
        <v>92327</v>
      </c>
      <c r="B224" s="228" t="s">
        <v>938</v>
      </c>
      <c r="C224" s="87">
        <v>7.6000000000000001E-6</v>
      </c>
      <c r="D224" s="87">
        <v>7.7999999999999999E-6</v>
      </c>
      <c r="E224" s="232">
        <v>5004.42</v>
      </c>
      <c r="F224" s="232">
        <v>3501</v>
      </c>
      <c r="G224" s="232">
        <v>16130</v>
      </c>
      <c r="H224" s="232"/>
      <c r="I224" s="233">
        <v>303.05</v>
      </c>
      <c r="J224" s="233">
        <v>14135</v>
      </c>
      <c r="K224" s="233">
        <v>1105</v>
      </c>
      <c r="L224" s="232">
        <v>2630</v>
      </c>
      <c r="M224" s="232"/>
      <c r="N224" s="233">
        <v>565</v>
      </c>
      <c r="O224" s="233">
        <v>5217</v>
      </c>
      <c r="P224" s="233">
        <v>0</v>
      </c>
      <c r="Q224" s="232">
        <v>0</v>
      </c>
      <c r="R224" s="233">
        <f t="shared" si="3"/>
        <v>8918</v>
      </c>
      <c r="S224" s="232"/>
      <c r="T224" s="233">
        <v>4311</v>
      </c>
      <c r="U224" s="234">
        <v>853</v>
      </c>
      <c r="V224" s="234">
        <v>5165</v>
      </c>
    </row>
    <row r="225" spans="1:22">
      <c r="A225" s="227">
        <v>92331</v>
      </c>
      <c r="B225" s="228" t="s">
        <v>939</v>
      </c>
      <c r="C225" s="87">
        <v>1.393E-4</v>
      </c>
      <c r="D225" s="87">
        <v>1.4789999999999999E-4</v>
      </c>
      <c r="E225" s="232">
        <v>54278.720000000001</v>
      </c>
      <c r="F225" s="232">
        <v>66377</v>
      </c>
      <c r="G225" s="232">
        <v>295641</v>
      </c>
      <c r="H225" s="232"/>
      <c r="I225" s="233">
        <v>5555</v>
      </c>
      <c r="J225" s="233">
        <v>259076</v>
      </c>
      <c r="K225" s="233">
        <v>20249</v>
      </c>
      <c r="L225" s="232">
        <v>3725</v>
      </c>
      <c r="M225" s="232"/>
      <c r="N225" s="233">
        <v>10360</v>
      </c>
      <c r="O225" s="233">
        <v>95624</v>
      </c>
      <c r="P225" s="233">
        <v>0</v>
      </c>
      <c r="Q225" s="232">
        <v>7047</v>
      </c>
      <c r="R225" s="233">
        <f t="shared" si="3"/>
        <v>163452</v>
      </c>
      <c r="S225" s="232"/>
      <c r="T225" s="233">
        <v>79021</v>
      </c>
      <c r="U225" s="234">
        <v>-171</v>
      </c>
      <c r="V225" s="234">
        <v>78850</v>
      </c>
    </row>
    <row r="226" spans="1:22">
      <c r="A226" s="227">
        <v>92341</v>
      </c>
      <c r="B226" s="228" t="s">
        <v>940</v>
      </c>
      <c r="C226" s="87">
        <v>7.9000000000000006E-6</v>
      </c>
      <c r="D226" s="87">
        <v>6.3999999999999997E-6</v>
      </c>
      <c r="E226" s="232">
        <v>2572.1800000000003</v>
      </c>
      <c r="F226" s="232">
        <v>2872</v>
      </c>
      <c r="G226" s="232">
        <v>16766</v>
      </c>
      <c r="H226" s="232"/>
      <c r="I226" s="233">
        <v>315</v>
      </c>
      <c r="J226" s="233">
        <v>14693</v>
      </c>
      <c r="K226" s="233">
        <v>1148</v>
      </c>
      <c r="L226" s="232">
        <v>478</v>
      </c>
      <c r="M226" s="232"/>
      <c r="N226" s="233">
        <v>588</v>
      </c>
      <c r="O226" s="233">
        <v>5423</v>
      </c>
      <c r="P226" s="233">
        <v>0</v>
      </c>
      <c r="Q226" s="232">
        <v>3063</v>
      </c>
      <c r="R226" s="233">
        <f t="shared" si="3"/>
        <v>9270</v>
      </c>
      <c r="S226" s="232"/>
      <c r="T226" s="233">
        <v>4481</v>
      </c>
      <c r="U226" s="234">
        <v>-913</v>
      </c>
      <c r="V226" s="234">
        <v>3568</v>
      </c>
    </row>
    <row r="227" spans="1:22">
      <c r="A227" s="227">
        <v>92351</v>
      </c>
      <c r="B227" s="228" t="s">
        <v>941</v>
      </c>
      <c r="C227" s="87">
        <v>1.95E-5</v>
      </c>
      <c r="D227" s="87">
        <v>2.8399999999999999E-5</v>
      </c>
      <c r="E227" s="232">
        <v>8511.8499999999985</v>
      </c>
      <c r="F227" s="232">
        <v>12746</v>
      </c>
      <c r="G227" s="232">
        <v>41386</v>
      </c>
      <c r="H227" s="232"/>
      <c r="I227" s="233">
        <v>777.5625</v>
      </c>
      <c r="J227" s="233">
        <v>36267</v>
      </c>
      <c r="K227" s="233">
        <v>2835</v>
      </c>
      <c r="L227" s="232">
        <v>1156.19</v>
      </c>
      <c r="M227" s="232"/>
      <c r="N227" s="233">
        <v>1450</v>
      </c>
      <c r="O227" s="233">
        <v>13386</v>
      </c>
      <c r="P227" s="233">
        <v>0</v>
      </c>
      <c r="Q227" s="232">
        <v>5799</v>
      </c>
      <c r="R227" s="233">
        <f t="shared" si="3"/>
        <v>22881</v>
      </c>
      <c r="S227" s="232"/>
      <c r="T227" s="233">
        <v>11062</v>
      </c>
      <c r="U227" s="234">
        <v>-1052</v>
      </c>
      <c r="V227" s="234">
        <v>10010</v>
      </c>
    </row>
    <row r="228" spans="1:22">
      <c r="A228" s="227">
        <v>92401</v>
      </c>
      <c r="B228" s="228" t="s">
        <v>942</v>
      </c>
      <c r="C228" s="87">
        <v>2.7449000000000002E-3</v>
      </c>
      <c r="D228" s="87">
        <v>2.7921999999999999E-3</v>
      </c>
      <c r="E228" s="232">
        <v>1162718.6200000001</v>
      </c>
      <c r="F228" s="232">
        <v>1253123</v>
      </c>
      <c r="G228" s="232">
        <v>5825597</v>
      </c>
      <c r="H228" s="232"/>
      <c r="I228" s="233">
        <v>109453</v>
      </c>
      <c r="J228" s="233">
        <v>5105080</v>
      </c>
      <c r="K228" s="233">
        <v>399001</v>
      </c>
      <c r="L228" s="232">
        <v>33227</v>
      </c>
      <c r="M228" s="232"/>
      <c r="N228" s="233">
        <v>204135</v>
      </c>
      <c r="O228" s="233">
        <v>1884259</v>
      </c>
      <c r="P228" s="233">
        <v>0</v>
      </c>
      <c r="Q228" s="232">
        <v>5343</v>
      </c>
      <c r="R228" s="233">
        <f t="shared" si="3"/>
        <v>3220821</v>
      </c>
      <c r="S228" s="232"/>
      <c r="T228" s="233">
        <v>1557097</v>
      </c>
      <c r="U228" s="234">
        <v>14486</v>
      </c>
      <c r="V228" s="234">
        <v>1571583</v>
      </c>
    </row>
    <row r="229" spans="1:22">
      <c r="A229" s="227">
        <v>92403</v>
      </c>
      <c r="B229" s="228" t="s">
        <v>943</v>
      </c>
      <c r="C229" s="87">
        <v>9.7999999999999993E-6</v>
      </c>
      <c r="D229" s="87">
        <v>1.59E-5</v>
      </c>
      <c r="E229" s="232">
        <v>5969.3199999999988</v>
      </c>
      <c r="F229" s="232">
        <v>7136</v>
      </c>
      <c r="G229" s="232">
        <v>20799</v>
      </c>
      <c r="H229" s="232"/>
      <c r="I229" s="233">
        <v>390.77499999999998</v>
      </c>
      <c r="J229" s="233">
        <v>18226</v>
      </c>
      <c r="K229" s="233">
        <v>1425</v>
      </c>
      <c r="L229" s="232">
        <v>564</v>
      </c>
      <c r="M229" s="232"/>
      <c r="N229" s="233">
        <v>729</v>
      </c>
      <c r="O229" s="233">
        <v>6727</v>
      </c>
      <c r="P229" s="233">
        <v>0</v>
      </c>
      <c r="Q229" s="232">
        <v>1764</v>
      </c>
      <c r="R229" s="233">
        <f t="shared" si="3"/>
        <v>11499</v>
      </c>
      <c r="S229" s="232"/>
      <c r="T229" s="233">
        <v>5559</v>
      </c>
      <c r="U229" s="234">
        <v>-243</v>
      </c>
      <c r="V229" s="234">
        <v>5317</v>
      </c>
    </row>
    <row r="230" spans="1:22">
      <c r="A230" s="227">
        <v>92411</v>
      </c>
      <c r="B230" s="228" t="s">
        <v>944</v>
      </c>
      <c r="C230" s="87">
        <v>4.8030000000000002E-4</v>
      </c>
      <c r="D230" s="87">
        <v>5.2820000000000005E-4</v>
      </c>
      <c r="E230" s="232">
        <v>173749.71</v>
      </c>
      <c r="F230" s="232">
        <v>237053</v>
      </c>
      <c r="G230" s="232">
        <v>1019358</v>
      </c>
      <c r="H230" s="232"/>
      <c r="I230" s="233">
        <v>19152</v>
      </c>
      <c r="J230" s="233">
        <v>893282</v>
      </c>
      <c r="K230" s="233">
        <v>69817</v>
      </c>
      <c r="L230" s="232">
        <v>572</v>
      </c>
      <c r="M230" s="232"/>
      <c r="N230" s="233">
        <v>35719</v>
      </c>
      <c r="O230" s="233">
        <v>329706</v>
      </c>
      <c r="P230" s="233">
        <v>0</v>
      </c>
      <c r="Q230" s="232">
        <v>54750</v>
      </c>
      <c r="R230" s="233">
        <f t="shared" si="3"/>
        <v>563576</v>
      </c>
      <c r="S230" s="232"/>
      <c r="T230" s="233">
        <v>272459</v>
      </c>
      <c r="U230" s="234">
        <v>-16396</v>
      </c>
      <c r="V230" s="234">
        <v>256063</v>
      </c>
    </row>
    <row r="231" spans="1:22">
      <c r="A231" s="227">
        <v>92414</v>
      </c>
      <c r="B231" s="228" t="s">
        <v>70</v>
      </c>
      <c r="C231" s="87">
        <v>0</v>
      </c>
      <c r="D231" s="87">
        <v>9.7999999999999993E-6</v>
      </c>
      <c r="E231" s="232">
        <v>0</v>
      </c>
      <c r="F231" s="232">
        <v>4398</v>
      </c>
      <c r="G231" s="232">
        <v>0</v>
      </c>
      <c r="H231" s="232"/>
      <c r="I231" s="233">
        <v>0</v>
      </c>
      <c r="J231" s="233">
        <v>0</v>
      </c>
      <c r="K231" s="233">
        <v>0</v>
      </c>
      <c r="L231" s="232">
        <v>0</v>
      </c>
      <c r="M231" s="232"/>
      <c r="N231" s="233">
        <v>0</v>
      </c>
      <c r="O231" s="233">
        <v>0</v>
      </c>
      <c r="P231" s="233">
        <v>0</v>
      </c>
      <c r="Q231" s="232">
        <v>8157</v>
      </c>
      <c r="R231" s="233">
        <f t="shared" si="3"/>
        <v>0</v>
      </c>
      <c r="S231" s="232"/>
      <c r="T231" s="233">
        <v>0</v>
      </c>
      <c r="U231" s="234">
        <v>-2445</v>
      </c>
      <c r="V231" s="234">
        <v>-2445</v>
      </c>
    </row>
    <row r="232" spans="1:22">
      <c r="A232" s="227">
        <v>92417</v>
      </c>
      <c r="B232" s="228" t="s">
        <v>945</v>
      </c>
      <c r="C232" s="87">
        <v>1.77E-5</v>
      </c>
      <c r="D232" s="87">
        <v>1.6699999999999999E-5</v>
      </c>
      <c r="E232" s="232">
        <v>5354.85</v>
      </c>
      <c r="F232" s="232">
        <v>7495</v>
      </c>
      <c r="G232" s="232">
        <v>37565</v>
      </c>
      <c r="H232" s="232"/>
      <c r="I232" s="233">
        <v>705.78750000000002</v>
      </c>
      <c r="J232" s="233">
        <v>32919</v>
      </c>
      <c r="K232" s="233">
        <v>2573</v>
      </c>
      <c r="L232" s="232">
        <v>0</v>
      </c>
      <c r="M232" s="232"/>
      <c r="N232" s="233">
        <v>1316</v>
      </c>
      <c r="O232" s="233">
        <v>12150</v>
      </c>
      <c r="P232" s="233">
        <v>0</v>
      </c>
      <c r="Q232" s="232">
        <v>1694</v>
      </c>
      <c r="R232" s="233">
        <f t="shared" si="3"/>
        <v>20769</v>
      </c>
      <c r="S232" s="232"/>
      <c r="T232" s="233">
        <v>10041</v>
      </c>
      <c r="U232" s="234">
        <v>-509</v>
      </c>
      <c r="V232" s="234">
        <v>9531</v>
      </c>
    </row>
    <row r="233" spans="1:22">
      <c r="A233" s="227">
        <v>92421</v>
      </c>
      <c r="B233" s="228" t="s">
        <v>946</v>
      </c>
      <c r="C233" s="87">
        <v>9.0000000000000002E-6</v>
      </c>
      <c r="D233" s="87">
        <v>1.98E-5</v>
      </c>
      <c r="E233" s="232">
        <v>9114.76</v>
      </c>
      <c r="F233" s="232">
        <v>8886</v>
      </c>
      <c r="G233" s="232">
        <v>19101</v>
      </c>
      <c r="H233" s="232"/>
      <c r="I233" s="233">
        <v>358.875</v>
      </c>
      <c r="J233" s="233">
        <v>16739</v>
      </c>
      <c r="K233" s="233">
        <v>1308</v>
      </c>
      <c r="L233" s="232">
        <v>1510</v>
      </c>
      <c r="M233" s="232"/>
      <c r="N233" s="233">
        <v>669</v>
      </c>
      <c r="O233" s="233">
        <v>6178</v>
      </c>
      <c r="P233" s="233">
        <v>0</v>
      </c>
      <c r="Q233" s="232">
        <v>1551</v>
      </c>
      <c r="R233" s="233">
        <f t="shared" si="3"/>
        <v>10561</v>
      </c>
      <c r="S233" s="232"/>
      <c r="T233" s="233">
        <v>5105</v>
      </c>
      <c r="U233" s="234">
        <v>261</v>
      </c>
      <c r="V233" s="234">
        <v>5366</v>
      </c>
    </row>
    <row r="234" spans="1:22">
      <c r="A234" s="227">
        <v>92427</v>
      </c>
      <c r="B234" s="228" t="s">
        <v>947</v>
      </c>
      <c r="C234" s="87">
        <v>6.9999999999999997E-7</v>
      </c>
      <c r="D234" s="87">
        <v>8.9999999999999996E-7</v>
      </c>
      <c r="E234" s="232">
        <v>1425.53</v>
      </c>
      <c r="F234" s="232">
        <v>404</v>
      </c>
      <c r="G234" s="232">
        <v>1486</v>
      </c>
      <c r="H234" s="232"/>
      <c r="I234" s="233">
        <v>28</v>
      </c>
      <c r="J234" s="233">
        <v>1302</v>
      </c>
      <c r="K234" s="233">
        <v>102</v>
      </c>
      <c r="L234" s="232">
        <v>1812</v>
      </c>
      <c r="M234" s="232"/>
      <c r="N234" s="233">
        <v>52</v>
      </c>
      <c r="O234" s="233">
        <v>481</v>
      </c>
      <c r="P234" s="233">
        <v>0</v>
      </c>
      <c r="Q234" s="232">
        <v>0</v>
      </c>
      <c r="R234" s="233">
        <f t="shared" si="3"/>
        <v>821</v>
      </c>
      <c r="S234" s="232"/>
      <c r="T234" s="233">
        <v>397</v>
      </c>
      <c r="U234" s="234">
        <v>636</v>
      </c>
      <c r="V234" s="234">
        <v>1033</v>
      </c>
    </row>
    <row r="235" spans="1:22">
      <c r="A235" s="227">
        <v>92431</v>
      </c>
      <c r="B235" s="228" t="s">
        <v>948</v>
      </c>
      <c r="C235" s="87">
        <v>1.8499999999999999E-5</v>
      </c>
      <c r="D235" s="87">
        <v>4.0800000000000002E-5</v>
      </c>
      <c r="E235" s="232">
        <v>17502.95</v>
      </c>
      <c r="F235" s="232">
        <v>18311</v>
      </c>
      <c r="G235" s="232">
        <v>39263</v>
      </c>
      <c r="H235" s="232"/>
      <c r="I235" s="233">
        <v>737.6875</v>
      </c>
      <c r="J235" s="233">
        <v>34407</v>
      </c>
      <c r="K235" s="233">
        <v>2689</v>
      </c>
      <c r="L235" s="232">
        <v>6093</v>
      </c>
      <c r="M235" s="232"/>
      <c r="N235" s="233">
        <v>1376</v>
      </c>
      <c r="O235" s="233">
        <v>12699</v>
      </c>
      <c r="P235" s="233">
        <v>0</v>
      </c>
      <c r="Q235" s="232">
        <v>5505</v>
      </c>
      <c r="R235" s="233">
        <f t="shared" si="3"/>
        <v>21708</v>
      </c>
      <c r="S235" s="232"/>
      <c r="T235" s="233">
        <v>10494</v>
      </c>
      <c r="U235" s="234">
        <v>422</v>
      </c>
      <c r="V235" s="234">
        <v>10917</v>
      </c>
    </row>
    <row r="236" spans="1:22">
      <c r="A236" s="227">
        <v>92441</v>
      </c>
      <c r="B236" s="228" t="s">
        <v>949</v>
      </c>
      <c r="C236" s="87">
        <v>9.2299999999999994E-5</v>
      </c>
      <c r="D236" s="87">
        <v>1.0170000000000001E-4</v>
      </c>
      <c r="E236" s="232">
        <v>38127.360000000001</v>
      </c>
      <c r="F236" s="232">
        <v>45642</v>
      </c>
      <c r="G236" s="232">
        <v>195892</v>
      </c>
      <c r="H236" s="232"/>
      <c r="I236" s="233">
        <v>3680</v>
      </c>
      <c r="J236" s="233">
        <v>171663</v>
      </c>
      <c r="K236" s="233">
        <v>13417</v>
      </c>
      <c r="L236" s="232">
        <v>0</v>
      </c>
      <c r="M236" s="232"/>
      <c r="N236" s="233">
        <v>6864</v>
      </c>
      <c r="O236" s="233">
        <v>63360</v>
      </c>
      <c r="P236" s="233">
        <v>0</v>
      </c>
      <c r="Q236" s="232">
        <v>12688</v>
      </c>
      <c r="R236" s="233">
        <f t="shared" si="3"/>
        <v>108303</v>
      </c>
      <c r="S236" s="232"/>
      <c r="T236" s="233">
        <v>52359</v>
      </c>
      <c r="U236" s="234">
        <v>-5069</v>
      </c>
      <c r="V236" s="234">
        <v>47290</v>
      </c>
    </row>
    <row r="237" spans="1:22">
      <c r="A237" s="227">
        <v>92444</v>
      </c>
      <c r="B237" s="228" t="s">
        <v>950</v>
      </c>
      <c r="C237" s="87">
        <v>1.9999999999999999E-6</v>
      </c>
      <c r="D237" s="87">
        <v>1.7999999999999999E-6</v>
      </c>
      <c r="E237" s="232">
        <v>1966.0700000000004</v>
      </c>
      <c r="F237" s="232">
        <v>808</v>
      </c>
      <c r="G237" s="232">
        <v>4244.67</v>
      </c>
      <c r="H237" s="232"/>
      <c r="I237" s="233">
        <v>79.75</v>
      </c>
      <c r="J237" s="233">
        <v>3720</v>
      </c>
      <c r="K237" s="233">
        <v>291</v>
      </c>
      <c r="L237" s="232">
        <v>2653</v>
      </c>
      <c r="M237" s="232"/>
      <c r="N237" s="233">
        <v>149</v>
      </c>
      <c r="O237" s="233">
        <v>1373</v>
      </c>
      <c r="P237" s="233">
        <v>0</v>
      </c>
      <c r="Q237" s="232">
        <v>0</v>
      </c>
      <c r="R237" s="233">
        <f t="shared" si="3"/>
        <v>2347</v>
      </c>
      <c r="S237" s="232"/>
      <c r="T237" s="233">
        <v>1135</v>
      </c>
      <c r="U237" s="234">
        <v>971</v>
      </c>
      <c r="V237" s="234">
        <v>2106</v>
      </c>
    </row>
    <row r="238" spans="1:22">
      <c r="A238" s="227">
        <v>92451</v>
      </c>
      <c r="B238" s="228" t="s">
        <v>951</v>
      </c>
      <c r="C238" s="87">
        <v>1.4559999999999999E-4</v>
      </c>
      <c r="D238" s="87">
        <v>1.132E-4</v>
      </c>
      <c r="E238" s="232">
        <v>67281.149999999994</v>
      </c>
      <c r="F238" s="232">
        <v>50803</v>
      </c>
      <c r="G238" s="232">
        <v>309012</v>
      </c>
      <c r="H238" s="232"/>
      <c r="I238" s="233">
        <v>5806</v>
      </c>
      <c r="J238" s="233">
        <v>270793</v>
      </c>
      <c r="K238" s="233">
        <v>21165</v>
      </c>
      <c r="L238" s="232">
        <v>36170</v>
      </c>
      <c r="M238" s="232"/>
      <c r="N238" s="233">
        <v>10828</v>
      </c>
      <c r="O238" s="233">
        <v>99948</v>
      </c>
      <c r="P238" s="233">
        <v>0</v>
      </c>
      <c r="Q238" s="232">
        <v>0</v>
      </c>
      <c r="R238" s="233">
        <f t="shared" si="3"/>
        <v>170845</v>
      </c>
      <c r="S238" s="232"/>
      <c r="T238" s="233">
        <v>82594</v>
      </c>
      <c r="U238" s="234">
        <v>11273</v>
      </c>
      <c r="V238" s="234">
        <v>93868</v>
      </c>
    </row>
    <row r="239" spans="1:22">
      <c r="A239" s="227">
        <v>92461</v>
      </c>
      <c r="B239" s="228" t="s">
        <v>952</v>
      </c>
      <c r="C239" s="87">
        <v>7.2999999999999999E-5</v>
      </c>
      <c r="D239" s="87">
        <v>6.3499999999999999E-5</v>
      </c>
      <c r="E239" s="232">
        <v>36576.240000000005</v>
      </c>
      <c r="F239" s="232">
        <v>28498</v>
      </c>
      <c r="G239" s="232">
        <v>154930</v>
      </c>
      <c r="H239" s="232"/>
      <c r="I239" s="233">
        <v>2910.875</v>
      </c>
      <c r="J239" s="233">
        <v>135768</v>
      </c>
      <c r="K239" s="233">
        <v>10611</v>
      </c>
      <c r="L239" s="232">
        <v>10353</v>
      </c>
      <c r="M239" s="232"/>
      <c r="N239" s="233">
        <v>5429</v>
      </c>
      <c r="O239" s="233">
        <v>50111</v>
      </c>
      <c r="P239" s="233">
        <v>0</v>
      </c>
      <c r="Q239" s="232">
        <v>7817</v>
      </c>
      <c r="R239" s="233">
        <f t="shared" si="3"/>
        <v>85657</v>
      </c>
      <c r="S239" s="232"/>
      <c r="T239" s="233">
        <v>41411</v>
      </c>
      <c r="U239" s="234">
        <v>-170</v>
      </c>
      <c r="V239" s="234">
        <v>41240</v>
      </c>
    </row>
    <row r="240" spans="1:22">
      <c r="A240" s="227">
        <v>92501</v>
      </c>
      <c r="B240" s="228" t="s">
        <v>953</v>
      </c>
      <c r="C240" s="87">
        <v>3.8141E-3</v>
      </c>
      <c r="D240" s="87">
        <v>3.8955999999999999E-3</v>
      </c>
      <c r="E240" s="232">
        <v>1660692.83</v>
      </c>
      <c r="F240" s="232">
        <v>1748322</v>
      </c>
      <c r="G240" s="232">
        <v>8094798</v>
      </c>
      <c r="H240" s="232"/>
      <c r="I240" s="233">
        <v>152087</v>
      </c>
      <c r="J240" s="233">
        <v>7093623</v>
      </c>
      <c r="K240" s="233">
        <v>554421</v>
      </c>
      <c r="L240" s="232">
        <v>65347</v>
      </c>
      <c r="M240" s="232"/>
      <c r="N240" s="233">
        <v>283651</v>
      </c>
      <c r="O240" s="233">
        <v>2618219</v>
      </c>
      <c r="P240" s="233">
        <v>0</v>
      </c>
      <c r="Q240" s="232">
        <v>13995</v>
      </c>
      <c r="R240" s="233">
        <f t="shared" si="3"/>
        <v>4475404</v>
      </c>
      <c r="S240" s="232"/>
      <c r="T240" s="233">
        <v>2163621</v>
      </c>
      <c r="U240" s="234">
        <v>20802</v>
      </c>
      <c r="V240" s="234">
        <v>2184422</v>
      </c>
    </row>
    <row r="241" spans="1:22">
      <c r="A241" s="227">
        <v>92502</v>
      </c>
      <c r="B241" s="228" t="s">
        <v>954</v>
      </c>
      <c r="C241" s="87">
        <v>2.8799999999999999E-5</v>
      </c>
      <c r="D241" s="87">
        <v>2.1399999999999998E-5</v>
      </c>
      <c r="E241" s="232">
        <v>12881.239999999998</v>
      </c>
      <c r="F241" s="232">
        <v>9604</v>
      </c>
      <c r="G241" s="232">
        <v>61123</v>
      </c>
      <c r="H241" s="232"/>
      <c r="I241" s="233">
        <v>1148</v>
      </c>
      <c r="J241" s="233">
        <v>53563</v>
      </c>
      <c r="K241" s="233">
        <v>4186</v>
      </c>
      <c r="L241" s="232">
        <v>4833</v>
      </c>
      <c r="M241" s="232"/>
      <c r="N241" s="233">
        <v>2142</v>
      </c>
      <c r="O241" s="233">
        <v>19770</v>
      </c>
      <c r="P241" s="233">
        <v>0</v>
      </c>
      <c r="Q241" s="232">
        <v>3509</v>
      </c>
      <c r="R241" s="233">
        <f t="shared" si="3"/>
        <v>33793</v>
      </c>
      <c r="S241" s="232"/>
      <c r="T241" s="233">
        <v>16337</v>
      </c>
      <c r="U241" s="234">
        <v>-103</v>
      </c>
      <c r="V241" s="234">
        <v>16234</v>
      </c>
    </row>
    <row r="242" spans="1:22">
      <c r="A242" s="227">
        <v>92504</v>
      </c>
      <c r="B242" s="228" t="s">
        <v>955</v>
      </c>
      <c r="C242" s="87">
        <v>7.2799999999999994E-5</v>
      </c>
      <c r="D242" s="87">
        <v>7.3499999999999998E-5</v>
      </c>
      <c r="E242" s="232">
        <v>38688.999999999993</v>
      </c>
      <c r="F242" s="232">
        <v>32986</v>
      </c>
      <c r="G242" s="232">
        <v>154506</v>
      </c>
      <c r="H242" s="232"/>
      <c r="I242" s="233">
        <v>2903</v>
      </c>
      <c r="J242" s="233">
        <v>135396</v>
      </c>
      <c r="K242" s="233">
        <v>10582</v>
      </c>
      <c r="L242" s="232">
        <v>18501</v>
      </c>
      <c r="M242" s="232"/>
      <c r="N242" s="233">
        <v>5414</v>
      </c>
      <c r="O242" s="233">
        <v>49974</v>
      </c>
      <c r="P242" s="233">
        <v>0</v>
      </c>
      <c r="Q242" s="232">
        <v>54</v>
      </c>
      <c r="R242" s="233">
        <f t="shared" si="3"/>
        <v>85422</v>
      </c>
      <c r="S242" s="232"/>
      <c r="T242" s="233">
        <v>41297</v>
      </c>
      <c r="U242" s="234">
        <v>5906</v>
      </c>
      <c r="V242" s="234">
        <v>47203</v>
      </c>
    </row>
    <row r="243" spans="1:22">
      <c r="A243" s="227">
        <v>92505</v>
      </c>
      <c r="B243" s="228" t="s">
        <v>956</v>
      </c>
      <c r="C243" s="87">
        <v>1.8709999999999999E-4</v>
      </c>
      <c r="D243" s="87">
        <v>1.9699999999999999E-4</v>
      </c>
      <c r="E243" s="232">
        <v>106739.73</v>
      </c>
      <c r="F243" s="232">
        <v>88412</v>
      </c>
      <c r="G243" s="232">
        <v>397089</v>
      </c>
      <c r="H243" s="232"/>
      <c r="I243" s="233">
        <v>7461</v>
      </c>
      <c r="J243" s="233">
        <v>347976</v>
      </c>
      <c r="K243" s="233">
        <v>27197</v>
      </c>
      <c r="L243" s="232">
        <v>47178</v>
      </c>
      <c r="M243" s="232"/>
      <c r="N243" s="233">
        <v>13914</v>
      </c>
      <c r="O243" s="233">
        <v>128436</v>
      </c>
      <c r="P243" s="233">
        <v>0</v>
      </c>
      <c r="Q243" s="232">
        <v>0</v>
      </c>
      <c r="R243" s="233">
        <f t="shared" si="3"/>
        <v>219540</v>
      </c>
      <c r="S243" s="232"/>
      <c r="T243" s="233">
        <v>106136</v>
      </c>
      <c r="U243" s="234">
        <v>16270</v>
      </c>
      <c r="V243" s="234">
        <v>122406</v>
      </c>
    </row>
    <row r="244" spans="1:22">
      <c r="A244" s="227">
        <v>92506</v>
      </c>
      <c r="B244" s="228" t="s">
        <v>957</v>
      </c>
      <c r="C244" s="87">
        <v>4.3699999999999998E-5</v>
      </c>
      <c r="D244" s="87">
        <v>3.8999999999999999E-5</v>
      </c>
      <c r="E244" s="232">
        <v>23625.559999999998</v>
      </c>
      <c r="F244" s="232">
        <v>17503</v>
      </c>
      <c r="G244" s="232">
        <v>92746</v>
      </c>
      <c r="H244" s="232"/>
      <c r="I244" s="233">
        <v>1743</v>
      </c>
      <c r="J244" s="233">
        <v>81275</v>
      </c>
      <c r="K244" s="233">
        <v>6352</v>
      </c>
      <c r="L244" s="232">
        <v>17344</v>
      </c>
      <c r="M244" s="232"/>
      <c r="N244" s="233">
        <v>3250</v>
      </c>
      <c r="O244" s="233">
        <v>29998</v>
      </c>
      <c r="P244" s="233">
        <v>0</v>
      </c>
      <c r="Q244" s="232">
        <v>0</v>
      </c>
      <c r="R244" s="233">
        <f t="shared" si="3"/>
        <v>51277</v>
      </c>
      <c r="S244" s="232"/>
      <c r="T244" s="233">
        <v>24790</v>
      </c>
      <c r="U244" s="234">
        <v>5809</v>
      </c>
      <c r="V244" s="234">
        <v>30599</v>
      </c>
    </row>
    <row r="245" spans="1:22">
      <c r="A245" s="227">
        <v>92507</v>
      </c>
      <c r="B245" s="228" t="s">
        <v>958</v>
      </c>
      <c r="C245" s="87">
        <v>7.6799999999999997E-5</v>
      </c>
      <c r="D245" s="87">
        <v>1.032E-4</v>
      </c>
      <c r="E245" s="232">
        <v>33480.47</v>
      </c>
      <c r="F245" s="232">
        <v>46316</v>
      </c>
      <c r="G245" s="232">
        <v>162995</v>
      </c>
      <c r="H245" s="232"/>
      <c r="I245" s="233">
        <v>3062</v>
      </c>
      <c r="J245" s="233">
        <v>142836</v>
      </c>
      <c r="K245" s="233">
        <v>11164</v>
      </c>
      <c r="L245" s="232">
        <v>348</v>
      </c>
      <c r="M245" s="232"/>
      <c r="N245" s="233">
        <v>5712</v>
      </c>
      <c r="O245" s="233">
        <v>52720</v>
      </c>
      <c r="P245" s="233">
        <v>0</v>
      </c>
      <c r="Q245" s="232">
        <v>22450</v>
      </c>
      <c r="R245" s="233">
        <f t="shared" si="3"/>
        <v>90116</v>
      </c>
      <c r="S245" s="232"/>
      <c r="T245" s="233">
        <v>43566</v>
      </c>
      <c r="U245" s="234">
        <v>-8043</v>
      </c>
      <c r="V245" s="234">
        <v>35523</v>
      </c>
    </row>
    <row r="246" spans="1:22">
      <c r="A246" s="227">
        <v>92508</v>
      </c>
      <c r="B246" s="228" t="s">
        <v>959</v>
      </c>
      <c r="C246" s="87">
        <v>3.1930000000000001E-4</v>
      </c>
      <c r="D246" s="87">
        <v>3.2959999999999999E-4</v>
      </c>
      <c r="E246" s="232">
        <v>135944.95000000001</v>
      </c>
      <c r="F246" s="232">
        <v>147923</v>
      </c>
      <c r="G246" s="232">
        <v>677662</v>
      </c>
      <c r="H246" s="232"/>
      <c r="I246" s="233">
        <v>12732</v>
      </c>
      <c r="J246" s="233">
        <v>593848</v>
      </c>
      <c r="K246" s="233">
        <v>46414</v>
      </c>
      <c r="L246" s="232">
        <v>7876</v>
      </c>
      <c r="M246" s="232"/>
      <c r="N246" s="233">
        <v>23746</v>
      </c>
      <c r="O246" s="233">
        <v>219186</v>
      </c>
      <c r="P246" s="233">
        <v>0</v>
      </c>
      <c r="Q246" s="232">
        <v>1898</v>
      </c>
      <c r="R246" s="233">
        <f t="shared" si="3"/>
        <v>374662</v>
      </c>
      <c r="S246" s="232"/>
      <c r="T246" s="233">
        <v>181129</v>
      </c>
      <c r="U246" s="234">
        <v>3029</v>
      </c>
      <c r="V246" s="234">
        <v>184158</v>
      </c>
    </row>
    <row r="247" spans="1:22">
      <c r="A247" s="227">
        <v>92509</v>
      </c>
      <c r="B247" s="228" t="s">
        <v>1618</v>
      </c>
      <c r="C247" s="87">
        <v>0</v>
      </c>
      <c r="D247" s="87">
        <v>2.1614E-3</v>
      </c>
      <c r="E247" s="232">
        <v>0</v>
      </c>
      <c r="F247" s="232">
        <v>970023</v>
      </c>
      <c r="G247" s="232">
        <v>0</v>
      </c>
      <c r="H247" s="232"/>
      <c r="I247" s="233">
        <v>0</v>
      </c>
      <c r="J247" s="233">
        <v>0</v>
      </c>
      <c r="K247" s="233">
        <v>0</v>
      </c>
      <c r="L247" s="232">
        <v>166634</v>
      </c>
      <c r="M247" s="232"/>
      <c r="N247" s="233">
        <v>0</v>
      </c>
      <c r="O247" s="233">
        <v>0</v>
      </c>
      <c r="P247" s="233">
        <v>0</v>
      </c>
      <c r="Q247" s="232">
        <v>1170867</v>
      </c>
      <c r="R247" s="233">
        <f t="shared" si="3"/>
        <v>0</v>
      </c>
      <c r="S247" s="232"/>
      <c r="T247" s="233">
        <v>0</v>
      </c>
      <c r="U247" s="234">
        <v>-223763</v>
      </c>
      <c r="V247" s="234">
        <v>-223763</v>
      </c>
    </row>
    <row r="248" spans="1:22">
      <c r="A248" s="227">
        <v>92511</v>
      </c>
      <c r="B248" s="228" t="s">
        <v>960</v>
      </c>
      <c r="C248" s="87">
        <v>3.4164E-3</v>
      </c>
      <c r="D248" s="87">
        <v>3.6713000000000002E-3</v>
      </c>
      <c r="E248" s="232">
        <v>1353008.7800000003</v>
      </c>
      <c r="F248" s="232">
        <v>1647657</v>
      </c>
      <c r="G248" s="232">
        <v>7250745</v>
      </c>
      <c r="H248" s="232"/>
      <c r="I248" s="233">
        <v>136229</v>
      </c>
      <c r="J248" s="233">
        <v>6353964</v>
      </c>
      <c r="K248" s="233">
        <v>496611</v>
      </c>
      <c r="L248" s="232">
        <v>24415.31</v>
      </c>
      <c r="M248" s="232"/>
      <c r="N248" s="233">
        <v>254074</v>
      </c>
      <c r="O248" s="233">
        <v>2345215</v>
      </c>
      <c r="P248" s="233">
        <v>0</v>
      </c>
      <c r="Q248" s="232">
        <v>243809</v>
      </c>
      <c r="R248" s="233">
        <f t="shared" si="3"/>
        <v>4008749</v>
      </c>
      <c r="S248" s="232"/>
      <c r="T248" s="233">
        <v>1938018</v>
      </c>
      <c r="U248" s="234">
        <v>-57052</v>
      </c>
      <c r="V248" s="234">
        <v>1880965</v>
      </c>
    </row>
    <row r="249" spans="1:22">
      <c r="A249" s="227">
        <v>92513</v>
      </c>
      <c r="B249" s="228" t="s">
        <v>961</v>
      </c>
      <c r="C249" s="87">
        <v>3.9753000000000002E-3</v>
      </c>
      <c r="D249" s="87">
        <v>0</v>
      </c>
      <c r="E249" s="232">
        <v>1441012.6800000002</v>
      </c>
      <c r="F249" s="232">
        <v>0</v>
      </c>
      <c r="G249" s="232">
        <v>8436918</v>
      </c>
      <c r="H249" s="232"/>
      <c r="I249" s="233">
        <v>158515</v>
      </c>
      <c r="J249" s="233">
        <v>7393430</v>
      </c>
      <c r="K249" s="233">
        <v>577854</v>
      </c>
      <c r="L249" s="232">
        <v>1999562</v>
      </c>
      <c r="M249" s="232"/>
      <c r="N249" s="233">
        <v>295639</v>
      </c>
      <c r="O249" s="233">
        <v>2728876</v>
      </c>
      <c r="P249" s="233">
        <v>0</v>
      </c>
      <c r="Q249" s="232">
        <v>0</v>
      </c>
      <c r="R249" s="233">
        <f t="shared" si="3"/>
        <v>4664554</v>
      </c>
      <c r="S249" s="232"/>
      <c r="T249" s="233">
        <v>2255064</v>
      </c>
      <c r="U249" s="234">
        <v>518021</v>
      </c>
      <c r="V249" s="234">
        <v>2773086</v>
      </c>
    </row>
    <row r="250" spans="1:22">
      <c r="A250" s="227">
        <v>92521</v>
      </c>
      <c r="B250" s="228" t="s">
        <v>962</v>
      </c>
      <c r="C250" s="87">
        <v>8.9800000000000001E-5</v>
      </c>
      <c r="D250" s="87">
        <v>9.59E-5</v>
      </c>
      <c r="E250" s="232">
        <v>32294.23</v>
      </c>
      <c r="F250" s="232">
        <v>43039</v>
      </c>
      <c r="G250" s="232">
        <v>190586</v>
      </c>
      <c r="H250" s="232"/>
      <c r="I250" s="233">
        <v>3581</v>
      </c>
      <c r="J250" s="233">
        <v>167014</v>
      </c>
      <c r="K250" s="233">
        <v>13053</v>
      </c>
      <c r="L250" s="232">
        <v>4908</v>
      </c>
      <c r="M250" s="232"/>
      <c r="N250" s="233">
        <v>6678</v>
      </c>
      <c r="O250" s="233">
        <v>61644</v>
      </c>
      <c r="P250" s="233">
        <v>0</v>
      </c>
      <c r="Q250" s="232">
        <v>9965</v>
      </c>
      <c r="R250" s="233">
        <f t="shared" si="3"/>
        <v>105370</v>
      </c>
      <c r="S250" s="232"/>
      <c r="T250" s="233">
        <v>50941</v>
      </c>
      <c r="U250" s="234">
        <v>-1566</v>
      </c>
      <c r="V250" s="234">
        <v>49374</v>
      </c>
    </row>
    <row r="251" spans="1:22">
      <c r="A251" s="227">
        <v>92531</v>
      </c>
      <c r="B251" s="228" t="s">
        <v>963</v>
      </c>
      <c r="C251" s="87">
        <v>8.3779999999999998E-4</v>
      </c>
      <c r="D251" s="87">
        <v>9.3610000000000004E-4</v>
      </c>
      <c r="E251" s="232">
        <v>310253.15000000002</v>
      </c>
      <c r="F251" s="232">
        <v>420116</v>
      </c>
      <c r="G251" s="232">
        <v>1778092</v>
      </c>
      <c r="H251" s="232"/>
      <c r="I251" s="233">
        <v>33407</v>
      </c>
      <c r="J251" s="233">
        <v>1558176</v>
      </c>
      <c r="K251" s="233">
        <v>121783</v>
      </c>
      <c r="L251" s="232">
        <v>0</v>
      </c>
      <c r="M251" s="232"/>
      <c r="N251" s="233">
        <v>62306</v>
      </c>
      <c r="O251" s="233">
        <v>575115</v>
      </c>
      <c r="P251" s="233">
        <v>0</v>
      </c>
      <c r="Q251" s="232">
        <v>169554</v>
      </c>
      <c r="R251" s="233">
        <f t="shared" si="3"/>
        <v>983061</v>
      </c>
      <c r="S251" s="232"/>
      <c r="T251" s="233">
        <v>475258</v>
      </c>
      <c r="U251" s="234">
        <v>-58220</v>
      </c>
      <c r="V251" s="234">
        <v>417038</v>
      </c>
    </row>
    <row r="252" spans="1:22">
      <c r="A252" s="227">
        <v>92541</v>
      </c>
      <c r="B252" s="228" t="s">
        <v>964</v>
      </c>
      <c r="C252" s="87">
        <v>1.4300000000000001E-4</v>
      </c>
      <c r="D252" s="87">
        <v>1.2679999999999999E-4</v>
      </c>
      <c r="E252" s="232">
        <v>54919.090000000004</v>
      </c>
      <c r="F252" s="232">
        <v>56907</v>
      </c>
      <c r="G252" s="232">
        <v>303494</v>
      </c>
      <c r="H252" s="232"/>
      <c r="I252" s="233">
        <v>5702.125</v>
      </c>
      <c r="J252" s="233">
        <v>265957</v>
      </c>
      <c r="K252" s="233">
        <v>20787</v>
      </c>
      <c r="L252" s="232">
        <v>11874</v>
      </c>
      <c r="M252" s="232"/>
      <c r="N252" s="233">
        <v>10635</v>
      </c>
      <c r="O252" s="233">
        <v>98163</v>
      </c>
      <c r="P252" s="233">
        <v>0</v>
      </c>
      <c r="Q252" s="232">
        <v>3822</v>
      </c>
      <c r="R252" s="233">
        <f t="shared" si="3"/>
        <v>167794</v>
      </c>
      <c r="S252" s="232"/>
      <c r="T252" s="233">
        <v>81119</v>
      </c>
      <c r="U252" s="234">
        <v>3227</v>
      </c>
      <c r="V252" s="234">
        <v>84346</v>
      </c>
    </row>
    <row r="253" spans="1:22">
      <c r="A253" s="227">
        <v>92551</v>
      </c>
      <c r="B253" s="228" t="s">
        <v>965</v>
      </c>
      <c r="C253" s="87">
        <v>4.18E-5</v>
      </c>
      <c r="D253" s="87">
        <v>5.4799999999999997E-5</v>
      </c>
      <c r="E253" s="232">
        <v>16805.93</v>
      </c>
      <c r="F253" s="232">
        <v>24594</v>
      </c>
      <c r="G253" s="232">
        <v>88714</v>
      </c>
      <c r="H253" s="232"/>
      <c r="I253" s="233">
        <v>1666.7750000000001</v>
      </c>
      <c r="J253" s="233">
        <v>77741</v>
      </c>
      <c r="K253" s="233">
        <v>6076</v>
      </c>
      <c r="L253" s="232">
        <v>6834</v>
      </c>
      <c r="M253" s="232"/>
      <c r="N253" s="233">
        <v>3109</v>
      </c>
      <c r="O253" s="233">
        <v>28694</v>
      </c>
      <c r="P253" s="233">
        <v>0</v>
      </c>
      <c r="Q253" s="232">
        <v>11864</v>
      </c>
      <c r="R253" s="233">
        <f t="shared" si="3"/>
        <v>49047</v>
      </c>
      <c r="S253" s="232"/>
      <c r="T253" s="233">
        <v>23712</v>
      </c>
      <c r="U253" s="234">
        <v>-71</v>
      </c>
      <c r="V253" s="234">
        <v>23641</v>
      </c>
    </row>
    <row r="254" spans="1:22">
      <c r="A254" s="227">
        <v>92561</v>
      </c>
      <c r="B254" s="228" t="s">
        <v>966</v>
      </c>
      <c r="C254" s="87">
        <v>2.2900000000000001E-5</v>
      </c>
      <c r="D254" s="87">
        <v>2.1800000000000001E-5</v>
      </c>
      <c r="E254" s="232">
        <v>12865.05</v>
      </c>
      <c r="F254" s="232">
        <v>9784</v>
      </c>
      <c r="G254" s="232">
        <v>48601</v>
      </c>
      <c r="H254" s="232"/>
      <c r="I254" s="233">
        <v>913.13750000000005</v>
      </c>
      <c r="J254" s="233">
        <v>42590</v>
      </c>
      <c r="K254" s="233">
        <v>3329</v>
      </c>
      <c r="L254" s="232">
        <v>7071</v>
      </c>
      <c r="M254" s="232"/>
      <c r="N254" s="233">
        <v>1703</v>
      </c>
      <c r="O254" s="233">
        <v>15720</v>
      </c>
      <c r="P254" s="233">
        <v>0</v>
      </c>
      <c r="Q254" s="232">
        <v>0</v>
      </c>
      <c r="R254" s="233">
        <f t="shared" si="3"/>
        <v>26870</v>
      </c>
      <c r="S254" s="232"/>
      <c r="T254" s="233">
        <v>12990</v>
      </c>
      <c r="U254" s="234">
        <v>2451</v>
      </c>
      <c r="V254" s="234">
        <v>15442</v>
      </c>
    </row>
    <row r="255" spans="1:22">
      <c r="A255" s="227">
        <v>92571</v>
      </c>
      <c r="B255" s="228" t="s">
        <v>967</v>
      </c>
      <c r="C255" s="87">
        <v>3.1E-6</v>
      </c>
      <c r="D255" s="87">
        <v>3.8E-6</v>
      </c>
      <c r="E255" s="232">
        <v>6092.6399999999994</v>
      </c>
      <c r="F255" s="232">
        <v>1705</v>
      </c>
      <c r="G255" s="232">
        <v>6579</v>
      </c>
      <c r="H255" s="232"/>
      <c r="I255" s="233">
        <v>123.6125</v>
      </c>
      <c r="J255" s="233">
        <v>5766</v>
      </c>
      <c r="K255" s="233">
        <v>451</v>
      </c>
      <c r="L255" s="232">
        <v>4439</v>
      </c>
      <c r="M255" s="232"/>
      <c r="N255" s="233">
        <v>231</v>
      </c>
      <c r="O255" s="233">
        <v>2128</v>
      </c>
      <c r="P255" s="233">
        <v>0</v>
      </c>
      <c r="Q255" s="232">
        <v>200.99</v>
      </c>
      <c r="R255" s="233">
        <f t="shared" si="3"/>
        <v>3638</v>
      </c>
      <c r="S255" s="232"/>
      <c r="T255" s="233">
        <v>1759</v>
      </c>
      <c r="U255" s="234">
        <v>1144</v>
      </c>
      <c r="V255" s="234">
        <v>2902</v>
      </c>
    </row>
    <row r="256" spans="1:22">
      <c r="A256" s="227">
        <v>92601</v>
      </c>
      <c r="B256" s="228" t="s">
        <v>968</v>
      </c>
      <c r="C256" s="87">
        <v>1.54185E-2</v>
      </c>
      <c r="D256" s="87">
        <v>1.5052899999999999E-2</v>
      </c>
      <c r="E256" s="232">
        <v>6115435.6399999997</v>
      </c>
      <c r="F256" s="232">
        <v>6755651</v>
      </c>
      <c r="G256" s="232">
        <v>32723222</v>
      </c>
      <c r="H256" s="232"/>
      <c r="I256" s="233">
        <v>614813</v>
      </c>
      <c r="J256" s="233">
        <v>28675974</v>
      </c>
      <c r="K256" s="233">
        <v>2241249</v>
      </c>
      <c r="L256" s="232">
        <v>258399</v>
      </c>
      <c r="M256" s="232"/>
      <c r="N256" s="233">
        <v>1146658</v>
      </c>
      <c r="O256" s="233">
        <v>10584153</v>
      </c>
      <c r="P256" s="233">
        <v>0</v>
      </c>
      <c r="Q256" s="232">
        <v>0</v>
      </c>
      <c r="R256" s="233">
        <f t="shared" si="3"/>
        <v>18091821</v>
      </c>
      <c r="S256" s="232"/>
      <c r="T256" s="233">
        <v>8746437</v>
      </c>
      <c r="U256" s="234">
        <v>123589</v>
      </c>
      <c r="V256" s="234">
        <v>8870026</v>
      </c>
    </row>
    <row r="257" spans="1:22">
      <c r="A257" s="227">
        <v>92602</v>
      </c>
      <c r="B257" s="228" t="s">
        <v>969</v>
      </c>
      <c r="C257" s="87">
        <v>8.1999999999999994E-6</v>
      </c>
      <c r="D257" s="87">
        <v>8.3999999999999992E-6</v>
      </c>
      <c r="E257" s="232">
        <v>3297.75</v>
      </c>
      <c r="F257" s="232">
        <v>3770</v>
      </c>
      <c r="G257" s="232">
        <v>17403</v>
      </c>
      <c r="H257" s="232"/>
      <c r="I257" s="233">
        <v>327</v>
      </c>
      <c r="J257" s="233">
        <v>15251</v>
      </c>
      <c r="K257" s="233">
        <v>1192</v>
      </c>
      <c r="L257" s="232">
        <v>708.44</v>
      </c>
      <c r="M257" s="232"/>
      <c r="N257" s="233">
        <v>610</v>
      </c>
      <c r="O257" s="233">
        <v>5629</v>
      </c>
      <c r="P257" s="233">
        <v>0</v>
      </c>
      <c r="Q257" s="232">
        <v>1260</v>
      </c>
      <c r="R257" s="233">
        <f t="shared" si="3"/>
        <v>9622</v>
      </c>
      <c r="S257" s="232"/>
      <c r="T257" s="233">
        <v>4652</v>
      </c>
      <c r="U257" s="234">
        <v>-75</v>
      </c>
      <c r="V257" s="234">
        <v>4577</v>
      </c>
    </row>
    <row r="258" spans="1:22">
      <c r="A258" s="227">
        <v>92604</v>
      </c>
      <c r="B258" s="228" t="s">
        <v>970</v>
      </c>
      <c r="C258" s="87">
        <v>3.4380000000000001E-4</v>
      </c>
      <c r="D258" s="87">
        <v>3.2019999999999998E-4</v>
      </c>
      <c r="E258" s="232">
        <v>164085.82999999996</v>
      </c>
      <c r="F258" s="232">
        <v>143704</v>
      </c>
      <c r="G258" s="232">
        <v>729659</v>
      </c>
      <c r="H258" s="232"/>
      <c r="I258" s="233">
        <v>13709</v>
      </c>
      <c r="J258" s="233">
        <v>639414</v>
      </c>
      <c r="K258" s="233">
        <v>49975</v>
      </c>
      <c r="L258" s="232">
        <v>56939</v>
      </c>
      <c r="M258" s="232"/>
      <c r="N258" s="233">
        <v>25568</v>
      </c>
      <c r="O258" s="233">
        <v>236004</v>
      </c>
      <c r="P258" s="233">
        <v>0</v>
      </c>
      <c r="Q258" s="232">
        <v>0</v>
      </c>
      <c r="R258" s="233">
        <f t="shared" si="3"/>
        <v>403410</v>
      </c>
      <c r="S258" s="232"/>
      <c r="T258" s="233">
        <v>195027</v>
      </c>
      <c r="U258" s="234">
        <v>20016</v>
      </c>
      <c r="V258" s="234">
        <v>215043</v>
      </c>
    </row>
    <row r="259" spans="1:22">
      <c r="A259" s="227">
        <v>92607</v>
      </c>
      <c r="B259" s="228" t="s">
        <v>971</v>
      </c>
      <c r="C259" s="87">
        <v>7.0400000000000004E-5</v>
      </c>
      <c r="D259" s="87">
        <v>7.4099999999999999E-5</v>
      </c>
      <c r="E259" s="232">
        <v>34299.630000000005</v>
      </c>
      <c r="F259" s="232">
        <v>33256</v>
      </c>
      <c r="G259" s="232">
        <v>149412</v>
      </c>
      <c r="H259" s="232"/>
      <c r="I259" s="233">
        <v>2807</v>
      </c>
      <c r="J259" s="233">
        <v>130933</v>
      </c>
      <c r="K259" s="233">
        <v>10233</v>
      </c>
      <c r="L259" s="232">
        <v>9606</v>
      </c>
      <c r="M259" s="232"/>
      <c r="N259" s="233">
        <v>5236</v>
      </c>
      <c r="O259" s="233">
        <v>48327</v>
      </c>
      <c r="P259" s="233">
        <v>0</v>
      </c>
      <c r="Q259" s="232">
        <v>0</v>
      </c>
      <c r="R259" s="233">
        <f t="shared" si="3"/>
        <v>82606</v>
      </c>
      <c r="S259" s="232"/>
      <c r="T259" s="233">
        <v>39936</v>
      </c>
      <c r="U259" s="234">
        <v>3862</v>
      </c>
      <c r="V259" s="234">
        <v>43798</v>
      </c>
    </row>
    <row r="260" spans="1:22">
      <c r="A260" s="227">
        <v>92608</v>
      </c>
      <c r="B260" s="228" t="s">
        <v>972</v>
      </c>
      <c r="C260" s="87">
        <v>0</v>
      </c>
      <c r="D260" s="87">
        <v>0</v>
      </c>
      <c r="E260" s="232">
        <v>0</v>
      </c>
      <c r="F260" s="232">
        <v>0</v>
      </c>
      <c r="G260" s="232">
        <v>0</v>
      </c>
      <c r="H260" s="232"/>
      <c r="I260" s="233">
        <v>0</v>
      </c>
      <c r="J260" s="233">
        <v>0</v>
      </c>
      <c r="K260" s="233">
        <v>0</v>
      </c>
      <c r="L260" s="232">
        <v>0</v>
      </c>
      <c r="M260" s="232"/>
      <c r="N260" s="233">
        <v>0</v>
      </c>
      <c r="O260" s="233">
        <v>0</v>
      </c>
      <c r="P260" s="233">
        <v>0</v>
      </c>
      <c r="Q260" s="232">
        <v>139807</v>
      </c>
      <c r="R260" s="233">
        <f t="shared" si="3"/>
        <v>0</v>
      </c>
      <c r="S260" s="232"/>
      <c r="T260" s="233">
        <v>0</v>
      </c>
      <c r="U260" s="234">
        <v>-69872</v>
      </c>
      <c r="V260" s="234">
        <v>-69872</v>
      </c>
    </row>
    <row r="261" spans="1:22">
      <c r="A261" s="227">
        <v>92611</v>
      </c>
      <c r="B261" s="228" t="s">
        <v>973</v>
      </c>
      <c r="C261" s="87">
        <v>1.3650799999999999E-2</v>
      </c>
      <c r="D261" s="87">
        <v>1.3731999999999999E-2</v>
      </c>
      <c r="E261" s="232">
        <v>5062641.3499999996</v>
      </c>
      <c r="F261" s="232">
        <v>6162839</v>
      </c>
      <c r="G261" s="232">
        <v>28971571</v>
      </c>
      <c r="H261" s="232"/>
      <c r="I261" s="233">
        <v>544325.65</v>
      </c>
      <c r="J261" s="233">
        <v>25388331</v>
      </c>
      <c r="K261" s="233">
        <v>1984294</v>
      </c>
      <c r="L261" s="232">
        <v>20320</v>
      </c>
      <c r="M261" s="232"/>
      <c r="N261" s="233">
        <v>1015196</v>
      </c>
      <c r="O261" s="233">
        <v>9370701</v>
      </c>
      <c r="P261" s="233">
        <v>0</v>
      </c>
      <c r="Q261" s="232">
        <v>707501</v>
      </c>
      <c r="R261" s="233">
        <f t="shared" si="3"/>
        <v>16017630</v>
      </c>
      <c r="S261" s="232"/>
      <c r="T261" s="233">
        <v>7743676</v>
      </c>
      <c r="U261" s="234">
        <v>-194650</v>
      </c>
      <c r="V261" s="234">
        <v>7549026</v>
      </c>
    </row>
    <row r="262" spans="1:22">
      <c r="A262" s="227">
        <v>92613</v>
      </c>
      <c r="B262" s="228" t="s">
        <v>974</v>
      </c>
      <c r="C262" s="87">
        <v>2.81E-4</v>
      </c>
      <c r="D262" s="87">
        <v>2.9250000000000001E-4</v>
      </c>
      <c r="E262" s="232">
        <v>141183.12999999998</v>
      </c>
      <c r="F262" s="232">
        <v>131272</v>
      </c>
      <c r="G262" s="232">
        <v>596376</v>
      </c>
      <c r="H262" s="232"/>
      <c r="I262" s="233">
        <v>11204.875</v>
      </c>
      <c r="J262" s="233">
        <v>522616</v>
      </c>
      <c r="K262" s="233">
        <v>40846</v>
      </c>
      <c r="L262" s="232">
        <v>119119</v>
      </c>
      <c r="M262" s="232"/>
      <c r="N262" s="233">
        <v>20898</v>
      </c>
      <c r="O262" s="233">
        <v>192895</v>
      </c>
      <c r="P262" s="233">
        <v>0</v>
      </c>
      <c r="Q262" s="232">
        <v>1892</v>
      </c>
      <c r="R262" s="233">
        <f t="shared" si="3"/>
        <v>329721</v>
      </c>
      <c r="S262" s="232"/>
      <c r="T262" s="233">
        <v>159403</v>
      </c>
      <c r="U262" s="234">
        <v>39940</v>
      </c>
      <c r="V262" s="234">
        <v>199343</v>
      </c>
    </row>
    <row r="263" spans="1:22">
      <c r="A263" s="227">
        <v>92614</v>
      </c>
      <c r="B263" s="228" t="s">
        <v>975</v>
      </c>
      <c r="C263" s="87">
        <v>5.6468000000000004E-3</v>
      </c>
      <c r="D263" s="87">
        <v>5.6173999999999998E-3</v>
      </c>
      <c r="E263" s="232">
        <v>4370417.1500000004</v>
      </c>
      <c r="F263" s="232">
        <v>2521055</v>
      </c>
      <c r="G263" s="232">
        <v>11984401</v>
      </c>
      <c r="H263" s="232"/>
      <c r="I263" s="233">
        <v>225166</v>
      </c>
      <c r="J263" s="233">
        <v>10502156</v>
      </c>
      <c r="K263" s="233">
        <v>820824</v>
      </c>
      <c r="L263" s="232">
        <v>3097959</v>
      </c>
      <c r="M263" s="232"/>
      <c r="N263" s="233">
        <v>419947</v>
      </c>
      <c r="O263" s="233">
        <v>3876291</v>
      </c>
      <c r="P263" s="233">
        <v>0</v>
      </c>
      <c r="Q263" s="232">
        <v>0</v>
      </c>
      <c r="R263" s="233">
        <f t="shared" si="3"/>
        <v>6625865</v>
      </c>
      <c r="S263" s="232"/>
      <c r="T263" s="233">
        <v>3203255</v>
      </c>
      <c r="U263" s="234">
        <v>970834</v>
      </c>
      <c r="V263" s="234">
        <v>4174089</v>
      </c>
    </row>
    <row r="264" spans="1:22">
      <c r="A264" s="227">
        <v>92621</v>
      </c>
      <c r="B264" s="228" t="s">
        <v>976</v>
      </c>
      <c r="C264" s="87">
        <v>3.2799999999999998E-5</v>
      </c>
      <c r="D264" s="87">
        <v>3.3099999999999998E-5</v>
      </c>
      <c r="E264" s="232">
        <v>12383.630000000001</v>
      </c>
      <c r="F264" s="232">
        <v>14855</v>
      </c>
      <c r="G264" s="232">
        <v>69613</v>
      </c>
      <c r="H264" s="232"/>
      <c r="I264" s="233">
        <v>1308</v>
      </c>
      <c r="J264" s="233">
        <v>61003</v>
      </c>
      <c r="K264" s="233">
        <v>4768</v>
      </c>
      <c r="L264" s="232">
        <v>1351</v>
      </c>
      <c r="M264" s="232"/>
      <c r="N264" s="233">
        <v>2439</v>
      </c>
      <c r="O264" s="233">
        <v>22516</v>
      </c>
      <c r="P264" s="233">
        <v>0</v>
      </c>
      <c r="Q264" s="232">
        <v>3050</v>
      </c>
      <c r="R264" s="233">
        <f t="shared" si="3"/>
        <v>38487</v>
      </c>
      <c r="S264" s="232"/>
      <c r="T264" s="233">
        <v>18606</v>
      </c>
      <c r="U264" s="234">
        <v>-800</v>
      </c>
      <c r="V264" s="234">
        <v>17806</v>
      </c>
    </row>
    <row r="265" spans="1:22">
      <c r="A265" s="227">
        <v>92631</v>
      </c>
      <c r="B265" s="228" t="s">
        <v>977</v>
      </c>
      <c r="C265" s="87">
        <v>1.0068E-3</v>
      </c>
      <c r="D265" s="87">
        <v>1.0248E-3</v>
      </c>
      <c r="E265" s="232">
        <v>343817.77</v>
      </c>
      <c r="F265" s="232">
        <v>459924</v>
      </c>
      <c r="G265" s="232">
        <v>2136767</v>
      </c>
      <c r="H265" s="232"/>
      <c r="I265" s="233">
        <v>40146.15</v>
      </c>
      <c r="J265" s="233">
        <v>1872489</v>
      </c>
      <c r="K265" s="233">
        <v>146349</v>
      </c>
      <c r="L265" s="232">
        <v>0</v>
      </c>
      <c r="M265" s="232"/>
      <c r="N265" s="233">
        <v>74875</v>
      </c>
      <c r="O265" s="233">
        <v>691126</v>
      </c>
      <c r="P265" s="233">
        <v>0</v>
      </c>
      <c r="Q265" s="232">
        <v>101284</v>
      </c>
      <c r="R265" s="233">
        <f t="shared" ref="R265:R328" si="4">IF(J265&gt;O265,J265-O265,O265-J265)</f>
        <v>1181363</v>
      </c>
      <c r="S265" s="232"/>
      <c r="T265" s="233">
        <v>571126</v>
      </c>
      <c r="U265" s="234">
        <v>-30677</v>
      </c>
      <c r="V265" s="234">
        <v>540449</v>
      </c>
    </row>
    <row r="266" spans="1:22">
      <c r="A266" s="227">
        <v>92641</v>
      </c>
      <c r="B266" s="228" t="s">
        <v>978</v>
      </c>
      <c r="C266" s="87">
        <v>1.03E-5</v>
      </c>
      <c r="D266" s="87">
        <v>1.0699999999999999E-5</v>
      </c>
      <c r="E266" s="232">
        <v>4921.7</v>
      </c>
      <c r="F266" s="232">
        <v>4802</v>
      </c>
      <c r="G266" s="232">
        <v>21860</v>
      </c>
      <c r="H266" s="232"/>
      <c r="I266" s="233">
        <v>410.71249999999998</v>
      </c>
      <c r="J266" s="233">
        <v>19156</v>
      </c>
      <c r="K266" s="233">
        <v>1497</v>
      </c>
      <c r="L266" s="232">
        <v>2730</v>
      </c>
      <c r="M266" s="232"/>
      <c r="N266" s="233">
        <v>766</v>
      </c>
      <c r="O266" s="233">
        <v>7071</v>
      </c>
      <c r="P266" s="233">
        <v>0</v>
      </c>
      <c r="Q266" s="232">
        <v>1900</v>
      </c>
      <c r="R266" s="233">
        <f t="shared" si="4"/>
        <v>12085</v>
      </c>
      <c r="S266" s="232"/>
      <c r="T266" s="233">
        <v>5843</v>
      </c>
      <c r="U266" s="234">
        <v>-18</v>
      </c>
      <c r="V266" s="234">
        <v>5825</v>
      </c>
    </row>
    <row r="267" spans="1:22">
      <c r="A267" s="227">
        <v>92651</v>
      </c>
      <c r="B267" s="228" t="s">
        <v>979</v>
      </c>
      <c r="C267" s="87">
        <v>2.6000000000000001E-6</v>
      </c>
      <c r="D267" s="87">
        <v>2.3999999999999999E-6</v>
      </c>
      <c r="E267" s="232">
        <v>2706.64</v>
      </c>
      <c r="F267" s="232">
        <v>1077</v>
      </c>
      <c r="G267" s="232">
        <v>5518</v>
      </c>
      <c r="H267" s="232"/>
      <c r="I267" s="233">
        <v>103.675</v>
      </c>
      <c r="J267" s="233">
        <v>4836</v>
      </c>
      <c r="K267" s="233">
        <v>378</v>
      </c>
      <c r="L267" s="232">
        <v>2819</v>
      </c>
      <c r="M267" s="232"/>
      <c r="N267" s="233">
        <v>193</v>
      </c>
      <c r="O267" s="233">
        <v>1785</v>
      </c>
      <c r="P267" s="233">
        <v>0</v>
      </c>
      <c r="Q267" s="232">
        <v>0</v>
      </c>
      <c r="R267" s="233">
        <f t="shared" si="4"/>
        <v>3051</v>
      </c>
      <c r="S267" s="232"/>
      <c r="T267" s="233">
        <v>1475</v>
      </c>
      <c r="U267" s="234">
        <v>953</v>
      </c>
      <c r="V267" s="234">
        <v>2428</v>
      </c>
    </row>
    <row r="268" spans="1:22">
      <c r="A268" s="227">
        <v>92661</v>
      </c>
      <c r="B268" s="228" t="s">
        <v>980</v>
      </c>
      <c r="C268" s="87">
        <v>6.6299999999999996E-4</v>
      </c>
      <c r="D268" s="87">
        <v>6.7860000000000001E-4</v>
      </c>
      <c r="E268" s="232">
        <v>505437.85000000003</v>
      </c>
      <c r="F268" s="232">
        <v>304552</v>
      </c>
      <c r="G268" s="232">
        <v>1407108</v>
      </c>
      <c r="H268" s="232"/>
      <c r="I268" s="233">
        <v>26437.125</v>
      </c>
      <c r="J268" s="233">
        <v>1233075</v>
      </c>
      <c r="K268" s="233">
        <v>96374</v>
      </c>
      <c r="L268" s="232">
        <v>293360</v>
      </c>
      <c r="M268" s="232"/>
      <c r="N268" s="233">
        <v>49307</v>
      </c>
      <c r="O268" s="233">
        <v>455122</v>
      </c>
      <c r="P268" s="233">
        <v>0</v>
      </c>
      <c r="Q268" s="232">
        <v>33924</v>
      </c>
      <c r="R268" s="233">
        <f t="shared" si="4"/>
        <v>777953</v>
      </c>
      <c r="S268" s="232"/>
      <c r="T268" s="233">
        <v>376099</v>
      </c>
      <c r="U268" s="234">
        <v>70124</v>
      </c>
      <c r="V268" s="234">
        <v>446224</v>
      </c>
    </row>
    <row r="269" spans="1:22">
      <c r="A269" s="227">
        <v>92671</v>
      </c>
      <c r="B269" s="228" t="s">
        <v>981</v>
      </c>
      <c r="C269" s="87">
        <v>2.9000000000000002E-6</v>
      </c>
      <c r="D269" s="87">
        <v>3.4999999999999999E-6</v>
      </c>
      <c r="E269" s="232">
        <v>4773.75</v>
      </c>
      <c r="F269" s="232">
        <v>1571</v>
      </c>
      <c r="G269" s="232">
        <v>6155</v>
      </c>
      <c r="H269" s="232"/>
      <c r="I269" s="233">
        <v>115.6375</v>
      </c>
      <c r="J269" s="233">
        <v>5394</v>
      </c>
      <c r="K269" s="233">
        <v>422</v>
      </c>
      <c r="L269" s="232">
        <v>4608</v>
      </c>
      <c r="M269" s="232"/>
      <c r="N269" s="233">
        <v>216</v>
      </c>
      <c r="O269" s="233">
        <v>1991</v>
      </c>
      <c r="P269" s="233">
        <v>0</v>
      </c>
      <c r="Q269" s="232">
        <v>0</v>
      </c>
      <c r="R269" s="233">
        <f t="shared" si="4"/>
        <v>3403</v>
      </c>
      <c r="S269" s="232"/>
      <c r="T269" s="233">
        <v>1645</v>
      </c>
      <c r="U269" s="234">
        <v>1438</v>
      </c>
      <c r="V269" s="234">
        <v>3083</v>
      </c>
    </row>
    <row r="270" spans="1:22">
      <c r="A270" s="227">
        <v>92681</v>
      </c>
      <c r="B270" s="228" t="s">
        <v>982</v>
      </c>
      <c r="C270" s="87">
        <v>1.01E-5</v>
      </c>
      <c r="D270" s="87">
        <v>5.4E-6</v>
      </c>
      <c r="E270" s="232">
        <v>9613.7899999999991</v>
      </c>
      <c r="F270" s="232">
        <v>2423</v>
      </c>
      <c r="G270" s="232">
        <v>21436</v>
      </c>
      <c r="H270" s="232"/>
      <c r="I270" s="233">
        <v>402.73750000000001</v>
      </c>
      <c r="J270" s="233">
        <v>18784</v>
      </c>
      <c r="K270" s="233">
        <v>1468</v>
      </c>
      <c r="L270" s="232">
        <v>11040</v>
      </c>
      <c r="M270" s="232"/>
      <c r="N270" s="233">
        <v>751</v>
      </c>
      <c r="O270" s="233">
        <v>6933</v>
      </c>
      <c r="P270" s="233">
        <v>0</v>
      </c>
      <c r="Q270" s="232">
        <v>0</v>
      </c>
      <c r="R270" s="233">
        <f t="shared" si="4"/>
        <v>11851</v>
      </c>
      <c r="S270" s="232"/>
      <c r="T270" s="233">
        <v>5729</v>
      </c>
      <c r="U270" s="234">
        <v>3452</v>
      </c>
      <c r="V270" s="234">
        <v>9181</v>
      </c>
    </row>
    <row r="271" spans="1:22">
      <c r="A271" s="227">
        <v>92701</v>
      </c>
      <c r="B271" s="228" t="s">
        <v>983</v>
      </c>
      <c r="C271" s="87">
        <v>2.9588000000000001E-3</v>
      </c>
      <c r="D271" s="87">
        <v>2.8249999999999998E-3</v>
      </c>
      <c r="E271" s="232">
        <v>1147170.26</v>
      </c>
      <c r="F271" s="232">
        <v>1267843</v>
      </c>
      <c r="G271" s="232">
        <v>6279565</v>
      </c>
      <c r="H271" s="232"/>
      <c r="I271" s="233">
        <v>117982</v>
      </c>
      <c r="J271" s="233">
        <v>5502901</v>
      </c>
      <c r="K271" s="233">
        <v>430094</v>
      </c>
      <c r="L271" s="232">
        <v>17190</v>
      </c>
      <c r="M271" s="232"/>
      <c r="N271" s="233">
        <v>220043</v>
      </c>
      <c r="O271" s="233">
        <v>2031092</v>
      </c>
      <c r="P271" s="233">
        <v>0</v>
      </c>
      <c r="Q271" s="232">
        <v>81579</v>
      </c>
      <c r="R271" s="233">
        <f t="shared" si="4"/>
        <v>3471809</v>
      </c>
      <c r="S271" s="232"/>
      <c r="T271" s="233">
        <v>1678436</v>
      </c>
      <c r="U271" s="234">
        <v>-34202</v>
      </c>
      <c r="V271" s="234">
        <v>1644234</v>
      </c>
    </row>
    <row r="272" spans="1:22">
      <c r="A272" s="227">
        <v>92704</v>
      </c>
      <c r="B272" s="228" t="s">
        <v>984</v>
      </c>
      <c r="C272" s="87">
        <v>4.7700000000000001E-5</v>
      </c>
      <c r="D272" s="87">
        <v>4.8000000000000001E-5</v>
      </c>
      <c r="E272" s="232">
        <v>17416.48</v>
      </c>
      <c r="F272" s="232">
        <v>21542</v>
      </c>
      <c r="G272" s="232">
        <v>101235</v>
      </c>
      <c r="H272" s="232"/>
      <c r="I272" s="233">
        <v>1902</v>
      </c>
      <c r="J272" s="233">
        <v>88714</v>
      </c>
      <c r="K272" s="233">
        <v>6934</v>
      </c>
      <c r="L272" s="232">
        <v>2418</v>
      </c>
      <c r="M272" s="232"/>
      <c r="N272" s="233">
        <v>3547</v>
      </c>
      <c r="O272" s="233">
        <v>32744</v>
      </c>
      <c r="P272" s="233">
        <v>0</v>
      </c>
      <c r="Q272" s="232">
        <v>1922</v>
      </c>
      <c r="R272" s="233">
        <f t="shared" si="4"/>
        <v>55970</v>
      </c>
      <c r="S272" s="232"/>
      <c r="T272" s="233">
        <v>27059</v>
      </c>
      <c r="U272" s="234">
        <v>357</v>
      </c>
      <c r="V272" s="234">
        <v>27415</v>
      </c>
    </row>
    <row r="273" spans="1:22">
      <c r="A273" s="227">
        <v>92801</v>
      </c>
      <c r="B273" s="228" t="s">
        <v>985</v>
      </c>
      <c r="C273" s="87">
        <v>5.1701000000000004E-3</v>
      </c>
      <c r="D273" s="87">
        <v>5.1633E-3</v>
      </c>
      <c r="E273" s="232">
        <v>2172949.21</v>
      </c>
      <c r="F273" s="232">
        <v>2317258</v>
      </c>
      <c r="G273" s="232">
        <v>10972684</v>
      </c>
      <c r="H273" s="232"/>
      <c r="I273" s="233">
        <v>206158</v>
      </c>
      <c r="J273" s="233">
        <v>9615569</v>
      </c>
      <c r="K273" s="233">
        <v>751531</v>
      </c>
      <c r="L273" s="232">
        <v>219271</v>
      </c>
      <c r="M273" s="232"/>
      <c r="N273" s="233">
        <v>384495</v>
      </c>
      <c r="O273" s="233">
        <v>3549057</v>
      </c>
      <c r="P273" s="233">
        <v>0</v>
      </c>
      <c r="Q273" s="232">
        <v>0</v>
      </c>
      <c r="R273" s="233">
        <f t="shared" si="4"/>
        <v>6066512</v>
      </c>
      <c r="S273" s="232"/>
      <c r="T273" s="233">
        <v>2932837</v>
      </c>
      <c r="U273" s="234">
        <v>78433</v>
      </c>
      <c r="V273" s="234">
        <v>3011270</v>
      </c>
    </row>
    <row r="274" spans="1:22">
      <c r="A274" s="227">
        <v>92802</v>
      </c>
      <c r="B274" s="228" t="s">
        <v>986</v>
      </c>
      <c r="C274" s="87">
        <v>1.3410000000000001E-4</v>
      </c>
      <c r="D274" s="87">
        <v>1.4359999999999999E-4</v>
      </c>
      <c r="E274" s="232">
        <v>49243.25</v>
      </c>
      <c r="F274" s="232">
        <v>64447</v>
      </c>
      <c r="G274" s="232">
        <v>284605</v>
      </c>
      <c r="H274" s="232"/>
      <c r="I274" s="233">
        <v>5347</v>
      </c>
      <c r="J274" s="233">
        <v>249405</v>
      </c>
      <c r="K274" s="233">
        <v>19493</v>
      </c>
      <c r="L274" s="232">
        <v>0</v>
      </c>
      <c r="M274" s="232"/>
      <c r="N274" s="233">
        <v>9973</v>
      </c>
      <c r="O274" s="233">
        <v>92054</v>
      </c>
      <c r="P274" s="233">
        <v>0</v>
      </c>
      <c r="Q274" s="232">
        <v>17052</v>
      </c>
      <c r="R274" s="233">
        <f t="shared" si="4"/>
        <v>157351</v>
      </c>
      <c r="S274" s="232"/>
      <c r="T274" s="233">
        <v>76071</v>
      </c>
      <c r="U274" s="234">
        <v>-5458</v>
      </c>
      <c r="V274" s="234">
        <v>70613</v>
      </c>
    </row>
    <row r="275" spans="1:22">
      <c r="A275" s="227">
        <v>92804</v>
      </c>
      <c r="B275" s="228" t="s">
        <v>987</v>
      </c>
      <c r="C275" s="87">
        <v>1.47E-4</v>
      </c>
      <c r="D275" s="87">
        <v>1.217E-4</v>
      </c>
      <c r="E275" s="232">
        <v>50468.480000000003</v>
      </c>
      <c r="F275" s="232">
        <v>54618</v>
      </c>
      <c r="G275" s="232">
        <v>311983</v>
      </c>
      <c r="H275" s="232"/>
      <c r="I275" s="233">
        <v>5861.625</v>
      </c>
      <c r="J275" s="233">
        <v>273397</v>
      </c>
      <c r="K275" s="233">
        <v>21368</v>
      </c>
      <c r="L275" s="232">
        <v>12672</v>
      </c>
      <c r="M275" s="232"/>
      <c r="N275" s="233">
        <v>10932</v>
      </c>
      <c r="O275" s="233">
        <v>100909</v>
      </c>
      <c r="P275" s="233">
        <v>0</v>
      </c>
      <c r="Q275" s="232">
        <v>2663</v>
      </c>
      <c r="R275" s="233">
        <f t="shared" si="4"/>
        <v>172488</v>
      </c>
      <c r="S275" s="232"/>
      <c r="T275" s="233">
        <v>83389</v>
      </c>
      <c r="U275" s="234">
        <v>2604</v>
      </c>
      <c r="V275" s="234">
        <v>85992</v>
      </c>
    </row>
    <row r="276" spans="1:22">
      <c r="A276" s="227">
        <v>92811</v>
      </c>
      <c r="B276" s="228" t="s">
        <v>988</v>
      </c>
      <c r="C276" s="87">
        <v>9.8569999999999994E-4</v>
      </c>
      <c r="D276" s="87">
        <v>1.1405E-3</v>
      </c>
      <c r="E276" s="232">
        <v>390969.39999999997</v>
      </c>
      <c r="F276" s="232">
        <v>511850</v>
      </c>
      <c r="G276" s="232">
        <v>2091986</v>
      </c>
      <c r="H276" s="232"/>
      <c r="I276" s="233">
        <v>39305</v>
      </c>
      <c r="J276" s="233">
        <v>1833246</v>
      </c>
      <c r="K276" s="233">
        <v>143282</v>
      </c>
      <c r="L276" s="232">
        <v>0</v>
      </c>
      <c r="M276" s="232"/>
      <c r="N276" s="233">
        <v>73306</v>
      </c>
      <c r="O276" s="233">
        <v>676642</v>
      </c>
      <c r="P276" s="233">
        <v>0</v>
      </c>
      <c r="Q276" s="232">
        <v>118839</v>
      </c>
      <c r="R276" s="233">
        <f t="shared" si="4"/>
        <v>1156604</v>
      </c>
      <c r="S276" s="232"/>
      <c r="T276" s="233">
        <v>559157</v>
      </c>
      <c r="U276" s="234">
        <v>-36047</v>
      </c>
      <c r="V276" s="234">
        <v>523110</v>
      </c>
    </row>
    <row r="277" spans="1:22">
      <c r="A277" s="227">
        <v>92821</v>
      </c>
      <c r="B277" s="228" t="s">
        <v>989</v>
      </c>
      <c r="C277" s="87">
        <v>1.0139999999999999E-3</v>
      </c>
      <c r="D277" s="87">
        <v>9.8010000000000002E-4</v>
      </c>
      <c r="E277" s="232">
        <v>411903.12999999995</v>
      </c>
      <c r="F277" s="232">
        <v>439863</v>
      </c>
      <c r="G277" s="232">
        <v>2152047.69</v>
      </c>
      <c r="H277" s="232"/>
      <c r="I277" s="233">
        <v>40433.25</v>
      </c>
      <c r="J277" s="233">
        <v>1885880</v>
      </c>
      <c r="K277" s="233">
        <v>147396</v>
      </c>
      <c r="L277" s="232">
        <v>27408</v>
      </c>
      <c r="M277" s="232"/>
      <c r="N277" s="233">
        <v>75410</v>
      </c>
      <c r="O277" s="233">
        <v>696068</v>
      </c>
      <c r="P277" s="233">
        <v>0</v>
      </c>
      <c r="Q277" s="232">
        <v>0</v>
      </c>
      <c r="R277" s="233">
        <f t="shared" si="4"/>
        <v>1189812</v>
      </c>
      <c r="S277" s="232"/>
      <c r="T277" s="233">
        <v>575211</v>
      </c>
      <c r="U277" s="234">
        <v>8904</v>
      </c>
      <c r="V277" s="234">
        <v>584115</v>
      </c>
    </row>
    <row r="278" spans="1:22">
      <c r="A278" s="227">
        <v>92831</v>
      </c>
      <c r="B278" s="228" t="s">
        <v>990</v>
      </c>
      <c r="C278" s="87">
        <v>2.476E-4</v>
      </c>
      <c r="D278" s="87">
        <v>2.4049999999999999E-4</v>
      </c>
      <c r="E278" s="232">
        <v>117070.46</v>
      </c>
      <c r="F278" s="232">
        <v>107935</v>
      </c>
      <c r="G278" s="232">
        <v>525490</v>
      </c>
      <c r="H278" s="232"/>
      <c r="I278" s="233">
        <v>9873</v>
      </c>
      <c r="J278" s="233">
        <v>460497</v>
      </c>
      <c r="K278" s="233">
        <v>35991</v>
      </c>
      <c r="L278" s="232">
        <v>29199</v>
      </c>
      <c r="M278" s="232"/>
      <c r="N278" s="233">
        <v>18414</v>
      </c>
      <c r="O278" s="233">
        <v>169967</v>
      </c>
      <c r="P278" s="233">
        <v>0</v>
      </c>
      <c r="Q278" s="232">
        <v>0</v>
      </c>
      <c r="R278" s="233">
        <f t="shared" si="4"/>
        <v>290530</v>
      </c>
      <c r="S278" s="232"/>
      <c r="T278" s="233">
        <v>140456</v>
      </c>
      <c r="U278" s="234">
        <v>10043</v>
      </c>
      <c r="V278" s="234">
        <v>150499</v>
      </c>
    </row>
    <row r="279" spans="1:22">
      <c r="A279" s="227">
        <v>92841</v>
      </c>
      <c r="B279" s="228" t="s">
        <v>991</v>
      </c>
      <c r="C279" s="87">
        <v>2.8160000000000001E-4</v>
      </c>
      <c r="D279" s="87">
        <v>2.7070000000000002E-4</v>
      </c>
      <c r="E279" s="232">
        <v>105224.13999999998</v>
      </c>
      <c r="F279" s="232">
        <v>121489</v>
      </c>
      <c r="G279" s="232">
        <v>597650</v>
      </c>
      <c r="H279" s="232"/>
      <c r="I279" s="233">
        <v>11229</v>
      </c>
      <c r="J279" s="233">
        <v>523732</v>
      </c>
      <c r="K279" s="233">
        <v>40934</v>
      </c>
      <c r="L279" s="232">
        <v>11701.2</v>
      </c>
      <c r="M279" s="232"/>
      <c r="N279" s="233">
        <v>20942</v>
      </c>
      <c r="O279" s="233">
        <v>193307</v>
      </c>
      <c r="P279" s="233">
        <v>0</v>
      </c>
      <c r="Q279" s="232">
        <v>3120</v>
      </c>
      <c r="R279" s="233">
        <f t="shared" si="4"/>
        <v>330425</v>
      </c>
      <c r="S279" s="232"/>
      <c r="T279" s="233">
        <v>159743</v>
      </c>
      <c r="U279" s="234">
        <v>5013</v>
      </c>
      <c r="V279" s="234">
        <v>164756</v>
      </c>
    </row>
    <row r="280" spans="1:22">
      <c r="A280" s="227">
        <v>92851</v>
      </c>
      <c r="B280" s="228" t="s">
        <v>992</v>
      </c>
      <c r="C280" s="87">
        <v>4.3909999999999999E-4</v>
      </c>
      <c r="D280" s="87">
        <v>4.6690000000000002E-4</v>
      </c>
      <c r="E280" s="232">
        <v>157592.29999999999</v>
      </c>
      <c r="F280" s="232">
        <v>209542</v>
      </c>
      <c r="G280" s="232">
        <v>931917</v>
      </c>
      <c r="H280" s="232"/>
      <c r="I280" s="233">
        <v>17509</v>
      </c>
      <c r="J280" s="233">
        <v>816657</v>
      </c>
      <c r="K280" s="233">
        <v>63828</v>
      </c>
      <c r="L280" s="232">
        <v>0</v>
      </c>
      <c r="M280" s="232"/>
      <c r="N280" s="233">
        <v>32655</v>
      </c>
      <c r="O280" s="233">
        <v>301424</v>
      </c>
      <c r="P280" s="233">
        <v>0</v>
      </c>
      <c r="Q280" s="232">
        <v>92000</v>
      </c>
      <c r="R280" s="233">
        <f t="shared" si="4"/>
        <v>515233</v>
      </c>
      <c r="S280" s="232"/>
      <c r="T280" s="233">
        <v>249088</v>
      </c>
      <c r="U280" s="234">
        <v>-34292</v>
      </c>
      <c r="V280" s="234">
        <v>214796</v>
      </c>
    </row>
    <row r="281" spans="1:22">
      <c r="A281" s="227">
        <v>92861</v>
      </c>
      <c r="B281" s="228" t="s">
        <v>993</v>
      </c>
      <c r="C281" s="87">
        <v>3.3629999999999999E-4</v>
      </c>
      <c r="D281" s="87">
        <v>3.7750000000000001E-4</v>
      </c>
      <c r="E281" s="232">
        <v>101705.39000000001</v>
      </c>
      <c r="F281" s="232">
        <v>169420</v>
      </c>
      <c r="G281" s="232">
        <v>713741</v>
      </c>
      <c r="H281" s="232"/>
      <c r="I281" s="233">
        <v>13410</v>
      </c>
      <c r="J281" s="233">
        <v>625465</v>
      </c>
      <c r="K281" s="233">
        <v>48885</v>
      </c>
      <c r="L281" s="232">
        <v>0</v>
      </c>
      <c r="M281" s="232"/>
      <c r="N281" s="233">
        <v>25010</v>
      </c>
      <c r="O281" s="233">
        <v>230856</v>
      </c>
      <c r="P281" s="233">
        <v>0</v>
      </c>
      <c r="Q281" s="232">
        <v>96581</v>
      </c>
      <c r="R281" s="233">
        <f t="shared" si="4"/>
        <v>394609</v>
      </c>
      <c r="S281" s="232"/>
      <c r="T281" s="233">
        <v>190773</v>
      </c>
      <c r="U281" s="234">
        <v>-32224</v>
      </c>
      <c r="V281" s="234">
        <v>158549</v>
      </c>
    </row>
    <row r="282" spans="1:22">
      <c r="A282" s="227">
        <v>92901</v>
      </c>
      <c r="B282" s="228" t="s">
        <v>994</v>
      </c>
      <c r="C282" s="87">
        <v>5.7581000000000004E-3</v>
      </c>
      <c r="D282" s="87">
        <v>5.7428999999999996E-3</v>
      </c>
      <c r="E282" s="232">
        <v>2270580.9300000002</v>
      </c>
      <c r="F282" s="232">
        <v>2577379</v>
      </c>
      <c r="G282" s="232">
        <v>12220617</v>
      </c>
      <c r="H282" s="232"/>
      <c r="I282" s="233">
        <v>229604</v>
      </c>
      <c r="J282" s="233">
        <v>10709156</v>
      </c>
      <c r="K282" s="233">
        <v>837003</v>
      </c>
      <c r="L282" s="232">
        <v>108561</v>
      </c>
      <c r="M282" s="232"/>
      <c r="N282" s="233">
        <v>428224</v>
      </c>
      <c r="O282" s="233">
        <v>3952694</v>
      </c>
      <c r="P282" s="233">
        <v>0</v>
      </c>
      <c r="Q282" s="232">
        <v>69123</v>
      </c>
      <c r="R282" s="233">
        <f t="shared" si="4"/>
        <v>6756462</v>
      </c>
      <c r="S282" s="232"/>
      <c r="T282" s="233">
        <v>3266392</v>
      </c>
      <c r="U282" s="234">
        <v>24956</v>
      </c>
      <c r="V282" s="234">
        <v>3291348</v>
      </c>
    </row>
    <row r="283" spans="1:22">
      <c r="A283" s="227">
        <v>92911</v>
      </c>
      <c r="B283" s="228" t="s">
        <v>995</v>
      </c>
      <c r="C283" s="87">
        <v>1.9442999999999999E-3</v>
      </c>
      <c r="D283" s="87">
        <v>2.0665000000000002E-3</v>
      </c>
      <c r="E283" s="232">
        <v>811710.22</v>
      </c>
      <c r="F283" s="232">
        <v>927433</v>
      </c>
      <c r="G283" s="232">
        <v>4126456</v>
      </c>
      <c r="H283" s="232"/>
      <c r="I283" s="233">
        <v>77529</v>
      </c>
      <c r="J283" s="233">
        <v>3616091</v>
      </c>
      <c r="K283" s="233">
        <v>282625</v>
      </c>
      <c r="L283" s="232">
        <v>0</v>
      </c>
      <c r="M283" s="232"/>
      <c r="N283" s="233">
        <v>144596</v>
      </c>
      <c r="O283" s="233">
        <v>1334680</v>
      </c>
      <c r="P283" s="233">
        <v>0</v>
      </c>
      <c r="Q283" s="232">
        <v>175676</v>
      </c>
      <c r="R283" s="233">
        <f t="shared" si="4"/>
        <v>2281411</v>
      </c>
      <c r="S283" s="232"/>
      <c r="T283" s="233">
        <v>1102941</v>
      </c>
      <c r="U283" s="234">
        <v>-62151</v>
      </c>
      <c r="V283" s="234">
        <v>1040790</v>
      </c>
    </row>
    <row r="284" spans="1:22">
      <c r="A284" s="227">
        <v>92913</v>
      </c>
      <c r="B284" s="228" t="s">
        <v>996</v>
      </c>
      <c r="C284" s="87">
        <v>2.37E-5</v>
      </c>
      <c r="D284" s="87">
        <v>2.97E-5</v>
      </c>
      <c r="E284" s="232">
        <v>56296.04</v>
      </c>
      <c r="F284" s="232">
        <v>13329</v>
      </c>
      <c r="G284" s="232">
        <v>50299</v>
      </c>
      <c r="H284" s="232"/>
      <c r="I284" s="233">
        <v>945.03750000000002</v>
      </c>
      <c r="J284" s="233">
        <v>44078</v>
      </c>
      <c r="K284" s="233">
        <v>3445</v>
      </c>
      <c r="L284" s="232">
        <v>60788</v>
      </c>
      <c r="M284" s="232"/>
      <c r="N284" s="233">
        <v>1763</v>
      </c>
      <c r="O284" s="233">
        <v>16269</v>
      </c>
      <c r="P284" s="233">
        <v>0</v>
      </c>
      <c r="Q284" s="232">
        <v>4115</v>
      </c>
      <c r="R284" s="233">
        <f t="shared" si="4"/>
        <v>27809</v>
      </c>
      <c r="S284" s="232"/>
      <c r="T284" s="233">
        <v>13444</v>
      </c>
      <c r="U284" s="234">
        <v>16266</v>
      </c>
      <c r="V284" s="234">
        <v>29711</v>
      </c>
    </row>
    <row r="285" spans="1:22">
      <c r="A285" s="227">
        <v>92917</v>
      </c>
      <c r="B285" s="228" t="s">
        <v>998</v>
      </c>
      <c r="C285" s="87">
        <v>2.0000000000000002E-5</v>
      </c>
      <c r="D285" s="87">
        <v>1.9599999999999999E-5</v>
      </c>
      <c r="E285" s="232">
        <v>15741.650000000001</v>
      </c>
      <c r="F285" s="232">
        <v>8796</v>
      </c>
      <c r="G285" s="232">
        <v>42447</v>
      </c>
      <c r="H285" s="232"/>
      <c r="I285" s="233">
        <v>798</v>
      </c>
      <c r="J285" s="233">
        <v>37197</v>
      </c>
      <c r="K285" s="233">
        <v>2907</v>
      </c>
      <c r="L285" s="232">
        <v>14645</v>
      </c>
      <c r="M285" s="232"/>
      <c r="N285" s="233">
        <v>1487.38</v>
      </c>
      <c r="O285" s="233">
        <v>13729</v>
      </c>
      <c r="P285" s="233">
        <v>0</v>
      </c>
      <c r="Q285" s="232">
        <v>0</v>
      </c>
      <c r="R285" s="233">
        <f t="shared" si="4"/>
        <v>23468</v>
      </c>
      <c r="S285" s="232"/>
      <c r="T285" s="233">
        <v>11345</v>
      </c>
      <c r="U285" s="234">
        <v>5366</v>
      </c>
      <c r="V285" s="234">
        <v>16711</v>
      </c>
    </row>
    <row r="286" spans="1:22">
      <c r="A286" s="227">
        <v>92921</v>
      </c>
      <c r="B286" s="228" t="s">
        <v>999</v>
      </c>
      <c r="C286" s="87">
        <v>6.2899999999999997E-5</v>
      </c>
      <c r="D286" s="87">
        <v>8.1500000000000002E-5</v>
      </c>
      <c r="E286" s="232">
        <v>34231.150000000009</v>
      </c>
      <c r="F286" s="232">
        <v>36577</v>
      </c>
      <c r="G286" s="232">
        <v>133495</v>
      </c>
      <c r="H286" s="232"/>
      <c r="I286" s="233">
        <v>2508</v>
      </c>
      <c r="J286" s="233">
        <v>116984</v>
      </c>
      <c r="K286" s="233">
        <v>9143</v>
      </c>
      <c r="L286" s="232">
        <v>0</v>
      </c>
      <c r="M286" s="232"/>
      <c r="N286" s="233">
        <v>4678</v>
      </c>
      <c r="O286" s="233">
        <v>43178</v>
      </c>
      <c r="P286" s="233">
        <v>0</v>
      </c>
      <c r="Q286" s="232">
        <v>14056</v>
      </c>
      <c r="R286" s="233">
        <f t="shared" si="4"/>
        <v>73806</v>
      </c>
      <c r="S286" s="232"/>
      <c r="T286" s="233">
        <v>35681</v>
      </c>
      <c r="U286" s="234">
        <v>-6225</v>
      </c>
      <c r="V286" s="234">
        <v>29456</v>
      </c>
    </row>
    <row r="287" spans="1:22">
      <c r="A287" s="227">
        <v>92931</v>
      </c>
      <c r="B287" s="228" t="s">
        <v>1000</v>
      </c>
      <c r="C287" s="87">
        <v>2.5048000000000002E-3</v>
      </c>
      <c r="D287" s="87">
        <v>2.5463E-3</v>
      </c>
      <c r="E287" s="232">
        <v>948741.12999999989</v>
      </c>
      <c r="F287" s="232">
        <v>1142764</v>
      </c>
      <c r="G287" s="232">
        <v>5316025</v>
      </c>
      <c r="H287" s="232"/>
      <c r="I287" s="233">
        <v>99879</v>
      </c>
      <c r="J287" s="233">
        <v>4658532</v>
      </c>
      <c r="K287" s="233">
        <v>364100</v>
      </c>
      <c r="L287" s="232">
        <v>15520</v>
      </c>
      <c r="M287" s="232"/>
      <c r="N287" s="233">
        <v>186279</v>
      </c>
      <c r="O287" s="233">
        <v>1719440</v>
      </c>
      <c r="P287" s="233">
        <v>0</v>
      </c>
      <c r="Q287" s="232">
        <v>116480</v>
      </c>
      <c r="R287" s="233">
        <f t="shared" si="4"/>
        <v>2939092</v>
      </c>
      <c r="S287" s="232"/>
      <c r="T287" s="233">
        <v>1420895</v>
      </c>
      <c r="U287" s="234">
        <v>-25186</v>
      </c>
      <c r="V287" s="234">
        <v>1395710</v>
      </c>
    </row>
    <row r="288" spans="1:22">
      <c r="A288" s="227">
        <v>92941</v>
      </c>
      <c r="B288" s="228" t="s">
        <v>81</v>
      </c>
      <c r="C288" s="87">
        <v>1.84E-5</v>
      </c>
      <c r="D288" s="87">
        <v>1.5999999999999999E-5</v>
      </c>
      <c r="E288" s="232">
        <v>7189.9199999999992</v>
      </c>
      <c r="F288" s="232">
        <v>7181</v>
      </c>
      <c r="G288" s="232">
        <v>39051</v>
      </c>
      <c r="H288" s="232"/>
      <c r="I288" s="233">
        <v>733.7</v>
      </c>
      <c r="J288" s="233">
        <v>34221</v>
      </c>
      <c r="K288" s="233">
        <v>2675</v>
      </c>
      <c r="L288" s="232">
        <v>10216</v>
      </c>
      <c r="M288" s="232"/>
      <c r="N288" s="233">
        <v>1368</v>
      </c>
      <c r="O288" s="233">
        <v>12631</v>
      </c>
      <c r="P288" s="233">
        <v>0</v>
      </c>
      <c r="Q288" s="232">
        <v>0</v>
      </c>
      <c r="R288" s="233">
        <f t="shared" si="4"/>
        <v>21590</v>
      </c>
      <c r="S288" s="232"/>
      <c r="T288" s="233">
        <v>10438</v>
      </c>
      <c r="U288" s="234">
        <v>3605</v>
      </c>
      <c r="V288" s="234">
        <v>14042</v>
      </c>
    </row>
    <row r="289" spans="1:22">
      <c r="A289" s="227">
        <v>93001</v>
      </c>
      <c r="B289" s="228" t="s">
        <v>1001</v>
      </c>
      <c r="C289" s="87">
        <v>2.2739000000000001E-3</v>
      </c>
      <c r="D289" s="87">
        <v>2.2177999999999998E-3</v>
      </c>
      <c r="E289" s="232">
        <v>863907.18</v>
      </c>
      <c r="F289" s="232">
        <v>995335</v>
      </c>
      <c r="G289" s="232">
        <v>4825978</v>
      </c>
      <c r="H289" s="232"/>
      <c r="I289" s="233">
        <v>90672</v>
      </c>
      <c r="J289" s="233">
        <v>4229095</v>
      </c>
      <c r="K289" s="233">
        <v>330536</v>
      </c>
      <c r="L289" s="232">
        <v>13531</v>
      </c>
      <c r="M289" s="232"/>
      <c r="N289" s="233">
        <v>169108</v>
      </c>
      <c r="O289" s="233">
        <v>1560937</v>
      </c>
      <c r="P289" s="233">
        <v>0</v>
      </c>
      <c r="Q289" s="232">
        <v>103635</v>
      </c>
      <c r="R289" s="233">
        <f t="shared" si="4"/>
        <v>2668158</v>
      </c>
      <c r="S289" s="232"/>
      <c r="T289" s="233">
        <v>1289913</v>
      </c>
      <c r="U289" s="234">
        <v>-40908</v>
      </c>
      <c r="V289" s="234">
        <v>1249005</v>
      </c>
    </row>
    <row r="290" spans="1:22">
      <c r="A290" s="227">
        <v>93009</v>
      </c>
      <c r="B290" s="228" t="s">
        <v>1002</v>
      </c>
      <c r="C290" s="87">
        <v>1.5400000000000002E-5</v>
      </c>
      <c r="D290" s="87">
        <v>1.6399999999999999E-5</v>
      </c>
      <c r="E290" s="232">
        <v>4865.2100000000009</v>
      </c>
      <c r="F290" s="232">
        <v>7360</v>
      </c>
      <c r="G290" s="232">
        <v>32684</v>
      </c>
      <c r="H290" s="232"/>
      <c r="I290" s="233">
        <v>614</v>
      </c>
      <c r="J290" s="233">
        <v>28642</v>
      </c>
      <c r="K290" s="233">
        <v>2239</v>
      </c>
      <c r="L290" s="232">
        <v>0</v>
      </c>
      <c r="M290" s="232"/>
      <c r="N290" s="233">
        <v>1145</v>
      </c>
      <c r="O290" s="233">
        <v>10571</v>
      </c>
      <c r="P290" s="233">
        <v>0</v>
      </c>
      <c r="Q290" s="232">
        <v>4210</v>
      </c>
      <c r="R290" s="233">
        <f t="shared" si="4"/>
        <v>18071</v>
      </c>
      <c r="S290" s="232"/>
      <c r="T290" s="233">
        <v>8736</v>
      </c>
      <c r="U290" s="234">
        <v>-1521</v>
      </c>
      <c r="V290" s="234">
        <v>7215</v>
      </c>
    </row>
    <row r="291" spans="1:22">
      <c r="A291" s="227">
        <v>93011</v>
      </c>
      <c r="B291" s="228" t="s">
        <v>1003</v>
      </c>
      <c r="C291" s="87">
        <v>2.6160000000000002E-4</v>
      </c>
      <c r="D291" s="87">
        <v>2.9179999999999999E-4</v>
      </c>
      <c r="E291" s="232">
        <v>124242.32999999999</v>
      </c>
      <c r="F291" s="232">
        <v>130958</v>
      </c>
      <c r="G291" s="232">
        <v>555203</v>
      </c>
      <c r="H291" s="232"/>
      <c r="I291" s="233">
        <v>10431</v>
      </c>
      <c r="J291" s="233">
        <v>486535</v>
      </c>
      <c r="K291" s="233">
        <v>38026</v>
      </c>
      <c r="L291" s="232">
        <v>2390</v>
      </c>
      <c r="M291" s="232"/>
      <c r="N291" s="233">
        <v>19455</v>
      </c>
      <c r="O291" s="233">
        <v>179577</v>
      </c>
      <c r="P291" s="233">
        <v>0</v>
      </c>
      <c r="Q291" s="232">
        <v>5043</v>
      </c>
      <c r="R291" s="233">
        <f t="shared" si="4"/>
        <v>306958</v>
      </c>
      <c r="S291" s="232"/>
      <c r="T291" s="233">
        <v>148398</v>
      </c>
      <c r="U291" s="234">
        <v>-926</v>
      </c>
      <c r="V291" s="234">
        <v>147472</v>
      </c>
    </row>
    <row r="292" spans="1:22">
      <c r="A292" s="227">
        <v>93021</v>
      </c>
      <c r="B292" s="228" t="s">
        <v>1004</v>
      </c>
      <c r="C292" s="87">
        <v>2.8900000000000001E-5</v>
      </c>
      <c r="D292" s="87">
        <v>3.7200000000000003E-5</v>
      </c>
      <c r="E292" s="232">
        <v>9086.3100000000013</v>
      </c>
      <c r="F292" s="232">
        <v>16695</v>
      </c>
      <c r="G292" s="232">
        <v>61335</v>
      </c>
      <c r="H292" s="232"/>
      <c r="I292" s="233">
        <v>1152.3875</v>
      </c>
      <c r="J292" s="233">
        <v>53749</v>
      </c>
      <c r="K292" s="233">
        <v>4201</v>
      </c>
      <c r="L292" s="232">
        <v>4054</v>
      </c>
      <c r="M292" s="232"/>
      <c r="N292" s="233">
        <v>2149</v>
      </c>
      <c r="O292" s="233">
        <v>19839</v>
      </c>
      <c r="P292" s="233">
        <v>0</v>
      </c>
      <c r="Q292" s="232">
        <v>6719</v>
      </c>
      <c r="R292" s="233">
        <f t="shared" si="4"/>
        <v>33910</v>
      </c>
      <c r="S292" s="232"/>
      <c r="T292" s="233">
        <v>16394</v>
      </c>
      <c r="U292" s="234">
        <v>-87</v>
      </c>
      <c r="V292" s="234">
        <v>16307</v>
      </c>
    </row>
    <row r="293" spans="1:22">
      <c r="A293" s="227">
        <v>93027</v>
      </c>
      <c r="B293" s="228" t="s">
        <v>1005</v>
      </c>
      <c r="C293" s="87">
        <v>1.6699999999999999E-5</v>
      </c>
      <c r="D293" s="87">
        <v>1.49E-5</v>
      </c>
      <c r="E293" s="232">
        <v>6776.7999999999993</v>
      </c>
      <c r="F293" s="232">
        <v>6687</v>
      </c>
      <c r="G293" s="232">
        <v>35443</v>
      </c>
      <c r="H293" s="232"/>
      <c r="I293" s="233">
        <v>665.91250000000002</v>
      </c>
      <c r="J293" s="233">
        <v>31059</v>
      </c>
      <c r="K293" s="233">
        <v>2428</v>
      </c>
      <c r="L293" s="232">
        <v>903</v>
      </c>
      <c r="M293" s="232"/>
      <c r="N293" s="233">
        <v>1242</v>
      </c>
      <c r="O293" s="233">
        <v>11464</v>
      </c>
      <c r="P293" s="233">
        <v>0</v>
      </c>
      <c r="Q293" s="232">
        <v>1496</v>
      </c>
      <c r="R293" s="233">
        <f t="shared" si="4"/>
        <v>19595</v>
      </c>
      <c r="S293" s="232"/>
      <c r="T293" s="233">
        <v>9473</v>
      </c>
      <c r="U293" s="234">
        <v>-429</v>
      </c>
      <c r="V293" s="234">
        <v>9045</v>
      </c>
    </row>
    <row r="294" spans="1:22">
      <c r="A294" s="227">
        <v>93031</v>
      </c>
      <c r="B294" s="228" t="s">
        <v>1006</v>
      </c>
      <c r="C294" s="87">
        <v>2.2399999999999999E-5</v>
      </c>
      <c r="D294" s="87">
        <v>1.4399999999999999E-5</v>
      </c>
      <c r="E294" s="232">
        <v>20148.699999999997</v>
      </c>
      <c r="F294" s="232">
        <v>6463</v>
      </c>
      <c r="G294" s="232">
        <v>47540</v>
      </c>
      <c r="H294" s="232"/>
      <c r="I294" s="233">
        <v>893</v>
      </c>
      <c r="J294" s="233">
        <v>41660</v>
      </c>
      <c r="K294" s="233">
        <v>3256</v>
      </c>
      <c r="L294" s="232">
        <v>15165</v>
      </c>
      <c r="M294" s="232"/>
      <c r="N294" s="233">
        <v>1666</v>
      </c>
      <c r="O294" s="233">
        <v>15377</v>
      </c>
      <c r="P294" s="233">
        <v>0</v>
      </c>
      <c r="Q294" s="232">
        <v>444</v>
      </c>
      <c r="R294" s="233">
        <f t="shared" si="4"/>
        <v>26283</v>
      </c>
      <c r="S294" s="232"/>
      <c r="T294" s="233">
        <v>12707</v>
      </c>
      <c r="U294" s="234">
        <v>3911</v>
      </c>
      <c r="V294" s="234">
        <v>16617</v>
      </c>
    </row>
    <row r="295" spans="1:22">
      <c r="A295" s="227">
        <v>93101</v>
      </c>
      <c r="B295" s="228" t="s">
        <v>1007</v>
      </c>
      <c r="C295" s="87">
        <v>3.5771000000000002E-3</v>
      </c>
      <c r="D295" s="87">
        <v>3.2972000000000001E-3</v>
      </c>
      <c r="E295" s="232">
        <v>1332692.0400000003</v>
      </c>
      <c r="F295" s="232">
        <v>1479764</v>
      </c>
      <c r="G295" s="232">
        <v>7591805</v>
      </c>
      <c r="H295" s="232"/>
      <c r="I295" s="233">
        <v>142637</v>
      </c>
      <c r="J295" s="233">
        <v>6652841</v>
      </c>
      <c r="K295" s="233">
        <v>519971</v>
      </c>
      <c r="L295" s="232">
        <v>172542</v>
      </c>
      <c r="M295" s="232"/>
      <c r="N295" s="233">
        <v>266025</v>
      </c>
      <c r="O295" s="233">
        <v>2455529</v>
      </c>
      <c r="P295" s="233">
        <v>0</v>
      </c>
      <c r="Q295" s="232">
        <v>0</v>
      </c>
      <c r="R295" s="233">
        <f t="shared" si="4"/>
        <v>4197312</v>
      </c>
      <c r="S295" s="232"/>
      <c r="T295" s="233">
        <v>2029178</v>
      </c>
      <c r="U295" s="234">
        <v>68285</v>
      </c>
      <c r="V295" s="234">
        <v>2097463</v>
      </c>
    </row>
    <row r="296" spans="1:22">
      <c r="A296" s="227">
        <v>93103</v>
      </c>
      <c r="B296" s="228" t="s">
        <v>260</v>
      </c>
      <c r="C296" s="87">
        <v>1.7200000000000001E-5</v>
      </c>
      <c r="D296" s="87">
        <v>0</v>
      </c>
      <c r="E296" s="232">
        <v>5178.82</v>
      </c>
      <c r="F296" s="232">
        <v>0</v>
      </c>
      <c r="G296" s="232">
        <v>36504</v>
      </c>
      <c r="H296" s="232"/>
      <c r="I296" s="233">
        <v>685.85</v>
      </c>
      <c r="J296" s="233">
        <v>31989</v>
      </c>
      <c r="K296" s="233">
        <v>2500</v>
      </c>
      <c r="L296" s="232">
        <v>9253</v>
      </c>
      <c r="M296" s="232"/>
      <c r="N296" s="233">
        <v>1279</v>
      </c>
      <c r="O296" s="233">
        <v>11807</v>
      </c>
      <c r="P296" s="233">
        <v>0</v>
      </c>
      <c r="Q296" s="232">
        <v>0</v>
      </c>
      <c r="R296" s="233">
        <f t="shared" si="4"/>
        <v>20182</v>
      </c>
      <c r="S296" s="232"/>
      <c r="T296" s="233">
        <v>9757</v>
      </c>
      <c r="U296" s="234">
        <v>2535</v>
      </c>
      <c r="V296" s="234">
        <v>12292</v>
      </c>
    </row>
    <row r="297" spans="1:22">
      <c r="A297" s="227">
        <v>93108</v>
      </c>
      <c r="B297" s="228" t="s">
        <v>1008</v>
      </c>
      <c r="C297" s="87">
        <v>2.5661999999999998E-3</v>
      </c>
      <c r="D297" s="87">
        <v>2.4540999999999999E-3</v>
      </c>
      <c r="E297" s="232">
        <v>1060594.6199999999</v>
      </c>
      <c r="F297" s="232">
        <v>1101385</v>
      </c>
      <c r="G297" s="232">
        <v>5446336</v>
      </c>
      <c r="H297" s="232"/>
      <c r="I297" s="233">
        <v>102327</v>
      </c>
      <c r="J297" s="233">
        <v>4772727</v>
      </c>
      <c r="K297" s="233">
        <v>373025</v>
      </c>
      <c r="L297" s="232">
        <v>417043</v>
      </c>
      <c r="M297" s="232"/>
      <c r="N297" s="233">
        <v>190846</v>
      </c>
      <c r="O297" s="233">
        <v>1761589</v>
      </c>
      <c r="P297" s="233">
        <v>0</v>
      </c>
      <c r="Q297" s="232">
        <v>0</v>
      </c>
      <c r="R297" s="233">
        <f t="shared" si="4"/>
        <v>3011138</v>
      </c>
      <c r="S297" s="232"/>
      <c r="T297" s="233">
        <v>1455726</v>
      </c>
      <c r="U297" s="234">
        <v>180256</v>
      </c>
      <c r="V297" s="234">
        <v>1635982</v>
      </c>
    </row>
    <row r="298" spans="1:22">
      <c r="A298" s="227">
        <v>93111</v>
      </c>
      <c r="B298" s="228" t="s">
        <v>1009</v>
      </c>
      <c r="C298" s="87">
        <v>7.08E-5</v>
      </c>
      <c r="D298" s="87">
        <v>7.3700000000000002E-5</v>
      </c>
      <c r="E298" s="232">
        <v>24671.1</v>
      </c>
      <c r="F298" s="232">
        <v>33076</v>
      </c>
      <c r="G298" s="232">
        <v>150261</v>
      </c>
      <c r="H298" s="232"/>
      <c r="I298" s="233">
        <v>2823.15</v>
      </c>
      <c r="J298" s="233">
        <v>131677</v>
      </c>
      <c r="K298" s="233">
        <v>10292</v>
      </c>
      <c r="L298" s="232">
        <v>0</v>
      </c>
      <c r="M298" s="232"/>
      <c r="N298" s="233">
        <v>5265</v>
      </c>
      <c r="O298" s="233">
        <v>48601</v>
      </c>
      <c r="P298" s="233">
        <v>0</v>
      </c>
      <c r="Q298" s="232">
        <v>10981</v>
      </c>
      <c r="R298" s="233">
        <f t="shared" si="4"/>
        <v>83076</v>
      </c>
      <c r="S298" s="232"/>
      <c r="T298" s="233">
        <v>40163</v>
      </c>
      <c r="U298" s="234">
        <v>-3536</v>
      </c>
      <c r="V298" s="234">
        <v>36626</v>
      </c>
    </row>
    <row r="299" spans="1:22">
      <c r="A299" s="227">
        <v>93121</v>
      </c>
      <c r="B299" s="228" t="s">
        <v>1010</v>
      </c>
      <c r="C299" s="87">
        <v>5.8900000000000002E-5</v>
      </c>
      <c r="D299" s="87">
        <v>7.4900000000000005E-5</v>
      </c>
      <c r="E299" s="232">
        <v>22115.179999999997</v>
      </c>
      <c r="F299" s="232">
        <v>33615</v>
      </c>
      <c r="G299" s="232">
        <v>125006</v>
      </c>
      <c r="H299" s="232"/>
      <c r="I299" s="233">
        <v>2349</v>
      </c>
      <c r="J299" s="233">
        <v>109545</v>
      </c>
      <c r="K299" s="233">
        <v>8562</v>
      </c>
      <c r="L299" s="232">
        <v>0</v>
      </c>
      <c r="M299" s="232"/>
      <c r="N299" s="233">
        <v>4380</v>
      </c>
      <c r="O299" s="233">
        <v>40432</v>
      </c>
      <c r="P299" s="233">
        <v>0</v>
      </c>
      <c r="Q299" s="232">
        <v>13122</v>
      </c>
      <c r="R299" s="233">
        <f t="shared" si="4"/>
        <v>69113</v>
      </c>
      <c r="S299" s="232"/>
      <c r="T299" s="233">
        <v>33412</v>
      </c>
      <c r="U299" s="234">
        <v>-4063</v>
      </c>
      <c r="V299" s="234">
        <v>29349</v>
      </c>
    </row>
    <row r="300" spans="1:22">
      <c r="A300" s="227">
        <v>93127</v>
      </c>
      <c r="B300" s="228" t="s">
        <v>1011</v>
      </c>
      <c r="C300" s="87">
        <v>6.8000000000000001E-6</v>
      </c>
      <c r="D300" s="87">
        <v>7.7999999999999999E-6</v>
      </c>
      <c r="E300" s="232">
        <v>2814.9600000000005</v>
      </c>
      <c r="F300" s="232">
        <v>3501</v>
      </c>
      <c r="G300" s="232">
        <v>14432</v>
      </c>
      <c r="H300" s="232"/>
      <c r="I300" s="233">
        <v>271</v>
      </c>
      <c r="J300" s="233">
        <v>12647</v>
      </c>
      <c r="K300" s="233">
        <v>988</v>
      </c>
      <c r="L300" s="232">
        <v>0</v>
      </c>
      <c r="M300" s="232"/>
      <c r="N300" s="233">
        <v>506</v>
      </c>
      <c r="O300" s="233">
        <v>4668</v>
      </c>
      <c r="P300" s="233">
        <v>0</v>
      </c>
      <c r="Q300" s="232">
        <v>1132</v>
      </c>
      <c r="R300" s="233">
        <f t="shared" si="4"/>
        <v>7979</v>
      </c>
      <c r="S300" s="232"/>
      <c r="T300" s="233">
        <v>3857</v>
      </c>
      <c r="U300" s="234">
        <v>-400</v>
      </c>
      <c r="V300" s="234">
        <v>3457</v>
      </c>
    </row>
    <row r="301" spans="1:22">
      <c r="A301" s="227">
        <v>93131</v>
      </c>
      <c r="B301" s="228" t="s">
        <v>1012</v>
      </c>
      <c r="C301" s="87">
        <v>2.3939999999999999E-4</v>
      </c>
      <c r="D301" s="87">
        <v>2.3680000000000001E-4</v>
      </c>
      <c r="E301" s="232">
        <v>88659.549999999988</v>
      </c>
      <c r="F301" s="232">
        <v>106274</v>
      </c>
      <c r="G301" s="232">
        <v>508087</v>
      </c>
      <c r="H301" s="232"/>
      <c r="I301" s="233">
        <v>9546</v>
      </c>
      <c r="J301" s="233">
        <v>445246</v>
      </c>
      <c r="K301" s="233">
        <v>34799</v>
      </c>
      <c r="L301" s="232">
        <v>13305</v>
      </c>
      <c r="M301" s="232"/>
      <c r="N301" s="233">
        <v>17804</v>
      </c>
      <c r="O301" s="233">
        <v>164338</v>
      </c>
      <c r="P301" s="233">
        <v>0</v>
      </c>
      <c r="Q301" s="232">
        <v>6369</v>
      </c>
      <c r="R301" s="233">
        <f t="shared" si="4"/>
        <v>280908</v>
      </c>
      <c r="S301" s="232"/>
      <c r="T301" s="233">
        <v>135804</v>
      </c>
      <c r="U301" s="234">
        <v>3767</v>
      </c>
      <c r="V301" s="234">
        <v>139571</v>
      </c>
    </row>
    <row r="302" spans="1:22">
      <c r="A302" s="227">
        <v>93137</v>
      </c>
      <c r="B302" s="228" t="s">
        <v>1013</v>
      </c>
      <c r="C302" s="87">
        <v>1.9E-6</v>
      </c>
      <c r="D302" s="87">
        <v>2.0999999999999998E-6</v>
      </c>
      <c r="E302" s="232">
        <v>1986.6299999999999</v>
      </c>
      <c r="F302" s="232">
        <v>942</v>
      </c>
      <c r="G302" s="232">
        <v>4032</v>
      </c>
      <c r="H302" s="232"/>
      <c r="I302" s="233">
        <v>75.762500000000003</v>
      </c>
      <c r="J302" s="233">
        <v>3534</v>
      </c>
      <c r="K302" s="233">
        <v>276</v>
      </c>
      <c r="L302" s="232">
        <v>1359</v>
      </c>
      <c r="M302" s="232"/>
      <c r="N302" s="233">
        <v>141</v>
      </c>
      <c r="O302" s="233">
        <v>1304</v>
      </c>
      <c r="P302" s="233">
        <v>0</v>
      </c>
      <c r="Q302" s="232">
        <v>0</v>
      </c>
      <c r="R302" s="233">
        <f t="shared" si="4"/>
        <v>2230</v>
      </c>
      <c r="S302" s="232"/>
      <c r="T302" s="233">
        <v>1078</v>
      </c>
      <c r="U302" s="234">
        <v>401</v>
      </c>
      <c r="V302" s="234">
        <v>1479</v>
      </c>
    </row>
    <row r="303" spans="1:22">
      <c r="A303" s="227">
        <v>93141</v>
      </c>
      <c r="B303" s="228" t="s">
        <v>1014</v>
      </c>
      <c r="C303" s="87">
        <v>4.5500000000000001E-5</v>
      </c>
      <c r="D303" s="87">
        <v>4.3399999999999998E-5</v>
      </c>
      <c r="E303" s="232">
        <v>16495.23</v>
      </c>
      <c r="F303" s="232">
        <v>19478</v>
      </c>
      <c r="G303" s="232">
        <v>96566</v>
      </c>
      <c r="H303" s="232"/>
      <c r="I303" s="233">
        <v>1814.3125</v>
      </c>
      <c r="J303" s="233">
        <v>84623</v>
      </c>
      <c r="K303" s="233">
        <v>6614</v>
      </c>
      <c r="L303" s="232">
        <v>4186.96</v>
      </c>
      <c r="M303" s="232"/>
      <c r="N303" s="233">
        <v>3384</v>
      </c>
      <c r="O303" s="233">
        <v>31234</v>
      </c>
      <c r="P303" s="233">
        <v>0</v>
      </c>
      <c r="Q303" s="232">
        <v>3505</v>
      </c>
      <c r="R303" s="233">
        <f t="shared" si="4"/>
        <v>53389</v>
      </c>
      <c r="S303" s="232"/>
      <c r="T303" s="233">
        <v>25811</v>
      </c>
      <c r="U303" s="234">
        <v>920</v>
      </c>
      <c r="V303" s="234">
        <v>26731</v>
      </c>
    </row>
    <row r="304" spans="1:22">
      <c r="A304" s="227">
        <v>93151</v>
      </c>
      <c r="B304" s="228" t="s">
        <v>1015</v>
      </c>
      <c r="C304" s="87">
        <v>3.6539999999999999E-4</v>
      </c>
      <c r="D304" s="87">
        <v>3.524E-4</v>
      </c>
      <c r="E304" s="232">
        <v>137522.13</v>
      </c>
      <c r="F304" s="232">
        <v>158155</v>
      </c>
      <c r="G304" s="232">
        <v>775501</v>
      </c>
      <c r="H304" s="232"/>
      <c r="I304" s="233">
        <v>14570</v>
      </c>
      <c r="J304" s="233">
        <v>679586</v>
      </c>
      <c r="K304" s="233">
        <v>53115</v>
      </c>
      <c r="L304" s="232">
        <v>5881</v>
      </c>
      <c r="M304" s="232"/>
      <c r="N304" s="233">
        <v>27174</v>
      </c>
      <c r="O304" s="233">
        <v>250832</v>
      </c>
      <c r="P304" s="233">
        <v>0</v>
      </c>
      <c r="Q304" s="232">
        <v>6297</v>
      </c>
      <c r="R304" s="233">
        <f t="shared" si="4"/>
        <v>428754</v>
      </c>
      <c r="S304" s="232"/>
      <c r="T304" s="233">
        <v>207280</v>
      </c>
      <c r="U304" s="234">
        <v>-329</v>
      </c>
      <c r="V304" s="234">
        <v>206951</v>
      </c>
    </row>
    <row r="305" spans="1:22">
      <c r="A305" s="227">
        <v>93157</v>
      </c>
      <c r="B305" s="228" t="s">
        <v>1016</v>
      </c>
      <c r="C305" s="87">
        <v>3.8E-6</v>
      </c>
      <c r="D305" s="87">
        <v>2.3999999999999999E-6</v>
      </c>
      <c r="E305" s="232">
        <v>4368.87</v>
      </c>
      <c r="F305" s="232">
        <v>1077</v>
      </c>
      <c r="G305" s="232">
        <v>8065</v>
      </c>
      <c r="H305" s="232"/>
      <c r="I305" s="233">
        <v>151.52500000000001</v>
      </c>
      <c r="J305" s="233">
        <v>7067</v>
      </c>
      <c r="K305" s="233">
        <v>552</v>
      </c>
      <c r="L305" s="232">
        <v>5676</v>
      </c>
      <c r="M305" s="232"/>
      <c r="N305" s="233">
        <v>283</v>
      </c>
      <c r="O305" s="233">
        <v>2609</v>
      </c>
      <c r="P305" s="233">
        <v>0</v>
      </c>
      <c r="Q305" s="232">
        <v>526</v>
      </c>
      <c r="R305" s="233">
        <f t="shared" si="4"/>
        <v>4458</v>
      </c>
      <c r="S305" s="232"/>
      <c r="T305" s="233">
        <v>2156</v>
      </c>
      <c r="U305" s="234">
        <v>1938</v>
      </c>
      <c r="V305" s="234">
        <v>4094</v>
      </c>
    </row>
    <row r="306" spans="1:22">
      <c r="A306" s="227">
        <v>93161</v>
      </c>
      <c r="B306" s="228" t="s">
        <v>1017</v>
      </c>
      <c r="C306" s="87">
        <v>6.2500000000000001E-5</v>
      </c>
      <c r="D306" s="87">
        <v>7.4400000000000006E-5</v>
      </c>
      <c r="E306" s="232">
        <v>37835.030000000006</v>
      </c>
      <c r="F306" s="232">
        <v>33390</v>
      </c>
      <c r="G306" s="232">
        <v>132646</v>
      </c>
      <c r="H306" s="232"/>
      <c r="I306" s="233">
        <v>2492.1875</v>
      </c>
      <c r="J306" s="233">
        <v>116240</v>
      </c>
      <c r="K306" s="233">
        <v>9085.0625</v>
      </c>
      <c r="L306" s="232">
        <v>14075</v>
      </c>
      <c r="M306" s="232"/>
      <c r="N306" s="233">
        <v>4648.0625</v>
      </c>
      <c r="O306" s="233">
        <v>42903.625</v>
      </c>
      <c r="P306" s="233">
        <v>0</v>
      </c>
      <c r="Q306" s="232">
        <v>0</v>
      </c>
      <c r="R306" s="233">
        <f t="shared" si="4"/>
        <v>73336.375</v>
      </c>
      <c r="S306" s="232"/>
      <c r="T306" s="233">
        <v>35454</v>
      </c>
      <c r="U306" s="234">
        <v>6018</v>
      </c>
      <c r="V306" s="234">
        <v>41472</v>
      </c>
    </row>
    <row r="307" spans="1:22">
      <c r="A307" s="227">
        <v>93171</v>
      </c>
      <c r="B307" s="228" t="s">
        <v>1018</v>
      </c>
      <c r="C307" s="87">
        <v>5.8000000000000004E-6</v>
      </c>
      <c r="D307" s="87">
        <v>6.1999999999999999E-6</v>
      </c>
      <c r="E307" s="232">
        <v>3823.8999999999996</v>
      </c>
      <c r="F307" s="232">
        <v>2783</v>
      </c>
      <c r="G307" s="232">
        <v>12310</v>
      </c>
      <c r="H307" s="232"/>
      <c r="I307" s="233">
        <v>231.27500000000001</v>
      </c>
      <c r="J307" s="233">
        <v>10787</v>
      </c>
      <c r="K307" s="233">
        <v>843</v>
      </c>
      <c r="L307" s="232">
        <v>1752</v>
      </c>
      <c r="M307" s="232"/>
      <c r="N307" s="233">
        <v>431</v>
      </c>
      <c r="O307" s="233">
        <v>3981</v>
      </c>
      <c r="P307" s="233">
        <v>0</v>
      </c>
      <c r="Q307" s="232">
        <v>0</v>
      </c>
      <c r="R307" s="233">
        <f t="shared" si="4"/>
        <v>6806</v>
      </c>
      <c r="S307" s="232"/>
      <c r="T307" s="233">
        <v>3290</v>
      </c>
      <c r="U307" s="234">
        <v>591</v>
      </c>
      <c r="V307" s="234">
        <v>3881</v>
      </c>
    </row>
    <row r="308" spans="1:22">
      <c r="A308" s="227">
        <v>93181</v>
      </c>
      <c r="B308" s="228" t="s">
        <v>1019</v>
      </c>
      <c r="C308" s="87">
        <v>1.1E-5</v>
      </c>
      <c r="D308" s="87">
        <v>1.0499999999999999E-5</v>
      </c>
      <c r="E308" s="232">
        <v>4374.0300000000007</v>
      </c>
      <c r="F308" s="232">
        <v>4712</v>
      </c>
      <c r="G308" s="232">
        <v>23346</v>
      </c>
      <c r="H308" s="232"/>
      <c r="I308" s="233">
        <v>438.625</v>
      </c>
      <c r="J308" s="233">
        <v>20458</v>
      </c>
      <c r="K308" s="233">
        <v>1599</v>
      </c>
      <c r="L308" s="232">
        <v>743</v>
      </c>
      <c r="M308" s="232"/>
      <c r="N308" s="233">
        <v>818</v>
      </c>
      <c r="O308" s="233">
        <v>7551</v>
      </c>
      <c r="P308" s="233">
        <v>0</v>
      </c>
      <c r="Q308" s="232">
        <v>44</v>
      </c>
      <c r="R308" s="233">
        <f t="shared" si="4"/>
        <v>12907</v>
      </c>
      <c r="S308" s="232"/>
      <c r="T308" s="233">
        <v>6240</v>
      </c>
      <c r="U308" s="234">
        <v>321</v>
      </c>
      <c r="V308" s="234">
        <v>6561</v>
      </c>
    </row>
    <row r="309" spans="1:22">
      <c r="A309" s="227">
        <v>93191</v>
      </c>
      <c r="B309" s="228" t="s">
        <v>1020</v>
      </c>
      <c r="C309" s="87">
        <v>3.3000000000000003E-5</v>
      </c>
      <c r="D309" s="87">
        <v>3.65E-5</v>
      </c>
      <c r="E309" s="232">
        <v>16019.919999999998</v>
      </c>
      <c r="F309" s="232">
        <v>16381</v>
      </c>
      <c r="G309" s="232">
        <v>70037</v>
      </c>
      <c r="H309" s="232"/>
      <c r="I309" s="233">
        <v>1315.875</v>
      </c>
      <c r="J309" s="233">
        <v>61375</v>
      </c>
      <c r="K309" s="233">
        <v>4797</v>
      </c>
      <c r="L309" s="232">
        <v>2648</v>
      </c>
      <c r="M309" s="232"/>
      <c r="N309" s="233">
        <v>2454</v>
      </c>
      <c r="O309" s="233">
        <v>22653</v>
      </c>
      <c r="P309" s="233">
        <v>0</v>
      </c>
      <c r="Q309" s="232">
        <v>1301.46</v>
      </c>
      <c r="R309" s="233">
        <f t="shared" si="4"/>
        <v>38722</v>
      </c>
      <c r="S309" s="232"/>
      <c r="T309" s="233">
        <v>18720</v>
      </c>
      <c r="U309" s="234">
        <v>280</v>
      </c>
      <c r="V309" s="234">
        <v>19000</v>
      </c>
    </row>
    <row r="310" spans="1:22">
      <c r="A310" s="227">
        <v>93201</v>
      </c>
      <c r="B310" s="228" t="s">
        <v>1021</v>
      </c>
      <c r="C310" s="87">
        <v>1.5819699999999999E-2</v>
      </c>
      <c r="D310" s="87">
        <v>1.50364E-2</v>
      </c>
      <c r="E310" s="232">
        <v>6525566.7400000002</v>
      </c>
      <c r="F310" s="232">
        <v>6748246</v>
      </c>
      <c r="G310" s="232">
        <v>33574703</v>
      </c>
      <c r="H310" s="232"/>
      <c r="I310" s="233">
        <v>630811</v>
      </c>
      <c r="J310" s="233">
        <v>29422142</v>
      </c>
      <c r="K310" s="233">
        <v>2299567</v>
      </c>
      <c r="L310" s="232">
        <v>1259115</v>
      </c>
      <c r="M310" s="232"/>
      <c r="N310" s="233">
        <v>1176495</v>
      </c>
      <c r="O310" s="233">
        <v>10859560</v>
      </c>
      <c r="P310" s="233">
        <v>0</v>
      </c>
      <c r="Q310" s="232">
        <v>0</v>
      </c>
      <c r="R310" s="233">
        <f t="shared" si="4"/>
        <v>18562582</v>
      </c>
      <c r="S310" s="232"/>
      <c r="T310" s="233">
        <v>8974025</v>
      </c>
      <c r="U310" s="234">
        <v>449569</v>
      </c>
      <c r="V310" s="234">
        <v>9423595</v>
      </c>
    </row>
    <row r="311" spans="1:22">
      <c r="A311" s="227">
        <v>93202</v>
      </c>
      <c r="B311" s="228" t="s">
        <v>1022</v>
      </c>
      <c r="C311" s="87">
        <v>0</v>
      </c>
      <c r="D311" s="87">
        <v>2.076E-4</v>
      </c>
      <c r="E311" s="232">
        <v>0</v>
      </c>
      <c r="F311" s="232">
        <v>93170</v>
      </c>
      <c r="G311" s="232">
        <v>0</v>
      </c>
      <c r="H311" s="232"/>
      <c r="I311" s="233">
        <v>0</v>
      </c>
      <c r="J311" s="233">
        <v>0</v>
      </c>
      <c r="K311" s="233">
        <v>0</v>
      </c>
      <c r="L311" s="232">
        <v>0</v>
      </c>
      <c r="M311" s="232"/>
      <c r="N311" s="233">
        <v>0</v>
      </c>
      <c r="O311" s="233">
        <v>0</v>
      </c>
      <c r="P311" s="233">
        <v>0</v>
      </c>
      <c r="Q311" s="232">
        <v>322063</v>
      </c>
      <c r="R311" s="233">
        <f t="shared" si="4"/>
        <v>0</v>
      </c>
      <c r="S311" s="232"/>
      <c r="T311" s="233">
        <v>0</v>
      </c>
      <c r="U311" s="234">
        <v>-109544</v>
      </c>
      <c r="V311" s="234">
        <v>-109544</v>
      </c>
    </row>
    <row r="312" spans="1:22">
      <c r="A312" s="227">
        <v>93204</v>
      </c>
      <c r="B312" s="228" t="s">
        <v>1023</v>
      </c>
      <c r="C312" s="87">
        <v>2.9480000000000001E-4</v>
      </c>
      <c r="D312" s="87">
        <v>3.168E-4</v>
      </c>
      <c r="E312" s="232">
        <v>128269.05999999998</v>
      </c>
      <c r="F312" s="232">
        <v>142178</v>
      </c>
      <c r="G312" s="232">
        <v>625664</v>
      </c>
      <c r="H312" s="232"/>
      <c r="I312" s="233">
        <v>11755.15</v>
      </c>
      <c r="J312" s="233">
        <v>548281</v>
      </c>
      <c r="K312" s="233">
        <v>42852</v>
      </c>
      <c r="L312" s="232">
        <v>6159</v>
      </c>
      <c r="M312" s="232"/>
      <c r="N312" s="233">
        <v>21924</v>
      </c>
      <c r="O312" s="233">
        <v>202368</v>
      </c>
      <c r="P312" s="233">
        <v>0</v>
      </c>
      <c r="Q312" s="232">
        <v>15903</v>
      </c>
      <c r="R312" s="233">
        <f t="shared" si="4"/>
        <v>345913</v>
      </c>
      <c r="S312" s="232"/>
      <c r="T312" s="233">
        <v>167231</v>
      </c>
      <c r="U312" s="234">
        <v>-4266</v>
      </c>
      <c r="V312" s="234">
        <v>162965</v>
      </c>
    </row>
    <row r="313" spans="1:22">
      <c r="A313" s="227">
        <v>93209</v>
      </c>
      <c r="B313" s="228" t="s">
        <v>1024</v>
      </c>
      <c r="C313" s="87">
        <v>4.5113999999999996E-3</v>
      </c>
      <c r="D313" s="87">
        <v>3.4578999999999999E-3</v>
      </c>
      <c r="E313" s="232">
        <v>1625225.44</v>
      </c>
      <c r="F313" s="232">
        <v>1551885</v>
      </c>
      <c r="G313" s="232">
        <v>9574702</v>
      </c>
      <c r="H313" s="232"/>
      <c r="I313" s="233">
        <v>179892</v>
      </c>
      <c r="J313" s="233">
        <v>8390491</v>
      </c>
      <c r="K313" s="233">
        <v>655782</v>
      </c>
      <c r="L313" s="232">
        <v>1306118</v>
      </c>
      <c r="M313" s="232"/>
      <c r="N313" s="233">
        <v>335508</v>
      </c>
      <c r="O313" s="233">
        <v>3096887</v>
      </c>
      <c r="P313" s="233">
        <v>0</v>
      </c>
      <c r="Q313" s="232">
        <v>0</v>
      </c>
      <c r="R313" s="233">
        <f t="shared" si="4"/>
        <v>5293604</v>
      </c>
      <c r="S313" s="232"/>
      <c r="T313" s="233">
        <v>2559177</v>
      </c>
      <c r="U313" s="234">
        <v>534418</v>
      </c>
      <c r="V313" s="234">
        <v>3093596</v>
      </c>
    </row>
    <row r="314" spans="1:22">
      <c r="A314" s="227">
        <v>93211</v>
      </c>
      <c r="B314" s="228" t="s">
        <v>1025</v>
      </c>
      <c r="C314" s="87">
        <v>2.0456800000000001E-2</v>
      </c>
      <c r="D314" s="87">
        <v>2.1372599999999999E-2</v>
      </c>
      <c r="E314" s="232">
        <v>8152807.0799999982</v>
      </c>
      <c r="F314" s="232">
        <v>9591895</v>
      </c>
      <c r="G314" s="232">
        <v>43416183</v>
      </c>
      <c r="H314" s="232"/>
      <c r="I314" s="233">
        <v>815714.9</v>
      </c>
      <c r="J314" s="233">
        <v>38046416</v>
      </c>
      <c r="K314" s="233">
        <v>2973621</v>
      </c>
      <c r="L314" s="232">
        <v>0</v>
      </c>
      <c r="M314" s="232"/>
      <c r="N314" s="233">
        <v>1521352</v>
      </c>
      <c r="O314" s="233">
        <v>14042734</v>
      </c>
      <c r="P314" s="233">
        <v>0</v>
      </c>
      <c r="Q314" s="232">
        <v>1405603</v>
      </c>
      <c r="R314" s="233">
        <f t="shared" si="4"/>
        <v>24003682</v>
      </c>
      <c r="S314" s="232"/>
      <c r="T314" s="233">
        <v>11604508</v>
      </c>
      <c r="U314" s="234">
        <v>-488705</v>
      </c>
      <c r="V314" s="234">
        <v>11115804</v>
      </c>
    </row>
    <row r="315" spans="1:22">
      <c r="A315" s="227">
        <v>93212</v>
      </c>
      <c r="B315" s="228" t="s">
        <v>1026</v>
      </c>
      <c r="C315" s="87">
        <v>2.052E-4</v>
      </c>
      <c r="D315" s="87">
        <v>2.129E-4</v>
      </c>
      <c r="E315" s="232">
        <v>169265.99</v>
      </c>
      <c r="F315" s="232">
        <v>95548</v>
      </c>
      <c r="G315" s="232">
        <v>435503</v>
      </c>
      <c r="H315" s="232"/>
      <c r="I315" s="233">
        <v>8182.35</v>
      </c>
      <c r="J315" s="233">
        <v>381640</v>
      </c>
      <c r="K315" s="233">
        <v>29828</v>
      </c>
      <c r="L315" s="232">
        <v>106395</v>
      </c>
      <c r="M315" s="232"/>
      <c r="N315" s="233">
        <v>15261</v>
      </c>
      <c r="O315" s="233">
        <v>140861</v>
      </c>
      <c r="P315" s="233">
        <v>0</v>
      </c>
      <c r="Q315" s="232">
        <v>0</v>
      </c>
      <c r="R315" s="233">
        <f t="shared" si="4"/>
        <v>240779</v>
      </c>
      <c r="S315" s="232"/>
      <c r="T315" s="233">
        <v>116404</v>
      </c>
      <c r="U315" s="234">
        <v>32351</v>
      </c>
      <c r="V315" s="234">
        <v>148755</v>
      </c>
    </row>
    <row r="316" spans="1:22">
      <c r="A316" s="227">
        <v>93219</v>
      </c>
      <c r="B316" s="228" t="s">
        <v>1027</v>
      </c>
      <c r="C316" s="87">
        <v>2.286E-4</v>
      </c>
      <c r="D316" s="87">
        <v>2.41E-4</v>
      </c>
      <c r="E316" s="232">
        <v>96646.59</v>
      </c>
      <c r="F316" s="232">
        <v>108159</v>
      </c>
      <c r="G316" s="232">
        <v>485166</v>
      </c>
      <c r="H316" s="232"/>
      <c r="I316" s="233">
        <v>9115</v>
      </c>
      <c r="J316" s="233">
        <v>425160</v>
      </c>
      <c r="K316" s="233">
        <v>33230</v>
      </c>
      <c r="L316" s="232">
        <v>243</v>
      </c>
      <c r="M316" s="232"/>
      <c r="N316" s="233">
        <v>17001</v>
      </c>
      <c r="O316" s="233">
        <v>156924</v>
      </c>
      <c r="P316" s="233">
        <v>0</v>
      </c>
      <c r="Q316" s="232">
        <v>13406</v>
      </c>
      <c r="R316" s="233">
        <f t="shared" si="4"/>
        <v>268236</v>
      </c>
      <c r="S316" s="232"/>
      <c r="T316" s="233">
        <v>129678</v>
      </c>
      <c r="U316" s="234">
        <v>-4190</v>
      </c>
      <c r="V316" s="234">
        <v>125487</v>
      </c>
    </row>
    <row r="317" spans="1:22">
      <c r="A317" s="227">
        <v>93301</v>
      </c>
      <c r="B317" s="228" t="s">
        <v>1028</v>
      </c>
      <c r="C317" s="87">
        <v>2.5330999999999999E-3</v>
      </c>
      <c r="D317" s="87">
        <v>2.4084000000000002E-3</v>
      </c>
      <c r="E317" s="232">
        <v>1037164.56</v>
      </c>
      <c r="F317" s="232">
        <v>1080875</v>
      </c>
      <c r="G317" s="232">
        <v>5376087</v>
      </c>
      <c r="H317" s="232"/>
      <c r="I317" s="233">
        <v>101007</v>
      </c>
      <c r="J317" s="233">
        <v>4711166</v>
      </c>
      <c r="K317" s="233">
        <v>368214</v>
      </c>
      <c r="L317" s="232">
        <v>63934</v>
      </c>
      <c r="M317" s="232"/>
      <c r="N317" s="233">
        <v>188384</v>
      </c>
      <c r="O317" s="233">
        <v>1738867</v>
      </c>
      <c r="P317" s="233">
        <v>0</v>
      </c>
      <c r="Q317" s="232">
        <v>85549</v>
      </c>
      <c r="R317" s="233">
        <f t="shared" si="4"/>
        <v>2972299</v>
      </c>
      <c r="S317" s="232"/>
      <c r="T317" s="233">
        <v>1436949</v>
      </c>
      <c r="U317" s="234">
        <v>-17290</v>
      </c>
      <c r="V317" s="234">
        <v>1419659</v>
      </c>
    </row>
    <row r="318" spans="1:22">
      <c r="A318" s="227">
        <v>93304</v>
      </c>
      <c r="B318" s="228" t="s">
        <v>1029</v>
      </c>
      <c r="C318" s="87">
        <v>3.4400000000000003E-5</v>
      </c>
      <c r="D318" s="87">
        <v>3.3399999999999999E-5</v>
      </c>
      <c r="E318" s="232">
        <v>16338.839999999998</v>
      </c>
      <c r="F318" s="232">
        <v>14990</v>
      </c>
      <c r="G318" s="232">
        <v>73008</v>
      </c>
      <c r="H318" s="232"/>
      <c r="I318" s="233">
        <v>1371.7</v>
      </c>
      <c r="J318" s="233">
        <v>63979</v>
      </c>
      <c r="K318" s="233">
        <v>5000</v>
      </c>
      <c r="L318" s="232">
        <v>13604</v>
      </c>
      <c r="M318" s="232"/>
      <c r="N318" s="233">
        <v>2558</v>
      </c>
      <c r="O318" s="233">
        <v>23614</v>
      </c>
      <c r="P318" s="233">
        <v>0</v>
      </c>
      <c r="Q318" s="232">
        <v>0</v>
      </c>
      <c r="R318" s="233">
        <f t="shared" si="4"/>
        <v>40365</v>
      </c>
      <c r="S318" s="232"/>
      <c r="T318" s="233">
        <v>19514</v>
      </c>
      <c r="U318" s="234">
        <v>4940</v>
      </c>
      <c r="V318" s="234">
        <v>24454</v>
      </c>
    </row>
    <row r="319" spans="1:22">
      <c r="A319" s="227">
        <v>93305</v>
      </c>
      <c r="B319" s="228" t="s">
        <v>1030</v>
      </c>
      <c r="C319" s="87">
        <v>4.9400000000000001E-5</v>
      </c>
      <c r="D319" s="87">
        <v>5.13E-5</v>
      </c>
      <c r="E319" s="232">
        <v>18489</v>
      </c>
      <c r="F319" s="232">
        <v>23023</v>
      </c>
      <c r="G319" s="232">
        <v>104843</v>
      </c>
      <c r="H319" s="232"/>
      <c r="I319" s="233">
        <v>1969.825</v>
      </c>
      <c r="J319" s="233">
        <v>91876</v>
      </c>
      <c r="K319" s="233">
        <v>7181</v>
      </c>
      <c r="L319" s="232">
        <v>0</v>
      </c>
      <c r="M319" s="232"/>
      <c r="N319" s="233">
        <v>3674</v>
      </c>
      <c r="O319" s="233">
        <v>33911</v>
      </c>
      <c r="P319" s="233">
        <v>0</v>
      </c>
      <c r="Q319" s="232">
        <v>3536</v>
      </c>
      <c r="R319" s="233">
        <f t="shared" si="4"/>
        <v>57965</v>
      </c>
      <c r="S319" s="232"/>
      <c r="T319" s="233">
        <v>28023</v>
      </c>
      <c r="U319" s="234">
        <v>-1124</v>
      </c>
      <c r="V319" s="234">
        <v>26899</v>
      </c>
    </row>
    <row r="320" spans="1:22">
      <c r="A320" s="227">
        <v>93309</v>
      </c>
      <c r="B320" s="228" t="s">
        <v>1031</v>
      </c>
      <c r="C320" s="87">
        <v>1.716E-4</v>
      </c>
      <c r="D320" s="87">
        <v>1.5359999999999999E-4</v>
      </c>
      <c r="E320" s="232">
        <v>79731.47</v>
      </c>
      <c r="F320" s="232">
        <v>68935</v>
      </c>
      <c r="G320" s="232">
        <v>364193</v>
      </c>
      <c r="H320" s="232"/>
      <c r="I320" s="233">
        <v>6842.55</v>
      </c>
      <c r="J320" s="233">
        <v>319149</v>
      </c>
      <c r="K320" s="233">
        <v>24944</v>
      </c>
      <c r="L320" s="232">
        <v>23583</v>
      </c>
      <c r="M320" s="232"/>
      <c r="N320" s="233">
        <v>12762</v>
      </c>
      <c r="O320" s="233">
        <v>117796</v>
      </c>
      <c r="P320" s="233">
        <v>0</v>
      </c>
      <c r="Q320" s="232">
        <v>1972</v>
      </c>
      <c r="R320" s="233">
        <f t="shared" si="4"/>
        <v>201353</v>
      </c>
      <c r="S320" s="232"/>
      <c r="T320" s="233">
        <v>97343</v>
      </c>
      <c r="U320" s="234">
        <v>5745</v>
      </c>
      <c r="V320" s="234">
        <v>103088</v>
      </c>
    </row>
    <row r="321" spans="1:22">
      <c r="A321" s="227">
        <v>93311</v>
      </c>
      <c r="B321" s="228" t="s">
        <v>1032</v>
      </c>
      <c r="C321" s="87">
        <v>1.1567000000000001E-3</v>
      </c>
      <c r="D321" s="87">
        <v>1.2727000000000001E-3</v>
      </c>
      <c r="E321" s="232">
        <v>452858.55</v>
      </c>
      <c r="F321" s="232">
        <v>571180</v>
      </c>
      <c r="G321" s="232">
        <v>2454905</v>
      </c>
      <c r="H321" s="232"/>
      <c r="I321" s="233">
        <v>46123</v>
      </c>
      <c r="J321" s="233">
        <v>2151279</v>
      </c>
      <c r="K321" s="233">
        <v>168139</v>
      </c>
      <c r="L321" s="232">
        <v>0</v>
      </c>
      <c r="M321" s="232"/>
      <c r="N321" s="233">
        <v>86023</v>
      </c>
      <c r="O321" s="233">
        <v>794026</v>
      </c>
      <c r="P321" s="233">
        <v>0</v>
      </c>
      <c r="Q321" s="232">
        <v>121847</v>
      </c>
      <c r="R321" s="233">
        <f t="shared" si="4"/>
        <v>1357253</v>
      </c>
      <c r="S321" s="232"/>
      <c r="T321" s="233">
        <v>656160</v>
      </c>
      <c r="U321" s="234">
        <v>-38102</v>
      </c>
      <c r="V321" s="234">
        <v>618058</v>
      </c>
    </row>
    <row r="322" spans="1:22">
      <c r="A322" s="227">
        <v>93317</v>
      </c>
      <c r="B322" s="228" t="s">
        <v>1033</v>
      </c>
      <c r="C322" s="87">
        <v>4.8099999999999997E-5</v>
      </c>
      <c r="D322" s="87">
        <v>4.6600000000000001E-5</v>
      </c>
      <c r="E322" s="232">
        <v>19408.619999999995</v>
      </c>
      <c r="F322" s="232">
        <v>20914</v>
      </c>
      <c r="G322" s="232">
        <v>102084</v>
      </c>
      <c r="H322" s="232"/>
      <c r="I322" s="233">
        <v>1918</v>
      </c>
      <c r="J322" s="233">
        <v>89458</v>
      </c>
      <c r="K322" s="233">
        <v>6992</v>
      </c>
      <c r="L322" s="232">
        <v>606</v>
      </c>
      <c r="M322" s="232"/>
      <c r="N322" s="233">
        <v>3577</v>
      </c>
      <c r="O322" s="233">
        <v>33019</v>
      </c>
      <c r="P322" s="233">
        <v>0</v>
      </c>
      <c r="Q322" s="232">
        <v>557</v>
      </c>
      <c r="R322" s="233">
        <f t="shared" si="4"/>
        <v>56439</v>
      </c>
      <c r="S322" s="232"/>
      <c r="T322" s="233">
        <v>27286</v>
      </c>
      <c r="U322" s="234">
        <v>-115</v>
      </c>
      <c r="V322" s="234">
        <v>27171</v>
      </c>
    </row>
    <row r="323" spans="1:22">
      <c r="A323" s="227">
        <v>93321</v>
      </c>
      <c r="B323" s="228" t="s">
        <v>1034</v>
      </c>
      <c r="C323" s="87">
        <v>7.4706E-3</v>
      </c>
      <c r="D323" s="87">
        <v>7.7070000000000003E-3</v>
      </c>
      <c r="E323" s="232">
        <v>2840093.51</v>
      </c>
      <c r="F323" s="232">
        <v>3458855</v>
      </c>
      <c r="G323" s="232">
        <v>15855116</v>
      </c>
      <c r="H323" s="232"/>
      <c r="I323" s="233">
        <v>297890</v>
      </c>
      <c r="J323" s="233">
        <v>13894136</v>
      </c>
      <c r="K323" s="233">
        <v>1085934</v>
      </c>
      <c r="L323" s="232">
        <v>0</v>
      </c>
      <c r="M323" s="232"/>
      <c r="N323" s="233">
        <v>555581</v>
      </c>
      <c r="O323" s="233">
        <v>5128253</v>
      </c>
      <c r="P323" s="233">
        <v>0</v>
      </c>
      <c r="Q323" s="232">
        <v>746070</v>
      </c>
      <c r="R323" s="233">
        <f t="shared" si="4"/>
        <v>8765883</v>
      </c>
      <c r="S323" s="232"/>
      <c r="T323" s="233">
        <v>4237840</v>
      </c>
      <c r="U323" s="234">
        <v>-276901</v>
      </c>
      <c r="V323" s="234">
        <v>3960939</v>
      </c>
    </row>
    <row r="324" spans="1:22">
      <c r="A324" s="227">
        <v>93323</v>
      </c>
      <c r="B324" s="228" t="s">
        <v>1035</v>
      </c>
      <c r="C324" s="87">
        <v>1.0200000000000001E-5</v>
      </c>
      <c r="D324" s="87">
        <v>1.4600000000000001E-5</v>
      </c>
      <c r="E324" s="232">
        <v>5325.71</v>
      </c>
      <c r="F324" s="232">
        <v>6552</v>
      </c>
      <c r="G324" s="232">
        <v>21648</v>
      </c>
      <c r="H324" s="232"/>
      <c r="I324" s="233">
        <v>406.72500000000002</v>
      </c>
      <c r="J324" s="233">
        <v>18970</v>
      </c>
      <c r="K324" s="233">
        <v>1483</v>
      </c>
      <c r="L324" s="232">
        <v>2836</v>
      </c>
      <c r="M324" s="232"/>
      <c r="N324" s="233">
        <v>759</v>
      </c>
      <c r="O324" s="233">
        <v>7002</v>
      </c>
      <c r="P324" s="233">
        <v>0</v>
      </c>
      <c r="Q324" s="232">
        <v>1485</v>
      </c>
      <c r="R324" s="233">
        <f t="shared" si="4"/>
        <v>11968</v>
      </c>
      <c r="S324" s="232"/>
      <c r="T324" s="233">
        <v>5786</v>
      </c>
      <c r="U324" s="234">
        <v>784</v>
      </c>
      <c r="V324" s="234">
        <v>6570</v>
      </c>
    </row>
    <row r="325" spans="1:22">
      <c r="A325" s="227">
        <v>93331</v>
      </c>
      <c r="B325" s="228" t="s">
        <v>1036</v>
      </c>
      <c r="C325" s="87">
        <v>1.3090000000000001E-4</v>
      </c>
      <c r="D325" s="87">
        <v>1.1909999999999999E-4</v>
      </c>
      <c r="E325" s="232">
        <v>46762.55</v>
      </c>
      <c r="F325" s="232">
        <v>53451</v>
      </c>
      <c r="G325" s="232">
        <v>277814</v>
      </c>
      <c r="H325" s="232"/>
      <c r="I325" s="233">
        <v>5220</v>
      </c>
      <c r="J325" s="233">
        <v>243453</v>
      </c>
      <c r="K325" s="233">
        <v>19028</v>
      </c>
      <c r="L325" s="232">
        <v>4668</v>
      </c>
      <c r="M325" s="232"/>
      <c r="N325" s="233">
        <v>9735</v>
      </c>
      <c r="O325" s="233">
        <v>89857</v>
      </c>
      <c r="P325" s="233">
        <v>0</v>
      </c>
      <c r="Q325" s="232">
        <v>9208</v>
      </c>
      <c r="R325" s="233">
        <f t="shared" si="4"/>
        <v>153596</v>
      </c>
      <c r="S325" s="232"/>
      <c r="T325" s="233">
        <v>74256</v>
      </c>
      <c r="U325" s="234">
        <v>-1109</v>
      </c>
      <c r="V325" s="234">
        <v>73147</v>
      </c>
    </row>
    <row r="326" spans="1:22">
      <c r="A326" s="227">
        <v>93333</v>
      </c>
      <c r="B326" s="228" t="s">
        <v>1037</v>
      </c>
      <c r="C326" s="87">
        <v>1.9990000000000001E-4</v>
      </c>
      <c r="D326" s="87">
        <v>2.1479999999999999E-4</v>
      </c>
      <c r="E326" s="232">
        <v>201284.12</v>
      </c>
      <c r="F326" s="232">
        <v>96401</v>
      </c>
      <c r="G326" s="232">
        <v>424255</v>
      </c>
      <c r="H326" s="232"/>
      <c r="I326" s="233">
        <v>7971</v>
      </c>
      <c r="J326" s="233">
        <v>371782</v>
      </c>
      <c r="K326" s="233">
        <v>29058</v>
      </c>
      <c r="L326" s="232">
        <v>178353</v>
      </c>
      <c r="M326" s="232"/>
      <c r="N326" s="233">
        <v>14866</v>
      </c>
      <c r="O326" s="233">
        <v>137223</v>
      </c>
      <c r="P326" s="233">
        <v>0</v>
      </c>
      <c r="Q326" s="232">
        <v>0</v>
      </c>
      <c r="R326" s="233">
        <f t="shared" si="4"/>
        <v>234559</v>
      </c>
      <c r="S326" s="232"/>
      <c r="T326" s="233">
        <v>113397</v>
      </c>
      <c r="U326" s="234">
        <v>56479</v>
      </c>
      <c r="V326" s="234">
        <v>169876</v>
      </c>
    </row>
    <row r="327" spans="1:22">
      <c r="A327" s="227">
        <v>93341</v>
      </c>
      <c r="B327" s="228" t="s">
        <v>1038</v>
      </c>
      <c r="C327" s="87">
        <v>2.73E-5</v>
      </c>
      <c r="D327" s="87">
        <v>2.6699999999999998E-5</v>
      </c>
      <c r="E327" s="232">
        <v>12880.649999999998</v>
      </c>
      <c r="F327" s="232">
        <v>11983</v>
      </c>
      <c r="G327" s="232">
        <v>57940</v>
      </c>
      <c r="H327" s="232"/>
      <c r="I327" s="233">
        <v>1089</v>
      </c>
      <c r="J327" s="233">
        <v>50774</v>
      </c>
      <c r="K327" s="233">
        <v>3968</v>
      </c>
      <c r="L327" s="232">
        <v>2789</v>
      </c>
      <c r="M327" s="232"/>
      <c r="N327" s="233">
        <v>2030</v>
      </c>
      <c r="O327" s="233">
        <v>18740</v>
      </c>
      <c r="P327" s="233">
        <v>0</v>
      </c>
      <c r="Q327" s="232">
        <v>0</v>
      </c>
      <c r="R327" s="233">
        <f t="shared" si="4"/>
        <v>32034</v>
      </c>
      <c r="S327" s="232"/>
      <c r="T327" s="233">
        <v>15486</v>
      </c>
      <c r="U327" s="234">
        <v>923</v>
      </c>
      <c r="V327" s="234">
        <v>16410</v>
      </c>
    </row>
    <row r="328" spans="1:22">
      <c r="A328" s="227">
        <v>93351</v>
      </c>
      <c r="B328" s="228" t="s">
        <v>1039</v>
      </c>
      <c r="C328" s="87">
        <v>1.5999999999999999E-5</v>
      </c>
      <c r="D328" s="87">
        <v>5.4999999999999999E-6</v>
      </c>
      <c r="E328" s="232">
        <v>10006.02</v>
      </c>
      <c r="F328" s="232">
        <v>2468</v>
      </c>
      <c r="G328" s="232">
        <v>33957.360000000001</v>
      </c>
      <c r="H328" s="232"/>
      <c r="I328" s="233">
        <v>638</v>
      </c>
      <c r="J328" s="233">
        <v>29757</v>
      </c>
      <c r="K328" s="233">
        <v>2326</v>
      </c>
      <c r="L328" s="232">
        <v>8409</v>
      </c>
      <c r="M328" s="232"/>
      <c r="N328" s="233">
        <v>1190</v>
      </c>
      <c r="O328" s="233">
        <v>10983</v>
      </c>
      <c r="P328" s="233">
        <v>0</v>
      </c>
      <c r="Q328" s="232">
        <v>6601</v>
      </c>
      <c r="R328" s="233">
        <f t="shared" si="4"/>
        <v>18774</v>
      </c>
      <c r="S328" s="232"/>
      <c r="T328" s="233">
        <v>9076</v>
      </c>
      <c r="U328" s="234">
        <v>-253</v>
      </c>
      <c r="V328" s="234">
        <v>8823</v>
      </c>
    </row>
    <row r="329" spans="1:22">
      <c r="A329" s="227">
        <v>93401</v>
      </c>
      <c r="B329" s="228" t="s">
        <v>1040</v>
      </c>
      <c r="C329" s="87">
        <v>1.37997E-2</v>
      </c>
      <c r="D329" s="87">
        <v>1.4001899999999999E-2</v>
      </c>
      <c r="E329" s="232">
        <v>5646375.2899999991</v>
      </c>
      <c r="F329" s="232">
        <v>6283969</v>
      </c>
      <c r="G329" s="232">
        <v>29287586</v>
      </c>
      <c r="H329" s="232"/>
      <c r="I329" s="233">
        <v>550263</v>
      </c>
      <c r="J329" s="233">
        <v>25665262</v>
      </c>
      <c r="K329" s="233">
        <v>2005938</v>
      </c>
      <c r="L329" s="232">
        <v>111475</v>
      </c>
      <c r="M329" s="232"/>
      <c r="N329" s="233">
        <v>1026270</v>
      </c>
      <c r="O329" s="233">
        <v>9472914</v>
      </c>
      <c r="P329" s="233">
        <v>0</v>
      </c>
      <c r="Q329" s="232">
        <v>309143</v>
      </c>
      <c r="R329" s="233">
        <f t="shared" ref="R329:R392" si="5">IF(J329&gt;O329,J329-O329,O329-J329)</f>
        <v>16192348</v>
      </c>
      <c r="S329" s="232"/>
      <c r="T329" s="233">
        <v>7828142</v>
      </c>
      <c r="U329" s="234">
        <v>-83612</v>
      </c>
      <c r="V329" s="234">
        <v>7744530</v>
      </c>
    </row>
    <row r="330" spans="1:22">
      <c r="A330" s="227">
        <v>93402</v>
      </c>
      <c r="B330" s="228" t="s">
        <v>1041</v>
      </c>
      <c r="C330" s="87">
        <v>9.2999999999999997E-5</v>
      </c>
      <c r="D330" s="87">
        <v>9.4400000000000004E-5</v>
      </c>
      <c r="E330" s="232">
        <v>35918.379999999997</v>
      </c>
      <c r="F330" s="232">
        <v>42366</v>
      </c>
      <c r="G330" s="232">
        <v>197377</v>
      </c>
      <c r="H330" s="232"/>
      <c r="I330" s="233">
        <v>3708.375</v>
      </c>
      <c r="J330" s="233">
        <v>172965</v>
      </c>
      <c r="K330" s="233">
        <v>13519</v>
      </c>
      <c r="L330" s="232">
        <v>9628</v>
      </c>
      <c r="M330" s="232"/>
      <c r="N330" s="233">
        <v>6916</v>
      </c>
      <c r="O330" s="233">
        <v>63841</v>
      </c>
      <c r="P330" s="233">
        <v>0</v>
      </c>
      <c r="Q330" s="232">
        <v>2607</v>
      </c>
      <c r="R330" s="233">
        <f t="shared" si="5"/>
        <v>109124</v>
      </c>
      <c r="S330" s="232"/>
      <c r="T330" s="233">
        <v>52756</v>
      </c>
      <c r="U330" s="234">
        <v>3407</v>
      </c>
      <c r="V330" s="234">
        <v>56163</v>
      </c>
    </row>
    <row r="331" spans="1:22">
      <c r="A331" s="227">
        <v>93406</v>
      </c>
      <c r="B331" s="228" t="s">
        <v>1042</v>
      </c>
      <c r="C331" s="87">
        <v>7.1170000000000001E-4</v>
      </c>
      <c r="D331" s="87">
        <v>7.0850000000000004E-4</v>
      </c>
      <c r="E331" s="232">
        <v>298926.93</v>
      </c>
      <c r="F331" s="232">
        <v>317971</v>
      </c>
      <c r="G331" s="232">
        <v>1510466</v>
      </c>
      <c r="H331" s="232"/>
      <c r="I331" s="233">
        <v>28379</v>
      </c>
      <c r="J331" s="233">
        <v>1323650</v>
      </c>
      <c r="K331" s="233">
        <v>103453</v>
      </c>
      <c r="L331" s="232">
        <v>45100</v>
      </c>
      <c r="M331" s="232"/>
      <c r="N331" s="233">
        <v>52928</v>
      </c>
      <c r="O331" s="233">
        <v>488552</v>
      </c>
      <c r="P331" s="233">
        <v>0</v>
      </c>
      <c r="Q331" s="232">
        <v>0</v>
      </c>
      <c r="R331" s="233">
        <f t="shared" si="5"/>
        <v>835098</v>
      </c>
      <c r="S331" s="232"/>
      <c r="T331" s="233">
        <v>403725</v>
      </c>
      <c r="U331" s="234">
        <v>19044</v>
      </c>
      <c r="V331" s="234">
        <v>422769</v>
      </c>
    </row>
    <row r="332" spans="1:22">
      <c r="A332" s="227">
        <v>93408</v>
      </c>
      <c r="B332" s="228" t="s">
        <v>1043</v>
      </c>
      <c r="C332" s="87">
        <v>1.8967999999999999E-3</v>
      </c>
      <c r="D332" s="87">
        <v>1.7309000000000001E-3</v>
      </c>
      <c r="E332" s="232">
        <v>0</v>
      </c>
      <c r="F332" s="232">
        <v>776818</v>
      </c>
      <c r="G332" s="232">
        <v>4025645</v>
      </c>
      <c r="H332" s="232"/>
      <c r="I332" s="233">
        <v>75635</v>
      </c>
      <c r="J332" s="233">
        <v>3527748</v>
      </c>
      <c r="K332" s="233">
        <v>275721</v>
      </c>
      <c r="L332" s="232">
        <v>321789</v>
      </c>
      <c r="M332" s="232"/>
      <c r="N332" s="233">
        <v>141063</v>
      </c>
      <c r="O332" s="233">
        <v>1302074</v>
      </c>
      <c r="P332" s="233">
        <v>0</v>
      </c>
      <c r="Q332" s="232">
        <v>529672</v>
      </c>
      <c r="R332" s="233">
        <f t="shared" si="5"/>
        <v>2225674</v>
      </c>
      <c r="S332" s="232"/>
      <c r="T332" s="233">
        <v>1075996</v>
      </c>
      <c r="U332" s="234">
        <v>10994</v>
      </c>
      <c r="V332" s="234">
        <v>1086990</v>
      </c>
    </row>
    <row r="333" spans="1:22">
      <c r="A333" s="227">
        <v>93411</v>
      </c>
      <c r="B333" s="228" t="s">
        <v>1044</v>
      </c>
      <c r="C333" s="87">
        <v>1.73309E-2</v>
      </c>
      <c r="D333" s="87">
        <v>1.8002500000000001E-2</v>
      </c>
      <c r="E333" s="232">
        <v>7066227.2200000007</v>
      </c>
      <c r="F333" s="232">
        <v>8079414</v>
      </c>
      <c r="G333" s="232">
        <v>36781976</v>
      </c>
      <c r="H333" s="232"/>
      <c r="I333" s="233">
        <v>691070</v>
      </c>
      <c r="J333" s="233">
        <v>32232736</v>
      </c>
      <c r="K333" s="233">
        <v>2519237</v>
      </c>
      <c r="L333" s="232">
        <v>0</v>
      </c>
      <c r="M333" s="232"/>
      <c r="N333" s="233">
        <v>1288882</v>
      </c>
      <c r="O333" s="233">
        <v>11896935</v>
      </c>
      <c r="P333" s="233">
        <v>0</v>
      </c>
      <c r="Q333" s="232">
        <v>963900</v>
      </c>
      <c r="R333" s="233">
        <f t="shared" si="5"/>
        <v>20335801</v>
      </c>
      <c r="S333" s="232"/>
      <c r="T333" s="233">
        <v>9831282</v>
      </c>
      <c r="U333" s="234">
        <v>-369146</v>
      </c>
      <c r="V333" s="234">
        <v>9462137</v>
      </c>
    </row>
    <row r="334" spans="1:22">
      <c r="A334" s="227">
        <v>93413</v>
      </c>
      <c r="B334" s="228" t="s">
        <v>1045</v>
      </c>
      <c r="C334" s="87">
        <v>8.0130000000000002E-4</v>
      </c>
      <c r="D334" s="87">
        <v>8.6039999999999999E-4</v>
      </c>
      <c r="E334" s="232">
        <v>344103.62</v>
      </c>
      <c r="F334" s="232">
        <v>386142</v>
      </c>
      <c r="G334" s="232">
        <v>1700627</v>
      </c>
      <c r="H334" s="232"/>
      <c r="I334" s="233">
        <v>31952</v>
      </c>
      <c r="J334" s="233">
        <v>1490291</v>
      </c>
      <c r="K334" s="233">
        <v>116478</v>
      </c>
      <c r="L334" s="232">
        <v>0</v>
      </c>
      <c r="M334" s="232"/>
      <c r="N334" s="233">
        <v>59592</v>
      </c>
      <c r="O334" s="233">
        <v>550059</v>
      </c>
      <c r="P334" s="233">
        <v>0</v>
      </c>
      <c r="Q334" s="232">
        <v>52213</v>
      </c>
      <c r="R334" s="233">
        <f t="shared" si="5"/>
        <v>940232</v>
      </c>
      <c r="S334" s="232"/>
      <c r="T334" s="233">
        <v>454553</v>
      </c>
      <c r="U334" s="234">
        <v>-17374</v>
      </c>
      <c r="V334" s="234">
        <v>437179</v>
      </c>
    </row>
    <row r="335" spans="1:22">
      <c r="A335" s="227">
        <v>93417</v>
      </c>
      <c r="B335" s="228" t="s">
        <v>1046</v>
      </c>
      <c r="C335" s="87">
        <v>4.1130000000000002E-4</v>
      </c>
      <c r="D335" s="87">
        <v>4.2470000000000002E-4</v>
      </c>
      <c r="E335" s="232">
        <v>180698.52000000002</v>
      </c>
      <c r="F335" s="232">
        <v>190603</v>
      </c>
      <c r="G335" s="232">
        <v>872916</v>
      </c>
      <c r="H335" s="232"/>
      <c r="I335" s="233">
        <v>16401</v>
      </c>
      <c r="J335" s="233">
        <v>764953</v>
      </c>
      <c r="K335" s="233">
        <v>59787</v>
      </c>
      <c r="L335" s="232">
        <v>29582</v>
      </c>
      <c r="M335" s="232"/>
      <c r="N335" s="233">
        <v>30588</v>
      </c>
      <c r="O335" s="233">
        <v>282340</v>
      </c>
      <c r="P335" s="233">
        <v>0</v>
      </c>
      <c r="Q335" s="232">
        <v>0</v>
      </c>
      <c r="R335" s="233">
        <f t="shared" si="5"/>
        <v>482613</v>
      </c>
      <c r="S335" s="232"/>
      <c r="T335" s="233">
        <v>233318</v>
      </c>
      <c r="U335" s="234">
        <v>14150</v>
      </c>
      <c r="V335" s="234">
        <v>247468</v>
      </c>
    </row>
    <row r="336" spans="1:22">
      <c r="A336" s="227">
        <v>93421</v>
      </c>
      <c r="B336" s="228" t="s">
        <v>1047</v>
      </c>
      <c r="C336" s="87">
        <v>2.1646E-3</v>
      </c>
      <c r="D336" s="87">
        <v>2.2629E-3</v>
      </c>
      <c r="E336" s="232">
        <v>806585.66999999993</v>
      </c>
      <c r="F336" s="232">
        <v>1015576</v>
      </c>
      <c r="G336" s="232">
        <v>4594006</v>
      </c>
      <c r="H336" s="232"/>
      <c r="I336" s="233">
        <v>86313</v>
      </c>
      <c r="J336" s="233">
        <v>4025814</v>
      </c>
      <c r="K336" s="233">
        <v>314648</v>
      </c>
      <c r="L336" s="232">
        <v>0</v>
      </c>
      <c r="M336" s="232"/>
      <c r="N336" s="233">
        <v>160979</v>
      </c>
      <c r="O336" s="233">
        <v>1485907</v>
      </c>
      <c r="P336" s="233">
        <v>0</v>
      </c>
      <c r="Q336" s="232">
        <v>286111</v>
      </c>
      <c r="R336" s="233">
        <f t="shared" si="5"/>
        <v>2539907</v>
      </c>
      <c r="S336" s="232"/>
      <c r="T336" s="233">
        <v>1227910</v>
      </c>
      <c r="U336" s="234">
        <v>-103829</v>
      </c>
      <c r="V336" s="234">
        <v>1124081</v>
      </c>
    </row>
    <row r="337" spans="1:22">
      <c r="A337" s="227">
        <v>93431</v>
      </c>
      <c r="B337" s="228" t="s">
        <v>1048</v>
      </c>
      <c r="C337" s="87">
        <v>1.127E-4</v>
      </c>
      <c r="D337" s="87">
        <v>1.3469999999999999E-4</v>
      </c>
      <c r="E337" s="232">
        <v>53587.649999999994</v>
      </c>
      <c r="F337" s="232">
        <v>60453</v>
      </c>
      <c r="G337" s="232">
        <v>239187</v>
      </c>
      <c r="H337" s="232"/>
      <c r="I337" s="233">
        <v>4494</v>
      </c>
      <c r="J337" s="233">
        <v>209604</v>
      </c>
      <c r="K337" s="233">
        <v>16382</v>
      </c>
      <c r="L337" s="232">
        <v>1676</v>
      </c>
      <c r="M337" s="232"/>
      <c r="N337" s="233">
        <v>8381</v>
      </c>
      <c r="O337" s="233">
        <v>77364</v>
      </c>
      <c r="P337" s="233">
        <v>0</v>
      </c>
      <c r="Q337" s="232">
        <v>7450</v>
      </c>
      <c r="R337" s="233">
        <f t="shared" si="5"/>
        <v>132240</v>
      </c>
      <c r="S337" s="232"/>
      <c r="T337" s="233">
        <v>63931</v>
      </c>
      <c r="U337" s="234">
        <v>-1211</v>
      </c>
      <c r="V337" s="234">
        <v>62721</v>
      </c>
    </row>
    <row r="338" spans="1:22">
      <c r="A338" s="227">
        <v>93441</v>
      </c>
      <c r="B338" s="228" t="s">
        <v>1049</v>
      </c>
      <c r="C338" s="87">
        <v>1.4970000000000001E-4</v>
      </c>
      <c r="D338" s="87">
        <v>1.3239999999999999E-4</v>
      </c>
      <c r="E338" s="232">
        <v>71652.759999999995</v>
      </c>
      <c r="F338" s="232">
        <v>59420</v>
      </c>
      <c r="G338" s="232">
        <v>317714</v>
      </c>
      <c r="H338" s="232"/>
      <c r="I338" s="233">
        <v>5969</v>
      </c>
      <c r="J338" s="233">
        <v>278418</v>
      </c>
      <c r="K338" s="233">
        <v>21761</v>
      </c>
      <c r="L338" s="232">
        <v>34771</v>
      </c>
      <c r="M338" s="232"/>
      <c r="N338" s="233">
        <v>11133</v>
      </c>
      <c r="O338" s="233">
        <v>102763</v>
      </c>
      <c r="P338" s="233">
        <v>0</v>
      </c>
      <c r="Q338" s="232">
        <v>0</v>
      </c>
      <c r="R338" s="233">
        <f t="shared" si="5"/>
        <v>175655</v>
      </c>
      <c r="S338" s="232"/>
      <c r="T338" s="233">
        <v>84920</v>
      </c>
      <c r="U338" s="234">
        <v>12654</v>
      </c>
      <c r="V338" s="234">
        <v>97574</v>
      </c>
    </row>
    <row r="339" spans="1:22">
      <c r="A339" s="227">
        <v>93442</v>
      </c>
      <c r="B339" s="228" t="s">
        <v>1050</v>
      </c>
      <c r="C339" s="87">
        <v>1.3540000000000001E-4</v>
      </c>
      <c r="D339" s="87">
        <v>1.7799999999999999E-4</v>
      </c>
      <c r="E339" s="232">
        <v>53217.95</v>
      </c>
      <c r="F339" s="232">
        <v>79885</v>
      </c>
      <c r="G339" s="232">
        <v>287364</v>
      </c>
      <c r="H339" s="232"/>
      <c r="I339" s="233">
        <v>5399</v>
      </c>
      <c r="J339" s="233">
        <v>251823</v>
      </c>
      <c r="K339" s="233">
        <v>19682</v>
      </c>
      <c r="L339" s="232">
        <v>6718</v>
      </c>
      <c r="M339" s="232"/>
      <c r="N339" s="233">
        <v>10070</v>
      </c>
      <c r="O339" s="233">
        <v>92946</v>
      </c>
      <c r="P339" s="233">
        <v>0</v>
      </c>
      <c r="Q339" s="232">
        <v>29938</v>
      </c>
      <c r="R339" s="233">
        <f t="shared" si="5"/>
        <v>158877</v>
      </c>
      <c r="S339" s="232"/>
      <c r="T339" s="233">
        <v>76808</v>
      </c>
      <c r="U339" s="234">
        <v>-6567</v>
      </c>
      <c r="V339" s="234">
        <v>70241</v>
      </c>
    </row>
    <row r="340" spans="1:22">
      <c r="A340" s="227">
        <v>93451</v>
      </c>
      <c r="B340" s="228" t="s">
        <v>1051</v>
      </c>
      <c r="C340" s="87">
        <v>7.6899999999999999E-5</v>
      </c>
      <c r="D340" s="87">
        <v>7.6699999999999994E-5</v>
      </c>
      <c r="E340" s="232">
        <v>41952.18</v>
      </c>
      <c r="F340" s="232">
        <v>34422</v>
      </c>
      <c r="G340" s="232">
        <v>163208</v>
      </c>
      <c r="H340" s="232"/>
      <c r="I340" s="233">
        <v>3066</v>
      </c>
      <c r="J340" s="233">
        <v>143022</v>
      </c>
      <c r="K340" s="233">
        <v>11178</v>
      </c>
      <c r="L340" s="232">
        <v>18732</v>
      </c>
      <c r="M340" s="232"/>
      <c r="N340" s="233">
        <v>5719</v>
      </c>
      <c r="O340" s="233">
        <v>52789</v>
      </c>
      <c r="P340" s="233">
        <v>0</v>
      </c>
      <c r="Q340" s="232">
        <v>2999</v>
      </c>
      <c r="R340" s="233">
        <f t="shared" si="5"/>
        <v>90233</v>
      </c>
      <c r="S340" s="232"/>
      <c r="T340" s="233">
        <v>43623</v>
      </c>
      <c r="U340" s="234">
        <v>4342</v>
      </c>
      <c r="V340" s="234">
        <v>47965</v>
      </c>
    </row>
    <row r="341" spans="1:22">
      <c r="A341" s="227">
        <v>93461</v>
      </c>
      <c r="B341" s="228" t="s">
        <v>1052</v>
      </c>
      <c r="C341" s="87">
        <v>1.7200000000000001E-5</v>
      </c>
      <c r="D341" s="87">
        <v>1.7200000000000001E-5</v>
      </c>
      <c r="E341" s="232">
        <v>7470.840000000002</v>
      </c>
      <c r="F341" s="232">
        <v>7719</v>
      </c>
      <c r="G341" s="232">
        <v>36504</v>
      </c>
      <c r="H341" s="232"/>
      <c r="I341" s="233">
        <v>685.85</v>
      </c>
      <c r="J341" s="233">
        <v>31989</v>
      </c>
      <c r="K341" s="233">
        <v>2500</v>
      </c>
      <c r="L341" s="232">
        <v>695</v>
      </c>
      <c r="M341" s="232"/>
      <c r="N341" s="233">
        <v>1279</v>
      </c>
      <c r="O341" s="233">
        <v>11807</v>
      </c>
      <c r="P341" s="233">
        <v>0</v>
      </c>
      <c r="Q341" s="232">
        <v>0</v>
      </c>
      <c r="R341" s="233">
        <f t="shared" si="5"/>
        <v>20182</v>
      </c>
      <c r="S341" s="232"/>
      <c r="T341" s="233">
        <v>9757</v>
      </c>
      <c r="U341" s="234">
        <v>226</v>
      </c>
      <c r="V341" s="234">
        <v>9983</v>
      </c>
    </row>
    <row r="342" spans="1:22">
      <c r="A342" s="227">
        <v>93471</v>
      </c>
      <c r="B342" s="228" t="s">
        <v>1053</v>
      </c>
      <c r="C342" s="87">
        <v>1.1800000000000001E-5</v>
      </c>
      <c r="D342" s="87">
        <v>1.34E-5</v>
      </c>
      <c r="E342" s="232">
        <v>7905.1299999999992</v>
      </c>
      <c r="F342" s="232">
        <v>6014</v>
      </c>
      <c r="G342" s="232">
        <v>25044</v>
      </c>
      <c r="H342" s="232"/>
      <c r="I342" s="233">
        <v>471</v>
      </c>
      <c r="J342" s="233">
        <v>21946</v>
      </c>
      <c r="K342" s="233">
        <v>1715</v>
      </c>
      <c r="L342" s="232">
        <v>2187</v>
      </c>
      <c r="M342" s="232"/>
      <c r="N342" s="233">
        <v>878</v>
      </c>
      <c r="O342" s="233">
        <v>8100</v>
      </c>
      <c r="P342" s="233">
        <v>0</v>
      </c>
      <c r="Q342" s="232">
        <v>127</v>
      </c>
      <c r="R342" s="233">
        <f t="shared" si="5"/>
        <v>13846</v>
      </c>
      <c r="S342" s="232"/>
      <c r="T342" s="233">
        <v>6694</v>
      </c>
      <c r="U342" s="234">
        <v>563</v>
      </c>
      <c r="V342" s="234">
        <v>7256</v>
      </c>
    </row>
    <row r="343" spans="1:22">
      <c r="A343" s="227">
        <v>93501</v>
      </c>
      <c r="B343" s="228" t="s">
        <v>1054</v>
      </c>
      <c r="C343" s="87">
        <v>3.4039000000000001E-3</v>
      </c>
      <c r="D343" s="87">
        <v>3.4708E-3</v>
      </c>
      <c r="E343" s="232">
        <v>1347598.72</v>
      </c>
      <c r="F343" s="232">
        <v>1557674</v>
      </c>
      <c r="G343" s="232">
        <v>7224216</v>
      </c>
      <c r="H343" s="232"/>
      <c r="I343" s="233">
        <v>135731</v>
      </c>
      <c r="J343" s="233">
        <v>6330716</v>
      </c>
      <c r="K343" s="233">
        <v>494794</v>
      </c>
      <c r="L343" s="232">
        <v>165283</v>
      </c>
      <c r="M343" s="232"/>
      <c r="N343" s="233">
        <v>253145</v>
      </c>
      <c r="O343" s="233">
        <v>2336634</v>
      </c>
      <c r="P343" s="233">
        <v>0</v>
      </c>
      <c r="Q343" s="232">
        <v>77725</v>
      </c>
      <c r="R343" s="233">
        <f t="shared" si="5"/>
        <v>3994082</v>
      </c>
      <c r="S343" s="232"/>
      <c r="T343" s="233">
        <v>1930927</v>
      </c>
      <c r="U343" s="234">
        <v>52932</v>
      </c>
      <c r="V343" s="234">
        <v>1983859</v>
      </c>
    </row>
    <row r="344" spans="1:22">
      <c r="A344" s="227">
        <v>93511</v>
      </c>
      <c r="B344" s="228" t="s">
        <v>1055</v>
      </c>
      <c r="C344" s="87">
        <v>9.8999999999999994E-5</v>
      </c>
      <c r="D344" s="87">
        <v>1.142E-4</v>
      </c>
      <c r="E344" s="232">
        <v>40720.79</v>
      </c>
      <c r="F344" s="232">
        <v>51252</v>
      </c>
      <c r="G344" s="232">
        <v>210111</v>
      </c>
      <c r="H344" s="232"/>
      <c r="I344" s="233">
        <v>3948</v>
      </c>
      <c r="J344" s="233">
        <v>184124</v>
      </c>
      <c r="K344" s="233">
        <v>14391</v>
      </c>
      <c r="L344" s="232">
        <v>5204</v>
      </c>
      <c r="M344" s="232"/>
      <c r="N344" s="233">
        <v>7363</v>
      </c>
      <c r="O344" s="233">
        <v>67959</v>
      </c>
      <c r="P344" s="233">
        <v>0</v>
      </c>
      <c r="Q344" s="232">
        <v>14645</v>
      </c>
      <c r="R344" s="233">
        <f t="shared" si="5"/>
        <v>116165</v>
      </c>
      <c r="S344" s="232"/>
      <c r="T344" s="233">
        <v>56160</v>
      </c>
      <c r="U344" s="234">
        <v>-1792</v>
      </c>
      <c r="V344" s="234">
        <v>54368</v>
      </c>
    </row>
    <row r="345" spans="1:22">
      <c r="A345" s="227">
        <v>93517</v>
      </c>
      <c r="B345" s="228" t="s">
        <v>1056</v>
      </c>
      <c r="C345" s="87">
        <v>6.4999999999999996E-6</v>
      </c>
      <c r="D345" s="87">
        <v>6.6000000000000003E-6</v>
      </c>
      <c r="E345" s="232">
        <v>4035.72</v>
      </c>
      <c r="F345" s="232">
        <v>2962</v>
      </c>
      <c r="G345" s="232">
        <v>13795</v>
      </c>
      <c r="H345" s="232"/>
      <c r="I345" s="233">
        <v>259.1875</v>
      </c>
      <c r="J345" s="233">
        <v>12089</v>
      </c>
      <c r="K345" s="233">
        <v>945</v>
      </c>
      <c r="L345" s="232">
        <v>3198</v>
      </c>
      <c r="M345" s="232"/>
      <c r="N345" s="233">
        <v>483</v>
      </c>
      <c r="O345" s="233">
        <v>4462</v>
      </c>
      <c r="P345" s="233">
        <v>0</v>
      </c>
      <c r="Q345" s="232">
        <v>1011</v>
      </c>
      <c r="R345" s="233">
        <f t="shared" si="5"/>
        <v>7627</v>
      </c>
      <c r="S345" s="232"/>
      <c r="T345" s="233">
        <v>3687</v>
      </c>
      <c r="U345" s="234">
        <v>528</v>
      </c>
      <c r="V345" s="234">
        <v>4215</v>
      </c>
    </row>
    <row r="346" spans="1:22">
      <c r="A346" s="227">
        <v>93521</v>
      </c>
      <c r="B346" s="228" t="s">
        <v>1057</v>
      </c>
      <c r="C346" s="87">
        <v>5.6389999999999999E-4</v>
      </c>
      <c r="D346" s="87">
        <v>4.75E-4</v>
      </c>
      <c r="E346" s="232">
        <v>183430.59999999998</v>
      </c>
      <c r="F346" s="232">
        <v>213177.15</v>
      </c>
      <c r="G346" s="232">
        <v>1196785</v>
      </c>
      <c r="H346" s="232"/>
      <c r="I346" s="233">
        <v>22486</v>
      </c>
      <c r="J346" s="233">
        <v>1048765</v>
      </c>
      <c r="K346" s="233">
        <v>81969</v>
      </c>
      <c r="L346" s="232">
        <v>9662</v>
      </c>
      <c r="M346" s="232"/>
      <c r="N346" s="233">
        <v>41937</v>
      </c>
      <c r="O346" s="233">
        <v>387094</v>
      </c>
      <c r="P346" s="233">
        <v>0</v>
      </c>
      <c r="Q346" s="232">
        <v>10656</v>
      </c>
      <c r="R346" s="233">
        <f t="shared" si="5"/>
        <v>661671</v>
      </c>
      <c r="S346" s="232"/>
      <c r="T346" s="233">
        <v>319883</v>
      </c>
      <c r="U346" s="234">
        <v>-2591</v>
      </c>
      <c r="V346" s="234">
        <v>317292</v>
      </c>
    </row>
    <row r="347" spans="1:22">
      <c r="A347" s="227">
        <v>93527</v>
      </c>
      <c r="B347" s="228" t="s">
        <v>1058</v>
      </c>
      <c r="C347" s="87">
        <v>5.4E-6</v>
      </c>
      <c r="D347" s="87">
        <v>5.4E-6</v>
      </c>
      <c r="E347" s="232">
        <v>8301.4599999999991</v>
      </c>
      <c r="F347" s="232">
        <v>2423</v>
      </c>
      <c r="G347" s="232">
        <v>11461</v>
      </c>
      <c r="H347" s="232"/>
      <c r="I347" s="233">
        <v>215.32499999999999</v>
      </c>
      <c r="J347" s="233">
        <v>10043</v>
      </c>
      <c r="K347" s="233">
        <v>785</v>
      </c>
      <c r="L347" s="232">
        <v>11237</v>
      </c>
      <c r="M347" s="232"/>
      <c r="N347" s="233">
        <v>402</v>
      </c>
      <c r="O347" s="233">
        <v>3707</v>
      </c>
      <c r="P347" s="233">
        <v>0</v>
      </c>
      <c r="Q347" s="232">
        <v>0</v>
      </c>
      <c r="R347" s="233">
        <f t="shared" si="5"/>
        <v>6336</v>
      </c>
      <c r="S347" s="232"/>
      <c r="T347" s="233">
        <v>3063</v>
      </c>
      <c r="U347" s="234">
        <v>3941</v>
      </c>
      <c r="V347" s="234">
        <v>7005</v>
      </c>
    </row>
    <row r="348" spans="1:22">
      <c r="A348" s="227">
        <v>93531</v>
      </c>
      <c r="B348" s="228" t="s">
        <v>1059</v>
      </c>
      <c r="C348" s="87">
        <v>2.4000000000000001E-5</v>
      </c>
      <c r="D348" s="87">
        <v>2.4700000000000001E-5</v>
      </c>
      <c r="E348" s="232">
        <v>11692.23</v>
      </c>
      <c r="F348" s="232">
        <v>11085</v>
      </c>
      <c r="G348" s="232">
        <v>50936.04</v>
      </c>
      <c r="H348" s="232"/>
      <c r="I348" s="233">
        <v>957</v>
      </c>
      <c r="J348" s="233">
        <v>44636</v>
      </c>
      <c r="K348" s="233">
        <v>3489</v>
      </c>
      <c r="L348" s="232">
        <v>1068</v>
      </c>
      <c r="M348" s="232"/>
      <c r="N348" s="233">
        <v>1785</v>
      </c>
      <c r="O348" s="233">
        <v>16475</v>
      </c>
      <c r="P348" s="233">
        <v>0</v>
      </c>
      <c r="Q348" s="232">
        <v>2182</v>
      </c>
      <c r="R348" s="233">
        <f t="shared" si="5"/>
        <v>28161</v>
      </c>
      <c r="S348" s="232"/>
      <c r="T348" s="233">
        <v>13614</v>
      </c>
      <c r="U348" s="234">
        <v>-801</v>
      </c>
      <c r="V348" s="234">
        <v>12814</v>
      </c>
    </row>
    <row r="349" spans="1:22">
      <c r="A349" s="227">
        <v>93537</v>
      </c>
      <c r="B349" s="228" t="s">
        <v>1060</v>
      </c>
      <c r="C349" s="87">
        <v>1.17E-5</v>
      </c>
      <c r="D349" s="87">
        <v>1.13E-5</v>
      </c>
      <c r="E349" s="232">
        <v>3538.9599999999996</v>
      </c>
      <c r="F349" s="232">
        <v>5071</v>
      </c>
      <c r="G349" s="232">
        <v>24831</v>
      </c>
      <c r="H349" s="232"/>
      <c r="I349" s="233">
        <v>467</v>
      </c>
      <c r="J349" s="233">
        <v>21760</v>
      </c>
      <c r="K349" s="233">
        <v>1701</v>
      </c>
      <c r="L349" s="232">
        <v>0</v>
      </c>
      <c r="M349" s="232"/>
      <c r="N349" s="233">
        <v>870</v>
      </c>
      <c r="O349" s="233">
        <v>8032</v>
      </c>
      <c r="P349" s="233">
        <v>0</v>
      </c>
      <c r="Q349" s="232">
        <v>976</v>
      </c>
      <c r="R349" s="233">
        <f t="shared" si="5"/>
        <v>13728</v>
      </c>
      <c r="S349" s="232"/>
      <c r="T349" s="233">
        <v>6637</v>
      </c>
      <c r="U349" s="234">
        <v>-276</v>
      </c>
      <c r="V349" s="234">
        <v>6361</v>
      </c>
    </row>
    <row r="350" spans="1:22">
      <c r="A350" s="227">
        <v>93541</v>
      </c>
      <c r="B350" s="228" t="s">
        <v>1061</v>
      </c>
      <c r="C350" s="87">
        <v>1.061E-4</v>
      </c>
      <c r="D350" s="87">
        <v>1.069E-4</v>
      </c>
      <c r="E350" s="232">
        <v>43705.780000000006</v>
      </c>
      <c r="F350" s="232">
        <v>47976</v>
      </c>
      <c r="G350" s="232">
        <v>225180</v>
      </c>
      <c r="H350" s="232"/>
      <c r="I350" s="233">
        <v>4231</v>
      </c>
      <c r="J350" s="233">
        <v>197329</v>
      </c>
      <c r="K350" s="233">
        <v>15423</v>
      </c>
      <c r="L350" s="232">
        <v>8559</v>
      </c>
      <c r="M350" s="232"/>
      <c r="N350" s="233">
        <v>7891</v>
      </c>
      <c r="O350" s="233">
        <v>72833</v>
      </c>
      <c r="P350" s="233">
        <v>0</v>
      </c>
      <c r="Q350" s="232">
        <v>1155</v>
      </c>
      <c r="R350" s="233">
        <f t="shared" si="5"/>
        <v>124496</v>
      </c>
      <c r="S350" s="232"/>
      <c r="T350" s="233">
        <v>60187</v>
      </c>
      <c r="U350" s="234">
        <v>3927</v>
      </c>
      <c r="V350" s="234">
        <v>64114</v>
      </c>
    </row>
    <row r="351" spans="1:22">
      <c r="A351" s="227">
        <v>93601</v>
      </c>
      <c r="B351" s="228" t="s">
        <v>1062</v>
      </c>
      <c r="C351" s="87">
        <v>1.1139899999999999E-2</v>
      </c>
      <c r="D351" s="87">
        <v>1.09906E-2</v>
      </c>
      <c r="E351" s="232">
        <v>4591072.71</v>
      </c>
      <c r="F351" s="232">
        <v>4932515</v>
      </c>
      <c r="G351" s="232">
        <v>23642600</v>
      </c>
      <c r="H351" s="232"/>
      <c r="I351" s="233">
        <v>444204</v>
      </c>
      <c r="J351" s="233">
        <v>20718454</v>
      </c>
      <c r="K351" s="233">
        <v>1619307</v>
      </c>
      <c r="L351" s="232">
        <v>88715</v>
      </c>
      <c r="M351" s="232"/>
      <c r="N351" s="233">
        <v>828463</v>
      </c>
      <c r="O351" s="233">
        <v>7647073</v>
      </c>
      <c r="P351" s="233">
        <v>0</v>
      </c>
      <c r="Q351" s="232">
        <v>158818</v>
      </c>
      <c r="R351" s="233">
        <f t="shared" si="5"/>
        <v>13071381</v>
      </c>
      <c r="S351" s="232"/>
      <c r="T351" s="233">
        <v>6319320</v>
      </c>
      <c r="U351" s="234">
        <v>-40519</v>
      </c>
      <c r="V351" s="234">
        <v>6278801</v>
      </c>
    </row>
    <row r="352" spans="1:22">
      <c r="A352" s="227">
        <v>93602</v>
      </c>
      <c r="B352" s="228" t="s">
        <v>1063</v>
      </c>
      <c r="C352" s="87">
        <v>1.7200000000000001E-4</v>
      </c>
      <c r="D352" s="87">
        <v>1.873E-4</v>
      </c>
      <c r="E352" s="232">
        <v>65294.78</v>
      </c>
      <c r="F352" s="232">
        <v>84059</v>
      </c>
      <c r="G352" s="232">
        <v>365041.62</v>
      </c>
      <c r="H352" s="232"/>
      <c r="I352" s="233">
        <v>6858.5</v>
      </c>
      <c r="J352" s="233">
        <v>319893</v>
      </c>
      <c r="K352" s="233">
        <v>25002</v>
      </c>
      <c r="L352" s="232">
        <v>1192</v>
      </c>
      <c r="M352" s="232"/>
      <c r="N352" s="233">
        <v>12791</v>
      </c>
      <c r="O352" s="233">
        <v>118071</v>
      </c>
      <c r="P352" s="233">
        <v>0</v>
      </c>
      <c r="Q352" s="232">
        <v>14459</v>
      </c>
      <c r="R352" s="233">
        <f t="shared" si="5"/>
        <v>201822</v>
      </c>
      <c r="S352" s="232"/>
      <c r="T352" s="233">
        <v>97570</v>
      </c>
      <c r="U352" s="234">
        <v>-3774</v>
      </c>
      <c r="V352" s="234">
        <v>93797</v>
      </c>
    </row>
    <row r="353" spans="1:22">
      <c r="A353" s="227">
        <v>93609</v>
      </c>
      <c r="B353" s="228" t="s">
        <v>1064</v>
      </c>
      <c r="C353" s="87">
        <v>3.0569E-3</v>
      </c>
      <c r="D353" s="87">
        <v>2.777E-3</v>
      </c>
      <c r="E353" s="232">
        <v>1250738.1199999999</v>
      </c>
      <c r="F353" s="232">
        <v>1246301</v>
      </c>
      <c r="G353" s="232">
        <v>6487766</v>
      </c>
      <c r="H353" s="232"/>
      <c r="I353" s="233">
        <v>121894</v>
      </c>
      <c r="J353" s="233">
        <v>5685351</v>
      </c>
      <c r="K353" s="233">
        <v>444354</v>
      </c>
      <c r="L353" s="232">
        <v>575194</v>
      </c>
      <c r="M353" s="232"/>
      <c r="N353" s="233">
        <v>227339</v>
      </c>
      <c r="O353" s="233">
        <v>2098433</v>
      </c>
      <c r="P353" s="233">
        <v>0</v>
      </c>
      <c r="Q353" s="232">
        <v>0</v>
      </c>
      <c r="R353" s="233">
        <f t="shared" si="5"/>
        <v>3586918</v>
      </c>
      <c r="S353" s="232"/>
      <c r="T353" s="233">
        <v>1734085</v>
      </c>
      <c r="U353" s="234">
        <v>238417</v>
      </c>
      <c r="V353" s="234">
        <v>1972502</v>
      </c>
    </row>
    <row r="354" spans="1:22">
      <c r="A354" s="227">
        <v>93610</v>
      </c>
      <c r="B354" s="228" t="s">
        <v>1065</v>
      </c>
      <c r="C354" s="87">
        <v>6.4999999999999996E-6</v>
      </c>
      <c r="D354" s="87">
        <v>1.84E-5</v>
      </c>
      <c r="E354" s="232">
        <v>5057.0400000000009</v>
      </c>
      <c r="F354" s="232">
        <v>8258</v>
      </c>
      <c r="G354" s="232">
        <v>13795</v>
      </c>
      <c r="H354" s="232"/>
      <c r="I354" s="233">
        <v>259.1875</v>
      </c>
      <c r="J354" s="233">
        <v>12089</v>
      </c>
      <c r="K354" s="233">
        <v>945</v>
      </c>
      <c r="L354" s="232">
        <v>3285</v>
      </c>
      <c r="M354" s="232"/>
      <c r="N354" s="233">
        <v>483</v>
      </c>
      <c r="O354" s="233">
        <v>4462</v>
      </c>
      <c r="P354" s="233">
        <v>0</v>
      </c>
      <c r="Q354" s="232">
        <v>4553</v>
      </c>
      <c r="R354" s="233">
        <f t="shared" si="5"/>
        <v>7627</v>
      </c>
      <c r="S354" s="232"/>
      <c r="T354" s="233">
        <v>3687</v>
      </c>
      <c r="U354" s="234">
        <v>154</v>
      </c>
      <c r="V354" s="234">
        <v>3842</v>
      </c>
    </row>
    <row r="355" spans="1:22">
      <c r="A355" s="227">
        <v>93611</v>
      </c>
      <c r="B355" s="228" t="s">
        <v>1066</v>
      </c>
      <c r="C355" s="87">
        <v>6.9325000000000003E-3</v>
      </c>
      <c r="D355" s="87">
        <v>6.9034999999999999E-3</v>
      </c>
      <c r="E355" s="232">
        <v>2795516.27</v>
      </c>
      <c r="F355" s="232">
        <v>3098249</v>
      </c>
      <c r="G355" s="232">
        <v>14713087</v>
      </c>
      <c r="H355" s="232"/>
      <c r="I355" s="233">
        <v>276433</v>
      </c>
      <c r="J355" s="233">
        <v>12893355</v>
      </c>
      <c r="K355" s="233">
        <v>1007715</v>
      </c>
      <c r="L355" s="232">
        <v>0</v>
      </c>
      <c r="M355" s="232"/>
      <c r="N355" s="233">
        <v>515563</v>
      </c>
      <c r="O355" s="233">
        <v>4758870</v>
      </c>
      <c r="P355" s="233">
        <v>0</v>
      </c>
      <c r="Q355" s="232">
        <v>266414</v>
      </c>
      <c r="R355" s="233">
        <f t="shared" si="5"/>
        <v>8134485</v>
      </c>
      <c r="S355" s="232"/>
      <c r="T355" s="233">
        <v>3932592</v>
      </c>
      <c r="U355" s="234">
        <v>-113352</v>
      </c>
      <c r="V355" s="234">
        <v>3819240</v>
      </c>
    </row>
    <row r="356" spans="1:22">
      <c r="A356" s="227">
        <v>93617</v>
      </c>
      <c r="B356" s="228" t="s">
        <v>1067</v>
      </c>
      <c r="C356" s="87">
        <v>9.5000000000000005E-5</v>
      </c>
      <c r="D356" s="87">
        <v>7.9200000000000001E-5</v>
      </c>
      <c r="E356" s="232">
        <v>46064</v>
      </c>
      <c r="F356" s="232">
        <v>35544</v>
      </c>
      <c r="G356" s="232">
        <v>201622</v>
      </c>
      <c r="H356" s="232"/>
      <c r="I356" s="233">
        <v>3788.125</v>
      </c>
      <c r="J356" s="233">
        <v>176685</v>
      </c>
      <c r="K356" s="233">
        <v>13809</v>
      </c>
      <c r="L356" s="232">
        <v>28939</v>
      </c>
      <c r="M356" s="232"/>
      <c r="N356" s="233">
        <v>7065</v>
      </c>
      <c r="O356" s="233">
        <v>65213.51</v>
      </c>
      <c r="P356" s="233">
        <v>0</v>
      </c>
      <c r="Q356" s="232">
        <v>0</v>
      </c>
      <c r="R356" s="233">
        <f t="shared" si="5"/>
        <v>111471.48999999999</v>
      </c>
      <c r="S356" s="232"/>
      <c r="T356" s="233">
        <v>53891</v>
      </c>
      <c r="U356" s="234">
        <v>10007</v>
      </c>
      <c r="V356" s="234">
        <v>63898</v>
      </c>
    </row>
    <row r="357" spans="1:22">
      <c r="A357" s="227">
        <v>93618</v>
      </c>
      <c r="B357" s="228" t="s">
        <v>1068</v>
      </c>
      <c r="C357" s="87">
        <v>1.17E-5</v>
      </c>
      <c r="D357" s="87">
        <v>1.0200000000000001E-5</v>
      </c>
      <c r="E357" s="232">
        <v>22628.949999999997</v>
      </c>
      <c r="F357" s="232">
        <v>4578</v>
      </c>
      <c r="G357" s="232">
        <v>24831</v>
      </c>
      <c r="H357" s="232"/>
      <c r="I357" s="233">
        <v>467</v>
      </c>
      <c r="J357" s="233">
        <v>21760</v>
      </c>
      <c r="K357" s="233">
        <v>1701</v>
      </c>
      <c r="L357" s="232">
        <v>27424</v>
      </c>
      <c r="M357" s="232"/>
      <c r="N357" s="233">
        <v>870</v>
      </c>
      <c r="O357" s="233">
        <v>8032</v>
      </c>
      <c r="P357" s="233">
        <v>0</v>
      </c>
      <c r="Q357" s="232">
        <v>0</v>
      </c>
      <c r="R357" s="233">
        <f t="shared" si="5"/>
        <v>13728</v>
      </c>
      <c r="S357" s="232"/>
      <c r="T357" s="233">
        <v>6637</v>
      </c>
      <c r="U357" s="234">
        <v>8505</v>
      </c>
      <c r="V357" s="234">
        <v>15142</v>
      </c>
    </row>
    <row r="358" spans="1:22">
      <c r="A358" s="227">
        <v>93621</v>
      </c>
      <c r="B358" s="228" t="s">
        <v>1069</v>
      </c>
      <c r="C358" s="87">
        <v>8.5320000000000003E-4</v>
      </c>
      <c r="D358" s="87">
        <v>9.5949999999999996E-4</v>
      </c>
      <c r="E358" s="232">
        <v>330203.31</v>
      </c>
      <c r="F358" s="232">
        <v>430618</v>
      </c>
      <c r="G358" s="232">
        <v>1810776</v>
      </c>
      <c r="H358" s="232"/>
      <c r="I358" s="233">
        <v>34021.35</v>
      </c>
      <c r="J358" s="233">
        <v>1586817</v>
      </c>
      <c r="K358" s="233">
        <v>124022</v>
      </c>
      <c r="L358" s="232">
        <v>0</v>
      </c>
      <c r="M358" s="232"/>
      <c r="N358" s="233">
        <v>63452</v>
      </c>
      <c r="O358" s="233">
        <v>585686</v>
      </c>
      <c r="P358" s="233">
        <v>0</v>
      </c>
      <c r="Q358" s="232">
        <v>118410</v>
      </c>
      <c r="R358" s="233">
        <f t="shared" si="5"/>
        <v>1001131</v>
      </c>
      <c r="S358" s="232"/>
      <c r="T358" s="233">
        <v>483994</v>
      </c>
      <c r="U358" s="234">
        <v>-38643</v>
      </c>
      <c r="V358" s="234">
        <v>445351</v>
      </c>
    </row>
    <row r="359" spans="1:22">
      <c r="A359" s="227">
        <v>93623</v>
      </c>
      <c r="B359" s="228" t="s">
        <v>1070</v>
      </c>
      <c r="C359" s="87">
        <v>1.2500000000000001E-5</v>
      </c>
      <c r="D359" s="87">
        <v>1.24E-5</v>
      </c>
      <c r="E359" s="232">
        <v>8240.5799999999981</v>
      </c>
      <c r="F359" s="232">
        <v>5565</v>
      </c>
      <c r="G359" s="232">
        <v>26529.1875</v>
      </c>
      <c r="H359" s="232"/>
      <c r="I359" s="233">
        <v>498.4375</v>
      </c>
      <c r="J359" s="233">
        <v>23248</v>
      </c>
      <c r="K359" s="233">
        <v>1817</v>
      </c>
      <c r="L359" s="232">
        <v>4315</v>
      </c>
      <c r="M359" s="232"/>
      <c r="N359" s="233">
        <v>930</v>
      </c>
      <c r="O359" s="233">
        <v>8581</v>
      </c>
      <c r="P359" s="233">
        <v>0</v>
      </c>
      <c r="Q359" s="232">
        <v>2</v>
      </c>
      <c r="R359" s="233">
        <f t="shared" si="5"/>
        <v>14667</v>
      </c>
      <c r="S359" s="232"/>
      <c r="T359" s="233">
        <v>7091</v>
      </c>
      <c r="U359" s="234">
        <v>1289</v>
      </c>
      <c r="V359" s="234">
        <v>8380</v>
      </c>
    </row>
    <row r="360" spans="1:22">
      <c r="A360" s="227">
        <v>93631</v>
      </c>
      <c r="B360" s="228" t="s">
        <v>1071</v>
      </c>
      <c r="C360" s="87">
        <v>2.3440000000000001E-4</v>
      </c>
      <c r="D360" s="87">
        <v>2.3680000000000001E-4</v>
      </c>
      <c r="E360" s="232">
        <v>87285.229999999981</v>
      </c>
      <c r="F360" s="232">
        <v>106274</v>
      </c>
      <c r="G360" s="232">
        <v>497475</v>
      </c>
      <c r="H360" s="232"/>
      <c r="I360" s="233">
        <v>9347</v>
      </c>
      <c r="J360" s="233">
        <v>435947</v>
      </c>
      <c r="K360" s="233">
        <v>34073</v>
      </c>
      <c r="L360" s="232">
        <v>874</v>
      </c>
      <c r="M360" s="232"/>
      <c r="N360" s="233">
        <v>17432</v>
      </c>
      <c r="O360" s="233">
        <v>160906</v>
      </c>
      <c r="P360" s="233">
        <v>0</v>
      </c>
      <c r="Q360" s="232">
        <v>17303</v>
      </c>
      <c r="R360" s="233">
        <f t="shared" si="5"/>
        <v>275041</v>
      </c>
      <c r="S360" s="232"/>
      <c r="T360" s="233">
        <v>132968</v>
      </c>
      <c r="U360" s="234">
        <v>-4881</v>
      </c>
      <c r="V360" s="234">
        <v>128086</v>
      </c>
    </row>
    <row r="361" spans="1:22">
      <c r="A361" s="227">
        <v>93641</v>
      </c>
      <c r="B361" s="228" t="s">
        <v>1072</v>
      </c>
      <c r="C361" s="87">
        <v>4.3550000000000001E-4</v>
      </c>
      <c r="D361" s="87">
        <v>4.3100000000000001E-4</v>
      </c>
      <c r="E361" s="232">
        <v>182885.7</v>
      </c>
      <c r="F361" s="232">
        <v>193430</v>
      </c>
      <c r="G361" s="232">
        <v>924277</v>
      </c>
      <c r="H361" s="232"/>
      <c r="I361" s="233">
        <v>17365.5625</v>
      </c>
      <c r="J361" s="233">
        <v>809961</v>
      </c>
      <c r="K361" s="233">
        <v>63305</v>
      </c>
      <c r="L361" s="232">
        <v>21571</v>
      </c>
      <c r="M361" s="232"/>
      <c r="N361" s="233">
        <v>32388</v>
      </c>
      <c r="O361" s="233">
        <v>298952</v>
      </c>
      <c r="P361" s="233">
        <v>0</v>
      </c>
      <c r="Q361" s="232">
        <v>0</v>
      </c>
      <c r="R361" s="233">
        <f t="shared" si="5"/>
        <v>511009</v>
      </c>
      <c r="S361" s="232"/>
      <c r="T361" s="233">
        <v>247046</v>
      </c>
      <c r="U361" s="234">
        <v>7537</v>
      </c>
      <c r="V361" s="234">
        <v>254583</v>
      </c>
    </row>
    <row r="362" spans="1:22">
      <c r="A362" s="227">
        <v>93647</v>
      </c>
      <c r="B362" s="228" t="s">
        <v>1073</v>
      </c>
      <c r="C362" s="87">
        <v>6.1E-6</v>
      </c>
      <c r="D362" s="87">
        <v>6.0000000000000002E-6</v>
      </c>
      <c r="E362" s="232">
        <v>7779.1400000000012</v>
      </c>
      <c r="F362" s="232">
        <v>2693</v>
      </c>
      <c r="G362" s="232">
        <v>12946</v>
      </c>
      <c r="H362" s="232"/>
      <c r="I362" s="233">
        <v>243.23750000000001</v>
      </c>
      <c r="J362" s="233">
        <v>11345</v>
      </c>
      <c r="K362" s="233">
        <v>887</v>
      </c>
      <c r="L362" s="232">
        <v>10457</v>
      </c>
      <c r="M362" s="232"/>
      <c r="N362" s="233">
        <v>454</v>
      </c>
      <c r="O362" s="233">
        <v>4187</v>
      </c>
      <c r="P362" s="233">
        <v>0</v>
      </c>
      <c r="Q362" s="232">
        <v>0</v>
      </c>
      <c r="R362" s="233">
        <f t="shared" si="5"/>
        <v>7158</v>
      </c>
      <c r="S362" s="232"/>
      <c r="T362" s="233">
        <v>3460</v>
      </c>
      <c r="U362" s="234">
        <v>3397</v>
      </c>
      <c r="V362" s="234">
        <v>6857</v>
      </c>
    </row>
    <row r="363" spans="1:22">
      <c r="A363" s="227">
        <v>93651</v>
      </c>
      <c r="B363" s="228" t="s">
        <v>1074</v>
      </c>
      <c r="C363" s="87">
        <v>4.282E-4</v>
      </c>
      <c r="D363" s="87">
        <v>4.216E-4</v>
      </c>
      <c r="E363" s="232">
        <v>158412.88</v>
      </c>
      <c r="F363" s="232">
        <v>189212</v>
      </c>
      <c r="G363" s="232">
        <v>908784</v>
      </c>
      <c r="H363" s="232"/>
      <c r="I363" s="233">
        <v>17074</v>
      </c>
      <c r="J363" s="233">
        <v>796384</v>
      </c>
      <c r="K363" s="233">
        <v>62244</v>
      </c>
      <c r="L363" s="232">
        <v>9033</v>
      </c>
      <c r="M363" s="232"/>
      <c r="N363" s="233">
        <v>31845</v>
      </c>
      <c r="O363" s="233">
        <v>293941</v>
      </c>
      <c r="P363" s="233">
        <v>0</v>
      </c>
      <c r="Q363" s="232">
        <v>11722</v>
      </c>
      <c r="R363" s="233">
        <f t="shared" si="5"/>
        <v>502443</v>
      </c>
      <c r="S363" s="232"/>
      <c r="T363" s="233">
        <v>242905</v>
      </c>
      <c r="U363" s="234">
        <v>-139</v>
      </c>
      <c r="V363" s="234">
        <v>242766</v>
      </c>
    </row>
    <row r="364" spans="1:22">
      <c r="A364" s="227">
        <v>93661</v>
      </c>
      <c r="B364" s="228" t="s">
        <v>1075</v>
      </c>
      <c r="C364" s="87">
        <v>1.3420000000000001E-4</v>
      </c>
      <c r="D364" s="87">
        <v>1.2750000000000001E-4</v>
      </c>
      <c r="E364" s="232">
        <v>60285.130000000005</v>
      </c>
      <c r="F364" s="232">
        <v>57221</v>
      </c>
      <c r="G364" s="232">
        <v>284817</v>
      </c>
      <c r="H364" s="232"/>
      <c r="I364" s="233">
        <v>5351</v>
      </c>
      <c r="J364" s="233">
        <v>249591</v>
      </c>
      <c r="K364" s="233">
        <v>19507</v>
      </c>
      <c r="L364" s="232">
        <v>12174</v>
      </c>
      <c r="M364" s="232"/>
      <c r="N364" s="233">
        <v>9980</v>
      </c>
      <c r="O364" s="233">
        <v>92123</v>
      </c>
      <c r="P364" s="233">
        <v>0</v>
      </c>
      <c r="Q364" s="232">
        <v>0</v>
      </c>
      <c r="R364" s="233">
        <f t="shared" si="5"/>
        <v>157468</v>
      </c>
      <c r="S364" s="232"/>
      <c r="T364" s="233">
        <v>76127</v>
      </c>
      <c r="U364" s="234">
        <v>3955</v>
      </c>
      <c r="V364" s="234">
        <v>80082</v>
      </c>
    </row>
    <row r="365" spans="1:22">
      <c r="A365" s="227">
        <v>93671</v>
      </c>
      <c r="B365" s="228" t="s">
        <v>1076</v>
      </c>
      <c r="C365" s="87">
        <v>3.6900000000000002E-4</v>
      </c>
      <c r="D365" s="87">
        <v>3.5710000000000001E-4</v>
      </c>
      <c r="E365" s="232">
        <v>141320.09</v>
      </c>
      <c r="F365" s="232">
        <v>160264</v>
      </c>
      <c r="G365" s="232">
        <v>783142</v>
      </c>
      <c r="H365" s="232"/>
      <c r="I365" s="233">
        <v>14714</v>
      </c>
      <c r="J365" s="233">
        <v>686282</v>
      </c>
      <c r="K365" s="233">
        <v>53638</v>
      </c>
      <c r="L365" s="232">
        <v>67993</v>
      </c>
      <c r="M365" s="232"/>
      <c r="N365" s="233">
        <v>27442</v>
      </c>
      <c r="O365" s="233">
        <v>253303</v>
      </c>
      <c r="P365" s="233">
        <v>0</v>
      </c>
      <c r="Q365" s="232">
        <v>1836</v>
      </c>
      <c r="R365" s="233">
        <f t="shared" si="5"/>
        <v>432979</v>
      </c>
      <c r="S365" s="232"/>
      <c r="T365" s="233">
        <v>209322</v>
      </c>
      <c r="U365" s="234">
        <v>28852</v>
      </c>
      <c r="V365" s="234">
        <v>238174</v>
      </c>
    </row>
    <row r="366" spans="1:22">
      <c r="A366" s="227">
        <v>93677</v>
      </c>
      <c r="B366" s="228" t="s">
        <v>98</v>
      </c>
      <c r="C366" s="87">
        <v>0</v>
      </c>
      <c r="D366" s="87">
        <v>0</v>
      </c>
      <c r="E366" s="232">
        <v>0</v>
      </c>
      <c r="F366" s="232">
        <v>0</v>
      </c>
      <c r="G366" s="232">
        <v>0</v>
      </c>
      <c r="H366" s="232"/>
      <c r="I366" s="233">
        <v>0</v>
      </c>
      <c r="J366" s="233">
        <v>0</v>
      </c>
      <c r="K366" s="233">
        <v>0</v>
      </c>
      <c r="L366" s="232">
        <v>0</v>
      </c>
      <c r="M366" s="232"/>
      <c r="N366" s="233">
        <v>0</v>
      </c>
      <c r="O366" s="233">
        <v>0</v>
      </c>
      <c r="P366" s="233">
        <v>0</v>
      </c>
      <c r="Q366" s="232">
        <v>1443</v>
      </c>
      <c r="R366" s="233">
        <f t="shared" si="5"/>
        <v>0</v>
      </c>
      <c r="S366" s="232"/>
      <c r="T366" s="233">
        <v>0</v>
      </c>
      <c r="U366" s="234">
        <v>-725</v>
      </c>
      <c r="V366" s="234">
        <v>-725</v>
      </c>
    </row>
    <row r="367" spans="1:22">
      <c r="A367" s="227">
        <v>93681</v>
      </c>
      <c r="B367" s="228" t="s">
        <v>1077</v>
      </c>
      <c r="C367" s="87">
        <v>1.1010000000000001E-4</v>
      </c>
      <c r="D367" s="87">
        <v>1.2769999999999999E-4</v>
      </c>
      <c r="E367" s="232">
        <v>44347.75</v>
      </c>
      <c r="F367" s="232">
        <v>57311</v>
      </c>
      <c r="G367" s="232">
        <v>233669</v>
      </c>
      <c r="H367" s="232"/>
      <c r="I367" s="233">
        <v>4390</v>
      </c>
      <c r="J367" s="233">
        <v>204769</v>
      </c>
      <c r="K367" s="233">
        <v>16004</v>
      </c>
      <c r="L367" s="232">
        <v>409</v>
      </c>
      <c r="M367" s="232"/>
      <c r="N367" s="233">
        <v>8188</v>
      </c>
      <c r="O367" s="233">
        <v>75579</v>
      </c>
      <c r="P367" s="233">
        <v>0</v>
      </c>
      <c r="Q367" s="232">
        <v>17487</v>
      </c>
      <c r="R367" s="233">
        <f t="shared" si="5"/>
        <v>129190</v>
      </c>
      <c r="S367" s="232"/>
      <c r="T367" s="233">
        <v>62456</v>
      </c>
      <c r="U367" s="234">
        <v>-6141</v>
      </c>
      <c r="V367" s="234">
        <v>56315</v>
      </c>
    </row>
    <row r="368" spans="1:22">
      <c r="A368" s="227">
        <v>93691</v>
      </c>
      <c r="B368" s="228" t="s">
        <v>1078</v>
      </c>
      <c r="C368" s="87">
        <v>1.1251E-3</v>
      </c>
      <c r="D368" s="87">
        <v>1.1314999999999999E-3</v>
      </c>
      <c r="E368" s="232">
        <v>407119.95</v>
      </c>
      <c r="F368" s="232">
        <v>507810</v>
      </c>
      <c r="G368" s="232">
        <v>2387839</v>
      </c>
      <c r="H368" s="232"/>
      <c r="I368" s="233">
        <v>44863</v>
      </c>
      <c r="J368" s="233">
        <v>2092508</v>
      </c>
      <c r="K368" s="233">
        <v>163546</v>
      </c>
      <c r="L368" s="232">
        <v>0</v>
      </c>
      <c r="M368" s="232"/>
      <c r="N368" s="233">
        <v>83673</v>
      </c>
      <c r="O368" s="233">
        <v>772334</v>
      </c>
      <c r="P368" s="233">
        <v>0</v>
      </c>
      <c r="Q368" s="232">
        <v>90621</v>
      </c>
      <c r="R368" s="233">
        <f t="shared" si="5"/>
        <v>1320174</v>
      </c>
      <c r="S368" s="232"/>
      <c r="T368" s="233">
        <v>638234</v>
      </c>
      <c r="U368" s="234">
        <v>-28965</v>
      </c>
      <c r="V368" s="234">
        <v>609269</v>
      </c>
    </row>
    <row r="369" spans="1:22">
      <c r="A369" s="227">
        <v>93701</v>
      </c>
      <c r="B369" s="228" t="s">
        <v>1941</v>
      </c>
      <c r="C369" s="87">
        <v>4.6200000000000001E-4</v>
      </c>
      <c r="D369" s="87">
        <v>4.7169999999999997E-4</v>
      </c>
      <c r="E369" s="232">
        <v>182681.63</v>
      </c>
      <c r="F369" s="232">
        <v>211696</v>
      </c>
      <c r="G369" s="232">
        <v>980518.77</v>
      </c>
      <c r="H369" s="232"/>
      <c r="I369" s="233">
        <v>18422.25</v>
      </c>
      <c r="J369" s="233">
        <v>859247</v>
      </c>
      <c r="K369" s="233">
        <v>67157</v>
      </c>
      <c r="L369" s="232">
        <v>13714</v>
      </c>
      <c r="M369" s="232"/>
      <c r="N369" s="233">
        <v>34358</v>
      </c>
      <c r="O369" s="233">
        <v>317144</v>
      </c>
      <c r="P369" s="233">
        <v>0</v>
      </c>
      <c r="Q369" s="232">
        <v>11063</v>
      </c>
      <c r="R369" s="233">
        <f t="shared" si="5"/>
        <v>542103</v>
      </c>
      <c r="S369" s="232"/>
      <c r="T369" s="233">
        <v>262078</v>
      </c>
      <c r="U369" s="234">
        <v>2925</v>
      </c>
      <c r="V369" s="234">
        <v>265003</v>
      </c>
    </row>
    <row r="370" spans="1:22">
      <c r="A370" s="227">
        <v>93704</v>
      </c>
      <c r="B370" s="228" t="s">
        <v>1080</v>
      </c>
      <c r="C370" s="87">
        <v>3.3000000000000002E-6</v>
      </c>
      <c r="D370" s="87">
        <v>3.3000000000000002E-6</v>
      </c>
      <c r="E370" s="232">
        <v>1805.1600000000005</v>
      </c>
      <c r="F370" s="232">
        <v>1481</v>
      </c>
      <c r="G370" s="232">
        <v>7004</v>
      </c>
      <c r="H370" s="232"/>
      <c r="I370" s="233">
        <v>131.58750000000001</v>
      </c>
      <c r="J370" s="233">
        <v>6137</v>
      </c>
      <c r="K370" s="233">
        <v>480</v>
      </c>
      <c r="L370" s="232">
        <v>430</v>
      </c>
      <c r="M370" s="232"/>
      <c r="N370" s="233">
        <v>245</v>
      </c>
      <c r="O370" s="233">
        <v>2265</v>
      </c>
      <c r="P370" s="233">
        <v>0</v>
      </c>
      <c r="Q370" s="232">
        <v>97.51</v>
      </c>
      <c r="R370" s="233">
        <f t="shared" si="5"/>
        <v>3872</v>
      </c>
      <c r="S370" s="232"/>
      <c r="T370" s="233">
        <v>1872</v>
      </c>
      <c r="U370" s="234">
        <v>69</v>
      </c>
      <c r="V370" s="234">
        <v>1941</v>
      </c>
    </row>
    <row r="371" spans="1:22">
      <c r="A371" s="227">
        <v>93801</v>
      </c>
      <c r="B371" s="228" t="s">
        <v>1081</v>
      </c>
      <c r="C371" s="87">
        <v>5.4180000000000005E-4</v>
      </c>
      <c r="D371" s="87">
        <v>4.4959999999999998E-4</v>
      </c>
      <c r="E371" s="232">
        <v>326497.91999999998</v>
      </c>
      <c r="F371" s="232">
        <v>201778</v>
      </c>
      <c r="G371" s="232">
        <v>1149881</v>
      </c>
      <c r="H371" s="232"/>
      <c r="I371" s="233">
        <v>21604</v>
      </c>
      <c r="J371" s="233">
        <v>1007662</v>
      </c>
      <c r="K371" s="233">
        <v>78757</v>
      </c>
      <c r="L371" s="232">
        <v>156479</v>
      </c>
      <c r="M371" s="232"/>
      <c r="N371" s="233">
        <v>40293</v>
      </c>
      <c r="O371" s="233">
        <v>371923</v>
      </c>
      <c r="P371" s="233">
        <v>0</v>
      </c>
      <c r="Q371" s="232">
        <v>2943</v>
      </c>
      <c r="R371" s="233">
        <f t="shared" si="5"/>
        <v>635739</v>
      </c>
      <c r="S371" s="232"/>
      <c r="T371" s="233">
        <v>307346</v>
      </c>
      <c r="U371" s="234">
        <v>41370</v>
      </c>
      <c r="V371" s="234">
        <v>348716</v>
      </c>
    </row>
    <row r="372" spans="1:22">
      <c r="A372" s="227">
        <v>93803</v>
      </c>
      <c r="B372" s="228" t="s">
        <v>1082</v>
      </c>
      <c r="C372" s="87">
        <v>1.4469999999999999E-4</v>
      </c>
      <c r="D372" s="87">
        <v>1.582E-4</v>
      </c>
      <c r="E372" s="232">
        <v>49766.119999999995</v>
      </c>
      <c r="F372" s="232">
        <v>70999</v>
      </c>
      <c r="G372" s="232">
        <v>307102</v>
      </c>
      <c r="H372" s="232"/>
      <c r="I372" s="233">
        <v>5770</v>
      </c>
      <c r="J372" s="233">
        <v>269119</v>
      </c>
      <c r="K372" s="233">
        <v>21034</v>
      </c>
      <c r="L372" s="232">
        <v>0</v>
      </c>
      <c r="M372" s="232"/>
      <c r="N372" s="233">
        <v>10761</v>
      </c>
      <c r="O372" s="233">
        <v>99330</v>
      </c>
      <c r="P372" s="233">
        <v>0</v>
      </c>
      <c r="Q372" s="232">
        <v>34507</v>
      </c>
      <c r="R372" s="233">
        <f t="shared" si="5"/>
        <v>169789</v>
      </c>
      <c r="S372" s="232"/>
      <c r="T372" s="233">
        <v>82084</v>
      </c>
      <c r="U372" s="234">
        <v>-12391</v>
      </c>
      <c r="V372" s="234">
        <v>69693</v>
      </c>
    </row>
    <row r="373" spans="1:22">
      <c r="A373" s="227">
        <v>93806</v>
      </c>
      <c r="B373" s="228" t="s">
        <v>1083</v>
      </c>
      <c r="C373" s="87">
        <v>7.3700000000000002E-5</v>
      </c>
      <c r="D373" s="87">
        <v>7.7899999999999996E-5</v>
      </c>
      <c r="E373" s="232">
        <v>32242.28</v>
      </c>
      <c r="F373" s="232">
        <v>34961</v>
      </c>
      <c r="G373" s="232">
        <v>156416</v>
      </c>
      <c r="H373" s="232"/>
      <c r="I373" s="233">
        <v>2939</v>
      </c>
      <c r="J373" s="233">
        <v>137070</v>
      </c>
      <c r="K373" s="233">
        <v>10713</v>
      </c>
      <c r="L373" s="232">
        <v>1793</v>
      </c>
      <c r="M373" s="232"/>
      <c r="N373" s="233">
        <v>5481</v>
      </c>
      <c r="O373" s="233">
        <v>50592</v>
      </c>
      <c r="P373" s="233">
        <v>0</v>
      </c>
      <c r="Q373" s="232">
        <v>19837</v>
      </c>
      <c r="R373" s="233">
        <f t="shared" si="5"/>
        <v>86478</v>
      </c>
      <c r="S373" s="232"/>
      <c r="T373" s="233">
        <v>41808</v>
      </c>
      <c r="U373" s="234">
        <v>-9153</v>
      </c>
      <c r="V373" s="234">
        <v>32655</v>
      </c>
    </row>
    <row r="374" spans="1:22">
      <c r="A374" s="227">
        <v>93821</v>
      </c>
      <c r="B374" s="228" t="s">
        <v>1084</v>
      </c>
      <c r="C374" s="87">
        <v>5.7200000000000001E-5</v>
      </c>
      <c r="D374" s="87">
        <v>5.2899999999999998E-5</v>
      </c>
      <c r="E374" s="232">
        <v>45354.71</v>
      </c>
      <c r="F374" s="232">
        <v>23741</v>
      </c>
      <c r="G374" s="232">
        <v>121398</v>
      </c>
      <c r="H374" s="232"/>
      <c r="I374" s="233">
        <v>2280.85</v>
      </c>
      <c r="J374" s="233">
        <v>106383</v>
      </c>
      <c r="K374" s="233">
        <v>8315</v>
      </c>
      <c r="L374" s="232">
        <v>26142</v>
      </c>
      <c r="M374" s="232"/>
      <c r="N374" s="233">
        <v>4254</v>
      </c>
      <c r="O374" s="233">
        <v>39265</v>
      </c>
      <c r="P374" s="233">
        <v>0</v>
      </c>
      <c r="Q374" s="232">
        <v>0</v>
      </c>
      <c r="R374" s="233">
        <f t="shared" si="5"/>
        <v>67118</v>
      </c>
      <c r="S374" s="232"/>
      <c r="T374" s="233">
        <v>32448</v>
      </c>
      <c r="U374" s="234">
        <v>7718</v>
      </c>
      <c r="V374" s="234">
        <v>40166</v>
      </c>
    </row>
    <row r="375" spans="1:22">
      <c r="A375" s="227">
        <v>93901</v>
      </c>
      <c r="B375" s="228" t="s">
        <v>1085</v>
      </c>
      <c r="C375" s="87">
        <v>1.8059E-3</v>
      </c>
      <c r="D375" s="87">
        <v>1.7983999999999999E-3</v>
      </c>
      <c r="E375" s="232">
        <v>780735.88</v>
      </c>
      <c r="F375" s="232">
        <v>807111</v>
      </c>
      <c r="G375" s="232">
        <v>3832725</v>
      </c>
      <c r="H375" s="232"/>
      <c r="I375" s="233">
        <v>72010</v>
      </c>
      <c r="J375" s="233">
        <v>3358689</v>
      </c>
      <c r="K375" s="233">
        <v>262507</v>
      </c>
      <c r="L375" s="232">
        <v>66837</v>
      </c>
      <c r="M375" s="232"/>
      <c r="N375" s="233">
        <v>134303</v>
      </c>
      <c r="O375" s="233">
        <v>1239675</v>
      </c>
      <c r="P375" s="233">
        <v>0</v>
      </c>
      <c r="Q375" s="232">
        <v>0</v>
      </c>
      <c r="R375" s="233">
        <f t="shared" si="5"/>
        <v>2119014</v>
      </c>
      <c r="S375" s="232"/>
      <c r="T375" s="233">
        <v>1024431</v>
      </c>
      <c r="U375" s="234">
        <v>21679</v>
      </c>
      <c r="V375" s="234">
        <v>1046110</v>
      </c>
    </row>
    <row r="376" spans="1:22">
      <c r="A376" s="227">
        <v>93904</v>
      </c>
      <c r="B376" s="228" t="s">
        <v>1086</v>
      </c>
      <c r="C376" s="87">
        <v>2.4700000000000001E-5</v>
      </c>
      <c r="D376" s="87">
        <v>2.5700000000000001E-5</v>
      </c>
      <c r="E376" s="232">
        <v>12993.06</v>
      </c>
      <c r="F376" s="232">
        <v>11534</v>
      </c>
      <c r="G376" s="232">
        <v>52422</v>
      </c>
      <c r="H376" s="232"/>
      <c r="I376" s="233">
        <v>984.91250000000002</v>
      </c>
      <c r="J376" s="233">
        <v>45938</v>
      </c>
      <c r="K376" s="233">
        <v>3590</v>
      </c>
      <c r="L376" s="232">
        <v>4911</v>
      </c>
      <c r="M376" s="232"/>
      <c r="N376" s="233">
        <v>1837</v>
      </c>
      <c r="O376" s="233">
        <v>16956</v>
      </c>
      <c r="P376" s="233">
        <v>0</v>
      </c>
      <c r="Q376" s="232">
        <v>56</v>
      </c>
      <c r="R376" s="233">
        <f t="shared" si="5"/>
        <v>28982</v>
      </c>
      <c r="S376" s="232"/>
      <c r="T376" s="233">
        <v>14012</v>
      </c>
      <c r="U376" s="234">
        <v>1550</v>
      </c>
      <c r="V376" s="234">
        <v>15562</v>
      </c>
    </row>
    <row r="377" spans="1:22">
      <c r="A377" s="227">
        <v>93906</v>
      </c>
      <c r="B377" s="228" t="s">
        <v>1087</v>
      </c>
      <c r="C377" s="87">
        <v>3.4513E-3</v>
      </c>
      <c r="D377" s="87">
        <v>3.4020000000000001E-3</v>
      </c>
      <c r="E377" s="232">
        <v>1324474.51</v>
      </c>
      <c r="F377" s="232">
        <v>1526797</v>
      </c>
      <c r="G377" s="232">
        <v>7324815</v>
      </c>
      <c r="H377" s="232"/>
      <c r="I377" s="233">
        <v>137621</v>
      </c>
      <c r="J377" s="233">
        <v>6418873</v>
      </c>
      <c r="K377" s="233">
        <v>501684</v>
      </c>
      <c r="L377" s="232">
        <v>30117</v>
      </c>
      <c r="M377" s="232"/>
      <c r="N377" s="233">
        <v>256670</v>
      </c>
      <c r="O377" s="233">
        <v>2369172</v>
      </c>
      <c r="P377" s="233">
        <v>0</v>
      </c>
      <c r="Q377" s="232">
        <v>185682</v>
      </c>
      <c r="R377" s="233">
        <f t="shared" si="5"/>
        <v>4049701</v>
      </c>
      <c r="S377" s="232"/>
      <c r="T377" s="233">
        <v>1957815</v>
      </c>
      <c r="U377" s="234">
        <v>-46065</v>
      </c>
      <c r="V377" s="234">
        <v>1911751</v>
      </c>
    </row>
    <row r="378" spans="1:22">
      <c r="A378" s="227">
        <v>93908</v>
      </c>
      <c r="B378" s="228" t="s">
        <v>1942</v>
      </c>
      <c r="C378" s="87">
        <v>5.0239999999999996E-4</v>
      </c>
      <c r="D378" s="87">
        <v>5.1309999999999995E-4</v>
      </c>
      <c r="E378" s="232">
        <v>209822.77999999997</v>
      </c>
      <c r="F378" s="232">
        <v>230276</v>
      </c>
      <c r="G378" s="232">
        <v>1066261</v>
      </c>
      <c r="H378" s="232"/>
      <c r="I378" s="233">
        <v>20033</v>
      </c>
      <c r="J378" s="233">
        <v>934385</v>
      </c>
      <c r="K378" s="233">
        <v>73029</v>
      </c>
      <c r="L378" s="232">
        <v>8428</v>
      </c>
      <c r="M378" s="232"/>
      <c r="N378" s="233">
        <v>37363</v>
      </c>
      <c r="O378" s="233">
        <v>344876</v>
      </c>
      <c r="P378" s="233">
        <v>0</v>
      </c>
      <c r="Q378" s="232">
        <v>25053</v>
      </c>
      <c r="R378" s="233">
        <f t="shared" si="5"/>
        <v>589509</v>
      </c>
      <c r="S378" s="232"/>
      <c r="T378" s="233">
        <v>284996</v>
      </c>
      <c r="U378" s="234">
        <v>-4339</v>
      </c>
      <c r="V378" s="234">
        <v>280657</v>
      </c>
    </row>
    <row r="379" spans="1:22">
      <c r="A379" s="227">
        <v>93910</v>
      </c>
      <c r="B379" s="228" t="s">
        <v>1089</v>
      </c>
      <c r="C379" s="87">
        <v>2.9129999999999998E-4</v>
      </c>
      <c r="D379" s="87">
        <v>2.8830000000000001E-4</v>
      </c>
      <c r="E379" s="232">
        <v>105004.28000000001</v>
      </c>
      <c r="F379" s="232">
        <v>129387</v>
      </c>
      <c r="G379" s="232">
        <v>618236</v>
      </c>
      <c r="H379" s="232"/>
      <c r="I379" s="233">
        <v>11616</v>
      </c>
      <c r="J379" s="233">
        <v>541772</v>
      </c>
      <c r="K379" s="233">
        <v>42344</v>
      </c>
      <c r="L379" s="232">
        <v>0</v>
      </c>
      <c r="M379" s="232"/>
      <c r="N379" s="233">
        <v>21664</v>
      </c>
      <c r="O379" s="233">
        <v>199965</v>
      </c>
      <c r="P379" s="233">
        <v>0</v>
      </c>
      <c r="Q379" s="232">
        <v>27549</v>
      </c>
      <c r="R379" s="233">
        <f t="shared" si="5"/>
        <v>341807</v>
      </c>
      <c r="S379" s="232"/>
      <c r="T379" s="233">
        <v>165245</v>
      </c>
      <c r="U379" s="234">
        <v>-10320</v>
      </c>
      <c r="V379" s="234">
        <v>154925</v>
      </c>
    </row>
    <row r="380" spans="1:22">
      <c r="A380" s="227">
        <v>93911</v>
      </c>
      <c r="B380" s="228" t="s">
        <v>1090</v>
      </c>
      <c r="C380" s="87">
        <v>6.9890000000000002E-4</v>
      </c>
      <c r="D380" s="87">
        <v>7.1869999999999996E-4</v>
      </c>
      <c r="E380" s="232">
        <v>267489.03999999998</v>
      </c>
      <c r="F380" s="232">
        <v>322548</v>
      </c>
      <c r="G380" s="232">
        <v>1483300</v>
      </c>
      <c r="H380" s="232"/>
      <c r="I380" s="233">
        <v>27869</v>
      </c>
      <c r="J380" s="233">
        <v>1299844</v>
      </c>
      <c r="K380" s="233">
        <v>101593</v>
      </c>
      <c r="L380" s="232">
        <v>21802</v>
      </c>
      <c r="M380" s="232"/>
      <c r="N380" s="233">
        <v>51976</v>
      </c>
      <c r="O380" s="233">
        <v>479765</v>
      </c>
      <c r="P380" s="233">
        <v>0</v>
      </c>
      <c r="Q380" s="232">
        <v>26554</v>
      </c>
      <c r="R380" s="233">
        <f t="shared" si="5"/>
        <v>820079</v>
      </c>
      <c r="S380" s="232"/>
      <c r="T380" s="233">
        <v>396464</v>
      </c>
      <c r="U380" s="234">
        <v>1748</v>
      </c>
      <c r="V380" s="234">
        <v>398212</v>
      </c>
    </row>
    <row r="381" spans="1:22">
      <c r="A381" s="227">
        <v>93913</v>
      </c>
      <c r="B381" s="228" t="s">
        <v>1091</v>
      </c>
      <c r="C381" s="87">
        <v>6.2600000000000004E-5</v>
      </c>
      <c r="D381" s="87">
        <v>5.5699999999999999E-5</v>
      </c>
      <c r="E381" s="232">
        <v>25969.759999999998</v>
      </c>
      <c r="F381" s="232">
        <v>24998</v>
      </c>
      <c r="G381" s="232">
        <v>132858</v>
      </c>
      <c r="H381" s="232"/>
      <c r="I381" s="233">
        <v>2496</v>
      </c>
      <c r="J381" s="233">
        <v>116426</v>
      </c>
      <c r="K381" s="233">
        <v>9100</v>
      </c>
      <c r="L381" s="232">
        <v>3917</v>
      </c>
      <c r="M381" s="232"/>
      <c r="N381" s="233">
        <v>4655</v>
      </c>
      <c r="O381" s="233">
        <v>42972</v>
      </c>
      <c r="P381" s="233">
        <v>0</v>
      </c>
      <c r="Q381" s="232">
        <v>1335</v>
      </c>
      <c r="R381" s="233">
        <f t="shared" si="5"/>
        <v>73454</v>
      </c>
      <c r="S381" s="232"/>
      <c r="T381" s="233">
        <v>35511</v>
      </c>
      <c r="U381" s="234">
        <v>530</v>
      </c>
      <c r="V381" s="234">
        <v>36041</v>
      </c>
    </row>
    <row r="382" spans="1:22">
      <c r="A382" s="227">
        <v>93914</v>
      </c>
      <c r="B382" s="228" t="s">
        <v>1092</v>
      </c>
      <c r="C382" s="87">
        <v>9.0999999999999993E-6</v>
      </c>
      <c r="D382" s="87">
        <v>1.0000000000000001E-5</v>
      </c>
      <c r="E382" s="232">
        <v>5837.72</v>
      </c>
      <c r="F382" s="232">
        <v>4488</v>
      </c>
      <c r="G382" s="232">
        <v>19313</v>
      </c>
      <c r="H382" s="232"/>
      <c r="I382" s="233">
        <v>363</v>
      </c>
      <c r="J382" s="233">
        <v>16925</v>
      </c>
      <c r="K382" s="233">
        <v>1323</v>
      </c>
      <c r="L382" s="232">
        <v>3108</v>
      </c>
      <c r="M382" s="232"/>
      <c r="N382" s="233">
        <v>677</v>
      </c>
      <c r="O382" s="233">
        <v>6247</v>
      </c>
      <c r="P382" s="233">
        <v>0</v>
      </c>
      <c r="Q382" s="232">
        <v>0</v>
      </c>
      <c r="R382" s="233">
        <f t="shared" si="5"/>
        <v>10678</v>
      </c>
      <c r="S382" s="232"/>
      <c r="T382" s="233">
        <v>5162</v>
      </c>
      <c r="U382" s="234">
        <v>1124</v>
      </c>
      <c r="V382" s="234">
        <v>6287</v>
      </c>
    </row>
    <row r="383" spans="1:22">
      <c r="A383" s="227">
        <v>93921</v>
      </c>
      <c r="B383" s="228" t="s">
        <v>1093</v>
      </c>
      <c r="C383" s="87">
        <v>2.7139999999999998E-4</v>
      </c>
      <c r="D383" s="87">
        <v>2.8130000000000001E-4</v>
      </c>
      <c r="E383" s="232">
        <v>109806.1</v>
      </c>
      <c r="F383" s="232">
        <v>126246</v>
      </c>
      <c r="G383" s="232">
        <v>576002</v>
      </c>
      <c r="H383" s="232"/>
      <c r="I383" s="233">
        <v>10822</v>
      </c>
      <c r="J383" s="233">
        <v>504761</v>
      </c>
      <c r="K383" s="233">
        <v>39451</v>
      </c>
      <c r="L383" s="232">
        <v>14895</v>
      </c>
      <c r="M383" s="232"/>
      <c r="N383" s="233">
        <v>20184</v>
      </c>
      <c r="O383" s="233">
        <v>186305</v>
      </c>
      <c r="P383" s="233">
        <v>0</v>
      </c>
      <c r="Q383" s="232">
        <v>6797</v>
      </c>
      <c r="R383" s="233">
        <f t="shared" si="5"/>
        <v>318456</v>
      </c>
      <c r="S383" s="232"/>
      <c r="T383" s="233">
        <v>153957</v>
      </c>
      <c r="U383" s="234">
        <v>4443</v>
      </c>
      <c r="V383" s="234">
        <v>158400</v>
      </c>
    </row>
    <row r="384" spans="1:22">
      <c r="A384" s="227">
        <v>93931</v>
      </c>
      <c r="B384" s="228" t="s">
        <v>1094</v>
      </c>
      <c r="C384" s="87">
        <v>5.2260000000000002E-4</v>
      </c>
      <c r="D384" s="87">
        <v>5.1309999999999995E-4</v>
      </c>
      <c r="E384" s="232">
        <v>190729.08000000002</v>
      </c>
      <c r="F384" s="232">
        <v>230276</v>
      </c>
      <c r="G384" s="232">
        <v>1109132</v>
      </c>
      <c r="H384" s="232"/>
      <c r="I384" s="233">
        <v>20839</v>
      </c>
      <c r="J384" s="233">
        <v>971953</v>
      </c>
      <c r="K384" s="233">
        <v>75966</v>
      </c>
      <c r="L384" s="232">
        <v>197494</v>
      </c>
      <c r="M384" s="232"/>
      <c r="N384" s="233">
        <v>38865</v>
      </c>
      <c r="O384" s="233">
        <v>358743</v>
      </c>
      <c r="P384" s="233">
        <v>0</v>
      </c>
      <c r="Q384" s="232">
        <v>14064</v>
      </c>
      <c r="R384" s="233">
        <f t="shared" si="5"/>
        <v>613210</v>
      </c>
      <c r="S384" s="232"/>
      <c r="T384" s="233">
        <v>296455</v>
      </c>
      <c r="U384" s="234">
        <v>86279</v>
      </c>
      <c r="V384" s="234">
        <v>382733</v>
      </c>
    </row>
    <row r="385" spans="1:22">
      <c r="A385" s="227">
        <v>94001</v>
      </c>
      <c r="B385" s="228" t="s">
        <v>1095</v>
      </c>
      <c r="C385" s="87">
        <v>9.0240000000000003E-4</v>
      </c>
      <c r="D385" s="87">
        <v>8.1820000000000005E-4</v>
      </c>
      <c r="E385" s="232">
        <v>359460.23999999993</v>
      </c>
      <c r="F385" s="232">
        <v>367203</v>
      </c>
      <c r="G385" s="232">
        <v>1915195</v>
      </c>
      <c r="H385" s="232"/>
      <c r="I385" s="233">
        <v>35983</v>
      </c>
      <c r="J385" s="233">
        <v>1678321</v>
      </c>
      <c r="K385" s="233">
        <v>131174</v>
      </c>
      <c r="L385" s="232">
        <v>36363</v>
      </c>
      <c r="M385" s="232"/>
      <c r="N385" s="233">
        <v>67111</v>
      </c>
      <c r="O385" s="233">
        <v>619460</v>
      </c>
      <c r="P385" s="233">
        <v>0</v>
      </c>
      <c r="Q385" s="232">
        <v>53646</v>
      </c>
      <c r="R385" s="233">
        <f t="shared" si="5"/>
        <v>1058861</v>
      </c>
      <c r="S385" s="232"/>
      <c r="T385" s="233">
        <v>511904</v>
      </c>
      <c r="U385" s="234">
        <v>-17058</v>
      </c>
      <c r="V385" s="234">
        <v>494846</v>
      </c>
    </row>
    <row r="386" spans="1:22">
      <c r="A386" s="227">
        <v>94002</v>
      </c>
      <c r="B386" s="228" t="s">
        <v>1096</v>
      </c>
      <c r="C386" s="87">
        <v>7.6000000000000001E-6</v>
      </c>
      <c r="D386" s="87">
        <v>8.3000000000000002E-6</v>
      </c>
      <c r="E386" s="232">
        <v>4360.1499999999987</v>
      </c>
      <c r="F386" s="232">
        <v>3725</v>
      </c>
      <c r="G386" s="232">
        <v>16130</v>
      </c>
      <c r="H386" s="232"/>
      <c r="I386" s="233">
        <v>303.05</v>
      </c>
      <c r="J386" s="233">
        <v>14135</v>
      </c>
      <c r="K386" s="233">
        <v>1105</v>
      </c>
      <c r="L386" s="232">
        <v>867</v>
      </c>
      <c r="M386" s="232"/>
      <c r="N386" s="233">
        <v>565</v>
      </c>
      <c r="O386" s="233">
        <v>5217</v>
      </c>
      <c r="P386" s="233">
        <v>0</v>
      </c>
      <c r="Q386" s="232">
        <v>430</v>
      </c>
      <c r="R386" s="233">
        <f t="shared" si="5"/>
        <v>8918</v>
      </c>
      <c r="S386" s="232"/>
      <c r="T386" s="233">
        <v>4311</v>
      </c>
      <c r="U386" s="234">
        <v>34</v>
      </c>
      <c r="V386" s="234">
        <v>4345</v>
      </c>
    </row>
    <row r="387" spans="1:22">
      <c r="A387" s="227">
        <v>94004</v>
      </c>
      <c r="B387" s="228" t="s">
        <v>1097</v>
      </c>
      <c r="C387" s="87">
        <v>2.7999999999999999E-6</v>
      </c>
      <c r="D387" s="87">
        <v>2.2000000000000001E-6</v>
      </c>
      <c r="E387" s="232">
        <v>2638.89</v>
      </c>
      <c r="F387" s="232">
        <v>987</v>
      </c>
      <c r="G387" s="232">
        <v>5943</v>
      </c>
      <c r="H387" s="232"/>
      <c r="I387" s="233">
        <v>112</v>
      </c>
      <c r="J387" s="233">
        <v>5208</v>
      </c>
      <c r="K387" s="233">
        <v>407</v>
      </c>
      <c r="L387" s="232">
        <v>1506</v>
      </c>
      <c r="M387" s="232"/>
      <c r="N387" s="233">
        <v>208</v>
      </c>
      <c r="O387" s="233">
        <v>1922</v>
      </c>
      <c r="P387" s="233">
        <v>0</v>
      </c>
      <c r="Q387" s="232">
        <v>1224</v>
      </c>
      <c r="R387" s="233">
        <f t="shared" si="5"/>
        <v>3286</v>
      </c>
      <c r="S387" s="232"/>
      <c r="T387" s="233">
        <v>1588</v>
      </c>
      <c r="U387" s="234">
        <v>-207</v>
      </c>
      <c r="V387" s="234">
        <v>1381</v>
      </c>
    </row>
    <row r="388" spans="1:22">
      <c r="A388" s="227">
        <v>94005</v>
      </c>
      <c r="B388" s="228" t="s">
        <v>1098</v>
      </c>
      <c r="C388" s="87">
        <v>5.4999999999999999E-6</v>
      </c>
      <c r="D388" s="87">
        <v>6.2999999999999998E-6</v>
      </c>
      <c r="E388" s="232">
        <v>0</v>
      </c>
      <c r="F388" s="232">
        <v>2827</v>
      </c>
      <c r="G388" s="232">
        <v>11673</v>
      </c>
      <c r="H388" s="232"/>
      <c r="I388" s="233">
        <v>219.3125</v>
      </c>
      <c r="J388" s="233">
        <v>10229</v>
      </c>
      <c r="K388" s="233">
        <v>799</v>
      </c>
      <c r="L388" s="232">
        <v>0</v>
      </c>
      <c r="M388" s="232"/>
      <c r="N388" s="233">
        <v>409</v>
      </c>
      <c r="O388" s="233">
        <v>3776</v>
      </c>
      <c r="P388" s="233">
        <v>0</v>
      </c>
      <c r="Q388" s="232">
        <v>3798</v>
      </c>
      <c r="R388" s="233">
        <f t="shared" si="5"/>
        <v>6453</v>
      </c>
      <c r="S388" s="232"/>
      <c r="T388" s="233">
        <v>3120</v>
      </c>
      <c r="U388" s="234">
        <v>-1174</v>
      </c>
      <c r="V388" s="234">
        <v>1946</v>
      </c>
    </row>
    <row r="389" spans="1:22">
      <c r="A389" s="227">
        <v>94011</v>
      </c>
      <c r="B389" s="228" t="s">
        <v>1099</v>
      </c>
      <c r="C389" s="87">
        <v>2.5599999999999999E-5</v>
      </c>
      <c r="D389" s="87">
        <v>1.3900000000000001E-5</v>
      </c>
      <c r="E389" s="232">
        <v>8013.12</v>
      </c>
      <c r="F389" s="232">
        <v>6238</v>
      </c>
      <c r="G389" s="232">
        <v>54332</v>
      </c>
      <c r="H389" s="232"/>
      <c r="I389" s="233">
        <v>1020.8</v>
      </c>
      <c r="J389" s="233">
        <v>47612</v>
      </c>
      <c r="K389" s="233">
        <v>3721</v>
      </c>
      <c r="L389" s="232">
        <v>4341</v>
      </c>
      <c r="M389" s="232"/>
      <c r="N389" s="233">
        <v>1904</v>
      </c>
      <c r="O389" s="233">
        <v>17573</v>
      </c>
      <c r="P389" s="233">
        <v>0</v>
      </c>
      <c r="Q389" s="232">
        <v>1019</v>
      </c>
      <c r="R389" s="233">
        <f t="shared" si="5"/>
        <v>30039</v>
      </c>
      <c r="S389" s="232"/>
      <c r="T389" s="233">
        <v>14522</v>
      </c>
      <c r="U389" s="234">
        <v>639</v>
      </c>
      <c r="V389" s="234">
        <v>15161</v>
      </c>
    </row>
    <row r="390" spans="1:22">
      <c r="A390" s="227">
        <v>94021</v>
      </c>
      <c r="B390" s="228" t="s">
        <v>1100</v>
      </c>
      <c r="C390" s="87">
        <v>8.1699999999999994E-5</v>
      </c>
      <c r="D390" s="87">
        <v>7.6899999999999999E-5</v>
      </c>
      <c r="E390" s="232">
        <v>34891.089999999997</v>
      </c>
      <c r="F390" s="232">
        <v>34512</v>
      </c>
      <c r="G390" s="232">
        <v>173395</v>
      </c>
      <c r="H390" s="232"/>
      <c r="I390" s="233">
        <v>3258</v>
      </c>
      <c r="J390" s="233">
        <v>151949</v>
      </c>
      <c r="K390" s="233">
        <v>11876</v>
      </c>
      <c r="L390" s="232">
        <v>14318</v>
      </c>
      <c r="M390" s="232"/>
      <c r="N390" s="233">
        <v>6076</v>
      </c>
      <c r="O390" s="233">
        <v>56084</v>
      </c>
      <c r="P390" s="233">
        <v>0</v>
      </c>
      <c r="Q390" s="232">
        <v>0</v>
      </c>
      <c r="R390" s="233">
        <f t="shared" si="5"/>
        <v>95865</v>
      </c>
      <c r="S390" s="232"/>
      <c r="T390" s="233">
        <v>46346</v>
      </c>
      <c r="U390" s="234">
        <v>5712</v>
      </c>
      <c r="V390" s="234">
        <v>52058</v>
      </c>
    </row>
    <row r="391" spans="1:22">
      <c r="A391" s="227">
        <v>94031</v>
      </c>
      <c r="B391" s="228" t="s">
        <v>1101</v>
      </c>
      <c r="C391" s="87">
        <v>8.1000000000000004E-6</v>
      </c>
      <c r="D391" s="87">
        <v>6.9E-6</v>
      </c>
      <c r="E391" s="232">
        <v>7705.65</v>
      </c>
      <c r="F391" s="232">
        <v>3097</v>
      </c>
      <c r="G391" s="232">
        <v>17191</v>
      </c>
      <c r="H391" s="232"/>
      <c r="I391" s="233">
        <v>322.98750000000001</v>
      </c>
      <c r="J391" s="233">
        <v>15065</v>
      </c>
      <c r="K391" s="233">
        <v>1177</v>
      </c>
      <c r="L391" s="232">
        <v>8044</v>
      </c>
      <c r="M391" s="232"/>
      <c r="N391" s="233">
        <v>602</v>
      </c>
      <c r="O391" s="233">
        <v>5560</v>
      </c>
      <c r="P391" s="233">
        <v>0</v>
      </c>
      <c r="Q391" s="232">
        <v>81.59</v>
      </c>
      <c r="R391" s="233">
        <f t="shared" si="5"/>
        <v>9505</v>
      </c>
      <c r="S391" s="232"/>
      <c r="T391" s="233">
        <v>4595</v>
      </c>
      <c r="U391" s="234">
        <v>2417</v>
      </c>
      <c r="V391" s="234">
        <v>7012</v>
      </c>
    </row>
    <row r="392" spans="1:22">
      <c r="A392" s="227">
        <v>94101</v>
      </c>
      <c r="B392" s="228" t="s">
        <v>1102</v>
      </c>
      <c r="C392" s="87">
        <v>1.85028E-2</v>
      </c>
      <c r="D392" s="87">
        <v>1.9464599999999999E-2</v>
      </c>
      <c r="E392" s="232">
        <v>7542805.6200000001</v>
      </c>
      <c r="F392" s="232">
        <v>8735596</v>
      </c>
      <c r="G392" s="232">
        <v>39269140</v>
      </c>
      <c r="H392" s="232"/>
      <c r="I392" s="233">
        <v>737799.15</v>
      </c>
      <c r="J392" s="233">
        <v>34412285</v>
      </c>
      <c r="K392" s="233">
        <v>2689586</v>
      </c>
      <c r="L392" s="232">
        <v>420795</v>
      </c>
      <c r="M392" s="232"/>
      <c r="N392" s="233">
        <v>1376035</v>
      </c>
      <c r="O392" s="233">
        <v>12701395</v>
      </c>
      <c r="P392" s="233">
        <v>0</v>
      </c>
      <c r="Q392" s="232">
        <v>1094802</v>
      </c>
      <c r="R392" s="233">
        <f t="shared" si="5"/>
        <v>21710890</v>
      </c>
      <c r="S392" s="232"/>
      <c r="T392" s="233">
        <v>10496065</v>
      </c>
      <c r="U392" s="234">
        <v>-261265</v>
      </c>
      <c r="V392" s="234">
        <v>10234799</v>
      </c>
    </row>
    <row r="393" spans="1:22">
      <c r="A393" s="227">
        <v>94102</v>
      </c>
      <c r="B393" s="228" t="s">
        <v>1103</v>
      </c>
      <c r="C393" s="87">
        <v>2.7569999999999998E-4</v>
      </c>
      <c r="D393" s="87">
        <v>2.7809999999999998E-4</v>
      </c>
      <c r="E393" s="232">
        <v>89848.97</v>
      </c>
      <c r="F393" s="232">
        <v>124810</v>
      </c>
      <c r="G393" s="232">
        <v>585128</v>
      </c>
      <c r="H393" s="232"/>
      <c r="I393" s="233">
        <v>10994</v>
      </c>
      <c r="J393" s="233">
        <v>512758</v>
      </c>
      <c r="K393" s="233">
        <v>40076</v>
      </c>
      <c r="L393" s="232">
        <v>5166</v>
      </c>
      <c r="M393" s="232"/>
      <c r="N393" s="233">
        <v>20504</v>
      </c>
      <c r="O393" s="233">
        <v>189256</v>
      </c>
      <c r="P393" s="233">
        <v>0</v>
      </c>
      <c r="Q393" s="232">
        <v>36634</v>
      </c>
      <c r="R393" s="233">
        <f t="shared" ref="R393:R456" si="6">IF(J393&gt;O393,J393-O393,O393-J393)</f>
        <v>323502</v>
      </c>
      <c r="S393" s="232"/>
      <c r="T393" s="233">
        <v>156396</v>
      </c>
      <c r="U393" s="234">
        <v>-8485</v>
      </c>
      <c r="V393" s="234">
        <v>147911</v>
      </c>
    </row>
    <row r="394" spans="1:22">
      <c r="A394" s="227">
        <v>94108</v>
      </c>
      <c r="B394" s="228" t="s">
        <v>1104</v>
      </c>
      <c r="C394" s="87">
        <v>3.1809999999999998E-4</v>
      </c>
      <c r="D394" s="87">
        <v>3.991E-4</v>
      </c>
      <c r="E394" s="232">
        <v>100947.51999999999</v>
      </c>
      <c r="F394" s="232">
        <v>179114</v>
      </c>
      <c r="G394" s="232">
        <v>675115</v>
      </c>
      <c r="H394" s="232"/>
      <c r="I394" s="233">
        <v>12684</v>
      </c>
      <c r="J394" s="233">
        <v>591616</v>
      </c>
      <c r="K394" s="233">
        <v>46239</v>
      </c>
      <c r="L394" s="232">
        <v>0</v>
      </c>
      <c r="M394" s="232"/>
      <c r="N394" s="233">
        <v>23657</v>
      </c>
      <c r="O394" s="233">
        <v>218362</v>
      </c>
      <c r="P394" s="233">
        <v>0</v>
      </c>
      <c r="Q394" s="232">
        <v>121376</v>
      </c>
      <c r="R394" s="233">
        <f t="shared" si="6"/>
        <v>373254</v>
      </c>
      <c r="S394" s="232"/>
      <c r="T394" s="233">
        <v>180448</v>
      </c>
      <c r="U394" s="234">
        <v>-40521</v>
      </c>
      <c r="V394" s="234">
        <v>139927</v>
      </c>
    </row>
    <row r="395" spans="1:22">
      <c r="A395" s="227">
        <v>94109</v>
      </c>
      <c r="B395" s="228" t="s">
        <v>1105</v>
      </c>
      <c r="C395" s="87">
        <v>1.0399999999999999E-4</v>
      </c>
      <c r="D395" s="87">
        <v>1.359E-4</v>
      </c>
      <c r="E395" s="232">
        <v>30807.5</v>
      </c>
      <c r="F395" s="232">
        <v>60991</v>
      </c>
      <c r="G395" s="232">
        <v>220722.84</v>
      </c>
      <c r="H395" s="232"/>
      <c r="I395" s="233">
        <v>4147</v>
      </c>
      <c r="J395" s="233">
        <v>193424</v>
      </c>
      <c r="K395" s="233">
        <v>15118</v>
      </c>
      <c r="L395" s="232">
        <v>1600</v>
      </c>
      <c r="M395" s="232"/>
      <c r="N395" s="233">
        <v>7734</v>
      </c>
      <c r="O395" s="233">
        <v>71392</v>
      </c>
      <c r="P395" s="233">
        <v>0</v>
      </c>
      <c r="Q395" s="232">
        <v>33989</v>
      </c>
      <c r="R395" s="233">
        <f t="shared" si="6"/>
        <v>122032</v>
      </c>
      <c r="S395" s="232"/>
      <c r="T395" s="233">
        <v>58996</v>
      </c>
      <c r="U395" s="234">
        <v>-8690</v>
      </c>
      <c r="V395" s="234">
        <v>50306</v>
      </c>
    </row>
    <row r="396" spans="1:22">
      <c r="A396" s="227">
        <v>94111</v>
      </c>
      <c r="B396" s="228" t="s">
        <v>1106</v>
      </c>
      <c r="C396" s="87">
        <v>2.5623300000000002E-2</v>
      </c>
      <c r="D396" s="87">
        <v>2.7054000000000002E-2</v>
      </c>
      <c r="E396" s="232">
        <v>10028319.130000001</v>
      </c>
      <c r="F396" s="232">
        <v>12141673</v>
      </c>
      <c r="G396" s="232">
        <v>54381226</v>
      </c>
      <c r="H396" s="232"/>
      <c r="I396" s="233">
        <v>1021729</v>
      </c>
      <c r="J396" s="233">
        <v>47655290</v>
      </c>
      <c r="K396" s="233">
        <v>3724629</v>
      </c>
      <c r="L396" s="232">
        <v>15132</v>
      </c>
      <c r="M396" s="232"/>
      <c r="N396" s="233">
        <v>1905579</v>
      </c>
      <c r="O396" s="233">
        <v>17589319</v>
      </c>
      <c r="P396" s="233">
        <v>0</v>
      </c>
      <c r="Q396" s="232">
        <v>1552982</v>
      </c>
      <c r="R396" s="233">
        <f t="shared" si="6"/>
        <v>30065971</v>
      </c>
      <c r="S396" s="232"/>
      <c r="T396" s="233">
        <v>14535304</v>
      </c>
      <c r="U396" s="234">
        <v>-430419</v>
      </c>
      <c r="V396" s="234">
        <v>14104885</v>
      </c>
    </row>
    <row r="397" spans="1:22">
      <c r="A397" s="227">
        <v>94112</v>
      </c>
      <c r="B397" s="228" t="s">
        <v>1107</v>
      </c>
      <c r="C397" s="87">
        <v>1.6530000000000001E-4</v>
      </c>
      <c r="D397" s="87">
        <v>1.6909999999999999E-4</v>
      </c>
      <c r="E397" s="232">
        <v>58678.14</v>
      </c>
      <c r="F397" s="232">
        <v>75891</v>
      </c>
      <c r="G397" s="232">
        <v>350822</v>
      </c>
      <c r="H397" s="232"/>
      <c r="I397" s="233">
        <v>6591</v>
      </c>
      <c r="J397" s="233">
        <v>307432</v>
      </c>
      <c r="K397" s="233">
        <v>24028</v>
      </c>
      <c r="L397" s="232">
        <v>0</v>
      </c>
      <c r="M397" s="232"/>
      <c r="N397" s="233">
        <v>12293</v>
      </c>
      <c r="O397" s="233">
        <v>113472</v>
      </c>
      <c r="P397" s="233">
        <v>0</v>
      </c>
      <c r="Q397" s="232">
        <v>20904</v>
      </c>
      <c r="R397" s="233">
        <f t="shared" si="6"/>
        <v>193960</v>
      </c>
      <c r="S397" s="232"/>
      <c r="T397" s="233">
        <v>93770</v>
      </c>
      <c r="U397" s="234">
        <v>-7213</v>
      </c>
      <c r="V397" s="234">
        <v>86557</v>
      </c>
    </row>
    <row r="398" spans="1:22">
      <c r="A398" s="227">
        <v>94117</v>
      </c>
      <c r="B398" s="228" t="s">
        <v>1108</v>
      </c>
      <c r="C398" s="87">
        <v>4.0709999999999997E-4</v>
      </c>
      <c r="D398" s="87">
        <v>4.17E-4</v>
      </c>
      <c r="E398" s="232">
        <v>162037.82999999999</v>
      </c>
      <c r="F398" s="232">
        <v>187147</v>
      </c>
      <c r="G398" s="232">
        <v>864003</v>
      </c>
      <c r="H398" s="232"/>
      <c r="I398" s="233">
        <v>16233</v>
      </c>
      <c r="J398" s="233">
        <v>757142</v>
      </c>
      <c r="K398" s="233">
        <v>59176</v>
      </c>
      <c r="L398" s="232">
        <v>12662</v>
      </c>
      <c r="M398" s="232"/>
      <c r="N398" s="233">
        <v>30276</v>
      </c>
      <c r="O398" s="233">
        <v>279457</v>
      </c>
      <c r="P398" s="233">
        <v>0</v>
      </c>
      <c r="Q398" s="232">
        <v>9635</v>
      </c>
      <c r="R398" s="233">
        <f t="shared" si="6"/>
        <v>477685</v>
      </c>
      <c r="S398" s="232"/>
      <c r="T398" s="233">
        <v>230935</v>
      </c>
      <c r="U398" s="234">
        <v>2033</v>
      </c>
      <c r="V398" s="234">
        <v>232968</v>
      </c>
    </row>
    <row r="399" spans="1:22">
      <c r="A399" s="227">
        <v>94118</v>
      </c>
      <c r="B399" s="228" t="s">
        <v>1109</v>
      </c>
      <c r="C399" s="87">
        <v>1.63E-4</v>
      </c>
      <c r="D399" s="87">
        <v>1.918E-4</v>
      </c>
      <c r="E399" s="232">
        <v>53075.589999999989</v>
      </c>
      <c r="F399" s="232">
        <v>86079</v>
      </c>
      <c r="G399" s="232">
        <v>345941</v>
      </c>
      <c r="H399" s="232"/>
      <c r="I399" s="233">
        <v>6499.625</v>
      </c>
      <c r="J399" s="233">
        <v>303154</v>
      </c>
      <c r="K399" s="233">
        <v>23694</v>
      </c>
      <c r="L399" s="232">
        <v>0</v>
      </c>
      <c r="M399" s="232"/>
      <c r="N399" s="233">
        <v>12122</v>
      </c>
      <c r="O399" s="233">
        <v>111893</v>
      </c>
      <c r="P399" s="233">
        <v>0</v>
      </c>
      <c r="Q399" s="232">
        <v>58615</v>
      </c>
      <c r="R399" s="233">
        <f t="shared" si="6"/>
        <v>191261</v>
      </c>
      <c r="S399" s="232"/>
      <c r="T399" s="233">
        <v>92465</v>
      </c>
      <c r="U399" s="234">
        <v>-20217</v>
      </c>
      <c r="V399" s="234">
        <v>72248</v>
      </c>
    </row>
    <row r="400" spans="1:22">
      <c r="A400" s="227">
        <v>94121</v>
      </c>
      <c r="B400" s="228" t="s">
        <v>1110</v>
      </c>
      <c r="C400" s="87">
        <v>1.12823E-2</v>
      </c>
      <c r="D400" s="87">
        <v>1.20112E-2</v>
      </c>
      <c r="E400" s="232">
        <v>4810509.83</v>
      </c>
      <c r="F400" s="232">
        <v>5390554</v>
      </c>
      <c r="G400" s="232">
        <v>23944820</v>
      </c>
      <c r="H400" s="232"/>
      <c r="I400" s="233">
        <v>449882</v>
      </c>
      <c r="J400" s="233">
        <v>20983295</v>
      </c>
      <c r="K400" s="233">
        <v>1640006</v>
      </c>
      <c r="L400" s="232">
        <v>42878</v>
      </c>
      <c r="M400" s="232"/>
      <c r="N400" s="233">
        <v>839053</v>
      </c>
      <c r="O400" s="233">
        <v>7744825</v>
      </c>
      <c r="P400" s="233">
        <v>0</v>
      </c>
      <c r="Q400" s="232">
        <v>429585</v>
      </c>
      <c r="R400" s="233">
        <f t="shared" si="6"/>
        <v>13238470</v>
      </c>
      <c r="S400" s="232"/>
      <c r="T400" s="233">
        <v>6400099</v>
      </c>
      <c r="U400" s="234">
        <v>-137554</v>
      </c>
      <c r="V400" s="234">
        <v>6262545</v>
      </c>
    </row>
    <row r="401" spans="1:22">
      <c r="A401" s="227">
        <v>94127</v>
      </c>
      <c r="B401" s="228" t="s">
        <v>1111</v>
      </c>
      <c r="C401" s="87">
        <v>1.528E-4</v>
      </c>
      <c r="D401" s="87">
        <v>1.4530000000000001E-4</v>
      </c>
      <c r="E401" s="232">
        <v>61107.729999999996</v>
      </c>
      <c r="F401" s="232">
        <v>65210</v>
      </c>
      <c r="G401" s="232">
        <v>324293</v>
      </c>
      <c r="H401" s="232"/>
      <c r="I401" s="233">
        <v>6092.9</v>
      </c>
      <c r="J401" s="233">
        <v>284184</v>
      </c>
      <c r="K401" s="233">
        <v>22211</v>
      </c>
      <c r="L401" s="232">
        <v>3883</v>
      </c>
      <c r="M401" s="232"/>
      <c r="N401" s="233">
        <v>11364</v>
      </c>
      <c r="O401" s="233">
        <v>104891</v>
      </c>
      <c r="P401" s="233">
        <v>0</v>
      </c>
      <c r="Q401" s="232">
        <v>617</v>
      </c>
      <c r="R401" s="233">
        <f t="shared" si="6"/>
        <v>179293</v>
      </c>
      <c r="S401" s="232"/>
      <c r="T401" s="233">
        <v>86679</v>
      </c>
      <c r="U401" s="234">
        <v>1078</v>
      </c>
      <c r="V401" s="234">
        <v>87756</v>
      </c>
    </row>
    <row r="402" spans="1:22">
      <c r="A402" s="227">
        <v>94131</v>
      </c>
      <c r="B402" s="228" t="s">
        <v>1112</v>
      </c>
      <c r="C402" s="87">
        <v>2.0049999999999999E-4</v>
      </c>
      <c r="D402" s="87">
        <v>2.0120000000000001E-4</v>
      </c>
      <c r="E402" s="232">
        <v>83859.38</v>
      </c>
      <c r="F402" s="232">
        <v>90297</v>
      </c>
      <c r="G402" s="232">
        <v>425528</v>
      </c>
      <c r="H402" s="232"/>
      <c r="I402" s="233">
        <v>7994.9375</v>
      </c>
      <c r="J402" s="233">
        <v>372898</v>
      </c>
      <c r="K402" s="233">
        <v>29145</v>
      </c>
      <c r="L402" s="232">
        <v>4546</v>
      </c>
      <c r="M402" s="232"/>
      <c r="N402" s="233">
        <v>14911</v>
      </c>
      <c r="O402" s="233">
        <v>137635</v>
      </c>
      <c r="P402" s="233">
        <v>0</v>
      </c>
      <c r="Q402" s="232">
        <v>1120</v>
      </c>
      <c r="R402" s="233">
        <f t="shared" si="6"/>
        <v>235263</v>
      </c>
      <c r="S402" s="232"/>
      <c r="T402" s="233">
        <v>113737</v>
      </c>
      <c r="U402" s="234">
        <v>979</v>
      </c>
      <c r="V402" s="234">
        <v>114716</v>
      </c>
    </row>
    <row r="403" spans="1:22">
      <c r="A403" s="227">
        <v>94151</v>
      </c>
      <c r="B403" s="228" t="s">
        <v>1113</v>
      </c>
      <c r="C403" s="87">
        <v>4.2870000000000001E-4</v>
      </c>
      <c r="D403" s="87">
        <v>4.0200000000000001E-4</v>
      </c>
      <c r="E403" s="232">
        <v>148093.01</v>
      </c>
      <c r="F403" s="232">
        <v>180415</v>
      </c>
      <c r="G403" s="232">
        <v>909845</v>
      </c>
      <c r="H403" s="232"/>
      <c r="I403" s="233">
        <v>17094</v>
      </c>
      <c r="J403" s="233">
        <v>797314</v>
      </c>
      <c r="K403" s="233">
        <v>62316</v>
      </c>
      <c r="L403" s="232">
        <v>0</v>
      </c>
      <c r="M403" s="232"/>
      <c r="N403" s="233">
        <v>31882</v>
      </c>
      <c r="O403" s="233">
        <v>294285</v>
      </c>
      <c r="P403" s="233">
        <v>0</v>
      </c>
      <c r="Q403" s="232">
        <v>19133</v>
      </c>
      <c r="R403" s="233">
        <f t="shared" si="6"/>
        <v>503029</v>
      </c>
      <c r="S403" s="232"/>
      <c r="T403" s="233">
        <v>243188</v>
      </c>
      <c r="U403" s="234">
        <v>-6795</v>
      </c>
      <c r="V403" s="234">
        <v>236393</v>
      </c>
    </row>
    <row r="404" spans="1:22">
      <c r="A404" s="227">
        <v>94157</v>
      </c>
      <c r="B404" s="228" t="s">
        <v>1114</v>
      </c>
      <c r="C404" s="87">
        <v>9.3999999999999998E-6</v>
      </c>
      <c r="D404" s="87">
        <v>8.1999999999999994E-6</v>
      </c>
      <c r="E404" s="232">
        <v>4972.8100000000013</v>
      </c>
      <c r="F404" s="232">
        <v>3680</v>
      </c>
      <c r="G404" s="232">
        <v>19950</v>
      </c>
      <c r="H404" s="232"/>
      <c r="I404" s="233">
        <v>374.82499999999999</v>
      </c>
      <c r="J404" s="233">
        <v>17483</v>
      </c>
      <c r="K404" s="233">
        <v>1366</v>
      </c>
      <c r="L404" s="232">
        <v>5150</v>
      </c>
      <c r="M404" s="232"/>
      <c r="N404" s="233">
        <v>699</v>
      </c>
      <c r="O404" s="233">
        <v>6453</v>
      </c>
      <c r="P404" s="233">
        <v>0</v>
      </c>
      <c r="Q404" s="232">
        <v>0</v>
      </c>
      <c r="R404" s="233">
        <f t="shared" si="6"/>
        <v>11030</v>
      </c>
      <c r="S404" s="232"/>
      <c r="T404" s="233">
        <v>5332</v>
      </c>
      <c r="U404" s="234">
        <v>1947</v>
      </c>
      <c r="V404" s="234">
        <v>7280</v>
      </c>
    </row>
    <row r="405" spans="1:22">
      <c r="A405" s="227">
        <v>94161</v>
      </c>
      <c r="B405" s="228" t="s">
        <v>1115</v>
      </c>
      <c r="C405" s="87">
        <v>5.7899999999999998E-5</v>
      </c>
      <c r="D405" s="87">
        <v>5.3000000000000001E-5</v>
      </c>
      <c r="E405" s="232">
        <v>21890.33</v>
      </c>
      <c r="F405" s="232">
        <v>23786</v>
      </c>
      <c r="G405" s="232">
        <v>122883</v>
      </c>
      <c r="H405" s="232"/>
      <c r="I405" s="233">
        <v>2309</v>
      </c>
      <c r="J405" s="233">
        <v>107685</v>
      </c>
      <c r="K405" s="233">
        <v>8416</v>
      </c>
      <c r="L405" s="232">
        <v>8543</v>
      </c>
      <c r="M405" s="232"/>
      <c r="N405" s="233">
        <v>4306</v>
      </c>
      <c r="O405" s="233">
        <v>39746</v>
      </c>
      <c r="P405" s="233">
        <v>0</v>
      </c>
      <c r="Q405" s="232">
        <v>0</v>
      </c>
      <c r="R405" s="233">
        <f t="shared" si="6"/>
        <v>67939</v>
      </c>
      <c r="S405" s="232"/>
      <c r="T405" s="233">
        <v>32845</v>
      </c>
      <c r="U405" s="234">
        <v>3088</v>
      </c>
      <c r="V405" s="234">
        <v>35933</v>
      </c>
    </row>
    <row r="406" spans="1:22">
      <c r="A406" s="227">
        <v>94168</v>
      </c>
      <c r="B406" s="228" t="s">
        <v>1116</v>
      </c>
      <c r="C406" s="87">
        <v>3.4E-5</v>
      </c>
      <c r="D406" s="87">
        <v>4.18E-5</v>
      </c>
      <c r="E406" s="232">
        <v>12127.4</v>
      </c>
      <c r="F406" s="232">
        <v>18760</v>
      </c>
      <c r="G406" s="232">
        <v>72159.39</v>
      </c>
      <c r="H406" s="232"/>
      <c r="I406" s="233">
        <v>1355.75</v>
      </c>
      <c r="J406" s="233">
        <v>63235</v>
      </c>
      <c r="K406" s="233">
        <v>4942</v>
      </c>
      <c r="L406" s="232">
        <v>0</v>
      </c>
      <c r="M406" s="232"/>
      <c r="N406" s="233">
        <v>2529</v>
      </c>
      <c r="O406" s="233">
        <v>23340</v>
      </c>
      <c r="P406" s="233">
        <v>0</v>
      </c>
      <c r="Q406" s="232">
        <v>13113</v>
      </c>
      <c r="R406" s="233">
        <f t="shared" si="6"/>
        <v>39895</v>
      </c>
      <c r="S406" s="232"/>
      <c r="T406" s="233">
        <v>19287</v>
      </c>
      <c r="U406" s="234">
        <v>-4643</v>
      </c>
      <c r="V406" s="234">
        <v>14644</v>
      </c>
    </row>
    <row r="407" spans="1:22">
      <c r="A407" s="227">
        <v>94171</v>
      </c>
      <c r="B407" s="228" t="s">
        <v>1117</v>
      </c>
      <c r="C407" s="87">
        <v>5.5000000000000002E-5</v>
      </c>
      <c r="D407" s="87">
        <v>5.1100000000000002E-5</v>
      </c>
      <c r="E407" s="232">
        <v>21113.95</v>
      </c>
      <c r="F407" s="232">
        <v>22933</v>
      </c>
      <c r="G407" s="232">
        <v>116728</v>
      </c>
      <c r="H407" s="232"/>
      <c r="I407" s="233">
        <v>2193.125</v>
      </c>
      <c r="J407" s="233">
        <v>102291.31</v>
      </c>
      <c r="K407" s="233">
        <v>7995</v>
      </c>
      <c r="L407" s="232">
        <v>6490</v>
      </c>
      <c r="M407" s="232"/>
      <c r="N407" s="233">
        <v>4090</v>
      </c>
      <c r="O407" s="233">
        <v>37755.19</v>
      </c>
      <c r="P407" s="233">
        <v>0</v>
      </c>
      <c r="Q407" s="232">
        <v>1733</v>
      </c>
      <c r="R407" s="233">
        <f t="shared" si="6"/>
        <v>64536.119999999995</v>
      </c>
      <c r="S407" s="232"/>
      <c r="T407" s="233">
        <v>31200</v>
      </c>
      <c r="U407" s="234">
        <v>1343</v>
      </c>
      <c r="V407" s="234">
        <v>32542</v>
      </c>
    </row>
    <row r="408" spans="1:22">
      <c r="A408" s="227">
        <v>94172</v>
      </c>
      <c r="B408" s="228" t="s">
        <v>1118</v>
      </c>
      <c r="C408" s="87">
        <v>2.6699999999999998E-4</v>
      </c>
      <c r="D408" s="87">
        <v>3.1379999999999998E-4</v>
      </c>
      <c r="E408" s="232">
        <v>80978.819999999978</v>
      </c>
      <c r="F408" s="232">
        <v>140832</v>
      </c>
      <c r="G408" s="232">
        <v>566663</v>
      </c>
      <c r="H408" s="232"/>
      <c r="I408" s="233">
        <v>10646.625</v>
      </c>
      <c r="J408" s="233">
        <v>496578</v>
      </c>
      <c r="K408" s="233">
        <v>38811</v>
      </c>
      <c r="L408" s="232">
        <v>0</v>
      </c>
      <c r="M408" s="232"/>
      <c r="N408" s="233">
        <v>19857</v>
      </c>
      <c r="O408" s="233">
        <v>183284</v>
      </c>
      <c r="P408" s="233">
        <v>0</v>
      </c>
      <c r="Q408" s="232">
        <v>98660</v>
      </c>
      <c r="R408" s="233">
        <f t="shared" si="6"/>
        <v>313294</v>
      </c>
      <c r="S408" s="232"/>
      <c r="T408" s="233">
        <v>151461</v>
      </c>
      <c r="U408" s="234">
        <v>-34663</v>
      </c>
      <c r="V408" s="234">
        <v>116798</v>
      </c>
    </row>
    <row r="409" spans="1:22">
      <c r="A409" s="227">
        <v>94201</v>
      </c>
      <c r="B409" s="228" t="s">
        <v>1119</v>
      </c>
      <c r="C409" s="87">
        <v>3.4813000000000001E-3</v>
      </c>
      <c r="D409" s="87">
        <v>3.4115E-3</v>
      </c>
      <c r="E409" s="232">
        <v>1407553.7100000002</v>
      </c>
      <c r="F409" s="232">
        <v>1531061</v>
      </c>
      <c r="G409" s="232">
        <v>7388485</v>
      </c>
      <c r="H409" s="232"/>
      <c r="I409" s="233">
        <v>138817</v>
      </c>
      <c r="J409" s="233">
        <v>6474668</v>
      </c>
      <c r="K409" s="233">
        <v>506045</v>
      </c>
      <c r="L409" s="232">
        <v>56033</v>
      </c>
      <c r="M409" s="232"/>
      <c r="N409" s="233">
        <v>258901</v>
      </c>
      <c r="O409" s="233">
        <v>2389766</v>
      </c>
      <c r="P409" s="233">
        <v>0</v>
      </c>
      <c r="Q409" s="232">
        <v>3701</v>
      </c>
      <c r="R409" s="233">
        <f t="shared" si="6"/>
        <v>4084902</v>
      </c>
      <c r="S409" s="232"/>
      <c r="T409" s="233">
        <v>1974834</v>
      </c>
      <c r="U409" s="234">
        <v>16227</v>
      </c>
      <c r="V409" s="234">
        <v>1991060</v>
      </c>
    </row>
    <row r="410" spans="1:22">
      <c r="A410" s="227">
        <v>94204</v>
      </c>
      <c r="B410" s="228" t="s">
        <v>1120</v>
      </c>
      <c r="C410" s="87">
        <v>2.4899999999999999E-5</v>
      </c>
      <c r="D410" s="87">
        <v>2.41E-5</v>
      </c>
      <c r="E410" s="232">
        <v>15445.930000000004</v>
      </c>
      <c r="F410" s="232">
        <v>10816</v>
      </c>
      <c r="G410" s="232">
        <v>52846</v>
      </c>
      <c r="H410" s="232"/>
      <c r="I410" s="233">
        <v>993</v>
      </c>
      <c r="J410" s="233">
        <v>46310</v>
      </c>
      <c r="K410" s="233">
        <v>3619</v>
      </c>
      <c r="L410" s="232">
        <v>10811</v>
      </c>
      <c r="M410" s="232"/>
      <c r="N410" s="233">
        <v>1852</v>
      </c>
      <c r="O410" s="233">
        <v>17093</v>
      </c>
      <c r="P410" s="233">
        <v>0</v>
      </c>
      <c r="Q410" s="232">
        <v>0</v>
      </c>
      <c r="R410" s="233">
        <f t="shared" si="6"/>
        <v>29217</v>
      </c>
      <c r="S410" s="232"/>
      <c r="T410" s="233">
        <v>14125</v>
      </c>
      <c r="U410" s="234">
        <v>3721</v>
      </c>
      <c r="V410" s="234">
        <v>17846</v>
      </c>
    </row>
    <row r="411" spans="1:22">
      <c r="A411" s="227">
        <v>94205</v>
      </c>
      <c r="B411" s="228" t="s">
        <v>1121</v>
      </c>
      <c r="C411" s="87">
        <v>2.6100000000000001E-5</v>
      </c>
      <c r="D411" s="87">
        <v>2.6999999999999999E-5</v>
      </c>
      <c r="E411" s="232">
        <v>12435.88</v>
      </c>
      <c r="F411" s="232">
        <v>12117</v>
      </c>
      <c r="G411" s="232">
        <v>55393</v>
      </c>
      <c r="H411" s="232"/>
      <c r="I411" s="233">
        <v>1040.7375</v>
      </c>
      <c r="J411" s="233">
        <v>48542</v>
      </c>
      <c r="K411" s="233">
        <v>3794</v>
      </c>
      <c r="L411" s="232">
        <v>2432</v>
      </c>
      <c r="M411" s="232"/>
      <c r="N411" s="233">
        <v>1941</v>
      </c>
      <c r="O411" s="233">
        <v>17917</v>
      </c>
      <c r="P411" s="233">
        <v>0</v>
      </c>
      <c r="Q411" s="232">
        <v>6726</v>
      </c>
      <c r="R411" s="233">
        <f t="shared" si="6"/>
        <v>30625</v>
      </c>
      <c r="S411" s="232"/>
      <c r="T411" s="233">
        <v>14806</v>
      </c>
      <c r="U411" s="234">
        <v>-2600</v>
      </c>
      <c r="V411" s="234">
        <v>12205</v>
      </c>
    </row>
    <row r="412" spans="1:22">
      <c r="A412" s="227">
        <v>94209</v>
      </c>
      <c r="B412" s="228" t="s">
        <v>1122</v>
      </c>
      <c r="C412" s="87">
        <v>3.2909999999999998E-4</v>
      </c>
      <c r="D412" s="87">
        <v>3.5540000000000002E-4</v>
      </c>
      <c r="E412" s="232">
        <v>141049.71999999997</v>
      </c>
      <c r="F412" s="232">
        <v>159501</v>
      </c>
      <c r="G412" s="232">
        <v>698460</v>
      </c>
      <c r="H412" s="232"/>
      <c r="I412" s="233">
        <v>13123</v>
      </c>
      <c r="J412" s="233">
        <v>612074</v>
      </c>
      <c r="K412" s="233">
        <v>47838</v>
      </c>
      <c r="L412" s="232">
        <v>24306</v>
      </c>
      <c r="M412" s="232"/>
      <c r="N412" s="233">
        <v>24475</v>
      </c>
      <c r="O412" s="233">
        <v>225913</v>
      </c>
      <c r="P412" s="233">
        <v>0</v>
      </c>
      <c r="Q412" s="232">
        <v>9712</v>
      </c>
      <c r="R412" s="233">
        <f t="shared" si="6"/>
        <v>386161</v>
      </c>
      <c r="S412" s="232"/>
      <c r="T412" s="233">
        <v>186688</v>
      </c>
      <c r="U412" s="234">
        <v>6974</v>
      </c>
      <c r="V412" s="234">
        <v>193663</v>
      </c>
    </row>
    <row r="413" spans="1:22">
      <c r="A413" s="227">
        <v>94211</v>
      </c>
      <c r="B413" s="228" t="s">
        <v>1123</v>
      </c>
      <c r="C413" s="87">
        <v>1.2400000000000001E-4</v>
      </c>
      <c r="D413" s="87">
        <v>1.217E-4</v>
      </c>
      <c r="E413" s="232">
        <v>49845.440000000002</v>
      </c>
      <c r="F413" s="232">
        <v>54618</v>
      </c>
      <c r="G413" s="232">
        <v>263170</v>
      </c>
      <c r="H413" s="232"/>
      <c r="I413" s="233">
        <v>4944.5</v>
      </c>
      <c r="J413" s="233">
        <v>230620</v>
      </c>
      <c r="K413" s="233">
        <v>18025</v>
      </c>
      <c r="L413" s="232">
        <v>334</v>
      </c>
      <c r="M413" s="232"/>
      <c r="N413" s="233">
        <v>9222</v>
      </c>
      <c r="O413" s="233">
        <v>85121</v>
      </c>
      <c r="P413" s="233">
        <v>0</v>
      </c>
      <c r="Q413" s="232">
        <v>30868</v>
      </c>
      <c r="R413" s="233">
        <f t="shared" si="6"/>
        <v>145499</v>
      </c>
      <c r="S413" s="232"/>
      <c r="T413" s="233">
        <v>70341</v>
      </c>
      <c r="U413" s="234">
        <v>-13456</v>
      </c>
      <c r="V413" s="234">
        <v>56885</v>
      </c>
    </row>
    <row r="414" spans="1:22">
      <c r="A414" s="227">
        <v>94221</v>
      </c>
      <c r="B414" s="228" t="s">
        <v>1124</v>
      </c>
      <c r="C414" s="87">
        <v>1.0705999999999999E-3</v>
      </c>
      <c r="D414" s="87">
        <v>1.1294E-3</v>
      </c>
      <c r="E414" s="232">
        <v>386218.22</v>
      </c>
      <c r="F414" s="232">
        <v>506868</v>
      </c>
      <c r="G414" s="232">
        <v>2272172</v>
      </c>
      <c r="H414" s="232"/>
      <c r="I414" s="233">
        <v>42690</v>
      </c>
      <c r="J414" s="233">
        <v>1991147</v>
      </c>
      <c r="K414" s="233">
        <v>155623</v>
      </c>
      <c r="L414" s="232">
        <v>98739</v>
      </c>
      <c r="M414" s="232"/>
      <c r="N414" s="233">
        <v>79619</v>
      </c>
      <c r="O414" s="233">
        <v>734922</v>
      </c>
      <c r="P414" s="233">
        <v>0</v>
      </c>
      <c r="Q414" s="232">
        <v>138383</v>
      </c>
      <c r="R414" s="233">
        <f t="shared" si="6"/>
        <v>1256225</v>
      </c>
      <c r="S414" s="232"/>
      <c r="T414" s="233">
        <v>607318</v>
      </c>
      <c r="U414" s="234">
        <v>-16318</v>
      </c>
      <c r="V414" s="234">
        <v>591000</v>
      </c>
    </row>
    <row r="415" spans="1:22">
      <c r="A415" s="227">
        <v>94231</v>
      </c>
      <c r="B415" s="228" t="s">
        <v>1125</v>
      </c>
      <c r="C415" s="87">
        <v>2.1269999999999999E-4</v>
      </c>
      <c r="D415" s="87">
        <v>1.9469999999999999E-4</v>
      </c>
      <c r="E415" s="232">
        <v>77695.47</v>
      </c>
      <c r="F415" s="232">
        <v>87380</v>
      </c>
      <c r="G415" s="232">
        <v>451421</v>
      </c>
      <c r="H415" s="232"/>
      <c r="I415" s="233">
        <v>8481</v>
      </c>
      <c r="J415" s="233">
        <v>395588</v>
      </c>
      <c r="K415" s="233">
        <v>30918</v>
      </c>
      <c r="L415" s="232">
        <v>1986</v>
      </c>
      <c r="M415" s="232"/>
      <c r="N415" s="233">
        <v>15818</v>
      </c>
      <c r="O415" s="233">
        <v>146010</v>
      </c>
      <c r="P415" s="233">
        <v>0</v>
      </c>
      <c r="Q415" s="232">
        <v>11747</v>
      </c>
      <c r="R415" s="233">
        <f t="shared" si="6"/>
        <v>249578</v>
      </c>
      <c r="S415" s="232"/>
      <c r="T415" s="233">
        <v>120658</v>
      </c>
      <c r="U415" s="234">
        <v>-4519</v>
      </c>
      <c r="V415" s="234">
        <v>116139</v>
      </c>
    </row>
    <row r="416" spans="1:22">
      <c r="A416" s="227">
        <v>94241</v>
      </c>
      <c r="B416" s="228" t="s">
        <v>1126</v>
      </c>
      <c r="C416" s="87">
        <v>8.4099999999999998E-5</v>
      </c>
      <c r="D416" s="87">
        <v>8.4800000000000001E-5</v>
      </c>
      <c r="E416" s="232">
        <v>37415.33</v>
      </c>
      <c r="F416" s="232">
        <v>38058</v>
      </c>
      <c r="G416" s="232">
        <v>178488</v>
      </c>
      <c r="H416" s="232"/>
      <c r="I416" s="233">
        <v>3353</v>
      </c>
      <c r="J416" s="233">
        <v>156413</v>
      </c>
      <c r="K416" s="233">
        <v>12225</v>
      </c>
      <c r="L416" s="232">
        <v>3164</v>
      </c>
      <c r="M416" s="232"/>
      <c r="N416" s="233">
        <v>6254</v>
      </c>
      <c r="O416" s="233">
        <v>57731</v>
      </c>
      <c r="P416" s="233">
        <v>0</v>
      </c>
      <c r="Q416" s="232">
        <v>1327</v>
      </c>
      <c r="R416" s="233">
        <f t="shared" si="6"/>
        <v>98682</v>
      </c>
      <c r="S416" s="232"/>
      <c r="T416" s="233">
        <v>47707</v>
      </c>
      <c r="U416" s="234">
        <v>664</v>
      </c>
      <c r="V416" s="234">
        <v>48372</v>
      </c>
    </row>
    <row r="417" spans="1:22">
      <c r="A417" s="227">
        <v>94251</v>
      </c>
      <c r="B417" s="228" t="s">
        <v>1127</v>
      </c>
      <c r="C417" s="87">
        <v>1.4E-5</v>
      </c>
      <c r="D417" s="87">
        <v>2.37E-5</v>
      </c>
      <c r="E417" s="232">
        <v>7105.57</v>
      </c>
      <c r="F417" s="232">
        <v>10636</v>
      </c>
      <c r="G417" s="232">
        <v>29712.69</v>
      </c>
      <c r="H417" s="232"/>
      <c r="I417" s="233">
        <v>558.25</v>
      </c>
      <c r="J417" s="233">
        <v>26038</v>
      </c>
      <c r="K417" s="233">
        <v>2035</v>
      </c>
      <c r="L417" s="232">
        <v>0</v>
      </c>
      <c r="M417" s="232"/>
      <c r="N417" s="233">
        <v>1041</v>
      </c>
      <c r="O417" s="233">
        <v>9610</v>
      </c>
      <c r="P417" s="233">
        <v>0</v>
      </c>
      <c r="Q417" s="232">
        <v>9627</v>
      </c>
      <c r="R417" s="233">
        <f t="shared" si="6"/>
        <v>16428</v>
      </c>
      <c r="S417" s="232"/>
      <c r="T417" s="233">
        <v>7942</v>
      </c>
      <c r="U417" s="234">
        <v>-3119</v>
      </c>
      <c r="V417" s="234">
        <v>4823</v>
      </c>
    </row>
    <row r="418" spans="1:22">
      <c r="A418" s="227">
        <v>94261</v>
      </c>
      <c r="B418" s="228" t="s">
        <v>1128</v>
      </c>
      <c r="C418" s="87">
        <v>2.9499999999999999E-5</v>
      </c>
      <c r="D418" s="87">
        <v>1.66E-5</v>
      </c>
      <c r="E418" s="232">
        <v>13526.809999999998</v>
      </c>
      <c r="F418" s="232">
        <v>7450</v>
      </c>
      <c r="G418" s="232">
        <v>62609</v>
      </c>
      <c r="H418" s="232"/>
      <c r="I418" s="233">
        <v>1176.3125</v>
      </c>
      <c r="J418" s="233">
        <v>54865</v>
      </c>
      <c r="K418" s="233">
        <v>4288</v>
      </c>
      <c r="L418" s="232">
        <v>12167</v>
      </c>
      <c r="M418" s="232"/>
      <c r="N418" s="233">
        <v>2194</v>
      </c>
      <c r="O418" s="233">
        <v>20251</v>
      </c>
      <c r="P418" s="233">
        <v>0</v>
      </c>
      <c r="Q418" s="232">
        <v>0</v>
      </c>
      <c r="R418" s="233">
        <f t="shared" si="6"/>
        <v>34614</v>
      </c>
      <c r="S418" s="232"/>
      <c r="T418" s="233">
        <v>16734</v>
      </c>
      <c r="U418" s="234">
        <v>3736</v>
      </c>
      <c r="V418" s="234">
        <v>20471</v>
      </c>
    </row>
    <row r="419" spans="1:22">
      <c r="A419" s="227">
        <v>94301</v>
      </c>
      <c r="B419" s="228" t="s">
        <v>1129</v>
      </c>
      <c r="C419" s="87">
        <v>6.0746999999999997E-3</v>
      </c>
      <c r="D419" s="87">
        <v>6.0625999999999996E-3</v>
      </c>
      <c r="E419" s="232">
        <v>2375297.7800000003</v>
      </c>
      <c r="F419" s="232">
        <v>2720859</v>
      </c>
      <c r="G419" s="232">
        <v>12892548</v>
      </c>
      <c r="H419" s="232"/>
      <c r="I419" s="233">
        <v>242229</v>
      </c>
      <c r="J419" s="233">
        <v>11297982</v>
      </c>
      <c r="K419" s="233">
        <v>883024</v>
      </c>
      <c r="L419" s="232">
        <v>18885</v>
      </c>
      <c r="M419" s="232"/>
      <c r="N419" s="233">
        <v>451769</v>
      </c>
      <c r="O419" s="233">
        <v>4170026</v>
      </c>
      <c r="P419" s="233">
        <v>0</v>
      </c>
      <c r="Q419" s="232">
        <v>169326</v>
      </c>
      <c r="R419" s="233">
        <f t="shared" si="6"/>
        <v>7127956</v>
      </c>
      <c r="S419" s="232"/>
      <c r="T419" s="233">
        <v>3445989</v>
      </c>
      <c r="U419" s="234">
        <v>-41856</v>
      </c>
      <c r="V419" s="234">
        <v>3404133</v>
      </c>
    </row>
    <row r="420" spans="1:22">
      <c r="A420" s="227">
        <v>94311</v>
      </c>
      <c r="B420" s="228" t="s">
        <v>1130</v>
      </c>
      <c r="C420" s="87">
        <v>7.4399999999999998E-4</v>
      </c>
      <c r="D420" s="87">
        <v>8.4360000000000001E-4</v>
      </c>
      <c r="E420" s="232">
        <v>317607.65000000002</v>
      </c>
      <c r="F420" s="232">
        <v>378603</v>
      </c>
      <c r="G420" s="232">
        <v>1579017.24</v>
      </c>
      <c r="H420" s="232"/>
      <c r="I420" s="233">
        <v>29667</v>
      </c>
      <c r="J420" s="233">
        <v>1383722</v>
      </c>
      <c r="K420" s="233">
        <v>108149</v>
      </c>
      <c r="L420" s="232">
        <v>5590</v>
      </c>
      <c r="M420" s="232"/>
      <c r="N420" s="233">
        <v>55331</v>
      </c>
      <c r="O420" s="233">
        <v>510725</v>
      </c>
      <c r="P420" s="233">
        <v>0</v>
      </c>
      <c r="Q420" s="232">
        <v>74131</v>
      </c>
      <c r="R420" s="233">
        <f t="shared" si="6"/>
        <v>872997</v>
      </c>
      <c r="S420" s="232"/>
      <c r="T420" s="233">
        <v>422048</v>
      </c>
      <c r="U420" s="234">
        <v>-19207</v>
      </c>
      <c r="V420" s="234">
        <v>402841</v>
      </c>
    </row>
    <row r="421" spans="1:22">
      <c r="A421" s="227">
        <v>94313</v>
      </c>
      <c r="B421" s="228" t="s">
        <v>1131</v>
      </c>
      <c r="C421" s="87">
        <v>2.0299999999999999E-5</v>
      </c>
      <c r="D421" s="87">
        <v>1.8099999999999999E-5</v>
      </c>
      <c r="E421" s="232">
        <v>12274.81</v>
      </c>
      <c r="F421" s="232">
        <v>8123</v>
      </c>
      <c r="G421" s="232">
        <v>43083</v>
      </c>
      <c r="H421" s="232"/>
      <c r="I421" s="233">
        <v>809.46249999999998</v>
      </c>
      <c r="J421" s="233">
        <v>37755</v>
      </c>
      <c r="K421" s="233">
        <v>2951</v>
      </c>
      <c r="L421" s="232">
        <v>7808</v>
      </c>
      <c r="M421" s="232"/>
      <c r="N421" s="233">
        <v>1510</v>
      </c>
      <c r="O421" s="233">
        <v>13935</v>
      </c>
      <c r="P421" s="233">
        <v>0</v>
      </c>
      <c r="Q421" s="232">
        <v>0</v>
      </c>
      <c r="R421" s="233">
        <f t="shared" si="6"/>
        <v>23820</v>
      </c>
      <c r="S421" s="232"/>
      <c r="T421" s="233">
        <v>11516</v>
      </c>
      <c r="U421" s="234">
        <v>2576</v>
      </c>
      <c r="V421" s="234">
        <v>14092</v>
      </c>
    </row>
    <row r="422" spans="1:22">
      <c r="A422" s="227">
        <v>94317</v>
      </c>
      <c r="B422" s="228" t="s">
        <v>1132</v>
      </c>
      <c r="C422" s="87">
        <v>1.2099999999999999E-5</v>
      </c>
      <c r="D422" s="87">
        <v>1.15E-5</v>
      </c>
      <c r="E422" s="232">
        <v>8376.6</v>
      </c>
      <c r="F422" s="232">
        <v>5161</v>
      </c>
      <c r="G422" s="232">
        <v>25680</v>
      </c>
      <c r="H422" s="232"/>
      <c r="I422" s="233">
        <v>482</v>
      </c>
      <c r="J422" s="233">
        <v>22504</v>
      </c>
      <c r="K422" s="233">
        <v>1759</v>
      </c>
      <c r="L422" s="232">
        <v>6768</v>
      </c>
      <c r="M422" s="232"/>
      <c r="N422" s="233">
        <v>900</v>
      </c>
      <c r="O422" s="233">
        <v>8306</v>
      </c>
      <c r="P422" s="233">
        <v>0</v>
      </c>
      <c r="Q422" s="232">
        <v>0</v>
      </c>
      <c r="R422" s="233">
        <f t="shared" si="6"/>
        <v>14198</v>
      </c>
      <c r="S422" s="232"/>
      <c r="T422" s="233">
        <v>6864</v>
      </c>
      <c r="U422" s="234">
        <v>2325</v>
      </c>
      <c r="V422" s="234">
        <v>9189</v>
      </c>
    </row>
    <row r="423" spans="1:22">
      <c r="A423" s="227">
        <v>94321</v>
      </c>
      <c r="B423" s="228" t="s">
        <v>1133</v>
      </c>
      <c r="C423" s="87">
        <v>2.7070000000000002E-4</v>
      </c>
      <c r="D423" s="87">
        <v>2.7270000000000001E-4</v>
      </c>
      <c r="E423" s="232">
        <v>94893.09</v>
      </c>
      <c r="F423" s="232">
        <v>122386</v>
      </c>
      <c r="G423" s="232">
        <v>574516</v>
      </c>
      <c r="H423" s="232"/>
      <c r="I423" s="233">
        <v>10794</v>
      </c>
      <c r="J423" s="233">
        <v>503459</v>
      </c>
      <c r="K423" s="233">
        <v>39349</v>
      </c>
      <c r="L423" s="232">
        <v>3401</v>
      </c>
      <c r="M423" s="232"/>
      <c r="N423" s="233">
        <v>20132</v>
      </c>
      <c r="O423" s="233">
        <v>185824</v>
      </c>
      <c r="P423" s="233">
        <v>0</v>
      </c>
      <c r="Q423" s="232">
        <v>21015</v>
      </c>
      <c r="R423" s="233">
        <f t="shared" si="6"/>
        <v>317635</v>
      </c>
      <c r="S423" s="232"/>
      <c r="T423" s="233">
        <v>153560</v>
      </c>
      <c r="U423" s="234">
        <v>-4393</v>
      </c>
      <c r="V423" s="234">
        <v>149167</v>
      </c>
    </row>
    <row r="424" spans="1:22">
      <c r="A424" s="227">
        <v>94331</v>
      </c>
      <c r="B424" s="228" t="s">
        <v>1134</v>
      </c>
      <c r="C424" s="87">
        <v>1.517E-4</v>
      </c>
      <c r="D424" s="87">
        <v>1.7420000000000001E-4</v>
      </c>
      <c r="E424" s="232">
        <v>69883.19</v>
      </c>
      <c r="F424" s="232">
        <v>78180</v>
      </c>
      <c r="G424" s="232">
        <v>321958</v>
      </c>
      <c r="H424" s="232"/>
      <c r="I424" s="233">
        <v>6049</v>
      </c>
      <c r="J424" s="233">
        <v>282138</v>
      </c>
      <c r="K424" s="233">
        <v>22051</v>
      </c>
      <c r="L424" s="232">
        <v>13796</v>
      </c>
      <c r="M424" s="232"/>
      <c r="N424" s="233">
        <v>11282</v>
      </c>
      <c r="O424" s="233">
        <v>104136</v>
      </c>
      <c r="P424" s="233">
        <v>0</v>
      </c>
      <c r="Q424" s="232">
        <v>6234</v>
      </c>
      <c r="R424" s="233">
        <f t="shared" si="6"/>
        <v>178002</v>
      </c>
      <c r="S424" s="232"/>
      <c r="T424" s="233">
        <v>86055</v>
      </c>
      <c r="U424" s="234">
        <v>4466</v>
      </c>
      <c r="V424" s="234">
        <v>90520</v>
      </c>
    </row>
    <row r="425" spans="1:22">
      <c r="A425" s="227">
        <v>94341</v>
      </c>
      <c r="B425" s="228" t="s">
        <v>1135</v>
      </c>
      <c r="C425" s="87">
        <v>8.1000000000000004E-5</v>
      </c>
      <c r="D425" s="87">
        <v>8.8399999999999994E-5</v>
      </c>
      <c r="E425" s="232">
        <v>31929.82</v>
      </c>
      <c r="F425" s="232">
        <v>39673</v>
      </c>
      <c r="G425" s="232">
        <v>171909</v>
      </c>
      <c r="H425" s="232"/>
      <c r="I425" s="233">
        <v>3229.875</v>
      </c>
      <c r="J425" s="233">
        <v>150647</v>
      </c>
      <c r="K425" s="233">
        <v>11774</v>
      </c>
      <c r="L425" s="232">
        <v>513</v>
      </c>
      <c r="M425" s="232"/>
      <c r="N425" s="233">
        <v>6024</v>
      </c>
      <c r="O425" s="233">
        <v>55603</v>
      </c>
      <c r="P425" s="233">
        <v>0</v>
      </c>
      <c r="Q425" s="232">
        <v>8986</v>
      </c>
      <c r="R425" s="233">
        <f t="shared" si="6"/>
        <v>95044</v>
      </c>
      <c r="S425" s="232"/>
      <c r="T425" s="233">
        <v>45949</v>
      </c>
      <c r="U425" s="234">
        <v>-3091</v>
      </c>
      <c r="V425" s="234">
        <v>42858</v>
      </c>
    </row>
    <row r="426" spans="1:22">
      <c r="A426" s="227">
        <v>94347</v>
      </c>
      <c r="B426" s="228" t="s">
        <v>1136</v>
      </c>
      <c r="C426" s="87">
        <v>1.2300000000000001E-5</v>
      </c>
      <c r="D426" s="87">
        <v>1.31E-5</v>
      </c>
      <c r="E426" s="232">
        <v>6974.9200000000037</v>
      </c>
      <c r="F426" s="232">
        <v>5879</v>
      </c>
      <c r="G426" s="232">
        <v>26105</v>
      </c>
      <c r="H426" s="232"/>
      <c r="I426" s="233">
        <v>490</v>
      </c>
      <c r="J426" s="233">
        <v>22876</v>
      </c>
      <c r="K426" s="233">
        <v>1788</v>
      </c>
      <c r="L426" s="232">
        <v>3157</v>
      </c>
      <c r="M426" s="232"/>
      <c r="N426" s="233">
        <v>915</v>
      </c>
      <c r="O426" s="233">
        <v>8443</v>
      </c>
      <c r="P426" s="233">
        <v>0</v>
      </c>
      <c r="Q426" s="232">
        <v>0</v>
      </c>
      <c r="R426" s="233">
        <f t="shared" si="6"/>
        <v>14433</v>
      </c>
      <c r="S426" s="232"/>
      <c r="T426" s="233">
        <v>6977</v>
      </c>
      <c r="U426" s="234">
        <v>1291</v>
      </c>
      <c r="V426" s="234">
        <v>8268</v>
      </c>
    </row>
    <row r="427" spans="1:22">
      <c r="A427" s="227">
        <v>94351</v>
      </c>
      <c r="B427" s="228" t="s">
        <v>1137</v>
      </c>
      <c r="C427" s="87">
        <v>2.377E-4</v>
      </c>
      <c r="D427" s="87">
        <v>2.3049999999999999E-4</v>
      </c>
      <c r="E427" s="232">
        <v>90845.03</v>
      </c>
      <c r="F427" s="232">
        <v>103447</v>
      </c>
      <c r="G427" s="232">
        <v>504479</v>
      </c>
      <c r="H427" s="232"/>
      <c r="I427" s="233">
        <v>9478</v>
      </c>
      <c r="J427" s="233">
        <v>442084</v>
      </c>
      <c r="K427" s="233">
        <v>34552</v>
      </c>
      <c r="L427" s="232">
        <v>2466</v>
      </c>
      <c r="M427" s="232"/>
      <c r="N427" s="233">
        <v>17678</v>
      </c>
      <c r="O427" s="233">
        <v>163171</v>
      </c>
      <c r="P427" s="233">
        <v>0</v>
      </c>
      <c r="Q427" s="232">
        <v>4917</v>
      </c>
      <c r="R427" s="233">
        <f t="shared" si="6"/>
        <v>278913</v>
      </c>
      <c r="S427" s="232"/>
      <c r="T427" s="233">
        <v>134840</v>
      </c>
      <c r="U427" s="234">
        <v>-1210</v>
      </c>
      <c r="V427" s="234">
        <v>133630</v>
      </c>
    </row>
    <row r="428" spans="1:22">
      <c r="A428" s="227">
        <v>94401</v>
      </c>
      <c r="B428" s="228" t="s">
        <v>1943</v>
      </c>
      <c r="C428" s="87">
        <v>3.4548999999999999E-3</v>
      </c>
      <c r="D428" s="87">
        <v>3.3264000000000002E-3</v>
      </c>
      <c r="E428" s="232">
        <v>1346130.7</v>
      </c>
      <c r="F428" s="232">
        <v>1492868</v>
      </c>
      <c r="G428" s="232">
        <v>7332455</v>
      </c>
      <c r="H428" s="232"/>
      <c r="I428" s="233">
        <v>137764</v>
      </c>
      <c r="J428" s="233">
        <v>6425568</v>
      </c>
      <c r="K428" s="233">
        <v>502208</v>
      </c>
      <c r="L428" s="232">
        <v>30696</v>
      </c>
      <c r="M428" s="232"/>
      <c r="N428" s="233">
        <v>256937</v>
      </c>
      <c r="O428" s="233">
        <v>2371644</v>
      </c>
      <c r="P428" s="233">
        <v>0</v>
      </c>
      <c r="Q428" s="232">
        <v>635</v>
      </c>
      <c r="R428" s="233">
        <f t="shared" si="6"/>
        <v>4053924</v>
      </c>
      <c r="S428" s="232"/>
      <c r="T428" s="233">
        <v>1959858</v>
      </c>
      <c r="U428" s="234">
        <v>9582</v>
      </c>
      <c r="V428" s="234">
        <v>1969439</v>
      </c>
    </row>
    <row r="429" spans="1:22">
      <c r="A429" s="227">
        <v>94402</v>
      </c>
      <c r="B429" s="228" t="s">
        <v>1139</v>
      </c>
      <c r="C429" s="87">
        <v>0</v>
      </c>
      <c r="D429" s="87">
        <v>0</v>
      </c>
      <c r="E429" s="232">
        <v>0</v>
      </c>
      <c r="F429" s="232">
        <v>0</v>
      </c>
      <c r="G429" s="232">
        <v>0</v>
      </c>
      <c r="H429" s="232"/>
      <c r="I429" s="233">
        <v>0</v>
      </c>
      <c r="J429" s="233">
        <v>0</v>
      </c>
      <c r="K429" s="233">
        <v>0</v>
      </c>
      <c r="L429" s="232">
        <v>0</v>
      </c>
      <c r="M429" s="232"/>
      <c r="N429" s="233">
        <v>0</v>
      </c>
      <c r="O429" s="233">
        <v>0</v>
      </c>
      <c r="P429" s="233">
        <v>0</v>
      </c>
      <c r="Q429" s="232">
        <v>2781798</v>
      </c>
      <c r="R429" s="233">
        <f t="shared" si="6"/>
        <v>0</v>
      </c>
      <c r="S429" s="232"/>
      <c r="T429" s="233">
        <v>0</v>
      </c>
      <c r="U429" s="234">
        <v>-1007431</v>
      </c>
      <c r="V429" s="234">
        <v>-1007431</v>
      </c>
    </row>
    <row r="430" spans="1:22">
      <c r="A430" s="227">
        <v>94408</v>
      </c>
      <c r="B430" s="228" t="s">
        <v>1141</v>
      </c>
      <c r="C430" s="87">
        <v>4.0099999999999999E-5</v>
      </c>
      <c r="D430" s="87">
        <v>1.9000000000000001E-5</v>
      </c>
      <c r="E430" s="232">
        <v>13759.910000000002</v>
      </c>
      <c r="F430" s="232">
        <v>8527</v>
      </c>
      <c r="G430" s="232">
        <v>85106</v>
      </c>
      <c r="H430" s="232"/>
      <c r="I430" s="233">
        <v>1599</v>
      </c>
      <c r="J430" s="233">
        <v>74580</v>
      </c>
      <c r="K430" s="233">
        <v>5829</v>
      </c>
      <c r="L430" s="232">
        <v>10369</v>
      </c>
      <c r="M430" s="232"/>
      <c r="N430" s="233">
        <v>2982</v>
      </c>
      <c r="O430" s="233">
        <v>27527</v>
      </c>
      <c r="P430" s="233">
        <v>0</v>
      </c>
      <c r="Q430" s="232">
        <v>3687</v>
      </c>
      <c r="R430" s="233">
        <f t="shared" si="6"/>
        <v>47053</v>
      </c>
      <c r="S430" s="232"/>
      <c r="T430" s="233">
        <v>22747</v>
      </c>
      <c r="U430" s="234">
        <v>939</v>
      </c>
      <c r="V430" s="234">
        <v>23687</v>
      </c>
    </row>
    <row r="431" spans="1:22">
      <c r="A431" s="227">
        <v>94411</v>
      </c>
      <c r="B431" s="228" t="s">
        <v>1142</v>
      </c>
      <c r="C431" s="87">
        <v>1.1592E-3</v>
      </c>
      <c r="D431" s="87">
        <v>1.1820999999999999E-3</v>
      </c>
      <c r="E431" s="232">
        <v>485425.04999999993</v>
      </c>
      <c r="F431" s="232">
        <v>530519</v>
      </c>
      <c r="G431" s="232">
        <v>2460211</v>
      </c>
      <c r="H431" s="232"/>
      <c r="I431" s="233">
        <v>46223.1</v>
      </c>
      <c r="J431" s="233">
        <v>2155929</v>
      </c>
      <c r="K431" s="233">
        <v>168502</v>
      </c>
      <c r="L431" s="232">
        <v>19239</v>
      </c>
      <c r="M431" s="232"/>
      <c r="N431" s="233">
        <v>86209</v>
      </c>
      <c r="O431" s="233">
        <v>795742</v>
      </c>
      <c r="P431" s="233">
        <v>0</v>
      </c>
      <c r="Q431" s="232">
        <v>5607</v>
      </c>
      <c r="R431" s="233">
        <f t="shared" si="6"/>
        <v>1360187</v>
      </c>
      <c r="S431" s="232"/>
      <c r="T431" s="233">
        <v>657578</v>
      </c>
      <c r="U431" s="234">
        <v>5340</v>
      </c>
      <c r="V431" s="234">
        <v>662918</v>
      </c>
    </row>
    <row r="432" spans="1:22">
      <c r="A432" s="227">
        <v>94412</v>
      </c>
      <c r="B432" s="228" t="s">
        <v>1143</v>
      </c>
      <c r="C432" s="87">
        <v>1.63E-5</v>
      </c>
      <c r="D432" s="87">
        <v>1.7200000000000001E-5</v>
      </c>
      <c r="E432" s="232">
        <v>13713.210000000001</v>
      </c>
      <c r="F432" s="232">
        <v>7719</v>
      </c>
      <c r="G432" s="232">
        <v>34594</v>
      </c>
      <c r="H432" s="232"/>
      <c r="I432" s="233">
        <v>649.96249999999998</v>
      </c>
      <c r="J432" s="233">
        <v>30315</v>
      </c>
      <c r="K432" s="233">
        <v>2369</v>
      </c>
      <c r="L432" s="232">
        <v>13305</v>
      </c>
      <c r="M432" s="232"/>
      <c r="N432" s="233">
        <v>1212</v>
      </c>
      <c r="O432" s="233">
        <v>11189</v>
      </c>
      <c r="P432" s="233">
        <v>0</v>
      </c>
      <c r="Q432" s="232">
        <v>0</v>
      </c>
      <c r="R432" s="233">
        <f t="shared" si="6"/>
        <v>19126</v>
      </c>
      <c r="S432" s="232"/>
      <c r="T432" s="233">
        <v>9246</v>
      </c>
      <c r="U432" s="234">
        <v>4869</v>
      </c>
      <c r="V432" s="234">
        <v>14116</v>
      </c>
    </row>
    <row r="433" spans="1:22">
      <c r="A433" s="227">
        <v>94421</v>
      </c>
      <c r="B433" s="228" t="s">
        <v>1144</v>
      </c>
      <c r="C433" s="87">
        <v>1.6899999999999999E-4</v>
      </c>
      <c r="D433" s="87">
        <v>1.7149999999999999E-4</v>
      </c>
      <c r="E433" s="232">
        <v>68012.739999999991</v>
      </c>
      <c r="F433" s="232">
        <v>76968</v>
      </c>
      <c r="G433" s="232">
        <v>358675</v>
      </c>
      <c r="H433" s="232"/>
      <c r="I433" s="233">
        <v>6739</v>
      </c>
      <c r="J433" s="233">
        <v>314313</v>
      </c>
      <c r="K433" s="233">
        <v>24566</v>
      </c>
      <c r="L433" s="232">
        <v>3528</v>
      </c>
      <c r="M433" s="232"/>
      <c r="N433" s="233">
        <v>12568</v>
      </c>
      <c r="O433" s="233">
        <v>116011</v>
      </c>
      <c r="P433" s="233">
        <v>0</v>
      </c>
      <c r="Q433" s="232">
        <v>12354</v>
      </c>
      <c r="R433" s="233">
        <f t="shared" si="6"/>
        <v>198302</v>
      </c>
      <c r="S433" s="232"/>
      <c r="T433" s="233">
        <v>95868</v>
      </c>
      <c r="U433" s="234">
        <v>-4340</v>
      </c>
      <c r="V433" s="234">
        <v>91529</v>
      </c>
    </row>
    <row r="434" spans="1:22">
      <c r="A434" s="227">
        <v>94427</v>
      </c>
      <c r="B434" s="228" t="s">
        <v>1145</v>
      </c>
      <c r="C434" s="87">
        <v>1.29E-5</v>
      </c>
      <c r="D434" s="87">
        <v>1.56E-5</v>
      </c>
      <c r="E434" s="232">
        <v>6501.51</v>
      </c>
      <c r="F434" s="232">
        <v>7001</v>
      </c>
      <c r="G434" s="232">
        <v>27378</v>
      </c>
      <c r="H434" s="232"/>
      <c r="I434" s="233">
        <v>514</v>
      </c>
      <c r="J434" s="233">
        <v>23992</v>
      </c>
      <c r="K434" s="233">
        <v>1875</v>
      </c>
      <c r="L434" s="232">
        <v>785</v>
      </c>
      <c r="M434" s="232"/>
      <c r="N434" s="233">
        <v>959</v>
      </c>
      <c r="O434" s="233">
        <v>8855</v>
      </c>
      <c r="P434" s="233">
        <v>0</v>
      </c>
      <c r="Q434" s="232">
        <v>709</v>
      </c>
      <c r="R434" s="233">
        <f t="shared" si="6"/>
        <v>15137</v>
      </c>
      <c r="S434" s="232"/>
      <c r="T434" s="233">
        <v>7318</v>
      </c>
      <c r="U434" s="234">
        <v>47</v>
      </c>
      <c r="V434" s="234">
        <v>7365</v>
      </c>
    </row>
    <row r="435" spans="1:22">
      <c r="A435" s="227">
        <v>94428</v>
      </c>
      <c r="B435" s="228" t="s">
        <v>1146</v>
      </c>
      <c r="C435" s="87">
        <v>7.4400000000000006E-5</v>
      </c>
      <c r="D435" s="87">
        <v>7.7799999999999994E-5</v>
      </c>
      <c r="E435" s="232">
        <v>33919.200000000012</v>
      </c>
      <c r="F435" s="232">
        <v>34916</v>
      </c>
      <c r="G435" s="232">
        <v>157902</v>
      </c>
      <c r="H435" s="232"/>
      <c r="I435" s="233">
        <v>2967</v>
      </c>
      <c r="J435" s="233">
        <v>138372</v>
      </c>
      <c r="K435" s="233">
        <v>10815</v>
      </c>
      <c r="L435" s="232">
        <v>3518</v>
      </c>
      <c r="M435" s="232"/>
      <c r="N435" s="233">
        <v>5533</v>
      </c>
      <c r="O435" s="233">
        <v>51072</v>
      </c>
      <c r="P435" s="233">
        <v>0</v>
      </c>
      <c r="Q435" s="232">
        <v>0</v>
      </c>
      <c r="R435" s="233">
        <f t="shared" si="6"/>
        <v>87300</v>
      </c>
      <c r="S435" s="232"/>
      <c r="T435" s="233">
        <v>42205</v>
      </c>
      <c r="U435" s="234">
        <v>1203</v>
      </c>
      <c r="V435" s="234">
        <v>43408</v>
      </c>
    </row>
    <row r="436" spans="1:22">
      <c r="A436" s="227">
        <v>94431</v>
      </c>
      <c r="B436" s="228" t="s">
        <v>1147</v>
      </c>
      <c r="C436" s="87">
        <v>3.7589999999999998E-4</v>
      </c>
      <c r="D436" s="87">
        <v>3.6390000000000001E-4</v>
      </c>
      <c r="E436" s="232">
        <v>261745.86000000004</v>
      </c>
      <c r="F436" s="232">
        <v>163316</v>
      </c>
      <c r="G436" s="232">
        <v>797786</v>
      </c>
      <c r="H436" s="232"/>
      <c r="I436" s="233">
        <v>14989</v>
      </c>
      <c r="J436" s="233">
        <v>699115</v>
      </c>
      <c r="K436" s="233">
        <v>54641</v>
      </c>
      <c r="L436" s="232">
        <v>140656</v>
      </c>
      <c r="M436" s="232"/>
      <c r="N436" s="233">
        <v>27955</v>
      </c>
      <c r="O436" s="233">
        <v>258040</v>
      </c>
      <c r="P436" s="233">
        <v>0</v>
      </c>
      <c r="Q436" s="232">
        <v>1228</v>
      </c>
      <c r="R436" s="233">
        <f t="shared" si="6"/>
        <v>441075</v>
      </c>
      <c r="S436" s="232"/>
      <c r="T436" s="233">
        <v>213236</v>
      </c>
      <c r="U436" s="234">
        <v>40508</v>
      </c>
      <c r="V436" s="234">
        <v>253745</v>
      </c>
    </row>
    <row r="437" spans="1:22">
      <c r="A437" s="227">
        <v>94437</v>
      </c>
      <c r="B437" s="228" t="s">
        <v>1148</v>
      </c>
      <c r="C437" s="87">
        <v>1.34E-5</v>
      </c>
      <c r="D437" s="87">
        <v>1.1600000000000001E-5</v>
      </c>
      <c r="E437" s="232">
        <v>11266.369999999999</v>
      </c>
      <c r="F437" s="232">
        <v>5206</v>
      </c>
      <c r="G437" s="232">
        <v>28439</v>
      </c>
      <c r="H437" s="232"/>
      <c r="I437" s="233">
        <v>534</v>
      </c>
      <c r="J437" s="233">
        <v>24922</v>
      </c>
      <c r="K437" s="233">
        <v>1948</v>
      </c>
      <c r="L437" s="232">
        <v>12092</v>
      </c>
      <c r="M437" s="232"/>
      <c r="N437" s="233">
        <v>997</v>
      </c>
      <c r="O437" s="233">
        <v>9199</v>
      </c>
      <c r="P437" s="233">
        <v>0</v>
      </c>
      <c r="Q437" s="232">
        <v>0</v>
      </c>
      <c r="R437" s="233">
        <f t="shared" si="6"/>
        <v>15723</v>
      </c>
      <c r="S437" s="232"/>
      <c r="T437" s="233">
        <v>7601</v>
      </c>
      <c r="U437" s="234">
        <v>4157</v>
      </c>
      <c r="V437" s="234">
        <v>11759</v>
      </c>
    </row>
    <row r="438" spans="1:22">
      <c r="A438" s="227">
        <v>94501</v>
      </c>
      <c r="B438" s="228" t="s">
        <v>1149</v>
      </c>
      <c r="C438" s="87">
        <v>5.8474E-3</v>
      </c>
      <c r="D438" s="87">
        <v>5.5922999999999997E-3</v>
      </c>
      <c r="E438" s="232">
        <v>2261129.31</v>
      </c>
      <c r="F438" s="232">
        <v>2509791</v>
      </c>
      <c r="G438" s="232">
        <v>12410142</v>
      </c>
      <c r="H438" s="232"/>
      <c r="I438" s="233">
        <v>233165</v>
      </c>
      <c r="J438" s="233">
        <v>10875240</v>
      </c>
      <c r="K438" s="233">
        <v>849984</v>
      </c>
      <c r="L438" s="232">
        <v>248127</v>
      </c>
      <c r="M438" s="232"/>
      <c r="N438" s="233">
        <v>434865</v>
      </c>
      <c r="O438" s="233">
        <v>4013995</v>
      </c>
      <c r="P438" s="233">
        <v>0</v>
      </c>
      <c r="Q438" s="232">
        <v>0</v>
      </c>
      <c r="R438" s="233">
        <f t="shared" si="6"/>
        <v>6861245</v>
      </c>
      <c r="S438" s="232"/>
      <c r="T438" s="233">
        <v>3317049</v>
      </c>
      <c r="U438" s="234">
        <v>102688</v>
      </c>
      <c r="V438" s="234">
        <v>3419736</v>
      </c>
    </row>
    <row r="439" spans="1:22">
      <c r="A439" s="227">
        <v>94511</v>
      </c>
      <c r="B439" s="228" t="s">
        <v>1150</v>
      </c>
      <c r="C439" s="87">
        <v>1.7432000000000001E-3</v>
      </c>
      <c r="D439" s="87">
        <v>1.7692999999999999E-3</v>
      </c>
      <c r="E439" s="232">
        <v>680925.99</v>
      </c>
      <c r="F439" s="232">
        <v>794051</v>
      </c>
      <c r="G439" s="232">
        <v>3699654</v>
      </c>
      <c r="H439" s="232"/>
      <c r="I439" s="233">
        <v>69510</v>
      </c>
      <c r="J439" s="233">
        <v>3242077</v>
      </c>
      <c r="K439" s="233">
        <v>253393</v>
      </c>
      <c r="L439" s="232">
        <v>224818</v>
      </c>
      <c r="M439" s="232"/>
      <c r="N439" s="233">
        <v>129640</v>
      </c>
      <c r="O439" s="233">
        <v>1196634</v>
      </c>
      <c r="P439" s="233">
        <v>0</v>
      </c>
      <c r="Q439" s="232">
        <v>42694</v>
      </c>
      <c r="R439" s="233">
        <f t="shared" si="6"/>
        <v>2045443</v>
      </c>
      <c r="S439" s="232"/>
      <c r="T439" s="233">
        <v>988863</v>
      </c>
      <c r="U439" s="234">
        <v>69976</v>
      </c>
      <c r="V439" s="234">
        <v>1058839</v>
      </c>
    </row>
    <row r="440" spans="1:22">
      <c r="A440" s="227">
        <v>94512</v>
      </c>
      <c r="B440" s="228" t="s">
        <v>1151</v>
      </c>
      <c r="C440" s="87">
        <v>0</v>
      </c>
      <c r="D440" s="87">
        <v>0</v>
      </c>
      <c r="E440" s="232">
        <v>0</v>
      </c>
      <c r="F440" s="232">
        <v>0</v>
      </c>
      <c r="G440" s="232">
        <v>0</v>
      </c>
      <c r="H440" s="232"/>
      <c r="I440" s="233">
        <v>0</v>
      </c>
      <c r="J440" s="233">
        <v>0</v>
      </c>
      <c r="K440" s="233">
        <v>0</v>
      </c>
      <c r="L440" s="232">
        <v>0</v>
      </c>
      <c r="M440" s="232"/>
      <c r="N440" s="233">
        <v>0</v>
      </c>
      <c r="O440" s="233">
        <v>0</v>
      </c>
      <c r="P440" s="233">
        <v>0</v>
      </c>
      <c r="Q440" s="232">
        <v>217292</v>
      </c>
      <c r="R440" s="233">
        <f t="shared" si="6"/>
        <v>0</v>
      </c>
      <c r="S440" s="232"/>
      <c r="T440" s="233">
        <v>0</v>
      </c>
      <c r="U440" s="234">
        <v>-78713</v>
      </c>
      <c r="V440" s="234">
        <v>-78713</v>
      </c>
    </row>
    <row r="441" spans="1:22">
      <c r="A441" s="227">
        <v>94517</v>
      </c>
      <c r="B441" s="228" t="s">
        <v>1152</v>
      </c>
      <c r="C441" s="87">
        <v>4.9599999999999999E-5</v>
      </c>
      <c r="D441" s="87">
        <v>4.9100000000000001E-5</v>
      </c>
      <c r="E441" s="232">
        <v>28272.959999999999</v>
      </c>
      <c r="F441" s="232">
        <v>22036</v>
      </c>
      <c r="G441" s="232">
        <v>105268</v>
      </c>
      <c r="H441" s="232"/>
      <c r="I441" s="233">
        <v>1977.8</v>
      </c>
      <c r="J441" s="233">
        <v>92248</v>
      </c>
      <c r="K441" s="233">
        <v>7210</v>
      </c>
      <c r="L441" s="232">
        <v>19501</v>
      </c>
      <c r="M441" s="232"/>
      <c r="N441" s="233">
        <v>3689</v>
      </c>
      <c r="O441" s="233">
        <v>34048</v>
      </c>
      <c r="P441" s="233">
        <v>0</v>
      </c>
      <c r="Q441" s="232">
        <v>0</v>
      </c>
      <c r="R441" s="233">
        <f t="shared" si="6"/>
        <v>58200</v>
      </c>
      <c r="S441" s="232"/>
      <c r="T441" s="233">
        <v>28137</v>
      </c>
      <c r="U441" s="234">
        <v>7376</v>
      </c>
      <c r="V441" s="234">
        <v>35513</v>
      </c>
    </row>
    <row r="442" spans="1:22">
      <c r="A442" s="227">
        <v>94521</v>
      </c>
      <c r="B442" s="228" t="s">
        <v>1153</v>
      </c>
      <c r="C442" s="87">
        <v>1.2410000000000001E-4</v>
      </c>
      <c r="D442" s="87">
        <v>1.6320000000000001E-4</v>
      </c>
      <c r="E442" s="232">
        <v>54157.59</v>
      </c>
      <c r="F442" s="232">
        <v>73243</v>
      </c>
      <c r="G442" s="232">
        <v>263382</v>
      </c>
      <c r="H442" s="232"/>
      <c r="I442" s="233">
        <v>4948</v>
      </c>
      <c r="J442" s="233">
        <v>230806</v>
      </c>
      <c r="K442" s="233">
        <v>18039</v>
      </c>
      <c r="L442" s="232">
        <v>5851</v>
      </c>
      <c r="M442" s="232"/>
      <c r="N442" s="233">
        <v>9229</v>
      </c>
      <c r="O442" s="233">
        <v>85189</v>
      </c>
      <c r="P442" s="233">
        <v>0</v>
      </c>
      <c r="Q442" s="232">
        <v>18701</v>
      </c>
      <c r="R442" s="233">
        <f t="shared" si="6"/>
        <v>145617</v>
      </c>
      <c r="S442" s="232"/>
      <c r="T442" s="233">
        <v>70398</v>
      </c>
      <c r="U442" s="234">
        <v>-2526</v>
      </c>
      <c r="V442" s="234">
        <v>67872</v>
      </c>
    </row>
    <row r="443" spans="1:22">
      <c r="A443" s="227">
        <v>94527</v>
      </c>
      <c r="B443" s="228" t="s">
        <v>1154</v>
      </c>
      <c r="C443" s="87">
        <v>6.3999999999999997E-6</v>
      </c>
      <c r="D443" s="87">
        <v>9.0000000000000002E-6</v>
      </c>
      <c r="E443" s="232">
        <v>0</v>
      </c>
      <c r="F443" s="232">
        <v>4039</v>
      </c>
      <c r="G443" s="232">
        <v>13583</v>
      </c>
      <c r="H443" s="232"/>
      <c r="I443" s="233">
        <v>255.2</v>
      </c>
      <c r="J443" s="233">
        <v>11903</v>
      </c>
      <c r="K443" s="233">
        <v>930</v>
      </c>
      <c r="L443" s="232">
        <v>477</v>
      </c>
      <c r="M443" s="232"/>
      <c r="N443" s="233">
        <v>476</v>
      </c>
      <c r="O443" s="233">
        <v>4393</v>
      </c>
      <c r="P443" s="233">
        <v>0</v>
      </c>
      <c r="Q443" s="232">
        <v>3557</v>
      </c>
      <c r="R443" s="233">
        <f t="shared" si="6"/>
        <v>7510</v>
      </c>
      <c r="S443" s="232"/>
      <c r="T443" s="233">
        <v>3631</v>
      </c>
      <c r="U443" s="234">
        <v>-766</v>
      </c>
      <c r="V443" s="234">
        <v>2864</v>
      </c>
    </row>
    <row r="444" spans="1:22">
      <c r="A444" s="227">
        <v>94531</v>
      </c>
      <c r="B444" s="228" t="s">
        <v>1155</v>
      </c>
      <c r="C444" s="87">
        <v>1.5500000000000001E-5</v>
      </c>
      <c r="D444" s="87">
        <v>1.66E-5</v>
      </c>
      <c r="E444" s="232">
        <v>9988.7199999999993</v>
      </c>
      <c r="F444" s="232">
        <v>7450</v>
      </c>
      <c r="G444" s="232">
        <v>32896</v>
      </c>
      <c r="H444" s="232"/>
      <c r="I444" s="233">
        <v>618.0625</v>
      </c>
      <c r="J444" s="233">
        <v>28828</v>
      </c>
      <c r="K444" s="233">
        <v>2253</v>
      </c>
      <c r="L444" s="232">
        <v>5256</v>
      </c>
      <c r="M444" s="232"/>
      <c r="N444" s="233">
        <v>1153</v>
      </c>
      <c r="O444" s="233">
        <v>10640</v>
      </c>
      <c r="P444" s="233">
        <v>0</v>
      </c>
      <c r="Q444" s="232">
        <v>0</v>
      </c>
      <c r="R444" s="233">
        <f t="shared" si="6"/>
        <v>18188</v>
      </c>
      <c r="S444" s="232"/>
      <c r="T444" s="233">
        <v>8793</v>
      </c>
      <c r="U444" s="234">
        <v>1863</v>
      </c>
      <c r="V444" s="234">
        <v>10656</v>
      </c>
    </row>
    <row r="445" spans="1:22">
      <c r="A445" s="227">
        <v>94532</v>
      </c>
      <c r="B445" s="228" t="s">
        <v>1156</v>
      </c>
      <c r="C445" s="87">
        <v>9.4099999999999997E-5</v>
      </c>
      <c r="D445" s="87">
        <v>1.155E-4</v>
      </c>
      <c r="E445" s="232">
        <v>41786.75</v>
      </c>
      <c r="F445" s="232">
        <v>51836</v>
      </c>
      <c r="G445" s="232">
        <v>199712</v>
      </c>
      <c r="H445" s="232"/>
      <c r="I445" s="233">
        <v>3752</v>
      </c>
      <c r="J445" s="233">
        <v>175011</v>
      </c>
      <c r="K445" s="233">
        <v>13678</v>
      </c>
      <c r="L445" s="232">
        <v>0</v>
      </c>
      <c r="M445" s="232"/>
      <c r="N445" s="233">
        <v>6998</v>
      </c>
      <c r="O445" s="233">
        <v>64596</v>
      </c>
      <c r="P445" s="233">
        <v>0</v>
      </c>
      <c r="Q445" s="232">
        <v>15319</v>
      </c>
      <c r="R445" s="233">
        <f t="shared" si="6"/>
        <v>110415</v>
      </c>
      <c r="S445" s="232"/>
      <c r="T445" s="233">
        <v>53380</v>
      </c>
      <c r="U445" s="234">
        <v>-5410</v>
      </c>
      <c r="V445" s="234">
        <v>47970</v>
      </c>
    </row>
    <row r="446" spans="1:22">
      <c r="A446" s="227">
        <v>94541</v>
      </c>
      <c r="B446" s="228" t="s">
        <v>1157</v>
      </c>
      <c r="C446" s="87">
        <v>2.9839999999999999E-4</v>
      </c>
      <c r="D446" s="87">
        <v>2.8739999999999999E-4</v>
      </c>
      <c r="E446" s="232">
        <v>104979.31</v>
      </c>
      <c r="F446" s="232">
        <v>128983</v>
      </c>
      <c r="G446" s="232">
        <v>633305</v>
      </c>
      <c r="H446" s="232"/>
      <c r="I446" s="233">
        <v>11899</v>
      </c>
      <c r="J446" s="233">
        <v>554977</v>
      </c>
      <c r="K446" s="233">
        <v>43376</v>
      </c>
      <c r="L446" s="232">
        <v>0</v>
      </c>
      <c r="M446" s="232"/>
      <c r="N446" s="233">
        <v>22192</v>
      </c>
      <c r="O446" s="233">
        <v>204839</v>
      </c>
      <c r="P446" s="233">
        <v>0</v>
      </c>
      <c r="Q446" s="232">
        <v>23573</v>
      </c>
      <c r="R446" s="233">
        <f t="shared" si="6"/>
        <v>350138</v>
      </c>
      <c r="S446" s="232"/>
      <c r="T446" s="233">
        <v>169273</v>
      </c>
      <c r="U446" s="234">
        <v>-7692</v>
      </c>
      <c r="V446" s="234">
        <v>161581</v>
      </c>
    </row>
    <row r="447" spans="1:22">
      <c r="A447" s="227">
        <v>94547</v>
      </c>
      <c r="B447" s="228" t="s">
        <v>1158</v>
      </c>
      <c r="C447" s="87">
        <v>1.24E-5</v>
      </c>
      <c r="D447" s="87">
        <v>1.3499999999999999E-5</v>
      </c>
      <c r="E447" s="232">
        <v>7369.380000000001</v>
      </c>
      <c r="F447" s="232">
        <v>6059</v>
      </c>
      <c r="G447" s="232">
        <v>26317</v>
      </c>
      <c r="H447" s="232"/>
      <c r="I447" s="233">
        <v>494.45</v>
      </c>
      <c r="J447" s="233">
        <v>23062</v>
      </c>
      <c r="K447" s="233">
        <v>1802</v>
      </c>
      <c r="L447" s="232">
        <v>2133</v>
      </c>
      <c r="M447" s="232"/>
      <c r="N447" s="233">
        <v>922</v>
      </c>
      <c r="O447" s="233">
        <v>8512</v>
      </c>
      <c r="P447" s="233">
        <v>0</v>
      </c>
      <c r="Q447" s="232">
        <v>0</v>
      </c>
      <c r="R447" s="233">
        <f t="shared" si="6"/>
        <v>14550</v>
      </c>
      <c r="S447" s="232"/>
      <c r="T447" s="233">
        <v>7034</v>
      </c>
      <c r="U447" s="234">
        <v>656</v>
      </c>
      <c r="V447" s="234">
        <v>7690</v>
      </c>
    </row>
    <row r="448" spans="1:22">
      <c r="A448" s="227">
        <v>94551</v>
      </c>
      <c r="B448" s="228" t="s">
        <v>1159</v>
      </c>
      <c r="C448" s="87">
        <v>4.5899999999999998E-5</v>
      </c>
      <c r="D448" s="87">
        <v>3.0599999999999998E-5</v>
      </c>
      <c r="E448" s="232">
        <v>22107.480000000003</v>
      </c>
      <c r="F448" s="232">
        <v>13733</v>
      </c>
      <c r="G448" s="232">
        <v>97415</v>
      </c>
      <c r="H448" s="232"/>
      <c r="I448" s="233">
        <v>1830</v>
      </c>
      <c r="J448" s="233">
        <v>85367</v>
      </c>
      <c r="K448" s="233">
        <v>6672</v>
      </c>
      <c r="L448" s="232">
        <v>14242</v>
      </c>
      <c r="M448" s="232"/>
      <c r="N448" s="233">
        <v>3414</v>
      </c>
      <c r="O448" s="233">
        <v>31508</v>
      </c>
      <c r="P448" s="233">
        <v>0</v>
      </c>
      <c r="Q448" s="232">
        <v>2442</v>
      </c>
      <c r="R448" s="233">
        <f t="shared" si="6"/>
        <v>53859</v>
      </c>
      <c r="S448" s="232"/>
      <c r="T448" s="233">
        <v>26038</v>
      </c>
      <c r="U448" s="234">
        <v>3648</v>
      </c>
      <c r="V448" s="234">
        <v>29686</v>
      </c>
    </row>
    <row r="449" spans="1:22">
      <c r="A449" s="227">
        <v>94601</v>
      </c>
      <c r="B449" s="228" t="s">
        <v>1160</v>
      </c>
      <c r="C449" s="87">
        <v>1.0011E-3</v>
      </c>
      <c r="D449" s="87">
        <v>9.7179999999999999E-4</v>
      </c>
      <c r="E449" s="232">
        <v>433754.10999999993</v>
      </c>
      <c r="F449" s="232">
        <v>436138</v>
      </c>
      <c r="G449" s="232">
        <v>2124670</v>
      </c>
      <c r="H449" s="232"/>
      <c r="I449" s="233">
        <v>39919</v>
      </c>
      <c r="J449" s="233">
        <v>1861888</v>
      </c>
      <c r="K449" s="233">
        <v>145521</v>
      </c>
      <c r="L449" s="232">
        <v>36047</v>
      </c>
      <c r="M449" s="232"/>
      <c r="N449" s="233">
        <v>74451</v>
      </c>
      <c r="O449" s="233">
        <v>687213</v>
      </c>
      <c r="P449" s="233">
        <v>0</v>
      </c>
      <c r="Q449" s="232">
        <v>3381</v>
      </c>
      <c r="R449" s="233">
        <f t="shared" si="6"/>
        <v>1174675</v>
      </c>
      <c r="S449" s="232"/>
      <c r="T449" s="233">
        <v>567893</v>
      </c>
      <c r="U449" s="234">
        <v>8786</v>
      </c>
      <c r="V449" s="234">
        <v>576679</v>
      </c>
    </row>
    <row r="450" spans="1:22">
      <c r="A450" s="227">
        <v>94604</v>
      </c>
      <c r="B450" s="228" t="s">
        <v>1161</v>
      </c>
      <c r="C450" s="87">
        <v>2.65E-5</v>
      </c>
      <c r="D450" s="87">
        <v>2.76E-5</v>
      </c>
      <c r="E450" s="232">
        <v>12705.000000000002</v>
      </c>
      <c r="F450" s="232">
        <v>12387</v>
      </c>
      <c r="G450" s="232">
        <v>56242</v>
      </c>
      <c r="H450" s="232"/>
      <c r="I450" s="233">
        <v>1056.6875</v>
      </c>
      <c r="J450" s="233">
        <v>49286</v>
      </c>
      <c r="K450" s="233">
        <v>3852</v>
      </c>
      <c r="L450" s="232">
        <v>1065</v>
      </c>
      <c r="M450" s="232"/>
      <c r="N450" s="233">
        <v>1971</v>
      </c>
      <c r="O450" s="233">
        <v>18191</v>
      </c>
      <c r="P450" s="233">
        <v>0</v>
      </c>
      <c r="Q450" s="232">
        <v>52</v>
      </c>
      <c r="R450" s="233">
        <f t="shared" si="6"/>
        <v>31095</v>
      </c>
      <c r="S450" s="232"/>
      <c r="T450" s="233">
        <v>15033</v>
      </c>
      <c r="U450" s="234">
        <v>272</v>
      </c>
      <c r="V450" s="234">
        <v>15304</v>
      </c>
    </row>
    <row r="451" spans="1:22">
      <c r="A451" s="227">
        <v>94606</v>
      </c>
      <c r="B451" s="228" t="s">
        <v>1162</v>
      </c>
      <c r="C451" s="87">
        <v>2.6229999999999998E-4</v>
      </c>
      <c r="D451" s="87">
        <v>2.8610000000000002E-4</v>
      </c>
      <c r="E451" s="232">
        <v>101570.82999999999</v>
      </c>
      <c r="F451" s="232">
        <v>128400</v>
      </c>
      <c r="G451" s="232">
        <v>556688</v>
      </c>
      <c r="H451" s="232"/>
      <c r="I451" s="233">
        <v>10459</v>
      </c>
      <c r="J451" s="233">
        <v>487837</v>
      </c>
      <c r="K451" s="233">
        <v>38128</v>
      </c>
      <c r="L451" s="232">
        <v>0</v>
      </c>
      <c r="M451" s="232"/>
      <c r="N451" s="233">
        <v>19507</v>
      </c>
      <c r="O451" s="233">
        <v>180058</v>
      </c>
      <c r="P451" s="233">
        <v>0</v>
      </c>
      <c r="Q451" s="232">
        <v>52213</v>
      </c>
      <c r="R451" s="233">
        <f t="shared" si="6"/>
        <v>307779</v>
      </c>
      <c r="S451" s="232"/>
      <c r="T451" s="233">
        <v>148795</v>
      </c>
      <c r="U451" s="234">
        <v>-19437</v>
      </c>
      <c r="V451" s="234">
        <v>129358</v>
      </c>
    </row>
    <row r="452" spans="1:22">
      <c r="A452" s="227">
        <v>94611</v>
      </c>
      <c r="B452" s="228" t="s">
        <v>1163</v>
      </c>
      <c r="C452" s="87">
        <v>4.4450000000000002E-4</v>
      </c>
      <c r="D452" s="87">
        <v>4.5360000000000002E-4</v>
      </c>
      <c r="E452" s="232">
        <v>189159.12</v>
      </c>
      <c r="F452" s="232">
        <v>203573</v>
      </c>
      <c r="G452" s="232">
        <v>943378</v>
      </c>
      <c r="H452" s="232"/>
      <c r="I452" s="233">
        <v>17724.4375</v>
      </c>
      <c r="J452" s="233">
        <v>826700</v>
      </c>
      <c r="K452" s="233">
        <v>64613</v>
      </c>
      <c r="L452" s="232">
        <v>3960</v>
      </c>
      <c r="M452" s="232"/>
      <c r="N452" s="233">
        <v>33057</v>
      </c>
      <c r="O452" s="233">
        <v>305131</v>
      </c>
      <c r="P452" s="233">
        <v>0</v>
      </c>
      <c r="Q452" s="232">
        <v>4915.3</v>
      </c>
      <c r="R452" s="233">
        <f t="shared" si="6"/>
        <v>521569</v>
      </c>
      <c r="S452" s="232"/>
      <c r="T452" s="233">
        <v>252151</v>
      </c>
      <c r="U452" s="234">
        <v>-1078</v>
      </c>
      <c r="V452" s="234">
        <v>251074</v>
      </c>
    </row>
    <row r="453" spans="1:22">
      <c r="A453" s="227">
        <v>94621</v>
      </c>
      <c r="B453" s="228" t="s">
        <v>1164</v>
      </c>
      <c r="C453" s="87">
        <v>1.3119999999999999E-4</v>
      </c>
      <c r="D453" s="87">
        <v>1.5200000000000001E-4</v>
      </c>
      <c r="E453" s="232">
        <v>64393.31</v>
      </c>
      <c r="F453" s="232">
        <v>68217</v>
      </c>
      <c r="G453" s="232">
        <v>278450</v>
      </c>
      <c r="H453" s="232"/>
      <c r="I453" s="233">
        <v>5232</v>
      </c>
      <c r="J453" s="233">
        <v>244011</v>
      </c>
      <c r="K453" s="233">
        <v>19071</v>
      </c>
      <c r="L453" s="232">
        <v>13237</v>
      </c>
      <c r="M453" s="232"/>
      <c r="N453" s="233">
        <v>9757</v>
      </c>
      <c r="O453" s="233">
        <v>90063</v>
      </c>
      <c r="P453" s="233">
        <v>0</v>
      </c>
      <c r="Q453" s="232">
        <v>19570</v>
      </c>
      <c r="R453" s="233">
        <f t="shared" si="6"/>
        <v>153948</v>
      </c>
      <c r="S453" s="232"/>
      <c r="T453" s="233">
        <v>74426</v>
      </c>
      <c r="U453" s="234">
        <v>-3</v>
      </c>
      <c r="V453" s="234">
        <v>74422</v>
      </c>
    </row>
    <row r="454" spans="1:22">
      <c r="A454" s="227">
        <v>94631</v>
      </c>
      <c r="B454" s="228" t="s">
        <v>1165</v>
      </c>
      <c r="C454" s="87">
        <v>3.9799999999999998E-5</v>
      </c>
      <c r="D454" s="87">
        <v>4.0299999999999997E-5</v>
      </c>
      <c r="E454" s="232">
        <v>19878.57</v>
      </c>
      <c r="F454" s="232">
        <v>18086</v>
      </c>
      <c r="G454" s="232">
        <v>84469</v>
      </c>
      <c r="H454" s="232"/>
      <c r="I454" s="233">
        <v>1587</v>
      </c>
      <c r="J454" s="233">
        <v>74022</v>
      </c>
      <c r="K454" s="233">
        <v>5785</v>
      </c>
      <c r="L454" s="232">
        <v>5170</v>
      </c>
      <c r="M454" s="232"/>
      <c r="N454" s="233">
        <v>2960</v>
      </c>
      <c r="O454" s="233">
        <v>27321</v>
      </c>
      <c r="P454" s="233">
        <v>0</v>
      </c>
      <c r="Q454" s="232">
        <v>0</v>
      </c>
      <c r="R454" s="233">
        <f t="shared" si="6"/>
        <v>46701</v>
      </c>
      <c r="S454" s="232"/>
      <c r="T454" s="233">
        <v>22577</v>
      </c>
      <c r="U454" s="234">
        <v>1734</v>
      </c>
      <c r="V454" s="234">
        <v>24311</v>
      </c>
    </row>
    <row r="455" spans="1:22">
      <c r="A455" s="227">
        <v>94641</v>
      </c>
      <c r="B455" s="228" t="s">
        <v>1166</v>
      </c>
      <c r="C455" s="87">
        <v>4.6999999999999999E-6</v>
      </c>
      <c r="D455" s="87">
        <v>4.6999999999999999E-6</v>
      </c>
      <c r="E455" s="232">
        <v>4524.25</v>
      </c>
      <c r="F455" s="232">
        <v>2109</v>
      </c>
      <c r="G455" s="232">
        <v>9975</v>
      </c>
      <c r="H455" s="232"/>
      <c r="I455" s="233">
        <v>187.41249999999999</v>
      </c>
      <c r="J455" s="233">
        <v>8741</v>
      </c>
      <c r="K455" s="233">
        <v>683</v>
      </c>
      <c r="L455" s="232">
        <v>4799</v>
      </c>
      <c r="M455" s="232"/>
      <c r="N455" s="233">
        <v>350</v>
      </c>
      <c r="O455" s="233">
        <v>3226</v>
      </c>
      <c r="P455" s="233">
        <v>0</v>
      </c>
      <c r="Q455" s="232">
        <v>0</v>
      </c>
      <c r="R455" s="233">
        <f t="shared" si="6"/>
        <v>5515</v>
      </c>
      <c r="S455" s="232"/>
      <c r="T455" s="233">
        <v>2666</v>
      </c>
      <c r="U455" s="234">
        <v>1678</v>
      </c>
      <c r="V455" s="234">
        <v>4344</v>
      </c>
    </row>
    <row r="456" spans="1:22">
      <c r="A456" s="227">
        <v>94701</v>
      </c>
      <c r="B456" s="228" t="s">
        <v>1167</v>
      </c>
      <c r="C456" s="87">
        <v>2.5636000000000001E-3</v>
      </c>
      <c r="D456" s="87">
        <v>2.6064999999999999E-3</v>
      </c>
      <c r="E456" s="232">
        <v>956457.01999999979</v>
      </c>
      <c r="F456" s="232">
        <v>1169782</v>
      </c>
      <c r="G456" s="232">
        <v>5440818</v>
      </c>
      <c r="H456" s="232"/>
      <c r="I456" s="233">
        <v>102223.55</v>
      </c>
      <c r="J456" s="233">
        <v>4767891</v>
      </c>
      <c r="K456" s="233">
        <v>372647</v>
      </c>
      <c r="L456" s="232">
        <v>75767</v>
      </c>
      <c r="M456" s="232"/>
      <c r="N456" s="233">
        <v>190652</v>
      </c>
      <c r="O456" s="233">
        <v>1759804</v>
      </c>
      <c r="P456" s="233">
        <v>0</v>
      </c>
      <c r="Q456" s="232">
        <v>100921</v>
      </c>
      <c r="R456" s="233">
        <f t="shared" si="6"/>
        <v>3008087</v>
      </c>
      <c r="S456" s="232"/>
      <c r="T456" s="233">
        <v>1454251</v>
      </c>
      <c r="U456" s="234">
        <v>4371</v>
      </c>
      <c r="V456" s="234">
        <v>1458622</v>
      </c>
    </row>
    <row r="457" spans="1:22">
      <c r="A457" s="227">
        <v>94704</v>
      </c>
      <c r="B457" s="228" t="s">
        <v>1168</v>
      </c>
      <c r="C457" s="87">
        <v>1.04E-5</v>
      </c>
      <c r="D457" s="87">
        <v>1.0900000000000001E-5</v>
      </c>
      <c r="E457" s="232">
        <v>4510.1299999999992</v>
      </c>
      <c r="F457" s="232">
        <v>4892</v>
      </c>
      <c r="G457" s="232">
        <v>22072</v>
      </c>
      <c r="H457" s="232"/>
      <c r="I457" s="233">
        <v>414.7</v>
      </c>
      <c r="J457" s="233">
        <v>19342</v>
      </c>
      <c r="K457" s="233">
        <v>1512</v>
      </c>
      <c r="L457" s="232">
        <v>147</v>
      </c>
      <c r="M457" s="232"/>
      <c r="N457" s="233">
        <v>773</v>
      </c>
      <c r="O457" s="233">
        <v>7139</v>
      </c>
      <c r="P457" s="233">
        <v>0</v>
      </c>
      <c r="Q457" s="232">
        <v>86</v>
      </c>
      <c r="R457" s="233">
        <f t="shared" ref="R457:R520" si="7">IF(J457&gt;O457,J457-O457,O457-J457)</f>
        <v>12203</v>
      </c>
      <c r="S457" s="232"/>
      <c r="T457" s="233">
        <v>5900</v>
      </c>
      <c r="U457" s="234">
        <v>47</v>
      </c>
      <c r="V457" s="234">
        <v>5946</v>
      </c>
    </row>
    <row r="458" spans="1:22">
      <c r="A458" s="227">
        <v>94711</v>
      </c>
      <c r="B458" s="228" t="s">
        <v>1169</v>
      </c>
      <c r="C458" s="87">
        <v>3.5110000000000002E-4</v>
      </c>
      <c r="D458" s="87">
        <v>3.5270000000000001E-4</v>
      </c>
      <c r="E458" s="232">
        <v>140447.14000000001</v>
      </c>
      <c r="F458" s="232">
        <v>158290</v>
      </c>
      <c r="G458" s="232">
        <v>745152</v>
      </c>
      <c r="H458" s="232"/>
      <c r="I458" s="233">
        <v>14000</v>
      </c>
      <c r="J458" s="233">
        <v>652991</v>
      </c>
      <c r="K458" s="233">
        <v>51036</v>
      </c>
      <c r="L458" s="232">
        <v>14121</v>
      </c>
      <c r="M458" s="232"/>
      <c r="N458" s="233">
        <v>26111</v>
      </c>
      <c r="O458" s="233">
        <v>241015</v>
      </c>
      <c r="P458" s="233">
        <v>0</v>
      </c>
      <c r="Q458" s="232">
        <v>8957</v>
      </c>
      <c r="R458" s="233">
        <f t="shared" si="7"/>
        <v>411976</v>
      </c>
      <c r="S458" s="232"/>
      <c r="T458" s="233">
        <v>199168</v>
      </c>
      <c r="U458" s="234">
        <v>1479</v>
      </c>
      <c r="V458" s="234">
        <v>200647</v>
      </c>
    </row>
    <row r="459" spans="1:22">
      <c r="A459" s="227">
        <v>94801</v>
      </c>
      <c r="B459" s="228" t="s">
        <v>1170</v>
      </c>
      <c r="C459" s="87">
        <v>7.6539999999999996E-4</v>
      </c>
      <c r="D459" s="87">
        <v>7.425E-4</v>
      </c>
      <c r="E459" s="232">
        <v>315763.95000000007</v>
      </c>
      <c r="F459" s="232">
        <v>333230</v>
      </c>
      <c r="G459" s="232">
        <v>1624435</v>
      </c>
      <c r="H459" s="232"/>
      <c r="I459" s="233">
        <v>30520</v>
      </c>
      <c r="J459" s="233">
        <v>1423523</v>
      </c>
      <c r="K459" s="233">
        <v>111259</v>
      </c>
      <c r="L459" s="232">
        <v>62992</v>
      </c>
      <c r="M459" s="232"/>
      <c r="N459" s="233">
        <v>56922</v>
      </c>
      <c r="O459" s="233">
        <v>525415</v>
      </c>
      <c r="P459" s="233">
        <v>0</v>
      </c>
      <c r="Q459" s="232">
        <v>0</v>
      </c>
      <c r="R459" s="233">
        <f t="shared" si="7"/>
        <v>898108</v>
      </c>
      <c r="S459" s="232"/>
      <c r="T459" s="233">
        <v>434188</v>
      </c>
      <c r="U459" s="234">
        <v>22612</v>
      </c>
      <c r="V459" s="234">
        <v>456800</v>
      </c>
    </row>
    <row r="460" spans="1:22">
      <c r="A460" s="227">
        <v>94804</v>
      </c>
      <c r="B460" s="228" t="s">
        <v>1171</v>
      </c>
      <c r="C460" s="87">
        <v>3.8E-6</v>
      </c>
      <c r="D460" s="87">
        <v>5.5999999999999997E-6</v>
      </c>
      <c r="E460" s="232">
        <v>2420.6699999999996</v>
      </c>
      <c r="F460" s="232">
        <v>2513</v>
      </c>
      <c r="G460" s="232">
        <v>8065</v>
      </c>
      <c r="H460" s="232"/>
      <c r="I460" s="233">
        <v>151.52500000000001</v>
      </c>
      <c r="J460" s="233">
        <v>7067</v>
      </c>
      <c r="K460" s="233">
        <v>552</v>
      </c>
      <c r="L460" s="232">
        <v>3516</v>
      </c>
      <c r="M460" s="232"/>
      <c r="N460" s="233">
        <v>283</v>
      </c>
      <c r="O460" s="233">
        <v>2609</v>
      </c>
      <c r="P460" s="233">
        <v>0</v>
      </c>
      <c r="Q460" s="232">
        <v>294</v>
      </c>
      <c r="R460" s="233">
        <f t="shared" si="7"/>
        <v>4458</v>
      </c>
      <c r="S460" s="232"/>
      <c r="T460" s="233">
        <v>2156</v>
      </c>
      <c r="U460" s="234">
        <v>1680</v>
      </c>
      <c r="V460" s="234">
        <v>3836</v>
      </c>
    </row>
    <row r="461" spans="1:22">
      <c r="A461" s="227">
        <v>94812</v>
      </c>
      <c r="B461" s="228" t="s">
        <v>1172</v>
      </c>
      <c r="C461" s="87">
        <v>3.3500000000000001E-5</v>
      </c>
      <c r="D461" s="87">
        <v>2.8200000000000001E-5</v>
      </c>
      <c r="E461" s="232">
        <v>17636.609999999993</v>
      </c>
      <c r="F461" s="232">
        <v>12656</v>
      </c>
      <c r="G461" s="232">
        <v>71098</v>
      </c>
      <c r="H461" s="232"/>
      <c r="I461" s="233">
        <v>1335.8125</v>
      </c>
      <c r="J461" s="233">
        <v>62305</v>
      </c>
      <c r="K461" s="233">
        <v>4870</v>
      </c>
      <c r="L461" s="232">
        <v>10393</v>
      </c>
      <c r="M461" s="232"/>
      <c r="N461" s="233">
        <v>2491</v>
      </c>
      <c r="O461" s="233">
        <v>22996</v>
      </c>
      <c r="P461" s="233">
        <v>0</v>
      </c>
      <c r="Q461" s="232">
        <v>0</v>
      </c>
      <c r="R461" s="233">
        <f t="shared" si="7"/>
        <v>39309</v>
      </c>
      <c r="S461" s="232"/>
      <c r="T461" s="233">
        <v>19004</v>
      </c>
      <c r="U461" s="234">
        <v>3222</v>
      </c>
      <c r="V461" s="234">
        <v>22225</v>
      </c>
    </row>
    <row r="462" spans="1:22">
      <c r="A462" s="227">
        <v>94901</v>
      </c>
      <c r="B462" s="228" t="s">
        <v>1173</v>
      </c>
      <c r="C462" s="87">
        <v>7.0014999999999999E-3</v>
      </c>
      <c r="D462" s="87">
        <v>6.6921999999999997E-3</v>
      </c>
      <c r="E462" s="232">
        <v>2681224.3200000003</v>
      </c>
      <c r="F462" s="232">
        <v>3003419</v>
      </c>
      <c r="G462" s="232">
        <v>14859529</v>
      </c>
      <c r="H462" s="232"/>
      <c r="I462" s="233">
        <v>279185</v>
      </c>
      <c r="J462" s="233">
        <v>13021684</v>
      </c>
      <c r="K462" s="233">
        <v>1017745</v>
      </c>
      <c r="L462" s="232">
        <v>28689</v>
      </c>
      <c r="M462" s="232"/>
      <c r="N462" s="233">
        <v>520695</v>
      </c>
      <c r="O462" s="233">
        <v>4806236</v>
      </c>
      <c r="P462" s="233">
        <v>0</v>
      </c>
      <c r="Q462" s="232">
        <v>82188</v>
      </c>
      <c r="R462" s="233">
        <f t="shared" si="7"/>
        <v>8215448</v>
      </c>
      <c r="S462" s="232"/>
      <c r="T462" s="233">
        <v>3971734</v>
      </c>
      <c r="U462" s="234">
        <v>-17216</v>
      </c>
      <c r="V462" s="234">
        <v>3954518</v>
      </c>
    </row>
    <row r="463" spans="1:22">
      <c r="A463" s="227">
        <v>94908</v>
      </c>
      <c r="B463" s="228" t="s">
        <v>1174</v>
      </c>
      <c r="C463" s="87">
        <v>3.9799999999999998E-5</v>
      </c>
      <c r="D463" s="87">
        <v>4.2799999999999997E-5</v>
      </c>
      <c r="E463" s="232">
        <v>16384.420000000002</v>
      </c>
      <c r="F463" s="232">
        <v>19208</v>
      </c>
      <c r="G463" s="232">
        <v>84469</v>
      </c>
      <c r="H463" s="232"/>
      <c r="I463" s="233">
        <v>1587</v>
      </c>
      <c r="J463" s="233">
        <v>74022</v>
      </c>
      <c r="K463" s="233">
        <v>5785</v>
      </c>
      <c r="L463" s="232">
        <v>0</v>
      </c>
      <c r="M463" s="232"/>
      <c r="N463" s="233">
        <v>2960</v>
      </c>
      <c r="O463" s="233">
        <v>27321</v>
      </c>
      <c r="P463" s="233">
        <v>0</v>
      </c>
      <c r="Q463" s="232">
        <v>5878</v>
      </c>
      <c r="R463" s="233">
        <f t="shared" si="7"/>
        <v>46701</v>
      </c>
      <c r="S463" s="232"/>
      <c r="T463" s="233">
        <v>22577</v>
      </c>
      <c r="U463" s="234">
        <v>-2269</v>
      </c>
      <c r="V463" s="234">
        <v>20308</v>
      </c>
    </row>
    <row r="464" spans="1:22">
      <c r="A464" s="227">
        <v>94911</v>
      </c>
      <c r="B464" s="228" t="s">
        <v>1175</v>
      </c>
      <c r="C464" s="87">
        <v>2.7745999999999999E-3</v>
      </c>
      <c r="D464" s="87">
        <v>2.8086000000000001E-3</v>
      </c>
      <c r="E464" s="232">
        <v>1108370.94</v>
      </c>
      <c r="F464" s="232">
        <v>1260483</v>
      </c>
      <c r="G464" s="232">
        <v>5888631</v>
      </c>
      <c r="H464" s="232"/>
      <c r="I464" s="233">
        <v>110637</v>
      </c>
      <c r="J464" s="233">
        <v>5160318</v>
      </c>
      <c r="K464" s="233">
        <v>403319</v>
      </c>
      <c r="L464" s="232">
        <v>7508</v>
      </c>
      <c r="M464" s="232"/>
      <c r="N464" s="233">
        <v>206344</v>
      </c>
      <c r="O464" s="233">
        <v>1904646</v>
      </c>
      <c r="P464" s="233">
        <v>0</v>
      </c>
      <c r="Q464" s="232">
        <v>58992</v>
      </c>
      <c r="R464" s="233">
        <f t="shared" si="7"/>
        <v>3255672</v>
      </c>
      <c r="S464" s="232"/>
      <c r="T464" s="233">
        <v>1573945</v>
      </c>
      <c r="U464" s="234">
        <v>-16182</v>
      </c>
      <c r="V464" s="234">
        <v>1557762</v>
      </c>
    </row>
    <row r="465" spans="1:22">
      <c r="A465" s="227">
        <v>94917</v>
      </c>
      <c r="B465" s="228" t="s">
        <v>1176</v>
      </c>
      <c r="C465" s="87">
        <v>3.7400000000000001E-5</v>
      </c>
      <c r="D465" s="87">
        <v>4.0399999999999999E-5</v>
      </c>
      <c r="E465" s="232">
        <v>24113.03</v>
      </c>
      <c r="F465" s="232">
        <v>18131</v>
      </c>
      <c r="G465" s="232">
        <v>79375</v>
      </c>
      <c r="H465" s="232"/>
      <c r="I465" s="233">
        <v>1491.325</v>
      </c>
      <c r="J465" s="233">
        <v>69558</v>
      </c>
      <c r="K465" s="233">
        <v>5437</v>
      </c>
      <c r="L465" s="232">
        <v>14598</v>
      </c>
      <c r="M465" s="232"/>
      <c r="N465" s="233">
        <v>2781</v>
      </c>
      <c r="O465" s="233">
        <v>25674</v>
      </c>
      <c r="P465" s="233">
        <v>0</v>
      </c>
      <c r="Q465" s="232">
        <v>0</v>
      </c>
      <c r="R465" s="233">
        <f t="shared" si="7"/>
        <v>43884</v>
      </c>
      <c r="S465" s="232"/>
      <c r="T465" s="233">
        <v>21216</v>
      </c>
      <c r="U465" s="234">
        <v>5296</v>
      </c>
      <c r="V465" s="234">
        <v>26512</v>
      </c>
    </row>
    <row r="466" spans="1:22">
      <c r="A466" s="227">
        <v>94921</v>
      </c>
      <c r="B466" s="228" t="s">
        <v>1177</v>
      </c>
      <c r="C466" s="87">
        <v>3.7063E-3</v>
      </c>
      <c r="D466" s="87">
        <v>4.0699999999999998E-3</v>
      </c>
      <c r="E466" s="232">
        <v>1372917.85</v>
      </c>
      <c r="F466" s="232">
        <v>1826592</v>
      </c>
      <c r="G466" s="232">
        <v>7866010</v>
      </c>
      <c r="H466" s="232"/>
      <c r="I466" s="233">
        <v>147789</v>
      </c>
      <c r="J466" s="233">
        <v>6893132</v>
      </c>
      <c r="K466" s="233">
        <v>538751</v>
      </c>
      <c r="L466" s="232">
        <v>0</v>
      </c>
      <c r="M466" s="232"/>
      <c r="N466" s="233">
        <v>275634</v>
      </c>
      <c r="O466" s="233">
        <v>2544219</v>
      </c>
      <c r="P466" s="233">
        <v>0</v>
      </c>
      <c r="Q466" s="232">
        <v>505665</v>
      </c>
      <c r="R466" s="233">
        <f t="shared" si="7"/>
        <v>4348913</v>
      </c>
      <c r="S466" s="232"/>
      <c r="T466" s="233">
        <v>2102469</v>
      </c>
      <c r="U466" s="234">
        <v>-155426</v>
      </c>
      <c r="V466" s="234">
        <v>1947043</v>
      </c>
    </row>
    <row r="467" spans="1:22">
      <c r="A467" s="227">
        <v>94923</v>
      </c>
      <c r="B467" s="228" t="s">
        <v>1178</v>
      </c>
      <c r="C467" s="87">
        <v>2.4499999999999999E-5</v>
      </c>
      <c r="D467" s="87">
        <v>2.9300000000000001E-5</v>
      </c>
      <c r="E467" s="232">
        <v>14093.810000000001</v>
      </c>
      <c r="F467" s="232">
        <v>13150</v>
      </c>
      <c r="G467" s="232">
        <v>51997</v>
      </c>
      <c r="H467" s="232"/>
      <c r="I467" s="233">
        <v>976.9375</v>
      </c>
      <c r="J467" s="233">
        <v>45566</v>
      </c>
      <c r="K467" s="233">
        <v>3561</v>
      </c>
      <c r="L467" s="232">
        <v>1458</v>
      </c>
      <c r="M467" s="232"/>
      <c r="N467" s="233">
        <v>1822</v>
      </c>
      <c r="O467" s="233">
        <v>16818</v>
      </c>
      <c r="P467" s="233">
        <v>0</v>
      </c>
      <c r="Q467" s="232">
        <v>173</v>
      </c>
      <c r="R467" s="233">
        <f t="shared" si="7"/>
        <v>28748</v>
      </c>
      <c r="S467" s="232"/>
      <c r="T467" s="233">
        <v>13898</v>
      </c>
      <c r="U467" s="234">
        <v>373</v>
      </c>
      <c r="V467" s="234">
        <v>14272</v>
      </c>
    </row>
    <row r="468" spans="1:22">
      <c r="A468" s="227">
        <v>94927</v>
      </c>
      <c r="B468" s="228" t="s">
        <v>1179</v>
      </c>
      <c r="C468" s="87">
        <v>3.3899999999999997E-5</v>
      </c>
      <c r="D468" s="87">
        <v>3.2700000000000002E-5</v>
      </c>
      <c r="E468" s="232">
        <v>16597.12</v>
      </c>
      <c r="F468" s="232">
        <v>14676</v>
      </c>
      <c r="G468" s="232">
        <v>71947</v>
      </c>
      <c r="H468" s="232"/>
      <c r="I468" s="233">
        <v>1352</v>
      </c>
      <c r="J468" s="233">
        <v>63049</v>
      </c>
      <c r="K468" s="233">
        <v>4928</v>
      </c>
      <c r="L468" s="232">
        <v>3081</v>
      </c>
      <c r="M468" s="232"/>
      <c r="N468" s="233">
        <v>2521</v>
      </c>
      <c r="O468" s="233">
        <v>23271</v>
      </c>
      <c r="P468" s="233">
        <v>0</v>
      </c>
      <c r="Q468" s="232">
        <v>52</v>
      </c>
      <c r="R468" s="233">
        <f t="shared" si="7"/>
        <v>39778</v>
      </c>
      <c r="S468" s="232"/>
      <c r="T468" s="233">
        <v>19230</v>
      </c>
      <c r="U468" s="234">
        <v>803</v>
      </c>
      <c r="V468" s="234">
        <v>20033</v>
      </c>
    </row>
    <row r="469" spans="1:22">
      <c r="A469" s="227">
        <v>94931</v>
      </c>
      <c r="B469" s="228" t="s">
        <v>1180</v>
      </c>
      <c r="C469" s="87">
        <v>2.1130000000000001E-4</v>
      </c>
      <c r="D469" s="87">
        <v>2.4020000000000001E-4</v>
      </c>
      <c r="E469" s="232">
        <v>88195.43</v>
      </c>
      <c r="F469" s="232">
        <v>107800</v>
      </c>
      <c r="G469" s="232">
        <v>448449</v>
      </c>
      <c r="H469" s="232"/>
      <c r="I469" s="233">
        <v>8426</v>
      </c>
      <c r="J469" s="233">
        <v>392985</v>
      </c>
      <c r="K469" s="233">
        <v>30715</v>
      </c>
      <c r="L469" s="232">
        <v>0</v>
      </c>
      <c r="M469" s="232"/>
      <c r="N469" s="233">
        <v>15714</v>
      </c>
      <c r="O469" s="233">
        <v>145049</v>
      </c>
      <c r="P469" s="233">
        <v>0</v>
      </c>
      <c r="Q469" s="232">
        <v>23880</v>
      </c>
      <c r="R469" s="233">
        <f t="shared" si="7"/>
        <v>247936</v>
      </c>
      <c r="S469" s="232"/>
      <c r="T469" s="233">
        <v>119864</v>
      </c>
      <c r="U469" s="234">
        <v>-8140</v>
      </c>
      <c r="V469" s="234">
        <v>111724</v>
      </c>
    </row>
    <row r="470" spans="1:22">
      <c r="A470" s="227">
        <v>94941</v>
      </c>
      <c r="B470" s="228" t="s">
        <v>1181</v>
      </c>
      <c r="C470" s="87">
        <v>5.2959999999999997E-4</v>
      </c>
      <c r="D470" s="87">
        <v>5.0549999999999998E-4</v>
      </c>
      <c r="E470" s="232">
        <v>202001.05</v>
      </c>
      <c r="F470" s="232">
        <v>226865</v>
      </c>
      <c r="G470" s="232">
        <v>1123989</v>
      </c>
      <c r="H470" s="232"/>
      <c r="I470" s="233">
        <v>21117.8</v>
      </c>
      <c r="J470" s="233">
        <v>984972</v>
      </c>
      <c r="K470" s="233">
        <v>76983</v>
      </c>
      <c r="L470" s="232">
        <v>96457</v>
      </c>
      <c r="M470" s="232"/>
      <c r="N470" s="233">
        <v>39386</v>
      </c>
      <c r="O470" s="233">
        <v>363548</v>
      </c>
      <c r="P470" s="233">
        <v>0</v>
      </c>
      <c r="Q470" s="232">
        <v>0</v>
      </c>
      <c r="R470" s="233">
        <f t="shared" si="7"/>
        <v>621424</v>
      </c>
      <c r="S470" s="232"/>
      <c r="T470" s="233">
        <v>300426</v>
      </c>
      <c r="U470" s="234">
        <v>42457</v>
      </c>
      <c r="V470" s="234">
        <v>342883</v>
      </c>
    </row>
    <row r="471" spans="1:22">
      <c r="A471" s="227">
        <v>95001</v>
      </c>
      <c r="B471" s="228" t="s">
        <v>1182</v>
      </c>
      <c r="C471" s="87">
        <v>2.3779000000000001E-3</v>
      </c>
      <c r="D471" s="87">
        <v>2.3674E-3</v>
      </c>
      <c r="E471" s="232">
        <v>1026879.06</v>
      </c>
      <c r="F471" s="232">
        <v>1062475</v>
      </c>
      <c r="G471" s="232">
        <v>5046700</v>
      </c>
      <c r="H471" s="232"/>
      <c r="I471" s="233">
        <v>94819</v>
      </c>
      <c r="J471" s="233">
        <v>4422518</v>
      </c>
      <c r="K471" s="233">
        <v>345654</v>
      </c>
      <c r="L471" s="232">
        <v>86860</v>
      </c>
      <c r="M471" s="232"/>
      <c r="N471" s="233">
        <v>176842</v>
      </c>
      <c r="O471" s="233">
        <v>1632328</v>
      </c>
      <c r="P471" s="233">
        <v>0</v>
      </c>
      <c r="Q471" s="232">
        <v>8022</v>
      </c>
      <c r="R471" s="233">
        <f t="shared" si="7"/>
        <v>2790190</v>
      </c>
      <c r="S471" s="232"/>
      <c r="T471" s="233">
        <v>1348909</v>
      </c>
      <c r="U471" s="234">
        <v>22510</v>
      </c>
      <c r="V471" s="234">
        <v>1371419</v>
      </c>
    </row>
    <row r="472" spans="1:22">
      <c r="A472" s="227">
        <v>95002</v>
      </c>
      <c r="B472" s="228" t="s">
        <v>1183</v>
      </c>
      <c r="C472" s="87">
        <v>2.0120000000000001E-4</v>
      </c>
      <c r="D472" s="87">
        <v>1.919E-4</v>
      </c>
      <c r="E472" s="232">
        <v>91760.39</v>
      </c>
      <c r="F472" s="232">
        <v>86124</v>
      </c>
      <c r="G472" s="232">
        <v>427014</v>
      </c>
      <c r="H472" s="232"/>
      <c r="I472" s="233">
        <v>8022.85</v>
      </c>
      <c r="J472" s="233">
        <v>374200</v>
      </c>
      <c r="K472" s="233">
        <v>29247</v>
      </c>
      <c r="L472" s="232">
        <v>17432</v>
      </c>
      <c r="M472" s="232"/>
      <c r="N472" s="233">
        <v>14963</v>
      </c>
      <c r="O472" s="233">
        <v>138115</v>
      </c>
      <c r="P472" s="233">
        <v>0</v>
      </c>
      <c r="Q472" s="232">
        <v>0</v>
      </c>
      <c r="R472" s="233">
        <f t="shared" si="7"/>
        <v>236085</v>
      </c>
      <c r="S472" s="232"/>
      <c r="T472" s="233">
        <v>114135</v>
      </c>
      <c r="U472" s="234">
        <v>5391</v>
      </c>
      <c r="V472" s="234">
        <v>119526</v>
      </c>
    </row>
    <row r="473" spans="1:22">
      <c r="A473" s="227">
        <v>95005</v>
      </c>
      <c r="B473" s="228" t="s">
        <v>1184</v>
      </c>
      <c r="C473" s="87">
        <v>2.3829999999999999E-4</v>
      </c>
      <c r="D473" s="87">
        <v>2.4499999999999999E-4</v>
      </c>
      <c r="E473" s="232">
        <v>102066.84000000001</v>
      </c>
      <c r="F473" s="232">
        <v>109954.53</v>
      </c>
      <c r="G473" s="232">
        <v>505752</v>
      </c>
      <c r="H473" s="232"/>
      <c r="I473" s="233">
        <v>9502</v>
      </c>
      <c r="J473" s="233">
        <v>443200</v>
      </c>
      <c r="K473" s="233">
        <v>34640</v>
      </c>
      <c r="L473" s="232">
        <v>23207</v>
      </c>
      <c r="M473" s="232"/>
      <c r="N473" s="233">
        <v>17722</v>
      </c>
      <c r="O473" s="233">
        <v>163583</v>
      </c>
      <c r="P473" s="233">
        <v>0</v>
      </c>
      <c r="Q473" s="232">
        <v>399</v>
      </c>
      <c r="R473" s="233">
        <f t="shared" si="7"/>
        <v>279617</v>
      </c>
      <c r="S473" s="232"/>
      <c r="T473" s="233">
        <v>135180</v>
      </c>
      <c r="U473" s="234">
        <v>9376</v>
      </c>
      <c r="V473" s="234">
        <v>144556</v>
      </c>
    </row>
    <row r="474" spans="1:22">
      <c r="A474" s="227">
        <v>95008</v>
      </c>
      <c r="B474" s="228" t="s">
        <v>1185</v>
      </c>
      <c r="C474" s="87">
        <v>1.169E-4</v>
      </c>
      <c r="D474" s="87">
        <v>1.3669999999999999E-4</v>
      </c>
      <c r="E474" s="232">
        <v>50977.440000000002</v>
      </c>
      <c r="F474" s="232">
        <v>61350</v>
      </c>
      <c r="G474" s="232">
        <v>248101</v>
      </c>
      <c r="H474" s="232"/>
      <c r="I474" s="233">
        <v>4661</v>
      </c>
      <c r="J474" s="233">
        <v>217416</v>
      </c>
      <c r="K474" s="233">
        <v>16993</v>
      </c>
      <c r="L474" s="232">
        <v>21945</v>
      </c>
      <c r="M474" s="232"/>
      <c r="N474" s="233">
        <v>8694</v>
      </c>
      <c r="O474" s="233">
        <v>80247</v>
      </c>
      <c r="P474" s="233">
        <v>0</v>
      </c>
      <c r="Q474" s="232">
        <v>8420</v>
      </c>
      <c r="R474" s="233">
        <f t="shared" si="7"/>
        <v>137169</v>
      </c>
      <c r="S474" s="232"/>
      <c r="T474" s="233">
        <v>66314</v>
      </c>
      <c r="U474" s="234">
        <v>7393</v>
      </c>
      <c r="V474" s="234">
        <v>73707</v>
      </c>
    </row>
    <row r="475" spans="1:22">
      <c r="A475" s="227">
        <v>95009</v>
      </c>
      <c r="B475" s="228" t="s">
        <v>1944</v>
      </c>
      <c r="C475" s="87">
        <v>3.9902000000000002E-3</v>
      </c>
      <c r="D475" s="87">
        <v>3.614E-3</v>
      </c>
      <c r="E475" s="232">
        <v>1651705.2100000002</v>
      </c>
      <c r="F475" s="232">
        <v>1621942</v>
      </c>
      <c r="G475" s="232">
        <v>8468541</v>
      </c>
      <c r="H475" s="232"/>
      <c r="I475" s="233">
        <v>159109</v>
      </c>
      <c r="J475" s="233">
        <v>7421142</v>
      </c>
      <c r="K475" s="233">
        <v>580019</v>
      </c>
      <c r="L475" s="232">
        <v>1306132</v>
      </c>
      <c r="M475" s="232"/>
      <c r="N475" s="233">
        <v>296747</v>
      </c>
      <c r="O475" s="233">
        <v>2739105</v>
      </c>
      <c r="P475" s="233">
        <v>0</v>
      </c>
      <c r="Q475" s="232">
        <v>0</v>
      </c>
      <c r="R475" s="233">
        <f t="shared" si="7"/>
        <v>4682037</v>
      </c>
      <c r="S475" s="232"/>
      <c r="T475" s="233">
        <v>2263517</v>
      </c>
      <c r="U475" s="234">
        <v>547444</v>
      </c>
      <c r="V475" s="234">
        <v>2810961</v>
      </c>
    </row>
    <row r="476" spans="1:22">
      <c r="A476" s="227">
        <v>95011</v>
      </c>
      <c r="B476" s="228" t="s">
        <v>1187</v>
      </c>
      <c r="C476" s="87">
        <v>1.707E-4</v>
      </c>
      <c r="D476" s="87">
        <v>1.8760000000000001E-4</v>
      </c>
      <c r="E476" s="232">
        <v>71947.840000000011</v>
      </c>
      <c r="F476" s="232">
        <v>84194</v>
      </c>
      <c r="G476" s="232">
        <v>362283</v>
      </c>
      <c r="H476" s="232"/>
      <c r="I476" s="233">
        <v>6807</v>
      </c>
      <c r="J476" s="233">
        <v>317475</v>
      </c>
      <c r="K476" s="233">
        <v>24813</v>
      </c>
      <c r="L476" s="232">
        <v>0</v>
      </c>
      <c r="M476" s="232"/>
      <c r="N476" s="233">
        <v>12695</v>
      </c>
      <c r="O476" s="233">
        <v>117178</v>
      </c>
      <c r="P476" s="233">
        <v>0</v>
      </c>
      <c r="Q476" s="232">
        <v>13568</v>
      </c>
      <c r="R476" s="233">
        <f t="shared" si="7"/>
        <v>200297</v>
      </c>
      <c r="S476" s="232"/>
      <c r="T476" s="233">
        <v>96833</v>
      </c>
      <c r="U476" s="234">
        <v>-4659</v>
      </c>
      <c r="V476" s="234">
        <v>92174</v>
      </c>
    </row>
    <row r="477" spans="1:22">
      <c r="A477" s="227">
        <v>95017</v>
      </c>
      <c r="B477" s="228" t="s">
        <v>1188</v>
      </c>
      <c r="C477" s="87">
        <v>3.5800000000000003E-5</v>
      </c>
      <c r="D477" s="87">
        <v>3.9900000000000001E-5</v>
      </c>
      <c r="E477" s="232">
        <v>21743.88</v>
      </c>
      <c r="F477" s="232">
        <v>17907</v>
      </c>
      <c r="G477" s="232">
        <v>75980</v>
      </c>
      <c r="H477" s="232"/>
      <c r="I477" s="233">
        <v>1427.5250000000001</v>
      </c>
      <c r="J477" s="233">
        <v>66582</v>
      </c>
      <c r="K477" s="233">
        <v>5204</v>
      </c>
      <c r="L477" s="232">
        <v>20942</v>
      </c>
      <c r="M477" s="232"/>
      <c r="N477" s="233">
        <v>2662</v>
      </c>
      <c r="O477" s="233">
        <v>24575</v>
      </c>
      <c r="P477" s="233">
        <v>0</v>
      </c>
      <c r="Q477" s="232">
        <v>0</v>
      </c>
      <c r="R477" s="233">
        <f t="shared" si="7"/>
        <v>42007</v>
      </c>
      <c r="S477" s="232"/>
      <c r="T477" s="233">
        <v>20308</v>
      </c>
      <c r="U477" s="234">
        <v>7629</v>
      </c>
      <c r="V477" s="234">
        <v>27937</v>
      </c>
    </row>
    <row r="478" spans="1:22">
      <c r="A478" s="227">
        <v>95101</v>
      </c>
      <c r="B478" s="228" t="s">
        <v>1189</v>
      </c>
      <c r="C478" s="87">
        <v>8.0955999999999997E-3</v>
      </c>
      <c r="D478" s="87">
        <v>7.8796000000000005E-3</v>
      </c>
      <c r="E478" s="232">
        <v>3063500.72</v>
      </c>
      <c r="F478" s="232">
        <v>3536317</v>
      </c>
      <c r="G478" s="232">
        <v>17181575</v>
      </c>
      <c r="H478" s="232"/>
      <c r="I478" s="233">
        <v>322812.05</v>
      </c>
      <c r="J478" s="233">
        <v>15056537</v>
      </c>
      <c r="K478" s="233">
        <v>1176785</v>
      </c>
      <c r="L478" s="232">
        <v>77016</v>
      </c>
      <c r="M478" s="232"/>
      <c r="N478" s="233">
        <v>602062</v>
      </c>
      <c r="O478" s="233">
        <v>5557289</v>
      </c>
      <c r="P478" s="233">
        <v>0</v>
      </c>
      <c r="Q478" s="232">
        <v>94065</v>
      </c>
      <c r="R478" s="233">
        <f t="shared" si="7"/>
        <v>9499248</v>
      </c>
      <c r="S478" s="232"/>
      <c r="T478" s="233">
        <v>4592383</v>
      </c>
      <c r="U478" s="234">
        <v>13084</v>
      </c>
      <c r="V478" s="234">
        <v>4605467</v>
      </c>
    </row>
    <row r="479" spans="1:22">
      <c r="A479" s="227">
        <v>95103</v>
      </c>
      <c r="B479" s="228" t="s">
        <v>1190</v>
      </c>
      <c r="C479" s="87">
        <v>6.02E-5</v>
      </c>
      <c r="D479" s="87">
        <v>5.91E-5</v>
      </c>
      <c r="E479" s="232">
        <v>34084.349999999991</v>
      </c>
      <c r="F479" s="232">
        <v>26524</v>
      </c>
      <c r="G479" s="232">
        <v>127765</v>
      </c>
      <c r="H479" s="232"/>
      <c r="I479" s="233">
        <v>2400.4749999999999</v>
      </c>
      <c r="J479" s="233">
        <v>111962</v>
      </c>
      <c r="K479" s="233">
        <v>8751</v>
      </c>
      <c r="L479" s="232">
        <v>41064</v>
      </c>
      <c r="M479" s="232"/>
      <c r="N479" s="233">
        <v>4477</v>
      </c>
      <c r="O479" s="233">
        <v>41325</v>
      </c>
      <c r="P479" s="233">
        <v>0</v>
      </c>
      <c r="Q479" s="232">
        <v>0</v>
      </c>
      <c r="R479" s="233">
        <f t="shared" si="7"/>
        <v>70637</v>
      </c>
      <c r="S479" s="232"/>
      <c r="T479" s="233">
        <v>34150</v>
      </c>
      <c r="U479" s="234">
        <v>17815</v>
      </c>
      <c r="V479" s="234">
        <v>51965</v>
      </c>
    </row>
    <row r="480" spans="1:22">
      <c r="A480" s="227">
        <v>95104</v>
      </c>
      <c r="B480" s="228" t="s">
        <v>1191</v>
      </c>
      <c r="C480" s="87">
        <v>1.011E-4</v>
      </c>
      <c r="D480" s="87">
        <v>1.022E-4</v>
      </c>
      <c r="E480" s="232">
        <v>48495.61</v>
      </c>
      <c r="F480" s="232">
        <v>45867</v>
      </c>
      <c r="G480" s="232">
        <v>214568</v>
      </c>
      <c r="H480" s="232"/>
      <c r="I480" s="233">
        <v>4031</v>
      </c>
      <c r="J480" s="233">
        <v>188030</v>
      </c>
      <c r="K480" s="233">
        <v>14696</v>
      </c>
      <c r="L480" s="232">
        <v>18344</v>
      </c>
      <c r="M480" s="232"/>
      <c r="N480" s="233">
        <v>7519</v>
      </c>
      <c r="O480" s="233">
        <v>69401</v>
      </c>
      <c r="P480" s="233">
        <v>0</v>
      </c>
      <c r="Q480" s="232">
        <v>0</v>
      </c>
      <c r="R480" s="233">
        <f t="shared" si="7"/>
        <v>118629</v>
      </c>
      <c r="S480" s="232"/>
      <c r="T480" s="233">
        <v>57351</v>
      </c>
      <c r="U480" s="234">
        <v>6442</v>
      </c>
      <c r="V480" s="234">
        <v>63793</v>
      </c>
    </row>
    <row r="481" spans="1:22">
      <c r="A481" s="227">
        <v>95105</v>
      </c>
      <c r="B481" s="228" t="s">
        <v>1192</v>
      </c>
      <c r="C481" s="87">
        <v>6.3700000000000003E-5</v>
      </c>
      <c r="D481" s="87">
        <v>6.2199999999999994E-5</v>
      </c>
      <c r="E481" s="232">
        <v>28733.570000000007</v>
      </c>
      <c r="F481" s="232">
        <v>27915</v>
      </c>
      <c r="G481" s="232">
        <v>135193</v>
      </c>
      <c r="H481" s="232"/>
      <c r="I481" s="233">
        <v>2540</v>
      </c>
      <c r="J481" s="233">
        <v>118472</v>
      </c>
      <c r="K481" s="233">
        <v>9259</v>
      </c>
      <c r="L481" s="232">
        <v>9013</v>
      </c>
      <c r="M481" s="232"/>
      <c r="N481" s="233">
        <v>4737</v>
      </c>
      <c r="O481" s="233">
        <v>43727</v>
      </c>
      <c r="P481" s="233">
        <v>0</v>
      </c>
      <c r="Q481" s="232">
        <v>0</v>
      </c>
      <c r="R481" s="233">
        <f t="shared" si="7"/>
        <v>74745</v>
      </c>
      <c r="S481" s="232"/>
      <c r="T481" s="233">
        <v>36135</v>
      </c>
      <c r="U481" s="234">
        <v>3391</v>
      </c>
      <c r="V481" s="234">
        <v>39526</v>
      </c>
    </row>
    <row r="482" spans="1:22">
      <c r="A482" s="227">
        <v>95106</v>
      </c>
      <c r="B482" s="228" t="s">
        <v>1193</v>
      </c>
      <c r="C482" s="87">
        <v>1.3900000000000001E-5</v>
      </c>
      <c r="D482" s="87">
        <v>5.9000000000000003E-6</v>
      </c>
      <c r="E482" s="232">
        <v>4209.76</v>
      </c>
      <c r="F482" s="232">
        <v>2648</v>
      </c>
      <c r="G482" s="232">
        <v>29500</v>
      </c>
      <c r="H482" s="232"/>
      <c r="I482" s="233">
        <v>554</v>
      </c>
      <c r="J482" s="233">
        <v>25852</v>
      </c>
      <c r="K482" s="233">
        <v>2021</v>
      </c>
      <c r="L482" s="232">
        <v>7510</v>
      </c>
      <c r="M482" s="232"/>
      <c r="N482" s="233">
        <v>1034</v>
      </c>
      <c r="O482" s="233">
        <v>9542</v>
      </c>
      <c r="P482" s="233">
        <v>0</v>
      </c>
      <c r="Q482" s="232">
        <v>0</v>
      </c>
      <c r="R482" s="233">
        <f t="shared" si="7"/>
        <v>16310</v>
      </c>
      <c r="S482" s="232"/>
      <c r="T482" s="233">
        <v>7885</v>
      </c>
      <c r="U482" s="234">
        <v>2593</v>
      </c>
      <c r="V482" s="234">
        <v>10478</v>
      </c>
    </row>
    <row r="483" spans="1:22">
      <c r="A483" s="227">
        <v>95110</v>
      </c>
      <c r="B483" s="228" t="s">
        <v>1194</v>
      </c>
      <c r="C483" s="87">
        <v>4.4609000000000003E-3</v>
      </c>
      <c r="D483" s="87">
        <v>5.5170000000000002E-3</v>
      </c>
      <c r="E483" s="232">
        <v>1868606.24</v>
      </c>
      <c r="F483" s="232">
        <v>2475996</v>
      </c>
      <c r="G483" s="232">
        <v>9467524</v>
      </c>
      <c r="H483" s="232"/>
      <c r="I483" s="233">
        <v>177878</v>
      </c>
      <c r="J483" s="233">
        <v>8296569</v>
      </c>
      <c r="K483" s="233">
        <v>648441</v>
      </c>
      <c r="L483" s="232">
        <v>0</v>
      </c>
      <c r="M483" s="232"/>
      <c r="N483" s="233">
        <v>331753</v>
      </c>
      <c r="O483" s="233">
        <v>3062220</v>
      </c>
      <c r="P483" s="233">
        <v>0</v>
      </c>
      <c r="Q483" s="232">
        <v>1586204</v>
      </c>
      <c r="R483" s="233">
        <f t="shared" si="7"/>
        <v>5234349</v>
      </c>
      <c r="S483" s="232"/>
      <c r="T483" s="233">
        <v>2530530</v>
      </c>
      <c r="U483" s="234">
        <v>-606775</v>
      </c>
      <c r="V483" s="234">
        <v>1923756</v>
      </c>
    </row>
    <row r="484" spans="1:22">
      <c r="A484" s="227">
        <v>95111</v>
      </c>
      <c r="B484" s="228" t="s">
        <v>1195</v>
      </c>
      <c r="C484" s="87">
        <v>1.0709000000000001E-3</v>
      </c>
      <c r="D484" s="87">
        <v>1.1418999999999999E-3</v>
      </c>
      <c r="E484" s="232">
        <v>392359.07</v>
      </c>
      <c r="F484" s="232">
        <v>512478</v>
      </c>
      <c r="G484" s="232">
        <v>2272809</v>
      </c>
      <c r="H484" s="232"/>
      <c r="I484" s="233">
        <v>42702</v>
      </c>
      <c r="J484" s="233">
        <v>1991705</v>
      </c>
      <c r="K484" s="233">
        <v>155667</v>
      </c>
      <c r="L484" s="232">
        <v>0</v>
      </c>
      <c r="M484" s="232"/>
      <c r="N484" s="233">
        <v>79642</v>
      </c>
      <c r="O484" s="233">
        <v>735128</v>
      </c>
      <c r="P484" s="233">
        <v>0</v>
      </c>
      <c r="Q484" s="232">
        <v>161003</v>
      </c>
      <c r="R484" s="233">
        <f t="shared" si="7"/>
        <v>1256577</v>
      </c>
      <c r="S484" s="232"/>
      <c r="T484" s="233">
        <v>607488</v>
      </c>
      <c r="U484" s="234">
        <v>-55722</v>
      </c>
      <c r="V484" s="234">
        <v>551766</v>
      </c>
    </row>
    <row r="485" spans="1:22">
      <c r="A485" s="227">
        <v>95113</v>
      </c>
      <c r="B485" s="228" t="s">
        <v>1196</v>
      </c>
      <c r="C485" s="87">
        <v>4.7500000000000003E-5</v>
      </c>
      <c r="D485" s="87">
        <v>4.4299999999999999E-5</v>
      </c>
      <c r="E485" s="232">
        <v>62344.110000000008</v>
      </c>
      <c r="F485" s="232">
        <v>19882</v>
      </c>
      <c r="G485" s="232">
        <v>100811</v>
      </c>
      <c r="H485" s="232"/>
      <c r="I485" s="233">
        <v>1894.0625</v>
      </c>
      <c r="J485" s="233">
        <v>88342</v>
      </c>
      <c r="K485" s="233">
        <v>6905</v>
      </c>
      <c r="L485" s="232">
        <v>69845</v>
      </c>
      <c r="M485" s="232"/>
      <c r="N485" s="233">
        <v>3533</v>
      </c>
      <c r="O485" s="233">
        <v>32607</v>
      </c>
      <c r="P485" s="233">
        <v>0</v>
      </c>
      <c r="Q485" s="232">
        <v>0</v>
      </c>
      <c r="R485" s="233">
        <f t="shared" si="7"/>
        <v>55735</v>
      </c>
      <c r="S485" s="232"/>
      <c r="T485" s="233">
        <v>26945</v>
      </c>
      <c r="U485" s="234">
        <v>22543</v>
      </c>
      <c r="V485" s="234">
        <v>49489</v>
      </c>
    </row>
    <row r="486" spans="1:22">
      <c r="A486" s="227">
        <v>95121</v>
      </c>
      <c r="B486" s="228" t="s">
        <v>1197</v>
      </c>
      <c r="C486" s="87">
        <v>4.9580000000000002E-4</v>
      </c>
      <c r="D486" s="87">
        <v>4.7540000000000001E-4</v>
      </c>
      <c r="E486" s="232">
        <v>201528.43</v>
      </c>
      <c r="F486" s="232">
        <v>213357</v>
      </c>
      <c r="G486" s="232">
        <v>1052254</v>
      </c>
      <c r="H486" s="232"/>
      <c r="I486" s="233">
        <v>19770</v>
      </c>
      <c r="J486" s="233">
        <v>922110</v>
      </c>
      <c r="K486" s="233">
        <v>72070</v>
      </c>
      <c r="L486" s="232">
        <v>18227</v>
      </c>
      <c r="M486" s="232"/>
      <c r="N486" s="233">
        <v>36872</v>
      </c>
      <c r="O486" s="233">
        <v>340346</v>
      </c>
      <c r="P486" s="233">
        <v>0</v>
      </c>
      <c r="Q486" s="232">
        <v>25446.13</v>
      </c>
      <c r="R486" s="233">
        <f t="shared" si="7"/>
        <v>581764</v>
      </c>
      <c r="S486" s="232"/>
      <c r="T486" s="233">
        <v>281252</v>
      </c>
      <c r="U486" s="234">
        <v>-7200</v>
      </c>
      <c r="V486" s="234">
        <v>274052</v>
      </c>
    </row>
    <row r="487" spans="1:22">
      <c r="A487" s="227">
        <v>95122</v>
      </c>
      <c r="B487" s="228" t="s">
        <v>1198</v>
      </c>
      <c r="C487" s="87">
        <v>2.7999999999999999E-6</v>
      </c>
      <c r="D487" s="87">
        <v>3.3000000000000002E-6</v>
      </c>
      <c r="E487" s="232">
        <v>2740.07</v>
      </c>
      <c r="F487" s="232">
        <v>1481</v>
      </c>
      <c r="G487" s="232">
        <v>5943</v>
      </c>
      <c r="H487" s="232"/>
      <c r="I487" s="233">
        <v>112</v>
      </c>
      <c r="J487" s="233">
        <v>5208</v>
      </c>
      <c r="K487" s="233">
        <v>407</v>
      </c>
      <c r="L487" s="232">
        <v>1558</v>
      </c>
      <c r="M487" s="232"/>
      <c r="N487" s="233">
        <v>208</v>
      </c>
      <c r="O487" s="233">
        <v>1922</v>
      </c>
      <c r="P487" s="233">
        <v>0</v>
      </c>
      <c r="Q487" s="232">
        <v>0</v>
      </c>
      <c r="R487" s="233">
        <f t="shared" si="7"/>
        <v>3286</v>
      </c>
      <c r="S487" s="232"/>
      <c r="T487" s="233">
        <v>1588</v>
      </c>
      <c r="U487" s="234">
        <v>459</v>
      </c>
      <c r="V487" s="234">
        <v>2048</v>
      </c>
    </row>
    <row r="488" spans="1:22">
      <c r="A488" s="227">
        <v>95123</v>
      </c>
      <c r="B488" s="228" t="s">
        <v>1199</v>
      </c>
      <c r="C488" s="87">
        <v>5.6700000000000003E-5</v>
      </c>
      <c r="D488" s="87">
        <v>5.1199999999999998E-5</v>
      </c>
      <c r="E488" s="232">
        <v>25666.18</v>
      </c>
      <c r="F488" s="232">
        <v>22978</v>
      </c>
      <c r="G488" s="232">
        <v>120336</v>
      </c>
      <c r="H488" s="232"/>
      <c r="I488" s="233">
        <v>2261</v>
      </c>
      <c r="J488" s="233">
        <v>105453</v>
      </c>
      <c r="K488" s="233">
        <v>8242</v>
      </c>
      <c r="L488" s="232">
        <v>8689</v>
      </c>
      <c r="M488" s="232"/>
      <c r="N488" s="233">
        <v>4217</v>
      </c>
      <c r="O488" s="233">
        <v>38922</v>
      </c>
      <c r="P488" s="233">
        <v>0</v>
      </c>
      <c r="Q488" s="232">
        <v>2933.26</v>
      </c>
      <c r="R488" s="233">
        <f t="shared" si="7"/>
        <v>66531</v>
      </c>
      <c r="S488" s="232"/>
      <c r="T488" s="233">
        <v>32164</v>
      </c>
      <c r="U488" s="234">
        <v>1144</v>
      </c>
      <c r="V488" s="234">
        <v>33309</v>
      </c>
    </row>
    <row r="489" spans="1:22">
      <c r="A489" s="227">
        <v>95131</v>
      </c>
      <c r="B489" s="228" t="s">
        <v>1200</v>
      </c>
      <c r="C489" s="87">
        <v>1.5451E-3</v>
      </c>
      <c r="D489" s="87">
        <v>1.4713E-3</v>
      </c>
      <c r="E489" s="232">
        <v>607661.46</v>
      </c>
      <c r="F489" s="232">
        <v>660311</v>
      </c>
      <c r="G489" s="232">
        <v>3279220</v>
      </c>
      <c r="H489" s="232"/>
      <c r="I489" s="233">
        <v>61611</v>
      </c>
      <c r="J489" s="233">
        <v>2873642</v>
      </c>
      <c r="K489" s="233">
        <v>224597</v>
      </c>
      <c r="L489" s="232">
        <v>53573</v>
      </c>
      <c r="M489" s="232"/>
      <c r="N489" s="233">
        <v>114908</v>
      </c>
      <c r="O489" s="233">
        <v>1060646</v>
      </c>
      <c r="P489" s="233">
        <v>0</v>
      </c>
      <c r="Q489" s="232">
        <v>1701</v>
      </c>
      <c r="R489" s="233">
        <f t="shared" si="7"/>
        <v>1812996</v>
      </c>
      <c r="S489" s="232"/>
      <c r="T489" s="233">
        <v>876487</v>
      </c>
      <c r="U489" s="234">
        <v>16429</v>
      </c>
      <c r="V489" s="234">
        <v>892916</v>
      </c>
    </row>
    <row r="490" spans="1:22">
      <c r="A490" s="227">
        <v>95141</v>
      </c>
      <c r="B490" s="228" t="s">
        <v>1201</v>
      </c>
      <c r="C490" s="87">
        <v>3.1819999999999998E-4</v>
      </c>
      <c r="D490" s="87">
        <v>2.99E-4</v>
      </c>
      <c r="E490" s="232">
        <v>115455.16</v>
      </c>
      <c r="F490" s="232">
        <v>134189</v>
      </c>
      <c r="G490" s="232">
        <v>675327</v>
      </c>
      <c r="H490" s="232"/>
      <c r="I490" s="233">
        <v>12688</v>
      </c>
      <c r="J490" s="233">
        <v>591802</v>
      </c>
      <c r="K490" s="233">
        <v>46254</v>
      </c>
      <c r="L490" s="232">
        <v>2515.36</v>
      </c>
      <c r="M490" s="232"/>
      <c r="N490" s="233">
        <v>23664</v>
      </c>
      <c r="O490" s="233">
        <v>218431</v>
      </c>
      <c r="P490" s="233">
        <v>0</v>
      </c>
      <c r="Q490" s="232">
        <v>28114</v>
      </c>
      <c r="R490" s="233">
        <f t="shared" si="7"/>
        <v>373371</v>
      </c>
      <c r="S490" s="232"/>
      <c r="T490" s="233">
        <v>180505</v>
      </c>
      <c r="U490" s="234">
        <v>-8530</v>
      </c>
      <c r="V490" s="234">
        <v>171975</v>
      </c>
    </row>
    <row r="491" spans="1:22">
      <c r="A491" s="227">
        <v>95151</v>
      </c>
      <c r="B491" s="228" t="s">
        <v>1202</v>
      </c>
      <c r="C491" s="87">
        <v>1.158E-4</v>
      </c>
      <c r="D491" s="87">
        <v>1.05E-4</v>
      </c>
      <c r="E491" s="232">
        <v>39583.1</v>
      </c>
      <c r="F491" s="232">
        <v>47123.37</v>
      </c>
      <c r="G491" s="232">
        <v>245766</v>
      </c>
      <c r="H491" s="232"/>
      <c r="I491" s="233">
        <v>4618</v>
      </c>
      <c r="J491" s="233">
        <v>215370</v>
      </c>
      <c r="K491" s="233">
        <v>16833</v>
      </c>
      <c r="L491" s="232">
        <v>732.32</v>
      </c>
      <c r="M491" s="232"/>
      <c r="N491" s="233">
        <v>8612</v>
      </c>
      <c r="O491" s="233">
        <v>79492</v>
      </c>
      <c r="P491" s="233">
        <v>0</v>
      </c>
      <c r="Q491" s="232">
        <v>5502</v>
      </c>
      <c r="R491" s="233">
        <f t="shared" si="7"/>
        <v>135878</v>
      </c>
      <c r="S491" s="232"/>
      <c r="T491" s="233">
        <v>65690</v>
      </c>
      <c r="U491" s="234">
        <v>-1532</v>
      </c>
      <c r="V491" s="234">
        <v>64158</v>
      </c>
    </row>
    <row r="492" spans="1:22">
      <c r="A492" s="227">
        <v>95161</v>
      </c>
      <c r="B492" s="228" t="s">
        <v>1203</v>
      </c>
      <c r="C492" s="87">
        <v>7.4800000000000002E-5</v>
      </c>
      <c r="D492" s="87">
        <v>7.0599999999999995E-5</v>
      </c>
      <c r="E492" s="232">
        <v>34991.979999999996</v>
      </c>
      <c r="F492" s="232">
        <v>31685</v>
      </c>
      <c r="G492" s="232">
        <v>158751</v>
      </c>
      <c r="H492" s="232"/>
      <c r="I492" s="233">
        <v>2982.65</v>
      </c>
      <c r="J492" s="233">
        <v>139116</v>
      </c>
      <c r="K492" s="233">
        <v>10873</v>
      </c>
      <c r="L492" s="232">
        <v>6290</v>
      </c>
      <c r="M492" s="232"/>
      <c r="N492" s="233">
        <v>5563</v>
      </c>
      <c r="O492" s="233">
        <v>51347</v>
      </c>
      <c r="P492" s="233">
        <v>0</v>
      </c>
      <c r="Q492" s="232">
        <v>2096</v>
      </c>
      <c r="R492" s="233">
        <f t="shared" si="7"/>
        <v>87769</v>
      </c>
      <c r="S492" s="232"/>
      <c r="T492" s="233">
        <v>42432</v>
      </c>
      <c r="U492" s="234">
        <v>1046</v>
      </c>
      <c r="V492" s="234">
        <v>43477</v>
      </c>
    </row>
    <row r="493" spans="1:22">
      <c r="A493" s="227">
        <v>95171</v>
      </c>
      <c r="B493" s="228" t="s">
        <v>1204</v>
      </c>
      <c r="C493" s="87">
        <v>1.2300000000000001E-4</v>
      </c>
      <c r="D493" s="87">
        <v>1.2740000000000001E-4</v>
      </c>
      <c r="E493" s="232">
        <v>48393.279999999999</v>
      </c>
      <c r="F493" s="232">
        <v>57176</v>
      </c>
      <c r="G493" s="232">
        <v>261047</v>
      </c>
      <c r="H493" s="232"/>
      <c r="I493" s="233">
        <v>4904.625</v>
      </c>
      <c r="J493" s="233">
        <v>228761</v>
      </c>
      <c r="K493" s="233">
        <v>17879</v>
      </c>
      <c r="L493" s="232">
        <v>10389</v>
      </c>
      <c r="M493" s="232"/>
      <c r="N493" s="233">
        <v>9147</v>
      </c>
      <c r="O493" s="233">
        <v>84434</v>
      </c>
      <c r="P493" s="233">
        <v>0</v>
      </c>
      <c r="Q493" s="232">
        <v>12793</v>
      </c>
      <c r="R493" s="233">
        <f t="shared" si="7"/>
        <v>144327</v>
      </c>
      <c r="S493" s="232"/>
      <c r="T493" s="233">
        <v>69774</v>
      </c>
      <c r="U493" s="234">
        <v>-1741</v>
      </c>
      <c r="V493" s="234">
        <v>68033</v>
      </c>
    </row>
    <row r="494" spans="1:22">
      <c r="A494" s="227">
        <v>95181</v>
      </c>
      <c r="B494" s="228" t="s">
        <v>1205</v>
      </c>
      <c r="C494" s="87">
        <v>7.7899999999999996E-5</v>
      </c>
      <c r="D494" s="87">
        <v>8.0400000000000003E-5</v>
      </c>
      <c r="E494" s="232">
        <v>26254.759999999995</v>
      </c>
      <c r="F494" s="232">
        <v>36083</v>
      </c>
      <c r="G494" s="232">
        <v>165330</v>
      </c>
      <c r="H494" s="232"/>
      <c r="I494" s="233">
        <v>3106</v>
      </c>
      <c r="J494" s="233">
        <v>144882</v>
      </c>
      <c r="K494" s="233">
        <v>11324</v>
      </c>
      <c r="L494" s="232">
        <v>1657</v>
      </c>
      <c r="M494" s="232"/>
      <c r="N494" s="233">
        <v>5793</v>
      </c>
      <c r="O494" s="233">
        <v>53475</v>
      </c>
      <c r="P494" s="233">
        <v>0</v>
      </c>
      <c r="Q494" s="232">
        <v>6539</v>
      </c>
      <c r="R494" s="233">
        <f t="shared" si="7"/>
        <v>91407</v>
      </c>
      <c r="S494" s="232"/>
      <c r="T494" s="233">
        <v>44190</v>
      </c>
      <c r="U494" s="234">
        <v>-1251</v>
      </c>
      <c r="V494" s="234">
        <v>42939</v>
      </c>
    </row>
    <row r="495" spans="1:22">
      <c r="A495" s="227">
        <v>95191</v>
      </c>
      <c r="B495" s="228" t="s">
        <v>1206</v>
      </c>
      <c r="C495" s="87">
        <v>5.3999999999999998E-5</v>
      </c>
      <c r="D495" s="87">
        <v>7.9099999999999998E-5</v>
      </c>
      <c r="E495" s="232">
        <v>30331.53</v>
      </c>
      <c r="F495" s="232">
        <v>35500</v>
      </c>
      <c r="G495" s="232">
        <v>114606.09</v>
      </c>
      <c r="H495" s="232"/>
      <c r="I495" s="233">
        <v>2153.25</v>
      </c>
      <c r="J495" s="233">
        <v>100431</v>
      </c>
      <c r="K495" s="233">
        <v>7849</v>
      </c>
      <c r="L495" s="232">
        <v>12291</v>
      </c>
      <c r="M495" s="232"/>
      <c r="N495" s="233">
        <v>4016</v>
      </c>
      <c r="O495" s="233">
        <v>37069</v>
      </c>
      <c r="P495" s="233">
        <v>0</v>
      </c>
      <c r="Q495" s="232">
        <v>7144</v>
      </c>
      <c r="R495" s="233">
        <f t="shared" si="7"/>
        <v>63362</v>
      </c>
      <c r="S495" s="232"/>
      <c r="T495" s="233">
        <v>30633</v>
      </c>
      <c r="U495" s="234">
        <v>3134</v>
      </c>
      <c r="V495" s="234">
        <v>33767</v>
      </c>
    </row>
    <row r="496" spans="1:22">
      <c r="A496" s="227">
        <v>95201</v>
      </c>
      <c r="B496" s="228" t="s">
        <v>1207</v>
      </c>
      <c r="C496" s="87">
        <v>6.8329999999999997E-4</v>
      </c>
      <c r="D496" s="87">
        <v>6.3000000000000003E-4</v>
      </c>
      <c r="E496" s="232">
        <v>255294.02999999994</v>
      </c>
      <c r="F496" s="232">
        <v>282740</v>
      </c>
      <c r="G496" s="232">
        <v>1450192</v>
      </c>
      <c r="H496" s="232"/>
      <c r="I496" s="233">
        <v>27247</v>
      </c>
      <c r="J496" s="233">
        <v>1270830</v>
      </c>
      <c r="K496" s="233">
        <v>99325</v>
      </c>
      <c r="L496" s="232">
        <v>8455</v>
      </c>
      <c r="M496" s="232"/>
      <c r="N496" s="233">
        <v>50816</v>
      </c>
      <c r="O496" s="233">
        <v>469057</v>
      </c>
      <c r="P496" s="233">
        <v>0</v>
      </c>
      <c r="Q496" s="232">
        <v>33064</v>
      </c>
      <c r="R496" s="233">
        <f t="shared" si="7"/>
        <v>801773</v>
      </c>
      <c r="S496" s="232"/>
      <c r="T496" s="233">
        <v>387615</v>
      </c>
      <c r="U496" s="234">
        <v>-9716</v>
      </c>
      <c r="V496" s="234">
        <v>377899</v>
      </c>
    </row>
    <row r="497" spans="1:22">
      <c r="A497" s="227">
        <v>95204</v>
      </c>
      <c r="B497" s="228" t="s">
        <v>1208</v>
      </c>
      <c r="C497" s="87">
        <v>1.1600000000000001E-5</v>
      </c>
      <c r="D497" s="87">
        <v>1.49E-5</v>
      </c>
      <c r="E497" s="232">
        <v>6020.3799999999992</v>
      </c>
      <c r="F497" s="232">
        <v>6687</v>
      </c>
      <c r="G497" s="232">
        <v>24619</v>
      </c>
      <c r="H497" s="232"/>
      <c r="I497" s="233">
        <v>462.55</v>
      </c>
      <c r="J497" s="233">
        <v>21574</v>
      </c>
      <c r="K497" s="233">
        <v>1686</v>
      </c>
      <c r="L497" s="232">
        <v>0</v>
      </c>
      <c r="M497" s="232"/>
      <c r="N497" s="233">
        <v>863</v>
      </c>
      <c r="O497" s="233">
        <v>7963</v>
      </c>
      <c r="P497" s="233">
        <v>0</v>
      </c>
      <c r="Q497" s="232">
        <v>1794</v>
      </c>
      <c r="R497" s="233">
        <f t="shared" si="7"/>
        <v>13611</v>
      </c>
      <c r="S497" s="232"/>
      <c r="T497" s="233">
        <v>6580</v>
      </c>
      <c r="U497" s="234">
        <v>-651</v>
      </c>
      <c r="V497" s="234">
        <v>5930</v>
      </c>
    </row>
    <row r="498" spans="1:22">
      <c r="A498" s="227">
        <v>95205</v>
      </c>
      <c r="B498" s="228" t="s">
        <v>1209</v>
      </c>
      <c r="C498" s="87">
        <v>4.7999999999999998E-6</v>
      </c>
      <c r="D498" s="87">
        <v>5.0000000000000004E-6</v>
      </c>
      <c r="E498" s="232">
        <v>2440.6799999999994</v>
      </c>
      <c r="F498" s="232">
        <v>2244</v>
      </c>
      <c r="G498" s="232">
        <v>10187</v>
      </c>
      <c r="H498" s="232"/>
      <c r="I498" s="233">
        <v>191</v>
      </c>
      <c r="J498" s="233">
        <v>8927</v>
      </c>
      <c r="K498" s="233">
        <v>698</v>
      </c>
      <c r="L498" s="232">
        <v>779</v>
      </c>
      <c r="M498" s="232"/>
      <c r="N498" s="233">
        <v>357</v>
      </c>
      <c r="O498" s="233">
        <v>3295</v>
      </c>
      <c r="P498" s="233">
        <v>0</v>
      </c>
      <c r="Q498" s="232">
        <v>0</v>
      </c>
      <c r="R498" s="233">
        <f t="shared" si="7"/>
        <v>5632</v>
      </c>
      <c r="S498" s="232"/>
      <c r="T498" s="233">
        <v>2723</v>
      </c>
      <c r="U498" s="234">
        <v>284</v>
      </c>
      <c r="V498" s="234">
        <v>3007</v>
      </c>
    </row>
    <row r="499" spans="1:22">
      <c r="A499" s="227">
        <v>95211</v>
      </c>
      <c r="B499" s="228" t="s">
        <v>1210</v>
      </c>
      <c r="C499" s="87">
        <v>9.2E-6</v>
      </c>
      <c r="D499" s="87">
        <v>5.9000000000000003E-6</v>
      </c>
      <c r="E499" s="232">
        <v>4004.9900000000002</v>
      </c>
      <c r="F499" s="232">
        <v>2648</v>
      </c>
      <c r="G499" s="232">
        <v>19525</v>
      </c>
      <c r="H499" s="232"/>
      <c r="I499" s="233">
        <v>366.85</v>
      </c>
      <c r="J499" s="233">
        <v>17111</v>
      </c>
      <c r="K499" s="233">
        <v>1337</v>
      </c>
      <c r="L499" s="232">
        <v>1964</v>
      </c>
      <c r="M499" s="232"/>
      <c r="N499" s="233">
        <v>684</v>
      </c>
      <c r="O499" s="233">
        <v>6315</v>
      </c>
      <c r="P499" s="233">
        <v>0</v>
      </c>
      <c r="Q499" s="232">
        <v>1957</v>
      </c>
      <c r="R499" s="233">
        <f t="shared" si="7"/>
        <v>10796</v>
      </c>
      <c r="S499" s="232"/>
      <c r="T499" s="233">
        <v>5219</v>
      </c>
      <c r="U499" s="234">
        <v>-462</v>
      </c>
      <c r="V499" s="234">
        <v>4757</v>
      </c>
    </row>
    <row r="500" spans="1:22">
      <c r="A500" s="227">
        <v>95221</v>
      </c>
      <c r="B500" s="228" t="s">
        <v>1211</v>
      </c>
      <c r="C500" s="87">
        <v>1.6900000000000001E-5</v>
      </c>
      <c r="D500" s="87">
        <v>4.5099999999999998E-5</v>
      </c>
      <c r="E500" s="232">
        <v>14058.05</v>
      </c>
      <c r="F500" s="232">
        <v>20241</v>
      </c>
      <c r="G500" s="232">
        <v>35867</v>
      </c>
      <c r="H500" s="232"/>
      <c r="I500" s="233">
        <v>673.88750000000005</v>
      </c>
      <c r="J500" s="233">
        <v>31431</v>
      </c>
      <c r="K500" s="233">
        <v>2457</v>
      </c>
      <c r="L500" s="232">
        <v>5443</v>
      </c>
      <c r="M500" s="232"/>
      <c r="N500" s="233">
        <v>1257</v>
      </c>
      <c r="O500" s="233">
        <v>11601</v>
      </c>
      <c r="P500" s="233">
        <v>0</v>
      </c>
      <c r="Q500" s="232">
        <v>16082</v>
      </c>
      <c r="R500" s="233">
        <f t="shared" si="7"/>
        <v>19830</v>
      </c>
      <c r="S500" s="232"/>
      <c r="T500" s="233">
        <v>9587</v>
      </c>
      <c r="U500" s="234">
        <v>-2048</v>
      </c>
      <c r="V500" s="234">
        <v>7539</v>
      </c>
    </row>
    <row r="501" spans="1:22">
      <c r="A501" s="227">
        <v>95301</v>
      </c>
      <c r="B501" s="228" t="s">
        <v>1212</v>
      </c>
      <c r="C501" s="87">
        <v>2.4063999999999999E-3</v>
      </c>
      <c r="D501" s="87">
        <v>2.3544E-3</v>
      </c>
      <c r="E501" s="232">
        <v>972445.58999999973</v>
      </c>
      <c r="F501" s="232">
        <v>1056641</v>
      </c>
      <c r="G501" s="232">
        <v>5107187</v>
      </c>
      <c r="H501" s="232"/>
      <c r="I501" s="233">
        <v>95955.199999999997</v>
      </c>
      <c r="J501" s="233">
        <v>4475524</v>
      </c>
      <c r="K501" s="233">
        <v>349797</v>
      </c>
      <c r="L501" s="232">
        <v>72796</v>
      </c>
      <c r="M501" s="232"/>
      <c r="N501" s="233">
        <v>178962</v>
      </c>
      <c r="O501" s="233">
        <v>1651893</v>
      </c>
      <c r="P501" s="233">
        <v>0</v>
      </c>
      <c r="Q501" s="232">
        <v>22569</v>
      </c>
      <c r="R501" s="233">
        <f t="shared" si="7"/>
        <v>2823631</v>
      </c>
      <c r="S501" s="232"/>
      <c r="T501" s="233">
        <v>1365076</v>
      </c>
      <c r="U501" s="234">
        <v>13085</v>
      </c>
      <c r="V501" s="234">
        <v>1378161</v>
      </c>
    </row>
    <row r="502" spans="1:22">
      <c r="A502" s="227">
        <v>95311</v>
      </c>
      <c r="B502" s="228" t="s">
        <v>1213</v>
      </c>
      <c r="C502" s="87">
        <v>2.6841999999999999E-3</v>
      </c>
      <c r="D502" s="87">
        <v>2.9946E-3</v>
      </c>
      <c r="E502" s="232">
        <v>1161820.17</v>
      </c>
      <c r="F502" s="232">
        <v>1343959</v>
      </c>
      <c r="G502" s="232">
        <v>5696772</v>
      </c>
      <c r="H502" s="232"/>
      <c r="I502" s="233">
        <v>107032</v>
      </c>
      <c r="J502" s="233">
        <v>4992188</v>
      </c>
      <c r="K502" s="233">
        <v>390178</v>
      </c>
      <c r="L502" s="232">
        <v>8404</v>
      </c>
      <c r="M502" s="232"/>
      <c r="N502" s="233">
        <v>199621</v>
      </c>
      <c r="O502" s="233">
        <v>1842591</v>
      </c>
      <c r="P502" s="233">
        <v>0</v>
      </c>
      <c r="Q502" s="232">
        <v>175770</v>
      </c>
      <c r="R502" s="233">
        <f t="shared" si="7"/>
        <v>3149597</v>
      </c>
      <c r="S502" s="232"/>
      <c r="T502" s="233">
        <v>1522663</v>
      </c>
      <c r="U502" s="234">
        <v>-55618</v>
      </c>
      <c r="V502" s="234">
        <v>1467045</v>
      </c>
    </row>
    <row r="503" spans="1:22">
      <c r="A503" s="227">
        <v>95317</v>
      </c>
      <c r="B503" s="228" t="s">
        <v>1214</v>
      </c>
      <c r="C503" s="87">
        <v>5.1400000000000003E-5</v>
      </c>
      <c r="D503" s="87">
        <v>5.3900000000000002E-5</v>
      </c>
      <c r="E503" s="232">
        <v>25005.010000000002</v>
      </c>
      <c r="F503" s="232">
        <v>24190</v>
      </c>
      <c r="G503" s="232">
        <v>109088</v>
      </c>
      <c r="H503" s="232"/>
      <c r="I503" s="233">
        <v>2050</v>
      </c>
      <c r="J503" s="233">
        <v>95596</v>
      </c>
      <c r="K503" s="233">
        <v>7472</v>
      </c>
      <c r="L503" s="232">
        <v>5874</v>
      </c>
      <c r="M503" s="232"/>
      <c r="N503" s="233">
        <v>3823</v>
      </c>
      <c r="O503" s="233">
        <v>35284</v>
      </c>
      <c r="P503" s="233">
        <v>0</v>
      </c>
      <c r="Q503" s="232">
        <v>75.62</v>
      </c>
      <c r="R503" s="233">
        <f t="shared" si="7"/>
        <v>60312</v>
      </c>
      <c r="S503" s="232"/>
      <c r="T503" s="233">
        <v>29158</v>
      </c>
      <c r="U503" s="234">
        <v>1881</v>
      </c>
      <c r="V503" s="234">
        <v>31039</v>
      </c>
    </row>
    <row r="504" spans="1:22">
      <c r="A504" s="227">
        <v>95321</v>
      </c>
      <c r="B504" s="228" t="s">
        <v>1215</v>
      </c>
      <c r="C504" s="87">
        <v>5.7000000000000003E-5</v>
      </c>
      <c r="D504" s="87">
        <v>5.6499999999999998E-5</v>
      </c>
      <c r="E504" s="232">
        <v>24286.95</v>
      </c>
      <c r="F504" s="232">
        <v>25357</v>
      </c>
      <c r="G504" s="232">
        <v>120973</v>
      </c>
      <c r="H504" s="232"/>
      <c r="I504" s="233">
        <v>2272.875</v>
      </c>
      <c r="J504" s="233">
        <v>106011</v>
      </c>
      <c r="K504" s="233">
        <v>8286</v>
      </c>
      <c r="L504" s="232">
        <v>4716</v>
      </c>
      <c r="M504" s="232"/>
      <c r="N504" s="233">
        <v>4239</v>
      </c>
      <c r="O504" s="233">
        <v>39128</v>
      </c>
      <c r="P504" s="233">
        <v>0</v>
      </c>
      <c r="Q504" s="232">
        <v>0</v>
      </c>
      <c r="R504" s="233">
        <f t="shared" si="7"/>
        <v>66883</v>
      </c>
      <c r="S504" s="232"/>
      <c r="T504" s="233">
        <v>32334</v>
      </c>
      <c r="U504" s="234">
        <v>1628</v>
      </c>
      <c r="V504" s="234">
        <v>33963</v>
      </c>
    </row>
    <row r="505" spans="1:22">
      <c r="A505" s="227">
        <v>95401</v>
      </c>
      <c r="B505" s="228" t="s">
        <v>1216</v>
      </c>
      <c r="C505" s="87">
        <v>2.9979999999999998E-3</v>
      </c>
      <c r="D505" s="87">
        <v>2.8663999999999999E-3</v>
      </c>
      <c r="E505" s="232">
        <v>1170186.01</v>
      </c>
      <c r="F505" s="232">
        <v>1286423</v>
      </c>
      <c r="G505" s="232">
        <v>6362760</v>
      </c>
      <c r="H505" s="232"/>
      <c r="I505" s="233">
        <v>119545</v>
      </c>
      <c r="J505" s="233">
        <v>5575806</v>
      </c>
      <c r="K505" s="233">
        <v>435792</v>
      </c>
      <c r="L505" s="232">
        <v>42759</v>
      </c>
      <c r="M505" s="232"/>
      <c r="N505" s="233">
        <v>222958</v>
      </c>
      <c r="O505" s="233">
        <v>2058001</v>
      </c>
      <c r="P505" s="233">
        <v>0</v>
      </c>
      <c r="Q505" s="232">
        <v>0</v>
      </c>
      <c r="R505" s="233">
        <f t="shared" si="7"/>
        <v>3517805</v>
      </c>
      <c r="S505" s="232"/>
      <c r="T505" s="233">
        <v>1700672</v>
      </c>
      <c r="U505" s="234">
        <v>15064</v>
      </c>
      <c r="V505" s="234">
        <v>1715737</v>
      </c>
    </row>
    <row r="506" spans="1:22">
      <c r="A506" s="227">
        <v>95404</v>
      </c>
      <c r="B506" s="228" t="s">
        <v>1217</v>
      </c>
      <c r="C506" s="87">
        <v>4.9799999999999998E-5</v>
      </c>
      <c r="D506" s="87">
        <v>3.4999999999999997E-5</v>
      </c>
      <c r="E506" s="232">
        <v>17581.860000000004</v>
      </c>
      <c r="F506" s="232">
        <v>15708</v>
      </c>
      <c r="G506" s="232">
        <v>105692</v>
      </c>
      <c r="H506" s="232"/>
      <c r="I506" s="233">
        <v>1986</v>
      </c>
      <c r="J506" s="233">
        <v>92620</v>
      </c>
      <c r="K506" s="233">
        <v>7239</v>
      </c>
      <c r="L506" s="232">
        <v>6596</v>
      </c>
      <c r="M506" s="232"/>
      <c r="N506" s="233">
        <v>3704</v>
      </c>
      <c r="O506" s="233">
        <v>34186</v>
      </c>
      <c r="P506" s="233">
        <v>0</v>
      </c>
      <c r="Q506" s="232">
        <v>0</v>
      </c>
      <c r="R506" s="233">
        <f t="shared" si="7"/>
        <v>58434</v>
      </c>
      <c r="S506" s="232"/>
      <c r="T506" s="233">
        <v>28250</v>
      </c>
      <c r="U506" s="234">
        <v>1847</v>
      </c>
      <c r="V506" s="234">
        <v>30097</v>
      </c>
    </row>
    <row r="507" spans="1:22">
      <c r="A507" s="227">
        <v>95405</v>
      </c>
      <c r="B507" s="228" t="s">
        <v>1218</v>
      </c>
      <c r="C507" s="87">
        <v>1.84E-5</v>
      </c>
      <c r="D507" s="87">
        <v>1.7E-5</v>
      </c>
      <c r="E507" s="232">
        <v>15271.409999999998</v>
      </c>
      <c r="F507" s="232">
        <v>7629</v>
      </c>
      <c r="G507" s="232">
        <v>39051</v>
      </c>
      <c r="H507" s="232"/>
      <c r="I507" s="233">
        <v>733.7</v>
      </c>
      <c r="J507" s="233">
        <v>34221</v>
      </c>
      <c r="K507" s="233">
        <v>2675</v>
      </c>
      <c r="L507" s="232">
        <v>12414</v>
      </c>
      <c r="M507" s="232"/>
      <c r="N507" s="233">
        <v>1368</v>
      </c>
      <c r="O507" s="233">
        <v>12631</v>
      </c>
      <c r="P507" s="233">
        <v>0</v>
      </c>
      <c r="Q507" s="232">
        <v>0</v>
      </c>
      <c r="R507" s="233">
        <f t="shared" si="7"/>
        <v>21590</v>
      </c>
      <c r="S507" s="232"/>
      <c r="T507" s="233">
        <v>10438</v>
      </c>
      <c r="U507" s="234">
        <v>3754</v>
      </c>
      <c r="V507" s="234">
        <v>14192</v>
      </c>
    </row>
    <row r="508" spans="1:22">
      <c r="A508" s="227">
        <v>95411</v>
      </c>
      <c r="B508" s="228" t="s">
        <v>1219</v>
      </c>
      <c r="C508" s="87">
        <v>2.3272000000000002E-3</v>
      </c>
      <c r="D508" s="87">
        <v>2.3019E-3</v>
      </c>
      <c r="E508" s="232">
        <v>960133.56999999983</v>
      </c>
      <c r="F508" s="232">
        <v>1033079</v>
      </c>
      <c r="G508" s="232">
        <v>4939098</v>
      </c>
      <c r="H508" s="232"/>
      <c r="I508" s="233">
        <v>92797.1</v>
      </c>
      <c r="J508" s="233">
        <v>4328224</v>
      </c>
      <c r="K508" s="233">
        <v>338284</v>
      </c>
      <c r="L508" s="232">
        <v>19324</v>
      </c>
      <c r="M508" s="232"/>
      <c r="N508" s="233">
        <v>173072</v>
      </c>
      <c r="O508" s="233">
        <v>1597525</v>
      </c>
      <c r="P508" s="233">
        <v>0</v>
      </c>
      <c r="Q508" s="232">
        <v>37438</v>
      </c>
      <c r="R508" s="233">
        <f t="shared" si="7"/>
        <v>2730699</v>
      </c>
      <c r="S508" s="232"/>
      <c r="T508" s="233">
        <v>1320148</v>
      </c>
      <c r="U508" s="234">
        <v>-13504</v>
      </c>
      <c r="V508" s="234">
        <v>1306644</v>
      </c>
    </row>
    <row r="509" spans="1:22">
      <c r="A509" s="227">
        <v>95412</v>
      </c>
      <c r="B509" s="228" t="s">
        <v>1220</v>
      </c>
      <c r="C509" s="87">
        <v>0</v>
      </c>
      <c r="D509" s="87">
        <v>0</v>
      </c>
      <c r="E509" s="232">
        <v>0</v>
      </c>
      <c r="F509" s="232">
        <v>0</v>
      </c>
      <c r="G509" s="232">
        <v>0</v>
      </c>
      <c r="H509" s="232"/>
      <c r="I509" s="233">
        <v>0</v>
      </c>
      <c r="J509" s="233">
        <v>0</v>
      </c>
      <c r="K509" s="233">
        <v>0</v>
      </c>
      <c r="L509" s="232">
        <v>0</v>
      </c>
      <c r="M509" s="232"/>
      <c r="N509" s="233">
        <v>0</v>
      </c>
      <c r="O509" s="233">
        <v>0</v>
      </c>
      <c r="P509" s="233">
        <v>0</v>
      </c>
      <c r="Q509" s="232">
        <v>46349</v>
      </c>
      <c r="R509" s="233">
        <f t="shared" si="7"/>
        <v>0</v>
      </c>
      <c r="S509" s="232"/>
      <c r="T509" s="233">
        <v>0</v>
      </c>
      <c r="U509" s="234">
        <v>-18518</v>
      </c>
      <c r="V509" s="234">
        <v>-18518</v>
      </c>
    </row>
    <row r="510" spans="1:22">
      <c r="A510" s="227">
        <v>95413</v>
      </c>
      <c r="B510" s="228" t="s">
        <v>1221</v>
      </c>
      <c r="C510" s="87">
        <v>2.945E-4</v>
      </c>
      <c r="D510" s="87">
        <v>2.9579999999999998E-4</v>
      </c>
      <c r="E510" s="232">
        <v>262974.70999999996</v>
      </c>
      <c r="F510" s="232">
        <v>132753</v>
      </c>
      <c r="G510" s="232">
        <v>625028</v>
      </c>
      <c r="H510" s="232"/>
      <c r="I510" s="233">
        <v>11743.1875</v>
      </c>
      <c r="J510" s="233">
        <v>547723</v>
      </c>
      <c r="K510" s="233">
        <v>42809</v>
      </c>
      <c r="L510" s="232">
        <v>198118</v>
      </c>
      <c r="M510" s="232"/>
      <c r="N510" s="233">
        <v>21902</v>
      </c>
      <c r="O510" s="233">
        <v>202162</v>
      </c>
      <c r="P510" s="233">
        <v>0</v>
      </c>
      <c r="Q510" s="232">
        <v>18897.04</v>
      </c>
      <c r="R510" s="233">
        <f t="shared" si="7"/>
        <v>345561</v>
      </c>
      <c r="S510" s="232"/>
      <c r="T510" s="233">
        <v>167061</v>
      </c>
      <c r="U510" s="234">
        <v>50061</v>
      </c>
      <c r="V510" s="234">
        <v>217122</v>
      </c>
    </row>
    <row r="511" spans="1:22">
      <c r="A511" s="227">
        <v>95415</v>
      </c>
      <c r="B511" s="228" t="s">
        <v>1222</v>
      </c>
      <c r="C511" s="87">
        <v>7.9499999999999994E-5</v>
      </c>
      <c r="D511" s="87">
        <v>7.6600000000000005E-5</v>
      </c>
      <c r="E511" s="232">
        <v>28616.620000000003</v>
      </c>
      <c r="F511" s="232">
        <v>34378</v>
      </c>
      <c r="G511" s="232">
        <v>168726</v>
      </c>
      <c r="H511" s="232"/>
      <c r="I511" s="233">
        <v>3170.0625</v>
      </c>
      <c r="J511" s="233">
        <v>147857</v>
      </c>
      <c r="K511" s="233">
        <v>11556</v>
      </c>
      <c r="L511" s="232">
        <v>10656.45</v>
      </c>
      <c r="M511" s="232"/>
      <c r="N511" s="233">
        <v>5912</v>
      </c>
      <c r="O511" s="233">
        <v>54573</v>
      </c>
      <c r="P511" s="233">
        <v>0</v>
      </c>
      <c r="Q511" s="232">
        <v>7763</v>
      </c>
      <c r="R511" s="233">
        <f t="shared" si="7"/>
        <v>93284</v>
      </c>
      <c r="S511" s="232"/>
      <c r="T511" s="233">
        <v>45098</v>
      </c>
      <c r="U511" s="234">
        <v>2762</v>
      </c>
      <c r="V511" s="234">
        <v>47859</v>
      </c>
    </row>
    <row r="512" spans="1:22">
      <c r="A512" s="227">
        <v>95421</v>
      </c>
      <c r="B512" s="228" t="s">
        <v>1223</v>
      </c>
      <c r="C512" s="87">
        <v>3.9100000000000002E-5</v>
      </c>
      <c r="D512" s="87">
        <v>5.1E-5</v>
      </c>
      <c r="E512" s="232">
        <v>15644.039999999997</v>
      </c>
      <c r="F512" s="232">
        <v>22888</v>
      </c>
      <c r="G512" s="232">
        <v>82983</v>
      </c>
      <c r="H512" s="232"/>
      <c r="I512" s="233">
        <v>1559</v>
      </c>
      <c r="J512" s="233">
        <v>72720</v>
      </c>
      <c r="K512" s="233">
        <v>5684</v>
      </c>
      <c r="L512" s="232">
        <v>0</v>
      </c>
      <c r="M512" s="232"/>
      <c r="N512" s="233">
        <v>2908</v>
      </c>
      <c r="O512" s="233">
        <v>26841</v>
      </c>
      <c r="P512" s="233">
        <v>0</v>
      </c>
      <c r="Q512" s="232">
        <v>14322</v>
      </c>
      <c r="R512" s="233">
        <f t="shared" si="7"/>
        <v>45879</v>
      </c>
      <c r="S512" s="232"/>
      <c r="T512" s="233">
        <v>22180</v>
      </c>
      <c r="U512" s="234">
        <v>-4969</v>
      </c>
      <c r="V512" s="234">
        <v>17211</v>
      </c>
    </row>
    <row r="513" spans="1:22">
      <c r="A513" s="227">
        <v>95431</v>
      </c>
      <c r="B513" s="228" t="s">
        <v>1224</v>
      </c>
      <c r="C513" s="87">
        <v>1.8009999999999999E-4</v>
      </c>
      <c r="D513" s="87">
        <v>1.7249999999999999E-4</v>
      </c>
      <c r="E513" s="232">
        <v>59568.97</v>
      </c>
      <c r="F513" s="232">
        <v>77417</v>
      </c>
      <c r="G513" s="232">
        <v>382233</v>
      </c>
      <c r="H513" s="232"/>
      <c r="I513" s="233">
        <v>7181</v>
      </c>
      <c r="J513" s="233">
        <v>334958</v>
      </c>
      <c r="K513" s="233">
        <v>26180</v>
      </c>
      <c r="L513" s="232">
        <v>450</v>
      </c>
      <c r="M513" s="232"/>
      <c r="N513" s="233">
        <v>13394</v>
      </c>
      <c r="O513" s="233">
        <v>123631</v>
      </c>
      <c r="P513" s="233">
        <v>0</v>
      </c>
      <c r="Q513" s="232">
        <v>13081</v>
      </c>
      <c r="R513" s="233">
        <f t="shared" si="7"/>
        <v>211327</v>
      </c>
      <c r="S513" s="232"/>
      <c r="T513" s="233">
        <v>102165</v>
      </c>
      <c r="U513" s="234">
        <v>-3706</v>
      </c>
      <c r="V513" s="234">
        <v>98459</v>
      </c>
    </row>
    <row r="514" spans="1:22">
      <c r="A514" s="227">
        <v>95501</v>
      </c>
      <c r="B514" s="228" t="s">
        <v>1225</v>
      </c>
      <c r="C514" s="87">
        <v>4.7917999999999997E-3</v>
      </c>
      <c r="D514" s="87">
        <v>4.8338000000000001E-3</v>
      </c>
      <c r="E514" s="232">
        <v>1890953.7499999998</v>
      </c>
      <c r="F514" s="232">
        <v>2169380</v>
      </c>
      <c r="G514" s="232">
        <v>10169805</v>
      </c>
      <c r="H514" s="232"/>
      <c r="I514" s="233">
        <v>191073</v>
      </c>
      <c r="J514" s="233">
        <v>8911991</v>
      </c>
      <c r="K514" s="233">
        <v>696541</v>
      </c>
      <c r="L514" s="232">
        <v>63710</v>
      </c>
      <c r="M514" s="232"/>
      <c r="N514" s="233">
        <v>356361</v>
      </c>
      <c r="O514" s="233">
        <v>3289369</v>
      </c>
      <c r="P514" s="233">
        <v>0</v>
      </c>
      <c r="Q514" s="232">
        <v>102347</v>
      </c>
      <c r="R514" s="233">
        <f t="shared" si="7"/>
        <v>5622622</v>
      </c>
      <c r="S514" s="232"/>
      <c r="T514" s="233">
        <v>2718240</v>
      </c>
      <c r="U514" s="234">
        <v>3939</v>
      </c>
      <c r="V514" s="234">
        <v>2722178</v>
      </c>
    </row>
    <row r="515" spans="1:22">
      <c r="A515" s="227">
        <v>95504</v>
      </c>
      <c r="B515" s="228" t="s">
        <v>1226</v>
      </c>
      <c r="C515" s="87">
        <v>8.8999999999999995E-6</v>
      </c>
      <c r="D515" s="87">
        <v>1.2099999999999999E-5</v>
      </c>
      <c r="E515" s="232">
        <v>7171.2</v>
      </c>
      <c r="F515" s="232">
        <v>5430</v>
      </c>
      <c r="G515" s="232">
        <v>18889</v>
      </c>
      <c r="H515" s="232"/>
      <c r="I515" s="233">
        <v>354.88749999999999</v>
      </c>
      <c r="J515" s="233">
        <v>16553</v>
      </c>
      <c r="K515" s="233">
        <v>1294</v>
      </c>
      <c r="L515" s="232">
        <v>5463</v>
      </c>
      <c r="M515" s="232"/>
      <c r="N515" s="233">
        <v>662</v>
      </c>
      <c r="O515" s="233">
        <v>6109</v>
      </c>
      <c r="P515" s="233">
        <v>0</v>
      </c>
      <c r="Q515" s="232">
        <v>0</v>
      </c>
      <c r="R515" s="233">
        <f t="shared" si="7"/>
        <v>10444</v>
      </c>
      <c r="S515" s="232"/>
      <c r="T515" s="233">
        <v>5049</v>
      </c>
      <c r="U515" s="234">
        <v>1872</v>
      </c>
      <c r="V515" s="234">
        <v>6921</v>
      </c>
    </row>
    <row r="516" spans="1:22">
      <c r="A516" s="227">
        <v>95511</v>
      </c>
      <c r="B516" s="228" t="s">
        <v>1227</v>
      </c>
      <c r="C516" s="87">
        <v>9.6049999999999998E-4</v>
      </c>
      <c r="D516" s="87">
        <v>1.0989000000000001E-3</v>
      </c>
      <c r="E516" s="232">
        <v>413682.63</v>
      </c>
      <c r="F516" s="232">
        <v>493180</v>
      </c>
      <c r="G516" s="232">
        <v>2038503</v>
      </c>
      <c r="H516" s="232"/>
      <c r="I516" s="233">
        <v>38300</v>
      </c>
      <c r="J516" s="233">
        <v>1786378</v>
      </c>
      <c r="K516" s="233">
        <v>139619</v>
      </c>
      <c r="L516" s="232">
        <v>10807.69</v>
      </c>
      <c r="M516" s="232"/>
      <c r="N516" s="233">
        <v>71431</v>
      </c>
      <c r="O516" s="233">
        <v>659343</v>
      </c>
      <c r="P516" s="233">
        <v>0</v>
      </c>
      <c r="Q516" s="232">
        <v>71910</v>
      </c>
      <c r="R516" s="233">
        <f t="shared" si="7"/>
        <v>1127035</v>
      </c>
      <c r="S516" s="232"/>
      <c r="T516" s="233">
        <v>544862</v>
      </c>
      <c r="U516" s="234">
        <v>-14323</v>
      </c>
      <c r="V516" s="234">
        <v>530538</v>
      </c>
    </row>
    <row r="517" spans="1:22">
      <c r="A517" s="227">
        <v>95513</v>
      </c>
      <c r="B517" s="228" t="s">
        <v>1228</v>
      </c>
      <c r="C517" s="87">
        <v>4.5500000000000001E-5</v>
      </c>
      <c r="D517" s="87">
        <v>4.4499999999999997E-5</v>
      </c>
      <c r="E517" s="232">
        <v>28270.480000000003</v>
      </c>
      <c r="F517" s="232">
        <v>19971</v>
      </c>
      <c r="G517" s="232">
        <v>96566</v>
      </c>
      <c r="H517" s="232"/>
      <c r="I517" s="233">
        <v>1814.3125</v>
      </c>
      <c r="J517" s="233">
        <v>84623</v>
      </c>
      <c r="K517" s="233">
        <v>6614</v>
      </c>
      <c r="L517" s="232">
        <v>19516</v>
      </c>
      <c r="M517" s="232"/>
      <c r="N517" s="233">
        <v>3384</v>
      </c>
      <c r="O517" s="233">
        <v>31234</v>
      </c>
      <c r="P517" s="233">
        <v>0</v>
      </c>
      <c r="Q517" s="232">
        <v>0</v>
      </c>
      <c r="R517" s="233">
        <f t="shared" si="7"/>
        <v>53389</v>
      </c>
      <c r="S517" s="232"/>
      <c r="T517" s="233">
        <v>25811</v>
      </c>
      <c r="U517" s="234">
        <v>6831</v>
      </c>
      <c r="V517" s="234">
        <v>32642</v>
      </c>
    </row>
    <row r="518" spans="1:22">
      <c r="A518" s="227">
        <v>95517</v>
      </c>
      <c r="B518" s="228" t="s">
        <v>1229</v>
      </c>
      <c r="C518" s="87">
        <v>1.66E-5</v>
      </c>
      <c r="D518" s="87">
        <v>1.1399999999999999E-5</v>
      </c>
      <c r="E518" s="232">
        <v>13168.44</v>
      </c>
      <c r="F518" s="232">
        <v>5116</v>
      </c>
      <c r="G518" s="232">
        <v>35231</v>
      </c>
      <c r="H518" s="232"/>
      <c r="I518" s="233">
        <v>662</v>
      </c>
      <c r="J518" s="233">
        <v>30873</v>
      </c>
      <c r="K518" s="233">
        <v>2413</v>
      </c>
      <c r="L518" s="232">
        <v>13465</v>
      </c>
      <c r="M518" s="232"/>
      <c r="N518" s="233">
        <v>1235</v>
      </c>
      <c r="O518" s="233">
        <v>11395</v>
      </c>
      <c r="P518" s="233">
        <v>0</v>
      </c>
      <c r="Q518" s="232">
        <v>0</v>
      </c>
      <c r="R518" s="233">
        <f t="shared" si="7"/>
        <v>19478</v>
      </c>
      <c r="S518" s="232"/>
      <c r="T518" s="233">
        <v>9417</v>
      </c>
      <c r="U518" s="234">
        <v>4330</v>
      </c>
      <c r="V518" s="234">
        <v>13747</v>
      </c>
    </row>
    <row r="519" spans="1:22">
      <c r="A519" s="227">
        <v>95601</v>
      </c>
      <c r="B519" s="228" t="s">
        <v>1230</v>
      </c>
      <c r="C519" s="87">
        <v>2.6592999999999999E-3</v>
      </c>
      <c r="D519" s="87">
        <v>2.4567999999999999E-3</v>
      </c>
      <c r="E519" s="232">
        <v>1012936.7699999999</v>
      </c>
      <c r="F519" s="232">
        <v>1102597</v>
      </c>
      <c r="G519" s="232">
        <v>5643925</v>
      </c>
      <c r="H519" s="232"/>
      <c r="I519" s="233">
        <v>106040</v>
      </c>
      <c r="J519" s="233">
        <v>4945878</v>
      </c>
      <c r="K519" s="233">
        <v>386559</v>
      </c>
      <c r="L519" s="232">
        <v>138057</v>
      </c>
      <c r="M519" s="232"/>
      <c r="N519" s="233">
        <v>197769</v>
      </c>
      <c r="O519" s="233">
        <v>1825498</v>
      </c>
      <c r="P519" s="233">
        <v>0</v>
      </c>
      <c r="Q519" s="232">
        <v>0</v>
      </c>
      <c r="R519" s="233">
        <f t="shared" si="7"/>
        <v>3120380</v>
      </c>
      <c r="S519" s="232"/>
      <c r="T519" s="233">
        <v>1508538</v>
      </c>
      <c r="U519" s="234">
        <v>52467</v>
      </c>
      <c r="V519" s="234">
        <v>1561006</v>
      </c>
    </row>
    <row r="520" spans="1:22">
      <c r="A520" s="227">
        <v>95611</v>
      </c>
      <c r="B520" s="228" t="s">
        <v>1231</v>
      </c>
      <c r="C520" s="87">
        <v>3.9540000000000002E-4</v>
      </c>
      <c r="D520" s="87">
        <v>3.9500000000000001E-4</v>
      </c>
      <c r="E520" s="232">
        <v>162220.80999999997</v>
      </c>
      <c r="F520" s="232">
        <v>177273.63</v>
      </c>
      <c r="G520" s="232">
        <v>839171</v>
      </c>
      <c r="H520" s="232"/>
      <c r="I520" s="233">
        <v>15767</v>
      </c>
      <c r="J520" s="233">
        <v>735382</v>
      </c>
      <c r="K520" s="233">
        <v>57476</v>
      </c>
      <c r="L520" s="232">
        <v>2750</v>
      </c>
      <c r="M520" s="232"/>
      <c r="N520" s="233">
        <v>29406</v>
      </c>
      <c r="O520" s="233">
        <v>271425</v>
      </c>
      <c r="P520" s="233">
        <v>0</v>
      </c>
      <c r="Q520" s="232">
        <v>5641</v>
      </c>
      <c r="R520" s="233">
        <f t="shared" si="7"/>
        <v>463957</v>
      </c>
      <c r="S520" s="232"/>
      <c r="T520" s="233">
        <v>224298</v>
      </c>
      <c r="U520" s="234">
        <v>-610</v>
      </c>
      <c r="V520" s="234">
        <v>223688</v>
      </c>
    </row>
    <row r="521" spans="1:22">
      <c r="A521" s="227">
        <v>95617</v>
      </c>
      <c r="B521" s="228" t="s">
        <v>1232</v>
      </c>
      <c r="C521" s="87">
        <v>1.6500000000000001E-5</v>
      </c>
      <c r="D521" s="87">
        <v>1.63E-5</v>
      </c>
      <c r="E521" s="232">
        <v>7075.2599999999993</v>
      </c>
      <c r="F521" s="232">
        <v>7315</v>
      </c>
      <c r="G521" s="232">
        <v>35019</v>
      </c>
      <c r="H521" s="232"/>
      <c r="I521" s="233">
        <v>657.9375</v>
      </c>
      <c r="J521" s="233">
        <v>30687</v>
      </c>
      <c r="K521" s="233">
        <v>2398</v>
      </c>
      <c r="L521" s="232">
        <v>338</v>
      </c>
      <c r="M521" s="232"/>
      <c r="N521" s="233">
        <v>1227</v>
      </c>
      <c r="O521" s="233">
        <v>11327</v>
      </c>
      <c r="P521" s="233">
        <v>0</v>
      </c>
      <c r="Q521" s="232">
        <v>2141</v>
      </c>
      <c r="R521" s="233">
        <f t="shared" ref="R521:R584" si="8">IF(J521&gt;O521,J521-O521,O521-J521)</f>
        <v>19360</v>
      </c>
      <c r="S521" s="232"/>
      <c r="T521" s="233">
        <v>9360</v>
      </c>
      <c r="U521" s="234">
        <v>-777</v>
      </c>
      <c r="V521" s="234">
        <v>8583</v>
      </c>
    </row>
    <row r="522" spans="1:22">
      <c r="A522" s="227">
        <v>95621</v>
      </c>
      <c r="B522" s="228" t="s">
        <v>1233</v>
      </c>
      <c r="C522" s="87">
        <v>4.8020000000000002E-4</v>
      </c>
      <c r="D522" s="87">
        <v>5.0210000000000001E-4</v>
      </c>
      <c r="E522" s="232">
        <v>211839.76999999996</v>
      </c>
      <c r="F522" s="232">
        <v>225339</v>
      </c>
      <c r="G522" s="232">
        <v>1019145</v>
      </c>
      <c r="H522" s="232"/>
      <c r="I522" s="233">
        <v>19148</v>
      </c>
      <c r="J522" s="233">
        <v>893096</v>
      </c>
      <c r="K522" s="233">
        <v>69802</v>
      </c>
      <c r="L522" s="232">
        <v>6364.02</v>
      </c>
      <c r="M522" s="232"/>
      <c r="N522" s="233">
        <v>35712</v>
      </c>
      <c r="O522" s="233">
        <v>329637</v>
      </c>
      <c r="P522" s="233">
        <v>0</v>
      </c>
      <c r="Q522" s="232">
        <v>3443</v>
      </c>
      <c r="R522" s="233">
        <f t="shared" si="8"/>
        <v>563459</v>
      </c>
      <c r="S522" s="232"/>
      <c r="T522" s="233">
        <v>272403</v>
      </c>
      <c r="U522" s="234">
        <v>2021</v>
      </c>
      <c r="V522" s="234">
        <v>274423</v>
      </c>
    </row>
    <row r="523" spans="1:22">
      <c r="A523" s="227">
        <v>95701</v>
      </c>
      <c r="B523" s="228" t="s">
        <v>1234</v>
      </c>
      <c r="C523" s="87">
        <v>1.291E-3</v>
      </c>
      <c r="D523" s="87">
        <v>1.2436999999999999E-3</v>
      </c>
      <c r="E523" s="232">
        <v>517495.15000000008</v>
      </c>
      <c r="F523" s="232">
        <v>558165</v>
      </c>
      <c r="G523" s="232">
        <v>2739934</v>
      </c>
      <c r="H523" s="232"/>
      <c r="I523" s="233">
        <v>51478.625</v>
      </c>
      <c r="J523" s="233">
        <v>2401056</v>
      </c>
      <c r="K523" s="233">
        <v>187661</v>
      </c>
      <c r="L523" s="232">
        <v>51877</v>
      </c>
      <c r="M523" s="232"/>
      <c r="N523" s="233">
        <v>96010</v>
      </c>
      <c r="O523" s="233">
        <v>886217</v>
      </c>
      <c r="P523" s="233">
        <v>0</v>
      </c>
      <c r="Q523" s="232">
        <v>0</v>
      </c>
      <c r="R523" s="233">
        <f t="shared" si="8"/>
        <v>1514839</v>
      </c>
      <c r="S523" s="232"/>
      <c r="T523" s="233">
        <v>732344</v>
      </c>
      <c r="U523" s="234">
        <v>20713</v>
      </c>
      <c r="V523" s="234">
        <v>753057</v>
      </c>
    </row>
    <row r="524" spans="1:22">
      <c r="A524" s="227">
        <v>95711</v>
      </c>
      <c r="B524" s="228" t="s">
        <v>1235</v>
      </c>
      <c r="C524" s="87">
        <v>1.382E-4</v>
      </c>
      <c r="D524" s="87">
        <v>1.284E-4</v>
      </c>
      <c r="E524" s="232">
        <v>51439.57</v>
      </c>
      <c r="F524" s="232">
        <v>57625</v>
      </c>
      <c r="G524" s="232">
        <v>293307</v>
      </c>
      <c r="H524" s="232"/>
      <c r="I524" s="233">
        <v>5511</v>
      </c>
      <c r="J524" s="233">
        <v>257030</v>
      </c>
      <c r="K524" s="233">
        <v>20089</v>
      </c>
      <c r="L524" s="232">
        <v>9232</v>
      </c>
      <c r="M524" s="232"/>
      <c r="N524" s="233">
        <v>10278</v>
      </c>
      <c r="O524" s="233">
        <v>94868</v>
      </c>
      <c r="P524" s="233">
        <v>0</v>
      </c>
      <c r="Q524" s="232">
        <v>143</v>
      </c>
      <c r="R524" s="233">
        <f t="shared" si="8"/>
        <v>162162</v>
      </c>
      <c r="S524" s="232"/>
      <c r="T524" s="233">
        <v>78397</v>
      </c>
      <c r="U524" s="234">
        <v>3104</v>
      </c>
      <c r="V524" s="234">
        <v>81500</v>
      </c>
    </row>
    <row r="525" spans="1:22">
      <c r="A525" s="227">
        <v>95721</v>
      </c>
      <c r="B525" s="228" t="s">
        <v>1236</v>
      </c>
      <c r="C525" s="87">
        <v>6.6199999999999996E-5</v>
      </c>
      <c r="D525" s="87">
        <v>6.7199999999999994E-5</v>
      </c>
      <c r="E525" s="232">
        <v>22493.79</v>
      </c>
      <c r="F525" s="232">
        <v>30159</v>
      </c>
      <c r="G525" s="232">
        <v>140499</v>
      </c>
      <c r="H525" s="232"/>
      <c r="I525" s="233">
        <v>2640</v>
      </c>
      <c r="J525" s="233">
        <v>123122</v>
      </c>
      <c r="K525" s="233">
        <v>9623</v>
      </c>
      <c r="L525" s="232">
        <v>0</v>
      </c>
      <c r="M525" s="232"/>
      <c r="N525" s="233">
        <v>4923</v>
      </c>
      <c r="O525" s="233">
        <v>45444</v>
      </c>
      <c r="P525" s="233">
        <v>0</v>
      </c>
      <c r="Q525" s="232">
        <v>9473</v>
      </c>
      <c r="R525" s="233">
        <f t="shared" si="8"/>
        <v>77678</v>
      </c>
      <c r="S525" s="232"/>
      <c r="T525" s="233">
        <v>37553</v>
      </c>
      <c r="U525" s="234">
        <v>-3665</v>
      </c>
      <c r="V525" s="234">
        <v>33888</v>
      </c>
    </row>
    <row r="526" spans="1:22">
      <c r="A526" s="227">
        <v>95733</v>
      </c>
      <c r="B526" s="228" t="s">
        <v>1237</v>
      </c>
      <c r="C526" s="87">
        <v>1.56E-5</v>
      </c>
      <c r="D526" s="87">
        <v>1.63E-5</v>
      </c>
      <c r="E526" s="232">
        <v>6566.4400000000005</v>
      </c>
      <c r="F526" s="232">
        <v>7315</v>
      </c>
      <c r="G526" s="232">
        <v>33108</v>
      </c>
      <c r="H526" s="232"/>
      <c r="I526" s="233">
        <v>622</v>
      </c>
      <c r="J526" s="233">
        <v>29014</v>
      </c>
      <c r="K526" s="233">
        <v>2268</v>
      </c>
      <c r="L526" s="232">
        <v>926</v>
      </c>
      <c r="M526" s="232"/>
      <c r="N526" s="233">
        <v>1160</v>
      </c>
      <c r="O526" s="233">
        <v>10709</v>
      </c>
      <c r="P526" s="233">
        <v>0</v>
      </c>
      <c r="Q526" s="232">
        <v>259</v>
      </c>
      <c r="R526" s="233">
        <f t="shared" si="8"/>
        <v>18305</v>
      </c>
      <c r="S526" s="232"/>
      <c r="T526" s="233">
        <v>8849</v>
      </c>
      <c r="U526" s="234">
        <v>277</v>
      </c>
      <c r="V526" s="234">
        <v>9127</v>
      </c>
    </row>
    <row r="527" spans="1:22">
      <c r="A527" s="227">
        <v>95801</v>
      </c>
      <c r="B527" s="228" t="s">
        <v>1238</v>
      </c>
      <c r="C527" s="87">
        <v>8.9349999999999998E-4</v>
      </c>
      <c r="D527" s="87">
        <v>9.1810000000000004E-4</v>
      </c>
      <c r="E527" s="232">
        <v>383793.67</v>
      </c>
      <c r="F527" s="232">
        <v>412038</v>
      </c>
      <c r="G527" s="232">
        <v>1896306</v>
      </c>
      <c r="H527" s="232"/>
      <c r="I527" s="233">
        <v>35628</v>
      </c>
      <c r="J527" s="233">
        <v>1661769</v>
      </c>
      <c r="K527" s="233">
        <v>129880</v>
      </c>
      <c r="L527" s="232">
        <v>14615</v>
      </c>
      <c r="M527" s="232"/>
      <c r="N527" s="233">
        <v>66449</v>
      </c>
      <c r="O527" s="233">
        <v>613350</v>
      </c>
      <c r="P527" s="233">
        <v>0</v>
      </c>
      <c r="Q527" s="232">
        <v>8079</v>
      </c>
      <c r="R527" s="233">
        <f t="shared" si="8"/>
        <v>1048419</v>
      </c>
      <c r="S527" s="232"/>
      <c r="T527" s="233">
        <v>506855</v>
      </c>
      <c r="U527" s="234">
        <v>1206</v>
      </c>
      <c r="V527" s="234">
        <v>508061</v>
      </c>
    </row>
    <row r="528" spans="1:22">
      <c r="A528" s="227">
        <v>95802</v>
      </c>
      <c r="B528" s="228" t="s">
        <v>1239</v>
      </c>
      <c r="C528" s="87">
        <v>6.8000000000000001E-6</v>
      </c>
      <c r="D528" s="87">
        <v>6.8000000000000001E-6</v>
      </c>
      <c r="E528" s="232">
        <v>4626.88</v>
      </c>
      <c r="F528" s="232">
        <v>3052</v>
      </c>
      <c r="G528" s="232">
        <v>14432</v>
      </c>
      <c r="H528" s="232"/>
      <c r="I528" s="233">
        <v>271</v>
      </c>
      <c r="J528" s="233">
        <v>12647</v>
      </c>
      <c r="K528" s="233">
        <v>988</v>
      </c>
      <c r="L528" s="232">
        <v>2741</v>
      </c>
      <c r="M528" s="232"/>
      <c r="N528" s="233">
        <v>506</v>
      </c>
      <c r="O528" s="233">
        <v>4668</v>
      </c>
      <c r="P528" s="233">
        <v>0</v>
      </c>
      <c r="Q528" s="232">
        <v>2509</v>
      </c>
      <c r="R528" s="233">
        <f t="shared" si="8"/>
        <v>7979</v>
      </c>
      <c r="S528" s="232"/>
      <c r="T528" s="233">
        <v>3857</v>
      </c>
      <c r="U528" s="234">
        <v>-428</v>
      </c>
      <c r="V528" s="234">
        <v>3429</v>
      </c>
    </row>
    <row r="529" spans="1:22">
      <c r="A529" s="227">
        <v>95804</v>
      </c>
      <c r="B529" s="228" t="s">
        <v>1240</v>
      </c>
      <c r="C529" s="87">
        <v>1.63E-5</v>
      </c>
      <c r="D529" s="87">
        <v>1.4399999999999999E-5</v>
      </c>
      <c r="E529" s="232">
        <v>6017.02</v>
      </c>
      <c r="F529" s="232">
        <v>6463</v>
      </c>
      <c r="G529" s="232">
        <v>34594</v>
      </c>
      <c r="H529" s="232"/>
      <c r="I529" s="233">
        <v>649.96249999999998</v>
      </c>
      <c r="J529" s="233">
        <v>30315</v>
      </c>
      <c r="K529" s="233">
        <v>2369</v>
      </c>
      <c r="L529" s="232">
        <v>3054</v>
      </c>
      <c r="M529" s="232"/>
      <c r="N529" s="233">
        <v>1212</v>
      </c>
      <c r="O529" s="233">
        <v>11189</v>
      </c>
      <c r="P529" s="233">
        <v>0</v>
      </c>
      <c r="Q529" s="232">
        <v>0</v>
      </c>
      <c r="R529" s="233">
        <f t="shared" si="8"/>
        <v>19126</v>
      </c>
      <c r="S529" s="232"/>
      <c r="T529" s="233">
        <v>9246</v>
      </c>
      <c r="U529" s="234">
        <v>1187</v>
      </c>
      <c r="V529" s="234">
        <v>10434</v>
      </c>
    </row>
    <row r="530" spans="1:22">
      <c r="A530" s="227">
        <v>95811</v>
      </c>
      <c r="B530" s="228" t="s">
        <v>1241</v>
      </c>
      <c r="C530" s="87">
        <v>5.3410000000000003E-4</v>
      </c>
      <c r="D530" s="87">
        <v>5.2459999999999996E-4</v>
      </c>
      <c r="E530" s="232">
        <v>215302.64</v>
      </c>
      <c r="F530" s="232">
        <v>235437</v>
      </c>
      <c r="G530" s="232">
        <v>1133539</v>
      </c>
      <c r="H530" s="232"/>
      <c r="I530" s="233">
        <v>21297</v>
      </c>
      <c r="J530" s="233">
        <v>993342</v>
      </c>
      <c r="K530" s="233">
        <v>77637</v>
      </c>
      <c r="L530" s="232">
        <v>2541</v>
      </c>
      <c r="M530" s="232"/>
      <c r="N530" s="233">
        <v>39720</v>
      </c>
      <c r="O530" s="233">
        <v>366637</v>
      </c>
      <c r="P530" s="233">
        <v>0</v>
      </c>
      <c r="Q530" s="232">
        <v>5345</v>
      </c>
      <c r="R530" s="233">
        <f t="shared" si="8"/>
        <v>626705</v>
      </c>
      <c r="S530" s="232"/>
      <c r="T530" s="233">
        <v>302978</v>
      </c>
      <c r="U530" s="234">
        <v>-1032</v>
      </c>
      <c r="V530" s="234">
        <v>301947</v>
      </c>
    </row>
    <row r="531" spans="1:22">
      <c r="A531" s="227">
        <v>95813</v>
      </c>
      <c r="B531" s="228" t="s">
        <v>1242</v>
      </c>
      <c r="C531" s="87">
        <v>4.4400000000000002E-5</v>
      </c>
      <c r="D531" s="87">
        <v>5.02E-5</v>
      </c>
      <c r="E531" s="232">
        <v>61209.42</v>
      </c>
      <c r="F531" s="232">
        <v>22529</v>
      </c>
      <c r="G531" s="232">
        <v>94232</v>
      </c>
      <c r="H531" s="232"/>
      <c r="I531" s="233">
        <v>1770.45</v>
      </c>
      <c r="J531" s="233">
        <v>82577</v>
      </c>
      <c r="K531" s="233">
        <v>6454</v>
      </c>
      <c r="L531" s="232">
        <v>51874</v>
      </c>
      <c r="M531" s="232"/>
      <c r="N531" s="233">
        <v>3302</v>
      </c>
      <c r="O531" s="233">
        <v>30479</v>
      </c>
      <c r="P531" s="233">
        <v>0</v>
      </c>
      <c r="Q531" s="232">
        <v>0</v>
      </c>
      <c r="R531" s="233">
        <f t="shared" si="8"/>
        <v>52098</v>
      </c>
      <c r="S531" s="232"/>
      <c r="T531" s="233">
        <v>25187</v>
      </c>
      <c r="U531" s="234">
        <v>15540</v>
      </c>
      <c r="V531" s="234">
        <v>40727</v>
      </c>
    </row>
    <row r="532" spans="1:22">
      <c r="A532" s="227">
        <v>95821</v>
      </c>
      <c r="B532" s="228" t="s">
        <v>1243</v>
      </c>
      <c r="C532" s="87">
        <v>1.7E-6</v>
      </c>
      <c r="D532" s="87">
        <v>1.5999999999999999E-6</v>
      </c>
      <c r="E532" s="232">
        <v>1922.0400000000002</v>
      </c>
      <c r="F532" s="232">
        <v>718</v>
      </c>
      <c r="G532" s="232">
        <v>3608</v>
      </c>
      <c r="H532" s="232"/>
      <c r="I532" s="233">
        <v>68</v>
      </c>
      <c r="J532" s="233">
        <v>3162</v>
      </c>
      <c r="K532" s="233">
        <v>247</v>
      </c>
      <c r="L532" s="232">
        <v>1916</v>
      </c>
      <c r="M532" s="232"/>
      <c r="N532" s="233">
        <v>126</v>
      </c>
      <c r="O532" s="233">
        <v>1167</v>
      </c>
      <c r="P532" s="233">
        <v>0</v>
      </c>
      <c r="Q532" s="232">
        <v>0</v>
      </c>
      <c r="R532" s="233">
        <f t="shared" si="8"/>
        <v>1995</v>
      </c>
      <c r="S532" s="232"/>
      <c r="T532" s="233">
        <v>964</v>
      </c>
      <c r="U532" s="234">
        <v>623</v>
      </c>
      <c r="V532" s="234">
        <v>1587</v>
      </c>
    </row>
    <row r="533" spans="1:22">
      <c r="A533" s="227">
        <v>95831</v>
      </c>
      <c r="B533" s="228" t="s">
        <v>1244</v>
      </c>
      <c r="C533" s="87">
        <v>1.36E-5</v>
      </c>
      <c r="D533" s="87">
        <v>1.9199999999999999E-5</v>
      </c>
      <c r="E533" s="232">
        <v>18920.61</v>
      </c>
      <c r="F533" s="232">
        <v>8617</v>
      </c>
      <c r="G533" s="232">
        <v>28864</v>
      </c>
      <c r="H533" s="232"/>
      <c r="I533" s="233">
        <v>542</v>
      </c>
      <c r="J533" s="233">
        <v>25294</v>
      </c>
      <c r="K533" s="233">
        <v>1977</v>
      </c>
      <c r="L533" s="232">
        <v>15027</v>
      </c>
      <c r="M533" s="232"/>
      <c r="N533" s="233">
        <v>1011</v>
      </c>
      <c r="O533" s="233">
        <v>9336</v>
      </c>
      <c r="P533" s="233">
        <v>0</v>
      </c>
      <c r="Q533" s="232">
        <v>0</v>
      </c>
      <c r="R533" s="233">
        <f t="shared" si="8"/>
        <v>15958</v>
      </c>
      <c r="S533" s="232"/>
      <c r="T533" s="233">
        <v>7715</v>
      </c>
      <c r="U533" s="234">
        <v>4667</v>
      </c>
      <c r="V533" s="234">
        <v>12382</v>
      </c>
    </row>
    <row r="534" spans="1:22">
      <c r="A534" s="227">
        <v>95841</v>
      </c>
      <c r="B534" s="228" t="s">
        <v>1245</v>
      </c>
      <c r="C534" s="87">
        <v>2.1100000000000001E-5</v>
      </c>
      <c r="D534" s="87">
        <v>2.0699999999999998E-5</v>
      </c>
      <c r="E534" s="232">
        <v>9619.65</v>
      </c>
      <c r="F534" s="232">
        <v>9290</v>
      </c>
      <c r="G534" s="232">
        <v>44781</v>
      </c>
      <c r="H534" s="232"/>
      <c r="I534" s="233">
        <v>841</v>
      </c>
      <c r="J534" s="233">
        <v>39243</v>
      </c>
      <c r="K534" s="233">
        <v>3067</v>
      </c>
      <c r="L534" s="232">
        <v>1840</v>
      </c>
      <c r="M534" s="232"/>
      <c r="N534" s="233">
        <v>1569</v>
      </c>
      <c r="O534" s="233">
        <v>14484</v>
      </c>
      <c r="P534" s="233">
        <v>0</v>
      </c>
      <c r="Q534" s="232">
        <v>0</v>
      </c>
      <c r="R534" s="233">
        <f t="shared" si="8"/>
        <v>24759</v>
      </c>
      <c r="S534" s="232"/>
      <c r="T534" s="233">
        <v>11969</v>
      </c>
      <c r="U534" s="234">
        <v>601</v>
      </c>
      <c r="V534" s="234">
        <v>12570</v>
      </c>
    </row>
    <row r="535" spans="1:22">
      <c r="A535" s="227">
        <v>95851</v>
      </c>
      <c r="B535" s="228" t="s">
        <v>1246</v>
      </c>
      <c r="C535" s="87">
        <v>1.3009999999999999E-4</v>
      </c>
      <c r="D535" s="87">
        <v>1.44E-4</v>
      </c>
      <c r="E535" s="232">
        <v>128218.45000000001</v>
      </c>
      <c r="F535" s="232">
        <v>64626</v>
      </c>
      <c r="G535" s="232">
        <v>276116</v>
      </c>
      <c r="H535" s="232"/>
      <c r="I535" s="233">
        <v>5188</v>
      </c>
      <c r="J535" s="233">
        <v>241965</v>
      </c>
      <c r="K535" s="233">
        <v>18911</v>
      </c>
      <c r="L535" s="232">
        <v>90972</v>
      </c>
      <c r="M535" s="232"/>
      <c r="N535" s="233">
        <v>9675</v>
      </c>
      <c r="O535" s="233">
        <v>89308</v>
      </c>
      <c r="P535" s="233">
        <v>0</v>
      </c>
      <c r="Q535" s="232">
        <v>8402</v>
      </c>
      <c r="R535" s="233">
        <f t="shared" si="8"/>
        <v>152657</v>
      </c>
      <c r="S535" s="232"/>
      <c r="T535" s="233">
        <v>73802</v>
      </c>
      <c r="U535" s="234">
        <v>23087</v>
      </c>
      <c r="V535" s="234">
        <v>96889</v>
      </c>
    </row>
    <row r="536" spans="1:22">
      <c r="A536" s="227">
        <v>95853</v>
      </c>
      <c r="B536" s="228" t="s">
        <v>1247</v>
      </c>
      <c r="C536" s="87">
        <v>2.4000000000000001E-5</v>
      </c>
      <c r="D536" s="87">
        <v>2.44E-5</v>
      </c>
      <c r="E536" s="232">
        <v>14930.279999999999</v>
      </c>
      <c r="F536" s="232">
        <v>10951</v>
      </c>
      <c r="G536" s="232">
        <v>50936.04</v>
      </c>
      <c r="H536" s="232"/>
      <c r="I536" s="233">
        <v>957</v>
      </c>
      <c r="J536" s="233">
        <v>44636</v>
      </c>
      <c r="K536" s="233">
        <v>3489</v>
      </c>
      <c r="L536" s="232">
        <v>8043</v>
      </c>
      <c r="M536" s="232"/>
      <c r="N536" s="233">
        <v>1785</v>
      </c>
      <c r="O536" s="233">
        <v>16475</v>
      </c>
      <c r="P536" s="233">
        <v>0</v>
      </c>
      <c r="Q536" s="232">
        <v>0</v>
      </c>
      <c r="R536" s="233">
        <f t="shared" si="8"/>
        <v>28161</v>
      </c>
      <c r="S536" s="232"/>
      <c r="T536" s="233">
        <v>13614</v>
      </c>
      <c r="U536" s="234">
        <v>2790</v>
      </c>
      <c r="V536" s="234">
        <v>16405</v>
      </c>
    </row>
    <row r="537" spans="1:22">
      <c r="A537" s="227">
        <v>95901</v>
      </c>
      <c r="B537" s="228" t="s">
        <v>1248</v>
      </c>
      <c r="C537" s="87">
        <v>1.8266999999999999E-3</v>
      </c>
      <c r="D537" s="87">
        <v>1.8056000000000001E-3</v>
      </c>
      <c r="E537" s="232">
        <v>722469.93</v>
      </c>
      <c r="F537" s="232">
        <v>810342</v>
      </c>
      <c r="G537" s="232">
        <v>3876869</v>
      </c>
      <c r="H537" s="232"/>
      <c r="I537" s="233">
        <v>72840</v>
      </c>
      <c r="J537" s="233">
        <v>3397373</v>
      </c>
      <c r="K537" s="233">
        <v>265531</v>
      </c>
      <c r="L537" s="232">
        <v>69258</v>
      </c>
      <c r="M537" s="232"/>
      <c r="N537" s="233">
        <v>135850</v>
      </c>
      <c r="O537" s="233">
        <v>1253953</v>
      </c>
      <c r="P537" s="233">
        <v>0</v>
      </c>
      <c r="Q537" s="232">
        <v>11402</v>
      </c>
      <c r="R537" s="233">
        <f t="shared" si="8"/>
        <v>2143420</v>
      </c>
      <c r="S537" s="232"/>
      <c r="T537" s="233">
        <v>1036230</v>
      </c>
      <c r="U537" s="234">
        <v>29652</v>
      </c>
      <c r="V537" s="234">
        <v>1065882</v>
      </c>
    </row>
    <row r="538" spans="1:22">
      <c r="A538" s="227">
        <v>95908</v>
      </c>
      <c r="B538" s="228" t="s">
        <v>1249</v>
      </c>
      <c r="C538" s="87">
        <v>7.2000000000000002E-5</v>
      </c>
      <c r="D538" s="87">
        <v>6.6699999999999995E-5</v>
      </c>
      <c r="E538" s="232">
        <v>21165.479999999996</v>
      </c>
      <c r="F538" s="232">
        <v>29935</v>
      </c>
      <c r="G538" s="232">
        <v>152808.12</v>
      </c>
      <c r="H538" s="232"/>
      <c r="I538" s="233">
        <v>2871</v>
      </c>
      <c r="J538" s="233">
        <v>133909</v>
      </c>
      <c r="K538" s="233">
        <v>10466</v>
      </c>
      <c r="L538" s="232">
        <v>0</v>
      </c>
      <c r="M538" s="232"/>
      <c r="N538" s="233">
        <v>5355</v>
      </c>
      <c r="O538" s="233">
        <v>49425</v>
      </c>
      <c r="P538" s="233">
        <v>0</v>
      </c>
      <c r="Q538" s="232">
        <v>24519</v>
      </c>
      <c r="R538" s="233">
        <f t="shared" si="8"/>
        <v>84484</v>
      </c>
      <c r="S538" s="232"/>
      <c r="T538" s="233">
        <v>40843</v>
      </c>
      <c r="U538" s="234">
        <v>-9060</v>
      </c>
      <c r="V538" s="234">
        <v>31784</v>
      </c>
    </row>
    <row r="539" spans="1:22">
      <c r="A539" s="227">
        <v>95911</v>
      </c>
      <c r="B539" s="228" t="s">
        <v>1250</v>
      </c>
      <c r="C539" s="87">
        <v>5.6979999999999997E-4</v>
      </c>
      <c r="D539" s="87">
        <v>6.2100000000000002E-4</v>
      </c>
      <c r="E539" s="232">
        <v>226533.46999999997</v>
      </c>
      <c r="F539" s="232">
        <v>278701</v>
      </c>
      <c r="G539" s="232">
        <v>1209306</v>
      </c>
      <c r="H539" s="232"/>
      <c r="I539" s="233">
        <v>22721</v>
      </c>
      <c r="J539" s="233">
        <v>1059738</v>
      </c>
      <c r="K539" s="233">
        <v>82827</v>
      </c>
      <c r="L539" s="232">
        <v>4490</v>
      </c>
      <c r="M539" s="232"/>
      <c r="N539" s="233">
        <v>42375</v>
      </c>
      <c r="O539" s="233">
        <v>391144</v>
      </c>
      <c r="P539" s="233">
        <v>0</v>
      </c>
      <c r="Q539" s="232">
        <v>41660</v>
      </c>
      <c r="R539" s="233">
        <f t="shared" si="8"/>
        <v>668594</v>
      </c>
      <c r="S539" s="232"/>
      <c r="T539" s="233">
        <v>323230</v>
      </c>
      <c r="U539" s="234">
        <v>-11084</v>
      </c>
      <c r="V539" s="234">
        <v>312146</v>
      </c>
    </row>
    <row r="540" spans="1:22">
      <c r="A540" s="227">
        <v>95917</v>
      </c>
      <c r="B540" s="228" t="s">
        <v>1251</v>
      </c>
      <c r="C540" s="87">
        <v>2.2399999999999999E-5</v>
      </c>
      <c r="D540" s="87">
        <v>2.4499999999999999E-5</v>
      </c>
      <c r="E540" s="232">
        <v>9793.0600000000013</v>
      </c>
      <c r="F540" s="232">
        <v>10995</v>
      </c>
      <c r="G540" s="232">
        <v>47540</v>
      </c>
      <c r="H540" s="232"/>
      <c r="I540" s="233">
        <v>893</v>
      </c>
      <c r="J540" s="233">
        <v>41660</v>
      </c>
      <c r="K540" s="233">
        <v>3256</v>
      </c>
      <c r="L540" s="232">
        <v>4422</v>
      </c>
      <c r="M540" s="232"/>
      <c r="N540" s="233">
        <v>1666</v>
      </c>
      <c r="O540" s="233">
        <v>15377</v>
      </c>
      <c r="P540" s="233">
        <v>0</v>
      </c>
      <c r="Q540" s="232">
        <v>676</v>
      </c>
      <c r="R540" s="233">
        <f t="shared" si="8"/>
        <v>26283</v>
      </c>
      <c r="S540" s="232"/>
      <c r="T540" s="233">
        <v>12707</v>
      </c>
      <c r="U540" s="234">
        <v>1747</v>
      </c>
      <c r="V540" s="234">
        <v>14453</v>
      </c>
    </row>
    <row r="541" spans="1:22">
      <c r="A541" s="227">
        <v>95921</v>
      </c>
      <c r="B541" s="228" t="s">
        <v>1252</v>
      </c>
      <c r="C541" s="87">
        <v>4.4700000000000002E-5</v>
      </c>
      <c r="D541" s="87">
        <v>3.4600000000000001E-5</v>
      </c>
      <c r="E541" s="232">
        <v>16579.87</v>
      </c>
      <c r="F541" s="232">
        <v>15528</v>
      </c>
      <c r="G541" s="232">
        <v>94868</v>
      </c>
      <c r="H541" s="232"/>
      <c r="I541" s="233">
        <v>1782</v>
      </c>
      <c r="J541" s="233">
        <v>83135</v>
      </c>
      <c r="K541" s="233">
        <v>6498</v>
      </c>
      <c r="L541" s="232">
        <v>5096</v>
      </c>
      <c r="M541" s="232"/>
      <c r="N541" s="233">
        <v>3324</v>
      </c>
      <c r="O541" s="233">
        <v>30685</v>
      </c>
      <c r="P541" s="233">
        <v>0</v>
      </c>
      <c r="Q541" s="232">
        <v>1906</v>
      </c>
      <c r="R541" s="233">
        <f t="shared" si="8"/>
        <v>52450</v>
      </c>
      <c r="S541" s="232"/>
      <c r="T541" s="233">
        <v>25357</v>
      </c>
      <c r="U541" s="234">
        <v>463</v>
      </c>
      <c r="V541" s="234">
        <v>25820</v>
      </c>
    </row>
    <row r="542" spans="1:22">
      <c r="A542" s="227">
        <v>96001</v>
      </c>
      <c r="B542" s="228" t="s">
        <v>1253</v>
      </c>
      <c r="C542" s="87">
        <v>4.43519E-2</v>
      </c>
      <c r="D542" s="87">
        <v>4.41456E-2</v>
      </c>
      <c r="E542" s="232">
        <v>17742783.209999997</v>
      </c>
      <c r="F542" s="232">
        <v>19812280</v>
      </c>
      <c r="G542" s="232">
        <v>94129590</v>
      </c>
      <c r="H542" s="232"/>
      <c r="I542" s="233">
        <v>1768532</v>
      </c>
      <c r="J542" s="233">
        <v>82487526</v>
      </c>
      <c r="K542" s="233">
        <v>6447037</v>
      </c>
      <c r="L542" s="232">
        <v>2806449</v>
      </c>
      <c r="M542" s="232"/>
      <c r="N542" s="233">
        <v>3298406</v>
      </c>
      <c r="O542" s="233">
        <v>30445717</v>
      </c>
      <c r="P542" s="233">
        <v>0</v>
      </c>
      <c r="Q542" s="232">
        <v>282683</v>
      </c>
      <c r="R542" s="233">
        <f t="shared" si="8"/>
        <v>52041809</v>
      </c>
      <c r="S542" s="232"/>
      <c r="T542" s="233">
        <v>25159458</v>
      </c>
      <c r="U542" s="234">
        <v>1275874</v>
      </c>
      <c r="V542" s="234">
        <v>26435332</v>
      </c>
    </row>
    <row r="543" spans="1:22">
      <c r="A543" s="227">
        <v>96003</v>
      </c>
      <c r="B543" s="228" t="s">
        <v>1254</v>
      </c>
      <c r="C543" s="87">
        <v>1.7309000000000001E-3</v>
      </c>
      <c r="D543" s="87">
        <v>1.7633E-3</v>
      </c>
      <c r="E543" s="232">
        <v>655848.02</v>
      </c>
      <c r="F543" s="232">
        <v>791358</v>
      </c>
      <c r="G543" s="232">
        <v>3673550</v>
      </c>
      <c r="H543" s="232"/>
      <c r="I543" s="233">
        <v>69020</v>
      </c>
      <c r="J543" s="233">
        <v>3219201</v>
      </c>
      <c r="K543" s="233">
        <v>251605</v>
      </c>
      <c r="L543" s="232">
        <v>4786</v>
      </c>
      <c r="M543" s="232"/>
      <c r="N543" s="233">
        <v>128725</v>
      </c>
      <c r="O543" s="233">
        <v>1188190</v>
      </c>
      <c r="P543" s="233">
        <v>0</v>
      </c>
      <c r="Q543" s="232">
        <v>112661</v>
      </c>
      <c r="R543" s="233">
        <f t="shared" si="8"/>
        <v>2031011</v>
      </c>
      <c r="S543" s="232"/>
      <c r="T543" s="233">
        <v>981886</v>
      </c>
      <c r="U543" s="234">
        <v>-39821</v>
      </c>
      <c r="V543" s="234">
        <v>942065</v>
      </c>
    </row>
    <row r="544" spans="1:22">
      <c r="A544" s="227">
        <v>96004</v>
      </c>
      <c r="B544" s="228" t="s">
        <v>1255</v>
      </c>
      <c r="C544" s="87">
        <v>8.7699999999999996E-4</v>
      </c>
      <c r="D544" s="87">
        <v>8.208E-4</v>
      </c>
      <c r="E544" s="232">
        <v>400422.78</v>
      </c>
      <c r="F544" s="232">
        <v>368370</v>
      </c>
      <c r="G544" s="232">
        <v>1861288</v>
      </c>
      <c r="H544" s="232"/>
      <c r="I544" s="233">
        <v>34970.375</v>
      </c>
      <c r="J544" s="233">
        <v>1631081</v>
      </c>
      <c r="K544" s="233">
        <v>127482</v>
      </c>
      <c r="L544" s="232">
        <v>148722</v>
      </c>
      <c r="M544" s="232"/>
      <c r="N544" s="233">
        <v>65222</v>
      </c>
      <c r="O544" s="233">
        <v>602024</v>
      </c>
      <c r="P544" s="233">
        <v>0</v>
      </c>
      <c r="Q544" s="232">
        <v>0</v>
      </c>
      <c r="R544" s="233">
        <f t="shared" si="8"/>
        <v>1029057</v>
      </c>
      <c r="S544" s="232"/>
      <c r="T544" s="233">
        <v>497495</v>
      </c>
      <c r="U544" s="234">
        <v>52239</v>
      </c>
      <c r="V544" s="234">
        <v>549734</v>
      </c>
    </row>
    <row r="545" spans="1:22">
      <c r="A545" s="227">
        <v>96005</v>
      </c>
      <c r="B545" s="228" t="s">
        <v>1256</v>
      </c>
      <c r="C545" s="87">
        <v>2.6457E-3</v>
      </c>
      <c r="D545" s="87">
        <v>2.6692E-3</v>
      </c>
      <c r="E545" s="232">
        <v>1120531.6299999999</v>
      </c>
      <c r="F545" s="232">
        <v>1197921</v>
      </c>
      <c r="G545" s="232">
        <v>5615062</v>
      </c>
      <c r="H545" s="232"/>
      <c r="I545" s="233">
        <v>105497</v>
      </c>
      <c r="J545" s="233">
        <v>4920584</v>
      </c>
      <c r="K545" s="233">
        <v>384582</v>
      </c>
      <c r="L545" s="232">
        <v>345182</v>
      </c>
      <c r="M545" s="232"/>
      <c r="N545" s="233">
        <v>196758</v>
      </c>
      <c r="O545" s="233">
        <v>1816162</v>
      </c>
      <c r="P545" s="233">
        <v>0</v>
      </c>
      <c r="Q545" s="232">
        <v>0</v>
      </c>
      <c r="R545" s="233">
        <f t="shared" si="8"/>
        <v>3104422</v>
      </c>
      <c r="S545" s="232"/>
      <c r="T545" s="233">
        <v>1500824</v>
      </c>
      <c r="U545" s="234">
        <v>151849</v>
      </c>
      <c r="V545" s="234">
        <v>1652672</v>
      </c>
    </row>
    <row r="546" spans="1:22">
      <c r="A546" s="227">
        <v>96008</v>
      </c>
      <c r="B546" s="228" t="s">
        <v>1257</v>
      </c>
      <c r="C546" s="87">
        <v>5.9388000000000002E-3</v>
      </c>
      <c r="D546" s="87">
        <v>5.4187000000000003E-3</v>
      </c>
      <c r="E546" s="232">
        <v>1816865.04</v>
      </c>
      <c r="F546" s="232">
        <v>2431880</v>
      </c>
      <c r="G546" s="232">
        <v>12604123</v>
      </c>
      <c r="H546" s="232"/>
      <c r="I546" s="233">
        <v>236809.65</v>
      </c>
      <c r="J546" s="233">
        <v>11045230</v>
      </c>
      <c r="K546" s="233">
        <v>863270</v>
      </c>
      <c r="L546" s="232">
        <v>0</v>
      </c>
      <c r="M546" s="232"/>
      <c r="N546" s="233">
        <v>441663</v>
      </c>
      <c r="O546" s="233">
        <v>4076737</v>
      </c>
      <c r="P546" s="233">
        <v>0</v>
      </c>
      <c r="Q546" s="232">
        <v>411808</v>
      </c>
      <c r="R546" s="233">
        <f t="shared" si="8"/>
        <v>6968493</v>
      </c>
      <c r="S546" s="232"/>
      <c r="T546" s="233">
        <v>3368897</v>
      </c>
      <c r="U546" s="234">
        <v>-148661</v>
      </c>
      <c r="V546" s="234">
        <v>3220236</v>
      </c>
    </row>
    <row r="547" spans="1:22">
      <c r="A547" s="227">
        <v>96009</v>
      </c>
      <c r="B547" s="228" t="s">
        <v>1258</v>
      </c>
      <c r="C547" s="87">
        <v>3.5980000000000002E-4</v>
      </c>
      <c r="D547" s="87">
        <v>3.9110000000000002E-4</v>
      </c>
      <c r="E547" s="232">
        <v>164904.64000000001</v>
      </c>
      <c r="F547" s="232">
        <v>175523</v>
      </c>
      <c r="G547" s="232">
        <v>763616</v>
      </c>
      <c r="H547" s="232"/>
      <c r="I547" s="233">
        <v>14347</v>
      </c>
      <c r="J547" s="233">
        <v>669171</v>
      </c>
      <c r="K547" s="233">
        <v>52301</v>
      </c>
      <c r="L547" s="232">
        <v>12534</v>
      </c>
      <c r="M547" s="232"/>
      <c r="N547" s="233">
        <v>26758</v>
      </c>
      <c r="O547" s="233">
        <v>246988</v>
      </c>
      <c r="P547" s="233">
        <v>0</v>
      </c>
      <c r="Q547" s="232">
        <v>3502</v>
      </c>
      <c r="R547" s="233">
        <f t="shared" si="8"/>
        <v>422183</v>
      </c>
      <c r="S547" s="232"/>
      <c r="T547" s="233">
        <v>204103</v>
      </c>
      <c r="U547" s="234">
        <v>4895</v>
      </c>
      <c r="V547" s="234">
        <v>208999</v>
      </c>
    </row>
    <row r="548" spans="1:22">
      <c r="A548" s="227">
        <v>96011</v>
      </c>
      <c r="B548" s="228" t="s">
        <v>1259</v>
      </c>
      <c r="C548" s="87">
        <v>6.0489000000000001E-2</v>
      </c>
      <c r="D548" s="87">
        <v>5.8946100000000001E-2</v>
      </c>
      <c r="E548" s="232">
        <v>23738140.469999999</v>
      </c>
      <c r="F548" s="232">
        <v>26454656</v>
      </c>
      <c r="G548" s="232">
        <v>128377922</v>
      </c>
      <c r="H548" s="232"/>
      <c r="I548" s="233">
        <v>2411999</v>
      </c>
      <c r="J548" s="233">
        <v>112499983</v>
      </c>
      <c r="K548" s="233">
        <v>8792742</v>
      </c>
      <c r="L548" s="232">
        <v>167249</v>
      </c>
      <c r="M548" s="232"/>
      <c r="N548" s="233">
        <v>4498506</v>
      </c>
      <c r="O548" s="233">
        <v>41523158</v>
      </c>
      <c r="P548" s="233">
        <v>0</v>
      </c>
      <c r="Q548" s="232">
        <v>70330</v>
      </c>
      <c r="R548" s="233">
        <f t="shared" si="8"/>
        <v>70976825</v>
      </c>
      <c r="S548" s="232"/>
      <c r="T548" s="233">
        <v>34313535</v>
      </c>
      <c r="U548" s="234">
        <v>40438</v>
      </c>
      <c r="V548" s="234">
        <v>34353973</v>
      </c>
    </row>
    <row r="549" spans="1:22">
      <c r="A549" s="227">
        <v>96012</v>
      </c>
      <c r="B549" s="228" t="s">
        <v>1260</v>
      </c>
      <c r="C549" s="87">
        <v>2.4095000000000002E-3</v>
      </c>
      <c r="D549" s="87">
        <v>2.1905000000000002E-3</v>
      </c>
      <c r="E549" s="232">
        <v>930120.22000000009</v>
      </c>
      <c r="F549" s="232">
        <v>983083</v>
      </c>
      <c r="G549" s="232">
        <v>5113766</v>
      </c>
      <c r="H549" s="232"/>
      <c r="I549" s="233">
        <v>96079</v>
      </c>
      <c r="J549" s="233">
        <v>4481289</v>
      </c>
      <c r="K549" s="233">
        <v>350247</v>
      </c>
      <c r="L549" s="232">
        <v>112910</v>
      </c>
      <c r="M549" s="232"/>
      <c r="N549" s="233">
        <v>179192</v>
      </c>
      <c r="O549" s="233">
        <v>1654021</v>
      </c>
      <c r="P549" s="233">
        <v>0</v>
      </c>
      <c r="Q549" s="232">
        <v>0</v>
      </c>
      <c r="R549" s="233">
        <f t="shared" si="8"/>
        <v>2827268</v>
      </c>
      <c r="S549" s="232"/>
      <c r="T549" s="233">
        <v>1366835</v>
      </c>
      <c r="U549" s="234">
        <v>35829</v>
      </c>
      <c r="V549" s="234">
        <v>1402664</v>
      </c>
    </row>
    <row r="550" spans="1:22">
      <c r="A550" s="227">
        <v>96018</v>
      </c>
      <c r="B550" s="228" t="s">
        <v>1261</v>
      </c>
      <c r="C550" s="87">
        <v>3.6199999999999999E-5</v>
      </c>
      <c r="D550" s="87">
        <v>3.3599999999999997E-5</v>
      </c>
      <c r="E550" s="232">
        <v>13498.509999999998</v>
      </c>
      <c r="F550" s="232">
        <v>15079</v>
      </c>
      <c r="G550" s="232">
        <v>76829</v>
      </c>
      <c r="H550" s="232"/>
      <c r="I550" s="233">
        <v>1443.4749999999999</v>
      </c>
      <c r="J550" s="233">
        <v>67326</v>
      </c>
      <c r="K550" s="233">
        <v>5262</v>
      </c>
      <c r="L550" s="232">
        <v>11396</v>
      </c>
      <c r="M550" s="232"/>
      <c r="N550" s="233">
        <v>2692</v>
      </c>
      <c r="O550" s="233">
        <v>24850</v>
      </c>
      <c r="P550" s="233">
        <v>0</v>
      </c>
      <c r="Q550" s="232">
        <v>0</v>
      </c>
      <c r="R550" s="233">
        <f t="shared" si="8"/>
        <v>42476</v>
      </c>
      <c r="S550" s="232"/>
      <c r="T550" s="233">
        <v>20535</v>
      </c>
      <c r="U550" s="234">
        <v>5069</v>
      </c>
      <c r="V550" s="234">
        <v>25604</v>
      </c>
    </row>
    <row r="551" spans="1:22">
      <c r="A551" s="227">
        <v>96021</v>
      </c>
      <c r="B551" s="228" t="s">
        <v>1262</v>
      </c>
      <c r="C551" s="87">
        <v>8.5829999999999999E-4</v>
      </c>
      <c r="D551" s="87">
        <v>8.8719999999999999E-4</v>
      </c>
      <c r="E551" s="232">
        <v>330918.43</v>
      </c>
      <c r="F551" s="232">
        <v>398170</v>
      </c>
      <c r="G551" s="232">
        <v>1821600</v>
      </c>
      <c r="H551" s="232"/>
      <c r="I551" s="233">
        <v>34225</v>
      </c>
      <c r="J551" s="233">
        <v>1596302</v>
      </c>
      <c r="K551" s="233">
        <v>124763</v>
      </c>
      <c r="L551" s="232">
        <v>50366</v>
      </c>
      <c r="M551" s="232"/>
      <c r="N551" s="233">
        <v>63831</v>
      </c>
      <c r="O551" s="233">
        <v>589187</v>
      </c>
      <c r="P551" s="233">
        <v>0</v>
      </c>
      <c r="Q551" s="232">
        <v>33170</v>
      </c>
      <c r="R551" s="233">
        <f t="shared" si="8"/>
        <v>1007115</v>
      </c>
      <c r="S551" s="232"/>
      <c r="T551" s="233">
        <v>486887</v>
      </c>
      <c r="U551" s="234">
        <v>9814</v>
      </c>
      <c r="V551" s="234">
        <v>496701</v>
      </c>
    </row>
    <row r="552" spans="1:22">
      <c r="A552" s="227">
        <v>96031</v>
      </c>
      <c r="B552" s="228" t="s">
        <v>1263</v>
      </c>
      <c r="C552" s="87">
        <v>9.0189999999999997E-4</v>
      </c>
      <c r="D552" s="87">
        <v>8.116E-4</v>
      </c>
      <c r="E552" s="232">
        <v>268946.90999999997</v>
      </c>
      <c r="F552" s="232">
        <v>364241</v>
      </c>
      <c r="G552" s="232">
        <v>1914134</v>
      </c>
      <c r="H552" s="232"/>
      <c r="I552" s="233">
        <v>35963</v>
      </c>
      <c r="J552" s="233">
        <v>1677391</v>
      </c>
      <c r="K552" s="233">
        <v>131101</v>
      </c>
      <c r="L552" s="232">
        <v>0</v>
      </c>
      <c r="M552" s="232"/>
      <c r="N552" s="233">
        <v>67073</v>
      </c>
      <c r="O552" s="233">
        <v>619116</v>
      </c>
      <c r="P552" s="233">
        <v>0</v>
      </c>
      <c r="Q552" s="232">
        <v>136310</v>
      </c>
      <c r="R552" s="233">
        <f t="shared" si="8"/>
        <v>1058275</v>
      </c>
      <c r="S552" s="232"/>
      <c r="T552" s="233">
        <v>511620</v>
      </c>
      <c r="U552" s="234">
        <v>-50978</v>
      </c>
      <c r="V552" s="234">
        <v>460642</v>
      </c>
    </row>
    <row r="553" spans="1:22">
      <c r="A553" s="227">
        <v>96041</v>
      </c>
      <c r="B553" s="228" t="s">
        <v>1264</v>
      </c>
      <c r="C553" s="87">
        <v>1.7323E-3</v>
      </c>
      <c r="D553" s="87">
        <v>1.6793999999999999E-3</v>
      </c>
      <c r="E553" s="232">
        <v>616934.88000000012</v>
      </c>
      <c r="F553" s="232">
        <v>753705</v>
      </c>
      <c r="G553" s="232">
        <v>3676521</v>
      </c>
      <c r="H553" s="232"/>
      <c r="I553" s="233">
        <v>69075</v>
      </c>
      <c r="J553" s="233">
        <v>3221804</v>
      </c>
      <c r="K553" s="233">
        <v>251809</v>
      </c>
      <c r="L553" s="232">
        <v>0</v>
      </c>
      <c r="M553" s="232"/>
      <c r="N553" s="233">
        <v>128829</v>
      </c>
      <c r="O553" s="233">
        <v>1189151</v>
      </c>
      <c r="P553" s="233">
        <v>0</v>
      </c>
      <c r="Q553" s="232">
        <v>127191</v>
      </c>
      <c r="R553" s="233">
        <f t="shared" si="8"/>
        <v>2032653</v>
      </c>
      <c r="S553" s="232"/>
      <c r="T553" s="233">
        <v>982680</v>
      </c>
      <c r="U553" s="234">
        <v>-45617</v>
      </c>
      <c r="V553" s="234">
        <v>937063</v>
      </c>
    </row>
    <row r="554" spans="1:22">
      <c r="A554" s="227">
        <v>96051</v>
      </c>
      <c r="B554" s="228" t="s">
        <v>1265</v>
      </c>
      <c r="C554" s="87">
        <v>1.0258000000000001E-3</v>
      </c>
      <c r="D554" s="87">
        <v>1.0265999999999999E-3</v>
      </c>
      <c r="E554" s="232">
        <v>369762.41000000003</v>
      </c>
      <c r="F554" s="232">
        <v>460732</v>
      </c>
      <c r="G554" s="232">
        <v>2177091</v>
      </c>
      <c r="H554" s="232"/>
      <c r="I554" s="233">
        <v>40904</v>
      </c>
      <c r="J554" s="233">
        <v>1907826</v>
      </c>
      <c r="K554" s="233">
        <v>149111</v>
      </c>
      <c r="L554" s="232">
        <v>0</v>
      </c>
      <c r="M554" s="232"/>
      <c r="N554" s="233">
        <v>76288</v>
      </c>
      <c r="O554" s="233">
        <v>704169</v>
      </c>
      <c r="P554" s="233">
        <v>0</v>
      </c>
      <c r="Q554" s="232">
        <v>94345</v>
      </c>
      <c r="R554" s="233">
        <f t="shared" si="8"/>
        <v>1203657</v>
      </c>
      <c r="S554" s="232"/>
      <c r="T554" s="233">
        <v>581905</v>
      </c>
      <c r="U554" s="234">
        <v>-32749</v>
      </c>
      <c r="V554" s="234">
        <v>549156</v>
      </c>
    </row>
    <row r="555" spans="1:22">
      <c r="A555" s="227">
        <v>96061</v>
      </c>
      <c r="B555" s="228" t="s">
        <v>1266</v>
      </c>
      <c r="C555" s="87">
        <v>3.0800000000000001E-4</v>
      </c>
      <c r="D555" s="87">
        <v>3.1809999999999998E-4</v>
      </c>
      <c r="E555" s="232">
        <v>123610.23999999999</v>
      </c>
      <c r="F555" s="232">
        <v>142761</v>
      </c>
      <c r="G555" s="232">
        <v>653679</v>
      </c>
      <c r="H555" s="232"/>
      <c r="I555" s="233">
        <v>12281.5</v>
      </c>
      <c r="J555" s="233">
        <v>572831</v>
      </c>
      <c r="K555" s="233">
        <v>44771</v>
      </c>
      <c r="L555" s="232">
        <v>2239</v>
      </c>
      <c r="M555" s="232"/>
      <c r="N555" s="233">
        <v>22906</v>
      </c>
      <c r="O555" s="233">
        <v>211429</v>
      </c>
      <c r="P555" s="233">
        <v>0</v>
      </c>
      <c r="Q555" s="232">
        <v>11106</v>
      </c>
      <c r="R555" s="233">
        <f t="shared" si="8"/>
        <v>361402</v>
      </c>
      <c r="S555" s="232"/>
      <c r="T555" s="233">
        <v>174719</v>
      </c>
      <c r="U555" s="234">
        <v>-2865</v>
      </c>
      <c r="V555" s="234">
        <v>171854</v>
      </c>
    </row>
    <row r="556" spans="1:22">
      <c r="A556" s="227">
        <v>96071</v>
      </c>
      <c r="B556" s="228" t="s">
        <v>1267</v>
      </c>
      <c r="C556" s="87">
        <v>1.1280999999999999E-3</v>
      </c>
      <c r="D556" s="87">
        <v>1.2979000000000001E-3</v>
      </c>
      <c r="E556" s="232">
        <v>475581.26</v>
      </c>
      <c r="F556" s="232">
        <v>582490</v>
      </c>
      <c r="G556" s="232">
        <v>2394206</v>
      </c>
      <c r="H556" s="232"/>
      <c r="I556" s="233">
        <v>44983</v>
      </c>
      <c r="J556" s="233">
        <v>2098088</v>
      </c>
      <c r="K556" s="233">
        <v>163982</v>
      </c>
      <c r="L556" s="232">
        <v>64300</v>
      </c>
      <c r="M556" s="232"/>
      <c r="N556" s="233">
        <v>83896</v>
      </c>
      <c r="O556" s="233">
        <v>774393</v>
      </c>
      <c r="P556" s="233">
        <v>0</v>
      </c>
      <c r="Q556" s="232">
        <v>103673</v>
      </c>
      <c r="R556" s="233">
        <f t="shared" si="8"/>
        <v>1323695</v>
      </c>
      <c r="S556" s="232"/>
      <c r="T556" s="233">
        <v>639936</v>
      </c>
      <c r="U556" s="234">
        <v>-9157</v>
      </c>
      <c r="V556" s="234">
        <v>630779</v>
      </c>
    </row>
    <row r="557" spans="1:22">
      <c r="A557" s="227">
        <v>96081</v>
      </c>
      <c r="B557" s="228" t="s">
        <v>1268</v>
      </c>
      <c r="C557" s="87">
        <v>4.7820000000000002E-4</v>
      </c>
      <c r="D557" s="87">
        <v>4.3820000000000003E-4</v>
      </c>
      <c r="E557" s="232">
        <v>172267.02000000002</v>
      </c>
      <c r="F557" s="232">
        <v>196662</v>
      </c>
      <c r="G557" s="232">
        <v>1014901</v>
      </c>
      <c r="H557" s="232"/>
      <c r="I557" s="233">
        <v>19068</v>
      </c>
      <c r="J557" s="233">
        <v>889376</v>
      </c>
      <c r="K557" s="233">
        <v>69512</v>
      </c>
      <c r="L557" s="232">
        <v>14379</v>
      </c>
      <c r="M557" s="232"/>
      <c r="N557" s="233">
        <v>35563</v>
      </c>
      <c r="O557" s="233">
        <v>328264</v>
      </c>
      <c r="P557" s="233">
        <v>0</v>
      </c>
      <c r="Q557" s="232">
        <v>6375</v>
      </c>
      <c r="R557" s="233">
        <f t="shared" si="8"/>
        <v>561112</v>
      </c>
      <c r="S557" s="232"/>
      <c r="T557" s="233">
        <v>271268</v>
      </c>
      <c r="U557" s="234">
        <v>4406</v>
      </c>
      <c r="V557" s="234">
        <v>275674</v>
      </c>
    </row>
    <row r="558" spans="1:22">
      <c r="A558" s="227">
        <v>96101</v>
      </c>
      <c r="B558" s="228" t="s">
        <v>1269</v>
      </c>
      <c r="C558" s="87">
        <v>7.5860000000000001E-4</v>
      </c>
      <c r="D558" s="87">
        <v>7.6990000000000001E-4</v>
      </c>
      <c r="E558" s="232">
        <v>313732.09000000003</v>
      </c>
      <c r="F558" s="232">
        <v>345527</v>
      </c>
      <c r="G558" s="232">
        <v>1610003</v>
      </c>
      <c r="H558" s="232"/>
      <c r="I558" s="233">
        <v>30249</v>
      </c>
      <c r="J558" s="233">
        <v>1410876</v>
      </c>
      <c r="K558" s="233">
        <v>110271</v>
      </c>
      <c r="L558" s="232">
        <v>31021</v>
      </c>
      <c r="M558" s="232"/>
      <c r="N558" s="233">
        <v>56416</v>
      </c>
      <c r="O558" s="233">
        <v>520747</v>
      </c>
      <c r="P558" s="233">
        <v>0</v>
      </c>
      <c r="Q558" s="232">
        <v>4721</v>
      </c>
      <c r="R558" s="233">
        <f t="shared" si="8"/>
        <v>890129</v>
      </c>
      <c r="S558" s="232"/>
      <c r="T558" s="233">
        <v>430330</v>
      </c>
      <c r="U558" s="234">
        <v>11900</v>
      </c>
      <c r="V558" s="234">
        <v>442230</v>
      </c>
    </row>
    <row r="559" spans="1:22">
      <c r="A559" s="227">
        <v>96102</v>
      </c>
      <c r="B559" s="228" t="s">
        <v>1270</v>
      </c>
      <c r="C559" s="87">
        <v>1.42E-5</v>
      </c>
      <c r="D559" s="87">
        <v>1.3699999999999999E-5</v>
      </c>
      <c r="E559" s="232">
        <v>4769.91</v>
      </c>
      <c r="F559" s="232">
        <v>6148</v>
      </c>
      <c r="G559" s="232">
        <v>30137</v>
      </c>
      <c r="H559" s="232"/>
      <c r="I559" s="233">
        <v>566.22500000000002</v>
      </c>
      <c r="J559" s="233">
        <v>26410</v>
      </c>
      <c r="K559" s="233">
        <v>2064</v>
      </c>
      <c r="L559" s="232">
        <v>0</v>
      </c>
      <c r="M559" s="232"/>
      <c r="N559" s="233">
        <v>1056</v>
      </c>
      <c r="O559" s="233">
        <v>9748</v>
      </c>
      <c r="P559" s="233">
        <v>0</v>
      </c>
      <c r="Q559" s="232">
        <v>2903</v>
      </c>
      <c r="R559" s="233">
        <f t="shared" si="8"/>
        <v>16662</v>
      </c>
      <c r="S559" s="232"/>
      <c r="T559" s="233">
        <v>8055</v>
      </c>
      <c r="U559" s="234">
        <v>-1101</v>
      </c>
      <c r="V559" s="234">
        <v>6954</v>
      </c>
    </row>
    <row r="560" spans="1:22">
      <c r="A560" s="227">
        <v>96111</v>
      </c>
      <c r="B560" s="228" t="s">
        <v>1271</v>
      </c>
      <c r="C560" s="87">
        <v>1.6119999999999999E-4</v>
      </c>
      <c r="D560" s="87">
        <v>1.616E-4</v>
      </c>
      <c r="E560" s="232">
        <v>70991.37</v>
      </c>
      <c r="F560" s="232">
        <v>72525</v>
      </c>
      <c r="G560" s="232">
        <v>342120</v>
      </c>
      <c r="H560" s="232"/>
      <c r="I560" s="233">
        <v>6428</v>
      </c>
      <c r="J560" s="233">
        <v>299807</v>
      </c>
      <c r="K560" s="233">
        <v>23432</v>
      </c>
      <c r="L560" s="232">
        <v>16577</v>
      </c>
      <c r="M560" s="232"/>
      <c r="N560" s="233">
        <v>11988</v>
      </c>
      <c r="O560" s="233">
        <v>110657</v>
      </c>
      <c r="P560" s="233">
        <v>0</v>
      </c>
      <c r="Q560" s="232">
        <v>0</v>
      </c>
      <c r="R560" s="233">
        <f t="shared" si="8"/>
        <v>189150</v>
      </c>
      <c r="S560" s="232"/>
      <c r="T560" s="233">
        <v>91444</v>
      </c>
      <c r="U560" s="234">
        <v>7175</v>
      </c>
      <c r="V560" s="234">
        <v>98618</v>
      </c>
    </row>
    <row r="561" spans="1:22">
      <c r="A561" s="227">
        <v>96121</v>
      </c>
      <c r="B561" s="228" t="s">
        <v>1272</v>
      </c>
      <c r="C561" s="87">
        <v>2.2099999999999998E-5</v>
      </c>
      <c r="D561" s="87">
        <v>1.9199999999999999E-5</v>
      </c>
      <c r="E561" s="232">
        <v>7784.73</v>
      </c>
      <c r="F561" s="232">
        <v>8617</v>
      </c>
      <c r="G561" s="232">
        <v>46904</v>
      </c>
      <c r="H561" s="232"/>
      <c r="I561" s="233">
        <v>881.23749999999995</v>
      </c>
      <c r="J561" s="233">
        <v>41103</v>
      </c>
      <c r="K561" s="233">
        <v>3212</v>
      </c>
      <c r="L561" s="232">
        <v>535</v>
      </c>
      <c r="M561" s="232"/>
      <c r="N561" s="233">
        <v>1644</v>
      </c>
      <c r="O561" s="233">
        <v>15171</v>
      </c>
      <c r="P561" s="233">
        <v>0</v>
      </c>
      <c r="Q561" s="232">
        <v>1907</v>
      </c>
      <c r="R561" s="233">
        <f t="shared" si="8"/>
        <v>25932</v>
      </c>
      <c r="S561" s="232"/>
      <c r="T561" s="233">
        <v>12537</v>
      </c>
      <c r="U561" s="234">
        <v>-758</v>
      </c>
      <c r="V561" s="234">
        <v>11779</v>
      </c>
    </row>
    <row r="562" spans="1:22">
      <c r="A562" s="227">
        <v>96201</v>
      </c>
      <c r="B562" s="228" t="s">
        <v>1273</v>
      </c>
      <c r="C562" s="87">
        <v>1.2302999999999999E-3</v>
      </c>
      <c r="D562" s="87">
        <v>1.2474000000000001E-3</v>
      </c>
      <c r="E562" s="232">
        <v>481242.57</v>
      </c>
      <c r="F562" s="232">
        <v>559826</v>
      </c>
      <c r="G562" s="232">
        <v>2611109</v>
      </c>
      <c r="H562" s="232"/>
      <c r="I562" s="233">
        <v>49058</v>
      </c>
      <c r="J562" s="233">
        <v>2288164</v>
      </c>
      <c r="K562" s="233">
        <v>178838</v>
      </c>
      <c r="L562" s="232">
        <v>0</v>
      </c>
      <c r="M562" s="232"/>
      <c r="N562" s="233">
        <v>91496</v>
      </c>
      <c r="O562" s="233">
        <v>844549</v>
      </c>
      <c r="P562" s="233">
        <v>0</v>
      </c>
      <c r="Q562" s="232">
        <v>39692</v>
      </c>
      <c r="R562" s="233">
        <f t="shared" si="8"/>
        <v>1443615</v>
      </c>
      <c r="S562" s="232"/>
      <c r="T562" s="233">
        <v>697911</v>
      </c>
      <c r="U562" s="234">
        <v>-11921</v>
      </c>
      <c r="V562" s="234">
        <v>685990</v>
      </c>
    </row>
    <row r="563" spans="1:22">
      <c r="A563" s="227">
        <v>96204</v>
      </c>
      <c r="B563" s="228" t="s">
        <v>1274</v>
      </c>
      <c r="C563" s="87">
        <v>1.5400000000000002E-5</v>
      </c>
      <c r="D563" s="87">
        <v>1.49E-5</v>
      </c>
      <c r="E563" s="232">
        <v>7656.0400000000009</v>
      </c>
      <c r="F563" s="232">
        <v>6687</v>
      </c>
      <c r="G563" s="232">
        <v>32684</v>
      </c>
      <c r="H563" s="232"/>
      <c r="I563" s="233">
        <v>614</v>
      </c>
      <c r="J563" s="233">
        <v>28642</v>
      </c>
      <c r="K563" s="233">
        <v>2239</v>
      </c>
      <c r="L563" s="232">
        <v>3853</v>
      </c>
      <c r="M563" s="232"/>
      <c r="N563" s="233">
        <v>1145</v>
      </c>
      <c r="O563" s="233">
        <v>10571</v>
      </c>
      <c r="P563" s="233">
        <v>0</v>
      </c>
      <c r="Q563" s="232">
        <v>0</v>
      </c>
      <c r="R563" s="233">
        <f t="shared" si="8"/>
        <v>18071</v>
      </c>
      <c r="S563" s="232"/>
      <c r="T563" s="233">
        <v>8736</v>
      </c>
      <c r="U563" s="234">
        <v>1392</v>
      </c>
      <c r="V563" s="234">
        <v>10127</v>
      </c>
    </row>
    <row r="564" spans="1:22">
      <c r="A564" s="227">
        <v>96211</v>
      </c>
      <c r="B564" s="228" t="s">
        <v>1275</v>
      </c>
      <c r="C564" s="87">
        <v>3.0700000000000001E-5</v>
      </c>
      <c r="D564" s="87">
        <v>2.7399999999999999E-5</v>
      </c>
      <c r="E564" s="232">
        <v>14055.49</v>
      </c>
      <c r="F564" s="232">
        <v>12297</v>
      </c>
      <c r="G564" s="232">
        <v>65156</v>
      </c>
      <c r="H564" s="232"/>
      <c r="I564" s="233">
        <v>1224</v>
      </c>
      <c r="J564" s="233">
        <v>57097</v>
      </c>
      <c r="K564" s="233">
        <v>4463</v>
      </c>
      <c r="L564" s="232">
        <v>5441</v>
      </c>
      <c r="M564" s="232"/>
      <c r="N564" s="233">
        <v>2283</v>
      </c>
      <c r="O564" s="233">
        <v>21074</v>
      </c>
      <c r="P564" s="233">
        <v>0</v>
      </c>
      <c r="Q564" s="232">
        <v>8968.93</v>
      </c>
      <c r="R564" s="233">
        <f t="shared" si="8"/>
        <v>36023</v>
      </c>
      <c r="S564" s="232"/>
      <c r="T564" s="233">
        <v>17415</v>
      </c>
      <c r="U564" s="234">
        <v>-2857</v>
      </c>
      <c r="V564" s="234">
        <v>14558</v>
      </c>
    </row>
    <row r="565" spans="1:22">
      <c r="A565" s="227">
        <v>96221</v>
      </c>
      <c r="B565" s="228" t="s">
        <v>1276</v>
      </c>
      <c r="C565" s="87">
        <v>2.287E-4</v>
      </c>
      <c r="D565" s="87">
        <v>2.3719999999999999E-4</v>
      </c>
      <c r="E565" s="232">
        <v>88753.9</v>
      </c>
      <c r="F565" s="232">
        <v>106454</v>
      </c>
      <c r="G565" s="232">
        <v>485378</v>
      </c>
      <c r="H565" s="232"/>
      <c r="I565" s="233">
        <v>9119</v>
      </c>
      <c r="J565" s="233">
        <v>425346</v>
      </c>
      <c r="K565" s="233">
        <v>33244</v>
      </c>
      <c r="L565" s="232">
        <v>4903</v>
      </c>
      <c r="M565" s="232"/>
      <c r="N565" s="233">
        <v>17008</v>
      </c>
      <c r="O565" s="233">
        <v>156993</v>
      </c>
      <c r="P565" s="233">
        <v>0</v>
      </c>
      <c r="Q565" s="232">
        <v>16105</v>
      </c>
      <c r="R565" s="233">
        <f t="shared" si="8"/>
        <v>268353</v>
      </c>
      <c r="S565" s="232"/>
      <c r="T565" s="233">
        <v>129734</v>
      </c>
      <c r="U565" s="234">
        <v>-2405</v>
      </c>
      <c r="V565" s="234">
        <v>127329</v>
      </c>
    </row>
    <row r="566" spans="1:22">
      <c r="A566" s="227">
        <v>96231</v>
      </c>
      <c r="B566" s="228" t="s">
        <v>1277</v>
      </c>
      <c r="C566" s="87">
        <v>1.145E-4</v>
      </c>
      <c r="D566" s="87">
        <v>1.2420000000000001E-4</v>
      </c>
      <c r="E566" s="232">
        <v>40508.479999999996</v>
      </c>
      <c r="F566" s="232">
        <v>55740</v>
      </c>
      <c r="G566" s="232">
        <v>243007</v>
      </c>
      <c r="H566" s="232"/>
      <c r="I566" s="233">
        <v>4565.6875</v>
      </c>
      <c r="J566" s="233">
        <v>212952</v>
      </c>
      <c r="K566" s="233">
        <v>16644</v>
      </c>
      <c r="L566" s="232">
        <v>0</v>
      </c>
      <c r="M566" s="232"/>
      <c r="N566" s="233">
        <v>8515</v>
      </c>
      <c r="O566" s="233">
        <v>78599</v>
      </c>
      <c r="P566" s="233">
        <v>0</v>
      </c>
      <c r="Q566" s="232">
        <v>22692</v>
      </c>
      <c r="R566" s="233">
        <f t="shared" si="8"/>
        <v>134353</v>
      </c>
      <c r="S566" s="232"/>
      <c r="T566" s="233">
        <v>64952</v>
      </c>
      <c r="U566" s="234">
        <v>-7733</v>
      </c>
      <c r="V566" s="234">
        <v>57219</v>
      </c>
    </row>
    <row r="567" spans="1:22">
      <c r="A567" s="227">
        <v>96241</v>
      </c>
      <c r="B567" s="228" t="s">
        <v>1278</v>
      </c>
      <c r="C567" s="87">
        <v>4.6100000000000002E-5</v>
      </c>
      <c r="D567" s="87">
        <v>5.7000000000000003E-5</v>
      </c>
      <c r="E567" s="232">
        <v>18964.25</v>
      </c>
      <c r="F567" s="232">
        <v>25581</v>
      </c>
      <c r="G567" s="232">
        <v>97840</v>
      </c>
      <c r="H567" s="232"/>
      <c r="I567" s="233">
        <v>1838</v>
      </c>
      <c r="J567" s="233">
        <v>85739</v>
      </c>
      <c r="K567" s="233">
        <v>6701</v>
      </c>
      <c r="L567" s="232">
        <v>7866</v>
      </c>
      <c r="M567" s="232"/>
      <c r="N567" s="233">
        <v>3428</v>
      </c>
      <c r="O567" s="233">
        <v>31646</v>
      </c>
      <c r="P567" s="233">
        <v>0</v>
      </c>
      <c r="Q567" s="232">
        <v>5900</v>
      </c>
      <c r="R567" s="233">
        <f t="shared" si="8"/>
        <v>54093</v>
      </c>
      <c r="S567" s="232"/>
      <c r="T567" s="233">
        <v>26151</v>
      </c>
      <c r="U567" s="234">
        <v>2187</v>
      </c>
      <c r="V567" s="234">
        <v>28338</v>
      </c>
    </row>
    <row r="568" spans="1:22">
      <c r="A568" s="227">
        <v>96251</v>
      </c>
      <c r="B568" s="228" t="s">
        <v>1279</v>
      </c>
      <c r="C568" s="87">
        <v>7.7100000000000004E-5</v>
      </c>
      <c r="D568" s="87">
        <v>9.0699999999999996E-5</v>
      </c>
      <c r="E568" s="232">
        <v>29404.75</v>
      </c>
      <c r="F568" s="232">
        <v>40706</v>
      </c>
      <c r="G568" s="232">
        <v>163632</v>
      </c>
      <c r="H568" s="232"/>
      <c r="I568" s="233">
        <v>3074</v>
      </c>
      <c r="J568" s="233">
        <v>143394</v>
      </c>
      <c r="K568" s="233">
        <v>11207</v>
      </c>
      <c r="L568" s="232">
        <v>0</v>
      </c>
      <c r="M568" s="232"/>
      <c r="N568" s="233">
        <v>5734</v>
      </c>
      <c r="O568" s="233">
        <v>52926</v>
      </c>
      <c r="P568" s="233">
        <v>0</v>
      </c>
      <c r="Q568" s="232">
        <v>25538</v>
      </c>
      <c r="R568" s="233">
        <f t="shared" si="8"/>
        <v>90468</v>
      </c>
      <c r="S568" s="232"/>
      <c r="T568" s="233">
        <v>43736</v>
      </c>
      <c r="U568" s="234">
        <v>-8652</v>
      </c>
      <c r="V568" s="234">
        <v>35085</v>
      </c>
    </row>
    <row r="569" spans="1:22">
      <c r="A569" s="227">
        <v>96301</v>
      </c>
      <c r="B569" s="228" t="s">
        <v>1280</v>
      </c>
      <c r="C569" s="87">
        <v>4.3785999999999999E-3</v>
      </c>
      <c r="D569" s="87">
        <v>4.5367999999999997E-3</v>
      </c>
      <c r="E569" s="232">
        <v>1765528.9300000002</v>
      </c>
      <c r="F569" s="232">
        <v>2036089</v>
      </c>
      <c r="G569" s="232">
        <v>9292856</v>
      </c>
      <c r="H569" s="232"/>
      <c r="I569" s="233">
        <v>174597</v>
      </c>
      <c r="J569" s="233">
        <v>8143504</v>
      </c>
      <c r="K569" s="233">
        <v>636478</v>
      </c>
      <c r="L569" s="232">
        <v>94185</v>
      </c>
      <c r="M569" s="232"/>
      <c r="N569" s="233">
        <v>325632</v>
      </c>
      <c r="O569" s="233">
        <v>3005725</v>
      </c>
      <c r="P569" s="233">
        <v>0</v>
      </c>
      <c r="Q569" s="232">
        <v>147101</v>
      </c>
      <c r="R569" s="233">
        <f t="shared" si="8"/>
        <v>5137779</v>
      </c>
      <c r="S569" s="232"/>
      <c r="T569" s="233">
        <v>2483844</v>
      </c>
      <c r="U569" s="234">
        <v>-12863</v>
      </c>
      <c r="V569" s="234">
        <v>2470981</v>
      </c>
    </row>
    <row r="570" spans="1:22">
      <c r="A570" s="227">
        <v>96302</v>
      </c>
      <c r="B570" s="228" t="s">
        <v>1281</v>
      </c>
      <c r="C570" s="87">
        <v>1.9199999999999999E-5</v>
      </c>
      <c r="D570" s="87">
        <v>1.42E-5</v>
      </c>
      <c r="E570" s="232">
        <v>6636.09</v>
      </c>
      <c r="F570" s="232">
        <v>6373</v>
      </c>
      <c r="G570" s="232">
        <v>40749</v>
      </c>
      <c r="H570" s="232"/>
      <c r="I570" s="233">
        <v>766</v>
      </c>
      <c r="J570" s="233">
        <v>35709</v>
      </c>
      <c r="K570" s="233">
        <v>2791</v>
      </c>
      <c r="L570" s="232">
        <v>4449</v>
      </c>
      <c r="M570" s="232"/>
      <c r="N570" s="233">
        <v>1428</v>
      </c>
      <c r="O570" s="233">
        <v>13180</v>
      </c>
      <c r="P570" s="233">
        <v>0</v>
      </c>
      <c r="Q570" s="232">
        <v>0</v>
      </c>
      <c r="R570" s="233">
        <f t="shared" si="8"/>
        <v>22529</v>
      </c>
      <c r="S570" s="232"/>
      <c r="T570" s="233">
        <v>10892</v>
      </c>
      <c r="U570" s="234">
        <v>1514</v>
      </c>
      <c r="V570" s="234">
        <v>12406</v>
      </c>
    </row>
    <row r="571" spans="1:22">
      <c r="A571" s="227">
        <v>96304</v>
      </c>
      <c r="B571" s="228" t="s">
        <v>1282</v>
      </c>
      <c r="C571" s="87">
        <v>5.4599999999999999E-5</v>
      </c>
      <c r="D571" s="87">
        <v>5.24E-5</v>
      </c>
      <c r="E571" s="232">
        <v>25715.360000000001</v>
      </c>
      <c r="F571" s="232">
        <v>23517</v>
      </c>
      <c r="G571" s="232">
        <v>115879</v>
      </c>
      <c r="H571" s="232"/>
      <c r="I571" s="233">
        <v>2177</v>
      </c>
      <c r="J571" s="233">
        <v>101547</v>
      </c>
      <c r="K571" s="233">
        <v>7937</v>
      </c>
      <c r="L571" s="232">
        <v>7913</v>
      </c>
      <c r="M571" s="232"/>
      <c r="N571" s="233">
        <v>4061</v>
      </c>
      <c r="O571" s="233">
        <v>37481</v>
      </c>
      <c r="P571" s="233">
        <v>0</v>
      </c>
      <c r="Q571" s="232">
        <v>231</v>
      </c>
      <c r="R571" s="233">
        <f t="shared" si="8"/>
        <v>64066</v>
      </c>
      <c r="S571" s="232"/>
      <c r="T571" s="233">
        <v>30973</v>
      </c>
      <c r="U571" s="234">
        <v>2329</v>
      </c>
      <c r="V571" s="234">
        <v>33302</v>
      </c>
    </row>
    <row r="572" spans="1:22">
      <c r="A572" s="227">
        <v>96305</v>
      </c>
      <c r="B572" s="228" t="s">
        <v>1283</v>
      </c>
      <c r="C572" s="87">
        <v>4.8199999999999999E-5</v>
      </c>
      <c r="D572" s="87">
        <v>5.0399999999999999E-5</v>
      </c>
      <c r="E572" s="232">
        <v>28361.089999999997</v>
      </c>
      <c r="F572" s="232">
        <v>22619</v>
      </c>
      <c r="G572" s="232">
        <v>102297</v>
      </c>
      <c r="H572" s="232"/>
      <c r="I572" s="233">
        <v>1921.9749999999999</v>
      </c>
      <c r="J572" s="233">
        <v>89644</v>
      </c>
      <c r="K572" s="233">
        <v>7006</v>
      </c>
      <c r="L572" s="232">
        <v>10711</v>
      </c>
      <c r="M572" s="232"/>
      <c r="N572" s="233">
        <v>3585</v>
      </c>
      <c r="O572" s="233">
        <v>33087</v>
      </c>
      <c r="P572" s="233">
        <v>0</v>
      </c>
      <c r="Q572" s="232">
        <v>0</v>
      </c>
      <c r="R572" s="233">
        <f t="shared" si="8"/>
        <v>56557</v>
      </c>
      <c r="S572" s="232"/>
      <c r="T572" s="233">
        <v>27342</v>
      </c>
      <c r="U572" s="234">
        <v>3278</v>
      </c>
      <c r="V572" s="234">
        <v>30620</v>
      </c>
    </row>
    <row r="573" spans="1:22">
      <c r="A573" s="227">
        <v>96310</v>
      </c>
      <c r="B573" s="228" t="s">
        <v>1284</v>
      </c>
      <c r="C573" s="87">
        <v>4.88E-5</v>
      </c>
      <c r="D573" s="87">
        <v>6.1299999999999999E-5</v>
      </c>
      <c r="E573" s="232">
        <v>23402.659999999996</v>
      </c>
      <c r="F573" s="232">
        <v>27511</v>
      </c>
      <c r="G573" s="232">
        <v>103570</v>
      </c>
      <c r="H573" s="232"/>
      <c r="I573" s="233">
        <v>1945.9</v>
      </c>
      <c r="J573" s="233">
        <v>90760</v>
      </c>
      <c r="K573" s="233">
        <v>7094</v>
      </c>
      <c r="L573" s="232">
        <v>6056</v>
      </c>
      <c r="M573" s="232"/>
      <c r="N573" s="233">
        <v>3629</v>
      </c>
      <c r="O573" s="233">
        <v>33499</v>
      </c>
      <c r="P573" s="233">
        <v>0</v>
      </c>
      <c r="Q573" s="232">
        <v>4123</v>
      </c>
      <c r="R573" s="233">
        <f t="shared" si="8"/>
        <v>57261</v>
      </c>
      <c r="S573" s="232"/>
      <c r="T573" s="233">
        <v>27683</v>
      </c>
      <c r="U573" s="234">
        <v>1701</v>
      </c>
      <c r="V573" s="234">
        <v>29384</v>
      </c>
    </row>
    <row r="574" spans="1:22">
      <c r="A574" s="227">
        <v>96311</v>
      </c>
      <c r="B574" s="228" t="s">
        <v>1285</v>
      </c>
      <c r="C574" s="87">
        <v>1.4082999999999999E-3</v>
      </c>
      <c r="D574" s="87">
        <v>1.4383E-3</v>
      </c>
      <c r="E574" s="232">
        <v>512325.3</v>
      </c>
      <c r="F574" s="232">
        <v>645500</v>
      </c>
      <c r="G574" s="232">
        <v>2988884</v>
      </c>
      <c r="H574" s="232"/>
      <c r="I574" s="233">
        <v>56156</v>
      </c>
      <c r="J574" s="233">
        <v>2619215</v>
      </c>
      <c r="K574" s="233">
        <v>204712</v>
      </c>
      <c r="L574" s="232">
        <v>22194.47</v>
      </c>
      <c r="M574" s="232"/>
      <c r="N574" s="233">
        <v>104734</v>
      </c>
      <c r="O574" s="233">
        <v>966739</v>
      </c>
      <c r="P574" s="233">
        <v>0</v>
      </c>
      <c r="Q574" s="232">
        <v>96281</v>
      </c>
      <c r="R574" s="233">
        <f t="shared" si="8"/>
        <v>1652476</v>
      </c>
      <c r="S574" s="232"/>
      <c r="T574" s="233">
        <v>798885</v>
      </c>
      <c r="U574" s="234">
        <v>-16365</v>
      </c>
      <c r="V574" s="234">
        <v>782520</v>
      </c>
    </row>
    <row r="575" spans="1:22">
      <c r="A575" s="227">
        <v>96312</v>
      </c>
      <c r="B575" s="228" t="s">
        <v>1286</v>
      </c>
      <c r="C575" s="87">
        <v>1.5999999999999999E-6</v>
      </c>
      <c r="D575" s="87">
        <v>4.7999999999999998E-6</v>
      </c>
      <c r="E575" s="232">
        <v>1991.6599999999999</v>
      </c>
      <c r="F575" s="232">
        <v>2154</v>
      </c>
      <c r="G575" s="232">
        <v>3396</v>
      </c>
      <c r="H575" s="232"/>
      <c r="I575" s="233">
        <v>63.8</v>
      </c>
      <c r="J575" s="233">
        <v>2976</v>
      </c>
      <c r="K575" s="233">
        <v>233</v>
      </c>
      <c r="L575" s="232">
        <v>51</v>
      </c>
      <c r="M575" s="232"/>
      <c r="N575" s="233">
        <v>119</v>
      </c>
      <c r="O575" s="233">
        <v>1098</v>
      </c>
      <c r="P575" s="233">
        <v>0</v>
      </c>
      <c r="Q575" s="232">
        <v>3416</v>
      </c>
      <c r="R575" s="233">
        <f t="shared" si="8"/>
        <v>1878</v>
      </c>
      <c r="S575" s="232"/>
      <c r="T575" s="233">
        <v>908</v>
      </c>
      <c r="U575" s="234">
        <v>-1534</v>
      </c>
      <c r="V575" s="234">
        <v>-627</v>
      </c>
    </row>
    <row r="576" spans="1:22">
      <c r="A576" s="227">
        <v>96318</v>
      </c>
      <c r="B576" s="228" t="s">
        <v>1287</v>
      </c>
      <c r="C576" s="87">
        <v>1.7782E-3</v>
      </c>
      <c r="D576" s="87">
        <v>0</v>
      </c>
      <c r="E576" s="232">
        <v>12089019.32</v>
      </c>
      <c r="F576" s="232">
        <v>0</v>
      </c>
      <c r="G576" s="232">
        <v>3773936</v>
      </c>
      <c r="H576" s="232"/>
      <c r="I576" s="233">
        <v>70906</v>
      </c>
      <c r="J576" s="233">
        <v>3307171</v>
      </c>
      <c r="K576" s="233">
        <v>258481</v>
      </c>
      <c r="L576" s="232">
        <v>9984043</v>
      </c>
      <c r="M576" s="232"/>
      <c r="N576" s="233">
        <v>132243</v>
      </c>
      <c r="O576" s="233">
        <v>1220660</v>
      </c>
      <c r="P576" s="233">
        <v>0</v>
      </c>
      <c r="Q576" s="232">
        <v>0</v>
      </c>
      <c r="R576" s="233">
        <f t="shared" si="8"/>
        <v>2086511</v>
      </c>
      <c r="S576" s="232"/>
      <c r="T576" s="233">
        <v>1008718</v>
      </c>
      <c r="U576" s="234">
        <v>2586540</v>
      </c>
      <c r="V576" s="234">
        <v>3595257</v>
      </c>
    </row>
    <row r="577" spans="1:22">
      <c r="A577" s="227">
        <v>96321</v>
      </c>
      <c r="B577" s="228" t="s">
        <v>1288</v>
      </c>
      <c r="C577" s="87">
        <v>3.7400000000000001E-5</v>
      </c>
      <c r="D577" s="87">
        <v>3.9700000000000003E-5</v>
      </c>
      <c r="E577" s="232">
        <v>13314.68</v>
      </c>
      <c r="F577" s="232">
        <v>17817</v>
      </c>
      <c r="G577" s="232">
        <v>79375</v>
      </c>
      <c r="H577" s="232"/>
      <c r="I577" s="233">
        <v>1491.325</v>
      </c>
      <c r="J577" s="233">
        <v>69558</v>
      </c>
      <c r="K577" s="233">
        <v>5437</v>
      </c>
      <c r="L577" s="232">
        <v>837</v>
      </c>
      <c r="M577" s="232"/>
      <c r="N577" s="233">
        <v>2781</v>
      </c>
      <c r="O577" s="233">
        <v>25674</v>
      </c>
      <c r="P577" s="233">
        <v>0</v>
      </c>
      <c r="Q577" s="232">
        <v>3510</v>
      </c>
      <c r="R577" s="233">
        <f t="shared" si="8"/>
        <v>43884</v>
      </c>
      <c r="S577" s="232"/>
      <c r="T577" s="233">
        <v>21216</v>
      </c>
      <c r="U577" s="234">
        <v>-764</v>
      </c>
      <c r="V577" s="234">
        <v>20452</v>
      </c>
    </row>
    <row r="578" spans="1:22">
      <c r="A578" s="227">
        <v>96331</v>
      </c>
      <c r="B578" s="228" t="s">
        <v>1289</v>
      </c>
      <c r="C578" s="87">
        <v>7.1699999999999997E-4</v>
      </c>
      <c r="D578" s="87">
        <v>7.6110000000000001E-4</v>
      </c>
      <c r="E578" s="232">
        <v>265185.34000000003</v>
      </c>
      <c r="F578" s="232">
        <v>341577</v>
      </c>
      <c r="G578" s="232">
        <v>1521714</v>
      </c>
      <c r="H578" s="232"/>
      <c r="I578" s="233">
        <v>28590.375</v>
      </c>
      <c r="J578" s="233">
        <v>1333507</v>
      </c>
      <c r="K578" s="233">
        <v>104224</v>
      </c>
      <c r="L578" s="232">
        <v>4814</v>
      </c>
      <c r="M578" s="232"/>
      <c r="N578" s="233">
        <v>53323</v>
      </c>
      <c r="O578" s="233">
        <v>492190</v>
      </c>
      <c r="P578" s="233">
        <v>0</v>
      </c>
      <c r="Q578" s="232">
        <v>66351</v>
      </c>
      <c r="R578" s="233">
        <f t="shared" si="8"/>
        <v>841317</v>
      </c>
      <c r="S578" s="232"/>
      <c r="T578" s="233">
        <v>406732</v>
      </c>
      <c r="U578" s="234">
        <v>-20081</v>
      </c>
      <c r="V578" s="234">
        <v>386651</v>
      </c>
    </row>
    <row r="579" spans="1:22">
      <c r="A579" s="227">
        <v>96341</v>
      </c>
      <c r="B579" s="228" t="s">
        <v>1290</v>
      </c>
      <c r="C579" s="87">
        <v>9.1600000000000004E-5</v>
      </c>
      <c r="D579" s="87">
        <v>8.0799999999999999E-5</v>
      </c>
      <c r="E579" s="232">
        <v>32432.260000000002</v>
      </c>
      <c r="F579" s="232">
        <v>36263</v>
      </c>
      <c r="G579" s="232">
        <v>194406</v>
      </c>
      <c r="H579" s="232"/>
      <c r="I579" s="233">
        <v>3652.55</v>
      </c>
      <c r="J579" s="233">
        <v>170362</v>
      </c>
      <c r="K579" s="233">
        <v>13315</v>
      </c>
      <c r="L579" s="232">
        <v>13221</v>
      </c>
      <c r="M579" s="232"/>
      <c r="N579" s="233">
        <v>6812</v>
      </c>
      <c r="O579" s="233">
        <v>62880</v>
      </c>
      <c r="P579" s="233">
        <v>0</v>
      </c>
      <c r="Q579" s="232">
        <v>11187.78</v>
      </c>
      <c r="R579" s="233">
        <f t="shared" si="8"/>
        <v>107482</v>
      </c>
      <c r="S579" s="232"/>
      <c r="T579" s="233">
        <v>51962</v>
      </c>
      <c r="U579" s="234">
        <v>-1095</v>
      </c>
      <c r="V579" s="234">
        <v>50867</v>
      </c>
    </row>
    <row r="580" spans="1:22">
      <c r="A580" s="227">
        <v>96351</v>
      </c>
      <c r="B580" s="228" t="s">
        <v>1291</v>
      </c>
      <c r="C580" s="87">
        <v>1.0736000000000001E-3</v>
      </c>
      <c r="D580" s="87">
        <v>1.0939999999999999E-3</v>
      </c>
      <c r="E580" s="232">
        <v>419131.13999999996</v>
      </c>
      <c r="F580" s="232">
        <v>490981</v>
      </c>
      <c r="G580" s="232">
        <v>2278539</v>
      </c>
      <c r="H580" s="232"/>
      <c r="I580" s="233">
        <v>42809.8</v>
      </c>
      <c r="J580" s="233">
        <v>1996726</v>
      </c>
      <c r="K580" s="233">
        <v>156060</v>
      </c>
      <c r="L580" s="232">
        <v>9467</v>
      </c>
      <c r="M580" s="232"/>
      <c r="N580" s="233">
        <v>79843</v>
      </c>
      <c r="O580" s="233">
        <v>736981</v>
      </c>
      <c r="P580" s="233">
        <v>0</v>
      </c>
      <c r="Q580" s="232">
        <v>28826</v>
      </c>
      <c r="R580" s="233">
        <f t="shared" si="8"/>
        <v>1259745</v>
      </c>
      <c r="S580" s="232"/>
      <c r="T580" s="233">
        <v>609020</v>
      </c>
      <c r="U580" s="234">
        <v>-3422</v>
      </c>
      <c r="V580" s="234">
        <v>605598</v>
      </c>
    </row>
    <row r="581" spans="1:22">
      <c r="A581" s="227">
        <v>96361</v>
      </c>
      <c r="B581" s="228" t="s">
        <v>1292</v>
      </c>
      <c r="C581" s="87">
        <v>5.8900000000000002E-5</v>
      </c>
      <c r="D581" s="87">
        <v>4.8999999999999998E-5</v>
      </c>
      <c r="E581" s="232">
        <v>21510.870000000003</v>
      </c>
      <c r="F581" s="232">
        <v>21991</v>
      </c>
      <c r="G581" s="232">
        <v>125006</v>
      </c>
      <c r="H581" s="232"/>
      <c r="I581" s="233">
        <v>2349</v>
      </c>
      <c r="J581" s="233">
        <v>109545</v>
      </c>
      <c r="K581" s="233">
        <v>8562</v>
      </c>
      <c r="L581" s="232">
        <v>5269</v>
      </c>
      <c r="M581" s="232"/>
      <c r="N581" s="233">
        <v>4380</v>
      </c>
      <c r="O581" s="233">
        <v>40432</v>
      </c>
      <c r="P581" s="233">
        <v>0</v>
      </c>
      <c r="Q581" s="232">
        <v>390</v>
      </c>
      <c r="R581" s="233">
        <f t="shared" si="8"/>
        <v>69113</v>
      </c>
      <c r="S581" s="232"/>
      <c r="T581" s="233">
        <v>33412</v>
      </c>
      <c r="U581" s="234">
        <v>1728</v>
      </c>
      <c r="V581" s="234">
        <v>35140</v>
      </c>
    </row>
    <row r="582" spans="1:22">
      <c r="A582" s="227">
        <v>96371</v>
      </c>
      <c r="B582" s="228" t="s">
        <v>1293</v>
      </c>
      <c r="C582" s="87">
        <v>1.6359999999999999E-4</v>
      </c>
      <c r="D582" s="87">
        <v>1.6760000000000001E-4</v>
      </c>
      <c r="E582" s="232">
        <v>62916.799999999988</v>
      </c>
      <c r="F582" s="232">
        <v>75218</v>
      </c>
      <c r="G582" s="232">
        <v>347214</v>
      </c>
      <c r="H582" s="232"/>
      <c r="I582" s="233">
        <v>6524</v>
      </c>
      <c r="J582" s="233">
        <v>304270</v>
      </c>
      <c r="K582" s="233">
        <v>23781</v>
      </c>
      <c r="L582" s="232">
        <v>2683</v>
      </c>
      <c r="M582" s="232"/>
      <c r="N582" s="233">
        <v>12167</v>
      </c>
      <c r="O582" s="233">
        <v>112305</v>
      </c>
      <c r="P582" s="233">
        <v>0</v>
      </c>
      <c r="Q582" s="232">
        <v>7435</v>
      </c>
      <c r="R582" s="233">
        <f t="shared" si="8"/>
        <v>191965</v>
      </c>
      <c r="S582" s="232"/>
      <c r="T582" s="233">
        <v>92805</v>
      </c>
      <c r="U582" s="234">
        <v>-750</v>
      </c>
      <c r="V582" s="234">
        <v>92055</v>
      </c>
    </row>
    <row r="583" spans="1:22">
      <c r="A583" s="227">
        <v>96381</v>
      </c>
      <c r="B583" s="228" t="s">
        <v>1294</v>
      </c>
      <c r="C583" s="87">
        <v>3.26E-5</v>
      </c>
      <c r="D583" s="87">
        <v>2.9600000000000001E-5</v>
      </c>
      <c r="E583" s="232">
        <v>11485.45</v>
      </c>
      <c r="F583" s="232">
        <v>13284</v>
      </c>
      <c r="G583" s="232">
        <v>69188</v>
      </c>
      <c r="H583" s="232"/>
      <c r="I583" s="233">
        <v>1299.925</v>
      </c>
      <c r="J583" s="233">
        <v>60631</v>
      </c>
      <c r="K583" s="233">
        <v>4739</v>
      </c>
      <c r="L583" s="232">
        <v>99</v>
      </c>
      <c r="M583" s="232"/>
      <c r="N583" s="233">
        <v>2424</v>
      </c>
      <c r="O583" s="233">
        <v>22379</v>
      </c>
      <c r="P583" s="233">
        <v>0</v>
      </c>
      <c r="Q583" s="232">
        <v>3089</v>
      </c>
      <c r="R583" s="233">
        <f t="shared" si="8"/>
        <v>38252</v>
      </c>
      <c r="S583" s="232"/>
      <c r="T583" s="233">
        <v>18493</v>
      </c>
      <c r="U583" s="234">
        <v>-1205</v>
      </c>
      <c r="V583" s="234">
        <v>17288</v>
      </c>
    </row>
    <row r="584" spans="1:22">
      <c r="A584" s="227">
        <v>96391</v>
      </c>
      <c r="B584" s="228" t="s">
        <v>1295</v>
      </c>
      <c r="C584" s="87">
        <v>1.807E-4</v>
      </c>
      <c r="D584" s="87">
        <v>1.9450000000000001E-4</v>
      </c>
      <c r="E584" s="232">
        <v>66063.039999999994</v>
      </c>
      <c r="F584" s="232">
        <v>87290</v>
      </c>
      <c r="G584" s="232">
        <v>383506</v>
      </c>
      <c r="H584" s="232"/>
      <c r="I584" s="233">
        <v>7205</v>
      </c>
      <c r="J584" s="233">
        <v>336073</v>
      </c>
      <c r="K584" s="233">
        <v>26267</v>
      </c>
      <c r="L584" s="232">
        <v>19760.7</v>
      </c>
      <c r="M584" s="232"/>
      <c r="N584" s="233">
        <v>13438</v>
      </c>
      <c r="O584" s="233">
        <v>124043</v>
      </c>
      <c r="P584" s="233">
        <v>0</v>
      </c>
      <c r="Q584" s="232">
        <v>26107</v>
      </c>
      <c r="R584" s="233">
        <f t="shared" si="8"/>
        <v>212030</v>
      </c>
      <c r="S584" s="232"/>
      <c r="T584" s="233">
        <v>102506</v>
      </c>
      <c r="U584" s="234">
        <v>2012</v>
      </c>
      <c r="V584" s="234">
        <v>104518</v>
      </c>
    </row>
    <row r="585" spans="1:22">
      <c r="A585" s="227">
        <v>96401</v>
      </c>
      <c r="B585" s="228" t="s">
        <v>1296</v>
      </c>
      <c r="C585" s="87">
        <v>4.5900000000000003E-3</v>
      </c>
      <c r="D585" s="87">
        <v>4.5434999999999998E-3</v>
      </c>
      <c r="E585" s="232">
        <v>1835552.26</v>
      </c>
      <c r="F585" s="232">
        <v>2039096</v>
      </c>
      <c r="G585" s="232">
        <v>9741518</v>
      </c>
      <c r="H585" s="232"/>
      <c r="I585" s="233">
        <v>183026.25</v>
      </c>
      <c r="J585" s="233">
        <v>8536675</v>
      </c>
      <c r="K585" s="233">
        <v>667206.99</v>
      </c>
      <c r="L585" s="232">
        <v>31898</v>
      </c>
      <c r="M585" s="232"/>
      <c r="N585" s="233">
        <v>341353.71</v>
      </c>
      <c r="O585" s="233">
        <v>3150842.22</v>
      </c>
      <c r="P585" s="233">
        <v>0</v>
      </c>
      <c r="Q585" s="232">
        <v>37434</v>
      </c>
      <c r="R585" s="233">
        <f t="shared" ref="R585:R648" si="9">IF(J585&gt;O585,J585-O585,O585-J585)</f>
        <v>5385832.7799999993</v>
      </c>
      <c r="S585" s="232"/>
      <c r="T585" s="233">
        <v>2603764.71</v>
      </c>
      <c r="U585" s="234">
        <v>4298</v>
      </c>
      <c r="V585" s="234">
        <v>2608063</v>
      </c>
    </row>
    <row r="586" spans="1:22">
      <c r="A586" s="227">
        <v>96404</v>
      </c>
      <c r="B586" s="228" t="s">
        <v>1297</v>
      </c>
      <c r="C586" s="87">
        <v>9.8800000000000003E-5</v>
      </c>
      <c r="D586" s="87">
        <v>8.92E-5</v>
      </c>
      <c r="E586" s="232">
        <v>49336.67</v>
      </c>
      <c r="F586" s="232">
        <v>40032</v>
      </c>
      <c r="G586" s="232">
        <v>209687</v>
      </c>
      <c r="H586" s="232"/>
      <c r="I586" s="233">
        <v>3939.65</v>
      </c>
      <c r="J586" s="233">
        <v>183752</v>
      </c>
      <c r="K586" s="233">
        <v>14362</v>
      </c>
      <c r="L586" s="232">
        <v>23586</v>
      </c>
      <c r="M586" s="232"/>
      <c r="N586" s="233">
        <v>7348</v>
      </c>
      <c r="O586" s="233">
        <v>67822</v>
      </c>
      <c r="P586" s="233">
        <v>0</v>
      </c>
      <c r="Q586" s="232">
        <v>0</v>
      </c>
      <c r="R586" s="233">
        <f t="shared" si="9"/>
        <v>115930</v>
      </c>
      <c r="S586" s="232"/>
      <c r="T586" s="233">
        <v>56046</v>
      </c>
      <c r="U586" s="234">
        <v>7753</v>
      </c>
      <c r="V586" s="234">
        <v>63799</v>
      </c>
    </row>
    <row r="587" spans="1:22">
      <c r="A587" s="227">
        <v>96405</v>
      </c>
      <c r="B587" s="228" t="s">
        <v>1298</v>
      </c>
      <c r="C587" s="87">
        <v>1.7760000000000001E-4</v>
      </c>
      <c r="D587" s="87">
        <v>1.942E-4</v>
      </c>
      <c r="E587" s="232">
        <v>83527.920000000013</v>
      </c>
      <c r="F587" s="232">
        <v>87156</v>
      </c>
      <c r="G587" s="232">
        <v>376927</v>
      </c>
      <c r="H587" s="232"/>
      <c r="I587" s="233">
        <v>7081.8</v>
      </c>
      <c r="J587" s="233">
        <v>330308</v>
      </c>
      <c r="K587" s="233">
        <v>25816</v>
      </c>
      <c r="L587" s="232">
        <v>15838</v>
      </c>
      <c r="M587" s="232"/>
      <c r="N587" s="233">
        <v>13208</v>
      </c>
      <c r="O587" s="233">
        <v>121915</v>
      </c>
      <c r="P587" s="233">
        <v>0</v>
      </c>
      <c r="Q587" s="232">
        <v>2411</v>
      </c>
      <c r="R587" s="233">
        <f t="shared" si="9"/>
        <v>208393</v>
      </c>
      <c r="S587" s="232"/>
      <c r="T587" s="233">
        <v>100747</v>
      </c>
      <c r="U587" s="234">
        <v>4565</v>
      </c>
      <c r="V587" s="234">
        <v>105312</v>
      </c>
    </row>
    <row r="588" spans="1:22">
      <c r="A588" s="227">
        <v>96411</v>
      </c>
      <c r="B588" s="228" t="s">
        <v>1299</v>
      </c>
      <c r="C588" s="87">
        <v>5.66E-5</v>
      </c>
      <c r="D588" s="87">
        <v>6.6699999999999995E-5</v>
      </c>
      <c r="E588" s="232">
        <v>25222.480000000003</v>
      </c>
      <c r="F588" s="232">
        <v>29935</v>
      </c>
      <c r="G588" s="232">
        <v>120124</v>
      </c>
      <c r="H588" s="232"/>
      <c r="I588" s="233">
        <v>2257</v>
      </c>
      <c r="J588" s="233">
        <v>105267</v>
      </c>
      <c r="K588" s="233">
        <v>8227</v>
      </c>
      <c r="L588" s="232">
        <v>8181</v>
      </c>
      <c r="M588" s="232"/>
      <c r="N588" s="233">
        <v>4209</v>
      </c>
      <c r="O588" s="233">
        <v>38854</v>
      </c>
      <c r="P588" s="233">
        <v>0</v>
      </c>
      <c r="Q588" s="232">
        <v>6127</v>
      </c>
      <c r="R588" s="233">
        <f t="shared" si="9"/>
        <v>66413</v>
      </c>
      <c r="S588" s="232"/>
      <c r="T588" s="233">
        <v>32107</v>
      </c>
      <c r="U588" s="234">
        <v>778</v>
      </c>
      <c r="V588" s="234">
        <v>32885</v>
      </c>
    </row>
    <row r="589" spans="1:22">
      <c r="A589" s="227">
        <v>96421</v>
      </c>
      <c r="B589" s="228" t="s">
        <v>1300</v>
      </c>
      <c r="C589" s="87">
        <v>4.2860000000000001E-4</v>
      </c>
      <c r="D589" s="87">
        <v>4.6069999999999998E-4</v>
      </c>
      <c r="E589" s="232">
        <v>149902.97</v>
      </c>
      <c r="F589" s="232">
        <v>206759</v>
      </c>
      <c r="G589" s="232">
        <v>909633</v>
      </c>
      <c r="H589" s="232"/>
      <c r="I589" s="233">
        <v>17090</v>
      </c>
      <c r="J589" s="233">
        <v>797128</v>
      </c>
      <c r="K589" s="233">
        <v>62302</v>
      </c>
      <c r="L589" s="232">
        <v>0</v>
      </c>
      <c r="M589" s="232"/>
      <c r="N589" s="233">
        <v>31875</v>
      </c>
      <c r="O589" s="233">
        <v>294216</v>
      </c>
      <c r="P589" s="233">
        <v>0</v>
      </c>
      <c r="Q589" s="232">
        <v>86301</v>
      </c>
      <c r="R589" s="233">
        <f t="shared" si="9"/>
        <v>502912</v>
      </c>
      <c r="S589" s="232"/>
      <c r="T589" s="233">
        <v>243131</v>
      </c>
      <c r="U589" s="234">
        <v>-29627</v>
      </c>
      <c r="V589" s="234">
        <v>213504</v>
      </c>
    </row>
    <row r="590" spans="1:22">
      <c r="A590" s="227">
        <v>96431</v>
      </c>
      <c r="B590" s="228" t="s">
        <v>1301</v>
      </c>
      <c r="C590" s="87">
        <v>5.6100000000000002E-5</v>
      </c>
      <c r="D590" s="87">
        <v>3.9400000000000002E-5</v>
      </c>
      <c r="E590" s="232">
        <v>22346.13</v>
      </c>
      <c r="F590" s="232">
        <v>17682</v>
      </c>
      <c r="G590" s="232">
        <v>119063</v>
      </c>
      <c r="H590" s="232"/>
      <c r="I590" s="233">
        <v>2237</v>
      </c>
      <c r="J590" s="233">
        <v>104337</v>
      </c>
      <c r="K590" s="233">
        <v>8155</v>
      </c>
      <c r="L590" s="232">
        <v>8471</v>
      </c>
      <c r="M590" s="232"/>
      <c r="N590" s="233">
        <v>4172</v>
      </c>
      <c r="O590" s="233">
        <v>38510</v>
      </c>
      <c r="P590" s="233">
        <v>0</v>
      </c>
      <c r="Q590" s="232">
        <v>4421</v>
      </c>
      <c r="R590" s="233">
        <f t="shared" si="9"/>
        <v>65827</v>
      </c>
      <c r="S590" s="232"/>
      <c r="T590" s="233">
        <v>31824</v>
      </c>
      <c r="U590" s="234">
        <v>305</v>
      </c>
      <c r="V590" s="234">
        <v>32128</v>
      </c>
    </row>
    <row r="591" spans="1:22">
      <c r="A591" s="227">
        <v>96441</v>
      </c>
      <c r="B591" s="228" t="s">
        <v>1302</v>
      </c>
      <c r="C591" s="87">
        <v>3.1199999999999999E-5</v>
      </c>
      <c r="D591" s="87">
        <v>3.9100000000000002E-5</v>
      </c>
      <c r="E591" s="232">
        <v>18068.97</v>
      </c>
      <c r="F591" s="232">
        <v>17548</v>
      </c>
      <c r="G591" s="232">
        <v>66217</v>
      </c>
      <c r="H591" s="232"/>
      <c r="I591" s="233">
        <v>1244</v>
      </c>
      <c r="J591" s="233">
        <v>58027</v>
      </c>
      <c r="K591" s="233">
        <v>4535</v>
      </c>
      <c r="L591" s="232">
        <v>6875</v>
      </c>
      <c r="M591" s="232"/>
      <c r="N591" s="233">
        <v>2320</v>
      </c>
      <c r="O591" s="233">
        <v>21417</v>
      </c>
      <c r="P591" s="233">
        <v>0</v>
      </c>
      <c r="Q591" s="232">
        <v>826</v>
      </c>
      <c r="R591" s="233">
        <f t="shared" si="9"/>
        <v>36610</v>
      </c>
      <c r="S591" s="232"/>
      <c r="T591" s="233">
        <v>17699</v>
      </c>
      <c r="U591" s="234">
        <v>2052</v>
      </c>
      <c r="V591" s="234">
        <v>19751</v>
      </c>
    </row>
    <row r="592" spans="1:22">
      <c r="A592" s="227">
        <v>96451</v>
      </c>
      <c r="B592" s="228" t="s">
        <v>1303</v>
      </c>
      <c r="C592" s="87">
        <v>1.38E-5</v>
      </c>
      <c r="D592" s="87">
        <v>8.8999999999999995E-6</v>
      </c>
      <c r="E592" s="232">
        <v>6879.8000000000011</v>
      </c>
      <c r="F592" s="232">
        <v>3994</v>
      </c>
      <c r="G592" s="232">
        <v>29288</v>
      </c>
      <c r="H592" s="232"/>
      <c r="I592" s="233">
        <v>550.27499999999998</v>
      </c>
      <c r="J592" s="233">
        <v>25666</v>
      </c>
      <c r="K592" s="233">
        <v>2006</v>
      </c>
      <c r="L592" s="232">
        <v>3611</v>
      </c>
      <c r="M592" s="232"/>
      <c r="N592" s="233">
        <v>1026</v>
      </c>
      <c r="O592" s="233">
        <v>9473</v>
      </c>
      <c r="P592" s="233">
        <v>0</v>
      </c>
      <c r="Q592" s="232">
        <v>2200</v>
      </c>
      <c r="R592" s="233">
        <f t="shared" si="9"/>
        <v>16193</v>
      </c>
      <c r="S592" s="232"/>
      <c r="T592" s="233">
        <v>7828</v>
      </c>
      <c r="U592" s="234">
        <v>55</v>
      </c>
      <c r="V592" s="234">
        <v>7883</v>
      </c>
    </row>
    <row r="593" spans="1:22">
      <c r="A593" s="227">
        <v>96461</v>
      </c>
      <c r="B593" s="228" t="s">
        <v>1304</v>
      </c>
      <c r="C593" s="87">
        <v>1.3410000000000001E-4</v>
      </c>
      <c r="D593" s="87">
        <v>1.6129999999999999E-4</v>
      </c>
      <c r="E593" s="232">
        <v>60539.490000000005</v>
      </c>
      <c r="F593" s="232">
        <v>72390</v>
      </c>
      <c r="G593" s="232">
        <v>284605</v>
      </c>
      <c r="H593" s="232"/>
      <c r="I593" s="233">
        <v>5347</v>
      </c>
      <c r="J593" s="233">
        <v>249405</v>
      </c>
      <c r="K593" s="233">
        <v>19493</v>
      </c>
      <c r="L593" s="232">
        <v>8046</v>
      </c>
      <c r="M593" s="232"/>
      <c r="N593" s="233">
        <v>9973</v>
      </c>
      <c r="O593" s="233">
        <v>92054</v>
      </c>
      <c r="P593" s="233">
        <v>0</v>
      </c>
      <c r="Q593" s="232">
        <v>27042</v>
      </c>
      <c r="R593" s="233">
        <f t="shared" si="9"/>
        <v>157351</v>
      </c>
      <c r="S593" s="232"/>
      <c r="T593" s="233">
        <v>76071</v>
      </c>
      <c r="U593" s="234">
        <v>-4548</v>
      </c>
      <c r="V593" s="234">
        <v>71523</v>
      </c>
    </row>
    <row r="594" spans="1:22">
      <c r="A594" s="227">
        <v>96501</v>
      </c>
      <c r="B594" s="228" t="s">
        <v>1305</v>
      </c>
      <c r="C594" s="87">
        <v>1.4156999999999999E-2</v>
      </c>
      <c r="D594" s="87">
        <v>1.4844599999999999E-2</v>
      </c>
      <c r="E594" s="232">
        <v>5793174.8699999992</v>
      </c>
      <c r="F594" s="232">
        <v>6662167</v>
      </c>
      <c r="G594" s="232">
        <v>30045897</v>
      </c>
      <c r="H594" s="232"/>
      <c r="I594" s="233">
        <v>564510</v>
      </c>
      <c r="J594" s="233">
        <v>26329783</v>
      </c>
      <c r="K594" s="233">
        <v>2057876</v>
      </c>
      <c r="L594" s="232">
        <v>597577</v>
      </c>
      <c r="M594" s="232"/>
      <c r="N594" s="233">
        <v>1052842</v>
      </c>
      <c r="O594" s="233">
        <v>9718186</v>
      </c>
      <c r="P594" s="233">
        <v>0</v>
      </c>
      <c r="Q594" s="232">
        <v>395352</v>
      </c>
      <c r="R594" s="233">
        <f t="shared" si="9"/>
        <v>16611597</v>
      </c>
      <c r="S594" s="232"/>
      <c r="T594" s="233">
        <v>8030827</v>
      </c>
      <c r="U594" s="234">
        <v>146416</v>
      </c>
      <c r="V594" s="234">
        <v>8177243</v>
      </c>
    </row>
    <row r="595" spans="1:22">
      <c r="A595" s="227">
        <v>96502</v>
      </c>
      <c r="B595" s="228" t="s">
        <v>1306</v>
      </c>
      <c r="C595" s="87">
        <v>4.2309999999999998E-4</v>
      </c>
      <c r="D595" s="87">
        <v>3.9639999999999999E-4</v>
      </c>
      <c r="E595" s="232">
        <v>180923.45999999996</v>
      </c>
      <c r="F595" s="232">
        <v>177902</v>
      </c>
      <c r="G595" s="232">
        <v>897960</v>
      </c>
      <c r="H595" s="232"/>
      <c r="I595" s="233">
        <v>16871</v>
      </c>
      <c r="J595" s="233">
        <v>786899</v>
      </c>
      <c r="K595" s="233">
        <v>61502</v>
      </c>
      <c r="L595" s="232">
        <v>58143</v>
      </c>
      <c r="M595" s="232"/>
      <c r="N595" s="233">
        <v>31466</v>
      </c>
      <c r="O595" s="233">
        <v>290440</v>
      </c>
      <c r="P595" s="233">
        <v>0</v>
      </c>
      <c r="Q595" s="232">
        <v>0</v>
      </c>
      <c r="R595" s="233">
        <f t="shared" si="9"/>
        <v>496459</v>
      </c>
      <c r="S595" s="232"/>
      <c r="T595" s="233">
        <v>240012</v>
      </c>
      <c r="U595" s="234">
        <v>22314</v>
      </c>
      <c r="V595" s="234">
        <v>262325</v>
      </c>
    </row>
    <row r="596" spans="1:22">
      <c r="A596" s="227">
        <v>96503</v>
      </c>
      <c r="B596" s="228" t="s">
        <v>1945</v>
      </c>
      <c r="C596" s="87">
        <v>3.3700000000000001E-4</v>
      </c>
      <c r="D596" s="87">
        <v>3.746E-4</v>
      </c>
      <c r="E596" s="232">
        <v>297528.38</v>
      </c>
      <c r="F596" s="232">
        <v>168118</v>
      </c>
      <c r="G596" s="232">
        <v>715227</v>
      </c>
      <c r="H596" s="232"/>
      <c r="I596" s="233">
        <v>13437.875</v>
      </c>
      <c r="J596" s="233">
        <v>626767</v>
      </c>
      <c r="K596" s="233">
        <v>48987</v>
      </c>
      <c r="L596" s="232">
        <v>200924</v>
      </c>
      <c r="M596" s="232"/>
      <c r="N596" s="233">
        <v>25062</v>
      </c>
      <c r="O596" s="233">
        <v>231336</v>
      </c>
      <c r="P596" s="233">
        <v>0</v>
      </c>
      <c r="Q596" s="232">
        <v>29898</v>
      </c>
      <c r="R596" s="233">
        <f t="shared" si="9"/>
        <v>395431</v>
      </c>
      <c r="S596" s="232"/>
      <c r="T596" s="233">
        <v>191170</v>
      </c>
      <c r="U596" s="234">
        <v>46111</v>
      </c>
      <c r="V596" s="234">
        <v>237280</v>
      </c>
    </row>
    <row r="597" spans="1:22">
      <c r="A597" s="227">
        <v>96504</v>
      </c>
      <c r="B597" s="228" t="s">
        <v>1308</v>
      </c>
      <c r="C597" s="87">
        <v>3.6039999999999998E-4</v>
      </c>
      <c r="D597" s="87">
        <v>3.7149999999999998E-4</v>
      </c>
      <c r="E597" s="232">
        <v>148639.46</v>
      </c>
      <c r="F597" s="232">
        <v>166727</v>
      </c>
      <c r="G597" s="232">
        <v>764890</v>
      </c>
      <c r="H597" s="232"/>
      <c r="I597" s="233">
        <v>14371</v>
      </c>
      <c r="J597" s="233">
        <v>670287</v>
      </c>
      <c r="K597" s="233">
        <v>52388</v>
      </c>
      <c r="L597" s="232">
        <v>11269</v>
      </c>
      <c r="M597" s="232"/>
      <c r="N597" s="233">
        <v>26803</v>
      </c>
      <c r="O597" s="233">
        <v>247399</v>
      </c>
      <c r="P597" s="233">
        <v>0</v>
      </c>
      <c r="Q597" s="232">
        <v>6125</v>
      </c>
      <c r="R597" s="233">
        <f t="shared" si="9"/>
        <v>422888</v>
      </c>
      <c r="S597" s="232"/>
      <c r="T597" s="233">
        <v>204444</v>
      </c>
      <c r="U597" s="234">
        <v>2299</v>
      </c>
      <c r="V597" s="234">
        <v>206743</v>
      </c>
    </row>
    <row r="598" spans="1:22">
      <c r="A598" s="227">
        <v>96507</v>
      </c>
      <c r="B598" s="228" t="s">
        <v>1309</v>
      </c>
      <c r="C598" s="87">
        <v>2.2604999999999999E-3</v>
      </c>
      <c r="D598" s="87">
        <v>2.1895999999999999E-3</v>
      </c>
      <c r="E598" s="232">
        <v>971182.37999999977</v>
      </c>
      <c r="F598" s="232">
        <v>982679</v>
      </c>
      <c r="G598" s="232">
        <v>4797538</v>
      </c>
      <c r="H598" s="232"/>
      <c r="I598" s="233">
        <v>90137</v>
      </c>
      <c r="J598" s="233">
        <v>4204173</v>
      </c>
      <c r="K598" s="233">
        <v>328589</v>
      </c>
      <c r="L598" s="232">
        <v>180324</v>
      </c>
      <c r="M598" s="232"/>
      <c r="N598" s="233">
        <v>168111</v>
      </c>
      <c r="O598" s="233">
        <v>1551738</v>
      </c>
      <c r="P598" s="233">
        <v>0</v>
      </c>
      <c r="Q598" s="232">
        <v>0</v>
      </c>
      <c r="R598" s="233">
        <f t="shared" si="9"/>
        <v>2652435</v>
      </c>
      <c r="S598" s="232"/>
      <c r="T598" s="233">
        <v>1282312</v>
      </c>
      <c r="U598" s="234">
        <v>64566</v>
      </c>
      <c r="V598" s="234">
        <v>1346877</v>
      </c>
    </row>
    <row r="599" spans="1:22">
      <c r="A599" s="227">
        <v>96508</v>
      </c>
      <c r="B599" s="228" t="s">
        <v>1310</v>
      </c>
      <c r="C599" s="87">
        <v>9.7999999999999993E-6</v>
      </c>
      <c r="D599" s="87">
        <v>1.03E-5</v>
      </c>
      <c r="E599" s="232">
        <v>9949.2000000000025</v>
      </c>
      <c r="F599" s="232">
        <v>4623</v>
      </c>
      <c r="G599" s="232">
        <v>20799</v>
      </c>
      <c r="H599" s="232"/>
      <c r="I599" s="233">
        <v>390.77499999999998</v>
      </c>
      <c r="J599" s="233">
        <v>18226</v>
      </c>
      <c r="K599" s="233">
        <v>1425</v>
      </c>
      <c r="L599" s="232">
        <v>9383</v>
      </c>
      <c r="M599" s="232"/>
      <c r="N599" s="233">
        <v>729</v>
      </c>
      <c r="O599" s="233">
        <v>6727</v>
      </c>
      <c r="P599" s="233">
        <v>0</v>
      </c>
      <c r="Q599" s="232">
        <v>0</v>
      </c>
      <c r="R599" s="233">
        <f t="shared" si="9"/>
        <v>11499</v>
      </c>
      <c r="S599" s="232"/>
      <c r="T599" s="233">
        <v>5559</v>
      </c>
      <c r="U599" s="234">
        <v>3176</v>
      </c>
      <c r="V599" s="234">
        <v>8735</v>
      </c>
    </row>
    <row r="600" spans="1:22">
      <c r="A600" s="227">
        <v>96511</v>
      </c>
      <c r="B600" s="228" t="s">
        <v>1311</v>
      </c>
      <c r="C600" s="87">
        <v>6.221E-4</v>
      </c>
      <c r="D600" s="87">
        <v>7.5080000000000004E-4</v>
      </c>
      <c r="E600" s="232">
        <v>244657.82</v>
      </c>
      <c r="F600" s="232">
        <v>336955</v>
      </c>
      <c r="G600" s="232">
        <v>1320305</v>
      </c>
      <c r="H600" s="232"/>
      <c r="I600" s="233">
        <v>24806</v>
      </c>
      <c r="J600" s="233">
        <v>1157008</v>
      </c>
      <c r="K600" s="233">
        <v>90429</v>
      </c>
      <c r="L600" s="232">
        <v>0</v>
      </c>
      <c r="M600" s="232"/>
      <c r="N600" s="233">
        <v>46265</v>
      </c>
      <c r="O600" s="233">
        <v>427046</v>
      </c>
      <c r="P600" s="233">
        <v>0</v>
      </c>
      <c r="Q600" s="232">
        <v>135169</v>
      </c>
      <c r="R600" s="233">
        <f t="shared" si="9"/>
        <v>729962</v>
      </c>
      <c r="S600" s="232"/>
      <c r="T600" s="233">
        <v>352898</v>
      </c>
      <c r="U600" s="234">
        <v>-47382</v>
      </c>
      <c r="V600" s="234">
        <v>305516</v>
      </c>
    </row>
    <row r="601" spans="1:22">
      <c r="A601" s="227">
        <v>96512</v>
      </c>
      <c r="B601" s="228" t="s">
        <v>1312</v>
      </c>
      <c r="C601" s="87">
        <v>1.7000000000000001E-4</v>
      </c>
      <c r="D601" s="87">
        <v>1.5550000000000001E-4</v>
      </c>
      <c r="E601" s="232">
        <v>63900.750000000007</v>
      </c>
      <c r="F601" s="232">
        <v>69787</v>
      </c>
      <c r="G601" s="232">
        <v>360796.95</v>
      </c>
      <c r="H601" s="232"/>
      <c r="I601" s="233">
        <v>6779</v>
      </c>
      <c r="J601" s="233">
        <v>316173.14</v>
      </c>
      <c r="K601" s="233">
        <v>24711</v>
      </c>
      <c r="L601" s="232">
        <v>8267</v>
      </c>
      <c r="M601" s="232"/>
      <c r="N601" s="233">
        <v>12643</v>
      </c>
      <c r="O601" s="233">
        <v>116698</v>
      </c>
      <c r="P601" s="233">
        <v>0</v>
      </c>
      <c r="Q601" s="232">
        <v>0</v>
      </c>
      <c r="R601" s="233">
        <f t="shared" si="9"/>
        <v>199475.14</v>
      </c>
      <c r="S601" s="232"/>
      <c r="T601" s="233">
        <v>96436</v>
      </c>
      <c r="U601" s="234">
        <v>2689</v>
      </c>
      <c r="V601" s="234">
        <v>99124</v>
      </c>
    </row>
    <row r="602" spans="1:22">
      <c r="A602" s="227">
        <v>96519</v>
      </c>
      <c r="B602" s="228" t="s">
        <v>1619</v>
      </c>
      <c r="C602" s="87">
        <v>0</v>
      </c>
      <c r="D602" s="87">
        <v>1.7197E-3</v>
      </c>
      <c r="E602" s="232">
        <v>0</v>
      </c>
      <c r="F602" s="232">
        <v>771791</v>
      </c>
      <c r="G602" s="232">
        <v>0</v>
      </c>
      <c r="H602" s="232"/>
      <c r="I602" s="233">
        <v>0</v>
      </c>
      <c r="J602" s="233">
        <v>0</v>
      </c>
      <c r="K602" s="233">
        <v>0</v>
      </c>
      <c r="L602" s="232">
        <v>300924</v>
      </c>
      <c r="M602" s="232"/>
      <c r="N602" s="233">
        <v>0</v>
      </c>
      <c r="O602" s="233">
        <v>0</v>
      </c>
      <c r="P602" s="233">
        <v>0</v>
      </c>
      <c r="Q602" s="232">
        <v>931590</v>
      </c>
      <c r="R602" s="233">
        <f t="shared" si="9"/>
        <v>0</v>
      </c>
      <c r="S602" s="232"/>
      <c r="T602" s="233">
        <v>0</v>
      </c>
      <c r="U602" s="234">
        <v>-102954</v>
      </c>
      <c r="V602" s="234">
        <v>-102954</v>
      </c>
    </row>
    <row r="603" spans="1:22">
      <c r="A603" s="227">
        <v>96521</v>
      </c>
      <c r="B603" s="228" t="s">
        <v>1313</v>
      </c>
      <c r="C603" s="87">
        <v>9.4240000000000003E-4</v>
      </c>
      <c r="D603" s="87">
        <v>9.0479999999999998E-4</v>
      </c>
      <c r="E603" s="232">
        <v>332666.64</v>
      </c>
      <c r="F603" s="232">
        <v>406069</v>
      </c>
      <c r="G603" s="232">
        <v>2000089</v>
      </c>
      <c r="H603" s="232"/>
      <c r="I603" s="233">
        <v>37578</v>
      </c>
      <c r="J603" s="233">
        <v>1752715</v>
      </c>
      <c r="K603" s="233">
        <v>136988</v>
      </c>
      <c r="L603" s="232">
        <v>46521</v>
      </c>
      <c r="M603" s="232"/>
      <c r="N603" s="233">
        <v>70085</v>
      </c>
      <c r="O603" s="233">
        <v>646918</v>
      </c>
      <c r="P603" s="233">
        <v>0</v>
      </c>
      <c r="Q603" s="232">
        <v>27885</v>
      </c>
      <c r="R603" s="233">
        <f t="shared" si="9"/>
        <v>1105797</v>
      </c>
      <c r="S603" s="232"/>
      <c r="T603" s="233">
        <v>534594</v>
      </c>
      <c r="U603" s="234">
        <v>8139</v>
      </c>
      <c r="V603" s="234">
        <v>542733</v>
      </c>
    </row>
    <row r="604" spans="1:22">
      <c r="A604" s="227">
        <v>96531</v>
      </c>
      <c r="B604" s="228" t="s">
        <v>1314</v>
      </c>
      <c r="C604" s="87">
        <v>8.6088999999999992E-3</v>
      </c>
      <c r="D604" s="87">
        <v>9.1912000000000001E-3</v>
      </c>
      <c r="E604" s="232">
        <v>3504528.87</v>
      </c>
      <c r="F604" s="232">
        <v>4124955</v>
      </c>
      <c r="G604" s="232">
        <v>18270970</v>
      </c>
      <c r="H604" s="232"/>
      <c r="I604" s="233">
        <v>343280</v>
      </c>
      <c r="J604" s="233">
        <v>16011194</v>
      </c>
      <c r="K604" s="233">
        <v>1251398</v>
      </c>
      <c r="L604" s="232">
        <v>75559</v>
      </c>
      <c r="M604" s="232"/>
      <c r="N604" s="233">
        <v>640235</v>
      </c>
      <c r="O604" s="233">
        <v>5909648</v>
      </c>
      <c r="P604" s="233">
        <v>0</v>
      </c>
      <c r="Q604" s="232">
        <v>381680</v>
      </c>
      <c r="R604" s="233">
        <f t="shared" si="9"/>
        <v>10101546</v>
      </c>
      <c r="S604" s="232"/>
      <c r="T604" s="233">
        <v>4883562</v>
      </c>
      <c r="U604" s="234">
        <v>-81286</v>
      </c>
      <c r="V604" s="234">
        <v>4802276</v>
      </c>
    </row>
    <row r="605" spans="1:22">
      <c r="A605" s="227">
        <v>96541</v>
      </c>
      <c r="B605" s="228" t="s">
        <v>1315</v>
      </c>
      <c r="C605" s="87">
        <v>3.3169999999999999E-4</v>
      </c>
      <c r="D605" s="87">
        <v>3.2759999999999999E-4</v>
      </c>
      <c r="E605" s="232">
        <v>136435.87</v>
      </c>
      <c r="F605" s="232">
        <v>147025</v>
      </c>
      <c r="G605" s="232">
        <v>703979</v>
      </c>
      <c r="H605" s="232"/>
      <c r="I605" s="233">
        <v>13227</v>
      </c>
      <c r="J605" s="233">
        <v>616910</v>
      </c>
      <c r="K605" s="233">
        <v>48216</v>
      </c>
      <c r="L605" s="232">
        <v>22779</v>
      </c>
      <c r="M605" s="232"/>
      <c r="N605" s="233">
        <v>24668</v>
      </c>
      <c r="O605" s="233">
        <v>227698</v>
      </c>
      <c r="P605" s="233">
        <v>0</v>
      </c>
      <c r="Q605" s="232">
        <v>0</v>
      </c>
      <c r="R605" s="233">
        <f t="shared" si="9"/>
        <v>389212</v>
      </c>
      <c r="S605" s="232"/>
      <c r="T605" s="233">
        <v>188163</v>
      </c>
      <c r="U605" s="234">
        <v>10018</v>
      </c>
      <c r="V605" s="234">
        <v>198181</v>
      </c>
    </row>
    <row r="606" spans="1:22">
      <c r="A606" s="227">
        <v>96601</v>
      </c>
      <c r="B606" s="228" t="s">
        <v>1316</v>
      </c>
      <c r="C606" s="87">
        <v>1.8416000000000001E-3</v>
      </c>
      <c r="D606" s="87">
        <v>1.8462999999999999E-3</v>
      </c>
      <c r="E606" s="232">
        <v>769874.79</v>
      </c>
      <c r="F606" s="232">
        <v>828608</v>
      </c>
      <c r="G606" s="232">
        <v>3908492</v>
      </c>
      <c r="H606" s="232"/>
      <c r="I606" s="233">
        <v>73433.8</v>
      </c>
      <c r="J606" s="233">
        <v>3425085</v>
      </c>
      <c r="K606" s="233">
        <v>267697</v>
      </c>
      <c r="L606" s="232">
        <v>58499</v>
      </c>
      <c r="M606" s="232"/>
      <c r="N606" s="233">
        <v>136958</v>
      </c>
      <c r="O606" s="233">
        <v>1264181</v>
      </c>
      <c r="P606" s="233">
        <v>0</v>
      </c>
      <c r="Q606" s="232">
        <v>6413</v>
      </c>
      <c r="R606" s="233">
        <f t="shared" si="9"/>
        <v>2160904</v>
      </c>
      <c r="S606" s="232"/>
      <c r="T606" s="233">
        <v>1044683</v>
      </c>
      <c r="U606" s="234">
        <v>25319</v>
      </c>
      <c r="V606" s="234">
        <v>1070002</v>
      </c>
    </row>
    <row r="607" spans="1:22">
      <c r="A607" s="227">
        <v>96604</v>
      </c>
      <c r="B607" s="228" t="s">
        <v>1317</v>
      </c>
      <c r="C607" s="87">
        <v>7.9000000000000006E-6</v>
      </c>
      <c r="D607" s="87">
        <v>7.9000000000000006E-6</v>
      </c>
      <c r="E607" s="232">
        <v>4374.7800000000007</v>
      </c>
      <c r="F607" s="232">
        <v>3545</v>
      </c>
      <c r="G607" s="232">
        <v>16766</v>
      </c>
      <c r="H607" s="232"/>
      <c r="I607" s="233">
        <v>315</v>
      </c>
      <c r="J607" s="233">
        <v>14693</v>
      </c>
      <c r="K607" s="233">
        <v>1148</v>
      </c>
      <c r="L607" s="232">
        <v>1595</v>
      </c>
      <c r="M607" s="232"/>
      <c r="N607" s="233">
        <v>588</v>
      </c>
      <c r="O607" s="233">
        <v>5423</v>
      </c>
      <c r="P607" s="233">
        <v>0</v>
      </c>
      <c r="Q607" s="232">
        <v>108</v>
      </c>
      <c r="R607" s="233">
        <f t="shared" si="9"/>
        <v>9270</v>
      </c>
      <c r="S607" s="232"/>
      <c r="T607" s="233">
        <v>4481</v>
      </c>
      <c r="U607" s="234">
        <v>545</v>
      </c>
      <c r="V607" s="234">
        <v>5027</v>
      </c>
    </row>
    <row r="608" spans="1:22">
      <c r="A608" s="227">
        <v>96611</v>
      </c>
      <c r="B608" s="228" t="s">
        <v>1318</v>
      </c>
      <c r="C608" s="87">
        <v>3.29E-5</v>
      </c>
      <c r="D608" s="87">
        <v>2.9499999999999999E-5</v>
      </c>
      <c r="E608" s="232">
        <v>11899.8</v>
      </c>
      <c r="F608" s="232">
        <v>13239</v>
      </c>
      <c r="G608" s="232">
        <v>69825</v>
      </c>
      <c r="H608" s="232"/>
      <c r="I608" s="233">
        <v>1312</v>
      </c>
      <c r="J608" s="233">
        <v>61189</v>
      </c>
      <c r="K608" s="233">
        <v>4782</v>
      </c>
      <c r="L608" s="232">
        <v>2869</v>
      </c>
      <c r="M608" s="232"/>
      <c r="N608" s="233">
        <v>2447</v>
      </c>
      <c r="O608" s="233">
        <v>22584</v>
      </c>
      <c r="P608" s="233">
        <v>0</v>
      </c>
      <c r="Q608" s="232">
        <v>649</v>
      </c>
      <c r="R608" s="233">
        <f t="shared" si="9"/>
        <v>38605</v>
      </c>
      <c r="S608" s="232"/>
      <c r="T608" s="233">
        <v>18663</v>
      </c>
      <c r="U608" s="234">
        <v>1079</v>
      </c>
      <c r="V608" s="234">
        <v>19742</v>
      </c>
    </row>
    <row r="609" spans="1:22">
      <c r="A609" s="227">
        <v>96612</v>
      </c>
      <c r="B609" s="228" t="s">
        <v>1319</v>
      </c>
      <c r="C609" s="87">
        <v>6.3899999999999995E-5</v>
      </c>
      <c r="D609" s="87">
        <v>6.4399999999999993E-5</v>
      </c>
      <c r="E609" s="232">
        <v>30973.800000000003</v>
      </c>
      <c r="F609" s="232">
        <v>28902</v>
      </c>
      <c r="G609" s="232">
        <v>135617</v>
      </c>
      <c r="H609" s="232"/>
      <c r="I609" s="233">
        <v>2548</v>
      </c>
      <c r="J609" s="233">
        <v>118844</v>
      </c>
      <c r="K609" s="233">
        <v>9289</v>
      </c>
      <c r="L609" s="232">
        <v>7363</v>
      </c>
      <c r="M609" s="232"/>
      <c r="N609" s="233">
        <v>4752</v>
      </c>
      <c r="O609" s="233">
        <v>43865</v>
      </c>
      <c r="P609" s="233">
        <v>0</v>
      </c>
      <c r="Q609" s="232">
        <v>1323</v>
      </c>
      <c r="R609" s="233">
        <f t="shared" si="9"/>
        <v>74979</v>
      </c>
      <c r="S609" s="232"/>
      <c r="T609" s="233">
        <v>36248</v>
      </c>
      <c r="U609" s="234">
        <v>1615</v>
      </c>
      <c r="V609" s="234">
        <v>37864</v>
      </c>
    </row>
    <row r="610" spans="1:22">
      <c r="A610" s="227">
        <v>96621</v>
      </c>
      <c r="B610" s="228" t="s">
        <v>1320</v>
      </c>
      <c r="C610" s="87">
        <v>2.65E-5</v>
      </c>
      <c r="D610" s="87">
        <v>3.6600000000000002E-5</v>
      </c>
      <c r="E610" s="232">
        <v>12593.01</v>
      </c>
      <c r="F610" s="232">
        <v>16426</v>
      </c>
      <c r="G610" s="232">
        <v>56242</v>
      </c>
      <c r="H610" s="232"/>
      <c r="I610" s="233">
        <v>1056.6875</v>
      </c>
      <c r="J610" s="233">
        <v>49286</v>
      </c>
      <c r="K610" s="233">
        <v>3852</v>
      </c>
      <c r="L610" s="232">
        <v>1133</v>
      </c>
      <c r="M610" s="232"/>
      <c r="N610" s="233">
        <v>1971</v>
      </c>
      <c r="O610" s="233">
        <v>18191</v>
      </c>
      <c r="P610" s="233">
        <v>0</v>
      </c>
      <c r="Q610" s="232">
        <v>7687</v>
      </c>
      <c r="R610" s="233">
        <f t="shared" si="9"/>
        <v>31095</v>
      </c>
      <c r="S610" s="232"/>
      <c r="T610" s="233">
        <v>15033</v>
      </c>
      <c r="U610" s="234">
        <v>-2457</v>
      </c>
      <c r="V610" s="234">
        <v>12576</v>
      </c>
    </row>
    <row r="611" spans="1:22">
      <c r="A611" s="227">
        <v>96631</v>
      </c>
      <c r="B611" s="228" t="s">
        <v>1321</v>
      </c>
      <c r="C611" s="87">
        <v>2.5899999999999999E-5</v>
      </c>
      <c r="D611" s="87">
        <v>2.5599999999999999E-5</v>
      </c>
      <c r="E611" s="232">
        <v>10252.959999999999</v>
      </c>
      <c r="F611" s="232">
        <v>11489</v>
      </c>
      <c r="G611" s="232">
        <v>54968</v>
      </c>
      <c r="H611" s="232"/>
      <c r="I611" s="233">
        <v>1032.7625</v>
      </c>
      <c r="J611" s="233">
        <v>48170</v>
      </c>
      <c r="K611" s="233">
        <v>3765</v>
      </c>
      <c r="L611" s="232">
        <v>5664</v>
      </c>
      <c r="M611" s="232"/>
      <c r="N611" s="233">
        <v>1926</v>
      </c>
      <c r="O611" s="233">
        <v>17779</v>
      </c>
      <c r="P611" s="233">
        <v>0</v>
      </c>
      <c r="Q611" s="232">
        <v>154</v>
      </c>
      <c r="R611" s="233">
        <f t="shared" si="9"/>
        <v>30391</v>
      </c>
      <c r="S611" s="232"/>
      <c r="T611" s="233">
        <v>14692</v>
      </c>
      <c r="U611" s="234">
        <v>2250</v>
      </c>
      <c r="V611" s="234">
        <v>16942</v>
      </c>
    </row>
    <row r="612" spans="1:22">
      <c r="A612" s="227">
        <v>96641</v>
      </c>
      <c r="B612" s="228" t="s">
        <v>1322</v>
      </c>
      <c r="C612" s="87">
        <v>2.6999999999999999E-5</v>
      </c>
      <c r="D612" s="87">
        <v>2.7100000000000001E-5</v>
      </c>
      <c r="E612" s="232">
        <v>17201.89</v>
      </c>
      <c r="F612" s="232">
        <v>12162</v>
      </c>
      <c r="G612" s="232">
        <v>57303</v>
      </c>
      <c r="H612" s="232"/>
      <c r="I612" s="233">
        <v>1076.625</v>
      </c>
      <c r="J612" s="233">
        <v>50216</v>
      </c>
      <c r="K612" s="233">
        <v>3925</v>
      </c>
      <c r="L612" s="232">
        <v>10873</v>
      </c>
      <c r="M612" s="232"/>
      <c r="N612" s="233">
        <v>2008</v>
      </c>
      <c r="O612" s="233">
        <v>18534</v>
      </c>
      <c r="P612" s="233">
        <v>0</v>
      </c>
      <c r="Q612" s="232">
        <v>0</v>
      </c>
      <c r="R612" s="233">
        <f t="shared" si="9"/>
        <v>31682</v>
      </c>
      <c r="S612" s="232"/>
      <c r="T612" s="233">
        <v>15316</v>
      </c>
      <c r="U612" s="234">
        <v>3846</v>
      </c>
      <c r="V612" s="234">
        <v>19162</v>
      </c>
    </row>
    <row r="613" spans="1:22">
      <c r="A613" s="227">
        <v>96651</v>
      </c>
      <c r="B613" s="228" t="s">
        <v>1323</v>
      </c>
      <c r="C613" s="87">
        <v>1.9400000000000001E-5</v>
      </c>
      <c r="D613" s="87">
        <v>1.9300000000000002E-5</v>
      </c>
      <c r="E613" s="232">
        <v>8893.0600000000013</v>
      </c>
      <c r="F613" s="232">
        <v>8662</v>
      </c>
      <c r="G613" s="232">
        <v>41173</v>
      </c>
      <c r="H613" s="232"/>
      <c r="I613" s="233">
        <v>773.57500000000005</v>
      </c>
      <c r="J613" s="233">
        <v>36081</v>
      </c>
      <c r="K613" s="233">
        <v>2820</v>
      </c>
      <c r="L613" s="232">
        <v>781</v>
      </c>
      <c r="M613" s="232"/>
      <c r="N613" s="233">
        <v>1443</v>
      </c>
      <c r="O613" s="233">
        <v>13317</v>
      </c>
      <c r="P613" s="233">
        <v>0</v>
      </c>
      <c r="Q613" s="232">
        <v>2222</v>
      </c>
      <c r="R613" s="233">
        <f t="shared" si="9"/>
        <v>22764</v>
      </c>
      <c r="S613" s="232"/>
      <c r="T613" s="233">
        <v>11005</v>
      </c>
      <c r="U613" s="234">
        <v>-715</v>
      </c>
      <c r="V613" s="234">
        <v>10290</v>
      </c>
    </row>
    <row r="614" spans="1:22">
      <c r="A614" s="227">
        <v>96661</v>
      </c>
      <c r="B614" s="228" t="s">
        <v>1324</v>
      </c>
      <c r="C614" s="87">
        <v>1.9000000000000001E-5</v>
      </c>
      <c r="D614" s="87">
        <v>1.7200000000000001E-5</v>
      </c>
      <c r="E614" s="232">
        <v>9291.01</v>
      </c>
      <c r="F614" s="232">
        <v>7719</v>
      </c>
      <c r="G614" s="232">
        <v>40324</v>
      </c>
      <c r="H614" s="232"/>
      <c r="I614" s="233">
        <v>757.625</v>
      </c>
      <c r="J614" s="233">
        <v>35337</v>
      </c>
      <c r="K614" s="233">
        <v>2762</v>
      </c>
      <c r="L614" s="232">
        <v>6032</v>
      </c>
      <c r="M614" s="232"/>
      <c r="N614" s="233">
        <v>1413</v>
      </c>
      <c r="O614" s="233">
        <v>13043</v>
      </c>
      <c r="P614" s="233">
        <v>0</v>
      </c>
      <c r="Q614" s="232">
        <v>0</v>
      </c>
      <c r="R614" s="233">
        <f t="shared" si="9"/>
        <v>22294</v>
      </c>
      <c r="S614" s="232"/>
      <c r="T614" s="233">
        <v>10778</v>
      </c>
      <c r="U614" s="234">
        <v>2137</v>
      </c>
      <c r="V614" s="234">
        <v>12915</v>
      </c>
    </row>
    <row r="615" spans="1:22">
      <c r="A615" s="227">
        <v>96671</v>
      </c>
      <c r="B615" s="228" t="s">
        <v>1325</v>
      </c>
      <c r="C615" s="87">
        <v>1.5500000000000001E-5</v>
      </c>
      <c r="D615" s="87">
        <v>1.56E-5</v>
      </c>
      <c r="E615" s="232">
        <v>11958.029999999999</v>
      </c>
      <c r="F615" s="232">
        <v>7001</v>
      </c>
      <c r="G615" s="232">
        <v>32896</v>
      </c>
      <c r="H615" s="232"/>
      <c r="I615" s="233">
        <v>618.0625</v>
      </c>
      <c r="J615" s="233">
        <v>28828</v>
      </c>
      <c r="K615" s="233">
        <v>2253</v>
      </c>
      <c r="L615" s="232">
        <v>11385</v>
      </c>
      <c r="M615" s="232"/>
      <c r="N615" s="233">
        <v>1153</v>
      </c>
      <c r="O615" s="233">
        <v>10640</v>
      </c>
      <c r="P615" s="233">
        <v>0</v>
      </c>
      <c r="Q615" s="232">
        <v>418</v>
      </c>
      <c r="R615" s="233">
        <f t="shared" si="9"/>
        <v>18188</v>
      </c>
      <c r="S615" s="232"/>
      <c r="T615" s="233">
        <v>8793</v>
      </c>
      <c r="U615" s="234">
        <v>3409</v>
      </c>
      <c r="V615" s="234">
        <v>12201</v>
      </c>
    </row>
    <row r="616" spans="1:22">
      <c r="A616" s="227">
        <v>96681</v>
      </c>
      <c r="B616" s="228" t="s">
        <v>1326</v>
      </c>
      <c r="C616" s="87">
        <v>3.4799999999999999E-5</v>
      </c>
      <c r="D616" s="87">
        <v>3.4700000000000003E-5</v>
      </c>
      <c r="E616" s="232">
        <v>22895.739999999998</v>
      </c>
      <c r="F616" s="232">
        <v>15573</v>
      </c>
      <c r="G616" s="232">
        <v>73857</v>
      </c>
      <c r="H616" s="232"/>
      <c r="I616" s="233">
        <v>1388</v>
      </c>
      <c r="J616" s="233">
        <v>64723</v>
      </c>
      <c r="K616" s="233">
        <v>5059</v>
      </c>
      <c r="L616" s="232">
        <v>18633</v>
      </c>
      <c r="M616" s="232"/>
      <c r="N616" s="233">
        <v>2588</v>
      </c>
      <c r="O616" s="233">
        <v>23889</v>
      </c>
      <c r="P616" s="233">
        <v>0</v>
      </c>
      <c r="Q616" s="232">
        <v>1494</v>
      </c>
      <c r="R616" s="233">
        <f t="shared" si="9"/>
        <v>40834</v>
      </c>
      <c r="S616" s="232"/>
      <c r="T616" s="233">
        <v>19741</v>
      </c>
      <c r="U616" s="234">
        <v>5200</v>
      </c>
      <c r="V616" s="234">
        <v>24941</v>
      </c>
    </row>
    <row r="617" spans="1:22">
      <c r="A617" s="227">
        <v>96701</v>
      </c>
      <c r="B617" s="228" t="s">
        <v>1327</v>
      </c>
      <c r="C617" s="87">
        <v>7.7850000000000003E-3</v>
      </c>
      <c r="D617" s="87">
        <v>7.7803999999999998E-3</v>
      </c>
      <c r="E617" s="232">
        <v>3136203</v>
      </c>
      <c r="F617" s="232">
        <v>3491797</v>
      </c>
      <c r="G617" s="232">
        <v>16522378</v>
      </c>
      <c r="H617" s="232"/>
      <c r="I617" s="233">
        <v>310427</v>
      </c>
      <c r="J617" s="233">
        <v>14478870</v>
      </c>
      <c r="K617" s="233">
        <v>1131635</v>
      </c>
      <c r="L617" s="232">
        <v>289202</v>
      </c>
      <c r="M617" s="232"/>
      <c r="N617" s="233">
        <v>578963</v>
      </c>
      <c r="O617" s="233">
        <v>5344075.53</v>
      </c>
      <c r="P617" s="233">
        <v>0</v>
      </c>
      <c r="Q617" s="232">
        <v>79279</v>
      </c>
      <c r="R617" s="233">
        <f t="shared" si="9"/>
        <v>9134794.4699999988</v>
      </c>
      <c r="S617" s="232"/>
      <c r="T617" s="233">
        <v>4416189</v>
      </c>
      <c r="U617" s="234">
        <v>74739</v>
      </c>
      <c r="V617" s="234">
        <v>4490928</v>
      </c>
    </row>
    <row r="618" spans="1:22">
      <c r="A618" s="227">
        <v>96704</v>
      </c>
      <c r="B618" s="228" t="s">
        <v>1328</v>
      </c>
      <c r="C618" s="87">
        <v>1.5330000000000001E-4</v>
      </c>
      <c r="D618" s="87">
        <v>1.5919999999999999E-4</v>
      </c>
      <c r="E618" s="232">
        <v>71376.409999999989</v>
      </c>
      <c r="F618" s="232">
        <v>71448</v>
      </c>
      <c r="G618" s="232">
        <v>325354</v>
      </c>
      <c r="H618" s="232"/>
      <c r="I618" s="233">
        <v>6113</v>
      </c>
      <c r="J618" s="233">
        <v>285114</v>
      </c>
      <c r="K618" s="233">
        <v>22284</v>
      </c>
      <c r="L618" s="232">
        <v>9181</v>
      </c>
      <c r="M618" s="232"/>
      <c r="N618" s="233">
        <v>11401</v>
      </c>
      <c r="O618" s="233">
        <v>105234</v>
      </c>
      <c r="P618" s="233">
        <v>0</v>
      </c>
      <c r="Q618" s="232">
        <v>0</v>
      </c>
      <c r="R618" s="233">
        <f t="shared" si="9"/>
        <v>179880</v>
      </c>
      <c r="S618" s="232"/>
      <c r="T618" s="233">
        <v>86962</v>
      </c>
      <c r="U618" s="234">
        <v>3774</v>
      </c>
      <c r="V618" s="234">
        <v>90736</v>
      </c>
    </row>
    <row r="619" spans="1:22">
      <c r="A619" s="227">
        <v>96708</v>
      </c>
      <c r="B619" s="228" t="s">
        <v>1329</v>
      </c>
      <c r="C619" s="87">
        <v>8.4590000000000002E-4</v>
      </c>
      <c r="D619" s="87">
        <v>9.8109999999999994E-4</v>
      </c>
      <c r="E619" s="232">
        <v>406277.09</v>
      </c>
      <c r="F619" s="232">
        <v>440312</v>
      </c>
      <c r="G619" s="232">
        <v>1795283</v>
      </c>
      <c r="H619" s="232"/>
      <c r="I619" s="233">
        <v>33730</v>
      </c>
      <c r="J619" s="233">
        <v>1573240</v>
      </c>
      <c r="K619" s="233">
        <v>122961</v>
      </c>
      <c r="L619" s="232">
        <v>54938</v>
      </c>
      <c r="M619" s="232"/>
      <c r="N619" s="233">
        <v>62909</v>
      </c>
      <c r="O619" s="233">
        <v>580675</v>
      </c>
      <c r="P619" s="233">
        <v>0</v>
      </c>
      <c r="Q619" s="232">
        <v>26851</v>
      </c>
      <c r="R619" s="233">
        <f t="shared" si="9"/>
        <v>992565</v>
      </c>
      <c r="S619" s="232"/>
      <c r="T619" s="233">
        <v>479853</v>
      </c>
      <c r="U619" s="234">
        <v>14104</v>
      </c>
      <c r="V619" s="234">
        <v>493957</v>
      </c>
    </row>
    <row r="620" spans="1:22">
      <c r="A620" s="227">
        <v>96711</v>
      </c>
      <c r="B620" s="228" t="s">
        <v>1330</v>
      </c>
      <c r="C620" s="87">
        <v>4.4140000000000004E-3</v>
      </c>
      <c r="D620" s="87">
        <v>4.2459999999999998E-3</v>
      </c>
      <c r="E620" s="232">
        <v>1606504.9700000004</v>
      </c>
      <c r="F620" s="232">
        <v>1905579</v>
      </c>
      <c r="G620" s="232">
        <v>9367987</v>
      </c>
      <c r="H620" s="232"/>
      <c r="I620" s="233">
        <v>176008</v>
      </c>
      <c r="J620" s="233">
        <v>8209343</v>
      </c>
      <c r="K620" s="233">
        <v>641623</v>
      </c>
      <c r="L620" s="232">
        <v>20750</v>
      </c>
      <c r="M620" s="232"/>
      <c r="N620" s="233">
        <v>328265</v>
      </c>
      <c r="O620" s="233">
        <v>3030026</v>
      </c>
      <c r="P620" s="233">
        <v>0</v>
      </c>
      <c r="Q620" s="232">
        <v>348266</v>
      </c>
      <c r="R620" s="233">
        <f t="shared" si="9"/>
        <v>5179317</v>
      </c>
      <c r="S620" s="232"/>
      <c r="T620" s="233">
        <v>2503925</v>
      </c>
      <c r="U620" s="234">
        <v>-105928</v>
      </c>
      <c r="V620" s="234">
        <v>2397997</v>
      </c>
    </row>
    <row r="621" spans="1:22">
      <c r="A621" s="227">
        <v>96721</v>
      </c>
      <c r="B621" s="228" t="s">
        <v>1331</v>
      </c>
      <c r="C621" s="87">
        <v>1.9780000000000001E-4</v>
      </c>
      <c r="D621" s="87">
        <v>2.5119999999999998E-4</v>
      </c>
      <c r="E621" s="232">
        <v>74366.510000000009</v>
      </c>
      <c r="F621" s="232">
        <v>112737</v>
      </c>
      <c r="G621" s="232">
        <v>419798</v>
      </c>
      <c r="H621" s="232"/>
      <c r="I621" s="233">
        <v>7887</v>
      </c>
      <c r="J621" s="233">
        <v>367877</v>
      </c>
      <c r="K621" s="233">
        <v>28752</v>
      </c>
      <c r="L621" s="232">
        <v>10855</v>
      </c>
      <c r="M621" s="232"/>
      <c r="N621" s="233">
        <v>14710</v>
      </c>
      <c r="O621" s="233">
        <v>135781</v>
      </c>
      <c r="P621" s="233">
        <v>0</v>
      </c>
      <c r="Q621" s="232">
        <v>34469</v>
      </c>
      <c r="R621" s="233">
        <f t="shared" si="9"/>
        <v>232096</v>
      </c>
      <c r="S621" s="232"/>
      <c r="T621" s="233">
        <v>112206</v>
      </c>
      <c r="U621" s="234">
        <v>-3553</v>
      </c>
      <c r="V621" s="234">
        <v>108653</v>
      </c>
    </row>
    <row r="622" spans="1:22">
      <c r="A622" s="227">
        <v>96731</v>
      </c>
      <c r="B622" s="228" t="s">
        <v>1332</v>
      </c>
      <c r="C622" s="87">
        <v>1.5090000000000001E-4</v>
      </c>
      <c r="D622" s="87">
        <v>1.3420000000000001E-4</v>
      </c>
      <c r="E622" s="232">
        <v>65647.320000000007</v>
      </c>
      <c r="F622" s="232">
        <v>60228</v>
      </c>
      <c r="G622" s="232">
        <v>320260</v>
      </c>
      <c r="H622" s="232"/>
      <c r="I622" s="233">
        <v>6017</v>
      </c>
      <c r="J622" s="233">
        <v>280650</v>
      </c>
      <c r="K622" s="233">
        <v>21935</v>
      </c>
      <c r="L622" s="232">
        <v>18052</v>
      </c>
      <c r="M622" s="232"/>
      <c r="N622" s="233">
        <v>11222</v>
      </c>
      <c r="O622" s="233">
        <v>103587</v>
      </c>
      <c r="P622" s="233">
        <v>0</v>
      </c>
      <c r="Q622" s="232">
        <v>12</v>
      </c>
      <c r="R622" s="233">
        <f t="shared" si="9"/>
        <v>177063</v>
      </c>
      <c r="S622" s="232"/>
      <c r="T622" s="233">
        <v>85601</v>
      </c>
      <c r="U622" s="234">
        <v>5259</v>
      </c>
      <c r="V622" s="234">
        <v>90859</v>
      </c>
    </row>
    <row r="623" spans="1:22">
      <c r="A623" s="227">
        <v>96733</v>
      </c>
      <c r="B623" s="228" t="s">
        <v>1333</v>
      </c>
      <c r="C623" s="87">
        <v>9.2E-6</v>
      </c>
      <c r="D623" s="87">
        <v>4.1999999999999996E-6</v>
      </c>
      <c r="E623" s="232">
        <v>5389.79</v>
      </c>
      <c r="F623" s="232">
        <v>1885</v>
      </c>
      <c r="G623" s="232">
        <v>19525</v>
      </c>
      <c r="H623" s="232"/>
      <c r="I623" s="233">
        <v>366.85</v>
      </c>
      <c r="J623" s="233">
        <v>17111</v>
      </c>
      <c r="K623" s="233">
        <v>1337</v>
      </c>
      <c r="L623" s="232">
        <v>6066</v>
      </c>
      <c r="M623" s="232"/>
      <c r="N623" s="233">
        <v>684</v>
      </c>
      <c r="O623" s="233">
        <v>6315</v>
      </c>
      <c r="P623" s="233">
        <v>0</v>
      </c>
      <c r="Q623" s="232">
        <v>1048</v>
      </c>
      <c r="R623" s="233">
        <f t="shared" si="9"/>
        <v>10796</v>
      </c>
      <c r="S623" s="232"/>
      <c r="T623" s="233">
        <v>5219</v>
      </c>
      <c r="U623" s="234">
        <v>1707</v>
      </c>
      <c r="V623" s="234">
        <v>6925</v>
      </c>
    </row>
    <row r="624" spans="1:22">
      <c r="A624" s="227">
        <v>96741</v>
      </c>
      <c r="B624" s="228" t="s">
        <v>1334</v>
      </c>
      <c r="C624" s="87">
        <v>9.2399999999999996E-5</v>
      </c>
      <c r="D624" s="87">
        <v>9.2899999999999995E-5</v>
      </c>
      <c r="E624" s="232">
        <v>36389.700000000004</v>
      </c>
      <c r="F624" s="232">
        <v>41693</v>
      </c>
      <c r="G624" s="232">
        <v>196104</v>
      </c>
      <c r="H624" s="232"/>
      <c r="I624" s="233">
        <v>3684.45</v>
      </c>
      <c r="J624" s="233">
        <v>171849</v>
      </c>
      <c r="K624" s="233">
        <v>13431</v>
      </c>
      <c r="L624" s="232">
        <v>7135</v>
      </c>
      <c r="M624" s="232"/>
      <c r="N624" s="233">
        <v>6872</v>
      </c>
      <c r="O624" s="233">
        <v>63429</v>
      </c>
      <c r="P624" s="233">
        <v>0</v>
      </c>
      <c r="Q624" s="232">
        <v>1549</v>
      </c>
      <c r="R624" s="233">
        <f t="shared" si="9"/>
        <v>108420</v>
      </c>
      <c r="S624" s="232"/>
      <c r="T624" s="233">
        <v>52416</v>
      </c>
      <c r="U624" s="234">
        <v>2530</v>
      </c>
      <c r="V624" s="234">
        <v>54946</v>
      </c>
    </row>
    <row r="625" spans="1:22">
      <c r="A625" s="227">
        <v>96751</v>
      </c>
      <c r="B625" s="228" t="s">
        <v>1335</v>
      </c>
      <c r="C625" s="87">
        <v>2.6120000000000001E-4</v>
      </c>
      <c r="D625" s="87">
        <v>3.0909999999999998E-4</v>
      </c>
      <c r="E625" s="232">
        <v>103640.73999999999</v>
      </c>
      <c r="F625" s="232">
        <v>138722</v>
      </c>
      <c r="G625" s="232">
        <v>554354</v>
      </c>
      <c r="H625" s="232"/>
      <c r="I625" s="233">
        <v>10415.35</v>
      </c>
      <c r="J625" s="233">
        <v>485791</v>
      </c>
      <c r="K625" s="233">
        <v>37968</v>
      </c>
      <c r="L625" s="232">
        <v>21728.81</v>
      </c>
      <c r="M625" s="232"/>
      <c r="N625" s="233">
        <v>19425</v>
      </c>
      <c r="O625" s="233">
        <v>179303</v>
      </c>
      <c r="P625" s="233">
        <v>0</v>
      </c>
      <c r="Q625" s="232">
        <v>37607</v>
      </c>
      <c r="R625" s="233">
        <f t="shared" si="9"/>
        <v>306488</v>
      </c>
      <c r="S625" s="232"/>
      <c r="T625" s="233">
        <v>148171</v>
      </c>
      <c r="U625" s="234">
        <v>349</v>
      </c>
      <c r="V625" s="234">
        <v>148519</v>
      </c>
    </row>
    <row r="626" spans="1:22">
      <c r="A626" s="227">
        <v>96801</v>
      </c>
      <c r="B626" s="228" t="s">
        <v>1336</v>
      </c>
      <c r="C626" s="87">
        <v>7.8463999999999999E-3</v>
      </c>
      <c r="D626" s="87">
        <v>7.0825000000000003E-3</v>
      </c>
      <c r="E626" s="232">
        <v>3035869.73</v>
      </c>
      <c r="F626" s="232">
        <v>3178584</v>
      </c>
      <c r="G626" s="232">
        <v>16652689</v>
      </c>
      <c r="H626" s="232"/>
      <c r="I626" s="233">
        <v>312875.2</v>
      </c>
      <c r="J626" s="233">
        <v>14593064</v>
      </c>
      <c r="K626" s="233">
        <v>1140561</v>
      </c>
      <c r="L626" s="232">
        <v>642631</v>
      </c>
      <c r="M626" s="232"/>
      <c r="N626" s="233">
        <v>583529</v>
      </c>
      <c r="O626" s="233">
        <v>5386224</v>
      </c>
      <c r="P626" s="233">
        <v>0</v>
      </c>
      <c r="Q626" s="232">
        <v>0</v>
      </c>
      <c r="R626" s="233">
        <f t="shared" si="9"/>
        <v>9206840</v>
      </c>
      <c r="S626" s="232"/>
      <c r="T626" s="233">
        <v>4451019</v>
      </c>
      <c r="U626" s="234">
        <v>235775</v>
      </c>
      <c r="V626" s="234">
        <v>4686794</v>
      </c>
    </row>
    <row r="627" spans="1:22">
      <c r="A627" s="227">
        <v>96804</v>
      </c>
      <c r="B627" s="228" t="s">
        <v>1337</v>
      </c>
      <c r="C627" s="87">
        <v>2.4230000000000001E-4</v>
      </c>
      <c r="D627" s="87">
        <v>2.275E-4</v>
      </c>
      <c r="E627" s="232">
        <v>89702.400000000009</v>
      </c>
      <c r="F627" s="232">
        <v>102101</v>
      </c>
      <c r="G627" s="232">
        <v>514242</v>
      </c>
      <c r="H627" s="232"/>
      <c r="I627" s="233">
        <v>9662</v>
      </c>
      <c r="J627" s="233">
        <v>450640</v>
      </c>
      <c r="K627" s="233">
        <v>35221</v>
      </c>
      <c r="L627" s="232">
        <v>4453</v>
      </c>
      <c r="M627" s="232"/>
      <c r="N627" s="233">
        <v>18020</v>
      </c>
      <c r="O627" s="233">
        <v>166329</v>
      </c>
      <c r="P627" s="233">
        <v>0</v>
      </c>
      <c r="Q627" s="232">
        <v>3167</v>
      </c>
      <c r="R627" s="233">
        <f t="shared" si="9"/>
        <v>284311</v>
      </c>
      <c r="S627" s="232"/>
      <c r="T627" s="233">
        <v>137449</v>
      </c>
      <c r="U627" s="234">
        <v>1085</v>
      </c>
      <c r="V627" s="234">
        <v>138535</v>
      </c>
    </row>
    <row r="628" spans="1:22">
      <c r="A628" s="227">
        <v>96808</v>
      </c>
      <c r="B628" s="228" t="s">
        <v>1338</v>
      </c>
      <c r="C628" s="87">
        <v>1.2882E-3</v>
      </c>
      <c r="D628" s="87">
        <v>1.1995E-3</v>
      </c>
      <c r="E628" s="232">
        <v>505072.35</v>
      </c>
      <c r="F628" s="232">
        <v>538328</v>
      </c>
      <c r="G628" s="232">
        <v>2733992</v>
      </c>
      <c r="H628" s="232"/>
      <c r="I628" s="233">
        <v>51367</v>
      </c>
      <c r="J628" s="233">
        <v>2395848</v>
      </c>
      <c r="K628" s="233">
        <v>187254</v>
      </c>
      <c r="L628" s="232">
        <v>67087</v>
      </c>
      <c r="M628" s="232"/>
      <c r="N628" s="233">
        <v>95802</v>
      </c>
      <c r="O628" s="233">
        <v>884295</v>
      </c>
      <c r="P628" s="233">
        <v>0</v>
      </c>
      <c r="Q628" s="232">
        <v>0</v>
      </c>
      <c r="R628" s="233">
        <f t="shared" si="9"/>
        <v>1511553</v>
      </c>
      <c r="S628" s="232"/>
      <c r="T628" s="233">
        <v>730756</v>
      </c>
      <c r="U628" s="234">
        <v>24558</v>
      </c>
      <c r="V628" s="234">
        <v>755313</v>
      </c>
    </row>
    <row r="629" spans="1:22">
      <c r="A629" s="227">
        <v>96811</v>
      </c>
      <c r="B629" s="228" t="s">
        <v>1339</v>
      </c>
      <c r="C629" s="87">
        <v>5.9861999999999997E-3</v>
      </c>
      <c r="D629" s="87">
        <v>6.0393000000000001E-3</v>
      </c>
      <c r="E629" s="232">
        <v>2443568.73</v>
      </c>
      <c r="F629" s="232">
        <v>2710402</v>
      </c>
      <c r="G629" s="232">
        <v>12704722</v>
      </c>
      <c r="H629" s="232"/>
      <c r="I629" s="233">
        <v>238700</v>
      </c>
      <c r="J629" s="233">
        <v>11133386</v>
      </c>
      <c r="K629" s="233">
        <v>870160</v>
      </c>
      <c r="L629" s="232">
        <v>0</v>
      </c>
      <c r="M629" s="232"/>
      <c r="N629" s="233">
        <v>445188</v>
      </c>
      <c r="O629" s="233">
        <v>4109275</v>
      </c>
      <c r="P629" s="233">
        <v>0</v>
      </c>
      <c r="Q629" s="232">
        <v>86222</v>
      </c>
      <c r="R629" s="233">
        <f t="shared" si="9"/>
        <v>7024111</v>
      </c>
      <c r="S629" s="232"/>
      <c r="T629" s="233">
        <v>3395786</v>
      </c>
      <c r="U629" s="234">
        <v>-32722</v>
      </c>
      <c r="V629" s="234">
        <v>3363064</v>
      </c>
    </row>
    <row r="630" spans="1:22">
      <c r="A630" s="227">
        <v>96821</v>
      </c>
      <c r="B630" s="228" t="s">
        <v>1340</v>
      </c>
      <c r="C630" s="87">
        <v>1.3630999999999999E-3</v>
      </c>
      <c r="D630" s="87">
        <v>1.4808E-3</v>
      </c>
      <c r="E630" s="232">
        <v>518291.4</v>
      </c>
      <c r="F630" s="232">
        <v>664574</v>
      </c>
      <c r="G630" s="232">
        <v>2892955</v>
      </c>
      <c r="H630" s="232"/>
      <c r="I630" s="233">
        <v>54354</v>
      </c>
      <c r="J630" s="233">
        <v>2535151</v>
      </c>
      <c r="K630" s="233">
        <v>198142</v>
      </c>
      <c r="L630" s="232">
        <v>0</v>
      </c>
      <c r="M630" s="232"/>
      <c r="N630" s="233">
        <v>101372</v>
      </c>
      <c r="O630" s="233">
        <v>935711</v>
      </c>
      <c r="P630" s="233">
        <v>0</v>
      </c>
      <c r="Q630" s="232">
        <v>153131</v>
      </c>
      <c r="R630" s="233">
        <f t="shared" si="9"/>
        <v>1599440</v>
      </c>
      <c r="S630" s="232"/>
      <c r="T630" s="233">
        <v>773244</v>
      </c>
      <c r="U630" s="234">
        <v>-47603</v>
      </c>
      <c r="V630" s="234">
        <v>725641</v>
      </c>
    </row>
    <row r="631" spans="1:22">
      <c r="A631" s="227">
        <v>96831</v>
      </c>
      <c r="B631" s="228" t="s">
        <v>1341</v>
      </c>
      <c r="C631" s="87">
        <v>9.2400000000000002E-4</v>
      </c>
      <c r="D631" s="87">
        <v>8.3830000000000005E-4</v>
      </c>
      <c r="E631" s="232">
        <v>353922.04000000004</v>
      </c>
      <c r="F631" s="232">
        <v>376224</v>
      </c>
      <c r="G631" s="232">
        <v>1961037.54</v>
      </c>
      <c r="H631" s="232"/>
      <c r="I631" s="233">
        <v>36844.5</v>
      </c>
      <c r="J631" s="233">
        <v>1718494</v>
      </c>
      <c r="K631" s="233">
        <v>134314</v>
      </c>
      <c r="L631" s="232">
        <v>56487</v>
      </c>
      <c r="M631" s="232"/>
      <c r="N631" s="233">
        <v>68717</v>
      </c>
      <c r="O631" s="233">
        <v>634287</v>
      </c>
      <c r="P631" s="233">
        <v>0</v>
      </c>
      <c r="Q631" s="232">
        <v>0</v>
      </c>
      <c r="R631" s="233">
        <f t="shared" si="9"/>
        <v>1084207</v>
      </c>
      <c r="S631" s="232"/>
      <c r="T631" s="233">
        <v>524157</v>
      </c>
      <c r="U631" s="234">
        <v>19257</v>
      </c>
      <c r="V631" s="234">
        <v>543413</v>
      </c>
    </row>
    <row r="632" spans="1:22">
      <c r="A632" s="227">
        <v>96901</v>
      </c>
      <c r="B632" s="228" t="s">
        <v>1342</v>
      </c>
      <c r="C632" s="87">
        <v>8.1610000000000005E-4</v>
      </c>
      <c r="D632" s="87">
        <v>7.6599999999999997E-4</v>
      </c>
      <c r="E632" s="232">
        <v>326581.33</v>
      </c>
      <c r="F632" s="232">
        <v>343776</v>
      </c>
      <c r="G632" s="232">
        <v>1732038</v>
      </c>
      <c r="H632" s="232"/>
      <c r="I632" s="233">
        <v>32542</v>
      </c>
      <c r="J632" s="233">
        <v>1517817</v>
      </c>
      <c r="K632" s="233">
        <v>118629</v>
      </c>
      <c r="L632" s="232">
        <v>46444</v>
      </c>
      <c r="M632" s="232"/>
      <c r="N632" s="233">
        <v>60693</v>
      </c>
      <c r="O632" s="233">
        <v>560218</v>
      </c>
      <c r="P632" s="233">
        <v>0</v>
      </c>
      <c r="Q632" s="232">
        <v>0</v>
      </c>
      <c r="R632" s="233">
        <f t="shared" si="9"/>
        <v>957599</v>
      </c>
      <c r="S632" s="232"/>
      <c r="T632" s="233">
        <v>462948</v>
      </c>
      <c r="U632" s="234">
        <v>15281</v>
      </c>
      <c r="V632" s="234">
        <v>478229</v>
      </c>
    </row>
    <row r="633" spans="1:22">
      <c r="A633" s="227">
        <v>96911</v>
      </c>
      <c r="B633" s="228" t="s">
        <v>1343</v>
      </c>
      <c r="C633" s="87">
        <v>3.7000000000000002E-6</v>
      </c>
      <c r="D633" s="87">
        <v>1.15E-5</v>
      </c>
      <c r="E633" s="232">
        <v>2162.39</v>
      </c>
      <c r="F633" s="232">
        <v>5161</v>
      </c>
      <c r="G633" s="232">
        <v>7853</v>
      </c>
      <c r="H633" s="232"/>
      <c r="I633" s="233">
        <v>147.53749999999999</v>
      </c>
      <c r="J633" s="233">
        <v>6881</v>
      </c>
      <c r="K633" s="233">
        <v>538</v>
      </c>
      <c r="L633" s="232">
        <v>3997</v>
      </c>
      <c r="M633" s="232"/>
      <c r="N633" s="233">
        <v>275</v>
      </c>
      <c r="O633" s="233">
        <v>2540</v>
      </c>
      <c r="P633" s="233">
        <v>0</v>
      </c>
      <c r="Q633" s="232">
        <v>3716</v>
      </c>
      <c r="R633" s="233">
        <f t="shared" si="9"/>
        <v>4341</v>
      </c>
      <c r="S633" s="232"/>
      <c r="T633" s="233">
        <v>2099</v>
      </c>
      <c r="U633" s="234">
        <v>571</v>
      </c>
      <c r="V633" s="234">
        <v>2669</v>
      </c>
    </row>
    <row r="634" spans="1:22">
      <c r="A634" s="227">
        <v>96912</v>
      </c>
      <c r="B634" s="228" t="s">
        <v>1344</v>
      </c>
      <c r="C634" s="87">
        <v>6.0999999999999999E-5</v>
      </c>
      <c r="D634" s="87">
        <v>5.5899999999999997E-5</v>
      </c>
      <c r="E634" s="232">
        <v>20331.63</v>
      </c>
      <c r="F634" s="232">
        <v>25088</v>
      </c>
      <c r="G634" s="232">
        <v>129462</v>
      </c>
      <c r="H634" s="232"/>
      <c r="I634" s="233">
        <v>2432.375</v>
      </c>
      <c r="J634" s="233">
        <v>113450</v>
      </c>
      <c r="K634" s="233">
        <v>8867</v>
      </c>
      <c r="L634" s="232">
        <v>7641</v>
      </c>
      <c r="M634" s="232"/>
      <c r="N634" s="233">
        <v>4537</v>
      </c>
      <c r="O634" s="233">
        <v>41874</v>
      </c>
      <c r="P634" s="233">
        <v>0</v>
      </c>
      <c r="Q634" s="232">
        <v>1013</v>
      </c>
      <c r="R634" s="233">
        <f t="shared" si="9"/>
        <v>71576</v>
      </c>
      <c r="S634" s="232"/>
      <c r="T634" s="233">
        <v>34603</v>
      </c>
      <c r="U634" s="234">
        <v>3054</v>
      </c>
      <c r="V634" s="234">
        <v>37657</v>
      </c>
    </row>
    <row r="635" spans="1:22">
      <c r="A635" s="227">
        <v>96918</v>
      </c>
      <c r="B635" s="228" t="s">
        <v>1345</v>
      </c>
      <c r="C635" s="87">
        <v>4.0500000000000002E-5</v>
      </c>
      <c r="D635" s="87">
        <v>4.5099999999999998E-5</v>
      </c>
      <c r="E635" s="232">
        <v>18289.97</v>
      </c>
      <c r="F635" s="232">
        <v>20241</v>
      </c>
      <c r="G635" s="232">
        <v>85955</v>
      </c>
      <c r="H635" s="232"/>
      <c r="I635" s="233">
        <v>1614.9375</v>
      </c>
      <c r="J635" s="233">
        <v>75324</v>
      </c>
      <c r="K635" s="233">
        <v>5887</v>
      </c>
      <c r="L635" s="232">
        <v>12921</v>
      </c>
      <c r="M635" s="232"/>
      <c r="N635" s="233">
        <v>3012</v>
      </c>
      <c r="O635" s="233">
        <v>27802</v>
      </c>
      <c r="P635" s="233">
        <v>0</v>
      </c>
      <c r="Q635" s="232">
        <v>1194</v>
      </c>
      <c r="R635" s="233">
        <f t="shared" si="9"/>
        <v>47522</v>
      </c>
      <c r="S635" s="232"/>
      <c r="T635" s="233">
        <v>22974</v>
      </c>
      <c r="U635" s="234">
        <v>5498</v>
      </c>
      <c r="V635" s="234">
        <v>28472</v>
      </c>
    </row>
    <row r="636" spans="1:22">
      <c r="A636" s="227">
        <v>97001</v>
      </c>
      <c r="B636" s="228" t="s">
        <v>1346</v>
      </c>
      <c r="C636" s="87">
        <v>1.3641E-3</v>
      </c>
      <c r="D636" s="87">
        <v>1.3221999999999999E-3</v>
      </c>
      <c r="E636" s="232">
        <v>636604.70000000007</v>
      </c>
      <c r="F636" s="232">
        <v>593395</v>
      </c>
      <c r="G636" s="232">
        <v>2895077</v>
      </c>
      <c r="H636" s="232"/>
      <c r="I636" s="233">
        <v>54393</v>
      </c>
      <c r="J636" s="233">
        <v>2537010</v>
      </c>
      <c r="K636" s="233">
        <v>198287</v>
      </c>
      <c r="L636" s="232">
        <v>107093</v>
      </c>
      <c r="M636" s="232"/>
      <c r="N636" s="233">
        <v>101447</v>
      </c>
      <c r="O636" s="233">
        <v>936397</v>
      </c>
      <c r="P636" s="233">
        <v>0</v>
      </c>
      <c r="Q636" s="232">
        <v>23162</v>
      </c>
      <c r="R636" s="233">
        <f t="shared" si="9"/>
        <v>1600613</v>
      </c>
      <c r="S636" s="232"/>
      <c r="T636" s="233">
        <v>773812</v>
      </c>
      <c r="U636" s="234">
        <v>18430</v>
      </c>
      <c r="V636" s="234">
        <v>792241</v>
      </c>
    </row>
    <row r="637" spans="1:22">
      <c r="A637" s="227">
        <v>97002</v>
      </c>
      <c r="B637" s="228" t="s">
        <v>1347</v>
      </c>
      <c r="C637" s="87">
        <v>4.6589999999999999E-4</v>
      </c>
      <c r="D637" s="87">
        <v>3.9229999999999999E-4</v>
      </c>
      <c r="E637" s="232">
        <v>151526.06</v>
      </c>
      <c r="F637" s="232">
        <v>176062</v>
      </c>
      <c r="G637" s="232">
        <v>988796</v>
      </c>
      <c r="H637" s="232"/>
      <c r="I637" s="233">
        <v>18578</v>
      </c>
      <c r="J637" s="233">
        <v>866500</v>
      </c>
      <c r="K637" s="233">
        <v>67724</v>
      </c>
      <c r="L637" s="232">
        <v>28607</v>
      </c>
      <c r="M637" s="232"/>
      <c r="N637" s="233">
        <v>34649</v>
      </c>
      <c r="O637" s="233">
        <v>319821</v>
      </c>
      <c r="P637" s="233">
        <v>0</v>
      </c>
      <c r="Q637" s="232">
        <v>0</v>
      </c>
      <c r="R637" s="233">
        <f t="shared" si="9"/>
        <v>546679</v>
      </c>
      <c r="S637" s="232"/>
      <c r="T637" s="233">
        <v>264291</v>
      </c>
      <c r="U637" s="234">
        <v>11776</v>
      </c>
      <c r="V637" s="234">
        <v>276066</v>
      </c>
    </row>
    <row r="638" spans="1:22">
      <c r="A638" s="227">
        <v>97004</v>
      </c>
      <c r="B638" s="228" t="s">
        <v>1348</v>
      </c>
      <c r="C638" s="87">
        <v>1.0900000000000001E-5</v>
      </c>
      <c r="D638" s="87">
        <v>1.47E-5</v>
      </c>
      <c r="E638" s="232">
        <v>7359.36</v>
      </c>
      <c r="F638" s="232">
        <v>6597</v>
      </c>
      <c r="G638" s="232">
        <v>23133</v>
      </c>
      <c r="H638" s="232"/>
      <c r="I638" s="233">
        <v>435</v>
      </c>
      <c r="J638" s="233">
        <v>20272</v>
      </c>
      <c r="K638" s="233">
        <v>1584</v>
      </c>
      <c r="L638" s="232">
        <v>3251</v>
      </c>
      <c r="M638" s="232"/>
      <c r="N638" s="233">
        <v>811</v>
      </c>
      <c r="O638" s="233">
        <v>7482</v>
      </c>
      <c r="P638" s="233">
        <v>0</v>
      </c>
      <c r="Q638" s="232">
        <v>0</v>
      </c>
      <c r="R638" s="233">
        <f t="shared" si="9"/>
        <v>12790</v>
      </c>
      <c r="S638" s="232"/>
      <c r="T638" s="233">
        <v>6183</v>
      </c>
      <c r="U638" s="234">
        <v>1295</v>
      </c>
      <c r="V638" s="234">
        <v>7478</v>
      </c>
    </row>
    <row r="639" spans="1:22">
      <c r="A639" s="227">
        <v>97005</v>
      </c>
      <c r="B639" s="228" t="s">
        <v>1349</v>
      </c>
      <c r="C639" s="87">
        <v>1.42E-5</v>
      </c>
      <c r="D639" s="87">
        <v>2.3799999999999999E-5</v>
      </c>
      <c r="E639" s="232">
        <v>10552.87</v>
      </c>
      <c r="F639" s="232">
        <v>10681</v>
      </c>
      <c r="G639" s="232">
        <v>30137</v>
      </c>
      <c r="H639" s="232"/>
      <c r="I639" s="233">
        <v>566.22500000000002</v>
      </c>
      <c r="J639" s="233">
        <v>26410</v>
      </c>
      <c r="K639" s="233">
        <v>2064</v>
      </c>
      <c r="L639" s="232">
        <v>3091</v>
      </c>
      <c r="M639" s="232"/>
      <c r="N639" s="233">
        <v>1056</v>
      </c>
      <c r="O639" s="233">
        <v>9748</v>
      </c>
      <c r="P639" s="233">
        <v>0</v>
      </c>
      <c r="Q639" s="232">
        <v>2036</v>
      </c>
      <c r="R639" s="233">
        <f t="shared" si="9"/>
        <v>16662</v>
      </c>
      <c r="S639" s="232"/>
      <c r="T639" s="233">
        <v>8055</v>
      </c>
      <c r="U639" s="234">
        <v>428</v>
      </c>
      <c r="V639" s="234">
        <v>8483</v>
      </c>
    </row>
    <row r="640" spans="1:22">
      <c r="A640" s="227">
        <v>97008</v>
      </c>
      <c r="B640" s="228" t="s">
        <v>1350</v>
      </c>
      <c r="C640" s="87">
        <v>2.7530000000000002E-4</v>
      </c>
      <c r="D640" s="87">
        <v>2.6959999999999999E-4</v>
      </c>
      <c r="E640" s="232">
        <v>107270.37</v>
      </c>
      <c r="F640" s="232">
        <v>120995</v>
      </c>
      <c r="G640" s="232">
        <v>584279</v>
      </c>
      <c r="H640" s="232"/>
      <c r="I640" s="233">
        <v>10978</v>
      </c>
      <c r="J640" s="233">
        <v>512015</v>
      </c>
      <c r="K640" s="233">
        <v>40018</v>
      </c>
      <c r="L640" s="232">
        <v>14688</v>
      </c>
      <c r="M640" s="232"/>
      <c r="N640" s="233">
        <v>20474</v>
      </c>
      <c r="O640" s="233">
        <v>188982</v>
      </c>
      <c r="P640" s="233">
        <v>0</v>
      </c>
      <c r="Q640" s="232">
        <v>4604</v>
      </c>
      <c r="R640" s="233">
        <f t="shared" si="9"/>
        <v>323033</v>
      </c>
      <c r="S640" s="232"/>
      <c r="T640" s="233">
        <v>156169</v>
      </c>
      <c r="U640" s="234">
        <v>5904</v>
      </c>
      <c r="V640" s="234">
        <v>162074</v>
      </c>
    </row>
    <row r="641" spans="1:22">
      <c r="A641" s="227">
        <v>97010</v>
      </c>
      <c r="B641" s="228" t="s">
        <v>1351</v>
      </c>
      <c r="C641" s="87">
        <v>0</v>
      </c>
      <c r="D641" s="87">
        <v>0</v>
      </c>
      <c r="E641" s="232">
        <v>0</v>
      </c>
      <c r="F641" s="232">
        <v>0</v>
      </c>
      <c r="G641" s="232">
        <v>0</v>
      </c>
      <c r="H641" s="232"/>
      <c r="I641" s="233">
        <v>0</v>
      </c>
      <c r="J641" s="233">
        <v>0</v>
      </c>
      <c r="K641" s="233">
        <v>0</v>
      </c>
      <c r="L641" s="232">
        <v>0</v>
      </c>
      <c r="M641" s="232"/>
      <c r="N641" s="233">
        <v>0</v>
      </c>
      <c r="O641" s="233">
        <v>0</v>
      </c>
      <c r="P641" s="233">
        <v>0</v>
      </c>
      <c r="Q641" s="232">
        <v>3339356</v>
      </c>
      <c r="R641" s="233">
        <f t="shared" si="9"/>
        <v>0</v>
      </c>
      <c r="S641" s="232"/>
      <c r="T641" s="233">
        <v>0</v>
      </c>
      <c r="U641" s="234">
        <v>-1282454</v>
      </c>
      <c r="V641" s="234">
        <v>-1282454</v>
      </c>
    </row>
    <row r="642" spans="1:22">
      <c r="A642" s="227">
        <v>97011</v>
      </c>
      <c r="B642" s="228" t="s">
        <v>1352</v>
      </c>
      <c r="C642" s="87">
        <v>1.9522999999999999E-3</v>
      </c>
      <c r="D642" s="87">
        <v>2.0471E-3</v>
      </c>
      <c r="E642" s="232">
        <v>745774.1399999999</v>
      </c>
      <c r="F642" s="232">
        <v>918726</v>
      </c>
      <c r="G642" s="232">
        <v>4143435</v>
      </c>
      <c r="H642" s="232"/>
      <c r="I642" s="233">
        <v>77848</v>
      </c>
      <c r="J642" s="233">
        <v>3630970</v>
      </c>
      <c r="K642" s="233">
        <v>283788</v>
      </c>
      <c r="L642" s="232">
        <v>0</v>
      </c>
      <c r="M642" s="232"/>
      <c r="N642" s="233">
        <v>145191</v>
      </c>
      <c r="O642" s="233">
        <v>1340172</v>
      </c>
      <c r="P642" s="233">
        <v>0</v>
      </c>
      <c r="Q642" s="232">
        <v>128959</v>
      </c>
      <c r="R642" s="233">
        <f t="shared" si="9"/>
        <v>2290798</v>
      </c>
      <c r="S642" s="232"/>
      <c r="T642" s="233">
        <v>1107479</v>
      </c>
      <c r="U642" s="234">
        <v>-38250</v>
      </c>
      <c r="V642" s="234">
        <v>1069229</v>
      </c>
    </row>
    <row r="643" spans="1:22">
      <c r="A643" s="227">
        <v>97012</v>
      </c>
      <c r="B643" s="228" t="s">
        <v>1353</v>
      </c>
      <c r="C643" s="87">
        <v>2.4499999999999999E-5</v>
      </c>
      <c r="D643" s="87">
        <v>2.4199999999999999E-5</v>
      </c>
      <c r="E643" s="232">
        <v>14173.02</v>
      </c>
      <c r="F643" s="232">
        <v>10861</v>
      </c>
      <c r="G643" s="232">
        <v>51997</v>
      </c>
      <c r="H643" s="232"/>
      <c r="I643" s="233">
        <v>976.9375</v>
      </c>
      <c r="J643" s="233">
        <v>45566</v>
      </c>
      <c r="K643" s="233">
        <v>3561</v>
      </c>
      <c r="L643" s="232">
        <v>3417</v>
      </c>
      <c r="M643" s="232"/>
      <c r="N643" s="233">
        <v>1822</v>
      </c>
      <c r="O643" s="233">
        <v>16818</v>
      </c>
      <c r="P643" s="233">
        <v>0</v>
      </c>
      <c r="Q643" s="232">
        <v>1887</v>
      </c>
      <c r="R643" s="233">
        <f t="shared" si="9"/>
        <v>28748</v>
      </c>
      <c r="S643" s="232"/>
      <c r="T643" s="233">
        <v>13898</v>
      </c>
      <c r="U643" s="234">
        <v>148</v>
      </c>
      <c r="V643" s="234">
        <v>14046</v>
      </c>
    </row>
    <row r="644" spans="1:22">
      <c r="A644" s="227">
        <v>97013</v>
      </c>
      <c r="B644" s="228" t="s">
        <v>1354</v>
      </c>
      <c r="C644" s="87">
        <v>2.0699999999999998E-5</v>
      </c>
      <c r="D644" s="87">
        <v>1.1399999999999999E-5</v>
      </c>
      <c r="E644" s="232">
        <v>8196.81</v>
      </c>
      <c r="F644" s="232">
        <v>5116</v>
      </c>
      <c r="G644" s="232">
        <v>43932</v>
      </c>
      <c r="H644" s="232"/>
      <c r="I644" s="233">
        <v>825</v>
      </c>
      <c r="J644" s="233">
        <v>38499</v>
      </c>
      <c r="K644" s="233">
        <v>3009</v>
      </c>
      <c r="L644" s="232">
        <v>7733</v>
      </c>
      <c r="M644" s="232"/>
      <c r="N644" s="233">
        <v>1539</v>
      </c>
      <c r="O644" s="233">
        <v>14210</v>
      </c>
      <c r="P644" s="233">
        <v>0</v>
      </c>
      <c r="Q644" s="232">
        <v>866</v>
      </c>
      <c r="R644" s="233">
        <f t="shared" si="9"/>
        <v>24289</v>
      </c>
      <c r="S644" s="232"/>
      <c r="T644" s="233">
        <v>11742</v>
      </c>
      <c r="U644" s="234">
        <v>1850</v>
      </c>
      <c r="V644" s="234">
        <v>13592</v>
      </c>
    </row>
    <row r="645" spans="1:22">
      <c r="A645" s="227">
        <v>97015</v>
      </c>
      <c r="B645" s="228" t="s">
        <v>1355</v>
      </c>
      <c r="C645" s="87">
        <v>5.3699999999999997E-5</v>
      </c>
      <c r="D645" s="87">
        <v>4.7700000000000001E-5</v>
      </c>
      <c r="E645" s="232">
        <v>21900.080000000002</v>
      </c>
      <c r="F645" s="232">
        <v>21407</v>
      </c>
      <c r="G645" s="232">
        <v>113969</v>
      </c>
      <c r="H645" s="232"/>
      <c r="I645" s="233">
        <v>2141</v>
      </c>
      <c r="J645" s="233">
        <v>99874</v>
      </c>
      <c r="K645" s="233">
        <v>7806</v>
      </c>
      <c r="L645" s="232">
        <v>6681</v>
      </c>
      <c r="M645" s="232"/>
      <c r="N645" s="233">
        <v>3994</v>
      </c>
      <c r="O645" s="233">
        <v>36863</v>
      </c>
      <c r="P645" s="233">
        <v>0</v>
      </c>
      <c r="Q645" s="232">
        <v>1588</v>
      </c>
      <c r="R645" s="233">
        <f t="shared" si="9"/>
        <v>63011</v>
      </c>
      <c r="S645" s="232"/>
      <c r="T645" s="233">
        <v>30462</v>
      </c>
      <c r="U645" s="234">
        <v>1274</v>
      </c>
      <c r="V645" s="234">
        <v>31737</v>
      </c>
    </row>
    <row r="646" spans="1:22">
      <c r="A646" s="227">
        <v>97018</v>
      </c>
      <c r="B646" s="228" t="s">
        <v>1356</v>
      </c>
      <c r="C646" s="87">
        <v>9.3999999999999998E-6</v>
      </c>
      <c r="D646" s="87">
        <v>9.5000000000000005E-6</v>
      </c>
      <c r="E646" s="232">
        <v>7336.3199999999988</v>
      </c>
      <c r="F646" s="232">
        <v>4264</v>
      </c>
      <c r="G646" s="232">
        <v>19950</v>
      </c>
      <c r="H646" s="232"/>
      <c r="I646" s="233">
        <v>374.82499999999999</v>
      </c>
      <c r="J646" s="233">
        <v>17483</v>
      </c>
      <c r="K646" s="233">
        <v>1366</v>
      </c>
      <c r="L646" s="232">
        <v>6124</v>
      </c>
      <c r="M646" s="232"/>
      <c r="N646" s="233">
        <v>699</v>
      </c>
      <c r="O646" s="233">
        <v>6453</v>
      </c>
      <c r="P646" s="233">
        <v>0</v>
      </c>
      <c r="Q646" s="232">
        <v>0</v>
      </c>
      <c r="R646" s="233">
        <f t="shared" si="9"/>
        <v>11030</v>
      </c>
      <c r="S646" s="232"/>
      <c r="T646" s="233">
        <v>5332</v>
      </c>
      <c r="U646" s="234">
        <v>2103</v>
      </c>
      <c r="V646" s="234">
        <v>7435</v>
      </c>
    </row>
    <row r="647" spans="1:22">
      <c r="A647" s="227">
        <v>97101</v>
      </c>
      <c r="B647" s="228" t="s">
        <v>1357</v>
      </c>
      <c r="C647" s="87">
        <v>2.6029E-3</v>
      </c>
      <c r="D647" s="87">
        <v>2.5864999999999998E-3</v>
      </c>
      <c r="E647" s="232">
        <v>1065743.6500000001</v>
      </c>
      <c r="F647" s="232">
        <v>1160806</v>
      </c>
      <c r="G647" s="232">
        <v>5524226</v>
      </c>
      <c r="H647" s="232"/>
      <c r="I647" s="233">
        <v>103791</v>
      </c>
      <c r="J647" s="233">
        <v>4840983</v>
      </c>
      <c r="K647" s="233">
        <v>378360</v>
      </c>
      <c r="L647" s="232">
        <v>28605</v>
      </c>
      <c r="M647" s="232"/>
      <c r="N647" s="233">
        <v>193575</v>
      </c>
      <c r="O647" s="233">
        <v>1786782</v>
      </c>
      <c r="P647" s="233">
        <v>0</v>
      </c>
      <c r="Q647" s="232">
        <v>13944</v>
      </c>
      <c r="R647" s="233">
        <f t="shared" si="9"/>
        <v>3054201</v>
      </c>
      <c r="S647" s="232"/>
      <c r="T647" s="233">
        <v>1476544</v>
      </c>
      <c r="U647" s="234">
        <v>2643</v>
      </c>
      <c r="V647" s="234">
        <v>1479187</v>
      </c>
    </row>
    <row r="648" spans="1:22">
      <c r="A648" s="227">
        <v>97104</v>
      </c>
      <c r="B648" s="228" t="s">
        <v>1358</v>
      </c>
      <c r="C648" s="87">
        <v>5.6799999999999998E-5</v>
      </c>
      <c r="D648" s="87">
        <v>5.2099999999999999E-5</v>
      </c>
      <c r="E648" s="232">
        <v>26203.390000000003</v>
      </c>
      <c r="F648" s="232">
        <v>23382</v>
      </c>
      <c r="G648" s="232">
        <v>120549</v>
      </c>
      <c r="H648" s="232"/>
      <c r="I648" s="233">
        <v>2264.9</v>
      </c>
      <c r="J648" s="233">
        <v>105639</v>
      </c>
      <c r="K648" s="233">
        <v>8257</v>
      </c>
      <c r="L648" s="232">
        <v>15710</v>
      </c>
      <c r="M648" s="232"/>
      <c r="N648" s="233">
        <v>4224</v>
      </c>
      <c r="O648" s="233">
        <v>38991</v>
      </c>
      <c r="P648" s="233">
        <v>0</v>
      </c>
      <c r="Q648" s="232">
        <v>0</v>
      </c>
      <c r="R648" s="233">
        <f t="shared" si="9"/>
        <v>66648</v>
      </c>
      <c r="S648" s="232"/>
      <c r="T648" s="233">
        <v>32221</v>
      </c>
      <c r="U648" s="234">
        <v>5708</v>
      </c>
      <c r="V648" s="234">
        <v>37929</v>
      </c>
    </row>
    <row r="649" spans="1:22">
      <c r="A649" s="227">
        <v>97111</v>
      </c>
      <c r="B649" s="228" t="s">
        <v>1359</v>
      </c>
      <c r="C649" s="87">
        <v>2.7099999999999997E-4</v>
      </c>
      <c r="D649" s="87">
        <v>2.5099999999999998E-4</v>
      </c>
      <c r="E649" s="232">
        <v>99518.98</v>
      </c>
      <c r="F649" s="232">
        <v>112647</v>
      </c>
      <c r="G649" s="232">
        <v>575153</v>
      </c>
      <c r="H649" s="232"/>
      <c r="I649" s="233">
        <v>10806</v>
      </c>
      <c r="J649" s="233">
        <v>504017</v>
      </c>
      <c r="K649" s="233">
        <v>39393</v>
      </c>
      <c r="L649" s="232">
        <v>14654</v>
      </c>
      <c r="M649" s="232"/>
      <c r="N649" s="233">
        <v>20154</v>
      </c>
      <c r="O649" s="233">
        <v>186030</v>
      </c>
      <c r="P649" s="233">
        <v>0</v>
      </c>
      <c r="Q649" s="232">
        <v>17411</v>
      </c>
      <c r="R649" s="233">
        <f t="shared" ref="R649:R712" si="10">IF(J649&gt;O649,J649-O649,O649-J649)</f>
        <v>317987</v>
      </c>
      <c r="S649" s="232"/>
      <c r="T649" s="233">
        <v>153730</v>
      </c>
      <c r="U649" s="234">
        <v>858</v>
      </c>
      <c r="V649" s="234">
        <v>154588</v>
      </c>
    </row>
    <row r="650" spans="1:22">
      <c r="A650" s="227">
        <v>97121</v>
      </c>
      <c r="B650" s="228" t="s">
        <v>1360</v>
      </c>
      <c r="C650" s="87">
        <v>1.2070000000000001E-4</v>
      </c>
      <c r="D650" s="87">
        <v>1.495E-4</v>
      </c>
      <c r="E650" s="232">
        <v>55080.780000000006</v>
      </c>
      <c r="F650" s="232">
        <v>67095</v>
      </c>
      <c r="G650" s="232">
        <v>256166</v>
      </c>
      <c r="H650" s="232"/>
      <c r="I650" s="233">
        <v>4813</v>
      </c>
      <c r="J650" s="233">
        <v>224483</v>
      </c>
      <c r="K650" s="233">
        <v>17545</v>
      </c>
      <c r="L650" s="232">
        <v>0</v>
      </c>
      <c r="M650" s="232"/>
      <c r="N650" s="233">
        <v>8976</v>
      </c>
      <c r="O650" s="233">
        <v>82855</v>
      </c>
      <c r="P650" s="233">
        <v>0</v>
      </c>
      <c r="Q650" s="232">
        <v>14541</v>
      </c>
      <c r="R650" s="233">
        <f t="shared" si="10"/>
        <v>141628</v>
      </c>
      <c r="S650" s="232"/>
      <c r="T650" s="233">
        <v>68469</v>
      </c>
      <c r="U650" s="234">
        <v>-4515</v>
      </c>
      <c r="V650" s="234">
        <v>63954</v>
      </c>
    </row>
    <row r="651" spans="1:22">
      <c r="A651" s="227">
        <v>97131</v>
      </c>
      <c r="B651" s="228" t="s">
        <v>1361</v>
      </c>
      <c r="C651" s="87">
        <v>6.2969999999999996E-4</v>
      </c>
      <c r="D651" s="87">
        <v>5.9650000000000002E-4</v>
      </c>
      <c r="E651" s="232">
        <v>232414.21000000002</v>
      </c>
      <c r="F651" s="232">
        <v>267706</v>
      </c>
      <c r="G651" s="232">
        <v>1336434</v>
      </c>
      <c r="H651" s="232"/>
      <c r="I651" s="233">
        <v>25109</v>
      </c>
      <c r="J651" s="233">
        <v>1171143</v>
      </c>
      <c r="K651" s="233">
        <v>91534</v>
      </c>
      <c r="L651" s="232">
        <v>6841</v>
      </c>
      <c r="M651" s="232"/>
      <c r="N651" s="233">
        <v>46830</v>
      </c>
      <c r="O651" s="233">
        <v>432263</v>
      </c>
      <c r="P651" s="233">
        <v>0</v>
      </c>
      <c r="Q651" s="232">
        <v>3274</v>
      </c>
      <c r="R651" s="233">
        <f t="shared" si="10"/>
        <v>738880</v>
      </c>
      <c r="S651" s="232"/>
      <c r="T651" s="233">
        <v>357209</v>
      </c>
      <c r="U651" s="234">
        <v>1535</v>
      </c>
      <c r="V651" s="234">
        <v>358745</v>
      </c>
    </row>
    <row r="652" spans="1:22">
      <c r="A652" s="227">
        <v>97201</v>
      </c>
      <c r="B652" s="228" t="s">
        <v>1362</v>
      </c>
      <c r="C652" s="87">
        <v>4.9439999999999998E-4</v>
      </c>
      <c r="D652" s="87">
        <v>4.7249999999999999E-4</v>
      </c>
      <c r="E652" s="232">
        <v>214121.60000000001</v>
      </c>
      <c r="F652" s="232">
        <v>212055</v>
      </c>
      <c r="G652" s="232">
        <v>1049282</v>
      </c>
      <c r="H652" s="232"/>
      <c r="I652" s="233">
        <v>19714.2</v>
      </c>
      <c r="J652" s="233">
        <v>919506</v>
      </c>
      <c r="K652" s="233">
        <v>71866</v>
      </c>
      <c r="L652" s="232">
        <v>22797</v>
      </c>
      <c r="M652" s="232"/>
      <c r="N652" s="233">
        <v>36768</v>
      </c>
      <c r="O652" s="233">
        <v>339385</v>
      </c>
      <c r="P652" s="233">
        <v>0</v>
      </c>
      <c r="Q652" s="232">
        <v>3773</v>
      </c>
      <c r="R652" s="233">
        <f t="shared" si="10"/>
        <v>580121</v>
      </c>
      <c r="S652" s="232"/>
      <c r="T652" s="233">
        <v>280458</v>
      </c>
      <c r="U652" s="234">
        <v>4235</v>
      </c>
      <c r="V652" s="234">
        <v>284693</v>
      </c>
    </row>
    <row r="653" spans="1:22">
      <c r="A653" s="227">
        <v>97211</v>
      </c>
      <c r="B653" s="228" t="s">
        <v>1363</v>
      </c>
      <c r="C653" s="87">
        <v>1.4119999999999999E-4</v>
      </c>
      <c r="D653" s="87">
        <v>1.7689999999999999E-4</v>
      </c>
      <c r="E653" s="232">
        <v>62098.209999999992</v>
      </c>
      <c r="F653" s="232">
        <v>79392</v>
      </c>
      <c r="G653" s="232">
        <v>299674</v>
      </c>
      <c r="H653" s="232"/>
      <c r="I653" s="233">
        <v>5630</v>
      </c>
      <c r="J653" s="233">
        <v>262610</v>
      </c>
      <c r="K653" s="233">
        <v>20525</v>
      </c>
      <c r="L653" s="232">
        <v>3573</v>
      </c>
      <c r="M653" s="232"/>
      <c r="N653" s="233">
        <v>10501</v>
      </c>
      <c r="O653" s="233">
        <v>96928</v>
      </c>
      <c r="P653" s="233">
        <v>0</v>
      </c>
      <c r="Q653" s="232">
        <v>16466</v>
      </c>
      <c r="R653" s="233">
        <f t="shared" si="10"/>
        <v>165682</v>
      </c>
      <c r="S653" s="232"/>
      <c r="T653" s="233">
        <v>80098</v>
      </c>
      <c r="U653" s="234">
        <v>-3079</v>
      </c>
      <c r="V653" s="234">
        <v>77020</v>
      </c>
    </row>
    <row r="654" spans="1:22">
      <c r="A654" s="227">
        <v>97213</v>
      </c>
      <c r="B654" s="228" t="s">
        <v>1364</v>
      </c>
      <c r="C654" s="87">
        <v>3.8300000000000003E-5</v>
      </c>
      <c r="D654" s="87">
        <v>4.0800000000000002E-5</v>
      </c>
      <c r="E654" s="232">
        <v>16614.780000000002</v>
      </c>
      <c r="F654" s="232">
        <v>18311</v>
      </c>
      <c r="G654" s="232">
        <v>81285</v>
      </c>
      <c r="H654" s="232"/>
      <c r="I654" s="233">
        <v>1527</v>
      </c>
      <c r="J654" s="233">
        <v>71232</v>
      </c>
      <c r="K654" s="233">
        <v>5567</v>
      </c>
      <c r="L654" s="232">
        <v>1545</v>
      </c>
      <c r="M654" s="232"/>
      <c r="N654" s="233">
        <v>2848</v>
      </c>
      <c r="O654" s="233">
        <v>26291</v>
      </c>
      <c r="P654" s="233">
        <v>0</v>
      </c>
      <c r="Q654" s="232">
        <v>668</v>
      </c>
      <c r="R654" s="233">
        <f t="shared" si="10"/>
        <v>44941</v>
      </c>
      <c r="S654" s="232"/>
      <c r="T654" s="233">
        <v>21726</v>
      </c>
      <c r="U654" s="234">
        <v>577</v>
      </c>
      <c r="V654" s="234">
        <v>22303</v>
      </c>
    </row>
    <row r="655" spans="1:22">
      <c r="A655" s="227">
        <v>97217</v>
      </c>
      <c r="B655" s="228" t="s">
        <v>1365</v>
      </c>
      <c r="C655" s="87">
        <v>4.8999999999999997E-6</v>
      </c>
      <c r="D655" s="87">
        <v>5.0000000000000004E-6</v>
      </c>
      <c r="E655" s="232">
        <v>6184.6800000000012</v>
      </c>
      <c r="F655" s="232">
        <v>2244</v>
      </c>
      <c r="G655" s="232">
        <v>10399</v>
      </c>
      <c r="H655" s="232"/>
      <c r="I655" s="233">
        <v>195.38749999999999</v>
      </c>
      <c r="J655" s="233">
        <v>9113</v>
      </c>
      <c r="K655" s="233">
        <v>712</v>
      </c>
      <c r="L655" s="232">
        <v>6975</v>
      </c>
      <c r="M655" s="232"/>
      <c r="N655" s="233">
        <v>364</v>
      </c>
      <c r="O655" s="233">
        <v>3364</v>
      </c>
      <c r="P655" s="233">
        <v>0</v>
      </c>
      <c r="Q655" s="232">
        <v>0</v>
      </c>
      <c r="R655" s="233">
        <f t="shared" si="10"/>
        <v>5749</v>
      </c>
      <c r="S655" s="232"/>
      <c r="T655" s="233">
        <v>2780</v>
      </c>
      <c r="U655" s="234">
        <v>2381</v>
      </c>
      <c r="V655" s="234">
        <v>5160</v>
      </c>
    </row>
    <row r="656" spans="1:22">
      <c r="A656" s="227">
        <v>97221</v>
      </c>
      <c r="B656" s="228" t="s">
        <v>1366</v>
      </c>
      <c r="C656" s="87">
        <v>6.1999999999999999E-6</v>
      </c>
      <c r="D656" s="87">
        <v>6.2999999999999998E-6</v>
      </c>
      <c r="E656" s="232">
        <v>6603.27</v>
      </c>
      <c r="F656" s="232">
        <v>2827</v>
      </c>
      <c r="G656" s="232">
        <v>13158</v>
      </c>
      <c r="H656" s="232"/>
      <c r="I656" s="233">
        <v>247.22499999999999</v>
      </c>
      <c r="J656" s="233">
        <v>11531</v>
      </c>
      <c r="K656" s="233">
        <v>901</v>
      </c>
      <c r="L656" s="232">
        <v>5895</v>
      </c>
      <c r="M656" s="232"/>
      <c r="N656" s="233">
        <v>461</v>
      </c>
      <c r="O656" s="233">
        <v>4256</v>
      </c>
      <c r="P656" s="233">
        <v>0</v>
      </c>
      <c r="Q656" s="232">
        <v>0</v>
      </c>
      <c r="R656" s="233">
        <f t="shared" si="10"/>
        <v>7275</v>
      </c>
      <c r="S656" s="232"/>
      <c r="T656" s="233">
        <v>3517</v>
      </c>
      <c r="U656" s="234">
        <v>2057</v>
      </c>
      <c r="V656" s="234">
        <v>5574</v>
      </c>
    </row>
    <row r="657" spans="1:22">
      <c r="A657" s="227">
        <v>97301</v>
      </c>
      <c r="B657" s="228" t="s">
        <v>1367</v>
      </c>
      <c r="C657" s="87">
        <v>2.5742E-3</v>
      </c>
      <c r="D657" s="87">
        <v>2.6905000000000002E-3</v>
      </c>
      <c r="E657" s="232">
        <v>1080030.6199999999</v>
      </c>
      <c r="F657" s="232">
        <v>1207480</v>
      </c>
      <c r="G657" s="232">
        <v>5463315</v>
      </c>
      <c r="H657" s="232"/>
      <c r="I657" s="233">
        <v>102646</v>
      </c>
      <c r="J657" s="233">
        <v>4787605</v>
      </c>
      <c r="K657" s="233">
        <v>374188</v>
      </c>
      <c r="L657" s="232">
        <v>36738</v>
      </c>
      <c r="M657" s="232"/>
      <c r="N657" s="233">
        <v>191441</v>
      </c>
      <c r="O657" s="233">
        <v>1767080</v>
      </c>
      <c r="P657" s="233">
        <v>0</v>
      </c>
      <c r="Q657" s="232">
        <v>62348</v>
      </c>
      <c r="R657" s="233">
        <f t="shared" si="10"/>
        <v>3020525</v>
      </c>
      <c r="S657" s="232"/>
      <c r="T657" s="233">
        <v>1460264</v>
      </c>
      <c r="U657" s="234">
        <v>-7105</v>
      </c>
      <c r="V657" s="234">
        <v>1453159</v>
      </c>
    </row>
    <row r="658" spans="1:22">
      <c r="A658" s="227">
        <v>97304</v>
      </c>
      <c r="B658" s="228" t="s">
        <v>1368</v>
      </c>
      <c r="C658" s="87">
        <v>1.7600000000000001E-5</v>
      </c>
      <c r="D658" s="87">
        <v>1.8499999999999999E-5</v>
      </c>
      <c r="E658" s="232">
        <v>11927.640000000001</v>
      </c>
      <c r="F658" s="232">
        <v>8303</v>
      </c>
      <c r="G658" s="232">
        <v>37353</v>
      </c>
      <c r="H658" s="232"/>
      <c r="I658" s="233">
        <v>702</v>
      </c>
      <c r="J658" s="233">
        <v>32733</v>
      </c>
      <c r="K658" s="233">
        <v>2558</v>
      </c>
      <c r="L658" s="232">
        <v>7244</v>
      </c>
      <c r="M658" s="232"/>
      <c r="N658" s="233">
        <v>1309</v>
      </c>
      <c r="O658" s="233">
        <v>12082</v>
      </c>
      <c r="P658" s="233">
        <v>0</v>
      </c>
      <c r="Q658" s="232">
        <v>0</v>
      </c>
      <c r="R658" s="233">
        <f t="shared" si="10"/>
        <v>20651</v>
      </c>
      <c r="S658" s="232"/>
      <c r="T658" s="233">
        <v>9984</v>
      </c>
      <c r="U658" s="234">
        <v>2504</v>
      </c>
      <c r="V658" s="234">
        <v>12488</v>
      </c>
    </row>
    <row r="659" spans="1:22">
      <c r="A659" s="227">
        <v>97311</v>
      </c>
      <c r="B659" s="228" t="s">
        <v>1369</v>
      </c>
      <c r="C659" s="87">
        <v>9.5E-4</v>
      </c>
      <c r="D659" s="87">
        <v>1.0311000000000001E-3</v>
      </c>
      <c r="E659" s="232">
        <v>367318.43000000005</v>
      </c>
      <c r="F659" s="232">
        <v>462751</v>
      </c>
      <c r="G659" s="232">
        <v>2016218.25</v>
      </c>
      <c r="H659" s="232"/>
      <c r="I659" s="233">
        <v>37881.25</v>
      </c>
      <c r="J659" s="233">
        <v>1766849.9</v>
      </c>
      <c r="K659" s="233">
        <v>138093</v>
      </c>
      <c r="L659" s="232">
        <v>0</v>
      </c>
      <c r="M659" s="232"/>
      <c r="N659" s="233">
        <v>70650.55</v>
      </c>
      <c r="O659" s="233">
        <v>652135.1</v>
      </c>
      <c r="P659" s="233">
        <v>0</v>
      </c>
      <c r="Q659" s="232">
        <v>97758</v>
      </c>
      <c r="R659" s="233">
        <f t="shared" si="10"/>
        <v>1114714.7999999998</v>
      </c>
      <c r="S659" s="232"/>
      <c r="T659" s="233">
        <v>538906</v>
      </c>
      <c r="U659" s="234">
        <v>-33821</v>
      </c>
      <c r="V659" s="234">
        <v>505085</v>
      </c>
    </row>
    <row r="660" spans="1:22">
      <c r="A660" s="227">
        <v>97401</v>
      </c>
      <c r="B660" s="228" t="s">
        <v>1370</v>
      </c>
      <c r="C660" s="87">
        <v>6.9633000000000004E-3</v>
      </c>
      <c r="D660" s="87">
        <v>6.9844E-3</v>
      </c>
      <c r="E660" s="232">
        <v>2848906.9899999998</v>
      </c>
      <c r="F660" s="232">
        <v>3134557</v>
      </c>
      <c r="G660" s="232">
        <v>14778455</v>
      </c>
      <c r="H660" s="232"/>
      <c r="I660" s="233">
        <v>277662</v>
      </c>
      <c r="J660" s="233">
        <v>12950638</v>
      </c>
      <c r="K660" s="233">
        <v>1012192</v>
      </c>
      <c r="L660" s="232">
        <v>0</v>
      </c>
      <c r="M660" s="232"/>
      <c r="N660" s="233">
        <v>517854</v>
      </c>
      <c r="O660" s="233">
        <v>4780013</v>
      </c>
      <c r="P660" s="233">
        <v>0</v>
      </c>
      <c r="Q660" s="232">
        <v>142656</v>
      </c>
      <c r="R660" s="233">
        <f t="shared" si="10"/>
        <v>8170625</v>
      </c>
      <c r="S660" s="232"/>
      <c r="T660" s="233">
        <v>3950064</v>
      </c>
      <c r="U660" s="234">
        <v>-59462</v>
      </c>
      <c r="V660" s="234">
        <v>3890602</v>
      </c>
    </row>
    <row r="661" spans="1:22">
      <c r="A661" s="227">
        <v>97402</v>
      </c>
      <c r="B661" s="228" t="s">
        <v>1371</v>
      </c>
      <c r="C661" s="87">
        <v>4.4700000000000002E-5</v>
      </c>
      <c r="D661" s="87">
        <v>2.3799999999999999E-5</v>
      </c>
      <c r="E661" s="232">
        <v>21076.7</v>
      </c>
      <c r="F661" s="232">
        <v>10681</v>
      </c>
      <c r="G661" s="232">
        <v>94868</v>
      </c>
      <c r="H661" s="232"/>
      <c r="I661" s="233">
        <v>1782</v>
      </c>
      <c r="J661" s="233">
        <v>83135</v>
      </c>
      <c r="K661" s="233">
        <v>6498</v>
      </c>
      <c r="L661" s="232">
        <v>15050</v>
      </c>
      <c r="M661" s="232"/>
      <c r="N661" s="233">
        <v>3324</v>
      </c>
      <c r="O661" s="233">
        <v>30685</v>
      </c>
      <c r="P661" s="233">
        <v>0</v>
      </c>
      <c r="Q661" s="232">
        <v>0</v>
      </c>
      <c r="R661" s="233">
        <f t="shared" si="10"/>
        <v>52450</v>
      </c>
      <c r="S661" s="232"/>
      <c r="T661" s="233">
        <v>25357</v>
      </c>
      <c r="U661" s="234">
        <v>4096</v>
      </c>
      <c r="V661" s="234">
        <v>29453</v>
      </c>
    </row>
    <row r="662" spans="1:22">
      <c r="A662" s="227">
        <v>97404</v>
      </c>
      <c r="B662" s="228" t="s">
        <v>1372</v>
      </c>
      <c r="C662" s="87">
        <v>2.1049999999999999E-4</v>
      </c>
      <c r="D662" s="87">
        <v>2.1249999999999999E-4</v>
      </c>
      <c r="E662" s="232">
        <v>73914.680000000008</v>
      </c>
      <c r="F662" s="232">
        <v>95369</v>
      </c>
      <c r="G662" s="232">
        <v>446752</v>
      </c>
      <c r="H662" s="232"/>
      <c r="I662" s="233">
        <v>8393.6875</v>
      </c>
      <c r="J662" s="233">
        <v>391497</v>
      </c>
      <c r="K662" s="233">
        <v>30598</v>
      </c>
      <c r="L662" s="232">
        <v>1976</v>
      </c>
      <c r="M662" s="232"/>
      <c r="N662" s="233">
        <v>15655</v>
      </c>
      <c r="O662" s="233">
        <v>144499</v>
      </c>
      <c r="P662" s="233">
        <v>0</v>
      </c>
      <c r="Q662" s="232">
        <v>16111</v>
      </c>
      <c r="R662" s="233">
        <f t="shared" si="10"/>
        <v>246998</v>
      </c>
      <c r="S662" s="232"/>
      <c r="T662" s="233">
        <v>119410</v>
      </c>
      <c r="U662" s="234">
        <v>-3656</v>
      </c>
      <c r="V662" s="234">
        <v>115754</v>
      </c>
    </row>
    <row r="663" spans="1:22">
      <c r="A663" s="227">
        <v>97405</v>
      </c>
      <c r="B663" s="228" t="s">
        <v>1373</v>
      </c>
      <c r="C663" s="87">
        <v>1.087E-4</v>
      </c>
      <c r="D663" s="87">
        <v>1.081E-4</v>
      </c>
      <c r="E663" s="232">
        <v>55456.069999999992</v>
      </c>
      <c r="F663" s="232">
        <v>48515</v>
      </c>
      <c r="G663" s="232">
        <v>230698</v>
      </c>
      <c r="H663" s="232"/>
      <c r="I663" s="233">
        <v>4334</v>
      </c>
      <c r="J663" s="233">
        <v>202165</v>
      </c>
      <c r="K663" s="233">
        <v>15801</v>
      </c>
      <c r="L663" s="232">
        <v>20704</v>
      </c>
      <c r="M663" s="232"/>
      <c r="N663" s="233">
        <v>8084</v>
      </c>
      <c r="O663" s="233">
        <v>74618</v>
      </c>
      <c r="P663" s="233">
        <v>0</v>
      </c>
      <c r="Q663" s="232">
        <v>9828.61</v>
      </c>
      <c r="R663" s="233">
        <f t="shared" si="10"/>
        <v>127547</v>
      </c>
      <c r="S663" s="232"/>
      <c r="T663" s="233">
        <v>61662</v>
      </c>
      <c r="U663" s="234">
        <v>1556</v>
      </c>
      <c r="V663" s="234">
        <v>63218</v>
      </c>
    </row>
    <row r="664" spans="1:22">
      <c r="A664" s="227">
        <v>97408</v>
      </c>
      <c r="B664" s="228" t="s">
        <v>1374</v>
      </c>
      <c r="C664" s="87">
        <v>4.9299999999999999E-5</v>
      </c>
      <c r="D664" s="87">
        <v>5.1199999999999998E-5</v>
      </c>
      <c r="E664" s="232">
        <v>28028.109999999997</v>
      </c>
      <c r="F664" s="232">
        <v>22978</v>
      </c>
      <c r="G664" s="232">
        <v>104631</v>
      </c>
      <c r="H664" s="232"/>
      <c r="I664" s="233">
        <v>1966</v>
      </c>
      <c r="J664" s="233">
        <v>91690</v>
      </c>
      <c r="K664" s="233">
        <v>7166</v>
      </c>
      <c r="L664" s="232">
        <v>7585</v>
      </c>
      <c r="M664" s="232"/>
      <c r="N664" s="233">
        <v>3666</v>
      </c>
      <c r="O664" s="233">
        <v>33842</v>
      </c>
      <c r="P664" s="233">
        <v>0</v>
      </c>
      <c r="Q664" s="232">
        <v>0</v>
      </c>
      <c r="R664" s="233">
        <f t="shared" si="10"/>
        <v>57848</v>
      </c>
      <c r="S664" s="232"/>
      <c r="T664" s="233">
        <v>27966</v>
      </c>
      <c r="U664" s="234">
        <v>2375</v>
      </c>
      <c r="V664" s="234">
        <v>30341</v>
      </c>
    </row>
    <row r="665" spans="1:22">
      <c r="A665" s="227">
        <v>97411</v>
      </c>
      <c r="B665" s="228" t="s">
        <v>1375</v>
      </c>
      <c r="C665" s="87">
        <v>6.7269000000000001E-3</v>
      </c>
      <c r="D665" s="87">
        <v>7.0987000000000003E-3</v>
      </c>
      <c r="E665" s="232">
        <v>2531536.58</v>
      </c>
      <c r="F665" s="232">
        <v>3185854</v>
      </c>
      <c r="G665" s="232">
        <v>14276735</v>
      </c>
      <c r="H665" s="232"/>
      <c r="I665" s="233">
        <v>268235</v>
      </c>
      <c r="J665" s="233">
        <v>12510971</v>
      </c>
      <c r="K665" s="233">
        <v>977829</v>
      </c>
      <c r="L665" s="232">
        <v>0</v>
      </c>
      <c r="M665" s="232"/>
      <c r="N665" s="233">
        <v>500273</v>
      </c>
      <c r="O665" s="233">
        <v>4617734</v>
      </c>
      <c r="P665" s="233">
        <v>0</v>
      </c>
      <c r="Q665" s="232">
        <v>854591</v>
      </c>
      <c r="R665" s="233">
        <f t="shared" si="10"/>
        <v>7893237</v>
      </c>
      <c r="S665" s="232"/>
      <c r="T665" s="233">
        <v>3815962</v>
      </c>
      <c r="U665" s="234">
        <v>-289319</v>
      </c>
      <c r="V665" s="234">
        <v>3526643</v>
      </c>
    </row>
    <row r="666" spans="1:22">
      <c r="A666" s="227">
        <v>97412</v>
      </c>
      <c r="B666" s="228" t="s">
        <v>1376</v>
      </c>
      <c r="C666" s="87">
        <v>4.424E-3</v>
      </c>
      <c r="D666" s="87">
        <v>4.1891999999999997E-3</v>
      </c>
      <c r="E666" s="232">
        <v>1763681.7500000002</v>
      </c>
      <c r="F666" s="232">
        <v>1880088</v>
      </c>
      <c r="G666" s="232">
        <v>9389210</v>
      </c>
      <c r="H666" s="232"/>
      <c r="I666" s="233">
        <v>176407</v>
      </c>
      <c r="J666" s="233">
        <v>8227941</v>
      </c>
      <c r="K666" s="233">
        <v>643077</v>
      </c>
      <c r="L666" s="232">
        <v>158642</v>
      </c>
      <c r="M666" s="232"/>
      <c r="N666" s="233">
        <v>329008</v>
      </c>
      <c r="O666" s="233">
        <v>3036890</v>
      </c>
      <c r="P666" s="233">
        <v>0</v>
      </c>
      <c r="Q666" s="232">
        <v>0</v>
      </c>
      <c r="R666" s="233">
        <f t="shared" si="10"/>
        <v>5191051</v>
      </c>
      <c r="S666" s="232"/>
      <c r="T666" s="233">
        <v>2509598</v>
      </c>
      <c r="U666" s="234">
        <v>54211</v>
      </c>
      <c r="V666" s="234">
        <v>2563810</v>
      </c>
    </row>
    <row r="667" spans="1:22">
      <c r="A667" s="227">
        <v>97413</v>
      </c>
      <c r="B667" s="228" t="s">
        <v>1377</v>
      </c>
      <c r="C667" s="87">
        <v>2.7910000000000001E-4</v>
      </c>
      <c r="D667" s="87">
        <v>2.9320000000000003E-4</v>
      </c>
      <c r="E667" s="232">
        <v>126701.6</v>
      </c>
      <c r="F667" s="232">
        <v>131586</v>
      </c>
      <c r="G667" s="232">
        <v>592344</v>
      </c>
      <c r="H667" s="232"/>
      <c r="I667" s="233">
        <v>11129</v>
      </c>
      <c r="J667" s="233">
        <v>519082</v>
      </c>
      <c r="K667" s="233">
        <v>40570</v>
      </c>
      <c r="L667" s="232">
        <v>1832</v>
      </c>
      <c r="M667" s="232"/>
      <c r="N667" s="233">
        <v>20756</v>
      </c>
      <c r="O667" s="233">
        <v>191590</v>
      </c>
      <c r="P667" s="233">
        <v>0</v>
      </c>
      <c r="Q667" s="232">
        <v>10212</v>
      </c>
      <c r="R667" s="233">
        <f t="shared" si="10"/>
        <v>327492</v>
      </c>
      <c r="S667" s="232"/>
      <c r="T667" s="233">
        <v>158325</v>
      </c>
      <c r="U667" s="234">
        <v>-4433</v>
      </c>
      <c r="V667" s="234">
        <v>153891</v>
      </c>
    </row>
    <row r="668" spans="1:22">
      <c r="A668" s="227">
        <v>97421</v>
      </c>
      <c r="B668" s="228" t="s">
        <v>1378</v>
      </c>
      <c r="C668" s="87">
        <v>4.1120000000000002E-4</v>
      </c>
      <c r="D668" s="87">
        <v>4.1140000000000003E-4</v>
      </c>
      <c r="E668" s="232">
        <v>162264.79999999999</v>
      </c>
      <c r="F668" s="232">
        <v>184634</v>
      </c>
      <c r="G668" s="232">
        <v>872704</v>
      </c>
      <c r="H668" s="232"/>
      <c r="I668" s="233">
        <v>16397</v>
      </c>
      <c r="J668" s="233">
        <v>764767</v>
      </c>
      <c r="K668" s="233">
        <v>59772</v>
      </c>
      <c r="L668" s="232">
        <v>0</v>
      </c>
      <c r="M668" s="232"/>
      <c r="N668" s="233">
        <v>30581</v>
      </c>
      <c r="O668" s="233">
        <v>282272</v>
      </c>
      <c r="P668" s="233">
        <v>0</v>
      </c>
      <c r="Q668" s="232">
        <v>40232</v>
      </c>
      <c r="R668" s="233">
        <f t="shared" si="10"/>
        <v>482495</v>
      </c>
      <c r="S668" s="232"/>
      <c r="T668" s="233">
        <v>233261</v>
      </c>
      <c r="U668" s="234">
        <v>-16104</v>
      </c>
      <c r="V668" s="234">
        <v>217157</v>
      </c>
    </row>
    <row r="669" spans="1:22">
      <c r="A669" s="227">
        <v>97423</v>
      </c>
      <c r="B669" s="228" t="s">
        <v>1379</v>
      </c>
      <c r="C669" s="87">
        <v>4.5800000000000002E-5</v>
      </c>
      <c r="D669" s="87">
        <v>4.5300000000000003E-5</v>
      </c>
      <c r="E669" s="232">
        <v>37545.089999999997</v>
      </c>
      <c r="F669" s="232">
        <v>20330</v>
      </c>
      <c r="G669" s="232">
        <v>97203</v>
      </c>
      <c r="H669" s="232"/>
      <c r="I669" s="233">
        <v>1826.2750000000001</v>
      </c>
      <c r="J669" s="233">
        <v>85181</v>
      </c>
      <c r="K669" s="233">
        <v>6658</v>
      </c>
      <c r="L669" s="232">
        <v>26530</v>
      </c>
      <c r="M669" s="232"/>
      <c r="N669" s="233">
        <v>3406</v>
      </c>
      <c r="O669" s="233">
        <v>31440</v>
      </c>
      <c r="P669" s="233">
        <v>0</v>
      </c>
      <c r="Q669" s="232">
        <v>0</v>
      </c>
      <c r="R669" s="233">
        <f t="shared" si="10"/>
        <v>53741</v>
      </c>
      <c r="S669" s="232"/>
      <c r="T669" s="233">
        <v>25981</v>
      </c>
      <c r="U669" s="234">
        <v>8002</v>
      </c>
      <c r="V669" s="234">
        <v>33982</v>
      </c>
    </row>
    <row r="670" spans="1:22">
      <c r="A670" s="227">
        <v>97431</v>
      </c>
      <c r="B670" s="228" t="s">
        <v>1380</v>
      </c>
      <c r="C670" s="87">
        <v>8.5199999999999997E-5</v>
      </c>
      <c r="D670" s="87">
        <v>8.7700000000000004E-5</v>
      </c>
      <c r="E670" s="232">
        <v>38446.49</v>
      </c>
      <c r="F670" s="232">
        <v>39359</v>
      </c>
      <c r="G670" s="232">
        <v>180823</v>
      </c>
      <c r="H670" s="232"/>
      <c r="I670" s="233">
        <v>3397.35</v>
      </c>
      <c r="J670" s="233">
        <v>158459</v>
      </c>
      <c r="K670" s="233">
        <v>12385</v>
      </c>
      <c r="L670" s="232">
        <v>2882</v>
      </c>
      <c r="M670" s="232"/>
      <c r="N670" s="233">
        <v>6336</v>
      </c>
      <c r="O670" s="233">
        <v>58486</v>
      </c>
      <c r="P670" s="233">
        <v>0</v>
      </c>
      <c r="Q670" s="232">
        <v>0</v>
      </c>
      <c r="R670" s="233">
        <f t="shared" si="10"/>
        <v>99973</v>
      </c>
      <c r="S670" s="232"/>
      <c r="T670" s="233">
        <v>48331</v>
      </c>
      <c r="U670" s="234">
        <v>909</v>
      </c>
      <c r="V670" s="234">
        <v>49241</v>
      </c>
    </row>
    <row r="671" spans="1:22">
      <c r="A671" s="227">
        <v>97441</v>
      </c>
      <c r="B671" s="228" t="s">
        <v>1381</v>
      </c>
      <c r="C671" s="87">
        <v>7.0500000000000006E-5</v>
      </c>
      <c r="D671" s="87">
        <v>6.8700000000000003E-5</v>
      </c>
      <c r="E671" s="232">
        <v>23078.829999999998</v>
      </c>
      <c r="F671" s="232">
        <v>30832</v>
      </c>
      <c r="G671" s="232">
        <v>149625</v>
      </c>
      <c r="H671" s="232"/>
      <c r="I671" s="233">
        <v>2811</v>
      </c>
      <c r="J671" s="233">
        <v>131119</v>
      </c>
      <c r="K671" s="233">
        <v>10248</v>
      </c>
      <c r="L671" s="232">
        <v>406</v>
      </c>
      <c r="M671" s="232"/>
      <c r="N671" s="233">
        <v>5243</v>
      </c>
      <c r="O671" s="233">
        <v>48395</v>
      </c>
      <c r="P671" s="233">
        <v>0</v>
      </c>
      <c r="Q671" s="232">
        <v>4997</v>
      </c>
      <c r="R671" s="233">
        <f t="shared" si="10"/>
        <v>82724</v>
      </c>
      <c r="S671" s="232"/>
      <c r="T671" s="233">
        <v>39992</v>
      </c>
      <c r="U671" s="234">
        <v>-1212</v>
      </c>
      <c r="V671" s="234">
        <v>38780</v>
      </c>
    </row>
    <row r="672" spans="1:22">
      <c r="A672" s="227">
        <v>97451</v>
      </c>
      <c r="B672" s="228" t="s">
        <v>1382</v>
      </c>
      <c r="C672" s="87">
        <v>6.1039999999999998E-4</v>
      </c>
      <c r="D672" s="87">
        <v>5.1670000000000004E-4</v>
      </c>
      <c r="E672" s="232">
        <v>212064.53000000003</v>
      </c>
      <c r="F672" s="232">
        <v>231892</v>
      </c>
      <c r="G672" s="232">
        <v>1295473</v>
      </c>
      <c r="H672" s="232"/>
      <c r="I672" s="233">
        <v>24339.7</v>
      </c>
      <c r="J672" s="233">
        <v>1135248</v>
      </c>
      <c r="K672" s="233">
        <v>88728</v>
      </c>
      <c r="L672" s="232">
        <v>30041</v>
      </c>
      <c r="M672" s="232"/>
      <c r="N672" s="233">
        <v>45395</v>
      </c>
      <c r="O672" s="233">
        <v>419014</v>
      </c>
      <c r="P672" s="233">
        <v>0</v>
      </c>
      <c r="Q672" s="232">
        <v>5880</v>
      </c>
      <c r="R672" s="233">
        <f t="shared" si="10"/>
        <v>716234</v>
      </c>
      <c r="S672" s="232"/>
      <c r="T672" s="233">
        <v>346261</v>
      </c>
      <c r="U672" s="234">
        <v>8187</v>
      </c>
      <c r="V672" s="234">
        <v>354448</v>
      </c>
    </row>
    <row r="673" spans="1:22">
      <c r="A673" s="227">
        <v>97461</v>
      </c>
      <c r="B673" s="228" t="s">
        <v>1383</v>
      </c>
      <c r="C673" s="87">
        <v>5.1869999999999998E-4</v>
      </c>
      <c r="D673" s="87">
        <v>5.3859999999999997E-4</v>
      </c>
      <c r="E673" s="232">
        <v>202229.84000000003</v>
      </c>
      <c r="F673" s="232">
        <v>241720</v>
      </c>
      <c r="G673" s="232">
        <v>1100855</v>
      </c>
      <c r="H673" s="232"/>
      <c r="I673" s="233">
        <v>20683</v>
      </c>
      <c r="J673" s="233">
        <v>964700</v>
      </c>
      <c r="K673" s="233">
        <v>75399</v>
      </c>
      <c r="L673" s="232">
        <v>4454</v>
      </c>
      <c r="M673" s="232"/>
      <c r="N673" s="233">
        <v>38575</v>
      </c>
      <c r="O673" s="233">
        <v>356066</v>
      </c>
      <c r="P673" s="233">
        <v>0</v>
      </c>
      <c r="Q673" s="232">
        <v>46078</v>
      </c>
      <c r="R673" s="233">
        <f t="shared" si="10"/>
        <v>608634</v>
      </c>
      <c r="S673" s="232"/>
      <c r="T673" s="233">
        <v>294242</v>
      </c>
      <c r="U673" s="234">
        <v>-12231</v>
      </c>
      <c r="V673" s="234">
        <v>282012</v>
      </c>
    </row>
    <row r="674" spans="1:22">
      <c r="A674" s="227">
        <v>97463</v>
      </c>
      <c r="B674" s="228" t="s">
        <v>1384</v>
      </c>
      <c r="C674" s="87">
        <v>5.0099999999999998E-5</v>
      </c>
      <c r="D674" s="87">
        <v>5.6400000000000002E-5</v>
      </c>
      <c r="E674" s="232">
        <v>17389.919999999998</v>
      </c>
      <c r="F674" s="232">
        <v>25312</v>
      </c>
      <c r="G674" s="232">
        <v>106329</v>
      </c>
      <c r="H674" s="232"/>
      <c r="I674" s="233">
        <v>1998</v>
      </c>
      <c r="J674" s="233">
        <v>93178</v>
      </c>
      <c r="K674" s="233">
        <v>7283</v>
      </c>
      <c r="L674" s="232">
        <v>2539</v>
      </c>
      <c r="M674" s="232"/>
      <c r="N674" s="233">
        <v>3726</v>
      </c>
      <c r="O674" s="233">
        <v>34392</v>
      </c>
      <c r="P674" s="233">
        <v>0</v>
      </c>
      <c r="Q674" s="232">
        <v>5965</v>
      </c>
      <c r="R674" s="233">
        <f t="shared" si="10"/>
        <v>58786</v>
      </c>
      <c r="S674" s="232"/>
      <c r="T674" s="233">
        <v>28420</v>
      </c>
      <c r="U674" s="234">
        <v>-427</v>
      </c>
      <c r="V674" s="234">
        <v>27993</v>
      </c>
    </row>
    <row r="675" spans="1:22">
      <c r="A675" s="227">
        <v>97471</v>
      </c>
      <c r="B675" s="228" t="s">
        <v>1385</v>
      </c>
      <c r="C675" s="87">
        <v>1.27E-5</v>
      </c>
      <c r="D675" s="87">
        <v>1.31E-5</v>
      </c>
      <c r="E675" s="232">
        <v>8483.43</v>
      </c>
      <c r="F675" s="232">
        <v>5879</v>
      </c>
      <c r="G675" s="232">
        <v>26954</v>
      </c>
      <c r="H675" s="232"/>
      <c r="I675" s="233">
        <v>506.41250000000002</v>
      </c>
      <c r="J675" s="233">
        <v>23620</v>
      </c>
      <c r="K675" s="233">
        <v>1846</v>
      </c>
      <c r="L675" s="232">
        <v>5163</v>
      </c>
      <c r="M675" s="232"/>
      <c r="N675" s="233">
        <v>944</v>
      </c>
      <c r="O675" s="233">
        <v>8718</v>
      </c>
      <c r="P675" s="233">
        <v>0</v>
      </c>
      <c r="Q675" s="232">
        <v>0</v>
      </c>
      <c r="R675" s="233">
        <f t="shared" si="10"/>
        <v>14902</v>
      </c>
      <c r="S675" s="232"/>
      <c r="T675" s="233">
        <v>7204</v>
      </c>
      <c r="U675" s="234">
        <v>1775</v>
      </c>
      <c r="V675" s="234">
        <v>8980</v>
      </c>
    </row>
    <row r="676" spans="1:22">
      <c r="A676" s="227">
        <v>97481</v>
      </c>
      <c r="B676" s="228" t="s">
        <v>1386</v>
      </c>
      <c r="C676" s="87">
        <v>1.63E-5</v>
      </c>
      <c r="D676" s="87">
        <v>1.13E-5</v>
      </c>
      <c r="E676" s="232">
        <v>5817.26</v>
      </c>
      <c r="F676" s="232">
        <v>5071</v>
      </c>
      <c r="G676" s="232">
        <v>34594</v>
      </c>
      <c r="H676" s="232"/>
      <c r="I676" s="233">
        <v>649.96249999999998</v>
      </c>
      <c r="J676" s="233">
        <v>30315</v>
      </c>
      <c r="K676" s="233">
        <v>2369</v>
      </c>
      <c r="L676" s="232">
        <v>5965</v>
      </c>
      <c r="M676" s="232"/>
      <c r="N676" s="233">
        <v>1212</v>
      </c>
      <c r="O676" s="233">
        <v>11189</v>
      </c>
      <c r="P676" s="233">
        <v>0</v>
      </c>
      <c r="Q676" s="232">
        <v>0</v>
      </c>
      <c r="R676" s="233">
        <f t="shared" si="10"/>
        <v>19126</v>
      </c>
      <c r="S676" s="232"/>
      <c r="T676" s="233">
        <v>9246</v>
      </c>
      <c r="U676" s="234">
        <v>2373</v>
      </c>
      <c r="V676" s="234">
        <v>11619</v>
      </c>
    </row>
    <row r="677" spans="1:22">
      <c r="A677" s="227">
        <v>97491</v>
      </c>
      <c r="B677" s="228" t="s">
        <v>1387</v>
      </c>
      <c r="C677" s="87">
        <v>0</v>
      </c>
      <c r="D677" s="87">
        <v>0</v>
      </c>
      <c r="E677" s="232">
        <v>0</v>
      </c>
      <c r="F677" s="232">
        <v>0</v>
      </c>
      <c r="G677" s="232">
        <v>0</v>
      </c>
      <c r="H677" s="232"/>
      <c r="I677" s="233">
        <v>0</v>
      </c>
      <c r="J677" s="233">
        <v>0</v>
      </c>
      <c r="K677" s="233">
        <v>0</v>
      </c>
      <c r="L677" s="232">
        <v>0</v>
      </c>
      <c r="M677" s="232"/>
      <c r="N677" s="233">
        <v>0</v>
      </c>
      <c r="O677" s="233">
        <v>0</v>
      </c>
      <c r="P677" s="233">
        <v>0</v>
      </c>
      <c r="Q677" s="232">
        <v>12790</v>
      </c>
      <c r="R677" s="233">
        <f t="shared" si="10"/>
        <v>0</v>
      </c>
      <c r="S677" s="232"/>
      <c r="T677" s="233">
        <v>0</v>
      </c>
      <c r="U677" s="234">
        <v>-4941</v>
      </c>
      <c r="V677" s="234">
        <v>-4941</v>
      </c>
    </row>
    <row r="678" spans="1:22">
      <c r="A678" s="227">
        <v>97501</v>
      </c>
      <c r="B678" s="228" t="s">
        <v>1388</v>
      </c>
      <c r="C678" s="87">
        <v>9.6730000000000004E-4</v>
      </c>
      <c r="D678" s="87">
        <v>9.7659999999999999E-4</v>
      </c>
      <c r="E678" s="232">
        <v>413876.56</v>
      </c>
      <c r="F678" s="232">
        <v>438292</v>
      </c>
      <c r="G678" s="232">
        <v>2052935</v>
      </c>
      <c r="H678" s="232"/>
      <c r="I678" s="233">
        <v>38571</v>
      </c>
      <c r="J678" s="233">
        <v>1799025</v>
      </c>
      <c r="K678" s="233">
        <v>140608</v>
      </c>
      <c r="L678" s="232">
        <v>45898</v>
      </c>
      <c r="M678" s="232"/>
      <c r="N678" s="233">
        <v>71937</v>
      </c>
      <c r="O678" s="233">
        <v>664011</v>
      </c>
      <c r="P678" s="233">
        <v>0</v>
      </c>
      <c r="Q678" s="232">
        <v>0</v>
      </c>
      <c r="R678" s="233">
        <f t="shared" si="10"/>
        <v>1135014</v>
      </c>
      <c r="S678" s="232"/>
      <c r="T678" s="233">
        <v>548719</v>
      </c>
      <c r="U678" s="234">
        <v>19873</v>
      </c>
      <c r="V678" s="234">
        <v>568592</v>
      </c>
    </row>
    <row r="679" spans="1:22">
      <c r="A679" s="227">
        <v>97511</v>
      </c>
      <c r="B679" s="228" t="s">
        <v>1389</v>
      </c>
      <c r="C679" s="87">
        <v>2.3220000000000001E-4</v>
      </c>
      <c r="D679" s="87">
        <v>2.1719999999999999E-4</v>
      </c>
      <c r="E679" s="232">
        <v>97777.06</v>
      </c>
      <c r="F679" s="232">
        <v>97478</v>
      </c>
      <c r="G679" s="232">
        <v>492806</v>
      </c>
      <c r="H679" s="232"/>
      <c r="I679" s="233">
        <v>9259</v>
      </c>
      <c r="J679" s="233">
        <v>431855</v>
      </c>
      <c r="K679" s="233">
        <v>33753</v>
      </c>
      <c r="L679" s="232">
        <v>10778</v>
      </c>
      <c r="M679" s="232"/>
      <c r="N679" s="233">
        <v>17268</v>
      </c>
      <c r="O679" s="233">
        <v>159396</v>
      </c>
      <c r="P679" s="233">
        <v>0</v>
      </c>
      <c r="Q679" s="232">
        <v>1307</v>
      </c>
      <c r="R679" s="233">
        <f t="shared" si="10"/>
        <v>272459</v>
      </c>
      <c r="S679" s="232"/>
      <c r="T679" s="233">
        <v>131720</v>
      </c>
      <c r="U679" s="234">
        <v>2532</v>
      </c>
      <c r="V679" s="234">
        <v>134252</v>
      </c>
    </row>
    <row r="680" spans="1:22">
      <c r="A680" s="227">
        <v>97521</v>
      </c>
      <c r="B680" s="228" t="s">
        <v>1390</v>
      </c>
      <c r="C680" s="87">
        <v>1.293E-4</v>
      </c>
      <c r="D680" s="87">
        <v>1.404E-4</v>
      </c>
      <c r="E680" s="232">
        <v>48146.35</v>
      </c>
      <c r="F680" s="232">
        <v>63011</v>
      </c>
      <c r="G680" s="232">
        <v>274418</v>
      </c>
      <c r="H680" s="232"/>
      <c r="I680" s="233">
        <v>5156</v>
      </c>
      <c r="J680" s="233">
        <v>240478</v>
      </c>
      <c r="K680" s="233">
        <v>18795</v>
      </c>
      <c r="L680" s="232">
        <v>4401.88</v>
      </c>
      <c r="M680" s="232"/>
      <c r="N680" s="233">
        <v>9616</v>
      </c>
      <c r="O680" s="233">
        <v>88759</v>
      </c>
      <c r="P680" s="233">
        <v>0</v>
      </c>
      <c r="Q680" s="232">
        <v>17530</v>
      </c>
      <c r="R680" s="233">
        <f t="shared" si="10"/>
        <v>151719</v>
      </c>
      <c r="S680" s="232"/>
      <c r="T680" s="233">
        <v>73348</v>
      </c>
      <c r="U680" s="234">
        <v>-3048</v>
      </c>
      <c r="V680" s="234">
        <v>70299</v>
      </c>
    </row>
    <row r="681" spans="1:22">
      <c r="A681" s="227">
        <v>97531</v>
      </c>
      <c r="B681" s="228" t="s">
        <v>1391</v>
      </c>
      <c r="C681" s="87">
        <v>3.6300000000000001E-5</v>
      </c>
      <c r="D681" s="87">
        <v>3.5099999999999999E-5</v>
      </c>
      <c r="E681" s="232">
        <v>18181.670000000002</v>
      </c>
      <c r="F681" s="232">
        <v>15753</v>
      </c>
      <c r="G681" s="232">
        <v>77041</v>
      </c>
      <c r="H681" s="232"/>
      <c r="I681" s="233">
        <v>1447</v>
      </c>
      <c r="J681" s="233">
        <v>67512</v>
      </c>
      <c r="K681" s="233">
        <v>5277</v>
      </c>
      <c r="L681" s="232">
        <v>3234</v>
      </c>
      <c r="M681" s="232"/>
      <c r="N681" s="233">
        <v>2700</v>
      </c>
      <c r="O681" s="233">
        <v>24918</v>
      </c>
      <c r="P681" s="233">
        <v>0</v>
      </c>
      <c r="Q681" s="232">
        <v>14595</v>
      </c>
      <c r="R681" s="233">
        <f t="shared" si="10"/>
        <v>42594</v>
      </c>
      <c r="S681" s="232"/>
      <c r="T681" s="233">
        <v>20592</v>
      </c>
      <c r="U681" s="234">
        <v>-4705</v>
      </c>
      <c r="V681" s="234">
        <v>15887</v>
      </c>
    </row>
    <row r="682" spans="1:22">
      <c r="A682" s="227">
        <v>97601</v>
      </c>
      <c r="B682" s="228" t="s">
        <v>1392</v>
      </c>
      <c r="C682" s="87">
        <v>4.7808E-3</v>
      </c>
      <c r="D682" s="87">
        <v>4.8238999999999999E-3</v>
      </c>
      <c r="E682" s="232">
        <v>1911817.8699999999</v>
      </c>
      <c r="F682" s="232">
        <v>2164937</v>
      </c>
      <c r="G682" s="232">
        <v>10146459</v>
      </c>
      <c r="H682" s="232"/>
      <c r="I682" s="233">
        <v>190634.4</v>
      </c>
      <c r="J682" s="233">
        <v>8891533</v>
      </c>
      <c r="K682" s="233">
        <v>694942</v>
      </c>
      <c r="L682" s="232">
        <v>0</v>
      </c>
      <c r="M682" s="232"/>
      <c r="N682" s="233">
        <v>355543</v>
      </c>
      <c r="O682" s="233">
        <v>3281818</v>
      </c>
      <c r="P682" s="233">
        <v>0</v>
      </c>
      <c r="Q682" s="232">
        <v>137509</v>
      </c>
      <c r="R682" s="233">
        <f t="shared" si="10"/>
        <v>5609715</v>
      </c>
      <c r="S682" s="232"/>
      <c r="T682" s="233">
        <v>2712000</v>
      </c>
      <c r="U682" s="234">
        <v>-46067</v>
      </c>
      <c r="V682" s="234">
        <v>2665933</v>
      </c>
    </row>
    <row r="683" spans="1:22">
      <c r="A683" s="227">
        <v>97607</v>
      </c>
      <c r="B683" s="228" t="s">
        <v>1393</v>
      </c>
      <c r="C683" s="87">
        <v>1.9199999999999999E-5</v>
      </c>
      <c r="D683" s="87">
        <v>2.27E-5</v>
      </c>
      <c r="E683" s="232">
        <v>13222.63</v>
      </c>
      <c r="F683" s="232">
        <v>10188</v>
      </c>
      <c r="G683" s="232">
        <v>40749</v>
      </c>
      <c r="H683" s="232"/>
      <c r="I683" s="233">
        <v>766</v>
      </c>
      <c r="J683" s="233">
        <v>35709</v>
      </c>
      <c r="K683" s="233">
        <v>2791</v>
      </c>
      <c r="L683" s="232">
        <v>8819</v>
      </c>
      <c r="M683" s="232"/>
      <c r="N683" s="233">
        <v>1428</v>
      </c>
      <c r="O683" s="233">
        <v>13180</v>
      </c>
      <c r="P683" s="233">
        <v>0</v>
      </c>
      <c r="Q683" s="232">
        <v>0</v>
      </c>
      <c r="R683" s="233">
        <f t="shared" si="10"/>
        <v>22529</v>
      </c>
      <c r="S683" s="232"/>
      <c r="T683" s="233">
        <v>10892</v>
      </c>
      <c r="U683" s="234">
        <v>3435</v>
      </c>
      <c r="V683" s="234">
        <v>14327</v>
      </c>
    </row>
    <row r="684" spans="1:22">
      <c r="A684" s="227">
        <v>97611</v>
      </c>
      <c r="B684" s="228" t="s">
        <v>1394</v>
      </c>
      <c r="C684" s="87">
        <v>2.5750999999999999E-3</v>
      </c>
      <c r="D684" s="87">
        <v>2.7582000000000001E-3</v>
      </c>
      <c r="E684" s="232">
        <v>984035.03</v>
      </c>
      <c r="F684" s="232">
        <v>1237864</v>
      </c>
      <c r="G684" s="232">
        <v>5465225</v>
      </c>
      <c r="H684" s="232"/>
      <c r="I684" s="233">
        <v>102682</v>
      </c>
      <c r="J684" s="233">
        <v>4789279</v>
      </c>
      <c r="K684" s="233">
        <v>374319</v>
      </c>
      <c r="L684" s="232">
        <v>0</v>
      </c>
      <c r="M684" s="232"/>
      <c r="N684" s="233">
        <v>191508</v>
      </c>
      <c r="O684" s="233">
        <v>1767698</v>
      </c>
      <c r="P684" s="233">
        <v>0</v>
      </c>
      <c r="Q684" s="232">
        <v>281180</v>
      </c>
      <c r="R684" s="233">
        <f t="shared" si="10"/>
        <v>3021581</v>
      </c>
      <c r="S684" s="232"/>
      <c r="T684" s="233">
        <v>1460774</v>
      </c>
      <c r="U684" s="234">
        <v>-93860</v>
      </c>
      <c r="V684" s="234">
        <v>1366915</v>
      </c>
    </row>
    <row r="685" spans="1:22">
      <c r="A685" s="227">
        <v>97613</v>
      </c>
      <c r="B685" s="228" t="s">
        <v>1395</v>
      </c>
      <c r="C685" s="87">
        <v>1.2459999999999999E-4</v>
      </c>
      <c r="D685" s="87">
        <v>1.21E-4</v>
      </c>
      <c r="E685" s="232">
        <v>55529.85</v>
      </c>
      <c r="F685" s="232">
        <v>54304</v>
      </c>
      <c r="G685" s="232">
        <v>264443</v>
      </c>
      <c r="H685" s="232"/>
      <c r="I685" s="233">
        <v>4968</v>
      </c>
      <c r="J685" s="233">
        <v>231736</v>
      </c>
      <c r="K685" s="233">
        <v>18112</v>
      </c>
      <c r="L685" s="232">
        <v>5357</v>
      </c>
      <c r="M685" s="232"/>
      <c r="N685" s="233">
        <v>9266</v>
      </c>
      <c r="O685" s="233">
        <v>85533</v>
      </c>
      <c r="P685" s="233">
        <v>0</v>
      </c>
      <c r="Q685" s="232">
        <v>5319</v>
      </c>
      <c r="R685" s="233">
        <f t="shared" si="10"/>
        <v>146203</v>
      </c>
      <c r="S685" s="232"/>
      <c r="T685" s="233">
        <v>70682</v>
      </c>
      <c r="U685" s="234">
        <v>-505</v>
      </c>
      <c r="V685" s="234">
        <v>70177</v>
      </c>
    </row>
    <row r="686" spans="1:22">
      <c r="A686" s="227">
        <v>97621</v>
      </c>
      <c r="B686" s="228" t="s">
        <v>1396</v>
      </c>
      <c r="C686" s="87">
        <v>4.7429999999999998E-4</v>
      </c>
      <c r="D686" s="87">
        <v>5.1290000000000005E-4</v>
      </c>
      <c r="E686" s="232">
        <v>166598.32</v>
      </c>
      <c r="F686" s="232">
        <v>230186</v>
      </c>
      <c r="G686" s="232">
        <v>1006623</v>
      </c>
      <c r="H686" s="232"/>
      <c r="I686" s="233">
        <v>18913</v>
      </c>
      <c r="J686" s="233">
        <v>882123</v>
      </c>
      <c r="K686" s="233">
        <v>68945</v>
      </c>
      <c r="L686" s="232">
        <v>24561</v>
      </c>
      <c r="M686" s="232"/>
      <c r="N686" s="233">
        <v>35273</v>
      </c>
      <c r="O686" s="233">
        <v>325587</v>
      </c>
      <c r="P686" s="233">
        <v>0</v>
      </c>
      <c r="Q686" s="232">
        <v>43510</v>
      </c>
      <c r="R686" s="233">
        <f t="shared" si="10"/>
        <v>556536</v>
      </c>
      <c r="S686" s="232"/>
      <c r="T686" s="233">
        <v>269056</v>
      </c>
      <c r="U686" s="234">
        <v>-2547</v>
      </c>
      <c r="V686" s="234">
        <v>266509</v>
      </c>
    </row>
    <row r="687" spans="1:22">
      <c r="A687" s="227">
        <v>97623</v>
      </c>
      <c r="B687" s="228" t="s">
        <v>1397</v>
      </c>
      <c r="C687" s="87">
        <v>2.9200000000000002E-5</v>
      </c>
      <c r="D687" s="87">
        <v>3.0000000000000001E-5</v>
      </c>
      <c r="E687" s="232">
        <v>14038.030000000002</v>
      </c>
      <c r="F687" s="232">
        <v>13463.82</v>
      </c>
      <c r="G687" s="232">
        <v>61972</v>
      </c>
      <c r="H687" s="232"/>
      <c r="I687" s="233">
        <v>1164</v>
      </c>
      <c r="J687" s="233">
        <v>54307</v>
      </c>
      <c r="K687" s="233">
        <v>4245</v>
      </c>
      <c r="L687" s="232">
        <v>10193</v>
      </c>
      <c r="M687" s="232"/>
      <c r="N687" s="233">
        <v>2172</v>
      </c>
      <c r="O687" s="233">
        <v>20045</v>
      </c>
      <c r="P687" s="233">
        <v>0</v>
      </c>
      <c r="Q687" s="232">
        <v>0</v>
      </c>
      <c r="R687" s="233">
        <f t="shared" si="10"/>
        <v>34262</v>
      </c>
      <c r="S687" s="232"/>
      <c r="T687" s="233">
        <v>16564</v>
      </c>
      <c r="U687" s="234">
        <v>3688</v>
      </c>
      <c r="V687" s="234">
        <v>20252</v>
      </c>
    </row>
    <row r="688" spans="1:22">
      <c r="A688" s="227">
        <v>97627</v>
      </c>
      <c r="B688" s="228" t="s">
        <v>1398</v>
      </c>
      <c r="C688" s="87">
        <v>1.0200000000000001E-5</v>
      </c>
      <c r="D688" s="87">
        <v>9.0999999999999993E-6</v>
      </c>
      <c r="E688" s="232">
        <v>4149.8899999999994</v>
      </c>
      <c r="F688" s="232">
        <v>4084</v>
      </c>
      <c r="G688" s="232">
        <v>21648</v>
      </c>
      <c r="H688" s="232"/>
      <c r="I688" s="233">
        <v>406.72500000000002</v>
      </c>
      <c r="J688" s="233">
        <v>18970</v>
      </c>
      <c r="K688" s="233">
        <v>1483</v>
      </c>
      <c r="L688" s="232">
        <v>942</v>
      </c>
      <c r="M688" s="232"/>
      <c r="N688" s="233">
        <v>759</v>
      </c>
      <c r="O688" s="233">
        <v>7002</v>
      </c>
      <c r="P688" s="233">
        <v>0</v>
      </c>
      <c r="Q688" s="232">
        <v>1562</v>
      </c>
      <c r="R688" s="233">
        <f t="shared" si="10"/>
        <v>11968</v>
      </c>
      <c r="S688" s="232"/>
      <c r="T688" s="233">
        <v>5786</v>
      </c>
      <c r="U688" s="234">
        <v>-217</v>
      </c>
      <c r="V688" s="234">
        <v>5570</v>
      </c>
    </row>
    <row r="689" spans="1:22">
      <c r="A689" s="227">
        <v>97631</v>
      </c>
      <c r="B689" s="228" t="s">
        <v>1399</v>
      </c>
      <c r="C689" s="87">
        <v>2.009E-4</v>
      </c>
      <c r="D689" s="87">
        <v>1.7239999999999999E-4</v>
      </c>
      <c r="E689" s="232">
        <v>69843.56</v>
      </c>
      <c r="F689" s="232">
        <v>77372</v>
      </c>
      <c r="G689" s="232">
        <v>426377</v>
      </c>
      <c r="H689" s="232"/>
      <c r="I689" s="233">
        <v>8011</v>
      </c>
      <c r="J689" s="233">
        <v>373642</v>
      </c>
      <c r="K689" s="233">
        <v>29203</v>
      </c>
      <c r="L689" s="232">
        <v>14802</v>
      </c>
      <c r="M689" s="232"/>
      <c r="N689" s="233">
        <v>14941</v>
      </c>
      <c r="O689" s="233">
        <v>137909</v>
      </c>
      <c r="P689" s="233">
        <v>0</v>
      </c>
      <c r="Q689" s="232">
        <v>0</v>
      </c>
      <c r="R689" s="233">
        <f t="shared" si="10"/>
        <v>235733</v>
      </c>
      <c r="S689" s="232"/>
      <c r="T689" s="233">
        <v>113964</v>
      </c>
      <c r="U689" s="234">
        <v>5491</v>
      </c>
      <c r="V689" s="234">
        <v>119456</v>
      </c>
    </row>
    <row r="690" spans="1:22">
      <c r="A690" s="227">
        <v>97637</v>
      </c>
      <c r="B690" s="228" t="s">
        <v>1400</v>
      </c>
      <c r="C690" s="87">
        <v>4.7999999999999998E-6</v>
      </c>
      <c r="D690" s="87">
        <v>6.1999999999999999E-6</v>
      </c>
      <c r="E690" s="232">
        <v>2878.4200000000005</v>
      </c>
      <c r="F690" s="232">
        <v>2783</v>
      </c>
      <c r="G690" s="232">
        <v>10187</v>
      </c>
      <c r="H690" s="232"/>
      <c r="I690" s="233">
        <v>191</v>
      </c>
      <c r="J690" s="233">
        <v>8927</v>
      </c>
      <c r="K690" s="233">
        <v>698</v>
      </c>
      <c r="L690" s="232">
        <v>655</v>
      </c>
      <c r="M690" s="232"/>
      <c r="N690" s="233">
        <v>357</v>
      </c>
      <c r="O690" s="233">
        <v>3295</v>
      </c>
      <c r="P690" s="233">
        <v>0</v>
      </c>
      <c r="Q690" s="232">
        <v>40</v>
      </c>
      <c r="R690" s="233">
        <f t="shared" si="10"/>
        <v>5632</v>
      </c>
      <c r="S690" s="232"/>
      <c r="T690" s="233">
        <v>2723</v>
      </c>
      <c r="U690" s="234">
        <v>244</v>
      </c>
      <c r="V690" s="234">
        <v>2967</v>
      </c>
    </row>
    <row r="691" spans="1:22">
      <c r="A691" s="227">
        <v>97641</v>
      </c>
      <c r="B691" s="228" t="s">
        <v>1401</v>
      </c>
      <c r="C691" s="87">
        <v>6.9999999999999994E-5</v>
      </c>
      <c r="D691" s="87">
        <v>5.3900000000000002E-5</v>
      </c>
      <c r="E691" s="232">
        <v>31635.049999999996</v>
      </c>
      <c r="F691" s="232">
        <v>24190</v>
      </c>
      <c r="G691" s="232">
        <v>148563</v>
      </c>
      <c r="H691" s="232"/>
      <c r="I691" s="233">
        <v>2791</v>
      </c>
      <c r="J691" s="233">
        <v>130189</v>
      </c>
      <c r="K691" s="233">
        <v>10175</v>
      </c>
      <c r="L691" s="232">
        <v>15548</v>
      </c>
      <c r="M691" s="232"/>
      <c r="N691" s="233">
        <v>5205.83</v>
      </c>
      <c r="O691" s="233">
        <v>48052.06</v>
      </c>
      <c r="P691" s="233">
        <v>0</v>
      </c>
      <c r="Q691" s="232">
        <v>5807</v>
      </c>
      <c r="R691" s="233">
        <f t="shared" si="10"/>
        <v>82136.94</v>
      </c>
      <c r="S691" s="232"/>
      <c r="T691" s="233">
        <v>39709</v>
      </c>
      <c r="U691" s="234">
        <v>1546</v>
      </c>
      <c r="V691" s="234">
        <v>41255</v>
      </c>
    </row>
    <row r="692" spans="1:22">
      <c r="A692" s="227">
        <v>97651</v>
      </c>
      <c r="B692" s="228" t="s">
        <v>1402</v>
      </c>
      <c r="C692" s="87">
        <v>5.1579999999999996E-4</v>
      </c>
      <c r="D692" s="87">
        <v>5.4140000000000004E-4</v>
      </c>
      <c r="E692" s="232">
        <v>190593.37</v>
      </c>
      <c r="F692" s="232">
        <v>242977</v>
      </c>
      <c r="G692" s="232">
        <v>1094700</v>
      </c>
      <c r="H692" s="232"/>
      <c r="I692" s="233">
        <v>20568</v>
      </c>
      <c r="J692" s="233">
        <v>959307</v>
      </c>
      <c r="K692" s="233">
        <v>74977</v>
      </c>
      <c r="L692" s="232">
        <v>4062</v>
      </c>
      <c r="M692" s="232"/>
      <c r="N692" s="233">
        <v>38360</v>
      </c>
      <c r="O692" s="233">
        <v>354075</v>
      </c>
      <c r="P692" s="233">
        <v>0</v>
      </c>
      <c r="Q692" s="232">
        <v>51828</v>
      </c>
      <c r="R692" s="233">
        <f t="shared" si="10"/>
        <v>605232</v>
      </c>
      <c r="S692" s="232"/>
      <c r="T692" s="233">
        <v>292597</v>
      </c>
      <c r="U692" s="234">
        <v>-17066</v>
      </c>
      <c r="V692" s="234">
        <v>275532</v>
      </c>
    </row>
    <row r="693" spans="1:22">
      <c r="A693" s="227">
        <v>97661</v>
      </c>
      <c r="B693" s="228" t="s">
        <v>1403</v>
      </c>
      <c r="C693" s="87">
        <v>4.3900000000000003E-5</v>
      </c>
      <c r="D693" s="87">
        <v>3.1999999999999999E-5</v>
      </c>
      <c r="E693" s="232">
        <v>18869.439999999999</v>
      </c>
      <c r="F693" s="232">
        <v>14361</v>
      </c>
      <c r="G693" s="232">
        <v>93171</v>
      </c>
      <c r="H693" s="232"/>
      <c r="I693" s="233">
        <v>1751</v>
      </c>
      <c r="J693" s="233">
        <v>81647</v>
      </c>
      <c r="K693" s="233">
        <v>6381</v>
      </c>
      <c r="L693" s="232">
        <v>12364</v>
      </c>
      <c r="M693" s="232"/>
      <c r="N693" s="233">
        <v>3265</v>
      </c>
      <c r="O693" s="233">
        <v>30136</v>
      </c>
      <c r="P693" s="233">
        <v>0</v>
      </c>
      <c r="Q693" s="232">
        <v>2964</v>
      </c>
      <c r="R693" s="233">
        <f t="shared" si="10"/>
        <v>51511</v>
      </c>
      <c r="S693" s="232"/>
      <c r="T693" s="233">
        <v>24903</v>
      </c>
      <c r="U693" s="234">
        <v>3435</v>
      </c>
      <c r="V693" s="234">
        <v>28338</v>
      </c>
    </row>
    <row r="694" spans="1:22">
      <c r="A694" s="227">
        <v>97701</v>
      </c>
      <c r="B694" s="228" t="s">
        <v>1404</v>
      </c>
      <c r="C694" s="87">
        <v>2.5081000000000001E-3</v>
      </c>
      <c r="D694" s="87">
        <v>2.4424999999999998E-3</v>
      </c>
      <c r="E694" s="232">
        <v>1011241.6699999999</v>
      </c>
      <c r="F694" s="232">
        <v>1096179</v>
      </c>
      <c r="G694" s="232">
        <v>5323028</v>
      </c>
      <c r="H694" s="232"/>
      <c r="I694" s="233">
        <v>100010</v>
      </c>
      <c r="J694" s="233">
        <v>4664670</v>
      </c>
      <c r="K694" s="233">
        <v>364580</v>
      </c>
      <c r="L694" s="232">
        <v>31450</v>
      </c>
      <c r="M694" s="232"/>
      <c r="N694" s="233">
        <v>186525</v>
      </c>
      <c r="O694" s="233">
        <v>1721705</v>
      </c>
      <c r="P694" s="233">
        <v>0</v>
      </c>
      <c r="Q694" s="232">
        <v>17434</v>
      </c>
      <c r="R694" s="233">
        <f t="shared" si="10"/>
        <v>2942965</v>
      </c>
      <c r="S694" s="232"/>
      <c r="T694" s="233">
        <v>1422767</v>
      </c>
      <c r="U694" s="234">
        <v>529</v>
      </c>
      <c r="V694" s="234">
        <v>1423296</v>
      </c>
    </row>
    <row r="695" spans="1:22">
      <c r="A695" s="227">
        <v>97705</v>
      </c>
      <c r="B695" s="228" t="s">
        <v>1405</v>
      </c>
      <c r="C695" s="87">
        <v>6.41E-5</v>
      </c>
      <c r="D695" s="87">
        <v>5.1700000000000003E-5</v>
      </c>
      <c r="E695" s="232">
        <v>21949.45</v>
      </c>
      <c r="F695" s="232">
        <v>23203</v>
      </c>
      <c r="G695" s="232">
        <v>136042</v>
      </c>
      <c r="H695" s="232"/>
      <c r="I695" s="233">
        <v>2556</v>
      </c>
      <c r="J695" s="233">
        <v>119216</v>
      </c>
      <c r="K695" s="233">
        <v>9318</v>
      </c>
      <c r="L695" s="232">
        <v>9600</v>
      </c>
      <c r="M695" s="232"/>
      <c r="N695" s="233">
        <v>4767</v>
      </c>
      <c r="O695" s="233">
        <v>44002</v>
      </c>
      <c r="P695" s="233">
        <v>0</v>
      </c>
      <c r="Q695" s="232">
        <v>3526</v>
      </c>
      <c r="R695" s="233">
        <f t="shared" si="10"/>
        <v>75214</v>
      </c>
      <c r="S695" s="232"/>
      <c r="T695" s="233">
        <v>36362</v>
      </c>
      <c r="U695" s="234">
        <v>2791</v>
      </c>
      <c r="V695" s="234">
        <v>39153</v>
      </c>
    </row>
    <row r="696" spans="1:22">
      <c r="A696" s="227">
        <v>97711</v>
      </c>
      <c r="B696" s="228" t="s">
        <v>1406</v>
      </c>
      <c r="C696" s="87">
        <v>9.3789999999999998E-4</v>
      </c>
      <c r="D696" s="87">
        <v>9.6489999999999998E-4</v>
      </c>
      <c r="E696" s="232">
        <v>373399.85</v>
      </c>
      <c r="F696" s="232">
        <v>433041</v>
      </c>
      <c r="G696" s="232">
        <v>1990538</v>
      </c>
      <c r="H696" s="232"/>
      <c r="I696" s="233">
        <v>37399</v>
      </c>
      <c r="J696" s="233">
        <v>1744346</v>
      </c>
      <c r="K696" s="233">
        <v>136334</v>
      </c>
      <c r="L696" s="232">
        <v>18485</v>
      </c>
      <c r="M696" s="232"/>
      <c r="N696" s="233">
        <v>69751</v>
      </c>
      <c r="O696" s="233">
        <v>643829</v>
      </c>
      <c r="P696" s="233">
        <v>0</v>
      </c>
      <c r="Q696" s="232">
        <v>24399</v>
      </c>
      <c r="R696" s="233">
        <f t="shared" si="10"/>
        <v>1100517</v>
      </c>
      <c r="S696" s="232"/>
      <c r="T696" s="233">
        <v>532042</v>
      </c>
      <c r="U696" s="234">
        <v>2197</v>
      </c>
      <c r="V696" s="234">
        <v>534239</v>
      </c>
    </row>
    <row r="697" spans="1:22">
      <c r="A697" s="227">
        <v>97713</v>
      </c>
      <c r="B697" s="228" t="s">
        <v>1407</v>
      </c>
      <c r="C697" s="87">
        <v>5.3699999999999997E-5</v>
      </c>
      <c r="D697" s="87">
        <v>5.5600000000000003E-5</v>
      </c>
      <c r="E697" s="232">
        <v>17632.46</v>
      </c>
      <c r="F697" s="232">
        <v>24953</v>
      </c>
      <c r="G697" s="232">
        <v>113969</v>
      </c>
      <c r="H697" s="232"/>
      <c r="I697" s="233">
        <v>2141</v>
      </c>
      <c r="J697" s="233">
        <v>99874</v>
      </c>
      <c r="K697" s="233">
        <v>7806</v>
      </c>
      <c r="L697" s="232">
        <v>1862.64</v>
      </c>
      <c r="M697" s="232"/>
      <c r="N697" s="233">
        <v>3994</v>
      </c>
      <c r="O697" s="233">
        <v>36863</v>
      </c>
      <c r="P697" s="233">
        <v>0</v>
      </c>
      <c r="Q697" s="232">
        <v>10607</v>
      </c>
      <c r="R697" s="233">
        <f t="shared" si="10"/>
        <v>63011</v>
      </c>
      <c r="S697" s="232"/>
      <c r="T697" s="233">
        <v>30462</v>
      </c>
      <c r="U697" s="234">
        <v>-2389</v>
      </c>
      <c r="V697" s="234">
        <v>28073</v>
      </c>
    </row>
    <row r="698" spans="1:22">
      <c r="A698" s="227">
        <v>97717</v>
      </c>
      <c r="B698" s="228" t="s">
        <v>1408</v>
      </c>
      <c r="C698" s="87">
        <v>7.5000000000000002E-6</v>
      </c>
      <c r="D698" s="87">
        <v>6.6000000000000003E-6</v>
      </c>
      <c r="E698" s="232">
        <v>4301.63</v>
      </c>
      <c r="F698" s="232">
        <v>2962</v>
      </c>
      <c r="G698" s="232">
        <v>15918</v>
      </c>
      <c r="H698" s="232"/>
      <c r="I698" s="233">
        <v>299.0625</v>
      </c>
      <c r="J698" s="233">
        <v>13949</v>
      </c>
      <c r="K698" s="233">
        <v>1090.2075</v>
      </c>
      <c r="L698" s="232">
        <v>1454</v>
      </c>
      <c r="M698" s="232"/>
      <c r="N698" s="233">
        <v>558</v>
      </c>
      <c r="O698" s="233">
        <v>5148</v>
      </c>
      <c r="P698" s="233">
        <v>0</v>
      </c>
      <c r="Q698" s="232">
        <v>3295</v>
      </c>
      <c r="R698" s="233">
        <f t="shared" si="10"/>
        <v>8801</v>
      </c>
      <c r="S698" s="232"/>
      <c r="T698" s="233">
        <v>4255</v>
      </c>
      <c r="U698" s="234">
        <v>-1145</v>
      </c>
      <c r="V698" s="234">
        <v>3109</v>
      </c>
    </row>
    <row r="699" spans="1:22">
      <c r="A699" s="227">
        <v>97721</v>
      </c>
      <c r="B699" s="228" t="s">
        <v>1409</v>
      </c>
      <c r="C699" s="87">
        <v>5.7249999999999998E-4</v>
      </c>
      <c r="D699" s="87">
        <v>5.2689999999999996E-4</v>
      </c>
      <c r="E699" s="232">
        <v>224528.03999999998</v>
      </c>
      <c r="F699" s="232">
        <v>236470</v>
      </c>
      <c r="G699" s="232">
        <v>1215037</v>
      </c>
      <c r="H699" s="232"/>
      <c r="I699" s="233">
        <v>22828.4375</v>
      </c>
      <c r="J699" s="233">
        <v>1064760</v>
      </c>
      <c r="K699" s="233">
        <v>83219</v>
      </c>
      <c r="L699" s="232">
        <v>19505</v>
      </c>
      <c r="M699" s="232"/>
      <c r="N699" s="233">
        <v>42576</v>
      </c>
      <c r="O699" s="233">
        <v>392997</v>
      </c>
      <c r="P699" s="233">
        <v>0</v>
      </c>
      <c r="Q699" s="232">
        <v>36721</v>
      </c>
      <c r="R699" s="233">
        <f t="shared" si="10"/>
        <v>671763</v>
      </c>
      <c r="S699" s="232"/>
      <c r="T699" s="233">
        <v>324762</v>
      </c>
      <c r="U699" s="234">
        <v>-7125</v>
      </c>
      <c r="V699" s="234">
        <v>317637</v>
      </c>
    </row>
    <row r="700" spans="1:22">
      <c r="A700" s="227">
        <v>97727</v>
      </c>
      <c r="B700" s="228" t="s">
        <v>1410</v>
      </c>
      <c r="C700" s="87">
        <v>2.37E-5</v>
      </c>
      <c r="D700" s="87">
        <v>2.5299999999999998E-5</v>
      </c>
      <c r="E700" s="232">
        <v>9369.1200000000008</v>
      </c>
      <c r="F700" s="232">
        <v>11354</v>
      </c>
      <c r="G700" s="232">
        <v>50299</v>
      </c>
      <c r="H700" s="232"/>
      <c r="I700" s="233">
        <v>945.03750000000002</v>
      </c>
      <c r="J700" s="233">
        <v>44078</v>
      </c>
      <c r="K700" s="233">
        <v>3445</v>
      </c>
      <c r="L700" s="232">
        <v>0</v>
      </c>
      <c r="M700" s="232"/>
      <c r="N700" s="233">
        <v>1763</v>
      </c>
      <c r="O700" s="233">
        <v>16269</v>
      </c>
      <c r="P700" s="233">
        <v>0</v>
      </c>
      <c r="Q700" s="232">
        <v>3253</v>
      </c>
      <c r="R700" s="233">
        <f t="shared" si="10"/>
        <v>27809</v>
      </c>
      <c r="S700" s="232"/>
      <c r="T700" s="233">
        <v>13444</v>
      </c>
      <c r="U700" s="234">
        <v>-1207</v>
      </c>
      <c r="V700" s="234">
        <v>12237</v>
      </c>
    </row>
    <row r="701" spans="1:22">
      <c r="A701" s="227">
        <v>97731</v>
      </c>
      <c r="B701" s="228" t="s">
        <v>1411</v>
      </c>
      <c r="C701" s="87">
        <v>3.7100000000000001E-5</v>
      </c>
      <c r="D701" s="87">
        <v>3.3599999999999997E-5</v>
      </c>
      <c r="E701" s="232">
        <v>17225.91</v>
      </c>
      <c r="F701" s="232">
        <v>15079</v>
      </c>
      <c r="G701" s="232">
        <v>78739</v>
      </c>
      <c r="H701" s="232"/>
      <c r="I701" s="233">
        <v>1479</v>
      </c>
      <c r="J701" s="233">
        <v>69000</v>
      </c>
      <c r="K701" s="233">
        <v>5393</v>
      </c>
      <c r="L701" s="232">
        <v>8501</v>
      </c>
      <c r="M701" s="232"/>
      <c r="N701" s="233">
        <v>2759</v>
      </c>
      <c r="O701" s="233">
        <v>25468</v>
      </c>
      <c r="P701" s="233">
        <v>0</v>
      </c>
      <c r="Q701" s="232">
        <v>0</v>
      </c>
      <c r="R701" s="233">
        <f t="shared" si="10"/>
        <v>43532</v>
      </c>
      <c r="S701" s="232"/>
      <c r="T701" s="233">
        <v>21046</v>
      </c>
      <c r="U701" s="234">
        <v>2797</v>
      </c>
      <c r="V701" s="234">
        <v>23843</v>
      </c>
    </row>
    <row r="702" spans="1:22">
      <c r="A702" s="227">
        <v>97801</v>
      </c>
      <c r="B702" s="228" t="s">
        <v>1946</v>
      </c>
      <c r="C702" s="87">
        <v>7.3343000000000002E-3</v>
      </c>
      <c r="D702" s="87">
        <v>7.4117999999999996E-3</v>
      </c>
      <c r="E702" s="232">
        <v>2930301.9699999993</v>
      </c>
      <c r="F702" s="232">
        <v>3326371</v>
      </c>
      <c r="G702" s="232">
        <v>15565842</v>
      </c>
      <c r="H702" s="232"/>
      <c r="I702" s="233">
        <v>292455</v>
      </c>
      <c r="J702" s="233">
        <v>13640639</v>
      </c>
      <c r="K702" s="233">
        <v>1066121</v>
      </c>
      <c r="L702" s="232">
        <v>55808</v>
      </c>
      <c r="M702" s="232"/>
      <c r="N702" s="233">
        <v>545445</v>
      </c>
      <c r="O702" s="233">
        <v>5034689</v>
      </c>
      <c r="P702" s="233">
        <v>0</v>
      </c>
      <c r="Q702" s="232">
        <v>191858</v>
      </c>
      <c r="R702" s="233">
        <f t="shared" si="10"/>
        <v>8605950</v>
      </c>
      <c r="S702" s="232"/>
      <c r="T702" s="233">
        <v>4160521</v>
      </c>
      <c r="U702" s="234">
        <v>-29463</v>
      </c>
      <c r="V702" s="234">
        <v>4131058</v>
      </c>
    </row>
    <row r="703" spans="1:22">
      <c r="A703" s="227">
        <v>97802</v>
      </c>
      <c r="B703" s="228" t="s">
        <v>1413</v>
      </c>
      <c r="C703" s="87">
        <v>1.8120000000000001E-4</v>
      </c>
      <c r="D703" s="87">
        <v>1.8599999999999999E-4</v>
      </c>
      <c r="E703" s="232">
        <v>74110.990000000005</v>
      </c>
      <c r="F703" s="232">
        <v>83476</v>
      </c>
      <c r="G703" s="232">
        <v>384567</v>
      </c>
      <c r="H703" s="232"/>
      <c r="I703" s="233">
        <v>7225.35</v>
      </c>
      <c r="J703" s="233">
        <v>337003</v>
      </c>
      <c r="K703" s="233">
        <v>26339</v>
      </c>
      <c r="L703" s="232">
        <v>19490</v>
      </c>
      <c r="M703" s="232"/>
      <c r="N703" s="233">
        <v>13476</v>
      </c>
      <c r="O703" s="233">
        <v>124386</v>
      </c>
      <c r="P703" s="233">
        <v>0</v>
      </c>
      <c r="Q703" s="232">
        <v>22046</v>
      </c>
      <c r="R703" s="233">
        <f t="shared" si="10"/>
        <v>212617</v>
      </c>
      <c r="S703" s="232"/>
      <c r="T703" s="233">
        <v>102789</v>
      </c>
      <c r="U703" s="234">
        <v>2255</v>
      </c>
      <c r="V703" s="234">
        <v>105045</v>
      </c>
    </row>
    <row r="704" spans="1:22">
      <c r="A704" s="227">
        <v>97803</v>
      </c>
      <c r="B704" s="228" t="s">
        <v>1414</v>
      </c>
      <c r="C704" s="87">
        <v>7.9099999999999998E-5</v>
      </c>
      <c r="D704" s="87">
        <v>7.6600000000000005E-5</v>
      </c>
      <c r="E704" s="232">
        <v>33622</v>
      </c>
      <c r="F704" s="232">
        <v>34378</v>
      </c>
      <c r="G704" s="232">
        <v>167877</v>
      </c>
      <c r="H704" s="232"/>
      <c r="I704" s="233">
        <v>3154</v>
      </c>
      <c r="J704" s="233">
        <v>147114</v>
      </c>
      <c r="K704" s="233">
        <v>11498</v>
      </c>
      <c r="L704" s="232">
        <v>9364</v>
      </c>
      <c r="M704" s="232"/>
      <c r="N704" s="233">
        <v>5883</v>
      </c>
      <c r="O704" s="233">
        <v>54299</v>
      </c>
      <c r="P704" s="233">
        <v>0</v>
      </c>
      <c r="Q704" s="232">
        <v>2358</v>
      </c>
      <c r="R704" s="233">
        <f t="shared" si="10"/>
        <v>92815</v>
      </c>
      <c r="S704" s="232"/>
      <c r="T704" s="233">
        <v>44871</v>
      </c>
      <c r="U704" s="234">
        <v>3329</v>
      </c>
      <c r="V704" s="234">
        <v>48200</v>
      </c>
    </row>
    <row r="705" spans="1:22">
      <c r="A705" s="227">
        <v>97805</v>
      </c>
      <c r="B705" s="228" t="s">
        <v>1415</v>
      </c>
      <c r="C705" s="87">
        <v>8.2600000000000002E-5</v>
      </c>
      <c r="D705" s="87">
        <v>6.7700000000000006E-5</v>
      </c>
      <c r="E705" s="232">
        <v>34033.410000000003</v>
      </c>
      <c r="F705" s="232">
        <v>30383</v>
      </c>
      <c r="G705" s="232">
        <v>175305</v>
      </c>
      <c r="H705" s="232"/>
      <c r="I705" s="233">
        <v>3294</v>
      </c>
      <c r="J705" s="233">
        <v>153623</v>
      </c>
      <c r="K705" s="233">
        <v>12007</v>
      </c>
      <c r="L705" s="232">
        <v>13426</v>
      </c>
      <c r="M705" s="232"/>
      <c r="N705" s="233">
        <v>6143</v>
      </c>
      <c r="O705" s="233">
        <v>56701</v>
      </c>
      <c r="P705" s="233">
        <v>0</v>
      </c>
      <c r="Q705" s="232">
        <v>453.72</v>
      </c>
      <c r="R705" s="233">
        <f t="shared" si="10"/>
        <v>96922</v>
      </c>
      <c r="S705" s="232"/>
      <c r="T705" s="233">
        <v>46856</v>
      </c>
      <c r="U705" s="234">
        <v>3757</v>
      </c>
      <c r="V705" s="234">
        <v>50613</v>
      </c>
    </row>
    <row r="706" spans="1:22">
      <c r="A706" s="227">
        <v>97811</v>
      </c>
      <c r="B706" s="228" t="s">
        <v>1416</v>
      </c>
      <c r="C706" s="87">
        <v>2.4088E-3</v>
      </c>
      <c r="D706" s="87">
        <v>2.5788E-3</v>
      </c>
      <c r="E706" s="232">
        <v>950193.23999999987</v>
      </c>
      <c r="F706" s="232">
        <v>1157350</v>
      </c>
      <c r="G706" s="232">
        <v>5112281</v>
      </c>
      <c r="H706" s="232"/>
      <c r="I706" s="233">
        <v>96050.9</v>
      </c>
      <c r="J706" s="233">
        <v>4479987</v>
      </c>
      <c r="K706" s="233">
        <v>350146</v>
      </c>
      <c r="L706" s="232">
        <v>0</v>
      </c>
      <c r="M706" s="232"/>
      <c r="N706" s="233">
        <v>179140</v>
      </c>
      <c r="O706" s="233">
        <v>1653540</v>
      </c>
      <c r="P706" s="233">
        <v>0</v>
      </c>
      <c r="Q706" s="232">
        <v>235946</v>
      </c>
      <c r="R706" s="233">
        <f t="shared" si="10"/>
        <v>2826447</v>
      </c>
      <c r="S706" s="232"/>
      <c r="T706" s="233">
        <v>1366438</v>
      </c>
      <c r="U706" s="234">
        <v>-72994</v>
      </c>
      <c r="V706" s="234">
        <v>1293444</v>
      </c>
    </row>
    <row r="707" spans="1:22">
      <c r="A707" s="227">
        <v>97817</v>
      </c>
      <c r="B707" s="228" t="s">
        <v>1417</v>
      </c>
      <c r="C707" s="87">
        <v>3.9999999999999998E-6</v>
      </c>
      <c r="D707" s="87">
        <v>7.0999999999999998E-6</v>
      </c>
      <c r="E707" s="232">
        <v>7287.0899999999992</v>
      </c>
      <c r="F707" s="232">
        <v>3186</v>
      </c>
      <c r="G707" s="232">
        <v>8489.34</v>
      </c>
      <c r="H707" s="232"/>
      <c r="I707" s="233">
        <v>159.5</v>
      </c>
      <c r="J707" s="233">
        <v>7439</v>
      </c>
      <c r="K707" s="233">
        <v>581</v>
      </c>
      <c r="L707" s="232">
        <v>4157</v>
      </c>
      <c r="M707" s="232"/>
      <c r="N707" s="233">
        <v>297</v>
      </c>
      <c r="O707" s="233">
        <v>2746</v>
      </c>
      <c r="P707" s="233">
        <v>0</v>
      </c>
      <c r="Q707" s="232">
        <v>3747</v>
      </c>
      <c r="R707" s="233">
        <f t="shared" si="10"/>
        <v>4693</v>
      </c>
      <c r="S707" s="232"/>
      <c r="T707" s="233">
        <v>2269</v>
      </c>
      <c r="U707" s="234">
        <v>78</v>
      </c>
      <c r="V707" s="234">
        <v>2347</v>
      </c>
    </row>
    <row r="708" spans="1:22">
      <c r="A708" s="227">
        <v>97818</v>
      </c>
      <c r="B708" s="228" t="s">
        <v>1418</v>
      </c>
      <c r="C708" s="87">
        <v>2.12E-5</v>
      </c>
      <c r="D708" s="87">
        <v>8.3999999999999992E-6</v>
      </c>
      <c r="E708" s="232">
        <v>8689.8200000000015</v>
      </c>
      <c r="F708" s="232">
        <v>3770</v>
      </c>
      <c r="G708" s="232">
        <v>44994</v>
      </c>
      <c r="H708" s="232"/>
      <c r="I708" s="233">
        <v>845.35</v>
      </c>
      <c r="J708" s="233">
        <v>39429</v>
      </c>
      <c r="K708" s="233">
        <v>3082</v>
      </c>
      <c r="L708" s="232">
        <v>8112</v>
      </c>
      <c r="M708" s="232"/>
      <c r="N708" s="233">
        <v>1577</v>
      </c>
      <c r="O708" s="233">
        <v>14553</v>
      </c>
      <c r="P708" s="233">
        <v>0</v>
      </c>
      <c r="Q708" s="232">
        <v>4294.42</v>
      </c>
      <c r="R708" s="233">
        <f t="shared" si="10"/>
        <v>24876</v>
      </c>
      <c r="S708" s="232"/>
      <c r="T708" s="233">
        <v>12026</v>
      </c>
      <c r="U708" s="234">
        <v>58</v>
      </c>
      <c r="V708" s="234">
        <v>12084</v>
      </c>
    </row>
    <row r="709" spans="1:22">
      <c r="A709" s="227">
        <v>97821</v>
      </c>
      <c r="B709" s="228" t="s">
        <v>1419</v>
      </c>
      <c r="C709" s="87">
        <v>1.1620000000000001E-4</v>
      </c>
      <c r="D709" s="87">
        <v>1.3329999999999999E-4</v>
      </c>
      <c r="E709" s="232">
        <v>52013.57</v>
      </c>
      <c r="F709" s="232">
        <v>59824</v>
      </c>
      <c r="G709" s="232">
        <v>246615</v>
      </c>
      <c r="H709" s="232"/>
      <c r="I709" s="233">
        <v>4633</v>
      </c>
      <c r="J709" s="233">
        <v>216114</v>
      </c>
      <c r="K709" s="233">
        <v>16891</v>
      </c>
      <c r="L709" s="232">
        <v>0</v>
      </c>
      <c r="M709" s="232"/>
      <c r="N709" s="233">
        <v>8642</v>
      </c>
      <c r="O709" s="233">
        <v>79766</v>
      </c>
      <c r="P709" s="233">
        <v>0</v>
      </c>
      <c r="Q709" s="232">
        <v>26909</v>
      </c>
      <c r="R709" s="233">
        <f t="shared" si="10"/>
        <v>136348</v>
      </c>
      <c r="S709" s="232"/>
      <c r="T709" s="233">
        <v>65917</v>
      </c>
      <c r="U709" s="234">
        <v>-10681</v>
      </c>
      <c r="V709" s="234">
        <v>55236</v>
      </c>
    </row>
    <row r="710" spans="1:22">
      <c r="A710" s="227">
        <v>97823</v>
      </c>
      <c r="B710" s="228" t="s">
        <v>1420</v>
      </c>
      <c r="C710" s="87">
        <v>2.4600000000000002E-5</v>
      </c>
      <c r="D710" s="87">
        <v>2.58E-5</v>
      </c>
      <c r="E710" s="232">
        <v>11852.430000000002</v>
      </c>
      <c r="F710" s="232">
        <v>11579</v>
      </c>
      <c r="G710" s="232">
        <v>52209</v>
      </c>
      <c r="H710" s="232"/>
      <c r="I710" s="233">
        <v>981</v>
      </c>
      <c r="J710" s="233">
        <v>45752</v>
      </c>
      <c r="K710" s="233">
        <v>3576</v>
      </c>
      <c r="L710" s="232">
        <v>926</v>
      </c>
      <c r="M710" s="232"/>
      <c r="N710" s="233">
        <v>1829</v>
      </c>
      <c r="O710" s="233">
        <v>16887</v>
      </c>
      <c r="P710" s="233">
        <v>0</v>
      </c>
      <c r="Q710" s="232">
        <v>1188</v>
      </c>
      <c r="R710" s="233">
        <f t="shared" si="10"/>
        <v>28865</v>
      </c>
      <c r="S710" s="232"/>
      <c r="T710" s="233">
        <v>13955</v>
      </c>
      <c r="U710" s="234">
        <v>-338</v>
      </c>
      <c r="V710" s="234">
        <v>13616</v>
      </c>
    </row>
    <row r="711" spans="1:22">
      <c r="A711" s="227">
        <v>97831</v>
      </c>
      <c r="B711" s="228" t="s">
        <v>1421</v>
      </c>
      <c r="C711" s="87">
        <v>1.482E-4</v>
      </c>
      <c r="D711" s="87">
        <v>1.5860000000000001E-4</v>
      </c>
      <c r="E711" s="232">
        <v>66463.330000000016</v>
      </c>
      <c r="F711" s="232">
        <v>71179</v>
      </c>
      <c r="G711" s="232">
        <v>314530</v>
      </c>
      <c r="H711" s="232"/>
      <c r="I711" s="233">
        <v>5909</v>
      </c>
      <c r="J711" s="233">
        <v>275629</v>
      </c>
      <c r="K711" s="233">
        <v>21543</v>
      </c>
      <c r="L711" s="232">
        <v>0</v>
      </c>
      <c r="M711" s="232"/>
      <c r="N711" s="233">
        <v>11021</v>
      </c>
      <c r="O711" s="233">
        <v>101733</v>
      </c>
      <c r="P711" s="233">
        <v>0</v>
      </c>
      <c r="Q711" s="232">
        <v>14308</v>
      </c>
      <c r="R711" s="233">
        <f t="shared" si="10"/>
        <v>173896</v>
      </c>
      <c r="S711" s="232"/>
      <c r="T711" s="233">
        <v>84069</v>
      </c>
      <c r="U711" s="234">
        <v>-5891</v>
      </c>
      <c r="V711" s="234">
        <v>78179</v>
      </c>
    </row>
    <row r="712" spans="1:22">
      <c r="A712" s="227">
        <v>97837</v>
      </c>
      <c r="B712" s="228" t="s">
        <v>1422</v>
      </c>
      <c r="C712" s="87">
        <v>8.8000000000000004E-6</v>
      </c>
      <c r="D712" s="87">
        <v>1.3699999999999999E-5</v>
      </c>
      <c r="E712" s="232">
        <v>6597.01</v>
      </c>
      <c r="F712" s="232">
        <v>6148</v>
      </c>
      <c r="G712" s="232">
        <v>18677</v>
      </c>
      <c r="H712" s="232"/>
      <c r="I712" s="233">
        <v>351</v>
      </c>
      <c r="J712" s="233">
        <v>16367</v>
      </c>
      <c r="K712" s="233">
        <v>1279</v>
      </c>
      <c r="L712" s="232">
        <v>2093</v>
      </c>
      <c r="M712" s="232"/>
      <c r="N712" s="233">
        <v>654</v>
      </c>
      <c r="O712" s="233">
        <v>6041</v>
      </c>
      <c r="P712" s="233">
        <v>0</v>
      </c>
      <c r="Q712" s="232">
        <v>289</v>
      </c>
      <c r="R712" s="233">
        <f t="shared" si="10"/>
        <v>10326</v>
      </c>
      <c r="S712" s="232"/>
      <c r="T712" s="233">
        <v>4992</v>
      </c>
      <c r="U712" s="234">
        <v>751</v>
      </c>
      <c r="V712" s="234">
        <v>5743</v>
      </c>
    </row>
    <row r="713" spans="1:22">
      <c r="A713" s="227">
        <v>97840</v>
      </c>
      <c r="B713" s="228" t="s">
        <v>1423</v>
      </c>
      <c r="C713" s="87">
        <v>1.403E-4</v>
      </c>
      <c r="D713" s="87">
        <v>1.4799999999999999E-4</v>
      </c>
      <c r="E713" s="232">
        <v>98734.69</v>
      </c>
      <c r="F713" s="232">
        <v>66422</v>
      </c>
      <c r="G713" s="232">
        <v>297764</v>
      </c>
      <c r="H713" s="232"/>
      <c r="I713" s="233">
        <v>5594</v>
      </c>
      <c r="J713" s="233">
        <v>260936</v>
      </c>
      <c r="K713" s="233">
        <v>20394</v>
      </c>
      <c r="L713" s="232">
        <v>64083</v>
      </c>
      <c r="M713" s="232"/>
      <c r="N713" s="233">
        <v>10434</v>
      </c>
      <c r="O713" s="233">
        <v>96310</v>
      </c>
      <c r="P713" s="233">
        <v>0</v>
      </c>
      <c r="Q713" s="232">
        <v>1938</v>
      </c>
      <c r="R713" s="233">
        <f t="shared" ref="R713:R776" si="11">IF(J713&gt;O713,J713-O713,O713-J713)</f>
        <v>164626</v>
      </c>
      <c r="S713" s="232"/>
      <c r="T713" s="233">
        <v>79588</v>
      </c>
      <c r="U713" s="234">
        <v>19035</v>
      </c>
      <c r="V713" s="234">
        <v>98623</v>
      </c>
    </row>
    <row r="714" spans="1:22">
      <c r="A714" s="227">
        <v>97841</v>
      </c>
      <c r="B714" s="228" t="s">
        <v>1424</v>
      </c>
      <c r="C714" s="87">
        <v>1.45E-5</v>
      </c>
      <c r="D714" s="87">
        <v>1.5699999999999999E-5</v>
      </c>
      <c r="E714" s="232">
        <v>6090.83</v>
      </c>
      <c r="F714" s="232">
        <v>7046</v>
      </c>
      <c r="G714" s="232">
        <v>30774</v>
      </c>
      <c r="H714" s="232"/>
      <c r="I714" s="233">
        <v>578.1875</v>
      </c>
      <c r="J714" s="233">
        <v>26968</v>
      </c>
      <c r="K714" s="233">
        <v>2108</v>
      </c>
      <c r="L714" s="232">
        <v>636</v>
      </c>
      <c r="M714" s="232"/>
      <c r="N714" s="233">
        <v>1078</v>
      </c>
      <c r="O714" s="233">
        <v>9954</v>
      </c>
      <c r="P714" s="233">
        <v>0</v>
      </c>
      <c r="Q714" s="232">
        <v>8091</v>
      </c>
      <c r="R714" s="233">
        <f t="shared" si="11"/>
        <v>17014</v>
      </c>
      <c r="S714" s="232"/>
      <c r="T714" s="233">
        <v>8225</v>
      </c>
      <c r="U714" s="234">
        <v>-3707</v>
      </c>
      <c r="V714" s="234">
        <v>4519</v>
      </c>
    </row>
    <row r="715" spans="1:22">
      <c r="A715" s="227">
        <v>97847</v>
      </c>
      <c r="B715" s="228" t="s">
        <v>1425</v>
      </c>
      <c r="C715" s="87">
        <v>2.2000000000000001E-6</v>
      </c>
      <c r="D715" s="87">
        <v>2.7E-6</v>
      </c>
      <c r="E715" s="232">
        <v>1833.5700000000002</v>
      </c>
      <c r="F715" s="232">
        <v>1212</v>
      </c>
      <c r="G715" s="232">
        <v>4669</v>
      </c>
      <c r="H715" s="232"/>
      <c r="I715" s="233">
        <v>88</v>
      </c>
      <c r="J715" s="233">
        <v>4092</v>
      </c>
      <c r="K715" s="233">
        <v>320</v>
      </c>
      <c r="L715" s="232">
        <v>650</v>
      </c>
      <c r="M715" s="232"/>
      <c r="N715" s="233">
        <v>164</v>
      </c>
      <c r="O715" s="233">
        <v>1510</v>
      </c>
      <c r="P715" s="233">
        <v>0</v>
      </c>
      <c r="Q715" s="232">
        <v>145</v>
      </c>
      <c r="R715" s="233">
        <f t="shared" si="11"/>
        <v>2582</v>
      </c>
      <c r="S715" s="232"/>
      <c r="T715" s="233">
        <v>1248</v>
      </c>
      <c r="U715" s="234">
        <v>113</v>
      </c>
      <c r="V715" s="234">
        <v>1361</v>
      </c>
    </row>
    <row r="716" spans="1:22">
      <c r="A716" s="227">
        <v>97851</v>
      </c>
      <c r="B716" s="228" t="s">
        <v>1426</v>
      </c>
      <c r="C716" s="87">
        <v>2.7460000000000001E-4</v>
      </c>
      <c r="D716" s="87">
        <v>2.7E-4</v>
      </c>
      <c r="E716" s="232">
        <v>101247.38999999998</v>
      </c>
      <c r="F716" s="232">
        <v>121174.38</v>
      </c>
      <c r="G716" s="232">
        <v>582793</v>
      </c>
      <c r="H716" s="232"/>
      <c r="I716" s="233">
        <v>10950</v>
      </c>
      <c r="J716" s="233">
        <v>510713</v>
      </c>
      <c r="K716" s="233">
        <v>39916</v>
      </c>
      <c r="L716" s="232">
        <v>2911</v>
      </c>
      <c r="M716" s="232"/>
      <c r="N716" s="233">
        <v>20422</v>
      </c>
      <c r="O716" s="233">
        <v>188501</v>
      </c>
      <c r="P716" s="233">
        <v>0</v>
      </c>
      <c r="Q716" s="232">
        <v>8317</v>
      </c>
      <c r="R716" s="233">
        <f t="shared" si="11"/>
        <v>322212</v>
      </c>
      <c r="S716" s="232"/>
      <c r="T716" s="233">
        <v>155772</v>
      </c>
      <c r="U716" s="234">
        <v>-838</v>
      </c>
      <c r="V716" s="234">
        <v>154934</v>
      </c>
    </row>
    <row r="717" spans="1:22">
      <c r="A717" s="227">
        <v>97853</v>
      </c>
      <c r="B717" s="228" t="s">
        <v>1427</v>
      </c>
      <c r="C717" s="87">
        <v>9.1600000000000004E-5</v>
      </c>
      <c r="D717" s="87">
        <v>1.114E-4</v>
      </c>
      <c r="E717" s="232">
        <v>34606.629999999997</v>
      </c>
      <c r="F717" s="232">
        <v>49996</v>
      </c>
      <c r="G717" s="232">
        <v>194406</v>
      </c>
      <c r="H717" s="232"/>
      <c r="I717" s="233">
        <v>3652.55</v>
      </c>
      <c r="J717" s="233">
        <v>170362</v>
      </c>
      <c r="K717" s="233">
        <v>13315</v>
      </c>
      <c r="L717" s="232">
        <v>6323</v>
      </c>
      <c r="M717" s="232"/>
      <c r="N717" s="233">
        <v>6812</v>
      </c>
      <c r="O717" s="233">
        <v>62880</v>
      </c>
      <c r="P717" s="233">
        <v>0</v>
      </c>
      <c r="Q717" s="232">
        <v>13159</v>
      </c>
      <c r="R717" s="233">
        <f t="shared" si="11"/>
        <v>107482</v>
      </c>
      <c r="S717" s="232"/>
      <c r="T717" s="233">
        <v>51962</v>
      </c>
      <c r="U717" s="234">
        <v>-826</v>
      </c>
      <c r="V717" s="234">
        <v>51136</v>
      </c>
    </row>
    <row r="718" spans="1:22">
      <c r="A718" s="227">
        <v>97861</v>
      </c>
      <c r="B718" s="228" t="s">
        <v>1428</v>
      </c>
      <c r="C718" s="87">
        <v>6.8499999999999998E-5</v>
      </c>
      <c r="D718" s="87">
        <v>6.6799999999999997E-5</v>
      </c>
      <c r="E718" s="232">
        <v>25465.590000000004</v>
      </c>
      <c r="F718" s="232">
        <v>29979</v>
      </c>
      <c r="G718" s="232">
        <v>145380</v>
      </c>
      <c r="H718" s="232"/>
      <c r="I718" s="233">
        <v>2731.4375</v>
      </c>
      <c r="J718" s="233">
        <v>127399</v>
      </c>
      <c r="K718" s="233">
        <v>9957</v>
      </c>
      <c r="L718" s="232">
        <v>2745</v>
      </c>
      <c r="M718" s="232"/>
      <c r="N718" s="233">
        <v>5094</v>
      </c>
      <c r="O718" s="233">
        <v>47022</v>
      </c>
      <c r="P718" s="233">
        <v>0</v>
      </c>
      <c r="Q718" s="232">
        <v>8154</v>
      </c>
      <c r="R718" s="233">
        <f t="shared" si="11"/>
        <v>80377</v>
      </c>
      <c r="S718" s="232"/>
      <c r="T718" s="233">
        <v>38858</v>
      </c>
      <c r="U718" s="234">
        <v>-2826</v>
      </c>
      <c r="V718" s="234">
        <v>36032</v>
      </c>
    </row>
    <row r="719" spans="1:22">
      <c r="A719" s="227">
        <v>97871</v>
      </c>
      <c r="B719" s="228" t="s">
        <v>1429</v>
      </c>
      <c r="C719" s="87">
        <v>3.1500000000000001E-4</v>
      </c>
      <c r="D719" s="87">
        <v>3.1530000000000002E-4</v>
      </c>
      <c r="E719" s="232">
        <v>247765.79000000004</v>
      </c>
      <c r="F719" s="232">
        <v>141505</v>
      </c>
      <c r="G719" s="232">
        <v>668536</v>
      </c>
      <c r="H719" s="232"/>
      <c r="I719" s="233">
        <v>12560.625</v>
      </c>
      <c r="J719" s="233">
        <v>585850.23</v>
      </c>
      <c r="K719" s="233">
        <v>45789</v>
      </c>
      <c r="L719" s="232">
        <v>173467</v>
      </c>
      <c r="M719" s="232"/>
      <c r="N719" s="233">
        <v>23426</v>
      </c>
      <c r="O719" s="233">
        <v>216234</v>
      </c>
      <c r="P719" s="233">
        <v>0</v>
      </c>
      <c r="Q719" s="232">
        <v>0</v>
      </c>
      <c r="R719" s="233">
        <f t="shared" si="11"/>
        <v>369616.23</v>
      </c>
      <c r="S719" s="232"/>
      <c r="T719" s="233">
        <v>178690</v>
      </c>
      <c r="U719" s="234">
        <v>54798</v>
      </c>
      <c r="V719" s="234">
        <v>233488</v>
      </c>
    </row>
    <row r="720" spans="1:22">
      <c r="A720" s="227">
        <v>97877</v>
      </c>
      <c r="B720" s="228" t="s">
        <v>1430</v>
      </c>
      <c r="C720" s="87">
        <v>2.2000000000000001E-6</v>
      </c>
      <c r="D720" s="87">
        <v>2.6000000000000001E-6</v>
      </c>
      <c r="E720" s="232">
        <v>1917.4899999999998</v>
      </c>
      <c r="F720" s="232">
        <v>1167</v>
      </c>
      <c r="G720" s="232">
        <v>4669</v>
      </c>
      <c r="H720" s="232"/>
      <c r="I720" s="233">
        <v>88</v>
      </c>
      <c r="J720" s="233">
        <v>4092</v>
      </c>
      <c r="K720" s="233">
        <v>320</v>
      </c>
      <c r="L720" s="232">
        <v>1306</v>
      </c>
      <c r="M720" s="232"/>
      <c r="N720" s="233">
        <v>164</v>
      </c>
      <c r="O720" s="233">
        <v>1510</v>
      </c>
      <c r="P720" s="233">
        <v>0</v>
      </c>
      <c r="Q720" s="232">
        <v>0</v>
      </c>
      <c r="R720" s="233">
        <f t="shared" si="11"/>
        <v>2582</v>
      </c>
      <c r="S720" s="232"/>
      <c r="T720" s="233">
        <v>1248</v>
      </c>
      <c r="U720" s="234">
        <v>452</v>
      </c>
      <c r="V720" s="234">
        <v>1700</v>
      </c>
    </row>
    <row r="721" spans="1:22">
      <c r="A721" s="227">
        <v>97901</v>
      </c>
      <c r="B721" s="228" t="s">
        <v>1431</v>
      </c>
      <c r="C721" s="87">
        <v>4.3616999999999996E-3</v>
      </c>
      <c r="D721" s="87">
        <v>4.2928000000000003E-3</v>
      </c>
      <c r="E721" s="232">
        <v>1721465.11</v>
      </c>
      <c r="F721" s="232">
        <v>1926583</v>
      </c>
      <c r="G721" s="232">
        <v>9256989</v>
      </c>
      <c r="H721" s="232"/>
      <c r="I721" s="233">
        <v>173923</v>
      </c>
      <c r="J721" s="233">
        <v>8112073</v>
      </c>
      <c r="K721" s="233">
        <v>634021</v>
      </c>
      <c r="L721" s="232">
        <v>76379</v>
      </c>
      <c r="M721" s="232"/>
      <c r="N721" s="233">
        <v>324375</v>
      </c>
      <c r="O721" s="233">
        <v>2994124</v>
      </c>
      <c r="P721" s="233">
        <v>0</v>
      </c>
      <c r="Q721" s="232">
        <v>20062</v>
      </c>
      <c r="R721" s="233">
        <f t="shared" si="11"/>
        <v>5117949</v>
      </c>
      <c r="S721" s="232"/>
      <c r="T721" s="233">
        <v>2474257</v>
      </c>
      <c r="U721" s="234">
        <v>24654</v>
      </c>
      <c r="V721" s="234">
        <v>2498911</v>
      </c>
    </row>
    <row r="722" spans="1:22">
      <c r="A722" s="227">
        <v>97911</v>
      </c>
      <c r="B722" s="228" t="s">
        <v>1432</v>
      </c>
      <c r="C722" s="87">
        <v>1.3190000000000001E-3</v>
      </c>
      <c r="D722" s="87">
        <v>1.4008E-3</v>
      </c>
      <c r="E722" s="232">
        <v>549902.35000000009</v>
      </c>
      <c r="F722" s="232">
        <v>628671</v>
      </c>
      <c r="G722" s="232">
        <v>2799360</v>
      </c>
      <c r="H722" s="232"/>
      <c r="I722" s="233">
        <v>52595.125</v>
      </c>
      <c r="J722" s="233">
        <v>2453132</v>
      </c>
      <c r="K722" s="233">
        <v>191731</v>
      </c>
      <c r="L722" s="232">
        <v>50935</v>
      </c>
      <c r="M722" s="232"/>
      <c r="N722" s="233">
        <v>98093</v>
      </c>
      <c r="O722" s="233">
        <v>905438</v>
      </c>
      <c r="P722" s="233">
        <v>0</v>
      </c>
      <c r="Q722" s="232">
        <v>38377</v>
      </c>
      <c r="R722" s="233">
        <f t="shared" si="11"/>
        <v>1547694</v>
      </c>
      <c r="S722" s="232"/>
      <c r="T722" s="233">
        <v>748228</v>
      </c>
      <c r="U722" s="234">
        <v>10404</v>
      </c>
      <c r="V722" s="234">
        <v>758632</v>
      </c>
    </row>
    <row r="723" spans="1:22">
      <c r="A723" s="227">
        <v>97913</v>
      </c>
      <c r="B723" s="228" t="s">
        <v>1433</v>
      </c>
      <c r="C723" s="87">
        <v>3.7400000000000001E-5</v>
      </c>
      <c r="D723" s="87">
        <v>3.7700000000000002E-5</v>
      </c>
      <c r="E723" s="232">
        <v>23994.67</v>
      </c>
      <c r="F723" s="232">
        <v>16920</v>
      </c>
      <c r="G723" s="232">
        <v>79375</v>
      </c>
      <c r="H723" s="232"/>
      <c r="I723" s="233">
        <v>1491.325</v>
      </c>
      <c r="J723" s="233">
        <v>69558</v>
      </c>
      <c r="K723" s="233">
        <v>5437</v>
      </c>
      <c r="L723" s="232">
        <v>11163</v>
      </c>
      <c r="M723" s="232"/>
      <c r="N723" s="233">
        <v>2781</v>
      </c>
      <c r="O723" s="233">
        <v>25674</v>
      </c>
      <c r="P723" s="233">
        <v>0</v>
      </c>
      <c r="Q723" s="232">
        <v>0</v>
      </c>
      <c r="R723" s="233">
        <f t="shared" si="11"/>
        <v>43884</v>
      </c>
      <c r="S723" s="232"/>
      <c r="T723" s="233">
        <v>21216</v>
      </c>
      <c r="U723" s="234">
        <v>3404</v>
      </c>
      <c r="V723" s="234">
        <v>24620</v>
      </c>
    </row>
    <row r="724" spans="1:22">
      <c r="A724" s="227">
        <v>97917</v>
      </c>
      <c r="B724" s="228" t="s">
        <v>1434</v>
      </c>
      <c r="C724" s="87">
        <v>1.98E-5</v>
      </c>
      <c r="D724" s="87">
        <v>2.0599999999999999E-5</v>
      </c>
      <c r="E724" s="232">
        <v>11950.349999999999</v>
      </c>
      <c r="F724" s="232">
        <v>9245</v>
      </c>
      <c r="G724" s="232">
        <v>42022</v>
      </c>
      <c r="H724" s="232"/>
      <c r="I724" s="233">
        <v>789.52499999999998</v>
      </c>
      <c r="J724" s="233">
        <v>36825</v>
      </c>
      <c r="K724" s="233">
        <v>2878</v>
      </c>
      <c r="L724" s="232">
        <v>6195</v>
      </c>
      <c r="M724" s="232"/>
      <c r="N724" s="233">
        <v>1473</v>
      </c>
      <c r="O724" s="233">
        <v>13592</v>
      </c>
      <c r="P724" s="233">
        <v>0</v>
      </c>
      <c r="Q724" s="232">
        <v>0</v>
      </c>
      <c r="R724" s="233">
        <f t="shared" si="11"/>
        <v>23233</v>
      </c>
      <c r="S724" s="232"/>
      <c r="T724" s="233">
        <v>11232</v>
      </c>
      <c r="U724" s="234">
        <v>2211</v>
      </c>
      <c r="V724" s="234">
        <v>13443</v>
      </c>
    </row>
    <row r="725" spans="1:22">
      <c r="A725" s="227">
        <v>97921</v>
      </c>
      <c r="B725" s="228" t="s">
        <v>1435</v>
      </c>
      <c r="C725" s="87">
        <v>2.2169999999999999E-4</v>
      </c>
      <c r="D725" s="87">
        <v>2.3599999999999999E-4</v>
      </c>
      <c r="E725" s="232">
        <v>93980.13</v>
      </c>
      <c r="F725" s="232">
        <v>105915</v>
      </c>
      <c r="G725" s="232">
        <v>470522</v>
      </c>
      <c r="H725" s="232"/>
      <c r="I725" s="233">
        <v>8840</v>
      </c>
      <c r="J725" s="233">
        <v>412327</v>
      </c>
      <c r="K725" s="233">
        <v>32227</v>
      </c>
      <c r="L725" s="232">
        <v>17914</v>
      </c>
      <c r="M725" s="232"/>
      <c r="N725" s="233">
        <v>16488</v>
      </c>
      <c r="O725" s="233">
        <v>152188</v>
      </c>
      <c r="P725" s="233">
        <v>0</v>
      </c>
      <c r="Q725" s="232">
        <v>8707</v>
      </c>
      <c r="R725" s="233">
        <f t="shared" si="11"/>
        <v>260139</v>
      </c>
      <c r="S725" s="232"/>
      <c r="T725" s="233">
        <v>125764</v>
      </c>
      <c r="U725" s="234">
        <v>3320</v>
      </c>
      <c r="V725" s="234">
        <v>129084</v>
      </c>
    </row>
    <row r="726" spans="1:22">
      <c r="A726" s="227">
        <v>97931</v>
      </c>
      <c r="B726" s="228" t="s">
        <v>1436</v>
      </c>
      <c r="C726" s="87">
        <v>6.1600000000000007E-5</v>
      </c>
      <c r="D726" s="87">
        <v>6.7999999999999999E-5</v>
      </c>
      <c r="E726" s="232">
        <v>26190.6</v>
      </c>
      <c r="F726" s="232">
        <v>30518</v>
      </c>
      <c r="G726" s="232">
        <v>130736</v>
      </c>
      <c r="H726" s="232"/>
      <c r="I726" s="233">
        <v>2456</v>
      </c>
      <c r="J726" s="233">
        <v>114566</v>
      </c>
      <c r="K726" s="233">
        <v>8954</v>
      </c>
      <c r="L726" s="232">
        <v>19564</v>
      </c>
      <c r="M726" s="232"/>
      <c r="N726" s="233">
        <v>4581</v>
      </c>
      <c r="O726" s="233">
        <v>42286</v>
      </c>
      <c r="P726" s="233">
        <v>0</v>
      </c>
      <c r="Q726" s="232">
        <v>13697</v>
      </c>
      <c r="R726" s="233">
        <f t="shared" si="11"/>
        <v>72280</v>
      </c>
      <c r="S726" s="232"/>
      <c r="T726" s="233">
        <v>34944</v>
      </c>
      <c r="U726" s="234">
        <v>733</v>
      </c>
      <c r="V726" s="234">
        <v>35677</v>
      </c>
    </row>
    <row r="727" spans="1:22">
      <c r="A727" s="227">
        <v>97941</v>
      </c>
      <c r="B727" s="228" t="s">
        <v>1437</v>
      </c>
      <c r="C727" s="87">
        <v>2.3330000000000001E-4</v>
      </c>
      <c r="D727" s="87">
        <v>2.3120000000000001E-4</v>
      </c>
      <c r="E727" s="232">
        <v>99201.06</v>
      </c>
      <c r="F727" s="232">
        <v>103761</v>
      </c>
      <c r="G727" s="232">
        <v>495141</v>
      </c>
      <c r="H727" s="232"/>
      <c r="I727" s="233">
        <v>9303</v>
      </c>
      <c r="J727" s="233">
        <v>433901</v>
      </c>
      <c r="K727" s="233">
        <v>33913</v>
      </c>
      <c r="L727" s="232">
        <v>27337</v>
      </c>
      <c r="M727" s="232"/>
      <c r="N727" s="233">
        <v>17350</v>
      </c>
      <c r="O727" s="233">
        <v>160151</v>
      </c>
      <c r="P727" s="233">
        <v>0</v>
      </c>
      <c r="Q727" s="232">
        <v>299</v>
      </c>
      <c r="R727" s="233">
        <f t="shared" si="11"/>
        <v>273750</v>
      </c>
      <c r="S727" s="232"/>
      <c r="T727" s="233">
        <v>132344</v>
      </c>
      <c r="U727" s="234">
        <v>9188</v>
      </c>
      <c r="V727" s="234">
        <v>141532</v>
      </c>
    </row>
    <row r="728" spans="1:22">
      <c r="A728" s="227">
        <v>97947</v>
      </c>
      <c r="B728" s="228" t="s">
        <v>1438</v>
      </c>
      <c r="C728" s="87">
        <v>1.5500000000000001E-5</v>
      </c>
      <c r="D728" s="87">
        <v>1.1199999999999999E-5</v>
      </c>
      <c r="E728" s="232">
        <v>11155.259999999998</v>
      </c>
      <c r="F728" s="232">
        <v>5026</v>
      </c>
      <c r="G728" s="232">
        <v>32896</v>
      </c>
      <c r="H728" s="232"/>
      <c r="I728" s="233">
        <v>618.0625</v>
      </c>
      <c r="J728" s="233">
        <v>28828</v>
      </c>
      <c r="K728" s="233">
        <v>2253</v>
      </c>
      <c r="L728" s="232">
        <v>9195</v>
      </c>
      <c r="M728" s="232"/>
      <c r="N728" s="233">
        <v>1153</v>
      </c>
      <c r="O728" s="233">
        <v>10640</v>
      </c>
      <c r="P728" s="233">
        <v>0</v>
      </c>
      <c r="Q728" s="232">
        <v>615</v>
      </c>
      <c r="R728" s="233">
        <f t="shared" si="11"/>
        <v>18188</v>
      </c>
      <c r="S728" s="232"/>
      <c r="T728" s="233">
        <v>8793</v>
      </c>
      <c r="U728" s="234">
        <v>2366</v>
      </c>
      <c r="V728" s="234">
        <v>11159</v>
      </c>
    </row>
    <row r="729" spans="1:22">
      <c r="A729" s="227">
        <v>97948</v>
      </c>
      <c r="B729" s="228" t="s">
        <v>1439</v>
      </c>
      <c r="C729" s="87">
        <v>3.5200000000000002E-5</v>
      </c>
      <c r="D729" s="87">
        <v>3.43E-5</v>
      </c>
      <c r="E729" s="232">
        <v>13687.969999999998</v>
      </c>
      <c r="F729" s="232">
        <v>15394</v>
      </c>
      <c r="G729" s="232">
        <v>74706</v>
      </c>
      <c r="H729" s="232"/>
      <c r="I729" s="233">
        <v>1404</v>
      </c>
      <c r="J729" s="233">
        <v>65466</v>
      </c>
      <c r="K729" s="233">
        <v>5117</v>
      </c>
      <c r="L729" s="232">
        <v>3029</v>
      </c>
      <c r="M729" s="232"/>
      <c r="N729" s="233">
        <v>2618</v>
      </c>
      <c r="O729" s="233">
        <v>24163</v>
      </c>
      <c r="P729" s="233">
        <v>0</v>
      </c>
      <c r="Q729" s="232">
        <v>138</v>
      </c>
      <c r="R729" s="233">
        <f t="shared" si="11"/>
        <v>41303</v>
      </c>
      <c r="S729" s="232"/>
      <c r="T729" s="233">
        <v>19968</v>
      </c>
      <c r="U729" s="234">
        <v>1084</v>
      </c>
      <c r="V729" s="234">
        <v>21052</v>
      </c>
    </row>
    <row r="730" spans="1:22">
      <c r="A730" s="227">
        <v>97951</v>
      </c>
      <c r="B730" s="228" t="s">
        <v>1440</v>
      </c>
      <c r="C730" s="87">
        <v>1.2497000000000001E-3</v>
      </c>
      <c r="D730" s="87">
        <v>1.2842000000000001E-3</v>
      </c>
      <c r="E730" s="232">
        <v>544314.75</v>
      </c>
      <c r="F730" s="232">
        <v>576341</v>
      </c>
      <c r="G730" s="232">
        <v>2652282</v>
      </c>
      <c r="H730" s="232"/>
      <c r="I730" s="233">
        <v>49832</v>
      </c>
      <c r="J730" s="233">
        <v>2324245</v>
      </c>
      <c r="K730" s="233">
        <v>181658</v>
      </c>
      <c r="L730" s="232">
        <v>21304</v>
      </c>
      <c r="M730" s="232"/>
      <c r="N730" s="233">
        <v>92939</v>
      </c>
      <c r="O730" s="233">
        <v>857867</v>
      </c>
      <c r="P730" s="233">
        <v>0</v>
      </c>
      <c r="Q730" s="232">
        <v>14204.62</v>
      </c>
      <c r="R730" s="233">
        <f t="shared" si="11"/>
        <v>1466378</v>
      </c>
      <c r="S730" s="232"/>
      <c r="T730" s="233">
        <v>708916</v>
      </c>
      <c r="U730" s="234">
        <v>-103</v>
      </c>
      <c r="V730" s="234">
        <v>708813</v>
      </c>
    </row>
    <row r="731" spans="1:22">
      <c r="A731" s="227">
        <v>97957</v>
      </c>
      <c r="B731" s="228" t="s">
        <v>1441</v>
      </c>
      <c r="C731" s="87">
        <v>1.9599999999999999E-5</v>
      </c>
      <c r="D731" s="87">
        <v>1.9899999999999999E-5</v>
      </c>
      <c r="E731" s="232">
        <v>11054.150000000001</v>
      </c>
      <c r="F731" s="232">
        <v>8931</v>
      </c>
      <c r="G731" s="232">
        <v>41598</v>
      </c>
      <c r="H731" s="232"/>
      <c r="I731" s="233">
        <v>781.55</v>
      </c>
      <c r="J731" s="233">
        <v>36453</v>
      </c>
      <c r="K731" s="233">
        <v>2849</v>
      </c>
      <c r="L731" s="232">
        <v>2215</v>
      </c>
      <c r="M731" s="232"/>
      <c r="N731" s="233">
        <v>1458</v>
      </c>
      <c r="O731" s="233">
        <v>13455</v>
      </c>
      <c r="P731" s="233">
        <v>0</v>
      </c>
      <c r="Q731" s="232">
        <v>1781</v>
      </c>
      <c r="R731" s="233">
        <f t="shared" si="11"/>
        <v>22998</v>
      </c>
      <c r="S731" s="232"/>
      <c r="T731" s="233">
        <v>11118</v>
      </c>
      <c r="U731" s="234">
        <v>-84</v>
      </c>
      <c r="V731" s="234">
        <v>11035</v>
      </c>
    </row>
    <row r="732" spans="1:22">
      <c r="A732" s="227">
        <v>98001</v>
      </c>
      <c r="B732" s="228" t="s">
        <v>1442</v>
      </c>
      <c r="C732" s="87">
        <v>4.9659999999999999E-3</v>
      </c>
      <c r="D732" s="87">
        <v>4.9379999999999997E-3</v>
      </c>
      <c r="E732" s="232">
        <v>2027252.35</v>
      </c>
      <c r="F732" s="232">
        <v>2216145</v>
      </c>
      <c r="G732" s="232">
        <v>10539516</v>
      </c>
      <c r="H732" s="232"/>
      <c r="I732" s="233">
        <v>198019.25</v>
      </c>
      <c r="J732" s="233">
        <v>9235975</v>
      </c>
      <c r="K732" s="233">
        <v>721863</v>
      </c>
      <c r="L732" s="232">
        <v>119593</v>
      </c>
      <c r="M732" s="232"/>
      <c r="N732" s="233">
        <v>369316</v>
      </c>
      <c r="O732" s="233">
        <v>3408950</v>
      </c>
      <c r="P732" s="233">
        <v>0</v>
      </c>
      <c r="Q732" s="232">
        <v>0</v>
      </c>
      <c r="R732" s="233">
        <f t="shared" si="11"/>
        <v>5827025</v>
      </c>
      <c r="S732" s="232"/>
      <c r="T732" s="233">
        <v>2817058</v>
      </c>
      <c r="U732" s="234">
        <v>52585</v>
      </c>
      <c r="V732" s="234">
        <v>2869642</v>
      </c>
    </row>
    <row r="733" spans="1:22">
      <c r="A733" s="227">
        <v>98002</v>
      </c>
      <c r="B733" s="228" t="s">
        <v>1443</v>
      </c>
      <c r="C733" s="87">
        <v>7.3000000000000004E-6</v>
      </c>
      <c r="D733" s="87">
        <v>7.1999999999999997E-6</v>
      </c>
      <c r="E733" s="232">
        <v>3644.9599999999991</v>
      </c>
      <c r="F733" s="232">
        <v>3231</v>
      </c>
      <c r="G733" s="232">
        <v>15493</v>
      </c>
      <c r="H733" s="232"/>
      <c r="I733" s="233">
        <v>291</v>
      </c>
      <c r="J733" s="233">
        <v>13577</v>
      </c>
      <c r="K733" s="233">
        <v>1061</v>
      </c>
      <c r="L733" s="232">
        <v>799</v>
      </c>
      <c r="M733" s="232"/>
      <c r="N733" s="233">
        <v>543</v>
      </c>
      <c r="O733" s="233">
        <v>5011</v>
      </c>
      <c r="P733" s="233">
        <v>0</v>
      </c>
      <c r="Q733" s="232">
        <v>13050</v>
      </c>
      <c r="R733" s="233">
        <f t="shared" si="11"/>
        <v>8566</v>
      </c>
      <c r="S733" s="232"/>
      <c r="T733" s="233">
        <v>4141</v>
      </c>
      <c r="U733" s="234">
        <v>-6329</v>
      </c>
      <c r="V733" s="234">
        <v>-2188</v>
      </c>
    </row>
    <row r="734" spans="1:22">
      <c r="A734" s="227">
        <v>98003</v>
      </c>
      <c r="B734" s="228" t="s">
        <v>1444</v>
      </c>
      <c r="C734" s="87">
        <v>8.1600000000000005E-5</v>
      </c>
      <c r="D734" s="87">
        <v>6.8100000000000002E-5</v>
      </c>
      <c r="E734" s="232">
        <v>60648.32</v>
      </c>
      <c r="F734" s="232">
        <v>30563</v>
      </c>
      <c r="G734" s="232">
        <v>173183</v>
      </c>
      <c r="H734" s="232"/>
      <c r="I734" s="233">
        <v>3253.8</v>
      </c>
      <c r="J734" s="233">
        <v>151763</v>
      </c>
      <c r="K734" s="233">
        <v>11861</v>
      </c>
      <c r="L734" s="232">
        <v>41565</v>
      </c>
      <c r="M734" s="232"/>
      <c r="N734" s="233">
        <v>6069</v>
      </c>
      <c r="O734" s="233">
        <v>56015</v>
      </c>
      <c r="P734" s="233">
        <v>0</v>
      </c>
      <c r="Q734" s="232">
        <v>0</v>
      </c>
      <c r="R734" s="233">
        <f t="shared" si="11"/>
        <v>95748</v>
      </c>
      <c r="S734" s="232"/>
      <c r="T734" s="233">
        <v>46289</v>
      </c>
      <c r="U734" s="234">
        <v>12223</v>
      </c>
      <c r="V734" s="234">
        <v>58512</v>
      </c>
    </row>
    <row r="735" spans="1:22">
      <c r="A735" s="227">
        <v>98004</v>
      </c>
      <c r="B735" s="228" t="s">
        <v>1445</v>
      </c>
      <c r="C735" s="87">
        <v>1.209E-4</v>
      </c>
      <c r="D735" s="87">
        <v>1.2630000000000001E-4</v>
      </c>
      <c r="E735" s="232">
        <v>71693.130000000019</v>
      </c>
      <c r="F735" s="232">
        <v>56683</v>
      </c>
      <c r="G735" s="232">
        <v>256590</v>
      </c>
      <c r="H735" s="232"/>
      <c r="I735" s="233">
        <v>4821</v>
      </c>
      <c r="J735" s="233">
        <v>224855</v>
      </c>
      <c r="K735" s="233">
        <v>17574</v>
      </c>
      <c r="L735" s="232">
        <v>29242</v>
      </c>
      <c r="M735" s="232"/>
      <c r="N735" s="233">
        <v>8991</v>
      </c>
      <c r="O735" s="233">
        <v>82993</v>
      </c>
      <c r="P735" s="233">
        <v>0</v>
      </c>
      <c r="Q735" s="232">
        <v>0</v>
      </c>
      <c r="R735" s="233">
        <f t="shared" si="11"/>
        <v>141862</v>
      </c>
      <c r="S735" s="232"/>
      <c r="T735" s="233">
        <v>68583</v>
      </c>
      <c r="U735" s="234">
        <v>9885</v>
      </c>
      <c r="V735" s="234">
        <v>78468</v>
      </c>
    </row>
    <row r="736" spans="1:22">
      <c r="A736" s="227">
        <v>98008</v>
      </c>
      <c r="B736" s="228" t="s">
        <v>1446</v>
      </c>
      <c r="C736" s="87">
        <v>7.7999999999999999E-6</v>
      </c>
      <c r="D736" s="87">
        <v>8.3000000000000002E-6</v>
      </c>
      <c r="E736" s="232">
        <v>3013.8200000000006</v>
      </c>
      <c r="F736" s="232">
        <v>3725</v>
      </c>
      <c r="G736" s="232">
        <v>16554</v>
      </c>
      <c r="H736" s="232"/>
      <c r="I736" s="233">
        <v>311</v>
      </c>
      <c r="J736" s="233">
        <v>14507</v>
      </c>
      <c r="K736" s="233">
        <v>1134</v>
      </c>
      <c r="L736" s="232">
        <v>0</v>
      </c>
      <c r="M736" s="232"/>
      <c r="N736" s="233">
        <v>580</v>
      </c>
      <c r="O736" s="233">
        <v>5354</v>
      </c>
      <c r="P736" s="233">
        <v>0</v>
      </c>
      <c r="Q736" s="232">
        <v>1300</v>
      </c>
      <c r="R736" s="233">
        <f t="shared" si="11"/>
        <v>9153</v>
      </c>
      <c r="S736" s="232"/>
      <c r="T736" s="233">
        <v>4425</v>
      </c>
      <c r="U736" s="234">
        <v>-496</v>
      </c>
      <c r="V736" s="234">
        <v>3929</v>
      </c>
    </row>
    <row r="737" spans="1:22">
      <c r="A737" s="227">
        <v>98011</v>
      </c>
      <c r="B737" s="228" t="s">
        <v>1447</v>
      </c>
      <c r="C737" s="87">
        <v>3.1795E-3</v>
      </c>
      <c r="D737" s="87">
        <v>3.5899E-3</v>
      </c>
      <c r="E737" s="232">
        <v>1249395.6299999999</v>
      </c>
      <c r="F737" s="232">
        <v>1611126</v>
      </c>
      <c r="G737" s="232">
        <v>6747964</v>
      </c>
      <c r="H737" s="232"/>
      <c r="I737" s="233">
        <v>126783</v>
      </c>
      <c r="J737" s="233">
        <v>5913368</v>
      </c>
      <c r="K737" s="233">
        <v>462175</v>
      </c>
      <c r="L737" s="232">
        <v>0</v>
      </c>
      <c r="M737" s="232"/>
      <c r="N737" s="233">
        <v>236456</v>
      </c>
      <c r="O737" s="233">
        <v>2182593</v>
      </c>
      <c r="P737" s="233">
        <v>0</v>
      </c>
      <c r="Q737" s="232">
        <v>424125</v>
      </c>
      <c r="R737" s="233">
        <f t="shared" si="11"/>
        <v>3730775</v>
      </c>
      <c r="S737" s="232"/>
      <c r="T737" s="233">
        <v>1803632</v>
      </c>
      <c r="U737" s="234">
        <v>-139309</v>
      </c>
      <c r="V737" s="234">
        <v>1664322</v>
      </c>
    </row>
    <row r="738" spans="1:22">
      <c r="A738" s="227">
        <v>98013</v>
      </c>
      <c r="B738" s="228" t="s">
        <v>1448</v>
      </c>
      <c r="C738" s="87">
        <v>1.426E-4</v>
      </c>
      <c r="D738" s="87">
        <v>1.427E-4</v>
      </c>
      <c r="E738" s="232">
        <v>126822.16</v>
      </c>
      <c r="F738" s="232">
        <v>64043</v>
      </c>
      <c r="G738" s="232">
        <v>302645</v>
      </c>
      <c r="H738" s="232"/>
      <c r="I738" s="233">
        <v>5686</v>
      </c>
      <c r="J738" s="233">
        <v>265213</v>
      </c>
      <c r="K738" s="233">
        <v>20728</v>
      </c>
      <c r="L738" s="232">
        <v>97343</v>
      </c>
      <c r="M738" s="232"/>
      <c r="N738" s="233">
        <v>10605</v>
      </c>
      <c r="O738" s="233">
        <v>97889</v>
      </c>
      <c r="P738" s="233">
        <v>0</v>
      </c>
      <c r="Q738" s="232">
        <v>4167</v>
      </c>
      <c r="R738" s="233">
        <f t="shared" si="11"/>
        <v>167324</v>
      </c>
      <c r="S738" s="232"/>
      <c r="T738" s="233">
        <v>80893</v>
      </c>
      <c r="U738" s="234">
        <v>27256</v>
      </c>
      <c r="V738" s="234">
        <v>108149</v>
      </c>
    </row>
    <row r="739" spans="1:22">
      <c r="A739" s="227">
        <v>98021</v>
      </c>
      <c r="B739" s="228" t="s">
        <v>1449</v>
      </c>
      <c r="C739" s="87">
        <v>7.5099999999999996E-5</v>
      </c>
      <c r="D739" s="87">
        <v>7.4099999999999999E-5</v>
      </c>
      <c r="E739" s="232">
        <v>28245.75</v>
      </c>
      <c r="F739" s="232">
        <v>33256</v>
      </c>
      <c r="G739" s="232">
        <v>159387</v>
      </c>
      <c r="H739" s="232"/>
      <c r="I739" s="233">
        <v>2995</v>
      </c>
      <c r="J739" s="233">
        <v>139674</v>
      </c>
      <c r="K739" s="233">
        <v>10917</v>
      </c>
      <c r="L739" s="232">
        <v>20868</v>
      </c>
      <c r="M739" s="232"/>
      <c r="N739" s="233">
        <v>5585</v>
      </c>
      <c r="O739" s="233">
        <v>51553</v>
      </c>
      <c r="P739" s="233">
        <v>0</v>
      </c>
      <c r="Q739" s="232">
        <v>1894</v>
      </c>
      <c r="R739" s="233">
        <f t="shared" si="11"/>
        <v>88121</v>
      </c>
      <c r="S739" s="232"/>
      <c r="T739" s="233">
        <v>42602</v>
      </c>
      <c r="U739" s="234">
        <v>6826</v>
      </c>
      <c r="V739" s="234">
        <v>49428</v>
      </c>
    </row>
    <row r="740" spans="1:22">
      <c r="A740" s="227">
        <v>98023</v>
      </c>
      <c r="B740" s="228" t="s">
        <v>1450</v>
      </c>
      <c r="C740" s="87">
        <v>1.45E-5</v>
      </c>
      <c r="D740" s="87">
        <v>2.1500000000000001E-5</v>
      </c>
      <c r="E740" s="232">
        <v>6210.57</v>
      </c>
      <c r="F740" s="232">
        <v>9649</v>
      </c>
      <c r="G740" s="232">
        <v>30774</v>
      </c>
      <c r="H740" s="232"/>
      <c r="I740" s="233">
        <v>578.1875</v>
      </c>
      <c r="J740" s="233">
        <v>26968</v>
      </c>
      <c r="K740" s="233">
        <v>2108</v>
      </c>
      <c r="L740" s="232">
        <v>0</v>
      </c>
      <c r="M740" s="232"/>
      <c r="N740" s="233">
        <v>1078</v>
      </c>
      <c r="O740" s="233">
        <v>9954</v>
      </c>
      <c r="P740" s="233">
        <v>0</v>
      </c>
      <c r="Q740" s="232">
        <v>7858</v>
      </c>
      <c r="R740" s="233">
        <f t="shared" si="11"/>
        <v>17014</v>
      </c>
      <c r="S740" s="232"/>
      <c r="T740" s="233">
        <v>8225</v>
      </c>
      <c r="U740" s="234">
        <v>-2638</v>
      </c>
      <c r="V740" s="234">
        <v>5587</v>
      </c>
    </row>
    <row r="741" spans="1:22">
      <c r="A741" s="227">
        <v>98031</v>
      </c>
      <c r="B741" s="228" t="s">
        <v>1451</v>
      </c>
      <c r="C741" s="87">
        <v>1.5530000000000001E-4</v>
      </c>
      <c r="D741" s="87">
        <v>1.7009999999999999E-4</v>
      </c>
      <c r="E741" s="232">
        <v>66785.13</v>
      </c>
      <c r="F741" s="232">
        <v>76340</v>
      </c>
      <c r="G741" s="232">
        <v>329599</v>
      </c>
      <c r="H741" s="232"/>
      <c r="I741" s="233">
        <v>6193</v>
      </c>
      <c r="J741" s="233">
        <v>288833</v>
      </c>
      <c r="K741" s="233">
        <v>22575</v>
      </c>
      <c r="L741" s="232">
        <v>7207</v>
      </c>
      <c r="M741" s="232"/>
      <c r="N741" s="233">
        <v>11550</v>
      </c>
      <c r="O741" s="233">
        <v>106607</v>
      </c>
      <c r="P741" s="233">
        <v>0</v>
      </c>
      <c r="Q741" s="232">
        <v>8978</v>
      </c>
      <c r="R741" s="233">
        <f t="shared" si="11"/>
        <v>182226</v>
      </c>
      <c r="S741" s="232"/>
      <c r="T741" s="233">
        <v>88097</v>
      </c>
      <c r="U741" s="234">
        <v>-569</v>
      </c>
      <c r="V741" s="234">
        <v>87528</v>
      </c>
    </row>
    <row r="742" spans="1:22">
      <c r="A742" s="227">
        <v>98041</v>
      </c>
      <c r="B742" s="228" t="s">
        <v>1452</v>
      </c>
      <c r="C742" s="87">
        <v>1.6559999999999999E-4</v>
      </c>
      <c r="D742" s="87">
        <v>1.438E-4</v>
      </c>
      <c r="E742" s="232">
        <v>62577.35</v>
      </c>
      <c r="F742" s="232">
        <v>64537</v>
      </c>
      <c r="G742" s="232">
        <v>351459</v>
      </c>
      <c r="H742" s="232"/>
      <c r="I742" s="233">
        <v>6603</v>
      </c>
      <c r="J742" s="233">
        <v>307990</v>
      </c>
      <c r="K742" s="233">
        <v>24072</v>
      </c>
      <c r="L742" s="232">
        <v>7422</v>
      </c>
      <c r="M742" s="232"/>
      <c r="N742" s="233">
        <v>12316</v>
      </c>
      <c r="O742" s="233">
        <v>113677</v>
      </c>
      <c r="P742" s="233">
        <v>0</v>
      </c>
      <c r="Q742" s="232">
        <v>9673</v>
      </c>
      <c r="R742" s="233">
        <f t="shared" si="11"/>
        <v>194313</v>
      </c>
      <c r="S742" s="232"/>
      <c r="T742" s="233">
        <v>93940</v>
      </c>
      <c r="U742" s="234">
        <v>-1971</v>
      </c>
      <c r="V742" s="234">
        <v>91969</v>
      </c>
    </row>
    <row r="743" spans="1:22">
      <c r="A743" s="227">
        <v>98051</v>
      </c>
      <c r="B743" s="228" t="s">
        <v>1453</v>
      </c>
      <c r="C743" s="87">
        <v>3.0019999999999998E-4</v>
      </c>
      <c r="D743" s="87">
        <v>2.699E-4</v>
      </c>
      <c r="E743" s="232">
        <v>123086.21000000002</v>
      </c>
      <c r="F743" s="232">
        <v>121130</v>
      </c>
      <c r="G743" s="232">
        <v>637125</v>
      </c>
      <c r="H743" s="232"/>
      <c r="I743" s="233">
        <v>11970</v>
      </c>
      <c r="J743" s="233">
        <v>558325</v>
      </c>
      <c r="K743" s="233">
        <v>43637</v>
      </c>
      <c r="L743" s="232">
        <v>31222</v>
      </c>
      <c r="M743" s="232"/>
      <c r="N743" s="233">
        <v>22326</v>
      </c>
      <c r="O743" s="233">
        <v>206075</v>
      </c>
      <c r="P743" s="233">
        <v>0</v>
      </c>
      <c r="Q743" s="232">
        <v>229</v>
      </c>
      <c r="R743" s="233">
        <f t="shared" si="11"/>
        <v>352250</v>
      </c>
      <c r="S743" s="232"/>
      <c r="T743" s="233">
        <v>170294</v>
      </c>
      <c r="U743" s="234">
        <v>9416</v>
      </c>
      <c r="V743" s="234">
        <v>179711</v>
      </c>
    </row>
    <row r="744" spans="1:22">
      <c r="A744" s="227">
        <v>98061</v>
      </c>
      <c r="B744" s="228" t="s">
        <v>1454</v>
      </c>
      <c r="C744" s="87">
        <v>9.9099999999999996E-5</v>
      </c>
      <c r="D744" s="87">
        <v>1.3410000000000001E-4</v>
      </c>
      <c r="E744" s="232">
        <v>42535.31</v>
      </c>
      <c r="F744" s="232">
        <v>60183</v>
      </c>
      <c r="G744" s="232">
        <v>210323</v>
      </c>
      <c r="H744" s="232"/>
      <c r="I744" s="233">
        <v>3952</v>
      </c>
      <c r="J744" s="233">
        <v>184310</v>
      </c>
      <c r="K744" s="233">
        <v>14405</v>
      </c>
      <c r="L744" s="232">
        <v>0</v>
      </c>
      <c r="M744" s="232"/>
      <c r="N744" s="233">
        <v>7370</v>
      </c>
      <c r="O744" s="233">
        <v>68028</v>
      </c>
      <c r="P744" s="233">
        <v>0</v>
      </c>
      <c r="Q744" s="232">
        <v>24647</v>
      </c>
      <c r="R744" s="233">
        <f t="shared" si="11"/>
        <v>116282</v>
      </c>
      <c r="S744" s="232"/>
      <c r="T744" s="233">
        <v>56216</v>
      </c>
      <c r="U744" s="234">
        <v>-7215</v>
      </c>
      <c r="V744" s="234">
        <v>49002</v>
      </c>
    </row>
    <row r="745" spans="1:22">
      <c r="A745" s="227">
        <v>98071</v>
      </c>
      <c r="B745" s="228" t="s">
        <v>1455</v>
      </c>
      <c r="C745" s="87">
        <v>3.4400000000000003E-5</v>
      </c>
      <c r="D745" s="87">
        <v>3.2299999999999999E-5</v>
      </c>
      <c r="E745" s="232">
        <v>24294.65</v>
      </c>
      <c r="F745" s="232">
        <v>14496</v>
      </c>
      <c r="G745" s="232">
        <v>73008</v>
      </c>
      <c r="H745" s="232"/>
      <c r="I745" s="233">
        <v>1371.7</v>
      </c>
      <c r="J745" s="233">
        <v>63979</v>
      </c>
      <c r="K745" s="233">
        <v>5000</v>
      </c>
      <c r="L745" s="232">
        <v>9217</v>
      </c>
      <c r="M745" s="232"/>
      <c r="N745" s="233">
        <v>2558</v>
      </c>
      <c r="O745" s="233">
        <v>23614</v>
      </c>
      <c r="P745" s="233">
        <v>0</v>
      </c>
      <c r="Q745" s="232">
        <v>1859</v>
      </c>
      <c r="R745" s="233">
        <f t="shared" si="11"/>
        <v>40365</v>
      </c>
      <c r="S745" s="232"/>
      <c r="T745" s="233">
        <v>19514</v>
      </c>
      <c r="U745" s="234">
        <v>1734</v>
      </c>
      <c r="V745" s="234">
        <v>21248</v>
      </c>
    </row>
    <row r="746" spans="1:22">
      <c r="A746" s="227">
        <v>98081</v>
      </c>
      <c r="B746" s="228" t="s">
        <v>1456</v>
      </c>
      <c r="C746" s="87">
        <v>1.9400000000000001E-5</v>
      </c>
      <c r="D746" s="87">
        <v>2.0999999999999999E-5</v>
      </c>
      <c r="E746" s="232">
        <v>6798.0999999999995</v>
      </c>
      <c r="F746" s="232">
        <v>9425</v>
      </c>
      <c r="G746" s="232">
        <v>41173</v>
      </c>
      <c r="H746" s="232"/>
      <c r="I746" s="233">
        <v>773.57500000000005</v>
      </c>
      <c r="J746" s="233">
        <v>36081</v>
      </c>
      <c r="K746" s="233">
        <v>2820</v>
      </c>
      <c r="L746" s="232">
        <v>0</v>
      </c>
      <c r="M746" s="232"/>
      <c r="N746" s="233">
        <v>1443</v>
      </c>
      <c r="O746" s="233">
        <v>13317</v>
      </c>
      <c r="P746" s="233">
        <v>0</v>
      </c>
      <c r="Q746" s="232">
        <v>4336</v>
      </c>
      <c r="R746" s="233">
        <f t="shared" si="11"/>
        <v>22764</v>
      </c>
      <c r="S746" s="232"/>
      <c r="T746" s="233">
        <v>11005</v>
      </c>
      <c r="U746" s="234">
        <v>-1542</v>
      </c>
      <c r="V746" s="234">
        <v>9463</v>
      </c>
    </row>
    <row r="747" spans="1:22">
      <c r="A747" s="227">
        <v>98091</v>
      </c>
      <c r="B747" s="228" t="s">
        <v>1457</v>
      </c>
      <c r="C747" s="87">
        <v>5.0899999999999997E-5</v>
      </c>
      <c r="D747" s="87">
        <v>5.49E-5</v>
      </c>
      <c r="E747" s="232">
        <v>23937.15</v>
      </c>
      <c r="F747" s="232">
        <v>24639</v>
      </c>
      <c r="G747" s="232">
        <v>108027</v>
      </c>
      <c r="H747" s="232"/>
      <c r="I747" s="233">
        <v>2030</v>
      </c>
      <c r="J747" s="233">
        <v>94666</v>
      </c>
      <c r="K747" s="233">
        <v>7399</v>
      </c>
      <c r="L747" s="232">
        <v>1196</v>
      </c>
      <c r="M747" s="232"/>
      <c r="N747" s="233">
        <v>3785</v>
      </c>
      <c r="O747" s="233">
        <v>34941</v>
      </c>
      <c r="P747" s="233">
        <v>0</v>
      </c>
      <c r="Q747" s="232">
        <v>1622</v>
      </c>
      <c r="R747" s="233">
        <f t="shared" si="11"/>
        <v>59725</v>
      </c>
      <c r="S747" s="232"/>
      <c r="T747" s="233">
        <v>28874</v>
      </c>
      <c r="U747" s="234">
        <v>-412</v>
      </c>
      <c r="V747" s="234">
        <v>28462</v>
      </c>
    </row>
    <row r="748" spans="1:22">
      <c r="A748" s="227">
        <v>98101</v>
      </c>
      <c r="B748" s="228" t="s">
        <v>1458</v>
      </c>
      <c r="C748" s="87">
        <v>2.7642999999999999E-3</v>
      </c>
      <c r="D748" s="87">
        <v>2.7445E-3</v>
      </c>
      <c r="E748" s="232">
        <v>1093303.25</v>
      </c>
      <c r="F748" s="232">
        <v>1231715</v>
      </c>
      <c r="G748" s="232">
        <v>5866771</v>
      </c>
      <c r="H748" s="232"/>
      <c r="I748" s="233">
        <v>110226</v>
      </c>
      <c r="J748" s="233">
        <v>5141161</v>
      </c>
      <c r="K748" s="233">
        <v>401821</v>
      </c>
      <c r="L748" s="232">
        <v>61462</v>
      </c>
      <c r="M748" s="232"/>
      <c r="N748" s="233">
        <v>205578</v>
      </c>
      <c r="O748" s="233">
        <v>1897576</v>
      </c>
      <c r="P748" s="233">
        <v>0</v>
      </c>
      <c r="Q748" s="232">
        <v>23820</v>
      </c>
      <c r="R748" s="233">
        <f t="shared" si="11"/>
        <v>3243585</v>
      </c>
      <c r="S748" s="232"/>
      <c r="T748" s="233">
        <v>1568102</v>
      </c>
      <c r="U748" s="234">
        <v>17983</v>
      </c>
      <c r="V748" s="234">
        <v>1586085</v>
      </c>
    </row>
    <row r="749" spans="1:22">
      <c r="A749" s="227">
        <v>98102</v>
      </c>
      <c r="B749" s="228" t="s">
        <v>1459</v>
      </c>
      <c r="C749" s="87">
        <v>1.683E-4</v>
      </c>
      <c r="D749" s="87">
        <v>1.7259999999999999E-4</v>
      </c>
      <c r="E749" s="232">
        <v>69015.009999999995</v>
      </c>
      <c r="F749" s="232">
        <v>77462</v>
      </c>
      <c r="G749" s="232">
        <v>357189</v>
      </c>
      <c r="H749" s="232"/>
      <c r="I749" s="233">
        <v>6711</v>
      </c>
      <c r="J749" s="233">
        <v>313011</v>
      </c>
      <c r="K749" s="233">
        <v>24464</v>
      </c>
      <c r="L749" s="232">
        <v>0</v>
      </c>
      <c r="M749" s="232"/>
      <c r="N749" s="233">
        <v>12516</v>
      </c>
      <c r="O749" s="233">
        <v>115531</v>
      </c>
      <c r="P749" s="233">
        <v>0</v>
      </c>
      <c r="Q749" s="232">
        <v>10404</v>
      </c>
      <c r="R749" s="233">
        <f t="shared" si="11"/>
        <v>197480</v>
      </c>
      <c r="S749" s="232"/>
      <c r="T749" s="233">
        <v>95471</v>
      </c>
      <c r="U749" s="234">
        <v>-3682</v>
      </c>
      <c r="V749" s="234">
        <v>91789</v>
      </c>
    </row>
    <row r="750" spans="1:22">
      <c r="A750" s="227">
        <v>98103</v>
      </c>
      <c r="B750" s="228" t="s">
        <v>1460</v>
      </c>
      <c r="C750" s="87">
        <v>5.3600000000000002E-4</v>
      </c>
      <c r="D750" s="87">
        <v>5.7140000000000001E-4</v>
      </c>
      <c r="E750" s="232">
        <v>233081.03999999998</v>
      </c>
      <c r="F750" s="232">
        <v>256441</v>
      </c>
      <c r="G750" s="232">
        <v>1137571.56</v>
      </c>
      <c r="H750" s="232"/>
      <c r="I750" s="233">
        <v>21373</v>
      </c>
      <c r="J750" s="233">
        <v>996875</v>
      </c>
      <c r="K750" s="233">
        <v>77913</v>
      </c>
      <c r="L750" s="232">
        <v>0</v>
      </c>
      <c r="M750" s="232"/>
      <c r="N750" s="233">
        <v>39862</v>
      </c>
      <c r="O750" s="233">
        <v>367941</v>
      </c>
      <c r="P750" s="233">
        <v>0</v>
      </c>
      <c r="Q750" s="232">
        <v>46538</v>
      </c>
      <c r="R750" s="233">
        <f t="shared" si="11"/>
        <v>628934</v>
      </c>
      <c r="S750" s="232"/>
      <c r="T750" s="233">
        <v>304056</v>
      </c>
      <c r="U750" s="234">
        <v>-19483</v>
      </c>
      <c r="V750" s="234">
        <v>284573</v>
      </c>
    </row>
    <row r="751" spans="1:22">
      <c r="A751" s="227">
        <v>98107</v>
      </c>
      <c r="B751" s="228" t="s">
        <v>1461</v>
      </c>
      <c r="C751" s="87">
        <v>1.08E-5</v>
      </c>
      <c r="D751" s="87">
        <v>1.15E-5</v>
      </c>
      <c r="E751" s="232">
        <v>8651.6900000000023</v>
      </c>
      <c r="F751" s="232">
        <v>5161</v>
      </c>
      <c r="G751" s="232">
        <v>22921</v>
      </c>
      <c r="H751" s="232"/>
      <c r="I751" s="233">
        <v>430.65</v>
      </c>
      <c r="J751" s="233">
        <v>20086</v>
      </c>
      <c r="K751" s="233">
        <v>1570</v>
      </c>
      <c r="L751" s="232">
        <v>7420</v>
      </c>
      <c r="M751" s="232"/>
      <c r="N751" s="233">
        <v>803</v>
      </c>
      <c r="O751" s="233">
        <v>7414</v>
      </c>
      <c r="P751" s="233">
        <v>0</v>
      </c>
      <c r="Q751" s="232">
        <v>0</v>
      </c>
      <c r="R751" s="233">
        <f t="shared" si="11"/>
        <v>12672</v>
      </c>
      <c r="S751" s="232"/>
      <c r="T751" s="233">
        <v>6127</v>
      </c>
      <c r="U751" s="234">
        <v>2610</v>
      </c>
      <c r="V751" s="234">
        <v>8737</v>
      </c>
    </row>
    <row r="752" spans="1:22">
      <c r="A752" s="227">
        <v>98109</v>
      </c>
      <c r="B752" s="228" t="s">
        <v>1462</v>
      </c>
      <c r="C752" s="87">
        <v>1.4660000000000001E-4</v>
      </c>
      <c r="D752" s="87">
        <v>2.0680000000000001E-4</v>
      </c>
      <c r="E752" s="232">
        <v>66395.14</v>
      </c>
      <c r="F752" s="232">
        <v>92811</v>
      </c>
      <c r="G752" s="232">
        <v>311134</v>
      </c>
      <c r="H752" s="232"/>
      <c r="I752" s="233">
        <v>5846</v>
      </c>
      <c r="J752" s="233">
        <v>272653</v>
      </c>
      <c r="K752" s="233">
        <v>21310</v>
      </c>
      <c r="L752" s="232">
        <v>3018</v>
      </c>
      <c r="M752" s="232"/>
      <c r="N752" s="233">
        <v>10902</v>
      </c>
      <c r="O752" s="233">
        <v>100635</v>
      </c>
      <c r="P752" s="233">
        <v>0</v>
      </c>
      <c r="Q752" s="232">
        <v>35765</v>
      </c>
      <c r="R752" s="233">
        <f t="shared" si="11"/>
        <v>172018</v>
      </c>
      <c r="S752" s="232"/>
      <c r="T752" s="233">
        <v>83162</v>
      </c>
      <c r="U752" s="234">
        <v>-10144</v>
      </c>
      <c r="V752" s="234">
        <v>73018</v>
      </c>
    </row>
    <row r="753" spans="1:22">
      <c r="A753" s="227">
        <v>98111</v>
      </c>
      <c r="B753" s="228" t="s">
        <v>1463</v>
      </c>
      <c r="C753" s="87">
        <v>1.0191E-3</v>
      </c>
      <c r="D753" s="87">
        <v>1.0443E-3</v>
      </c>
      <c r="E753" s="232">
        <v>380230.60000000003</v>
      </c>
      <c r="F753" s="232">
        <v>468676</v>
      </c>
      <c r="G753" s="232">
        <v>2162872</v>
      </c>
      <c r="H753" s="232"/>
      <c r="I753" s="233">
        <v>40637</v>
      </c>
      <c r="J753" s="233">
        <v>1895365</v>
      </c>
      <c r="K753" s="233">
        <v>148137</v>
      </c>
      <c r="L753" s="232">
        <v>0</v>
      </c>
      <c r="M753" s="232"/>
      <c r="N753" s="233">
        <v>75789</v>
      </c>
      <c r="O753" s="233">
        <v>699569</v>
      </c>
      <c r="P753" s="233">
        <v>0</v>
      </c>
      <c r="Q753" s="232">
        <v>50975</v>
      </c>
      <c r="R753" s="233">
        <f t="shared" si="11"/>
        <v>1195796</v>
      </c>
      <c r="S753" s="232"/>
      <c r="T753" s="233">
        <v>578104</v>
      </c>
      <c r="U753" s="234">
        <v>-14078</v>
      </c>
      <c r="V753" s="234">
        <v>564026</v>
      </c>
    </row>
    <row r="754" spans="1:22">
      <c r="A754" s="227">
        <v>98113</v>
      </c>
      <c r="B754" s="228" t="s">
        <v>1464</v>
      </c>
      <c r="C754" s="87">
        <v>3.8999999999999999E-5</v>
      </c>
      <c r="D754" s="87">
        <v>4.1399999999999997E-5</v>
      </c>
      <c r="E754" s="232">
        <v>20070.23</v>
      </c>
      <c r="F754" s="232">
        <v>18580</v>
      </c>
      <c r="G754" s="232">
        <v>82771</v>
      </c>
      <c r="H754" s="232"/>
      <c r="I754" s="233">
        <v>1555.125</v>
      </c>
      <c r="J754" s="233">
        <v>72534</v>
      </c>
      <c r="K754" s="233">
        <v>5669</v>
      </c>
      <c r="L754" s="232">
        <v>8069</v>
      </c>
      <c r="M754" s="232"/>
      <c r="N754" s="233">
        <v>2900</v>
      </c>
      <c r="O754" s="233">
        <v>26772</v>
      </c>
      <c r="P754" s="233">
        <v>0</v>
      </c>
      <c r="Q754" s="232">
        <v>0</v>
      </c>
      <c r="R754" s="233">
        <f t="shared" si="11"/>
        <v>45762</v>
      </c>
      <c r="S754" s="232"/>
      <c r="T754" s="233">
        <v>22123</v>
      </c>
      <c r="U754" s="234">
        <v>2983</v>
      </c>
      <c r="V754" s="234">
        <v>25107</v>
      </c>
    </row>
    <row r="755" spans="1:22">
      <c r="A755" s="227">
        <v>98121</v>
      </c>
      <c r="B755" s="228" t="s">
        <v>1465</v>
      </c>
      <c r="C755" s="87">
        <v>2.2910000000000001E-4</v>
      </c>
      <c r="D755" s="87">
        <v>2.0689999999999999E-4</v>
      </c>
      <c r="E755" s="232">
        <v>79942.31</v>
      </c>
      <c r="F755" s="232">
        <v>92855</v>
      </c>
      <c r="G755" s="232">
        <v>486227</v>
      </c>
      <c r="H755" s="232"/>
      <c r="I755" s="233">
        <v>9135</v>
      </c>
      <c r="J755" s="233">
        <v>426090</v>
      </c>
      <c r="K755" s="233">
        <v>33302</v>
      </c>
      <c r="L755" s="232">
        <v>3951</v>
      </c>
      <c r="M755" s="232"/>
      <c r="N755" s="233">
        <v>17038</v>
      </c>
      <c r="O755" s="233">
        <v>157268</v>
      </c>
      <c r="P755" s="233">
        <v>0</v>
      </c>
      <c r="Q755" s="232">
        <v>6313</v>
      </c>
      <c r="R755" s="233">
        <f t="shared" si="11"/>
        <v>268822</v>
      </c>
      <c r="S755" s="232"/>
      <c r="T755" s="233">
        <v>129961</v>
      </c>
      <c r="U755" s="234">
        <v>-421</v>
      </c>
      <c r="V755" s="234">
        <v>129540</v>
      </c>
    </row>
    <row r="756" spans="1:22">
      <c r="A756" s="227">
        <v>98131</v>
      </c>
      <c r="B756" s="228" t="s">
        <v>1466</v>
      </c>
      <c r="C756" s="87">
        <v>2.9569999999999998E-4</v>
      </c>
      <c r="D756" s="87">
        <v>3.0610000000000001E-4</v>
      </c>
      <c r="E756" s="232">
        <v>112055.95999999999</v>
      </c>
      <c r="F756" s="232">
        <v>137376</v>
      </c>
      <c r="G756" s="232">
        <v>627574</v>
      </c>
      <c r="H756" s="232"/>
      <c r="I756" s="233">
        <v>11791</v>
      </c>
      <c r="J756" s="233">
        <v>549955</v>
      </c>
      <c r="K756" s="233">
        <v>42983</v>
      </c>
      <c r="L756" s="232">
        <v>0</v>
      </c>
      <c r="M756" s="232"/>
      <c r="N756" s="233">
        <v>21991</v>
      </c>
      <c r="O756" s="233">
        <v>202986</v>
      </c>
      <c r="P756" s="233">
        <v>0</v>
      </c>
      <c r="Q756" s="232">
        <v>44899</v>
      </c>
      <c r="R756" s="233">
        <f t="shared" si="11"/>
        <v>346969</v>
      </c>
      <c r="S756" s="232"/>
      <c r="T756" s="233">
        <v>167741</v>
      </c>
      <c r="U756" s="234">
        <v>-17153</v>
      </c>
      <c r="V756" s="234">
        <v>150589</v>
      </c>
    </row>
    <row r="757" spans="1:22">
      <c r="A757" s="227">
        <v>98141</v>
      </c>
      <c r="B757" s="228" t="s">
        <v>1467</v>
      </c>
      <c r="C757" s="87">
        <v>2.9030000000000001E-4</v>
      </c>
      <c r="D757" s="87">
        <v>3.033E-4</v>
      </c>
      <c r="E757" s="232">
        <v>104127.93999999997</v>
      </c>
      <c r="F757" s="232">
        <v>136119</v>
      </c>
      <c r="G757" s="232">
        <v>616114</v>
      </c>
      <c r="H757" s="232"/>
      <c r="I757" s="233">
        <v>11576</v>
      </c>
      <c r="J757" s="233">
        <v>539912</v>
      </c>
      <c r="K757" s="233">
        <v>42198</v>
      </c>
      <c r="L757" s="232">
        <v>1495</v>
      </c>
      <c r="M757" s="232"/>
      <c r="N757" s="233">
        <v>21589</v>
      </c>
      <c r="O757" s="233">
        <v>199279</v>
      </c>
      <c r="P757" s="233">
        <v>0</v>
      </c>
      <c r="Q757" s="232">
        <v>35601</v>
      </c>
      <c r="R757" s="233">
        <f t="shared" si="11"/>
        <v>340633</v>
      </c>
      <c r="S757" s="232"/>
      <c r="T757" s="233">
        <v>164678</v>
      </c>
      <c r="U757" s="234">
        <v>-12695</v>
      </c>
      <c r="V757" s="234">
        <v>151983</v>
      </c>
    </row>
    <row r="758" spans="1:22">
      <c r="A758" s="227">
        <v>98147</v>
      </c>
      <c r="B758" s="228" t="s">
        <v>1468</v>
      </c>
      <c r="C758" s="87">
        <v>1.29E-5</v>
      </c>
      <c r="D758" s="87">
        <v>1.03E-5</v>
      </c>
      <c r="E758" s="232">
        <v>8826.0300000000007</v>
      </c>
      <c r="F758" s="232">
        <v>4623</v>
      </c>
      <c r="G758" s="232">
        <v>27378</v>
      </c>
      <c r="H758" s="232"/>
      <c r="I758" s="233">
        <v>514</v>
      </c>
      <c r="J758" s="233">
        <v>23992</v>
      </c>
      <c r="K758" s="233">
        <v>1875</v>
      </c>
      <c r="L758" s="232">
        <v>7556</v>
      </c>
      <c r="M758" s="232"/>
      <c r="N758" s="233">
        <v>959</v>
      </c>
      <c r="O758" s="233">
        <v>8855</v>
      </c>
      <c r="P758" s="233">
        <v>0</v>
      </c>
      <c r="Q758" s="232">
        <v>0</v>
      </c>
      <c r="R758" s="233">
        <f t="shared" si="11"/>
        <v>15137</v>
      </c>
      <c r="S758" s="232"/>
      <c r="T758" s="233">
        <v>7318</v>
      </c>
      <c r="U758" s="234">
        <v>2501</v>
      </c>
      <c r="V758" s="234">
        <v>9819</v>
      </c>
    </row>
    <row r="759" spans="1:22">
      <c r="A759" s="227">
        <v>98161</v>
      </c>
      <c r="B759" s="228" t="s">
        <v>1469</v>
      </c>
      <c r="C759" s="87">
        <v>7.4000000000000003E-6</v>
      </c>
      <c r="D759" s="87">
        <v>7.6000000000000001E-6</v>
      </c>
      <c r="E759" s="232">
        <v>4425.3599999999988</v>
      </c>
      <c r="F759" s="232">
        <v>3411</v>
      </c>
      <c r="G759" s="232">
        <v>15705</v>
      </c>
      <c r="H759" s="232"/>
      <c r="I759" s="233">
        <v>295.07499999999999</v>
      </c>
      <c r="J759" s="233">
        <v>13763</v>
      </c>
      <c r="K759" s="233">
        <v>1076</v>
      </c>
      <c r="L759" s="232">
        <v>2152</v>
      </c>
      <c r="M759" s="232"/>
      <c r="N759" s="233">
        <v>550</v>
      </c>
      <c r="O759" s="233">
        <v>5080</v>
      </c>
      <c r="P759" s="233">
        <v>0</v>
      </c>
      <c r="Q759" s="232">
        <v>0</v>
      </c>
      <c r="R759" s="233">
        <f t="shared" si="11"/>
        <v>8683</v>
      </c>
      <c r="S759" s="232"/>
      <c r="T759" s="233">
        <v>4198</v>
      </c>
      <c r="U759" s="234">
        <v>752</v>
      </c>
      <c r="V759" s="234">
        <v>4950</v>
      </c>
    </row>
    <row r="760" spans="1:22">
      <c r="A760" s="227">
        <v>98201</v>
      </c>
      <c r="B760" s="228" t="s">
        <v>1470</v>
      </c>
      <c r="C760" s="87">
        <v>3.0368999999999999E-3</v>
      </c>
      <c r="D760" s="87">
        <v>3.0019999999999999E-3</v>
      </c>
      <c r="E760" s="232">
        <v>1202574.5</v>
      </c>
      <c r="F760" s="232">
        <v>1347280</v>
      </c>
      <c r="G760" s="232">
        <v>6445319</v>
      </c>
      <c r="H760" s="232"/>
      <c r="I760" s="233">
        <v>121096</v>
      </c>
      <c r="J760" s="233">
        <v>5648154</v>
      </c>
      <c r="K760" s="233">
        <v>441447</v>
      </c>
      <c r="L760" s="232">
        <v>0</v>
      </c>
      <c r="M760" s="232"/>
      <c r="N760" s="233">
        <v>225851</v>
      </c>
      <c r="O760" s="233">
        <v>2084704</v>
      </c>
      <c r="P760" s="233">
        <v>0</v>
      </c>
      <c r="Q760" s="232">
        <v>60876</v>
      </c>
      <c r="R760" s="233">
        <f t="shared" si="11"/>
        <v>3563450</v>
      </c>
      <c r="S760" s="232"/>
      <c r="T760" s="233">
        <v>1722739</v>
      </c>
      <c r="U760" s="234">
        <v>-21268</v>
      </c>
      <c r="V760" s="234">
        <v>1701471</v>
      </c>
    </row>
    <row r="761" spans="1:22">
      <c r="A761" s="227">
        <v>98205</v>
      </c>
      <c r="B761" s="228" t="s">
        <v>1471</v>
      </c>
      <c r="C761" s="87">
        <v>5.13E-5</v>
      </c>
      <c r="D761" s="87">
        <v>5.02E-5</v>
      </c>
      <c r="E761" s="232">
        <v>23399.709999999995</v>
      </c>
      <c r="F761" s="232">
        <v>22529</v>
      </c>
      <c r="G761" s="232">
        <v>108876</v>
      </c>
      <c r="H761" s="232"/>
      <c r="I761" s="233">
        <v>2046</v>
      </c>
      <c r="J761" s="233">
        <v>95410</v>
      </c>
      <c r="K761" s="233">
        <v>7457</v>
      </c>
      <c r="L761" s="232">
        <v>2803</v>
      </c>
      <c r="M761" s="232"/>
      <c r="N761" s="233">
        <v>3815</v>
      </c>
      <c r="O761" s="233">
        <v>35215</v>
      </c>
      <c r="P761" s="233">
        <v>0</v>
      </c>
      <c r="Q761" s="232">
        <v>1718</v>
      </c>
      <c r="R761" s="233">
        <f t="shared" si="11"/>
        <v>60195</v>
      </c>
      <c r="S761" s="232"/>
      <c r="T761" s="233">
        <v>29101</v>
      </c>
      <c r="U761" s="234">
        <v>209</v>
      </c>
      <c r="V761" s="234">
        <v>29310</v>
      </c>
    </row>
    <row r="762" spans="1:22">
      <c r="A762" s="227">
        <v>98211</v>
      </c>
      <c r="B762" s="228" t="s">
        <v>1472</v>
      </c>
      <c r="C762" s="87">
        <v>9.1609999999999999E-4</v>
      </c>
      <c r="D762" s="87">
        <v>9.4729999999999999E-4</v>
      </c>
      <c r="E762" s="232">
        <v>316266.55</v>
      </c>
      <c r="F762" s="232">
        <v>425143</v>
      </c>
      <c r="G762" s="232">
        <v>1944271</v>
      </c>
      <c r="H762" s="232"/>
      <c r="I762" s="233">
        <v>36529</v>
      </c>
      <c r="J762" s="233">
        <v>1703801</v>
      </c>
      <c r="K762" s="233">
        <v>133165</v>
      </c>
      <c r="L762" s="232">
        <v>0</v>
      </c>
      <c r="M762" s="232"/>
      <c r="N762" s="233">
        <v>68129</v>
      </c>
      <c r="O762" s="233">
        <v>628864</v>
      </c>
      <c r="P762" s="233">
        <v>0</v>
      </c>
      <c r="Q762" s="232">
        <v>112970</v>
      </c>
      <c r="R762" s="233">
        <f t="shared" si="11"/>
        <v>1074937</v>
      </c>
      <c r="S762" s="232"/>
      <c r="T762" s="233">
        <v>519675</v>
      </c>
      <c r="U762" s="234">
        <v>-35337</v>
      </c>
      <c r="V762" s="234">
        <v>484338</v>
      </c>
    </row>
    <row r="763" spans="1:22">
      <c r="A763" s="227">
        <v>98218</v>
      </c>
      <c r="B763" s="228" t="s">
        <v>1473</v>
      </c>
      <c r="C763" s="87">
        <v>1.0200000000000001E-5</v>
      </c>
      <c r="D763" s="87">
        <v>1.08E-5</v>
      </c>
      <c r="E763" s="232">
        <v>4407.67</v>
      </c>
      <c r="F763" s="232">
        <v>4847</v>
      </c>
      <c r="G763" s="232">
        <v>21648</v>
      </c>
      <c r="H763" s="232"/>
      <c r="I763" s="233">
        <v>406.72500000000002</v>
      </c>
      <c r="J763" s="233">
        <v>18970</v>
      </c>
      <c r="K763" s="233">
        <v>1483</v>
      </c>
      <c r="L763" s="232">
        <v>0</v>
      </c>
      <c r="M763" s="232"/>
      <c r="N763" s="233">
        <v>759</v>
      </c>
      <c r="O763" s="233">
        <v>7002</v>
      </c>
      <c r="P763" s="233">
        <v>0</v>
      </c>
      <c r="Q763" s="232">
        <v>1864</v>
      </c>
      <c r="R763" s="233">
        <f t="shared" si="11"/>
        <v>11968</v>
      </c>
      <c r="S763" s="232"/>
      <c r="T763" s="233">
        <v>5786</v>
      </c>
      <c r="U763" s="234">
        <v>-792</v>
      </c>
      <c r="V763" s="234">
        <v>4994</v>
      </c>
    </row>
    <row r="764" spans="1:22">
      <c r="A764" s="227">
        <v>98221</v>
      </c>
      <c r="B764" s="228" t="s">
        <v>1474</v>
      </c>
      <c r="C764" s="87">
        <v>1.6799999999999998E-5</v>
      </c>
      <c r="D764" s="87">
        <v>1.5999999999999999E-5</v>
      </c>
      <c r="E764" s="232">
        <v>9584.15</v>
      </c>
      <c r="F764" s="232">
        <v>7181</v>
      </c>
      <c r="G764" s="232">
        <v>35655</v>
      </c>
      <c r="H764" s="232"/>
      <c r="I764" s="233">
        <v>669.9</v>
      </c>
      <c r="J764" s="233">
        <v>31245</v>
      </c>
      <c r="K764" s="233">
        <v>2442</v>
      </c>
      <c r="L764" s="232">
        <v>3240</v>
      </c>
      <c r="M764" s="232"/>
      <c r="N764" s="233">
        <v>1249</v>
      </c>
      <c r="O764" s="233">
        <v>11532</v>
      </c>
      <c r="P764" s="233">
        <v>0</v>
      </c>
      <c r="Q764" s="232">
        <v>0</v>
      </c>
      <c r="R764" s="233">
        <f t="shared" si="11"/>
        <v>19713</v>
      </c>
      <c r="S764" s="232"/>
      <c r="T764" s="233">
        <v>9530</v>
      </c>
      <c r="U764" s="234">
        <v>905</v>
      </c>
      <c r="V764" s="234">
        <v>10435</v>
      </c>
    </row>
    <row r="765" spans="1:22">
      <c r="A765" s="227">
        <v>98231</v>
      </c>
      <c r="B765" s="228" t="s">
        <v>1475</v>
      </c>
      <c r="C765" s="87">
        <v>3.1999999999999999E-5</v>
      </c>
      <c r="D765" s="87">
        <v>3.7400000000000001E-5</v>
      </c>
      <c r="E765" s="232">
        <v>13931.16</v>
      </c>
      <c r="F765" s="232">
        <v>16785</v>
      </c>
      <c r="G765" s="232">
        <v>67914.720000000001</v>
      </c>
      <c r="H765" s="232"/>
      <c r="I765" s="233">
        <v>1276</v>
      </c>
      <c r="J765" s="233">
        <v>59515</v>
      </c>
      <c r="K765" s="233">
        <v>4652</v>
      </c>
      <c r="L765" s="232">
        <v>2641</v>
      </c>
      <c r="M765" s="232"/>
      <c r="N765" s="233">
        <v>2380</v>
      </c>
      <c r="O765" s="233">
        <v>21967</v>
      </c>
      <c r="P765" s="233">
        <v>0</v>
      </c>
      <c r="Q765" s="232">
        <v>7471</v>
      </c>
      <c r="R765" s="233">
        <f t="shared" si="11"/>
        <v>37548</v>
      </c>
      <c r="S765" s="232"/>
      <c r="T765" s="233">
        <v>18153</v>
      </c>
      <c r="U765" s="234">
        <v>-2254</v>
      </c>
      <c r="V765" s="234">
        <v>15898</v>
      </c>
    </row>
    <row r="766" spans="1:22">
      <c r="A766" s="227">
        <v>98237</v>
      </c>
      <c r="B766" s="228" t="s">
        <v>1476</v>
      </c>
      <c r="C766" s="87">
        <v>2.7E-6</v>
      </c>
      <c r="D766" s="87">
        <v>2.9000000000000002E-6</v>
      </c>
      <c r="E766" s="232">
        <v>2766.5699999999997</v>
      </c>
      <c r="F766" s="232">
        <v>1302</v>
      </c>
      <c r="G766" s="232">
        <v>5730</v>
      </c>
      <c r="H766" s="232"/>
      <c r="I766" s="233">
        <v>107.66249999999999</v>
      </c>
      <c r="J766" s="233">
        <v>5022</v>
      </c>
      <c r="K766" s="233">
        <v>392</v>
      </c>
      <c r="L766" s="232">
        <v>2342</v>
      </c>
      <c r="M766" s="232"/>
      <c r="N766" s="233">
        <v>201</v>
      </c>
      <c r="O766" s="233">
        <v>1853</v>
      </c>
      <c r="P766" s="233">
        <v>0</v>
      </c>
      <c r="Q766" s="232">
        <v>0</v>
      </c>
      <c r="R766" s="233">
        <f t="shared" si="11"/>
        <v>3169</v>
      </c>
      <c r="S766" s="232"/>
      <c r="T766" s="233">
        <v>1532</v>
      </c>
      <c r="U766" s="234">
        <v>795</v>
      </c>
      <c r="V766" s="234">
        <v>2326</v>
      </c>
    </row>
    <row r="767" spans="1:22">
      <c r="A767" s="227">
        <v>98241</v>
      </c>
      <c r="B767" s="228" t="s">
        <v>1477</v>
      </c>
      <c r="C767" s="87">
        <v>1.98E-5</v>
      </c>
      <c r="D767" s="87">
        <v>1.0200000000000001E-5</v>
      </c>
      <c r="E767" s="232">
        <v>7740.8499999999995</v>
      </c>
      <c r="F767" s="232">
        <v>4578</v>
      </c>
      <c r="G767" s="232">
        <v>42022</v>
      </c>
      <c r="H767" s="232"/>
      <c r="I767" s="233">
        <v>789.52499999999998</v>
      </c>
      <c r="J767" s="233">
        <v>36825</v>
      </c>
      <c r="K767" s="233">
        <v>2878</v>
      </c>
      <c r="L767" s="232">
        <v>8690</v>
      </c>
      <c r="M767" s="232"/>
      <c r="N767" s="233">
        <v>1473</v>
      </c>
      <c r="O767" s="233">
        <v>13592</v>
      </c>
      <c r="P767" s="233">
        <v>0</v>
      </c>
      <c r="Q767" s="232">
        <v>331</v>
      </c>
      <c r="R767" s="233">
        <f t="shared" si="11"/>
        <v>23233</v>
      </c>
      <c r="S767" s="232"/>
      <c r="T767" s="233">
        <v>11232</v>
      </c>
      <c r="U767" s="234">
        <v>3061</v>
      </c>
      <c r="V767" s="234">
        <v>14293</v>
      </c>
    </row>
    <row r="768" spans="1:22">
      <c r="A768" s="227">
        <v>98251</v>
      </c>
      <c r="B768" s="228" t="s">
        <v>1478</v>
      </c>
      <c r="C768" s="87">
        <v>3.1E-6</v>
      </c>
      <c r="D768" s="87">
        <v>3.1E-6</v>
      </c>
      <c r="E768" s="232">
        <v>1870.1600000000003</v>
      </c>
      <c r="F768" s="232">
        <v>1391</v>
      </c>
      <c r="G768" s="232">
        <v>6579</v>
      </c>
      <c r="H768" s="232"/>
      <c r="I768" s="233">
        <v>123.6125</v>
      </c>
      <c r="J768" s="233">
        <v>5766</v>
      </c>
      <c r="K768" s="233">
        <v>451</v>
      </c>
      <c r="L768" s="232">
        <v>1191</v>
      </c>
      <c r="M768" s="232"/>
      <c r="N768" s="233">
        <v>231</v>
      </c>
      <c r="O768" s="233">
        <v>2128</v>
      </c>
      <c r="P768" s="233">
        <v>0</v>
      </c>
      <c r="Q768" s="232">
        <v>0</v>
      </c>
      <c r="R768" s="233">
        <f t="shared" si="11"/>
        <v>3638</v>
      </c>
      <c r="S768" s="232"/>
      <c r="T768" s="233">
        <v>1759</v>
      </c>
      <c r="U768" s="234">
        <v>412</v>
      </c>
      <c r="V768" s="234">
        <v>2171</v>
      </c>
    </row>
    <row r="769" spans="1:22">
      <c r="A769" s="227">
        <v>98261</v>
      </c>
      <c r="B769" s="228" t="s">
        <v>1479</v>
      </c>
      <c r="C769" s="87">
        <v>2.97E-5</v>
      </c>
      <c r="D769" s="87">
        <v>4.3099999999999997E-5</v>
      </c>
      <c r="E769" s="232">
        <v>12989.23</v>
      </c>
      <c r="F769" s="232">
        <v>19343</v>
      </c>
      <c r="G769" s="232">
        <v>63033</v>
      </c>
      <c r="H769" s="232"/>
      <c r="I769" s="233">
        <v>1184</v>
      </c>
      <c r="J769" s="233">
        <v>55237</v>
      </c>
      <c r="K769" s="233">
        <v>4317</v>
      </c>
      <c r="L769" s="232">
        <v>4504</v>
      </c>
      <c r="M769" s="232"/>
      <c r="N769" s="233">
        <v>2209</v>
      </c>
      <c r="O769" s="233">
        <v>20388</v>
      </c>
      <c r="P769" s="233">
        <v>0</v>
      </c>
      <c r="Q769" s="232">
        <v>6643</v>
      </c>
      <c r="R769" s="233">
        <f t="shared" si="11"/>
        <v>34849</v>
      </c>
      <c r="S769" s="232"/>
      <c r="T769" s="233">
        <v>16848</v>
      </c>
      <c r="U769" s="234">
        <v>-118</v>
      </c>
      <c r="V769" s="234">
        <v>16730</v>
      </c>
    </row>
    <row r="770" spans="1:22">
      <c r="A770" s="227">
        <v>98271</v>
      </c>
      <c r="B770" s="228" t="s">
        <v>1480</v>
      </c>
      <c r="C770" s="87">
        <v>4.5000000000000001E-6</v>
      </c>
      <c r="D770" s="87">
        <v>3.4000000000000001E-6</v>
      </c>
      <c r="E770" s="232">
        <v>3055.2599999999998</v>
      </c>
      <c r="F770" s="232">
        <v>1526</v>
      </c>
      <c r="G770" s="232">
        <v>9551</v>
      </c>
      <c r="H770" s="232"/>
      <c r="I770" s="233">
        <v>179.4375</v>
      </c>
      <c r="J770" s="233">
        <v>8369</v>
      </c>
      <c r="K770" s="233">
        <v>654</v>
      </c>
      <c r="L770" s="232">
        <v>3951</v>
      </c>
      <c r="M770" s="232"/>
      <c r="N770" s="233">
        <v>335</v>
      </c>
      <c r="O770" s="233">
        <v>3089</v>
      </c>
      <c r="P770" s="233">
        <v>0</v>
      </c>
      <c r="Q770" s="232">
        <v>0</v>
      </c>
      <c r="R770" s="233">
        <f t="shared" si="11"/>
        <v>5280</v>
      </c>
      <c r="S770" s="232"/>
      <c r="T770" s="233">
        <v>2553</v>
      </c>
      <c r="U770" s="234">
        <v>1392</v>
      </c>
      <c r="V770" s="234">
        <v>3945</v>
      </c>
    </row>
    <row r="771" spans="1:22">
      <c r="A771" s="227">
        <v>98301</v>
      </c>
      <c r="B771" s="228" t="s">
        <v>1481</v>
      </c>
      <c r="C771" s="87">
        <v>1.7776999999999999E-3</v>
      </c>
      <c r="D771" s="87">
        <v>1.7478999999999999E-3</v>
      </c>
      <c r="E771" s="232">
        <v>735954.37000000011</v>
      </c>
      <c r="F771" s="232">
        <v>784447</v>
      </c>
      <c r="G771" s="232">
        <v>3772875</v>
      </c>
      <c r="H771" s="232"/>
      <c r="I771" s="233">
        <v>70886</v>
      </c>
      <c r="J771" s="233">
        <v>3306241</v>
      </c>
      <c r="K771" s="233">
        <v>258408</v>
      </c>
      <c r="L771" s="232">
        <v>76085</v>
      </c>
      <c r="M771" s="232"/>
      <c r="N771" s="233">
        <v>132206</v>
      </c>
      <c r="O771" s="233">
        <v>1220316</v>
      </c>
      <c r="P771" s="233">
        <v>0</v>
      </c>
      <c r="Q771" s="232">
        <v>15711</v>
      </c>
      <c r="R771" s="233">
        <f t="shared" si="11"/>
        <v>2085925</v>
      </c>
      <c r="S771" s="232"/>
      <c r="T771" s="233">
        <v>1008434</v>
      </c>
      <c r="U771" s="234">
        <v>17172</v>
      </c>
      <c r="V771" s="234">
        <v>1025606</v>
      </c>
    </row>
    <row r="772" spans="1:22">
      <c r="A772" s="227">
        <v>98304</v>
      </c>
      <c r="B772" s="228" t="s">
        <v>1482</v>
      </c>
      <c r="C772" s="87">
        <v>2.2900000000000001E-5</v>
      </c>
      <c r="D772" s="87">
        <v>2.4499999999999999E-5</v>
      </c>
      <c r="E772" s="232">
        <v>11385.829999999998</v>
      </c>
      <c r="F772" s="232">
        <v>10995</v>
      </c>
      <c r="G772" s="232">
        <v>48601</v>
      </c>
      <c r="H772" s="232"/>
      <c r="I772" s="233">
        <v>913.13750000000005</v>
      </c>
      <c r="J772" s="233">
        <v>42590</v>
      </c>
      <c r="K772" s="233">
        <v>3329</v>
      </c>
      <c r="L772" s="232">
        <v>1590</v>
      </c>
      <c r="M772" s="232"/>
      <c r="N772" s="233">
        <v>1703</v>
      </c>
      <c r="O772" s="233">
        <v>15720</v>
      </c>
      <c r="P772" s="233">
        <v>0</v>
      </c>
      <c r="Q772" s="232">
        <v>0</v>
      </c>
      <c r="R772" s="233">
        <f t="shared" si="11"/>
        <v>26870</v>
      </c>
      <c r="S772" s="232"/>
      <c r="T772" s="233">
        <v>12990</v>
      </c>
      <c r="U772" s="234">
        <v>514</v>
      </c>
      <c r="V772" s="234">
        <v>13504</v>
      </c>
    </row>
    <row r="773" spans="1:22">
      <c r="A773" s="227">
        <v>98308</v>
      </c>
      <c r="B773" s="228" t="s">
        <v>1483</v>
      </c>
      <c r="C773" s="87">
        <v>2.55E-5</v>
      </c>
      <c r="D773" s="87">
        <v>2.5000000000000001E-5</v>
      </c>
      <c r="E773" s="232">
        <v>13854.839999999998</v>
      </c>
      <c r="F773" s="232">
        <v>11219.85</v>
      </c>
      <c r="G773" s="232">
        <v>54120</v>
      </c>
      <c r="H773" s="232"/>
      <c r="I773" s="233">
        <v>1016.8125</v>
      </c>
      <c r="J773" s="233">
        <v>47426</v>
      </c>
      <c r="K773" s="233">
        <v>3707</v>
      </c>
      <c r="L773" s="232">
        <v>7689</v>
      </c>
      <c r="M773" s="232"/>
      <c r="N773" s="233">
        <v>1896</v>
      </c>
      <c r="O773" s="233">
        <v>17505</v>
      </c>
      <c r="P773" s="233">
        <v>0</v>
      </c>
      <c r="Q773" s="232">
        <v>0</v>
      </c>
      <c r="R773" s="233">
        <f t="shared" si="11"/>
        <v>29921</v>
      </c>
      <c r="S773" s="232"/>
      <c r="T773" s="233">
        <v>14465</v>
      </c>
      <c r="U773" s="234">
        <v>2796</v>
      </c>
      <c r="V773" s="234">
        <v>17261</v>
      </c>
    </row>
    <row r="774" spans="1:22">
      <c r="A774" s="227">
        <v>98311</v>
      </c>
      <c r="B774" s="228" t="s">
        <v>1484</v>
      </c>
      <c r="C774" s="87">
        <v>1.1441999999999999E-3</v>
      </c>
      <c r="D774" s="87">
        <v>1.1704E-3</v>
      </c>
      <c r="E774" s="232">
        <v>413994.32000000007</v>
      </c>
      <c r="F774" s="232">
        <v>525268</v>
      </c>
      <c r="G774" s="232">
        <v>2428376</v>
      </c>
      <c r="H774" s="232"/>
      <c r="I774" s="233">
        <v>45625</v>
      </c>
      <c r="J774" s="233">
        <v>2128031</v>
      </c>
      <c r="K774" s="233">
        <v>166322</v>
      </c>
      <c r="L774" s="232">
        <v>25434</v>
      </c>
      <c r="M774" s="232"/>
      <c r="N774" s="233">
        <v>85093</v>
      </c>
      <c r="O774" s="233">
        <v>785445</v>
      </c>
      <c r="P774" s="233">
        <v>0</v>
      </c>
      <c r="Q774" s="232">
        <v>70361</v>
      </c>
      <c r="R774" s="233">
        <f t="shared" si="11"/>
        <v>1342586</v>
      </c>
      <c r="S774" s="232"/>
      <c r="T774" s="233">
        <v>649069</v>
      </c>
      <c r="U774" s="234">
        <v>-6523</v>
      </c>
      <c r="V774" s="234">
        <v>642547</v>
      </c>
    </row>
    <row r="775" spans="1:22">
      <c r="A775" s="227">
        <v>98313</v>
      </c>
      <c r="B775" s="228" t="s">
        <v>1485</v>
      </c>
      <c r="C775" s="87">
        <v>2.4240000000000001E-4</v>
      </c>
      <c r="D775" s="87">
        <v>2.3589999999999999E-4</v>
      </c>
      <c r="E775" s="232">
        <v>227095.51</v>
      </c>
      <c r="F775" s="232">
        <v>105871</v>
      </c>
      <c r="G775" s="232">
        <v>514454</v>
      </c>
      <c r="H775" s="232"/>
      <c r="I775" s="233">
        <v>9666</v>
      </c>
      <c r="J775" s="233">
        <v>450826</v>
      </c>
      <c r="K775" s="233">
        <v>35236</v>
      </c>
      <c r="L775" s="232">
        <v>166298</v>
      </c>
      <c r="M775" s="232"/>
      <c r="N775" s="233">
        <v>18027</v>
      </c>
      <c r="O775" s="233">
        <v>166397</v>
      </c>
      <c r="P775" s="233">
        <v>0</v>
      </c>
      <c r="Q775" s="232">
        <v>119.4</v>
      </c>
      <c r="R775" s="233">
        <f t="shared" si="11"/>
        <v>284429</v>
      </c>
      <c r="S775" s="232"/>
      <c r="T775" s="233">
        <v>137506</v>
      </c>
      <c r="U775" s="234">
        <v>48906</v>
      </c>
      <c r="V775" s="234">
        <v>186412</v>
      </c>
    </row>
    <row r="776" spans="1:22">
      <c r="A776" s="227">
        <v>98321</v>
      </c>
      <c r="B776" s="228" t="s">
        <v>1486</v>
      </c>
      <c r="C776" s="87">
        <v>2.1399999999999998E-5</v>
      </c>
      <c r="D776" s="87">
        <v>2.9E-5</v>
      </c>
      <c r="E776" s="232">
        <v>9180.25</v>
      </c>
      <c r="F776" s="232">
        <v>13015</v>
      </c>
      <c r="G776" s="232">
        <v>45418</v>
      </c>
      <c r="H776" s="232"/>
      <c r="I776" s="233">
        <v>853</v>
      </c>
      <c r="J776" s="233">
        <v>39801</v>
      </c>
      <c r="K776" s="233">
        <v>3111</v>
      </c>
      <c r="L776" s="232">
        <v>3126</v>
      </c>
      <c r="M776" s="232"/>
      <c r="N776" s="233">
        <v>1591</v>
      </c>
      <c r="O776" s="233">
        <v>14690</v>
      </c>
      <c r="P776" s="233">
        <v>0</v>
      </c>
      <c r="Q776" s="232">
        <v>4186</v>
      </c>
      <c r="R776" s="233">
        <f t="shared" si="11"/>
        <v>25111</v>
      </c>
      <c r="S776" s="232"/>
      <c r="T776" s="233">
        <v>12140</v>
      </c>
      <c r="U776" s="234">
        <v>451</v>
      </c>
      <c r="V776" s="234">
        <v>12591</v>
      </c>
    </row>
    <row r="777" spans="1:22">
      <c r="A777" s="227">
        <v>98331</v>
      </c>
      <c r="B777" s="228" t="s">
        <v>1487</v>
      </c>
      <c r="C777" s="87">
        <v>1.03E-5</v>
      </c>
      <c r="D777" s="87">
        <v>9.7999999999999993E-6</v>
      </c>
      <c r="E777" s="232">
        <v>5903.22</v>
      </c>
      <c r="F777" s="232">
        <v>4398</v>
      </c>
      <c r="G777" s="232">
        <v>21860</v>
      </c>
      <c r="H777" s="232"/>
      <c r="I777" s="233">
        <v>410.71249999999998</v>
      </c>
      <c r="J777" s="233">
        <v>19156</v>
      </c>
      <c r="K777" s="233">
        <v>1497</v>
      </c>
      <c r="L777" s="232">
        <v>2778</v>
      </c>
      <c r="M777" s="232"/>
      <c r="N777" s="233">
        <v>766</v>
      </c>
      <c r="O777" s="233">
        <v>7071</v>
      </c>
      <c r="P777" s="233">
        <v>0</v>
      </c>
      <c r="Q777" s="232">
        <v>264.67</v>
      </c>
      <c r="R777" s="233">
        <f t="shared" ref="R777:R840" si="12">IF(J777&gt;O777,J777-O777,O777-J777)</f>
        <v>12085</v>
      </c>
      <c r="S777" s="232"/>
      <c r="T777" s="233">
        <v>5843</v>
      </c>
      <c r="U777" s="234">
        <v>700</v>
      </c>
      <c r="V777" s="234">
        <v>6542</v>
      </c>
    </row>
    <row r="778" spans="1:22">
      <c r="A778" s="227">
        <v>98401</v>
      </c>
      <c r="B778" s="228" t="s">
        <v>1488</v>
      </c>
      <c r="C778" s="87">
        <v>2.7567999999999998E-3</v>
      </c>
      <c r="D778" s="87">
        <v>2.8057999999999998E-3</v>
      </c>
      <c r="E778" s="232">
        <v>1156444.24</v>
      </c>
      <c r="F778" s="232">
        <v>1259226</v>
      </c>
      <c r="G778" s="232">
        <v>5850853</v>
      </c>
      <c r="H778" s="232"/>
      <c r="I778" s="233">
        <v>109927.4</v>
      </c>
      <c r="J778" s="233">
        <v>5127212</v>
      </c>
      <c r="K778" s="233">
        <v>400731</v>
      </c>
      <c r="L778" s="232">
        <v>92083</v>
      </c>
      <c r="M778" s="232"/>
      <c r="N778" s="233">
        <v>205020</v>
      </c>
      <c r="O778" s="233">
        <v>1892427</v>
      </c>
      <c r="P778" s="233">
        <v>0</v>
      </c>
      <c r="Q778" s="232">
        <v>8491</v>
      </c>
      <c r="R778" s="233">
        <f t="shared" si="12"/>
        <v>3234785</v>
      </c>
      <c r="S778" s="232"/>
      <c r="T778" s="233">
        <v>1563847</v>
      </c>
      <c r="U778" s="234">
        <v>31358</v>
      </c>
      <c r="V778" s="234">
        <v>1595205</v>
      </c>
    </row>
    <row r="779" spans="1:22">
      <c r="A779" s="227">
        <v>98411</v>
      </c>
      <c r="B779" s="228" t="s">
        <v>1490</v>
      </c>
      <c r="C779" s="87">
        <v>2.0076999999999998E-3</v>
      </c>
      <c r="D779" s="87">
        <v>1.9907000000000002E-3</v>
      </c>
      <c r="E779" s="232">
        <v>792048.89</v>
      </c>
      <c r="F779" s="232">
        <v>893414</v>
      </c>
      <c r="G779" s="232">
        <v>4261012</v>
      </c>
      <c r="H779" s="232"/>
      <c r="I779" s="233">
        <v>80057</v>
      </c>
      <c r="J779" s="233">
        <v>3734005</v>
      </c>
      <c r="K779" s="233">
        <v>291841</v>
      </c>
      <c r="L779" s="232">
        <v>8012</v>
      </c>
      <c r="M779" s="232"/>
      <c r="N779" s="233">
        <v>149311</v>
      </c>
      <c r="O779" s="233">
        <v>1378202</v>
      </c>
      <c r="P779" s="233">
        <v>0</v>
      </c>
      <c r="Q779" s="232">
        <v>35211</v>
      </c>
      <c r="R779" s="233">
        <f t="shared" si="12"/>
        <v>2355803</v>
      </c>
      <c r="S779" s="232"/>
      <c r="T779" s="233">
        <v>1138906</v>
      </c>
      <c r="U779" s="234">
        <v>-6790</v>
      </c>
      <c r="V779" s="234">
        <v>1132116</v>
      </c>
    </row>
    <row r="780" spans="1:22">
      <c r="A780" s="227">
        <v>98417</v>
      </c>
      <c r="B780" s="228" t="s">
        <v>1492</v>
      </c>
      <c r="C780" s="87">
        <v>2.4899999999999999E-5</v>
      </c>
      <c r="D780" s="87">
        <v>2.6400000000000001E-5</v>
      </c>
      <c r="E780" s="232">
        <v>12734.51</v>
      </c>
      <c r="F780" s="232">
        <v>11848</v>
      </c>
      <c r="G780" s="232">
        <v>52846</v>
      </c>
      <c r="H780" s="232"/>
      <c r="I780" s="233">
        <v>993</v>
      </c>
      <c r="J780" s="233">
        <v>46310</v>
      </c>
      <c r="K780" s="233">
        <v>3619</v>
      </c>
      <c r="L780" s="232">
        <v>1318</v>
      </c>
      <c r="M780" s="232"/>
      <c r="N780" s="233">
        <v>1852</v>
      </c>
      <c r="O780" s="233">
        <v>17093</v>
      </c>
      <c r="P780" s="233">
        <v>0</v>
      </c>
      <c r="Q780" s="232">
        <v>852</v>
      </c>
      <c r="R780" s="233">
        <f t="shared" si="12"/>
        <v>29217</v>
      </c>
      <c r="S780" s="232"/>
      <c r="T780" s="233">
        <v>14125</v>
      </c>
      <c r="U780" s="234">
        <v>-72</v>
      </c>
      <c r="V780" s="234">
        <v>14053</v>
      </c>
    </row>
    <row r="781" spans="1:22">
      <c r="A781" s="227">
        <v>98421</v>
      </c>
      <c r="B781" s="228" t="s">
        <v>1493</v>
      </c>
      <c r="C781" s="87">
        <v>1.0840000000000001E-4</v>
      </c>
      <c r="D781" s="87">
        <v>1.021E-4</v>
      </c>
      <c r="E781" s="232">
        <v>40835.009999999995</v>
      </c>
      <c r="F781" s="232">
        <v>45822</v>
      </c>
      <c r="G781" s="232">
        <v>230061</v>
      </c>
      <c r="H781" s="232"/>
      <c r="I781" s="233">
        <v>4322.45</v>
      </c>
      <c r="J781" s="233">
        <v>201607</v>
      </c>
      <c r="K781" s="233">
        <v>15757</v>
      </c>
      <c r="L781" s="232">
        <v>7887</v>
      </c>
      <c r="M781" s="232"/>
      <c r="N781" s="233">
        <v>8062</v>
      </c>
      <c r="O781" s="233">
        <v>74412</v>
      </c>
      <c r="P781" s="233">
        <v>0</v>
      </c>
      <c r="Q781" s="232">
        <v>1282</v>
      </c>
      <c r="R781" s="233">
        <f t="shared" si="12"/>
        <v>127195</v>
      </c>
      <c r="S781" s="232"/>
      <c r="T781" s="233">
        <v>61492</v>
      </c>
      <c r="U781" s="234">
        <v>2111</v>
      </c>
      <c r="V781" s="234">
        <v>63603</v>
      </c>
    </row>
    <row r="782" spans="1:22">
      <c r="A782" s="227">
        <v>98427</v>
      </c>
      <c r="B782" s="228" t="s">
        <v>1494</v>
      </c>
      <c r="C782" s="87">
        <v>4.6E-6</v>
      </c>
      <c r="D782" s="87">
        <v>5.2000000000000002E-6</v>
      </c>
      <c r="E782" s="232">
        <v>2927.04</v>
      </c>
      <c r="F782" s="232">
        <v>2334</v>
      </c>
      <c r="G782" s="232">
        <v>9763</v>
      </c>
      <c r="H782" s="232"/>
      <c r="I782" s="233">
        <v>183.42500000000001</v>
      </c>
      <c r="J782" s="233">
        <v>8555</v>
      </c>
      <c r="K782" s="233">
        <v>669</v>
      </c>
      <c r="L782" s="232">
        <v>946</v>
      </c>
      <c r="M782" s="232"/>
      <c r="N782" s="233">
        <v>342</v>
      </c>
      <c r="O782" s="233">
        <v>3158</v>
      </c>
      <c r="P782" s="233">
        <v>0</v>
      </c>
      <c r="Q782" s="232">
        <v>0</v>
      </c>
      <c r="R782" s="233">
        <f t="shared" si="12"/>
        <v>5397</v>
      </c>
      <c r="S782" s="232"/>
      <c r="T782" s="233">
        <v>2609</v>
      </c>
      <c r="U782" s="234">
        <v>309</v>
      </c>
      <c r="V782" s="234">
        <v>2918</v>
      </c>
    </row>
    <row r="783" spans="1:22">
      <c r="A783" s="227">
        <v>98431</v>
      </c>
      <c r="B783" s="228" t="s">
        <v>1495</v>
      </c>
      <c r="C783" s="87">
        <v>2.0010000000000001E-4</v>
      </c>
      <c r="D783" s="87">
        <v>2.0560000000000001E-4</v>
      </c>
      <c r="E783" s="232">
        <v>68368.560000000012</v>
      </c>
      <c r="F783" s="232">
        <v>92272</v>
      </c>
      <c r="G783" s="232">
        <v>424679</v>
      </c>
      <c r="H783" s="232"/>
      <c r="I783" s="233">
        <v>7979</v>
      </c>
      <c r="J783" s="233">
        <v>372154</v>
      </c>
      <c r="K783" s="233">
        <v>29087</v>
      </c>
      <c r="L783" s="232">
        <v>2505</v>
      </c>
      <c r="M783" s="232"/>
      <c r="N783" s="233">
        <v>14881</v>
      </c>
      <c r="O783" s="233">
        <v>137360</v>
      </c>
      <c r="P783" s="233">
        <v>0</v>
      </c>
      <c r="Q783" s="232">
        <v>22555</v>
      </c>
      <c r="R783" s="233">
        <f t="shared" si="12"/>
        <v>234794</v>
      </c>
      <c r="S783" s="232"/>
      <c r="T783" s="233">
        <v>113511</v>
      </c>
      <c r="U783" s="234">
        <v>-5398</v>
      </c>
      <c r="V783" s="234">
        <v>108113</v>
      </c>
    </row>
    <row r="784" spans="1:22">
      <c r="A784" s="227">
        <v>98441</v>
      </c>
      <c r="B784" s="228" t="s">
        <v>1496</v>
      </c>
      <c r="C784" s="87">
        <v>9.1000000000000003E-5</v>
      </c>
      <c r="D784" s="87">
        <v>1.039E-4</v>
      </c>
      <c r="E784" s="232">
        <v>33724.18</v>
      </c>
      <c r="F784" s="232">
        <v>46630</v>
      </c>
      <c r="G784" s="232">
        <v>193132</v>
      </c>
      <c r="H784" s="232"/>
      <c r="I784" s="233">
        <v>3628.625</v>
      </c>
      <c r="J784" s="233">
        <v>169246</v>
      </c>
      <c r="K784" s="233">
        <v>13228</v>
      </c>
      <c r="L784" s="232">
        <v>1146</v>
      </c>
      <c r="M784" s="232"/>
      <c r="N784" s="233">
        <v>6768</v>
      </c>
      <c r="O784" s="233">
        <v>62468</v>
      </c>
      <c r="P784" s="233">
        <v>0</v>
      </c>
      <c r="Q784" s="232">
        <v>21657</v>
      </c>
      <c r="R784" s="233">
        <f t="shared" si="12"/>
        <v>106778</v>
      </c>
      <c r="S784" s="232"/>
      <c r="T784" s="233">
        <v>51621</v>
      </c>
      <c r="U784" s="234">
        <v>-6156</v>
      </c>
      <c r="V784" s="234">
        <v>45466</v>
      </c>
    </row>
    <row r="785" spans="1:22">
      <c r="A785" s="227">
        <v>98451</v>
      </c>
      <c r="B785" s="228" t="s">
        <v>1497</v>
      </c>
      <c r="C785" s="87">
        <v>5.6199999999999997E-5</v>
      </c>
      <c r="D785" s="87">
        <v>6.0300000000000002E-5</v>
      </c>
      <c r="E785" s="232">
        <v>24172.809999999998</v>
      </c>
      <c r="F785" s="232">
        <v>27062</v>
      </c>
      <c r="G785" s="232">
        <v>119275</v>
      </c>
      <c r="H785" s="232"/>
      <c r="I785" s="233">
        <v>2240.9749999999999</v>
      </c>
      <c r="J785" s="233">
        <v>104523</v>
      </c>
      <c r="K785" s="233">
        <v>8169</v>
      </c>
      <c r="L785" s="232">
        <v>0</v>
      </c>
      <c r="M785" s="232"/>
      <c r="N785" s="233">
        <v>4180</v>
      </c>
      <c r="O785" s="233">
        <v>38579</v>
      </c>
      <c r="P785" s="233">
        <v>0</v>
      </c>
      <c r="Q785" s="232">
        <v>2135</v>
      </c>
      <c r="R785" s="233">
        <f t="shared" si="12"/>
        <v>65944</v>
      </c>
      <c r="S785" s="232"/>
      <c r="T785" s="233">
        <v>31881</v>
      </c>
      <c r="U785" s="234">
        <v>-657</v>
      </c>
      <c r="V785" s="234">
        <v>31223</v>
      </c>
    </row>
    <row r="786" spans="1:22">
      <c r="A786" s="227">
        <v>98481</v>
      </c>
      <c r="B786" s="228" t="s">
        <v>1498</v>
      </c>
      <c r="C786" s="87">
        <v>6.7700000000000006E-5</v>
      </c>
      <c r="D786" s="87">
        <v>6.2500000000000001E-5</v>
      </c>
      <c r="E786" s="232">
        <v>21741.83</v>
      </c>
      <c r="F786" s="232">
        <v>28049.625</v>
      </c>
      <c r="G786" s="232">
        <v>143682</v>
      </c>
      <c r="H786" s="232"/>
      <c r="I786" s="233">
        <v>2700</v>
      </c>
      <c r="J786" s="233">
        <v>125911</v>
      </c>
      <c r="K786" s="233">
        <v>9841</v>
      </c>
      <c r="L786" s="232">
        <v>3106</v>
      </c>
      <c r="M786" s="232"/>
      <c r="N786" s="233">
        <v>5035</v>
      </c>
      <c r="O786" s="233">
        <v>46473</v>
      </c>
      <c r="P786" s="233">
        <v>0</v>
      </c>
      <c r="Q786" s="232">
        <v>2045</v>
      </c>
      <c r="R786" s="233">
        <f t="shared" si="12"/>
        <v>79438</v>
      </c>
      <c r="S786" s="232"/>
      <c r="T786" s="233">
        <v>38404</v>
      </c>
      <c r="U786" s="234">
        <v>1029</v>
      </c>
      <c r="V786" s="234">
        <v>39434</v>
      </c>
    </row>
    <row r="787" spans="1:22">
      <c r="A787" s="227">
        <v>98501</v>
      </c>
      <c r="B787" s="228" t="s">
        <v>1499</v>
      </c>
      <c r="C787" s="87">
        <v>1.5690999999999999E-3</v>
      </c>
      <c r="D787" s="87">
        <v>1.5471E-3</v>
      </c>
      <c r="E787" s="232">
        <v>684836.9</v>
      </c>
      <c r="F787" s="232">
        <v>694329</v>
      </c>
      <c r="G787" s="232">
        <v>3330156</v>
      </c>
      <c r="H787" s="232"/>
      <c r="I787" s="233">
        <v>62568</v>
      </c>
      <c r="J787" s="233">
        <v>2918278</v>
      </c>
      <c r="K787" s="233">
        <v>228086</v>
      </c>
      <c r="L787" s="232">
        <v>44212</v>
      </c>
      <c r="M787" s="232"/>
      <c r="N787" s="233">
        <v>116692</v>
      </c>
      <c r="O787" s="233">
        <v>1077121</v>
      </c>
      <c r="P787" s="233">
        <v>0</v>
      </c>
      <c r="Q787" s="232">
        <v>5894</v>
      </c>
      <c r="R787" s="233">
        <f t="shared" si="12"/>
        <v>1841157</v>
      </c>
      <c r="S787" s="232"/>
      <c r="T787" s="233">
        <v>890102</v>
      </c>
      <c r="U787" s="234">
        <v>8576</v>
      </c>
      <c r="V787" s="234">
        <v>898678</v>
      </c>
    </row>
    <row r="788" spans="1:22">
      <c r="A788" s="227">
        <v>98511</v>
      </c>
      <c r="B788" s="228" t="s">
        <v>1500</v>
      </c>
      <c r="C788" s="87">
        <v>4.5800000000000002E-5</v>
      </c>
      <c r="D788" s="87">
        <v>3.96E-5</v>
      </c>
      <c r="E788" s="232">
        <v>20253.45</v>
      </c>
      <c r="F788" s="232">
        <v>17772</v>
      </c>
      <c r="G788" s="232">
        <v>97203</v>
      </c>
      <c r="H788" s="232"/>
      <c r="I788" s="233">
        <v>1826.2750000000001</v>
      </c>
      <c r="J788" s="233">
        <v>85181</v>
      </c>
      <c r="K788" s="233">
        <v>6658</v>
      </c>
      <c r="L788" s="232">
        <v>4485</v>
      </c>
      <c r="M788" s="232"/>
      <c r="N788" s="233">
        <v>3406</v>
      </c>
      <c r="O788" s="233">
        <v>31440</v>
      </c>
      <c r="P788" s="233">
        <v>0</v>
      </c>
      <c r="Q788" s="232">
        <v>23108</v>
      </c>
      <c r="R788" s="233">
        <f t="shared" si="12"/>
        <v>53741</v>
      </c>
      <c r="S788" s="232"/>
      <c r="T788" s="233">
        <v>25981</v>
      </c>
      <c r="U788" s="234">
        <v>-10027</v>
      </c>
      <c r="V788" s="234">
        <v>15954</v>
      </c>
    </row>
    <row r="789" spans="1:22">
      <c r="A789" s="227">
        <v>98517</v>
      </c>
      <c r="B789" s="228" t="s">
        <v>1501</v>
      </c>
      <c r="C789" s="87">
        <v>2.6000000000000001E-6</v>
      </c>
      <c r="D789" s="87">
        <v>3.3000000000000002E-6</v>
      </c>
      <c r="E789" s="232">
        <v>2175.1200000000003</v>
      </c>
      <c r="F789" s="232">
        <v>1481</v>
      </c>
      <c r="G789" s="232">
        <v>5518</v>
      </c>
      <c r="H789" s="232"/>
      <c r="I789" s="233">
        <v>103.675</v>
      </c>
      <c r="J789" s="233">
        <v>4836</v>
      </c>
      <c r="K789" s="233">
        <v>378</v>
      </c>
      <c r="L789" s="232">
        <v>1036</v>
      </c>
      <c r="M789" s="232"/>
      <c r="N789" s="233">
        <v>193</v>
      </c>
      <c r="O789" s="233">
        <v>1785</v>
      </c>
      <c r="P789" s="233">
        <v>0</v>
      </c>
      <c r="Q789" s="232">
        <v>0</v>
      </c>
      <c r="R789" s="233">
        <f t="shared" si="12"/>
        <v>3051</v>
      </c>
      <c r="S789" s="232"/>
      <c r="T789" s="233">
        <v>1475</v>
      </c>
      <c r="U789" s="234">
        <v>354</v>
      </c>
      <c r="V789" s="234">
        <v>1829</v>
      </c>
    </row>
    <row r="790" spans="1:22">
      <c r="A790" s="227">
        <v>98521</v>
      </c>
      <c r="B790" s="228" t="s">
        <v>1502</v>
      </c>
      <c r="C790" s="87">
        <v>5.7059999999999999E-4</v>
      </c>
      <c r="D790" s="87">
        <v>6.3980000000000005E-4</v>
      </c>
      <c r="E790" s="232">
        <v>223041.65999999997</v>
      </c>
      <c r="F790" s="232">
        <v>287138</v>
      </c>
      <c r="G790" s="232">
        <v>1211004</v>
      </c>
      <c r="H790" s="232"/>
      <c r="I790" s="233">
        <v>22753</v>
      </c>
      <c r="J790" s="233">
        <v>1061226</v>
      </c>
      <c r="K790" s="233">
        <v>82943</v>
      </c>
      <c r="L790" s="232">
        <v>0</v>
      </c>
      <c r="M790" s="232"/>
      <c r="N790" s="233">
        <v>42435</v>
      </c>
      <c r="O790" s="233">
        <v>391693</v>
      </c>
      <c r="P790" s="233">
        <v>0</v>
      </c>
      <c r="Q790" s="232">
        <v>62867</v>
      </c>
      <c r="R790" s="233">
        <f t="shared" si="12"/>
        <v>669533</v>
      </c>
      <c r="S790" s="232"/>
      <c r="T790" s="233">
        <v>323684</v>
      </c>
      <c r="U790" s="234">
        <v>-18900</v>
      </c>
      <c r="V790" s="234">
        <v>304784</v>
      </c>
    </row>
    <row r="791" spans="1:22">
      <c r="A791" s="227">
        <v>98601</v>
      </c>
      <c r="B791" s="228" t="s">
        <v>1503</v>
      </c>
      <c r="C791" s="87">
        <v>3.5065999999999999E-3</v>
      </c>
      <c r="D791" s="87">
        <v>3.3880999999999998E-3</v>
      </c>
      <c r="E791" s="232">
        <v>1331350.3999999999</v>
      </c>
      <c r="F791" s="232">
        <v>1520559</v>
      </c>
      <c r="G791" s="232">
        <v>7442180</v>
      </c>
      <c r="H791" s="232"/>
      <c r="I791" s="233">
        <v>139826</v>
      </c>
      <c r="J791" s="233">
        <v>6521722</v>
      </c>
      <c r="K791" s="233">
        <v>509723</v>
      </c>
      <c r="L791" s="232">
        <v>0</v>
      </c>
      <c r="M791" s="232"/>
      <c r="N791" s="233">
        <v>260782</v>
      </c>
      <c r="O791" s="233">
        <v>2407134</v>
      </c>
      <c r="P791" s="233">
        <v>0</v>
      </c>
      <c r="Q791" s="232">
        <v>160211</v>
      </c>
      <c r="R791" s="233">
        <f t="shared" si="12"/>
        <v>4114588</v>
      </c>
      <c r="S791" s="232"/>
      <c r="T791" s="233">
        <v>1989185</v>
      </c>
      <c r="U791" s="234">
        <v>-63543</v>
      </c>
      <c r="V791" s="234">
        <v>1925643</v>
      </c>
    </row>
    <row r="792" spans="1:22">
      <c r="A792" s="227">
        <v>98604</v>
      </c>
      <c r="B792" s="228" t="s">
        <v>1504</v>
      </c>
      <c r="C792" s="87">
        <v>1.59E-5</v>
      </c>
      <c r="D792" s="87">
        <v>0</v>
      </c>
      <c r="E792" s="232">
        <v>5853.5399999999991</v>
      </c>
      <c r="F792" s="232">
        <v>0</v>
      </c>
      <c r="G792" s="232">
        <v>33745</v>
      </c>
      <c r="H792" s="232"/>
      <c r="I792" s="233">
        <v>634</v>
      </c>
      <c r="J792" s="233">
        <v>29571</v>
      </c>
      <c r="K792" s="233">
        <v>2311</v>
      </c>
      <c r="L792" s="232">
        <v>8069</v>
      </c>
      <c r="M792" s="232"/>
      <c r="N792" s="233">
        <v>1182</v>
      </c>
      <c r="O792" s="233">
        <v>10915</v>
      </c>
      <c r="P792" s="233">
        <v>0</v>
      </c>
      <c r="Q792" s="232">
        <v>0</v>
      </c>
      <c r="R792" s="233">
        <f t="shared" si="12"/>
        <v>18656</v>
      </c>
      <c r="S792" s="232"/>
      <c r="T792" s="233">
        <v>9020</v>
      </c>
      <c r="U792" s="234">
        <v>2090</v>
      </c>
      <c r="V792" s="234">
        <v>11110</v>
      </c>
    </row>
    <row r="793" spans="1:22">
      <c r="A793" s="227">
        <v>98607</v>
      </c>
      <c r="B793" s="228" t="s">
        <v>1505</v>
      </c>
      <c r="C793" s="87">
        <v>5.9000000000000003E-6</v>
      </c>
      <c r="D793" s="87">
        <v>6.0000000000000002E-6</v>
      </c>
      <c r="E793" s="232">
        <v>2399.5499999999997</v>
      </c>
      <c r="F793" s="232">
        <v>2693</v>
      </c>
      <c r="G793" s="232">
        <v>12522</v>
      </c>
      <c r="H793" s="232"/>
      <c r="I793" s="233">
        <v>235</v>
      </c>
      <c r="J793" s="233">
        <v>10973</v>
      </c>
      <c r="K793" s="233">
        <v>858</v>
      </c>
      <c r="L793" s="232">
        <v>0</v>
      </c>
      <c r="M793" s="232"/>
      <c r="N793" s="233">
        <v>439</v>
      </c>
      <c r="O793" s="233">
        <v>4050</v>
      </c>
      <c r="P793" s="233">
        <v>0</v>
      </c>
      <c r="Q793" s="232">
        <v>2348</v>
      </c>
      <c r="R793" s="233">
        <f t="shared" si="12"/>
        <v>6923</v>
      </c>
      <c r="S793" s="232"/>
      <c r="T793" s="233">
        <v>3347</v>
      </c>
      <c r="U793" s="234">
        <v>-874</v>
      </c>
      <c r="V793" s="234">
        <v>2473</v>
      </c>
    </row>
    <row r="794" spans="1:22">
      <c r="A794" s="227">
        <v>98608</v>
      </c>
      <c r="B794" s="228" t="s">
        <v>1506</v>
      </c>
      <c r="C794" s="87">
        <v>4.2299999999999998E-5</v>
      </c>
      <c r="D794" s="87">
        <v>5.4500000000000003E-5</v>
      </c>
      <c r="E794" s="232">
        <v>16592.650000000001</v>
      </c>
      <c r="F794" s="232">
        <v>24459</v>
      </c>
      <c r="G794" s="232">
        <v>89775</v>
      </c>
      <c r="H794" s="232"/>
      <c r="I794" s="233">
        <v>1687</v>
      </c>
      <c r="J794" s="233">
        <v>78671</v>
      </c>
      <c r="K794" s="233">
        <v>6149</v>
      </c>
      <c r="L794" s="232">
        <v>6369</v>
      </c>
      <c r="M794" s="232"/>
      <c r="N794" s="233">
        <v>3146</v>
      </c>
      <c r="O794" s="233">
        <v>29037</v>
      </c>
      <c r="P794" s="233">
        <v>0</v>
      </c>
      <c r="Q794" s="232">
        <v>7247</v>
      </c>
      <c r="R794" s="233">
        <f t="shared" si="12"/>
        <v>49634</v>
      </c>
      <c r="S794" s="232"/>
      <c r="T794" s="233">
        <v>23995</v>
      </c>
      <c r="U794" s="234">
        <v>566</v>
      </c>
      <c r="V794" s="234">
        <v>24562</v>
      </c>
    </row>
    <row r="795" spans="1:22">
      <c r="A795" s="227">
        <v>98611</v>
      </c>
      <c r="B795" s="228" t="s">
        <v>1507</v>
      </c>
      <c r="C795" s="87">
        <v>8.6700000000000007E-5</v>
      </c>
      <c r="D795" s="87">
        <v>1.2129999999999999E-4</v>
      </c>
      <c r="E795" s="232">
        <v>43078.049999999996</v>
      </c>
      <c r="F795" s="232">
        <v>54439</v>
      </c>
      <c r="G795" s="232">
        <v>184006</v>
      </c>
      <c r="H795" s="232"/>
      <c r="I795" s="233">
        <v>3457</v>
      </c>
      <c r="J795" s="233">
        <v>161248</v>
      </c>
      <c r="K795" s="233">
        <v>12603</v>
      </c>
      <c r="L795" s="232">
        <v>4723</v>
      </c>
      <c r="M795" s="232"/>
      <c r="N795" s="233">
        <v>6448</v>
      </c>
      <c r="O795" s="233">
        <v>59516</v>
      </c>
      <c r="P795" s="233">
        <v>0</v>
      </c>
      <c r="Q795" s="232">
        <v>12848</v>
      </c>
      <c r="R795" s="233">
        <f t="shared" si="12"/>
        <v>101732</v>
      </c>
      <c r="S795" s="232"/>
      <c r="T795" s="233">
        <v>49182</v>
      </c>
      <c r="U795" s="234">
        <v>-1131</v>
      </c>
      <c r="V795" s="234">
        <v>48051</v>
      </c>
    </row>
    <row r="796" spans="1:22">
      <c r="A796" s="227">
        <v>98621</v>
      </c>
      <c r="B796" s="228" t="s">
        <v>1508</v>
      </c>
      <c r="C796" s="87">
        <v>1.3239999999999999E-4</v>
      </c>
      <c r="D796" s="87">
        <v>1.2740000000000001E-4</v>
      </c>
      <c r="E796" s="232">
        <v>45779.06</v>
      </c>
      <c r="F796" s="232">
        <v>57176</v>
      </c>
      <c r="G796" s="232">
        <v>280997</v>
      </c>
      <c r="H796" s="232"/>
      <c r="I796" s="233">
        <v>5279.45</v>
      </c>
      <c r="J796" s="233">
        <v>246243</v>
      </c>
      <c r="K796" s="233">
        <v>19246</v>
      </c>
      <c r="L796" s="232">
        <v>951</v>
      </c>
      <c r="M796" s="232"/>
      <c r="N796" s="233">
        <v>9846</v>
      </c>
      <c r="O796" s="233">
        <v>90887</v>
      </c>
      <c r="P796" s="233">
        <v>0</v>
      </c>
      <c r="Q796" s="232">
        <v>9470</v>
      </c>
      <c r="R796" s="233">
        <f t="shared" si="12"/>
        <v>155356</v>
      </c>
      <c r="S796" s="232"/>
      <c r="T796" s="233">
        <v>75106</v>
      </c>
      <c r="U796" s="234">
        <v>-2481</v>
      </c>
      <c r="V796" s="234">
        <v>72625</v>
      </c>
    </row>
    <row r="797" spans="1:22">
      <c r="A797" s="227">
        <v>98627</v>
      </c>
      <c r="B797" s="228" t="s">
        <v>1509</v>
      </c>
      <c r="C797" s="87">
        <v>9.3999999999999998E-6</v>
      </c>
      <c r="D797" s="87">
        <v>7.4000000000000003E-6</v>
      </c>
      <c r="E797" s="232">
        <v>3038.5200000000004</v>
      </c>
      <c r="F797" s="232">
        <v>3321</v>
      </c>
      <c r="G797" s="232">
        <v>19950</v>
      </c>
      <c r="H797" s="232"/>
      <c r="I797" s="233">
        <v>374.82499999999999</v>
      </c>
      <c r="J797" s="233">
        <v>17483</v>
      </c>
      <c r="K797" s="233">
        <v>1366</v>
      </c>
      <c r="L797" s="232">
        <v>426</v>
      </c>
      <c r="M797" s="232"/>
      <c r="N797" s="233">
        <v>699</v>
      </c>
      <c r="O797" s="233">
        <v>6453</v>
      </c>
      <c r="P797" s="233">
        <v>0</v>
      </c>
      <c r="Q797" s="232">
        <v>202</v>
      </c>
      <c r="R797" s="233">
        <f t="shared" si="12"/>
        <v>11030</v>
      </c>
      <c r="S797" s="232"/>
      <c r="T797" s="233">
        <v>5332</v>
      </c>
      <c r="U797" s="234">
        <v>25</v>
      </c>
      <c r="V797" s="234">
        <v>5357</v>
      </c>
    </row>
    <row r="798" spans="1:22">
      <c r="A798" s="227">
        <v>98631</v>
      </c>
      <c r="B798" s="228" t="s">
        <v>1510</v>
      </c>
      <c r="C798" s="87">
        <v>1.0415000000000001E-3</v>
      </c>
      <c r="D798" s="87">
        <v>1.1375000000000001E-3</v>
      </c>
      <c r="E798" s="232">
        <v>412487.07000000007</v>
      </c>
      <c r="F798" s="232">
        <v>510503</v>
      </c>
      <c r="G798" s="232">
        <v>2210412</v>
      </c>
      <c r="H798" s="232"/>
      <c r="I798" s="233">
        <v>41530</v>
      </c>
      <c r="J798" s="233">
        <v>1937025</v>
      </c>
      <c r="K798" s="233">
        <v>151393</v>
      </c>
      <c r="L798" s="232">
        <v>0</v>
      </c>
      <c r="M798" s="232"/>
      <c r="N798" s="233">
        <v>77455</v>
      </c>
      <c r="O798" s="233">
        <v>714946</v>
      </c>
      <c r="P798" s="233">
        <v>0</v>
      </c>
      <c r="Q798" s="232">
        <v>118586</v>
      </c>
      <c r="R798" s="233">
        <f t="shared" si="12"/>
        <v>1222079</v>
      </c>
      <c r="S798" s="232"/>
      <c r="T798" s="233">
        <v>590811</v>
      </c>
      <c r="U798" s="234">
        <v>-36690</v>
      </c>
      <c r="V798" s="234">
        <v>554121</v>
      </c>
    </row>
    <row r="799" spans="1:22">
      <c r="A799" s="227">
        <v>98637</v>
      </c>
      <c r="B799" s="228" t="s">
        <v>1511</v>
      </c>
      <c r="C799" s="87">
        <v>2.2200000000000001E-5</v>
      </c>
      <c r="D799" s="87">
        <v>2.3499999999999999E-5</v>
      </c>
      <c r="E799" s="232">
        <v>14029.520000000002</v>
      </c>
      <c r="F799" s="232">
        <v>10547</v>
      </c>
      <c r="G799" s="232">
        <v>47116</v>
      </c>
      <c r="H799" s="232"/>
      <c r="I799" s="233">
        <v>885.22500000000002</v>
      </c>
      <c r="J799" s="233">
        <v>41288</v>
      </c>
      <c r="K799" s="233">
        <v>3227</v>
      </c>
      <c r="L799" s="232">
        <v>6585</v>
      </c>
      <c r="M799" s="232"/>
      <c r="N799" s="233">
        <v>1651</v>
      </c>
      <c r="O799" s="233">
        <v>15239</v>
      </c>
      <c r="P799" s="233">
        <v>0</v>
      </c>
      <c r="Q799" s="232">
        <v>0</v>
      </c>
      <c r="R799" s="233">
        <f t="shared" si="12"/>
        <v>26049</v>
      </c>
      <c r="S799" s="232"/>
      <c r="T799" s="233">
        <v>12593</v>
      </c>
      <c r="U799" s="234">
        <v>2204</v>
      </c>
      <c r="V799" s="234">
        <v>14798</v>
      </c>
    </row>
    <row r="800" spans="1:22">
      <c r="A800" s="227">
        <v>98641</v>
      </c>
      <c r="B800" s="228" t="s">
        <v>1512</v>
      </c>
      <c r="C800" s="87">
        <v>3.0019999999999998E-4</v>
      </c>
      <c r="D800" s="87">
        <v>3.1819999999999998E-4</v>
      </c>
      <c r="E800" s="232">
        <v>122409.70999999999</v>
      </c>
      <c r="F800" s="232">
        <v>142806</v>
      </c>
      <c r="G800" s="232">
        <v>637125</v>
      </c>
      <c r="H800" s="232"/>
      <c r="I800" s="233">
        <v>11970</v>
      </c>
      <c r="J800" s="233">
        <v>558325</v>
      </c>
      <c r="K800" s="233">
        <v>43637</v>
      </c>
      <c r="L800" s="232">
        <v>4514</v>
      </c>
      <c r="M800" s="232"/>
      <c r="N800" s="233">
        <v>22326</v>
      </c>
      <c r="O800" s="233">
        <v>206075</v>
      </c>
      <c r="P800" s="233">
        <v>0</v>
      </c>
      <c r="Q800" s="232">
        <v>10581</v>
      </c>
      <c r="R800" s="233">
        <f t="shared" si="12"/>
        <v>352250</v>
      </c>
      <c r="S800" s="232"/>
      <c r="T800" s="233">
        <v>170294</v>
      </c>
      <c r="U800" s="234">
        <v>-473</v>
      </c>
      <c r="V800" s="234">
        <v>169821</v>
      </c>
    </row>
    <row r="801" spans="1:22">
      <c r="A801" s="227">
        <v>98647</v>
      </c>
      <c r="B801" s="228" t="s">
        <v>1620</v>
      </c>
      <c r="C801" s="87">
        <v>0</v>
      </c>
      <c r="D801" s="87">
        <v>1.24E-5</v>
      </c>
      <c r="E801" s="232">
        <v>0</v>
      </c>
      <c r="F801" s="232">
        <v>5565</v>
      </c>
      <c r="G801" s="232">
        <v>0</v>
      </c>
      <c r="H801" s="232"/>
      <c r="I801" s="233">
        <v>0</v>
      </c>
      <c r="J801" s="233">
        <v>0</v>
      </c>
      <c r="K801" s="233">
        <v>0</v>
      </c>
      <c r="L801" s="232">
        <v>4884</v>
      </c>
      <c r="M801" s="232"/>
      <c r="N801" s="233">
        <v>0</v>
      </c>
      <c r="O801" s="233">
        <v>0</v>
      </c>
      <c r="P801" s="233">
        <v>0</v>
      </c>
      <c r="Q801" s="232">
        <v>6717</v>
      </c>
      <c r="R801" s="233">
        <f t="shared" si="12"/>
        <v>0</v>
      </c>
      <c r="S801" s="232"/>
      <c r="T801" s="233">
        <v>0</v>
      </c>
      <c r="U801" s="234">
        <v>178</v>
      </c>
      <c r="V801" s="234">
        <v>178</v>
      </c>
    </row>
    <row r="802" spans="1:22">
      <c r="A802" s="227">
        <v>98701</v>
      </c>
      <c r="B802" s="228" t="s">
        <v>1513</v>
      </c>
      <c r="C802" s="87">
        <v>1.1793000000000001E-3</v>
      </c>
      <c r="D802" s="87">
        <v>1.0842E-3</v>
      </c>
      <c r="E802" s="232">
        <v>425946.13</v>
      </c>
      <c r="F802" s="232">
        <v>486582</v>
      </c>
      <c r="G802" s="232">
        <v>2502870</v>
      </c>
      <c r="H802" s="232"/>
      <c r="I802" s="233">
        <v>47025</v>
      </c>
      <c r="J802" s="233">
        <v>2193312</v>
      </c>
      <c r="K802" s="233">
        <v>171424</v>
      </c>
      <c r="L802" s="232">
        <v>4631</v>
      </c>
      <c r="M802" s="232"/>
      <c r="N802" s="233">
        <v>87703</v>
      </c>
      <c r="O802" s="233">
        <v>809540</v>
      </c>
      <c r="P802" s="233">
        <v>0</v>
      </c>
      <c r="Q802" s="232">
        <v>48875</v>
      </c>
      <c r="R802" s="233">
        <f t="shared" si="12"/>
        <v>1383772</v>
      </c>
      <c r="S802" s="232"/>
      <c r="T802" s="233">
        <v>668980</v>
      </c>
      <c r="U802" s="234">
        <v>-17040</v>
      </c>
      <c r="V802" s="234">
        <v>651940</v>
      </c>
    </row>
    <row r="803" spans="1:22">
      <c r="A803" s="227">
        <v>98711</v>
      </c>
      <c r="B803" s="228" t="s">
        <v>1514</v>
      </c>
      <c r="C803" s="87">
        <v>1.8039999999999999E-4</v>
      </c>
      <c r="D803" s="87">
        <v>1.7589999999999999E-4</v>
      </c>
      <c r="E803" s="232">
        <v>62579.819999999992</v>
      </c>
      <c r="F803" s="232">
        <v>78943</v>
      </c>
      <c r="G803" s="232">
        <v>382869</v>
      </c>
      <c r="H803" s="232"/>
      <c r="I803" s="233">
        <v>7193.45</v>
      </c>
      <c r="J803" s="233">
        <v>335515</v>
      </c>
      <c r="K803" s="233">
        <v>26223</v>
      </c>
      <c r="L803" s="232">
        <v>2488</v>
      </c>
      <c r="M803" s="232"/>
      <c r="N803" s="233">
        <v>13416</v>
      </c>
      <c r="O803" s="233">
        <v>123837</v>
      </c>
      <c r="P803" s="233">
        <v>0</v>
      </c>
      <c r="Q803" s="232">
        <v>10451</v>
      </c>
      <c r="R803" s="233">
        <f t="shared" si="12"/>
        <v>211678</v>
      </c>
      <c r="S803" s="232"/>
      <c r="T803" s="233">
        <v>102335</v>
      </c>
      <c r="U803" s="234">
        <v>-1808</v>
      </c>
      <c r="V803" s="234">
        <v>100527</v>
      </c>
    </row>
    <row r="804" spans="1:22">
      <c r="A804" s="227">
        <v>98717</v>
      </c>
      <c r="B804" s="228" t="s">
        <v>1515</v>
      </c>
      <c r="C804" s="87">
        <v>1.8600000000000001E-5</v>
      </c>
      <c r="D804" s="87">
        <v>1.98E-5</v>
      </c>
      <c r="E804" s="232">
        <v>7760.9400000000005</v>
      </c>
      <c r="F804" s="232">
        <v>8886</v>
      </c>
      <c r="G804" s="232">
        <v>39475</v>
      </c>
      <c r="H804" s="232"/>
      <c r="I804" s="233">
        <v>742</v>
      </c>
      <c r="J804" s="233">
        <v>34593</v>
      </c>
      <c r="K804" s="233">
        <v>2704</v>
      </c>
      <c r="L804" s="232">
        <v>783</v>
      </c>
      <c r="M804" s="232"/>
      <c r="N804" s="233">
        <v>1383</v>
      </c>
      <c r="O804" s="233">
        <v>12768</v>
      </c>
      <c r="P804" s="233">
        <v>0</v>
      </c>
      <c r="Q804" s="232">
        <v>798</v>
      </c>
      <c r="R804" s="233">
        <f t="shared" si="12"/>
        <v>21825</v>
      </c>
      <c r="S804" s="232"/>
      <c r="T804" s="233">
        <v>10551</v>
      </c>
      <c r="U804" s="234">
        <v>13</v>
      </c>
      <c r="V804" s="234">
        <v>10565</v>
      </c>
    </row>
    <row r="805" spans="1:22">
      <c r="A805" s="227">
        <v>98801</v>
      </c>
      <c r="B805" s="228" t="s">
        <v>1516</v>
      </c>
      <c r="C805" s="87">
        <v>2.1771999999999998E-3</v>
      </c>
      <c r="D805" s="87">
        <v>2.1686000000000001E-3</v>
      </c>
      <c r="E805" s="232">
        <v>916501.02000000014</v>
      </c>
      <c r="F805" s="232">
        <v>973255</v>
      </c>
      <c r="G805" s="232">
        <v>4620748</v>
      </c>
      <c r="H805" s="232"/>
      <c r="I805" s="233">
        <v>86816</v>
      </c>
      <c r="J805" s="233">
        <v>4049248</v>
      </c>
      <c r="K805" s="233">
        <v>316480</v>
      </c>
      <c r="L805" s="232">
        <v>92904</v>
      </c>
      <c r="M805" s="232"/>
      <c r="N805" s="233">
        <v>161916</v>
      </c>
      <c r="O805" s="233">
        <v>1494556</v>
      </c>
      <c r="P805" s="233">
        <v>0</v>
      </c>
      <c r="Q805" s="232">
        <v>0</v>
      </c>
      <c r="R805" s="233">
        <f t="shared" si="12"/>
        <v>2554692</v>
      </c>
      <c r="S805" s="232"/>
      <c r="T805" s="233">
        <v>1235058</v>
      </c>
      <c r="U805" s="234">
        <v>33821</v>
      </c>
      <c r="V805" s="234">
        <v>1268879</v>
      </c>
    </row>
    <row r="806" spans="1:22">
      <c r="A806" s="227">
        <v>98811</v>
      </c>
      <c r="B806" s="228" t="s">
        <v>1517</v>
      </c>
      <c r="C806" s="87">
        <v>7.1120000000000005E-4</v>
      </c>
      <c r="D806" s="87">
        <v>7.737E-4</v>
      </c>
      <c r="E806" s="232">
        <v>290528.34999999998</v>
      </c>
      <c r="F806" s="232">
        <v>347232</v>
      </c>
      <c r="G806" s="232">
        <v>1509405</v>
      </c>
      <c r="H806" s="232"/>
      <c r="I806" s="233">
        <v>28359</v>
      </c>
      <c r="J806" s="233">
        <v>1322720</v>
      </c>
      <c r="K806" s="233">
        <v>103381</v>
      </c>
      <c r="L806" s="232">
        <v>31001</v>
      </c>
      <c r="M806" s="232"/>
      <c r="N806" s="233">
        <v>52891</v>
      </c>
      <c r="O806" s="233">
        <v>488209</v>
      </c>
      <c r="P806" s="233">
        <v>0</v>
      </c>
      <c r="Q806" s="232">
        <v>35404</v>
      </c>
      <c r="R806" s="233">
        <f t="shared" si="12"/>
        <v>834511</v>
      </c>
      <c r="S806" s="232"/>
      <c r="T806" s="233">
        <v>403442</v>
      </c>
      <c r="U806" s="234">
        <v>4854</v>
      </c>
      <c r="V806" s="234">
        <v>408295</v>
      </c>
    </row>
    <row r="807" spans="1:22">
      <c r="A807" s="227">
        <v>98817</v>
      </c>
      <c r="B807" s="228" t="s">
        <v>1518</v>
      </c>
      <c r="C807" s="87">
        <v>2.34E-5</v>
      </c>
      <c r="D807" s="87">
        <v>2.6400000000000001E-5</v>
      </c>
      <c r="E807" s="232">
        <v>11958.25</v>
      </c>
      <c r="F807" s="232">
        <v>11848</v>
      </c>
      <c r="G807" s="232">
        <v>49663</v>
      </c>
      <c r="H807" s="232"/>
      <c r="I807" s="233">
        <v>933</v>
      </c>
      <c r="J807" s="233">
        <v>43520</v>
      </c>
      <c r="K807" s="233">
        <v>3401</v>
      </c>
      <c r="L807" s="232">
        <v>244</v>
      </c>
      <c r="M807" s="232"/>
      <c r="N807" s="233">
        <v>1740</v>
      </c>
      <c r="O807" s="233">
        <v>16063</v>
      </c>
      <c r="P807" s="233">
        <v>0</v>
      </c>
      <c r="Q807" s="232">
        <v>4380</v>
      </c>
      <c r="R807" s="233">
        <f t="shared" si="12"/>
        <v>27457</v>
      </c>
      <c r="S807" s="232"/>
      <c r="T807" s="233">
        <v>13274</v>
      </c>
      <c r="U807" s="234">
        <v>-2136</v>
      </c>
      <c r="V807" s="234">
        <v>11138</v>
      </c>
    </row>
    <row r="808" spans="1:22">
      <c r="A808" s="227">
        <v>98901</v>
      </c>
      <c r="B808" s="228" t="s">
        <v>1519</v>
      </c>
      <c r="C808" s="87">
        <v>3.392E-4</v>
      </c>
      <c r="D808" s="87">
        <v>3.4190000000000002E-4</v>
      </c>
      <c r="E808" s="232">
        <v>138120.55999999997</v>
      </c>
      <c r="F808" s="232">
        <v>153443</v>
      </c>
      <c r="G808" s="232">
        <v>719896</v>
      </c>
      <c r="H808" s="232"/>
      <c r="I808" s="233">
        <v>13525.6</v>
      </c>
      <c r="J808" s="233">
        <v>630858</v>
      </c>
      <c r="K808" s="233">
        <v>49306</v>
      </c>
      <c r="L808" s="232">
        <v>2099</v>
      </c>
      <c r="M808" s="232"/>
      <c r="N808" s="233">
        <v>25226</v>
      </c>
      <c r="O808" s="233">
        <v>232847</v>
      </c>
      <c r="P808" s="233">
        <v>0</v>
      </c>
      <c r="Q808" s="232">
        <v>3837</v>
      </c>
      <c r="R808" s="233">
        <f t="shared" si="12"/>
        <v>398011</v>
      </c>
      <c r="S808" s="232"/>
      <c r="T808" s="233">
        <v>192418</v>
      </c>
      <c r="U808" s="234">
        <v>-562</v>
      </c>
      <c r="V808" s="234">
        <v>191855</v>
      </c>
    </row>
    <row r="809" spans="1:22">
      <c r="A809" s="227">
        <v>98904</v>
      </c>
      <c r="B809" s="228" t="s">
        <v>1520</v>
      </c>
      <c r="C809" s="87">
        <v>5.2000000000000002E-6</v>
      </c>
      <c r="D809" s="87">
        <v>3.4000000000000001E-6</v>
      </c>
      <c r="E809" s="232">
        <v>0</v>
      </c>
      <c r="F809" s="232">
        <v>1526</v>
      </c>
      <c r="G809" s="232">
        <v>11036</v>
      </c>
      <c r="H809" s="232"/>
      <c r="I809" s="233">
        <v>207.35</v>
      </c>
      <c r="J809" s="233">
        <v>9671</v>
      </c>
      <c r="K809" s="233">
        <v>756</v>
      </c>
      <c r="L809" s="232">
        <v>575</v>
      </c>
      <c r="M809" s="232"/>
      <c r="N809" s="233">
        <v>387</v>
      </c>
      <c r="O809" s="233">
        <v>3570</v>
      </c>
      <c r="P809" s="233">
        <v>0</v>
      </c>
      <c r="Q809" s="232">
        <v>723</v>
      </c>
      <c r="R809" s="233">
        <f t="shared" si="12"/>
        <v>6101</v>
      </c>
      <c r="S809" s="232"/>
      <c r="T809" s="233">
        <v>2950</v>
      </c>
      <c r="U809" s="234">
        <v>22</v>
      </c>
      <c r="V809" s="234">
        <v>2972</v>
      </c>
    </row>
    <row r="810" spans="1:22">
      <c r="A810" s="227">
        <v>98911</v>
      </c>
      <c r="B810" s="228" t="s">
        <v>1521</v>
      </c>
      <c r="C810" s="87">
        <v>2.8600000000000001E-5</v>
      </c>
      <c r="D810" s="87">
        <v>2.5899999999999999E-5</v>
      </c>
      <c r="E810" s="232">
        <v>16745.140000000003</v>
      </c>
      <c r="F810" s="232">
        <v>11624</v>
      </c>
      <c r="G810" s="232">
        <v>60699</v>
      </c>
      <c r="H810" s="232"/>
      <c r="I810" s="233">
        <v>1140.425</v>
      </c>
      <c r="J810" s="233">
        <v>53191</v>
      </c>
      <c r="K810" s="233">
        <v>4157</v>
      </c>
      <c r="L810" s="232">
        <v>13795</v>
      </c>
      <c r="M810" s="232"/>
      <c r="N810" s="233">
        <v>2127</v>
      </c>
      <c r="O810" s="233">
        <v>19633</v>
      </c>
      <c r="P810" s="233">
        <v>0</v>
      </c>
      <c r="Q810" s="232">
        <v>0</v>
      </c>
      <c r="R810" s="233">
        <f t="shared" si="12"/>
        <v>33558</v>
      </c>
      <c r="S810" s="232"/>
      <c r="T810" s="233">
        <v>16224</v>
      </c>
      <c r="U810" s="234">
        <v>4655</v>
      </c>
      <c r="V810" s="234">
        <v>20879</v>
      </c>
    </row>
    <row r="811" spans="1:22">
      <c r="A811" s="227">
        <v>99001</v>
      </c>
      <c r="B811" s="228" t="s">
        <v>1522</v>
      </c>
      <c r="C811" s="87">
        <v>7.8098999999999998E-3</v>
      </c>
      <c r="D811" s="87">
        <v>7.5116999999999996E-3</v>
      </c>
      <c r="E811" s="232">
        <v>3132307.8499999996</v>
      </c>
      <c r="F811" s="232">
        <v>3371206</v>
      </c>
      <c r="G811" s="232">
        <v>16575224</v>
      </c>
      <c r="H811" s="232"/>
      <c r="I811" s="233">
        <v>311420</v>
      </c>
      <c r="J811" s="233">
        <v>14525180</v>
      </c>
      <c r="K811" s="233">
        <v>1135255</v>
      </c>
      <c r="L811" s="232">
        <v>444444</v>
      </c>
      <c r="M811" s="232"/>
      <c r="N811" s="233">
        <v>580814</v>
      </c>
      <c r="O811" s="233">
        <v>5361168</v>
      </c>
      <c r="P811" s="233">
        <v>0</v>
      </c>
      <c r="Q811" s="232">
        <v>0</v>
      </c>
      <c r="R811" s="233">
        <f t="shared" si="12"/>
        <v>9164012</v>
      </c>
      <c r="S811" s="232"/>
      <c r="T811" s="233">
        <v>4430314</v>
      </c>
      <c r="U811" s="234">
        <v>166582</v>
      </c>
      <c r="V811" s="234">
        <v>4596896</v>
      </c>
    </row>
    <row r="812" spans="1:22">
      <c r="A812" s="227">
        <v>99011</v>
      </c>
      <c r="B812" s="228" t="s">
        <v>1523</v>
      </c>
      <c r="C812" s="87">
        <v>3.9039000000000001E-3</v>
      </c>
      <c r="D812" s="87">
        <v>4.3128999999999997E-3</v>
      </c>
      <c r="E812" s="232">
        <v>1564249.0799999998</v>
      </c>
      <c r="F812" s="232">
        <v>1935604</v>
      </c>
      <c r="G812" s="232">
        <v>8285384</v>
      </c>
      <c r="H812" s="232"/>
      <c r="I812" s="233">
        <v>155668</v>
      </c>
      <c r="J812" s="233">
        <v>7260637</v>
      </c>
      <c r="K812" s="233">
        <v>567475</v>
      </c>
      <c r="L812" s="232">
        <v>0</v>
      </c>
      <c r="M812" s="232"/>
      <c r="N812" s="233">
        <v>290329</v>
      </c>
      <c r="O812" s="233">
        <v>2679863</v>
      </c>
      <c r="P812" s="233">
        <v>0</v>
      </c>
      <c r="Q812" s="232">
        <v>573396</v>
      </c>
      <c r="R812" s="233">
        <f t="shared" si="12"/>
        <v>4580774</v>
      </c>
      <c r="S812" s="232"/>
      <c r="T812" s="233">
        <v>2214561</v>
      </c>
      <c r="U812" s="234">
        <v>-205801</v>
      </c>
      <c r="V812" s="234">
        <v>2008761</v>
      </c>
    </row>
    <row r="813" spans="1:22">
      <c r="A813" s="227">
        <v>99013</v>
      </c>
      <c r="B813" s="228" t="s">
        <v>1524</v>
      </c>
      <c r="C813" s="87">
        <v>6.02E-5</v>
      </c>
      <c r="D813" s="87">
        <v>7.2299999999999996E-5</v>
      </c>
      <c r="E813" s="232">
        <v>23490.16</v>
      </c>
      <c r="F813" s="232">
        <v>32448</v>
      </c>
      <c r="G813" s="232">
        <v>127765</v>
      </c>
      <c r="H813" s="232"/>
      <c r="I813" s="233">
        <v>2400.4749999999999</v>
      </c>
      <c r="J813" s="233">
        <v>111962</v>
      </c>
      <c r="K813" s="233">
        <v>8751</v>
      </c>
      <c r="L813" s="232">
        <v>20</v>
      </c>
      <c r="M813" s="232"/>
      <c r="N813" s="233">
        <v>4477</v>
      </c>
      <c r="O813" s="233">
        <v>41325</v>
      </c>
      <c r="P813" s="233">
        <v>0</v>
      </c>
      <c r="Q813" s="232">
        <v>8750</v>
      </c>
      <c r="R813" s="233">
        <f t="shared" si="12"/>
        <v>70637</v>
      </c>
      <c r="S813" s="232"/>
      <c r="T813" s="233">
        <v>34150</v>
      </c>
      <c r="U813" s="234">
        <v>-2370</v>
      </c>
      <c r="V813" s="234">
        <v>31779</v>
      </c>
    </row>
    <row r="814" spans="1:22">
      <c r="A814" s="227">
        <v>99014</v>
      </c>
      <c r="B814" s="228" t="s">
        <v>1525</v>
      </c>
      <c r="C814" s="87">
        <v>2.4199999999999999E-5</v>
      </c>
      <c r="D814" s="87">
        <v>0</v>
      </c>
      <c r="E814" s="232">
        <v>13216.55</v>
      </c>
      <c r="F814" s="232">
        <v>0</v>
      </c>
      <c r="G814" s="232">
        <v>51361</v>
      </c>
      <c r="H814" s="232"/>
      <c r="I814" s="233">
        <v>965</v>
      </c>
      <c r="J814" s="233">
        <v>45008</v>
      </c>
      <c r="K814" s="233">
        <v>3518</v>
      </c>
      <c r="L814" s="232">
        <v>15702</v>
      </c>
      <c r="M814" s="232"/>
      <c r="N814" s="233">
        <v>1800</v>
      </c>
      <c r="O814" s="233">
        <v>16612</v>
      </c>
      <c r="P814" s="233">
        <v>0</v>
      </c>
      <c r="Q814" s="232">
        <v>0</v>
      </c>
      <c r="R814" s="233">
        <f t="shared" si="12"/>
        <v>28396</v>
      </c>
      <c r="S814" s="232"/>
      <c r="T814" s="233">
        <v>13728</v>
      </c>
      <c r="U814" s="234">
        <v>4068</v>
      </c>
      <c r="V814" s="234">
        <v>17796</v>
      </c>
    </row>
    <row r="815" spans="1:22">
      <c r="A815" s="227">
        <v>99017</v>
      </c>
      <c r="B815" s="228" t="s">
        <v>1526</v>
      </c>
      <c r="C815" s="87">
        <v>4.6999999999999997E-5</v>
      </c>
      <c r="D815" s="87">
        <v>4.1199999999999999E-5</v>
      </c>
      <c r="E815" s="232">
        <v>19640.829999999998</v>
      </c>
      <c r="F815" s="232">
        <v>18490</v>
      </c>
      <c r="G815" s="232">
        <v>99750</v>
      </c>
      <c r="H815" s="232"/>
      <c r="I815" s="233">
        <v>1874.125</v>
      </c>
      <c r="J815" s="233">
        <v>87413</v>
      </c>
      <c r="K815" s="233">
        <v>6832</v>
      </c>
      <c r="L815" s="232">
        <v>5674</v>
      </c>
      <c r="M815" s="232"/>
      <c r="N815" s="233">
        <v>3495</v>
      </c>
      <c r="O815" s="233">
        <v>32264</v>
      </c>
      <c r="P815" s="233">
        <v>0</v>
      </c>
      <c r="Q815" s="232">
        <v>6645</v>
      </c>
      <c r="R815" s="233">
        <f t="shared" si="12"/>
        <v>55149</v>
      </c>
      <c r="S815" s="232"/>
      <c r="T815" s="233">
        <v>26662</v>
      </c>
      <c r="U815" s="234">
        <v>-1651</v>
      </c>
      <c r="V815" s="234">
        <v>25011</v>
      </c>
    </row>
    <row r="816" spans="1:22">
      <c r="A816" s="227">
        <v>99021</v>
      </c>
      <c r="B816" s="228" t="s">
        <v>1527</v>
      </c>
      <c r="C816" s="87">
        <v>1.3420000000000001E-4</v>
      </c>
      <c r="D816" s="87">
        <v>1.3990000000000001E-4</v>
      </c>
      <c r="E816" s="232">
        <v>57840.069999999992</v>
      </c>
      <c r="F816" s="232">
        <v>62786</v>
      </c>
      <c r="G816" s="232">
        <v>284817</v>
      </c>
      <c r="H816" s="232"/>
      <c r="I816" s="233">
        <v>5351</v>
      </c>
      <c r="J816" s="233">
        <v>249591</v>
      </c>
      <c r="K816" s="233">
        <v>19507</v>
      </c>
      <c r="L816" s="232">
        <v>5869</v>
      </c>
      <c r="M816" s="232"/>
      <c r="N816" s="233">
        <v>9980</v>
      </c>
      <c r="O816" s="233">
        <v>92123</v>
      </c>
      <c r="P816" s="233">
        <v>0</v>
      </c>
      <c r="Q816" s="232">
        <v>982</v>
      </c>
      <c r="R816" s="233">
        <f t="shared" si="12"/>
        <v>157468</v>
      </c>
      <c r="S816" s="232"/>
      <c r="T816" s="233">
        <v>76127</v>
      </c>
      <c r="U816" s="234">
        <v>1992</v>
      </c>
      <c r="V816" s="234">
        <v>78120</v>
      </c>
    </row>
    <row r="817" spans="1:22">
      <c r="A817" s="227">
        <v>99022</v>
      </c>
      <c r="B817" s="228" t="s">
        <v>211</v>
      </c>
      <c r="C817" s="87">
        <v>1.1800000000000001E-5</v>
      </c>
      <c r="D817" s="87">
        <v>1.33E-5</v>
      </c>
      <c r="E817" s="232">
        <v>10517.039999999999</v>
      </c>
      <c r="F817" s="232">
        <v>5969</v>
      </c>
      <c r="G817" s="232">
        <v>25044</v>
      </c>
      <c r="H817" s="232"/>
      <c r="I817" s="233">
        <v>471</v>
      </c>
      <c r="J817" s="233">
        <v>21946</v>
      </c>
      <c r="K817" s="233">
        <v>1715</v>
      </c>
      <c r="L817" s="232">
        <v>6383</v>
      </c>
      <c r="M817" s="232"/>
      <c r="N817" s="233">
        <v>878</v>
      </c>
      <c r="O817" s="233">
        <v>8100</v>
      </c>
      <c r="P817" s="233">
        <v>0</v>
      </c>
      <c r="Q817" s="232">
        <v>264.67</v>
      </c>
      <c r="R817" s="233">
        <f t="shared" si="12"/>
        <v>13846</v>
      </c>
      <c r="S817" s="232"/>
      <c r="T817" s="233">
        <v>6694</v>
      </c>
      <c r="U817" s="234">
        <v>1778</v>
      </c>
      <c r="V817" s="234">
        <v>8472</v>
      </c>
    </row>
    <row r="818" spans="1:22">
      <c r="A818" s="227">
        <v>99031</v>
      </c>
      <c r="B818" s="228" t="s">
        <v>1528</v>
      </c>
      <c r="C818" s="87">
        <v>1.5970000000000001E-4</v>
      </c>
      <c r="D818" s="87">
        <v>1.2860000000000001E-4</v>
      </c>
      <c r="E818" s="232">
        <v>49298.680000000008</v>
      </c>
      <c r="F818" s="232">
        <v>57715</v>
      </c>
      <c r="G818" s="232">
        <v>338937</v>
      </c>
      <c r="H818" s="232"/>
      <c r="I818" s="233">
        <v>6368</v>
      </c>
      <c r="J818" s="233">
        <v>297017</v>
      </c>
      <c r="K818" s="233">
        <v>23214</v>
      </c>
      <c r="L818" s="232">
        <v>3840</v>
      </c>
      <c r="M818" s="232"/>
      <c r="N818" s="233">
        <v>11877</v>
      </c>
      <c r="O818" s="233">
        <v>109627</v>
      </c>
      <c r="P818" s="233">
        <v>0</v>
      </c>
      <c r="Q818" s="232">
        <v>20151</v>
      </c>
      <c r="R818" s="233">
        <f t="shared" si="12"/>
        <v>187390</v>
      </c>
      <c r="S818" s="232"/>
      <c r="T818" s="233">
        <v>90593</v>
      </c>
      <c r="U818" s="234">
        <v>-8432</v>
      </c>
      <c r="V818" s="234">
        <v>82161</v>
      </c>
    </row>
    <row r="819" spans="1:22">
      <c r="A819" s="227">
        <v>99041</v>
      </c>
      <c r="B819" s="228" t="s">
        <v>1529</v>
      </c>
      <c r="C819" s="87">
        <v>5.6289999999999997E-4</v>
      </c>
      <c r="D819" s="87">
        <v>5.0670000000000001E-4</v>
      </c>
      <c r="E819" s="232">
        <v>202619.00999999998</v>
      </c>
      <c r="F819" s="232">
        <v>227404</v>
      </c>
      <c r="G819" s="232">
        <v>1194662</v>
      </c>
      <c r="H819" s="232"/>
      <c r="I819" s="233">
        <v>22446</v>
      </c>
      <c r="J819" s="233">
        <v>1046905</v>
      </c>
      <c r="K819" s="233">
        <v>81824</v>
      </c>
      <c r="L819" s="232">
        <v>59009</v>
      </c>
      <c r="M819" s="232"/>
      <c r="N819" s="233">
        <v>41862</v>
      </c>
      <c r="O819" s="233">
        <v>386407</v>
      </c>
      <c r="P819" s="233">
        <v>0</v>
      </c>
      <c r="Q819" s="232">
        <v>0</v>
      </c>
      <c r="R819" s="233">
        <f t="shared" si="12"/>
        <v>660498</v>
      </c>
      <c r="S819" s="232"/>
      <c r="T819" s="233">
        <v>319316</v>
      </c>
      <c r="U819" s="234">
        <v>24415</v>
      </c>
      <c r="V819" s="234">
        <v>343731</v>
      </c>
    </row>
    <row r="820" spans="1:22">
      <c r="A820" s="227">
        <v>99047</v>
      </c>
      <c r="B820" s="228" t="s">
        <v>1530</v>
      </c>
      <c r="C820" s="87">
        <v>9.2E-6</v>
      </c>
      <c r="D820" s="87">
        <v>1.19E-5</v>
      </c>
      <c r="E820" s="232">
        <v>6482.9800000000005</v>
      </c>
      <c r="F820" s="232">
        <v>5341</v>
      </c>
      <c r="G820" s="232">
        <v>19525</v>
      </c>
      <c r="H820" s="232"/>
      <c r="I820" s="233">
        <v>366.85</v>
      </c>
      <c r="J820" s="233">
        <v>17111</v>
      </c>
      <c r="K820" s="233">
        <v>1337</v>
      </c>
      <c r="L820" s="232">
        <v>3322</v>
      </c>
      <c r="M820" s="232"/>
      <c r="N820" s="233">
        <v>684</v>
      </c>
      <c r="O820" s="233">
        <v>6315</v>
      </c>
      <c r="P820" s="233">
        <v>0</v>
      </c>
      <c r="Q820" s="232">
        <v>0</v>
      </c>
      <c r="R820" s="233">
        <f t="shared" si="12"/>
        <v>10796</v>
      </c>
      <c r="S820" s="232"/>
      <c r="T820" s="233">
        <v>5219</v>
      </c>
      <c r="U820" s="234">
        <v>1258</v>
      </c>
      <c r="V820" s="234">
        <v>6477</v>
      </c>
    </row>
    <row r="821" spans="1:22">
      <c r="A821" s="227">
        <v>99051</v>
      </c>
      <c r="B821" s="228" t="s">
        <v>1531</v>
      </c>
      <c r="C821" s="87">
        <v>3.3349999999999997E-4</v>
      </c>
      <c r="D821" s="87">
        <v>2.8449999999999998E-4</v>
      </c>
      <c r="E821" s="232">
        <v>116232.29000000001</v>
      </c>
      <c r="F821" s="232">
        <v>127682</v>
      </c>
      <c r="G821" s="232">
        <v>707799</v>
      </c>
      <c r="H821" s="232"/>
      <c r="I821" s="233">
        <v>13298</v>
      </c>
      <c r="J821" s="233">
        <v>620257</v>
      </c>
      <c r="K821" s="233">
        <v>48478</v>
      </c>
      <c r="L821" s="232">
        <v>16843</v>
      </c>
      <c r="M821" s="232"/>
      <c r="N821" s="233">
        <v>24802</v>
      </c>
      <c r="O821" s="233">
        <v>228934</v>
      </c>
      <c r="P821" s="233">
        <v>0</v>
      </c>
      <c r="Q821" s="232">
        <v>0</v>
      </c>
      <c r="R821" s="233">
        <f t="shared" si="12"/>
        <v>391323</v>
      </c>
      <c r="S821" s="232"/>
      <c r="T821" s="233">
        <v>189184</v>
      </c>
      <c r="U821" s="234">
        <v>5410</v>
      </c>
      <c r="V821" s="234">
        <v>194594</v>
      </c>
    </row>
    <row r="822" spans="1:22">
      <c r="A822" s="227">
        <v>99061</v>
      </c>
      <c r="B822" s="228" t="s">
        <v>1532</v>
      </c>
      <c r="C822" s="87">
        <v>8.3999999999999992E-6</v>
      </c>
      <c r="D822" s="87">
        <v>8.8000000000000004E-6</v>
      </c>
      <c r="E822" s="232">
        <v>7400.82</v>
      </c>
      <c r="F822" s="232">
        <v>3949</v>
      </c>
      <c r="G822" s="232">
        <v>17828</v>
      </c>
      <c r="H822" s="232"/>
      <c r="I822" s="233">
        <v>334.95</v>
      </c>
      <c r="J822" s="233">
        <v>15623</v>
      </c>
      <c r="K822" s="233">
        <v>1221</v>
      </c>
      <c r="L822" s="232">
        <v>6023</v>
      </c>
      <c r="M822" s="232"/>
      <c r="N822" s="233">
        <v>625</v>
      </c>
      <c r="O822" s="233">
        <v>5766</v>
      </c>
      <c r="P822" s="233">
        <v>0</v>
      </c>
      <c r="Q822" s="232">
        <v>0</v>
      </c>
      <c r="R822" s="233">
        <f t="shared" si="12"/>
        <v>9857</v>
      </c>
      <c r="S822" s="232"/>
      <c r="T822" s="233">
        <v>4765</v>
      </c>
      <c r="U822" s="234">
        <v>1888</v>
      </c>
      <c r="V822" s="234">
        <v>6653</v>
      </c>
    </row>
    <row r="823" spans="1:22">
      <c r="A823" s="227">
        <v>99071</v>
      </c>
      <c r="B823" s="228" t="s">
        <v>1533</v>
      </c>
      <c r="C823" s="87">
        <v>3.0499999999999999E-5</v>
      </c>
      <c r="D823" s="87">
        <v>3.9799999999999998E-5</v>
      </c>
      <c r="E823" s="232">
        <v>18014.939999999995</v>
      </c>
      <c r="F823" s="232">
        <v>17862</v>
      </c>
      <c r="G823" s="232">
        <v>64731</v>
      </c>
      <c r="H823" s="232"/>
      <c r="I823" s="233">
        <v>1216.1875</v>
      </c>
      <c r="J823" s="233">
        <v>56725</v>
      </c>
      <c r="K823" s="233">
        <v>4434</v>
      </c>
      <c r="L823" s="232">
        <v>0</v>
      </c>
      <c r="M823" s="232"/>
      <c r="N823" s="233">
        <v>2268</v>
      </c>
      <c r="O823" s="233">
        <v>20937</v>
      </c>
      <c r="P823" s="233">
        <v>0</v>
      </c>
      <c r="Q823" s="232">
        <v>3405</v>
      </c>
      <c r="R823" s="233">
        <f t="shared" si="12"/>
        <v>35788</v>
      </c>
      <c r="S823" s="232"/>
      <c r="T823" s="233">
        <v>17302</v>
      </c>
      <c r="U823" s="234">
        <v>-1312</v>
      </c>
      <c r="V823" s="234">
        <v>15990</v>
      </c>
    </row>
    <row r="824" spans="1:22">
      <c r="A824" s="227">
        <v>99081</v>
      </c>
      <c r="B824" s="228" t="s">
        <v>1534</v>
      </c>
      <c r="C824" s="87">
        <v>2.9600000000000001E-5</v>
      </c>
      <c r="D824" s="87">
        <v>3.6999999999999998E-5</v>
      </c>
      <c r="E824" s="232">
        <v>11739.53</v>
      </c>
      <c r="F824" s="232">
        <v>16605</v>
      </c>
      <c r="G824" s="232">
        <v>62821</v>
      </c>
      <c r="H824" s="232"/>
      <c r="I824" s="233">
        <v>1180.3</v>
      </c>
      <c r="J824" s="233">
        <v>55051</v>
      </c>
      <c r="K824" s="233">
        <v>4303</v>
      </c>
      <c r="L824" s="232">
        <v>5558</v>
      </c>
      <c r="M824" s="232"/>
      <c r="N824" s="233">
        <v>2201</v>
      </c>
      <c r="O824" s="233">
        <v>20319</v>
      </c>
      <c r="P824" s="233">
        <v>0</v>
      </c>
      <c r="Q824" s="232">
        <v>7640</v>
      </c>
      <c r="R824" s="233">
        <f t="shared" si="12"/>
        <v>34732</v>
      </c>
      <c r="S824" s="232"/>
      <c r="T824" s="233">
        <v>16791</v>
      </c>
      <c r="U824" s="234">
        <v>-809</v>
      </c>
      <c r="V824" s="234">
        <v>15982</v>
      </c>
    </row>
    <row r="825" spans="1:22">
      <c r="A825" s="227">
        <v>99091</v>
      </c>
      <c r="B825" s="228" t="s">
        <v>1535</v>
      </c>
      <c r="C825" s="87">
        <v>4.1999999999999996E-6</v>
      </c>
      <c r="D825" s="87">
        <v>4.7999999999999998E-6</v>
      </c>
      <c r="E825" s="232">
        <v>4170.01</v>
      </c>
      <c r="F825" s="232">
        <v>2154</v>
      </c>
      <c r="G825" s="232">
        <v>8914</v>
      </c>
      <c r="H825" s="232"/>
      <c r="I825" s="233">
        <v>167.47499999999999</v>
      </c>
      <c r="J825" s="233">
        <v>7811</v>
      </c>
      <c r="K825" s="233">
        <v>611</v>
      </c>
      <c r="L825" s="232">
        <v>2618</v>
      </c>
      <c r="M825" s="232"/>
      <c r="N825" s="233">
        <v>312</v>
      </c>
      <c r="O825" s="233">
        <v>2883</v>
      </c>
      <c r="P825" s="233">
        <v>0</v>
      </c>
      <c r="Q825" s="232">
        <v>6497.35</v>
      </c>
      <c r="R825" s="233">
        <f t="shared" si="12"/>
        <v>4928</v>
      </c>
      <c r="S825" s="232"/>
      <c r="T825" s="233">
        <v>2383</v>
      </c>
      <c r="U825" s="234">
        <v>-2491</v>
      </c>
      <c r="V825" s="234">
        <v>-108</v>
      </c>
    </row>
    <row r="826" spans="1:22">
      <c r="A826" s="227">
        <v>99101</v>
      </c>
      <c r="B826" s="228" t="s">
        <v>1536</v>
      </c>
      <c r="C826" s="87">
        <v>2.0087999999999998E-3</v>
      </c>
      <c r="D826" s="87">
        <v>2.026E-3</v>
      </c>
      <c r="E826" s="232">
        <v>792557.39</v>
      </c>
      <c r="F826" s="232">
        <v>909257</v>
      </c>
      <c r="G826" s="232">
        <v>4263347</v>
      </c>
      <c r="H826" s="232"/>
      <c r="I826" s="233">
        <v>80101</v>
      </c>
      <c r="J826" s="233">
        <v>3736051</v>
      </c>
      <c r="K826" s="233">
        <v>292001</v>
      </c>
      <c r="L826" s="232">
        <v>7868</v>
      </c>
      <c r="M826" s="232"/>
      <c r="N826" s="233">
        <v>149392</v>
      </c>
      <c r="O826" s="233">
        <v>1378957</v>
      </c>
      <c r="P826" s="233">
        <v>0</v>
      </c>
      <c r="Q826" s="232">
        <v>72656</v>
      </c>
      <c r="R826" s="233">
        <f t="shared" si="12"/>
        <v>2357094</v>
      </c>
      <c r="S826" s="232"/>
      <c r="T826" s="233">
        <v>1139530</v>
      </c>
      <c r="U826" s="234">
        <v>-24965</v>
      </c>
      <c r="V826" s="234">
        <v>1114565</v>
      </c>
    </row>
    <row r="827" spans="1:22">
      <c r="A827" s="227">
        <v>99104</v>
      </c>
      <c r="B827" s="228" t="s">
        <v>1537</v>
      </c>
      <c r="C827" s="87">
        <v>3.4799999999999999E-5</v>
      </c>
      <c r="D827" s="87">
        <v>2.55E-5</v>
      </c>
      <c r="E827" s="232">
        <v>18414.219999999998</v>
      </c>
      <c r="F827" s="232">
        <v>11444</v>
      </c>
      <c r="G827" s="232">
        <v>73857</v>
      </c>
      <c r="H827" s="232"/>
      <c r="I827" s="233">
        <v>1388</v>
      </c>
      <c r="J827" s="233">
        <v>64723</v>
      </c>
      <c r="K827" s="233">
        <v>5059</v>
      </c>
      <c r="L827" s="232">
        <v>14979</v>
      </c>
      <c r="M827" s="232"/>
      <c r="N827" s="233">
        <v>2588</v>
      </c>
      <c r="O827" s="233">
        <v>23889</v>
      </c>
      <c r="P827" s="233">
        <v>0</v>
      </c>
      <c r="Q827" s="232">
        <v>0</v>
      </c>
      <c r="R827" s="233">
        <f t="shared" si="12"/>
        <v>40834</v>
      </c>
      <c r="S827" s="232"/>
      <c r="T827" s="233">
        <v>19741</v>
      </c>
      <c r="U827" s="234">
        <v>4886</v>
      </c>
      <c r="V827" s="234">
        <v>24627</v>
      </c>
    </row>
    <row r="828" spans="1:22">
      <c r="A828" s="227">
        <v>99109</v>
      </c>
      <c r="B828" s="228" t="s">
        <v>1538</v>
      </c>
      <c r="C828" s="87">
        <v>1.1849999999999999E-4</v>
      </c>
      <c r="D828" s="87">
        <v>1.4129999999999999E-4</v>
      </c>
      <c r="E828" s="232">
        <v>48014.54</v>
      </c>
      <c r="F828" s="232">
        <v>63415</v>
      </c>
      <c r="G828" s="232">
        <v>251497</v>
      </c>
      <c r="H828" s="232"/>
      <c r="I828" s="233">
        <v>4725.1875</v>
      </c>
      <c r="J828" s="233">
        <v>220391</v>
      </c>
      <c r="K828" s="233">
        <v>17225</v>
      </c>
      <c r="L828" s="232">
        <v>5297</v>
      </c>
      <c r="M828" s="232"/>
      <c r="N828" s="233">
        <v>8813</v>
      </c>
      <c r="O828" s="233">
        <v>81345</v>
      </c>
      <c r="P828" s="233">
        <v>0</v>
      </c>
      <c r="Q828" s="232">
        <v>22236</v>
      </c>
      <c r="R828" s="233">
        <f t="shared" si="12"/>
        <v>139046</v>
      </c>
      <c r="S828" s="232"/>
      <c r="T828" s="233">
        <v>67221</v>
      </c>
      <c r="U828" s="234">
        <v>-6150</v>
      </c>
      <c r="V828" s="234">
        <v>61071</v>
      </c>
    </row>
    <row r="829" spans="1:22">
      <c r="A829" s="227">
        <v>99110</v>
      </c>
      <c r="B829" s="228" t="s">
        <v>1539</v>
      </c>
      <c r="C829" s="87">
        <v>1.8369999999999999E-4</v>
      </c>
      <c r="D829" s="87">
        <v>1.728E-4</v>
      </c>
      <c r="E829" s="232">
        <v>101917.56000000001</v>
      </c>
      <c r="F829" s="232">
        <v>77552</v>
      </c>
      <c r="G829" s="232">
        <v>389873</v>
      </c>
      <c r="H829" s="232"/>
      <c r="I829" s="233">
        <v>7325</v>
      </c>
      <c r="J829" s="233">
        <v>341653</v>
      </c>
      <c r="K829" s="233">
        <v>26703</v>
      </c>
      <c r="L829" s="232">
        <v>63672</v>
      </c>
      <c r="M829" s="232"/>
      <c r="N829" s="233">
        <v>13662</v>
      </c>
      <c r="O829" s="233">
        <v>126102</v>
      </c>
      <c r="P829" s="233">
        <v>0</v>
      </c>
      <c r="Q829" s="232">
        <v>0</v>
      </c>
      <c r="R829" s="233">
        <f t="shared" si="12"/>
        <v>215551</v>
      </c>
      <c r="S829" s="232"/>
      <c r="T829" s="233">
        <v>104207</v>
      </c>
      <c r="U829" s="234">
        <v>21007</v>
      </c>
      <c r="V829" s="234">
        <v>125214</v>
      </c>
    </row>
    <row r="830" spans="1:22">
      <c r="A830" s="227">
        <v>99111</v>
      </c>
      <c r="B830" s="228" t="s">
        <v>1540</v>
      </c>
      <c r="C830" s="87">
        <v>1.2757000000000001E-3</v>
      </c>
      <c r="D830" s="87">
        <v>1.3278000000000001E-3</v>
      </c>
      <c r="E830" s="232">
        <v>486450.51999999996</v>
      </c>
      <c r="F830" s="232">
        <v>595909</v>
      </c>
      <c r="G830" s="232">
        <v>2707463</v>
      </c>
      <c r="H830" s="232"/>
      <c r="I830" s="233">
        <v>50869</v>
      </c>
      <c r="J830" s="233">
        <v>2372600</v>
      </c>
      <c r="K830" s="233">
        <v>185437</v>
      </c>
      <c r="L830" s="232">
        <v>0</v>
      </c>
      <c r="M830" s="232"/>
      <c r="N830" s="233">
        <v>94873</v>
      </c>
      <c r="O830" s="233">
        <v>875714</v>
      </c>
      <c r="P830" s="233">
        <v>0</v>
      </c>
      <c r="Q830" s="232">
        <v>165116</v>
      </c>
      <c r="R830" s="233">
        <f t="shared" si="12"/>
        <v>1496886</v>
      </c>
      <c r="S830" s="232"/>
      <c r="T830" s="233">
        <v>723665</v>
      </c>
      <c r="U830" s="234">
        <v>-59086</v>
      </c>
      <c r="V830" s="234">
        <v>664579</v>
      </c>
    </row>
    <row r="831" spans="1:22">
      <c r="A831" s="227">
        <v>99201</v>
      </c>
      <c r="B831" s="228" t="s">
        <v>1541</v>
      </c>
      <c r="C831" s="87">
        <v>3.22145E-2</v>
      </c>
      <c r="D831" s="87">
        <v>3.0831399999999998E-2</v>
      </c>
      <c r="E831" s="232">
        <v>12898805.330000002</v>
      </c>
      <c r="F831" s="232">
        <v>13836947</v>
      </c>
      <c r="G831" s="232">
        <v>68369961</v>
      </c>
      <c r="H831" s="232"/>
      <c r="I831" s="233">
        <v>1284553</v>
      </c>
      <c r="J831" s="233">
        <v>59913880</v>
      </c>
      <c r="K831" s="233">
        <v>4682732</v>
      </c>
      <c r="L831" s="232">
        <v>1101849</v>
      </c>
      <c r="M831" s="232"/>
      <c r="N831" s="233">
        <v>2395760</v>
      </c>
      <c r="O831" s="233">
        <v>22113901</v>
      </c>
      <c r="P831" s="233">
        <v>0</v>
      </c>
      <c r="Q831" s="232">
        <v>485474</v>
      </c>
      <c r="R831" s="233">
        <f t="shared" si="12"/>
        <v>37799979</v>
      </c>
      <c r="S831" s="232"/>
      <c r="T831" s="233">
        <v>18274287</v>
      </c>
      <c r="U831" s="234">
        <v>101682</v>
      </c>
      <c r="V831" s="234">
        <v>18375969</v>
      </c>
    </row>
    <row r="832" spans="1:22">
      <c r="A832" s="227">
        <v>99202</v>
      </c>
      <c r="B832" s="228" t="s">
        <v>1542</v>
      </c>
      <c r="C832" s="87">
        <v>2.5138000000000001E-3</v>
      </c>
      <c r="D832" s="87">
        <v>2.6002999999999998E-3</v>
      </c>
      <c r="E832" s="232">
        <v>915265.74000000011</v>
      </c>
      <c r="F832" s="232">
        <v>1166999</v>
      </c>
      <c r="G832" s="232">
        <v>5335126</v>
      </c>
      <c r="H832" s="232"/>
      <c r="I832" s="233">
        <v>100238</v>
      </c>
      <c r="J832" s="233">
        <v>4675271</v>
      </c>
      <c r="K832" s="233">
        <v>365408</v>
      </c>
      <c r="L832" s="232">
        <v>0</v>
      </c>
      <c r="M832" s="232"/>
      <c r="N832" s="233">
        <v>186949</v>
      </c>
      <c r="O832" s="233">
        <v>1725618</v>
      </c>
      <c r="P832" s="233">
        <v>0</v>
      </c>
      <c r="Q832" s="232">
        <v>202410</v>
      </c>
      <c r="R832" s="233">
        <f t="shared" si="12"/>
        <v>2949653</v>
      </c>
      <c r="S832" s="232"/>
      <c r="T832" s="233">
        <v>1426001</v>
      </c>
      <c r="U832" s="234">
        <v>-62123</v>
      </c>
      <c r="V832" s="234">
        <v>1363878</v>
      </c>
    </row>
    <row r="833" spans="1:22">
      <c r="A833" s="227">
        <v>99203</v>
      </c>
      <c r="B833" s="228" t="s">
        <v>1543</v>
      </c>
      <c r="C833" s="87">
        <v>3.1990000000000002E-4</v>
      </c>
      <c r="D833" s="87">
        <v>2.5050000000000002E-4</v>
      </c>
      <c r="E833" s="232">
        <v>105117.04000000001</v>
      </c>
      <c r="F833" s="232">
        <v>112423</v>
      </c>
      <c r="G833" s="232">
        <v>678935</v>
      </c>
      <c r="H833" s="232"/>
      <c r="I833" s="233">
        <v>12756</v>
      </c>
      <c r="J833" s="233">
        <v>594963</v>
      </c>
      <c r="K833" s="233">
        <v>46501</v>
      </c>
      <c r="L833" s="232">
        <v>40829</v>
      </c>
      <c r="M833" s="232"/>
      <c r="N833" s="233">
        <v>23791</v>
      </c>
      <c r="O833" s="233">
        <v>219598</v>
      </c>
      <c r="P833" s="233">
        <v>0</v>
      </c>
      <c r="Q833" s="232">
        <v>0</v>
      </c>
      <c r="R833" s="233">
        <f t="shared" si="12"/>
        <v>375365</v>
      </c>
      <c r="S833" s="232"/>
      <c r="T833" s="233">
        <v>181469</v>
      </c>
      <c r="U833" s="234">
        <v>16396</v>
      </c>
      <c r="V833" s="234">
        <v>197865</v>
      </c>
    </row>
    <row r="834" spans="1:22">
      <c r="A834" s="227">
        <v>99204</v>
      </c>
      <c r="B834" s="228" t="s">
        <v>1544</v>
      </c>
      <c r="C834" s="87">
        <v>7.4910000000000005E-4</v>
      </c>
      <c r="D834" s="87">
        <v>6.5600000000000001E-4</v>
      </c>
      <c r="E834" s="232">
        <v>316209.94</v>
      </c>
      <c r="F834" s="232">
        <v>294409</v>
      </c>
      <c r="G834" s="232">
        <v>1589841</v>
      </c>
      <c r="H834" s="232"/>
      <c r="I834" s="233">
        <v>29870</v>
      </c>
      <c r="J834" s="233">
        <v>1393208</v>
      </c>
      <c r="K834" s="233">
        <v>108890</v>
      </c>
      <c r="L834" s="232">
        <v>82158</v>
      </c>
      <c r="M834" s="232"/>
      <c r="N834" s="233">
        <v>55710</v>
      </c>
      <c r="O834" s="233">
        <v>514226</v>
      </c>
      <c r="P834" s="233">
        <v>0</v>
      </c>
      <c r="Q834" s="232">
        <v>0</v>
      </c>
      <c r="R834" s="233">
        <f t="shared" si="12"/>
        <v>878982</v>
      </c>
      <c r="S834" s="232"/>
      <c r="T834" s="233">
        <v>424941</v>
      </c>
      <c r="U834" s="234">
        <v>24836</v>
      </c>
      <c r="V834" s="234">
        <v>449777</v>
      </c>
    </row>
    <row r="835" spans="1:22">
      <c r="A835" s="227">
        <v>99206</v>
      </c>
      <c r="B835" s="228" t="s">
        <v>1545</v>
      </c>
      <c r="C835" s="87">
        <v>1.6665E-3</v>
      </c>
      <c r="D835" s="87">
        <v>1.9373999999999999E-3</v>
      </c>
      <c r="E835" s="232">
        <v>1101168.54</v>
      </c>
      <c r="F835" s="232">
        <v>869493</v>
      </c>
      <c r="G835" s="232">
        <v>3536871</v>
      </c>
      <c r="H835" s="232"/>
      <c r="I835" s="233">
        <v>66452</v>
      </c>
      <c r="J835" s="233">
        <v>3099427</v>
      </c>
      <c r="K835" s="233">
        <v>242244</v>
      </c>
      <c r="L835" s="232">
        <v>400880</v>
      </c>
      <c r="M835" s="232"/>
      <c r="N835" s="233">
        <v>123936</v>
      </c>
      <c r="O835" s="233">
        <v>1143982</v>
      </c>
      <c r="P835" s="233">
        <v>0</v>
      </c>
      <c r="Q835" s="232">
        <v>13550</v>
      </c>
      <c r="R835" s="233">
        <f t="shared" si="12"/>
        <v>1955445</v>
      </c>
      <c r="S835" s="232"/>
      <c r="T835" s="233">
        <v>945354</v>
      </c>
      <c r="U835" s="234">
        <v>117813</v>
      </c>
      <c r="V835" s="234">
        <v>1063167</v>
      </c>
    </row>
    <row r="836" spans="1:22">
      <c r="A836" s="227">
        <v>99207</v>
      </c>
      <c r="B836" s="228" t="s">
        <v>1947</v>
      </c>
      <c r="C836" s="87">
        <v>1.3430000000000001E-4</v>
      </c>
      <c r="D836" s="87">
        <v>1.4320000000000001E-4</v>
      </c>
      <c r="E836" s="232">
        <v>122929.82</v>
      </c>
      <c r="F836" s="232">
        <v>64267</v>
      </c>
      <c r="G836" s="232">
        <v>285030</v>
      </c>
      <c r="H836" s="232"/>
      <c r="I836" s="233">
        <v>5355</v>
      </c>
      <c r="J836" s="233">
        <v>249777</v>
      </c>
      <c r="K836" s="233">
        <v>19522</v>
      </c>
      <c r="L836" s="232">
        <v>79584</v>
      </c>
      <c r="M836" s="232"/>
      <c r="N836" s="233">
        <v>9988</v>
      </c>
      <c r="O836" s="233">
        <v>92191</v>
      </c>
      <c r="P836" s="233">
        <v>0</v>
      </c>
      <c r="Q836" s="232">
        <v>0</v>
      </c>
      <c r="R836" s="233">
        <f t="shared" si="12"/>
        <v>157586</v>
      </c>
      <c r="S836" s="232"/>
      <c r="T836" s="233">
        <v>76184</v>
      </c>
      <c r="U836" s="234">
        <v>24293</v>
      </c>
      <c r="V836" s="234">
        <v>100477</v>
      </c>
    </row>
    <row r="837" spans="1:22">
      <c r="A837" s="227">
        <v>99208</v>
      </c>
      <c r="B837" s="228" t="s">
        <v>1547</v>
      </c>
      <c r="C837" s="87">
        <v>1.3669999999999999E-4</v>
      </c>
      <c r="D837" s="87">
        <v>1.774E-4</v>
      </c>
      <c r="E837" s="232">
        <v>46839.619999999995</v>
      </c>
      <c r="F837" s="232">
        <v>79616</v>
      </c>
      <c r="G837" s="232">
        <v>290123</v>
      </c>
      <c r="H837" s="232"/>
      <c r="I837" s="233">
        <v>5451</v>
      </c>
      <c r="J837" s="233">
        <v>254240</v>
      </c>
      <c r="K837" s="233">
        <v>19871</v>
      </c>
      <c r="L837" s="232">
        <v>0</v>
      </c>
      <c r="M837" s="232"/>
      <c r="N837" s="233">
        <v>10166</v>
      </c>
      <c r="O837" s="233">
        <v>93839</v>
      </c>
      <c r="P837" s="233">
        <v>0</v>
      </c>
      <c r="Q837" s="232">
        <v>57522</v>
      </c>
      <c r="R837" s="233">
        <f t="shared" si="12"/>
        <v>160401</v>
      </c>
      <c r="S837" s="232"/>
      <c r="T837" s="233">
        <v>77546</v>
      </c>
      <c r="U837" s="234">
        <v>-20235</v>
      </c>
      <c r="V837" s="234">
        <v>57311</v>
      </c>
    </row>
    <row r="838" spans="1:22">
      <c r="A838" s="227">
        <v>99210</v>
      </c>
      <c r="B838" s="228" t="s">
        <v>1548</v>
      </c>
      <c r="C838" s="87">
        <v>1.5945E-3</v>
      </c>
      <c r="D838" s="87">
        <v>1.6262E-3</v>
      </c>
      <c r="E838" s="232">
        <v>706575.50999999989</v>
      </c>
      <c r="F838" s="232">
        <v>729829</v>
      </c>
      <c r="G838" s="232">
        <v>3384063</v>
      </c>
      <c r="H838" s="232"/>
      <c r="I838" s="233">
        <v>63581</v>
      </c>
      <c r="J838" s="233">
        <v>2965518</v>
      </c>
      <c r="K838" s="233">
        <v>231778</v>
      </c>
      <c r="L838" s="232">
        <v>80869</v>
      </c>
      <c r="M838" s="232"/>
      <c r="N838" s="233">
        <v>118581</v>
      </c>
      <c r="O838" s="233">
        <v>1094557</v>
      </c>
      <c r="P838" s="233">
        <v>0</v>
      </c>
      <c r="Q838" s="232">
        <v>0</v>
      </c>
      <c r="R838" s="233">
        <f t="shared" si="12"/>
        <v>1870961</v>
      </c>
      <c r="S838" s="232"/>
      <c r="T838" s="233">
        <v>904510</v>
      </c>
      <c r="U838" s="234">
        <v>27611</v>
      </c>
      <c r="V838" s="234">
        <v>932122</v>
      </c>
    </row>
    <row r="839" spans="1:22">
      <c r="A839" s="227">
        <v>99211</v>
      </c>
      <c r="B839" s="228" t="s">
        <v>1549</v>
      </c>
      <c r="C839" s="87">
        <v>3.8233999999999997E-2</v>
      </c>
      <c r="D839" s="87">
        <v>3.7564199999999999E-2</v>
      </c>
      <c r="E839" s="232">
        <v>14152947.149999999</v>
      </c>
      <c r="F839" s="232">
        <v>16858588</v>
      </c>
      <c r="G839" s="232">
        <v>81145356</v>
      </c>
      <c r="H839" s="232"/>
      <c r="I839" s="233">
        <v>1524580.75</v>
      </c>
      <c r="J839" s="233">
        <v>71109199</v>
      </c>
      <c r="K839" s="233">
        <v>5557732</v>
      </c>
      <c r="L839" s="232">
        <v>0</v>
      </c>
      <c r="M839" s="232"/>
      <c r="N839" s="233">
        <v>2843424</v>
      </c>
      <c r="O839" s="233">
        <v>26246035</v>
      </c>
      <c r="P839" s="233">
        <v>0</v>
      </c>
      <c r="Q839" s="232">
        <v>1538962</v>
      </c>
      <c r="R839" s="233">
        <f t="shared" si="12"/>
        <v>44863164</v>
      </c>
      <c r="S839" s="232"/>
      <c r="T839" s="233">
        <v>21688963</v>
      </c>
      <c r="U839" s="234">
        <v>-519725</v>
      </c>
      <c r="V839" s="234">
        <v>21169238</v>
      </c>
    </row>
    <row r="840" spans="1:22">
      <c r="A840" s="227">
        <v>99212</v>
      </c>
      <c r="B840" s="228" t="s">
        <v>1550</v>
      </c>
      <c r="C840" s="87">
        <v>7.4400000000000006E-5</v>
      </c>
      <c r="D840" s="87">
        <v>1.2750000000000001E-4</v>
      </c>
      <c r="E840" s="232">
        <v>26346.03</v>
      </c>
      <c r="F840" s="232">
        <v>57221</v>
      </c>
      <c r="G840" s="232">
        <v>157902</v>
      </c>
      <c r="H840" s="232"/>
      <c r="I840" s="233">
        <v>2967</v>
      </c>
      <c r="J840" s="233">
        <v>138372</v>
      </c>
      <c r="K840" s="233">
        <v>10815</v>
      </c>
      <c r="L840" s="232">
        <v>0</v>
      </c>
      <c r="M840" s="232"/>
      <c r="N840" s="233">
        <v>5533</v>
      </c>
      <c r="O840" s="233">
        <v>51072</v>
      </c>
      <c r="P840" s="233">
        <v>0</v>
      </c>
      <c r="Q840" s="232">
        <v>49365</v>
      </c>
      <c r="R840" s="233">
        <f t="shared" si="12"/>
        <v>87300</v>
      </c>
      <c r="S840" s="232"/>
      <c r="T840" s="233">
        <v>42205</v>
      </c>
      <c r="U840" s="234">
        <v>-15321</v>
      </c>
      <c r="V840" s="234">
        <v>26884</v>
      </c>
    </row>
    <row r="841" spans="1:22">
      <c r="A841" s="227">
        <v>99213</v>
      </c>
      <c r="B841" s="228" t="s">
        <v>1551</v>
      </c>
      <c r="C841" s="87">
        <v>8.0730000000000005E-4</v>
      </c>
      <c r="D841" s="87">
        <v>8.3339999999999998E-4</v>
      </c>
      <c r="E841" s="232">
        <v>326034.78000000003</v>
      </c>
      <c r="F841" s="232">
        <v>374025</v>
      </c>
      <c r="G841" s="232">
        <v>1713361</v>
      </c>
      <c r="H841" s="232"/>
      <c r="I841" s="233">
        <v>32191</v>
      </c>
      <c r="J841" s="233">
        <v>1501450</v>
      </c>
      <c r="K841" s="233">
        <v>117350</v>
      </c>
      <c r="L841" s="232">
        <v>9384</v>
      </c>
      <c r="M841" s="232"/>
      <c r="N841" s="233">
        <v>60038</v>
      </c>
      <c r="O841" s="233">
        <v>554178</v>
      </c>
      <c r="P841" s="233">
        <v>0</v>
      </c>
      <c r="Q841" s="232">
        <v>21194</v>
      </c>
      <c r="R841" s="233">
        <f t="shared" ref="R841:R904" si="13">IF(J841&gt;O841,J841-O841,O841-J841)</f>
        <v>947272</v>
      </c>
      <c r="S841" s="232"/>
      <c r="T841" s="233">
        <v>457956</v>
      </c>
      <c r="U841" s="234">
        <v>-2728</v>
      </c>
      <c r="V841" s="234">
        <v>455228</v>
      </c>
    </row>
    <row r="842" spans="1:22">
      <c r="A842" s="227">
        <v>99218</v>
      </c>
      <c r="B842" s="228" t="s">
        <v>1552</v>
      </c>
      <c r="C842" s="87">
        <v>3.1227999999999998E-3</v>
      </c>
      <c r="D842" s="87">
        <v>2.8506999999999998E-3</v>
      </c>
      <c r="E842" s="232">
        <v>1270452.44</v>
      </c>
      <c r="F842" s="232">
        <v>1279377</v>
      </c>
      <c r="G842" s="232">
        <v>6627628</v>
      </c>
      <c r="H842" s="232"/>
      <c r="I842" s="233">
        <v>124521.65</v>
      </c>
      <c r="J842" s="233">
        <v>5807915</v>
      </c>
      <c r="K842" s="233">
        <v>453933</v>
      </c>
      <c r="L842" s="232">
        <v>189764</v>
      </c>
      <c r="M842" s="232"/>
      <c r="N842" s="233">
        <v>232240</v>
      </c>
      <c r="O842" s="233">
        <v>2143671</v>
      </c>
      <c r="P842" s="233">
        <v>0</v>
      </c>
      <c r="Q842" s="232">
        <v>0</v>
      </c>
      <c r="R842" s="233">
        <f t="shared" si="13"/>
        <v>3664244</v>
      </c>
      <c r="S842" s="232"/>
      <c r="T842" s="233">
        <v>1771468</v>
      </c>
      <c r="U842" s="234">
        <v>55483</v>
      </c>
      <c r="V842" s="234">
        <v>1826951</v>
      </c>
    </row>
    <row r="843" spans="1:22">
      <c r="A843" s="227">
        <v>99221</v>
      </c>
      <c r="B843" s="228" t="s">
        <v>1553</v>
      </c>
      <c r="C843" s="87">
        <v>1.3092700000000001E-2</v>
      </c>
      <c r="D843" s="87">
        <v>1.33233E-2</v>
      </c>
      <c r="E843" s="232">
        <v>4943527.5200000005</v>
      </c>
      <c r="F843" s="232">
        <v>5979417</v>
      </c>
      <c r="G843" s="232">
        <v>27787095</v>
      </c>
      <c r="H843" s="232"/>
      <c r="I843" s="233">
        <v>522071</v>
      </c>
      <c r="J843" s="233">
        <v>24350353</v>
      </c>
      <c r="K843" s="233">
        <v>1903168</v>
      </c>
      <c r="L843" s="232">
        <v>0</v>
      </c>
      <c r="M843" s="232"/>
      <c r="N843" s="233">
        <v>973691</v>
      </c>
      <c r="O843" s="233">
        <v>8987589</v>
      </c>
      <c r="P843" s="233">
        <v>0</v>
      </c>
      <c r="Q843" s="232">
        <v>703621</v>
      </c>
      <c r="R843" s="233">
        <f t="shared" si="13"/>
        <v>15362764</v>
      </c>
      <c r="S843" s="232"/>
      <c r="T843" s="233">
        <v>7427083</v>
      </c>
      <c r="U843" s="234">
        <v>-220701</v>
      </c>
      <c r="V843" s="234">
        <v>7206381</v>
      </c>
    </row>
    <row r="844" spans="1:22">
      <c r="A844" s="227">
        <v>99222</v>
      </c>
      <c r="B844" s="228" t="s">
        <v>1554</v>
      </c>
      <c r="C844" s="87">
        <v>4.0099999999999999E-5</v>
      </c>
      <c r="D844" s="87">
        <v>3.82E-5</v>
      </c>
      <c r="E844" s="232">
        <v>13646.550000000001</v>
      </c>
      <c r="F844" s="232">
        <v>17144</v>
      </c>
      <c r="G844" s="232">
        <v>85106</v>
      </c>
      <c r="H844" s="232"/>
      <c r="I844" s="233">
        <v>1599</v>
      </c>
      <c r="J844" s="233">
        <v>74580</v>
      </c>
      <c r="K844" s="233">
        <v>5829</v>
      </c>
      <c r="L844" s="232">
        <v>3575</v>
      </c>
      <c r="M844" s="232"/>
      <c r="N844" s="233">
        <v>2982</v>
      </c>
      <c r="O844" s="233">
        <v>27527</v>
      </c>
      <c r="P844" s="233">
        <v>0</v>
      </c>
      <c r="Q844" s="232">
        <v>1230</v>
      </c>
      <c r="R844" s="233">
        <f t="shared" si="13"/>
        <v>47053</v>
      </c>
      <c r="S844" s="232"/>
      <c r="T844" s="233">
        <v>22747</v>
      </c>
      <c r="U844" s="234">
        <v>949</v>
      </c>
      <c r="V844" s="234">
        <v>23697</v>
      </c>
    </row>
    <row r="845" spans="1:22">
      <c r="A845" s="227">
        <v>99231</v>
      </c>
      <c r="B845" s="228" t="s">
        <v>1555</v>
      </c>
      <c r="C845" s="87">
        <v>3.7869999999999999E-4</v>
      </c>
      <c r="D845" s="87">
        <v>3.7139999999999997E-4</v>
      </c>
      <c r="E845" s="232">
        <v>142098.15</v>
      </c>
      <c r="F845" s="232">
        <v>166682</v>
      </c>
      <c r="G845" s="232">
        <v>803728</v>
      </c>
      <c r="H845" s="232"/>
      <c r="I845" s="233">
        <v>15101</v>
      </c>
      <c r="J845" s="233">
        <v>704322</v>
      </c>
      <c r="K845" s="233">
        <v>55048</v>
      </c>
      <c r="L845" s="232">
        <v>0</v>
      </c>
      <c r="M845" s="232"/>
      <c r="N845" s="233">
        <v>28164</v>
      </c>
      <c r="O845" s="233">
        <v>259962</v>
      </c>
      <c r="P845" s="233">
        <v>0</v>
      </c>
      <c r="Q845" s="232">
        <v>27202</v>
      </c>
      <c r="R845" s="233">
        <f t="shared" si="13"/>
        <v>444360</v>
      </c>
      <c r="S845" s="232"/>
      <c r="T845" s="233">
        <v>214825</v>
      </c>
      <c r="U845" s="234">
        <v>-11082</v>
      </c>
      <c r="V845" s="234">
        <v>203743</v>
      </c>
    </row>
    <row r="846" spans="1:22">
      <c r="A846" s="227">
        <v>99241</v>
      </c>
      <c r="B846" s="228" t="s">
        <v>1556</v>
      </c>
      <c r="C846" s="87">
        <v>5.6039999999999996E-4</v>
      </c>
      <c r="D846" s="87">
        <v>5.9259999999999998E-4</v>
      </c>
      <c r="E846" s="232">
        <v>196948.58000000002</v>
      </c>
      <c r="F846" s="232">
        <v>265955</v>
      </c>
      <c r="G846" s="232">
        <v>1189357</v>
      </c>
      <c r="H846" s="232"/>
      <c r="I846" s="233">
        <v>22346</v>
      </c>
      <c r="J846" s="233">
        <v>1042255</v>
      </c>
      <c r="K846" s="233">
        <v>81460</v>
      </c>
      <c r="L846" s="232">
        <v>0</v>
      </c>
      <c r="M846" s="232"/>
      <c r="N846" s="233">
        <v>41676</v>
      </c>
      <c r="O846" s="233">
        <v>384691</v>
      </c>
      <c r="P846" s="233">
        <v>0</v>
      </c>
      <c r="Q846" s="232">
        <v>122254</v>
      </c>
      <c r="R846" s="233">
        <f t="shared" si="13"/>
        <v>657564</v>
      </c>
      <c r="S846" s="232"/>
      <c r="T846" s="233">
        <v>317898</v>
      </c>
      <c r="U846" s="234">
        <v>-45505</v>
      </c>
      <c r="V846" s="234">
        <v>272393</v>
      </c>
    </row>
    <row r="847" spans="1:22">
      <c r="A847" s="227">
        <v>99251</v>
      </c>
      <c r="B847" s="228" t="s">
        <v>1557</v>
      </c>
      <c r="C847" s="87">
        <v>1.6521000000000001E-3</v>
      </c>
      <c r="D847" s="87">
        <v>1.598E-3</v>
      </c>
      <c r="E847" s="232">
        <v>644905.39999999991</v>
      </c>
      <c r="F847" s="232">
        <v>717173</v>
      </c>
      <c r="G847" s="232">
        <v>3506310</v>
      </c>
      <c r="H847" s="232"/>
      <c r="I847" s="233">
        <v>65877</v>
      </c>
      <c r="J847" s="233">
        <v>3072645</v>
      </c>
      <c r="K847" s="233">
        <v>240151</v>
      </c>
      <c r="L847" s="232">
        <v>3992</v>
      </c>
      <c r="M847" s="232"/>
      <c r="N847" s="233">
        <v>122865</v>
      </c>
      <c r="O847" s="233">
        <v>1134097</v>
      </c>
      <c r="P847" s="233">
        <v>0</v>
      </c>
      <c r="Q847" s="232">
        <v>14191</v>
      </c>
      <c r="R847" s="233">
        <f t="shared" si="13"/>
        <v>1938548</v>
      </c>
      <c r="S847" s="232"/>
      <c r="T847" s="233">
        <v>937185</v>
      </c>
      <c r="U847" s="234">
        <v>-5897</v>
      </c>
      <c r="V847" s="234">
        <v>931288</v>
      </c>
    </row>
    <row r="848" spans="1:22">
      <c r="A848" s="227">
        <v>99252</v>
      </c>
      <c r="B848" s="228" t="s">
        <v>1558</v>
      </c>
      <c r="C848" s="87">
        <v>5.8279999999999996E-4</v>
      </c>
      <c r="D848" s="87">
        <v>7.4010000000000005E-4</v>
      </c>
      <c r="E848" s="232">
        <v>174600.46999999997</v>
      </c>
      <c r="F848" s="232">
        <v>332152</v>
      </c>
      <c r="G848" s="232">
        <v>1236897</v>
      </c>
      <c r="H848" s="232"/>
      <c r="I848" s="233">
        <v>23239</v>
      </c>
      <c r="J848" s="233">
        <v>1083916</v>
      </c>
      <c r="K848" s="233">
        <v>84716</v>
      </c>
      <c r="L848" s="232">
        <v>0</v>
      </c>
      <c r="M848" s="232"/>
      <c r="N848" s="233">
        <v>43342</v>
      </c>
      <c r="O848" s="233">
        <v>400068</v>
      </c>
      <c r="P848" s="233">
        <v>0</v>
      </c>
      <c r="Q848" s="232">
        <v>244190</v>
      </c>
      <c r="R848" s="233">
        <f t="shared" si="13"/>
        <v>683848</v>
      </c>
      <c r="S848" s="232"/>
      <c r="T848" s="233">
        <v>330604</v>
      </c>
      <c r="U848" s="234">
        <v>-77201</v>
      </c>
      <c r="V848" s="234">
        <v>253403</v>
      </c>
    </row>
    <row r="849" spans="1:22">
      <c r="A849" s="227">
        <v>99261</v>
      </c>
      <c r="B849" s="228" t="s">
        <v>1559</v>
      </c>
      <c r="C849" s="87">
        <v>1.9145E-3</v>
      </c>
      <c r="D849" s="87">
        <v>1.8552E-3</v>
      </c>
      <c r="E849" s="232">
        <v>638819.42000000004</v>
      </c>
      <c r="F849" s="232">
        <v>832603</v>
      </c>
      <c r="G849" s="232">
        <v>4063210</v>
      </c>
      <c r="H849" s="232"/>
      <c r="I849" s="233">
        <v>76341</v>
      </c>
      <c r="J849" s="233">
        <v>3560668</v>
      </c>
      <c r="K849" s="233">
        <v>278294</v>
      </c>
      <c r="L849" s="232">
        <v>0</v>
      </c>
      <c r="M849" s="232"/>
      <c r="N849" s="233">
        <v>142379</v>
      </c>
      <c r="O849" s="233">
        <v>1314224</v>
      </c>
      <c r="P849" s="233">
        <v>0</v>
      </c>
      <c r="Q849" s="232">
        <v>177810</v>
      </c>
      <c r="R849" s="233">
        <f t="shared" si="13"/>
        <v>2246444</v>
      </c>
      <c r="S849" s="232"/>
      <c r="T849" s="233">
        <v>1086037</v>
      </c>
      <c r="U849" s="234">
        <v>-61359</v>
      </c>
      <c r="V849" s="234">
        <v>1024677</v>
      </c>
    </row>
    <row r="850" spans="1:22">
      <c r="A850" s="227">
        <v>99271</v>
      </c>
      <c r="B850" s="228" t="s">
        <v>1560</v>
      </c>
      <c r="C850" s="87">
        <v>3.9248E-3</v>
      </c>
      <c r="D850" s="87">
        <v>3.9693000000000003E-3</v>
      </c>
      <c r="E850" s="232">
        <v>1483973.83</v>
      </c>
      <c r="F850" s="232">
        <v>1781398</v>
      </c>
      <c r="G850" s="232">
        <v>8329740</v>
      </c>
      <c r="H850" s="232"/>
      <c r="I850" s="233">
        <v>156501.4</v>
      </c>
      <c r="J850" s="233">
        <v>7299508</v>
      </c>
      <c r="K850" s="233">
        <v>570513</v>
      </c>
      <c r="L850" s="232">
        <v>0</v>
      </c>
      <c r="M850" s="232"/>
      <c r="N850" s="233">
        <v>291883</v>
      </c>
      <c r="O850" s="233">
        <v>2694210</v>
      </c>
      <c r="P850" s="233">
        <v>0</v>
      </c>
      <c r="Q850" s="232">
        <v>151650</v>
      </c>
      <c r="R850" s="233">
        <f t="shared" si="13"/>
        <v>4605298</v>
      </c>
      <c r="S850" s="232"/>
      <c r="T850" s="233">
        <v>2226417</v>
      </c>
      <c r="U850" s="234">
        <v>-42013</v>
      </c>
      <c r="V850" s="234">
        <v>2184404</v>
      </c>
    </row>
    <row r="851" spans="1:22">
      <c r="A851" s="227">
        <v>99281</v>
      </c>
      <c r="B851" s="228" t="s">
        <v>1561</v>
      </c>
      <c r="C851" s="87">
        <v>2.2824E-3</v>
      </c>
      <c r="D851" s="87">
        <v>2.3207000000000002E-3</v>
      </c>
      <c r="E851" s="232">
        <v>859937.56999999983</v>
      </c>
      <c r="F851" s="232">
        <v>1041516</v>
      </c>
      <c r="G851" s="232">
        <v>4844017</v>
      </c>
      <c r="H851" s="232"/>
      <c r="I851" s="233">
        <v>91010.7</v>
      </c>
      <c r="J851" s="233">
        <v>4244903</v>
      </c>
      <c r="K851" s="233">
        <v>331772</v>
      </c>
      <c r="L851" s="232">
        <v>13554</v>
      </c>
      <c r="M851" s="232"/>
      <c r="N851" s="233">
        <v>169740</v>
      </c>
      <c r="O851" s="233">
        <v>1566772</v>
      </c>
      <c r="P851" s="233">
        <v>0</v>
      </c>
      <c r="Q851" s="232">
        <v>113243</v>
      </c>
      <c r="R851" s="233">
        <f t="shared" si="13"/>
        <v>2678131</v>
      </c>
      <c r="S851" s="232"/>
      <c r="T851" s="233">
        <v>1294735</v>
      </c>
      <c r="U851" s="234">
        <v>-25393</v>
      </c>
      <c r="V851" s="234">
        <v>1269342</v>
      </c>
    </row>
    <row r="852" spans="1:22">
      <c r="A852" s="227">
        <v>99291</v>
      </c>
      <c r="B852" s="228" t="s">
        <v>1562</v>
      </c>
      <c r="C852" s="87">
        <v>7.7260000000000002E-4</v>
      </c>
      <c r="D852" s="87">
        <v>8.0780000000000001E-4</v>
      </c>
      <c r="E852" s="232">
        <v>267315.87</v>
      </c>
      <c r="F852" s="232">
        <v>362536</v>
      </c>
      <c r="G852" s="232">
        <v>1639716</v>
      </c>
      <c r="H852" s="232"/>
      <c r="I852" s="233">
        <v>30807</v>
      </c>
      <c r="J852" s="233">
        <v>1436914</v>
      </c>
      <c r="K852" s="233">
        <v>112306</v>
      </c>
      <c r="L852" s="232">
        <v>0</v>
      </c>
      <c r="M852" s="232"/>
      <c r="N852" s="233">
        <v>57457</v>
      </c>
      <c r="O852" s="233">
        <v>530357</v>
      </c>
      <c r="P852" s="233">
        <v>0</v>
      </c>
      <c r="Q852" s="232">
        <v>124026</v>
      </c>
      <c r="R852" s="233">
        <f t="shared" si="13"/>
        <v>906557</v>
      </c>
      <c r="S852" s="232"/>
      <c r="T852" s="233">
        <v>438272</v>
      </c>
      <c r="U852" s="234">
        <v>-41703</v>
      </c>
      <c r="V852" s="234">
        <v>396569</v>
      </c>
    </row>
    <row r="853" spans="1:22">
      <c r="A853" s="227">
        <v>99301</v>
      </c>
      <c r="B853" s="228" t="s">
        <v>1563</v>
      </c>
      <c r="C853" s="87">
        <v>1.8458000000000001E-3</v>
      </c>
      <c r="D853" s="87">
        <v>1.7903000000000001E-3</v>
      </c>
      <c r="E853" s="232">
        <v>720012.84</v>
      </c>
      <c r="F853" s="232">
        <v>803476</v>
      </c>
      <c r="G853" s="232">
        <v>3917406</v>
      </c>
      <c r="H853" s="232"/>
      <c r="I853" s="233">
        <v>73601</v>
      </c>
      <c r="J853" s="233">
        <v>3432896</v>
      </c>
      <c r="K853" s="233">
        <v>268307</v>
      </c>
      <c r="L853" s="232">
        <v>122430</v>
      </c>
      <c r="M853" s="232"/>
      <c r="N853" s="233">
        <v>137270</v>
      </c>
      <c r="O853" s="233">
        <v>1267064</v>
      </c>
      <c r="P853" s="233">
        <v>0</v>
      </c>
      <c r="Q853" s="232">
        <v>957</v>
      </c>
      <c r="R853" s="233">
        <f t="shared" si="13"/>
        <v>2165832</v>
      </c>
      <c r="S853" s="232"/>
      <c r="T853" s="233">
        <v>1047065</v>
      </c>
      <c r="U853" s="234">
        <v>54774</v>
      </c>
      <c r="V853" s="234">
        <v>1101839</v>
      </c>
    </row>
    <row r="854" spans="1:22">
      <c r="A854" s="227">
        <v>99304</v>
      </c>
      <c r="B854" s="228" t="s">
        <v>1564</v>
      </c>
      <c r="C854" s="87">
        <v>9.9000000000000001E-6</v>
      </c>
      <c r="D854" s="87">
        <v>1.0000000000000001E-5</v>
      </c>
      <c r="E854" s="232">
        <v>6537.4600000000019</v>
      </c>
      <c r="F854" s="232">
        <v>4488</v>
      </c>
      <c r="G854" s="232">
        <v>21011</v>
      </c>
      <c r="H854" s="232"/>
      <c r="I854" s="233">
        <v>394.76249999999999</v>
      </c>
      <c r="J854" s="233">
        <v>18412</v>
      </c>
      <c r="K854" s="233">
        <v>1439</v>
      </c>
      <c r="L854" s="232">
        <v>3536</v>
      </c>
      <c r="M854" s="232"/>
      <c r="N854" s="233">
        <v>736</v>
      </c>
      <c r="O854" s="233">
        <v>6796</v>
      </c>
      <c r="P854" s="233">
        <v>0</v>
      </c>
      <c r="Q854" s="232">
        <v>498</v>
      </c>
      <c r="R854" s="233">
        <f t="shared" si="13"/>
        <v>11616</v>
      </c>
      <c r="S854" s="232"/>
      <c r="T854" s="233">
        <v>5616</v>
      </c>
      <c r="U854" s="234">
        <v>822</v>
      </c>
      <c r="V854" s="234">
        <v>6438</v>
      </c>
    </row>
    <row r="855" spans="1:22">
      <c r="A855" s="227">
        <v>99311</v>
      </c>
      <c r="B855" s="228" t="s">
        <v>1565</v>
      </c>
      <c r="C855" s="87">
        <v>5.7599999999999997E-5</v>
      </c>
      <c r="D855" s="87">
        <v>6.2100000000000005E-5</v>
      </c>
      <c r="E855" s="232">
        <v>21136.39</v>
      </c>
      <c r="F855" s="232">
        <v>27870</v>
      </c>
      <c r="G855" s="232">
        <v>122246</v>
      </c>
      <c r="H855" s="232"/>
      <c r="I855" s="233">
        <v>2297</v>
      </c>
      <c r="J855" s="233">
        <v>107127</v>
      </c>
      <c r="K855" s="233">
        <v>8373</v>
      </c>
      <c r="L855" s="232">
        <v>0</v>
      </c>
      <c r="M855" s="232"/>
      <c r="N855" s="233">
        <v>4284</v>
      </c>
      <c r="O855" s="233">
        <v>39540</v>
      </c>
      <c r="P855" s="233">
        <v>0</v>
      </c>
      <c r="Q855" s="232">
        <v>7642</v>
      </c>
      <c r="R855" s="233">
        <f t="shared" si="13"/>
        <v>67587</v>
      </c>
      <c r="S855" s="232"/>
      <c r="T855" s="233">
        <v>32675</v>
      </c>
      <c r="U855" s="234">
        <v>-2750</v>
      </c>
      <c r="V855" s="234">
        <v>29925</v>
      </c>
    </row>
    <row r="856" spans="1:22">
      <c r="A856" s="227">
        <v>99321</v>
      </c>
      <c r="B856" s="228" t="s">
        <v>1566</v>
      </c>
      <c r="C856" s="87">
        <v>1.1909999999999999E-4</v>
      </c>
      <c r="D856" s="87">
        <v>1.015E-4</v>
      </c>
      <c r="E856" s="232">
        <v>91759.74</v>
      </c>
      <c r="F856" s="232">
        <v>45553</v>
      </c>
      <c r="G856" s="232">
        <v>252770</v>
      </c>
      <c r="H856" s="232"/>
      <c r="I856" s="233">
        <v>4749</v>
      </c>
      <c r="J856" s="233">
        <v>221507</v>
      </c>
      <c r="K856" s="233">
        <v>17312</v>
      </c>
      <c r="L856" s="232">
        <v>97754</v>
      </c>
      <c r="M856" s="232"/>
      <c r="N856" s="233">
        <v>8857</v>
      </c>
      <c r="O856" s="233">
        <v>81757</v>
      </c>
      <c r="P856" s="233">
        <v>0</v>
      </c>
      <c r="Q856" s="232">
        <v>0</v>
      </c>
      <c r="R856" s="233">
        <f t="shared" si="13"/>
        <v>139750</v>
      </c>
      <c r="S856" s="232"/>
      <c r="T856" s="233">
        <v>67562</v>
      </c>
      <c r="U856" s="234">
        <v>33905</v>
      </c>
      <c r="V856" s="234">
        <v>101467</v>
      </c>
    </row>
    <row r="857" spans="1:22">
      <c r="A857" s="227">
        <v>99401</v>
      </c>
      <c r="B857" s="228" t="s">
        <v>1567</v>
      </c>
      <c r="C857" s="87">
        <v>9.3869999999999999E-4</v>
      </c>
      <c r="D857" s="87">
        <v>9.0470000000000004E-4</v>
      </c>
      <c r="E857" s="232">
        <v>380574.92</v>
      </c>
      <c r="F857" s="232">
        <v>406024</v>
      </c>
      <c r="G857" s="232">
        <v>1992236</v>
      </c>
      <c r="H857" s="232"/>
      <c r="I857" s="233">
        <v>37431</v>
      </c>
      <c r="J857" s="233">
        <v>1745834</v>
      </c>
      <c r="K857" s="233">
        <v>136450</v>
      </c>
      <c r="L857" s="232">
        <v>60934</v>
      </c>
      <c r="M857" s="232"/>
      <c r="N857" s="233">
        <v>69810</v>
      </c>
      <c r="O857" s="233">
        <v>644378</v>
      </c>
      <c r="P857" s="233">
        <v>0</v>
      </c>
      <c r="Q857" s="232">
        <v>0</v>
      </c>
      <c r="R857" s="233">
        <f t="shared" si="13"/>
        <v>1101456</v>
      </c>
      <c r="S857" s="232"/>
      <c r="T857" s="233">
        <v>532495</v>
      </c>
      <c r="U857" s="234">
        <v>26694</v>
      </c>
      <c r="V857" s="234">
        <v>559189</v>
      </c>
    </row>
    <row r="858" spans="1:22">
      <c r="A858" s="227">
        <v>99404</v>
      </c>
      <c r="B858" s="228" t="s">
        <v>1568</v>
      </c>
      <c r="C858" s="87">
        <v>9.5999999999999996E-6</v>
      </c>
      <c r="D858" s="87">
        <v>9.9000000000000001E-6</v>
      </c>
      <c r="E858" s="232">
        <v>4863.32</v>
      </c>
      <c r="F858" s="232">
        <v>4443</v>
      </c>
      <c r="G858" s="232">
        <v>20374</v>
      </c>
      <c r="H858" s="232"/>
      <c r="I858" s="233">
        <v>383</v>
      </c>
      <c r="J858" s="233">
        <v>17854</v>
      </c>
      <c r="K858" s="233">
        <v>1395</v>
      </c>
      <c r="L858" s="232">
        <v>890</v>
      </c>
      <c r="M858" s="232"/>
      <c r="N858" s="233">
        <v>714</v>
      </c>
      <c r="O858" s="233">
        <v>6590</v>
      </c>
      <c r="P858" s="233">
        <v>0</v>
      </c>
      <c r="Q858" s="232">
        <v>0</v>
      </c>
      <c r="R858" s="233">
        <f t="shared" si="13"/>
        <v>11264</v>
      </c>
      <c r="S858" s="232"/>
      <c r="T858" s="233">
        <v>5446</v>
      </c>
      <c r="U858" s="234">
        <v>284</v>
      </c>
      <c r="V858" s="234">
        <v>5730</v>
      </c>
    </row>
    <row r="859" spans="1:22">
      <c r="A859" s="227">
        <v>99405</v>
      </c>
      <c r="B859" s="228" t="s">
        <v>1569</v>
      </c>
      <c r="C859" s="87">
        <v>5.8100000000000003E-5</v>
      </c>
      <c r="D859" s="87">
        <v>6.3399999999999996E-5</v>
      </c>
      <c r="E859" s="232">
        <v>32556.2</v>
      </c>
      <c r="F859" s="232">
        <v>28454</v>
      </c>
      <c r="G859" s="232">
        <v>123308</v>
      </c>
      <c r="H859" s="232"/>
      <c r="I859" s="233">
        <v>2317</v>
      </c>
      <c r="J859" s="233">
        <v>108057</v>
      </c>
      <c r="K859" s="233">
        <v>8445</v>
      </c>
      <c r="L859" s="232">
        <v>11934</v>
      </c>
      <c r="M859" s="232"/>
      <c r="N859" s="233">
        <v>4321</v>
      </c>
      <c r="O859" s="233">
        <v>39883</v>
      </c>
      <c r="P859" s="233">
        <v>0</v>
      </c>
      <c r="Q859" s="232">
        <v>675</v>
      </c>
      <c r="R859" s="233">
        <f t="shared" si="13"/>
        <v>68174</v>
      </c>
      <c r="S859" s="232"/>
      <c r="T859" s="233">
        <v>32958</v>
      </c>
      <c r="U859" s="234">
        <v>3510</v>
      </c>
      <c r="V859" s="234">
        <v>36468</v>
      </c>
    </row>
    <row r="860" spans="1:22">
      <c r="A860" s="227">
        <v>99411</v>
      </c>
      <c r="B860" s="228" t="s">
        <v>1570</v>
      </c>
      <c r="C860" s="87">
        <v>1.2510000000000001E-4</v>
      </c>
      <c r="D860" s="87">
        <v>1.07E-4</v>
      </c>
      <c r="E860" s="232">
        <v>60724.219999999994</v>
      </c>
      <c r="F860" s="232">
        <v>48021</v>
      </c>
      <c r="G860" s="232">
        <v>265504</v>
      </c>
      <c r="H860" s="232"/>
      <c r="I860" s="233">
        <v>4988</v>
      </c>
      <c r="J860" s="233">
        <v>232666</v>
      </c>
      <c r="K860" s="233">
        <v>18185</v>
      </c>
      <c r="L860" s="232">
        <v>24011</v>
      </c>
      <c r="M860" s="232"/>
      <c r="N860" s="233">
        <v>9304</v>
      </c>
      <c r="O860" s="233">
        <v>85876</v>
      </c>
      <c r="P860" s="233">
        <v>0</v>
      </c>
      <c r="Q860" s="232">
        <v>8844</v>
      </c>
      <c r="R860" s="233">
        <f t="shared" si="13"/>
        <v>146790</v>
      </c>
      <c r="S860" s="232"/>
      <c r="T860" s="233">
        <v>70965</v>
      </c>
      <c r="U860" s="234">
        <v>2430</v>
      </c>
      <c r="V860" s="234">
        <v>73395</v>
      </c>
    </row>
    <row r="861" spans="1:22">
      <c r="A861" s="227">
        <v>99413</v>
      </c>
      <c r="B861" s="228" t="s">
        <v>1571</v>
      </c>
      <c r="C861" s="87">
        <v>2.76E-5</v>
      </c>
      <c r="D861" s="87">
        <v>4.21E-5</v>
      </c>
      <c r="E861" s="232">
        <v>17655.62</v>
      </c>
      <c r="F861" s="232">
        <v>18894</v>
      </c>
      <c r="G861" s="232">
        <v>58576</v>
      </c>
      <c r="H861" s="232"/>
      <c r="I861" s="233">
        <v>1100.55</v>
      </c>
      <c r="J861" s="233">
        <v>51332</v>
      </c>
      <c r="K861" s="233">
        <v>4012</v>
      </c>
      <c r="L861" s="232">
        <v>10</v>
      </c>
      <c r="M861" s="232"/>
      <c r="N861" s="233">
        <v>2053</v>
      </c>
      <c r="O861" s="233">
        <v>18946</v>
      </c>
      <c r="P861" s="233">
        <v>0</v>
      </c>
      <c r="Q861" s="232">
        <v>4264</v>
      </c>
      <c r="R861" s="233">
        <f t="shared" si="13"/>
        <v>32386</v>
      </c>
      <c r="S861" s="232"/>
      <c r="T861" s="233">
        <v>15657</v>
      </c>
      <c r="U861" s="234">
        <v>-1235</v>
      </c>
      <c r="V861" s="234">
        <v>14422</v>
      </c>
    </row>
    <row r="862" spans="1:22">
      <c r="A862" s="227">
        <v>99421</v>
      </c>
      <c r="B862" s="228" t="s">
        <v>1572</v>
      </c>
      <c r="C862" s="87">
        <v>1.5E-5</v>
      </c>
      <c r="D862" s="87">
        <v>2.2099999999999998E-5</v>
      </c>
      <c r="E862" s="232">
        <v>6577</v>
      </c>
      <c r="F862" s="232">
        <v>9918</v>
      </c>
      <c r="G862" s="232">
        <v>31835</v>
      </c>
      <c r="H862" s="232"/>
      <c r="I862" s="233">
        <v>598.125</v>
      </c>
      <c r="J862" s="233">
        <v>27897.63</v>
      </c>
      <c r="K862" s="233">
        <v>2180.415</v>
      </c>
      <c r="L862" s="232">
        <v>1536</v>
      </c>
      <c r="M862" s="232"/>
      <c r="N862" s="233">
        <v>1116</v>
      </c>
      <c r="O862" s="233">
        <v>10297</v>
      </c>
      <c r="P862" s="233">
        <v>0</v>
      </c>
      <c r="Q862" s="232">
        <v>4910</v>
      </c>
      <c r="R862" s="233">
        <f t="shared" si="13"/>
        <v>17600.63</v>
      </c>
      <c r="S862" s="232"/>
      <c r="T862" s="233">
        <v>8509</v>
      </c>
      <c r="U862" s="234">
        <v>-633</v>
      </c>
      <c r="V862" s="234">
        <v>7876</v>
      </c>
    </row>
    <row r="863" spans="1:22">
      <c r="A863" s="227">
        <v>99431</v>
      </c>
      <c r="B863" s="228" t="s">
        <v>1573</v>
      </c>
      <c r="C863" s="87">
        <v>2.16E-5</v>
      </c>
      <c r="D863" s="87">
        <v>2.09E-5</v>
      </c>
      <c r="E863" s="232">
        <v>6864.37</v>
      </c>
      <c r="F863" s="232">
        <v>9380</v>
      </c>
      <c r="G863" s="232">
        <v>45842</v>
      </c>
      <c r="H863" s="232"/>
      <c r="I863" s="233">
        <v>861.3</v>
      </c>
      <c r="J863" s="233">
        <v>40173</v>
      </c>
      <c r="K863" s="233">
        <v>3140</v>
      </c>
      <c r="L863" s="232">
        <v>2153</v>
      </c>
      <c r="M863" s="232"/>
      <c r="N863" s="233">
        <v>1606</v>
      </c>
      <c r="O863" s="233">
        <v>14827</v>
      </c>
      <c r="P863" s="233">
        <v>0</v>
      </c>
      <c r="Q863" s="232">
        <v>1856</v>
      </c>
      <c r="R863" s="233">
        <f t="shared" si="13"/>
        <v>25346</v>
      </c>
      <c r="S863" s="232"/>
      <c r="T863" s="233">
        <v>12253</v>
      </c>
      <c r="U863" s="234">
        <v>541</v>
      </c>
      <c r="V863" s="234">
        <v>12794</v>
      </c>
    </row>
    <row r="864" spans="1:22">
      <c r="A864" s="227">
        <v>99501</v>
      </c>
      <c r="B864" s="228" t="s">
        <v>1574</v>
      </c>
      <c r="C864" s="87">
        <v>1.7390000000000001E-3</v>
      </c>
      <c r="D864" s="87">
        <v>1.7404E-3</v>
      </c>
      <c r="E864" s="232">
        <v>717899.84</v>
      </c>
      <c r="F864" s="232">
        <v>781081</v>
      </c>
      <c r="G864" s="232">
        <v>3690741</v>
      </c>
      <c r="H864" s="232"/>
      <c r="I864" s="233">
        <v>69343</v>
      </c>
      <c r="J864" s="233">
        <v>3234265</v>
      </c>
      <c r="K864" s="233">
        <v>252783</v>
      </c>
      <c r="L864" s="232">
        <v>5725</v>
      </c>
      <c r="M864" s="232"/>
      <c r="N864" s="233">
        <v>129328</v>
      </c>
      <c r="O864" s="233">
        <v>1193750</v>
      </c>
      <c r="P864" s="233">
        <v>0</v>
      </c>
      <c r="Q864" s="232">
        <v>0</v>
      </c>
      <c r="R864" s="233">
        <f t="shared" si="13"/>
        <v>2040515</v>
      </c>
      <c r="S864" s="232"/>
      <c r="T864" s="233">
        <v>986481</v>
      </c>
      <c r="U864" s="234">
        <v>1961</v>
      </c>
      <c r="V864" s="234">
        <v>988442</v>
      </c>
    </row>
    <row r="865" spans="1:22">
      <c r="A865" s="227">
        <v>99502</v>
      </c>
      <c r="B865" s="228" t="s">
        <v>1575</v>
      </c>
      <c r="C865" s="87">
        <v>1.3779999999999999E-4</v>
      </c>
      <c r="D865" s="87">
        <v>1.628E-4</v>
      </c>
      <c r="E865" s="232">
        <v>87805.53</v>
      </c>
      <c r="F865" s="232">
        <v>73064</v>
      </c>
      <c r="G865" s="232">
        <v>292458</v>
      </c>
      <c r="H865" s="232"/>
      <c r="I865" s="233">
        <v>5495</v>
      </c>
      <c r="J865" s="233">
        <v>256286</v>
      </c>
      <c r="K865" s="233">
        <v>20031</v>
      </c>
      <c r="L865" s="232">
        <v>28542</v>
      </c>
      <c r="M865" s="232"/>
      <c r="N865" s="233">
        <v>10248</v>
      </c>
      <c r="O865" s="233">
        <v>94594</v>
      </c>
      <c r="P865" s="233">
        <v>0</v>
      </c>
      <c r="Q865" s="232">
        <v>143</v>
      </c>
      <c r="R865" s="233">
        <f t="shared" si="13"/>
        <v>161692</v>
      </c>
      <c r="S865" s="232"/>
      <c r="T865" s="233">
        <v>78170</v>
      </c>
      <c r="U865" s="234">
        <v>8980</v>
      </c>
      <c r="V865" s="234">
        <v>87150</v>
      </c>
    </row>
    <row r="866" spans="1:22">
      <c r="A866" s="227">
        <v>99508</v>
      </c>
      <c r="B866" s="228" t="s">
        <v>1576</v>
      </c>
      <c r="C866" s="87">
        <v>2.1699999999999999E-5</v>
      </c>
      <c r="D866" s="87">
        <v>2.3200000000000001E-5</v>
      </c>
      <c r="E866" s="232">
        <v>8790.98</v>
      </c>
      <c r="F866" s="232">
        <v>10412</v>
      </c>
      <c r="G866" s="232">
        <v>46055</v>
      </c>
      <c r="H866" s="232"/>
      <c r="I866" s="233">
        <v>865</v>
      </c>
      <c r="J866" s="233">
        <v>40359</v>
      </c>
      <c r="K866" s="233">
        <v>3154</v>
      </c>
      <c r="L866" s="232">
        <v>0</v>
      </c>
      <c r="M866" s="232"/>
      <c r="N866" s="233">
        <v>1614</v>
      </c>
      <c r="O866" s="233">
        <v>14896</v>
      </c>
      <c r="P866" s="233">
        <v>0</v>
      </c>
      <c r="Q866" s="232">
        <v>2564</v>
      </c>
      <c r="R866" s="233">
        <f t="shared" si="13"/>
        <v>25463</v>
      </c>
      <c r="S866" s="232"/>
      <c r="T866" s="233">
        <v>12310</v>
      </c>
      <c r="U866" s="234">
        <v>-994</v>
      </c>
      <c r="V866" s="234">
        <v>11316</v>
      </c>
    </row>
    <row r="867" spans="1:22">
      <c r="A867" s="227">
        <v>99509</v>
      </c>
      <c r="B867" s="228" t="s">
        <v>1577</v>
      </c>
      <c r="C867" s="87">
        <v>2.8900000000000001E-5</v>
      </c>
      <c r="D867" s="87">
        <v>2.87E-5</v>
      </c>
      <c r="E867" s="232">
        <v>10373.91</v>
      </c>
      <c r="F867" s="232">
        <v>12880</v>
      </c>
      <c r="G867" s="232">
        <v>61335</v>
      </c>
      <c r="H867" s="232"/>
      <c r="I867" s="233">
        <v>1152.3875</v>
      </c>
      <c r="J867" s="233">
        <v>53749</v>
      </c>
      <c r="K867" s="233">
        <v>4201</v>
      </c>
      <c r="L867" s="232">
        <v>0</v>
      </c>
      <c r="M867" s="232"/>
      <c r="N867" s="233">
        <v>2149</v>
      </c>
      <c r="O867" s="233">
        <v>19839</v>
      </c>
      <c r="P867" s="233">
        <v>0</v>
      </c>
      <c r="Q867" s="232">
        <v>8463</v>
      </c>
      <c r="R867" s="233">
        <f t="shared" si="13"/>
        <v>33910</v>
      </c>
      <c r="S867" s="232"/>
      <c r="T867" s="233">
        <v>16394</v>
      </c>
      <c r="U867" s="234">
        <v>-3831</v>
      </c>
      <c r="V867" s="234">
        <v>12563</v>
      </c>
    </row>
    <row r="868" spans="1:22">
      <c r="A868" s="227">
        <v>99511</v>
      </c>
      <c r="B868" s="228" t="s">
        <v>1578</v>
      </c>
      <c r="C868" s="87">
        <v>1.3638000000000001E-3</v>
      </c>
      <c r="D868" s="87">
        <v>1.4238E-3</v>
      </c>
      <c r="E868" s="232">
        <v>513320.93</v>
      </c>
      <c r="F868" s="232">
        <v>638993</v>
      </c>
      <c r="G868" s="232">
        <v>2894440</v>
      </c>
      <c r="H868" s="232"/>
      <c r="I868" s="233">
        <v>54382</v>
      </c>
      <c r="J868" s="233">
        <v>2536453</v>
      </c>
      <c r="K868" s="233">
        <v>198243</v>
      </c>
      <c r="L868" s="232">
        <v>6972</v>
      </c>
      <c r="M868" s="232"/>
      <c r="N868" s="233">
        <v>101424</v>
      </c>
      <c r="O868" s="233">
        <v>936191</v>
      </c>
      <c r="P868" s="233">
        <v>0</v>
      </c>
      <c r="Q868" s="232">
        <v>87693</v>
      </c>
      <c r="R868" s="233">
        <f t="shared" si="13"/>
        <v>1600262</v>
      </c>
      <c r="S868" s="232"/>
      <c r="T868" s="233">
        <v>773641</v>
      </c>
      <c r="U868" s="234">
        <v>-24491</v>
      </c>
      <c r="V868" s="234">
        <v>749150</v>
      </c>
    </row>
    <row r="869" spans="1:22">
      <c r="A869" s="227">
        <v>99521</v>
      </c>
      <c r="B869" s="228" t="s">
        <v>1579</v>
      </c>
      <c r="C869" s="87">
        <v>4.0180000000000001E-4</v>
      </c>
      <c r="D869" s="87">
        <v>4.0989999999999999E-4</v>
      </c>
      <c r="E869" s="232">
        <v>150146.22</v>
      </c>
      <c r="F869" s="232">
        <v>183961</v>
      </c>
      <c r="G869" s="232">
        <v>852754</v>
      </c>
      <c r="H869" s="232"/>
      <c r="I869" s="233">
        <v>16022</v>
      </c>
      <c r="J869" s="233">
        <v>747285</v>
      </c>
      <c r="K869" s="233">
        <v>58406</v>
      </c>
      <c r="L869" s="232">
        <v>1435</v>
      </c>
      <c r="M869" s="232"/>
      <c r="N869" s="233">
        <v>29881</v>
      </c>
      <c r="O869" s="233">
        <v>275819</v>
      </c>
      <c r="P869" s="233">
        <v>0</v>
      </c>
      <c r="Q869" s="232">
        <v>21691</v>
      </c>
      <c r="R869" s="233">
        <f t="shared" si="13"/>
        <v>471466</v>
      </c>
      <c r="S869" s="232"/>
      <c r="T869" s="233">
        <v>227929</v>
      </c>
      <c r="U869" s="234">
        <v>-5406</v>
      </c>
      <c r="V869" s="234">
        <v>222522</v>
      </c>
    </row>
    <row r="870" spans="1:22">
      <c r="A870" s="227">
        <v>99527</v>
      </c>
      <c r="B870" s="228" t="s">
        <v>1580</v>
      </c>
      <c r="C870" s="87">
        <v>1.2099999999999999E-5</v>
      </c>
      <c r="D870" s="87">
        <v>1.1800000000000001E-5</v>
      </c>
      <c r="E870" s="232">
        <v>5273.87</v>
      </c>
      <c r="F870" s="232">
        <v>5296</v>
      </c>
      <c r="G870" s="232">
        <v>25680</v>
      </c>
      <c r="H870" s="232"/>
      <c r="I870" s="233">
        <v>482</v>
      </c>
      <c r="J870" s="233">
        <v>22504</v>
      </c>
      <c r="K870" s="233">
        <v>1759</v>
      </c>
      <c r="L870" s="232">
        <v>1404</v>
      </c>
      <c r="M870" s="232"/>
      <c r="N870" s="233">
        <v>900</v>
      </c>
      <c r="O870" s="233">
        <v>8306</v>
      </c>
      <c r="P870" s="233">
        <v>0</v>
      </c>
      <c r="Q870" s="232">
        <v>0</v>
      </c>
      <c r="R870" s="233">
        <f t="shared" si="13"/>
        <v>14198</v>
      </c>
      <c r="S870" s="232"/>
      <c r="T870" s="233">
        <v>6864</v>
      </c>
      <c r="U870" s="234">
        <v>529</v>
      </c>
      <c r="V870" s="234">
        <v>7393</v>
      </c>
    </row>
    <row r="871" spans="1:22">
      <c r="A871" s="227">
        <v>99531</v>
      </c>
      <c r="B871" s="228" t="s">
        <v>1581</v>
      </c>
      <c r="C871" s="87">
        <v>8.7600000000000002E-5</v>
      </c>
      <c r="D871" s="87">
        <v>8.8200000000000003E-5</v>
      </c>
      <c r="E871" s="232">
        <v>67487.070000000007</v>
      </c>
      <c r="F871" s="232">
        <v>39584</v>
      </c>
      <c r="G871" s="232">
        <v>185917</v>
      </c>
      <c r="H871" s="232"/>
      <c r="I871" s="233">
        <v>3493.05</v>
      </c>
      <c r="J871" s="233">
        <v>162922</v>
      </c>
      <c r="K871" s="233">
        <v>12734</v>
      </c>
      <c r="L871" s="232">
        <v>39764</v>
      </c>
      <c r="M871" s="232"/>
      <c r="N871" s="233">
        <v>6515</v>
      </c>
      <c r="O871" s="233">
        <v>60134</v>
      </c>
      <c r="P871" s="233">
        <v>0</v>
      </c>
      <c r="Q871" s="232">
        <v>0</v>
      </c>
      <c r="R871" s="233">
        <f t="shared" si="13"/>
        <v>102788</v>
      </c>
      <c r="S871" s="232"/>
      <c r="T871" s="233">
        <v>49693</v>
      </c>
      <c r="U871" s="234">
        <v>11839</v>
      </c>
      <c r="V871" s="234">
        <v>61531</v>
      </c>
    </row>
    <row r="872" spans="1:22">
      <c r="A872" s="227">
        <v>99601</v>
      </c>
      <c r="B872" s="228" t="s">
        <v>1582</v>
      </c>
      <c r="C872" s="87">
        <v>5.2824999999999999E-3</v>
      </c>
      <c r="D872" s="87">
        <v>5.3274999999999998E-3</v>
      </c>
      <c r="E872" s="232">
        <v>2087469.1900000002</v>
      </c>
      <c r="F872" s="232">
        <v>2390950</v>
      </c>
      <c r="G872" s="232">
        <v>11211235</v>
      </c>
      <c r="H872" s="232"/>
      <c r="I872" s="233">
        <v>210640</v>
      </c>
      <c r="J872" s="233">
        <v>9824615</v>
      </c>
      <c r="K872" s="233">
        <v>767869</v>
      </c>
      <c r="L872" s="232">
        <v>60572</v>
      </c>
      <c r="M872" s="232"/>
      <c r="N872" s="233">
        <v>392854</v>
      </c>
      <c r="O872" s="233">
        <v>3626214</v>
      </c>
      <c r="P872" s="233">
        <v>0</v>
      </c>
      <c r="Q872" s="232">
        <v>101945</v>
      </c>
      <c r="R872" s="233">
        <f t="shared" si="13"/>
        <v>6198401</v>
      </c>
      <c r="S872" s="232"/>
      <c r="T872" s="233">
        <v>2996598</v>
      </c>
      <c r="U872" s="234">
        <v>-7395</v>
      </c>
      <c r="V872" s="234">
        <v>2989204</v>
      </c>
    </row>
    <row r="873" spans="1:22">
      <c r="A873" s="227">
        <v>99602</v>
      </c>
      <c r="B873" s="228" t="s">
        <v>1583</v>
      </c>
      <c r="C873" s="87">
        <v>5.1700000000000003E-5</v>
      </c>
      <c r="D873" s="87">
        <v>5.13E-5</v>
      </c>
      <c r="E873" s="232">
        <v>23478.31</v>
      </c>
      <c r="F873" s="232">
        <v>23023</v>
      </c>
      <c r="G873" s="232">
        <v>109725</v>
      </c>
      <c r="H873" s="232"/>
      <c r="I873" s="233">
        <v>2062</v>
      </c>
      <c r="J873" s="233">
        <v>96154</v>
      </c>
      <c r="K873" s="233">
        <v>7515</v>
      </c>
      <c r="L873" s="232">
        <v>5410</v>
      </c>
      <c r="M873" s="232"/>
      <c r="N873" s="233">
        <v>3845</v>
      </c>
      <c r="O873" s="233">
        <v>35490</v>
      </c>
      <c r="P873" s="233">
        <v>0</v>
      </c>
      <c r="Q873" s="232">
        <v>4155</v>
      </c>
      <c r="R873" s="233">
        <f t="shared" si="13"/>
        <v>60664</v>
      </c>
      <c r="S873" s="232"/>
      <c r="T873" s="233">
        <v>29328</v>
      </c>
      <c r="U873" s="234">
        <v>-358</v>
      </c>
      <c r="V873" s="234">
        <v>28969</v>
      </c>
    </row>
    <row r="874" spans="1:22">
      <c r="A874" s="227">
        <v>99603</v>
      </c>
      <c r="B874" s="228" t="s">
        <v>1584</v>
      </c>
      <c r="C874" s="87">
        <v>1.4219999999999999E-4</v>
      </c>
      <c r="D874" s="87">
        <v>1.474E-4</v>
      </c>
      <c r="E874" s="232">
        <v>137622.59000000003</v>
      </c>
      <c r="F874" s="232">
        <v>66152</v>
      </c>
      <c r="G874" s="232">
        <v>301796</v>
      </c>
      <c r="H874" s="232"/>
      <c r="I874" s="233">
        <v>5670</v>
      </c>
      <c r="J874" s="233">
        <v>264470</v>
      </c>
      <c r="K874" s="233">
        <v>20670</v>
      </c>
      <c r="L874" s="232">
        <v>103545</v>
      </c>
      <c r="M874" s="232"/>
      <c r="N874" s="233">
        <v>10575</v>
      </c>
      <c r="O874" s="233">
        <v>97614</v>
      </c>
      <c r="P874" s="233">
        <v>0</v>
      </c>
      <c r="Q874" s="232">
        <v>0</v>
      </c>
      <c r="R874" s="233">
        <f t="shared" si="13"/>
        <v>166856</v>
      </c>
      <c r="S874" s="232"/>
      <c r="T874" s="233">
        <v>80666</v>
      </c>
      <c r="U874" s="234">
        <v>31526</v>
      </c>
      <c r="V874" s="234">
        <v>112191</v>
      </c>
    </row>
    <row r="875" spans="1:22">
      <c r="A875" s="227">
        <v>99604</v>
      </c>
      <c r="B875" s="228" t="s">
        <v>1585</v>
      </c>
      <c r="C875" s="87">
        <v>9.6899999999999997E-5</v>
      </c>
      <c r="D875" s="87">
        <v>9.3300000000000005E-5</v>
      </c>
      <c r="E875" s="232">
        <v>45605.87000000001</v>
      </c>
      <c r="F875" s="232">
        <v>41872</v>
      </c>
      <c r="G875" s="232">
        <v>205654</v>
      </c>
      <c r="H875" s="232"/>
      <c r="I875" s="233">
        <v>3864</v>
      </c>
      <c r="J875" s="233">
        <v>180219</v>
      </c>
      <c r="K875" s="233">
        <v>14085</v>
      </c>
      <c r="L875" s="232">
        <v>20600</v>
      </c>
      <c r="M875" s="232"/>
      <c r="N875" s="233">
        <v>7206</v>
      </c>
      <c r="O875" s="233">
        <v>66518</v>
      </c>
      <c r="P875" s="233">
        <v>0</v>
      </c>
      <c r="Q875" s="232">
        <v>0</v>
      </c>
      <c r="R875" s="233">
        <f t="shared" si="13"/>
        <v>113701</v>
      </c>
      <c r="S875" s="232"/>
      <c r="T875" s="233">
        <v>54968</v>
      </c>
      <c r="U875" s="234">
        <v>7597</v>
      </c>
      <c r="V875" s="234">
        <v>62566</v>
      </c>
    </row>
    <row r="876" spans="1:22">
      <c r="A876" s="227">
        <v>99609</v>
      </c>
      <c r="B876" s="228" t="s">
        <v>1586</v>
      </c>
      <c r="C876" s="87">
        <v>2.0999999999999999E-5</v>
      </c>
      <c r="D876" s="87">
        <v>1.98E-5</v>
      </c>
      <c r="E876" s="232">
        <v>10787.510000000002</v>
      </c>
      <c r="F876" s="232">
        <v>8886</v>
      </c>
      <c r="G876" s="232">
        <v>44569</v>
      </c>
      <c r="H876" s="232"/>
      <c r="I876" s="233">
        <v>837.375</v>
      </c>
      <c r="J876" s="233">
        <v>39057</v>
      </c>
      <c r="K876" s="233">
        <v>3053</v>
      </c>
      <c r="L876" s="232">
        <v>5629</v>
      </c>
      <c r="M876" s="232"/>
      <c r="N876" s="233">
        <v>1562</v>
      </c>
      <c r="O876" s="233">
        <v>14416</v>
      </c>
      <c r="P876" s="233">
        <v>0</v>
      </c>
      <c r="Q876" s="232">
        <v>0</v>
      </c>
      <c r="R876" s="233">
        <f t="shared" si="13"/>
        <v>24641</v>
      </c>
      <c r="S876" s="232"/>
      <c r="T876" s="233">
        <v>11913</v>
      </c>
      <c r="U876" s="234">
        <v>2074</v>
      </c>
      <c r="V876" s="234">
        <v>13986</v>
      </c>
    </row>
    <row r="877" spans="1:22">
      <c r="A877" s="227">
        <v>99610</v>
      </c>
      <c r="B877" s="228" t="s">
        <v>1587</v>
      </c>
      <c r="C877" s="87">
        <v>1.9440000000000001E-4</v>
      </c>
      <c r="D877" s="87">
        <v>1.883E-4</v>
      </c>
      <c r="E877" s="232">
        <v>78017.36</v>
      </c>
      <c r="F877" s="232">
        <v>84508</v>
      </c>
      <c r="G877" s="232">
        <v>412582</v>
      </c>
      <c r="H877" s="232"/>
      <c r="I877" s="233">
        <v>7752</v>
      </c>
      <c r="J877" s="233">
        <v>361553</v>
      </c>
      <c r="K877" s="233">
        <v>28258</v>
      </c>
      <c r="L877" s="232">
        <v>4583</v>
      </c>
      <c r="M877" s="232"/>
      <c r="N877" s="233">
        <v>14457</v>
      </c>
      <c r="O877" s="233">
        <v>133447</v>
      </c>
      <c r="P877" s="233">
        <v>0</v>
      </c>
      <c r="Q877" s="232">
        <v>1313</v>
      </c>
      <c r="R877" s="233">
        <f t="shared" si="13"/>
        <v>228106</v>
      </c>
      <c r="S877" s="232"/>
      <c r="T877" s="233">
        <v>110277</v>
      </c>
      <c r="U877" s="234">
        <v>1406</v>
      </c>
      <c r="V877" s="234">
        <v>111683</v>
      </c>
    </row>
    <row r="878" spans="1:22">
      <c r="A878" s="227">
        <v>99611</v>
      </c>
      <c r="B878" s="228" t="s">
        <v>1588</v>
      </c>
      <c r="C878" s="87">
        <v>3.1495999999999998E-3</v>
      </c>
      <c r="D878" s="87">
        <v>3.4461000000000001E-3</v>
      </c>
      <c r="E878" s="232">
        <v>1274178.99</v>
      </c>
      <c r="F878" s="232">
        <v>1546589</v>
      </c>
      <c r="G878" s="232">
        <v>6684506</v>
      </c>
      <c r="H878" s="232"/>
      <c r="I878" s="233">
        <v>125590</v>
      </c>
      <c r="J878" s="233">
        <v>5857758</v>
      </c>
      <c r="K878" s="233">
        <v>457829</v>
      </c>
      <c r="L878" s="232">
        <v>0</v>
      </c>
      <c r="M878" s="232"/>
      <c r="N878" s="233">
        <v>234233</v>
      </c>
      <c r="O878" s="233">
        <v>2162068</v>
      </c>
      <c r="P878" s="233">
        <v>0</v>
      </c>
      <c r="Q878" s="232">
        <v>295351</v>
      </c>
      <c r="R878" s="233">
        <f t="shared" si="13"/>
        <v>3695690</v>
      </c>
      <c r="S878" s="232"/>
      <c r="T878" s="233">
        <v>1786670</v>
      </c>
      <c r="U878" s="234">
        <v>-97649</v>
      </c>
      <c r="V878" s="234">
        <v>1689022</v>
      </c>
    </row>
    <row r="879" spans="1:22">
      <c r="A879" s="227">
        <v>99613</v>
      </c>
      <c r="B879" s="228" t="s">
        <v>1589</v>
      </c>
      <c r="C879" s="87">
        <v>3.369E-4</v>
      </c>
      <c r="D879" s="87">
        <v>2.6350000000000001E-4</v>
      </c>
      <c r="E879" s="232">
        <v>287693.51</v>
      </c>
      <c r="F879" s="232">
        <v>118257</v>
      </c>
      <c r="G879" s="232">
        <v>715015</v>
      </c>
      <c r="H879" s="232"/>
      <c r="I879" s="233">
        <v>13434</v>
      </c>
      <c r="J879" s="233">
        <v>626581</v>
      </c>
      <c r="K879" s="233">
        <v>48972</v>
      </c>
      <c r="L879" s="232">
        <v>227196</v>
      </c>
      <c r="M879" s="232"/>
      <c r="N879" s="233">
        <v>25055</v>
      </c>
      <c r="O879" s="233">
        <v>231268</v>
      </c>
      <c r="P879" s="233">
        <v>0</v>
      </c>
      <c r="Q879" s="232">
        <v>0</v>
      </c>
      <c r="R879" s="233">
        <f t="shared" si="13"/>
        <v>395313</v>
      </c>
      <c r="S879" s="232"/>
      <c r="T879" s="233">
        <v>191113</v>
      </c>
      <c r="U879" s="234">
        <v>65914</v>
      </c>
      <c r="V879" s="234">
        <v>257027</v>
      </c>
    </row>
    <row r="880" spans="1:22">
      <c r="A880" s="227">
        <v>99621</v>
      </c>
      <c r="B880" s="228" t="s">
        <v>1590</v>
      </c>
      <c r="C880" s="87">
        <v>3.2850000000000002E-4</v>
      </c>
      <c r="D880" s="87">
        <v>2.9550000000000003E-4</v>
      </c>
      <c r="E880" s="232">
        <v>133172.19</v>
      </c>
      <c r="F880" s="232">
        <v>132619</v>
      </c>
      <c r="G880" s="232">
        <v>697187</v>
      </c>
      <c r="H880" s="232"/>
      <c r="I880" s="233">
        <v>13098.9375</v>
      </c>
      <c r="J880" s="233">
        <v>610958</v>
      </c>
      <c r="K880" s="233">
        <v>47751</v>
      </c>
      <c r="L880" s="232">
        <v>25982</v>
      </c>
      <c r="M880" s="232"/>
      <c r="N880" s="233">
        <v>24430</v>
      </c>
      <c r="O880" s="233">
        <v>225501</v>
      </c>
      <c r="P880" s="233">
        <v>0</v>
      </c>
      <c r="Q880" s="232">
        <v>7236</v>
      </c>
      <c r="R880" s="233">
        <f t="shared" si="13"/>
        <v>385457</v>
      </c>
      <c r="S880" s="232"/>
      <c r="T880" s="233">
        <v>186348</v>
      </c>
      <c r="U880" s="234">
        <v>6510</v>
      </c>
      <c r="V880" s="234">
        <v>192858</v>
      </c>
    </row>
    <row r="881" spans="1:22">
      <c r="A881" s="227">
        <v>99623</v>
      </c>
      <c r="B881" s="228" t="s">
        <v>1591</v>
      </c>
      <c r="C881" s="87">
        <v>2.9200000000000002E-5</v>
      </c>
      <c r="D881" s="87">
        <v>2.1299999999999999E-5</v>
      </c>
      <c r="E881" s="232">
        <v>8301.6</v>
      </c>
      <c r="F881" s="232">
        <v>9559</v>
      </c>
      <c r="G881" s="232">
        <v>61972</v>
      </c>
      <c r="H881" s="232"/>
      <c r="I881" s="233">
        <v>1164</v>
      </c>
      <c r="J881" s="233">
        <v>54307</v>
      </c>
      <c r="K881" s="233">
        <v>4245</v>
      </c>
      <c r="L881" s="232">
        <v>3598</v>
      </c>
      <c r="M881" s="232"/>
      <c r="N881" s="233">
        <v>2172</v>
      </c>
      <c r="O881" s="233">
        <v>20045</v>
      </c>
      <c r="P881" s="233">
        <v>0</v>
      </c>
      <c r="Q881" s="232">
        <v>316</v>
      </c>
      <c r="R881" s="233">
        <f t="shared" si="13"/>
        <v>34262</v>
      </c>
      <c r="S881" s="232"/>
      <c r="T881" s="233">
        <v>16564</v>
      </c>
      <c r="U881" s="234">
        <v>989</v>
      </c>
      <c r="V881" s="234">
        <v>17554</v>
      </c>
    </row>
    <row r="882" spans="1:22">
      <c r="A882" s="227">
        <v>99631</v>
      </c>
      <c r="B882" s="228" t="s">
        <v>1592</v>
      </c>
      <c r="C882" s="87">
        <v>1.0340000000000001E-4</v>
      </c>
      <c r="D882" s="87">
        <v>9.8599999999999998E-5</v>
      </c>
      <c r="E882" s="232">
        <v>37652.259999999995</v>
      </c>
      <c r="F882" s="232">
        <v>44251</v>
      </c>
      <c r="G882" s="232">
        <v>219449</v>
      </c>
      <c r="H882" s="232"/>
      <c r="I882" s="233">
        <v>4123</v>
      </c>
      <c r="J882" s="233">
        <v>192308</v>
      </c>
      <c r="K882" s="233">
        <v>15030</v>
      </c>
      <c r="L882" s="232">
        <v>0</v>
      </c>
      <c r="M882" s="232"/>
      <c r="N882" s="233">
        <v>7690</v>
      </c>
      <c r="O882" s="233">
        <v>70980</v>
      </c>
      <c r="P882" s="233">
        <v>0</v>
      </c>
      <c r="Q882" s="232">
        <v>9381</v>
      </c>
      <c r="R882" s="233">
        <f t="shared" si="13"/>
        <v>121328</v>
      </c>
      <c r="S882" s="232"/>
      <c r="T882" s="233">
        <v>58656</v>
      </c>
      <c r="U882" s="234">
        <v>-4222</v>
      </c>
      <c r="V882" s="234">
        <v>54433</v>
      </c>
    </row>
    <row r="883" spans="1:22">
      <c r="A883" s="227">
        <v>99651</v>
      </c>
      <c r="B883" s="228" t="s">
        <v>1593</v>
      </c>
      <c r="C883" s="87">
        <v>6.7100000000000005E-5</v>
      </c>
      <c r="D883" s="87">
        <v>5.7500000000000002E-5</v>
      </c>
      <c r="E883" s="232">
        <v>24616.559999999998</v>
      </c>
      <c r="F883" s="232">
        <v>25806</v>
      </c>
      <c r="G883" s="232">
        <v>142409</v>
      </c>
      <c r="H883" s="232"/>
      <c r="I883" s="233">
        <v>2676</v>
      </c>
      <c r="J883" s="233">
        <v>124795</v>
      </c>
      <c r="K883" s="233">
        <v>9754</v>
      </c>
      <c r="L883" s="232">
        <v>8790</v>
      </c>
      <c r="M883" s="232"/>
      <c r="N883" s="233">
        <v>4990</v>
      </c>
      <c r="O883" s="233">
        <v>46061</v>
      </c>
      <c r="P883" s="233">
        <v>0</v>
      </c>
      <c r="Q883" s="232">
        <v>2840</v>
      </c>
      <c r="R883" s="233">
        <f t="shared" si="13"/>
        <v>78734</v>
      </c>
      <c r="S883" s="232"/>
      <c r="T883" s="233">
        <v>38064</v>
      </c>
      <c r="U883" s="234">
        <v>1419</v>
      </c>
      <c r="V883" s="234">
        <v>39483</v>
      </c>
    </row>
    <row r="884" spans="1:22">
      <c r="A884" s="227">
        <v>99661</v>
      </c>
      <c r="B884" s="228" t="s">
        <v>1594</v>
      </c>
      <c r="C884" s="87">
        <v>3.5500000000000002E-5</v>
      </c>
      <c r="D884" s="87">
        <v>3.4900000000000001E-5</v>
      </c>
      <c r="E884" s="232">
        <v>34311.1</v>
      </c>
      <c r="F884" s="232">
        <v>15663</v>
      </c>
      <c r="G884" s="232">
        <v>75343</v>
      </c>
      <c r="H884" s="232"/>
      <c r="I884" s="233">
        <v>1415.5625</v>
      </c>
      <c r="J884" s="233">
        <v>66024</v>
      </c>
      <c r="K884" s="233">
        <v>5160</v>
      </c>
      <c r="L884" s="232">
        <v>30447</v>
      </c>
      <c r="M884" s="232"/>
      <c r="N884" s="233">
        <v>2640</v>
      </c>
      <c r="O884" s="233">
        <v>24369</v>
      </c>
      <c r="P884" s="233">
        <v>0</v>
      </c>
      <c r="Q884" s="232">
        <v>0</v>
      </c>
      <c r="R884" s="233">
        <f t="shared" si="13"/>
        <v>41655</v>
      </c>
      <c r="S884" s="232"/>
      <c r="T884" s="233">
        <v>20138</v>
      </c>
      <c r="U884" s="234">
        <v>9415</v>
      </c>
      <c r="V884" s="234">
        <v>29553</v>
      </c>
    </row>
    <row r="885" spans="1:22">
      <c r="A885" s="227">
        <v>99701</v>
      </c>
      <c r="B885" s="228" t="s">
        <v>1595</v>
      </c>
      <c r="C885" s="87">
        <v>2.8774E-3</v>
      </c>
      <c r="D885" s="87">
        <v>2.7742000000000001E-3</v>
      </c>
      <c r="E885" s="232">
        <v>1127824.9099999999</v>
      </c>
      <c r="F885" s="232">
        <v>1245044</v>
      </c>
      <c r="G885" s="232">
        <v>6106807</v>
      </c>
      <c r="H885" s="232"/>
      <c r="I885" s="233">
        <v>114736</v>
      </c>
      <c r="J885" s="233">
        <v>5351509</v>
      </c>
      <c r="K885" s="233">
        <v>418262</v>
      </c>
      <c r="L885" s="232">
        <v>31037</v>
      </c>
      <c r="M885" s="232"/>
      <c r="N885" s="233">
        <v>213989</v>
      </c>
      <c r="O885" s="233">
        <v>1975214</v>
      </c>
      <c r="P885" s="233">
        <v>0</v>
      </c>
      <c r="Q885" s="232">
        <v>19671</v>
      </c>
      <c r="R885" s="233">
        <f t="shared" si="13"/>
        <v>3376295</v>
      </c>
      <c r="S885" s="232"/>
      <c r="T885" s="233">
        <v>1632260</v>
      </c>
      <c r="U885" s="234">
        <v>-10</v>
      </c>
      <c r="V885" s="234">
        <v>1632250</v>
      </c>
    </row>
    <row r="886" spans="1:22">
      <c r="A886" s="227">
        <v>99705</v>
      </c>
      <c r="B886" s="228" t="s">
        <v>1596</v>
      </c>
      <c r="C886" s="87">
        <v>1.7259999999999999E-4</v>
      </c>
      <c r="D886" s="87">
        <v>1.7660000000000001E-4</v>
      </c>
      <c r="E886" s="232">
        <v>76713.119999999995</v>
      </c>
      <c r="F886" s="232">
        <v>79257</v>
      </c>
      <c r="G886" s="232">
        <v>366315</v>
      </c>
      <c r="H886" s="232"/>
      <c r="I886" s="233">
        <v>6882</v>
      </c>
      <c r="J886" s="233">
        <v>321009</v>
      </c>
      <c r="K886" s="233">
        <v>25089</v>
      </c>
      <c r="L886" s="232">
        <v>11090</v>
      </c>
      <c r="M886" s="232"/>
      <c r="N886" s="233">
        <v>12836</v>
      </c>
      <c r="O886" s="233">
        <v>118483</v>
      </c>
      <c r="P886" s="233">
        <v>0</v>
      </c>
      <c r="Q886" s="232">
        <v>842</v>
      </c>
      <c r="R886" s="233">
        <f t="shared" si="13"/>
        <v>202526</v>
      </c>
      <c r="S886" s="232"/>
      <c r="T886" s="233">
        <v>97911</v>
      </c>
      <c r="U886" s="234">
        <v>4693</v>
      </c>
      <c r="V886" s="234">
        <v>102604</v>
      </c>
    </row>
    <row r="887" spans="1:22">
      <c r="A887" s="227">
        <v>99711</v>
      </c>
      <c r="B887" s="228" t="s">
        <v>1597</v>
      </c>
      <c r="C887" s="87">
        <v>4.3540000000000001E-4</v>
      </c>
      <c r="D887" s="87">
        <v>4.506E-4</v>
      </c>
      <c r="E887" s="232">
        <v>185440.27</v>
      </c>
      <c r="F887" s="232">
        <v>202227</v>
      </c>
      <c r="G887" s="232">
        <v>924065</v>
      </c>
      <c r="H887" s="232"/>
      <c r="I887" s="233">
        <v>17362</v>
      </c>
      <c r="J887" s="233">
        <v>809775</v>
      </c>
      <c r="K887" s="233">
        <v>63290</v>
      </c>
      <c r="L887" s="232">
        <v>1891</v>
      </c>
      <c r="M887" s="232"/>
      <c r="N887" s="233">
        <v>32380</v>
      </c>
      <c r="O887" s="233">
        <v>298884</v>
      </c>
      <c r="P887" s="233">
        <v>0</v>
      </c>
      <c r="Q887" s="232">
        <v>15994</v>
      </c>
      <c r="R887" s="233">
        <f t="shared" si="13"/>
        <v>510891</v>
      </c>
      <c r="S887" s="232"/>
      <c r="T887" s="233">
        <v>246989</v>
      </c>
      <c r="U887" s="234">
        <v>-4419</v>
      </c>
      <c r="V887" s="234">
        <v>242569</v>
      </c>
    </row>
    <row r="888" spans="1:22">
      <c r="A888" s="227">
        <v>99717</v>
      </c>
      <c r="B888" s="228" t="s">
        <v>1598</v>
      </c>
      <c r="C888" s="87">
        <v>2.3200000000000001E-5</v>
      </c>
      <c r="D888" s="87">
        <v>2.2399999999999999E-5</v>
      </c>
      <c r="E888" s="232">
        <v>7624.5799999999981</v>
      </c>
      <c r="F888" s="232">
        <v>10053</v>
      </c>
      <c r="G888" s="232">
        <v>49238</v>
      </c>
      <c r="H888" s="232"/>
      <c r="I888" s="233">
        <v>925.1</v>
      </c>
      <c r="J888" s="233">
        <v>43148</v>
      </c>
      <c r="K888" s="233">
        <v>3372</v>
      </c>
      <c r="L888" s="232">
        <v>0</v>
      </c>
      <c r="M888" s="232"/>
      <c r="N888" s="233">
        <v>1725</v>
      </c>
      <c r="O888" s="233">
        <v>15926</v>
      </c>
      <c r="P888" s="233">
        <v>0</v>
      </c>
      <c r="Q888" s="232">
        <v>2122</v>
      </c>
      <c r="R888" s="233">
        <f t="shared" si="13"/>
        <v>27222</v>
      </c>
      <c r="S888" s="232"/>
      <c r="T888" s="233">
        <v>13161</v>
      </c>
      <c r="U888" s="234">
        <v>-653</v>
      </c>
      <c r="V888" s="234">
        <v>12508</v>
      </c>
    </row>
    <row r="889" spans="1:22">
      <c r="A889" s="227">
        <v>99721</v>
      </c>
      <c r="B889" s="228" t="s">
        <v>1599</v>
      </c>
      <c r="C889" s="87">
        <v>6.2449999999999995E-4</v>
      </c>
      <c r="D889" s="87">
        <v>5.8460000000000001E-4</v>
      </c>
      <c r="E889" s="232">
        <v>220767.11</v>
      </c>
      <c r="F889" s="232">
        <v>262365</v>
      </c>
      <c r="G889" s="232">
        <v>1325398</v>
      </c>
      <c r="H889" s="232"/>
      <c r="I889" s="233">
        <v>24902</v>
      </c>
      <c r="J889" s="233">
        <v>1161471</v>
      </c>
      <c r="K889" s="233">
        <v>90778</v>
      </c>
      <c r="L889" s="232">
        <v>0</v>
      </c>
      <c r="M889" s="232"/>
      <c r="N889" s="233">
        <v>46443</v>
      </c>
      <c r="O889" s="233">
        <v>428693</v>
      </c>
      <c r="P889" s="233">
        <v>0</v>
      </c>
      <c r="Q889" s="232">
        <v>11340</v>
      </c>
      <c r="R889" s="233">
        <f t="shared" si="13"/>
        <v>732778</v>
      </c>
      <c r="S889" s="232"/>
      <c r="T889" s="233">
        <v>354259</v>
      </c>
      <c r="U889" s="234">
        <v>-3889</v>
      </c>
      <c r="V889" s="234">
        <v>350371</v>
      </c>
    </row>
    <row r="890" spans="1:22">
      <c r="A890" s="227">
        <v>99727</v>
      </c>
      <c r="B890" s="228" t="s">
        <v>1600</v>
      </c>
      <c r="C890" s="87">
        <v>2.5299999999999998E-5</v>
      </c>
      <c r="D890" s="87">
        <v>2.8099999999999999E-5</v>
      </c>
      <c r="E890" s="232">
        <v>45027.6</v>
      </c>
      <c r="F890" s="232">
        <v>12611</v>
      </c>
      <c r="G890" s="232">
        <v>53695</v>
      </c>
      <c r="H890" s="232"/>
      <c r="I890" s="233">
        <v>1008.8375</v>
      </c>
      <c r="J890" s="233">
        <v>47054</v>
      </c>
      <c r="K890" s="233">
        <v>3678</v>
      </c>
      <c r="L890" s="232">
        <v>46298</v>
      </c>
      <c r="M890" s="232"/>
      <c r="N890" s="233">
        <v>1882</v>
      </c>
      <c r="O890" s="233">
        <v>17367</v>
      </c>
      <c r="P890" s="233">
        <v>0</v>
      </c>
      <c r="Q890" s="232">
        <v>0</v>
      </c>
      <c r="R890" s="233">
        <f t="shared" si="13"/>
        <v>29687</v>
      </c>
      <c r="S890" s="232"/>
      <c r="T890" s="233">
        <v>14352</v>
      </c>
      <c r="U890" s="234">
        <v>14150</v>
      </c>
      <c r="V890" s="234">
        <v>28501</v>
      </c>
    </row>
    <row r="891" spans="1:22">
      <c r="A891" s="227">
        <v>99801</v>
      </c>
      <c r="B891" s="228" t="s">
        <v>1601</v>
      </c>
      <c r="C891" s="87">
        <v>5.1954999999999996E-3</v>
      </c>
      <c r="D891" s="87">
        <v>5.0806999999999996E-3</v>
      </c>
      <c r="E891" s="232">
        <v>2017956.21</v>
      </c>
      <c r="F891" s="232">
        <v>2280188</v>
      </c>
      <c r="G891" s="232">
        <v>11026591</v>
      </c>
      <c r="H891" s="232"/>
      <c r="I891" s="233">
        <v>207171</v>
      </c>
      <c r="J891" s="233">
        <v>9662809</v>
      </c>
      <c r="K891" s="233">
        <v>755223</v>
      </c>
      <c r="L891" s="232">
        <v>34255.86</v>
      </c>
      <c r="M891" s="232"/>
      <c r="N891" s="233">
        <v>386384</v>
      </c>
      <c r="O891" s="233">
        <v>3566493</v>
      </c>
      <c r="P891" s="233">
        <v>0</v>
      </c>
      <c r="Q891" s="232">
        <v>67721</v>
      </c>
      <c r="R891" s="233">
        <f t="shared" si="13"/>
        <v>6096316</v>
      </c>
      <c r="S891" s="232"/>
      <c r="T891" s="233">
        <v>2947246</v>
      </c>
      <c r="U891" s="234">
        <v>-3738</v>
      </c>
      <c r="V891" s="234">
        <v>2943508</v>
      </c>
    </row>
    <row r="892" spans="1:22">
      <c r="A892" s="227">
        <v>99802</v>
      </c>
      <c r="B892" s="228" t="s">
        <v>1602</v>
      </c>
      <c r="C892" s="87">
        <v>6.4999999999999996E-6</v>
      </c>
      <c r="D892" s="87">
        <v>7.7000000000000008E-6</v>
      </c>
      <c r="E892" s="232">
        <v>3763.7499999999995</v>
      </c>
      <c r="F892" s="232">
        <v>3456</v>
      </c>
      <c r="G892" s="232">
        <v>13795</v>
      </c>
      <c r="H892" s="232"/>
      <c r="I892" s="233">
        <v>259.1875</v>
      </c>
      <c r="J892" s="233">
        <v>12089</v>
      </c>
      <c r="K892" s="233">
        <v>945</v>
      </c>
      <c r="L892" s="232">
        <v>358</v>
      </c>
      <c r="M892" s="232"/>
      <c r="N892" s="233">
        <v>483</v>
      </c>
      <c r="O892" s="233">
        <v>4462</v>
      </c>
      <c r="P892" s="233">
        <v>0</v>
      </c>
      <c r="Q892" s="232">
        <v>107</v>
      </c>
      <c r="R892" s="233">
        <f t="shared" si="13"/>
        <v>7627</v>
      </c>
      <c r="S892" s="232"/>
      <c r="T892" s="233">
        <v>3687</v>
      </c>
      <c r="U892" s="234">
        <v>52</v>
      </c>
      <c r="V892" s="234">
        <v>3740</v>
      </c>
    </row>
    <row r="893" spans="1:22">
      <c r="A893" s="227">
        <v>99804</v>
      </c>
      <c r="B893" s="228" t="s">
        <v>1603</v>
      </c>
      <c r="C893" s="87">
        <v>8.6600000000000004E-5</v>
      </c>
      <c r="D893" s="87">
        <v>8.7999999999999998E-5</v>
      </c>
      <c r="E893" s="232">
        <v>41606.69999999999</v>
      </c>
      <c r="F893" s="232">
        <v>39494</v>
      </c>
      <c r="G893" s="232">
        <v>183794</v>
      </c>
      <c r="H893" s="232"/>
      <c r="I893" s="233">
        <v>3453</v>
      </c>
      <c r="J893" s="233">
        <v>161062</v>
      </c>
      <c r="K893" s="233">
        <v>12588</v>
      </c>
      <c r="L893" s="232">
        <v>10128</v>
      </c>
      <c r="M893" s="232"/>
      <c r="N893" s="233">
        <v>6440</v>
      </c>
      <c r="O893" s="233">
        <v>59447</v>
      </c>
      <c r="P893" s="233">
        <v>0</v>
      </c>
      <c r="Q893" s="232">
        <v>0</v>
      </c>
      <c r="R893" s="233">
        <f t="shared" si="13"/>
        <v>101615</v>
      </c>
      <c r="S893" s="232"/>
      <c r="T893" s="233">
        <v>49125</v>
      </c>
      <c r="U893" s="234">
        <v>3221</v>
      </c>
      <c r="V893" s="234">
        <v>52347</v>
      </c>
    </row>
    <row r="894" spans="1:22">
      <c r="A894" s="227">
        <v>99811</v>
      </c>
      <c r="B894" s="228" t="s">
        <v>1604</v>
      </c>
      <c r="C894" s="87">
        <v>6.8415000000000004E-3</v>
      </c>
      <c r="D894" s="87">
        <v>6.9579999999999998E-3</v>
      </c>
      <c r="E894" s="232">
        <v>2561770.62</v>
      </c>
      <c r="F894" s="232">
        <v>3122709</v>
      </c>
      <c r="G894" s="232">
        <v>14519955</v>
      </c>
      <c r="H894" s="232"/>
      <c r="I894" s="233">
        <v>272805</v>
      </c>
      <c r="J894" s="233">
        <v>12724109</v>
      </c>
      <c r="K894" s="233">
        <v>994487</v>
      </c>
      <c r="L894" s="232">
        <v>0</v>
      </c>
      <c r="M894" s="232"/>
      <c r="N894" s="233">
        <v>508796</v>
      </c>
      <c r="O894" s="233">
        <v>4696402</v>
      </c>
      <c r="P894" s="233">
        <v>0</v>
      </c>
      <c r="Q894" s="232">
        <v>526561</v>
      </c>
      <c r="R894" s="233">
        <f t="shared" si="13"/>
        <v>8027707</v>
      </c>
      <c r="S894" s="232"/>
      <c r="T894" s="233">
        <v>3880971</v>
      </c>
      <c r="U894" s="234">
        <v>-175139</v>
      </c>
      <c r="V894" s="234">
        <v>3705832</v>
      </c>
    </row>
    <row r="895" spans="1:22">
      <c r="A895" s="227">
        <v>99812</v>
      </c>
      <c r="B895" s="228" t="s">
        <v>1605</v>
      </c>
      <c r="C895" s="87">
        <v>2.5599999999999999E-5</v>
      </c>
      <c r="D895" s="87">
        <v>2.7399999999999999E-5</v>
      </c>
      <c r="E895" s="232">
        <v>18003.280000000006</v>
      </c>
      <c r="F895" s="232">
        <v>12297</v>
      </c>
      <c r="G895" s="232">
        <v>54332</v>
      </c>
      <c r="H895" s="232"/>
      <c r="I895" s="233">
        <v>1020.8</v>
      </c>
      <c r="J895" s="233">
        <v>47612</v>
      </c>
      <c r="K895" s="233">
        <v>3721</v>
      </c>
      <c r="L895" s="232">
        <v>8899</v>
      </c>
      <c r="M895" s="232"/>
      <c r="N895" s="233">
        <v>1904</v>
      </c>
      <c r="O895" s="233">
        <v>17573</v>
      </c>
      <c r="P895" s="233">
        <v>0</v>
      </c>
      <c r="Q895" s="232">
        <v>0</v>
      </c>
      <c r="R895" s="233">
        <f t="shared" si="13"/>
        <v>30039</v>
      </c>
      <c r="S895" s="232"/>
      <c r="T895" s="233">
        <v>14522</v>
      </c>
      <c r="U895" s="234">
        <v>2839</v>
      </c>
      <c r="V895" s="234">
        <v>17361</v>
      </c>
    </row>
    <row r="896" spans="1:22">
      <c r="A896" s="227">
        <v>99818</v>
      </c>
      <c r="B896" s="228" t="s">
        <v>1606</v>
      </c>
      <c r="C896" s="87">
        <v>3.7700000000000002E-5</v>
      </c>
      <c r="D896" s="87">
        <v>4.4199999999999997E-5</v>
      </c>
      <c r="E896" s="232">
        <v>16175.140000000003</v>
      </c>
      <c r="F896" s="232">
        <v>19837</v>
      </c>
      <c r="G896" s="232">
        <v>80012</v>
      </c>
      <c r="H896" s="232"/>
      <c r="I896" s="233">
        <v>1503</v>
      </c>
      <c r="J896" s="233">
        <v>70116</v>
      </c>
      <c r="K896" s="233">
        <v>5480</v>
      </c>
      <c r="L896" s="232">
        <v>5574</v>
      </c>
      <c r="M896" s="232"/>
      <c r="N896" s="233">
        <v>2804</v>
      </c>
      <c r="O896" s="233">
        <v>25879</v>
      </c>
      <c r="P896" s="233">
        <v>0</v>
      </c>
      <c r="Q896" s="232">
        <v>2988</v>
      </c>
      <c r="R896" s="233">
        <f t="shared" si="13"/>
        <v>44237</v>
      </c>
      <c r="S896" s="232"/>
      <c r="T896" s="233">
        <v>21386</v>
      </c>
      <c r="U896" s="234">
        <v>1745</v>
      </c>
      <c r="V896" s="234">
        <v>23131</v>
      </c>
    </row>
    <row r="897" spans="1:22">
      <c r="A897" s="227">
        <v>99821</v>
      </c>
      <c r="B897" s="228" t="s">
        <v>1607</v>
      </c>
      <c r="C897" s="87">
        <v>8.2899999999999996E-5</v>
      </c>
      <c r="D897" s="87">
        <v>8.42E-5</v>
      </c>
      <c r="E897" s="232">
        <v>42679.99</v>
      </c>
      <c r="F897" s="232">
        <v>37788</v>
      </c>
      <c r="G897" s="232">
        <v>175942</v>
      </c>
      <c r="H897" s="232"/>
      <c r="I897" s="233">
        <v>3306</v>
      </c>
      <c r="J897" s="233">
        <v>154181</v>
      </c>
      <c r="K897" s="233">
        <v>12050</v>
      </c>
      <c r="L897" s="232">
        <v>17868</v>
      </c>
      <c r="M897" s="232"/>
      <c r="N897" s="233">
        <v>6165</v>
      </c>
      <c r="O897" s="233">
        <v>56907</v>
      </c>
      <c r="P897" s="233">
        <v>0</v>
      </c>
      <c r="Q897" s="232">
        <v>860</v>
      </c>
      <c r="R897" s="233">
        <f t="shared" si="13"/>
        <v>97274</v>
      </c>
      <c r="S897" s="232"/>
      <c r="T897" s="233">
        <v>47027</v>
      </c>
      <c r="U897" s="234">
        <v>7184</v>
      </c>
      <c r="V897" s="234">
        <v>54211</v>
      </c>
    </row>
    <row r="898" spans="1:22">
      <c r="A898" s="227">
        <v>99831</v>
      </c>
      <c r="B898" s="228" t="s">
        <v>1608</v>
      </c>
      <c r="C898" s="87">
        <v>5.5899999999999997E-5</v>
      </c>
      <c r="D898" s="87">
        <v>5.0699999999999999E-5</v>
      </c>
      <c r="E898" s="232">
        <v>23539.8</v>
      </c>
      <c r="F898" s="232">
        <v>22754</v>
      </c>
      <c r="G898" s="232">
        <v>118639</v>
      </c>
      <c r="H898" s="232"/>
      <c r="I898" s="233">
        <v>2229</v>
      </c>
      <c r="J898" s="233">
        <v>103965</v>
      </c>
      <c r="K898" s="233">
        <v>8126</v>
      </c>
      <c r="L898" s="232">
        <v>3830</v>
      </c>
      <c r="M898" s="232"/>
      <c r="N898" s="233">
        <v>4157</v>
      </c>
      <c r="O898" s="233">
        <v>38373</v>
      </c>
      <c r="P898" s="233">
        <v>0</v>
      </c>
      <c r="Q898" s="232">
        <v>873</v>
      </c>
      <c r="R898" s="233">
        <f t="shared" si="13"/>
        <v>65592</v>
      </c>
      <c r="S898" s="232"/>
      <c r="T898" s="233">
        <v>31710</v>
      </c>
      <c r="U898" s="234">
        <v>823</v>
      </c>
      <c r="V898" s="234">
        <v>32533</v>
      </c>
    </row>
    <row r="899" spans="1:22">
      <c r="A899" s="227">
        <v>99841</v>
      </c>
      <c r="B899" s="228" t="s">
        <v>1609</v>
      </c>
      <c r="C899" s="87">
        <v>4.6E-5</v>
      </c>
      <c r="D899" s="87">
        <v>4.6699999999999997E-5</v>
      </c>
      <c r="E899" s="232">
        <v>18090.39</v>
      </c>
      <c r="F899" s="232">
        <v>20959</v>
      </c>
      <c r="G899" s="232">
        <v>97627.41</v>
      </c>
      <c r="H899" s="232"/>
      <c r="I899" s="233">
        <v>1834.25</v>
      </c>
      <c r="J899" s="233">
        <v>85553</v>
      </c>
      <c r="K899" s="233">
        <v>6687</v>
      </c>
      <c r="L899" s="232">
        <v>1970</v>
      </c>
      <c r="M899" s="232"/>
      <c r="N899" s="233">
        <v>3421</v>
      </c>
      <c r="O899" s="233">
        <v>31577</v>
      </c>
      <c r="P899" s="233">
        <v>0</v>
      </c>
      <c r="Q899" s="232">
        <v>3207</v>
      </c>
      <c r="R899" s="233">
        <f t="shared" si="13"/>
        <v>53976</v>
      </c>
      <c r="S899" s="232"/>
      <c r="T899" s="233">
        <v>26094</v>
      </c>
      <c r="U899" s="234">
        <v>-661</v>
      </c>
      <c r="V899" s="234">
        <v>25434</v>
      </c>
    </row>
    <row r="900" spans="1:22">
      <c r="A900" s="227">
        <v>99851</v>
      </c>
      <c r="B900" s="228" t="s">
        <v>1610</v>
      </c>
      <c r="C900" s="87">
        <v>2.1999999999999999E-5</v>
      </c>
      <c r="D900" s="87">
        <v>2.0299999999999999E-5</v>
      </c>
      <c r="E900" s="232">
        <v>6172.1500000000005</v>
      </c>
      <c r="F900" s="232">
        <v>9111</v>
      </c>
      <c r="G900" s="232">
        <v>46691</v>
      </c>
      <c r="H900" s="232"/>
      <c r="I900" s="233">
        <v>877.25</v>
      </c>
      <c r="J900" s="233">
        <v>40917</v>
      </c>
      <c r="K900" s="233">
        <v>3198</v>
      </c>
      <c r="L900" s="232">
        <v>221</v>
      </c>
      <c r="M900" s="232"/>
      <c r="N900" s="233">
        <v>1636</v>
      </c>
      <c r="O900" s="233">
        <v>15102</v>
      </c>
      <c r="P900" s="233">
        <v>0</v>
      </c>
      <c r="Q900" s="232">
        <v>1432</v>
      </c>
      <c r="R900" s="233">
        <f t="shared" si="13"/>
        <v>25815</v>
      </c>
      <c r="S900" s="232"/>
      <c r="T900" s="233">
        <v>12480</v>
      </c>
      <c r="U900" s="234">
        <v>-310</v>
      </c>
      <c r="V900" s="234">
        <v>12170</v>
      </c>
    </row>
    <row r="901" spans="1:22">
      <c r="A901" s="227">
        <v>99901</v>
      </c>
      <c r="B901" s="228" t="s">
        <v>1611</v>
      </c>
      <c r="C901" s="87">
        <v>1.6371999999999999E-3</v>
      </c>
      <c r="D901" s="87">
        <v>1.5259E-3</v>
      </c>
      <c r="E901" s="232">
        <v>635103.91</v>
      </c>
      <c r="F901" s="232">
        <v>684815</v>
      </c>
      <c r="G901" s="232">
        <v>3474687</v>
      </c>
      <c r="H901" s="232"/>
      <c r="I901" s="233">
        <v>65283.35</v>
      </c>
      <c r="J901" s="233">
        <v>3044933</v>
      </c>
      <c r="K901" s="233">
        <v>237985</v>
      </c>
      <c r="L901" s="232">
        <v>67178</v>
      </c>
      <c r="M901" s="232"/>
      <c r="N901" s="233">
        <v>121757</v>
      </c>
      <c r="O901" s="233">
        <v>1123869</v>
      </c>
      <c r="P901" s="233">
        <v>0</v>
      </c>
      <c r="Q901" s="232">
        <v>24162.58</v>
      </c>
      <c r="R901" s="233">
        <f t="shared" si="13"/>
        <v>1921064</v>
      </c>
      <c r="S901" s="232"/>
      <c r="T901" s="233">
        <v>928733</v>
      </c>
      <c r="U901" s="234">
        <v>8817</v>
      </c>
      <c r="V901" s="234">
        <v>937550</v>
      </c>
    </row>
    <row r="902" spans="1:22">
      <c r="A902" s="227">
        <v>99911</v>
      </c>
      <c r="B902" s="228" t="s">
        <v>1612</v>
      </c>
      <c r="C902" s="87">
        <v>2.5520000000000002E-4</v>
      </c>
      <c r="D902" s="87">
        <v>2.766E-4</v>
      </c>
      <c r="E902" s="232">
        <v>106881.59000000001</v>
      </c>
      <c r="F902" s="232">
        <v>124136</v>
      </c>
      <c r="G902" s="232">
        <v>541620</v>
      </c>
      <c r="H902" s="232"/>
      <c r="I902" s="233">
        <v>10176.1</v>
      </c>
      <c r="J902" s="233">
        <v>474632</v>
      </c>
      <c r="K902" s="233">
        <v>37096</v>
      </c>
      <c r="L902" s="232">
        <v>2863</v>
      </c>
      <c r="M902" s="232"/>
      <c r="N902" s="233">
        <v>18979</v>
      </c>
      <c r="O902" s="233">
        <v>175184</v>
      </c>
      <c r="P902" s="233">
        <v>0</v>
      </c>
      <c r="Q902" s="232">
        <v>20527</v>
      </c>
      <c r="R902" s="233">
        <f t="shared" si="13"/>
        <v>299448</v>
      </c>
      <c r="S902" s="232"/>
      <c r="T902" s="233">
        <v>144767</v>
      </c>
      <c r="U902" s="234">
        <v>-6851</v>
      </c>
      <c r="V902" s="234">
        <v>137916</v>
      </c>
    </row>
    <row r="903" spans="1:22">
      <c r="A903" s="227">
        <v>99921</v>
      </c>
      <c r="B903" s="228" t="s">
        <v>1613</v>
      </c>
      <c r="C903" s="52">
        <v>1.5129999999999999E-4</v>
      </c>
      <c r="D903" s="52">
        <v>1.3889999999999999E-4</v>
      </c>
      <c r="E903" s="232">
        <v>55802.77</v>
      </c>
      <c r="F903" s="232">
        <v>62337</v>
      </c>
      <c r="G903" s="6">
        <v>321109</v>
      </c>
      <c r="H903" s="6"/>
      <c r="I903" s="244">
        <v>6033</v>
      </c>
      <c r="J903" s="244">
        <v>281394</v>
      </c>
      <c r="K903" s="244">
        <v>21993</v>
      </c>
      <c r="L903" s="6">
        <v>4809</v>
      </c>
      <c r="M903" s="6"/>
      <c r="N903" s="244">
        <v>11252</v>
      </c>
      <c r="O903" s="244">
        <v>103861</v>
      </c>
      <c r="P903" s="244">
        <v>0</v>
      </c>
      <c r="Q903" s="6">
        <v>7353</v>
      </c>
      <c r="R903" s="233">
        <f t="shared" si="13"/>
        <v>177533</v>
      </c>
      <c r="S903" s="6"/>
      <c r="T903" s="244">
        <v>85828</v>
      </c>
      <c r="U903" s="53">
        <v>-2145</v>
      </c>
      <c r="V903" s="53">
        <v>83683</v>
      </c>
    </row>
    <row r="904" spans="1:22" s="47" customFormat="1">
      <c r="A904" s="227">
        <v>99931</v>
      </c>
      <c r="B904" s="226" t="s">
        <v>1614</v>
      </c>
      <c r="C904" s="242">
        <v>2.51E-5</v>
      </c>
      <c r="D904" s="242">
        <v>2.5700000000000001E-5</v>
      </c>
      <c r="E904" s="232">
        <v>9194.32</v>
      </c>
      <c r="F904" s="232">
        <v>11534</v>
      </c>
      <c r="G904" s="259">
        <v>53271</v>
      </c>
      <c r="H904" s="259"/>
      <c r="I904" s="259">
        <v>1000.8625</v>
      </c>
      <c r="J904" s="259">
        <v>46682</v>
      </c>
      <c r="K904" s="259">
        <v>3649</v>
      </c>
      <c r="L904" s="259">
        <v>0</v>
      </c>
      <c r="N904" s="259">
        <v>1867</v>
      </c>
      <c r="O904" s="259">
        <v>17230</v>
      </c>
      <c r="P904" s="260">
        <v>0</v>
      </c>
      <c r="Q904" s="259">
        <v>5581</v>
      </c>
      <c r="R904" s="233">
        <f t="shared" si="13"/>
        <v>29452</v>
      </c>
      <c r="S904" s="259"/>
      <c r="T904" s="259">
        <v>14238</v>
      </c>
      <c r="U904" s="259">
        <v>-2038</v>
      </c>
      <c r="V904" s="259">
        <v>12201</v>
      </c>
    </row>
    <row r="905" spans="1:22">
      <c r="A905" s="51">
        <v>99941</v>
      </c>
      <c r="B905" s="210" t="s">
        <v>1615</v>
      </c>
      <c r="C905" s="52">
        <v>7.8200000000000003E-5</v>
      </c>
      <c r="D905" s="52">
        <v>8.7899999999999995E-5</v>
      </c>
      <c r="E905" s="232">
        <v>27969.51</v>
      </c>
      <c r="F905" s="232">
        <v>39449</v>
      </c>
      <c r="G905" s="259">
        <v>165967</v>
      </c>
      <c r="H905" s="259"/>
      <c r="I905" s="259">
        <v>3118</v>
      </c>
      <c r="J905" s="259">
        <v>145440</v>
      </c>
      <c r="K905" s="259">
        <v>11367</v>
      </c>
      <c r="L905" s="259">
        <v>0</v>
      </c>
      <c r="N905" s="259">
        <v>5816</v>
      </c>
      <c r="O905" s="259">
        <v>53681</v>
      </c>
      <c r="P905" s="260">
        <v>0</v>
      </c>
      <c r="Q905" s="259">
        <v>11883</v>
      </c>
      <c r="R905" s="233">
        <f t="shared" ref="R905:R907" si="14">IF(J905&gt;O905,J905-O905,O905-J905)</f>
        <v>91759</v>
      </c>
      <c r="S905" s="259"/>
      <c r="T905" s="259">
        <v>44360</v>
      </c>
      <c r="U905" s="259">
        <v>-3675</v>
      </c>
      <c r="V905" s="259">
        <v>40686</v>
      </c>
    </row>
    <row r="906" spans="1:22">
      <c r="A906" s="51">
        <v>99991</v>
      </c>
      <c r="B906" s="210" t="s">
        <v>1616</v>
      </c>
      <c r="C906" s="52">
        <v>5.6990000000000003E-4</v>
      </c>
      <c r="D906" s="52">
        <v>5.1539999999999995E-4</v>
      </c>
      <c r="E906" s="232">
        <v>214761.88</v>
      </c>
      <c r="F906" s="232">
        <v>231308</v>
      </c>
      <c r="G906" s="259">
        <v>1209519</v>
      </c>
      <c r="H906" s="259"/>
      <c r="I906" s="259">
        <v>22725</v>
      </c>
      <c r="J906" s="259">
        <v>1059924</v>
      </c>
      <c r="K906" s="259">
        <v>82841</v>
      </c>
      <c r="L906" s="259">
        <v>48305</v>
      </c>
      <c r="N906" s="259">
        <v>42383</v>
      </c>
      <c r="O906" s="259">
        <v>391212</v>
      </c>
      <c r="P906" s="260">
        <v>0</v>
      </c>
      <c r="Q906" s="259">
        <v>0</v>
      </c>
      <c r="R906" s="233">
        <f t="shared" si="14"/>
        <v>668712</v>
      </c>
      <c r="S906" s="259"/>
      <c r="T906" s="259">
        <v>323287</v>
      </c>
      <c r="U906" s="259">
        <v>19414</v>
      </c>
      <c r="V906" s="259">
        <v>342701</v>
      </c>
    </row>
    <row r="907" spans="1:22">
      <c r="A907" s="51">
        <v>99999</v>
      </c>
      <c r="B907" s="210" t="s">
        <v>1617</v>
      </c>
      <c r="C907" s="52">
        <v>1.0101000000000001E-3</v>
      </c>
      <c r="D907" s="52">
        <v>9.3599999999999998E-4</v>
      </c>
      <c r="E907" s="232">
        <v>441361.89999999991</v>
      </c>
      <c r="F907" s="232">
        <v>420071</v>
      </c>
      <c r="G907" s="259">
        <v>2143771</v>
      </c>
      <c r="H907" s="259"/>
      <c r="I907" s="259">
        <v>40278</v>
      </c>
      <c r="J907" s="259">
        <v>1878626</v>
      </c>
      <c r="K907" s="259">
        <v>146829</v>
      </c>
      <c r="L907" s="259">
        <v>111413</v>
      </c>
      <c r="N907" s="259">
        <v>75120</v>
      </c>
      <c r="O907" s="259">
        <v>693391</v>
      </c>
      <c r="P907" s="260">
        <v>0</v>
      </c>
      <c r="Q907" s="259">
        <v>43600.9</v>
      </c>
      <c r="R907" s="233">
        <f t="shared" si="14"/>
        <v>1185235</v>
      </c>
      <c r="S907" s="259"/>
      <c r="T907" s="259">
        <v>572998</v>
      </c>
      <c r="U907" s="259">
        <v>11793</v>
      </c>
      <c r="V907" s="259">
        <v>584791</v>
      </c>
    </row>
    <row r="908" spans="1:22">
      <c r="A908" s="51"/>
      <c r="C908" s="52"/>
      <c r="D908" s="52"/>
      <c r="E908" s="232"/>
      <c r="F908" s="232"/>
      <c r="G908" s="259"/>
      <c r="H908" s="259"/>
      <c r="I908" s="259"/>
      <c r="J908" s="259"/>
      <c r="K908" s="259"/>
      <c r="L908" s="259"/>
      <c r="N908" s="259"/>
      <c r="O908" s="259"/>
      <c r="P908" s="260"/>
      <c r="Q908" s="259"/>
      <c r="R908" s="233"/>
      <c r="S908" s="259"/>
      <c r="T908" s="259"/>
      <c r="U908" s="259"/>
      <c r="V908" s="259"/>
    </row>
    <row r="909" spans="1:22">
      <c r="A909" s="51"/>
      <c r="C909" s="52"/>
      <c r="D909" s="52"/>
      <c r="E909" s="232"/>
      <c r="F909" s="232"/>
      <c r="G909" s="259"/>
      <c r="H909" s="259"/>
      <c r="I909" s="259"/>
      <c r="J909" s="259"/>
      <c r="K909" s="259"/>
      <c r="L909" s="259"/>
      <c r="N909" s="259"/>
      <c r="O909" s="259"/>
      <c r="P909" s="260"/>
      <c r="Q909" s="259"/>
      <c r="R909" s="233"/>
      <c r="S909" s="259"/>
      <c r="T909" s="259"/>
      <c r="U909" s="259"/>
      <c r="V909" s="259"/>
    </row>
    <row r="911" spans="1:22">
      <c r="G911" s="96"/>
      <c r="H911" s="96"/>
      <c r="I911" s="96"/>
      <c r="J911" s="96"/>
      <c r="K911" s="96"/>
      <c r="L911" s="96"/>
      <c r="M911" s="96"/>
      <c r="N911" s="96"/>
      <c r="O911" s="96"/>
      <c r="P911" s="96"/>
      <c r="Q911" s="96"/>
      <c r="R911" s="96"/>
      <c r="S911" s="96"/>
      <c r="T911" s="96"/>
      <c r="U911" s="96"/>
      <c r="V911" s="96"/>
    </row>
    <row r="912" spans="1:22">
      <c r="B912" s="210" t="s">
        <v>691</v>
      </c>
      <c r="C912" s="7" t="s">
        <v>692</v>
      </c>
    </row>
    <row r="913" spans="2:22">
      <c r="B913" s="210" t="s">
        <v>2825</v>
      </c>
      <c r="C913" s="227">
        <v>96331</v>
      </c>
    </row>
    <row r="914" spans="2:22">
      <c r="B914" s="210" t="s">
        <v>2826</v>
      </c>
      <c r="C914" s="227">
        <v>94611</v>
      </c>
    </row>
    <row r="915" spans="2:22">
      <c r="B915" s="210" t="s">
        <v>91</v>
      </c>
      <c r="C915" s="227">
        <v>93402</v>
      </c>
      <c r="G915" s="47"/>
      <c r="H915" s="47"/>
      <c r="I915" s="47"/>
      <c r="J915" s="47"/>
      <c r="K915" s="47"/>
      <c r="L915" s="47"/>
      <c r="M915" s="47"/>
      <c r="N915" s="47"/>
      <c r="O915" s="47"/>
      <c r="P915" s="47"/>
      <c r="Q915" s="47"/>
      <c r="R915" s="47"/>
      <c r="S915" s="47"/>
      <c r="T915" s="47"/>
      <c r="U915" s="47"/>
      <c r="V915" s="47"/>
    </row>
    <row r="916" spans="2:22">
      <c r="B916" s="210" t="s">
        <v>2827</v>
      </c>
      <c r="C916" s="227">
        <v>94109</v>
      </c>
      <c r="D916" s="262"/>
      <c r="E916" s="262"/>
      <c r="F916" s="262"/>
    </row>
    <row r="917" spans="2:22">
      <c r="B917" s="210" t="s">
        <v>27</v>
      </c>
      <c r="C917" s="227">
        <v>90101</v>
      </c>
      <c r="D917" s="262"/>
      <c r="E917" s="262"/>
      <c r="F917" s="262"/>
    </row>
    <row r="918" spans="2:22">
      <c r="B918" s="210" t="s">
        <v>1621</v>
      </c>
      <c r="C918" s="227">
        <v>90117</v>
      </c>
      <c r="D918" s="262"/>
      <c r="E918" s="262"/>
      <c r="F918" s="262"/>
    </row>
    <row r="919" spans="2:22">
      <c r="B919" s="210" t="s">
        <v>2828</v>
      </c>
      <c r="C919" s="227">
        <v>90151</v>
      </c>
      <c r="D919" s="262"/>
      <c r="E919" s="262"/>
      <c r="F919" s="262"/>
    </row>
    <row r="920" spans="2:22">
      <c r="B920" s="210" t="s">
        <v>2829</v>
      </c>
      <c r="C920" s="227">
        <v>98417</v>
      </c>
      <c r="D920" s="262"/>
      <c r="E920" s="262"/>
      <c r="F920" s="262"/>
    </row>
    <row r="921" spans="2:22">
      <c r="B921" s="210" t="s">
        <v>167</v>
      </c>
      <c r="C921" s="227">
        <v>97008</v>
      </c>
      <c r="D921" s="262"/>
      <c r="E921" s="262"/>
      <c r="F921" s="262"/>
    </row>
    <row r="922" spans="2:22">
      <c r="B922" s="210" t="s">
        <v>168</v>
      </c>
      <c r="C922" s="227">
        <v>97010</v>
      </c>
      <c r="D922" s="262"/>
      <c r="E922" s="262"/>
      <c r="F922" s="262"/>
    </row>
    <row r="923" spans="2:22">
      <c r="B923" s="210" t="s">
        <v>1622</v>
      </c>
      <c r="C923" s="227">
        <v>90096</v>
      </c>
      <c r="D923" s="262"/>
      <c r="E923" s="262"/>
      <c r="F923" s="262"/>
    </row>
    <row r="924" spans="2:22">
      <c r="B924" s="210" t="s">
        <v>38</v>
      </c>
      <c r="C924" s="227">
        <v>90805</v>
      </c>
      <c r="D924" s="262"/>
      <c r="E924" s="262"/>
      <c r="F924" s="262"/>
    </row>
    <row r="925" spans="2:22">
      <c r="B925" s="210" t="s">
        <v>2830</v>
      </c>
      <c r="C925" s="227">
        <v>92109</v>
      </c>
      <c r="D925" s="262"/>
      <c r="E925" s="262"/>
      <c r="F925" s="262"/>
    </row>
    <row r="926" spans="2:22">
      <c r="B926" s="210" t="s">
        <v>2831</v>
      </c>
      <c r="C926" s="227">
        <v>98411</v>
      </c>
      <c r="D926" s="262"/>
      <c r="E926" s="262"/>
      <c r="F926" s="262"/>
    </row>
    <row r="927" spans="2:22">
      <c r="B927" s="210" t="s">
        <v>28</v>
      </c>
      <c r="C927" s="227">
        <v>90201</v>
      </c>
      <c r="D927" s="262"/>
      <c r="E927" s="262"/>
      <c r="F927" s="262"/>
    </row>
    <row r="928" spans="2:22">
      <c r="B928" s="210" t="s">
        <v>2832</v>
      </c>
      <c r="C928" s="227">
        <v>90203</v>
      </c>
      <c r="D928" s="262"/>
      <c r="E928" s="262"/>
      <c r="F928" s="262"/>
    </row>
    <row r="929" spans="2:6">
      <c r="B929" s="210" t="s">
        <v>2833</v>
      </c>
      <c r="C929" s="227">
        <v>90205</v>
      </c>
    </row>
    <row r="930" spans="2:6">
      <c r="B930" s="210" t="s">
        <v>2834</v>
      </c>
      <c r="C930" s="227">
        <v>90206</v>
      </c>
      <c r="D930" s="262"/>
      <c r="E930" s="262"/>
      <c r="F930" s="262"/>
    </row>
    <row r="931" spans="2:6">
      <c r="B931" s="210" t="s">
        <v>29</v>
      </c>
      <c r="C931" s="227">
        <v>90301</v>
      </c>
    </row>
    <row r="932" spans="2:6">
      <c r="B932" s="210" t="s">
        <v>2835</v>
      </c>
      <c r="C932" s="227">
        <v>93209</v>
      </c>
      <c r="D932" s="262"/>
      <c r="E932" s="262"/>
      <c r="F932" s="262"/>
    </row>
    <row r="933" spans="2:6">
      <c r="B933" s="210" t="s">
        <v>2836</v>
      </c>
      <c r="C933" s="227">
        <v>92021</v>
      </c>
    </row>
    <row r="934" spans="2:6">
      <c r="B934" s="210" t="s">
        <v>2837</v>
      </c>
      <c r="C934" s="227">
        <v>94347</v>
      </c>
    </row>
    <row r="935" spans="2:6">
      <c r="B935" s="210" t="s">
        <v>2838</v>
      </c>
      <c r="C935" s="227">
        <v>94351</v>
      </c>
    </row>
    <row r="936" spans="2:6">
      <c r="B936" s="210" t="s">
        <v>31</v>
      </c>
      <c r="C936" s="227">
        <v>90401</v>
      </c>
    </row>
    <row r="937" spans="2:6">
      <c r="B937" s="210" t="s">
        <v>2839</v>
      </c>
      <c r="C937" s="227">
        <v>90451</v>
      </c>
    </row>
    <row r="938" spans="2:6">
      <c r="B938" s="210" t="s">
        <v>2840</v>
      </c>
      <c r="C938" s="227">
        <v>99271</v>
      </c>
    </row>
    <row r="939" spans="2:6">
      <c r="B939" s="210" t="s">
        <v>2841</v>
      </c>
      <c r="C939" s="227">
        <v>90099</v>
      </c>
    </row>
    <row r="940" spans="2:6">
      <c r="B940" s="210" t="s">
        <v>227</v>
      </c>
      <c r="C940" s="227">
        <v>99705</v>
      </c>
    </row>
    <row r="941" spans="2:6">
      <c r="B941" s="210" t="s">
        <v>2842</v>
      </c>
      <c r="C941" s="227">
        <v>97651</v>
      </c>
    </row>
    <row r="942" spans="2:6">
      <c r="B942" s="210" t="s">
        <v>2843</v>
      </c>
      <c r="C942" s="227">
        <v>95106</v>
      </c>
    </row>
    <row r="943" spans="2:6">
      <c r="B943" s="210" t="s">
        <v>33</v>
      </c>
      <c r="C943" s="227">
        <v>90501</v>
      </c>
    </row>
    <row r="944" spans="2:6">
      <c r="B944" s="210" t="s">
        <v>2844</v>
      </c>
      <c r="C944" s="227">
        <v>97607</v>
      </c>
    </row>
    <row r="945" spans="2:3">
      <c r="B945" s="210" t="s">
        <v>2845</v>
      </c>
      <c r="C945" s="227">
        <v>97613</v>
      </c>
    </row>
    <row r="946" spans="2:3">
      <c r="B946" s="210" t="s">
        <v>2846</v>
      </c>
      <c r="C946" s="227">
        <v>97611</v>
      </c>
    </row>
    <row r="947" spans="2:3">
      <c r="B947" s="210" t="s">
        <v>2847</v>
      </c>
      <c r="C947" s="227">
        <v>91127</v>
      </c>
    </row>
    <row r="948" spans="2:3">
      <c r="B948" s="210" t="s">
        <v>49</v>
      </c>
      <c r="C948" s="227">
        <v>91128</v>
      </c>
    </row>
    <row r="949" spans="2:3">
      <c r="B949" s="210" t="s">
        <v>2848</v>
      </c>
      <c r="C949" s="227">
        <v>91121</v>
      </c>
    </row>
    <row r="950" spans="2:3">
      <c r="B950" s="210" t="s">
        <v>2849</v>
      </c>
      <c r="C950" s="227">
        <v>91681</v>
      </c>
    </row>
    <row r="951" spans="2:3">
      <c r="B951" s="210" t="s">
        <v>2850</v>
      </c>
      <c r="C951" s="227">
        <v>90811</v>
      </c>
    </row>
    <row r="952" spans="2:3">
      <c r="B952" s="210" t="s">
        <v>2851</v>
      </c>
      <c r="C952" s="227">
        <v>90721</v>
      </c>
    </row>
    <row r="953" spans="2:3">
      <c r="B953" s="210" t="s">
        <v>2852</v>
      </c>
      <c r="C953" s="227">
        <v>98271</v>
      </c>
    </row>
    <row r="954" spans="2:3">
      <c r="B954" s="210" t="s">
        <v>35</v>
      </c>
      <c r="C954" s="227">
        <v>90601</v>
      </c>
    </row>
    <row r="955" spans="2:3">
      <c r="B955" s="210" t="s">
        <v>259</v>
      </c>
      <c r="C955" s="227">
        <v>90602</v>
      </c>
    </row>
    <row r="956" spans="2:3">
      <c r="B956" s="210" t="s">
        <v>2853</v>
      </c>
      <c r="C956" s="227">
        <v>90605</v>
      </c>
    </row>
    <row r="957" spans="2:3">
      <c r="B957" s="210" t="s">
        <v>180</v>
      </c>
      <c r="C957" s="227">
        <v>97463</v>
      </c>
    </row>
    <row r="958" spans="2:3">
      <c r="B958" s="210" t="s">
        <v>2854</v>
      </c>
      <c r="C958" s="227">
        <v>97461</v>
      </c>
    </row>
    <row r="959" spans="2:3">
      <c r="B959" s="210" t="s">
        <v>2855</v>
      </c>
      <c r="C959" s="227">
        <v>90705</v>
      </c>
    </row>
    <row r="960" spans="2:3">
      <c r="B960" s="210" t="s">
        <v>2856</v>
      </c>
      <c r="C960" s="227">
        <v>98451</v>
      </c>
    </row>
    <row r="961" spans="2:3">
      <c r="B961" s="210" t="s">
        <v>2857</v>
      </c>
      <c r="C961" s="227">
        <v>96451</v>
      </c>
    </row>
    <row r="962" spans="2:3">
      <c r="B962" s="210" t="s">
        <v>2858</v>
      </c>
      <c r="C962" s="227">
        <v>96121</v>
      </c>
    </row>
    <row r="963" spans="2:3">
      <c r="B963" s="210" t="s">
        <v>2859</v>
      </c>
      <c r="C963" s="227">
        <v>91091</v>
      </c>
    </row>
    <row r="964" spans="2:3">
      <c r="B964" s="210" t="s">
        <v>2860</v>
      </c>
      <c r="C964" s="227">
        <v>90611</v>
      </c>
    </row>
    <row r="965" spans="2:3">
      <c r="B965" s="210" t="s">
        <v>163</v>
      </c>
      <c r="C965" s="227">
        <v>96918</v>
      </c>
    </row>
    <row r="966" spans="2:3">
      <c r="B966" s="210" t="s">
        <v>2861</v>
      </c>
      <c r="C966" s="227">
        <v>96911</v>
      </c>
    </row>
    <row r="967" spans="2:3">
      <c r="B967" s="210" t="s">
        <v>215</v>
      </c>
      <c r="C967" s="227">
        <v>99208</v>
      </c>
    </row>
    <row r="968" spans="2:3">
      <c r="B968" s="210" t="s">
        <v>36</v>
      </c>
      <c r="C968" s="227">
        <v>90701</v>
      </c>
    </row>
    <row r="969" spans="2:3">
      <c r="B969" s="210" t="s">
        <v>2862</v>
      </c>
      <c r="C969" s="227">
        <v>90704</v>
      </c>
    </row>
    <row r="970" spans="2:3">
      <c r="B970" s="210" t="s">
        <v>2863</v>
      </c>
      <c r="C970" s="227">
        <v>91633</v>
      </c>
    </row>
    <row r="971" spans="2:3">
      <c r="B971" s="210" t="s">
        <v>2864</v>
      </c>
      <c r="C971" s="227">
        <v>91631</v>
      </c>
    </row>
    <row r="972" spans="2:3">
      <c r="B972" s="210" t="s">
        <v>2865</v>
      </c>
      <c r="C972" s="227">
        <v>90631</v>
      </c>
    </row>
    <row r="973" spans="2:3">
      <c r="B973" s="210" t="s">
        <v>2866</v>
      </c>
      <c r="C973" s="227">
        <v>90731</v>
      </c>
    </row>
    <row r="974" spans="2:3">
      <c r="B974" s="210" t="s">
        <v>97</v>
      </c>
      <c r="C974" s="227">
        <v>93623</v>
      </c>
    </row>
    <row r="975" spans="2:3">
      <c r="B975" s="210" t="s">
        <v>2867</v>
      </c>
      <c r="C975" s="227">
        <v>93621</v>
      </c>
    </row>
    <row r="976" spans="2:3">
      <c r="B976" s="210" t="s">
        <v>2868</v>
      </c>
      <c r="C976" s="227">
        <v>91020</v>
      </c>
    </row>
    <row r="977" spans="2:3">
      <c r="B977" s="210" t="s">
        <v>128</v>
      </c>
      <c r="C977" s="227">
        <v>95103</v>
      </c>
    </row>
    <row r="978" spans="2:3">
      <c r="B978" s="210" t="s">
        <v>2869</v>
      </c>
      <c r="C978" s="227">
        <v>95141</v>
      </c>
    </row>
    <row r="979" spans="2:3">
      <c r="B979" s="210" t="s">
        <v>2870</v>
      </c>
      <c r="C979" s="227">
        <v>93021</v>
      </c>
    </row>
    <row r="980" spans="2:3">
      <c r="B980" s="210" t="s">
        <v>37</v>
      </c>
      <c r="C980" s="227">
        <v>90801</v>
      </c>
    </row>
    <row r="981" spans="2:3">
      <c r="B981" s="210" t="s">
        <v>2871</v>
      </c>
      <c r="C981" s="227">
        <v>90804</v>
      </c>
    </row>
    <row r="982" spans="2:3">
      <c r="B982" s="210" t="s">
        <v>39</v>
      </c>
      <c r="C982" s="227">
        <v>90808</v>
      </c>
    </row>
    <row r="983" spans="2:3">
      <c r="B983" s="210" t="s">
        <v>98</v>
      </c>
      <c r="C983" s="227">
        <v>93677</v>
      </c>
    </row>
    <row r="984" spans="2:3">
      <c r="B984" s="210" t="s">
        <v>2872</v>
      </c>
      <c r="C984" s="227">
        <v>93671</v>
      </c>
    </row>
    <row r="985" spans="2:3">
      <c r="B985" s="210" t="s">
        <v>2873</v>
      </c>
      <c r="C985" s="227">
        <v>97441</v>
      </c>
    </row>
    <row r="986" spans="2:3">
      <c r="B986" s="210" t="s">
        <v>2874</v>
      </c>
      <c r="C986" s="227">
        <v>93111</v>
      </c>
    </row>
    <row r="987" spans="2:3">
      <c r="B987" s="210" t="s">
        <v>2875</v>
      </c>
      <c r="C987" s="227">
        <v>91111</v>
      </c>
    </row>
    <row r="988" spans="2:3">
      <c r="B988" s="210" t="s">
        <v>2876</v>
      </c>
      <c r="C988" s="227">
        <v>96231</v>
      </c>
    </row>
    <row r="989" spans="2:3">
      <c r="B989" s="210" t="s">
        <v>2877</v>
      </c>
      <c r="C989" s="227">
        <v>99831</v>
      </c>
    </row>
    <row r="990" spans="2:3">
      <c r="B990" s="210" t="s">
        <v>2878</v>
      </c>
      <c r="C990" s="227">
        <v>91154</v>
      </c>
    </row>
    <row r="991" spans="2:3">
      <c r="B991" s="210" t="s">
        <v>2879</v>
      </c>
      <c r="C991" s="227">
        <v>91151</v>
      </c>
    </row>
    <row r="992" spans="2:3">
      <c r="B992" s="210" t="s">
        <v>40</v>
      </c>
      <c r="C992" s="227">
        <v>90901</v>
      </c>
    </row>
    <row r="993" spans="2:3">
      <c r="B993" s="210" t="s">
        <v>2880</v>
      </c>
      <c r="C993" s="227">
        <v>90941</v>
      </c>
    </row>
    <row r="994" spans="2:3">
      <c r="B994" s="210" t="s">
        <v>2881</v>
      </c>
      <c r="C994" s="227">
        <v>99527</v>
      </c>
    </row>
    <row r="995" spans="2:3">
      <c r="B995" s="210" t="s">
        <v>223</v>
      </c>
      <c r="C995" s="227">
        <v>99508</v>
      </c>
    </row>
    <row r="996" spans="2:3">
      <c r="B996" s="210" t="s">
        <v>2882</v>
      </c>
      <c r="C996" s="227">
        <v>99521</v>
      </c>
    </row>
    <row r="997" spans="2:3">
      <c r="B997" s="210" t="s">
        <v>118</v>
      </c>
      <c r="C997" s="227">
        <v>94532</v>
      </c>
    </row>
    <row r="998" spans="2:3">
      <c r="B998" s="210" t="s">
        <v>2883</v>
      </c>
      <c r="C998" s="227">
        <v>91077</v>
      </c>
    </row>
    <row r="999" spans="2:3">
      <c r="B999" s="210" t="s">
        <v>2884</v>
      </c>
      <c r="C999" s="227">
        <v>91071</v>
      </c>
    </row>
    <row r="1000" spans="2:3">
      <c r="B1000" s="210" t="s">
        <v>2885</v>
      </c>
      <c r="C1000" s="227">
        <v>92331</v>
      </c>
    </row>
    <row r="1001" spans="2:3">
      <c r="B1001" s="210" t="s">
        <v>2886</v>
      </c>
      <c r="C1001" s="227">
        <v>99511</v>
      </c>
    </row>
    <row r="1002" spans="2:3">
      <c r="B1002" s="210" t="s">
        <v>2887</v>
      </c>
      <c r="C1002" s="51">
        <v>99941</v>
      </c>
    </row>
    <row r="1003" spans="2:3">
      <c r="B1003" s="210" t="s">
        <v>152</v>
      </c>
      <c r="C1003" s="227">
        <v>96405</v>
      </c>
    </row>
    <row r="1004" spans="2:3">
      <c r="B1004" s="210" t="s">
        <v>2888</v>
      </c>
      <c r="C1004" s="227">
        <v>98817</v>
      </c>
    </row>
    <row r="1005" spans="2:3">
      <c r="B1005" s="210" t="s">
        <v>2889</v>
      </c>
      <c r="C1005" s="227">
        <v>98811</v>
      </c>
    </row>
    <row r="1006" spans="2:3">
      <c r="B1006" s="210" t="s">
        <v>2890</v>
      </c>
      <c r="C1006" s="227">
        <v>92561</v>
      </c>
    </row>
    <row r="1007" spans="2:3">
      <c r="B1007" s="210" t="s">
        <v>197</v>
      </c>
      <c r="C1007" s="227">
        <v>98102</v>
      </c>
    </row>
    <row r="1008" spans="2:3">
      <c r="B1008" s="210" t="s">
        <v>2891</v>
      </c>
      <c r="C1008" s="227">
        <v>95321</v>
      </c>
    </row>
    <row r="1009" spans="2:3">
      <c r="B1009" s="210" t="s">
        <v>2892</v>
      </c>
      <c r="C1009" s="227">
        <v>91861</v>
      </c>
    </row>
    <row r="1010" spans="2:3">
      <c r="B1010" s="210" t="s">
        <v>41</v>
      </c>
      <c r="C1010" s="227">
        <v>91001</v>
      </c>
    </row>
    <row r="1011" spans="2:3">
      <c r="B1011" s="210" t="s">
        <v>2893</v>
      </c>
      <c r="C1011" s="227">
        <v>91004</v>
      </c>
    </row>
    <row r="1012" spans="2:3">
      <c r="B1012" s="210" t="s">
        <v>2894</v>
      </c>
      <c r="C1012" s="227">
        <v>91006</v>
      </c>
    </row>
    <row r="1013" spans="2:3">
      <c r="B1013" s="210" t="s">
        <v>2895</v>
      </c>
      <c r="C1013" s="227">
        <v>91003</v>
      </c>
    </row>
    <row r="1014" spans="2:3">
      <c r="B1014" s="210" t="s">
        <v>2896</v>
      </c>
      <c r="C1014" s="227">
        <v>91009</v>
      </c>
    </row>
    <row r="1015" spans="2:3">
      <c r="B1015" s="210" t="s">
        <v>2897</v>
      </c>
      <c r="C1015" s="227">
        <v>91042</v>
      </c>
    </row>
    <row r="1016" spans="2:3">
      <c r="B1016" s="210" t="s">
        <v>2898</v>
      </c>
      <c r="C1016" s="227">
        <v>92421</v>
      </c>
    </row>
    <row r="1017" spans="2:3">
      <c r="B1017" s="210" t="s">
        <v>2899</v>
      </c>
      <c r="C1017" s="227">
        <v>98717</v>
      </c>
    </row>
    <row r="1018" spans="2:3">
      <c r="B1018" s="210" t="s">
        <v>2900</v>
      </c>
      <c r="C1018" s="227">
        <v>98711</v>
      </c>
    </row>
    <row r="1019" spans="2:3">
      <c r="B1019" s="210" t="s">
        <v>44</v>
      </c>
      <c r="C1019" s="227">
        <v>91101</v>
      </c>
    </row>
    <row r="1020" spans="2:3">
      <c r="B1020" s="210" t="s">
        <v>2901</v>
      </c>
      <c r="C1020" s="227">
        <v>93537</v>
      </c>
    </row>
    <row r="1021" spans="2:3">
      <c r="B1021" s="210" t="s">
        <v>2902</v>
      </c>
      <c r="C1021" s="227">
        <v>93531</v>
      </c>
    </row>
    <row r="1022" spans="2:3">
      <c r="B1022" s="210" t="s">
        <v>2903</v>
      </c>
      <c r="C1022" s="227">
        <v>97111</v>
      </c>
    </row>
    <row r="1023" spans="2:3">
      <c r="B1023" s="210" t="s">
        <v>50</v>
      </c>
      <c r="C1023" s="227">
        <v>91201</v>
      </c>
    </row>
    <row r="1024" spans="2:3">
      <c r="B1024" s="210" t="s">
        <v>2904</v>
      </c>
      <c r="C1024" s="227">
        <v>91206</v>
      </c>
    </row>
    <row r="1025" spans="2:3">
      <c r="B1025" s="210" t="s">
        <v>2905</v>
      </c>
      <c r="C1025" s="227">
        <v>91203</v>
      </c>
    </row>
    <row r="1026" spans="2:3">
      <c r="B1026" s="210" t="s">
        <v>2906</v>
      </c>
      <c r="C1026" s="227">
        <v>91208</v>
      </c>
    </row>
    <row r="1027" spans="2:3">
      <c r="B1027" s="210" t="s">
        <v>2907</v>
      </c>
      <c r="C1027" s="227">
        <v>91202</v>
      </c>
    </row>
    <row r="1028" spans="2:3">
      <c r="B1028" s="210" t="s">
        <v>2908</v>
      </c>
      <c r="C1028" s="227">
        <v>90111</v>
      </c>
    </row>
    <row r="1029" spans="2:3">
      <c r="B1029" s="210" t="s">
        <v>2909</v>
      </c>
      <c r="C1029" s="227">
        <v>90011</v>
      </c>
    </row>
    <row r="1030" spans="2:3">
      <c r="B1030" s="210" t="s">
        <v>2910</v>
      </c>
      <c r="C1030" s="227">
        <v>93931</v>
      </c>
    </row>
    <row r="1031" spans="2:3">
      <c r="B1031" s="210" t="s">
        <v>2911</v>
      </c>
      <c r="C1031" s="51">
        <v>91306</v>
      </c>
    </row>
    <row r="1032" spans="2:3">
      <c r="B1032" s="210" t="s">
        <v>2912</v>
      </c>
      <c r="C1032" s="227">
        <v>91308</v>
      </c>
    </row>
    <row r="1033" spans="2:3">
      <c r="B1033" s="210" t="s">
        <v>53</v>
      </c>
      <c r="C1033" s="51">
        <v>91301</v>
      </c>
    </row>
    <row r="1034" spans="2:3">
      <c r="B1034" s="210" t="s">
        <v>2913</v>
      </c>
      <c r="C1034" s="227">
        <v>91461</v>
      </c>
    </row>
    <row r="1035" spans="2:3">
      <c r="B1035" s="210" t="s">
        <v>2914</v>
      </c>
      <c r="C1035" s="227">
        <v>91007</v>
      </c>
    </row>
    <row r="1036" spans="2:3">
      <c r="B1036" s="210" t="s">
        <v>2915</v>
      </c>
      <c r="C1036" s="227">
        <v>91010</v>
      </c>
    </row>
    <row r="1037" spans="2:3">
      <c r="B1037" s="210" t="s">
        <v>54</v>
      </c>
      <c r="C1037" s="227">
        <v>91401</v>
      </c>
    </row>
    <row r="1038" spans="2:3">
      <c r="B1038" s="210" t="s">
        <v>2916</v>
      </c>
      <c r="C1038" s="227">
        <v>93171</v>
      </c>
    </row>
    <row r="1039" spans="2:3">
      <c r="B1039" s="210" t="s">
        <v>56</v>
      </c>
      <c r="C1039" s="227">
        <v>91501</v>
      </c>
    </row>
    <row r="1040" spans="2:3">
      <c r="B1040" s="210" t="s">
        <v>2917</v>
      </c>
      <c r="C1040" s="227">
        <v>91504</v>
      </c>
    </row>
    <row r="1041" spans="2:3">
      <c r="B1041" s="210" t="s">
        <v>2918</v>
      </c>
      <c r="C1041" s="227">
        <v>96312</v>
      </c>
    </row>
    <row r="1042" spans="2:3">
      <c r="B1042" s="210" t="s">
        <v>2919</v>
      </c>
      <c r="C1042" s="227">
        <v>96241</v>
      </c>
    </row>
    <row r="1043" spans="2:3">
      <c r="B1043" s="210" t="s">
        <v>2920</v>
      </c>
      <c r="C1043" s="227">
        <v>94437</v>
      </c>
    </row>
    <row r="1044" spans="2:3">
      <c r="B1044" s="210" t="s">
        <v>2921</v>
      </c>
      <c r="C1044" s="227">
        <v>94431</v>
      </c>
    </row>
    <row r="1045" spans="2:3">
      <c r="B1045" s="210" t="s">
        <v>2922</v>
      </c>
      <c r="C1045" s="227">
        <v>91671</v>
      </c>
    </row>
    <row r="1046" spans="2:3">
      <c r="B1046" s="210" t="s">
        <v>42</v>
      </c>
      <c r="C1046" s="227">
        <v>91008</v>
      </c>
    </row>
    <row r="1047" spans="2:3">
      <c r="B1047" s="210" t="s">
        <v>157</v>
      </c>
      <c r="C1047" s="227">
        <v>96512</v>
      </c>
    </row>
    <row r="1048" spans="2:3">
      <c r="B1048" s="210" t="s">
        <v>155</v>
      </c>
      <c r="C1048" s="227">
        <v>96507</v>
      </c>
    </row>
    <row r="1049" spans="2:3">
      <c r="B1049" s="210" t="s">
        <v>2923</v>
      </c>
      <c r="C1049" s="227">
        <v>96521</v>
      </c>
    </row>
    <row r="1050" spans="2:3">
      <c r="B1050" s="210" t="s">
        <v>2924</v>
      </c>
      <c r="C1050" s="227">
        <v>91024</v>
      </c>
    </row>
    <row r="1051" spans="2:3">
      <c r="B1051" s="210" t="s">
        <v>2925</v>
      </c>
      <c r="C1051" s="227">
        <v>96821</v>
      </c>
    </row>
    <row r="1052" spans="2:3">
      <c r="B1052" s="210" t="s">
        <v>57</v>
      </c>
      <c r="C1052" s="227">
        <v>91601</v>
      </c>
    </row>
    <row r="1053" spans="2:3">
      <c r="B1053" s="210" t="s">
        <v>2926</v>
      </c>
      <c r="C1053" s="227">
        <v>91604</v>
      </c>
    </row>
    <row r="1054" spans="2:3">
      <c r="B1054" s="210" t="s">
        <v>2927</v>
      </c>
      <c r="C1054" s="227">
        <v>96391</v>
      </c>
    </row>
    <row r="1055" spans="2:3">
      <c r="B1055" s="210" t="s">
        <v>2928</v>
      </c>
      <c r="C1055" s="227">
        <v>99221</v>
      </c>
    </row>
    <row r="1056" spans="2:3">
      <c r="B1056" s="210" t="s">
        <v>2929</v>
      </c>
      <c r="C1056" s="227">
        <v>91051</v>
      </c>
    </row>
    <row r="1057" spans="2:3">
      <c r="B1057" s="210" t="s">
        <v>58</v>
      </c>
      <c r="C1057" s="227">
        <v>91701</v>
      </c>
    </row>
    <row r="1058" spans="2:3">
      <c r="B1058" s="210" t="s">
        <v>2930</v>
      </c>
      <c r="C1058" s="227">
        <v>91704</v>
      </c>
    </row>
    <row r="1059" spans="2:3">
      <c r="B1059" s="210" t="s">
        <v>2931</v>
      </c>
      <c r="C1059" s="227">
        <v>91706</v>
      </c>
    </row>
    <row r="1060" spans="2:3">
      <c r="B1060" s="210" t="s">
        <v>59</v>
      </c>
      <c r="C1060" s="227">
        <v>91801</v>
      </c>
    </row>
    <row r="1061" spans="2:3">
      <c r="B1061" s="210" t="s">
        <v>2932</v>
      </c>
      <c r="C1061" s="227">
        <v>91804</v>
      </c>
    </row>
    <row r="1062" spans="2:3">
      <c r="B1062" s="210" t="s">
        <v>2933</v>
      </c>
      <c r="C1062" s="227">
        <v>91881</v>
      </c>
    </row>
    <row r="1063" spans="2:3">
      <c r="B1063" s="210" t="s">
        <v>2934</v>
      </c>
      <c r="C1063" s="227">
        <v>91691</v>
      </c>
    </row>
    <row r="1064" spans="2:3">
      <c r="B1064" s="210" t="s">
        <v>2935</v>
      </c>
      <c r="C1064" s="227">
        <v>99222</v>
      </c>
    </row>
    <row r="1065" spans="2:3">
      <c r="B1065" s="210" t="s">
        <v>1623</v>
      </c>
      <c r="C1065" s="227">
        <v>93408</v>
      </c>
    </row>
    <row r="1066" spans="2:3">
      <c r="B1066" s="210" t="s">
        <v>145</v>
      </c>
      <c r="C1066" s="227">
        <v>96009</v>
      </c>
    </row>
    <row r="1067" spans="2:3">
      <c r="B1067" s="210" t="s">
        <v>2936</v>
      </c>
      <c r="C1067" s="227">
        <v>92441</v>
      </c>
    </row>
    <row r="1068" spans="2:3">
      <c r="B1068" s="210" t="s">
        <v>2937</v>
      </c>
      <c r="C1068" s="227">
        <v>96811</v>
      </c>
    </row>
    <row r="1069" spans="2:3">
      <c r="B1069" s="210" t="s">
        <v>2938</v>
      </c>
      <c r="C1069" s="227">
        <v>96003</v>
      </c>
    </row>
    <row r="1070" spans="2:3">
      <c r="B1070" s="210" t="s">
        <v>2939</v>
      </c>
      <c r="C1070" s="227">
        <v>96018</v>
      </c>
    </row>
    <row r="1071" spans="2:3">
      <c r="B1071" s="210" t="s">
        <v>1624</v>
      </c>
      <c r="C1071" s="227">
        <v>96012</v>
      </c>
    </row>
    <row r="1072" spans="2:3">
      <c r="B1072" s="210" t="s">
        <v>2940</v>
      </c>
      <c r="C1072" s="227">
        <v>96011</v>
      </c>
    </row>
    <row r="1073" spans="2:3">
      <c r="B1073" s="210" t="s">
        <v>2941</v>
      </c>
      <c r="C1073" s="227">
        <v>96005</v>
      </c>
    </row>
    <row r="1074" spans="2:3">
      <c r="B1074" s="210" t="s">
        <v>61</v>
      </c>
      <c r="C1074" s="227">
        <v>91901</v>
      </c>
    </row>
    <row r="1075" spans="2:3">
      <c r="B1075" s="210" t="s">
        <v>2942</v>
      </c>
      <c r="C1075" s="227">
        <v>91904</v>
      </c>
    </row>
    <row r="1076" spans="2:3">
      <c r="B1076" s="210" t="s">
        <v>2943</v>
      </c>
      <c r="C1076" s="227">
        <v>91903</v>
      </c>
    </row>
    <row r="1077" spans="2:3">
      <c r="B1077" s="210" t="s">
        <v>63</v>
      </c>
      <c r="C1077" s="227">
        <v>92001</v>
      </c>
    </row>
    <row r="1078" spans="2:3">
      <c r="B1078" s="210" t="s">
        <v>2944</v>
      </c>
      <c r="C1078" s="227">
        <v>93647</v>
      </c>
    </row>
    <row r="1079" spans="2:3">
      <c r="B1079" s="210" t="s">
        <v>2945</v>
      </c>
      <c r="C1079" s="227">
        <v>93641</v>
      </c>
    </row>
    <row r="1080" spans="2:3">
      <c r="B1080" s="210" t="s">
        <v>2946</v>
      </c>
      <c r="C1080" s="227">
        <v>98041</v>
      </c>
    </row>
    <row r="1081" spans="2:3">
      <c r="B1081" s="210" t="s">
        <v>2947</v>
      </c>
      <c r="C1081" s="227">
        <v>96612</v>
      </c>
    </row>
    <row r="1082" spans="2:3">
      <c r="B1082" s="210" t="s">
        <v>2948</v>
      </c>
      <c r="C1082" s="227">
        <v>90751</v>
      </c>
    </row>
    <row r="1083" spans="2:3">
      <c r="B1083" s="210" t="s">
        <v>65</v>
      </c>
      <c r="C1083" s="227">
        <v>92101</v>
      </c>
    </row>
    <row r="1084" spans="2:3">
      <c r="B1084" s="210" t="s">
        <v>2949</v>
      </c>
      <c r="C1084" s="227">
        <v>92104</v>
      </c>
    </row>
    <row r="1085" spans="2:3">
      <c r="B1085" s="210" t="s">
        <v>2950</v>
      </c>
      <c r="C1085" s="227">
        <v>99818</v>
      </c>
    </row>
    <row r="1086" spans="2:3">
      <c r="B1086" s="210" t="s">
        <v>2951</v>
      </c>
      <c r="C1086" s="227">
        <v>91821</v>
      </c>
    </row>
    <row r="1087" spans="2:3">
      <c r="B1087" s="210" t="s">
        <v>2952</v>
      </c>
      <c r="C1087" s="227">
        <v>90931</v>
      </c>
    </row>
    <row r="1088" spans="2:3">
      <c r="B1088" s="210" t="s">
        <v>66</v>
      </c>
      <c r="C1088" s="227">
        <v>92201</v>
      </c>
    </row>
    <row r="1089" spans="2:3">
      <c r="B1089" s="210" t="s">
        <v>2953</v>
      </c>
      <c r="C1089" s="227">
        <v>95131</v>
      </c>
    </row>
    <row r="1090" spans="2:3">
      <c r="B1090" s="210" t="s">
        <v>94</v>
      </c>
      <c r="C1090" s="227">
        <v>93442</v>
      </c>
    </row>
    <row r="1091" spans="2:3">
      <c r="B1091" s="210" t="s">
        <v>2954</v>
      </c>
      <c r="C1091" s="227">
        <v>93441</v>
      </c>
    </row>
    <row r="1092" spans="2:3">
      <c r="B1092" s="210" t="s">
        <v>67</v>
      </c>
      <c r="C1092" s="227">
        <v>92301</v>
      </c>
    </row>
    <row r="1093" spans="2:3">
      <c r="B1093" s="210" t="s">
        <v>2955</v>
      </c>
      <c r="C1093" s="227">
        <v>92302</v>
      </c>
    </row>
    <row r="1094" spans="2:3">
      <c r="B1094" s="210" t="s">
        <v>2956</v>
      </c>
      <c r="C1094" s="227">
        <v>98091</v>
      </c>
    </row>
    <row r="1095" spans="2:3">
      <c r="B1095" s="210" t="s">
        <v>2957</v>
      </c>
      <c r="C1095" s="227">
        <v>98218</v>
      </c>
    </row>
    <row r="1096" spans="2:3">
      <c r="B1096" s="210" t="s">
        <v>2958</v>
      </c>
      <c r="C1096" s="227">
        <v>98211</v>
      </c>
    </row>
    <row r="1097" spans="2:3">
      <c r="B1097" s="210" t="s">
        <v>2959</v>
      </c>
      <c r="C1097" s="227">
        <v>96519</v>
      </c>
    </row>
    <row r="1098" spans="2:3">
      <c r="B1098" s="210" t="s">
        <v>2960</v>
      </c>
      <c r="C1098" s="227">
        <v>92508</v>
      </c>
    </row>
    <row r="1099" spans="2:3">
      <c r="B1099" s="210" t="s">
        <v>2961</v>
      </c>
      <c r="C1099" s="227">
        <v>94341</v>
      </c>
    </row>
    <row r="1100" spans="2:3">
      <c r="B1100" s="210" t="s">
        <v>2962</v>
      </c>
      <c r="C1100" s="227">
        <v>94641</v>
      </c>
    </row>
    <row r="1101" spans="2:3">
      <c r="B1101" s="210" t="s">
        <v>2963</v>
      </c>
      <c r="C1101" s="227">
        <v>90813</v>
      </c>
    </row>
    <row r="1102" spans="2:3">
      <c r="B1102" s="210" t="s">
        <v>107</v>
      </c>
      <c r="C1102" s="227">
        <v>94168</v>
      </c>
    </row>
    <row r="1103" spans="2:3">
      <c r="B1103" s="210" t="s">
        <v>2964</v>
      </c>
      <c r="C1103" s="227">
        <v>98911</v>
      </c>
    </row>
    <row r="1104" spans="2:3">
      <c r="B1104" s="210" t="s">
        <v>68</v>
      </c>
      <c r="C1104" s="227">
        <v>92401</v>
      </c>
    </row>
    <row r="1105" spans="2:3">
      <c r="B1105" s="210" t="s">
        <v>2965</v>
      </c>
      <c r="C1105" s="227">
        <v>97521</v>
      </c>
    </row>
    <row r="1106" spans="2:3">
      <c r="B1106" s="210" t="s">
        <v>2966</v>
      </c>
      <c r="C1106" s="227">
        <v>91317</v>
      </c>
    </row>
    <row r="1107" spans="2:3">
      <c r="B1107" s="210" t="s">
        <v>2967</v>
      </c>
      <c r="C1107" s="227">
        <v>91311</v>
      </c>
    </row>
    <row r="1108" spans="2:3">
      <c r="B1108" s="210" t="s">
        <v>2968</v>
      </c>
      <c r="C1108" s="227">
        <v>91261</v>
      </c>
    </row>
    <row r="1109" spans="2:3">
      <c r="B1109" s="210" t="s">
        <v>2969</v>
      </c>
      <c r="C1109" s="227">
        <v>91851</v>
      </c>
    </row>
    <row r="1110" spans="2:3">
      <c r="B1110" s="210" t="s">
        <v>2970</v>
      </c>
      <c r="C1110" s="227">
        <v>97408</v>
      </c>
    </row>
    <row r="1111" spans="2:3">
      <c r="B1111" s="210" t="s">
        <v>2971</v>
      </c>
      <c r="C1111" s="227">
        <v>96641</v>
      </c>
    </row>
    <row r="1112" spans="2:3">
      <c r="B1112" s="210" t="s">
        <v>2972</v>
      </c>
      <c r="C1112" s="227">
        <v>93027</v>
      </c>
    </row>
    <row r="1113" spans="2:3">
      <c r="B1113" s="210" t="s">
        <v>2973</v>
      </c>
      <c r="C1113" s="227">
        <v>93031</v>
      </c>
    </row>
    <row r="1114" spans="2:3">
      <c r="B1114" s="210" t="s">
        <v>2974</v>
      </c>
      <c r="C1114" s="227">
        <v>96051</v>
      </c>
    </row>
    <row r="1115" spans="2:3">
      <c r="B1115" s="210" t="s">
        <v>2975</v>
      </c>
      <c r="C1115" s="227">
        <v>92571</v>
      </c>
    </row>
    <row r="1116" spans="2:3">
      <c r="B1116" s="210" t="s">
        <v>2976</v>
      </c>
      <c r="C1116" s="227">
        <v>93631</v>
      </c>
    </row>
    <row r="1117" spans="2:3">
      <c r="B1117" s="210" t="s">
        <v>71</v>
      </c>
      <c r="C1117" s="227">
        <v>92501</v>
      </c>
    </row>
    <row r="1118" spans="2:3">
      <c r="B1118" s="210" t="s">
        <v>2977</v>
      </c>
      <c r="C1118" s="227">
        <v>92504</v>
      </c>
    </row>
    <row r="1119" spans="2:3">
      <c r="B1119" s="210" t="s">
        <v>2978</v>
      </c>
      <c r="C1119" s="227">
        <v>92506</v>
      </c>
    </row>
    <row r="1120" spans="2:3">
      <c r="B1120" s="210" t="s">
        <v>72</v>
      </c>
      <c r="C1120" s="227">
        <v>92505</v>
      </c>
    </row>
    <row r="1121" spans="2:3">
      <c r="B1121" s="210" t="s">
        <v>2979</v>
      </c>
      <c r="C1121" s="227">
        <v>93921</v>
      </c>
    </row>
    <row r="1122" spans="2:3">
      <c r="B1122" s="210" t="s">
        <v>2980</v>
      </c>
      <c r="C1122" s="227">
        <v>99431</v>
      </c>
    </row>
    <row r="1123" spans="2:3">
      <c r="B1123" s="210" t="s">
        <v>74</v>
      </c>
      <c r="C1123" s="227">
        <v>92601</v>
      </c>
    </row>
    <row r="1124" spans="2:3">
      <c r="B1124" s="210" t="s">
        <v>2981</v>
      </c>
      <c r="C1124" s="227">
        <v>92604</v>
      </c>
    </row>
    <row r="1125" spans="2:3">
      <c r="B1125" s="210" t="s">
        <v>75</v>
      </c>
      <c r="C1125" s="227">
        <v>92608</v>
      </c>
    </row>
    <row r="1126" spans="2:3">
      <c r="B1126" s="210" t="s">
        <v>76</v>
      </c>
      <c r="C1126" s="227">
        <v>92701</v>
      </c>
    </row>
    <row r="1127" spans="2:3">
      <c r="B1127" s="210" t="s">
        <v>2982</v>
      </c>
      <c r="C1127" s="227">
        <v>92704</v>
      </c>
    </row>
    <row r="1128" spans="2:3">
      <c r="B1128" s="210" t="s">
        <v>2983</v>
      </c>
      <c r="C1128" s="227">
        <v>93651</v>
      </c>
    </row>
    <row r="1129" spans="2:3">
      <c r="B1129" s="210" t="s">
        <v>77</v>
      </c>
      <c r="C1129" s="227">
        <v>92801</v>
      </c>
    </row>
    <row r="1130" spans="2:3">
      <c r="B1130" s="210" t="s">
        <v>2984</v>
      </c>
      <c r="C1130" s="227">
        <v>92804</v>
      </c>
    </row>
    <row r="1131" spans="2:3">
      <c r="B1131" s="210" t="s">
        <v>78</v>
      </c>
      <c r="C1131" s="227">
        <v>92802</v>
      </c>
    </row>
    <row r="1132" spans="2:3">
      <c r="B1132" s="210" t="s">
        <v>79</v>
      </c>
      <c r="C1132" s="227">
        <v>92901</v>
      </c>
    </row>
    <row r="1133" spans="2:3">
      <c r="B1133" s="210" t="s">
        <v>2985</v>
      </c>
      <c r="C1133" s="227">
        <v>96081</v>
      </c>
    </row>
    <row r="1134" spans="2:3">
      <c r="B1134" s="210" t="s">
        <v>82</v>
      </c>
      <c r="C1134" s="227">
        <v>93001</v>
      </c>
    </row>
    <row r="1135" spans="2:3">
      <c r="B1135" s="210" t="s">
        <v>2986</v>
      </c>
      <c r="C1135" s="227">
        <v>93009</v>
      </c>
    </row>
    <row r="1136" spans="2:3">
      <c r="B1136" s="210" t="s">
        <v>2987</v>
      </c>
      <c r="C1136" s="227">
        <v>92921</v>
      </c>
    </row>
    <row r="1137" spans="2:3">
      <c r="B1137" s="210" t="s">
        <v>2988</v>
      </c>
      <c r="C1137" s="227">
        <v>98627</v>
      </c>
    </row>
    <row r="1138" spans="2:3">
      <c r="B1138" s="210" t="s">
        <v>2989</v>
      </c>
      <c r="C1138" s="227">
        <v>98621</v>
      </c>
    </row>
    <row r="1139" spans="2:3">
      <c r="B1139" s="210" t="s">
        <v>2990</v>
      </c>
      <c r="C1139" s="227">
        <v>91221</v>
      </c>
    </row>
    <row r="1140" spans="2:3">
      <c r="B1140" s="210" t="s">
        <v>2991</v>
      </c>
      <c r="C1140" s="227">
        <v>92861</v>
      </c>
    </row>
    <row r="1141" spans="2:3">
      <c r="B1141" s="210" t="s">
        <v>2992</v>
      </c>
      <c r="C1141" s="227">
        <v>94317</v>
      </c>
    </row>
    <row r="1142" spans="2:3">
      <c r="B1142" s="210" t="s">
        <v>113</v>
      </c>
      <c r="C1142" s="227">
        <v>94313</v>
      </c>
    </row>
    <row r="1143" spans="2:3">
      <c r="B1143" s="210" t="s">
        <v>2993</v>
      </c>
      <c r="C1143" s="227">
        <v>94311</v>
      </c>
    </row>
    <row r="1144" spans="2:3">
      <c r="B1144" s="210" t="s">
        <v>83</v>
      </c>
      <c r="C1144" s="227">
        <v>93101</v>
      </c>
    </row>
    <row r="1145" spans="2:3">
      <c r="B1145" s="210" t="s">
        <v>260</v>
      </c>
      <c r="C1145" s="227">
        <v>93103</v>
      </c>
    </row>
    <row r="1146" spans="2:3">
      <c r="B1146" s="210" t="s">
        <v>2994</v>
      </c>
      <c r="C1146" s="227">
        <v>93212</v>
      </c>
    </row>
    <row r="1147" spans="2:3">
      <c r="B1147" s="210" t="s">
        <v>84</v>
      </c>
      <c r="C1147" s="227">
        <v>93201</v>
      </c>
    </row>
    <row r="1148" spans="2:3">
      <c r="B1148" s="210" t="s">
        <v>2995</v>
      </c>
      <c r="C1148" s="227">
        <v>93204</v>
      </c>
    </row>
    <row r="1149" spans="2:3">
      <c r="B1149" s="210" t="s">
        <v>2996</v>
      </c>
      <c r="C1149" s="227">
        <v>99212</v>
      </c>
    </row>
    <row r="1150" spans="2:3">
      <c r="B1150" s="210" t="s">
        <v>2997</v>
      </c>
      <c r="C1150" s="227">
        <v>93211</v>
      </c>
    </row>
    <row r="1151" spans="2:3">
      <c r="B1151" s="210" t="s">
        <v>166</v>
      </c>
      <c r="C1151" s="227">
        <v>97005</v>
      </c>
    </row>
    <row r="1152" spans="2:3">
      <c r="B1152" s="210" t="s">
        <v>2998</v>
      </c>
      <c r="C1152" s="227">
        <v>99931</v>
      </c>
    </row>
    <row r="1153" spans="2:3">
      <c r="B1153" s="210" t="s">
        <v>2999</v>
      </c>
      <c r="C1153" s="227">
        <v>92509</v>
      </c>
    </row>
    <row r="1154" spans="2:3">
      <c r="B1154" s="210" t="s">
        <v>195</v>
      </c>
      <c r="C1154" s="227">
        <v>98023</v>
      </c>
    </row>
    <row r="1155" spans="2:3">
      <c r="B1155" s="210" t="s">
        <v>3000</v>
      </c>
      <c r="C1155" s="227">
        <v>98021</v>
      </c>
    </row>
    <row r="1156" spans="2:3">
      <c r="B1156" s="210" t="s">
        <v>24</v>
      </c>
      <c r="C1156" s="227">
        <v>70505</v>
      </c>
    </row>
    <row r="1157" spans="2:3">
      <c r="B1157" s="210" t="s">
        <v>3001</v>
      </c>
      <c r="C1157" s="227">
        <v>99603</v>
      </c>
    </row>
    <row r="1158" spans="2:3">
      <c r="B1158" s="210" t="s">
        <v>3002</v>
      </c>
      <c r="C1158" s="227">
        <v>99610</v>
      </c>
    </row>
    <row r="1159" spans="2:3">
      <c r="B1159" s="210" t="s">
        <v>3003</v>
      </c>
      <c r="C1159" s="227">
        <v>92681</v>
      </c>
    </row>
    <row r="1160" spans="2:3">
      <c r="B1160" s="210" t="s">
        <v>1625</v>
      </c>
      <c r="C1160" s="227">
        <v>93108</v>
      </c>
    </row>
    <row r="1161" spans="2:3">
      <c r="B1161" s="210" t="s">
        <v>3004</v>
      </c>
      <c r="C1161" s="227">
        <v>97957</v>
      </c>
    </row>
    <row r="1162" spans="2:3">
      <c r="B1162" s="210" t="s">
        <v>3005</v>
      </c>
      <c r="C1162" s="227">
        <v>97951</v>
      </c>
    </row>
    <row r="1163" spans="2:3">
      <c r="B1163" s="210" t="s">
        <v>3006</v>
      </c>
      <c r="C1163" s="227">
        <v>92111</v>
      </c>
    </row>
    <row r="1164" spans="2:3">
      <c r="B1164" s="210" t="s">
        <v>87</v>
      </c>
      <c r="C1164" s="227">
        <v>93301</v>
      </c>
    </row>
    <row r="1165" spans="2:3">
      <c r="B1165" s="210" t="s">
        <v>3007</v>
      </c>
      <c r="C1165" s="227">
        <v>93304</v>
      </c>
    </row>
    <row r="1166" spans="2:3">
      <c r="B1166" s="210" t="s">
        <v>3008</v>
      </c>
      <c r="C1166" s="227">
        <v>93305</v>
      </c>
    </row>
    <row r="1167" spans="2:3">
      <c r="B1167" s="210" t="s">
        <v>3009</v>
      </c>
      <c r="C1167" s="227">
        <v>99210</v>
      </c>
    </row>
    <row r="1168" spans="2:3">
      <c r="B1168" s="210" t="s">
        <v>169</v>
      </c>
      <c r="C1168" s="227">
        <v>97011</v>
      </c>
    </row>
    <row r="1169" spans="2:3">
      <c r="B1169" s="210" t="s">
        <v>3010</v>
      </c>
      <c r="C1169" s="227">
        <v>97013</v>
      </c>
    </row>
    <row r="1170" spans="2:3">
      <c r="B1170" s="210" t="s">
        <v>3011</v>
      </c>
      <c r="C1170" s="227">
        <v>97012</v>
      </c>
    </row>
    <row r="1171" spans="2:3">
      <c r="B1171" s="210" t="s">
        <v>3012</v>
      </c>
      <c r="C1171" s="227">
        <v>97018</v>
      </c>
    </row>
    <row r="1172" spans="2:3">
      <c r="B1172" s="210" t="s">
        <v>3013</v>
      </c>
      <c r="C1172" s="227">
        <v>90917</v>
      </c>
    </row>
    <row r="1173" spans="2:3">
      <c r="B1173" s="210" t="s">
        <v>3014</v>
      </c>
      <c r="C1173" s="227">
        <v>90911</v>
      </c>
    </row>
    <row r="1174" spans="2:3">
      <c r="B1174" s="210" t="s">
        <v>3015</v>
      </c>
      <c r="C1174" s="227">
        <v>90641</v>
      </c>
    </row>
    <row r="1175" spans="2:3">
      <c r="B1175" s="210" t="s">
        <v>3016</v>
      </c>
      <c r="C1175" s="227">
        <v>98647</v>
      </c>
    </row>
    <row r="1176" spans="2:3">
      <c r="B1176" s="210" t="s">
        <v>3017</v>
      </c>
      <c r="C1176" s="227">
        <v>98641</v>
      </c>
    </row>
    <row r="1177" spans="2:3">
      <c r="B1177" s="210" t="s">
        <v>3018</v>
      </c>
      <c r="C1177" s="227">
        <v>98161</v>
      </c>
    </row>
    <row r="1178" spans="2:3">
      <c r="B1178" s="210" t="s">
        <v>3019</v>
      </c>
      <c r="C1178" s="227">
        <v>97731</v>
      </c>
    </row>
    <row r="1179" spans="2:3">
      <c r="B1179" s="210" t="s">
        <v>3020</v>
      </c>
      <c r="C1179" s="227">
        <v>99851</v>
      </c>
    </row>
    <row r="1180" spans="2:3">
      <c r="B1180" s="210" t="s">
        <v>3021</v>
      </c>
      <c r="C1180" s="227">
        <v>90131</v>
      </c>
    </row>
    <row r="1181" spans="2:3">
      <c r="B1181" s="210" t="s">
        <v>3022</v>
      </c>
      <c r="C1181" s="227">
        <v>91651</v>
      </c>
    </row>
    <row r="1182" spans="2:3">
      <c r="B1182" s="210" t="s">
        <v>3023</v>
      </c>
      <c r="C1182" s="227">
        <v>94211</v>
      </c>
    </row>
    <row r="1183" spans="2:3">
      <c r="B1183" s="210" t="s">
        <v>3024</v>
      </c>
      <c r="C1183" s="227">
        <v>94331</v>
      </c>
    </row>
    <row r="1184" spans="2:3">
      <c r="B1184" s="210" t="s">
        <v>3025</v>
      </c>
      <c r="C1184" s="227">
        <v>92431</v>
      </c>
    </row>
    <row r="1185" spans="2:3">
      <c r="B1185" s="210" t="s">
        <v>190</v>
      </c>
      <c r="C1185" s="227">
        <v>97823</v>
      </c>
    </row>
    <row r="1186" spans="2:3">
      <c r="B1186" s="210" t="s">
        <v>3026</v>
      </c>
      <c r="C1186" s="227">
        <v>97821</v>
      </c>
    </row>
    <row r="1187" spans="2:3">
      <c r="B1187" s="210" t="s">
        <v>3027</v>
      </c>
      <c r="C1187" s="227">
        <v>93141</v>
      </c>
    </row>
    <row r="1188" spans="2:3">
      <c r="B1188" s="210" t="s">
        <v>3028</v>
      </c>
      <c r="C1188" s="227">
        <v>98081</v>
      </c>
    </row>
    <row r="1189" spans="2:3">
      <c r="B1189" s="210" t="s">
        <v>3029</v>
      </c>
      <c r="C1189" s="227">
        <v>92671</v>
      </c>
    </row>
    <row r="1190" spans="2:3">
      <c r="B1190" s="210" t="s">
        <v>179</v>
      </c>
      <c r="C1190" s="227">
        <v>97423</v>
      </c>
    </row>
    <row r="1191" spans="2:3">
      <c r="B1191" s="210" t="s">
        <v>3030</v>
      </c>
      <c r="C1191" s="227">
        <v>97421</v>
      </c>
    </row>
    <row r="1192" spans="2:3">
      <c r="B1192" s="210" t="s">
        <v>3031</v>
      </c>
      <c r="C1192" s="227">
        <v>92613</v>
      </c>
    </row>
    <row r="1193" spans="2:3">
      <c r="B1193" s="210" t="s">
        <v>3032</v>
      </c>
      <c r="C1193" s="227">
        <v>92614</v>
      </c>
    </row>
    <row r="1194" spans="2:3">
      <c r="B1194" s="210" t="s">
        <v>3033</v>
      </c>
      <c r="C1194" s="227">
        <v>92611</v>
      </c>
    </row>
    <row r="1195" spans="2:3">
      <c r="B1195" s="210" t="s">
        <v>3034</v>
      </c>
      <c r="C1195" s="227">
        <v>92502</v>
      </c>
    </row>
    <row r="1196" spans="2:3">
      <c r="B1196" s="210" t="s">
        <v>3035</v>
      </c>
      <c r="C1196" s="227">
        <v>94531</v>
      </c>
    </row>
    <row r="1197" spans="2:3">
      <c r="B1197" s="210" t="s">
        <v>3036</v>
      </c>
      <c r="C1197" s="227">
        <v>94547</v>
      </c>
    </row>
    <row r="1198" spans="2:3">
      <c r="B1198" s="210" t="s">
        <v>3037</v>
      </c>
      <c r="C1198" s="227">
        <v>94541</v>
      </c>
    </row>
    <row r="1199" spans="2:3">
      <c r="B1199" s="210" t="s">
        <v>126</v>
      </c>
      <c r="C1199" s="227">
        <v>95005</v>
      </c>
    </row>
    <row r="1200" spans="2:3">
      <c r="B1200" s="210" t="s">
        <v>198</v>
      </c>
      <c r="C1200" s="227">
        <v>98111</v>
      </c>
    </row>
    <row r="1201" spans="2:3">
      <c r="B1201" s="210" t="s">
        <v>3038</v>
      </c>
      <c r="C1201" s="227">
        <v>98107</v>
      </c>
    </row>
    <row r="1202" spans="2:3">
      <c r="B1202" s="210" t="s">
        <v>199</v>
      </c>
      <c r="C1202" s="227">
        <v>98113</v>
      </c>
    </row>
    <row r="1203" spans="2:3">
      <c r="B1203" s="210" t="s">
        <v>3039</v>
      </c>
      <c r="C1203" s="227">
        <v>99602</v>
      </c>
    </row>
    <row r="1204" spans="2:3">
      <c r="B1204" s="210" t="s">
        <v>90</v>
      </c>
      <c r="C1204" s="227">
        <v>93401</v>
      </c>
    </row>
    <row r="1205" spans="2:3">
      <c r="B1205" s="210" t="s">
        <v>3040</v>
      </c>
      <c r="C1205" s="227">
        <v>97491</v>
      </c>
    </row>
    <row r="1206" spans="2:3">
      <c r="B1206" s="210" t="s">
        <v>3041</v>
      </c>
      <c r="C1206" s="227">
        <v>95151</v>
      </c>
    </row>
    <row r="1207" spans="2:3">
      <c r="B1207" s="210" t="s">
        <v>150</v>
      </c>
      <c r="C1207" s="227">
        <v>96381</v>
      </c>
    </row>
    <row r="1208" spans="2:3">
      <c r="B1208" s="210" t="s">
        <v>95</v>
      </c>
      <c r="C1208" s="227">
        <v>93501</v>
      </c>
    </row>
    <row r="1209" spans="2:3">
      <c r="B1209" s="210" t="s">
        <v>3042</v>
      </c>
      <c r="C1209" s="227">
        <v>95611</v>
      </c>
    </row>
    <row r="1210" spans="2:3">
      <c r="B1210" s="210" t="s">
        <v>3043</v>
      </c>
      <c r="C1210" s="227">
        <v>93517</v>
      </c>
    </row>
    <row r="1211" spans="2:3">
      <c r="B1211" s="210" t="s">
        <v>3044</v>
      </c>
      <c r="C1211" s="227">
        <v>93511</v>
      </c>
    </row>
    <row r="1212" spans="2:3">
      <c r="B1212" s="210" t="s">
        <v>3045</v>
      </c>
      <c r="C1212" s="227">
        <v>99631</v>
      </c>
    </row>
    <row r="1213" spans="2:3">
      <c r="B1213" s="210" t="s">
        <v>3046</v>
      </c>
      <c r="C1213" s="227">
        <v>99261</v>
      </c>
    </row>
    <row r="1214" spans="2:3">
      <c r="B1214" s="210" t="s">
        <v>3047</v>
      </c>
      <c r="C1214" s="227">
        <v>98241</v>
      </c>
    </row>
    <row r="1215" spans="2:3">
      <c r="B1215" s="210" t="s">
        <v>3048</v>
      </c>
      <c r="C1215" s="227">
        <v>99252</v>
      </c>
    </row>
    <row r="1216" spans="2:3">
      <c r="B1216" s="210" t="s">
        <v>3049</v>
      </c>
      <c r="C1216" s="227">
        <v>99251</v>
      </c>
    </row>
    <row r="1217" spans="2:3">
      <c r="B1217" s="210" t="s">
        <v>3050</v>
      </c>
      <c r="C1217" s="227">
        <v>96631</v>
      </c>
    </row>
    <row r="1218" spans="2:3">
      <c r="B1218" s="210" t="s">
        <v>3051</v>
      </c>
      <c r="C1218" s="227">
        <v>93618</v>
      </c>
    </row>
    <row r="1219" spans="2:3">
      <c r="B1219" s="210" t="s">
        <v>96</v>
      </c>
      <c r="C1219" s="227">
        <v>93601</v>
      </c>
    </row>
    <row r="1220" spans="2:3">
      <c r="B1220" s="210" t="s">
        <v>3052</v>
      </c>
      <c r="C1220" s="227">
        <v>96651</v>
      </c>
    </row>
    <row r="1221" spans="2:3">
      <c r="B1221" s="210" t="s">
        <v>3053</v>
      </c>
      <c r="C1221" s="227">
        <v>93617</v>
      </c>
    </row>
    <row r="1222" spans="2:3">
      <c r="B1222" s="210" t="s">
        <v>3054</v>
      </c>
      <c r="C1222" s="227">
        <v>93611</v>
      </c>
    </row>
    <row r="1223" spans="2:3">
      <c r="B1223" s="210" t="s">
        <v>99</v>
      </c>
      <c r="C1223" s="227">
        <v>93701</v>
      </c>
    </row>
    <row r="1224" spans="2:3">
      <c r="B1224" s="210" t="s">
        <v>3055</v>
      </c>
      <c r="C1224" s="227">
        <v>93704</v>
      </c>
    </row>
    <row r="1225" spans="2:3">
      <c r="B1225" s="210" t="s">
        <v>3056</v>
      </c>
      <c r="C1225" s="227">
        <v>98331</v>
      </c>
    </row>
    <row r="1226" spans="2:3">
      <c r="B1226" s="210" t="s">
        <v>3057</v>
      </c>
      <c r="C1226" s="227">
        <v>94157</v>
      </c>
    </row>
    <row r="1227" spans="2:3">
      <c r="B1227" s="210" t="s">
        <v>3058</v>
      </c>
      <c r="C1227" s="227">
        <v>94151</v>
      </c>
    </row>
    <row r="1228" spans="2:3">
      <c r="B1228" s="210" t="s">
        <v>3059</v>
      </c>
      <c r="C1228" s="227">
        <v>91241</v>
      </c>
    </row>
    <row r="1229" spans="2:3">
      <c r="B1229" s="210" t="s">
        <v>135</v>
      </c>
      <c r="C1229" s="227">
        <v>95412</v>
      </c>
    </row>
    <row r="1230" spans="2:3">
      <c r="B1230" s="210" t="s">
        <v>3060</v>
      </c>
      <c r="C1230" s="227">
        <v>99613</v>
      </c>
    </row>
    <row r="1231" spans="2:3">
      <c r="B1231" s="210" t="s">
        <v>3061</v>
      </c>
      <c r="C1231" s="227">
        <v>99611</v>
      </c>
    </row>
    <row r="1232" spans="2:3">
      <c r="B1232" s="210" t="s">
        <v>62</v>
      </c>
      <c r="C1232" s="227">
        <v>91908</v>
      </c>
    </row>
    <row r="1233" spans="2:3">
      <c r="B1233" s="210" t="s">
        <v>100</v>
      </c>
      <c r="C1233" s="227">
        <v>93801</v>
      </c>
    </row>
    <row r="1234" spans="2:3">
      <c r="B1234" s="210" t="s">
        <v>3062</v>
      </c>
      <c r="C1234" s="227">
        <v>93806</v>
      </c>
    </row>
    <row r="1235" spans="2:3">
      <c r="B1235" s="210" t="s">
        <v>3063</v>
      </c>
      <c r="C1235" s="227">
        <v>93803</v>
      </c>
    </row>
    <row r="1236" spans="2:3">
      <c r="B1236" s="210" t="s">
        <v>3064</v>
      </c>
      <c r="C1236" s="227">
        <v>90121</v>
      </c>
    </row>
    <row r="1237" spans="2:3">
      <c r="B1237" s="210" t="s">
        <v>3065</v>
      </c>
      <c r="C1237" s="227">
        <v>91417</v>
      </c>
    </row>
    <row r="1238" spans="2:3">
      <c r="B1238" s="210" t="s">
        <v>3066</v>
      </c>
      <c r="C1238" s="227">
        <v>91411</v>
      </c>
    </row>
    <row r="1239" spans="2:3">
      <c r="B1239" s="210" t="s">
        <v>3067</v>
      </c>
      <c r="C1239" s="227">
        <v>98061</v>
      </c>
    </row>
    <row r="1240" spans="2:3">
      <c r="B1240" s="210" t="s">
        <v>101</v>
      </c>
      <c r="C1240" s="227">
        <v>93901</v>
      </c>
    </row>
    <row r="1241" spans="2:3">
      <c r="B1241" s="210" t="s">
        <v>3068</v>
      </c>
      <c r="C1241" s="227">
        <v>93904</v>
      </c>
    </row>
    <row r="1242" spans="2:3">
      <c r="B1242" s="210" t="s">
        <v>102</v>
      </c>
      <c r="C1242" s="227">
        <v>93906</v>
      </c>
    </row>
    <row r="1243" spans="2:3">
      <c r="B1243" s="210" t="s">
        <v>3069</v>
      </c>
      <c r="C1243" s="227">
        <v>93908</v>
      </c>
    </row>
    <row r="1244" spans="2:3">
      <c r="B1244" s="210" t="s">
        <v>3070</v>
      </c>
      <c r="C1244" s="227">
        <v>94908</v>
      </c>
    </row>
    <row r="1245" spans="2:3">
      <c r="B1245" s="210" t="s">
        <v>3071</v>
      </c>
      <c r="C1245" s="227">
        <v>90161</v>
      </c>
    </row>
    <row r="1246" spans="2:3">
      <c r="B1246" s="210" t="s">
        <v>104</v>
      </c>
      <c r="C1246" s="227">
        <v>94001</v>
      </c>
    </row>
    <row r="1247" spans="2:3">
      <c r="B1247" s="210" t="s">
        <v>3072</v>
      </c>
      <c r="C1247" s="227">
        <v>94004</v>
      </c>
    </row>
    <row r="1248" spans="2:3">
      <c r="B1248" s="210" t="s">
        <v>3073</v>
      </c>
      <c r="C1248" s="227">
        <v>94117</v>
      </c>
    </row>
    <row r="1249" spans="2:3">
      <c r="B1249" s="210" t="s">
        <v>3074</v>
      </c>
      <c r="C1249" s="227">
        <v>94111</v>
      </c>
    </row>
    <row r="1250" spans="2:3">
      <c r="B1250" s="210" t="s">
        <v>178</v>
      </c>
      <c r="C1250" s="227">
        <v>97413</v>
      </c>
    </row>
    <row r="1251" spans="2:3">
      <c r="B1251" s="210" t="s">
        <v>177</v>
      </c>
      <c r="C1251" s="227">
        <v>97412</v>
      </c>
    </row>
    <row r="1252" spans="2:3">
      <c r="B1252" s="210" t="s">
        <v>3075</v>
      </c>
      <c r="C1252" s="227">
        <v>97411</v>
      </c>
    </row>
    <row r="1253" spans="2:3">
      <c r="B1253" s="210" t="s">
        <v>3076</v>
      </c>
      <c r="C1253" s="227">
        <v>97431</v>
      </c>
    </row>
    <row r="1254" spans="2:3">
      <c r="B1254" s="210" t="s">
        <v>3077</v>
      </c>
      <c r="C1254" s="227">
        <v>97471</v>
      </c>
    </row>
    <row r="1255" spans="2:3">
      <c r="B1255" s="210" t="s">
        <v>3078</v>
      </c>
      <c r="C1255" s="227">
        <v>92351</v>
      </c>
    </row>
    <row r="1256" spans="2:3">
      <c r="B1256" s="210" t="s">
        <v>3079</v>
      </c>
      <c r="C1256" s="227">
        <v>94118</v>
      </c>
    </row>
    <row r="1257" spans="2:3">
      <c r="B1257" s="210" t="s">
        <v>3080</v>
      </c>
      <c r="C1257" s="227">
        <v>94101</v>
      </c>
    </row>
    <row r="1258" spans="2:3">
      <c r="B1258" s="210" t="s">
        <v>106</v>
      </c>
      <c r="C1258" s="227">
        <v>94102</v>
      </c>
    </row>
    <row r="1259" spans="2:3">
      <c r="B1259" s="210" t="s">
        <v>109</v>
      </c>
      <c r="C1259" s="227">
        <v>94201</v>
      </c>
    </row>
    <row r="1260" spans="2:3">
      <c r="B1260" s="210" t="s">
        <v>3081</v>
      </c>
      <c r="C1260" s="227">
        <v>94204</v>
      </c>
    </row>
    <row r="1261" spans="2:3">
      <c r="B1261" s="210" t="s">
        <v>110</v>
      </c>
      <c r="C1261" s="227">
        <v>94205</v>
      </c>
    </row>
    <row r="1262" spans="2:3">
      <c r="B1262" s="210" t="s">
        <v>3082</v>
      </c>
      <c r="C1262" s="227">
        <v>95831</v>
      </c>
    </row>
    <row r="1263" spans="2:3">
      <c r="B1263" s="210" t="s">
        <v>3083</v>
      </c>
      <c r="C1263" s="227">
        <v>97717</v>
      </c>
    </row>
    <row r="1264" spans="2:3">
      <c r="B1264" s="210" t="s">
        <v>3084</v>
      </c>
      <c r="C1264" s="227">
        <v>97721</v>
      </c>
    </row>
    <row r="1265" spans="2:3">
      <c r="B1265" s="210" t="s">
        <v>112</v>
      </c>
      <c r="C1265" s="227">
        <v>94301</v>
      </c>
    </row>
    <row r="1266" spans="2:3">
      <c r="B1266" s="210" t="s">
        <v>3085</v>
      </c>
      <c r="C1266" s="227">
        <v>91441</v>
      </c>
    </row>
    <row r="1267" spans="2:3">
      <c r="B1267" s="210" t="s">
        <v>3086</v>
      </c>
      <c r="C1267" s="227">
        <v>92531</v>
      </c>
    </row>
    <row r="1268" spans="2:3">
      <c r="B1268" s="210" t="s">
        <v>3087</v>
      </c>
      <c r="C1268" s="227">
        <v>90141</v>
      </c>
    </row>
    <row r="1269" spans="2:3">
      <c r="B1269" s="210" t="s">
        <v>114</v>
      </c>
      <c r="C1269" s="227">
        <v>94401</v>
      </c>
    </row>
    <row r="1270" spans="2:3">
      <c r="B1270" s="210" t="s">
        <v>115</v>
      </c>
      <c r="C1270" s="227">
        <v>94402</v>
      </c>
    </row>
    <row r="1271" spans="2:3">
      <c r="B1271" s="210" t="s">
        <v>3088</v>
      </c>
      <c r="C1271" s="227">
        <v>94501</v>
      </c>
    </row>
    <row r="1272" spans="2:3">
      <c r="B1272" s="210" t="s">
        <v>3089</v>
      </c>
      <c r="C1272" s="227">
        <v>99111</v>
      </c>
    </row>
    <row r="1273" spans="2:3">
      <c r="B1273" s="210" t="s">
        <v>3090</v>
      </c>
      <c r="C1273" s="227">
        <v>94517</v>
      </c>
    </row>
    <row r="1274" spans="2:3">
      <c r="B1274" s="210" t="s">
        <v>117</v>
      </c>
      <c r="C1274" s="227">
        <v>94512</v>
      </c>
    </row>
    <row r="1275" spans="2:3">
      <c r="B1275" s="210" t="s">
        <v>3091</v>
      </c>
      <c r="C1275" s="227">
        <v>94511</v>
      </c>
    </row>
    <row r="1276" spans="2:3">
      <c r="B1276" s="210" t="s">
        <v>3092</v>
      </c>
      <c r="C1276" s="227">
        <v>97217</v>
      </c>
    </row>
    <row r="1277" spans="2:3">
      <c r="B1277" s="210" t="s">
        <v>119</v>
      </c>
      <c r="C1277" s="227">
        <v>94601</v>
      </c>
    </row>
    <row r="1278" spans="2:3">
      <c r="B1278" s="210" t="s">
        <v>3093</v>
      </c>
      <c r="C1278" s="227">
        <v>94604</v>
      </c>
    </row>
    <row r="1279" spans="2:3">
      <c r="B1279" s="210" t="s">
        <v>120</v>
      </c>
      <c r="C1279" s="227">
        <v>94606</v>
      </c>
    </row>
    <row r="1280" spans="2:3">
      <c r="B1280" s="210" t="s">
        <v>3094</v>
      </c>
      <c r="C1280" s="227">
        <v>97213</v>
      </c>
    </row>
    <row r="1281" spans="2:3">
      <c r="B1281" s="210" t="s">
        <v>3095</v>
      </c>
      <c r="C1281" s="227">
        <v>97211</v>
      </c>
    </row>
    <row r="1282" spans="2:3">
      <c r="B1282" s="210" t="s">
        <v>3096</v>
      </c>
      <c r="C1282" s="227">
        <v>91813</v>
      </c>
    </row>
    <row r="1283" spans="2:3">
      <c r="B1283" s="210" t="s">
        <v>3097</v>
      </c>
      <c r="C1283" s="227">
        <v>91811</v>
      </c>
    </row>
    <row r="1284" spans="2:3">
      <c r="B1284" s="210" t="s">
        <v>3098</v>
      </c>
      <c r="C1284" s="227">
        <v>91812</v>
      </c>
    </row>
    <row r="1285" spans="2:3">
      <c r="B1285" s="210" t="s">
        <v>3099</v>
      </c>
      <c r="C1285" s="227">
        <v>90617</v>
      </c>
    </row>
    <row r="1286" spans="2:3">
      <c r="B1286" s="210" t="s">
        <v>3100</v>
      </c>
      <c r="C1286" s="227">
        <v>94127</v>
      </c>
    </row>
    <row r="1287" spans="2:3">
      <c r="B1287" s="210" t="s">
        <v>3101</v>
      </c>
      <c r="C1287" s="227">
        <v>94121</v>
      </c>
    </row>
    <row r="1288" spans="2:3">
      <c r="B1288" s="210" t="s">
        <v>3102</v>
      </c>
      <c r="C1288" s="227">
        <v>95617</v>
      </c>
    </row>
    <row r="1289" spans="2:3">
      <c r="B1289" s="210" t="s">
        <v>3103</v>
      </c>
      <c r="C1289" s="227">
        <v>95621</v>
      </c>
    </row>
    <row r="1290" spans="2:3">
      <c r="B1290" s="210" t="s">
        <v>3104</v>
      </c>
      <c r="C1290" s="227">
        <v>91251</v>
      </c>
    </row>
    <row r="1291" spans="2:3">
      <c r="B1291" s="210" t="s">
        <v>3105</v>
      </c>
      <c r="C1291" s="227">
        <v>96831</v>
      </c>
    </row>
    <row r="1292" spans="2:3">
      <c r="B1292" s="210" t="s">
        <v>3106</v>
      </c>
      <c r="C1292" s="227">
        <v>94251</v>
      </c>
    </row>
    <row r="1293" spans="2:3">
      <c r="B1293" s="210" t="s">
        <v>121</v>
      </c>
      <c r="C1293" s="227">
        <v>94701</v>
      </c>
    </row>
    <row r="1294" spans="2:3">
      <c r="B1294" s="210" t="s">
        <v>3107</v>
      </c>
      <c r="C1294" s="227">
        <v>94704</v>
      </c>
    </row>
    <row r="1295" spans="2:3">
      <c r="B1295" s="210" t="s">
        <v>3108</v>
      </c>
      <c r="C1295" s="227">
        <v>91014</v>
      </c>
    </row>
    <row r="1296" spans="2:3">
      <c r="B1296" s="210" t="s">
        <v>160</v>
      </c>
      <c r="C1296" s="227">
        <v>96733</v>
      </c>
    </row>
    <row r="1297" spans="2:3">
      <c r="B1297" s="210" t="s">
        <v>3109</v>
      </c>
      <c r="C1297" s="227">
        <v>96731</v>
      </c>
    </row>
    <row r="1298" spans="2:3">
      <c r="B1298" s="210" t="s">
        <v>3110</v>
      </c>
      <c r="C1298" s="227">
        <v>99202</v>
      </c>
    </row>
    <row r="1299" spans="2:3">
      <c r="B1299" s="210" t="s">
        <v>3111</v>
      </c>
      <c r="C1299" s="227">
        <v>94011</v>
      </c>
    </row>
    <row r="1300" spans="2:3">
      <c r="B1300" s="210" t="s">
        <v>3112</v>
      </c>
      <c r="C1300" s="227">
        <v>92631</v>
      </c>
    </row>
    <row r="1301" spans="2:3">
      <c r="B1301" s="210" t="s">
        <v>140</v>
      </c>
      <c r="C1301" s="227">
        <v>95733</v>
      </c>
    </row>
    <row r="1302" spans="2:3">
      <c r="B1302" s="210" t="s">
        <v>3113</v>
      </c>
      <c r="C1302" s="227">
        <v>91431</v>
      </c>
    </row>
    <row r="1303" spans="2:3">
      <c r="B1303" s="210" t="s">
        <v>3114</v>
      </c>
      <c r="C1303" s="227">
        <v>96041</v>
      </c>
    </row>
    <row r="1304" spans="2:3">
      <c r="B1304" s="210" t="s">
        <v>122</v>
      </c>
      <c r="C1304" s="227">
        <v>94801</v>
      </c>
    </row>
    <row r="1305" spans="2:3">
      <c r="B1305" s="210" t="s">
        <v>3115</v>
      </c>
      <c r="C1305" s="227">
        <v>94804</v>
      </c>
    </row>
    <row r="1306" spans="2:3">
      <c r="B1306" s="210" t="s">
        <v>3116</v>
      </c>
      <c r="C1306" s="227">
        <v>91661</v>
      </c>
    </row>
    <row r="1307" spans="2:3">
      <c r="B1307" s="210" t="s">
        <v>1626</v>
      </c>
      <c r="C1307" s="227">
        <v>99014</v>
      </c>
    </row>
    <row r="1308" spans="2:3">
      <c r="B1308" s="210" t="s">
        <v>3117</v>
      </c>
      <c r="C1308" s="227">
        <v>99051</v>
      </c>
    </row>
    <row r="1309" spans="2:3">
      <c r="B1309" s="210" t="s">
        <v>123</v>
      </c>
      <c r="C1309" s="227">
        <v>94901</v>
      </c>
    </row>
    <row r="1310" spans="2:3">
      <c r="B1310" s="210" t="s">
        <v>3118</v>
      </c>
      <c r="C1310" s="227">
        <v>98109</v>
      </c>
    </row>
    <row r="1311" spans="2:3">
      <c r="B1311" s="210" t="s">
        <v>3119</v>
      </c>
      <c r="C1311" s="227">
        <v>98205</v>
      </c>
    </row>
    <row r="1312" spans="2:3">
      <c r="B1312" s="210" t="s">
        <v>125</v>
      </c>
      <c r="C1312" s="227">
        <v>95001</v>
      </c>
    </row>
    <row r="1313" spans="2:3">
      <c r="B1313" s="210" t="s">
        <v>1627</v>
      </c>
      <c r="C1313" s="227">
        <v>95017</v>
      </c>
    </row>
    <row r="1314" spans="2:3">
      <c r="B1314" s="210" t="s">
        <v>3120</v>
      </c>
      <c r="C1314" s="227">
        <v>96661</v>
      </c>
    </row>
    <row r="1315" spans="2:3">
      <c r="B1315" s="210" t="s">
        <v>3121</v>
      </c>
      <c r="C1315" s="227">
        <v>96711</v>
      </c>
    </row>
    <row r="1316" spans="2:3">
      <c r="B1316" s="210" t="s">
        <v>3122</v>
      </c>
      <c r="C1316" s="227">
        <v>94131</v>
      </c>
    </row>
    <row r="1317" spans="2:3">
      <c r="B1317" s="210" t="s">
        <v>3123</v>
      </c>
      <c r="C1317" s="227">
        <v>95841</v>
      </c>
    </row>
    <row r="1318" spans="2:3">
      <c r="B1318" s="210" t="s">
        <v>3124</v>
      </c>
      <c r="C1318" s="227">
        <v>90511</v>
      </c>
    </row>
    <row r="1319" spans="2:3">
      <c r="B1319" s="210" t="s">
        <v>127</v>
      </c>
      <c r="C1319" s="227">
        <v>95101</v>
      </c>
    </row>
    <row r="1320" spans="2:3">
      <c r="B1320" s="210" t="s">
        <v>3125</v>
      </c>
      <c r="C1320" s="227">
        <v>95104</v>
      </c>
    </row>
    <row r="1321" spans="2:3">
      <c r="B1321" s="210" t="s">
        <v>3126</v>
      </c>
      <c r="C1321" s="227">
        <v>95105</v>
      </c>
    </row>
    <row r="1322" spans="2:3">
      <c r="B1322" s="210" t="s">
        <v>1628</v>
      </c>
      <c r="C1322" s="227">
        <v>95110</v>
      </c>
    </row>
    <row r="1323" spans="2:3">
      <c r="B1323" s="210" t="s">
        <v>131</v>
      </c>
      <c r="C1323" s="227">
        <v>95201</v>
      </c>
    </row>
    <row r="1324" spans="2:3">
      <c r="B1324" s="210" t="s">
        <v>3127</v>
      </c>
      <c r="C1324" s="227">
        <v>95204</v>
      </c>
    </row>
    <row r="1325" spans="2:3">
      <c r="B1325" s="210" t="s">
        <v>3128</v>
      </c>
      <c r="C1325" s="227">
        <v>99921</v>
      </c>
    </row>
    <row r="1326" spans="2:3">
      <c r="B1326" s="210" t="s">
        <v>116</v>
      </c>
      <c r="C1326" s="227">
        <v>94408</v>
      </c>
    </row>
    <row r="1327" spans="2:3">
      <c r="B1327" s="210" t="s">
        <v>3129</v>
      </c>
      <c r="C1327" s="227">
        <v>91331</v>
      </c>
    </row>
    <row r="1328" spans="2:3">
      <c r="B1328" s="210" t="s">
        <v>3130</v>
      </c>
      <c r="C1328" s="227">
        <v>93127</v>
      </c>
    </row>
    <row r="1329" spans="2:3">
      <c r="B1329" s="210" t="s">
        <v>3131</v>
      </c>
      <c r="C1329" s="227">
        <v>93121</v>
      </c>
    </row>
    <row r="1330" spans="2:3">
      <c r="B1330" s="210" t="s">
        <v>3132</v>
      </c>
      <c r="C1330" s="227">
        <v>95171</v>
      </c>
    </row>
    <row r="1331" spans="2:3">
      <c r="B1331" s="210" t="s">
        <v>3133</v>
      </c>
      <c r="C1331" s="227">
        <v>93421</v>
      </c>
    </row>
    <row r="1332" spans="2:3">
      <c r="B1332" s="210" t="s">
        <v>3134</v>
      </c>
      <c r="C1332" s="227">
        <v>99110</v>
      </c>
    </row>
    <row r="1333" spans="2:3">
      <c r="B1333" s="210" t="s">
        <v>3135</v>
      </c>
      <c r="C1333" s="227">
        <v>99109</v>
      </c>
    </row>
    <row r="1334" spans="2:3">
      <c r="B1334" s="210" t="s">
        <v>3136</v>
      </c>
      <c r="C1334" s="227">
        <v>92821</v>
      </c>
    </row>
    <row r="1335" spans="2:3">
      <c r="B1335" s="210" t="s">
        <v>3137</v>
      </c>
      <c r="C1335" s="227">
        <v>98521</v>
      </c>
    </row>
    <row r="1336" spans="2:3">
      <c r="B1336" s="210" t="s">
        <v>3138</v>
      </c>
      <c r="C1336" s="227">
        <v>92327</v>
      </c>
    </row>
    <row r="1337" spans="2:3">
      <c r="B1337" s="210" t="s">
        <v>3139</v>
      </c>
      <c r="C1337" s="227">
        <v>92321</v>
      </c>
    </row>
    <row r="1338" spans="2:3">
      <c r="B1338" s="210" t="s">
        <v>3140</v>
      </c>
      <c r="C1338" s="227">
        <v>95413</v>
      </c>
    </row>
    <row r="1339" spans="2:3">
      <c r="B1339" s="210" t="s">
        <v>3141</v>
      </c>
      <c r="C1339" s="227">
        <v>95411</v>
      </c>
    </row>
    <row r="1340" spans="2:3">
      <c r="B1340" s="210" t="s">
        <v>3142</v>
      </c>
      <c r="C1340" s="227">
        <v>95415</v>
      </c>
    </row>
    <row r="1341" spans="2:3">
      <c r="B1341" s="210" t="s">
        <v>3143</v>
      </c>
      <c r="C1341" s="227">
        <v>92851</v>
      </c>
    </row>
    <row r="1342" spans="2:3">
      <c r="B1342" s="210" t="s">
        <v>3144</v>
      </c>
      <c r="C1342" s="227">
        <v>99291</v>
      </c>
    </row>
    <row r="1343" spans="2:3">
      <c r="B1343" s="210" t="s">
        <v>3145</v>
      </c>
      <c r="C1343" s="227">
        <v>96541</v>
      </c>
    </row>
    <row r="1344" spans="2:3">
      <c r="B1344" s="210" t="s">
        <v>3146</v>
      </c>
      <c r="C1344" s="227">
        <v>95431</v>
      </c>
    </row>
    <row r="1345" spans="2:3">
      <c r="B1345" s="210" t="s">
        <v>3147</v>
      </c>
      <c r="C1345" s="227">
        <v>98131</v>
      </c>
    </row>
    <row r="1346" spans="2:3">
      <c r="B1346" s="210" t="s">
        <v>3148</v>
      </c>
      <c r="C1346" s="227">
        <v>92427</v>
      </c>
    </row>
    <row r="1347" spans="2:3">
      <c r="B1347" s="210" t="s">
        <v>3149</v>
      </c>
      <c r="C1347" s="227">
        <v>92461</v>
      </c>
    </row>
    <row r="1348" spans="2:3">
      <c r="B1348" s="210" t="s">
        <v>3150</v>
      </c>
      <c r="C1348" s="227">
        <v>98051</v>
      </c>
    </row>
    <row r="1349" spans="2:3">
      <c r="B1349" s="210" t="s">
        <v>45</v>
      </c>
      <c r="C1349" s="227">
        <v>91102</v>
      </c>
    </row>
    <row r="1350" spans="2:3">
      <c r="B1350" s="210" t="s">
        <v>3151</v>
      </c>
      <c r="C1350" s="227">
        <v>94527</v>
      </c>
    </row>
    <row r="1351" spans="2:3">
      <c r="B1351" s="210" t="s">
        <v>3152</v>
      </c>
      <c r="C1351" s="227">
        <v>94521</v>
      </c>
    </row>
    <row r="1352" spans="2:3">
      <c r="B1352" s="210" t="s">
        <v>3153</v>
      </c>
      <c r="C1352" s="227">
        <v>98313</v>
      </c>
    </row>
    <row r="1353" spans="2:3">
      <c r="B1353" s="210" t="s">
        <v>3154</v>
      </c>
      <c r="C1353" s="227">
        <v>98311</v>
      </c>
    </row>
    <row r="1354" spans="2:3">
      <c r="B1354" s="210" t="s">
        <v>202</v>
      </c>
      <c r="C1354" s="227">
        <v>98308</v>
      </c>
    </row>
    <row r="1355" spans="2:3">
      <c r="B1355" s="210" t="s">
        <v>3155</v>
      </c>
      <c r="C1355" s="227">
        <v>92341</v>
      </c>
    </row>
    <row r="1356" spans="2:3">
      <c r="B1356" s="210" t="s">
        <v>132</v>
      </c>
      <c r="C1356" s="227">
        <v>95301</v>
      </c>
    </row>
    <row r="1357" spans="2:3">
      <c r="B1357" s="210" t="s">
        <v>3156</v>
      </c>
      <c r="C1357" s="227">
        <v>91002</v>
      </c>
    </row>
    <row r="1358" spans="2:3">
      <c r="B1358" s="210" t="s">
        <v>3157</v>
      </c>
      <c r="C1358" s="227">
        <v>91457</v>
      </c>
    </row>
    <row r="1359" spans="2:3">
      <c r="B1359" s="210" t="s">
        <v>133</v>
      </c>
      <c r="C1359" s="227">
        <v>95401</v>
      </c>
    </row>
    <row r="1360" spans="2:3">
      <c r="B1360" s="210" t="s">
        <v>3158</v>
      </c>
      <c r="C1360" s="227">
        <v>95404</v>
      </c>
    </row>
    <row r="1361" spans="2:3">
      <c r="B1361" s="210" t="s">
        <v>55</v>
      </c>
      <c r="C1361" s="227">
        <v>91423</v>
      </c>
    </row>
    <row r="1362" spans="2:3">
      <c r="B1362" s="210" t="s">
        <v>3159</v>
      </c>
      <c r="C1362" s="227">
        <v>91451</v>
      </c>
    </row>
    <row r="1363" spans="2:3">
      <c r="B1363" s="210" t="s">
        <v>3160</v>
      </c>
      <c r="C1363" s="227">
        <v>90861</v>
      </c>
    </row>
    <row r="1364" spans="2:3">
      <c r="B1364" s="210" t="s">
        <v>3161</v>
      </c>
      <c r="C1364" s="227">
        <v>93451</v>
      </c>
    </row>
    <row r="1365" spans="2:3">
      <c r="B1365" s="210" t="s">
        <v>3162</v>
      </c>
      <c r="C1365" s="227">
        <v>92917</v>
      </c>
    </row>
    <row r="1366" spans="2:3">
      <c r="B1366" s="210" t="s">
        <v>3163</v>
      </c>
      <c r="C1366" s="227">
        <v>92931</v>
      </c>
    </row>
    <row r="1367" spans="2:3">
      <c r="B1367" s="210" t="s">
        <v>3164</v>
      </c>
      <c r="C1367" s="227">
        <v>97637</v>
      </c>
    </row>
    <row r="1368" spans="2:3">
      <c r="B1368" s="210" t="s">
        <v>3165</v>
      </c>
      <c r="C1368" s="227">
        <v>97631</v>
      </c>
    </row>
    <row r="1369" spans="2:3">
      <c r="B1369" s="210" t="s">
        <v>3166</v>
      </c>
      <c r="C1369" s="227">
        <v>90421</v>
      </c>
    </row>
    <row r="1370" spans="2:3">
      <c r="B1370" s="210" t="s">
        <v>3167</v>
      </c>
      <c r="C1370" s="227">
        <v>94321</v>
      </c>
    </row>
    <row r="1371" spans="2:3">
      <c r="B1371" s="210" t="s">
        <v>136</v>
      </c>
      <c r="C1371" s="227">
        <v>95501</v>
      </c>
    </row>
    <row r="1372" spans="2:3">
      <c r="B1372" s="210" t="s">
        <v>3168</v>
      </c>
      <c r="C1372" s="227">
        <v>95504</v>
      </c>
    </row>
    <row r="1373" spans="2:3">
      <c r="B1373" s="210" t="s">
        <v>3169</v>
      </c>
      <c r="C1373" s="227">
        <v>95517</v>
      </c>
    </row>
    <row r="1374" spans="2:3">
      <c r="B1374" s="210" t="s">
        <v>137</v>
      </c>
      <c r="C1374" s="227">
        <v>95513</v>
      </c>
    </row>
    <row r="1375" spans="2:3">
      <c r="B1375" s="210" t="s">
        <v>3170</v>
      </c>
      <c r="C1375" s="227">
        <v>95511</v>
      </c>
    </row>
    <row r="1376" spans="2:3">
      <c r="B1376" s="210" t="s">
        <v>3171</v>
      </c>
      <c r="C1376" s="227">
        <v>92651</v>
      </c>
    </row>
    <row r="1377" spans="2:3">
      <c r="B1377" s="210" t="s">
        <v>3172</v>
      </c>
      <c r="C1377" s="227">
        <v>94261</v>
      </c>
    </row>
    <row r="1378" spans="2:3">
      <c r="B1378" s="210" t="s">
        <v>3173</v>
      </c>
      <c r="C1378" s="227">
        <v>98431</v>
      </c>
    </row>
    <row r="1379" spans="2:3">
      <c r="B1379" s="210" t="s">
        <v>3174</v>
      </c>
      <c r="C1379" s="227">
        <v>91841</v>
      </c>
    </row>
    <row r="1380" spans="2:3">
      <c r="B1380" s="210" t="s">
        <v>3175</v>
      </c>
      <c r="C1380" s="227">
        <v>93527</v>
      </c>
    </row>
    <row r="1381" spans="2:3">
      <c r="B1381" s="210" t="s">
        <v>3176</v>
      </c>
      <c r="C1381" s="227">
        <v>93521</v>
      </c>
    </row>
    <row r="1382" spans="2:3">
      <c r="B1382" s="210" t="s">
        <v>3177</v>
      </c>
      <c r="C1382" s="227">
        <v>93661</v>
      </c>
    </row>
    <row r="1383" spans="2:3">
      <c r="B1383" s="210" t="s">
        <v>156</v>
      </c>
      <c r="C1383" s="227">
        <v>96508</v>
      </c>
    </row>
    <row r="1384" spans="2:3">
      <c r="B1384" s="210" t="s">
        <v>3178</v>
      </c>
      <c r="C1384" s="227">
        <v>99841</v>
      </c>
    </row>
    <row r="1385" spans="2:3">
      <c r="B1385" s="210" t="s">
        <v>187</v>
      </c>
      <c r="C1385" s="227">
        <v>97802</v>
      </c>
    </row>
    <row r="1386" spans="2:3">
      <c r="B1386" s="210" t="s">
        <v>3179</v>
      </c>
      <c r="C1386" s="227">
        <v>97817</v>
      </c>
    </row>
    <row r="1387" spans="2:3">
      <c r="B1387" s="210" t="s">
        <v>3180</v>
      </c>
      <c r="C1387" s="227">
        <v>97818</v>
      </c>
    </row>
    <row r="1388" spans="2:3">
      <c r="B1388" s="210" t="s">
        <v>3181</v>
      </c>
      <c r="C1388" s="227">
        <v>97811</v>
      </c>
    </row>
    <row r="1389" spans="2:3">
      <c r="B1389" s="210" t="s">
        <v>3182</v>
      </c>
      <c r="C1389" s="227">
        <v>93341</v>
      </c>
    </row>
    <row r="1390" spans="2:3">
      <c r="B1390" s="210" t="s">
        <v>138</v>
      </c>
      <c r="C1390" s="227">
        <v>95601</v>
      </c>
    </row>
    <row r="1391" spans="2:3">
      <c r="B1391" s="210" t="s">
        <v>3183</v>
      </c>
      <c r="C1391" s="227">
        <v>97947</v>
      </c>
    </row>
    <row r="1392" spans="2:3">
      <c r="B1392" s="210" t="s">
        <v>139</v>
      </c>
      <c r="C1392" s="227">
        <v>95701</v>
      </c>
    </row>
    <row r="1393" spans="2:3">
      <c r="B1393" s="210" t="s">
        <v>3184</v>
      </c>
      <c r="C1393" s="227">
        <v>97941</v>
      </c>
    </row>
    <row r="1394" spans="2:3">
      <c r="B1394" s="210" t="s">
        <v>193</v>
      </c>
      <c r="C1394" s="227">
        <v>97948</v>
      </c>
    </row>
    <row r="1395" spans="2:3">
      <c r="B1395" s="210" t="s">
        <v>3185</v>
      </c>
      <c r="C1395" s="227">
        <v>94427</v>
      </c>
    </row>
    <row r="1396" spans="2:3">
      <c r="B1396" s="210" t="s">
        <v>3186</v>
      </c>
      <c r="C1396" s="227">
        <v>94428</v>
      </c>
    </row>
    <row r="1397" spans="2:3">
      <c r="B1397" s="210" t="s">
        <v>3187</v>
      </c>
      <c r="C1397" s="227">
        <v>94421</v>
      </c>
    </row>
    <row r="1398" spans="2:3">
      <c r="B1398" s="210" t="s">
        <v>3188</v>
      </c>
      <c r="C1398" s="227">
        <v>93191</v>
      </c>
    </row>
    <row r="1399" spans="2:3">
      <c r="B1399" s="210" t="s">
        <v>3189</v>
      </c>
      <c r="C1399" s="227">
        <v>91831</v>
      </c>
    </row>
    <row r="1400" spans="2:3">
      <c r="B1400" s="210" t="s">
        <v>3190</v>
      </c>
      <c r="C1400" s="227">
        <v>92831</v>
      </c>
    </row>
    <row r="1401" spans="2:3">
      <c r="B1401" s="210" t="s">
        <v>3191</v>
      </c>
      <c r="C1401" s="227">
        <v>95917</v>
      </c>
    </row>
    <row r="1402" spans="2:3">
      <c r="B1402" s="210" t="s">
        <v>3192</v>
      </c>
      <c r="C1402" s="227">
        <v>95911</v>
      </c>
    </row>
    <row r="1403" spans="2:3">
      <c r="B1403" s="210" t="s">
        <v>3193</v>
      </c>
      <c r="C1403" s="227">
        <v>95711</v>
      </c>
    </row>
    <row r="1404" spans="2:3">
      <c r="B1404" s="210" t="s">
        <v>3194</v>
      </c>
      <c r="C1404" s="227">
        <v>95721</v>
      </c>
    </row>
    <row r="1405" spans="2:3">
      <c r="B1405" s="210" t="s">
        <v>3195</v>
      </c>
      <c r="C1405" s="227">
        <v>99021</v>
      </c>
    </row>
    <row r="1406" spans="2:3">
      <c r="B1406" s="210" t="s">
        <v>141</v>
      </c>
      <c r="C1406" s="227">
        <v>95801</v>
      </c>
    </row>
    <row r="1407" spans="2:3">
      <c r="B1407" s="210" t="s">
        <v>3196</v>
      </c>
      <c r="C1407" s="227">
        <v>95804</v>
      </c>
    </row>
    <row r="1408" spans="2:3">
      <c r="B1408" s="210" t="s">
        <v>3197</v>
      </c>
      <c r="C1408" s="227">
        <v>95802</v>
      </c>
    </row>
    <row r="1409" spans="2:3">
      <c r="B1409" s="210" t="s">
        <v>3198</v>
      </c>
      <c r="C1409" s="227">
        <v>90092</v>
      </c>
    </row>
    <row r="1410" spans="2:3">
      <c r="B1410" s="210" t="s">
        <v>3199</v>
      </c>
      <c r="C1410" s="227">
        <v>99081</v>
      </c>
    </row>
    <row r="1411" spans="2:3">
      <c r="B1411" s="210" t="s">
        <v>3200</v>
      </c>
      <c r="C1411" s="227">
        <v>96071</v>
      </c>
    </row>
    <row r="1412" spans="2:3">
      <c r="B1412" s="210" t="s">
        <v>105</v>
      </c>
      <c r="C1412" s="227">
        <v>94002</v>
      </c>
    </row>
    <row r="1413" spans="2:3">
      <c r="B1413" s="210" t="s">
        <v>3201</v>
      </c>
      <c r="C1413" s="227">
        <v>97847</v>
      </c>
    </row>
    <row r="1414" spans="2:3">
      <c r="B1414" s="210" t="s">
        <v>3202</v>
      </c>
      <c r="C1414" s="227">
        <v>97840</v>
      </c>
    </row>
    <row r="1415" spans="2:3">
      <c r="B1415" s="210" t="s">
        <v>3203</v>
      </c>
      <c r="C1415" s="227">
        <v>97921</v>
      </c>
    </row>
    <row r="1416" spans="2:3">
      <c r="B1416" s="210" t="s">
        <v>3204</v>
      </c>
      <c r="C1416" s="227">
        <v>95221</v>
      </c>
    </row>
    <row r="1417" spans="2:3">
      <c r="B1417" s="210" t="s">
        <v>3205</v>
      </c>
      <c r="C1417" s="227">
        <v>93610</v>
      </c>
    </row>
    <row r="1418" spans="2:3">
      <c r="B1418" s="210" t="s">
        <v>3206</v>
      </c>
      <c r="C1418" s="227">
        <v>95901</v>
      </c>
    </row>
    <row r="1419" spans="2:3">
      <c r="B1419" s="210" t="s">
        <v>3207</v>
      </c>
      <c r="C1419" s="227">
        <v>90114</v>
      </c>
    </row>
    <row r="1420" spans="2:3">
      <c r="B1420" s="210" t="s">
        <v>144</v>
      </c>
      <c r="C1420" s="227">
        <v>96001</v>
      </c>
    </row>
    <row r="1421" spans="2:3">
      <c r="B1421" s="210" t="s">
        <v>3208</v>
      </c>
      <c r="C1421" s="227">
        <v>96004</v>
      </c>
    </row>
    <row r="1422" spans="2:3">
      <c r="B1422" s="210" t="s">
        <v>3209</v>
      </c>
      <c r="C1422" s="227">
        <v>96008</v>
      </c>
    </row>
    <row r="1423" spans="2:3">
      <c r="B1423" s="210" t="s">
        <v>47</v>
      </c>
      <c r="C1423" s="227">
        <v>91108</v>
      </c>
    </row>
    <row r="1424" spans="2:3">
      <c r="B1424" s="210" t="s">
        <v>3210</v>
      </c>
      <c r="C1424" s="227">
        <v>94941</v>
      </c>
    </row>
    <row r="1425" spans="2:3">
      <c r="B1425" s="210" t="s">
        <v>3211</v>
      </c>
      <c r="C1425" s="227">
        <v>95122</v>
      </c>
    </row>
    <row r="1426" spans="2:3">
      <c r="B1426" s="210" t="s">
        <v>3212</v>
      </c>
      <c r="C1426" s="227">
        <v>92607</v>
      </c>
    </row>
    <row r="1427" spans="2:3">
      <c r="B1427" s="210" t="s">
        <v>3213</v>
      </c>
      <c r="C1427" s="227">
        <v>96431</v>
      </c>
    </row>
    <row r="1428" spans="2:3">
      <c r="B1428" s="210" t="s">
        <v>1629</v>
      </c>
      <c r="C1428" s="227">
        <v>90709</v>
      </c>
    </row>
    <row r="1429" spans="2:3">
      <c r="B1429" s="210" t="s">
        <v>3214</v>
      </c>
      <c r="C1429" s="227">
        <v>91341</v>
      </c>
    </row>
    <row r="1430" spans="2:3">
      <c r="B1430" s="210" t="s">
        <v>3215</v>
      </c>
      <c r="C1430" s="227">
        <v>94551</v>
      </c>
    </row>
    <row r="1431" spans="2:3">
      <c r="B1431" s="210" t="s">
        <v>3216</v>
      </c>
      <c r="C1431" s="227">
        <v>99022</v>
      </c>
    </row>
    <row r="1432" spans="2:3">
      <c r="B1432" s="210" t="s">
        <v>3217</v>
      </c>
      <c r="C1432" s="227">
        <v>96031</v>
      </c>
    </row>
    <row r="1433" spans="2:3">
      <c r="B1433" s="210" t="s">
        <v>3218</v>
      </c>
      <c r="C1433" s="227">
        <v>71786</v>
      </c>
    </row>
    <row r="1434" spans="2:3">
      <c r="B1434" s="210" t="s">
        <v>146</v>
      </c>
      <c r="C1434" s="227">
        <v>96101</v>
      </c>
    </row>
    <row r="1435" spans="2:3">
      <c r="B1435" s="210" t="s">
        <v>3219</v>
      </c>
      <c r="C1435" s="227">
        <v>96102</v>
      </c>
    </row>
    <row r="1436" spans="2:3">
      <c r="B1436" s="210" t="s">
        <v>3220</v>
      </c>
      <c r="C1436" s="227">
        <v>93011</v>
      </c>
    </row>
    <row r="1437" spans="2:3">
      <c r="B1437" s="210" t="s">
        <v>3221</v>
      </c>
      <c r="C1437" s="227">
        <v>99017</v>
      </c>
    </row>
    <row r="1438" spans="2:3">
      <c r="B1438" s="210" t="s">
        <v>3222</v>
      </c>
      <c r="C1438" s="227">
        <v>99013</v>
      </c>
    </row>
    <row r="1439" spans="2:3">
      <c r="B1439" s="210" t="s">
        <v>3223</v>
      </c>
      <c r="C1439" s="227">
        <v>99011</v>
      </c>
    </row>
    <row r="1440" spans="2:3">
      <c r="B1440" s="210" t="s">
        <v>147</v>
      </c>
      <c r="C1440" s="227">
        <v>96201</v>
      </c>
    </row>
    <row r="1441" spans="2:3">
      <c r="B1441" s="210" t="s">
        <v>3224</v>
      </c>
      <c r="C1441" s="227">
        <v>96204</v>
      </c>
    </row>
    <row r="1442" spans="2:3">
      <c r="B1442" s="210" t="s">
        <v>3225</v>
      </c>
      <c r="C1442" s="227">
        <v>91161</v>
      </c>
    </row>
    <row r="1443" spans="2:3">
      <c r="B1443" s="210" t="s">
        <v>148</v>
      </c>
      <c r="C1443" s="227">
        <v>96301</v>
      </c>
    </row>
    <row r="1444" spans="2:3">
      <c r="B1444" s="210" t="s">
        <v>3226</v>
      </c>
      <c r="C1444" s="227">
        <v>96304</v>
      </c>
    </row>
    <row r="1445" spans="2:3">
      <c r="B1445" s="210" t="s">
        <v>149</v>
      </c>
      <c r="C1445" s="227">
        <v>96310</v>
      </c>
    </row>
    <row r="1446" spans="2:3">
      <c r="B1446" s="210" t="s">
        <v>3227</v>
      </c>
      <c r="C1446" s="227">
        <v>96305</v>
      </c>
    </row>
    <row r="1447" spans="2:3">
      <c r="B1447" s="210" t="s">
        <v>3228</v>
      </c>
      <c r="C1447" s="227">
        <v>94927</v>
      </c>
    </row>
    <row r="1448" spans="2:3">
      <c r="B1448" s="210" t="s">
        <v>124</v>
      </c>
      <c r="C1448" s="227">
        <v>94923</v>
      </c>
    </row>
    <row r="1449" spans="2:3">
      <c r="B1449" s="210" t="s">
        <v>3229</v>
      </c>
      <c r="C1449" s="227">
        <v>94921</v>
      </c>
    </row>
    <row r="1450" spans="2:3">
      <c r="B1450" s="210" t="s">
        <v>3230</v>
      </c>
      <c r="C1450" s="227">
        <v>91611</v>
      </c>
    </row>
    <row r="1451" spans="2:3">
      <c r="B1451" s="210" t="s">
        <v>3231</v>
      </c>
      <c r="C1451" s="227">
        <v>91217</v>
      </c>
    </row>
    <row r="1452" spans="2:3">
      <c r="B1452" s="210" t="s">
        <v>52</v>
      </c>
      <c r="C1452" s="227">
        <v>91233</v>
      </c>
    </row>
    <row r="1453" spans="2:3">
      <c r="B1453" s="210" t="s">
        <v>3232</v>
      </c>
      <c r="C1453" s="227">
        <v>91231</v>
      </c>
    </row>
    <row r="1454" spans="2:3">
      <c r="B1454" s="210" t="s">
        <v>3233</v>
      </c>
      <c r="C1454" s="227">
        <v>99206</v>
      </c>
    </row>
    <row r="1455" spans="2:3">
      <c r="B1455" s="210" t="s">
        <v>3234</v>
      </c>
      <c r="C1455" s="227">
        <v>90461</v>
      </c>
    </row>
    <row r="1456" spans="2:3">
      <c r="B1456" s="210" t="s">
        <v>3235</v>
      </c>
      <c r="C1456" s="227">
        <v>98631</v>
      </c>
    </row>
    <row r="1457" spans="2:3">
      <c r="B1457" s="210" t="s">
        <v>3236</v>
      </c>
      <c r="C1457" s="227">
        <v>96251</v>
      </c>
    </row>
    <row r="1458" spans="2:3">
      <c r="B1458" s="210" t="s">
        <v>3237</v>
      </c>
      <c r="C1458" s="227">
        <v>99623</v>
      </c>
    </row>
    <row r="1459" spans="2:3">
      <c r="B1459" s="210" t="s">
        <v>3238</v>
      </c>
      <c r="C1459" s="227">
        <v>99621</v>
      </c>
    </row>
    <row r="1460" spans="2:3">
      <c r="B1460" s="210" t="s">
        <v>3239</v>
      </c>
      <c r="C1460" s="227">
        <v>91321</v>
      </c>
    </row>
    <row r="1461" spans="2:3">
      <c r="B1461" s="210" t="s">
        <v>3240</v>
      </c>
      <c r="C1461" s="227">
        <v>98637</v>
      </c>
    </row>
    <row r="1462" spans="2:3">
      <c r="B1462" s="210" t="s">
        <v>3241</v>
      </c>
      <c r="C1462" s="227">
        <v>93691</v>
      </c>
    </row>
    <row r="1463" spans="2:3">
      <c r="B1463" s="210" t="s">
        <v>3242</v>
      </c>
      <c r="C1463" s="227">
        <v>91327</v>
      </c>
    </row>
    <row r="1464" spans="2:3">
      <c r="B1464" s="210" t="s">
        <v>3243</v>
      </c>
      <c r="C1464" s="227">
        <v>94621</v>
      </c>
    </row>
    <row r="1465" spans="2:3">
      <c r="B1465" s="210" t="s">
        <v>3244</v>
      </c>
      <c r="C1465" s="227">
        <v>92017</v>
      </c>
    </row>
    <row r="1466" spans="2:3">
      <c r="B1466" s="210" t="s">
        <v>3245</v>
      </c>
      <c r="C1466" s="227">
        <v>92011</v>
      </c>
    </row>
    <row r="1467" spans="2:3">
      <c r="B1467" s="210" t="s">
        <v>3246</v>
      </c>
      <c r="C1467" s="51">
        <v>99991</v>
      </c>
    </row>
    <row r="1468" spans="2:3">
      <c r="B1468" s="210" t="s">
        <v>3247</v>
      </c>
      <c r="C1468" s="51">
        <v>99999</v>
      </c>
    </row>
    <row r="1469" spans="2:3">
      <c r="B1469" s="210" t="s">
        <v>3248</v>
      </c>
      <c r="C1469" s="227">
        <v>92811</v>
      </c>
    </row>
    <row r="1470" spans="2:3">
      <c r="B1470" s="210" t="s">
        <v>64</v>
      </c>
      <c r="C1470" s="227">
        <v>92005</v>
      </c>
    </row>
    <row r="1471" spans="2:3">
      <c r="B1471" s="210" t="s">
        <v>151</v>
      </c>
      <c r="C1471" s="227">
        <v>96401</v>
      </c>
    </row>
    <row r="1472" spans="2:3">
      <c r="B1472" s="210" t="s">
        <v>3249</v>
      </c>
      <c r="C1472" s="227">
        <v>96404</v>
      </c>
    </row>
    <row r="1473" spans="2:3">
      <c r="B1473" s="210" t="s">
        <v>3250</v>
      </c>
      <c r="C1473" s="227">
        <v>96421</v>
      </c>
    </row>
    <row r="1474" spans="2:3">
      <c r="B1474" s="210" t="s">
        <v>134</v>
      </c>
      <c r="C1474" s="227">
        <v>95405</v>
      </c>
    </row>
    <row r="1475" spans="2:3">
      <c r="B1475" s="210" t="s">
        <v>3251</v>
      </c>
      <c r="C1475" s="227">
        <v>94005</v>
      </c>
    </row>
    <row r="1476" spans="2:3">
      <c r="B1476" s="210" t="s">
        <v>3252</v>
      </c>
      <c r="C1476" s="227">
        <v>95205</v>
      </c>
    </row>
    <row r="1477" spans="2:3">
      <c r="B1477" s="210" t="s">
        <v>73</v>
      </c>
      <c r="C1477" s="227">
        <v>92507</v>
      </c>
    </row>
    <row r="1478" spans="2:3">
      <c r="B1478" s="210" t="s">
        <v>3253</v>
      </c>
      <c r="C1478" s="227">
        <v>92511</v>
      </c>
    </row>
    <row r="1479" spans="2:3">
      <c r="B1479" s="210" t="s">
        <v>3254</v>
      </c>
      <c r="C1479" s="227">
        <v>96502</v>
      </c>
    </row>
    <row r="1480" spans="2:3">
      <c r="B1480" s="210" t="s">
        <v>153</v>
      </c>
      <c r="C1480" s="227">
        <v>96501</v>
      </c>
    </row>
    <row r="1481" spans="2:3">
      <c r="B1481" s="210" t="s">
        <v>3255</v>
      </c>
      <c r="C1481" s="227">
        <v>96504</v>
      </c>
    </row>
    <row r="1482" spans="2:3">
      <c r="B1482" s="210" t="s">
        <v>3256</v>
      </c>
      <c r="C1482" s="227">
        <v>97913</v>
      </c>
    </row>
    <row r="1483" spans="2:3">
      <c r="B1483" s="210" t="s">
        <v>3257</v>
      </c>
      <c r="C1483" s="227">
        <v>90621</v>
      </c>
    </row>
    <row r="1484" spans="2:3">
      <c r="B1484" s="210" t="s">
        <v>3258</v>
      </c>
      <c r="C1484" s="227">
        <v>91621</v>
      </c>
    </row>
    <row r="1485" spans="2:3">
      <c r="B1485" s="210" t="s">
        <v>3259</v>
      </c>
      <c r="C1485" s="227">
        <v>98231</v>
      </c>
    </row>
    <row r="1486" spans="2:3">
      <c r="B1486" s="210" t="s">
        <v>3260</v>
      </c>
      <c r="C1486" s="227">
        <v>91871</v>
      </c>
    </row>
    <row r="1487" spans="2:3">
      <c r="B1487" s="210" t="s">
        <v>3261</v>
      </c>
      <c r="C1487" s="227">
        <v>99311</v>
      </c>
    </row>
    <row r="1488" spans="2:3">
      <c r="B1488" s="210" t="s">
        <v>3262</v>
      </c>
      <c r="C1488" s="227">
        <v>96751</v>
      </c>
    </row>
    <row r="1489" spans="2:3">
      <c r="B1489" s="210" t="s">
        <v>3263</v>
      </c>
      <c r="C1489" s="227">
        <v>99717</v>
      </c>
    </row>
    <row r="1490" spans="2:3">
      <c r="B1490" s="210" t="s">
        <v>3264</v>
      </c>
      <c r="C1490" s="227">
        <v>99711</v>
      </c>
    </row>
    <row r="1491" spans="2:3">
      <c r="B1491" s="210" t="s">
        <v>158</v>
      </c>
      <c r="C1491" s="227">
        <v>96601</v>
      </c>
    </row>
    <row r="1492" spans="2:3">
      <c r="B1492" s="210" t="s">
        <v>3265</v>
      </c>
      <c r="C1492" s="227">
        <v>96604</v>
      </c>
    </row>
    <row r="1493" spans="2:3">
      <c r="B1493" s="210" t="s">
        <v>3266</v>
      </c>
      <c r="C1493" s="227">
        <v>91012</v>
      </c>
    </row>
    <row r="1494" spans="2:3">
      <c r="B1494" s="210" t="s">
        <v>30</v>
      </c>
      <c r="C1494" s="227">
        <v>90305</v>
      </c>
    </row>
    <row r="1495" spans="2:3">
      <c r="B1495" s="210" t="s">
        <v>3267</v>
      </c>
      <c r="C1495" s="227">
        <v>98427</v>
      </c>
    </row>
    <row r="1496" spans="2:3">
      <c r="B1496" s="210" t="s">
        <v>3268</v>
      </c>
      <c r="C1496" s="227">
        <v>98421</v>
      </c>
    </row>
    <row r="1497" spans="2:3">
      <c r="B1497" s="210" t="s">
        <v>3269</v>
      </c>
      <c r="C1497" s="227">
        <v>95821</v>
      </c>
    </row>
    <row r="1498" spans="2:3">
      <c r="B1498" s="210" t="s">
        <v>3270</v>
      </c>
      <c r="C1498" s="227">
        <v>91027</v>
      </c>
    </row>
    <row r="1499" spans="2:3">
      <c r="B1499" s="210" t="s">
        <v>3271</v>
      </c>
      <c r="C1499" s="227">
        <v>91021</v>
      </c>
    </row>
    <row r="1500" spans="2:3">
      <c r="B1500" s="210" t="s">
        <v>3272</v>
      </c>
      <c r="C1500" s="227">
        <v>94161</v>
      </c>
    </row>
    <row r="1501" spans="2:3">
      <c r="B1501" s="210" t="s">
        <v>3273</v>
      </c>
      <c r="C1501" s="227">
        <v>98441</v>
      </c>
    </row>
    <row r="1502" spans="2:3">
      <c r="B1502" s="210" t="s">
        <v>3274</v>
      </c>
      <c r="C1502" s="227">
        <v>91067</v>
      </c>
    </row>
    <row r="1503" spans="2:3">
      <c r="B1503" s="210" t="s">
        <v>3275</v>
      </c>
      <c r="C1503" s="227">
        <v>91061</v>
      </c>
    </row>
    <row r="1504" spans="2:3">
      <c r="B1504" s="210" t="s">
        <v>3276</v>
      </c>
      <c r="C1504" s="227">
        <v>94812</v>
      </c>
    </row>
    <row r="1505" spans="2:3">
      <c r="B1505" s="210" t="s">
        <v>3277</v>
      </c>
      <c r="C1505" s="227">
        <v>95921</v>
      </c>
    </row>
    <row r="1506" spans="2:3">
      <c r="B1506" s="210" t="s">
        <v>159</v>
      </c>
      <c r="C1506" s="227">
        <v>96701</v>
      </c>
    </row>
    <row r="1507" spans="2:3">
      <c r="B1507" s="210" t="s">
        <v>3278</v>
      </c>
      <c r="C1507" s="227">
        <v>96704</v>
      </c>
    </row>
    <row r="1508" spans="2:3">
      <c r="B1508" s="210" t="s">
        <v>3279</v>
      </c>
      <c r="C1508" s="227">
        <v>96708</v>
      </c>
    </row>
    <row r="1509" spans="2:3">
      <c r="B1509" s="210" t="s">
        <v>161</v>
      </c>
      <c r="C1509" s="227">
        <v>96801</v>
      </c>
    </row>
    <row r="1510" spans="2:3">
      <c r="B1510" s="210" t="s">
        <v>3280</v>
      </c>
      <c r="C1510" s="227">
        <v>96804</v>
      </c>
    </row>
    <row r="1511" spans="2:3">
      <c r="B1511" s="210" t="s">
        <v>3281</v>
      </c>
      <c r="C1511" s="227">
        <v>96808</v>
      </c>
    </row>
    <row r="1512" spans="2:3">
      <c r="B1512" s="210" t="s">
        <v>3282</v>
      </c>
      <c r="C1512" s="227">
        <v>96912</v>
      </c>
    </row>
    <row r="1513" spans="2:3">
      <c r="B1513" s="210" t="s">
        <v>103</v>
      </c>
      <c r="C1513" s="227">
        <v>93913</v>
      </c>
    </row>
    <row r="1514" spans="2:3">
      <c r="B1514" s="210" t="s">
        <v>3283</v>
      </c>
      <c r="C1514" s="227">
        <v>93911</v>
      </c>
    </row>
    <row r="1515" spans="2:3">
      <c r="B1515" s="210" t="s">
        <v>162</v>
      </c>
      <c r="C1515" s="227">
        <v>96901</v>
      </c>
    </row>
    <row r="1516" spans="2:3">
      <c r="B1516" s="210" t="s">
        <v>3284</v>
      </c>
      <c r="C1516" s="227">
        <v>97841</v>
      </c>
    </row>
    <row r="1517" spans="2:3">
      <c r="B1517" s="210" t="s">
        <v>85</v>
      </c>
      <c r="C1517" s="227">
        <v>93202</v>
      </c>
    </row>
    <row r="1518" spans="2:3">
      <c r="B1518" s="210" t="s">
        <v>1630</v>
      </c>
      <c r="C1518" s="227">
        <v>93609</v>
      </c>
    </row>
    <row r="1519" spans="2:3">
      <c r="B1519" s="210" t="s">
        <v>164</v>
      </c>
      <c r="C1519" s="227">
        <v>97001</v>
      </c>
    </row>
    <row r="1520" spans="2:3">
      <c r="B1520" s="210" t="s">
        <v>3285</v>
      </c>
      <c r="C1520" s="227">
        <v>97004</v>
      </c>
    </row>
    <row r="1521" spans="2:3">
      <c r="B1521" s="210" t="s">
        <v>165</v>
      </c>
      <c r="C1521" s="227">
        <v>97002</v>
      </c>
    </row>
    <row r="1522" spans="2:3">
      <c r="B1522" s="210" t="s">
        <v>170</v>
      </c>
      <c r="C1522" s="227">
        <v>97015</v>
      </c>
    </row>
    <row r="1523" spans="2:3">
      <c r="B1523" s="210" t="s">
        <v>3286</v>
      </c>
      <c r="C1523" s="227">
        <v>90441</v>
      </c>
    </row>
    <row r="1524" spans="2:3">
      <c r="B1524" s="210" t="s">
        <v>191</v>
      </c>
      <c r="C1524" s="227">
        <v>97853</v>
      </c>
    </row>
    <row r="1525" spans="2:3">
      <c r="B1525" s="210" t="s">
        <v>3287</v>
      </c>
      <c r="C1525" s="227">
        <v>97851</v>
      </c>
    </row>
    <row r="1526" spans="2:3">
      <c r="B1526" s="210" t="s">
        <v>171</v>
      </c>
      <c r="C1526" s="227">
        <v>97101</v>
      </c>
    </row>
    <row r="1527" spans="2:3">
      <c r="B1527" s="210" t="s">
        <v>3288</v>
      </c>
      <c r="C1527" s="227">
        <v>97104</v>
      </c>
    </row>
    <row r="1528" spans="2:3">
      <c r="B1528" s="210" t="s">
        <v>173</v>
      </c>
      <c r="C1528" s="227">
        <v>97201</v>
      </c>
    </row>
    <row r="1529" spans="2:3">
      <c r="B1529" s="210" t="s">
        <v>174</v>
      </c>
      <c r="C1529" s="227">
        <v>97301</v>
      </c>
    </row>
    <row r="1530" spans="2:3">
      <c r="B1530" s="210" t="s">
        <v>3289</v>
      </c>
      <c r="C1530" s="227">
        <v>97304</v>
      </c>
    </row>
    <row r="1531" spans="2:3">
      <c r="B1531" s="210" t="s">
        <v>219</v>
      </c>
      <c r="C1531" s="227">
        <v>99405</v>
      </c>
    </row>
    <row r="1532" spans="2:3">
      <c r="B1532" s="210" t="s">
        <v>25</v>
      </c>
      <c r="C1532" s="227">
        <v>72265</v>
      </c>
    </row>
    <row r="1533" spans="2:3">
      <c r="B1533" s="210" t="s">
        <v>92</v>
      </c>
      <c r="C1533" s="227">
        <v>93406</v>
      </c>
    </row>
    <row r="1534" spans="2:3">
      <c r="B1534" s="210" t="s">
        <v>3290</v>
      </c>
      <c r="C1534" s="227">
        <v>94112</v>
      </c>
    </row>
    <row r="1535" spans="2:3">
      <c r="B1535" s="210" t="s">
        <v>3291</v>
      </c>
      <c r="C1535" s="227">
        <v>99651</v>
      </c>
    </row>
    <row r="1536" spans="2:3">
      <c r="B1536" s="210" t="s">
        <v>3292</v>
      </c>
      <c r="C1536" s="227">
        <v>98607</v>
      </c>
    </row>
    <row r="1537" spans="2:3">
      <c r="B1537" s="210" t="s">
        <v>3293</v>
      </c>
      <c r="C1537" s="227">
        <v>98611</v>
      </c>
    </row>
    <row r="1538" spans="2:3">
      <c r="B1538" s="210" t="s">
        <v>3294</v>
      </c>
      <c r="C1538" s="227">
        <v>91641</v>
      </c>
    </row>
    <row r="1539" spans="2:3">
      <c r="B1539" s="210" t="s">
        <v>3295</v>
      </c>
      <c r="C1539" s="227">
        <v>95161</v>
      </c>
    </row>
    <row r="1540" spans="2:3">
      <c r="B1540" s="210" t="s">
        <v>3296</v>
      </c>
      <c r="C1540" s="227">
        <v>96361</v>
      </c>
    </row>
    <row r="1541" spans="2:3">
      <c r="B1541" s="210" t="s">
        <v>3297</v>
      </c>
      <c r="C1541" s="227">
        <v>94108</v>
      </c>
    </row>
    <row r="1542" spans="2:3">
      <c r="B1542" s="210" t="s">
        <v>3298</v>
      </c>
      <c r="C1542" s="227">
        <v>96351</v>
      </c>
    </row>
    <row r="1543" spans="2:3">
      <c r="B1543" s="210" t="s">
        <v>3299</v>
      </c>
      <c r="C1543" s="227">
        <v>93331</v>
      </c>
    </row>
    <row r="1544" spans="2:3">
      <c r="B1544" s="210" t="s">
        <v>3300</v>
      </c>
      <c r="C1544" s="227">
        <v>96021</v>
      </c>
    </row>
    <row r="1545" spans="2:3">
      <c r="B1545" s="210" t="s">
        <v>3301</v>
      </c>
      <c r="C1545" s="227">
        <v>95421</v>
      </c>
    </row>
    <row r="1546" spans="2:3">
      <c r="B1546" s="210" t="s">
        <v>175</v>
      </c>
      <c r="C1546" s="227">
        <v>97401</v>
      </c>
    </row>
    <row r="1547" spans="2:3">
      <c r="B1547" s="210" t="s">
        <v>3302</v>
      </c>
      <c r="C1547" s="227">
        <v>97404</v>
      </c>
    </row>
    <row r="1548" spans="2:3">
      <c r="B1548" s="210" t="s">
        <v>3303</v>
      </c>
      <c r="C1548" s="227">
        <v>97402</v>
      </c>
    </row>
    <row r="1549" spans="2:3">
      <c r="B1549" s="210" t="s">
        <v>3304</v>
      </c>
      <c r="C1549" s="227">
        <v>91921</v>
      </c>
    </row>
    <row r="1550" spans="2:3">
      <c r="B1550" s="210" t="s">
        <v>3305</v>
      </c>
      <c r="C1550" s="227">
        <v>95908</v>
      </c>
    </row>
    <row r="1551" spans="2:3">
      <c r="B1551" s="210" t="s">
        <v>220</v>
      </c>
      <c r="C1551" s="227">
        <v>99413</v>
      </c>
    </row>
    <row r="1552" spans="2:3">
      <c r="B1552" s="210" t="s">
        <v>3306</v>
      </c>
      <c r="C1552" s="227">
        <v>99411</v>
      </c>
    </row>
    <row r="1553" spans="2:3">
      <c r="B1553" s="210" t="s">
        <v>181</v>
      </c>
      <c r="C1553" s="227">
        <v>97501</v>
      </c>
    </row>
    <row r="1554" spans="2:3">
      <c r="B1554" s="210" t="s">
        <v>3307</v>
      </c>
      <c r="C1554" s="227">
        <v>90431</v>
      </c>
    </row>
    <row r="1555" spans="2:3">
      <c r="B1555" s="210" t="s">
        <v>3308</v>
      </c>
      <c r="C1555" s="227">
        <v>95211</v>
      </c>
    </row>
    <row r="1556" spans="2:3">
      <c r="B1556" s="210" t="s">
        <v>3309</v>
      </c>
      <c r="C1556" s="227">
        <v>95181</v>
      </c>
    </row>
    <row r="1557" spans="2:3">
      <c r="B1557" s="210" t="s">
        <v>3310</v>
      </c>
      <c r="C1557" s="227">
        <v>93351</v>
      </c>
    </row>
    <row r="1558" spans="2:3">
      <c r="B1558" s="210" t="s">
        <v>3311</v>
      </c>
      <c r="C1558" s="227">
        <v>94711</v>
      </c>
    </row>
    <row r="1559" spans="2:3">
      <c r="B1559" s="210" t="s">
        <v>3312</v>
      </c>
      <c r="C1559" s="227">
        <v>99213</v>
      </c>
    </row>
    <row r="1560" spans="2:3">
      <c r="B1560" s="210" t="s">
        <v>3313</v>
      </c>
      <c r="C1560" s="227">
        <v>99211</v>
      </c>
    </row>
    <row r="1561" spans="2:3">
      <c r="B1561" s="210" t="s">
        <v>216</v>
      </c>
      <c r="C1561" s="227">
        <v>99218</v>
      </c>
    </row>
    <row r="1562" spans="2:3">
      <c r="B1562" s="210" t="s">
        <v>3314</v>
      </c>
      <c r="C1562" s="227">
        <v>97641</v>
      </c>
    </row>
    <row r="1563" spans="2:3">
      <c r="B1563" s="210" t="s">
        <v>3315</v>
      </c>
      <c r="C1563" s="227">
        <v>97627</v>
      </c>
    </row>
    <row r="1564" spans="2:3">
      <c r="B1564" s="210" t="s">
        <v>3316</v>
      </c>
      <c r="C1564" s="227">
        <v>97623</v>
      </c>
    </row>
    <row r="1565" spans="2:3">
      <c r="B1565" s="210" t="s">
        <v>3317</v>
      </c>
      <c r="C1565" s="227">
        <v>97621</v>
      </c>
    </row>
    <row r="1566" spans="2:3">
      <c r="B1566" s="210" t="s">
        <v>182</v>
      </c>
      <c r="C1566" s="227">
        <v>97601</v>
      </c>
    </row>
    <row r="1567" spans="2:3">
      <c r="B1567" s="210" t="s">
        <v>3318</v>
      </c>
      <c r="C1567" s="227">
        <v>93681</v>
      </c>
    </row>
    <row r="1568" spans="2:3">
      <c r="B1568" s="210" t="s">
        <v>3319</v>
      </c>
      <c r="C1568" s="227">
        <v>97877</v>
      </c>
    </row>
    <row r="1569" spans="2:3">
      <c r="B1569" s="210" t="s">
        <v>3320</v>
      </c>
      <c r="C1569" s="227">
        <v>97871</v>
      </c>
    </row>
    <row r="1570" spans="2:3">
      <c r="B1570" s="210" t="s">
        <v>222</v>
      </c>
      <c r="C1570" s="227">
        <v>99502</v>
      </c>
    </row>
    <row r="1571" spans="2:3">
      <c r="B1571" s="210" t="s">
        <v>3321</v>
      </c>
      <c r="C1571" s="227">
        <v>97917</v>
      </c>
    </row>
    <row r="1572" spans="2:3">
      <c r="B1572" s="210" t="s">
        <v>3322</v>
      </c>
      <c r="C1572" s="227">
        <v>97911</v>
      </c>
    </row>
    <row r="1573" spans="2:3">
      <c r="B1573" s="210" t="s">
        <v>3323</v>
      </c>
      <c r="C1573" s="227">
        <v>96611</v>
      </c>
    </row>
    <row r="1574" spans="2:3">
      <c r="B1574" s="210" t="s">
        <v>3324</v>
      </c>
      <c r="C1574" s="227">
        <v>96741</v>
      </c>
    </row>
    <row r="1575" spans="2:3">
      <c r="B1575" s="210" t="s">
        <v>183</v>
      </c>
      <c r="C1575" s="227">
        <v>97701</v>
      </c>
    </row>
    <row r="1576" spans="2:3">
      <c r="B1576" s="210" t="s">
        <v>3325</v>
      </c>
      <c r="C1576" s="227">
        <v>92541</v>
      </c>
    </row>
    <row r="1577" spans="2:3">
      <c r="B1577" s="210" t="s">
        <v>111</v>
      </c>
      <c r="C1577" s="227">
        <v>94209</v>
      </c>
    </row>
    <row r="1578" spans="2:3">
      <c r="B1578" s="210" t="s">
        <v>3326</v>
      </c>
      <c r="C1578" s="227">
        <v>94221</v>
      </c>
    </row>
    <row r="1579" spans="2:3">
      <c r="B1579" s="210" t="s">
        <v>3327</v>
      </c>
      <c r="C1579" s="227">
        <v>96341</v>
      </c>
    </row>
    <row r="1580" spans="2:3">
      <c r="B1580" s="210" t="s">
        <v>3328</v>
      </c>
      <c r="C1580" s="227">
        <v>93821</v>
      </c>
    </row>
    <row r="1581" spans="2:3">
      <c r="B1581" s="210" t="s">
        <v>143</v>
      </c>
      <c r="C1581" s="227">
        <v>95853</v>
      </c>
    </row>
    <row r="1582" spans="2:3">
      <c r="B1582" s="210" t="s">
        <v>3329</v>
      </c>
      <c r="C1582" s="227">
        <v>95851</v>
      </c>
    </row>
    <row r="1583" spans="2:3">
      <c r="B1583" s="210" t="s">
        <v>186</v>
      </c>
      <c r="C1583" s="227">
        <v>97801</v>
      </c>
    </row>
    <row r="1584" spans="2:3">
      <c r="B1584" s="210" t="s">
        <v>188</v>
      </c>
      <c r="C1584" s="227">
        <v>97803</v>
      </c>
    </row>
    <row r="1585" spans="2:3">
      <c r="B1585" s="210" t="s">
        <v>189</v>
      </c>
      <c r="C1585" s="227">
        <v>97805</v>
      </c>
    </row>
    <row r="1586" spans="2:3">
      <c r="B1586" s="210" t="s">
        <v>3330</v>
      </c>
      <c r="C1586" s="227">
        <v>97727</v>
      </c>
    </row>
    <row r="1587" spans="2:3">
      <c r="B1587" s="210" t="s">
        <v>192</v>
      </c>
      <c r="C1587" s="227">
        <v>97901</v>
      </c>
    </row>
    <row r="1588" spans="2:3">
      <c r="B1588" s="210" t="s">
        <v>185</v>
      </c>
      <c r="C1588" s="227">
        <v>97713</v>
      </c>
    </row>
    <row r="1589" spans="2:3">
      <c r="B1589" s="210" t="s">
        <v>3331</v>
      </c>
      <c r="C1589" s="227">
        <v>97711</v>
      </c>
    </row>
    <row r="1590" spans="2:3">
      <c r="B1590" s="210" t="s">
        <v>3332</v>
      </c>
      <c r="C1590" s="227">
        <v>98071</v>
      </c>
    </row>
    <row r="1591" spans="2:3">
      <c r="B1591" s="210" t="s">
        <v>3333</v>
      </c>
      <c r="C1591" s="227">
        <v>93333</v>
      </c>
    </row>
    <row r="1592" spans="2:3">
      <c r="B1592" s="210" t="s">
        <v>3334</v>
      </c>
      <c r="C1592" s="227">
        <v>93321</v>
      </c>
    </row>
    <row r="1593" spans="2:3">
      <c r="B1593" s="210" t="s">
        <v>89</v>
      </c>
      <c r="C1593" s="227">
        <v>93323</v>
      </c>
    </row>
    <row r="1594" spans="2:3">
      <c r="B1594" s="210" t="s">
        <v>3335</v>
      </c>
      <c r="C1594" s="227">
        <v>99203</v>
      </c>
    </row>
    <row r="1595" spans="2:3">
      <c r="B1595" s="210" t="s">
        <v>3336</v>
      </c>
      <c r="C1595" s="227">
        <v>99421</v>
      </c>
    </row>
    <row r="1596" spans="2:3">
      <c r="B1596" s="210" t="s">
        <v>3337</v>
      </c>
      <c r="C1596" s="227">
        <v>93161</v>
      </c>
    </row>
    <row r="1597" spans="2:3">
      <c r="B1597" s="210" t="s">
        <v>3338</v>
      </c>
      <c r="C1597" s="227">
        <v>98237</v>
      </c>
    </row>
    <row r="1598" spans="2:3">
      <c r="B1598" s="210" t="s">
        <v>3339</v>
      </c>
      <c r="C1598" s="227">
        <v>98261</v>
      </c>
    </row>
    <row r="1599" spans="2:3">
      <c r="B1599" s="210" t="s">
        <v>3340</v>
      </c>
      <c r="C1599" s="227">
        <v>98002</v>
      </c>
    </row>
    <row r="1600" spans="2:3">
      <c r="B1600" s="210" t="s">
        <v>194</v>
      </c>
      <c r="C1600" s="227">
        <v>98001</v>
      </c>
    </row>
    <row r="1601" spans="2:3">
      <c r="B1601" s="210" t="s">
        <v>3341</v>
      </c>
      <c r="C1601" s="227">
        <v>98004</v>
      </c>
    </row>
    <row r="1602" spans="2:3">
      <c r="B1602" s="210" t="s">
        <v>3342</v>
      </c>
      <c r="C1602" s="227">
        <v>98003</v>
      </c>
    </row>
    <row r="1603" spans="2:3">
      <c r="B1603" s="210" t="s">
        <v>3343</v>
      </c>
      <c r="C1603" s="227">
        <v>98008</v>
      </c>
    </row>
    <row r="1604" spans="2:3">
      <c r="B1604" s="210" t="s">
        <v>3344</v>
      </c>
      <c r="C1604" s="227">
        <v>97861</v>
      </c>
    </row>
    <row r="1605" spans="2:3">
      <c r="B1605" s="210" t="s">
        <v>3345</v>
      </c>
      <c r="C1605" s="227">
        <v>97311</v>
      </c>
    </row>
    <row r="1606" spans="2:3">
      <c r="B1606" s="210" t="s">
        <v>3346</v>
      </c>
      <c r="C1606" s="227">
        <v>93431</v>
      </c>
    </row>
    <row r="1607" spans="2:3">
      <c r="B1607" s="210" t="s">
        <v>3347</v>
      </c>
      <c r="C1607" s="227">
        <v>91214</v>
      </c>
    </row>
    <row r="1608" spans="2:3">
      <c r="B1608" s="210" t="s">
        <v>196</v>
      </c>
      <c r="C1608" s="227">
        <v>98101</v>
      </c>
    </row>
    <row r="1609" spans="2:3">
      <c r="B1609" s="210" t="s">
        <v>3348</v>
      </c>
      <c r="C1609" s="227">
        <v>98103</v>
      </c>
    </row>
    <row r="1610" spans="2:3">
      <c r="B1610" s="210" t="s">
        <v>3349</v>
      </c>
      <c r="C1610" s="227">
        <v>98147</v>
      </c>
    </row>
    <row r="1611" spans="2:3">
      <c r="B1611" s="210" t="s">
        <v>3350</v>
      </c>
      <c r="C1611" s="227">
        <v>98141</v>
      </c>
    </row>
    <row r="1612" spans="2:3">
      <c r="B1612" s="210" t="s">
        <v>3351</v>
      </c>
      <c r="C1612" s="227">
        <v>97837</v>
      </c>
    </row>
    <row r="1613" spans="2:3">
      <c r="B1613" s="210" t="s">
        <v>3352</v>
      </c>
      <c r="C1613" s="227">
        <v>98221</v>
      </c>
    </row>
    <row r="1614" spans="2:3">
      <c r="B1614" s="210" t="s">
        <v>3353</v>
      </c>
      <c r="C1614" s="227">
        <v>98013</v>
      </c>
    </row>
    <row r="1615" spans="2:3">
      <c r="B1615" s="210" t="s">
        <v>3354</v>
      </c>
      <c r="C1615" s="227">
        <v>98011</v>
      </c>
    </row>
    <row r="1616" spans="2:3">
      <c r="B1616" s="210" t="s">
        <v>3355</v>
      </c>
      <c r="C1616" s="227">
        <v>97531</v>
      </c>
    </row>
    <row r="1617" spans="2:3">
      <c r="B1617" s="210" t="s">
        <v>200</v>
      </c>
      <c r="C1617" s="227">
        <v>98201</v>
      </c>
    </row>
    <row r="1618" spans="2:3">
      <c r="B1618" s="210" t="s">
        <v>184</v>
      </c>
      <c r="C1618" s="227">
        <v>97705</v>
      </c>
    </row>
    <row r="1619" spans="2:3">
      <c r="B1619" s="210" t="s">
        <v>1631</v>
      </c>
      <c r="C1619" s="227">
        <v>96318</v>
      </c>
    </row>
    <row r="1620" spans="2:3">
      <c r="B1620" s="210" t="s">
        <v>3356</v>
      </c>
      <c r="C1620" s="227">
        <v>95317</v>
      </c>
    </row>
    <row r="1621" spans="2:3">
      <c r="B1621" s="210" t="s">
        <v>3357</v>
      </c>
      <c r="C1621" s="227">
        <v>95311</v>
      </c>
    </row>
    <row r="1622" spans="2:3">
      <c r="B1622" s="210" t="s">
        <v>3358</v>
      </c>
      <c r="C1622" s="227">
        <v>91421</v>
      </c>
    </row>
    <row r="1623" spans="2:3">
      <c r="B1623" s="210" t="s">
        <v>201</v>
      </c>
      <c r="C1623" s="227">
        <v>98301</v>
      </c>
    </row>
    <row r="1624" spans="2:3">
      <c r="B1624" s="210" t="s">
        <v>3359</v>
      </c>
      <c r="C1624" s="227">
        <v>98304</v>
      </c>
    </row>
    <row r="1625" spans="2:3">
      <c r="B1625" s="210" t="s">
        <v>3360</v>
      </c>
      <c r="C1625" s="227">
        <v>94241</v>
      </c>
    </row>
    <row r="1626" spans="2:3">
      <c r="B1626" s="210" t="s">
        <v>3361</v>
      </c>
      <c r="C1626" s="227">
        <v>96681</v>
      </c>
    </row>
    <row r="1627" spans="2:3">
      <c r="B1627" s="210" t="s">
        <v>130</v>
      </c>
      <c r="C1627" s="227">
        <v>95123</v>
      </c>
    </row>
    <row r="1628" spans="2:3">
      <c r="B1628" s="210" t="s">
        <v>3362</v>
      </c>
      <c r="C1628" s="227">
        <v>95121</v>
      </c>
    </row>
    <row r="1629" spans="2:3">
      <c r="B1629" s="210" t="s">
        <v>3363</v>
      </c>
      <c r="C1629" s="227">
        <v>99531</v>
      </c>
    </row>
    <row r="1630" spans="2:3">
      <c r="B1630" s="210" t="s">
        <v>3364</v>
      </c>
      <c r="C1630" s="227">
        <v>96671</v>
      </c>
    </row>
    <row r="1631" spans="2:3">
      <c r="B1631" s="210" t="s">
        <v>3365</v>
      </c>
      <c r="C1631" s="227">
        <v>91057</v>
      </c>
    </row>
    <row r="1632" spans="2:3">
      <c r="B1632" s="210" t="s">
        <v>3366</v>
      </c>
      <c r="C1632" s="227">
        <v>91081</v>
      </c>
    </row>
    <row r="1633" spans="2:3">
      <c r="B1633" s="210" t="s">
        <v>3367</v>
      </c>
      <c r="C1633" s="227">
        <v>96461</v>
      </c>
    </row>
    <row r="1634" spans="2:3">
      <c r="B1634" s="210" t="s">
        <v>3368</v>
      </c>
      <c r="C1634" s="227">
        <v>92317</v>
      </c>
    </row>
    <row r="1635" spans="2:3">
      <c r="B1635" s="210" t="s">
        <v>3369</v>
      </c>
      <c r="C1635" s="227">
        <v>92311</v>
      </c>
    </row>
    <row r="1636" spans="2:3">
      <c r="B1636" s="210" t="s">
        <v>176</v>
      </c>
      <c r="C1636" s="227">
        <v>97405</v>
      </c>
    </row>
    <row r="1637" spans="2:3">
      <c r="B1637" s="210" t="s">
        <v>3370</v>
      </c>
      <c r="C1637" s="227">
        <v>91917</v>
      </c>
    </row>
    <row r="1638" spans="2:3">
      <c r="B1638" s="210" t="s">
        <v>3371</v>
      </c>
      <c r="C1638" s="227">
        <v>91911</v>
      </c>
    </row>
    <row r="1639" spans="2:3">
      <c r="B1639" s="210" t="s">
        <v>3372</v>
      </c>
      <c r="C1639" s="227">
        <v>97481</v>
      </c>
    </row>
    <row r="1640" spans="2:3">
      <c r="B1640" s="210" t="s">
        <v>3373</v>
      </c>
      <c r="C1640" s="227">
        <v>91138</v>
      </c>
    </row>
    <row r="1641" spans="2:3">
      <c r="B1641" s="210" t="s">
        <v>129</v>
      </c>
      <c r="C1641" s="227">
        <v>95113</v>
      </c>
    </row>
    <row r="1642" spans="2:3">
      <c r="B1642" s="210" t="s">
        <v>3374</v>
      </c>
      <c r="C1642" s="227">
        <v>95111</v>
      </c>
    </row>
    <row r="1643" spans="2:3">
      <c r="B1643" s="210" t="s">
        <v>3375</v>
      </c>
      <c r="C1643" s="227">
        <v>95009</v>
      </c>
    </row>
    <row r="1644" spans="2:3">
      <c r="B1644" s="210" t="s">
        <v>3376</v>
      </c>
      <c r="C1644" s="227">
        <v>94021</v>
      </c>
    </row>
    <row r="1645" spans="2:3">
      <c r="B1645" s="210" t="s">
        <v>3377</v>
      </c>
      <c r="C1645" s="227">
        <v>93910</v>
      </c>
    </row>
    <row r="1646" spans="2:3">
      <c r="B1646" s="210" t="s">
        <v>1632</v>
      </c>
      <c r="C1646" s="227">
        <v>91013</v>
      </c>
    </row>
    <row r="1647" spans="2:3">
      <c r="B1647" s="210" t="s">
        <v>3378</v>
      </c>
      <c r="C1647" s="227">
        <v>90918</v>
      </c>
    </row>
    <row r="1648" spans="2:3">
      <c r="B1648" s="210" t="s">
        <v>3379</v>
      </c>
      <c r="C1648" s="227">
        <v>96311</v>
      </c>
    </row>
    <row r="1649" spans="2:3">
      <c r="B1649" s="210" t="s">
        <v>3380</v>
      </c>
      <c r="C1649" s="227">
        <v>92841</v>
      </c>
    </row>
    <row r="1650" spans="2:3">
      <c r="B1650" s="210" t="s">
        <v>225</v>
      </c>
      <c r="C1650" s="227">
        <v>99609</v>
      </c>
    </row>
    <row r="1651" spans="2:3">
      <c r="B1651" s="210" t="s">
        <v>3381</v>
      </c>
      <c r="C1651" s="227">
        <v>91017</v>
      </c>
    </row>
    <row r="1652" spans="2:3">
      <c r="B1652" s="210" t="s">
        <v>3382</v>
      </c>
      <c r="C1652" s="227">
        <v>91011</v>
      </c>
    </row>
    <row r="1653" spans="2:3">
      <c r="B1653" s="210" t="s">
        <v>3383</v>
      </c>
      <c r="C1653" s="227">
        <v>95008</v>
      </c>
    </row>
    <row r="1654" spans="2:3">
      <c r="B1654" s="210" t="s">
        <v>3384</v>
      </c>
      <c r="C1654" s="227">
        <v>90307</v>
      </c>
    </row>
    <row r="1655" spans="2:3">
      <c r="B1655" s="210" t="s">
        <v>3385</v>
      </c>
      <c r="C1655" s="227">
        <v>72657</v>
      </c>
    </row>
    <row r="1656" spans="2:3">
      <c r="B1656" s="210" t="s">
        <v>3386</v>
      </c>
      <c r="C1656" s="227">
        <v>98031</v>
      </c>
    </row>
    <row r="1657" spans="2:3">
      <c r="B1657" s="210" t="s">
        <v>3387</v>
      </c>
      <c r="C1657" s="227">
        <v>98121</v>
      </c>
    </row>
    <row r="1658" spans="2:3">
      <c r="B1658" s="210" t="s">
        <v>3388</v>
      </c>
      <c r="C1658" s="227">
        <v>96411</v>
      </c>
    </row>
    <row r="1659" spans="2:3">
      <c r="B1659" s="210" t="s">
        <v>3389</v>
      </c>
      <c r="C1659" s="227">
        <v>92661</v>
      </c>
    </row>
    <row r="1660" spans="2:3">
      <c r="B1660" s="210" t="s">
        <v>3390</v>
      </c>
      <c r="C1660" s="227">
        <v>96111</v>
      </c>
    </row>
    <row r="1661" spans="2:3">
      <c r="B1661" s="210" t="s">
        <v>3391</v>
      </c>
      <c r="C1661" s="227">
        <v>91032</v>
      </c>
    </row>
    <row r="1662" spans="2:3">
      <c r="B1662" s="210" t="s">
        <v>3392</v>
      </c>
      <c r="C1662" s="227">
        <v>97831</v>
      </c>
    </row>
    <row r="1663" spans="2:3">
      <c r="B1663" s="210" t="s">
        <v>3393</v>
      </c>
      <c r="C1663" s="227">
        <v>96061</v>
      </c>
    </row>
    <row r="1664" spans="2:3">
      <c r="B1664" s="210" t="s">
        <v>3394</v>
      </c>
      <c r="C1664" s="227">
        <v>98481</v>
      </c>
    </row>
    <row r="1665" spans="2:3">
      <c r="B1665" s="210" t="s">
        <v>3395</v>
      </c>
      <c r="C1665" s="227">
        <v>93602</v>
      </c>
    </row>
    <row r="1666" spans="2:3">
      <c r="B1666" s="210" t="s">
        <v>203</v>
      </c>
      <c r="C1666" s="227">
        <v>98401</v>
      </c>
    </row>
    <row r="1667" spans="2:3">
      <c r="B1667" s="210" t="s">
        <v>3396</v>
      </c>
      <c r="C1667" s="227">
        <v>99821</v>
      </c>
    </row>
    <row r="1668" spans="2:3">
      <c r="B1668" s="210" t="s">
        <v>3397</v>
      </c>
      <c r="C1668" s="227">
        <v>96211</v>
      </c>
    </row>
    <row r="1669" spans="2:3">
      <c r="B1669" s="210" t="s">
        <v>3398</v>
      </c>
      <c r="C1669" s="227">
        <v>94917</v>
      </c>
    </row>
    <row r="1670" spans="2:3">
      <c r="B1670" s="210" t="s">
        <v>3399</v>
      </c>
      <c r="C1670" s="227">
        <v>94911</v>
      </c>
    </row>
    <row r="1671" spans="2:3">
      <c r="B1671" s="210" t="s">
        <v>3400</v>
      </c>
      <c r="C1671" s="227">
        <v>92621</v>
      </c>
    </row>
    <row r="1672" spans="2:3">
      <c r="B1672" s="210" t="s">
        <v>204</v>
      </c>
      <c r="C1672" s="227">
        <v>98501</v>
      </c>
    </row>
    <row r="1673" spans="2:3">
      <c r="B1673" s="210" t="s">
        <v>3401</v>
      </c>
      <c r="C1673" s="227">
        <v>97931</v>
      </c>
    </row>
    <row r="1674" spans="2:3">
      <c r="B1674" s="210" t="s">
        <v>3402</v>
      </c>
      <c r="C1674" s="227">
        <v>93914</v>
      </c>
    </row>
    <row r="1675" spans="2:3">
      <c r="B1675" s="210" t="s">
        <v>3403</v>
      </c>
      <c r="C1675" s="227">
        <v>90651</v>
      </c>
    </row>
    <row r="1676" spans="2:3">
      <c r="B1676" s="210" t="s">
        <v>108</v>
      </c>
      <c r="C1676" s="227">
        <v>94172</v>
      </c>
    </row>
    <row r="1677" spans="2:3">
      <c r="B1677" s="210" t="s">
        <v>3404</v>
      </c>
      <c r="C1677" s="227">
        <v>94171</v>
      </c>
    </row>
    <row r="1678" spans="2:3">
      <c r="B1678" s="210" t="s">
        <v>3405</v>
      </c>
      <c r="C1678" s="227">
        <v>91047</v>
      </c>
    </row>
    <row r="1679" spans="2:3">
      <c r="B1679" s="210" t="s">
        <v>3406</v>
      </c>
      <c r="C1679" s="227">
        <v>91041</v>
      </c>
    </row>
    <row r="1680" spans="2:3">
      <c r="B1680" s="210" t="s">
        <v>172</v>
      </c>
      <c r="C1680" s="227">
        <v>97131</v>
      </c>
    </row>
    <row r="1681" spans="2:3">
      <c r="B1681" s="210" t="s">
        <v>205</v>
      </c>
      <c r="C1681" s="227">
        <v>98601</v>
      </c>
    </row>
    <row r="1682" spans="2:3">
      <c r="B1682" s="210" t="s">
        <v>207</v>
      </c>
      <c r="C1682" s="227">
        <v>98701</v>
      </c>
    </row>
    <row r="1683" spans="2:3">
      <c r="B1683" s="210" t="s">
        <v>3407</v>
      </c>
      <c r="C1683" s="227">
        <v>96721</v>
      </c>
    </row>
    <row r="1684" spans="2:3">
      <c r="B1684" s="210" t="s">
        <v>3408</v>
      </c>
      <c r="C1684" s="227">
        <v>95011</v>
      </c>
    </row>
    <row r="1685" spans="2:3">
      <c r="B1685" s="210" t="s">
        <v>3409</v>
      </c>
      <c r="C1685" s="227">
        <v>92451</v>
      </c>
    </row>
    <row r="1686" spans="2:3">
      <c r="B1686" s="210" t="s">
        <v>88</v>
      </c>
      <c r="C1686" s="227">
        <v>93317</v>
      </c>
    </row>
    <row r="1687" spans="2:3">
      <c r="B1687" s="210" t="s">
        <v>3410</v>
      </c>
      <c r="C1687" s="227">
        <v>93311</v>
      </c>
    </row>
    <row r="1688" spans="2:3">
      <c r="B1688" s="210" t="s">
        <v>3411</v>
      </c>
      <c r="C1688" s="227">
        <v>90211</v>
      </c>
    </row>
    <row r="1689" spans="2:3">
      <c r="B1689" s="210" t="s">
        <v>3412</v>
      </c>
      <c r="C1689" s="227">
        <v>96302</v>
      </c>
    </row>
    <row r="1690" spans="2:3">
      <c r="B1690" s="210" t="s">
        <v>3413</v>
      </c>
      <c r="C1690" s="227">
        <v>93181</v>
      </c>
    </row>
    <row r="1691" spans="2:3">
      <c r="B1691" s="210" t="s">
        <v>3414</v>
      </c>
      <c r="C1691" s="227">
        <v>92113</v>
      </c>
    </row>
    <row r="1692" spans="2:3">
      <c r="B1692" s="210" t="s">
        <v>80</v>
      </c>
      <c r="C1692" s="227">
        <v>92913</v>
      </c>
    </row>
    <row r="1693" spans="2:3">
      <c r="B1693" s="210" t="s">
        <v>3415</v>
      </c>
      <c r="C1693" s="227">
        <v>92911</v>
      </c>
    </row>
    <row r="1694" spans="2:3">
      <c r="B1694" s="210" t="s">
        <v>3416</v>
      </c>
      <c r="C1694" s="227">
        <v>93471</v>
      </c>
    </row>
    <row r="1695" spans="2:3">
      <c r="B1695" s="210" t="s">
        <v>3417</v>
      </c>
      <c r="C1695" s="227">
        <v>90098</v>
      </c>
    </row>
    <row r="1696" spans="2:3">
      <c r="B1696" s="210" t="s">
        <v>3418</v>
      </c>
      <c r="C1696" s="227">
        <v>97121</v>
      </c>
    </row>
    <row r="1697" spans="2:3">
      <c r="B1697" s="210" t="s">
        <v>70</v>
      </c>
      <c r="C1697" s="227">
        <v>92414</v>
      </c>
    </row>
    <row r="1698" spans="2:3">
      <c r="B1698" s="210" t="s">
        <v>81</v>
      </c>
      <c r="C1698" s="227">
        <v>92941</v>
      </c>
    </row>
    <row r="1699" spans="2:3">
      <c r="B1699" s="210" t="s">
        <v>43</v>
      </c>
      <c r="C1699" s="227">
        <v>91026</v>
      </c>
    </row>
    <row r="1700" spans="2:3">
      <c r="B1700" s="210" t="s">
        <v>208</v>
      </c>
      <c r="C1700" s="227">
        <v>98801</v>
      </c>
    </row>
    <row r="1701" spans="2:3">
      <c r="B1701" s="210" t="s">
        <v>3419</v>
      </c>
      <c r="C1701" s="227">
        <v>92521</v>
      </c>
    </row>
    <row r="1702" spans="2:3">
      <c r="B1702" s="210" t="s">
        <v>1633</v>
      </c>
      <c r="C1702" s="227">
        <v>93417</v>
      </c>
    </row>
    <row r="1703" spans="2:3">
      <c r="B1703" s="210" t="s">
        <v>86</v>
      </c>
      <c r="C1703" s="227">
        <v>93219</v>
      </c>
    </row>
    <row r="1704" spans="2:3">
      <c r="B1704" s="210" t="s">
        <v>1634</v>
      </c>
      <c r="C1704" s="227">
        <v>92513</v>
      </c>
    </row>
    <row r="1705" spans="2:3">
      <c r="B1705" s="210" t="s">
        <v>3420</v>
      </c>
      <c r="C1705" s="227">
        <v>97661</v>
      </c>
    </row>
    <row r="1706" spans="2:3">
      <c r="B1706" s="210" t="s">
        <v>3421</v>
      </c>
      <c r="C1706" s="227">
        <v>94931</v>
      </c>
    </row>
    <row r="1707" spans="2:3">
      <c r="B1707" s="210" t="s">
        <v>3422</v>
      </c>
      <c r="C1707" s="227">
        <v>96221</v>
      </c>
    </row>
    <row r="1708" spans="2:3">
      <c r="B1708" s="210" t="s">
        <v>3423</v>
      </c>
      <c r="C1708" s="227">
        <v>97511</v>
      </c>
    </row>
    <row r="1709" spans="2:3">
      <c r="B1709" s="210" t="s">
        <v>3424</v>
      </c>
      <c r="C1709" s="227">
        <v>95002</v>
      </c>
    </row>
    <row r="1710" spans="2:3">
      <c r="B1710" s="210" t="s">
        <v>3425</v>
      </c>
      <c r="C1710" s="227">
        <v>98251</v>
      </c>
    </row>
    <row r="1711" spans="2:3">
      <c r="B1711" s="210" t="s">
        <v>209</v>
      </c>
      <c r="C1711" s="227">
        <v>98901</v>
      </c>
    </row>
    <row r="1712" spans="2:3">
      <c r="B1712" s="210" t="s">
        <v>3426</v>
      </c>
      <c r="C1712" s="227">
        <v>98904</v>
      </c>
    </row>
    <row r="1713" spans="2:3">
      <c r="B1713" s="210" t="s">
        <v>210</v>
      </c>
      <c r="C1713" s="227">
        <v>99001</v>
      </c>
    </row>
    <row r="1714" spans="2:3">
      <c r="B1714" s="210" t="s">
        <v>3427</v>
      </c>
      <c r="C1714" s="227">
        <v>99061</v>
      </c>
    </row>
    <row r="1715" spans="2:3">
      <c r="B1715" s="210" t="s">
        <v>3428</v>
      </c>
      <c r="C1715" s="227">
        <v>93309</v>
      </c>
    </row>
    <row r="1716" spans="2:3">
      <c r="B1716" s="210" t="s">
        <v>51</v>
      </c>
      <c r="C1716" s="227">
        <v>91213</v>
      </c>
    </row>
    <row r="1717" spans="2:3">
      <c r="B1717" s="210" t="s">
        <v>3429</v>
      </c>
      <c r="C1717" s="227">
        <v>91211</v>
      </c>
    </row>
    <row r="1718" spans="2:3">
      <c r="B1718" s="210" t="s">
        <v>212</v>
      </c>
      <c r="C1718" s="227">
        <v>99101</v>
      </c>
    </row>
    <row r="1719" spans="2:3">
      <c r="B1719" s="210" t="s">
        <v>3430</v>
      </c>
      <c r="C1719" s="227">
        <v>99104</v>
      </c>
    </row>
    <row r="1720" spans="2:3">
      <c r="B1720" s="210" t="s">
        <v>3431</v>
      </c>
      <c r="C1720" s="227">
        <v>92551</v>
      </c>
    </row>
    <row r="1721" spans="2:3">
      <c r="B1721" s="210" t="s">
        <v>3432</v>
      </c>
      <c r="C1721" s="227">
        <v>96321</v>
      </c>
    </row>
    <row r="1722" spans="2:3">
      <c r="B1722" s="210" t="s">
        <v>3433</v>
      </c>
      <c r="C1722" s="227">
        <v>92641</v>
      </c>
    </row>
    <row r="1723" spans="2:3">
      <c r="B1723" s="210" t="s">
        <v>3434</v>
      </c>
      <c r="C1723" s="227">
        <v>90417</v>
      </c>
    </row>
    <row r="1724" spans="2:3">
      <c r="B1724" s="210" t="s">
        <v>32</v>
      </c>
      <c r="C1724" s="227">
        <v>90413</v>
      </c>
    </row>
    <row r="1725" spans="2:3">
      <c r="B1725" s="210" t="s">
        <v>3435</v>
      </c>
      <c r="C1725" s="227">
        <v>90411</v>
      </c>
    </row>
    <row r="1726" spans="2:3">
      <c r="B1726" s="210" t="s">
        <v>3436</v>
      </c>
      <c r="C1726" s="227">
        <v>98321</v>
      </c>
    </row>
    <row r="1727" spans="2:3">
      <c r="B1727" s="210" t="s">
        <v>213</v>
      </c>
      <c r="C1727" s="227">
        <v>99201</v>
      </c>
    </row>
    <row r="1728" spans="2:3">
      <c r="B1728" s="210" t="s">
        <v>3437</v>
      </c>
      <c r="C1728" s="227">
        <v>99204</v>
      </c>
    </row>
    <row r="1729" spans="2:3">
      <c r="B1729" s="210" t="s">
        <v>214</v>
      </c>
      <c r="C1729" s="227">
        <v>99207</v>
      </c>
    </row>
    <row r="1730" spans="2:3">
      <c r="B1730" s="210" t="s">
        <v>3438</v>
      </c>
      <c r="C1730" s="227">
        <v>99281</v>
      </c>
    </row>
    <row r="1731" spans="2:3">
      <c r="B1731" s="210" t="s">
        <v>3439</v>
      </c>
      <c r="C1731" s="227">
        <v>93461</v>
      </c>
    </row>
    <row r="1732" spans="2:3">
      <c r="B1732" s="210" t="s">
        <v>3440</v>
      </c>
      <c r="C1732" s="227">
        <v>93157</v>
      </c>
    </row>
    <row r="1733" spans="2:3">
      <c r="B1733" s="210" t="s">
        <v>3441</v>
      </c>
      <c r="C1733" s="227">
        <v>93151</v>
      </c>
    </row>
    <row r="1734" spans="2:3">
      <c r="B1734" s="210" t="s">
        <v>3442</v>
      </c>
      <c r="C1734" s="227">
        <v>98517</v>
      </c>
    </row>
    <row r="1735" spans="2:3">
      <c r="B1735" s="210" t="s">
        <v>3443</v>
      </c>
      <c r="C1735" s="227">
        <v>98511</v>
      </c>
    </row>
    <row r="1736" spans="2:3">
      <c r="B1736" s="210" t="s">
        <v>3444</v>
      </c>
      <c r="C1736" s="227">
        <v>99661</v>
      </c>
    </row>
    <row r="1737" spans="2:3">
      <c r="B1737" s="210" t="s">
        <v>3445</v>
      </c>
      <c r="C1737" s="227">
        <v>94031</v>
      </c>
    </row>
    <row r="1738" spans="2:3">
      <c r="B1738" s="210" t="s">
        <v>217</v>
      </c>
      <c r="C1738" s="227">
        <v>99301</v>
      </c>
    </row>
    <row r="1739" spans="2:3">
      <c r="B1739" s="210" t="s">
        <v>3446</v>
      </c>
      <c r="C1739" s="227">
        <v>99304</v>
      </c>
    </row>
    <row r="1740" spans="2:3">
      <c r="B1740" s="210" t="s">
        <v>3447</v>
      </c>
      <c r="C1740" s="227">
        <v>99321</v>
      </c>
    </row>
    <row r="1741" spans="2:3">
      <c r="B1741" s="210" t="s">
        <v>3448</v>
      </c>
      <c r="C1741" s="227">
        <v>93137</v>
      </c>
    </row>
    <row r="1742" spans="2:3">
      <c r="B1742" s="210" t="s">
        <v>3449</v>
      </c>
      <c r="C1742" s="227">
        <v>93131</v>
      </c>
    </row>
    <row r="1743" spans="2:3">
      <c r="B1743" s="210" t="s">
        <v>218</v>
      </c>
      <c r="C1743" s="227">
        <v>99401</v>
      </c>
    </row>
    <row r="1744" spans="2:3">
      <c r="B1744" s="210" t="s">
        <v>3450</v>
      </c>
      <c r="C1744" s="227">
        <v>99404</v>
      </c>
    </row>
    <row r="1745" spans="2:3">
      <c r="B1745" s="210" t="s">
        <v>3451</v>
      </c>
      <c r="C1745" s="227">
        <v>90741</v>
      </c>
    </row>
    <row r="1746" spans="2:3">
      <c r="B1746" s="210" t="s">
        <v>3452</v>
      </c>
      <c r="C1746" s="227">
        <v>90711</v>
      </c>
    </row>
    <row r="1747" spans="2:3">
      <c r="B1747" s="210" t="s">
        <v>221</v>
      </c>
      <c r="C1747" s="227">
        <v>99501</v>
      </c>
    </row>
    <row r="1748" spans="2:3">
      <c r="B1748" s="210" t="s">
        <v>3453</v>
      </c>
      <c r="C1748" s="227">
        <v>99509</v>
      </c>
    </row>
    <row r="1749" spans="2:3">
      <c r="B1749" s="210" t="s">
        <v>3454</v>
      </c>
      <c r="C1749" s="51">
        <v>91302</v>
      </c>
    </row>
    <row r="1750" spans="2:3">
      <c r="B1750" s="210" t="s">
        <v>3455</v>
      </c>
      <c r="C1750" s="227">
        <v>99047</v>
      </c>
    </row>
    <row r="1751" spans="2:3">
      <c r="B1751" s="210" t="s">
        <v>3456</v>
      </c>
      <c r="C1751" s="227">
        <v>99041</v>
      </c>
    </row>
    <row r="1752" spans="2:3">
      <c r="B1752" s="210" t="s">
        <v>224</v>
      </c>
      <c r="C1752" s="227">
        <v>99601</v>
      </c>
    </row>
    <row r="1753" spans="2:3">
      <c r="B1753" s="210" t="s">
        <v>3457</v>
      </c>
      <c r="C1753" s="227">
        <v>99604</v>
      </c>
    </row>
    <row r="1754" spans="2:3">
      <c r="B1754" s="210" t="s">
        <v>3458</v>
      </c>
      <c r="C1754" s="227">
        <v>94412</v>
      </c>
    </row>
    <row r="1755" spans="2:3">
      <c r="B1755" s="210" t="s">
        <v>3459</v>
      </c>
      <c r="C1755" s="227">
        <v>94411</v>
      </c>
    </row>
    <row r="1756" spans="2:3">
      <c r="B1756" s="210" t="s">
        <v>3460</v>
      </c>
      <c r="C1756" s="227">
        <v>91147</v>
      </c>
    </row>
    <row r="1757" spans="2:3">
      <c r="B1757" s="210" t="s">
        <v>3461</v>
      </c>
      <c r="C1757" s="227">
        <v>91141</v>
      </c>
    </row>
    <row r="1758" spans="2:3">
      <c r="B1758" s="210" t="s">
        <v>3462</v>
      </c>
      <c r="C1758" s="227">
        <v>99071</v>
      </c>
    </row>
    <row r="1759" spans="2:3">
      <c r="B1759" s="210" t="s">
        <v>3463</v>
      </c>
      <c r="C1759" s="227">
        <v>94231</v>
      </c>
    </row>
    <row r="1760" spans="2:3">
      <c r="B1760" s="210" t="s">
        <v>3464</v>
      </c>
      <c r="C1760" s="227">
        <v>99231</v>
      </c>
    </row>
    <row r="1761" spans="2:3">
      <c r="B1761" s="210" t="s">
        <v>3465</v>
      </c>
      <c r="C1761" s="227">
        <v>99091</v>
      </c>
    </row>
    <row r="1762" spans="2:3">
      <c r="B1762" s="210" t="s">
        <v>3466</v>
      </c>
      <c r="C1762" s="227">
        <v>91120</v>
      </c>
    </row>
    <row r="1763" spans="2:3">
      <c r="B1763" s="210" t="s">
        <v>1635</v>
      </c>
      <c r="C1763" s="227">
        <v>92444</v>
      </c>
    </row>
    <row r="1764" spans="2:3">
      <c r="B1764" s="210" t="s">
        <v>34</v>
      </c>
      <c r="C1764" s="227">
        <v>90507</v>
      </c>
    </row>
    <row r="1765" spans="2:3">
      <c r="B1765" s="210" t="s">
        <v>3467</v>
      </c>
      <c r="C1765" s="227">
        <v>90521</v>
      </c>
    </row>
    <row r="1766" spans="2:3">
      <c r="B1766" s="210" t="s">
        <v>3468</v>
      </c>
      <c r="C1766" s="227">
        <v>92602</v>
      </c>
    </row>
    <row r="1767" spans="2:3">
      <c r="B1767" s="210" t="s">
        <v>3469</v>
      </c>
      <c r="C1767" s="227">
        <v>91608</v>
      </c>
    </row>
    <row r="1768" spans="2:3">
      <c r="B1768" s="210" t="s">
        <v>48</v>
      </c>
      <c r="C1768" s="227">
        <v>91119</v>
      </c>
    </row>
    <row r="1769" spans="2:3">
      <c r="B1769" s="210" t="s">
        <v>3470</v>
      </c>
      <c r="C1769" s="227">
        <v>91107</v>
      </c>
    </row>
    <row r="1770" spans="2:3">
      <c r="B1770" s="210" t="s">
        <v>3471</v>
      </c>
      <c r="C1770" s="227">
        <v>91818</v>
      </c>
    </row>
    <row r="1771" spans="2:3">
      <c r="B1771" s="210" t="s">
        <v>60</v>
      </c>
      <c r="C1771" s="227">
        <v>91819</v>
      </c>
    </row>
    <row r="1772" spans="2:3">
      <c r="B1772" s="210" t="s">
        <v>3472</v>
      </c>
      <c r="C1772" s="227">
        <v>96371</v>
      </c>
    </row>
    <row r="1773" spans="2:3">
      <c r="B1773" s="210" t="s">
        <v>3473</v>
      </c>
      <c r="C1773" s="227">
        <v>96441</v>
      </c>
    </row>
    <row r="1774" spans="2:3">
      <c r="B1774" s="210" t="s">
        <v>3474</v>
      </c>
      <c r="C1774" s="227">
        <v>90921</v>
      </c>
    </row>
    <row r="1775" spans="2:3">
      <c r="B1775" s="210" t="s">
        <v>3475</v>
      </c>
      <c r="C1775" s="227">
        <v>92417</v>
      </c>
    </row>
    <row r="1776" spans="2:3">
      <c r="B1776" s="210" t="s">
        <v>69</v>
      </c>
      <c r="C1776" s="227">
        <v>92403</v>
      </c>
    </row>
    <row r="1777" spans="2:3">
      <c r="B1777" s="210" t="s">
        <v>3476</v>
      </c>
      <c r="C1777" s="227">
        <v>92411</v>
      </c>
    </row>
    <row r="1778" spans="2:3">
      <c r="B1778" s="210" t="s">
        <v>226</v>
      </c>
      <c r="C1778" s="227">
        <v>99701</v>
      </c>
    </row>
    <row r="1779" spans="2:3">
      <c r="B1779" s="210" t="s">
        <v>3477</v>
      </c>
      <c r="C1779" s="227">
        <v>99727</v>
      </c>
    </row>
    <row r="1780" spans="2:3">
      <c r="B1780" s="210" t="s">
        <v>3478</v>
      </c>
      <c r="C1780" s="227">
        <v>99721</v>
      </c>
    </row>
    <row r="1781" spans="2:3">
      <c r="B1781" s="210" t="s">
        <v>142</v>
      </c>
      <c r="C1781" s="227">
        <v>95813</v>
      </c>
    </row>
    <row r="1782" spans="2:3">
      <c r="B1782" s="210" t="s">
        <v>3479</v>
      </c>
      <c r="C1782" s="227">
        <v>95811</v>
      </c>
    </row>
    <row r="1783" spans="2:3">
      <c r="B1783" s="210" t="s">
        <v>154</v>
      </c>
      <c r="C1783" s="227">
        <v>96503</v>
      </c>
    </row>
    <row r="1784" spans="2:3">
      <c r="B1784" s="210" t="s">
        <v>3480</v>
      </c>
      <c r="C1784" s="227">
        <v>96531</v>
      </c>
    </row>
    <row r="1785" spans="2:3">
      <c r="B1785" s="210" t="s">
        <v>228</v>
      </c>
      <c r="C1785" s="227">
        <v>99801</v>
      </c>
    </row>
    <row r="1786" spans="2:3">
      <c r="B1786" s="210" t="s">
        <v>3481</v>
      </c>
      <c r="C1786" s="227">
        <v>99804</v>
      </c>
    </row>
    <row r="1787" spans="2:3">
      <c r="B1787" s="210" t="s">
        <v>3482</v>
      </c>
      <c r="C1787" s="227">
        <v>99802</v>
      </c>
    </row>
    <row r="1788" spans="2:3">
      <c r="B1788" s="210" t="s">
        <v>3483</v>
      </c>
      <c r="C1788" s="227">
        <v>99812</v>
      </c>
    </row>
    <row r="1789" spans="2:3">
      <c r="B1789" s="210" t="s">
        <v>3484</v>
      </c>
      <c r="C1789" s="227">
        <v>99811</v>
      </c>
    </row>
    <row r="1790" spans="2:3">
      <c r="B1790" s="210" t="s">
        <v>3485</v>
      </c>
      <c r="C1790" s="227">
        <v>95191</v>
      </c>
    </row>
    <row r="1791" spans="2:3">
      <c r="B1791" s="210" t="s">
        <v>3486</v>
      </c>
      <c r="C1791" s="227">
        <v>90812</v>
      </c>
    </row>
    <row r="1792" spans="2:3">
      <c r="B1792" s="210" t="s">
        <v>3487</v>
      </c>
      <c r="C1792" s="227">
        <v>97221</v>
      </c>
    </row>
    <row r="1793" spans="2:3">
      <c r="B1793" s="210" t="s">
        <v>3488</v>
      </c>
      <c r="C1793" s="227">
        <v>99031</v>
      </c>
    </row>
    <row r="1794" spans="2:3">
      <c r="B1794" s="210" t="s">
        <v>93</v>
      </c>
      <c r="C1794" s="227">
        <v>93413</v>
      </c>
    </row>
    <row r="1795" spans="2:3">
      <c r="B1795" s="210" t="s">
        <v>3489</v>
      </c>
      <c r="C1795" s="227">
        <v>93411</v>
      </c>
    </row>
    <row r="1796" spans="2:3">
      <c r="B1796" s="210" t="s">
        <v>3490</v>
      </c>
      <c r="C1796" s="227">
        <v>97451</v>
      </c>
    </row>
    <row r="1797" spans="2:3">
      <c r="B1797" s="210" t="s">
        <v>3491</v>
      </c>
      <c r="C1797" s="227">
        <v>94631</v>
      </c>
    </row>
    <row r="1798" spans="2:3">
      <c r="B1798" s="210" t="s">
        <v>46</v>
      </c>
      <c r="C1798" s="227">
        <v>91104</v>
      </c>
    </row>
    <row r="1799" spans="2:3">
      <c r="B1799" s="210" t="s">
        <v>3492</v>
      </c>
      <c r="C1799" s="227">
        <v>91109</v>
      </c>
    </row>
    <row r="1800" spans="2:3">
      <c r="B1800" s="210" t="s">
        <v>3493</v>
      </c>
      <c r="C1800" s="227">
        <v>91171</v>
      </c>
    </row>
    <row r="1801" spans="2:3">
      <c r="B1801" s="210" t="s">
        <v>3494</v>
      </c>
      <c r="C1801" s="227">
        <v>96621</v>
      </c>
    </row>
    <row r="1802" spans="2:3">
      <c r="B1802" s="210" t="s">
        <v>3495</v>
      </c>
      <c r="C1802" s="227">
        <v>96511</v>
      </c>
    </row>
    <row r="1803" spans="2:3">
      <c r="B1803" s="210" t="s">
        <v>229</v>
      </c>
      <c r="C1803" s="227">
        <v>99901</v>
      </c>
    </row>
    <row r="1804" spans="2:3">
      <c r="B1804" s="210" t="s">
        <v>1636</v>
      </c>
      <c r="C1804" s="227">
        <v>98604</v>
      </c>
    </row>
    <row r="1805" spans="2:3">
      <c r="B1805" s="210" t="s">
        <v>206</v>
      </c>
      <c r="C1805" s="227">
        <v>98608</v>
      </c>
    </row>
    <row r="1806" spans="2:3">
      <c r="B1806" s="210" t="s">
        <v>3496</v>
      </c>
      <c r="C1806" s="227">
        <v>99911</v>
      </c>
    </row>
    <row r="1807" spans="2:3">
      <c r="B1807" s="210" t="s">
        <v>26</v>
      </c>
      <c r="C1807" s="227">
        <v>90001</v>
      </c>
    </row>
    <row r="1808" spans="2:3">
      <c r="B1808" s="210" t="s">
        <v>3497</v>
      </c>
      <c r="C1808" s="227">
        <v>90002</v>
      </c>
    </row>
    <row r="1809" spans="2:3">
      <c r="B1809" s="210" t="s">
        <v>3498</v>
      </c>
      <c r="C1809" s="227">
        <v>91719</v>
      </c>
    </row>
    <row r="1810" spans="2:3">
      <c r="B1810" s="210" t="s">
        <v>3499</v>
      </c>
      <c r="C1810" s="227">
        <v>93541</v>
      </c>
    </row>
    <row r="1811" spans="2:3">
      <c r="B1811" s="210" t="s">
        <v>3500</v>
      </c>
      <c r="C1811" s="227">
        <v>99241</v>
      </c>
    </row>
  </sheetData>
  <pageMargins left="0" right="0" top="0.75" bottom="0.75" header="0.3" footer="0.3"/>
  <pageSetup scale="46"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225A94-039F-4E8A-ACEC-6E90F0905C6A}">
  <ds:schemaRefs>
    <ds:schemaRef ds:uri="http://schemas.microsoft.com/office/2006/documentManagement/types"/>
    <ds:schemaRef ds:uri="http://purl.org/dc/dcmitype/"/>
    <ds:schemaRef ds:uri="http://schemas.microsoft.com/office/2006/metadata/properties"/>
    <ds:schemaRef ds:uri="d4ea4015-5b02-447c-9074-d5807a41497e"/>
    <ds:schemaRef ds:uri="b0d8bf0e-b15b-456f-8ae4-2bdf59acac1f"/>
    <ds:schemaRef ds:uri="http://www.w3.org/XML/1998/namespace"/>
    <ds:schemaRef ds:uri="http://schemas.openxmlformats.org/package/2006/metadata/core-properti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90FCD502-94B4-4588-AA47-87587211E1F2}">
  <ds:schemaRefs>
    <ds:schemaRef ds:uri="http://schemas.microsoft.com/sharepoint/v3/contenttype/forms"/>
  </ds:schemaRefs>
</ds:datastoreItem>
</file>

<file path=customXml/itemProps3.xml><?xml version="1.0" encoding="utf-8"?>
<ds:datastoreItem xmlns:ds="http://schemas.openxmlformats.org/officeDocument/2006/customXml" ds:itemID="{C2F88404-3C9C-4304-965C-3C5BE9BBF2B7}">
  <ds:schemaRefs>
    <ds:schemaRef ds:uri="http://schemas.microsoft.com/sharepoint/events"/>
  </ds:schemaRefs>
</ds:datastoreItem>
</file>

<file path=customXml/itemProps4.xml><?xml version="1.0" encoding="utf-8"?>
<ds:datastoreItem xmlns:ds="http://schemas.openxmlformats.org/officeDocument/2006/customXml" ds:itemID="{53493DB8-B5E4-459F-B9C8-C2D84EE3D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10</vt:i4>
      </vt:variant>
    </vt:vector>
  </HeadingPairs>
  <TitlesOfParts>
    <vt:vector size="27" baseType="lpstr">
      <vt:lpstr>Info</vt:lpstr>
      <vt:lpstr>Changes to Update Template </vt:lpstr>
      <vt:lpstr>JE Template 2021</vt:lpstr>
      <vt:lpstr>2022 summary</vt:lpstr>
      <vt:lpstr>2021 summary</vt:lpstr>
      <vt:lpstr>2020 summary</vt:lpstr>
      <vt:lpstr>2019 summary</vt:lpstr>
      <vt:lpstr>2018 summary</vt:lpstr>
      <vt:lpstr>2017 summary</vt:lpstr>
      <vt:lpstr>LGERS Contributions FY 2021</vt:lpstr>
      <vt:lpstr>LGERS Contributions FY 2020</vt:lpstr>
      <vt:lpstr>LGERS Contributions FY 2019</vt:lpstr>
      <vt:lpstr>LGERS Contributions FY 2018</vt:lpstr>
      <vt:lpstr>LGERS Contributions FY 2017</vt:lpstr>
      <vt:lpstr>Deferred Amort MD 06-30-21</vt:lpstr>
      <vt:lpstr>Deferred Amort MD 6-30-20</vt:lpstr>
      <vt:lpstr>Deferred Amort MD 6-30-19</vt:lpstr>
      <vt:lpstr>'Deferred Amort MD 6-30-19'!Print_Area</vt:lpstr>
      <vt:lpstr>'Deferred Amort MD 6-30-20'!Print_Area</vt:lpstr>
      <vt:lpstr>'JE Template 2021'!Print_Area</vt:lpstr>
      <vt:lpstr>'2017 summary'!Print_Titles</vt:lpstr>
      <vt:lpstr>'2018 summary'!Print_Titles</vt:lpstr>
      <vt:lpstr>'Deferred Amort MD 6-30-19'!Print_Titles</vt:lpstr>
      <vt:lpstr>'Deferred Amort MD 6-30-20'!Print_Titles</vt:lpstr>
      <vt:lpstr>'2021 summary'!Total_Summary_Data</vt:lpstr>
      <vt:lpstr>'2022 summary'!Total_Summary_Data</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Brenda Thornton</cp:lastModifiedBy>
  <cp:lastPrinted>2022-06-07T22:19:15Z</cp:lastPrinted>
  <dcterms:created xsi:type="dcterms:W3CDTF">2015-01-07T18:39:17Z</dcterms:created>
  <dcterms:modified xsi:type="dcterms:W3CDTF">2022-09-27T13:44:35Z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